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24226"/>
  <bookViews>
    <workbookView xWindow="0" yWindow="0" windowWidth="20160" windowHeight="8760" activeTab="4"/>
  </bookViews>
  <sheets>
    <sheet name="SALE" sheetId="1" r:id="rId1"/>
    <sheet name="SALE WORKING" sheetId="6" r:id="rId2"/>
    <sheet name="RET-GSTR-9" sheetId="26" r:id="rId3"/>
    <sheet name="RET-GSTR-1 NEW" sheetId="13" r:id="rId4"/>
    <sheet name="RET-GSTR-1 OLD" sheetId="27" r:id="rId5"/>
    <sheet name="SALE HSN SUMMERY" sheetId="14" r:id="rId6"/>
    <sheet name="SALE-RMC" sheetId="20" r:id="rId7"/>
    <sheet name="SALE MISSING DOC" sheetId="39" r:id="rId8"/>
    <sheet name="PURCHASE" sheetId="17" r:id="rId9"/>
    <sheet name="PURCHASE ANNEX-2" sheetId="38" r:id="rId10"/>
    <sheet name="COMPUPATION" sheetId="49" r:id="rId11"/>
    <sheet name="BALANCESHEET" sheetId="48" r:id="rId12"/>
    <sheet name="PROFIT &amp; LOSS AC" sheetId="47" r:id="rId13"/>
    <sheet name="CAPITAL AC" sheetId="50" r:id="rId14"/>
    <sheet name="DIR LOAN AC" sheetId="52" r:id="rId15"/>
    <sheet name="FIXED ASSET" sheetId="51" r:id="rId16"/>
    <sheet name="RATEWISE SALE &amp; PURCHASE" sheetId="23" r:id="rId17"/>
    <sheet name="CONSOLATED SALE &amp; PURCHASE" sheetId="8" r:id="rId18"/>
    <sheet name="PURCHASE-RMC" sheetId="19" r:id="rId19"/>
    <sheet name="RULE 37,39,42&amp;43" sheetId="21" r:id="rId20"/>
    <sheet name="SEC (17)" sheetId="22" r:id="rId21"/>
    <sheet name="PURCHASE WORKING" sheetId="18" r:id="rId22"/>
    <sheet name="RET-GSTR-3B" sheetId="16" r:id="rId23"/>
    <sheet name="PAYMENT GST &amp;RMC" sheetId="35" r:id="rId24"/>
    <sheet name="RECO-GST-1,3B,2A" sheetId="31" r:id="rId25"/>
    <sheet name="GSTR-2A" sheetId="37" r:id="rId26"/>
    <sheet name="PUR-PARTYWISE" sheetId="30" r:id="rId27"/>
    <sheet name="2A-PARTYWISE" sheetId="41" r:id="rId28"/>
    <sheet name="SUMMERY PUR &amp; 2A" sheetId="40" r:id="rId29"/>
    <sheet name="SALE PARTYWISE" sheetId="29" r:id="rId30"/>
    <sheet name="PUR-HSN SUMMERY" sheetId="28" r:id="rId31"/>
    <sheet name="GSTR-1 SUMMERY" sheetId="7" r:id="rId32"/>
    <sheet name="MASTER SALE PUR TYPE" sheetId="15" r:id="rId33"/>
    <sheet name="SALE HSN MASTER" sheetId="2" r:id="rId34"/>
    <sheet name="SALE PARTY MASTER" sheetId="3" r:id="rId35"/>
    <sheet name="PUR-PARTY MASTER" sheetId="24" r:id="rId36"/>
    <sheet name="PUR-HSN MASTER" sheetId="25" r:id="rId37"/>
  </sheets>
  <externalReferences>
    <externalReference r:id="rId38"/>
    <externalReference r:id="rId39"/>
    <externalReference r:id="rId40"/>
  </externalReferences>
  <calcPr calcId="152511"/>
</workbook>
</file>

<file path=xl/calcChain.xml><?xml version="1.0" encoding="utf-8"?>
<calcChain xmlns="http://schemas.openxmlformats.org/spreadsheetml/2006/main">
  <c r="B22" i="13" l="1"/>
  <c r="C22" i="13"/>
  <c r="D22" i="13"/>
  <c r="E22" i="13"/>
  <c r="F22" i="13"/>
  <c r="G22" i="13"/>
  <c r="H22" i="13"/>
  <c r="I22" i="13"/>
  <c r="J22" i="13"/>
  <c r="K22" i="13"/>
  <c r="L22" i="13"/>
  <c r="M22" i="13"/>
  <c r="C23" i="13"/>
  <c r="D23" i="13"/>
  <c r="E23" i="13"/>
  <c r="F23" i="13"/>
  <c r="G23" i="13"/>
  <c r="H23" i="13"/>
  <c r="I23" i="13"/>
  <c r="J23" i="13"/>
  <c r="K23" i="13"/>
  <c r="L23" i="13"/>
  <c r="M23" i="13"/>
  <c r="C24" i="13"/>
  <c r="D24" i="13"/>
  <c r="E24" i="13"/>
  <c r="F24" i="13"/>
  <c r="G24" i="13"/>
  <c r="H24" i="13"/>
  <c r="I24" i="13"/>
  <c r="J24" i="13"/>
  <c r="K24" i="13"/>
  <c r="L24" i="13"/>
  <c r="M24" i="13"/>
  <c r="C25" i="13"/>
  <c r="D25" i="13"/>
  <c r="E25" i="13"/>
  <c r="F25" i="13"/>
  <c r="G25" i="13"/>
  <c r="H25" i="13"/>
  <c r="I25" i="13"/>
  <c r="J25" i="13"/>
  <c r="K25" i="13"/>
  <c r="L25" i="13"/>
  <c r="M25" i="13"/>
  <c r="C26" i="13"/>
  <c r="D26" i="13"/>
  <c r="E26" i="13"/>
  <c r="F26" i="13"/>
  <c r="G26" i="13"/>
  <c r="H26" i="13"/>
  <c r="I26" i="13"/>
  <c r="J26" i="13"/>
  <c r="K26" i="13"/>
  <c r="L26" i="13"/>
  <c r="M26" i="13"/>
  <c r="B26" i="13"/>
  <c r="B25" i="13"/>
  <c r="B24" i="13"/>
  <c r="B23" i="13"/>
  <c r="C5" i="47" l="1"/>
  <c r="D5" i="47"/>
  <c r="E5" i="47"/>
  <c r="F5" i="47"/>
  <c r="G5" i="47"/>
  <c r="H5" i="47"/>
  <c r="I5" i="47"/>
  <c r="J5" i="47"/>
  <c r="K5" i="47"/>
  <c r="L5" i="47"/>
  <c r="M5" i="47"/>
  <c r="C8" i="47"/>
  <c r="D8" i="47"/>
  <c r="E8" i="47"/>
  <c r="F8" i="47"/>
  <c r="G8" i="47"/>
  <c r="H8" i="47"/>
  <c r="I8" i="47"/>
  <c r="J8" i="47"/>
  <c r="K8" i="47"/>
  <c r="L8" i="47"/>
  <c r="M8" i="47"/>
  <c r="N8" i="47"/>
  <c r="B8" i="47"/>
  <c r="M36" i="19"/>
  <c r="N36" i="19" s="1"/>
  <c r="P36" i="19" s="1"/>
  <c r="N35" i="19"/>
  <c r="P35" i="19" s="1"/>
  <c r="M35" i="19"/>
  <c r="M34" i="19"/>
  <c r="N34" i="19" s="1"/>
  <c r="P34" i="19" s="1"/>
  <c r="N33" i="19"/>
  <c r="P33" i="19" s="1"/>
  <c r="M33" i="19"/>
  <c r="M32" i="19"/>
  <c r="N32" i="19" s="1"/>
  <c r="P32" i="19" s="1"/>
  <c r="N31" i="19"/>
  <c r="P31" i="19" s="1"/>
  <c r="M31" i="19"/>
  <c r="M30" i="19"/>
  <c r="N30" i="19" s="1"/>
  <c r="P30" i="19" s="1"/>
  <c r="N29" i="19"/>
  <c r="P29" i="19" s="1"/>
  <c r="M29" i="19"/>
  <c r="M28" i="19"/>
  <c r="N28" i="19" s="1"/>
  <c r="P28" i="19" s="1"/>
  <c r="N27" i="19"/>
  <c r="P27" i="19" s="1"/>
  <c r="M27" i="19"/>
  <c r="M26" i="19"/>
  <c r="N26" i="19" s="1"/>
  <c r="P26" i="19" s="1"/>
  <c r="M25" i="19"/>
  <c r="N25" i="19" s="1"/>
  <c r="P25" i="19" s="1"/>
  <c r="M24" i="19"/>
  <c r="N24" i="19" s="1"/>
  <c r="P24" i="19" s="1"/>
  <c r="M23" i="19"/>
  <c r="N23" i="19" s="1"/>
  <c r="P23" i="19" s="1"/>
  <c r="M22" i="19"/>
  <c r="N22" i="19" s="1"/>
  <c r="P22" i="19" s="1"/>
  <c r="M21" i="19"/>
  <c r="N21" i="19" s="1"/>
  <c r="P21" i="19" s="1"/>
  <c r="M20" i="19"/>
  <c r="N20" i="19" s="1"/>
  <c r="P20" i="19" s="1"/>
  <c r="M19" i="19"/>
  <c r="N19" i="19" s="1"/>
  <c r="P19" i="19" s="1"/>
  <c r="M18" i="19"/>
  <c r="N18" i="19" s="1"/>
  <c r="P18" i="19" s="1"/>
  <c r="M17" i="19"/>
  <c r="N17" i="19" s="1"/>
  <c r="P17" i="19" s="1"/>
  <c r="M16" i="19"/>
  <c r="N16" i="19" s="1"/>
  <c r="P16" i="19" s="1"/>
  <c r="M15" i="19"/>
  <c r="N15" i="19" s="1"/>
  <c r="P15" i="19" s="1"/>
  <c r="M14" i="19"/>
  <c r="N14" i="19" s="1"/>
  <c r="P14" i="19" s="1"/>
  <c r="M13" i="19"/>
  <c r="N13" i="19" s="1"/>
  <c r="P13" i="19" s="1"/>
  <c r="M12" i="19"/>
  <c r="N12" i="19" s="1"/>
  <c r="P12" i="19" s="1"/>
  <c r="M11" i="19"/>
  <c r="N11" i="19" s="1"/>
  <c r="P11" i="19" s="1"/>
  <c r="M10" i="19"/>
  <c r="N10" i="19" s="1"/>
  <c r="P10" i="19" s="1"/>
  <c r="M9" i="19"/>
  <c r="N9" i="19" s="1"/>
  <c r="P9" i="19" s="1"/>
  <c r="M8" i="19"/>
  <c r="N8" i="19" s="1"/>
  <c r="P8" i="19" s="1"/>
  <c r="M7" i="19"/>
  <c r="N7" i="19" s="1"/>
  <c r="P7" i="19" s="1"/>
  <c r="M6" i="19"/>
  <c r="N6" i="19" s="1"/>
  <c r="P6" i="19" s="1"/>
  <c r="J1487" i="38"/>
  <c r="O1487" i="38" s="1"/>
  <c r="D1487" i="38"/>
  <c r="O1486" i="38"/>
  <c r="J1486" i="38"/>
  <c r="D1486" i="38"/>
  <c r="J1485" i="38"/>
  <c r="O1485" i="38" s="1"/>
  <c r="D1485" i="38"/>
  <c r="O1484" i="38"/>
  <c r="J1484" i="38"/>
  <c r="D1484" i="38"/>
  <c r="J1483" i="38"/>
  <c r="O1483" i="38" s="1"/>
  <c r="D1483" i="38"/>
  <c r="O1482" i="38"/>
  <c r="J1482" i="38"/>
  <c r="D1482" i="38"/>
  <c r="J1481" i="38"/>
  <c r="I1481" i="38"/>
  <c r="D1481" i="38"/>
  <c r="J1480" i="38"/>
  <c r="O1480" i="38" s="1"/>
  <c r="J1479" i="38"/>
  <c r="I1479" i="38"/>
  <c r="D1479" i="38"/>
  <c r="J1478" i="38"/>
  <c r="O1478" i="38" s="1"/>
  <c r="D1478" i="38"/>
  <c r="O1477" i="38"/>
  <c r="J1477" i="38"/>
  <c r="D1477" i="38"/>
  <c r="J1476" i="38"/>
  <c r="O1476" i="38" s="1"/>
  <c r="D1476" i="38"/>
  <c r="O1475" i="38"/>
  <c r="J1475" i="38"/>
  <c r="O1474" i="38"/>
  <c r="J1474" i="38"/>
  <c r="D1474" i="38"/>
  <c r="J1473" i="38"/>
  <c r="O1473" i="38" s="1"/>
  <c r="D1473" i="38"/>
  <c r="O1472" i="38"/>
  <c r="J1472" i="38"/>
  <c r="D1472" i="38"/>
  <c r="J1471" i="38"/>
  <c r="O1471" i="38" s="1"/>
  <c r="D1471" i="38"/>
  <c r="O1470" i="38"/>
  <c r="J1470" i="38"/>
  <c r="D1470" i="38"/>
  <c r="J1469" i="38"/>
  <c r="O1469" i="38" s="1"/>
  <c r="D1469" i="38"/>
  <c r="O1468" i="38"/>
  <c r="J1468" i="38"/>
  <c r="D1468" i="38"/>
  <c r="J1467" i="38"/>
  <c r="O1467" i="38" s="1"/>
  <c r="D1467" i="38"/>
  <c r="L1466" i="38"/>
  <c r="J1466" i="38"/>
  <c r="O1466" i="38" s="1"/>
  <c r="D1466" i="38"/>
  <c r="O1465" i="38"/>
  <c r="J1465" i="38"/>
  <c r="D1465" i="38"/>
  <c r="J1464" i="38"/>
  <c r="O1464" i="38" s="1"/>
  <c r="D1464" i="38"/>
  <c r="O1463" i="38"/>
  <c r="J1463" i="38"/>
  <c r="D1463" i="38"/>
  <c r="J1462" i="38"/>
  <c r="O1462" i="38" s="1"/>
  <c r="D1462" i="38"/>
  <c r="O1461" i="38"/>
  <c r="J1461" i="38"/>
  <c r="D1461" i="38"/>
  <c r="J1460" i="38"/>
  <c r="O1460" i="38" s="1"/>
  <c r="D1460" i="38"/>
  <c r="O1459" i="38"/>
  <c r="J1459" i="38"/>
  <c r="D1459" i="38"/>
  <c r="J1458" i="38"/>
  <c r="O1458" i="38" s="1"/>
  <c r="D1458" i="38"/>
  <c r="O1457" i="38"/>
  <c r="J1457" i="38"/>
  <c r="D1457" i="38"/>
  <c r="J1456" i="38"/>
  <c r="O1456" i="38" s="1"/>
  <c r="D1456" i="38"/>
  <c r="O1455" i="38"/>
  <c r="J1455" i="38"/>
  <c r="D1455" i="38"/>
  <c r="J1454" i="38"/>
  <c r="O1454" i="38" s="1"/>
  <c r="D1454" i="38"/>
  <c r="O1453" i="38"/>
  <c r="J1453" i="38"/>
  <c r="D1453" i="38"/>
  <c r="J1452" i="38"/>
  <c r="O1452" i="38" s="1"/>
  <c r="D1452" i="38"/>
  <c r="O1451" i="38"/>
  <c r="J1451" i="38"/>
  <c r="O1450" i="38"/>
  <c r="J1450" i="38"/>
  <c r="D1450" i="38"/>
  <c r="J1449" i="38"/>
  <c r="O1449" i="38" s="1"/>
  <c r="D1449" i="38"/>
  <c r="O1448" i="38"/>
  <c r="J1448" i="38"/>
  <c r="D1448" i="38"/>
  <c r="J1447" i="38"/>
  <c r="O1447" i="38" s="1"/>
  <c r="D1447" i="38"/>
  <c r="O1446" i="38"/>
  <c r="J1446" i="38"/>
  <c r="D1446" i="38"/>
  <c r="J1445" i="38"/>
  <c r="O1445" i="38" s="1"/>
  <c r="J1444" i="38"/>
  <c r="O1444" i="38" s="1"/>
  <c r="D1444" i="38"/>
  <c r="O1443" i="38"/>
  <c r="J1443" i="38"/>
  <c r="D1443" i="38"/>
  <c r="J1442" i="38"/>
  <c r="O1442" i="38" s="1"/>
  <c r="D1442" i="38"/>
  <c r="O1441" i="38"/>
  <c r="J1441" i="38"/>
  <c r="D1441" i="38"/>
  <c r="J1440" i="38"/>
  <c r="O1440" i="38" s="1"/>
  <c r="D1440" i="38"/>
  <c r="O1439" i="38"/>
  <c r="J1439" i="38"/>
  <c r="O1438" i="38"/>
  <c r="J1438" i="38"/>
  <c r="D1438" i="38"/>
  <c r="J1437" i="38"/>
  <c r="O1437" i="38" s="1"/>
  <c r="D1437" i="38"/>
  <c r="O1436" i="38"/>
  <c r="J1436" i="38"/>
  <c r="D1436" i="38"/>
  <c r="J1435" i="38"/>
  <c r="O1435" i="38" s="1"/>
  <c r="D1435" i="38"/>
  <c r="O1434" i="38"/>
  <c r="J1434" i="38"/>
  <c r="D1434" i="38"/>
  <c r="J1433" i="38"/>
  <c r="O1433" i="38" s="1"/>
  <c r="D1433" i="38"/>
  <c r="O1432" i="38"/>
  <c r="J1432" i="38"/>
  <c r="D1432" i="38"/>
  <c r="J1431" i="38"/>
  <c r="O1431" i="38" s="1"/>
  <c r="D1431" i="38"/>
  <c r="O1430" i="38"/>
  <c r="J1430" i="38"/>
  <c r="D1430" i="38"/>
  <c r="J1429" i="38"/>
  <c r="O1429" i="38" s="1"/>
  <c r="J1428" i="38"/>
  <c r="O1428" i="38" s="1"/>
  <c r="J1427" i="38"/>
  <c r="O1427" i="38" s="1"/>
  <c r="D1427" i="38"/>
  <c r="O1426" i="38"/>
  <c r="J1426" i="38"/>
  <c r="D1426" i="38"/>
  <c r="J1425" i="38"/>
  <c r="O1425" i="38" s="1"/>
  <c r="D1425" i="38"/>
  <c r="O1424" i="38"/>
  <c r="J1424" i="38"/>
  <c r="D1424" i="38"/>
  <c r="J1423" i="38"/>
  <c r="O1423" i="38" s="1"/>
  <c r="D1423" i="38"/>
  <c r="O1422" i="38"/>
  <c r="J1422" i="38"/>
  <c r="D1422" i="38"/>
  <c r="J1421" i="38"/>
  <c r="O1421" i="38" s="1"/>
  <c r="J1420" i="38"/>
  <c r="O1420" i="38" s="1"/>
  <c r="D1420" i="38"/>
  <c r="O1419" i="38"/>
  <c r="J1419" i="38"/>
  <c r="D1419" i="38"/>
  <c r="J1418" i="38"/>
  <c r="O1418" i="38" s="1"/>
  <c r="D1418" i="38"/>
  <c r="O1417" i="38"/>
  <c r="J1417" i="38"/>
  <c r="D1417" i="38"/>
  <c r="J1416" i="38"/>
  <c r="O1416" i="38" s="1"/>
  <c r="D1416" i="38"/>
  <c r="O1415" i="38"/>
  <c r="J1415" i="38"/>
  <c r="D1415" i="38"/>
  <c r="J1414" i="38"/>
  <c r="I1414" i="38"/>
  <c r="O1414" i="38" s="1"/>
  <c r="D1414" i="38"/>
  <c r="J1413" i="38"/>
  <c r="O1413" i="38" s="1"/>
  <c r="D1413" i="38"/>
  <c r="O1412" i="38"/>
  <c r="J1412" i="38"/>
  <c r="D1412" i="38"/>
  <c r="J1411" i="38"/>
  <c r="O1411" i="38" s="1"/>
  <c r="D1411" i="38"/>
  <c r="O1410" i="38"/>
  <c r="J1410" i="38"/>
  <c r="D1410" i="38"/>
  <c r="M1409" i="38"/>
  <c r="J1409" i="38" s="1"/>
  <c r="O1409" i="38" s="1"/>
  <c r="D1409" i="38"/>
  <c r="J1408" i="38"/>
  <c r="O1408" i="38" s="1"/>
  <c r="D1408" i="38"/>
  <c r="M1407" i="38"/>
  <c r="J1407" i="38"/>
  <c r="O1407" i="38" s="1"/>
  <c r="D1407" i="38"/>
  <c r="O1406" i="38"/>
  <c r="J1406" i="38"/>
  <c r="D1406" i="38"/>
  <c r="J1405" i="38"/>
  <c r="O1405" i="38" s="1"/>
  <c r="D1405" i="38"/>
  <c r="O1404" i="38"/>
  <c r="J1404" i="38"/>
  <c r="D1404" i="38"/>
  <c r="M1403" i="38"/>
  <c r="L1403" i="38"/>
  <c r="J1403" i="38"/>
  <c r="O1403" i="38" s="1"/>
  <c r="J1402" i="38"/>
  <c r="O1402" i="38" s="1"/>
  <c r="D1402" i="38"/>
  <c r="O1401" i="38"/>
  <c r="J1401" i="38"/>
  <c r="D1401" i="38"/>
  <c r="J1400" i="38"/>
  <c r="O1400" i="38" s="1"/>
  <c r="D1400" i="38"/>
  <c r="O1399" i="38"/>
  <c r="J1399" i="38"/>
  <c r="D1399" i="38"/>
  <c r="J1398" i="38"/>
  <c r="O1398" i="38" s="1"/>
  <c r="D1398" i="38"/>
  <c r="O1397" i="38"/>
  <c r="J1397" i="38"/>
  <c r="D1397" i="38"/>
  <c r="J1396" i="38"/>
  <c r="O1396" i="38" s="1"/>
  <c r="J1395" i="38"/>
  <c r="O1395" i="38" s="1"/>
  <c r="D1395" i="38"/>
  <c r="O1394" i="38"/>
  <c r="J1394" i="38"/>
  <c r="D1394" i="38"/>
  <c r="J1393" i="38"/>
  <c r="O1393" i="38" s="1"/>
  <c r="D1393" i="38"/>
  <c r="O1392" i="38"/>
  <c r="J1392" i="38"/>
  <c r="D1392" i="38"/>
  <c r="J1391" i="38"/>
  <c r="O1391" i="38" s="1"/>
  <c r="D1391" i="38"/>
  <c r="J1390" i="38"/>
  <c r="I1390" i="38"/>
  <c r="O1390" i="38" s="1"/>
  <c r="D1390" i="38"/>
  <c r="O1389" i="38"/>
  <c r="J1389" i="38"/>
  <c r="D1389" i="38"/>
  <c r="J1388" i="38"/>
  <c r="O1388" i="38" s="1"/>
  <c r="J1387" i="38"/>
  <c r="O1387" i="38" s="1"/>
  <c r="D1387" i="38"/>
  <c r="O1386" i="38"/>
  <c r="J1386" i="38"/>
  <c r="D1386" i="38"/>
  <c r="M1385" i="38"/>
  <c r="L1385" i="38"/>
  <c r="J1385" i="38"/>
  <c r="O1385" i="38" s="1"/>
  <c r="D1385" i="38"/>
  <c r="M1384" i="38"/>
  <c r="L1384" i="38"/>
  <c r="J1384" i="38" s="1"/>
  <c r="O1384" i="38" s="1"/>
  <c r="M1383" i="38"/>
  <c r="L1383" i="38"/>
  <c r="J1383" i="38" s="1"/>
  <c r="O1383" i="38" s="1"/>
  <c r="M1382" i="38"/>
  <c r="L1382" i="38"/>
  <c r="J1382" i="38" s="1"/>
  <c r="O1382" i="38" s="1"/>
  <c r="D1382" i="38"/>
  <c r="M1381" i="38"/>
  <c r="L1381" i="38"/>
  <c r="J1381" i="38"/>
  <c r="O1381" i="38" s="1"/>
  <c r="D1381" i="38"/>
  <c r="M1380" i="38"/>
  <c r="L1380" i="38"/>
  <c r="J1380" i="38" s="1"/>
  <c r="O1380" i="38" s="1"/>
  <c r="D1380" i="38"/>
  <c r="M1379" i="38"/>
  <c r="L1379" i="38"/>
  <c r="J1379" i="38"/>
  <c r="O1379" i="38" s="1"/>
  <c r="D1379" i="38"/>
  <c r="M1378" i="38"/>
  <c r="L1378" i="38"/>
  <c r="J1378" i="38" s="1"/>
  <c r="O1378" i="38" s="1"/>
  <c r="D1378" i="38"/>
  <c r="M1377" i="38"/>
  <c r="L1377" i="38"/>
  <c r="J1377" i="38"/>
  <c r="O1377" i="38" s="1"/>
  <c r="D1377" i="38"/>
  <c r="M1376" i="38"/>
  <c r="L1376" i="38"/>
  <c r="J1376" i="38" s="1"/>
  <c r="O1376" i="38" s="1"/>
  <c r="O1375" i="38"/>
  <c r="J1375" i="38"/>
  <c r="D1375" i="38"/>
  <c r="J1374" i="38"/>
  <c r="O1374" i="38" s="1"/>
  <c r="D1374" i="38"/>
  <c r="J1373" i="38"/>
  <c r="J1372" i="38"/>
  <c r="D1372" i="38"/>
  <c r="J1371" i="38"/>
  <c r="D1371" i="38"/>
  <c r="J1370" i="38"/>
  <c r="O1370" i="38" s="1"/>
  <c r="D1370" i="38"/>
  <c r="O1369" i="38"/>
  <c r="J1369" i="38"/>
  <c r="D1369" i="38"/>
  <c r="J1368" i="38"/>
  <c r="O1368" i="38" s="1"/>
  <c r="D1368" i="38"/>
  <c r="O1367" i="38"/>
  <c r="J1367" i="38"/>
  <c r="D1367" i="38"/>
  <c r="J1366" i="38"/>
  <c r="O1366" i="38" s="1"/>
  <c r="D1366" i="38"/>
  <c r="O1365" i="38"/>
  <c r="J1365" i="38"/>
  <c r="O1364" i="38"/>
  <c r="J1364" i="38"/>
  <c r="D1364" i="38"/>
  <c r="J1363" i="38"/>
  <c r="O1363" i="38" s="1"/>
  <c r="D1363" i="38"/>
  <c r="O1362" i="38"/>
  <c r="J1362" i="38"/>
  <c r="D1362" i="38"/>
  <c r="J1361" i="38"/>
  <c r="O1361" i="38" s="1"/>
  <c r="D1361" i="38"/>
  <c r="O1360" i="38"/>
  <c r="J1360" i="38"/>
  <c r="D1360" i="38"/>
  <c r="J1359" i="38"/>
  <c r="O1359" i="38" s="1"/>
  <c r="D1359" i="38"/>
  <c r="O1358" i="38"/>
  <c r="J1358" i="38"/>
  <c r="D1358" i="38"/>
  <c r="J1357" i="38"/>
  <c r="O1357" i="38" s="1"/>
  <c r="D1357" i="38"/>
  <c r="O1356" i="38"/>
  <c r="J1356" i="38"/>
  <c r="D1356" i="38"/>
  <c r="J1355" i="38"/>
  <c r="O1355" i="38" s="1"/>
  <c r="J1354" i="38"/>
  <c r="O1354" i="38" s="1"/>
  <c r="D1354" i="38"/>
  <c r="O1353" i="38"/>
  <c r="J1353" i="38"/>
  <c r="D1353" i="38"/>
  <c r="J1352" i="38"/>
  <c r="O1352" i="38" s="1"/>
  <c r="D1352" i="38"/>
  <c r="O1351" i="38"/>
  <c r="J1351" i="38"/>
  <c r="D1351" i="38"/>
  <c r="J1350" i="38"/>
  <c r="O1350" i="38" s="1"/>
  <c r="D1350" i="38"/>
  <c r="O1349" i="38"/>
  <c r="J1349" i="38"/>
  <c r="D1349" i="38"/>
  <c r="J1348" i="38"/>
  <c r="O1348" i="38" s="1"/>
  <c r="D1348" i="38"/>
  <c r="O1347" i="38"/>
  <c r="J1347" i="38"/>
  <c r="D1347" i="38"/>
  <c r="J1346" i="38"/>
  <c r="O1346" i="38" s="1"/>
  <c r="D1346" i="38"/>
  <c r="O1345" i="38"/>
  <c r="J1345" i="38"/>
  <c r="D1345" i="38"/>
  <c r="J1344" i="38"/>
  <c r="O1344" i="38" s="1"/>
  <c r="D1344" i="38"/>
  <c r="O1343" i="38"/>
  <c r="J1343" i="38"/>
  <c r="D1343" i="38"/>
  <c r="J1342" i="38"/>
  <c r="O1342" i="38" s="1"/>
  <c r="D1342" i="38"/>
  <c r="O1341" i="38"/>
  <c r="J1341" i="38"/>
  <c r="D1341" i="38"/>
  <c r="J1340" i="38"/>
  <c r="O1340" i="38" s="1"/>
  <c r="D1340" i="38"/>
  <c r="O1339" i="38"/>
  <c r="J1339" i="38"/>
  <c r="D1339" i="38"/>
  <c r="J1338" i="38"/>
  <c r="O1338" i="38" s="1"/>
  <c r="D1338" i="38"/>
  <c r="O1337" i="38"/>
  <c r="J1337" i="38"/>
  <c r="O1336" i="38"/>
  <c r="J1336" i="38"/>
  <c r="O1335" i="38"/>
  <c r="J1335" i="38"/>
  <c r="D1335" i="38"/>
  <c r="J1334" i="38"/>
  <c r="O1334" i="38" s="1"/>
  <c r="D1334" i="38"/>
  <c r="O1333" i="38"/>
  <c r="J1333" i="38"/>
  <c r="D1333" i="38"/>
  <c r="J1332" i="38"/>
  <c r="O1332" i="38" s="1"/>
  <c r="D1332" i="38"/>
  <c r="J1331" i="38"/>
  <c r="O1331" i="38" s="1"/>
  <c r="D1331" i="38"/>
  <c r="O1330" i="38"/>
  <c r="J1330" i="38"/>
  <c r="D1330" i="38"/>
  <c r="J1329" i="38"/>
  <c r="O1329" i="38" s="1"/>
  <c r="D1329" i="38"/>
  <c r="O1328" i="38"/>
  <c r="J1328" i="38"/>
  <c r="D1328" i="38"/>
  <c r="J1327" i="38"/>
  <c r="O1327" i="38" s="1"/>
  <c r="D1327" i="38"/>
  <c r="O1326" i="38"/>
  <c r="J1326" i="38"/>
  <c r="D1326" i="38"/>
  <c r="J1325" i="38"/>
  <c r="O1325" i="38" s="1"/>
  <c r="D1325" i="38"/>
  <c r="O1324" i="38"/>
  <c r="J1324" i="38"/>
  <c r="D1324" i="38"/>
  <c r="J1323" i="38"/>
  <c r="O1323" i="38" s="1"/>
  <c r="D1323" i="38"/>
  <c r="O1322" i="38"/>
  <c r="J1322" i="38"/>
  <c r="D1322" i="38"/>
  <c r="J1321" i="38"/>
  <c r="O1321" i="38" s="1"/>
  <c r="D1321" i="38"/>
  <c r="O1320" i="38"/>
  <c r="J1320" i="38"/>
  <c r="D1320" i="38"/>
  <c r="J1319" i="38"/>
  <c r="O1319" i="38" s="1"/>
  <c r="D1319" i="38"/>
  <c r="O1318" i="38"/>
  <c r="J1318" i="38"/>
  <c r="D1318" i="38"/>
  <c r="J1317" i="38"/>
  <c r="O1317" i="38" s="1"/>
  <c r="D1317" i="38"/>
  <c r="O1316" i="38"/>
  <c r="J1316" i="38"/>
  <c r="D1316" i="38"/>
  <c r="J1315" i="38"/>
  <c r="O1315" i="38" s="1"/>
  <c r="D1315" i="38"/>
  <c r="O1314" i="38"/>
  <c r="J1314" i="38"/>
  <c r="D1314" i="38"/>
  <c r="J1313" i="38"/>
  <c r="O1313" i="38" s="1"/>
  <c r="D1313" i="38"/>
  <c r="O1312" i="38"/>
  <c r="J1312" i="38"/>
  <c r="D1312" i="38"/>
  <c r="J1311" i="38"/>
  <c r="O1311" i="38" s="1"/>
  <c r="D1311" i="38"/>
  <c r="O1310" i="38"/>
  <c r="J1310" i="38"/>
  <c r="O1309" i="38"/>
  <c r="J1309" i="38"/>
  <c r="D1309" i="38"/>
  <c r="J1308" i="38"/>
  <c r="O1308" i="38" s="1"/>
  <c r="D1308" i="38"/>
  <c r="O1307" i="38"/>
  <c r="J1307" i="38"/>
  <c r="D1307" i="38"/>
  <c r="J1306" i="38"/>
  <c r="O1306" i="38" s="1"/>
  <c r="D1306" i="38"/>
  <c r="O1305" i="38"/>
  <c r="J1305" i="38"/>
  <c r="D1305" i="38"/>
  <c r="J1304" i="38"/>
  <c r="O1304" i="38" s="1"/>
  <c r="D1304" i="38"/>
  <c r="O1303" i="38"/>
  <c r="J1303" i="38"/>
  <c r="D1303" i="38"/>
  <c r="J1302" i="38"/>
  <c r="O1302" i="38" s="1"/>
  <c r="D1302" i="38"/>
  <c r="O1301" i="38"/>
  <c r="J1301" i="38"/>
  <c r="D1301" i="38"/>
  <c r="J1300" i="38"/>
  <c r="O1300" i="38" s="1"/>
  <c r="J1299" i="38"/>
  <c r="O1299" i="38" s="1"/>
  <c r="D1299" i="38"/>
  <c r="O1298" i="38"/>
  <c r="J1298" i="38"/>
  <c r="D1298" i="38"/>
  <c r="J1297" i="38"/>
  <c r="O1297" i="38" s="1"/>
  <c r="D1297" i="38"/>
  <c r="O1296" i="38"/>
  <c r="J1296" i="38"/>
  <c r="D1296" i="38"/>
  <c r="J1295" i="38"/>
  <c r="O1295" i="38" s="1"/>
  <c r="D1295" i="38"/>
  <c r="O1294" i="38"/>
  <c r="J1294" i="38"/>
  <c r="D1294" i="38"/>
  <c r="J1293" i="38"/>
  <c r="O1293" i="38" s="1"/>
  <c r="D1293" i="38"/>
  <c r="O1292" i="38"/>
  <c r="J1292" i="38"/>
  <c r="D1292" i="38"/>
  <c r="J1291" i="38"/>
  <c r="O1291" i="38" s="1"/>
  <c r="D1291" i="38"/>
  <c r="O1290" i="38"/>
  <c r="J1290" i="38"/>
  <c r="D1290" i="38"/>
  <c r="J1289" i="38"/>
  <c r="O1289" i="38" s="1"/>
  <c r="D1289" i="38"/>
  <c r="O1288" i="38"/>
  <c r="J1288" i="38"/>
  <c r="D1288" i="38"/>
  <c r="J1287" i="38"/>
  <c r="O1287" i="38" s="1"/>
  <c r="D1287" i="38"/>
  <c r="O1286" i="38"/>
  <c r="J1286" i="38"/>
  <c r="D1286" i="38"/>
  <c r="J1285" i="38"/>
  <c r="O1285" i="38" s="1"/>
  <c r="D1285" i="38"/>
  <c r="O1284" i="38"/>
  <c r="J1284" i="38"/>
  <c r="D1284" i="38"/>
  <c r="J1283" i="38"/>
  <c r="O1283" i="38" s="1"/>
  <c r="D1283" i="38"/>
  <c r="O1282" i="38"/>
  <c r="J1282" i="38"/>
  <c r="D1282" i="38"/>
  <c r="J1281" i="38"/>
  <c r="O1281" i="38" s="1"/>
  <c r="D1281" i="38"/>
  <c r="O1280" i="38"/>
  <c r="J1280" i="38"/>
  <c r="D1280" i="38"/>
  <c r="J1279" i="38"/>
  <c r="O1279" i="38" s="1"/>
  <c r="D1279" i="38"/>
  <c r="O1278" i="38"/>
  <c r="J1278" i="38"/>
  <c r="D1278" i="38"/>
  <c r="J1277" i="38"/>
  <c r="O1277" i="38" s="1"/>
  <c r="D1277" i="38"/>
  <c r="O1276" i="38"/>
  <c r="J1276" i="38"/>
  <c r="D1276" i="38"/>
  <c r="J1275" i="38"/>
  <c r="O1275" i="38" s="1"/>
  <c r="D1275" i="38"/>
  <c r="O1274" i="38"/>
  <c r="J1274" i="38"/>
  <c r="D1274" i="38"/>
  <c r="J1273" i="38"/>
  <c r="O1273" i="38" s="1"/>
  <c r="D1273" i="38"/>
  <c r="O1272" i="38"/>
  <c r="J1272" i="38"/>
  <c r="D1272" i="38"/>
  <c r="J1271" i="38"/>
  <c r="O1271" i="38" s="1"/>
  <c r="D1271" i="38"/>
  <c r="O1270" i="38"/>
  <c r="J1270" i="38"/>
  <c r="D1270" i="38"/>
  <c r="J1269" i="38"/>
  <c r="O1269" i="38" s="1"/>
  <c r="D1269" i="38"/>
  <c r="O1268" i="38"/>
  <c r="J1268" i="38"/>
  <c r="D1268" i="38"/>
  <c r="J1267" i="38"/>
  <c r="O1267" i="38" s="1"/>
  <c r="D1267" i="38"/>
  <c r="O1266" i="38"/>
  <c r="J1266" i="38"/>
  <c r="D1266" i="38"/>
  <c r="J1265" i="38"/>
  <c r="O1264" i="38"/>
  <c r="J1264" i="38"/>
  <c r="O1263" i="38"/>
  <c r="J1263" i="38"/>
  <c r="O1262" i="38"/>
  <c r="J1262" i="38"/>
  <c r="O1261" i="38"/>
  <c r="J1261" i="38"/>
  <c r="O1260" i="38"/>
  <c r="J1260" i="38"/>
  <c r="O1259" i="38"/>
  <c r="J1259" i="38"/>
  <c r="O1258" i="38"/>
  <c r="J1258" i="38"/>
  <c r="O1257" i="38"/>
  <c r="J1257" i="38"/>
  <c r="O1256" i="38"/>
  <c r="J1256" i="38"/>
  <c r="O1255" i="38"/>
  <c r="J1255" i="38"/>
  <c r="O1254" i="38"/>
  <c r="J1254" i="38"/>
  <c r="O1253" i="38"/>
  <c r="J1253" i="38"/>
  <c r="O1252" i="38"/>
  <c r="J1252" i="38"/>
  <c r="O1251" i="38"/>
  <c r="J1251" i="38"/>
  <c r="O1250" i="38"/>
  <c r="J1250" i="38"/>
  <c r="O1249" i="38"/>
  <c r="J1249" i="38"/>
  <c r="O1248" i="38"/>
  <c r="J1248" i="38"/>
  <c r="O1247" i="38"/>
  <c r="J1247" i="38"/>
  <c r="O1246" i="38"/>
  <c r="J1246" i="38"/>
  <c r="O1245" i="38"/>
  <c r="J1245" i="38"/>
  <c r="O1244" i="38"/>
  <c r="J1244" i="38"/>
  <c r="O1243" i="38"/>
  <c r="J1243" i="38"/>
  <c r="O1242" i="38"/>
  <c r="J1242" i="38"/>
  <c r="O1241" i="38"/>
  <c r="J1241" i="38"/>
  <c r="O1240" i="38"/>
  <c r="J1240" i="38"/>
  <c r="O1239" i="38"/>
  <c r="J1239" i="38"/>
  <c r="O1238" i="38"/>
  <c r="J1238" i="38"/>
  <c r="O1237" i="38"/>
  <c r="J1237" i="38"/>
  <c r="O1236" i="38"/>
  <c r="J1236" i="38"/>
  <c r="O1235" i="38"/>
  <c r="J1235" i="38"/>
  <c r="O1234" i="38"/>
  <c r="J1234" i="38"/>
  <c r="O1233" i="38"/>
  <c r="J1233" i="38"/>
  <c r="O1232" i="38"/>
  <c r="J1232" i="38"/>
  <c r="O1231" i="38"/>
  <c r="J1231" i="38"/>
  <c r="O1230" i="38"/>
  <c r="J1230" i="38"/>
  <c r="O1229" i="38"/>
  <c r="J1229" i="38"/>
  <c r="O1228" i="38"/>
  <c r="J1228" i="38"/>
  <c r="O1227" i="38"/>
  <c r="J1227" i="38"/>
  <c r="O1226" i="38"/>
  <c r="J1226" i="38"/>
  <c r="O1225" i="38"/>
  <c r="J1225" i="38"/>
  <c r="O1224" i="38"/>
  <c r="J1224" i="38"/>
  <c r="O1223" i="38"/>
  <c r="J1223" i="38"/>
  <c r="O1222" i="38"/>
  <c r="J1222" i="38"/>
  <c r="O1221" i="38"/>
  <c r="J1221" i="38"/>
  <c r="O1220" i="38"/>
  <c r="J1220" i="38"/>
  <c r="O1219" i="38"/>
  <c r="J1219" i="38"/>
  <c r="O1218" i="38"/>
  <c r="J1218" i="38"/>
  <c r="O1217" i="38"/>
  <c r="J1217" i="38"/>
  <c r="O1216" i="38"/>
  <c r="J1216" i="38"/>
  <c r="O1215" i="38"/>
  <c r="J1215" i="38"/>
  <c r="O1214" i="38"/>
  <c r="J1214" i="38"/>
  <c r="O1213" i="38"/>
  <c r="J1213" i="38"/>
  <c r="O1212" i="38"/>
  <c r="J1212" i="38"/>
  <c r="O1211" i="38"/>
  <c r="J1211" i="38"/>
  <c r="O1210" i="38"/>
  <c r="J1210" i="38"/>
  <c r="O1209" i="38"/>
  <c r="J1209" i="38"/>
  <c r="O1208" i="38"/>
  <c r="J1208" i="38"/>
  <c r="O1207" i="38"/>
  <c r="J1207" i="38"/>
  <c r="O1206" i="38"/>
  <c r="J1206" i="38"/>
  <c r="O1205" i="38"/>
  <c r="J1205" i="38"/>
  <c r="O1204" i="38"/>
  <c r="J1204" i="38"/>
  <c r="O1203" i="38"/>
  <c r="J1203" i="38"/>
  <c r="O1202" i="38"/>
  <c r="J1202" i="38"/>
  <c r="O1201" i="38"/>
  <c r="J1201" i="38"/>
  <c r="O1200" i="38"/>
  <c r="J1200" i="38"/>
  <c r="O1199" i="38"/>
  <c r="J1199" i="38"/>
  <c r="O1198" i="38"/>
  <c r="J1198" i="38"/>
  <c r="O1197" i="38"/>
  <c r="J1197" i="38"/>
  <c r="O1196" i="38"/>
  <c r="J1196" i="38"/>
  <c r="O1195" i="38"/>
  <c r="J1195" i="38"/>
  <c r="O1194" i="38"/>
  <c r="J1194" i="38"/>
  <c r="O1193" i="38"/>
  <c r="J1193" i="38"/>
  <c r="O1192" i="38"/>
  <c r="J1192" i="38"/>
  <c r="O1191" i="38"/>
  <c r="J1191" i="38"/>
  <c r="O1190" i="38"/>
  <c r="J1190" i="38"/>
  <c r="O1189" i="38"/>
  <c r="J1189" i="38"/>
  <c r="O1188" i="38"/>
  <c r="J1188" i="38"/>
  <c r="O1187" i="38"/>
  <c r="J1187" i="38"/>
  <c r="O1186" i="38"/>
  <c r="J1186" i="38"/>
  <c r="O1185" i="38"/>
  <c r="J1185" i="38"/>
  <c r="O1184" i="38"/>
  <c r="J1184" i="38"/>
  <c r="O1183" i="38"/>
  <c r="J1183" i="38"/>
  <c r="O1182" i="38"/>
  <c r="J1182" i="38"/>
  <c r="O1181" i="38"/>
  <c r="J1181" i="38"/>
  <c r="O1180" i="38"/>
  <c r="J1180" i="38"/>
  <c r="O1179" i="38"/>
  <c r="J1179" i="38"/>
  <c r="O1178" i="38"/>
  <c r="J1178" i="38"/>
  <c r="O1177" i="38"/>
  <c r="J1177" i="38"/>
  <c r="O1176" i="38"/>
  <c r="J1176" i="38"/>
  <c r="O1175" i="38"/>
  <c r="J1175" i="38"/>
  <c r="O1174" i="38"/>
  <c r="J1174" i="38"/>
  <c r="O1173" i="38"/>
  <c r="J1173" i="38"/>
  <c r="O1172" i="38"/>
  <c r="J1172" i="38"/>
  <c r="O1171" i="38"/>
  <c r="J1171" i="38"/>
  <c r="O1170" i="38"/>
  <c r="J1170" i="38"/>
  <c r="O1169" i="38"/>
  <c r="J1169" i="38"/>
  <c r="O1168" i="38"/>
  <c r="J1168" i="38"/>
  <c r="O1167" i="38"/>
  <c r="J1167" i="38"/>
  <c r="O1166" i="38"/>
  <c r="J1166" i="38"/>
  <c r="O1165" i="38"/>
  <c r="J1165" i="38"/>
  <c r="O1164" i="38"/>
  <c r="J1164" i="38"/>
  <c r="O1163" i="38"/>
  <c r="J1163" i="38"/>
  <c r="O1162" i="38"/>
  <c r="J1162" i="38"/>
  <c r="O1161" i="38"/>
  <c r="J1161" i="38"/>
  <c r="O1160" i="38"/>
  <c r="J1160" i="38"/>
  <c r="O1159" i="38"/>
  <c r="J1159" i="38"/>
  <c r="O1158" i="38"/>
  <c r="J1158" i="38"/>
  <c r="O1157" i="38"/>
  <c r="J1157" i="38"/>
  <c r="O1156" i="38"/>
  <c r="J1156" i="38"/>
  <c r="O1155" i="38"/>
  <c r="J1155" i="38"/>
  <c r="O1154" i="38"/>
  <c r="J1154" i="38"/>
  <c r="O1153" i="38"/>
  <c r="J1153" i="38"/>
  <c r="O1152" i="38"/>
  <c r="J1152" i="38"/>
  <c r="O1151" i="38"/>
  <c r="J1151" i="38"/>
  <c r="O1150" i="38"/>
  <c r="J1150" i="38"/>
  <c r="O1149" i="38"/>
  <c r="J1149" i="38"/>
  <c r="O1148" i="38"/>
  <c r="J1148" i="38"/>
  <c r="O1147" i="38"/>
  <c r="J1147" i="38"/>
  <c r="O1146" i="38"/>
  <c r="J1146" i="38"/>
  <c r="O1145" i="38"/>
  <c r="J1145" i="38"/>
  <c r="O1144" i="38"/>
  <c r="J1144" i="38"/>
  <c r="O1143" i="38"/>
  <c r="J1143" i="38"/>
  <c r="O1142" i="38"/>
  <c r="J1142" i="38"/>
  <c r="O1141" i="38"/>
  <c r="J1141" i="38"/>
  <c r="O1140" i="38"/>
  <c r="J1140" i="38"/>
  <c r="O1139" i="38"/>
  <c r="J1139" i="38"/>
  <c r="M36" i="20"/>
  <c r="N36" i="20" s="1"/>
  <c r="P36" i="20" s="1"/>
  <c r="N35" i="20"/>
  <c r="P35" i="20" s="1"/>
  <c r="M35" i="20"/>
  <c r="M34" i="20"/>
  <c r="N34" i="20" s="1"/>
  <c r="P34" i="20" s="1"/>
  <c r="N33" i="20"/>
  <c r="P33" i="20" s="1"/>
  <c r="M32" i="20"/>
  <c r="N32" i="20" s="1"/>
  <c r="P32" i="20" s="1"/>
  <c r="N31" i="20"/>
  <c r="P31" i="20" s="1"/>
  <c r="M31" i="20"/>
  <c r="M30" i="20"/>
  <c r="N30" i="20" s="1"/>
  <c r="P30" i="20" s="1"/>
  <c r="N29" i="20"/>
  <c r="P29" i="20" s="1"/>
  <c r="M29" i="20"/>
  <c r="M28" i="20"/>
  <c r="N28" i="20" s="1"/>
  <c r="P28" i="20" s="1"/>
  <c r="N27" i="20"/>
  <c r="P27" i="20" s="1"/>
  <c r="M27" i="20"/>
  <c r="M26" i="20"/>
  <c r="N26" i="20" s="1"/>
  <c r="P26" i="20" s="1"/>
  <c r="M25" i="20"/>
  <c r="N25" i="20" s="1"/>
  <c r="P25" i="20" s="1"/>
  <c r="M24" i="20"/>
  <c r="N24" i="20" s="1"/>
  <c r="P24" i="20" s="1"/>
  <c r="M23" i="20"/>
  <c r="N23" i="20" s="1"/>
  <c r="P23" i="20" s="1"/>
  <c r="M22" i="20"/>
  <c r="N22" i="20" s="1"/>
  <c r="P22" i="20" s="1"/>
  <c r="N21" i="20"/>
  <c r="P21" i="20" s="1"/>
  <c r="M21" i="20"/>
  <c r="M20" i="20"/>
  <c r="N20" i="20" s="1"/>
  <c r="P20" i="20" s="1"/>
  <c r="M19" i="20"/>
  <c r="N19" i="20" s="1"/>
  <c r="P19" i="20" s="1"/>
  <c r="M18" i="20"/>
  <c r="N18" i="20" s="1"/>
  <c r="P18" i="20" s="1"/>
  <c r="M17" i="20"/>
  <c r="N17" i="20" s="1"/>
  <c r="P17" i="20" s="1"/>
  <c r="M16" i="20"/>
  <c r="N16" i="20" s="1"/>
  <c r="P16" i="20" s="1"/>
  <c r="M15" i="20"/>
  <c r="N15" i="20" s="1"/>
  <c r="P15" i="20" s="1"/>
  <c r="M14" i="20"/>
  <c r="N14" i="20" s="1"/>
  <c r="P14" i="20" s="1"/>
  <c r="M13" i="20"/>
  <c r="N13" i="20" s="1"/>
  <c r="P13" i="20" s="1"/>
  <c r="M12" i="20"/>
  <c r="N12" i="20" s="1"/>
  <c r="P12" i="20" s="1"/>
  <c r="M11" i="20"/>
  <c r="N11" i="20" s="1"/>
  <c r="P11" i="20" s="1"/>
  <c r="M10" i="20"/>
  <c r="N10" i="20" s="1"/>
  <c r="P10" i="20" s="1"/>
  <c r="M9" i="20"/>
  <c r="N9" i="20" s="1"/>
  <c r="P9" i="20" s="1"/>
  <c r="M8" i="20"/>
  <c r="N8" i="20" s="1"/>
  <c r="P8" i="20" s="1"/>
  <c r="M7" i="20"/>
  <c r="N7" i="20" s="1"/>
  <c r="P7" i="20" s="1"/>
  <c r="M6" i="20"/>
  <c r="N6" i="20" s="1"/>
  <c r="P6" i="20" s="1"/>
  <c r="P1987" i="17"/>
  <c r="N1987" i="17"/>
  <c r="M1987" i="17"/>
  <c r="L1987" i="17"/>
  <c r="N1986" i="17"/>
  <c r="M1986" i="17"/>
  <c r="P1986" i="17" s="1"/>
  <c r="L1986" i="17"/>
  <c r="N1985" i="17"/>
  <c r="M1985" i="17"/>
  <c r="P1985" i="17" s="1"/>
  <c r="N1984" i="17"/>
  <c r="M1984" i="17"/>
  <c r="L1984" i="17"/>
  <c r="N1983" i="17"/>
  <c r="M1983" i="17"/>
  <c r="L1983" i="17"/>
  <c r="N1982" i="17"/>
  <c r="M1982" i="17"/>
  <c r="L1982" i="17"/>
  <c r="N1981" i="17"/>
  <c r="M1981" i="17"/>
  <c r="L1981" i="17"/>
  <c r="N1980" i="17"/>
  <c r="M1980" i="17"/>
  <c r="L1980" i="17"/>
  <c r="N1979" i="17"/>
  <c r="M1979" i="17"/>
  <c r="L1979" i="17"/>
  <c r="N1978" i="17"/>
  <c r="M1978" i="17"/>
  <c r="L1978" i="17"/>
  <c r="N1977" i="17"/>
  <c r="M1977" i="17"/>
  <c r="L1977" i="17"/>
  <c r="N1976" i="17"/>
  <c r="M1976" i="17"/>
  <c r="L1976" i="17"/>
  <c r="N1975" i="17"/>
  <c r="P1975" i="17" s="1"/>
  <c r="M1975" i="17"/>
  <c r="N1974" i="17"/>
  <c r="M1974" i="17"/>
  <c r="P1974" i="17" s="1"/>
  <c r="L1974" i="17"/>
  <c r="N1973" i="17"/>
  <c r="M1973" i="17"/>
  <c r="P1973" i="17" s="1"/>
  <c r="L1973" i="17"/>
  <c r="N1972" i="17"/>
  <c r="M1972" i="17"/>
  <c r="P1972" i="17" s="1"/>
  <c r="L1972" i="17"/>
  <c r="N1970" i="17"/>
  <c r="M1970" i="17"/>
  <c r="P1970" i="17" s="1"/>
  <c r="L1970" i="17"/>
  <c r="N1969" i="17"/>
  <c r="M1969" i="17"/>
  <c r="P1969" i="17" s="1"/>
  <c r="N1968" i="17"/>
  <c r="M1968" i="17"/>
  <c r="L1968" i="17"/>
  <c r="N1967" i="17"/>
  <c r="M1967" i="17"/>
  <c r="L1967" i="17"/>
  <c r="N1966" i="17"/>
  <c r="M1966" i="17"/>
  <c r="L1966" i="17"/>
  <c r="N1965" i="17"/>
  <c r="M1965" i="17"/>
  <c r="L1965" i="17"/>
  <c r="N1964" i="17"/>
  <c r="M1964" i="17"/>
  <c r="L1964" i="17"/>
  <c r="N1963" i="17"/>
  <c r="M1963" i="17"/>
  <c r="L1963" i="17"/>
  <c r="N1962" i="17"/>
  <c r="M1962" i="17"/>
  <c r="L1962" i="17"/>
  <c r="N1961" i="17"/>
  <c r="M1961" i="17"/>
  <c r="L1961" i="17"/>
  <c r="N1960" i="17"/>
  <c r="M1960" i="17"/>
  <c r="L1960" i="17"/>
  <c r="N1959" i="17"/>
  <c r="M1959" i="17"/>
  <c r="L1959" i="17"/>
  <c r="N1958" i="17"/>
  <c r="M1958" i="17"/>
  <c r="L1958" i="17"/>
  <c r="N1957" i="17"/>
  <c r="M1957" i="17"/>
  <c r="L1957" i="17"/>
  <c r="N1956" i="17"/>
  <c r="M1956" i="17"/>
  <c r="L1956" i="17"/>
  <c r="N1955" i="17"/>
  <c r="M1955" i="17"/>
  <c r="L1955" i="17"/>
  <c r="N1954" i="17"/>
  <c r="P1954" i="17" s="1"/>
  <c r="M1954" i="17"/>
  <c r="N1953" i="17"/>
  <c r="M1953" i="17"/>
  <c r="P1953" i="17" s="1"/>
  <c r="N1952" i="17"/>
  <c r="M1952" i="17"/>
  <c r="L1952" i="17"/>
  <c r="N1951" i="17"/>
  <c r="M1951" i="17"/>
  <c r="L1951" i="17"/>
  <c r="N1950" i="17"/>
  <c r="M1950" i="17"/>
  <c r="L1950" i="17"/>
  <c r="N1949" i="17"/>
  <c r="M1949" i="17"/>
  <c r="L1949" i="17"/>
  <c r="N1948" i="17"/>
  <c r="M1948" i="17"/>
  <c r="L1948" i="17"/>
  <c r="N1947" i="17"/>
  <c r="M1947" i="17"/>
  <c r="L1947" i="17"/>
  <c r="N1946" i="17"/>
  <c r="M1946" i="17"/>
  <c r="L1946" i="17"/>
  <c r="N1945" i="17"/>
  <c r="M1945" i="17"/>
  <c r="L1945" i="17"/>
  <c r="N1944" i="17"/>
  <c r="M1944" i="17"/>
  <c r="L1944" i="17"/>
  <c r="N1943" i="17"/>
  <c r="M1943" i="17"/>
  <c r="L1943" i="17"/>
  <c r="N1942" i="17"/>
  <c r="P1942" i="17" s="1"/>
  <c r="M1942" i="17"/>
  <c r="N1941" i="17"/>
  <c r="M1941" i="17"/>
  <c r="P1941" i="17" s="1"/>
  <c r="N1940" i="17"/>
  <c r="P1940" i="17" s="1"/>
  <c r="M1940" i="17"/>
  <c r="N1939" i="17"/>
  <c r="M1939" i="17"/>
  <c r="P1939" i="17" s="1"/>
  <c r="N1938" i="17"/>
  <c r="P1938" i="17" s="1"/>
  <c r="M1938" i="17"/>
  <c r="N1937" i="17"/>
  <c r="M1937" i="17"/>
  <c r="P1937" i="17" s="1"/>
  <c r="N1936" i="17"/>
  <c r="P1936" i="17" s="1"/>
  <c r="M1936" i="17"/>
  <c r="N1935" i="17"/>
  <c r="M1935" i="17"/>
  <c r="P1935" i="17" s="1"/>
  <c r="N1934" i="17"/>
  <c r="M1934" i="17"/>
  <c r="L1934" i="17"/>
  <c r="N1933" i="17"/>
  <c r="M1933" i="17"/>
  <c r="L1933" i="17"/>
  <c r="N1932" i="17"/>
  <c r="M1932" i="17"/>
  <c r="L1932" i="17"/>
  <c r="N1931" i="17"/>
  <c r="M1931" i="17"/>
  <c r="L1931" i="17"/>
  <c r="N1930" i="17"/>
  <c r="M1930" i="17"/>
  <c r="L1930" i="17"/>
  <c r="N1929" i="17"/>
  <c r="M1929" i="17"/>
  <c r="L1929" i="17"/>
  <c r="N1928" i="17"/>
  <c r="M1928" i="17"/>
  <c r="L1928" i="17"/>
  <c r="N1927" i="17"/>
  <c r="M1927" i="17"/>
  <c r="L1927" i="17"/>
  <c r="N1926" i="17"/>
  <c r="M1926" i="17"/>
  <c r="L1926" i="17"/>
  <c r="N1925" i="17"/>
  <c r="M1925" i="17"/>
  <c r="L1925" i="17"/>
  <c r="N1924" i="17"/>
  <c r="M1924" i="17"/>
  <c r="L1924" i="17"/>
  <c r="N1923" i="17"/>
  <c r="M1923" i="17"/>
  <c r="L1923" i="17"/>
  <c r="N1922" i="17"/>
  <c r="M1922" i="17"/>
  <c r="L1922" i="17"/>
  <c r="N1920" i="17"/>
  <c r="M1920" i="17"/>
  <c r="L1920" i="17"/>
  <c r="N1919" i="17"/>
  <c r="M1919" i="17"/>
  <c r="L1919" i="17"/>
  <c r="N1918" i="17"/>
  <c r="M1918" i="17"/>
  <c r="L1918" i="17"/>
  <c r="N1917" i="17"/>
  <c r="P1917" i="17" s="1"/>
  <c r="M1917" i="17"/>
  <c r="N1916" i="17"/>
  <c r="M1916" i="17"/>
  <c r="P1916" i="17" s="1"/>
  <c r="N1915" i="17"/>
  <c r="P1915" i="17" s="1"/>
  <c r="M1915" i="17"/>
  <c r="N1914" i="17"/>
  <c r="M1914" i="17"/>
  <c r="P1914" i="17" s="1"/>
  <c r="N1913" i="17"/>
  <c r="P1913" i="17" s="1"/>
  <c r="M1913" i="17"/>
  <c r="N1912" i="17"/>
  <c r="M1912" i="17"/>
  <c r="P1912" i="17" s="1"/>
  <c r="N1911" i="17"/>
  <c r="P1911" i="17" s="1"/>
  <c r="M1911" i="17"/>
  <c r="N1910" i="17"/>
  <c r="M1910" i="17"/>
  <c r="P1910" i="17" s="1"/>
  <c r="N1909" i="17"/>
  <c r="P1909" i="17" s="1"/>
  <c r="M1909" i="17"/>
  <c r="N1908" i="17"/>
  <c r="M1908" i="17"/>
  <c r="P1908" i="17" s="1"/>
  <c r="N1907" i="17"/>
  <c r="P1907" i="17" s="1"/>
  <c r="M1907" i="17"/>
  <c r="N1906" i="17"/>
  <c r="M1906" i="17"/>
  <c r="P1906" i="17" s="1"/>
  <c r="N1905" i="17"/>
  <c r="P1905" i="17" s="1"/>
  <c r="M1905" i="17"/>
  <c r="N1904" i="17"/>
  <c r="M1904" i="17"/>
  <c r="P1904" i="17" s="1"/>
  <c r="N1903" i="17"/>
  <c r="P1903" i="17" s="1"/>
  <c r="M1903" i="17"/>
  <c r="N1902" i="17"/>
  <c r="M1902" i="17"/>
  <c r="P1902" i="17" s="1"/>
  <c r="N1901" i="17"/>
  <c r="P1901" i="17" s="1"/>
  <c r="M1901" i="17"/>
  <c r="N1900" i="17"/>
  <c r="M1900" i="17"/>
  <c r="P1900" i="17" s="1"/>
  <c r="N1899" i="17"/>
  <c r="M1899" i="17"/>
  <c r="L1899" i="17"/>
  <c r="N1898" i="17"/>
  <c r="P1898" i="17" s="1"/>
  <c r="M1898" i="17"/>
  <c r="N1897" i="17"/>
  <c r="M1897" i="17"/>
  <c r="P1897" i="17" s="1"/>
  <c r="N1896" i="17"/>
  <c r="P1896" i="17" s="1"/>
  <c r="M1896" i="17"/>
  <c r="N1895" i="17"/>
  <c r="M1895" i="17"/>
  <c r="P1895" i="17" s="1"/>
  <c r="N1894" i="17"/>
  <c r="P1894" i="17" s="1"/>
  <c r="M1894" i="17"/>
  <c r="N1893" i="17"/>
  <c r="M1893" i="17"/>
  <c r="P1893" i="17" s="1"/>
  <c r="N1892" i="17"/>
  <c r="P1892" i="17" s="1"/>
  <c r="M1892" i="17"/>
  <c r="N1891" i="17"/>
  <c r="M1891" i="17"/>
  <c r="P1891" i="17" s="1"/>
  <c r="L1891" i="17"/>
  <c r="N1890" i="17"/>
  <c r="M1890" i="17"/>
  <c r="P1890" i="17" s="1"/>
  <c r="L1890" i="17"/>
  <c r="N1889" i="17"/>
  <c r="M1889" i="17"/>
  <c r="P1889" i="17" s="1"/>
  <c r="L1889" i="17"/>
  <c r="N1888" i="17"/>
  <c r="M1888" i="17"/>
  <c r="P1888" i="17" s="1"/>
  <c r="L1888" i="17"/>
  <c r="N1887" i="17"/>
  <c r="M1887" i="17"/>
  <c r="P1887" i="17" s="1"/>
  <c r="L1887" i="17"/>
  <c r="N1886" i="17"/>
  <c r="M1886" i="17"/>
  <c r="P1886" i="17" s="1"/>
  <c r="L1886" i="17"/>
  <c r="N1885" i="17"/>
  <c r="M1885" i="17"/>
  <c r="P1885" i="17" s="1"/>
  <c r="L1885" i="17"/>
  <c r="N1884" i="17"/>
  <c r="M1884" i="17"/>
  <c r="P1884" i="17" s="1"/>
  <c r="L1884" i="17"/>
  <c r="N1883" i="17"/>
  <c r="M1883" i="17"/>
  <c r="P1883" i="17" s="1"/>
  <c r="L1883" i="17"/>
  <c r="N1882" i="17"/>
  <c r="M1882" i="17"/>
  <c r="P1882" i="17" s="1"/>
  <c r="L1882" i="17"/>
  <c r="N1881" i="17"/>
  <c r="M1881" i="17"/>
  <c r="P1881" i="17" s="1"/>
  <c r="N1880" i="17"/>
  <c r="P1880" i="17" s="1"/>
  <c r="M1880" i="17"/>
  <c r="N1879" i="17"/>
  <c r="M1879" i="17"/>
  <c r="P1879" i="17" s="1"/>
  <c r="N1878" i="17"/>
  <c r="P1878" i="17" s="1"/>
  <c r="M1878" i="17"/>
  <c r="N1877" i="17"/>
  <c r="M1877" i="17"/>
  <c r="P1877" i="17" s="1"/>
  <c r="N1876" i="17"/>
  <c r="M1876" i="17"/>
  <c r="L1876" i="17"/>
  <c r="N1875" i="17"/>
  <c r="P1875" i="17" s="1"/>
  <c r="M1875" i="17"/>
  <c r="N1874" i="17"/>
  <c r="M1874" i="17"/>
  <c r="P1874" i="17" s="1"/>
  <c r="L1874" i="17"/>
  <c r="N1873" i="17"/>
  <c r="M1873" i="17"/>
  <c r="P1873" i="17" s="1"/>
  <c r="N1872" i="17"/>
  <c r="P1872" i="17" s="1"/>
  <c r="M1872" i="17"/>
  <c r="N1871" i="17"/>
  <c r="M1871" i="17"/>
  <c r="P1871" i="17" s="1"/>
  <c r="N1870" i="17"/>
  <c r="P1870" i="17" s="1"/>
  <c r="M1870" i="17"/>
  <c r="N1869" i="17"/>
  <c r="M1869" i="17"/>
  <c r="P1869" i="17" s="1"/>
  <c r="N1868" i="17"/>
  <c r="P1868" i="17" s="1"/>
  <c r="M1868" i="17"/>
  <c r="N1867" i="17"/>
  <c r="M1867" i="17"/>
  <c r="P1867" i="17" s="1"/>
  <c r="N1866" i="17"/>
  <c r="P1866" i="17" s="1"/>
  <c r="M1866" i="17"/>
  <c r="N1865" i="17"/>
  <c r="M1865" i="17"/>
  <c r="P1865" i="17" s="1"/>
  <c r="N1864" i="17"/>
  <c r="P1864" i="17" s="1"/>
  <c r="M1864" i="17"/>
  <c r="N1863" i="17"/>
  <c r="M1863" i="17"/>
  <c r="P1863" i="17" s="1"/>
  <c r="N1862" i="17"/>
  <c r="P1862" i="17" s="1"/>
  <c r="M1862" i="17"/>
  <c r="N1861" i="17"/>
  <c r="M1861" i="17"/>
  <c r="P1861" i="17" s="1"/>
  <c r="N1860" i="17"/>
  <c r="P1860" i="17" s="1"/>
  <c r="M1860" i="17"/>
  <c r="N1859" i="17"/>
  <c r="M1859" i="17"/>
  <c r="P1859" i="17" s="1"/>
  <c r="N1858" i="17"/>
  <c r="P1858" i="17" s="1"/>
  <c r="M1858" i="17"/>
  <c r="N1857" i="17"/>
  <c r="M1857" i="17"/>
  <c r="P1857" i="17" s="1"/>
  <c r="N1856" i="17"/>
  <c r="M1856" i="17"/>
  <c r="L1856" i="17"/>
  <c r="N1855" i="17"/>
  <c r="P1855" i="17" s="1"/>
  <c r="M1855" i="17"/>
  <c r="N1854" i="17"/>
  <c r="M1854" i="17"/>
  <c r="P1854" i="17" s="1"/>
  <c r="L1854" i="17"/>
  <c r="N1853" i="17"/>
  <c r="M1853" i="17"/>
  <c r="P1853" i="17" s="1"/>
  <c r="L1853" i="17"/>
  <c r="N1851" i="17"/>
  <c r="M1851" i="17"/>
  <c r="P1851" i="17" s="1"/>
  <c r="L1851" i="17"/>
  <c r="N1850" i="17"/>
  <c r="M1850" i="17"/>
  <c r="P1850" i="17" s="1"/>
  <c r="L1850" i="17"/>
  <c r="N1849" i="17"/>
  <c r="M1849" i="17"/>
  <c r="P1849" i="17" s="1"/>
  <c r="L1849" i="17"/>
  <c r="N1848" i="17"/>
  <c r="M1848" i="17"/>
  <c r="P1848" i="17" s="1"/>
  <c r="L1848" i="17"/>
  <c r="N1847" i="17"/>
  <c r="M1847" i="17"/>
  <c r="P1847" i="17" s="1"/>
  <c r="N1846" i="17"/>
  <c r="P1846" i="17" s="1"/>
  <c r="M1846" i="17"/>
  <c r="N1845" i="17"/>
  <c r="M1845" i="17"/>
  <c r="P1845" i="17" s="1"/>
  <c r="N1844" i="17"/>
  <c r="M1844" i="17"/>
  <c r="N1843" i="17"/>
  <c r="P1843" i="17" s="1"/>
  <c r="M1843" i="17"/>
  <c r="N1842" i="17"/>
  <c r="M1842" i="17"/>
  <c r="P1842" i="17" s="1"/>
  <c r="N1841" i="17"/>
  <c r="P1841" i="17" s="1"/>
  <c r="M1841" i="17"/>
  <c r="N1840" i="17"/>
  <c r="M1840" i="17"/>
  <c r="P1840" i="17" s="1"/>
  <c r="N1839" i="17"/>
  <c r="P1839" i="17" s="1"/>
  <c r="M1839" i="17"/>
  <c r="N1838" i="17"/>
  <c r="M1838" i="17"/>
  <c r="P1838" i="17" s="1"/>
  <c r="N1837" i="17"/>
  <c r="P1837" i="17" s="1"/>
  <c r="M1837" i="17"/>
  <c r="N1836" i="17"/>
  <c r="M1836" i="17"/>
  <c r="P1836" i="17" s="1"/>
  <c r="N1835" i="17"/>
  <c r="P1835" i="17" s="1"/>
  <c r="M1835" i="17"/>
  <c r="N1834" i="17"/>
  <c r="M1834" i="17"/>
  <c r="P1834" i="17" s="1"/>
  <c r="N1833" i="17"/>
  <c r="P1833" i="17" s="1"/>
  <c r="M1833" i="17"/>
  <c r="N1832" i="17"/>
  <c r="M1832" i="17"/>
  <c r="P1832" i="17" s="1"/>
  <c r="N1831" i="17"/>
  <c r="P1831" i="17" s="1"/>
  <c r="M1831" i="17"/>
  <c r="N1830" i="17"/>
  <c r="M1830" i="17"/>
  <c r="P1830" i="17" s="1"/>
  <c r="L1830" i="17"/>
  <c r="N1829" i="17"/>
  <c r="M1829" i="17"/>
  <c r="P1829" i="17" s="1"/>
  <c r="L1829" i="17"/>
  <c r="N1828" i="17"/>
  <c r="M1828" i="17"/>
  <c r="P1828" i="17" s="1"/>
  <c r="L1828" i="17"/>
  <c r="N1827" i="17"/>
  <c r="M1827" i="17"/>
  <c r="P1827" i="17" s="1"/>
  <c r="L1827" i="17"/>
  <c r="N1826" i="17"/>
  <c r="M1826" i="17"/>
  <c r="P1826" i="17" s="1"/>
  <c r="L1826" i="17"/>
  <c r="N1825" i="17"/>
  <c r="M1825" i="17"/>
  <c r="P1825" i="17" s="1"/>
  <c r="L1825" i="17"/>
  <c r="N1824" i="17"/>
  <c r="M1824" i="17"/>
  <c r="P1824" i="17" s="1"/>
  <c r="L1824" i="17"/>
  <c r="N1823" i="17"/>
  <c r="M1823" i="17"/>
  <c r="P1823" i="17" s="1"/>
  <c r="L1823" i="17"/>
  <c r="N1822" i="17"/>
  <c r="M1822" i="17"/>
  <c r="P1822" i="17" s="1"/>
  <c r="N1821" i="17"/>
  <c r="P1821" i="17" s="1"/>
  <c r="M1821" i="17"/>
  <c r="N1820" i="17"/>
  <c r="M1820" i="17"/>
  <c r="P1820" i="17" s="1"/>
  <c r="N1819" i="17"/>
  <c r="P1819" i="17" s="1"/>
  <c r="M1819" i="17"/>
  <c r="N1818" i="17"/>
  <c r="M1818" i="17"/>
  <c r="P1818" i="17" s="1"/>
  <c r="N1817" i="17"/>
  <c r="P1817" i="17" s="1"/>
  <c r="M1817" i="17"/>
  <c r="N1816" i="17"/>
  <c r="M1816" i="17"/>
  <c r="P1816" i="17" s="1"/>
  <c r="N1815" i="17"/>
  <c r="P1815" i="17" s="1"/>
  <c r="M1815" i="17"/>
  <c r="N1814" i="17"/>
  <c r="M1814" i="17"/>
  <c r="P1814" i="17" s="1"/>
  <c r="N1813" i="17"/>
  <c r="P1813" i="17" s="1"/>
  <c r="M1813" i="17"/>
  <c r="N1812" i="17"/>
  <c r="M1812" i="17"/>
  <c r="P1812" i="17" s="1"/>
  <c r="N1811" i="17"/>
  <c r="M1811" i="17"/>
  <c r="L1811" i="17"/>
  <c r="N1810" i="17"/>
  <c r="M1810" i="17"/>
  <c r="L1810" i="17"/>
  <c r="N1809" i="17"/>
  <c r="M1809" i="17"/>
  <c r="L1809" i="17"/>
  <c r="N1808" i="17"/>
  <c r="M1808" i="17"/>
  <c r="L1808" i="17"/>
  <c r="N1807" i="17"/>
  <c r="M1807" i="17"/>
  <c r="L1807" i="17"/>
  <c r="N1806" i="17"/>
  <c r="M1806" i="17"/>
  <c r="L1806" i="17"/>
  <c r="N1805" i="17"/>
  <c r="M1805" i="17"/>
  <c r="L1805" i="17"/>
  <c r="N1804" i="17"/>
  <c r="P1804" i="17" s="1"/>
  <c r="M1804" i="17"/>
  <c r="N1803" i="17"/>
  <c r="M1803" i="17"/>
  <c r="P1803" i="17" s="1"/>
  <c r="N1802" i="17"/>
  <c r="P1802" i="17" s="1"/>
  <c r="M1802" i="17"/>
  <c r="N1801" i="17"/>
  <c r="M1801" i="17"/>
  <c r="P1801" i="17" s="1"/>
  <c r="L1801" i="17"/>
  <c r="N1800" i="17"/>
  <c r="M1800" i="17"/>
  <c r="P1800" i="17" s="1"/>
  <c r="L1800" i="17"/>
  <c r="N1799" i="17"/>
  <c r="M1799" i="17"/>
  <c r="P1799" i="17" s="1"/>
  <c r="L1799" i="17"/>
  <c r="N1798" i="17"/>
  <c r="M1798" i="17"/>
  <c r="P1798" i="17" s="1"/>
  <c r="L1798" i="17"/>
  <c r="N1797" i="17"/>
  <c r="M1797" i="17"/>
  <c r="P1797" i="17" s="1"/>
  <c r="L1797" i="17"/>
  <c r="N1796" i="17"/>
  <c r="M1796" i="17"/>
  <c r="P1796" i="17" s="1"/>
  <c r="L1796" i="17"/>
  <c r="N1795" i="17"/>
  <c r="M1795" i="17"/>
  <c r="P1795" i="17" s="1"/>
  <c r="L1795" i="17"/>
  <c r="N1794" i="17"/>
  <c r="M1794" i="17"/>
  <c r="P1794" i="17" s="1"/>
  <c r="L1794" i="17"/>
  <c r="N1793" i="17"/>
  <c r="M1793" i="17"/>
  <c r="P1793" i="17" s="1"/>
  <c r="L1793" i="17"/>
  <c r="N1792" i="17"/>
  <c r="M1792" i="17"/>
  <c r="P1792" i="17" s="1"/>
  <c r="L1792" i="17"/>
  <c r="N1791" i="17"/>
  <c r="M1791" i="17"/>
  <c r="P1791" i="17" s="1"/>
  <c r="L1791" i="17"/>
  <c r="N1790" i="17"/>
  <c r="M1790" i="17"/>
  <c r="P1790" i="17" s="1"/>
  <c r="N1789" i="17"/>
  <c r="P1789" i="17" s="1"/>
  <c r="M1789" i="17"/>
  <c r="N1788" i="17"/>
  <c r="M1788" i="17"/>
  <c r="P1788" i="17" s="1"/>
  <c r="N1787" i="17"/>
  <c r="P1787" i="17" s="1"/>
  <c r="M1787" i="17"/>
  <c r="N1786" i="17"/>
  <c r="M1786" i="17"/>
  <c r="P1786" i="17" s="1"/>
  <c r="N1785" i="17"/>
  <c r="P1785" i="17" s="1"/>
  <c r="M1785" i="17"/>
  <c r="N1784" i="17"/>
  <c r="M1784" i="17"/>
  <c r="P1784" i="17" s="1"/>
  <c r="N1783" i="17"/>
  <c r="P1783" i="17" s="1"/>
  <c r="M1783" i="17"/>
  <c r="N1782" i="17"/>
  <c r="M1782" i="17"/>
  <c r="P1782" i="17" s="1"/>
  <c r="N1781" i="17"/>
  <c r="M1781" i="17"/>
  <c r="L1781" i="17"/>
  <c r="N1780" i="17"/>
  <c r="M1780" i="17"/>
  <c r="L1780" i="17"/>
  <c r="N1779" i="17"/>
  <c r="M1779" i="17"/>
  <c r="L1779" i="17"/>
  <c r="N1778" i="17"/>
  <c r="M1778" i="17"/>
  <c r="L1778" i="17"/>
  <c r="N1777" i="17"/>
  <c r="M1777" i="17"/>
  <c r="L1777" i="17"/>
  <c r="N1776" i="17"/>
  <c r="M1776" i="17"/>
  <c r="L1776" i="17"/>
  <c r="N1775" i="17"/>
  <c r="M1775" i="17"/>
  <c r="L1775" i="17"/>
  <c r="N1774" i="17"/>
  <c r="M1774" i="17"/>
  <c r="L1774" i="17"/>
  <c r="N1773" i="17"/>
  <c r="M1773" i="17"/>
  <c r="L1773" i="17"/>
  <c r="N1772" i="17"/>
  <c r="M1772" i="17"/>
  <c r="L1772" i="17"/>
  <c r="N1771" i="17"/>
  <c r="M1771" i="17"/>
  <c r="L1771" i="17"/>
  <c r="N1770" i="17"/>
  <c r="M1770" i="17"/>
  <c r="L1770" i="17"/>
  <c r="N1769" i="17"/>
  <c r="M1769" i="17"/>
  <c r="L1769" i="17"/>
  <c r="N1768" i="17"/>
  <c r="M1768" i="17"/>
  <c r="L1768" i="17"/>
  <c r="N1767" i="17"/>
  <c r="P1767" i="17" s="1"/>
  <c r="M1767" i="17"/>
  <c r="N1766" i="17"/>
  <c r="M1766" i="17"/>
  <c r="P1766" i="17" s="1"/>
  <c r="N1765" i="17"/>
  <c r="M1765" i="17"/>
  <c r="L1765" i="17"/>
  <c r="N1764" i="17"/>
  <c r="M1764" i="17"/>
  <c r="L1764" i="17"/>
  <c r="N1763" i="17"/>
  <c r="M1763" i="17"/>
  <c r="L1763" i="17"/>
  <c r="N1762" i="17"/>
  <c r="M1762" i="17"/>
  <c r="L1762" i="17"/>
  <c r="N1761" i="17"/>
  <c r="M1761" i="17"/>
  <c r="L1761" i="17"/>
  <c r="N1760" i="17"/>
  <c r="P1760" i="17" s="1"/>
  <c r="M1760" i="17"/>
  <c r="N1759" i="17"/>
  <c r="M1759" i="17"/>
  <c r="P1759" i="17" s="1"/>
  <c r="N1758" i="17"/>
  <c r="P1758" i="17" s="1"/>
  <c r="M1758" i="17"/>
  <c r="N1757" i="17"/>
  <c r="M1757" i="17"/>
  <c r="P1757" i="17" s="1"/>
  <c r="N1756" i="17"/>
  <c r="P1756" i="17" s="1"/>
  <c r="M1756" i="17"/>
  <c r="N1755" i="17"/>
  <c r="M1755" i="17"/>
  <c r="P1755" i="17" s="1"/>
  <c r="N1754" i="17"/>
  <c r="M1754" i="17"/>
  <c r="L1754" i="17"/>
  <c r="N1753" i="17"/>
  <c r="P1753" i="17" s="1"/>
  <c r="M1753" i="17"/>
  <c r="N1752" i="17"/>
  <c r="M1752" i="17"/>
  <c r="P1752" i="17" s="1"/>
  <c r="N1751" i="17"/>
  <c r="M1751" i="17"/>
  <c r="L1751" i="17"/>
  <c r="N1750" i="17"/>
  <c r="M1750" i="17"/>
  <c r="L1750" i="17"/>
  <c r="N1749" i="17"/>
  <c r="M1749" i="17"/>
  <c r="L1749" i="17"/>
  <c r="N1748" i="17"/>
  <c r="M1748" i="17"/>
  <c r="L1748" i="17"/>
  <c r="N1747" i="17"/>
  <c r="M1747" i="17"/>
  <c r="L1747" i="17"/>
  <c r="N1746" i="17"/>
  <c r="M1746" i="17"/>
  <c r="L1746" i="17"/>
  <c r="N1745" i="17"/>
  <c r="M1745" i="17"/>
  <c r="L1745" i="17"/>
  <c r="N1744" i="17"/>
  <c r="M1744" i="17"/>
  <c r="L1744" i="17"/>
  <c r="N1743" i="17"/>
  <c r="M1743" i="17"/>
  <c r="L1743" i="17"/>
  <c r="N1742" i="17"/>
  <c r="M1742" i="17"/>
  <c r="L1742" i="17"/>
  <c r="N1741" i="17"/>
  <c r="M1741" i="17"/>
  <c r="L1741" i="17"/>
  <c r="N1740" i="17"/>
  <c r="M1740" i="17"/>
  <c r="L1740" i="17"/>
  <c r="N1739" i="17"/>
  <c r="M1739" i="17"/>
  <c r="L1739" i="17"/>
  <c r="N1738" i="17"/>
  <c r="M1738" i="17"/>
  <c r="L1738" i="17"/>
  <c r="N1737" i="17"/>
  <c r="M1737" i="17"/>
  <c r="L1737" i="17"/>
  <c r="N1736" i="17"/>
  <c r="M1736" i="17"/>
  <c r="L1736" i="17"/>
  <c r="N1735" i="17"/>
  <c r="M1735" i="17"/>
  <c r="L1735" i="17"/>
  <c r="N1734" i="17"/>
  <c r="M1734" i="17"/>
  <c r="L1734" i="17"/>
  <c r="N1733" i="17"/>
  <c r="P1733" i="17" s="1"/>
  <c r="M1733" i="17"/>
  <c r="N1732" i="17"/>
  <c r="M1732" i="17"/>
  <c r="P1732" i="17" s="1"/>
  <c r="N1731" i="17"/>
  <c r="P1731" i="17" s="1"/>
  <c r="M1731" i="17"/>
  <c r="N1730" i="17"/>
  <c r="M1730" i="17"/>
  <c r="P1730" i="17" s="1"/>
  <c r="N1729" i="17"/>
  <c r="P1729" i="17" s="1"/>
  <c r="M1729" i="17"/>
  <c r="N1728" i="17"/>
  <c r="M1728" i="17"/>
  <c r="P1728" i="17" s="1"/>
  <c r="L1728" i="17"/>
  <c r="N1727" i="17"/>
  <c r="M1727" i="17"/>
  <c r="P1727" i="17" s="1"/>
  <c r="L1727" i="17"/>
  <c r="N1726" i="17"/>
  <c r="M1726" i="17"/>
  <c r="P1726" i="17" s="1"/>
  <c r="L1726" i="17"/>
  <c r="N1725" i="17"/>
  <c r="M1725" i="17"/>
  <c r="P1725" i="17" s="1"/>
  <c r="N1724" i="17"/>
  <c r="P1724" i="17" s="1"/>
  <c r="M1724" i="17"/>
  <c r="N1723" i="17"/>
  <c r="M1723" i="17"/>
  <c r="P1723" i="17" s="1"/>
  <c r="N1722" i="17"/>
  <c r="P1722" i="17" s="1"/>
  <c r="M1722" i="17"/>
  <c r="N1721" i="17"/>
  <c r="M1721" i="17"/>
  <c r="P1721" i="17" s="1"/>
  <c r="N1720" i="17"/>
  <c r="P1720" i="17" s="1"/>
  <c r="M1720" i="17"/>
  <c r="N1719" i="17"/>
  <c r="M1719" i="17"/>
  <c r="P1719" i="17" s="1"/>
  <c r="N1718" i="17"/>
  <c r="P1718" i="17" s="1"/>
  <c r="M1718" i="17"/>
  <c r="N1717" i="17"/>
  <c r="M1717" i="17"/>
  <c r="P1717" i="17" s="1"/>
  <c r="N1716" i="17"/>
  <c r="P1716" i="17" s="1"/>
  <c r="M1716" i="17"/>
  <c r="N1715" i="17"/>
  <c r="M1715" i="17"/>
  <c r="P1715" i="17" s="1"/>
  <c r="N1714" i="17"/>
  <c r="M1714" i="17"/>
  <c r="L1714" i="17"/>
  <c r="N1713" i="17"/>
  <c r="M1713" i="17"/>
  <c r="L1713" i="17"/>
  <c r="N1712" i="17"/>
  <c r="M1712" i="17"/>
  <c r="L1712" i="17"/>
  <c r="N1711" i="17"/>
  <c r="M1711" i="17"/>
  <c r="L1711" i="17"/>
  <c r="N1710" i="17"/>
  <c r="M1710" i="17"/>
  <c r="L1710" i="17"/>
  <c r="N1709" i="17"/>
  <c r="M1709" i="17"/>
  <c r="L1709" i="17"/>
  <c r="N1708" i="17"/>
  <c r="M1708" i="17"/>
  <c r="L1708" i="17"/>
  <c r="N1707" i="17"/>
  <c r="P1707" i="17" s="1"/>
  <c r="M1707" i="17"/>
  <c r="N1706" i="17"/>
  <c r="M1706" i="17"/>
  <c r="P1706" i="17" s="1"/>
  <c r="N1705" i="17"/>
  <c r="M1705" i="17"/>
  <c r="L1705" i="17"/>
  <c r="N1704" i="17"/>
  <c r="M1704" i="17"/>
  <c r="L1704" i="17"/>
  <c r="N1703" i="17"/>
  <c r="M1703" i="17"/>
  <c r="L1703" i="17"/>
  <c r="N1702" i="17"/>
  <c r="M1702" i="17"/>
  <c r="L1702" i="17"/>
  <c r="N1701" i="17"/>
  <c r="M1701" i="17"/>
  <c r="L1701" i="17"/>
  <c r="N1700" i="17"/>
  <c r="M1700" i="17"/>
  <c r="L1700" i="17"/>
  <c r="N1699" i="17"/>
  <c r="M1699" i="17"/>
  <c r="L1699" i="17"/>
  <c r="N1698" i="17"/>
  <c r="M1698" i="17"/>
  <c r="L1698" i="17"/>
  <c r="N1697" i="17"/>
  <c r="M1697" i="17"/>
  <c r="L1697" i="17"/>
  <c r="N1696" i="17"/>
  <c r="M1696" i="17"/>
  <c r="L1696" i="17"/>
  <c r="N1695" i="17"/>
  <c r="M1695" i="17"/>
  <c r="L1695" i="17"/>
  <c r="N1693" i="17"/>
  <c r="M1693" i="17"/>
  <c r="L1693" i="17"/>
  <c r="N1692" i="17"/>
  <c r="M1692" i="17"/>
  <c r="L1692" i="17"/>
  <c r="N1691" i="17"/>
  <c r="M1691" i="17"/>
  <c r="L1691" i="17"/>
  <c r="N1690" i="17"/>
  <c r="M1690" i="17"/>
  <c r="L1690" i="17"/>
  <c r="N1689" i="17"/>
  <c r="M1689" i="17"/>
  <c r="L1689" i="17"/>
  <c r="N1688" i="17"/>
  <c r="M1688" i="17"/>
  <c r="L1688" i="17"/>
  <c r="N1687" i="17"/>
  <c r="M1687" i="17"/>
  <c r="L1687" i="17"/>
  <c r="N1686" i="17"/>
  <c r="P1686" i="17" s="1"/>
  <c r="M1686" i="17"/>
  <c r="N1685" i="17"/>
  <c r="M1685" i="17"/>
  <c r="P1685" i="17" s="1"/>
  <c r="L1685" i="17"/>
  <c r="N1684" i="17"/>
  <c r="M1684" i="17"/>
  <c r="P1684" i="17" s="1"/>
  <c r="N1683" i="17"/>
  <c r="P1683" i="17" s="1"/>
  <c r="M1683" i="17"/>
  <c r="N1682" i="17"/>
  <c r="M1682" i="17"/>
  <c r="P1682" i="17" s="1"/>
  <c r="N1681" i="17"/>
  <c r="P1681" i="17" s="1"/>
  <c r="M1681" i="17"/>
  <c r="N1680" i="17"/>
  <c r="M1680" i="17"/>
  <c r="P1680" i="17" s="1"/>
  <c r="N1679" i="17"/>
  <c r="P1679" i="17" s="1"/>
  <c r="M1679" i="17"/>
  <c r="N1678" i="17"/>
  <c r="M1678" i="17"/>
  <c r="P1678" i="17" s="1"/>
  <c r="N1677" i="17"/>
  <c r="P1677" i="17" s="1"/>
  <c r="M1677" i="17"/>
  <c r="N1676" i="17"/>
  <c r="M1676" i="17"/>
  <c r="P1676" i="17" s="1"/>
  <c r="N1675" i="17"/>
  <c r="P1675" i="17" s="1"/>
  <c r="M1675" i="17"/>
  <c r="N1674" i="17"/>
  <c r="M1674" i="17"/>
  <c r="P1674" i="17" s="1"/>
  <c r="N1673" i="17"/>
  <c r="P1673" i="17" s="1"/>
  <c r="M1673" i="17"/>
  <c r="N1672" i="17"/>
  <c r="M1672" i="17"/>
  <c r="P1672" i="17" s="1"/>
  <c r="L1672" i="17"/>
  <c r="N1671" i="17"/>
  <c r="M1671" i="17"/>
  <c r="P1671" i="17" s="1"/>
  <c r="L1671" i="17"/>
  <c r="N1670" i="17"/>
  <c r="M1670" i="17"/>
  <c r="P1670" i="17" s="1"/>
  <c r="L1670" i="17"/>
  <c r="N1669" i="17"/>
  <c r="M1669" i="17"/>
  <c r="P1669" i="17" s="1"/>
  <c r="L1669" i="17"/>
  <c r="N1668" i="17"/>
  <c r="M1668" i="17"/>
  <c r="P1668" i="17" s="1"/>
  <c r="L1668" i="17"/>
  <c r="N1667" i="17"/>
  <c r="M1667" i="17"/>
  <c r="P1667" i="17" s="1"/>
  <c r="L1667" i="17"/>
  <c r="N1666" i="17"/>
  <c r="M1666" i="17"/>
  <c r="P1666" i="17" s="1"/>
  <c r="L1666" i="17"/>
  <c r="N1665" i="17"/>
  <c r="M1665" i="17"/>
  <c r="P1665" i="17" s="1"/>
  <c r="L1665" i="17"/>
  <c r="N1664" i="17"/>
  <c r="M1664" i="17"/>
  <c r="P1664" i="17" s="1"/>
  <c r="L1664" i="17"/>
  <c r="N1663" i="17"/>
  <c r="M1663" i="17"/>
  <c r="P1663" i="17" s="1"/>
  <c r="N1662" i="17"/>
  <c r="M1662" i="17"/>
  <c r="L1662" i="17"/>
  <c r="N1661" i="17"/>
  <c r="M1661" i="17"/>
  <c r="P1661" i="17" s="1"/>
  <c r="L1661" i="17"/>
  <c r="N1660" i="17"/>
  <c r="M1660" i="17"/>
  <c r="P1660" i="17" s="1"/>
  <c r="L1660" i="17"/>
  <c r="N1659" i="17"/>
  <c r="M1659" i="17"/>
  <c r="P1659" i="17" s="1"/>
  <c r="L1659" i="17"/>
  <c r="N1658" i="17"/>
  <c r="M1658" i="17"/>
  <c r="P1658" i="17" s="1"/>
  <c r="L1658" i="17"/>
  <c r="N1657" i="17"/>
  <c r="M1657" i="17"/>
  <c r="P1657" i="17" s="1"/>
  <c r="L1657" i="17"/>
  <c r="N1656" i="17"/>
  <c r="M1656" i="17"/>
  <c r="P1656" i="17" s="1"/>
  <c r="L1656" i="17"/>
  <c r="N1655" i="17"/>
  <c r="M1655" i="17"/>
  <c r="P1655" i="17" s="1"/>
  <c r="L1655" i="17"/>
  <c r="N1654" i="17"/>
  <c r="M1654" i="17"/>
  <c r="P1654" i="17" s="1"/>
  <c r="L1654" i="17"/>
  <c r="N1653" i="17"/>
  <c r="M1653" i="17"/>
  <c r="P1653" i="17" s="1"/>
  <c r="L1653" i="17"/>
  <c r="N1652" i="17"/>
  <c r="M1652" i="17"/>
  <c r="P1652" i="17" s="1"/>
  <c r="L1652" i="17"/>
  <c r="N1651" i="17"/>
  <c r="M1651" i="17"/>
  <c r="P1651" i="17" s="1"/>
  <c r="L1651" i="17"/>
  <c r="N1650" i="17"/>
  <c r="M1650" i="17"/>
  <c r="P1650" i="17" s="1"/>
  <c r="N1649" i="17"/>
  <c r="P1649" i="17" s="1"/>
  <c r="M1649" i="17"/>
  <c r="N1648" i="17"/>
  <c r="M1648" i="17"/>
  <c r="P1648" i="17" s="1"/>
  <c r="N1647" i="17"/>
  <c r="P1647" i="17" s="1"/>
  <c r="M1647" i="17"/>
  <c r="N1646" i="17"/>
  <c r="M1646" i="17"/>
  <c r="P1646" i="17" s="1"/>
  <c r="N1645" i="17"/>
  <c r="P1645" i="17" s="1"/>
  <c r="M1645" i="17"/>
  <c r="N1644" i="17"/>
  <c r="M1644" i="17"/>
  <c r="P1644" i="17" s="1"/>
  <c r="N1643" i="17"/>
  <c r="P1643" i="17" s="1"/>
  <c r="M1643" i="17"/>
  <c r="N1642" i="17"/>
  <c r="M1642" i="17"/>
  <c r="P1642" i="17" s="1"/>
  <c r="N1641" i="17"/>
  <c r="P1641" i="17" s="1"/>
  <c r="M1641" i="17"/>
  <c r="N1640" i="17"/>
  <c r="M1640" i="17"/>
  <c r="P1640" i="17" s="1"/>
  <c r="N1639" i="17"/>
  <c r="P1639" i="17" s="1"/>
  <c r="M1639" i="17"/>
  <c r="N1638" i="17"/>
  <c r="M1638" i="17"/>
  <c r="P1638" i="17" s="1"/>
  <c r="N1637" i="17"/>
  <c r="P1637" i="17" s="1"/>
  <c r="M1637" i="17"/>
  <c r="N1636" i="17"/>
  <c r="M1636" i="17"/>
  <c r="P1636" i="17" s="1"/>
  <c r="N1635" i="17"/>
  <c r="P1635" i="17" s="1"/>
  <c r="M1635" i="17"/>
  <c r="N1634" i="17"/>
  <c r="M1634" i="17"/>
  <c r="P1634" i="17" s="1"/>
  <c r="N1633" i="17"/>
  <c r="P1633" i="17" s="1"/>
  <c r="M1633" i="17"/>
  <c r="N1632" i="17"/>
  <c r="M1632" i="17"/>
  <c r="P1632" i="17" s="1"/>
  <c r="N1631" i="17"/>
  <c r="P1631" i="17" s="1"/>
  <c r="M1631" i="17"/>
  <c r="N1630" i="17"/>
  <c r="M1630" i="17"/>
  <c r="P1630" i="17" s="1"/>
  <c r="N1629" i="17"/>
  <c r="P1629" i="17" s="1"/>
  <c r="M1629" i="17"/>
  <c r="N1628" i="17"/>
  <c r="M1628" i="17"/>
  <c r="P1628" i="17" s="1"/>
  <c r="N1627" i="17"/>
  <c r="P1627" i="17" s="1"/>
  <c r="M1627" i="17"/>
  <c r="N1626" i="17"/>
  <c r="M1626" i="17"/>
  <c r="P1626" i="17" s="1"/>
  <c r="N1625" i="17"/>
  <c r="P1625" i="17" s="1"/>
  <c r="M1625" i="17"/>
  <c r="N1624" i="17"/>
  <c r="M1624" i="17"/>
  <c r="P1624" i="17" s="1"/>
  <c r="N1623" i="17"/>
  <c r="P1623" i="17" s="1"/>
  <c r="M1623" i="17"/>
  <c r="N1622" i="17"/>
  <c r="M1622" i="17"/>
  <c r="P1622" i="17" s="1"/>
  <c r="N1621" i="17"/>
  <c r="P1621" i="17" s="1"/>
  <c r="M1621" i="17"/>
  <c r="N1620" i="17"/>
  <c r="M1620" i="17"/>
  <c r="P1620" i="17" s="1"/>
  <c r="L1620" i="17"/>
  <c r="N1619" i="17"/>
  <c r="M1619" i="17"/>
  <c r="P1619" i="17" s="1"/>
  <c r="L1619" i="17"/>
  <c r="N1618" i="17"/>
  <c r="M1618" i="17"/>
  <c r="P1618" i="17" s="1"/>
  <c r="L1618" i="17"/>
  <c r="N1617" i="17"/>
  <c r="M1617" i="17"/>
  <c r="P1617" i="17" s="1"/>
  <c r="L1617" i="17"/>
  <c r="N1616" i="17"/>
  <c r="M1616" i="17"/>
  <c r="P1616" i="17" s="1"/>
  <c r="L1616" i="17"/>
  <c r="N1615" i="17"/>
  <c r="M1615" i="17"/>
  <c r="P1615" i="17" s="1"/>
  <c r="L1615" i="17"/>
  <c r="N1614" i="17"/>
  <c r="M1614" i="17"/>
  <c r="P1614" i="17" s="1"/>
  <c r="L1614" i="17"/>
  <c r="N1613" i="17"/>
  <c r="M1613" i="17"/>
  <c r="P1613" i="17" s="1"/>
  <c r="L1613" i="17"/>
  <c r="N1612" i="17"/>
  <c r="M1612" i="17"/>
  <c r="P1612" i="17" s="1"/>
  <c r="L1612" i="17"/>
  <c r="N1611" i="17"/>
  <c r="M1611" i="17"/>
  <c r="P1611" i="17" s="1"/>
  <c r="L1611" i="17"/>
  <c r="N1610" i="17"/>
  <c r="M1610" i="17"/>
  <c r="P1610" i="17" s="1"/>
  <c r="L1610" i="17"/>
  <c r="N1609" i="17"/>
  <c r="M1609" i="17"/>
  <c r="P1609" i="17" s="1"/>
  <c r="L1609" i="17"/>
  <c r="N1608" i="17"/>
  <c r="M1608" i="17"/>
  <c r="P1608" i="17" s="1"/>
  <c r="L1608" i="17"/>
  <c r="N1607" i="17"/>
  <c r="M1607" i="17"/>
  <c r="P1607" i="17" s="1"/>
  <c r="L1607" i="17"/>
  <c r="N1606" i="17"/>
  <c r="M1606" i="17"/>
  <c r="P1606" i="17" s="1"/>
  <c r="L1606" i="17"/>
  <c r="N1605" i="17"/>
  <c r="M1605" i="17"/>
  <c r="P1605" i="17" s="1"/>
  <c r="L1605" i="17"/>
  <c r="N1604" i="17"/>
  <c r="M1604" i="17"/>
  <c r="P1604" i="17" s="1"/>
  <c r="L1604" i="17"/>
  <c r="N1603" i="17"/>
  <c r="M1603" i="17"/>
  <c r="P1603" i="17" s="1"/>
  <c r="L1603" i="17"/>
  <c r="N1602" i="17"/>
  <c r="M1602" i="17"/>
  <c r="P1602" i="17" s="1"/>
  <c r="L1602" i="17"/>
  <c r="N1601" i="17"/>
  <c r="M1601" i="17"/>
  <c r="P1601" i="17" s="1"/>
  <c r="L1601" i="17"/>
  <c r="N1600" i="17"/>
  <c r="M1600" i="17"/>
  <c r="P1600" i="17" s="1"/>
  <c r="L1600" i="17"/>
  <c r="N1599" i="17"/>
  <c r="M1599" i="17"/>
  <c r="P1599" i="17" s="1"/>
  <c r="L1599" i="17"/>
  <c r="N1598" i="17"/>
  <c r="M1598" i="17"/>
  <c r="P1598" i="17" s="1"/>
  <c r="L1598" i="17"/>
  <c r="N1597" i="17"/>
  <c r="M1597" i="17"/>
  <c r="P1597" i="17" s="1"/>
  <c r="L1597" i="17"/>
  <c r="N1596" i="17"/>
  <c r="M1596" i="17"/>
  <c r="P1596" i="17" s="1"/>
  <c r="L1596" i="17"/>
  <c r="N1595" i="17"/>
  <c r="M1595" i="17"/>
  <c r="P1595" i="17" s="1"/>
  <c r="L1595" i="17"/>
  <c r="N1594" i="17"/>
  <c r="M1594" i="17"/>
  <c r="P1594" i="17" s="1"/>
  <c r="L1594" i="17"/>
  <c r="N1593" i="17"/>
  <c r="M1593" i="17"/>
  <c r="P1593" i="17" s="1"/>
  <c r="L1593" i="17"/>
  <c r="N1592" i="17"/>
  <c r="M1592" i="17"/>
  <c r="P1592" i="17" s="1"/>
  <c r="L1592" i="17"/>
  <c r="N1591" i="17"/>
  <c r="M1591" i="17"/>
  <c r="P1591" i="17" s="1"/>
  <c r="L1591" i="17"/>
  <c r="N1590" i="17"/>
  <c r="M1590" i="17"/>
  <c r="P1590" i="17" s="1"/>
  <c r="L1590" i="17"/>
  <c r="N1589" i="17"/>
  <c r="M1589" i="17"/>
  <c r="P1589" i="17" s="1"/>
  <c r="L1589" i="17"/>
  <c r="N1588" i="17"/>
  <c r="M1588" i="17"/>
  <c r="P1588" i="17" s="1"/>
  <c r="L1588" i="17"/>
  <c r="N1586" i="17"/>
  <c r="M1586" i="17"/>
  <c r="P1586" i="17" s="1"/>
  <c r="L1586" i="17"/>
  <c r="N1585" i="17"/>
  <c r="M1585" i="17"/>
  <c r="P1585" i="17" s="1"/>
  <c r="L1585" i="17"/>
  <c r="N1584" i="17"/>
  <c r="M1584" i="17"/>
  <c r="P1584" i="17" s="1"/>
  <c r="L1584" i="17"/>
  <c r="N1583" i="17"/>
  <c r="M1583" i="17"/>
  <c r="P1583" i="17" s="1"/>
  <c r="L1583" i="17"/>
  <c r="N1582" i="17"/>
  <c r="M1582" i="17"/>
  <c r="P1582" i="17" s="1"/>
  <c r="L1582" i="17"/>
  <c r="N1581" i="17"/>
  <c r="M1581" i="17"/>
  <c r="P1581" i="17" s="1"/>
  <c r="L1581" i="17"/>
  <c r="N1580" i="17"/>
  <c r="M1580" i="17"/>
  <c r="P1580" i="17" s="1"/>
  <c r="L1580" i="17"/>
  <c r="N1579" i="17"/>
  <c r="M1579" i="17"/>
  <c r="P1579" i="17" s="1"/>
  <c r="L1579" i="17"/>
  <c r="N1578" i="17"/>
  <c r="M1578" i="17"/>
  <c r="P1578" i="17" s="1"/>
  <c r="L1578" i="17"/>
  <c r="N1577" i="17"/>
  <c r="M1577" i="17"/>
  <c r="P1577" i="17" s="1"/>
  <c r="L1577" i="17"/>
  <c r="N1576" i="17"/>
  <c r="M1576" i="17"/>
  <c r="P1576" i="17" s="1"/>
  <c r="L1576" i="17"/>
  <c r="N1575" i="17"/>
  <c r="M1575" i="17"/>
  <c r="P1575" i="17" s="1"/>
  <c r="L1575" i="17"/>
  <c r="N1574" i="17"/>
  <c r="M1574" i="17"/>
  <c r="P1574" i="17" s="1"/>
  <c r="L1574" i="17"/>
  <c r="N1573" i="17"/>
  <c r="M1573" i="17"/>
  <c r="P1573" i="17" s="1"/>
  <c r="N1572" i="17"/>
  <c r="P1572" i="17" s="1"/>
  <c r="M1572" i="17"/>
  <c r="N1571" i="17"/>
  <c r="M1571" i="17"/>
  <c r="P1571" i="17" s="1"/>
  <c r="L1571" i="17"/>
  <c r="N1570" i="17"/>
  <c r="M1570" i="17"/>
  <c r="P1570" i="17" s="1"/>
  <c r="L1570" i="17"/>
  <c r="N1569" i="17"/>
  <c r="M1569" i="17"/>
  <c r="P1569" i="17" s="1"/>
  <c r="L1569" i="17"/>
  <c r="N1568" i="17"/>
  <c r="M1568" i="17"/>
  <c r="P1568" i="17" s="1"/>
  <c r="L1568" i="17"/>
  <c r="N1567" i="17"/>
  <c r="M1567" i="17"/>
  <c r="P1567" i="17" s="1"/>
  <c r="L1567" i="17"/>
  <c r="N1566" i="17"/>
  <c r="M1566" i="17"/>
  <c r="P1566" i="17" s="1"/>
  <c r="L1566" i="17"/>
  <c r="N1565" i="17"/>
  <c r="M1565" i="17"/>
  <c r="P1565" i="17" s="1"/>
  <c r="L1565" i="17"/>
  <c r="N1564" i="17"/>
  <c r="M1564" i="17"/>
  <c r="P1564" i="17" s="1"/>
  <c r="L1564" i="17"/>
  <c r="N1563" i="17"/>
  <c r="M1563" i="17"/>
  <c r="P1563" i="17" s="1"/>
  <c r="L1563" i="17"/>
  <c r="N1562" i="17"/>
  <c r="M1562" i="17"/>
  <c r="P1562" i="17" s="1"/>
  <c r="L1562" i="17"/>
  <c r="N1561" i="17"/>
  <c r="M1561" i="17"/>
  <c r="P1561" i="17" s="1"/>
  <c r="L1561" i="17"/>
  <c r="N1560" i="17"/>
  <c r="M1560" i="17"/>
  <c r="P1560" i="17" s="1"/>
  <c r="L1560" i="17"/>
  <c r="N1559" i="17"/>
  <c r="M1559" i="17"/>
  <c r="P1559" i="17" s="1"/>
  <c r="L1559" i="17"/>
  <c r="N1558" i="17"/>
  <c r="M1558" i="17"/>
  <c r="P1558" i="17" s="1"/>
  <c r="N1557" i="17"/>
  <c r="P1557" i="17" s="1"/>
  <c r="M1557" i="17"/>
  <c r="N1556" i="17"/>
  <c r="M1556" i="17"/>
  <c r="P1556" i="17" s="1"/>
  <c r="N1555" i="17"/>
  <c r="P1555" i="17" s="1"/>
  <c r="M1555" i="17"/>
  <c r="N1554" i="17"/>
  <c r="M1554" i="17"/>
  <c r="P1554" i="17" s="1"/>
  <c r="L1554" i="17"/>
  <c r="N1553" i="17"/>
  <c r="M1553" i="17"/>
  <c r="P1553" i="17" s="1"/>
  <c r="L1553" i="17"/>
  <c r="N1552" i="17"/>
  <c r="M1552" i="17"/>
  <c r="P1552" i="17" s="1"/>
  <c r="L1552" i="17"/>
  <c r="N1551" i="17"/>
  <c r="M1551" i="17"/>
  <c r="P1551" i="17" s="1"/>
  <c r="L1551" i="17"/>
  <c r="N1550" i="17"/>
  <c r="M1550" i="17"/>
  <c r="P1550" i="17" s="1"/>
  <c r="L1550" i="17"/>
  <c r="N1549" i="17"/>
  <c r="M1549" i="17"/>
  <c r="P1549" i="17" s="1"/>
  <c r="N1548" i="17"/>
  <c r="M1548" i="17"/>
  <c r="L1548" i="17"/>
  <c r="N1547" i="17"/>
  <c r="M1547" i="17"/>
  <c r="L1547" i="17"/>
  <c r="N1546" i="17"/>
  <c r="M1546" i="17"/>
  <c r="L1546" i="17"/>
  <c r="N1545" i="17"/>
  <c r="M1545" i="17"/>
  <c r="L1545" i="17"/>
  <c r="N1544" i="17"/>
  <c r="P1544" i="17" s="1"/>
  <c r="M1544" i="17"/>
  <c r="N1543" i="17"/>
  <c r="M1543" i="17"/>
  <c r="P1543" i="17" s="1"/>
  <c r="N1542" i="17"/>
  <c r="M1542" i="17"/>
  <c r="L1542" i="17"/>
  <c r="N1541" i="17"/>
  <c r="M1541" i="17"/>
  <c r="L1541" i="17"/>
  <c r="N1540" i="17"/>
  <c r="M1540" i="17"/>
  <c r="L1540" i="17"/>
  <c r="N1539" i="17"/>
  <c r="M1539" i="17"/>
  <c r="L1539" i="17"/>
  <c r="N1538" i="17"/>
  <c r="M1538" i="17"/>
  <c r="L1538" i="17"/>
  <c r="N1537" i="17"/>
  <c r="M1537" i="17"/>
  <c r="L1537" i="17"/>
  <c r="N1536" i="17"/>
  <c r="M1536" i="17"/>
  <c r="L1536" i="17"/>
  <c r="N1535" i="17"/>
  <c r="M1535" i="17"/>
  <c r="L1535" i="17"/>
  <c r="N1534" i="17"/>
  <c r="M1534" i="17"/>
  <c r="L1534" i="17"/>
  <c r="N1533" i="17"/>
  <c r="M1533" i="17"/>
  <c r="L1533" i="17"/>
  <c r="N1532" i="17"/>
  <c r="M1532" i="17"/>
  <c r="L1532" i="17"/>
  <c r="N1531" i="17"/>
  <c r="M1531" i="17"/>
  <c r="L1531" i="17"/>
  <c r="N1530" i="17"/>
  <c r="M1530" i="17"/>
  <c r="L1530" i="17"/>
  <c r="N1529" i="17"/>
  <c r="M1529" i="17"/>
  <c r="L1529" i="17"/>
  <c r="N1528" i="17"/>
  <c r="M1528" i="17"/>
  <c r="L1528" i="17"/>
  <c r="N1527" i="17"/>
  <c r="M1527" i="17"/>
  <c r="L1527" i="17"/>
  <c r="N1526" i="17"/>
  <c r="M1526" i="17"/>
  <c r="L1526" i="17"/>
  <c r="N1525" i="17"/>
  <c r="M1525" i="17"/>
  <c r="L1525" i="17"/>
  <c r="N1524" i="17"/>
  <c r="M1524" i="17"/>
  <c r="L1524" i="17"/>
  <c r="N1523" i="17"/>
  <c r="M1523" i="17"/>
  <c r="L1523" i="17"/>
  <c r="N1522" i="17"/>
  <c r="M1522" i="17"/>
  <c r="L1522" i="17"/>
  <c r="N1521" i="17"/>
  <c r="M1521" i="17"/>
  <c r="L1521" i="17"/>
  <c r="N1519" i="17"/>
  <c r="M1519" i="17"/>
  <c r="N1518" i="17"/>
  <c r="M1518" i="17"/>
  <c r="N1516" i="17"/>
  <c r="M1516" i="17"/>
  <c r="L1516" i="17"/>
  <c r="N1515" i="17"/>
  <c r="M1515" i="17"/>
  <c r="L1515" i="17"/>
  <c r="N1514" i="17"/>
  <c r="M1514" i="17"/>
  <c r="L1514" i="17"/>
  <c r="N1513" i="17"/>
  <c r="M1513" i="17"/>
  <c r="L1513" i="17"/>
  <c r="N1512" i="17"/>
  <c r="M1512" i="17"/>
  <c r="L1512" i="17"/>
  <c r="N1511" i="17"/>
  <c r="M1511" i="17"/>
  <c r="L1511" i="17"/>
  <c r="N1510" i="17"/>
  <c r="M1510" i="17"/>
  <c r="L1510" i="17"/>
  <c r="N1509" i="17"/>
  <c r="M1509" i="17"/>
  <c r="L1509" i="17"/>
  <c r="N1508" i="17"/>
  <c r="M1508" i="17"/>
  <c r="L1508" i="17"/>
  <c r="N1507" i="17"/>
  <c r="M1507" i="17"/>
  <c r="L1507" i="17"/>
  <c r="N1506" i="17"/>
  <c r="M1506" i="17"/>
  <c r="L1506" i="17"/>
  <c r="N1505" i="17"/>
  <c r="M1505" i="17"/>
  <c r="L1505" i="17"/>
  <c r="N1504" i="17"/>
  <c r="M1504" i="17"/>
  <c r="L1504" i="17"/>
  <c r="N1503" i="17"/>
  <c r="M1503" i="17"/>
  <c r="L1503" i="17"/>
  <c r="N1502" i="17"/>
  <c r="M1502" i="17"/>
  <c r="L1502" i="17"/>
  <c r="N1501" i="17"/>
  <c r="M1501" i="17"/>
  <c r="L1501" i="17"/>
  <c r="N1500" i="17"/>
  <c r="M1500" i="17"/>
  <c r="L1500" i="17"/>
  <c r="N1499" i="17"/>
  <c r="M1499" i="17"/>
  <c r="L1499" i="17"/>
  <c r="N1498" i="17"/>
  <c r="M1498" i="17"/>
  <c r="L1498" i="17"/>
  <c r="N1497" i="17"/>
  <c r="M1497" i="17"/>
  <c r="L1497" i="17"/>
  <c r="N1496" i="17"/>
  <c r="M1496" i="17"/>
  <c r="L1496" i="17"/>
  <c r="N1495" i="17"/>
  <c r="M1495" i="17"/>
  <c r="L1495" i="17"/>
  <c r="N1494" i="17"/>
  <c r="M1494" i="17"/>
  <c r="L1494" i="17"/>
  <c r="N1493" i="17"/>
  <c r="M1493" i="17"/>
  <c r="L1493" i="17"/>
  <c r="N1492" i="17"/>
  <c r="M1492" i="17"/>
  <c r="L1492" i="17"/>
  <c r="N1491" i="17"/>
  <c r="M1491" i="17"/>
  <c r="L1491" i="17"/>
  <c r="N1490" i="17"/>
  <c r="M1490" i="17"/>
  <c r="L1490" i="17"/>
  <c r="N1489" i="17"/>
  <c r="M1489" i="17"/>
  <c r="L1489" i="17"/>
  <c r="N1488" i="17"/>
  <c r="M1488" i="17"/>
  <c r="L1488" i="17"/>
  <c r="N1487" i="17"/>
  <c r="M1487" i="17"/>
  <c r="L1487" i="17"/>
  <c r="N1486" i="17"/>
  <c r="M1486" i="17"/>
  <c r="L1486" i="17"/>
  <c r="N1485" i="17"/>
  <c r="M1485" i="17"/>
  <c r="L1485" i="17"/>
  <c r="N1484" i="17"/>
  <c r="M1484" i="17"/>
  <c r="L1484" i="17"/>
  <c r="N1483" i="17"/>
  <c r="M1483" i="17"/>
  <c r="L1483" i="17"/>
  <c r="N1482" i="17"/>
  <c r="M1482" i="17"/>
  <c r="L1482" i="17"/>
  <c r="N1481" i="17"/>
  <c r="M1481" i="17"/>
  <c r="L1481" i="17"/>
  <c r="N1480" i="17"/>
  <c r="M1480" i="17"/>
  <c r="L1480" i="17"/>
  <c r="N1479" i="17"/>
  <c r="M1479" i="17"/>
  <c r="L1479" i="17"/>
  <c r="N1478" i="17"/>
  <c r="M1478" i="17"/>
  <c r="L1478" i="17"/>
  <c r="N1477" i="17"/>
  <c r="M1477" i="17"/>
  <c r="L1477" i="17"/>
  <c r="N1476" i="17"/>
  <c r="M1476" i="17"/>
  <c r="L1476" i="17"/>
  <c r="N1475" i="17"/>
  <c r="M1475" i="17"/>
  <c r="L1475" i="17"/>
  <c r="N1474" i="17"/>
  <c r="M1474" i="17"/>
  <c r="L1474" i="17"/>
  <c r="N1473" i="17"/>
  <c r="M1473" i="17"/>
  <c r="L1473" i="17"/>
  <c r="N1472" i="17"/>
  <c r="M1472" i="17"/>
  <c r="L1472" i="17"/>
  <c r="N1471" i="17"/>
  <c r="M1471" i="17"/>
  <c r="L1471" i="17"/>
  <c r="N1470" i="17"/>
  <c r="M1470" i="17"/>
  <c r="L1470" i="17"/>
  <c r="N1469" i="17"/>
  <c r="M1469" i="17"/>
  <c r="L1469" i="17"/>
  <c r="N1468" i="17"/>
  <c r="M1468" i="17"/>
  <c r="L1468" i="17"/>
  <c r="N1467" i="17"/>
  <c r="M1467" i="17"/>
  <c r="L1467" i="17"/>
  <c r="N1466" i="17"/>
  <c r="M1466" i="17"/>
  <c r="L1466" i="17"/>
  <c r="N1465" i="17"/>
  <c r="M1465" i="17"/>
  <c r="L1465" i="17"/>
  <c r="N1464" i="17"/>
  <c r="M1464" i="17"/>
  <c r="L1464" i="17"/>
  <c r="N1463" i="17"/>
  <c r="M1463" i="17"/>
  <c r="L1463" i="17"/>
  <c r="N1462" i="17"/>
  <c r="M1462" i="17"/>
  <c r="L1462" i="17"/>
  <c r="N1461" i="17"/>
  <c r="M1461" i="17"/>
  <c r="L1461" i="17"/>
  <c r="N1460" i="17"/>
  <c r="M1460" i="17"/>
  <c r="L1460" i="17"/>
  <c r="N1459" i="17"/>
  <c r="M1459" i="17"/>
  <c r="L1459" i="17"/>
  <c r="N1458" i="17"/>
  <c r="M1458" i="17"/>
  <c r="L1458" i="17"/>
  <c r="N1457" i="17"/>
  <c r="M1457" i="17"/>
  <c r="L1457" i="17"/>
  <c r="N1456" i="17"/>
  <c r="M1456" i="17"/>
  <c r="L1456" i="17"/>
  <c r="N1455" i="17"/>
  <c r="M1455" i="17"/>
  <c r="L1455" i="17"/>
  <c r="N1454" i="17"/>
  <c r="M1454" i="17"/>
  <c r="L1454" i="17"/>
  <c r="N1453" i="17"/>
  <c r="M1453" i="17"/>
  <c r="L1453" i="17"/>
  <c r="N1452" i="17"/>
  <c r="M1452" i="17"/>
  <c r="L1452" i="17"/>
  <c r="N1451" i="17"/>
  <c r="M1451" i="17"/>
  <c r="L1451" i="17"/>
  <c r="N1450" i="17"/>
  <c r="M1450" i="17"/>
  <c r="L1450" i="17"/>
  <c r="N1449" i="17"/>
  <c r="M1449" i="17"/>
  <c r="L1449" i="17"/>
  <c r="N1448" i="17"/>
  <c r="M1448" i="17"/>
  <c r="L1448" i="17"/>
  <c r="N1447" i="17"/>
  <c r="M1447" i="17"/>
  <c r="L1447" i="17"/>
  <c r="N1446" i="17"/>
  <c r="M1446" i="17"/>
  <c r="L1446" i="17"/>
  <c r="N1445" i="17"/>
  <c r="M1445" i="17"/>
  <c r="L1445" i="17"/>
  <c r="N1444" i="17"/>
  <c r="M1444" i="17"/>
  <c r="L1444" i="17"/>
  <c r="N1443" i="17"/>
  <c r="M1443" i="17"/>
  <c r="L1443" i="17"/>
  <c r="N1442" i="17"/>
  <c r="M1442" i="17"/>
  <c r="L1442" i="17"/>
  <c r="N1441" i="17"/>
  <c r="M1441" i="17"/>
  <c r="L1441" i="17"/>
  <c r="N1440" i="17"/>
  <c r="M1440" i="17"/>
  <c r="L1440" i="17"/>
  <c r="N1439" i="17"/>
  <c r="M1439" i="17"/>
  <c r="L1439" i="17"/>
  <c r="N1438" i="17"/>
  <c r="M1438" i="17"/>
  <c r="L1438" i="17"/>
  <c r="N1437" i="17"/>
  <c r="M1437" i="17"/>
  <c r="L1437" i="17"/>
  <c r="N1436" i="17"/>
  <c r="M1436" i="17"/>
  <c r="L1436" i="17"/>
  <c r="N1435" i="17"/>
  <c r="M1435" i="17"/>
  <c r="L1435" i="17"/>
  <c r="N1434" i="17"/>
  <c r="M1434" i="17"/>
  <c r="L1434" i="17"/>
  <c r="N1433" i="17"/>
  <c r="M1433" i="17"/>
  <c r="L1433" i="17"/>
  <c r="N1432" i="17"/>
  <c r="M1432" i="17"/>
  <c r="L1432" i="17"/>
  <c r="N1431" i="17"/>
  <c r="M1431" i="17"/>
  <c r="L1431" i="17"/>
  <c r="N1430" i="17"/>
  <c r="M1430" i="17"/>
  <c r="L1430" i="17"/>
  <c r="N1429" i="17"/>
  <c r="M1429" i="17"/>
  <c r="L1429" i="17"/>
  <c r="N1428" i="17"/>
  <c r="M1428" i="17"/>
  <c r="L1428" i="17"/>
  <c r="N1427" i="17"/>
  <c r="M1427" i="17"/>
  <c r="L1427" i="17"/>
  <c r="N1426" i="17"/>
  <c r="M1426" i="17"/>
  <c r="L1426" i="17"/>
  <c r="N1425" i="17"/>
  <c r="M1425" i="17"/>
  <c r="L1425" i="17"/>
  <c r="N1424" i="17"/>
  <c r="M1424" i="17"/>
  <c r="L1424" i="17"/>
  <c r="N1423" i="17"/>
  <c r="M1423" i="17"/>
  <c r="L1423" i="17"/>
  <c r="N1422" i="17"/>
  <c r="M1422" i="17"/>
  <c r="L1422" i="17"/>
  <c r="N1421" i="17"/>
  <c r="M1421" i="17"/>
  <c r="L1421" i="17"/>
  <c r="N1420" i="17"/>
  <c r="M1420" i="17"/>
  <c r="L1420" i="17"/>
  <c r="N1419" i="17"/>
  <c r="M1419" i="17"/>
  <c r="L1419" i="17"/>
  <c r="N1418" i="17"/>
  <c r="M1418" i="17"/>
  <c r="L1418" i="17"/>
  <c r="N1417" i="17"/>
  <c r="M1417" i="17"/>
  <c r="L1417" i="17"/>
  <c r="N1416" i="17"/>
  <c r="M1416" i="17"/>
  <c r="L1416" i="17"/>
  <c r="N1415" i="17"/>
  <c r="M1415" i="17"/>
  <c r="L1415" i="17"/>
  <c r="N1414" i="17"/>
  <c r="M1414" i="17"/>
  <c r="L1414" i="17"/>
  <c r="N1413" i="17"/>
  <c r="M1413" i="17"/>
  <c r="L1413" i="17"/>
  <c r="N1412" i="17"/>
  <c r="M1412" i="17"/>
  <c r="L1412" i="17"/>
  <c r="N1411" i="17"/>
  <c r="M1411" i="17"/>
  <c r="L1411" i="17"/>
  <c r="N1410" i="17"/>
  <c r="M1410" i="17"/>
  <c r="L1410" i="17"/>
  <c r="N1409" i="17"/>
  <c r="M1409" i="17"/>
  <c r="L1409" i="17"/>
  <c r="N1408" i="17"/>
  <c r="M1408" i="17"/>
  <c r="L1408" i="17"/>
  <c r="N1407" i="17"/>
  <c r="M1407" i="17"/>
  <c r="L1407" i="17"/>
  <c r="N1406" i="17"/>
  <c r="M1406" i="17"/>
  <c r="L1406" i="17"/>
  <c r="N1405" i="17"/>
  <c r="M1405" i="17"/>
  <c r="L1405" i="17"/>
  <c r="N1404" i="17"/>
  <c r="M1404" i="17"/>
  <c r="L1404" i="17"/>
  <c r="N1403" i="17"/>
  <c r="M1403" i="17"/>
  <c r="L1403" i="17"/>
  <c r="N1402" i="17"/>
  <c r="M1402" i="17"/>
  <c r="L1402" i="17"/>
  <c r="N1401" i="17"/>
  <c r="M1401" i="17"/>
  <c r="L1401" i="17"/>
  <c r="N1400" i="17"/>
  <c r="M1400" i="17"/>
  <c r="L1400" i="17"/>
  <c r="N1399" i="17"/>
  <c r="M1399" i="17"/>
  <c r="L1399" i="17"/>
  <c r="N1398" i="17"/>
  <c r="M1398" i="17"/>
  <c r="L1398" i="17"/>
  <c r="N1397" i="17"/>
  <c r="M1397" i="17"/>
  <c r="L1397" i="17"/>
  <c r="N1396" i="17"/>
  <c r="M1396" i="17"/>
  <c r="L1396" i="17"/>
  <c r="N1395" i="17"/>
  <c r="M1395" i="17"/>
  <c r="L1395" i="17"/>
  <c r="N1394" i="17"/>
  <c r="M1394" i="17"/>
  <c r="L1394" i="17"/>
  <c r="N1393" i="17"/>
  <c r="M1393" i="17"/>
  <c r="L1393" i="17"/>
  <c r="N1392" i="17"/>
  <c r="M1392" i="17"/>
  <c r="L1392" i="17"/>
  <c r="N1391" i="17"/>
  <c r="M1391" i="17"/>
  <c r="L1391" i="17"/>
  <c r="N1390" i="17"/>
  <c r="M1390" i="17"/>
  <c r="L1390" i="17"/>
  <c r="N1389" i="17"/>
  <c r="M1389" i="17"/>
  <c r="L1389" i="17"/>
  <c r="N1388" i="17"/>
  <c r="M1388" i="17"/>
  <c r="L1388" i="17"/>
  <c r="N1387" i="17"/>
  <c r="M1387" i="17"/>
  <c r="L1387" i="17"/>
  <c r="N1386" i="17"/>
  <c r="M1386" i="17"/>
  <c r="L1386" i="17"/>
  <c r="N1385" i="17"/>
  <c r="M1385" i="17"/>
  <c r="L1385" i="17"/>
  <c r="N1384" i="17"/>
  <c r="M1384" i="17"/>
  <c r="L1384" i="17"/>
  <c r="N1383" i="17"/>
  <c r="M1383" i="17"/>
  <c r="L1383" i="17"/>
  <c r="N1382" i="17"/>
  <c r="M1382" i="17"/>
  <c r="L1382" i="17"/>
  <c r="N1381" i="17"/>
  <c r="M1381" i="17"/>
  <c r="L1381" i="17"/>
  <c r="N1380" i="17"/>
  <c r="M1380" i="17"/>
  <c r="L1380" i="17"/>
  <c r="N1379" i="17"/>
  <c r="M1379" i="17"/>
  <c r="L1379" i="17"/>
  <c r="N1378" i="17"/>
  <c r="M1378" i="17"/>
  <c r="L1378" i="17"/>
  <c r="N1377" i="17"/>
  <c r="M1377" i="17"/>
  <c r="L1377" i="17"/>
  <c r="N1376" i="17"/>
  <c r="M1376" i="17"/>
  <c r="L1376" i="17"/>
  <c r="N1375" i="17"/>
  <c r="M1375" i="17"/>
  <c r="L1375" i="17"/>
  <c r="N1374" i="17"/>
  <c r="M1374" i="17"/>
  <c r="L1374" i="17"/>
  <c r="I1987" i="17"/>
  <c r="I1986" i="17"/>
  <c r="I1985" i="17"/>
  <c r="I1984" i="17"/>
  <c r="I1983" i="17"/>
  <c r="I1982" i="17"/>
  <c r="I1981" i="17"/>
  <c r="I1980" i="17"/>
  <c r="I1979" i="17"/>
  <c r="I1978" i="17"/>
  <c r="I1977" i="17"/>
  <c r="I1976" i="17"/>
  <c r="I1975" i="17"/>
  <c r="I1974" i="17"/>
  <c r="I1973" i="17"/>
  <c r="I1972" i="17"/>
  <c r="I1971" i="17"/>
  <c r="I1970" i="17"/>
  <c r="I1969" i="17"/>
  <c r="I1968" i="17"/>
  <c r="I1967" i="17"/>
  <c r="I1966" i="17"/>
  <c r="I1965" i="17"/>
  <c r="I1964" i="17"/>
  <c r="I1963" i="17"/>
  <c r="I1962" i="17"/>
  <c r="I1961" i="17"/>
  <c r="I1960" i="17"/>
  <c r="I1959" i="17"/>
  <c r="I1958" i="17"/>
  <c r="I1957" i="17"/>
  <c r="I1956" i="17"/>
  <c r="I1955" i="17"/>
  <c r="I1954" i="17"/>
  <c r="I1953" i="17"/>
  <c r="I1952" i="17"/>
  <c r="I1951" i="17"/>
  <c r="I1950" i="17"/>
  <c r="I1949" i="17"/>
  <c r="I1948" i="17"/>
  <c r="I1947" i="17"/>
  <c r="I1946" i="17"/>
  <c r="I1945" i="17"/>
  <c r="I1944" i="17"/>
  <c r="I1943" i="17"/>
  <c r="I1942" i="17"/>
  <c r="I1941" i="17"/>
  <c r="I1940" i="17"/>
  <c r="I1939" i="17"/>
  <c r="I1938" i="17"/>
  <c r="I1937" i="17"/>
  <c r="I1936" i="17"/>
  <c r="I1935" i="17"/>
  <c r="I1934" i="17"/>
  <c r="I1933" i="17"/>
  <c r="I1932" i="17"/>
  <c r="I1931" i="17"/>
  <c r="I1930" i="17"/>
  <c r="I1929" i="17"/>
  <c r="I1928" i="17"/>
  <c r="I1927" i="17"/>
  <c r="I1926" i="17"/>
  <c r="I1925" i="17"/>
  <c r="I1924" i="17"/>
  <c r="I1923" i="17"/>
  <c r="I1922" i="17"/>
  <c r="I1921" i="17"/>
  <c r="I1920" i="17"/>
  <c r="I1919" i="17"/>
  <c r="I1918" i="17"/>
  <c r="I1917" i="17"/>
  <c r="I1916" i="17"/>
  <c r="I1915" i="17"/>
  <c r="I1914" i="17"/>
  <c r="I1913" i="17"/>
  <c r="I1912" i="17"/>
  <c r="I1911" i="17"/>
  <c r="I1910" i="17"/>
  <c r="I1909" i="17"/>
  <c r="I1908" i="17"/>
  <c r="I1907" i="17"/>
  <c r="I1906" i="17"/>
  <c r="I1905" i="17"/>
  <c r="I1904" i="17"/>
  <c r="I1903" i="17"/>
  <c r="I1902" i="17"/>
  <c r="I1901" i="17"/>
  <c r="I1900" i="17"/>
  <c r="I1899" i="17"/>
  <c r="I1898" i="17"/>
  <c r="I1897" i="17"/>
  <c r="I1896" i="17"/>
  <c r="I1895" i="17"/>
  <c r="I1894" i="17"/>
  <c r="I1893" i="17"/>
  <c r="I1892" i="17"/>
  <c r="I1891" i="17"/>
  <c r="I1890" i="17"/>
  <c r="I1889" i="17"/>
  <c r="I1888" i="17"/>
  <c r="I1887" i="17"/>
  <c r="I1886" i="17"/>
  <c r="I1885" i="17"/>
  <c r="I1884" i="17"/>
  <c r="I1883" i="17"/>
  <c r="I1882" i="17"/>
  <c r="I1881" i="17"/>
  <c r="I1880" i="17"/>
  <c r="I1879" i="17"/>
  <c r="I1878" i="17"/>
  <c r="I1877" i="17"/>
  <c r="I1876" i="17"/>
  <c r="I1875" i="17"/>
  <c r="I1874" i="17"/>
  <c r="I1873" i="17"/>
  <c r="I1872" i="17"/>
  <c r="I1871" i="17"/>
  <c r="I1870" i="17"/>
  <c r="I1869" i="17"/>
  <c r="I1868" i="17"/>
  <c r="I1867" i="17"/>
  <c r="I1866" i="17"/>
  <c r="I1865" i="17"/>
  <c r="I1864" i="17"/>
  <c r="I1863" i="17"/>
  <c r="I1862" i="17"/>
  <c r="I1861" i="17"/>
  <c r="I1860" i="17"/>
  <c r="I1859" i="17"/>
  <c r="I1858" i="17"/>
  <c r="I1857" i="17"/>
  <c r="I1856" i="17"/>
  <c r="I1855" i="17"/>
  <c r="I1854" i="17"/>
  <c r="I1853" i="17"/>
  <c r="I1852" i="17"/>
  <c r="I1851" i="17"/>
  <c r="I1850" i="17"/>
  <c r="I1849" i="17"/>
  <c r="I1848" i="17"/>
  <c r="I1847" i="17"/>
  <c r="I1846" i="17"/>
  <c r="I1845" i="17"/>
  <c r="I1844" i="17"/>
  <c r="I1843" i="17"/>
  <c r="I1842" i="17"/>
  <c r="I1840" i="17"/>
  <c r="I1839" i="17"/>
  <c r="I1838" i="17"/>
  <c r="I1837" i="17"/>
  <c r="I1836" i="17"/>
  <c r="I1835" i="17"/>
  <c r="I1834" i="17"/>
  <c r="I1833" i="17"/>
  <c r="I1832" i="17"/>
  <c r="I1831" i="17"/>
  <c r="I1830" i="17"/>
  <c r="I1829" i="17"/>
  <c r="I1828" i="17"/>
  <c r="I1827" i="17"/>
  <c r="I1826" i="17"/>
  <c r="I1825" i="17"/>
  <c r="I1824" i="17"/>
  <c r="I1823" i="17"/>
  <c r="I1822" i="17"/>
  <c r="I1821" i="17"/>
  <c r="I1820" i="17"/>
  <c r="I1819" i="17"/>
  <c r="I1818" i="17"/>
  <c r="I1817" i="17"/>
  <c r="I1816" i="17"/>
  <c r="I1815" i="17"/>
  <c r="I1814" i="17"/>
  <c r="I1813" i="17"/>
  <c r="I1812" i="17"/>
  <c r="I1811" i="17"/>
  <c r="I1810" i="17"/>
  <c r="I1809" i="17"/>
  <c r="I1808" i="17"/>
  <c r="I1807" i="17"/>
  <c r="I1806" i="17"/>
  <c r="I1805" i="17"/>
  <c r="I1804" i="17"/>
  <c r="I1803" i="17"/>
  <c r="I1802" i="17"/>
  <c r="I1801" i="17"/>
  <c r="I1800" i="17"/>
  <c r="I1799" i="17"/>
  <c r="I1798" i="17"/>
  <c r="I1797" i="17"/>
  <c r="I1796" i="17"/>
  <c r="I1795" i="17"/>
  <c r="I1794" i="17"/>
  <c r="I1793" i="17"/>
  <c r="I1792" i="17"/>
  <c r="I1791" i="17"/>
  <c r="I1790" i="17"/>
  <c r="I1789" i="17"/>
  <c r="I1788" i="17"/>
  <c r="I1787" i="17"/>
  <c r="I1786" i="17"/>
  <c r="I1785" i="17"/>
  <c r="I1784" i="17"/>
  <c r="I1783" i="17"/>
  <c r="I1782" i="17"/>
  <c r="I1781" i="17"/>
  <c r="I1780" i="17"/>
  <c r="I1779" i="17"/>
  <c r="I1778" i="17"/>
  <c r="I1777" i="17"/>
  <c r="I1776" i="17"/>
  <c r="I1775" i="17"/>
  <c r="I1774" i="17"/>
  <c r="I1773" i="17"/>
  <c r="I1772" i="17"/>
  <c r="I1771" i="17"/>
  <c r="I1770" i="17"/>
  <c r="I1769" i="17"/>
  <c r="I1768" i="17"/>
  <c r="I1767" i="17"/>
  <c r="I1766" i="17"/>
  <c r="I1765" i="17"/>
  <c r="I1764" i="17"/>
  <c r="I1763" i="17"/>
  <c r="I1762" i="17"/>
  <c r="I1761" i="17"/>
  <c r="I1760" i="17"/>
  <c r="I1759" i="17"/>
  <c r="I1758" i="17"/>
  <c r="I1757" i="17"/>
  <c r="I1756" i="17"/>
  <c r="I1755" i="17"/>
  <c r="I1754" i="17"/>
  <c r="I1753" i="17"/>
  <c r="I1752" i="17"/>
  <c r="I1751" i="17"/>
  <c r="I1750" i="17"/>
  <c r="I1749" i="17"/>
  <c r="I1748" i="17"/>
  <c r="I1747" i="17"/>
  <c r="I1746" i="17"/>
  <c r="I1745" i="17"/>
  <c r="I1744" i="17"/>
  <c r="I1743" i="17"/>
  <c r="I1742" i="17"/>
  <c r="I1741" i="17"/>
  <c r="I1740" i="17"/>
  <c r="I1739" i="17"/>
  <c r="I1738" i="17"/>
  <c r="I1737" i="17"/>
  <c r="I1736" i="17"/>
  <c r="I1735" i="17"/>
  <c r="I1734" i="17"/>
  <c r="I1733" i="17"/>
  <c r="I1732" i="17"/>
  <c r="I1731" i="17"/>
  <c r="I1730" i="17"/>
  <c r="I1729" i="17"/>
  <c r="I1728" i="17"/>
  <c r="I1727" i="17"/>
  <c r="I1726" i="17"/>
  <c r="I1725" i="17"/>
  <c r="I1724" i="17"/>
  <c r="I1723" i="17"/>
  <c r="I1722" i="17"/>
  <c r="I1721" i="17"/>
  <c r="I1720" i="17"/>
  <c r="I1719" i="17"/>
  <c r="I1718" i="17"/>
  <c r="I1717" i="17"/>
  <c r="I1716" i="17"/>
  <c r="I1715" i="17"/>
  <c r="I1714" i="17"/>
  <c r="I1713" i="17"/>
  <c r="I1712" i="17"/>
  <c r="I1711" i="17"/>
  <c r="I1710" i="17"/>
  <c r="I1709" i="17"/>
  <c r="I1708" i="17"/>
  <c r="I1707" i="17"/>
  <c r="I1706" i="17"/>
  <c r="I1705" i="17"/>
  <c r="I1704" i="17"/>
  <c r="I1703" i="17"/>
  <c r="I1702" i="17"/>
  <c r="I1701" i="17"/>
  <c r="I1700" i="17"/>
  <c r="I1699" i="17"/>
  <c r="I1698" i="17"/>
  <c r="I1697" i="17"/>
  <c r="I1696" i="17"/>
  <c r="I1695" i="17"/>
  <c r="I1694" i="17"/>
  <c r="I1693" i="17"/>
  <c r="I1692" i="17"/>
  <c r="I1691" i="17"/>
  <c r="I1690" i="17"/>
  <c r="I1689" i="17"/>
  <c r="I1688" i="17"/>
  <c r="I1687" i="17"/>
  <c r="I1686" i="17"/>
  <c r="I1685" i="17"/>
  <c r="I1684" i="17"/>
  <c r="I1683" i="17"/>
  <c r="I1682" i="17"/>
  <c r="I1681" i="17"/>
  <c r="I1680" i="17"/>
  <c r="I1679" i="17"/>
  <c r="I1678" i="17"/>
  <c r="I1677" i="17"/>
  <c r="I1676" i="17"/>
  <c r="I1675" i="17"/>
  <c r="I1674" i="17"/>
  <c r="I1673" i="17"/>
  <c r="I1672" i="17"/>
  <c r="I1671" i="17"/>
  <c r="I1670" i="17"/>
  <c r="I1669" i="17"/>
  <c r="I1668" i="17"/>
  <c r="I1666" i="17"/>
  <c r="I1665" i="17"/>
  <c r="I1664" i="17"/>
  <c r="I1663" i="17"/>
  <c r="I1662" i="17"/>
  <c r="I1661" i="17"/>
  <c r="I1660" i="17"/>
  <c r="I1659" i="17"/>
  <c r="I1658" i="17"/>
  <c r="I1657" i="17"/>
  <c r="I1656" i="17"/>
  <c r="I1655" i="17"/>
  <c r="I1654" i="17"/>
  <c r="I1653" i="17"/>
  <c r="I1652" i="17"/>
  <c r="I1651" i="17"/>
  <c r="I1650" i="17"/>
  <c r="I1649" i="17"/>
  <c r="I1648" i="17"/>
  <c r="I1647" i="17"/>
  <c r="I1646" i="17"/>
  <c r="I1645" i="17"/>
  <c r="I1644" i="17"/>
  <c r="I1643" i="17"/>
  <c r="I1642" i="17"/>
  <c r="I1641" i="17"/>
  <c r="I1640" i="17"/>
  <c r="I1639" i="17"/>
  <c r="I1638" i="17"/>
  <c r="I1637" i="17"/>
  <c r="I1636" i="17"/>
  <c r="I1635" i="17"/>
  <c r="I1634" i="17"/>
  <c r="I1633" i="17"/>
  <c r="I1632" i="17"/>
  <c r="I1631" i="17"/>
  <c r="I1630" i="17"/>
  <c r="I1629" i="17"/>
  <c r="I1628" i="17"/>
  <c r="I1627" i="17"/>
  <c r="I1626" i="17"/>
  <c r="I1625" i="17"/>
  <c r="I1624" i="17"/>
  <c r="I1623" i="17"/>
  <c r="I1622" i="17"/>
  <c r="I1621" i="17"/>
  <c r="I1620" i="17"/>
  <c r="I1619" i="17"/>
  <c r="I1618" i="17"/>
  <c r="I1617" i="17"/>
  <c r="I1616" i="17"/>
  <c r="I1615" i="17"/>
  <c r="I1614" i="17"/>
  <c r="I1613" i="17"/>
  <c r="I1612" i="17"/>
  <c r="I1611" i="17"/>
  <c r="I1610" i="17"/>
  <c r="I1609" i="17"/>
  <c r="I1608" i="17"/>
  <c r="I1607" i="17"/>
  <c r="I1606" i="17"/>
  <c r="I1605" i="17"/>
  <c r="I1604" i="17"/>
  <c r="I1603" i="17"/>
  <c r="I1602" i="17"/>
  <c r="I1601" i="17"/>
  <c r="I1600" i="17"/>
  <c r="I1599" i="17"/>
  <c r="I1598" i="17"/>
  <c r="I1597" i="17"/>
  <c r="I1596" i="17"/>
  <c r="I1595" i="17"/>
  <c r="I1594" i="17"/>
  <c r="I1593" i="17"/>
  <c r="I1592" i="17"/>
  <c r="I1591" i="17"/>
  <c r="I1590" i="17"/>
  <c r="I1589" i="17"/>
  <c r="I1588" i="17"/>
  <c r="I1587" i="17"/>
  <c r="I1586" i="17"/>
  <c r="I1585" i="17"/>
  <c r="I1584" i="17"/>
  <c r="I1583" i="17"/>
  <c r="I1582" i="17"/>
  <c r="I1581" i="17"/>
  <c r="I1580" i="17"/>
  <c r="I1579" i="17"/>
  <c r="I1578" i="17"/>
  <c r="I1577" i="17"/>
  <c r="I1576" i="17"/>
  <c r="I1575" i="17"/>
  <c r="I1574" i="17"/>
  <c r="I1573" i="17"/>
  <c r="I1572" i="17"/>
  <c r="I1571" i="17"/>
  <c r="I1570" i="17"/>
  <c r="I1569" i="17"/>
  <c r="I1568" i="17"/>
  <c r="I1567" i="17"/>
  <c r="I1566" i="17"/>
  <c r="I1565" i="17"/>
  <c r="I1564" i="17"/>
  <c r="I1563" i="17"/>
  <c r="I1562" i="17"/>
  <c r="I1561" i="17"/>
  <c r="I1560" i="17"/>
  <c r="I1559" i="17"/>
  <c r="I1558" i="17"/>
  <c r="I1557" i="17"/>
  <c r="I1556" i="17"/>
  <c r="I1555" i="17"/>
  <c r="I1554" i="17"/>
  <c r="I1553" i="17"/>
  <c r="I1552" i="17"/>
  <c r="I1551" i="17"/>
  <c r="I1550" i="17"/>
  <c r="I1549" i="17"/>
  <c r="I1548" i="17"/>
  <c r="I1547" i="17"/>
  <c r="I1546" i="17"/>
  <c r="I1545" i="17"/>
  <c r="I1544" i="17"/>
  <c r="I1543" i="17"/>
  <c r="I1542" i="17"/>
  <c r="I1541" i="17"/>
  <c r="I1540" i="17"/>
  <c r="I1539" i="17"/>
  <c r="I1538" i="17"/>
  <c r="I1537" i="17"/>
  <c r="I1536" i="17"/>
  <c r="I1535" i="17"/>
  <c r="I1534" i="17"/>
  <c r="I1533" i="17"/>
  <c r="I1532" i="17"/>
  <c r="I1531" i="17"/>
  <c r="I1530" i="17"/>
  <c r="I1529" i="17"/>
  <c r="I1528" i="17"/>
  <c r="I1527" i="17"/>
  <c r="I1526" i="17"/>
  <c r="I1525" i="17"/>
  <c r="I1524" i="17"/>
  <c r="I1523" i="17"/>
  <c r="I1522" i="17"/>
  <c r="I1521" i="17"/>
  <c r="R1987" i="17"/>
  <c r="R1986" i="17"/>
  <c r="R1985" i="17"/>
  <c r="R1984" i="17"/>
  <c r="R1983" i="17"/>
  <c r="R1982" i="17"/>
  <c r="R1981" i="17"/>
  <c r="R1980" i="17"/>
  <c r="R1979" i="17"/>
  <c r="R1978" i="17"/>
  <c r="R1977" i="17"/>
  <c r="R1976" i="17"/>
  <c r="R1975" i="17"/>
  <c r="R1974" i="17"/>
  <c r="R1973" i="17"/>
  <c r="R1972" i="17"/>
  <c r="R1971" i="17"/>
  <c r="R1970" i="17"/>
  <c r="R1969" i="17"/>
  <c r="R1968" i="17"/>
  <c r="R1967" i="17"/>
  <c r="R1966" i="17"/>
  <c r="R1965" i="17"/>
  <c r="R1964" i="17"/>
  <c r="R1963" i="17"/>
  <c r="R1962" i="17"/>
  <c r="R1961" i="17"/>
  <c r="R1960" i="17"/>
  <c r="R1959" i="17"/>
  <c r="R1958" i="17"/>
  <c r="R1957" i="17"/>
  <c r="R1956" i="17"/>
  <c r="R1955" i="17"/>
  <c r="R1954" i="17"/>
  <c r="R1953" i="17"/>
  <c r="R1952" i="17"/>
  <c r="R1951" i="17"/>
  <c r="R1950" i="17"/>
  <c r="R1949" i="17"/>
  <c r="R1948" i="17"/>
  <c r="R1947" i="17"/>
  <c r="R1946" i="17"/>
  <c r="R1945" i="17"/>
  <c r="R1944" i="17"/>
  <c r="R1943" i="17"/>
  <c r="R1942" i="17"/>
  <c r="R1941" i="17"/>
  <c r="R1940" i="17"/>
  <c r="R1939" i="17"/>
  <c r="R1938" i="17"/>
  <c r="R1937" i="17"/>
  <c r="R1936" i="17"/>
  <c r="R1935" i="17"/>
  <c r="R1934" i="17"/>
  <c r="R1933" i="17"/>
  <c r="R1932" i="17"/>
  <c r="R1931" i="17"/>
  <c r="R1930" i="17"/>
  <c r="R1929" i="17"/>
  <c r="R1928" i="17"/>
  <c r="R1927" i="17"/>
  <c r="R1926" i="17"/>
  <c r="R1925" i="17"/>
  <c r="R1924" i="17"/>
  <c r="R1923" i="17"/>
  <c r="R1922" i="17"/>
  <c r="R1921" i="17"/>
  <c r="R1920" i="17"/>
  <c r="R1919" i="17"/>
  <c r="R1918" i="17"/>
  <c r="R1917" i="17"/>
  <c r="R1916" i="17"/>
  <c r="R1915" i="17"/>
  <c r="R1914" i="17"/>
  <c r="R1913" i="17"/>
  <c r="R1912" i="17"/>
  <c r="R1911" i="17"/>
  <c r="R1910" i="17"/>
  <c r="R1909" i="17"/>
  <c r="R1908" i="17"/>
  <c r="R1907" i="17"/>
  <c r="R1906" i="17"/>
  <c r="R1905" i="17"/>
  <c r="R1904" i="17"/>
  <c r="R1903" i="17"/>
  <c r="R1902" i="17"/>
  <c r="R1901" i="17"/>
  <c r="R1900" i="17"/>
  <c r="R1899" i="17"/>
  <c r="R1898" i="17"/>
  <c r="R1897" i="17"/>
  <c r="R1896" i="17"/>
  <c r="R1895" i="17"/>
  <c r="R1894" i="17"/>
  <c r="R1893" i="17"/>
  <c r="R1892" i="17"/>
  <c r="R1891" i="17"/>
  <c r="R1890" i="17"/>
  <c r="R1889" i="17"/>
  <c r="R1888" i="17"/>
  <c r="R1887" i="17"/>
  <c r="R1886" i="17"/>
  <c r="R1885" i="17"/>
  <c r="R1884" i="17"/>
  <c r="R1883" i="17"/>
  <c r="R1882" i="17"/>
  <c r="R1881" i="17"/>
  <c r="R1880" i="17"/>
  <c r="R1879" i="17"/>
  <c r="R1878" i="17"/>
  <c r="R1877" i="17"/>
  <c r="R1876" i="17"/>
  <c r="R1875" i="17"/>
  <c r="R1874" i="17"/>
  <c r="R1873" i="17"/>
  <c r="R1872" i="17"/>
  <c r="R1871" i="17"/>
  <c r="R1870" i="17"/>
  <c r="R1869" i="17"/>
  <c r="R1868" i="17"/>
  <c r="R1867" i="17"/>
  <c r="R1866" i="17"/>
  <c r="R1865" i="17"/>
  <c r="R1864" i="17"/>
  <c r="R1863" i="17"/>
  <c r="R1862" i="17"/>
  <c r="R1861" i="17"/>
  <c r="R1860" i="17"/>
  <c r="R1859" i="17"/>
  <c r="R1858" i="17"/>
  <c r="R1857" i="17"/>
  <c r="R1856" i="17"/>
  <c r="R1855" i="17"/>
  <c r="R1854" i="17"/>
  <c r="R1853" i="17"/>
  <c r="R1852" i="17"/>
  <c r="R1851" i="17"/>
  <c r="R1850" i="17"/>
  <c r="R1849" i="17"/>
  <c r="R1848" i="17"/>
  <c r="R1847" i="17"/>
  <c r="R1846" i="17"/>
  <c r="R1845" i="17"/>
  <c r="R1844" i="17"/>
  <c r="R1843" i="17"/>
  <c r="R1842" i="17"/>
  <c r="R1841" i="17"/>
  <c r="R1840" i="17"/>
  <c r="R1839" i="17"/>
  <c r="R1838" i="17"/>
  <c r="R1837" i="17"/>
  <c r="R1836" i="17"/>
  <c r="R1835" i="17"/>
  <c r="R1834" i="17"/>
  <c r="R1833" i="17"/>
  <c r="R1832" i="17"/>
  <c r="R1831" i="17"/>
  <c r="R1830" i="17"/>
  <c r="R1829" i="17"/>
  <c r="R1828" i="17"/>
  <c r="R1827" i="17"/>
  <c r="R1826" i="17"/>
  <c r="R1825" i="17"/>
  <c r="R1824" i="17"/>
  <c r="R1823" i="17"/>
  <c r="R1822" i="17"/>
  <c r="R1821" i="17"/>
  <c r="R1820" i="17"/>
  <c r="R1819" i="17"/>
  <c r="R1818" i="17"/>
  <c r="R1817" i="17"/>
  <c r="R1816" i="17"/>
  <c r="R1815" i="17"/>
  <c r="R1814" i="17"/>
  <c r="R1813" i="17"/>
  <c r="R1812" i="17"/>
  <c r="R1811" i="17"/>
  <c r="R1810" i="17"/>
  <c r="R1809" i="17"/>
  <c r="R1808" i="17"/>
  <c r="R1807" i="17"/>
  <c r="R1806" i="17"/>
  <c r="R1805" i="17"/>
  <c r="R1804" i="17"/>
  <c r="R1803" i="17"/>
  <c r="R1802" i="17"/>
  <c r="R1801" i="17"/>
  <c r="R1800" i="17"/>
  <c r="R1799" i="17"/>
  <c r="R1798" i="17"/>
  <c r="R1797" i="17"/>
  <c r="R1796" i="17"/>
  <c r="R1795" i="17"/>
  <c r="R1794" i="17"/>
  <c r="R1793" i="17"/>
  <c r="R1792" i="17"/>
  <c r="R1791" i="17"/>
  <c r="R1790" i="17"/>
  <c r="R1789" i="17"/>
  <c r="R1788" i="17"/>
  <c r="R1787" i="17"/>
  <c r="R1786" i="17"/>
  <c r="R1785" i="17"/>
  <c r="R1784" i="17"/>
  <c r="R1783" i="17"/>
  <c r="R1782" i="17"/>
  <c r="R1781" i="17"/>
  <c r="R1780" i="17"/>
  <c r="R1779" i="17"/>
  <c r="R1778" i="17"/>
  <c r="R1777" i="17"/>
  <c r="R1776" i="17"/>
  <c r="R1775" i="17"/>
  <c r="R1774" i="17"/>
  <c r="R1773" i="17"/>
  <c r="R1772" i="17"/>
  <c r="R1771" i="17"/>
  <c r="R1770" i="17"/>
  <c r="R1769" i="17"/>
  <c r="R1768" i="17"/>
  <c r="R1767" i="17"/>
  <c r="R1766" i="17"/>
  <c r="R1765" i="17"/>
  <c r="R1764" i="17"/>
  <c r="R1763" i="17"/>
  <c r="R1762" i="17"/>
  <c r="R1761" i="17"/>
  <c r="R1760" i="17"/>
  <c r="R1759" i="17"/>
  <c r="R1758" i="17"/>
  <c r="R1757" i="17"/>
  <c r="R1756" i="17"/>
  <c r="R1755" i="17"/>
  <c r="R1754" i="17"/>
  <c r="R1753" i="17"/>
  <c r="R1752" i="17"/>
  <c r="R1751" i="17"/>
  <c r="R1750" i="17"/>
  <c r="R1749" i="17"/>
  <c r="R1748" i="17"/>
  <c r="R1747" i="17"/>
  <c r="R1746" i="17"/>
  <c r="R1745" i="17"/>
  <c r="R1744" i="17"/>
  <c r="R1743" i="17"/>
  <c r="R1742" i="17"/>
  <c r="R1741" i="17"/>
  <c r="R1740" i="17"/>
  <c r="R1739" i="17"/>
  <c r="R1738" i="17"/>
  <c r="R1737" i="17"/>
  <c r="R1736" i="17"/>
  <c r="R1735" i="17"/>
  <c r="R1734" i="17"/>
  <c r="R1733" i="17"/>
  <c r="R1732" i="17"/>
  <c r="R1731" i="17"/>
  <c r="R1730" i="17"/>
  <c r="R1729" i="17"/>
  <c r="R1728" i="17"/>
  <c r="R1727" i="17"/>
  <c r="R1726" i="17"/>
  <c r="R1725" i="17"/>
  <c r="R1724" i="17"/>
  <c r="R1723" i="17"/>
  <c r="R1722" i="17"/>
  <c r="R1721" i="17"/>
  <c r="R1720" i="17"/>
  <c r="R1719" i="17"/>
  <c r="R1718" i="17"/>
  <c r="R1717" i="17"/>
  <c r="R1716" i="17"/>
  <c r="R1715" i="17"/>
  <c r="R1714" i="17"/>
  <c r="R1713" i="17"/>
  <c r="R1712" i="17"/>
  <c r="R1711" i="17"/>
  <c r="R1710" i="17"/>
  <c r="R1709" i="17"/>
  <c r="R1708" i="17"/>
  <c r="R1707" i="17"/>
  <c r="R1706" i="17"/>
  <c r="R1705" i="17"/>
  <c r="R1704" i="17"/>
  <c r="R1703" i="17"/>
  <c r="R1702" i="17"/>
  <c r="R1701" i="17"/>
  <c r="R1700" i="17"/>
  <c r="R1699" i="17"/>
  <c r="R1698" i="17"/>
  <c r="R1697" i="17"/>
  <c r="R1696" i="17"/>
  <c r="R1695" i="17"/>
  <c r="R1694" i="17"/>
  <c r="R1693" i="17"/>
  <c r="R1692" i="17"/>
  <c r="R1691" i="17"/>
  <c r="R1690" i="17"/>
  <c r="R1689" i="17"/>
  <c r="R1688" i="17"/>
  <c r="R1687" i="17"/>
  <c r="R1686" i="17"/>
  <c r="R1685" i="17"/>
  <c r="R1684" i="17"/>
  <c r="R1683" i="17"/>
  <c r="R1682" i="17"/>
  <c r="R1681" i="17"/>
  <c r="R1680" i="17"/>
  <c r="R1679" i="17"/>
  <c r="R1678" i="17"/>
  <c r="R1677" i="17"/>
  <c r="R1676" i="17"/>
  <c r="R1675" i="17"/>
  <c r="R1674" i="17"/>
  <c r="R1673" i="17"/>
  <c r="R1672" i="17"/>
  <c r="R1671" i="17"/>
  <c r="R1670" i="17"/>
  <c r="R1669" i="17"/>
  <c r="R1668" i="17"/>
  <c r="R1667" i="17"/>
  <c r="R1666" i="17"/>
  <c r="R1665" i="17"/>
  <c r="R1664" i="17"/>
  <c r="R1663" i="17"/>
  <c r="R1662" i="17"/>
  <c r="R1661" i="17"/>
  <c r="R1660" i="17"/>
  <c r="R1659" i="17"/>
  <c r="R1658" i="17"/>
  <c r="R1657" i="17"/>
  <c r="R1656" i="17"/>
  <c r="R1655" i="17"/>
  <c r="R1654" i="17"/>
  <c r="R1653" i="17"/>
  <c r="R1652" i="17"/>
  <c r="R1651" i="17"/>
  <c r="R1650" i="17"/>
  <c r="R1649" i="17"/>
  <c r="R1648" i="17"/>
  <c r="R1647" i="17"/>
  <c r="R1646" i="17"/>
  <c r="R1645" i="17"/>
  <c r="R1644" i="17"/>
  <c r="R1643" i="17"/>
  <c r="R1642" i="17"/>
  <c r="R1641" i="17"/>
  <c r="R1640" i="17"/>
  <c r="R1639" i="17"/>
  <c r="R1638" i="17"/>
  <c r="R1637" i="17"/>
  <c r="R1636" i="17"/>
  <c r="R1635" i="17"/>
  <c r="R1634" i="17"/>
  <c r="R1633" i="17"/>
  <c r="R1632" i="17"/>
  <c r="R1631" i="17"/>
  <c r="R1630" i="17"/>
  <c r="R1629" i="17"/>
  <c r="R1628" i="17"/>
  <c r="R1627" i="17"/>
  <c r="R1626" i="17"/>
  <c r="R1625" i="17"/>
  <c r="R1624" i="17"/>
  <c r="R1623" i="17"/>
  <c r="R1622" i="17"/>
  <c r="R1621" i="17"/>
  <c r="R1620" i="17"/>
  <c r="R1619" i="17"/>
  <c r="R1618" i="17"/>
  <c r="R1617" i="17"/>
  <c r="R1616" i="17"/>
  <c r="R1615" i="17"/>
  <c r="R1614" i="17"/>
  <c r="R1613" i="17"/>
  <c r="R1612" i="17"/>
  <c r="R1611" i="17"/>
  <c r="R1610" i="17"/>
  <c r="R1609" i="17"/>
  <c r="R1608" i="17"/>
  <c r="R1607" i="17"/>
  <c r="R1606" i="17"/>
  <c r="R1605" i="17"/>
  <c r="R1604" i="17"/>
  <c r="R1603" i="17"/>
  <c r="R1602" i="17"/>
  <c r="R1601" i="17"/>
  <c r="R1600" i="17"/>
  <c r="R1599" i="17"/>
  <c r="R1598" i="17"/>
  <c r="R1597" i="17"/>
  <c r="R1596" i="17"/>
  <c r="R1595" i="17"/>
  <c r="R1594" i="17"/>
  <c r="R1593" i="17"/>
  <c r="R1592" i="17"/>
  <c r="R1591" i="17"/>
  <c r="R1590" i="17"/>
  <c r="R1589" i="17"/>
  <c r="R1588" i="17"/>
  <c r="R1587" i="17"/>
  <c r="R1586" i="17"/>
  <c r="R1585" i="17"/>
  <c r="R1584" i="17"/>
  <c r="R1583" i="17"/>
  <c r="R1582" i="17"/>
  <c r="R1581" i="17"/>
  <c r="R1580" i="17"/>
  <c r="R1579" i="17"/>
  <c r="R1578" i="17"/>
  <c r="R1577" i="17"/>
  <c r="R1576" i="17"/>
  <c r="R1575" i="17"/>
  <c r="R1574" i="17"/>
  <c r="R1573" i="17"/>
  <c r="R1572" i="17"/>
  <c r="R1571" i="17"/>
  <c r="R1570" i="17"/>
  <c r="R1569" i="17"/>
  <c r="R1568" i="17"/>
  <c r="R1567" i="17"/>
  <c r="R1566" i="17"/>
  <c r="R1565" i="17"/>
  <c r="R1564" i="17"/>
  <c r="R1563" i="17"/>
  <c r="R1562" i="17"/>
  <c r="R1561" i="17"/>
  <c r="R1560" i="17"/>
  <c r="R1559" i="17"/>
  <c r="R1558" i="17"/>
  <c r="R1557" i="17"/>
  <c r="R1556" i="17"/>
  <c r="R1555" i="17"/>
  <c r="R1554" i="17"/>
  <c r="R1553" i="17"/>
  <c r="R1552" i="17"/>
  <c r="R1551" i="17"/>
  <c r="R1550" i="17"/>
  <c r="R1549" i="17"/>
  <c r="R1548" i="17"/>
  <c r="R1547" i="17"/>
  <c r="R1546" i="17"/>
  <c r="R1545" i="17"/>
  <c r="R1544" i="17"/>
  <c r="R1543" i="17"/>
  <c r="R1542" i="17"/>
  <c r="R1541" i="17"/>
  <c r="R1540" i="17"/>
  <c r="R1539" i="17"/>
  <c r="R1538" i="17"/>
  <c r="R1537" i="17"/>
  <c r="R1536" i="17"/>
  <c r="R1535" i="17"/>
  <c r="R1534" i="17"/>
  <c r="R1533" i="17"/>
  <c r="R1532" i="17"/>
  <c r="R1531" i="17"/>
  <c r="R1530" i="17"/>
  <c r="R1529" i="17"/>
  <c r="R1528" i="17"/>
  <c r="R1527" i="17"/>
  <c r="R1526" i="17"/>
  <c r="R1525" i="17"/>
  <c r="R1524" i="17"/>
  <c r="R1523" i="17"/>
  <c r="R1522" i="17"/>
  <c r="R1521" i="17"/>
  <c r="R1520" i="17"/>
  <c r="K1985" i="17"/>
  <c r="K1948" i="17"/>
  <c r="K1912" i="17"/>
  <c r="K1911" i="17"/>
  <c r="K1900" i="17"/>
  <c r="K1821" i="17"/>
  <c r="K1820" i="17"/>
  <c r="K1805" i="17"/>
  <c r="K1804" i="17"/>
  <c r="K1803" i="17"/>
  <c r="J1795" i="17"/>
  <c r="K1791" i="17"/>
  <c r="K1781" i="17"/>
  <c r="K1772" i="17"/>
  <c r="K1743" i="17"/>
  <c r="J1737" i="17"/>
  <c r="K1730" i="17"/>
  <c r="J1712" i="17"/>
  <c r="K1611" i="17"/>
  <c r="K1584" i="17"/>
  <c r="K1580" i="17"/>
  <c r="K1576" i="17"/>
  <c r="K1572" i="17"/>
  <c r="K1556" i="17"/>
  <c r="J1523" i="17"/>
  <c r="K1488" i="17"/>
  <c r="K1422" i="17"/>
  <c r="K1380" i="17"/>
  <c r="K1378" i="17"/>
  <c r="R1253" i="1"/>
  <c r="M1253" i="1" s="1"/>
  <c r="N1253" i="1"/>
  <c r="L1253" i="1"/>
  <c r="R1252" i="1"/>
  <c r="N1252" i="1"/>
  <c r="M1252" i="1"/>
  <c r="P1252" i="1" s="1"/>
  <c r="L1252" i="1"/>
  <c r="R1251" i="1"/>
  <c r="M1251" i="1" s="1"/>
  <c r="N1251" i="1"/>
  <c r="L1251" i="1"/>
  <c r="R1250" i="1"/>
  <c r="N1250" i="1"/>
  <c r="M1250" i="1"/>
  <c r="P1250" i="1" s="1"/>
  <c r="L1250" i="1"/>
  <c r="R1249" i="1"/>
  <c r="M1249" i="1" s="1"/>
  <c r="N1249" i="1"/>
  <c r="L1249" i="1"/>
  <c r="R1248" i="1"/>
  <c r="N1248" i="1"/>
  <c r="P1248" i="1" s="1"/>
  <c r="M1248" i="1"/>
  <c r="L1248" i="1"/>
  <c r="R1247" i="1"/>
  <c r="M1247" i="1" s="1"/>
  <c r="N1247" i="1"/>
  <c r="P1247" i="1" s="1"/>
  <c r="L1247" i="1"/>
  <c r="R1246" i="1"/>
  <c r="N1246" i="1"/>
  <c r="P1246" i="1" s="1"/>
  <c r="M1246" i="1"/>
  <c r="L1246" i="1"/>
  <c r="R1245" i="1"/>
  <c r="M1245" i="1" s="1"/>
  <c r="N1245" i="1"/>
  <c r="L1245" i="1"/>
  <c r="R1244" i="1"/>
  <c r="N1244" i="1"/>
  <c r="P1244" i="1" s="1"/>
  <c r="M1244" i="1"/>
  <c r="L1244" i="1"/>
  <c r="R1243" i="1"/>
  <c r="M1243" i="1" s="1"/>
  <c r="N1243" i="1"/>
  <c r="P1243" i="1" s="1"/>
  <c r="L1243" i="1"/>
  <c r="R1242" i="1"/>
  <c r="M1242" i="1" s="1"/>
  <c r="N1242" i="1"/>
  <c r="L1242" i="1"/>
  <c r="R1241" i="1"/>
  <c r="M1241" i="1" s="1"/>
  <c r="N1241" i="1"/>
  <c r="P1241" i="1" s="1"/>
  <c r="L1241" i="1"/>
  <c r="R1240" i="1"/>
  <c r="M1240" i="1" s="1"/>
  <c r="N1240" i="1"/>
  <c r="L1240" i="1"/>
  <c r="R1239" i="1"/>
  <c r="N1239" i="1"/>
  <c r="P1239" i="1" s="1"/>
  <c r="M1239" i="1"/>
  <c r="L1239" i="1"/>
  <c r="R1238" i="1"/>
  <c r="M1238" i="1" s="1"/>
  <c r="N1238" i="1"/>
  <c r="P1238" i="1" s="1"/>
  <c r="L1238" i="1"/>
  <c r="R1237" i="1"/>
  <c r="N1237" i="1"/>
  <c r="P1237" i="1" s="1"/>
  <c r="M1237" i="1"/>
  <c r="L1237" i="1"/>
  <c r="R1236" i="1"/>
  <c r="M1236" i="1" s="1"/>
  <c r="N1236" i="1"/>
  <c r="L1236" i="1"/>
  <c r="R1235" i="1"/>
  <c r="N1235" i="1"/>
  <c r="P1235" i="1" s="1"/>
  <c r="M1235" i="1"/>
  <c r="L1235" i="1"/>
  <c r="R1234" i="1"/>
  <c r="M1234" i="1" s="1"/>
  <c r="N1234" i="1"/>
  <c r="P1234" i="1" s="1"/>
  <c r="L1234" i="1"/>
  <c r="R1233" i="1"/>
  <c r="N1233" i="1"/>
  <c r="P1233" i="1" s="1"/>
  <c r="M1233" i="1"/>
  <c r="L1233" i="1"/>
  <c r="R1232" i="1"/>
  <c r="M1232" i="1" s="1"/>
  <c r="N1232" i="1"/>
  <c r="L1232" i="1"/>
  <c r="R1231" i="1"/>
  <c r="N1231" i="1"/>
  <c r="P1231" i="1" s="1"/>
  <c r="M1231" i="1"/>
  <c r="L1231" i="1"/>
  <c r="R1230" i="1"/>
  <c r="M1230" i="1" s="1"/>
  <c r="N1230" i="1"/>
  <c r="P1230" i="1" s="1"/>
  <c r="L1230" i="1"/>
  <c r="R1229" i="1"/>
  <c r="N1229" i="1"/>
  <c r="P1229" i="1" s="1"/>
  <c r="M1229" i="1"/>
  <c r="L1229" i="1"/>
  <c r="R1228" i="1"/>
  <c r="M1228" i="1" s="1"/>
  <c r="N1228" i="1"/>
  <c r="L1228" i="1"/>
  <c r="R1227" i="1"/>
  <c r="N1227" i="1"/>
  <c r="P1227" i="1" s="1"/>
  <c r="M1227" i="1"/>
  <c r="L1227" i="1"/>
  <c r="R1226" i="1"/>
  <c r="M1226" i="1" s="1"/>
  <c r="N1226" i="1"/>
  <c r="P1226" i="1" s="1"/>
  <c r="L1226" i="1"/>
  <c r="R1225" i="1"/>
  <c r="N1225" i="1"/>
  <c r="M1225" i="1"/>
  <c r="P1225" i="1" s="1"/>
  <c r="L1225" i="1"/>
  <c r="R1224" i="1"/>
  <c r="M1224" i="1" s="1"/>
  <c r="N1224" i="1"/>
  <c r="L1224" i="1"/>
  <c r="R1223" i="1"/>
  <c r="N1223" i="1"/>
  <c r="M1223" i="1"/>
  <c r="P1223" i="1" s="1"/>
  <c r="L1223" i="1"/>
  <c r="R1222" i="1"/>
  <c r="M1222" i="1" s="1"/>
  <c r="N1222" i="1"/>
  <c r="P1222" i="1" s="1"/>
  <c r="L1222" i="1"/>
  <c r="R1221" i="1"/>
  <c r="L1221" i="1"/>
  <c r="R1220" i="1"/>
  <c r="L1220" i="1"/>
  <c r="R1219" i="1"/>
  <c r="N1219" i="1"/>
  <c r="M1219" i="1"/>
  <c r="P1219" i="1" s="1"/>
  <c r="L1219" i="1"/>
  <c r="R1218" i="1"/>
  <c r="M1218" i="1" s="1"/>
  <c r="N1218" i="1"/>
  <c r="P1218" i="1" s="1"/>
  <c r="L1218" i="1"/>
  <c r="R1217" i="1"/>
  <c r="N1217" i="1"/>
  <c r="M1217" i="1"/>
  <c r="P1217" i="1" s="1"/>
  <c r="L1217" i="1"/>
  <c r="R1216" i="1"/>
  <c r="M1216" i="1" s="1"/>
  <c r="N1216" i="1"/>
  <c r="L1216" i="1"/>
  <c r="R1215" i="1"/>
  <c r="N1215" i="1"/>
  <c r="M1215" i="1"/>
  <c r="P1215" i="1" s="1"/>
  <c r="L1215" i="1"/>
  <c r="R1214" i="1"/>
  <c r="M1214" i="1" s="1"/>
  <c r="N1214" i="1"/>
  <c r="P1214" i="1" s="1"/>
  <c r="L1214" i="1"/>
  <c r="R1213" i="1"/>
  <c r="N1213" i="1"/>
  <c r="M1213" i="1"/>
  <c r="P1213" i="1" s="1"/>
  <c r="L1213" i="1"/>
  <c r="R1212" i="1"/>
  <c r="M1212" i="1" s="1"/>
  <c r="N1212" i="1"/>
  <c r="L1212" i="1"/>
  <c r="R1211" i="1"/>
  <c r="N1211" i="1"/>
  <c r="M1211" i="1"/>
  <c r="P1211" i="1" s="1"/>
  <c r="L1211" i="1"/>
  <c r="R1210" i="1"/>
  <c r="M1210" i="1" s="1"/>
  <c r="N1210" i="1"/>
  <c r="P1210" i="1" s="1"/>
  <c r="L1210" i="1"/>
  <c r="R1209" i="1"/>
  <c r="N1209" i="1"/>
  <c r="M1209" i="1"/>
  <c r="P1209" i="1" s="1"/>
  <c r="L1209" i="1"/>
  <c r="R1208" i="1"/>
  <c r="M1208" i="1" s="1"/>
  <c r="N1208" i="1"/>
  <c r="L1208" i="1"/>
  <c r="R1207" i="1"/>
  <c r="N1207" i="1"/>
  <c r="M1207" i="1"/>
  <c r="P1207" i="1" s="1"/>
  <c r="L1207" i="1"/>
  <c r="R1206" i="1"/>
  <c r="M1206" i="1" s="1"/>
  <c r="N1206" i="1"/>
  <c r="P1206" i="1" s="1"/>
  <c r="L1206" i="1"/>
  <c r="R1205" i="1"/>
  <c r="N1205" i="1"/>
  <c r="M1205" i="1"/>
  <c r="P1205" i="1" s="1"/>
  <c r="L1205" i="1"/>
  <c r="R1204" i="1"/>
  <c r="M1204" i="1" s="1"/>
  <c r="N1204" i="1"/>
  <c r="L1204" i="1"/>
  <c r="R1203" i="1"/>
  <c r="N1203" i="1"/>
  <c r="M1203" i="1"/>
  <c r="P1203" i="1" s="1"/>
  <c r="L1203" i="1"/>
  <c r="R1202" i="1"/>
  <c r="M1202" i="1" s="1"/>
  <c r="N1202" i="1"/>
  <c r="P1202" i="1" s="1"/>
  <c r="L1202" i="1"/>
  <c r="R1201" i="1"/>
  <c r="N1201" i="1"/>
  <c r="M1201" i="1"/>
  <c r="P1201" i="1" s="1"/>
  <c r="L1201" i="1"/>
  <c r="R1200" i="1"/>
  <c r="M1200" i="1" s="1"/>
  <c r="N1200" i="1"/>
  <c r="L1200" i="1"/>
  <c r="R1199" i="1"/>
  <c r="N1199" i="1"/>
  <c r="M1199" i="1"/>
  <c r="P1199" i="1" s="1"/>
  <c r="L1199" i="1"/>
  <c r="R1198" i="1"/>
  <c r="M1198" i="1" s="1"/>
  <c r="N1198" i="1"/>
  <c r="P1198" i="1" s="1"/>
  <c r="L1198" i="1"/>
  <c r="R1197" i="1"/>
  <c r="N1197" i="1"/>
  <c r="M1197" i="1"/>
  <c r="P1197" i="1" s="1"/>
  <c r="L1197" i="1"/>
  <c r="R1196" i="1"/>
  <c r="M1196" i="1" s="1"/>
  <c r="N1196" i="1"/>
  <c r="L1196" i="1"/>
  <c r="R1195" i="1"/>
  <c r="N1195" i="1"/>
  <c r="M1195" i="1"/>
  <c r="P1195" i="1" s="1"/>
  <c r="L1195" i="1"/>
  <c r="R1194" i="1"/>
  <c r="M1194" i="1" s="1"/>
  <c r="N1194" i="1"/>
  <c r="P1194" i="1" s="1"/>
  <c r="L1194" i="1"/>
  <c r="R1193" i="1"/>
  <c r="N1193" i="1"/>
  <c r="M1193" i="1"/>
  <c r="P1193" i="1" s="1"/>
  <c r="L1193" i="1"/>
  <c r="R1192" i="1"/>
  <c r="M1192" i="1" s="1"/>
  <c r="N1192" i="1"/>
  <c r="L1192" i="1"/>
  <c r="R1191" i="1"/>
  <c r="N1191" i="1"/>
  <c r="M1191" i="1"/>
  <c r="P1191" i="1" s="1"/>
  <c r="L1191" i="1"/>
  <c r="R1190" i="1"/>
  <c r="M1190" i="1" s="1"/>
  <c r="N1190" i="1"/>
  <c r="P1190" i="1" s="1"/>
  <c r="L1190" i="1"/>
  <c r="R1189" i="1"/>
  <c r="N1189" i="1"/>
  <c r="M1189" i="1"/>
  <c r="P1189" i="1" s="1"/>
  <c r="L1189" i="1"/>
  <c r="R1188" i="1"/>
  <c r="M1188" i="1" s="1"/>
  <c r="N1188" i="1"/>
  <c r="L1188" i="1"/>
  <c r="R1187" i="1"/>
  <c r="N1187" i="1"/>
  <c r="M1187" i="1"/>
  <c r="P1187" i="1" s="1"/>
  <c r="L1187" i="1"/>
  <c r="R1186" i="1"/>
  <c r="M1186" i="1" s="1"/>
  <c r="N1186" i="1"/>
  <c r="P1186" i="1" s="1"/>
  <c r="L1186" i="1"/>
  <c r="R1185" i="1"/>
  <c r="N1185" i="1"/>
  <c r="M1185" i="1"/>
  <c r="P1185" i="1" s="1"/>
  <c r="L1185" i="1"/>
  <c r="R1184" i="1"/>
  <c r="M1184" i="1" s="1"/>
  <c r="N1184" i="1"/>
  <c r="L1184" i="1"/>
  <c r="R1183" i="1"/>
  <c r="N1183" i="1"/>
  <c r="M1183" i="1"/>
  <c r="P1183" i="1" s="1"/>
  <c r="L1183" i="1"/>
  <c r="R1182" i="1"/>
  <c r="M1182" i="1" s="1"/>
  <c r="N1182" i="1"/>
  <c r="P1182" i="1" s="1"/>
  <c r="L1182" i="1"/>
  <c r="R1181" i="1"/>
  <c r="N1181" i="1"/>
  <c r="M1181" i="1"/>
  <c r="P1181" i="1" s="1"/>
  <c r="L1181" i="1"/>
  <c r="R1180" i="1"/>
  <c r="M1180" i="1" s="1"/>
  <c r="N1180" i="1"/>
  <c r="L1180" i="1"/>
  <c r="R1179" i="1"/>
  <c r="N1179" i="1"/>
  <c r="M1179" i="1"/>
  <c r="P1179" i="1" s="1"/>
  <c r="L1179" i="1"/>
  <c r="R1178" i="1"/>
  <c r="M1178" i="1" s="1"/>
  <c r="N1178" i="1"/>
  <c r="P1178" i="1" s="1"/>
  <c r="L1178" i="1"/>
  <c r="R1177" i="1"/>
  <c r="N1177" i="1"/>
  <c r="M1177" i="1"/>
  <c r="P1177" i="1" s="1"/>
  <c r="L1177" i="1"/>
  <c r="R1176" i="1"/>
  <c r="M1176" i="1" s="1"/>
  <c r="N1176" i="1"/>
  <c r="L1176" i="1"/>
  <c r="R1175" i="1"/>
  <c r="N1175" i="1"/>
  <c r="M1175" i="1"/>
  <c r="P1175" i="1" s="1"/>
  <c r="L1175" i="1"/>
  <c r="R1174" i="1"/>
  <c r="M1174" i="1" s="1"/>
  <c r="N1174" i="1"/>
  <c r="P1174" i="1" s="1"/>
  <c r="L1174" i="1"/>
  <c r="R1173" i="1"/>
  <c r="N1173" i="1"/>
  <c r="M1173" i="1"/>
  <c r="P1173" i="1" s="1"/>
  <c r="L1173" i="1"/>
  <c r="R1172" i="1"/>
  <c r="M1172" i="1" s="1"/>
  <c r="N1172" i="1"/>
  <c r="P1172" i="1" s="1"/>
  <c r="L1172" i="1"/>
  <c r="R1171" i="1"/>
  <c r="N1171" i="1"/>
  <c r="M1171" i="1"/>
  <c r="P1171" i="1" s="1"/>
  <c r="L1171" i="1"/>
  <c r="R1170" i="1"/>
  <c r="M1170" i="1" s="1"/>
  <c r="N1170" i="1"/>
  <c r="P1170" i="1" s="1"/>
  <c r="L1170" i="1"/>
  <c r="R1169" i="1"/>
  <c r="N1169" i="1"/>
  <c r="M1169" i="1"/>
  <c r="P1169" i="1" s="1"/>
  <c r="L1169" i="1"/>
  <c r="R1168" i="1"/>
  <c r="M1168" i="1" s="1"/>
  <c r="N1168" i="1"/>
  <c r="P1168" i="1" s="1"/>
  <c r="L1168" i="1"/>
  <c r="R1167" i="1"/>
  <c r="N1167" i="1"/>
  <c r="M1167" i="1"/>
  <c r="P1167" i="1" s="1"/>
  <c r="L1167" i="1"/>
  <c r="R1166" i="1"/>
  <c r="M1166" i="1" s="1"/>
  <c r="L1166" i="1"/>
  <c r="R1165" i="1"/>
  <c r="N1165" i="1"/>
  <c r="M1165" i="1"/>
  <c r="P1165" i="1" s="1"/>
  <c r="L1165" i="1"/>
  <c r="R1164" i="1"/>
  <c r="M1164" i="1" s="1"/>
  <c r="L1164" i="1"/>
  <c r="R1163" i="1"/>
  <c r="N1163" i="1"/>
  <c r="M1163" i="1"/>
  <c r="P1163" i="1" s="1"/>
  <c r="L1163" i="1"/>
  <c r="R1162" i="1"/>
  <c r="M1162" i="1" s="1"/>
  <c r="N1162" i="1"/>
  <c r="L1162" i="1"/>
  <c r="R1161" i="1"/>
  <c r="N1161" i="1"/>
  <c r="M1161" i="1"/>
  <c r="P1161" i="1" s="1"/>
  <c r="L1161" i="1"/>
  <c r="R1160" i="1"/>
  <c r="M1160" i="1" s="1"/>
  <c r="N1160" i="1"/>
  <c r="L1160" i="1"/>
  <c r="R1159" i="1"/>
  <c r="N1159" i="1"/>
  <c r="M1159" i="1"/>
  <c r="P1159" i="1" s="1"/>
  <c r="L1159" i="1"/>
  <c r="R1158" i="1"/>
  <c r="M1158" i="1" s="1"/>
  <c r="N1158" i="1"/>
  <c r="L1158" i="1"/>
  <c r="R1157" i="1"/>
  <c r="N1157" i="1"/>
  <c r="M1157" i="1"/>
  <c r="P1157" i="1" s="1"/>
  <c r="L1157" i="1"/>
  <c r="R1156" i="1"/>
  <c r="M1156" i="1" s="1"/>
  <c r="N1156" i="1"/>
  <c r="L1156" i="1"/>
  <c r="R1155" i="1"/>
  <c r="N1155" i="1"/>
  <c r="M1155" i="1"/>
  <c r="P1155" i="1" s="1"/>
  <c r="L1155" i="1"/>
  <c r="R1154" i="1"/>
  <c r="M1154" i="1" s="1"/>
  <c r="N1154" i="1"/>
  <c r="L1154" i="1"/>
  <c r="R1153" i="1"/>
  <c r="N1153" i="1"/>
  <c r="M1153" i="1"/>
  <c r="P1153" i="1" s="1"/>
  <c r="L1153" i="1"/>
  <c r="R1152" i="1"/>
  <c r="M1152" i="1" s="1"/>
  <c r="N1152" i="1"/>
  <c r="L1152" i="1"/>
  <c r="R1151" i="1"/>
  <c r="N1151" i="1"/>
  <c r="M1151" i="1"/>
  <c r="P1151" i="1" s="1"/>
  <c r="L1151" i="1"/>
  <c r="R1150" i="1"/>
  <c r="M1150" i="1" s="1"/>
  <c r="N1150" i="1"/>
  <c r="P1150" i="1" s="1"/>
  <c r="L1150" i="1"/>
  <c r="R1149" i="1"/>
  <c r="N1149" i="1"/>
  <c r="M1149" i="1"/>
  <c r="P1149" i="1" s="1"/>
  <c r="L1149" i="1"/>
  <c r="R1148" i="1"/>
  <c r="M1148" i="1" s="1"/>
  <c r="N1148" i="1"/>
  <c r="L1148" i="1"/>
  <c r="R1147" i="1"/>
  <c r="N1147" i="1"/>
  <c r="P1147" i="1" s="1"/>
  <c r="M1147" i="1"/>
  <c r="L1147" i="1"/>
  <c r="R1146" i="1"/>
  <c r="M1146" i="1" s="1"/>
  <c r="N1146" i="1"/>
  <c r="P1146" i="1" s="1"/>
  <c r="L1146" i="1"/>
  <c r="R1145" i="1"/>
  <c r="N1145" i="1"/>
  <c r="P1145" i="1" s="1"/>
  <c r="M1145" i="1"/>
  <c r="L1145" i="1"/>
  <c r="R1144" i="1"/>
  <c r="M1144" i="1" s="1"/>
  <c r="N1144" i="1"/>
  <c r="L1144" i="1"/>
  <c r="R1143" i="1"/>
  <c r="N1143" i="1"/>
  <c r="M1143" i="1"/>
  <c r="P1143" i="1" s="1"/>
  <c r="L1143" i="1"/>
  <c r="R1142" i="1"/>
  <c r="M1142" i="1" s="1"/>
  <c r="N1142" i="1"/>
  <c r="P1142" i="1" s="1"/>
  <c r="L1142" i="1"/>
  <c r="R1141" i="1"/>
  <c r="N1141" i="1"/>
  <c r="M1141" i="1"/>
  <c r="P1141" i="1" s="1"/>
  <c r="L1141" i="1"/>
  <c r="R1140" i="1"/>
  <c r="M1140" i="1" s="1"/>
  <c r="N1140" i="1"/>
  <c r="L1140" i="1"/>
  <c r="R1139" i="1"/>
  <c r="N1139" i="1"/>
  <c r="P1139" i="1" s="1"/>
  <c r="M1139" i="1"/>
  <c r="L1139" i="1"/>
  <c r="R1138" i="1"/>
  <c r="M1138" i="1" s="1"/>
  <c r="N1138" i="1"/>
  <c r="P1138" i="1" s="1"/>
  <c r="L1138" i="1"/>
  <c r="R1137" i="1"/>
  <c r="N1137" i="1"/>
  <c r="P1137" i="1" s="1"/>
  <c r="M1137" i="1"/>
  <c r="L1137" i="1"/>
  <c r="R1136" i="1"/>
  <c r="M1136" i="1" s="1"/>
  <c r="N1136" i="1"/>
  <c r="L1136" i="1"/>
  <c r="R1135" i="1"/>
  <c r="N1135" i="1"/>
  <c r="M1135" i="1"/>
  <c r="P1135" i="1" s="1"/>
  <c r="L1135" i="1"/>
  <c r="R1134" i="1"/>
  <c r="M1134" i="1" s="1"/>
  <c r="N1134" i="1"/>
  <c r="P1134" i="1" s="1"/>
  <c r="L1134" i="1"/>
  <c r="R1133" i="1"/>
  <c r="N1133" i="1"/>
  <c r="M1133" i="1"/>
  <c r="P1133" i="1" s="1"/>
  <c r="L1133" i="1"/>
  <c r="R1132" i="1"/>
  <c r="M1132" i="1" s="1"/>
  <c r="N1132" i="1"/>
  <c r="L1132" i="1"/>
  <c r="R1131" i="1"/>
  <c r="N1131" i="1"/>
  <c r="M1131" i="1"/>
  <c r="P1131" i="1" s="1"/>
  <c r="L1131" i="1"/>
  <c r="R1130" i="1"/>
  <c r="M1130" i="1" s="1"/>
  <c r="N1130" i="1"/>
  <c r="P1130" i="1" s="1"/>
  <c r="L1130" i="1"/>
  <c r="R1129" i="1"/>
  <c r="N1129" i="1"/>
  <c r="M1129" i="1"/>
  <c r="P1129" i="1" s="1"/>
  <c r="L1129" i="1"/>
  <c r="R1128" i="1"/>
  <c r="M1128" i="1" s="1"/>
  <c r="N1128" i="1"/>
  <c r="L1128" i="1"/>
  <c r="R1127" i="1"/>
  <c r="N1127" i="1"/>
  <c r="P1127" i="1" s="1"/>
  <c r="M1127" i="1"/>
  <c r="L1127" i="1"/>
  <c r="R1126" i="1"/>
  <c r="M1126" i="1" s="1"/>
  <c r="N1126" i="1"/>
  <c r="P1126" i="1" s="1"/>
  <c r="L1126" i="1"/>
  <c r="R1125" i="1"/>
  <c r="N1125" i="1"/>
  <c r="M1125" i="1"/>
  <c r="P1125" i="1" s="1"/>
  <c r="L1125" i="1"/>
  <c r="R1124" i="1"/>
  <c r="M1124" i="1" s="1"/>
  <c r="N1124" i="1"/>
  <c r="L1124" i="1"/>
  <c r="R1123" i="1"/>
  <c r="N1123" i="1"/>
  <c r="M1123" i="1"/>
  <c r="P1123" i="1" s="1"/>
  <c r="L1123" i="1"/>
  <c r="R1122" i="1"/>
  <c r="M1122" i="1" s="1"/>
  <c r="N1122" i="1"/>
  <c r="P1122" i="1" s="1"/>
  <c r="L1122" i="1"/>
  <c r="R1121" i="1"/>
  <c r="N1121" i="1"/>
  <c r="M1121" i="1"/>
  <c r="P1121" i="1" s="1"/>
  <c r="L1121" i="1"/>
  <c r="R1120" i="1"/>
  <c r="M1120" i="1" s="1"/>
  <c r="N1120" i="1"/>
  <c r="L1120" i="1"/>
  <c r="R1119" i="1"/>
  <c r="N1119" i="1"/>
  <c r="M1119" i="1"/>
  <c r="P1119" i="1" s="1"/>
  <c r="L1119" i="1"/>
  <c r="R1118" i="1"/>
  <c r="M1118" i="1" s="1"/>
  <c r="N1118" i="1"/>
  <c r="P1118" i="1" s="1"/>
  <c r="L1118" i="1"/>
  <c r="I1280" i="1"/>
  <c r="I1279" i="1"/>
  <c r="I1278" i="1"/>
  <c r="I1277" i="1"/>
  <c r="I1276" i="1"/>
  <c r="I1275" i="1"/>
  <c r="I1274" i="1"/>
  <c r="I1273" i="1"/>
  <c r="I1272" i="1"/>
  <c r="I1271" i="1"/>
  <c r="I1270" i="1"/>
  <c r="I1269" i="1"/>
  <c r="I1268" i="1"/>
  <c r="I1267" i="1"/>
  <c r="I1266" i="1"/>
  <c r="I1265" i="1"/>
  <c r="I1264" i="1"/>
  <c r="I1263" i="1"/>
  <c r="I1262" i="1"/>
  <c r="I1261" i="1"/>
  <c r="I1260" i="1"/>
  <c r="I1259" i="1"/>
  <c r="I1258" i="1"/>
  <c r="I1257" i="1"/>
  <c r="I1256" i="1"/>
  <c r="I1255" i="1"/>
  <c r="I1254" i="1"/>
  <c r="I1253" i="1"/>
  <c r="I1252" i="1"/>
  <c r="I1251" i="1"/>
  <c r="I1250" i="1"/>
  <c r="I1249" i="1"/>
  <c r="I1248" i="1"/>
  <c r="I1247" i="1"/>
  <c r="I1246" i="1"/>
  <c r="I1245" i="1"/>
  <c r="I1244" i="1"/>
  <c r="I1243" i="1"/>
  <c r="I1242" i="1"/>
  <c r="I1241" i="1"/>
  <c r="I1240" i="1"/>
  <c r="I1239" i="1"/>
  <c r="I1238" i="1"/>
  <c r="I1237" i="1"/>
  <c r="I1236" i="1"/>
  <c r="I1235" i="1"/>
  <c r="I1234" i="1"/>
  <c r="I1233" i="1"/>
  <c r="I1232" i="1"/>
  <c r="I1231" i="1"/>
  <c r="I1230" i="1"/>
  <c r="I1229" i="1"/>
  <c r="I1228" i="1"/>
  <c r="I1227" i="1"/>
  <c r="I1226" i="1"/>
  <c r="I1225" i="1"/>
  <c r="I1224" i="1"/>
  <c r="I1223" i="1"/>
  <c r="I1222" i="1"/>
  <c r="I1221" i="1"/>
  <c r="N1221" i="1" s="1"/>
  <c r="I1220" i="1"/>
  <c r="N1220" i="1" s="1"/>
  <c r="I1219" i="1"/>
  <c r="I1218" i="1"/>
  <c r="I1217" i="1"/>
  <c r="I1216" i="1"/>
  <c r="I1215" i="1"/>
  <c r="I1214" i="1"/>
  <c r="I1213" i="1"/>
  <c r="I1212" i="1"/>
  <c r="I1211" i="1"/>
  <c r="I1210" i="1"/>
  <c r="I1209" i="1"/>
  <c r="I1208" i="1"/>
  <c r="I1207" i="1"/>
  <c r="I1206" i="1"/>
  <c r="I1205" i="1"/>
  <c r="I1204" i="1"/>
  <c r="I1203" i="1"/>
  <c r="I1202" i="1"/>
  <c r="I1201" i="1"/>
  <c r="I1200" i="1"/>
  <c r="I1199" i="1"/>
  <c r="I1198" i="1"/>
  <c r="I1197" i="1"/>
  <c r="I1196" i="1"/>
  <c r="I1195" i="1"/>
  <c r="I1194" i="1"/>
  <c r="I1193" i="1"/>
  <c r="I1192" i="1"/>
  <c r="I1191" i="1"/>
  <c r="I1190" i="1"/>
  <c r="I1189" i="1"/>
  <c r="I1188" i="1"/>
  <c r="I1187" i="1"/>
  <c r="I1186" i="1"/>
  <c r="I1185" i="1"/>
  <c r="I1184" i="1"/>
  <c r="I1183" i="1"/>
  <c r="I1182" i="1"/>
  <c r="I1181" i="1"/>
  <c r="I1180" i="1"/>
  <c r="I1179" i="1"/>
  <c r="I1178" i="1"/>
  <c r="I1177" i="1"/>
  <c r="I1176" i="1"/>
  <c r="I1175" i="1"/>
  <c r="I1174" i="1"/>
  <c r="I1173" i="1"/>
  <c r="I1172" i="1"/>
  <c r="I1171" i="1"/>
  <c r="I1170" i="1"/>
  <c r="I1169" i="1"/>
  <c r="I1168" i="1"/>
  <c r="I1167" i="1"/>
  <c r="I1166" i="1"/>
  <c r="I1165" i="1"/>
  <c r="I1164" i="1"/>
  <c r="I1163" i="1"/>
  <c r="I1162" i="1"/>
  <c r="I1161" i="1"/>
  <c r="I1160" i="1"/>
  <c r="I1159" i="1"/>
  <c r="I1158" i="1"/>
  <c r="I1157" i="1"/>
  <c r="I1156" i="1"/>
  <c r="I1155" i="1"/>
  <c r="I1154" i="1"/>
  <c r="I1153" i="1"/>
  <c r="I1152" i="1"/>
  <c r="I1151" i="1"/>
  <c r="I1150" i="1"/>
  <c r="I1149" i="1"/>
  <c r="I1148" i="1"/>
  <c r="I1147" i="1"/>
  <c r="I1146" i="1"/>
  <c r="I1145"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M1221" i="1" l="1"/>
  <c r="P1221" i="1" s="1"/>
  <c r="M1220" i="1"/>
  <c r="P1220" i="1" s="1"/>
  <c r="O1479" i="38"/>
  <c r="O1481" i="38"/>
  <c r="P1374" i="17"/>
  <c r="P1376" i="17"/>
  <c r="P1378" i="17"/>
  <c r="P1380" i="17"/>
  <c r="P1382" i="17"/>
  <c r="P1384" i="17"/>
  <c r="P1386" i="17"/>
  <c r="P1388" i="17"/>
  <c r="P1390" i="17"/>
  <c r="P1392" i="17"/>
  <c r="P1394" i="17"/>
  <c r="P1396" i="17"/>
  <c r="P1398" i="17"/>
  <c r="P1400" i="17"/>
  <c r="P1402" i="17"/>
  <c r="P1404" i="17"/>
  <c r="P1406" i="17"/>
  <c r="P1408" i="17"/>
  <c r="P1410" i="17"/>
  <c r="P1412" i="17"/>
  <c r="P1414" i="17"/>
  <c r="P1416" i="17"/>
  <c r="P1418" i="17"/>
  <c r="P1420" i="17"/>
  <c r="P1422" i="17"/>
  <c r="P1424" i="17"/>
  <c r="P1426" i="17"/>
  <c r="P1428" i="17"/>
  <c r="P1430" i="17"/>
  <c r="P1432" i="17"/>
  <c r="P1434" i="17"/>
  <c r="P1436" i="17"/>
  <c r="P1438" i="17"/>
  <c r="P1440" i="17"/>
  <c r="P1442" i="17"/>
  <c r="P1444" i="17"/>
  <c r="P1446" i="17"/>
  <c r="P1448" i="17"/>
  <c r="P1450" i="17"/>
  <c r="P1452" i="17"/>
  <c r="P1454" i="17"/>
  <c r="P1456" i="17"/>
  <c r="P1458" i="17"/>
  <c r="P1460" i="17"/>
  <c r="P1462" i="17"/>
  <c r="P1464" i="17"/>
  <c r="P1466" i="17"/>
  <c r="P1468" i="17"/>
  <c r="P1470" i="17"/>
  <c r="P1472" i="17"/>
  <c r="P1474" i="17"/>
  <c r="P1476" i="17"/>
  <c r="P1478" i="17"/>
  <c r="P1480" i="17"/>
  <c r="P1482" i="17"/>
  <c r="P1484" i="17"/>
  <c r="P1486" i="17"/>
  <c r="P1488" i="17"/>
  <c r="P1490" i="17"/>
  <c r="P1492" i="17"/>
  <c r="P1494" i="17"/>
  <c r="P1496" i="17"/>
  <c r="P1498" i="17"/>
  <c r="P1500" i="17"/>
  <c r="P1502" i="17"/>
  <c r="P1504" i="17"/>
  <c r="P1506" i="17"/>
  <c r="P1508" i="17"/>
  <c r="P1510" i="17"/>
  <c r="P1512" i="17"/>
  <c r="P1514" i="17"/>
  <c r="P1516" i="17"/>
  <c r="P1522" i="17"/>
  <c r="P1524" i="17"/>
  <c r="P1526" i="17"/>
  <c r="P1528" i="17"/>
  <c r="P1530" i="17"/>
  <c r="P1532" i="17"/>
  <c r="P1534" i="17"/>
  <c r="P1536" i="17"/>
  <c r="P1538" i="17"/>
  <c r="P1540" i="17"/>
  <c r="P1542" i="17"/>
  <c r="P1545" i="17"/>
  <c r="P1547" i="17"/>
  <c r="P1708" i="17"/>
  <c r="P1710" i="17"/>
  <c r="P1712" i="17"/>
  <c r="P1714" i="17"/>
  <c r="P1735" i="17"/>
  <c r="P1737" i="17"/>
  <c r="P1739" i="17"/>
  <c r="P1375" i="17"/>
  <c r="P1377" i="17"/>
  <c r="P1379" i="17"/>
  <c r="P1381" i="17"/>
  <c r="P1383" i="17"/>
  <c r="P1385" i="17"/>
  <c r="P1387" i="17"/>
  <c r="P1389" i="17"/>
  <c r="P1391" i="17"/>
  <c r="P1393" i="17"/>
  <c r="P1395" i="17"/>
  <c r="P1397" i="17"/>
  <c r="P1399" i="17"/>
  <c r="P1401" i="17"/>
  <c r="P1403" i="17"/>
  <c r="P1405" i="17"/>
  <c r="P1407" i="17"/>
  <c r="P1409" i="17"/>
  <c r="P1411" i="17"/>
  <c r="P1413" i="17"/>
  <c r="P1415" i="17"/>
  <c r="P1417" i="17"/>
  <c r="P1419" i="17"/>
  <c r="P1421" i="17"/>
  <c r="P1423" i="17"/>
  <c r="P1425" i="17"/>
  <c r="P1427" i="17"/>
  <c r="P1429" i="17"/>
  <c r="P1431" i="17"/>
  <c r="P1433" i="17"/>
  <c r="P1435" i="17"/>
  <c r="P1437" i="17"/>
  <c r="P1439" i="17"/>
  <c r="P1441" i="17"/>
  <c r="P1443" i="17"/>
  <c r="P1445" i="17"/>
  <c r="P1447" i="17"/>
  <c r="P1449" i="17"/>
  <c r="P1451" i="17"/>
  <c r="P1453" i="17"/>
  <c r="P1455" i="17"/>
  <c r="P1457" i="17"/>
  <c r="P1459" i="17"/>
  <c r="P1461" i="17"/>
  <c r="P1463" i="17"/>
  <c r="P1465" i="17"/>
  <c r="P1467" i="17"/>
  <c r="P1469" i="17"/>
  <c r="P1471" i="17"/>
  <c r="P1473" i="17"/>
  <c r="P1475" i="17"/>
  <c r="P1477" i="17"/>
  <c r="P1479" i="17"/>
  <c r="P1481" i="17"/>
  <c r="P1483" i="17"/>
  <c r="P1485" i="17"/>
  <c r="P1487" i="17"/>
  <c r="P1489" i="17"/>
  <c r="P1491" i="17"/>
  <c r="P1493" i="17"/>
  <c r="P1495" i="17"/>
  <c r="P1497" i="17"/>
  <c r="P1499" i="17"/>
  <c r="P1501" i="17"/>
  <c r="P1503" i="17"/>
  <c r="P1505" i="17"/>
  <c r="P1507" i="17"/>
  <c r="P1509" i="17"/>
  <c r="P1511" i="17"/>
  <c r="P1513" i="17"/>
  <c r="P1515" i="17"/>
  <c r="P1521" i="17"/>
  <c r="P1523" i="17"/>
  <c r="P1525" i="17"/>
  <c r="P1527" i="17"/>
  <c r="P1529" i="17"/>
  <c r="P1531" i="17"/>
  <c r="P1533" i="17"/>
  <c r="P1535" i="17"/>
  <c r="P1537" i="17"/>
  <c r="P1539" i="17"/>
  <c r="P1541" i="17"/>
  <c r="P1546" i="17"/>
  <c r="P1548" i="17"/>
  <c r="P1688" i="17"/>
  <c r="P1690" i="17"/>
  <c r="P1692" i="17"/>
  <c r="P1695" i="17"/>
  <c r="P1697" i="17"/>
  <c r="P1699" i="17"/>
  <c r="P1701" i="17"/>
  <c r="P1703" i="17"/>
  <c r="P1705" i="17"/>
  <c r="P1741" i="17"/>
  <c r="P1743" i="17"/>
  <c r="P1745" i="17"/>
  <c r="P1747" i="17"/>
  <c r="P1749" i="17"/>
  <c r="P1751" i="17"/>
  <c r="P1754" i="17"/>
  <c r="P1761" i="17"/>
  <c r="P1763" i="17"/>
  <c r="P1765" i="17"/>
  <c r="P1768" i="17"/>
  <c r="P1770" i="17"/>
  <c r="P1772" i="17"/>
  <c r="P1774" i="17"/>
  <c r="P1776" i="17"/>
  <c r="P1778" i="17"/>
  <c r="P1780" i="17"/>
  <c r="P1805" i="17"/>
  <c r="P1807" i="17"/>
  <c r="P1809" i="17"/>
  <c r="P1811" i="17"/>
  <c r="P1856" i="17"/>
  <c r="P1876" i="17"/>
  <c r="P1955" i="17"/>
  <c r="P1957" i="17"/>
  <c r="P1959" i="17"/>
  <c r="P1961" i="17"/>
  <c r="P1963" i="17"/>
  <c r="P1965" i="17"/>
  <c r="P1967" i="17"/>
  <c r="P1977" i="17"/>
  <c r="P1979" i="17"/>
  <c r="P1981" i="17"/>
  <c r="P1983" i="17"/>
  <c r="P1662" i="17"/>
  <c r="P1687" i="17"/>
  <c r="P1689" i="17"/>
  <c r="P1691" i="17"/>
  <c r="P1693" i="17"/>
  <c r="P1696" i="17"/>
  <c r="P1698" i="17"/>
  <c r="P1700" i="17"/>
  <c r="P1702" i="17"/>
  <c r="P1704" i="17"/>
  <c r="P1709" i="17"/>
  <c r="P1711" i="17"/>
  <c r="P1713" i="17"/>
  <c r="P1734" i="17"/>
  <c r="P1736" i="17"/>
  <c r="P1738" i="17"/>
  <c r="P1740" i="17"/>
  <c r="P1742" i="17"/>
  <c r="P1744" i="17"/>
  <c r="P1746" i="17"/>
  <c r="P1748" i="17"/>
  <c r="P1750" i="17"/>
  <c r="P1762" i="17"/>
  <c r="P1764" i="17"/>
  <c r="P1769" i="17"/>
  <c r="P1771" i="17"/>
  <c r="P1773" i="17"/>
  <c r="P1775" i="17"/>
  <c r="P1777" i="17"/>
  <c r="P1779" i="17"/>
  <c r="P1781" i="17"/>
  <c r="P1806" i="17"/>
  <c r="P1808" i="17"/>
  <c r="P1810" i="17"/>
  <c r="P1919" i="17"/>
  <c r="P1922" i="17"/>
  <c r="P1924" i="17"/>
  <c r="P1926" i="17"/>
  <c r="P1928" i="17"/>
  <c r="P1930" i="17"/>
  <c r="P1932" i="17"/>
  <c r="P1934" i="17"/>
  <c r="P1944" i="17"/>
  <c r="P1946" i="17"/>
  <c r="P1948" i="17"/>
  <c r="P1950" i="17"/>
  <c r="P1952" i="17"/>
  <c r="P1844" i="17"/>
  <c r="P1899" i="17"/>
  <c r="P1918" i="17"/>
  <c r="P1920" i="17"/>
  <c r="P1923" i="17"/>
  <c r="P1925" i="17"/>
  <c r="P1927" i="17"/>
  <c r="P1929" i="17"/>
  <c r="P1931" i="17"/>
  <c r="P1933" i="17"/>
  <c r="P1943" i="17"/>
  <c r="P1945" i="17"/>
  <c r="P1947" i="17"/>
  <c r="P1949" i="17"/>
  <c r="P1951" i="17"/>
  <c r="P1956" i="17"/>
  <c r="P1958" i="17"/>
  <c r="P1960" i="17"/>
  <c r="P1962" i="17"/>
  <c r="P1964" i="17"/>
  <c r="P1966" i="17"/>
  <c r="P1968" i="17"/>
  <c r="P1976" i="17"/>
  <c r="P1978" i="17"/>
  <c r="P1980" i="17"/>
  <c r="P1982" i="17"/>
  <c r="P1984" i="17"/>
  <c r="P1120" i="1"/>
  <c r="P1124" i="1"/>
  <c r="P1128" i="1"/>
  <c r="P1132" i="1"/>
  <c r="P1136" i="1"/>
  <c r="P1140" i="1"/>
  <c r="P1144" i="1"/>
  <c r="P1148" i="1"/>
  <c r="P1152" i="1"/>
  <c r="P1156" i="1"/>
  <c r="P1160" i="1"/>
  <c r="P1154" i="1"/>
  <c r="P1158" i="1"/>
  <c r="P1162" i="1"/>
  <c r="P1176" i="1"/>
  <c r="P1180" i="1"/>
  <c r="P1184" i="1"/>
  <c r="P1188" i="1"/>
  <c r="P1192" i="1"/>
  <c r="P1196" i="1"/>
  <c r="P1200" i="1"/>
  <c r="P1204" i="1"/>
  <c r="P1208" i="1"/>
  <c r="P1212" i="1"/>
  <c r="P1216" i="1"/>
  <c r="P1224" i="1"/>
  <c r="P1228" i="1"/>
  <c r="P1232" i="1"/>
  <c r="P1236" i="1"/>
  <c r="P1240" i="1"/>
  <c r="P1242" i="1"/>
  <c r="P1245" i="1"/>
  <c r="P1249" i="1"/>
  <c r="P1253" i="1"/>
  <c r="N1164" i="1"/>
  <c r="P1164" i="1" s="1"/>
  <c r="N1166" i="1"/>
  <c r="P1166" i="1" s="1"/>
  <c r="P1251" i="1"/>
  <c r="M140" i="47" l="1"/>
  <c r="L140" i="47"/>
  <c r="K140" i="47"/>
  <c r="J140" i="47"/>
  <c r="I140" i="47"/>
  <c r="H140" i="47"/>
  <c r="G140" i="47"/>
  <c r="F140" i="47"/>
  <c r="E140" i="47"/>
  <c r="D140" i="47"/>
  <c r="C140" i="47"/>
  <c r="M123" i="47"/>
  <c r="L123" i="47"/>
  <c r="K123" i="47"/>
  <c r="J123" i="47"/>
  <c r="I123" i="47"/>
  <c r="H123" i="47"/>
  <c r="G123" i="47"/>
  <c r="F123" i="47"/>
  <c r="E123" i="47"/>
  <c r="D123" i="47"/>
  <c r="B125" i="48"/>
  <c r="B182" i="48"/>
  <c r="B188" i="48"/>
  <c r="B192" i="48"/>
  <c r="B133" i="48"/>
  <c r="B142" i="48"/>
  <c r="B150" i="48"/>
  <c r="B155" i="48"/>
  <c r="B160" i="48"/>
  <c r="B170" i="48"/>
  <c r="C172" i="48"/>
  <c r="D172" i="48"/>
  <c r="E172" i="48"/>
  <c r="F172" i="48"/>
  <c r="G172" i="48"/>
  <c r="H172" i="48"/>
  <c r="I172" i="48"/>
  <c r="J172" i="48"/>
  <c r="K172" i="48"/>
  <c r="L172" i="48"/>
  <c r="M172" i="48"/>
  <c r="C173" i="48"/>
  <c r="D173" i="48"/>
  <c r="E173" i="48"/>
  <c r="F173" i="48"/>
  <c r="G173" i="48"/>
  <c r="H173" i="48"/>
  <c r="I173" i="48"/>
  <c r="J173" i="48"/>
  <c r="K173" i="48"/>
  <c r="L173" i="48"/>
  <c r="M173" i="48"/>
  <c r="C174" i="48"/>
  <c r="D174" i="48"/>
  <c r="E174" i="48"/>
  <c r="F174" i="48"/>
  <c r="G174" i="48"/>
  <c r="H174" i="48"/>
  <c r="I174" i="48"/>
  <c r="J174" i="48"/>
  <c r="K174" i="48"/>
  <c r="L174" i="48"/>
  <c r="M174" i="48"/>
  <c r="C175" i="48"/>
  <c r="D175" i="48"/>
  <c r="E175" i="48"/>
  <c r="F175" i="48"/>
  <c r="G175" i="48"/>
  <c r="H175" i="48"/>
  <c r="I175" i="48"/>
  <c r="J175" i="48"/>
  <c r="K175" i="48"/>
  <c r="L175" i="48"/>
  <c r="M175" i="48"/>
  <c r="C176" i="48"/>
  <c r="D176" i="48"/>
  <c r="E176" i="48"/>
  <c r="F176" i="48"/>
  <c r="G176" i="48"/>
  <c r="H176" i="48"/>
  <c r="I176" i="48"/>
  <c r="J176" i="48"/>
  <c r="K176" i="48"/>
  <c r="L176" i="48"/>
  <c r="M176" i="48"/>
  <c r="C177" i="48"/>
  <c r="D177" i="48"/>
  <c r="E177" i="48"/>
  <c r="F177" i="48"/>
  <c r="G177" i="48"/>
  <c r="H177" i="48"/>
  <c r="I177" i="48"/>
  <c r="J177" i="48"/>
  <c r="K177" i="48"/>
  <c r="L177" i="48"/>
  <c r="M177" i="48"/>
  <c r="C178" i="48"/>
  <c r="D178" i="48"/>
  <c r="E178" i="48"/>
  <c r="F178" i="48"/>
  <c r="G178" i="48"/>
  <c r="H178" i="48"/>
  <c r="I178" i="48"/>
  <c r="J178" i="48"/>
  <c r="K178" i="48"/>
  <c r="L178" i="48"/>
  <c r="M178" i="48"/>
  <c r="C179" i="48"/>
  <c r="D179" i="48"/>
  <c r="E179" i="48"/>
  <c r="F179" i="48"/>
  <c r="G179" i="48"/>
  <c r="H179" i="48"/>
  <c r="I179" i="48"/>
  <c r="J179" i="48"/>
  <c r="K179" i="48"/>
  <c r="L179" i="48"/>
  <c r="M179" i="48"/>
  <c r="B173" i="48"/>
  <c r="B174" i="48"/>
  <c r="B175" i="48"/>
  <c r="B176" i="48"/>
  <c r="B177" i="48"/>
  <c r="B178" i="48"/>
  <c r="B179" i="48"/>
  <c r="B172" i="48"/>
  <c r="C108" i="48"/>
  <c r="D108" i="48"/>
  <c r="E108" i="48"/>
  <c r="F108" i="48"/>
  <c r="G108" i="48"/>
  <c r="H108" i="48"/>
  <c r="I108" i="48"/>
  <c r="J108" i="48"/>
  <c r="K108" i="48"/>
  <c r="L108" i="48"/>
  <c r="M108" i="48"/>
  <c r="C109" i="48"/>
  <c r="D109" i="48"/>
  <c r="E109" i="48"/>
  <c r="F109" i="48"/>
  <c r="G109" i="48"/>
  <c r="H109" i="48"/>
  <c r="I109" i="48"/>
  <c r="J109" i="48"/>
  <c r="K109" i="48"/>
  <c r="L109" i="48"/>
  <c r="M109" i="48"/>
  <c r="C110" i="48"/>
  <c r="D110" i="48"/>
  <c r="E110" i="48"/>
  <c r="F110" i="48"/>
  <c r="G110" i="48"/>
  <c r="H110" i="48"/>
  <c r="I110" i="48"/>
  <c r="J110" i="48"/>
  <c r="K110" i="48"/>
  <c r="L110" i="48"/>
  <c r="M110" i="48"/>
  <c r="C111" i="48"/>
  <c r="D111" i="48"/>
  <c r="E111" i="48"/>
  <c r="F111" i="48"/>
  <c r="G111" i="48"/>
  <c r="H111" i="48"/>
  <c r="I111" i="48"/>
  <c r="J111" i="48"/>
  <c r="K111" i="48"/>
  <c r="L111" i="48"/>
  <c r="M111" i="48"/>
  <c r="C112" i="48"/>
  <c r="D112" i="48"/>
  <c r="E112" i="48"/>
  <c r="F112" i="48"/>
  <c r="G112" i="48"/>
  <c r="H112" i="48"/>
  <c r="I112" i="48"/>
  <c r="J112" i="48"/>
  <c r="K112" i="48"/>
  <c r="L112" i="48"/>
  <c r="M112" i="48"/>
  <c r="C113" i="48"/>
  <c r="D113" i="48"/>
  <c r="E113" i="48"/>
  <c r="F113" i="48"/>
  <c r="G113" i="48"/>
  <c r="H113" i="48"/>
  <c r="I113" i="48"/>
  <c r="J113" i="48"/>
  <c r="K113" i="48"/>
  <c r="L113" i="48"/>
  <c r="M113" i="48"/>
  <c r="C114" i="48"/>
  <c r="D114" i="48"/>
  <c r="E114" i="48"/>
  <c r="F114" i="48"/>
  <c r="G114" i="48"/>
  <c r="H114" i="48"/>
  <c r="I114" i="48"/>
  <c r="J114" i="48"/>
  <c r="K114" i="48"/>
  <c r="L114" i="48"/>
  <c r="M114" i="48"/>
  <c r="C115" i="48"/>
  <c r="D115" i="48"/>
  <c r="E115" i="48"/>
  <c r="F115" i="48"/>
  <c r="G115" i="48"/>
  <c r="H115" i="48"/>
  <c r="I115" i="48"/>
  <c r="J115" i="48"/>
  <c r="K115" i="48"/>
  <c r="L115" i="48"/>
  <c r="M115" i="48"/>
  <c r="C116" i="48"/>
  <c r="D116" i="48"/>
  <c r="E116" i="48"/>
  <c r="F116" i="48"/>
  <c r="G116" i="48"/>
  <c r="H116" i="48"/>
  <c r="I116" i="48"/>
  <c r="J116" i="48"/>
  <c r="K116" i="48"/>
  <c r="L116" i="48"/>
  <c r="M116" i="48"/>
  <c r="C117" i="48"/>
  <c r="D117" i="48"/>
  <c r="E117" i="48"/>
  <c r="F117" i="48"/>
  <c r="G117" i="48"/>
  <c r="H117" i="48"/>
  <c r="I117" i="48"/>
  <c r="J117" i="48"/>
  <c r="K117" i="48"/>
  <c r="L117" i="48"/>
  <c r="M117" i="48"/>
  <c r="B130" i="47"/>
  <c r="B108" i="48" s="1"/>
  <c r="L48" i="51"/>
  <c r="F49" i="51"/>
  <c r="J49" i="51"/>
  <c r="E49" i="51"/>
  <c r="E45" i="51"/>
  <c r="F45" i="51"/>
  <c r="G45" i="51"/>
  <c r="H45" i="51"/>
  <c r="I45" i="51"/>
  <c r="J45" i="51"/>
  <c r="K45" i="51"/>
  <c r="L45" i="51"/>
  <c r="D45" i="51"/>
  <c r="E42" i="51"/>
  <c r="F42" i="51"/>
  <c r="G42" i="51"/>
  <c r="H42" i="51"/>
  <c r="I42" i="51"/>
  <c r="J42" i="51"/>
  <c r="K42" i="51"/>
  <c r="L42" i="51"/>
  <c r="D42" i="51"/>
  <c r="F25" i="51"/>
  <c r="G25" i="51"/>
  <c r="G49" i="51" s="1"/>
  <c r="J25" i="51"/>
  <c r="D25" i="51"/>
  <c r="E25" i="51"/>
  <c r="E20" i="51"/>
  <c r="F20" i="51"/>
  <c r="G20" i="51"/>
  <c r="H20" i="51"/>
  <c r="I20" i="51"/>
  <c r="J20" i="51"/>
  <c r="K20" i="51"/>
  <c r="L20" i="51"/>
  <c r="D20" i="51"/>
  <c r="E16" i="51"/>
  <c r="F16" i="51"/>
  <c r="G16" i="51"/>
  <c r="H16" i="51"/>
  <c r="I16" i="51"/>
  <c r="J16" i="51"/>
  <c r="K16" i="51"/>
  <c r="L16" i="51"/>
  <c r="D16" i="51"/>
  <c r="E11" i="51"/>
  <c r="F11" i="51"/>
  <c r="G11" i="51"/>
  <c r="H11" i="51"/>
  <c r="I11" i="51"/>
  <c r="J11" i="51"/>
  <c r="K11" i="51"/>
  <c r="L11" i="51"/>
  <c r="D11" i="51"/>
  <c r="E7" i="51"/>
  <c r="F7" i="51"/>
  <c r="G7" i="51"/>
  <c r="H7" i="51"/>
  <c r="I7" i="51"/>
  <c r="J7" i="51"/>
  <c r="K7" i="51"/>
  <c r="L7" i="51"/>
  <c r="D7" i="51"/>
  <c r="J23" i="51"/>
  <c r="I23" i="51"/>
  <c r="K23" i="51" s="1"/>
  <c r="H23" i="51"/>
  <c r="J22" i="51"/>
  <c r="I22" i="51"/>
  <c r="K22" i="51" s="1"/>
  <c r="H22" i="51"/>
  <c r="L22" i="51" s="1"/>
  <c r="J21" i="51"/>
  <c r="I21" i="51"/>
  <c r="K21" i="51" s="1"/>
  <c r="H21" i="51"/>
  <c r="J47" i="51"/>
  <c r="I47" i="51"/>
  <c r="K47" i="51" s="1"/>
  <c r="H47" i="51"/>
  <c r="L47" i="51" s="1"/>
  <c r="J46" i="51"/>
  <c r="I46" i="51"/>
  <c r="K46" i="51" s="1"/>
  <c r="H46" i="51"/>
  <c r="B61" i="48"/>
  <c r="B60" i="48"/>
  <c r="B52" i="48"/>
  <c r="B57" i="48"/>
  <c r="XFD52" i="48"/>
  <c r="B88" i="48"/>
  <c r="B124" i="47"/>
  <c r="C170" i="47"/>
  <c r="D170" i="47"/>
  <c r="E170" i="47"/>
  <c r="F170" i="47"/>
  <c r="G170" i="47"/>
  <c r="H170" i="47"/>
  <c r="I170" i="47"/>
  <c r="J170" i="47"/>
  <c r="K170" i="47"/>
  <c r="L170" i="47"/>
  <c r="M170" i="47"/>
  <c r="C171" i="47"/>
  <c r="D171" i="47"/>
  <c r="E171" i="47"/>
  <c r="F171" i="47"/>
  <c r="G171" i="47"/>
  <c r="H171" i="47"/>
  <c r="I171" i="47"/>
  <c r="J171" i="47"/>
  <c r="K171" i="47"/>
  <c r="L171" i="47"/>
  <c r="M171" i="47"/>
  <c r="C172" i="47"/>
  <c r="D172" i="47"/>
  <c r="E172" i="47"/>
  <c r="F172" i="47"/>
  <c r="G172" i="47"/>
  <c r="H172" i="47"/>
  <c r="I172" i="47"/>
  <c r="J172" i="47"/>
  <c r="K172" i="47"/>
  <c r="L172" i="47"/>
  <c r="M172" i="47"/>
  <c r="C173" i="47"/>
  <c r="D173" i="47"/>
  <c r="E173" i="47"/>
  <c r="F173" i="47"/>
  <c r="G173" i="47"/>
  <c r="H173" i="47"/>
  <c r="I173" i="47"/>
  <c r="J173" i="47"/>
  <c r="K173" i="47"/>
  <c r="L173" i="47"/>
  <c r="M173" i="47"/>
  <c r="C174" i="47"/>
  <c r="D174" i="47"/>
  <c r="E174" i="47"/>
  <c r="F174" i="47"/>
  <c r="G174" i="47"/>
  <c r="H174" i="47"/>
  <c r="I174" i="47"/>
  <c r="J174" i="47"/>
  <c r="K174" i="47"/>
  <c r="L174" i="47"/>
  <c r="M174" i="47"/>
  <c r="C175" i="47"/>
  <c r="D175" i="47"/>
  <c r="E175" i="47"/>
  <c r="F175" i="47"/>
  <c r="G175" i="47"/>
  <c r="H175" i="47"/>
  <c r="I175" i="47"/>
  <c r="J175" i="47"/>
  <c r="K175" i="47"/>
  <c r="L175" i="47"/>
  <c r="M175" i="47"/>
  <c r="C176" i="47"/>
  <c r="D176" i="47"/>
  <c r="E176" i="47"/>
  <c r="F176" i="47"/>
  <c r="G176" i="47"/>
  <c r="H176" i="47"/>
  <c r="I176" i="47"/>
  <c r="J176" i="47"/>
  <c r="K176" i="47"/>
  <c r="L176" i="47"/>
  <c r="M176" i="47"/>
  <c r="C177" i="47"/>
  <c r="D177" i="47"/>
  <c r="E177" i="47"/>
  <c r="F177" i="47"/>
  <c r="G177" i="47"/>
  <c r="H177" i="47"/>
  <c r="I177" i="47"/>
  <c r="J177" i="47"/>
  <c r="K177" i="47"/>
  <c r="L177" i="47"/>
  <c r="M177" i="47"/>
  <c r="C178" i="47"/>
  <c r="D178" i="47"/>
  <c r="E178" i="47"/>
  <c r="F178" i="47"/>
  <c r="G178" i="47"/>
  <c r="H178" i="47"/>
  <c r="I178" i="47"/>
  <c r="J178" i="47"/>
  <c r="K178" i="47"/>
  <c r="L178" i="47"/>
  <c r="M178" i="47"/>
  <c r="C179" i="47"/>
  <c r="D179" i="47"/>
  <c r="E179" i="47"/>
  <c r="F179" i="47"/>
  <c r="G179" i="47"/>
  <c r="H179" i="47"/>
  <c r="I179" i="47"/>
  <c r="J179" i="47"/>
  <c r="K179" i="47"/>
  <c r="L179" i="47"/>
  <c r="M179" i="47"/>
  <c r="C180" i="47"/>
  <c r="D180" i="47"/>
  <c r="E180" i="47"/>
  <c r="F180" i="47"/>
  <c r="G180" i="47"/>
  <c r="H180" i="47"/>
  <c r="I180" i="47"/>
  <c r="J180" i="47"/>
  <c r="K180" i="47"/>
  <c r="L180" i="47"/>
  <c r="M180" i="47"/>
  <c r="C181" i="47"/>
  <c r="D181" i="47"/>
  <c r="E181" i="47"/>
  <c r="F181" i="47"/>
  <c r="G181" i="47"/>
  <c r="H181" i="47"/>
  <c r="I181" i="47"/>
  <c r="J181" i="47"/>
  <c r="K181" i="47"/>
  <c r="L181" i="47"/>
  <c r="M181" i="47"/>
  <c r="C182" i="47"/>
  <c r="D182" i="47"/>
  <c r="E182" i="47"/>
  <c r="F182" i="47"/>
  <c r="G182" i="47"/>
  <c r="H182" i="47"/>
  <c r="I182" i="47"/>
  <c r="J182" i="47"/>
  <c r="K182" i="47"/>
  <c r="L182" i="47"/>
  <c r="M182" i="47"/>
  <c r="C183" i="47"/>
  <c r="D183" i="47"/>
  <c r="E183" i="47"/>
  <c r="F183" i="47"/>
  <c r="G183" i="47"/>
  <c r="H183" i="47"/>
  <c r="I183" i="47"/>
  <c r="J183" i="47"/>
  <c r="K183" i="47"/>
  <c r="L183" i="47"/>
  <c r="M183" i="47"/>
  <c r="C184" i="47"/>
  <c r="D184" i="47"/>
  <c r="E184" i="47"/>
  <c r="F184" i="47"/>
  <c r="G184" i="47"/>
  <c r="H184" i="47"/>
  <c r="I184" i="47"/>
  <c r="J184" i="47"/>
  <c r="K184" i="47"/>
  <c r="L184" i="47"/>
  <c r="M184" i="47"/>
  <c r="C185" i="47"/>
  <c r="D185" i="47"/>
  <c r="E185" i="47"/>
  <c r="F185" i="47"/>
  <c r="G185" i="47"/>
  <c r="H185" i="47"/>
  <c r="I185" i="47"/>
  <c r="J185" i="47"/>
  <c r="K185" i="47"/>
  <c r="L185" i="47"/>
  <c r="M185" i="47"/>
  <c r="C186" i="47"/>
  <c r="D186" i="47"/>
  <c r="E186" i="47"/>
  <c r="F186" i="47"/>
  <c r="G186" i="47"/>
  <c r="H186" i="47"/>
  <c r="I186" i="47"/>
  <c r="J186" i="47"/>
  <c r="K186" i="47"/>
  <c r="L186" i="47"/>
  <c r="M186" i="47"/>
  <c r="C187" i="47"/>
  <c r="D187" i="47"/>
  <c r="E187" i="47"/>
  <c r="F187" i="47"/>
  <c r="G187" i="47"/>
  <c r="H187" i="47"/>
  <c r="I187" i="47"/>
  <c r="J187" i="47"/>
  <c r="K187" i="47"/>
  <c r="L187" i="47"/>
  <c r="M187" i="47"/>
  <c r="C188" i="47"/>
  <c r="D188" i="47"/>
  <c r="E188" i="47"/>
  <c r="F188" i="47"/>
  <c r="G188" i="47"/>
  <c r="H188" i="47"/>
  <c r="I188" i="47"/>
  <c r="J188" i="47"/>
  <c r="K188" i="47"/>
  <c r="L188" i="47"/>
  <c r="M188" i="47"/>
  <c r="C189" i="47"/>
  <c r="D189" i="47"/>
  <c r="E189" i="47"/>
  <c r="F189" i="47"/>
  <c r="G189" i="47"/>
  <c r="H189" i="47"/>
  <c r="I189" i="47"/>
  <c r="J189" i="47"/>
  <c r="K189" i="47"/>
  <c r="L189" i="47"/>
  <c r="M189" i="47"/>
  <c r="B189" i="47"/>
  <c r="B188" i="47"/>
  <c r="B187" i="47"/>
  <c r="B186" i="47"/>
  <c r="B185" i="47"/>
  <c r="B184" i="47"/>
  <c r="B183" i="47"/>
  <c r="B182" i="47"/>
  <c r="B181" i="47"/>
  <c r="B180" i="47"/>
  <c r="B179" i="47"/>
  <c r="B178" i="47"/>
  <c r="B177" i="47"/>
  <c r="B176" i="47"/>
  <c r="B175" i="47"/>
  <c r="B174" i="47"/>
  <c r="B173" i="47"/>
  <c r="B172" i="47"/>
  <c r="B171" i="47"/>
  <c r="B170" i="47"/>
  <c r="C146" i="47"/>
  <c r="D146" i="47"/>
  <c r="E146" i="47"/>
  <c r="F146" i="47"/>
  <c r="G146" i="47"/>
  <c r="H146" i="47"/>
  <c r="I146" i="47"/>
  <c r="J146" i="47"/>
  <c r="K146" i="47"/>
  <c r="L146" i="47"/>
  <c r="M146" i="47"/>
  <c r="C147" i="47"/>
  <c r="D147" i="47"/>
  <c r="E147" i="47"/>
  <c r="F147" i="47"/>
  <c r="G147" i="47"/>
  <c r="H147" i="47"/>
  <c r="I147" i="47"/>
  <c r="J147" i="47"/>
  <c r="K147" i="47"/>
  <c r="L147" i="47"/>
  <c r="M147" i="47"/>
  <c r="C148" i="47"/>
  <c r="D148" i="47"/>
  <c r="E148" i="47"/>
  <c r="F148" i="47"/>
  <c r="G148" i="47"/>
  <c r="H148" i="47"/>
  <c r="I148" i="47"/>
  <c r="J148" i="47"/>
  <c r="K148" i="47"/>
  <c r="L148" i="47"/>
  <c r="M148" i="47"/>
  <c r="C149" i="47"/>
  <c r="D149" i="47"/>
  <c r="E149" i="47"/>
  <c r="F149" i="47"/>
  <c r="G149" i="47"/>
  <c r="H149" i="47"/>
  <c r="I149" i="47"/>
  <c r="J149" i="47"/>
  <c r="K149" i="47"/>
  <c r="L149" i="47"/>
  <c r="M149" i="47"/>
  <c r="C150" i="47"/>
  <c r="D150" i="47"/>
  <c r="E150" i="47"/>
  <c r="F150" i="47"/>
  <c r="G150" i="47"/>
  <c r="H150" i="47"/>
  <c r="I150" i="47"/>
  <c r="J150" i="47"/>
  <c r="K150" i="47"/>
  <c r="L150" i="47"/>
  <c r="M150" i="47"/>
  <c r="C151" i="47"/>
  <c r="D151" i="47"/>
  <c r="E151" i="47"/>
  <c r="F151" i="47"/>
  <c r="G151" i="47"/>
  <c r="H151" i="47"/>
  <c r="I151" i="47"/>
  <c r="J151" i="47"/>
  <c r="K151" i="47"/>
  <c r="L151" i="47"/>
  <c r="M151" i="47"/>
  <c r="C152" i="47"/>
  <c r="D152" i="47"/>
  <c r="E152" i="47"/>
  <c r="F152" i="47"/>
  <c r="G152" i="47"/>
  <c r="H152" i="47"/>
  <c r="I152" i="47"/>
  <c r="J152" i="47"/>
  <c r="K152" i="47"/>
  <c r="L152" i="47"/>
  <c r="M152" i="47"/>
  <c r="C153" i="47"/>
  <c r="D153" i="47"/>
  <c r="E153" i="47"/>
  <c r="F153" i="47"/>
  <c r="G153" i="47"/>
  <c r="H153" i="47"/>
  <c r="I153" i="47"/>
  <c r="J153" i="47"/>
  <c r="K153" i="47"/>
  <c r="L153" i="47"/>
  <c r="M153" i="47"/>
  <c r="C154" i="47"/>
  <c r="D154" i="47"/>
  <c r="E154" i="47"/>
  <c r="F154" i="47"/>
  <c r="G154" i="47"/>
  <c r="H154" i="47"/>
  <c r="I154" i="47"/>
  <c r="J154" i="47"/>
  <c r="K154" i="47"/>
  <c r="L154" i="47"/>
  <c r="M154" i="47"/>
  <c r="C155" i="47"/>
  <c r="D155" i="47"/>
  <c r="E155" i="47"/>
  <c r="F155" i="47"/>
  <c r="G155" i="47"/>
  <c r="H155" i="47"/>
  <c r="I155" i="47"/>
  <c r="J155" i="47"/>
  <c r="K155" i="47"/>
  <c r="L155" i="47"/>
  <c r="M155" i="47"/>
  <c r="B155" i="47"/>
  <c r="B154" i="47"/>
  <c r="B153" i="47"/>
  <c r="B152" i="47"/>
  <c r="B151" i="47"/>
  <c r="B150" i="47"/>
  <c r="B149" i="47"/>
  <c r="B148" i="47"/>
  <c r="B147" i="47"/>
  <c r="B146" i="47"/>
  <c r="B139" i="47"/>
  <c r="B117" i="48" s="1"/>
  <c r="B138" i="47"/>
  <c r="B116" i="48" s="1"/>
  <c r="B137" i="47"/>
  <c r="B115" i="48" s="1"/>
  <c r="B136" i="47"/>
  <c r="B114" i="48" s="1"/>
  <c r="B135" i="47"/>
  <c r="B113" i="48" s="1"/>
  <c r="B134" i="47"/>
  <c r="B112" i="48" s="1"/>
  <c r="B133" i="47"/>
  <c r="B111" i="48" s="1"/>
  <c r="B132" i="47"/>
  <c r="B110" i="48" s="1"/>
  <c r="B131" i="47"/>
  <c r="B109" i="48" s="1"/>
  <c r="C106" i="47"/>
  <c r="D106" i="47"/>
  <c r="E106" i="47"/>
  <c r="F106" i="47"/>
  <c r="G106" i="47"/>
  <c r="H106" i="47"/>
  <c r="I106" i="47"/>
  <c r="J106" i="47"/>
  <c r="K106" i="47"/>
  <c r="L106" i="47"/>
  <c r="M106" i="47"/>
  <c r="C107" i="47"/>
  <c r="D107" i="47"/>
  <c r="E107" i="47"/>
  <c r="F107" i="47"/>
  <c r="G107" i="47"/>
  <c r="H107" i="47"/>
  <c r="I107" i="47"/>
  <c r="J107" i="47"/>
  <c r="K107" i="47"/>
  <c r="L107" i="47"/>
  <c r="M107" i="47"/>
  <c r="C108" i="47"/>
  <c r="D108" i="47"/>
  <c r="E108" i="47"/>
  <c r="F108" i="47"/>
  <c r="G108" i="47"/>
  <c r="H108" i="47"/>
  <c r="I108" i="47"/>
  <c r="J108" i="47"/>
  <c r="K108" i="47"/>
  <c r="L108" i="47"/>
  <c r="M108" i="47"/>
  <c r="B108" i="47"/>
  <c r="B107" i="47"/>
  <c r="B106" i="47"/>
  <c r="C95" i="47"/>
  <c r="D95" i="47"/>
  <c r="E95" i="47"/>
  <c r="F95" i="47"/>
  <c r="G95" i="47"/>
  <c r="H95" i="47"/>
  <c r="I95" i="47"/>
  <c r="J95" i="47"/>
  <c r="K95" i="47"/>
  <c r="L95" i="47"/>
  <c r="M95" i="47"/>
  <c r="C96" i="47"/>
  <c r="D96" i="47"/>
  <c r="E96" i="47"/>
  <c r="F96" i="47"/>
  <c r="G96" i="47"/>
  <c r="H96" i="47"/>
  <c r="I96" i="47"/>
  <c r="J96" i="47"/>
  <c r="K96" i="47"/>
  <c r="L96" i="47"/>
  <c r="M96" i="47"/>
  <c r="C97" i="47"/>
  <c r="D97" i="47"/>
  <c r="E97" i="47"/>
  <c r="F97" i="47"/>
  <c r="G97" i="47"/>
  <c r="H97" i="47"/>
  <c r="I97" i="47"/>
  <c r="J97" i="47"/>
  <c r="K97" i="47"/>
  <c r="L97" i="47"/>
  <c r="M97" i="47"/>
  <c r="C98" i="47"/>
  <c r="D98" i="47"/>
  <c r="E98" i="47"/>
  <c r="F98" i="47"/>
  <c r="G98" i="47"/>
  <c r="H98" i="47"/>
  <c r="I98" i="47"/>
  <c r="J98" i="47"/>
  <c r="K98" i="47"/>
  <c r="L98" i="47"/>
  <c r="M98" i="47"/>
  <c r="C99" i="47"/>
  <c r="D99" i="47"/>
  <c r="E99" i="47"/>
  <c r="F99" i="47"/>
  <c r="G99" i="47"/>
  <c r="H99" i="47"/>
  <c r="I99" i="47"/>
  <c r="J99" i="47"/>
  <c r="K99" i="47"/>
  <c r="L99" i="47"/>
  <c r="M99" i="47"/>
  <c r="C100" i="47"/>
  <c r="D100" i="47"/>
  <c r="E100" i="47"/>
  <c r="F100" i="47"/>
  <c r="G100" i="47"/>
  <c r="H100" i="47"/>
  <c r="I100" i="47"/>
  <c r="J100" i="47"/>
  <c r="K100" i="47"/>
  <c r="L100" i="47"/>
  <c r="M100" i="47"/>
  <c r="C101" i="47"/>
  <c r="D101" i="47"/>
  <c r="E101" i="47"/>
  <c r="F101" i="47"/>
  <c r="G101" i="47"/>
  <c r="H101" i="47"/>
  <c r="I101" i="47"/>
  <c r="J101" i="47"/>
  <c r="K101" i="47"/>
  <c r="L101" i="47"/>
  <c r="M101" i="47"/>
  <c r="B101" i="47"/>
  <c r="B100" i="47"/>
  <c r="B99" i="47"/>
  <c r="B98" i="47"/>
  <c r="B97" i="47"/>
  <c r="B96" i="47"/>
  <c r="B95" i="47"/>
  <c r="C43" i="47"/>
  <c r="D43" i="47"/>
  <c r="E43" i="47"/>
  <c r="F43" i="47"/>
  <c r="G43" i="47"/>
  <c r="H43" i="47"/>
  <c r="I43" i="47"/>
  <c r="J43" i="47"/>
  <c r="K43" i="47"/>
  <c r="L43" i="47"/>
  <c r="M43" i="47"/>
  <c r="C44" i="47"/>
  <c r="D44" i="47"/>
  <c r="E44" i="47"/>
  <c r="F44" i="47"/>
  <c r="G44" i="47"/>
  <c r="H44" i="47"/>
  <c r="I44" i="47"/>
  <c r="J44" i="47"/>
  <c r="K44" i="47"/>
  <c r="L44" i="47"/>
  <c r="M44" i="47"/>
  <c r="C45" i="47"/>
  <c r="D45" i="47"/>
  <c r="E45" i="47"/>
  <c r="F45" i="47"/>
  <c r="G45" i="47"/>
  <c r="H45" i="47"/>
  <c r="I45" i="47"/>
  <c r="J45" i="47"/>
  <c r="K45" i="47"/>
  <c r="L45" i="47"/>
  <c r="M45" i="47"/>
  <c r="C46" i="47"/>
  <c r="D46" i="47"/>
  <c r="E46" i="47"/>
  <c r="F46" i="47"/>
  <c r="G46" i="47"/>
  <c r="H46" i="47"/>
  <c r="I46" i="47"/>
  <c r="J46" i="47"/>
  <c r="K46" i="47"/>
  <c r="L46" i="47"/>
  <c r="M46" i="47"/>
  <c r="B46" i="47"/>
  <c r="B45" i="47"/>
  <c r="B44" i="47"/>
  <c r="B43" i="47"/>
  <c r="C34" i="47"/>
  <c r="D34" i="47"/>
  <c r="E34" i="47"/>
  <c r="F34" i="47"/>
  <c r="G34" i="47"/>
  <c r="H34" i="47"/>
  <c r="I34" i="47"/>
  <c r="J34" i="47"/>
  <c r="K34" i="47"/>
  <c r="L34" i="47"/>
  <c r="M34" i="47"/>
  <c r="C35" i="47"/>
  <c r="D35" i="47"/>
  <c r="E35" i="47"/>
  <c r="F35" i="47"/>
  <c r="G35" i="47"/>
  <c r="H35" i="47"/>
  <c r="I35" i="47"/>
  <c r="J35" i="47"/>
  <c r="K35" i="47"/>
  <c r="L35" i="47"/>
  <c r="M35" i="47"/>
  <c r="C36" i="47"/>
  <c r="D36" i="47"/>
  <c r="E36" i="47"/>
  <c r="F36" i="47"/>
  <c r="G36" i="47"/>
  <c r="H36" i="47"/>
  <c r="I36" i="47"/>
  <c r="J36" i="47"/>
  <c r="K36" i="47"/>
  <c r="L36" i="47"/>
  <c r="M36" i="47"/>
  <c r="C37" i="47"/>
  <c r="D37" i="47"/>
  <c r="E37" i="47"/>
  <c r="F37" i="47"/>
  <c r="G37" i="47"/>
  <c r="H37" i="47"/>
  <c r="I37" i="47"/>
  <c r="J37" i="47"/>
  <c r="K37" i="47"/>
  <c r="L37" i="47"/>
  <c r="M37" i="47"/>
  <c r="C38" i="47"/>
  <c r="D38" i="47"/>
  <c r="E38" i="47"/>
  <c r="F38" i="47"/>
  <c r="G38" i="47"/>
  <c r="H38" i="47"/>
  <c r="I38" i="47"/>
  <c r="J38" i="47"/>
  <c r="K38" i="47"/>
  <c r="L38" i="47"/>
  <c r="M38" i="47"/>
  <c r="C39" i="47"/>
  <c r="D39" i="47"/>
  <c r="E39" i="47"/>
  <c r="F39" i="47"/>
  <c r="G39" i="47"/>
  <c r="H39" i="47"/>
  <c r="I39" i="47"/>
  <c r="J39" i="47"/>
  <c r="K39" i="47"/>
  <c r="L39" i="47"/>
  <c r="M39" i="47"/>
  <c r="C40" i="47"/>
  <c r="D40" i="47"/>
  <c r="E40" i="47"/>
  <c r="F40" i="47"/>
  <c r="G40" i="47"/>
  <c r="H40" i="47"/>
  <c r="I40" i="47"/>
  <c r="J40" i="47"/>
  <c r="K40" i="47"/>
  <c r="L40" i="47"/>
  <c r="M40" i="47"/>
  <c r="B40" i="47"/>
  <c r="B39" i="47"/>
  <c r="B38" i="47"/>
  <c r="B37" i="47"/>
  <c r="B36" i="47"/>
  <c r="B35" i="47"/>
  <c r="B34" i="47"/>
  <c r="C6" i="47"/>
  <c r="D6" i="47"/>
  <c r="E6" i="47"/>
  <c r="F6" i="47"/>
  <c r="G6" i="47"/>
  <c r="H6" i="47"/>
  <c r="I6" i="47"/>
  <c r="J6" i="47"/>
  <c r="K6" i="47"/>
  <c r="L6" i="47"/>
  <c r="M6" i="47"/>
  <c r="C7" i="47"/>
  <c r="D7" i="47"/>
  <c r="E7" i="47"/>
  <c r="F7" i="47"/>
  <c r="G7" i="47"/>
  <c r="H7" i="47"/>
  <c r="I7" i="47"/>
  <c r="J7" i="47"/>
  <c r="K7" i="47"/>
  <c r="L7" i="47"/>
  <c r="M7" i="47"/>
  <c r="B7" i="47"/>
  <c r="B6" i="47"/>
  <c r="B5" i="47"/>
  <c r="B15" i="47"/>
  <c r="B116" i="47"/>
  <c r="B115" i="47"/>
  <c r="M111" i="47" l="1"/>
  <c r="E111" i="47"/>
  <c r="B140" i="47"/>
  <c r="F104" i="47"/>
  <c r="I111" i="47"/>
  <c r="J104" i="47"/>
  <c r="K111" i="47"/>
  <c r="G111" i="47"/>
  <c r="C111" i="47"/>
  <c r="C104" i="47"/>
  <c r="L104" i="47"/>
  <c r="H104" i="47"/>
  <c r="B67" i="48"/>
  <c r="B118" i="48"/>
  <c r="M104" i="47"/>
  <c r="M112" i="47" s="1"/>
  <c r="B180" i="48"/>
  <c r="B194" i="48" s="1"/>
  <c r="B196" i="48" s="1"/>
  <c r="K104" i="47"/>
  <c r="K112" i="47" s="1"/>
  <c r="I104" i="47"/>
  <c r="G104" i="47"/>
  <c r="D104" i="47"/>
  <c r="E104" i="47"/>
  <c r="L21" i="51"/>
  <c r="L23" i="51"/>
  <c r="L46" i="51"/>
  <c r="L111" i="47"/>
  <c r="L112" i="47" s="1"/>
  <c r="J111" i="47"/>
  <c r="H111" i="47"/>
  <c r="F111" i="47"/>
  <c r="F112" i="47" s="1"/>
  <c r="D111" i="47"/>
  <c r="B104" i="47"/>
  <c r="B111" i="47"/>
  <c r="E112" i="47" l="1"/>
  <c r="D112" i="47"/>
  <c r="H112" i="47"/>
  <c r="C112" i="47"/>
  <c r="I112" i="47"/>
  <c r="G112" i="47"/>
  <c r="J112" i="47"/>
  <c r="B112" i="47"/>
  <c r="AH30" i="28"/>
  <c r="J48" i="51" l="1"/>
  <c r="I48" i="51"/>
  <c r="K48" i="51" s="1"/>
  <c r="H48" i="51"/>
  <c r="J44" i="51"/>
  <c r="I44" i="51"/>
  <c r="K44" i="51" s="1"/>
  <c r="H44" i="51"/>
  <c r="L44" i="51" s="1"/>
  <c r="J43" i="51"/>
  <c r="I43" i="51"/>
  <c r="K43" i="51" s="1"/>
  <c r="H43" i="51"/>
  <c r="J40" i="51"/>
  <c r="I40" i="51"/>
  <c r="H40" i="51"/>
  <c r="J39" i="51"/>
  <c r="I39" i="51"/>
  <c r="K39" i="51" s="1"/>
  <c r="H39" i="51"/>
  <c r="J38" i="51"/>
  <c r="I38" i="51"/>
  <c r="H38" i="51"/>
  <c r="J37" i="51"/>
  <c r="I37" i="51"/>
  <c r="K37" i="51" s="1"/>
  <c r="H37" i="51"/>
  <c r="J36" i="51"/>
  <c r="I36" i="51"/>
  <c r="K36" i="51" s="1"/>
  <c r="H36" i="51"/>
  <c r="L36" i="51" s="1"/>
  <c r="J35" i="51"/>
  <c r="I35" i="51"/>
  <c r="K35" i="51" s="1"/>
  <c r="H35" i="51"/>
  <c r="J34" i="51"/>
  <c r="I34" i="51"/>
  <c r="H34" i="51"/>
  <c r="J33" i="51"/>
  <c r="I33" i="51"/>
  <c r="K33" i="51" s="1"/>
  <c r="H33" i="51"/>
  <c r="J32" i="51"/>
  <c r="I32" i="51"/>
  <c r="H32" i="51"/>
  <c r="J31" i="51"/>
  <c r="I31" i="51"/>
  <c r="K31" i="51" s="1"/>
  <c r="H31" i="51"/>
  <c r="J30" i="51"/>
  <c r="I30" i="51"/>
  <c r="H30" i="51"/>
  <c r="J29" i="51"/>
  <c r="I29" i="51"/>
  <c r="K29" i="51" s="1"/>
  <c r="H29" i="51"/>
  <c r="J28" i="51"/>
  <c r="I28" i="51"/>
  <c r="I25" i="51" s="1"/>
  <c r="I49" i="51" s="1"/>
  <c r="H28" i="51"/>
  <c r="H25" i="51" s="1"/>
  <c r="H49" i="51" s="1"/>
  <c r="J27" i="51"/>
  <c r="I27" i="51"/>
  <c r="K27" i="51" s="1"/>
  <c r="H27" i="51"/>
  <c r="J26" i="51"/>
  <c r="I26" i="51"/>
  <c r="K26" i="51" s="1"/>
  <c r="H26" i="51"/>
  <c r="L26" i="51" s="1"/>
  <c r="J19" i="51"/>
  <c r="I19" i="51"/>
  <c r="K19" i="51" s="1"/>
  <c r="H19" i="51"/>
  <c r="J18" i="51"/>
  <c r="I18" i="51"/>
  <c r="K18" i="51" s="1"/>
  <c r="H18" i="51"/>
  <c r="J17" i="51"/>
  <c r="I17" i="51"/>
  <c r="K17" i="51" s="1"/>
  <c r="H17" i="51"/>
  <c r="J14" i="51"/>
  <c r="I14" i="51"/>
  <c r="K14" i="51" s="1"/>
  <c r="H14" i="51"/>
  <c r="J13" i="51"/>
  <c r="I13" i="51"/>
  <c r="K13" i="51" s="1"/>
  <c r="H13" i="51"/>
  <c r="J12" i="51"/>
  <c r="I12" i="51"/>
  <c r="K12" i="51" s="1"/>
  <c r="H12" i="51"/>
  <c r="I10" i="51"/>
  <c r="H10" i="51"/>
  <c r="J9" i="51"/>
  <c r="I9" i="51"/>
  <c r="K9" i="51" s="1"/>
  <c r="H9" i="51"/>
  <c r="J8" i="51"/>
  <c r="I8" i="51"/>
  <c r="H8" i="51"/>
  <c r="L12" i="51" l="1"/>
  <c r="L14" i="51"/>
  <c r="L18" i="51"/>
  <c r="K28" i="51"/>
  <c r="K30" i="51"/>
  <c r="L30" i="51" s="1"/>
  <c r="K32" i="51"/>
  <c r="L32" i="51" s="1"/>
  <c r="K34" i="51"/>
  <c r="L34" i="51" s="1"/>
  <c r="K38" i="51"/>
  <c r="L38" i="51" s="1"/>
  <c r="K40" i="51"/>
  <c r="L40" i="51" s="1"/>
  <c r="L9" i="51"/>
  <c r="L13" i="51"/>
  <c r="L17" i="51"/>
  <c r="L19" i="51"/>
  <c r="L27" i="51"/>
  <c r="L29" i="51"/>
  <c r="L31" i="51"/>
  <c r="L33" i="51"/>
  <c r="L35" i="51"/>
  <c r="L37" i="51"/>
  <c r="L39" i="51"/>
  <c r="L43" i="51"/>
  <c r="K8" i="51"/>
  <c r="B97" i="48"/>
  <c r="B39" i="48"/>
  <c r="B36" i="48"/>
  <c r="B23" i="48"/>
  <c r="C124" i="47"/>
  <c r="C128" i="47" s="1"/>
  <c r="D124" i="47"/>
  <c r="E124" i="47"/>
  <c r="F124" i="47"/>
  <c r="G124" i="47"/>
  <c r="H124" i="47"/>
  <c r="I124" i="47"/>
  <c r="J124" i="47"/>
  <c r="K124" i="47"/>
  <c r="L124" i="47"/>
  <c r="M124" i="47"/>
  <c r="C127" i="47"/>
  <c r="C122" i="47"/>
  <c r="C123" i="47" s="1"/>
  <c r="D127" i="47"/>
  <c r="E127" i="47"/>
  <c r="F127" i="47"/>
  <c r="G127" i="47"/>
  <c r="H127" i="47"/>
  <c r="I127" i="47"/>
  <c r="J127" i="47"/>
  <c r="K127" i="47"/>
  <c r="L127" i="47"/>
  <c r="M127" i="47"/>
  <c r="C126" i="47"/>
  <c r="D126" i="47"/>
  <c r="E126" i="47"/>
  <c r="F126" i="47"/>
  <c r="G126" i="47"/>
  <c r="H126" i="47"/>
  <c r="I126" i="47"/>
  <c r="J126" i="47"/>
  <c r="K126" i="47"/>
  <c r="L126" i="47"/>
  <c r="M126" i="47"/>
  <c r="N141" i="47"/>
  <c r="N142" i="47" s="1"/>
  <c r="N144" i="47" s="1"/>
  <c r="B126" i="47"/>
  <c r="B128" i="47" s="1"/>
  <c r="B141" i="47" s="1"/>
  <c r="B122" i="47"/>
  <c r="B123" i="47" s="1"/>
  <c r="C80" i="47"/>
  <c r="D80" i="47"/>
  <c r="E80" i="47"/>
  <c r="F80" i="47"/>
  <c r="G80" i="47"/>
  <c r="H80" i="47"/>
  <c r="I80" i="47"/>
  <c r="J80" i="47"/>
  <c r="K80" i="47"/>
  <c r="L80" i="47"/>
  <c r="M80" i="47"/>
  <c r="B80" i="47"/>
  <c r="N30" i="47"/>
  <c r="N32" i="47" s="1"/>
  <c r="D231" i="47"/>
  <c r="E231" i="47"/>
  <c r="F231" i="47"/>
  <c r="G231" i="47"/>
  <c r="H231" i="47"/>
  <c r="I231" i="47"/>
  <c r="J231" i="47"/>
  <c r="K231" i="47"/>
  <c r="L231" i="47"/>
  <c r="M231" i="47"/>
  <c r="E164" i="47"/>
  <c r="F164" i="47"/>
  <c r="G164" i="47"/>
  <c r="H164" i="47"/>
  <c r="I164" i="47"/>
  <c r="J164" i="47"/>
  <c r="K164" i="47"/>
  <c r="L164" i="47"/>
  <c r="M164" i="47"/>
  <c r="E117" i="47"/>
  <c r="F117" i="47"/>
  <c r="G117" i="47"/>
  <c r="H117" i="47"/>
  <c r="I117" i="47"/>
  <c r="J117" i="47"/>
  <c r="K117" i="47"/>
  <c r="L117" i="47"/>
  <c r="M117" i="47"/>
  <c r="M93" i="47"/>
  <c r="H64" i="47"/>
  <c r="I64" i="47"/>
  <c r="J64" i="47"/>
  <c r="K64" i="47"/>
  <c r="L64" i="47"/>
  <c r="M64" i="47"/>
  <c r="F49" i="47"/>
  <c r="G49" i="47"/>
  <c r="H49" i="47"/>
  <c r="I49" i="47"/>
  <c r="J49" i="47"/>
  <c r="K49" i="47"/>
  <c r="L49" i="47"/>
  <c r="M49" i="47"/>
  <c r="F41" i="47"/>
  <c r="G41" i="47"/>
  <c r="H41" i="47"/>
  <c r="I41" i="47"/>
  <c r="J41" i="47"/>
  <c r="K41" i="47"/>
  <c r="L41" i="47"/>
  <c r="M41" i="47"/>
  <c r="F9" i="47"/>
  <c r="G9" i="47"/>
  <c r="H9" i="47"/>
  <c r="I9" i="47"/>
  <c r="J9" i="47"/>
  <c r="K9" i="47"/>
  <c r="L9" i="47"/>
  <c r="M9" i="47"/>
  <c r="E85" i="47"/>
  <c r="F85" i="47"/>
  <c r="G85" i="47"/>
  <c r="H85" i="47"/>
  <c r="I85" i="47"/>
  <c r="J85" i="47"/>
  <c r="K85" i="47"/>
  <c r="L85" i="47"/>
  <c r="E86" i="47"/>
  <c r="F86" i="47"/>
  <c r="G86" i="47"/>
  <c r="H86" i="47"/>
  <c r="I86" i="47"/>
  <c r="J86" i="47"/>
  <c r="K86" i="47"/>
  <c r="L86" i="47"/>
  <c r="E87" i="47"/>
  <c r="F87" i="47"/>
  <c r="G87" i="47"/>
  <c r="H87" i="47"/>
  <c r="I87" i="47"/>
  <c r="J87" i="47"/>
  <c r="K87" i="47"/>
  <c r="L87" i="47"/>
  <c r="E88" i="47"/>
  <c r="F88" i="47"/>
  <c r="G88" i="47"/>
  <c r="H88" i="47"/>
  <c r="I88" i="47"/>
  <c r="J88" i="47"/>
  <c r="K88" i="47"/>
  <c r="L88" i="47"/>
  <c r="E89" i="47"/>
  <c r="F89" i="47"/>
  <c r="G89" i="47"/>
  <c r="H89" i="47"/>
  <c r="I89" i="47"/>
  <c r="J89" i="47"/>
  <c r="K89" i="47"/>
  <c r="L89" i="47"/>
  <c r="E90" i="47"/>
  <c r="F90" i="47"/>
  <c r="G90" i="47"/>
  <c r="H90" i="47"/>
  <c r="I90" i="47"/>
  <c r="J90" i="47"/>
  <c r="K90" i="47"/>
  <c r="L90" i="47"/>
  <c r="E91" i="47"/>
  <c r="F91" i="47"/>
  <c r="G91" i="47"/>
  <c r="H91" i="47"/>
  <c r="I91" i="47"/>
  <c r="J91" i="47"/>
  <c r="K91" i="47"/>
  <c r="L91" i="47"/>
  <c r="E92" i="47"/>
  <c r="F92" i="47"/>
  <c r="G92" i="47"/>
  <c r="H92" i="47"/>
  <c r="I92" i="47"/>
  <c r="J92" i="47"/>
  <c r="K92" i="47"/>
  <c r="L92" i="47"/>
  <c r="D92" i="47"/>
  <c r="D91" i="47"/>
  <c r="D90" i="47"/>
  <c r="D89" i="47"/>
  <c r="D88" i="47"/>
  <c r="D87" i="47"/>
  <c r="D86" i="47"/>
  <c r="D85" i="47"/>
  <c r="D9" i="47"/>
  <c r="E9" i="47"/>
  <c r="C9" i="47"/>
  <c r="B9" i="47"/>
  <c r="C64" i="47"/>
  <c r="D64" i="47"/>
  <c r="E64" i="47"/>
  <c r="F64" i="47"/>
  <c r="G64" i="47"/>
  <c r="C231" i="47"/>
  <c r="C164" i="47"/>
  <c r="D164" i="47"/>
  <c r="C117" i="47"/>
  <c r="D117" i="47"/>
  <c r="C86" i="47"/>
  <c r="C87" i="47"/>
  <c r="C88" i="47"/>
  <c r="C89" i="47"/>
  <c r="C90" i="47"/>
  <c r="C91" i="47"/>
  <c r="C92" i="47"/>
  <c r="C85" i="47"/>
  <c r="C49" i="47"/>
  <c r="D49" i="47"/>
  <c r="E49" i="47"/>
  <c r="C41" i="47"/>
  <c r="D41" i="47"/>
  <c r="E41" i="47"/>
  <c r="B231" i="47"/>
  <c r="B117" i="47"/>
  <c r="B164" i="47"/>
  <c r="B93" i="47"/>
  <c r="B64" i="47"/>
  <c r="B49" i="47"/>
  <c r="B41" i="47"/>
  <c r="L141" i="47" l="1"/>
  <c r="L128" i="47"/>
  <c r="J141" i="47"/>
  <c r="J128" i="47"/>
  <c r="H141" i="47"/>
  <c r="H128" i="47"/>
  <c r="F141" i="47"/>
  <c r="F128" i="47"/>
  <c r="D141" i="47"/>
  <c r="D128" i="47"/>
  <c r="M141" i="47"/>
  <c r="M128" i="47"/>
  <c r="K141" i="47"/>
  <c r="K128" i="47"/>
  <c r="I141" i="47"/>
  <c r="I128" i="47"/>
  <c r="G141" i="47"/>
  <c r="G142" i="47" s="1"/>
  <c r="G144" i="47" s="1"/>
  <c r="G128" i="47"/>
  <c r="E141" i="47"/>
  <c r="E142" i="47" s="1"/>
  <c r="E144" i="47" s="1"/>
  <c r="E128" i="47"/>
  <c r="C141" i="47"/>
  <c r="C142" i="47" s="1"/>
  <c r="C144" i="47" s="1"/>
  <c r="L28" i="51"/>
  <c r="L25" i="51" s="1"/>
  <c r="L49" i="51" s="1"/>
  <c r="K25" i="51"/>
  <c r="K49" i="51" s="1"/>
  <c r="M142" i="47"/>
  <c r="M144" i="47" s="1"/>
  <c r="E50" i="47"/>
  <c r="E51" i="47" s="1"/>
  <c r="C50" i="47"/>
  <c r="C51" i="47" s="1"/>
  <c r="C81" i="47" s="1"/>
  <c r="C167" i="47" s="1"/>
  <c r="K142" i="47"/>
  <c r="K144" i="47" s="1"/>
  <c r="I142" i="47"/>
  <c r="I144" i="47" s="1"/>
  <c r="B50" i="47"/>
  <c r="B51" i="47" s="1"/>
  <c r="B81" i="47" s="1"/>
  <c r="B83" i="47" s="1"/>
  <c r="L50" i="47"/>
  <c r="L51" i="47" s="1"/>
  <c r="L81" i="47" s="1"/>
  <c r="L167" i="47" s="1"/>
  <c r="J50" i="47"/>
  <c r="J51" i="47" s="1"/>
  <c r="J81" i="47" s="1"/>
  <c r="J167" i="47" s="1"/>
  <c r="H50" i="47"/>
  <c r="H51" i="47" s="1"/>
  <c r="H81" i="47" s="1"/>
  <c r="H167" i="47" s="1"/>
  <c r="F50" i="47"/>
  <c r="F51" i="47" s="1"/>
  <c r="F81" i="47" s="1"/>
  <c r="F167" i="47" s="1"/>
  <c r="L8" i="51"/>
  <c r="D50" i="47"/>
  <c r="D51" i="47" s="1"/>
  <c r="D81" i="47" s="1"/>
  <c r="D167" i="47" s="1"/>
  <c r="M50" i="47"/>
  <c r="M51" i="47" s="1"/>
  <c r="M81" i="47" s="1"/>
  <c r="M167" i="47" s="1"/>
  <c r="K50" i="47"/>
  <c r="K51" i="47" s="1"/>
  <c r="K81" i="47" s="1"/>
  <c r="K167" i="47" s="1"/>
  <c r="I50" i="47"/>
  <c r="I51" i="47" s="1"/>
  <c r="I81" i="47" s="1"/>
  <c r="I167" i="47" s="1"/>
  <c r="G50" i="47"/>
  <c r="G51" i="47" s="1"/>
  <c r="G81" i="47" s="1"/>
  <c r="G167" i="47" s="1"/>
  <c r="M165" i="47"/>
  <c r="B165" i="47"/>
  <c r="K93" i="47"/>
  <c r="K165" i="47" s="1"/>
  <c r="I93" i="47"/>
  <c r="I165" i="47" s="1"/>
  <c r="G93" i="47"/>
  <c r="G165" i="47" s="1"/>
  <c r="E93" i="47"/>
  <c r="E165" i="47" s="1"/>
  <c r="D93" i="47"/>
  <c r="L93" i="47"/>
  <c r="L165" i="47" s="1"/>
  <c r="J93" i="47"/>
  <c r="J165" i="47" s="1"/>
  <c r="H93" i="47"/>
  <c r="H165" i="47" s="1"/>
  <c r="F93" i="47"/>
  <c r="F165" i="47" s="1"/>
  <c r="C93" i="47"/>
  <c r="C165" i="47" s="1"/>
  <c r="D165" i="47"/>
  <c r="B142" i="47" l="1"/>
  <c r="B144" i="47" s="1"/>
  <c r="G166" i="47"/>
  <c r="G232" i="47" s="1"/>
  <c r="K166" i="47"/>
  <c r="K232" i="47" s="1"/>
  <c r="D142" i="47"/>
  <c r="D144" i="47" s="1"/>
  <c r="H142" i="47"/>
  <c r="H144" i="47" s="1"/>
  <c r="L142" i="47"/>
  <c r="L144" i="47" s="1"/>
  <c r="I166" i="47"/>
  <c r="I232" i="47" s="1"/>
  <c r="M166" i="47"/>
  <c r="M232" i="47" s="1"/>
  <c r="F142" i="47"/>
  <c r="F144" i="47" s="1"/>
  <c r="J142" i="47"/>
  <c r="J144" i="47" s="1"/>
  <c r="E81" i="47"/>
  <c r="E167" i="47" s="1"/>
  <c r="E166" i="47" s="1"/>
  <c r="E232" i="47" s="1"/>
  <c r="B167" i="47"/>
  <c r="B166" i="47" s="1"/>
  <c r="B232" i="47" s="1"/>
  <c r="H166" i="47"/>
  <c r="H232" i="47" s="1"/>
  <c r="L166" i="47"/>
  <c r="L232" i="47" s="1"/>
  <c r="F166" i="47"/>
  <c r="F232" i="47" s="1"/>
  <c r="J166" i="47"/>
  <c r="J232" i="47" s="1"/>
  <c r="C166" i="47"/>
  <c r="C232" i="47" s="1"/>
  <c r="D166" i="47"/>
  <c r="D232" i="47" s="1"/>
  <c r="W36" i="35" l="1"/>
  <c r="X36" i="35"/>
  <c r="Y36" i="35"/>
  <c r="Z36" i="35"/>
  <c r="AA36" i="35"/>
  <c r="AB36" i="35"/>
  <c r="AC36" i="35"/>
  <c r="AD36" i="35"/>
  <c r="AE36" i="35"/>
  <c r="AF36" i="35"/>
  <c r="AG36" i="35"/>
  <c r="AH36" i="35"/>
  <c r="AI36" i="35"/>
  <c r="AJ36" i="35"/>
  <c r="AK36" i="35"/>
  <c r="Q41" i="35"/>
  <c r="N41" i="35"/>
  <c r="C42" i="35"/>
  <c r="D42" i="35"/>
  <c r="E42" i="35"/>
  <c r="F42" i="35"/>
  <c r="G42"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B42" i="35"/>
  <c r="B26" i="48"/>
  <c r="B25" i="48"/>
  <c r="B21" i="52"/>
  <c r="B18" i="52"/>
  <c r="C15" i="52" s="1"/>
  <c r="C18" i="52" s="1"/>
  <c r="B11" i="52"/>
  <c r="B10" i="48"/>
  <c r="B9" i="48"/>
  <c r="B6" i="48"/>
  <c r="B5" i="48"/>
  <c r="D18" i="50"/>
  <c r="E18" i="50"/>
  <c r="B14" i="50"/>
  <c r="B38" i="50"/>
  <c r="C35" i="50" s="1"/>
  <c r="C38" i="50" s="1"/>
  <c r="D35" i="50" s="1"/>
  <c r="D38" i="50" s="1"/>
  <c r="E35" i="50" s="1"/>
  <c r="E38" i="50" s="1"/>
  <c r="B31" i="50"/>
  <c r="C28" i="50" s="1"/>
  <c r="C31" i="50" s="1"/>
  <c r="D28" i="50" s="1"/>
  <c r="D31" i="50" s="1"/>
  <c r="E28" i="50" s="1"/>
  <c r="E31" i="50" s="1"/>
  <c r="F28" i="50" s="1"/>
  <c r="F31" i="50" s="1"/>
  <c r="E24" i="50"/>
  <c r="F18" i="50" s="1"/>
  <c r="F24" i="50" s="1"/>
  <c r="G18" i="50" s="1"/>
  <c r="G24" i="50" s="1"/>
  <c r="H18" i="50" s="1"/>
  <c r="H24" i="50" s="1"/>
  <c r="I18" i="50" s="1"/>
  <c r="I24" i="50" s="1"/>
  <c r="J18" i="50" s="1"/>
  <c r="J24" i="50" s="1"/>
  <c r="K18" i="50" s="1"/>
  <c r="K24" i="50" s="1"/>
  <c r="L18" i="50" s="1"/>
  <c r="L24" i="50" s="1"/>
  <c r="M18" i="50" s="1"/>
  <c r="M24" i="50" s="1"/>
  <c r="D24" i="50"/>
  <c r="B24" i="50"/>
  <c r="C18" i="50" s="1"/>
  <c r="C24" i="50" s="1"/>
  <c r="C8" i="50"/>
  <c r="C14" i="50" s="1"/>
  <c r="C42" i="50" s="1"/>
  <c r="B30" i="48" l="1"/>
  <c r="B40" i="48" s="1"/>
  <c r="B7" i="48"/>
  <c r="B13" i="48"/>
  <c r="D15" i="52"/>
  <c r="D18" i="52" s="1"/>
  <c r="C8" i="52"/>
  <c r="C11" i="52" s="1"/>
  <c r="C21" i="52" s="1"/>
  <c r="C46" i="50"/>
  <c r="C48" i="50"/>
  <c r="B46" i="50"/>
  <c r="B42" i="50"/>
  <c r="B48" i="50" s="1"/>
  <c r="D8" i="50"/>
  <c r="D14" i="50" s="1"/>
  <c r="E8" i="50" s="1"/>
  <c r="E14" i="50" s="1"/>
  <c r="F8" i="50" s="1"/>
  <c r="F14" i="50" s="1"/>
  <c r="G8" i="50" s="1"/>
  <c r="G14" i="50" s="1"/>
  <c r="H8" i="50" s="1"/>
  <c r="H14" i="50" s="1"/>
  <c r="I8" i="50" s="1"/>
  <c r="I14" i="50" s="1"/>
  <c r="J8" i="50" s="1"/>
  <c r="J14" i="50" s="1"/>
  <c r="K8" i="50" s="1"/>
  <c r="K14" i="50" s="1"/>
  <c r="L8" i="50" s="1"/>
  <c r="L14" i="50" s="1"/>
  <c r="M8" i="50" s="1"/>
  <c r="M14" i="50" s="1"/>
  <c r="G28" i="50"/>
  <c r="G31" i="50" s="1"/>
  <c r="F35" i="50"/>
  <c r="F38" i="50" s="1"/>
  <c r="E46" i="50"/>
  <c r="D46" i="50"/>
  <c r="B14" i="48" l="1"/>
  <c r="D8" i="52"/>
  <c r="D11" i="52" s="1"/>
  <c r="D21" i="52" s="1"/>
  <c r="E15" i="52"/>
  <c r="E18" i="52" s="1"/>
  <c r="E42" i="50"/>
  <c r="E48" i="50" s="1"/>
  <c r="F42" i="50"/>
  <c r="D42" i="50"/>
  <c r="D48" i="50" s="1"/>
  <c r="H28" i="50"/>
  <c r="H31" i="50" s="1"/>
  <c r="G42" i="50"/>
  <c r="G35" i="50"/>
  <c r="G38" i="50" s="1"/>
  <c r="F46" i="50"/>
  <c r="F48" i="50" s="1"/>
  <c r="E8" i="52" l="1"/>
  <c r="E11" i="52" s="1"/>
  <c r="E21" i="52" s="1"/>
  <c r="F15" i="52"/>
  <c r="F18" i="52" s="1"/>
  <c r="H42" i="50"/>
  <c r="I28" i="50"/>
  <c r="I31" i="50" s="1"/>
  <c r="H35" i="50"/>
  <c r="H38" i="50" s="1"/>
  <c r="G46" i="50"/>
  <c r="G48" i="50" s="1"/>
  <c r="G15" i="52" l="1"/>
  <c r="G18" i="52" s="1"/>
  <c r="F8" i="52"/>
  <c r="F11" i="52" s="1"/>
  <c r="F21" i="52" s="1"/>
  <c r="J28" i="50"/>
  <c r="J31" i="50" s="1"/>
  <c r="I42" i="50"/>
  <c r="I35" i="50"/>
  <c r="I38" i="50" s="1"/>
  <c r="H46" i="50"/>
  <c r="H48" i="50" s="1"/>
  <c r="J1513" i="38"/>
  <c r="J1512" i="38"/>
  <c r="J1511" i="38"/>
  <c r="J1510" i="38"/>
  <c r="J1509" i="38"/>
  <c r="J1508" i="38"/>
  <c r="J1507" i="38"/>
  <c r="J1506" i="38"/>
  <c r="J1505" i="38"/>
  <c r="J1504" i="38"/>
  <c r="J1503" i="38"/>
  <c r="J1502" i="38"/>
  <c r="J1501" i="38"/>
  <c r="J1500" i="38"/>
  <c r="J1499" i="38"/>
  <c r="J1498" i="38"/>
  <c r="J1497" i="38"/>
  <c r="J1496" i="38"/>
  <c r="J1495" i="38"/>
  <c r="J1494" i="38"/>
  <c r="J1493" i="38"/>
  <c r="J1492" i="38"/>
  <c r="J1491" i="38"/>
  <c r="J1490" i="38"/>
  <c r="J1489" i="38"/>
  <c r="J1488" i="38"/>
  <c r="N1138" i="38"/>
  <c r="M1138" i="38"/>
  <c r="L1138" i="38"/>
  <c r="K1138" i="38"/>
  <c r="I1138" i="38"/>
  <c r="J1137" i="38"/>
  <c r="O1137" i="38" s="1"/>
  <c r="J1136" i="38"/>
  <c r="O1136" i="38" s="1"/>
  <c r="J1135" i="38"/>
  <c r="O1135" i="38" s="1"/>
  <c r="J1134" i="38"/>
  <c r="O1134" i="38" s="1"/>
  <c r="J1133" i="38"/>
  <c r="O1133" i="38" s="1"/>
  <c r="J1132" i="38"/>
  <c r="O1132" i="38" s="1"/>
  <c r="J1131" i="38"/>
  <c r="O1131" i="38" s="1"/>
  <c r="J1130" i="38"/>
  <c r="O1130" i="38" s="1"/>
  <c r="J1129" i="38"/>
  <c r="O1129" i="38" s="1"/>
  <c r="J1128" i="38"/>
  <c r="O1128" i="38" s="1"/>
  <c r="J1127" i="38"/>
  <c r="O1127" i="38" s="1"/>
  <c r="J1126" i="38"/>
  <c r="O1126" i="38" s="1"/>
  <c r="J1125" i="38"/>
  <c r="O1125" i="38" s="1"/>
  <c r="J1124" i="38"/>
  <c r="O1124" i="38" s="1"/>
  <c r="J1123" i="38"/>
  <c r="O1123" i="38" s="1"/>
  <c r="J1122" i="38"/>
  <c r="O1122" i="38" s="1"/>
  <c r="J1121" i="38"/>
  <c r="O1121" i="38" s="1"/>
  <c r="J1120" i="38"/>
  <c r="O1120" i="38" s="1"/>
  <c r="J1119" i="38"/>
  <c r="O1119" i="38" s="1"/>
  <c r="J1118" i="38"/>
  <c r="O1118" i="38" s="1"/>
  <c r="J1117" i="38"/>
  <c r="O1117" i="38" s="1"/>
  <c r="J1116" i="38"/>
  <c r="O1116" i="38" s="1"/>
  <c r="J1115" i="38"/>
  <c r="O1115" i="38" s="1"/>
  <c r="J1114" i="38"/>
  <c r="O1114" i="38" s="1"/>
  <c r="J1113" i="38"/>
  <c r="O1113" i="38" s="1"/>
  <c r="J1112" i="38"/>
  <c r="O1112" i="38" s="1"/>
  <c r="J1111" i="38"/>
  <c r="O1111" i="38" s="1"/>
  <c r="J1110" i="38"/>
  <c r="O1110" i="38" s="1"/>
  <c r="J1109" i="38"/>
  <c r="O1109" i="38" s="1"/>
  <c r="J1108" i="38"/>
  <c r="O1108" i="38" s="1"/>
  <c r="J1107" i="38"/>
  <c r="O1107" i="38" s="1"/>
  <c r="J1106" i="38"/>
  <c r="O1106" i="38" s="1"/>
  <c r="J1105" i="38"/>
  <c r="O1105" i="38" s="1"/>
  <c r="J1104" i="38"/>
  <c r="O1104" i="38" s="1"/>
  <c r="J1103" i="38"/>
  <c r="O1103" i="38" s="1"/>
  <c r="J1102" i="38"/>
  <c r="O1102" i="38" s="1"/>
  <c r="J1101" i="38"/>
  <c r="O1101" i="38" s="1"/>
  <c r="J1100" i="38"/>
  <c r="O1100" i="38" s="1"/>
  <c r="J1099" i="38"/>
  <c r="O1099" i="38" s="1"/>
  <c r="J1098" i="38"/>
  <c r="O1098" i="38" s="1"/>
  <c r="J1097" i="38"/>
  <c r="O1097" i="38" s="1"/>
  <c r="J1096" i="38"/>
  <c r="O1096" i="38" s="1"/>
  <c r="J1095" i="38"/>
  <c r="O1095" i="38" s="1"/>
  <c r="J1094" i="38"/>
  <c r="O1094" i="38" s="1"/>
  <c r="J1093" i="38"/>
  <c r="O1093" i="38" s="1"/>
  <c r="J1092" i="38"/>
  <c r="O1092" i="38" s="1"/>
  <c r="J1091" i="38"/>
  <c r="O1091" i="38" s="1"/>
  <c r="J1090" i="38"/>
  <c r="O1090" i="38" s="1"/>
  <c r="J1089" i="38"/>
  <c r="O1089" i="38" s="1"/>
  <c r="J1088" i="38"/>
  <c r="O1088" i="38" s="1"/>
  <c r="J1087" i="38"/>
  <c r="O1087" i="38" s="1"/>
  <c r="J1086" i="38"/>
  <c r="O1086" i="38" s="1"/>
  <c r="J1085" i="38"/>
  <c r="O1085" i="38" s="1"/>
  <c r="J1084" i="38"/>
  <c r="O1084" i="38" s="1"/>
  <c r="J1083" i="38"/>
  <c r="O1083" i="38" s="1"/>
  <c r="J1082" i="38"/>
  <c r="O1082" i="38" s="1"/>
  <c r="J1081" i="38"/>
  <c r="O1081" i="38" s="1"/>
  <c r="J1080" i="38"/>
  <c r="O1080" i="38" s="1"/>
  <c r="J1079" i="38"/>
  <c r="O1079" i="38" s="1"/>
  <c r="J1078" i="38"/>
  <c r="O1078" i="38" s="1"/>
  <c r="J1077" i="38"/>
  <c r="O1077" i="38" s="1"/>
  <c r="J1076" i="38"/>
  <c r="O1076" i="38" s="1"/>
  <c r="J1075" i="38"/>
  <c r="O1075" i="38" s="1"/>
  <c r="J1074" i="38"/>
  <c r="O1074" i="38" s="1"/>
  <c r="J1073" i="38"/>
  <c r="O1073" i="38" s="1"/>
  <c r="J1072" i="38"/>
  <c r="O1072" i="38" s="1"/>
  <c r="J1071" i="38"/>
  <c r="O1071" i="38" s="1"/>
  <c r="J1070" i="38"/>
  <c r="O1070" i="38" s="1"/>
  <c r="J1069" i="38"/>
  <c r="O1069" i="38" s="1"/>
  <c r="J1068" i="38"/>
  <c r="O1068" i="38" s="1"/>
  <c r="J1067" i="38"/>
  <c r="O1067" i="38" s="1"/>
  <c r="J1066" i="38"/>
  <c r="O1066" i="38" s="1"/>
  <c r="J1065" i="38"/>
  <c r="O1065" i="38" s="1"/>
  <c r="J1064" i="38"/>
  <c r="O1064" i="38" s="1"/>
  <c r="J1063" i="38"/>
  <c r="O1063" i="38" s="1"/>
  <c r="J1062" i="38"/>
  <c r="O1062" i="38" s="1"/>
  <c r="J1061" i="38"/>
  <c r="O1061" i="38" s="1"/>
  <c r="J1060" i="38"/>
  <c r="O1060" i="38" s="1"/>
  <c r="J1059" i="38"/>
  <c r="O1059" i="38" s="1"/>
  <c r="J1058" i="38"/>
  <c r="O1058" i="38" s="1"/>
  <c r="J1057" i="38"/>
  <c r="O1057" i="38" s="1"/>
  <c r="J1056" i="38"/>
  <c r="O1056" i="38" s="1"/>
  <c r="J1055" i="38"/>
  <c r="O1055" i="38" s="1"/>
  <c r="J1054" i="38"/>
  <c r="O1054" i="38" s="1"/>
  <c r="J1053" i="38"/>
  <c r="O1053" i="38" s="1"/>
  <c r="J1052" i="38"/>
  <c r="O1052" i="38" s="1"/>
  <c r="J1051" i="38"/>
  <c r="O1051" i="38" s="1"/>
  <c r="J1050" i="38"/>
  <c r="O1050" i="38" s="1"/>
  <c r="J1049" i="38"/>
  <c r="O1049" i="38" s="1"/>
  <c r="J1048" i="38"/>
  <c r="O1048" i="38" s="1"/>
  <c r="J1047" i="38"/>
  <c r="O1047" i="38" s="1"/>
  <c r="J1046" i="38"/>
  <c r="O1046" i="38" s="1"/>
  <c r="J1045" i="38"/>
  <c r="O1045" i="38" s="1"/>
  <c r="J1044" i="38"/>
  <c r="O1044" i="38" s="1"/>
  <c r="J1043" i="38"/>
  <c r="O1043" i="38" s="1"/>
  <c r="J1042" i="38"/>
  <c r="O1042" i="38" s="1"/>
  <c r="J1041" i="38"/>
  <c r="O1041" i="38" s="1"/>
  <c r="J1040" i="38"/>
  <c r="O1040" i="38" s="1"/>
  <c r="J1039" i="38"/>
  <c r="O1039" i="38" s="1"/>
  <c r="J1038" i="38"/>
  <c r="O1038" i="38" s="1"/>
  <c r="J1037" i="38"/>
  <c r="O1037" i="38" s="1"/>
  <c r="J1036" i="38"/>
  <c r="O1036" i="38" s="1"/>
  <c r="J1035" i="38"/>
  <c r="O1035" i="38" s="1"/>
  <c r="J1034" i="38"/>
  <c r="O1034" i="38" s="1"/>
  <c r="J1033" i="38"/>
  <c r="O1033" i="38" s="1"/>
  <c r="J1032" i="38"/>
  <c r="O1032" i="38" s="1"/>
  <c r="J1031" i="38"/>
  <c r="O1031" i="38" s="1"/>
  <c r="J1030" i="38"/>
  <c r="O1030" i="38" s="1"/>
  <c r="J1029" i="38"/>
  <c r="O1029" i="38" s="1"/>
  <c r="J1028" i="38"/>
  <c r="O1028" i="38" s="1"/>
  <c r="J1027" i="38"/>
  <c r="O1027" i="38" s="1"/>
  <c r="J1026" i="38"/>
  <c r="O1026" i="38" s="1"/>
  <c r="J1025" i="38"/>
  <c r="O1025" i="38" s="1"/>
  <c r="J1024" i="38"/>
  <c r="O1024" i="38" s="1"/>
  <c r="J1023" i="38"/>
  <c r="O1023" i="38" s="1"/>
  <c r="J1022" i="38"/>
  <c r="O1022" i="38" s="1"/>
  <c r="J1021" i="38"/>
  <c r="O1021" i="38" s="1"/>
  <c r="J1020" i="38"/>
  <c r="O1020" i="38" s="1"/>
  <c r="J1019" i="38"/>
  <c r="O1019" i="38" s="1"/>
  <c r="J1018" i="38"/>
  <c r="O1018" i="38" s="1"/>
  <c r="J1017" i="38"/>
  <c r="O1017" i="38" s="1"/>
  <c r="J1016" i="38"/>
  <c r="O1016" i="38" s="1"/>
  <c r="J1015" i="38"/>
  <c r="O1015" i="38" s="1"/>
  <c r="J1014" i="38"/>
  <c r="O1014" i="38" s="1"/>
  <c r="J1013" i="38"/>
  <c r="O1013" i="38" s="1"/>
  <c r="J1012" i="38"/>
  <c r="O1012" i="38" s="1"/>
  <c r="J1011" i="38"/>
  <c r="O1011" i="38" s="1"/>
  <c r="J1010" i="38"/>
  <c r="O1010" i="38" s="1"/>
  <c r="J1009" i="38"/>
  <c r="O1009" i="38" s="1"/>
  <c r="J1008" i="38"/>
  <c r="O1008" i="38" s="1"/>
  <c r="J1007" i="38"/>
  <c r="O1007" i="38" s="1"/>
  <c r="J1006" i="38"/>
  <c r="O1006" i="38" s="1"/>
  <c r="J1005" i="38"/>
  <c r="O1005" i="38" s="1"/>
  <c r="J1004" i="38"/>
  <c r="O1004" i="38" s="1"/>
  <c r="J1003" i="38"/>
  <c r="O1003" i="38" s="1"/>
  <c r="J1002" i="38"/>
  <c r="O1002" i="38" s="1"/>
  <c r="J1001" i="38"/>
  <c r="O1001" i="38" s="1"/>
  <c r="J1000" i="38"/>
  <c r="O1000" i="38" s="1"/>
  <c r="J999" i="38"/>
  <c r="O999" i="38" s="1"/>
  <c r="J998" i="38"/>
  <c r="O998" i="38" s="1"/>
  <c r="J997" i="38"/>
  <c r="O997" i="38" s="1"/>
  <c r="J996" i="38"/>
  <c r="O996" i="38" s="1"/>
  <c r="J995" i="38"/>
  <c r="O995" i="38" s="1"/>
  <c r="J994" i="38"/>
  <c r="O994" i="38" s="1"/>
  <c r="J993" i="38"/>
  <c r="O993" i="38" s="1"/>
  <c r="J992" i="38"/>
  <c r="O992" i="38" s="1"/>
  <c r="J991" i="38"/>
  <c r="O991" i="38" s="1"/>
  <c r="J990" i="38"/>
  <c r="O990" i="38" s="1"/>
  <c r="J989" i="38"/>
  <c r="O989" i="38" s="1"/>
  <c r="J988" i="38"/>
  <c r="O988" i="38" s="1"/>
  <c r="J987" i="38"/>
  <c r="O987" i="38" s="1"/>
  <c r="J986" i="38"/>
  <c r="O986" i="38" s="1"/>
  <c r="J985" i="38"/>
  <c r="O985" i="38" s="1"/>
  <c r="J984" i="38"/>
  <c r="O984" i="38" s="1"/>
  <c r="J983" i="38"/>
  <c r="O983" i="38" s="1"/>
  <c r="J982" i="38"/>
  <c r="O982" i="38" s="1"/>
  <c r="J981" i="38"/>
  <c r="O981" i="38" s="1"/>
  <c r="J980" i="38"/>
  <c r="O980" i="38" s="1"/>
  <c r="J979" i="38"/>
  <c r="O979" i="38" s="1"/>
  <c r="J978" i="38"/>
  <c r="O978" i="38" s="1"/>
  <c r="J977" i="38"/>
  <c r="O977" i="38" s="1"/>
  <c r="J976" i="38"/>
  <c r="O976" i="38" s="1"/>
  <c r="J975" i="38"/>
  <c r="O975" i="38" s="1"/>
  <c r="J974" i="38"/>
  <c r="O974" i="38" s="1"/>
  <c r="J973" i="38"/>
  <c r="J1138" i="38" s="1"/>
  <c r="N972" i="38"/>
  <c r="M972" i="38"/>
  <c r="L972" i="38"/>
  <c r="K972" i="38"/>
  <c r="I972" i="38"/>
  <c r="O971" i="38"/>
  <c r="J971" i="38"/>
  <c r="O970" i="38"/>
  <c r="J970" i="38"/>
  <c r="O969" i="38"/>
  <c r="J969" i="38"/>
  <c r="O968" i="38"/>
  <c r="J968" i="38"/>
  <c r="O967" i="38"/>
  <c r="J967" i="38"/>
  <c r="O966" i="38"/>
  <c r="J966" i="38"/>
  <c r="O965" i="38"/>
  <c r="J965" i="38"/>
  <c r="O964" i="38"/>
  <c r="J964" i="38"/>
  <c r="O963" i="38"/>
  <c r="J963" i="38"/>
  <c r="O962" i="38"/>
  <c r="J962" i="38"/>
  <c r="O961" i="38"/>
  <c r="J961" i="38"/>
  <c r="O960" i="38"/>
  <c r="J960" i="38"/>
  <c r="O959" i="38"/>
  <c r="J959" i="38"/>
  <c r="O958" i="38"/>
  <c r="J958" i="38"/>
  <c r="O957" i="38"/>
  <c r="J957" i="38"/>
  <c r="O956" i="38"/>
  <c r="J956" i="38"/>
  <c r="O955" i="38"/>
  <c r="J955" i="38"/>
  <c r="O954" i="38"/>
  <c r="J954" i="38"/>
  <c r="O953" i="38"/>
  <c r="J953" i="38"/>
  <c r="O952" i="38"/>
  <c r="J952" i="38"/>
  <c r="O951" i="38"/>
  <c r="J951" i="38"/>
  <c r="O950" i="38"/>
  <c r="J950" i="38"/>
  <c r="O949" i="38"/>
  <c r="J949" i="38"/>
  <c r="O948" i="38"/>
  <c r="J948" i="38"/>
  <c r="O947" i="38"/>
  <c r="J947" i="38"/>
  <c r="O946" i="38"/>
  <c r="J946" i="38"/>
  <c r="O945" i="38"/>
  <c r="J945" i="38"/>
  <c r="O944" i="38"/>
  <c r="J944" i="38"/>
  <c r="O943" i="38"/>
  <c r="J943" i="38"/>
  <c r="O942" i="38"/>
  <c r="J942" i="38"/>
  <c r="O941" i="38"/>
  <c r="J941" i="38"/>
  <c r="O940" i="38"/>
  <c r="J940" i="38"/>
  <c r="O939" i="38"/>
  <c r="J939" i="38"/>
  <c r="O938" i="38"/>
  <c r="J938" i="38"/>
  <c r="O937" i="38"/>
  <c r="J937" i="38"/>
  <c r="O936" i="38"/>
  <c r="J936" i="38"/>
  <c r="O935" i="38"/>
  <c r="J935" i="38"/>
  <c r="O934" i="38"/>
  <c r="J934" i="38"/>
  <c r="O933" i="38"/>
  <c r="J933" i="38"/>
  <c r="O932" i="38"/>
  <c r="J932" i="38"/>
  <c r="O931" i="38"/>
  <c r="J931" i="38"/>
  <c r="O930" i="38"/>
  <c r="J930" i="38"/>
  <c r="O929" i="38"/>
  <c r="J929" i="38"/>
  <c r="O928" i="38"/>
  <c r="J928" i="38"/>
  <c r="O927" i="38"/>
  <c r="J927" i="38"/>
  <c r="O926" i="38"/>
  <c r="J926" i="38"/>
  <c r="O925" i="38"/>
  <c r="J925" i="38"/>
  <c r="O924" i="38"/>
  <c r="J924" i="38"/>
  <c r="O923" i="38"/>
  <c r="J923" i="38"/>
  <c r="O922" i="38"/>
  <c r="J922" i="38"/>
  <c r="O921" i="38"/>
  <c r="J921" i="38"/>
  <c r="O920" i="38"/>
  <c r="J920" i="38"/>
  <c r="O919" i="38"/>
  <c r="J919" i="38"/>
  <c r="O918" i="38"/>
  <c r="J918" i="38"/>
  <c r="O917" i="38"/>
  <c r="J917" i="38"/>
  <c r="O916" i="38"/>
  <c r="J916" i="38"/>
  <c r="O915" i="38"/>
  <c r="J915" i="38"/>
  <c r="O914" i="38"/>
  <c r="J914" i="38"/>
  <c r="O913" i="38"/>
  <c r="J912" i="38"/>
  <c r="O912" i="38" s="1"/>
  <c r="J911" i="38"/>
  <c r="O911" i="38" s="1"/>
  <c r="J910" i="38"/>
  <c r="O910" i="38" s="1"/>
  <c r="O909" i="38"/>
  <c r="J909" i="38"/>
  <c r="O908" i="38"/>
  <c r="J908" i="38"/>
  <c r="O907" i="38"/>
  <c r="J907" i="38"/>
  <c r="O906" i="38"/>
  <c r="J906" i="38"/>
  <c r="O905" i="38"/>
  <c r="J905" i="38"/>
  <c r="O904" i="38"/>
  <c r="J904" i="38"/>
  <c r="O903" i="38"/>
  <c r="J903" i="38"/>
  <c r="O902" i="38"/>
  <c r="J902" i="38"/>
  <c r="O901" i="38"/>
  <c r="J901" i="38"/>
  <c r="O900" i="38"/>
  <c r="J900" i="38"/>
  <c r="O899" i="38"/>
  <c r="J899" i="38"/>
  <c r="O898" i="38"/>
  <c r="J898" i="38"/>
  <c r="O897" i="38"/>
  <c r="J897" i="38"/>
  <c r="O896" i="38"/>
  <c r="J896" i="38"/>
  <c r="O895" i="38"/>
  <c r="J895" i="38"/>
  <c r="O894" i="38"/>
  <c r="J894" i="38"/>
  <c r="O893" i="38"/>
  <c r="J893" i="38"/>
  <c r="O892" i="38"/>
  <c r="J892" i="38"/>
  <c r="O891" i="38"/>
  <c r="J891" i="38"/>
  <c r="O890" i="38"/>
  <c r="J890" i="38"/>
  <c r="O889" i="38"/>
  <c r="J889" i="38"/>
  <c r="O888" i="38"/>
  <c r="J888" i="38"/>
  <c r="O887" i="38"/>
  <c r="J887" i="38"/>
  <c r="O886" i="38"/>
  <c r="J886" i="38"/>
  <c r="O885" i="38"/>
  <c r="J885" i="38"/>
  <c r="O884" i="38"/>
  <c r="J884" i="38"/>
  <c r="O883" i="38"/>
  <c r="J883" i="38"/>
  <c r="O882" i="38"/>
  <c r="J882" i="38"/>
  <c r="O881" i="38"/>
  <c r="J881" i="38"/>
  <c r="O880" i="38"/>
  <c r="J880" i="38"/>
  <c r="O879" i="38"/>
  <c r="J879" i="38"/>
  <c r="O878" i="38"/>
  <c r="J878" i="38"/>
  <c r="O877" i="38"/>
  <c r="J877" i="38"/>
  <c r="O876" i="38"/>
  <c r="J876" i="38"/>
  <c r="O875" i="38"/>
  <c r="J875" i="38"/>
  <c r="O874" i="38"/>
  <c r="J874" i="38"/>
  <c r="O873" i="38"/>
  <c r="J873" i="38"/>
  <c r="O872" i="38"/>
  <c r="J872" i="38"/>
  <c r="O871" i="38"/>
  <c r="J871" i="38"/>
  <c r="O870" i="38"/>
  <c r="J870" i="38"/>
  <c r="O869" i="38"/>
  <c r="J869" i="38"/>
  <c r="O868" i="38"/>
  <c r="J868" i="38"/>
  <c r="O867" i="38"/>
  <c r="J867" i="38"/>
  <c r="O866" i="38"/>
  <c r="J866" i="38"/>
  <c r="O865" i="38"/>
  <c r="J865" i="38"/>
  <c r="O864" i="38"/>
  <c r="J864" i="38"/>
  <c r="O863" i="38"/>
  <c r="J863" i="38"/>
  <c r="O862" i="38"/>
  <c r="J862" i="38"/>
  <c r="O861" i="38"/>
  <c r="J861" i="38"/>
  <c r="O860" i="38"/>
  <c r="J860" i="38"/>
  <c r="O859" i="38"/>
  <c r="J859" i="38"/>
  <c r="O858" i="38"/>
  <c r="J858" i="38"/>
  <c r="O857" i="38"/>
  <c r="J857" i="38"/>
  <c r="O856" i="38"/>
  <c r="J856" i="38"/>
  <c r="O855" i="38"/>
  <c r="J855" i="38"/>
  <c r="O854" i="38"/>
  <c r="J854" i="38"/>
  <c r="O853" i="38"/>
  <c r="J853" i="38"/>
  <c r="J852" i="38"/>
  <c r="O852" i="38" s="1"/>
  <c r="J851" i="38"/>
  <c r="O851" i="38" s="1"/>
  <c r="J850" i="38"/>
  <c r="O850" i="38" s="1"/>
  <c r="J849" i="38"/>
  <c r="O849" i="38" s="1"/>
  <c r="J848" i="38"/>
  <c r="O848" i="38" s="1"/>
  <c r="J847" i="38"/>
  <c r="O847" i="38" s="1"/>
  <c r="J846" i="38"/>
  <c r="O846" i="38" s="1"/>
  <c r="J845" i="38"/>
  <c r="O845" i="38" s="1"/>
  <c r="J844" i="38"/>
  <c r="O844" i="38" s="1"/>
  <c r="J843" i="38"/>
  <c r="O843" i="38" s="1"/>
  <c r="J842" i="38"/>
  <c r="O842" i="38" s="1"/>
  <c r="J841" i="38"/>
  <c r="O841" i="38" s="1"/>
  <c r="J840" i="38"/>
  <c r="O840" i="38" s="1"/>
  <c r="J839" i="38"/>
  <c r="O839" i="38" s="1"/>
  <c r="J838" i="38"/>
  <c r="O838" i="38" s="1"/>
  <c r="J837" i="38"/>
  <c r="O837" i="38" s="1"/>
  <c r="J836" i="38"/>
  <c r="O836" i="38" s="1"/>
  <c r="J835" i="38"/>
  <c r="O835" i="38" s="1"/>
  <c r="J834" i="38"/>
  <c r="O834" i="38" s="1"/>
  <c r="J833" i="38"/>
  <c r="O833" i="38" s="1"/>
  <c r="J832" i="38"/>
  <c r="O832" i="38" s="1"/>
  <c r="J831" i="38"/>
  <c r="O831" i="38" s="1"/>
  <c r="J830" i="38"/>
  <c r="O830" i="38" s="1"/>
  <c r="J829" i="38"/>
  <c r="O829" i="38" s="1"/>
  <c r="J828" i="38"/>
  <c r="O828" i="38" s="1"/>
  <c r="J827" i="38"/>
  <c r="O827" i="38" s="1"/>
  <c r="J826" i="38"/>
  <c r="O826" i="38" s="1"/>
  <c r="J825" i="38"/>
  <c r="O825" i="38" s="1"/>
  <c r="J824" i="38"/>
  <c r="O824" i="38" s="1"/>
  <c r="J823" i="38"/>
  <c r="O823" i="38" s="1"/>
  <c r="J822" i="38"/>
  <c r="O822" i="38" s="1"/>
  <c r="J821" i="38"/>
  <c r="O821" i="38" s="1"/>
  <c r="J820" i="38"/>
  <c r="O820" i="38" s="1"/>
  <c r="J819" i="38"/>
  <c r="O819" i="38" s="1"/>
  <c r="J818" i="38"/>
  <c r="O818" i="38" s="1"/>
  <c r="J817" i="38"/>
  <c r="O817" i="38" s="1"/>
  <c r="J816" i="38"/>
  <c r="O816" i="38" s="1"/>
  <c r="J815" i="38"/>
  <c r="O815" i="38" s="1"/>
  <c r="J814" i="38"/>
  <c r="O814" i="38" s="1"/>
  <c r="J813" i="38"/>
  <c r="O813" i="38" s="1"/>
  <c r="J812" i="38"/>
  <c r="O812" i="38" s="1"/>
  <c r="J811" i="38"/>
  <c r="O811" i="38" s="1"/>
  <c r="J810" i="38"/>
  <c r="O810" i="38" s="1"/>
  <c r="J809" i="38"/>
  <c r="O809" i="38" s="1"/>
  <c r="J808" i="38"/>
  <c r="O808" i="38" s="1"/>
  <c r="J807" i="38"/>
  <c r="O807" i="38" s="1"/>
  <c r="J806" i="38"/>
  <c r="O806" i="38" s="1"/>
  <c r="J805" i="38"/>
  <c r="O805" i="38" s="1"/>
  <c r="J804" i="38"/>
  <c r="O804" i="38" s="1"/>
  <c r="J803" i="38"/>
  <c r="O803" i="38" s="1"/>
  <c r="J802" i="38"/>
  <c r="O802" i="38" s="1"/>
  <c r="J801" i="38"/>
  <c r="O801" i="38" s="1"/>
  <c r="J800" i="38"/>
  <c r="J972" i="38" s="1"/>
  <c r="N799" i="38"/>
  <c r="M799" i="38"/>
  <c r="L799" i="38"/>
  <c r="K799" i="38"/>
  <c r="I799" i="38"/>
  <c r="J798" i="38"/>
  <c r="O798" i="38" s="1"/>
  <c r="J797" i="38"/>
  <c r="O797" i="38" s="1"/>
  <c r="J796" i="38"/>
  <c r="O796" i="38" s="1"/>
  <c r="J795" i="38"/>
  <c r="O795" i="38" s="1"/>
  <c r="J794" i="38"/>
  <c r="O794" i="38" s="1"/>
  <c r="J793" i="38"/>
  <c r="O793" i="38" s="1"/>
  <c r="J792" i="38"/>
  <c r="O792" i="38" s="1"/>
  <c r="J791" i="38"/>
  <c r="O791" i="38" s="1"/>
  <c r="J790" i="38"/>
  <c r="O790" i="38" s="1"/>
  <c r="J789" i="38"/>
  <c r="O789" i="38" s="1"/>
  <c r="J788" i="38"/>
  <c r="O788" i="38" s="1"/>
  <c r="J787" i="38"/>
  <c r="O787" i="38" s="1"/>
  <c r="J786" i="38"/>
  <c r="O786" i="38" s="1"/>
  <c r="J785" i="38"/>
  <c r="O785" i="38" s="1"/>
  <c r="J784" i="38"/>
  <c r="O784" i="38" s="1"/>
  <c r="J783" i="38"/>
  <c r="O783" i="38" s="1"/>
  <c r="J782" i="38"/>
  <c r="O782" i="38" s="1"/>
  <c r="J781" i="38"/>
  <c r="O781" i="38" s="1"/>
  <c r="J780" i="38"/>
  <c r="O780" i="38" s="1"/>
  <c r="J779" i="38"/>
  <c r="O779" i="38" s="1"/>
  <c r="J778" i="38"/>
  <c r="O778" i="38" s="1"/>
  <c r="J776" i="38"/>
  <c r="O776" i="38" s="1"/>
  <c r="J775" i="38"/>
  <c r="O775" i="38" s="1"/>
  <c r="J774" i="38"/>
  <c r="O774" i="38" s="1"/>
  <c r="J773" i="38"/>
  <c r="O773" i="38" s="1"/>
  <c r="J772" i="38"/>
  <c r="O772" i="38" s="1"/>
  <c r="J771" i="38"/>
  <c r="O771" i="38" s="1"/>
  <c r="J770" i="38"/>
  <c r="O770" i="38" s="1"/>
  <c r="J769" i="38"/>
  <c r="O769" i="38" s="1"/>
  <c r="J768" i="38"/>
  <c r="O768" i="38" s="1"/>
  <c r="J767" i="38"/>
  <c r="O767" i="38" s="1"/>
  <c r="J766" i="38"/>
  <c r="O766" i="38" s="1"/>
  <c r="J765" i="38"/>
  <c r="O765" i="38" s="1"/>
  <c r="J764" i="38"/>
  <c r="O764" i="38" s="1"/>
  <c r="J763" i="38"/>
  <c r="O763" i="38" s="1"/>
  <c r="J762" i="38"/>
  <c r="O762" i="38" s="1"/>
  <c r="J761" i="38"/>
  <c r="O761" i="38" s="1"/>
  <c r="J760" i="38"/>
  <c r="O760" i="38" s="1"/>
  <c r="J759" i="38"/>
  <c r="O759" i="38" s="1"/>
  <c r="J758" i="38"/>
  <c r="O758" i="38" s="1"/>
  <c r="J757" i="38"/>
  <c r="O757" i="38" s="1"/>
  <c r="J756" i="38"/>
  <c r="O756" i="38" s="1"/>
  <c r="J755" i="38"/>
  <c r="O755" i="38" s="1"/>
  <c r="J754" i="38"/>
  <c r="O754" i="38" s="1"/>
  <c r="J753" i="38"/>
  <c r="O753" i="38" s="1"/>
  <c r="J752" i="38"/>
  <c r="O752" i="38" s="1"/>
  <c r="J751" i="38"/>
  <c r="O751" i="38" s="1"/>
  <c r="J750" i="38"/>
  <c r="O750" i="38" s="1"/>
  <c r="J749" i="38"/>
  <c r="O749" i="38" s="1"/>
  <c r="J748" i="38"/>
  <c r="O748" i="38" s="1"/>
  <c r="J747" i="38"/>
  <c r="O747" i="38" s="1"/>
  <c r="J746" i="38"/>
  <c r="O746" i="38" s="1"/>
  <c r="J745" i="38"/>
  <c r="O745" i="38" s="1"/>
  <c r="J744" i="38"/>
  <c r="O744" i="38" s="1"/>
  <c r="J743" i="38"/>
  <c r="O743" i="38" s="1"/>
  <c r="J742" i="38"/>
  <c r="O742" i="38" s="1"/>
  <c r="J741" i="38"/>
  <c r="O741" i="38" s="1"/>
  <c r="J740" i="38"/>
  <c r="O740" i="38" s="1"/>
  <c r="J739" i="38"/>
  <c r="O739" i="38" s="1"/>
  <c r="J738" i="38"/>
  <c r="O738" i="38" s="1"/>
  <c r="J737" i="38"/>
  <c r="O737" i="38" s="1"/>
  <c r="J736" i="38"/>
  <c r="O736" i="38" s="1"/>
  <c r="J735" i="38"/>
  <c r="O735" i="38" s="1"/>
  <c r="J734" i="38"/>
  <c r="O734" i="38" s="1"/>
  <c r="J733" i="38"/>
  <c r="O733" i="38" s="1"/>
  <c r="J732" i="38"/>
  <c r="O732" i="38" s="1"/>
  <c r="J731" i="38"/>
  <c r="O731" i="38" s="1"/>
  <c r="J730" i="38"/>
  <c r="O730" i="38" s="1"/>
  <c r="J729" i="38"/>
  <c r="O729" i="38" s="1"/>
  <c r="J728" i="38"/>
  <c r="O728" i="38" s="1"/>
  <c r="J727" i="38"/>
  <c r="O727" i="38" s="1"/>
  <c r="J726" i="38"/>
  <c r="O726" i="38" s="1"/>
  <c r="J725" i="38"/>
  <c r="O725" i="38" s="1"/>
  <c r="J724" i="38"/>
  <c r="O724" i="38" s="1"/>
  <c r="J723" i="38"/>
  <c r="O723" i="38" s="1"/>
  <c r="J722" i="38"/>
  <c r="O722" i="38" s="1"/>
  <c r="J721" i="38"/>
  <c r="O721" i="38" s="1"/>
  <c r="J720" i="38"/>
  <c r="O720" i="38" s="1"/>
  <c r="J719" i="38"/>
  <c r="O719" i="38" s="1"/>
  <c r="J718" i="38"/>
  <c r="O718" i="38" s="1"/>
  <c r="J717" i="38"/>
  <c r="O717" i="38" s="1"/>
  <c r="J716" i="38"/>
  <c r="O716" i="38" s="1"/>
  <c r="J715" i="38"/>
  <c r="O715" i="38" s="1"/>
  <c r="J714" i="38"/>
  <c r="O714" i="38" s="1"/>
  <c r="J713" i="38"/>
  <c r="O713" i="38" s="1"/>
  <c r="J712" i="38"/>
  <c r="O712" i="38" s="1"/>
  <c r="J711" i="38"/>
  <c r="O711" i="38" s="1"/>
  <c r="J710" i="38"/>
  <c r="O710" i="38" s="1"/>
  <c r="J709" i="38"/>
  <c r="O709" i="38" s="1"/>
  <c r="J708" i="38"/>
  <c r="O708" i="38" s="1"/>
  <c r="J707" i="38"/>
  <c r="O707" i="38" s="1"/>
  <c r="J706" i="38"/>
  <c r="O706" i="38" s="1"/>
  <c r="J705" i="38"/>
  <c r="O705" i="38" s="1"/>
  <c r="J704" i="38"/>
  <c r="O704" i="38" s="1"/>
  <c r="J703" i="38"/>
  <c r="O703" i="38" s="1"/>
  <c r="J702" i="38"/>
  <c r="O702" i="38" s="1"/>
  <c r="J701" i="38"/>
  <c r="O701" i="38" s="1"/>
  <c r="J700" i="38"/>
  <c r="O700" i="38" s="1"/>
  <c r="J699" i="38"/>
  <c r="O699" i="38" s="1"/>
  <c r="J698" i="38"/>
  <c r="O698" i="38" s="1"/>
  <c r="J697" i="38"/>
  <c r="O697" i="38" s="1"/>
  <c r="J696" i="38"/>
  <c r="O696" i="38" s="1"/>
  <c r="J695" i="38"/>
  <c r="O695" i="38" s="1"/>
  <c r="J694" i="38"/>
  <c r="O694" i="38" s="1"/>
  <c r="J693" i="38"/>
  <c r="O693" i="38" s="1"/>
  <c r="J692" i="38"/>
  <c r="O692" i="38" s="1"/>
  <c r="J691" i="38"/>
  <c r="O691" i="38" s="1"/>
  <c r="J690" i="38"/>
  <c r="O690" i="38" s="1"/>
  <c r="J689" i="38"/>
  <c r="O689" i="38" s="1"/>
  <c r="J688" i="38"/>
  <c r="O688" i="38" s="1"/>
  <c r="J687" i="38"/>
  <c r="O687" i="38" s="1"/>
  <c r="J686" i="38"/>
  <c r="O686" i="38" s="1"/>
  <c r="J685" i="38"/>
  <c r="O685" i="38" s="1"/>
  <c r="J684" i="38"/>
  <c r="O684" i="38" s="1"/>
  <c r="J683" i="38"/>
  <c r="O683" i="38" s="1"/>
  <c r="J682" i="38"/>
  <c r="O682" i="38" s="1"/>
  <c r="J681" i="38"/>
  <c r="O681" i="38" s="1"/>
  <c r="J680" i="38"/>
  <c r="O680" i="38" s="1"/>
  <c r="J679" i="38"/>
  <c r="O679" i="38" s="1"/>
  <c r="J678" i="38"/>
  <c r="O678" i="38" s="1"/>
  <c r="J677" i="38"/>
  <c r="O677" i="38" s="1"/>
  <c r="J676" i="38"/>
  <c r="O676" i="38" s="1"/>
  <c r="J675" i="38"/>
  <c r="O675" i="38" s="1"/>
  <c r="J674" i="38"/>
  <c r="O674" i="38" s="1"/>
  <c r="J673" i="38"/>
  <c r="O673" i="38" s="1"/>
  <c r="J672" i="38"/>
  <c r="O672" i="38" s="1"/>
  <c r="J671" i="38"/>
  <c r="O671" i="38" s="1"/>
  <c r="J670" i="38"/>
  <c r="O670" i="38" s="1"/>
  <c r="J669" i="38"/>
  <c r="O669" i="38" s="1"/>
  <c r="J668" i="38"/>
  <c r="O668" i="38" s="1"/>
  <c r="J667" i="38"/>
  <c r="O667" i="38" s="1"/>
  <c r="J666" i="38"/>
  <c r="O666" i="38" s="1"/>
  <c r="J665" i="38"/>
  <c r="O665" i="38" s="1"/>
  <c r="J664" i="38"/>
  <c r="O664" i="38" s="1"/>
  <c r="J663" i="38"/>
  <c r="O663" i="38" s="1"/>
  <c r="J662" i="38"/>
  <c r="O662" i="38" s="1"/>
  <c r="J661" i="38"/>
  <c r="O661" i="38" s="1"/>
  <c r="J660" i="38"/>
  <c r="O660" i="38" s="1"/>
  <c r="J659" i="38"/>
  <c r="O659" i="38" s="1"/>
  <c r="J658" i="38"/>
  <c r="O658" i="38" s="1"/>
  <c r="J657" i="38"/>
  <c r="O657" i="38" s="1"/>
  <c r="J656" i="38"/>
  <c r="O656" i="38" s="1"/>
  <c r="J655" i="38"/>
  <c r="O655" i="38" s="1"/>
  <c r="J654" i="38"/>
  <c r="O654" i="38" s="1"/>
  <c r="J653" i="38"/>
  <c r="O653" i="38" s="1"/>
  <c r="J652" i="38"/>
  <c r="O652" i="38" s="1"/>
  <c r="J651" i="38"/>
  <c r="O651" i="38" s="1"/>
  <c r="J650" i="38"/>
  <c r="O650" i="38" s="1"/>
  <c r="J649" i="38"/>
  <c r="O649" i="38" s="1"/>
  <c r="J648" i="38"/>
  <c r="O648" i="38" s="1"/>
  <c r="J647" i="38"/>
  <c r="O647" i="38" s="1"/>
  <c r="J646" i="38"/>
  <c r="O646" i="38" s="1"/>
  <c r="J645" i="38"/>
  <c r="O645" i="38" s="1"/>
  <c r="J644" i="38"/>
  <c r="O644" i="38" s="1"/>
  <c r="J643" i="38"/>
  <c r="O643" i="38" s="1"/>
  <c r="J642" i="38"/>
  <c r="O642" i="38" s="1"/>
  <c r="J641" i="38"/>
  <c r="O641" i="38" s="1"/>
  <c r="J640" i="38"/>
  <c r="O640" i="38" s="1"/>
  <c r="J639" i="38"/>
  <c r="O639" i="38" s="1"/>
  <c r="J638" i="38"/>
  <c r="O638" i="38" s="1"/>
  <c r="J637" i="38"/>
  <c r="O637" i="38" s="1"/>
  <c r="J636" i="38"/>
  <c r="O636" i="38" s="1"/>
  <c r="J635" i="38"/>
  <c r="O635" i="38" s="1"/>
  <c r="J634" i="38"/>
  <c r="O634" i="38" s="1"/>
  <c r="J633" i="38"/>
  <c r="O633" i="38" s="1"/>
  <c r="J632" i="38"/>
  <c r="O632" i="38" s="1"/>
  <c r="J631" i="38"/>
  <c r="O631" i="38" s="1"/>
  <c r="J630" i="38"/>
  <c r="O630" i="38" s="1"/>
  <c r="J629" i="38"/>
  <c r="O629" i="38" s="1"/>
  <c r="J628" i="38"/>
  <c r="O628" i="38" s="1"/>
  <c r="J627" i="38"/>
  <c r="O627" i="38" s="1"/>
  <c r="J626" i="38"/>
  <c r="O626" i="38" s="1"/>
  <c r="J625" i="38"/>
  <c r="O625" i="38" s="1"/>
  <c r="J624" i="38"/>
  <c r="O624" i="38" s="1"/>
  <c r="J623" i="38"/>
  <c r="O623" i="38" s="1"/>
  <c r="J622" i="38"/>
  <c r="O622" i="38" s="1"/>
  <c r="J621" i="38"/>
  <c r="O621" i="38" s="1"/>
  <c r="J620" i="38"/>
  <c r="O620" i="38" s="1"/>
  <c r="J619" i="38"/>
  <c r="O619" i="38" s="1"/>
  <c r="J618" i="38"/>
  <c r="O618" i="38" s="1"/>
  <c r="J617" i="38"/>
  <c r="O617" i="38" s="1"/>
  <c r="J616" i="38"/>
  <c r="O616" i="38" s="1"/>
  <c r="J615" i="38"/>
  <c r="O615" i="38" s="1"/>
  <c r="J614" i="38"/>
  <c r="O614" i="38" s="1"/>
  <c r="J613" i="38"/>
  <c r="O613" i="38" s="1"/>
  <c r="J612" i="38"/>
  <c r="O612" i="38" s="1"/>
  <c r="J611" i="38"/>
  <c r="O611" i="38" s="1"/>
  <c r="J610" i="38"/>
  <c r="O610" i="38" s="1"/>
  <c r="J609" i="38"/>
  <c r="O609" i="38" s="1"/>
  <c r="J608" i="38"/>
  <c r="O608" i="38" s="1"/>
  <c r="J607" i="38"/>
  <c r="O607" i="38" s="1"/>
  <c r="J606" i="38"/>
  <c r="O606" i="38" s="1"/>
  <c r="J605" i="38"/>
  <c r="O605" i="38" s="1"/>
  <c r="J604" i="38"/>
  <c r="O604" i="38" s="1"/>
  <c r="J603" i="38"/>
  <c r="O603" i="38" s="1"/>
  <c r="J602" i="38"/>
  <c r="O602" i="38" s="1"/>
  <c r="J601" i="38"/>
  <c r="O601" i="38" s="1"/>
  <c r="J600" i="38"/>
  <c r="O600" i="38" s="1"/>
  <c r="J599" i="38"/>
  <c r="O599" i="38" s="1"/>
  <c r="J598" i="38"/>
  <c r="O598" i="38" s="1"/>
  <c r="J597" i="38"/>
  <c r="O597" i="38" s="1"/>
  <c r="J596" i="38"/>
  <c r="O596" i="38" s="1"/>
  <c r="J595" i="38"/>
  <c r="O595" i="38" s="1"/>
  <c r="J594" i="38"/>
  <c r="O594" i="38" s="1"/>
  <c r="J593" i="38"/>
  <c r="O593" i="38" s="1"/>
  <c r="J592" i="38"/>
  <c r="O592" i="38" s="1"/>
  <c r="J591" i="38"/>
  <c r="O591" i="38" s="1"/>
  <c r="J590" i="38"/>
  <c r="O590" i="38" s="1"/>
  <c r="J589" i="38"/>
  <c r="O589" i="38" s="1"/>
  <c r="J588" i="38"/>
  <c r="O588" i="38" s="1"/>
  <c r="J587" i="38"/>
  <c r="O587" i="38" s="1"/>
  <c r="J586" i="38"/>
  <c r="O586" i="38" s="1"/>
  <c r="J585" i="38"/>
  <c r="O585" i="38" s="1"/>
  <c r="J584" i="38"/>
  <c r="O584" i="38" s="1"/>
  <c r="J583" i="38"/>
  <c r="O583" i="38" s="1"/>
  <c r="J582" i="38"/>
  <c r="O582" i="38" s="1"/>
  <c r="J581" i="38"/>
  <c r="O581" i="38" s="1"/>
  <c r="J580" i="38"/>
  <c r="O580" i="38" s="1"/>
  <c r="J579" i="38"/>
  <c r="O579" i="38" s="1"/>
  <c r="J578" i="38"/>
  <c r="O578" i="38" s="1"/>
  <c r="J577" i="38"/>
  <c r="O577" i="38" s="1"/>
  <c r="J576" i="38"/>
  <c r="O576" i="38" s="1"/>
  <c r="J575" i="38"/>
  <c r="O575" i="38" s="1"/>
  <c r="J574" i="38"/>
  <c r="O574" i="38" s="1"/>
  <c r="J573" i="38"/>
  <c r="O573" i="38" s="1"/>
  <c r="J572" i="38"/>
  <c r="O572" i="38" s="1"/>
  <c r="J571" i="38"/>
  <c r="O571" i="38" s="1"/>
  <c r="J570" i="38"/>
  <c r="O570" i="38" s="1"/>
  <c r="J569" i="38"/>
  <c r="O569" i="38" s="1"/>
  <c r="J568" i="38"/>
  <c r="O568" i="38" s="1"/>
  <c r="J567" i="38"/>
  <c r="O567" i="38" s="1"/>
  <c r="J566" i="38"/>
  <c r="O566" i="38" s="1"/>
  <c r="J565" i="38"/>
  <c r="O565" i="38" s="1"/>
  <c r="J564" i="38"/>
  <c r="O564" i="38" s="1"/>
  <c r="J563" i="38"/>
  <c r="O563" i="38" s="1"/>
  <c r="J562" i="38"/>
  <c r="O562" i="38" s="1"/>
  <c r="J561" i="38"/>
  <c r="O561" i="38" s="1"/>
  <c r="J560" i="38"/>
  <c r="O560" i="38" s="1"/>
  <c r="J559" i="38"/>
  <c r="O559" i="38" s="1"/>
  <c r="J558" i="38"/>
  <c r="O558" i="38" s="1"/>
  <c r="J557" i="38"/>
  <c r="O557" i="38" s="1"/>
  <c r="J556" i="38"/>
  <c r="O556" i="38" s="1"/>
  <c r="J555" i="38"/>
  <c r="O555" i="38" s="1"/>
  <c r="J554" i="38"/>
  <c r="O554" i="38" s="1"/>
  <c r="J553" i="38"/>
  <c r="O553" i="38" s="1"/>
  <c r="J552" i="38"/>
  <c r="O552" i="38" s="1"/>
  <c r="J551" i="38"/>
  <c r="O551" i="38" s="1"/>
  <c r="J550" i="38"/>
  <c r="O550" i="38" s="1"/>
  <c r="J549" i="38"/>
  <c r="M548" i="38"/>
  <c r="L548" i="38"/>
  <c r="K548" i="38"/>
  <c r="I548" i="38"/>
  <c r="J547" i="38"/>
  <c r="O547" i="38" s="1"/>
  <c r="J546" i="38"/>
  <c r="O546" i="38" s="1"/>
  <c r="J545" i="38"/>
  <c r="O545" i="38" s="1"/>
  <c r="J544" i="38"/>
  <c r="O544" i="38" s="1"/>
  <c r="J543" i="38"/>
  <c r="O543" i="38" s="1"/>
  <c r="J542" i="38"/>
  <c r="O542" i="38" s="1"/>
  <c r="J541" i="38"/>
  <c r="O541" i="38" s="1"/>
  <c r="J540" i="38"/>
  <c r="O540" i="38" s="1"/>
  <c r="J539" i="38"/>
  <c r="O539" i="38" s="1"/>
  <c r="J538" i="38"/>
  <c r="O538" i="38" s="1"/>
  <c r="J537" i="38"/>
  <c r="O537" i="38" s="1"/>
  <c r="J536" i="38"/>
  <c r="O536" i="38" s="1"/>
  <c r="J535" i="38"/>
  <c r="O535" i="38" s="1"/>
  <c r="J534" i="38"/>
  <c r="O534" i="38" s="1"/>
  <c r="J533" i="38"/>
  <c r="O533" i="38" s="1"/>
  <c r="J532" i="38"/>
  <c r="O532" i="38" s="1"/>
  <c r="J531" i="38"/>
  <c r="O531" i="38" s="1"/>
  <c r="J530" i="38"/>
  <c r="O530" i="38" s="1"/>
  <c r="J529" i="38"/>
  <c r="O529" i="38" s="1"/>
  <c r="J528" i="38"/>
  <c r="O528" i="38" s="1"/>
  <c r="J527" i="38"/>
  <c r="O527" i="38" s="1"/>
  <c r="J526" i="38"/>
  <c r="O526" i="38" s="1"/>
  <c r="J525" i="38"/>
  <c r="O525" i="38" s="1"/>
  <c r="J524" i="38"/>
  <c r="O524" i="38" s="1"/>
  <c r="J523" i="38"/>
  <c r="O523" i="38" s="1"/>
  <c r="J522" i="38"/>
  <c r="O522" i="38" s="1"/>
  <c r="J521" i="38"/>
  <c r="O521" i="38" s="1"/>
  <c r="J520" i="38"/>
  <c r="O520" i="38" s="1"/>
  <c r="J519" i="38"/>
  <c r="O519" i="38" s="1"/>
  <c r="J518" i="38"/>
  <c r="O518" i="38" s="1"/>
  <c r="J517" i="38"/>
  <c r="O517" i="38" s="1"/>
  <c r="J516" i="38"/>
  <c r="O516" i="38" s="1"/>
  <c r="J515" i="38"/>
  <c r="O515" i="38" s="1"/>
  <c r="J514" i="38"/>
  <c r="O514" i="38" s="1"/>
  <c r="J513" i="38"/>
  <c r="O513" i="38" s="1"/>
  <c r="J512" i="38"/>
  <c r="O512" i="38" s="1"/>
  <c r="J511" i="38"/>
  <c r="O511" i="38" s="1"/>
  <c r="J510" i="38"/>
  <c r="O510" i="38" s="1"/>
  <c r="J509" i="38"/>
  <c r="O509" i="38" s="1"/>
  <c r="J508" i="38"/>
  <c r="O508" i="38" s="1"/>
  <c r="J507" i="38"/>
  <c r="O507" i="38" s="1"/>
  <c r="J506" i="38"/>
  <c r="O506" i="38" s="1"/>
  <c r="J505" i="38"/>
  <c r="O505" i="38" s="1"/>
  <c r="J504" i="38"/>
  <c r="O504" i="38" s="1"/>
  <c r="J503" i="38"/>
  <c r="O503" i="38" s="1"/>
  <c r="J502" i="38"/>
  <c r="O502" i="38" s="1"/>
  <c r="J501" i="38"/>
  <c r="O501" i="38" s="1"/>
  <c r="J500" i="38"/>
  <c r="O500" i="38" s="1"/>
  <c r="J499" i="38"/>
  <c r="O499" i="38" s="1"/>
  <c r="J498" i="38"/>
  <c r="O498" i="38" s="1"/>
  <c r="J497" i="38"/>
  <c r="O497" i="38" s="1"/>
  <c r="J496" i="38"/>
  <c r="O496" i="38" s="1"/>
  <c r="J495" i="38"/>
  <c r="O495" i="38" s="1"/>
  <c r="J494" i="38"/>
  <c r="O494" i="38" s="1"/>
  <c r="J493" i="38"/>
  <c r="O493" i="38" s="1"/>
  <c r="J492" i="38"/>
  <c r="O492" i="38" s="1"/>
  <c r="J491" i="38"/>
  <c r="O491" i="38" s="1"/>
  <c r="J490" i="38"/>
  <c r="O490" i="38" s="1"/>
  <c r="J489" i="38"/>
  <c r="O489" i="38" s="1"/>
  <c r="J488" i="38"/>
  <c r="O488" i="38" s="1"/>
  <c r="J487" i="38"/>
  <c r="O487" i="38" s="1"/>
  <c r="J486" i="38"/>
  <c r="O486" i="38" s="1"/>
  <c r="J485" i="38"/>
  <c r="O485" i="38" s="1"/>
  <c r="J484" i="38"/>
  <c r="O484" i="38" s="1"/>
  <c r="J483" i="38"/>
  <c r="O483" i="38" s="1"/>
  <c r="J482" i="38"/>
  <c r="O482" i="38" s="1"/>
  <c r="J481" i="38"/>
  <c r="O481" i="38" s="1"/>
  <c r="J480" i="38"/>
  <c r="O480" i="38" s="1"/>
  <c r="J479" i="38"/>
  <c r="O479" i="38" s="1"/>
  <c r="J478" i="38"/>
  <c r="O478" i="38" s="1"/>
  <c r="J477" i="38"/>
  <c r="O477" i="38" s="1"/>
  <c r="J476" i="38"/>
  <c r="O476" i="38" s="1"/>
  <c r="J475" i="38"/>
  <c r="O475" i="38" s="1"/>
  <c r="J474" i="38"/>
  <c r="O474" i="38" s="1"/>
  <c r="J473" i="38"/>
  <c r="O473" i="38" s="1"/>
  <c r="J472" i="38"/>
  <c r="O472" i="38" s="1"/>
  <c r="J471" i="38"/>
  <c r="O471" i="38" s="1"/>
  <c r="J470" i="38"/>
  <c r="O470" i="38" s="1"/>
  <c r="J469" i="38"/>
  <c r="O469" i="38" s="1"/>
  <c r="J468" i="38"/>
  <c r="O468" i="38" s="1"/>
  <c r="J467" i="38"/>
  <c r="O467" i="38" s="1"/>
  <c r="J466" i="38"/>
  <c r="O466" i="38" s="1"/>
  <c r="J465" i="38"/>
  <c r="O465" i="38" s="1"/>
  <c r="J464" i="38"/>
  <c r="O464" i="38" s="1"/>
  <c r="J463" i="38"/>
  <c r="O463" i="38" s="1"/>
  <c r="J462" i="38"/>
  <c r="O462" i="38" s="1"/>
  <c r="J461" i="38"/>
  <c r="O461" i="38" s="1"/>
  <c r="J460" i="38"/>
  <c r="O460" i="38" s="1"/>
  <c r="J459" i="38"/>
  <c r="O459" i="38" s="1"/>
  <c r="J458" i="38"/>
  <c r="O458" i="38" s="1"/>
  <c r="J457" i="38"/>
  <c r="O457" i="38" s="1"/>
  <c r="J456" i="38"/>
  <c r="O456" i="38" s="1"/>
  <c r="J455" i="38"/>
  <c r="O455" i="38" s="1"/>
  <c r="J454" i="38"/>
  <c r="O454" i="38" s="1"/>
  <c r="J453" i="38"/>
  <c r="O453" i="38" s="1"/>
  <c r="J452" i="38"/>
  <c r="O452" i="38" s="1"/>
  <c r="J451" i="38"/>
  <c r="O451" i="38" s="1"/>
  <c r="J450" i="38"/>
  <c r="O450" i="38" s="1"/>
  <c r="J449" i="38"/>
  <c r="O449" i="38" s="1"/>
  <c r="J448" i="38"/>
  <c r="O448" i="38" s="1"/>
  <c r="J447" i="38"/>
  <c r="O447" i="38" s="1"/>
  <c r="J446" i="38"/>
  <c r="O446" i="38" s="1"/>
  <c r="J445" i="38"/>
  <c r="O445" i="38" s="1"/>
  <c r="J444" i="38"/>
  <c r="O444" i="38" s="1"/>
  <c r="J443" i="38"/>
  <c r="O443" i="38" s="1"/>
  <c r="J442" i="38"/>
  <c r="O442" i="38" s="1"/>
  <c r="J441" i="38"/>
  <c r="O441" i="38" s="1"/>
  <c r="J440" i="38"/>
  <c r="O440" i="38" s="1"/>
  <c r="J439" i="38"/>
  <c r="O439" i="38" s="1"/>
  <c r="J438" i="38"/>
  <c r="O438" i="38" s="1"/>
  <c r="J437" i="38"/>
  <c r="O437" i="38" s="1"/>
  <c r="J436" i="38"/>
  <c r="O436" i="38" s="1"/>
  <c r="J435" i="38"/>
  <c r="O435" i="38" s="1"/>
  <c r="J434" i="38"/>
  <c r="O434" i="38" s="1"/>
  <c r="J433" i="38"/>
  <c r="O433" i="38" s="1"/>
  <c r="J432" i="38"/>
  <c r="O432" i="38" s="1"/>
  <c r="J431" i="38"/>
  <c r="O431" i="38" s="1"/>
  <c r="J430" i="38"/>
  <c r="O430" i="38" s="1"/>
  <c r="J429" i="38"/>
  <c r="O429" i="38" s="1"/>
  <c r="J428" i="38"/>
  <c r="O428" i="38" s="1"/>
  <c r="J427" i="38"/>
  <c r="O427" i="38" s="1"/>
  <c r="J426" i="38"/>
  <c r="O426" i="38" s="1"/>
  <c r="J425" i="38"/>
  <c r="O425" i="38" s="1"/>
  <c r="J424" i="38"/>
  <c r="O424" i="38" s="1"/>
  <c r="J423" i="38"/>
  <c r="O423" i="38" s="1"/>
  <c r="J422" i="38"/>
  <c r="O422" i="38" s="1"/>
  <c r="J421" i="38"/>
  <c r="O421" i="38" s="1"/>
  <c r="J420" i="38"/>
  <c r="O420" i="38" s="1"/>
  <c r="J419" i="38"/>
  <c r="O419" i="38" s="1"/>
  <c r="J418" i="38"/>
  <c r="O418" i="38" s="1"/>
  <c r="J417" i="38"/>
  <c r="O417" i="38" s="1"/>
  <c r="J416" i="38"/>
  <c r="O416" i="38" s="1"/>
  <c r="J415" i="38"/>
  <c r="O415" i="38" s="1"/>
  <c r="J414" i="38"/>
  <c r="O414" i="38" s="1"/>
  <c r="J413" i="38"/>
  <c r="O413" i="38" s="1"/>
  <c r="J412" i="38"/>
  <c r="O412" i="38" s="1"/>
  <c r="J411" i="38"/>
  <c r="O411" i="38" s="1"/>
  <c r="J410" i="38"/>
  <c r="O410" i="38" s="1"/>
  <c r="J409" i="38"/>
  <c r="O409" i="38" s="1"/>
  <c r="J408" i="38"/>
  <c r="O408" i="38" s="1"/>
  <c r="J407" i="38"/>
  <c r="O407" i="38" s="1"/>
  <c r="J406" i="38"/>
  <c r="O406" i="38" s="1"/>
  <c r="J405" i="38"/>
  <c r="O405" i="38" s="1"/>
  <c r="J404" i="38"/>
  <c r="O404" i="38" s="1"/>
  <c r="J403" i="38"/>
  <c r="O403" i="38" s="1"/>
  <c r="J402" i="38"/>
  <c r="O402" i="38" s="1"/>
  <c r="J401" i="38"/>
  <c r="O401" i="38" s="1"/>
  <c r="J400" i="38"/>
  <c r="O400" i="38" s="1"/>
  <c r="J399" i="38"/>
  <c r="O399" i="38" s="1"/>
  <c r="J398" i="38"/>
  <c r="O398" i="38" s="1"/>
  <c r="J397" i="38"/>
  <c r="O397" i="38" s="1"/>
  <c r="J396" i="38"/>
  <c r="O396" i="38" s="1"/>
  <c r="J395" i="38"/>
  <c r="O395" i="38" s="1"/>
  <c r="J394" i="38"/>
  <c r="O394" i="38" s="1"/>
  <c r="J393" i="38"/>
  <c r="O393" i="38" s="1"/>
  <c r="J392" i="38"/>
  <c r="O392" i="38" s="1"/>
  <c r="J391" i="38"/>
  <c r="O391" i="38" s="1"/>
  <c r="J390" i="38"/>
  <c r="O390" i="38" s="1"/>
  <c r="J389" i="38"/>
  <c r="O389" i="38" s="1"/>
  <c r="J388" i="38"/>
  <c r="O388" i="38" s="1"/>
  <c r="J387" i="38"/>
  <c r="O387" i="38" s="1"/>
  <c r="J386" i="38"/>
  <c r="O386" i="38" s="1"/>
  <c r="J385" i="38"/>
  <c r="O385" i="38" s="1"/>
  <c r="J384" i="38"/>
  <c r="O384" i="38" s="1"/>
  <c r="J383" i="38"/>
  <c r="O383" i="38" s="1"/>
  <c r="J382" i="38"/>
  <c r="O382" i="38" s="1"/>
  <c r="J381" i="38"/>
  <c r="O381" i="38" s="1"/>
  <c r="J380" i="38"/>
  <c r="O380" i="38" s="1"/>
  <c r="J379" i="38"/>
  <c r="O379" i="38" s="1"/>
  <c r="J378" i="38"/>
  <c r="O378" i="38" s="1"/>
  <c r="J377" i="38"/>
  <c r="O377" i="38" s="1"/>
  <c r="O376" i="38"/>
  <c r="J376" i="38"/>
  <c r="O375" i="38"/>
  <c r="J375" i="38"/>
  <c r="O374" i="38"/>
  <c r="J374" i="38"/>
  <c r="O373" i="38"/>
  <c r="J373" i="38"/>
  <c r="J372" i="38"/>
  <c r="O372" i="38" s="1"/>
  <c r="J371" i="38"/>
  <c r="O371" i="38" s="1"/>
  <c r="J370" i="38"/>
  <c r="O370" i="38" s="1"/>
  <c r="J369" i="38"/>
  <c r="O369" i="38" s="1"/>
  <c r="J368" i="38"/>
  <c r="O368" i="38" s="1"/>
  <c r="J367" i="38"/>
  <c r="O367" i="38" s="1"/>
  <c r="J366" i="38"/>
  <c r="O366" i="38" s="1"/>
  <c r="J365" i="38"/>
  <c r="O365" i="38" s="1"/>
  <c r="J364" i="38"/>
  <c r="O364" i="38" s="1"/>
  <c r="J363" i="38"/>
  <c r="O363" i="38" s="1"/>
  <c r="J362" i="38"/>
  <c r="O362" i="38" s="1"/>
  <c r="J361" i="38"/>
  <c r="O361" i="38" s="1"/>
  <c r="J360" i="38"/>
  <c r="O360" i="38" s="1"/>
  <c r="J359" i="38"/>
  <c r="O359" i="38" s="1"/>
  <c r="J358" i="38"/>
  <c r="O358" i="38" s="1"/>
  <c r="J357" i="38"/>
  <c r="O357" i="38" s="1"/>
  <c r="J356" i="38"/>
  <c r="O356" i="38" s="1"/>
  <c r="J355" i="38"/>
  <c r="O355" i="38" s="1"/>
  <c r="J354" i="38"/>
  <c r="O354" i="38" s="1"/>
  <c r="J353" i="38"/>
  <c r="O353" i="38" s="1"/>
  <c r="J352" i="38"/>
  <c r="O352" i="38" s="1"/>
  <c r="J351" i="38"/>
  <c r="O351" i="38" s="1"/>
  <c r="J350" i="38"/>
  <c r="O350" i="38" s="1"/>
  <c r="J349" i="38"/>
  <c r="O349" i="38" s="1"/>
  <c r="J348" i="38"/>
  <c r="O348" i="38" s="1"/>
  <c r="J347" i="38"/>
  <c r="O347" i="38" s="1"/>
  <c r="J346" i="38"/>
  <c r="O346" i="38" s="1"/>
  <c r="J345" i="38"/>
  <c r="O345" i="38" s="1"/>
  <c r="J344" i="38"/>
  <c r="O344" i="38" s="1"/>
  <c r="J343" i="38"/>
  <c r="O343" i="38" s="1"/>
  <c r="J342" i="38"/>
  <c r="O342" i="38" s="1"/>
  <c r="J341" i="38"/>
  <c r="O341" i="38" s="1"/>
  <c r="J340" i="38"/>
  <c r="O340" i="38" s="1"/>
  <c r="J339" i="38"/>
  <c r="O339" i="38" s="1"/>
  <c r="J338" i="38"/>
  <c r="O338" i="38" s="1"/>
  <c r="J337" i="38"/>
  <c r="O337" i="38" s="1"/>
  <c r="J336" i="38"/>
  <c r="O336" i="38" s="1"/>
  <c r="J335" i="38"/>
  <c r="O335" i="38" s="1"/>
  <c r="J334" i="38"/>
  <c r="O334" i="38" s="1"/>
  <c r="J333" i="38"/>
  <c r="O333" i="38" s="1"/>
  <c r="J332" i="38"/>
  <c r="O332" i="38" s="1"/>
  <c r="J331" i="38"/>
  <c r="O331" i="38" s="1"/>
  <c r="J330" i="38"/>
  <c r="O330" i="38" s="1"/>
  <c r="J329" i="38"/>
  <c r="O329" i="38" s="1"/>
  <c r="J328" i="38"/>
  <c r="O328" i="38" s="1"/>
  <c r="J327" i="38"/>
  <c r="J548" i="38" s="1"/>
  <c r="N326" i="38"/>
  <c r="M326" i="38"/>
  <c r="L326" i="38"/>
  <c r="K326" i="38"/>
  <c r="I326" i="38"/>
  <c r="O325" i="38"/>
  <c r="J325" i="38"/>
  <c r="O324" i="38"/>
  <c r="J324" i="38"/>
  <c r="J323" i="38"/>
  <c r="O323" i="38" s="1"/>
  <c r="J322" i="38"/>
  <c r="O322" i="38" s="1"/>
  <c r="J321" i="38"/>
  <c r="O321" i="38" s="1"/>
  <c r="J320" i="38"/>
  <c r="O320" i="38" s="1"/>
  <c r="J319" i="38"/>
  <c r="O319" i="38" s="1"/>
  <c r="J318" i="38"/>
  <c r="O318" i="38" s="1"/>
  <c r="J317" i="38"/>
  <c r="O317" i="38" s="1"/>
  <c r="J316" i="38"/>
  <c r="O316" i="38" s="1"/>
  <c r="J315" i="38"/>
  <c r="O315" i="38" s="1"/>
  <c r="J314" i="38"/>
  <c r="O314" i="38" s="1"/>
  <c r="J313" i="38"/>
  <c r="O313" i="38" s="1"/>
  <c r="J312" i="38"/>
  <c r="O312" i="38" s="1"/>
  <c r="J311" i="38"/>
  <c r="O311" i="38" s="1"/>
  <c r="J310" i="38"/>
  <c r="O310" i="38" s="1"/>
  <c r="J309" i="38"/>
  <c r="O309" i="38" s="1"/>
  <c r="J308" i="38"/>
  <c r="O308" i="38" s="1"/>
  <c r="J307" i="38"/>
  <c r="O307" i="38" s="1"/>
  <c r="J306" i="38"/>
  <c r="O306" i="38" s="1"/>
  <c r="J305" i="38"/>
  <c r="O305" i="38" s="1"/>
  <c r="J304" i="38"/>
  <c r="O304" i="38" s="1"/>
  <c r="J303" i="38"/>
  <c r="O303" i="38" s="1"/>
  <c r="J302" i="38"/>
  <c r="O302" i="38" s="1"/>
  <c r="J301" i="38"/>
  <c r="O301" i="38" s="1"/>
  <c r="J300" i="38"/>
  <c r="O300" i="38" s="1"/>
  <c r="J299" i="38"/>
  <c r="O299" i="38" s="1"/>
  <c r="J298" i="38"/>
  <c r="O298" i="38" s="1"/>
  <c r="J297" i="38"/>
  <c r="O297" i="38" s="1"/>
  <c r="J296" i="38"/>
  <c r="O296" i="38" s="1"/>
  <c r="J295" i="38"/>
  <c r="O295" i="38" s="1"/>
  <c r="J294" i="38"/>
  <c r="O294" i="38" s="1"/>
  <c r="J293" i="38"/>
  <c r="O293" i="38" s="1"/>
  <c r="J292" i="38"/>
  <c r="O292" i="38" s="1"/>
  <c r="J291" i="38"/>
  <c r="O291" i="38" s="1"/>
  <c r="J290" i="38"/>
  <c r="O290" i="38" s="1"/>
  <c r="J289" i="38"/>
  <c r="O289" i="38" s="1"/>
  <c r="J288" i="38"/>
  <c r="O288" i="38" s="1"/>
  <c r="J287" i="38"/>
  <c r="O287" i="38" s="1"/>
  <c r="J286" i="38"/>
  <c r="O286" i="38" s="1"/>
  <c r="J285" i="38"/>
  <c r="O285" i="38" s="1"/>
  <c r="J284" i="38"/>
  <c r="O284" i="38" s="1"/>
  <c r="J283" i="38"/>
  <c r="O283" i="38" s="1"/>
  <c r="J282" i="38"/>
  <c r="O282" i="38" s="1"/>
  <c r="J281" i="38"/>
  <c r="O281" i="38" s="1"/>
  <c r="J280" i="38"/>
  <c r="O280" i="38" s="1"/>
  <c r="J279" i="38"/>
  <c r="O279" i="38" s="1"/>
  <c r="J278" i="38"/>
  <c r="O278" i="38" s="1"/>
  <c r="J277" i="38"/>
  <c r="O277" i="38" s="1"/>
  <c r="J276" i="38"/>
  <c r="O276" i="38" s="1"/>
  <c r="J275" i="38"/>
  <c r="O275" i="38" s="1"/>
  <c r="J274" i="38"/>
  <c r="O274" i="38" s="1"/>
  <c r="J273" i="38"/>
  <c r="O273" i="38" s="1"/>
  <c r="J272" i="38"/>
  <c r="O272" i="38" s="1"/>
  <c r="J271" i="38"/>
  <c r="O271" i="38" s="1"/>
  <c r="J270" i="38"/>
  <c r="O270" i="38" s="1"/>
  <c r="J269" i="38"/>
  <c r="O269" i="38" s="1"/>
  <c r="J268" i="38"/>
  <c r="O268" i="38" s="1"/>
  <c r="J267" i="38"/>
  <c r="O267" i="38" s="1"/>
  <c r="J266" i="38"/>
  <c r="O266" i="38" s="1"/>
  <c r="J265" i="38"/>
  <c r="O265" i="38" s="1"/>
  <c r="J264" i="38"/>
  <c r="O264" i="38" s="1"/>
  <c r="J263" i="38"/>
  <c r="O263" i="38" s="1"/>
  <c r="J262" i="38"/>
  <c r="O262" i="38" s="1"/>
  <c r="J261" i="38"/>
  <c r="O261" i="38" s="1"/>
  <c r="J260" i="38"/>
  <c r="O260" i="38" s="1"/>
  <c r="J259" i="38"/>
  <c r="O259" i="38" s="1"/>
  <c r="J258" i="38"/>
  <c r="O258" i="38" s="1"/>
  <c r="J257" i="38"/>
  <c r="O257" i="38" s="1"/>
  <c r="J256" i="38"/>
  <c r="O256" i="38" s="1"/>
  <c r="J255" i="38"/>
  <c r="O255" i="38" s="1"/>
  <c r="J254" i="38"/>
  <c r="O254" i="38" s="1"/>
  <c r="J253" i="38"/>
  <c r="O253" i="38" s="1"/>
  <c r="J252" i="38"/>
  <c r="O252" i="38" s="1"/>
  <c r="J251" i="38"/>
  <c r="O251" i="38" s="1"/>
  <c r="J250" i="38"/>
  <c r="O250" i="38" s="1"/>
  <c r="J249" i="38"/>
  <c r="O249" i="38" s="1"/>
  <c r="J248" i="38"/>
  <c r="O248" i="38" s="1"/>
  <c r="J247" i="38"/>
  <c r="O247" i="38" s="1"/>
  <c r="J246" i="38"/>
  <c r="O246" i="38" s="1"/>
  <c r="J245" i="38"/>
  <c r="O245" i="38" s="1"/>
  <c r="J244" i="38"/>
  <c r="O244" i="38" s="1"/>
  <c r="J243" i="38"/>
  <c r="O243" i="38" s="1"/>
  <c r="J242" i="38"/>
  <c r="O242" i="38" s="1"/>
  <c r="J241" i="38"/>
  <c r="O241" i="38" s="1"/>
  <c r="J240" i="38"/>
  <c r="O240" i="38" s="1"/>
  <c r="J239" i="38"/>
  <c r="O239" i="38" s="1"/>
  <c r="J238" i="38"/>
  <c r="O238" i="38" s="1"/>
  <c r="J237" i="38"/>
  <c r="O237" i="38" s="1"/>
  <c r="J236" i="38"/>
  <c r="O236" i="38" s="1"/>
  <c r="J235" i="38"/>
  <c r="O235" i="38" s="1"/>
  <c r="J234" i="38"/>
  <c r="O234" i="38" s="1"/>
  <c r="J233" i="38"/>
  <c r="O233" i="38" s="1"/>
  <c r="J232" i="38"/>
  <c r="O232" i="38" s="1"/>
  <c r="J231" i="38"/>
  <c r="O231" i="38" s="1"/>
  <c r="J230" i="38"/>
  <c r="O230" i="38" s="1"/>
  <c r="J229" i="38"/>
  <c r="O229" i="38" s="1"/>
  <c r="J228" i="38"/>
  <c r="O228" i="38" s="1"/>
  <c r="J227" i="38"/>
  <c r="O227" i="38" s="1"/>
  <c r="J226" i="38"/>
  <c r="O226" i="38" s="1"/>
  <c r="J225" i="38"/>
  <c r="O225" i="38" s="1"/>
  <c r="J224" i="38"/>
  <c r="O224" i="38" s="1"/>
  <c r="J223" i="38"/>
  <c r="O223" i="38" s="1"/>
  <c r="J222" i="38"/>
  <c r="O222" i="38" s="1"/>
  <c r="J221" i="38"/>
  <c r="O221" i="38" s="1"/>
  <c r="J220" i="38"/>
  <c r="O220" i="38" s="1"/>
  <c r="J219" i="38"/>
  <c r="O219" i="38" s="1"/>
  <c r="J218" i="38"/>
  <c r="O218" i="38" s="1"/>
  <c r="J217" i="38"/>
  <c r="O217" i="38" s="1"/>
  <c r="J216" i="38"/>
  <c r="O216" i="38" s="1"/>
  <c r="J215" i="38"/>
  <c r="O215" i="38" s="1"/>
  <c r="J214" i="38"/>
  <c r="O214" i="38" s="1"/>
  <c r="J213" i="38"/>
  <c r="O213" i="38" s="1"/>
  <c r="J212" i="38"/>
  <c r="O212" i="38" s="1"/>
  <c r="J211" i="38"/>
  <c r="O211" i="38" s="1"/>
  <c r="J210" i="38"/>
  <c r="O210" i="38" s="1"/>
  <c r="J209" i="38"/>
  <c r="O209" i="38" s="1"/>
  <c r="J208" i="38"/>
  <c r="O208" i="38" s="1"/>
  <c r="J207" i="38"/>
  <c r="O207" i="38" s="1"/>
  <c r="J206" i="38"/>
  <c r="O206" i="38" s="1"/>
  <c r="J205" i="38"/>
  <c r="O205" i="38" s="1"/>
  <c r="J204" i="38"/>
  <c r="O204" i="38" s="1"/>
  <c r="J203" i="38"/>
  <c r="O203" i="38" s="1"/>
  <c r="J202" i="38"/>
  <c r="O202" i="38" s="1"/>
  <c r="J201" i="38"/>
  <c r="O201" i="38" s="1"/>
  <c r="J200" i="38"/>
  <c r="O200" i="38" s="1"/>
  <c r="J199" i="38"/>
  <c r="O199" i="38" s="1"/>
  <c r="J198" i="38"/>
  <c r="O198" i="38" s="1"/>
  <c r="J197" i="38"/>
  <c r="O197" i="38" s="1"/>
  <c r="J196" i="38"/>
  <c r="O196" i="38" s="1"/>
  <c r="J195" i="38"/>
  <c r="O195" i="38" s="1"/>
  <c r="J194" i="38"/>
  <c r="O194" i="38" s="1"/>
  <c r="J193" i="38"/>
  <c r="O193" i="38" s="1"/>
  <c r="J192" i="38"/>
  <c r="O192" i="38" s="1"/>
  <c r="J191" i="38"/>
  <c r="O191" i="38" s="1"/>
  <c r="J190" i="38"/>
  <c r="O190" i="38" s="1"/>
  <c r="J189" i="38"/>
  <c r="O189" i="38" s="1"/>
  <c r="O188" i="38"/>
  <c r="O187" i="38"/>
  <c r="J187" i="38"/>
  <c r="O186" i="38"/>
  <c r="J186" i="38"/>
  <c r="O185" i="38"/>
  <c r="J185" i="38"/>
  <c r="O184" i="38"/>
  <c r="J184" i="38"/>
  <c r="O183" i="38"/>
  <c r="J183" i="38"/>
  <c r="O182" i="38"/>
  <c r="J182" i="38"/>
  <c r="O181" i="38"/>
  <c r="J181" i="38"/>
  <c r="O180" i="38"/>
  <c r="J180" i="38"/>
  <c r="O179" i="38"/>
  <c r="J179" i="38"/>
  <c r="O178" i="38"/>
  <c r="J178" i="38"/>
  <c r="O177" i="38"/>
  <c r="J177" i="38"/>
  <c r="O176" i="38"/>
  <c r="J176" i="38"/>
  <c r="O175" i="38"/>
  <c r="J175" i="38"/>
  <c r="O174" i="38"/>
  <c r="J174" i="38"/>
  <c r="O173" i="38"/>
  <c r="J173" i="38"/>
  <c r="O172" i="38"/>
  <c r="J172" i="38"/>
  <c r="O171" i="38"/>
  <c r="J171" i="38"/>
  <c r="O170" i="38"/>
  <c r="J170" i="38"/>
  <c r="O169" i="38"/>
  <c r="J169" i="38"/>
  <c r="O168" i="38"/>
  <c r="J168" i="38"/>
  <c r="O167" i="38"/>
  <c r="J167" i="38"/>
  <c r="O166" i="38"/>
  <c r="J166" i="38"/>
  <c r="O165" i="38"/>
  <c r="J165" i="38"/>
  <c r="O164" i="38"/>
  <c r="J164" i="38"/>
  <c r="O163" i="38"/>
  <c r="J163" i="38"/>
  <c r="O162" i="38"/>
  <c r="J162" i="38"/>
  <c r="O161" i="38"/>
  <c r="J161" i="38"/>
  <c r="O160" i="38"/>
  <c r="J160" i="38"/>
  <c r="O159" i="38"/>
  <c r="J159" i="38"/>
  <c r="O158" i="38"/>
  <c r="J158" i="38"/>
  <c r="O157" i="38"/>
  <c r="O326" i="38" s="1"/>
  <c r="J157" i="38"/>
  <c r="J326" i="38" s="1"/>
  <c r="N156" i="38"/>
  <c r="M156" i="38"/>
  <c r="L156" i="38"/>
  <c r="K156" i="38"/>
  <c r="I156" i="38"/>
  <c r="J155" i="38"/>
  <c r="O155" i="38" s="1"/>
  <c r="J154" i="38"/>
  <c r="O154" i="38" s="1"/>
  <c r="J153" i="38"/>
  <c r="O153" i="38" s="1"/>
  <c r="J152" i="38"/>
  <c r="O152" i="38" s="1"/>
  <c r="J151" i="38"/>
  <c r="O151" i="38" s="1"/>
  <c r="J150" i="38"/>
  <c r="O150" i="38" s="1"/>
  <c r="J149" i="38"/>
  <c r="O149" i="38" s="1"/>
  <c r="J148" i="38"/>
  <c r="O148" i="38" s="1"/>
  <c r="J147" i="38"/>
  <c r="O147" i="38" s="1"/>
  <c r="J146" i="38"/>
  <c r="O146" i="38" s="1"/>
  <c r="J145" i="38"/>
  <c r="O145" i="38" s="1"/>
  <c r="J144" i="38"/>
  <c r="O144" i="38" s="1"/>
  <c r="J143" i="38"/>
  <c r="O143" i="38" s="1"/>
  <c r="J142" i="38"/>
  <c r="O142" i="38" s="1"/>
  <c r="J141" i="38"/>
  <c r="O141" i="38" s="1"/>
  <c r="J140" i="38"/>
  <c r="O140" i="38" s="1"/>
  <c r="J139" i="38"/>
  <c r="O139" i="38" s="1"/>
  <c r="J138" i="38"/>
  <c r="O138" i="38" s="1"/>
  <c r="J137" i="38"/>
  <c r="O137" i="38" s="1"/>
  <c r="J136" i="38"/>
  <c r="O136" i="38" s="1"/>
  <c r="J135" i="38"/>
  <c r="O135" i="38" s="1"/>
  <c r="J134" i="38"/>
  <c r="O134" i="38" s="1"/>
  <c r="J133" i="38"/>
  <c r="O133" i="38" s="1"/>
  <c r="J132" i="38"/>
  <c r="O132" i="38" s="1"/>
  <c r="J131" i="38"/>
  <c r="O131" i="38" s="1"/>
  <c r="J130" i="38"/>
  <c r="O130" i="38" s="1"/>
  <c r="J129" i="38"/>
  <c r="O129" i="38" s="1"/>
  <c r="J128" i="38"/>
  <c r="O128" i="38" s="1"/>
  <c r="J127" i="38"/>
  <c r="O127" i="38" s="1"/>
  <c r="J126" i="38"/>
  <c r="O126" i="38" s="1"/>
  <c r="J125" i="38"/>
  <c r="O125" i="38" s="1"/>
  <c r="J124" i="38"/>
  <c r="O124" i="38" s="1"/>
  <c r="J123" i="38"/>
  <c r="O123" i="38" s="1"/>
  <c r="J122" i="38"/>
  <c r="O122" i="38" s="1"/>
  <c r="J121" i="38"/>
  <c r="O121" i="38" s="1"/>
  <c r="J120" i="38"/>
  <c r="O120" i="38" s="1"/>
  <c r="J119" i="38"/>
  <c r="O119" i="38" s="1"/>
  <c r="J118" i="38"/>
  <c r="O118" i="38" s="1"/>
  <c r="J117" i="38"/>
  <c r="O117" i="38" s="1"/>
  <c r="J116" i="38"/>
  <c r="O116" i="38" s="1"/>
  <c r="J115" i="38"/>
  <c r="O115" i="38" s="1"/>
  <c r="J114" i="38"/>
  <c r="O114" i="38" s="1"/>
  <c r="J113" i="38"/>
  <c r="O113" i="38" s="1"/>
  <c r="J112" i="38"/>
  <c r="O112" i="38" s="1"/>
  <c r="J111" i="38"/>
  <c r="O111" i="38" s="1"/>
  <c r="J110" i="38"/>
  <c r="O110" i="38" s="1"/>
  <c r="J109" i="38"/>
  <c r="O109" i="38" s="1"/>
  <c r="J108" i="38"/>
  <c r="O108" i="38" s="1"/>
  <c r="J107" i="38"/>
  <c r="O107" i="38" s="1"/>
  <c r="J106" i="38"/>
  <c r="O106" i="38" s="1"/>
  <c r="J105" i="38"/>
  <c r="O105" i="38" s="1"/>
  <c r="J104" i="38"/>
  <c r="O104" i="38" s="1"/>
  <c r="J103" i="38"/>
  <c r="O103" i="38" s="1"/>
  <c r="J102" i="38"/>
  <c r="O102" i="38" s="1"/>
  <c r="J101" i="38"/>
  <c r="O101" i="38" s="1"/>
  <c r="J100" i="38"/>
  <c r="O100" i="38" s="1"/>
  <c r="J99" i="38"/>
  <c r="O99" i="38" s="1"/>
  <c r="J98" i="38"/>
  <c r="O98" i="38" s="1"/>
  <c r="J97" i="38"/>
  <c r="O97" i="38" s="1"/>
  <c r="J96" i="38"/>
  <c r="O96" i="38" s="1"/>
  <c r="J95" i="38"/>
  <c r="O95" i="38" s="1"/>
  <c r="J94" i="38"/>
  <c r="O94" i="38" s="1"/>
  <c r="J93" i="38"/>
  <c r="O93" i="38" s="1"/>
  <c r="J92" i="38"/>
  <c r="O92" i="38" s="1"/>
  <c r="J91" i="38"/>
  <c r="O91" i="38" s="1"/>
  <c r="J90" i="38"/>
  <c r="O90" i="38" s="1"/>
  <c r="J89" i="38"/>
  <c r="O89" i="38" s="1"/>
  <c r="J88" i="38"/>
  <c r="O88" i="38" s="1"/>
  <c r="J87" i="38"/>
  <c r="O87" i="38" s="1"/>
  <c r="J86" i="38"/>
  <c r="O86" i="38" s="1"/>
  <c r="J85" i="38"/>
  <c r="O85" i="38" s="1"/>
  <c r="J84" i="38"/>
  <c r="O84" i="38" s="1"/>
  <c r="J83" i="38"/>
  <c r="O83" i="38" s="1"/>
  <c r="J82" i="38"/>
  <c r="O82" i="38" s="1"/>
  <c r="J81" i="38"/>
  <c r="O81" i="38" s="1"/>
  <c r="J80" i="38"/>
  <c r="O80" i="38" s="1"/>
  <c r="J79" i="38"/>
  <c r="O79" i="38" s="1"/>
  <c r="J78" i="38"/>
  <c r="O78" i="38" s="1"/>
  <c r="J77" i="38"/>
  <c r="O77" i="38" s="1"/>
  <c r="J76" i="38"/>
  <c r="O76" i="38" s="1"/>
  <c r="J75" i="38"/>
  <c r="O75" i="38" s="1"/>
  <c r="J74" i="38"/>
  <c r="O74" i="38" s="1"/>
  <c r="J73" i="38"/>
  <c r="O73" i="38" s="1"/>
  <c r="J72" i="38"/>
  <c r="O72" i="38" s="1"/>
  <c r="J71" i="38"/>
  <c r="O71" i="38" s="1"/>
  <c r="J70" i="38"/>
  <c r="O70" i="38" s="1"/>
  <c r="J69" i="38"/>
  <c r="O69" i="38" s="1"/>
  <c r="J68" i="38"/>
  <c r="O68" i="38" s="1"/>
  <c r="J67" i="38"/>
  <c r="O67" i="38" s="1"/>
  <c r="J66" i="38"/>
  <c r="O66" i="38" s="1"/>
  <c r="J65" i="38"/>
  <c r="O65" i="38" s="1"/>
  <c r="J64" i="38"/>
  <c r="O64" i="38" s="1"/>
  <c r="J63" i="38"/>
  <c r="O63" i="38" s="1"/>
  <c r="J62" i="38"/>
  <c r="O62" i="38" s="1"/>
  <c r="J61" i="38"/>
  <c r="O61" i="38" s="1"/>
  <c r="J60" i="38"/>
  <c r="O60" i="38" s="1"/>
  <c r="J59" i="38"/>
  <c r="O59" i="38" s="1"/>
  <c r="J58" i="38"/>
  <c r="O58" i="38" s="1"/>
  <c r="J57" i="38"/>
  <c r="O57" i="38" s="1"/>
  <c r="J56" i="38"/>
  <c r="O56" i="38" s="1"/>
  <c r="J55" i="38"/>
  <c r="O55" i="38" s="1"/>
  <c r="J54" i="38"/>
  <c r="O54" i="38" s="1"/>
  <c r="J53" i="38"/>
  <c r="O53" i="38" s="1"/>
  <c r="J52" i="38"/>
  <c r="O52" i="38" s="1"/>
  <c r="J51" i="38"/>
  <c r="O51" i="38" s="1"/>
  <c r="J50" i="38"/>
  <c r="O50" i="38" s="1"/>
  <c r="J49" i="38"/>
  <c r="O49" i="38" s="1"/>
  <c r="J48" i="38"/>
  <c r="O48" i="38" s="1"/>
  <c r="J47" i="38"/>
  <c r="O47" i="38" s="1"/>
  <c r="J46" i="38"/>
  <c r="O46" i="38" s="1"/>
  <c r="J45" i="38"/>
  <c r="O45" i="38" s="1"/>
  <c r="J44" i="38"/>
  <c r="O44" i="38" s="1"/>
  <c r="J43" i="38"/>
  <c r="O43" i="38" s="1"/>
  <c r="J42" i="38"/>
  <c r="O42" i="38" s="1"/>
  <c r="J41" i="38"/>
  <c r="O41" i="38" s="1"/>
  <c r="J40" i="38"/>
  <c r="O40" i="38" s="1"/>
  <c r="J39" i="38"/>
  <c r="O39" i="38" s="1"/>
  <c r="J38" i="38"/>
  <c r="O38" i="38" s="1"/>
  <c r="J37" i="38"/>
  <c r="O37" i="38" s="1"/>
  <c r="J36" i="38"/>
  <c r="O36" i="38" s="1"/>
  <c r="J35" i="38"/>
  <c r="O35" i="38" s="1"/>
  <c r="J34" i="38"/>
  <c r="O34" i="38" s="1"/>
  <c r="J33" i="38"/>
  <c r="O33" i="38" s="1"/>
  <c r="J32" i="38"/>
  <c r="O32" i="38" s="1"/>
  <c r="J31" i="38"/>
  <c r="O31" i="38" s="1"/>
  <c r="J30" i="38"/>
  <c r="O30" i="38" s="1"/>
  <c r="J29" i="38"/>
  <c r="O29" i="38" s="1"/>
  <c r="J28" i="38"/>
  <c r="O28" i="38" s="1"/>
  <c r="J27" i="38"/>
  <c r="O27" i="38" s="1"/>
  <c r="J26" i="38"/>
  <c r="O26" i="38" s="1"/>
  <c r="J25" i="38"/>
  <c r="O25" i="38" s="1"/>
  <c r="J24" i="38"/>
  <c r="O24" i="38" s="1"/>
  <c r="J23" i="38"/>
  <c r="O23" i="38" s="1"/>
  <c r="J22" i="38"/>
  <c r="O22" i="38" s="1"/>
  <c r="J21" i="38"/>
  <c r="O21" i="38" s="1"/>
  <c r="J20" i="38"/>
  <c r="O20" i="38" s="1"/>
  <c r="J19" i="38"/>
  <c r="O19" i="38" s="1"/>
  <c r="J18" i="38"/>
  <c r="O18" i="38" s="1"/>
  <c r="O17" i="38"/>
  <c r="O16" i="38"/>
  <c r="J16" i="38"/>
  <c r="O15" i="38"/>
  <c r="J15" i="38"/>
  <c r="O14" i="38"/>
  <c r="J14" i="38"/>
  <c r="O13" i="38"/>
  <c r="J13" i="38"/>
  <c r="O12" i="38"/>
  <c r="J12" i="38"/>
  <c r="O11" i="38"/>
  <c r="J11" i="38"/>
  <c r="O10" i="38"/>
  <c r="J10" i="38"/>
  <c r="O9" i="38"/>
  <c r="J9" i="38"/>
  <c r="O8" i="38"/>
  <c r="J8" i="38"/>
  <c r="O7" i="38"/>
  <c r="J7" i="38"/>
  <c r="O6" i="38"/>
  <c r="J6" i="38"/>
  <c r="O5" i="38"/>
  <c r="J5" i="38"/>
  <c r="O4" i="38"/>
  <c r="J4" i="38"/>
  <c r="O3" i="38"/>
  <c r="O156" i="38" s="1"/>
  <c r="J3" i="38"/>
  <c r="J156" i="38" s="1"/>
  <c r="G8" i="52" l="1"/>
  <c r="G11" i="52" s="1"/>
  <c r="G21" i="52" s="1"/>
  <c r="H15" i="52"/>
  <c r="H18" i="52" s="1"/>
  <c r="J42" i="50"/>
  <c r="K28" i="50"/>
  <c r="K31" i="50" s="1"/>
  <c r="J35" i="50"/>
  <c r="J38" i="50" s="1"/>
  <c r="I46" i="50"/>
  <c r="I48" i="50" s="1"/>
  <c r="O327" i="38"/>
  <c r="O548" i="38"/>
  <c r="J799" i="38"/>
  <c r="O799" i="38" s="1"/>
  <c r="O549" i="38"/>
  <c r="O972" i="38"/>
  <c r="O1138" i="38"/>
  <c r="O800" i="38"/>
  <c r="O973" i="38"/>
  <c r="I15" i="52" l="1"/>
  <c r="I18" i="52" s="1"/>
  <c r="H8" i="52"/>
  <c r="H11" i="52" s="1"/>
  <c r="H21" i="52" s="1"/>
  <c r="L28" i="50"/>
  <c r="L31" i="50" s="1"/>
  <c r="K42" i="50"/>
  <c r="K35" i="50"/>
  <c r="K38" i="50" s="1"/>
  <c r="J46" i="50"/>
  <c r="J48" i="50" s="1"/>
  <c r="I8" i="52" l="1"/>
  <c r="I11" i="52" s="1"/>
  <c r="I21" i="52" s="1"/>
  <c r="J15" i="52"/>
  <c r="J18" i="52" s="1"/>
  <c r="L42" i="50"/>
  <c r="M28" i="50"/>
  <c r="M31" i="50" s="1"/>
  <c r="M42" i="50" s="1"/>
  <c r="L35" i="50"/>
  <c r="L38" i="50" s="1"/>
  <c r="K46" i="50"/>
  <c r="K48" i="50" s="1"/>
  <c r="V22" i="8"/>
  <c r="K15" i="52" l="1"/>
  <c r="K18" i="52" s="1"/>
  <c r="J8" i="52"/>
  <c r="J11" i="52" s="1"/>
  <c r="J21" i="52" s="1"/>
  <c r="M35" i="50"/>
  <c r="M38" i="50" s="1"/>
  <c r="M46" i="50" s="1"/>
  <c r="M48" i="50" s="1"/>
  <c r="L46" i="50"/>
  <c r="L48" i="50" s="1"/>
  <c r="R1117" i="1"/>
  <c r="R1116" i="1"/>
  <c r="L1116" i="1"/>
  <c r="R1115" i="1"/>
  <c r="L1115" i="1"/>
  <c r="R1114" i="1"/>
  <c r="L1114" i="1"/>
  <c r="R1113" i="1"/>
  <c r="R1112" i="1"/>
  <c r="L1112" i="1" s="1"/>
  <c r="R1111" i="1"/>
  <c r="L1111" i="1" s="1"/>
  <c r="R1110" i="1"/>
  <c r="L1110" i="1" s="1"/>
  <c r="R1109" i="1"/>
  <c r="R1108" i="1"/>
  <c r="M1108" i="1" s="1"/>
  <c r="R1107" i="1"/>
  <c r="L1107" i="1" s="1"/>
  <c r="R1106" i="1"/>
  <c r="L1106" i="1" s="1"/>
  <c r="R1105" i="1"/>
  <c r="R1104" i="1"/>
  <c r="L1104" i="1"/>
  <c r="R1103" i="1"/>
  <c r="L1103" i="1"/>
  <c r="R1102" i="1"/>
  <c r="L1102" i="1"/>
  <c r="R1101" i="1"/>
  <c r="N1101" i="1" s="1"/>
  <c r="M1101" i="1"/>
  <c r="R1100" i="1"/>
  <c r="M1100" i="1" s="1"/>
  <c r="R1099" i="1"/>
  <c r="N1099" i="1" s="1"/>
  <c r="M1099" i="1"/>
  <c r="R1098" i="1"/>
  <c r="M1098" i="1" s="1"/>
  <c r="N1098" i="1"/>
  <c r="R1097" i="1"/>
  <c r="N1097" i="1" s="1"/>
  <c r="M1097" i="1"/>
  <c r="R1096" i="1"/>
  <c r="L1096" i="1"/>
  <c r="R1095" i="1"/>
  <c r="L1095" i="1"/>
  <c r="R1094" i="1"/>
  <c r="L1094" i="1"/>
  <c r="R1093" i="1"/>
  <c r="R1092" i="1"/>
  <c r="M1092" i="1" s="1"/>
  <c r="R1091" i="1"/>
  <c r="L1091" i="1"/>
  <c r="R1090" i="1"/>
  <c r="L1090" i="1"/>
  <c r="I1117" i="1"/>
  <c r="I1116" i="1"/>
  <c r="I1115" i="1"/>
  <c r="M1115" i="1" s="1"/>
  <c r="I1114" i="1"/>
  <c r="N1114" i="1" s="1"/>
  <c r="I1113" i="1"/>
  <c r="M1113" i="1" s="1"/>
  <c r="I1112" i="1"/>
  <c r="I1111" i="1"/>
  <c r="I1110" i="1"/>
  <c r="N1110" i="1" s="1"/>
  <c r="I1109" i="1"/>
  <c r="I1108" i="1"/>
  <c r="L1108" i="1" s="1"/>
  <c r="I1107" i="1"/>
  <c r="I1106" i="1"/>
  <c r="N1106" i="1" s="1"/>
  <c r="I1105" i="1"/>
  <c r="I1104" i="1"/>
  <c r="I1103" i="1"/>
  <c r="N1103" i="1" s="1"/>
  <c r="I1102" i="1"/>
  <c r="N1102" i="1" s="1"/>
  <c r="I1101" i="1"/>
  <c r="I1100" i="1"/>
  <c r="L1100" i="1" s="1"/>
  <c r="I1099" i="1"/>
  <c r="I1098" i="1"/>
  <c r="L1098" i="1" s="1"/>
  <c r="I1097" i="1"/>
  <c r="I1096" i="1"/>
  <c r="I1095" i="1"/>
  <c r="N1095" i="1" s="1"/>
  <c r="I1094" i="1"/>
  <c r="N1094" i="1" s="1"/>
  <c r="I1093" i="1"/>
  <c r="M1093" i="1" s="1"/>
  <c r="I1092" i="1"/>
  <c r="L1092" i="1" s="1"/>
  <c r="I1091" i="1"/>
  <c r="M1091" i="1" s="1"/>
  <c r="I1090" i="1"/>
  <c r="N1090" i="1" s="1"/>
  <c r="D1117" i="1"/>
  <c r="D1116" i="1"/>
  <c r="D1115" i="1"/>
  <c r="D1114" i="1"/>
  <c r="D1113" i="1"/>
  <c r="D1112" i="1"/>
  <c r="D1111" i="1"/>
  <c r="D1110" i="1"/>
  <c r="D1109" i="1"/>
  <c r="D1108" i="1"/>
  <c r="D1107" i="1"/>
  <c r="D1106" i="1"/>
  <c r="D1105" i="1"/>
  <c r="D1104" i="1"/>
  <c r="D1103" i="1"/>
  <c r="D1102" i="1"/>
  <c r="D1101" i="1"/>
  <c r="D1100" i="1"/>
  <c r="D1099" i="1"/>
  <c r="D1098" i="1"/>
  <c r="D1097" i="1"/>
  <c r="D1096" i="1"/>
  <c r="D1095" i="1"/>
  <c r="D1094" i="1"/>
  <c r="D1093" i="1"/>
  <c r="D1092" i="1"/>
  <c r="D1091" i="1"/>
  <c r="D1090" i="1"/>
  <c r="L1099" i="1" l="1"/>
  <c r="P1099" i="1" s="1"/>
  <c r="M1105" i="1"/>
  <c r="M1107" i="1"/>
  <c r="M1109" i="1"/>
  <c r="N1111" i="1"/>
  <c r="M1117" i="1"/>
  <c r="N1091" i="1"/>
  <c r="M1094" i="1"/>
  <c r="P1094" i="1" s="1"/>
  <c r="M1095" i="1"/>
  <c r="P1095" i="1" s="1"/>
  <c r="M1096" i="1"/>
  <c r="P1098" i="1"/>
  <c r="M1102" i="1"/>
  <c r="P1102" i="1" s="1"/>
  <c r="M1103" i="1"/>
  <c r="P1103" i="1" s="1"/>
  <c r="M1104" i="1"/>
  <c r="N1105" i="1"/>
  <c r="N1107" i="1"/>
  <c r="M1110" i="1"/>
  <c r="M1111" i="1"/>
  <c r="M1112" i="1"/>
  <c r="N1113" i="1"/>
  <c r="N1115" i="1"/>
  <c r="P1115" i="1" s="1"/>
  <c r="M1090" i="1"/>
  <c r="P1090" i="1" s="1"/>
  <c r="N1093" i="1"/>
  <c r="M1106" i="1"/>
  <c r="P1106" i="1" s="1"/>
  <c r="N1109" i="1"/>
  <c r="M1114" i="1"/>
  <c r="P1114" i="1" s="1"/>
  <c r="M1116" i="1"/>
  <c r="N1117" i="1"/>
  <c r="P1091" i="1"/>
  <c r="N1092" i="1"/>
  <c r="L1093" i="1"/>
  <c r="N1096" i="1"/>
  <c r="L1097" i="1"/>
  <c r="N1100" i="1"/>
  <c r="P1100" i="1" s="1"/>
  <c r="L1101" i="1"/>
  <c r="P1101" i="1" s="1"/>
  <c r="N1104" i="1"/>
  <c r="L1105" i="1"/>
  <c r="P1107" i="1"/>
  <c r="N1108" i="1"/>
  <c r="L1109" i="1"/>
  <c r="N1112" i="1"/>
  <c r="L1113" i="1"/>
  <c r="P1113" i="1" s="1"/>
  <c r="N1116" i="1"/>
  <c r="L1117" i="1"/>
  <c r="P1097" i="1"/>
  <c r="P1110" i="1"/>
  <c r="P1117" i="1"/>
  <c r="K8" i="52"/>
  <c r="K11" i="52" s="1"/>
  <c r="K21" i="52" s="1"/>
  <c r="L15" i="52"/>
  <c r="L18" i="52" s="1"/>
  <c r="P1092" i="1"/>
  <c r="P1096" i="1"/>
  <c r="P1104" i="1"/>
  <c r="P1108" i="1"/>
  <c r="P1112" i="1"/>
  <c r="P1105" i="1" l="1"/>
  <c r="P1111" i="1"/>
  <c r="P1116" i="1"/>
  <c r="P1109" i="1"/>
  <c r="P1093" i="1"/>
  <c r="M15" i="52"/>
  <c r="M18" i="52" s="1"/>
  <c r="L8" i="52"/>
  <c r="L11" i="52" s="1"/>
  <c r="L21" i="52" s="1"/>
  <c r="E72" i="8"/>
  <c r="E71" i="8"/>
  <c r="E70" i="8"/>
  <c r="E69" i="8"/>
  <c r="E68" i="8"/>
  <c r="E67" i="8"/>
  <c r="E66" i="8"/>
  <c r="E65" i="8"/>
  <c r="E64" i="8"/>
  <c r="E63" i="8"/>
  <c r="E62" i="8"/>
  <c r="E61" i="8"/>
  <c r="M8" i="52" l="1"/>
  <c r="M11" i="52" s="1"/>
  <c r="M21" i="52" s="1"/>
  <c r="BB95" i="23"/>
  <c r="BA95" i="23"/>
  <c r="AZ95" i="23"/>
  <c r="AY95" i="23"/>
  <c r="BB94" i="23"/>
  <c r="BA94" i="23"/>
  <c r="AZ94" i="23"/>
  <c r="AY94" i="23"/>
  <c r="BB93" i="23"/>
  <c r="BA93" i="23"/>
  <c r="AZ93" i="23"/>
  <c r="AY93" i="23"/>
  <c r="BB92" i="23"/>
  <c r="BA92" i="23"/>
  <c r="AZ92" i="23"/>
  <c r="AY92" i="23"/>
  <c r="BB91" i="23"/>
  <c r="BA91" i="23"/>
  <c r="AZ91" i="23"/>
  <c r="AY91" i="23"/>
  <c r="BB22" i="23"/>
  <c r="BB21" i="23"/>
  <c r="BB20" i="23"/>
  <c r="AZ4" i="23"/>
  <c r="BA4" i="23"/>
  <c r="BB4" i="23"/>
  <c r="AY4" i="23"/>
  <c r="N37" i="27"/>
  <c r="N30" i="27"/>
  <c r="N43" i="27"/>
  <c r="N52" i="27"/>
  <c r="N61" i="27"/>
  <c r="N70" i="27"/>
  <c r="N85" i="27"/>
  <c r="N79" i="27"/>
  <c r="N94" i="27"/>
  <c r="N103" i="27"/>
  <c r="N110" i="27"/>
  <c r="N119" i="27"/>
  <c r="N132" i="27"/>
  <c r="N146" i="27"/>
  <c r="R1516" i="17"/>
  <c r="I1516" i="17"/>
  <c r="D1516" i="17"/>
  <c r="N274" i="18" l="1"/>
  <c r="M274" i="18"/>
  <c r="L274" i="18"/>
  <c r="K274" i="18"/>
  <c r="J274" i="18"/>
  <c r="I274" i="18"/>
  <c r="H274" i="18"/>
  <c r="G274" i="18"/>
  <c r="F274" i="18"/>
  <c r="E274" i="18"/>
  <c r="D274" i="18"/>
  <c r="C274" i="18"/>
  <c r="N273" i="18"/>
  <c r="M273" i="18"/>
  <c r="L273" i="18"/>
  <c r="K273" i="18"/>
  <c r="J273" i="18"/>
  <c r="I273" i="18"/>
  <c r="H273" i="18"/>
  <c r="G273" i="18"/>
  <c r="F273" i="18"/>
  <c r="E273" i="18"/>
  <c r="D273" i="18"/>
  <c r="C273" i="18"/>
  <c r="N272" i="18"/>
  <c r="M272" i="18"/>
  <c r="L272" i="18"/>
  <c r="K272" i="18"/>
  <c r="J272" i="18"/>
  <c r="I272" i="18"/>
  <c r="H272" i="18"/>
  <c r="G272" i="18"/>
  <c r="F272" i="18"/>
  <c r="E272" i="18"/>
  <c r="D272" i="18"/>
  <c r="C272" i="18"/>
  <c r="N271" i="18"/>
  <c r="M271" i="18"/>
  <c r="L271" i="18"/>
  <c r="K271" i="18"/>
  <c r="J271" i="18"/>
  <c r="I271" i="18"/>
  <c r="H271" i="18"/>
  <c r="G271" i="18"/>
  <c r="F271" i="18"/>
  <c r="E271" i="18"/>
  <c r="D271" i="18"/>
  <c r="C271" i="18"/>
  <c r="N270" i="18"/>
  <c r="N269" i="18" s="1"/>
  <c r="M270" i="18"/>
  <c r="M269" i="18" s="1"/>
  <c r="L270" i="18"/>
  <c r="L269" i="18" s="1"/>
  <c r="K270" i="18"/>
  <c r="K269" i="18" s="1"/>
  <c r="J270" i="18"/>
  <c r="J269" i="18" s="1"/>
  <c r="I270" i="18"/>
  <c r="I269" i="18" s="1"/>
  <c r="H270" i="18"/>
  <c r="H269" i="18" s="1"/>
  <c r="G270" i="18"/>
  <c r="G269" i="18" s="1"/>
  <c r="F270" i="18"/>
  <c r="F269" i="18" s="1"/>
  <c r="E270" i="18"/>
  <c r="E269" i="18" s="1"/>
  <c r="D270" i="18"/>
  <c r="D269" i="18" s="1"/>
  <c r="C270" i="18"/>
  <c r="O268" i="18"/>
  <c r="N265" i="18"/>
  <c r="M265" i="18"/>
  <c r="M282" i="18" s="1"/>
  <c r="L265" i="18"/>
  <c r="K265" i="18"/>
  <c r="K282" i="18" s="1"/>
  <c r="J265" i="18"/>
  <c r="I265" i="18"/>
  <c r="I282" i="18" s="1"/>
  <c r="H265" i="18"/>
  <c r="G265" i="18"/>
  <c r="G282" i="18" s="1"/>
  <c r="F265" i="18"/>
  <c r="E265" i="18"/>
  <c r="E282" i="18" s="1"/>
  <c r="D265" i="18"/>
  <c r="C265" i="18"/>
  <c r="N264" i="18"/>
  <c r="M264" i="18"/>
  <c r="L264" i="18"/>
  <c r="K264" i="18"/>
  <c r="J264" i="18"/>
  <c r="I264" i="18"/>
  <c r="H264" i="18"/>
  <c r="G264" i="18"/>
  <c r="F264" i="18"/>
  <c r="E264" i="18"/>
  <c r="D264" i="18"/>
  <c r="C264" i="18"/>
  <c r="N263" i="18"/>
  <c r="M263" i="18"/>
  <c r="M280" i="18" s="1"/>
  <c r="L263" i="18"/>
  <c r="K263" i="18"/>
  <c r="K280" i="18" s="1"/>
  <c r="J263" i="18"/>
  <c r="I263" i="18"/>
  <c r="I280" i="18" s="1"/>
  <c r="H263" i="18"/>
  <c r="G263" i="18"/>
  <c r="G280" i="18" s="1"/>
  <c r="F263" i="18"/>
  <c r="E263" i="18"/>
  <c r="E280" i="18" s="1"/>
  <c r="D263" i="18"/>
  <c r="C263" i="18"/>
  <c r="N262" i="18"/>
  <c r="M262" i="18"/>
  <c r="L262" i="18"/>
  <c r="K262" i="18"/>
  <c r="J262" i="18"/>
  <c r="I262" i="18"/>
  <c r="H262" i="18"/>
  <c r="G262" i="18"/>
  <c r="F262" i="18"/>
  <c r="E262" i="18"/>
  <c r="D262" i="18"/>
  <c r="C262" i="18"/>
  <c r="N261" i="18"/>
  <c r="M261" i="18"/>
  <c r="M260" i="18" s="1"/>
  <c r="L261" i="18"/>
  <c r="K261" i="18"/>
  <c r="K260" i="18" s="1"/>
  <c r="J261" i="18"/>
  <c r="I261" i="18"/>
  <c r="I260" i="18" s="1"/>
  <c r="H261" i="18"/>
  <c r="G261" i="18"/>
  <c r="G260" i="18" s="1"/>
  <c r="F261" i="18"/>
  <c r="E261" i="18"/>
  <c r="E260" i="18" s="1"/>
  <c r="D261" i="18"/>
  <c r="C261" i="18"/>
  <c r="C260" i="18" s="1"/>
  <c r="N260" i="18"/>
  <c r="J260" i="18"/>
  <c r="J277" i="18" s="1"/>
  <c r="F260" i="18"/>
  <c r="O259" i="18"/>
  <c r="G59" i="26"/>
  <c r="J55" i="26"/>
  <c r="I55" i="26"/>
  <c r="H55" i="26"/>
  <c r="G55" i="26"/>
  <c r="H51" i="26"/>
  <c r="I51" i="26"/>
  <c r="J51" i="26"/>
  <c r="G51" i="26"/>
  <c r="H50" i="26"/>
  <c r="I50" i="26"/>
  <c r="J50" i="26"/>
  <c r="G50" i="26"/>
  <c r="F277" i="18" l="1"/>
  <c r="N277" i="18"/>
  <c r="F278" i="18"/>
  <c r="J278" i="18"/>
  <c r="N278" i="18"/>
  <c r="D279" i="18"/>
  <c r="F279" i="18"/>
  <c r="H279" i="18"/>
  <c r="J279" i="18"/>
  <c r="L279" i="18"/>
  <c r="N279" i="18"/>
  <c r="D280" i="18"/>
  <c r="F280" i="18"/>
  <c r="H280" i="18"/>
  <c r="J280" i="18"/>
  <c r="L280" i="18"/>
  <c r="N280" i="18"/>
  <c r="D281" i="18"/>
  <c r="F281" i="18"/>
  <c r="H281" i="18"/>
  <c r="J281" i="18"/>
  <c r="L281" i="18"/>
  <c r="N281" i="18"/>
  <c r="D282" i="18"/>
  <c r="F282" i="18"/>
  <c r="H282" i="18"/>
  <c r="J282" i="18"/>
  <c r="L282" i="18"/>
  <c r="N282" i="18"/>
  <c r="O270" i="18"/>
  <c r="G277" i="18"/>
  <c r="O272" i="18"/>
  <c r="O274" i="18"/>
  <c r="E277" i="18"/>
  <c r="I277" i="18"/>
  <c r="K277" i="18"/>
  <c r="M277" i="18"/>
  <c r="E279" i="18"/>
  <c r="G279" i="18"/>
  <c r="I279" i="18"/>
  <c r="K279" i="18"/>
  <c r="M279" i="18"/>
  <c r="E281" i="18"/>
  <c r="G281" i="18"/>
  <c r="I281" i="18"/>
  <c r="K281" i="18"/>
  <c r="M281" i="18"/>
  <c r="O271" i="18"/>
  <c r="C279" i="18"/>
  <c r="O279" i="18" s="1"/>
  <c r="O273" i="18"/>
  <c r="C281" i="18"/>
  <c r="O281" i="18" s="1"/>
  <c r="D260" i="18"/>
  <c r="D277" i="18" s="1"/>
  <c r="D278" i="18"/>
  <c r="H260" i="18"/>
  <c r="H277" i="18" s="1"/>
  <c r="H278" i="18"/>
  <c r="L260" i="18"/>
  <c r="L277" i="18" s="1"/>
  <c r="L278" i="18"/>
  <c r="C269" i="18"/>
  <c r="O262" i="18"/>
  <c r="O263" i="18"/>
  <c r="O264" i="18"/>
  <c r="O265" i="18"/>
  <c r="C278" i="18"/>
  <c r="E278" i="18"/>
  <c r="G278" i="18"/>
  <c r="I278" i="18"/>
  <c r="K278" i="18"/>
  <c r="M278" i="18"/>
  <c r="C280" i="18"/>
  <c r="O280" i="18" s="1"/>
  <c r="C282" i="18"/>
  <c r="O261" i="18"/>
  <c r="N49" i="31"/>
  <c r="N48" i="31"/>
  <c r="N47" i="31"/>
  <c r="N83" i="31"/>
  <c r="N79" i="31"/>
  <c r="N78" i="31"/>
  <c r="N77" i="31"/>
  <c r="N80" i="31" s="1"/>
  <c r="O282" i="18" l="1"/>
  <c r="O260" i="18"/>
  <c r="O278" i="18"/>
  <c r="O269" i="18"/>
  <c r="C277" i="18"/>
  <c r="O277" i="18" s="1"/>
  <c r="R241" i="40"/>
  <c r="Q241" i="40"/>
  <c r="S241" i="40" s="1"/>
  <c r="R240" i="40"/>
  <c r="Q240" i="40"/>
  <c r="S240" i="40" s="1"/>
  <c r="R239" i="40"/>
  <c r="Q239" i="40"/>
  <c r="S239" i="40" s="1"/>
  <c r="R238" i="40"/>
  <c r="Q238" i="40"/>
  <c r="R237" i="40"/>
  <c r="Q237" i="40"/>
  <c r="S237" i="40" s="1"/>
  <c r="R236" i="40"/>
  <c r="Q236" i="40"/>
  <c r="S236" i="40" s="1"/>
  <c r="R235" i="40"/>
  <c r="Q235" i="40"/>
  <c r="S235" i="40" s="1"/>
  <c r="R234" i="40"/>
  <c r="Q234" i="40"/>
  <c r="R233" i="40"/>
  <c r="Q233" i="40"/>
  <c r="S233" i="40" s="1"/>
  <c r="R232" i="40"/>
  <c r="Q232" i="40"/>
  <c r="S232" i="40" s="1"/>
  <c r="R231" i="40"/>
  <c r="Q231" i="40"/>
  <c r="S231" i="40" s="1"/>
  <c r="R230" i="40"/>
  <c r="Q230" i="40"/>
  <c r="R229" i="40"/>
  <c r="Q229" i="40"/>
  <c r="S229" i="40" s="1"/>
  <c r="R228" i="40"/>
  <c r="Q228" i="40"/>
  <c r="S228" i="40" s="1"/>
  <c r="R227" i="40"/>
  <c r="Q227" i="40"/>
  <c r="S227" i="40" s="1"/>
  <c r="R226" i="40"/>
  <c r="Q226" i="40"/>
  <c r="R225" i="40"/>
  <c r="Q225" i="40"/>
  <c r="S225" i="40" s="1"/>
  <c r="R224" i="40"/>
  <c r="Q224" i="40"/>
  <c r="S224" i="40" s="1"/>
  <c r="R223" i="40"/>
  <c r="Q223" i="40"/>
  <c r="S223" i="40" s="1"/>
  <c r="R222" i="40"/>
  <c r="Q222" i="40"/>
  <c r="R221" i="40"/>
  <c r="Q221" i="40"/>
  <c r="S221" i="40" s="1"/>
  <c r="R220" i="40"/>
  <c r="Q220" i="40"/>
  <c r="S220" i="40" s="1"/>
  <c r="R219" i="40"/>
  <c r="Q219" i="40"/>
  <c r="S219" i="40" s="1"/>
  <c r="R218" i="40"/>
  <c r="Q218" i="40"/>
  <c r="R217" i="40"/>
  <c r="Q217" i="40"/>
  <c r="S217" i="40" s="1"/>
  <c r="R216" i="40"/>
  <c r="Q216" i="40"/>
  <c r="S216" i="40" s="1"/>
  <c r="R215" i="40"/>
  <c r="Q215" i="40"/>
  <c r="S215" i="40" s="1"/>
  <c r="R214" i="40"/>
  <c r="Q214" i="40"/>
  <c r="R213" i="40"/>
  <c r="Q213" i="40"/>
  <c r="S213" i="40" s="1"/>
  <c r="R212" i="40"/>
  <c r="Q212" i="40"/>
  <c r="S212" i="40" s="1"/>
  <c r="R211" i="40"/>
  <c r="Q211" i="40"/>
  <c r="S211" i="40" s="1"/>
  <c r="R210" i="40"/>
  <c r="Q210" i="40"/>
  <c r="R209" i="40"/>
  <c r="Q209" i="40"/>
  <c r="S209" i="40" s="1"/>
  <c r="R208" i="40"/>
  <c r="Q208" i="40"/>
  <c r="S208" i="40" s="1"/>
  <c r="R207" i="40"/>
  <c r="Q207" i="40"/>
  <c r="S207" i="40" s="1"/>
  <c r="R206" i="40"/>
  <c r="Q206" i="40"/>
  <c r="R205" i="40"/>
  <c r="Q205" i="40"/>
  <c r="S205" i="40" s="1"/>
  <c r="R204" i="40"/>
  <c r="Q204" i="40"/>
  <c r="S204" i="40" s="1"/>
  <c r="R203" i="40"/>
  <c r="Q203" i="40"/>
  <c r="S203" i="40" s="1"/>
  <c r="R202" i="40"/>
  <c r="Q202" i="40"/>
  <c r="R201" i="40"/>
  <c r="Q201" i="40"/>
  <c r="S201" i="40" s="1"/>
  <c r="R200" i="40"/>
  <c r="Q200" i="40"/>
  <c r="S200" i="40" s="1"/>
  <c r="R199" i="40"/>
  <c r="Q199" i="40"/>
  <c r="S199" i="40" s="1"/>
  <c r="R198" i="40"/>
  <c r="Q198" i="40"/>
  <c r="R197" i="40"/>
  <c r="Q197" i="40"/>
  <c r="S197" i="40" s="1"/>
  <c r="R196" i="40"/>
  <c r="Q196" i="40"/>
  <c r="S196" i="40" s="1"/>
  <c r="R195" i="40"/>
  <c r="Q195" i="40"/>
  <c r="S195" i="40" s="1"/>
  <c r="R194" i="40"/>
  <c r="Q194" i="40"/>
  <c r="R193" i="40"/>
  <c r="Q193" i="40"/>
  <c r="S193" i="40" s="1"/>
  <c r="R192" i="40"/>
  <c r="Q192" i="40"/>
  <c r="S192" i="40" s="1"/>
  <c r="R191" i="40"/>
  <c r="Q191" i="40"/>
  <c r="S191" i="40" s="1"/>
  <c r="R190" i="40"/>
  <c r="Q190" i="40"/>
  <c r="R189" i="40"/>
  <c r="Q189" i="40"/>
  <c r="S189" i="40" s="1"/>
  <c r="R188" i="40"/>
  <c r="Q188" i="40"/>
  <c r="S188" i="40" s="1"/>
  <c r="R187" i="40"/>
  <c r="Q187" i="40"/>
  <c r="S187" i="40" s="1"/>
  <c r="R186" i="40"/>
  <c r="Q186" i="40"/>
  <c r="R185" i="40"/>
  <c r="Q185" i="40"/>
  <c r="S185" i="40" s="1"/>
  <c r="R184" i="40"/>
  <c r="Q184" i="40"/>
  <c r="S184" i="40" s="1"/>
  <c r="R183" i="40"/>
  <c r="Q183" i="40"/>
  <c r="S183" i="40" s="1"/>
  <c r="R182" i="40"/>
  <c r="Q182" i="40"/>
  <c r="R181" i="40"/>
  <c r="Q181" i="40"/>
  <c r="S181" i="40" s="1"/>
  <c r="R180" i="40"/>
  <c r="Q180" i="40"/>
  <c r="S180" i="40" s="1"/>
  <c r="R179" i="40"/>
  <c r="Q179" i="40"/>
  <c r="S179" i="40" s="1"/>
  <c r="R178" i="40"/>
  <c r="Q178" i="40"/>
  <c r="R177" i="40"/>
  <c r="Q177" i="40"/>
  <c r="S177" i="40" s="1"/>
  <c r="R176" i="40"/>
  <c r="Q176" i="40"/>
  <c r="S176" i="40" s="1"/>
  <c r="R175" i="40"/>
  <c r="Q175" i="40"/>
  <c r="S175" i="40" s="1"/>
  <c r="R174" i="40"/>
  <c r="Q174" i="40"/>
  <c r="R173" i="40"/>
  <c r="Q173" i="40"/>
  <c r="S173" i="40" s="1"/>
  <c r="R172" i="40"/>
  <c r="Q172" i="40"/>
  <c r="S172" i="40" s="1"/>
  <c r="R171" i="40"/>
  <c r="Q171" i="40"/>
  <c r="S171" i="40" s="1"/>
  <c r="R170" i="40"/>
  <c r="Q170" i="40"/>
  <c r="R169" i="40"/>
  <c r="Q169" i="40"/>
  <c r="S169" i="40" s="1"/>
  <c r="R168" i="40"/>
  <c r="Q168" i="40"/>
  <c r="S168" i="40" s="1"/>
  <c r="R167" i="40"/>
  <c r="Q167" i="40"/>
  <c r="S167" i="40" s="1"/>
  <c r="R166" i="40"/>
  <c r="Q166" i="40"/>
  <c r="R165" i="40"/>
  <c r="Q165" i="40"/>
  <c r="S165" i="40" s="1"/>
  <c r="R164" i="40"/>
  <c r="Q164" i="40"/>
  <c r="S164" i="40" s="1"/>
  <c r="R163" i="40"/>
  <c r="Q163" i="40"/>
  <c r="S163" i="40" s="1"/>
  <c r="R162" i="40"/>
  <c r="Q162" i="40"/>
  <c r="R161" i="40"/>
  <c r="Q161" i="40"/>
  <c r="S161" i="40" s="1"/>
  <c r="R160" i="40"/>
  <c r="Q160" i="40"/>
  <c r="S160" i="40" s="1"/>
  <c r="R159" i="40"/>
  <c r="Q159" i="40"/>
  <c r="S159" i="40" s="1"/>
  <c r="R158" i="40"/>
  <c r="Q158" i="40"/>
  <c r="R157" i="40"/>
  <c r="Q157" i="40"/>
  <c r="S157" i="40" s="1"/>
  <c r="R156" i="40"/>
  <c r="Q156" i="40"/>
  <c r="S156" i="40" s="1"/>
  <c r="R155" i="40"/>
  <c r="Q155" i="40"/>
  <c r="S155" i="40" s="1"/>
  <c r="R154" i="40"/>
  <c r="Q154" i="40"/>
  <c r="R153" i="40"/>
  <c r="Q153" i="40"/>
  <c r="S153" i="40" s="1"/>
  <c r="R152" i="40"/>
  <c r="Q152" i="40"/>
  <c r="S152" i="40" s="1"/>
  <c r="S154" i="40" l="1"/>
  <c r="S158" i="40"/>
  <c r="S162" i="40"/>
  <c r="S166" i="40"/>
  <c r="S170" i="40"/>
  <c r="S174" i="40"/>
  <c r="S178" i="40"/>
  <c r="S182" i="40"/>
  <c r="S186" i="40"/>
  <c r="S190" i="40"/>
  <c r="S194" i="40"/>
  <c r="S198" i="40"/>
  <c r="S202" i="40"/>
  <c r="S206" i="40"/>
  <c r="S210" i="40"/>
  <c r="S214" i="40"/>
  <c r="S218" i="40"/>
  <c r="S222" i="40"/>
  <c r="S226" i="40"/>
  <c r="S230" i="40"/>
  <c r="S234" i="40"/>
  <c r="S238" i="40"/>
  <c r="R1515" i="17" l="1"/>
  <c r="I1515" i="17"/>
  <c r="D1515" i="17"/>
  <c r="BK40" i="29" l="1"/>
  <c r="BJ40" i="29"/>
  <c r="BI40" i="29"/>
  <c r="BH40" i="29"/>
  <c r="BF40" i="29"/>
  <c r="BE40" i="29"/>
  <c r="BD40" i="29"/>
  <c r="BC40" i="29"/>
  <c r="BA40" i="29"/>
  <c r="AZ40" i="29"/>
  <c r="AY40" i="29"/>
  <c r="AX40" i="29"/>
  <c r="AV40" i="29"/>
  <c r="AU40" i="29"/>
  <c r="AT40" i="29"/>
  <c r="AS40" i="29"/>
  <c r="AQ40" i="29"/>
  <c r="AP40" i="29"/>
  <c r="AO40" i="29"/>
  <c r="AN40" i="29"/>
  <c r="BK39" i="29"/>
  <c r="BJ39" i="29"/>
  <c r="BI39" i="29"/>
  <c r="BH39" i="29"/>
  <c r="BF39" i="29"/>
  <c r="BE39" i="29"/>
  <c r="BD39" i="29"/>
  <c r="BC39" i="29"/>
  <c r="BA39" i="29"/>
  <c r="AZ39" i="29"/>
  <c r="AY39" i="29"/>
  <c r="AX39" i="29"/>
  <c r="AV39" i="29"/>
  <c r="AU39" i="29"/>
  <c r="AT39" i="29"/>
  <c r="AS39" i="29"/>
  <c r="AQ39" i="29"/>
  <c r="AP39" i="29"/>
  <c r="AO39" i="29"/>
  <c r="AN39" i="29"/>
  <c r="BK38" i="29"/>
  <c r="BJ38" i="29"/>
  <c r="BI38" i="29"/>
  <c r="BH38" i="29"/>
  <c r="BF38" i="29"/>
  <c r="BE38" i="29"/>
  <c r="BD38" i="29"/>
  <c r="BC38" i="29"/>
  <c r="BA38" i="29"/>
  <c r="AZ38" i="29"/>
  <c r="AY38" i="29"/>
  <c r="AX38" i="29"/>
  <c r="AV38" i="29"/>
  <c r="AU38" i="29"/>
  <c r="AT38" i="29"/>
  <c r="AS38" i="29"/>
  <c r="AQ38" i="29"/>
  <c r="AP38" i="29"/>
  <c r="AO38" i="29"/>
  <c r="AN38" i="29"/>
  <c r="BK37" i="29"/>
  <c r="BJ37" i="29"/>
  <c r="BI37" i="29"/>
  <c r="BH37" i="29"/>
  <c r="BF37" i="29"/>
  <c r="BE37" i="29"/>
  <c r="BD37" i="29"/>
  <c r="BC37" i="29"/>
  <c r="BA37" i="29"/>
  <c r="AZ37" i="29"/>
  <c r="AY37" i="29"/>
  <c r="AX37" i="29"/>
  <c r="AV37" i="29"/>
  <c r="AU37" i="29"/>
  <c r="AT37" i="29"/>
  <c r="AS37" i="29"/>
  <c r="AQ37" i="29"/>
  <c r="AP37" i="29"/>
  <c r="AO37" i="29"/>
  <c r="AN37" i="29"/>
  <c r="BK36" i="29"/>
  <c r="BJ36" i="29"/>
  <c r="BI36" i="29"/>
  <c r="BH36" i="29"/>
  <c r="BF36" i="29"/>
  <c r="BE36" i="29"/>
  <c r="BD36" i="29"/>
  <c r="BC36" i="29"/>
  <c r="BA36" i="29"/>
  <c r="AZ36" i="29"/>
  <c r="AY36" i="29"/>
  <c r="AX36" i="29"/>
  <c r="AV36" i="29"/>
  <c r="AU36" i="29"/>
  <c r="AT36" i="29"/>
  <c r="AS36" i="29"/>
  <c r="AQ36" i="29"/>
  <c r="AP36" i="29"/>
  <c r="AO36" i="29"/>
  <c r="AN36" i="29"/>
  <c r="BP47" i="29"/>
  <c r="BO47" i="29"/>
  <c r="BN47" i="29"/>
  <c r="BM47" i="29"/>
  <c r="BL47" i="29"/>
  <c r="BP46" i="29"/>
  <c r="BO46" i="29"/>
  <c r="BN46" i="29"/>
  <c r="BM46" i="29"/>
  <c r="BL46" i="29"/>
  <c r="BP45" i="29"/>
  <c r="BO45" i="29"/>
  <c r="BN45" i="29"/>
  <c r="BM45" i="29"/>
  <c r="BL45" i="29"/>
  <c r="BP44" i="29"/>
  <c r="BO44" i="29"/>
  <c r="BN44" i="29"/>
  <c r="BM44" i="29"/>
  <c r="BL44" i="29"/>
  <c r="BP43" i="29"/>
  <c r="BO43" i="29"/>
  <c r="BN43" i="29"/>
  <c r="BM43" i="29"/>
  <c r="BL43" i="29"/>
  <c r="BP42" i="29"/>
  <c r="BO42" i="29"/>
  <c r="BN42" i="29"/>
  <c r="BM42" i="29"/>
  <c r="BL42" i="29"/>
  <c r="BP41" i="29"/>
  <c r="BO41" i="29"/>
  <c r="BN41" i="29"/>
  <c r="BM41" i="29"/>
  <c r="BL41" i="29"/>
  <c r="BO347" i="28"/>
  <c r="BN347" i="28"/>
  <c r="BM347" i="28"/>
  <c r="BL347" i="28"/>
  <c r="BK347" i="28"/>
  <c r="BO346" i="28"/>
  <c r="BN346" i="28"/>
  <c r="BM346" i="28"/>
  <c r="BL346" i="28"/>
  <c r="BK346" i="28"/>
  <c r="BO345" i="28"/>
  <c r="BN345" i="28"/>
  <c r="BM345" i="28"/>
  <c r="BL345" i="28"/>
  <c r="BK345" i="28"/>
  <c r="BO344" i="28"/>
  <c r="BN344" i="28"/>
  <c r="BM344" i="28"/>
  <c r="BL344" i="28"/>
  <c r="BK344" i="28"/>
  <c r="BO343" i="28"/>
  <c r="BN343" i="28"/>
  <c r="BM343" i="28"/>
  <c r="BL343" i="28"/>
  <c r="BK343" i="28"/>
  <c r="BO342" i="28"/>
  <c r="BN342" i="28"/>
  <c r="BM342" i="28"/>
  <c r="BL342" i="28"/>
  <c r="BK342" i="28"/>
  <c r="BO341" i="28"/>
  <c r="BN341" i="28"/>
  <c r="BM341" i="28"/>
  <c r="BL341" i="28"/>
  <c r="BK341" i="28"/>
  <c r="BO340" i="28"/>
  <c r="BN340" i="28"/>
  <c r="BM340" i="28"/>
  <c r="BL340" i="28"/>
  <c r="BK340" i="28"/>
  <c r="BO339" i="28"/>
  <c r="BN339" i="28"/>
  <c r="BM339" i="28"/>
  <c r="BL339" i="28"/>
  <c r="BK339" i="28"/>
  <c r="BO338" i="28"/>
  <c r="BN338" i="28"/>
  <c r="BM338" i="28"/>
  <c r="BL338" i="28"/>
  <c r="BK338" i="28"/>
  <c r="BO337" i="28"/>
  <c r="BN337" i="28"/>
  <c r="BM337" i="28"/>
  <c r="BL337" i="28"/>
  <c r="BK337" i="28"/>
  <c r="BO336" i="28"/>
  <c r="BN336" i="28"/>
  <c r="BM336" i="28"/>
  <c r="BL336" i="28"/>
  <c r="BK336" i="28"/>
  <c r="BO335" i="28"/>
  <c r="BN335" i="28"/>
  <c r="BM335" i="28"/>
  <c r="BL335" i="28"/>
  <c r="BK335" i="28"/>
  <c r="BO334" i="28"/>
  <c r="BN334" i="28"/>
  <c r="BM334" i="28"/>
  <c r="BL334" i="28"/>
  <c r="BK334" i="28"/>
  <c r="BO333" i="28"/>
  <c r="BN333" i="28"/>
  <c r="BM333" i="28"/>
  <c r="BL333" i="28"/>
  <c r="BK333" i="28"/>
  <c r="BO332" i="28"/>
  <c r="BN332" i="28"/>
  <c r="BM332" i="28"/>
  <c r="BL332" i="28"/>
  <c r="BK332" i="28"/>
  <c r="BO331" i="28"/>
  <c r="BN331" i="28"/>
  <c r="BM331" i="28"/>
  <c r="BL331" i="28"/>
  <c r="BK331" i="28"/>
  <c r="BO330" i="28"/>
  <c r="BN330" i="28"/>
  <c r="BM330" i="28"/>
  <c r="BL330" i="28"/>
  <c r="BK330" i="28"/>
  <c r="BO329" i="28"/>
  <c r="BN329" i="28"/>
  <c r="BM329" i="28"/>
  <c r="BL329" i="28"/>
  <c r="BK329" i="28"/>
  <c r="BO328" i="28"/>
  <c r="BN328" i="28"/>
  <c r="BM328" i="28"/>
  <c r="BL328" i="28"/>
  <c r="BK328" i="28"/>
  <c r="BO327" i="28"/>
  <c r="BN327" i="28"/>
  <c r="BM327" i="28"/>
  <c r="BL327" i="28"/>
  <c r="BK327" i="28"/>
  <c r="BO326" i="28"/>
  <c r="BN326" i="28"/>
  <c r="BM326" i="28"/>
  <c r="BL326" i="28"/>
  <c r="BK326" i="28"/>
  <c r="BO325" i="28"/>
  <c r="BN325" i="28"/>
  <c r="BM325" i="28"/>
  <c r="BL325" i="28"/>
  <c r="BK325" i="28"/>
  <c r="BO324" i="28"/>
  <c r="BN324" i="28"/>
  <c r="BM324" i="28"/>
  <c r="BL324" i="28"/>
  <c r="BK324" i="28"/>
  <c r="BO323" i="28"/>
  <c r="BN323" i="28"/>
  <c r="BM323" i="28"/>
  <c r="BL323" i="28"/>
  <c r="BK323" i="28"/>
  <c r="BO322" i="28"/>
  <c r="BN322" i="28"/>
  <c r="BM322" i="28"/>
  <c r="BL322" i="28"/>
  <c r="BK322" i="28"/>
  <c r="BO321" i="28"/>
  <c r="BN321" i="28"/>
  <c r="BM321" i="28"/>
  <c r="BL321" i="28"/>
  <c r="BK321" i="28"/>
  <c r="BO320" i="28"/>
  <c r="BN320" i="28"/>
  <c r="BM320" i="28"/>
  <c r="BL320" i="28"/>
  <c r="BK320" i="28"/>
  <c r="BO319" i="28"/>
  <c r="BN319" i="28"/>
  <c r="BM319" i="28"/>
  <c r="BL319" i="28"/>
  <c r="BK319" i="28"/>
  <c r="BO318" i="28"/>
  <c r="BN318" i="28"/>
  <c r="BM318" i="28"/>
  <c r="BL318" i="28"/>
  <c r="BK318" i="28"/>
  <c r="BO317" i="28"/>
  <c r="BN317" i="28"/>
  <c r="BM317" i="28"/>
  <c r="BL317" i="28"/>
  <c r="BK317" i="28"/>
  <c r="BO316" i="28"/>
  <c r="BN316" i="28"/>
  <c r="BM316" i="28"/>
  <c r="BL316" i="28"/>
  <c r="BK316" i="28"/>
  <c r="BO315" i="28"/>
  <c r="BN315" i="28"/>
  <c r="BM315" i="28"/>
  <c r="BL315" i="28"/>
  <c r="BK315" i="28"/>
  <c r="BO314" i="28"/>
  <c r="BN314" i="28"/>
  <c r="BM314" i="28"/>
  <c r="BL314" i="28"/>
  <c r="BK314" i="28"/>
  <c r="BO313" i="28"/>
  <c r="BN313" i="28"/>
  <c r="BM313" i="28"/>
  <c r="BL313" i="28"/>
  <c r="BK313" i="28"/>
  <c r="BO312" i="28"/>
  <c r="BN312" i="28"/>
  <c r="BM312" i="28"/>
  <c r="BL312" i="28"/>
  <c r="BK312" i="28"/>
  <c r="BO311" i="28"/>
  <c r="BN311" i="28"/>
  <c r="BM311" i="28"/>
  <c r="BL311" i="28"/>
  <c r="BK311" i="28"/>
  <c r="BO310" i="28"/>
  <c r="BN310" i="28"/>
  <c r="BM310" i="28"/>
  <c r="BL310" i="28"/>
  <c r="BK310" i="28"/>
  <c r="BO309" i="28"/>
  <c r="BN309" i="28"/>
  <c r="BM309" i="28"/>
  <c r="BL309" i="28"/>
  <c r="BK309" i="28"/>
  <c r="BO308" i="28"/>
  <c r="BN308" i="28"/>
  <c r="BM308" i="28"/>
  <c r="BL308" i="28"/>
  <c r="BK308" i="28"/>
  <c r="BO307" i="28"/>
  <c r="BN307" i="28"/>
  <c r="BM307" i="28"/>
  <c r="BL307" i="28"/>
  <c r="BK307" i="28"/>
  <c r="BO306" i="28"/>
  <c r="BN306" i="28"/>
  <c r="BM306" i="28"/>
  <c r="BL306" i="28"/>
  <c r="BK306" i="28"/>
  <c r="BO305" i="28"/>
  <c r="BN305" i="28"/>
  <c r="BM305" i="28"/>
  <c r="BL305" i="28"/>
  <c r="BK305" i="28"/>
  <c r="BO304" i="28"/>
  <c r="BN304" i="28"/>
  <c r="BM304" i="28"/>
  <c r="BL304" i="28"/>
  <c r="BK304" i="28"/>
  <c r="BO303" i="28"/>
  <c r="BN303" i="28"/>
  <c r="BM303" i="28"/>
  <c r="BL303" i="28"/>
  <c r="BK303" i="28"/>
  <c r="BO302" i="28"/>
  <c r="BN302" i="28"/>
  <c r="BM302" i="28"/>
  <c r="BL302" i="28"/>
  <c r="BK302" i="28"/>
  <c r="BO301" i="28"/>
  <c r="BN301" i="28"/>
  <c r="BM301" i="28"/>
  <c r="BL301" i="28"/>
  <c r="BK301" i="28"/>
  <c r="BO300" i="28"/>
  <c r="BN300" i="28"/>
  <c r="BM300" i="28"/>
  <c r="BL300" i="28"/>
  <c r="BK300" i="28"/>
  <c r="BO299" i="28"/>
  <c r="BN299" i="28"/>
  <c r="BM299" i="28"/>
  <c r="BL299" i="28"/>
  <c r="BK299" i="28"/>
  <c r="BO298" i="28"/>
  <c r="BN298" i="28"/>
  <c r="BM298" i="28"/>
  <c r="BL298" i="28"/>
  <c r="BK298" i="28"/>
  <c r="BO297" i="28"/>
  <c r="BN297" i="28"/>
  <c r="BM297" i="28"/>
  <c r="BL297" i="28"/>
  <c r="BK297" i="28"/>
  <c r="BO296" i="28"/>
  <c r="BN296" i="28"/>
  <c r="BM296" i="28"/>
  <c r="BL296" i="28"/>
  <c r="BK296" i="28"/>
  <c r="BO295" i="28"/>
  <c r="BN295" i="28"/>
  <c r="BM295" i="28"/>
  <c r="BL295" i="28"/>
  <c r="BK295" i="28"/>
  <c r="BO294" i="28"/>
  <c r="BN294" i="28"/>
  <c r="BM294" i="28"/>
  <c r="BL294" i="28"/>
  <c r="BK294" i="28"/>
  <c r="BO293" i="28"/>
  <c r="BN293" i="28"/>
  <c r="BM293" i="28"/>
  <c r="BL293" i="28"/>
  <c r="BK293" i="28"/>
  <c r="BO292" i="28"/>
  <c r="BN292" i="28"/>
  <c r="BM292" i="28"/>
  <c r="BL292" i="28"/>
  <c r="BK292" i="28"/>
  <c r="BO291" i="28"/>
  <c r="BN291" i="28"/>
  <c r="BM291" i="28"/>
  <c r="BL291" i="28"/>
  <c r="BK291" i="28"/>
  <c r="BO290" i="28"/>
  <c r="BN290" i="28"/>
  <c r="BM290" i="28"/>
  <c r="BL290" i="28"/>
  <c r="BK290" i="28"/>
  <c r="BO289" i="28"/>
  <c r="BN289" i="28"/>
  <c r="BM289" i="28"/>
  <c r="BL289" i="28"/>
  <c r="BK289" i="28"/>
  <c r="BO288" i="28"/>
  <c r="BN288" i="28"/>
  <c r="BM288" i="28"/>
  <c r="BL288" i="28"/>
  <c r="BK288" i="28"/>
  <c r="BO287" i="28"/>
  <c r="BN287" i="28"/>
  <c r="BM287" i="28"/>
  <c r="BL287" i="28"/>
  <c r="BK287" i="28"/>
  <c r="BO286" i="28"/>
  <c r="BN286" i="28"/>
  <c r="BM286" i="28"/>
  <c r="BL286" i="28"/>
  <c r="BK286" i="28"/>
  <c r="BO285" i="28"/>
  <c r="BN285" i="28"/>
  <c r="BM285" i="28"/>
  <c r="BL285" i="28"/>
  <c r="BK285" i="28"/>
  <c r="BO284" i="28"/>
  <c r="BN284" i="28"/>
  <c r="BM284" i="28"/>
  <c r="BL284" i="28"/>
  <c r="BK284" i="28"/>
  <c r="BO283" i="28"/>
  <c r="BN283" i="28"/>
  <c r="BM283" i="28"/>
  <c r="BL283" i="28"/>
  <c r="BK283" i="28"/>
  <c r="BO282" i="28"/>
  <c r="BN282" i="28"/>
  <c r="BM282" i="28"/>
  <c r="BL282" i="28"/>
  <c r="BK282" i="28"/>
  <c r="BO281" i="28"/>
  <c r="BN281" i="28"/>
  <c r="BM281" i="28"/>
  <c r="BL281" i="28"/>
  <c r="BK281" i="28"/>
  <c r="BO280" i="28"/>
  <c r="BN280" i="28"/>
  <c r="BM280" i="28"/>
  <c r="BL280" i="28"/>
  <c r="BK280" i="28"/>
  <c r="BO279" i="28"/>
  <c r="BN279" i="28"/>
  <c r="BM279" i="28"/>
  <c r="BL279" i="28"/>
  <c r="BK279" i="28"/>
  <c r="BO23" i="14"/>
  <c r="BN23" i="14"/>
  <c r="BM23" i="14"/>
  <c r="BL23" i="14"/>
  <c r="BK23" i="14"/>
  <c r="BK152" i="30"/>
  <c r="BJ152" i="30"/>
  <c r="BI152" i="30"/>
  <c r="BH152" i="30"/>
  <c r="BF152" i="30"/>
  <c r="BE152" i="30"/>
  <c r="BD152" i="30"/>
  <c r="BC152" i="30"/>
  <c r="BA152" i="30"/>
  <c r="AZ152" i="30"/>
  <c r="AY152" i="30"/>
  <c r="AX152" i="30"/>
  <c r="AV152" i="30"/>
  <c r="AU152" i="30"/>
  <c r="AT152" i="30"/>
  <c r="AS152" i="30"/>
  <c r="AQ152" i="30"/>
  <c r="AP152" i="30"/>
  <c r="AO152" i="30"/>
  <c r="AN152" i="30"/>
  <c r="BK151" i="30"/>
  <c r="BJ151" i="30"/>
  <c r="BI151" i="30"/>
  <c r="BH151" i="30"/>
  <c r="BF151" i="30"/>
  <c r="BE151" i="30"/>
  <c r="BD151" i="30"/>
  <c r="BC151" i="30"/>
  <c r="BA151" i="30"/>
  <c r="AZ151" i="30"/>
  <c r="AY151" i="30"/>
  <c r="AX151" i="30"/>
  <c r="AV151" i="30"/>
  <c r="AU151" i="30"/>
  <c r="AT151" i="30"/>
  <c r="AS151" i="30"/>
  <c r="AQ151" i="30"/>
  <c r="AP151" i="30"/>
  <c r="AO151" i="30"/>
  <c r="AN151" i="30"/>
  <c r="BK150" i="30"/>
  <c r="BJ150" i="30"/>
  <c r="BI150" i="30"/>
  <c r="BH150" i="30"/>
  <c r="BF150" i="30"/>
  <c r="BE150" i="30"/>
  <c r="BD150" i="30"/>
  <c r="BC150" i="30"/>
  <c r="BA150" i="30"/>
  <c r="AZ150" i="30"/>
  <c r="AY150" i="30"/>
  <c r="AX150" i="30"/>
  <c r="AV150" i="30"/>
  <c r="AU150" i="30"/>
  <c r="AT150" i="30"/>
  <c r="AS150" i="30"/>
  <c r="AQ150" i="30"/>
  <c r="AP150" i="30"/>
  <c r="AO150" i="30"/>
  <c r="AN150" i="30"/>
  <c r="BK149" i="30"/>
  <c r="BJ149" i="30"/>
  <c r="BI149" i="30"/>
  <c r="BH149" i="30"/>
  <c r="BF149" i="30"/>
  <c r="BE149" i="30"/>
  <c r="BD149" i="30"/>
  <c r="BC149" i="30"/>
  <c r="BA149" i="30"/>
  <c r="AZ149" i="30"/>
  <c r="AY149" i="30"/>
  <c r="AX149" i="30"/>
  <c r="AV149" i="30"/>
  <c r="AU149" i="30"/>
  <c r="AT149" i="30"/>
  <c r="AS149" i="30"/>
  <c r="AQ149" i="30"/>
  <c r="AP149" i="30"/>
  <c r="AO149" i="30"/>
  <c r="AN149" i="30"/>
  <c r="BK148" i="30"/>
  <c r="BJ148" i="30"/>
  <c r="BI148" i="30"/>
  <c r="BH148" i="30"/>
  <c r="BF148" i="30"/>
  <c r="BE148" i="30"/>
  <c r="BD148" i="30"/>
  <c r="BC148" i="30"/>
  <c r="BA148" i="30"/>
  <c r="AZ148" i="30"/>
  <c r="AY148" i="30"/>
  <c r="AX148" i="30"/>
  <c r="AV148" i="30"/>
  <c r="AU148" i="30"/>
  <c r="AT148" i="30"/>
  <c r="AS148" i="30"/>
  <c r="AQ148" i="30"/>
  <c r="AP148" i="30"/>
  <c r="AO148" i="30"/>
  <c r="AN148" i="30"/>
  <c r="P1" i="37"/>
  <c r="O1" i="37"/>
  <c r="N1" i="37"/>
  <c r="M1" i="37"/>
  <c r="L1" i="37"/>
  <c r="G1" i="37"/>
  <c r="K1" i="37"/>
  <c r="N151" i="40"/>
  <c r="M151" i="40"/>
  <c r="K151" i="40"/>
  <c r="O151" i="40" s="1"/>
  <c r="K150" i="40"/>
  <c r="K149" i="40"/>
  <c r="K148" i="40"/>
  <c r="K147" i="40"/>
  <c r="K146" i="40"/>
  <c r="K145" i="40"/>
  <c r="K144" i="40"/>
  <c r="K143" i="40"/>
  <c r="K142" i="40"/>
  <c r="K141" i="40"/>
  <c r="K140" i="40"/>
  <c r="K139" i="40"/>
  <c r="K138" i="40"/>
  <c r="K137" i="40"/>
  <c r="K136" i="40"/>
  <c r="K135" i="40"/>
  <c r="K134" i="40"/>
  <c r="K133" i="40"/>
  <c r="K132" i="40"/>
  <c r="K131" i="40"/>
  <c r="K130" i="40"/>
  <c r="K129" i="40"/>
  <c r="K128" i="40"/>
  <c r="K127" i="40"/>
  <c r="K126" i="40"/>
  <c r="K125" i="40"/>
  <c r="K124" i="40"/>
  <c r="K123" i="40"/>
  <c r="K122" i="40"/>
  <c r="K121" i="40"/>
  <c r="K120" i="40"/>
  <c r="K119" i="40"/>
  <c r="K118" i="40"/>
  <c r="K117" i="40"/>
  <c r="K116" i="40"/>
  <c r="K115" i="40"/>
  <c r="K114" i="40"/>
  <c r="K113" i="40"/>
  <c r="K112" i="40"/>
  <c r="K111" i="40"/>
  <c r="K110" i="40"/>
  <c r="K109" i="40"/>
  <c r="K108" i="40"/>
  <c r="K107" i="40"/>
  <c r="K106" i="40"/>
  <c r="K105" i="40"/>
  <c r="K104" i="40"/>
  <c r="K103" i="40"/>
  <c r="K102" i="40"/>
  <c r="K101" i="40"/>
  <c r="K100" i="40"/>
  <c r="K99" i="40"/>
  <c r="K98" i="40"/>
  <c r="K97" i="40"/>
  <c r="K96" i="40"/>
  <c r="K95" i="40"/>
  <c r="K94" i="40"/>
  <c r="K93" i="40"/>
  <c r="K92" i="40"/>
  <c r="K91" i="40"/>
  <c r="K90" i="40"/>
  <c r="K89" i="40"/>
  <c r="K88" i="40"/>
  <c r="K87" i="40"/>
  <c r="K86" i="40"/>
  <c r="K85" i="40"/>
  <c r="K84" i="40"/>
  <c r="K83"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9" i="40"/>
  <c r="K8" i="40"/>
  <c r="K7" i="40"/>
  <c r="I150" i="40"/>
  <c r="I149" i="40"/>
  <c r="I148" i="40"/>
  <c r="I147" i="40"/>
  <c r="I146" i="40"/>
  <c r="I145" i="40"/>
  <c r="I144" i="40"/>
  <c r="I143" i="40"/>
  <c r="I142" i="40"/>
  <c r="I141" i="40"/>
  <c r="I140" i="40"/>
  <c r="I139" i="40"/>
  <c r="I138" i="40"/>
  <c r="I137" i="40"/>
  <c r="I136" i="40"/>
  <c r="I135" i="40"/>
  <c r="I134" i="40"/>
  <c r="I133" i="40"/>
  <c r="I132" i="40"/>
  <c r="I131" i="40"/>
  <c r="I130" i="40"/>
  <c r="I129" i="40"/>
  <c r="I128" i="40"/>
  <c r="I127" i="40"/>
  <c r="I126" i="40"/>
  <c r="I125" i="40"/>
  <c r="I124" i="40"/>
  <c r="I123" i="40"/>
  <c r="I122" i="40"/>
  <c r="I121" i="40"/>
  <c r="I120" i="40"/>
  <c r="I119" i="40"/>
  <c r="I118" i="40"/>
  <c r="I117" i="40"/>
  <c r="I116" i="40"/>
  <c r="I115" i="40"/>
  <c r="I114" i="40"/>
  <c r="I113" i="40"/>
  <c r="I112" i="40"/>
  <c r="I111" i="40"/>
  <c r="I110" i="40"/>
  <c r="I109" i="40"/>
  <c r="I108" i="40"/>
  <c r="I107" i="40"/>
  <c r="I106" i="40"/>
  <c r="I105" i="40"/>
  <c r="I104" i="40"/>
  <c r="I103" i="40"/>
  <c r="I102" i="40"/>
  <c r="I101" i="40"/>
  <c r="I100" i="40"/>
  <c r="I99" i="40"/>
  <c r="I98" i="40"/>
  <c r="I97" i="40"/>
  <c r="I96" i="40"/>
  <c r="I95" i="40"/>
  <c r="I94" i="40"/>
  <c r="I93" i="40"/>
  <c r="I92" i="40"/>
  <c r="I91" i="40"/>
  <c r="I90" i="40"/>
  <c r="I89" i="40"/>
  <c r="I88" i="40"/>
  <c r="I87" i="40"/>
  <c r="I86" i="40"/>
  <c r="I85" i="40"/>
  <c r="I84" i="40"/>
  <c r="I83" i="40"/>
  <c r="I82" i="40"/>
  <c r="I81" i="40"/>
  <c r="I80" i="40"/>
  <c r="I79" i="40"/>
  <c r="I78" i="40"/>
  <c r="I77" i="40"/>
  <c r="I76" i="40"/>
  <c r="I75" i="40"/>
  <c r="I74" i="40"/>
  <c r="I73" i="40"/>
  <c r="I72" i="40"/>
  <c r="I71" i="40"/>
  <c r="I70" i="40"/>
  <c r="I69" i="40"/>
  <c r="I68" i="40"/>
  <c r="I67" i="40"/>
  <c r="I66" i="40"/>
  <c r="I65" i="40"/>
  <c r="I64" i="40"/>
  <c r="I63" i="40"/>
  <c r="I62" i="40"/>
  <c r="I61" i="40"/>
  <c r="I60" i="40"/>
  <c r="I59" i="40"/>
  <c r="I58" i="40"/>
  <c r="I57" i="40"/>
  <c r="I56" i="40"/>
  <c r="I55" i="40"/>
  <c r="I54" i="40"/>
  <c r="I53" i="40"/>
  <c r="I52" i="40"/>
  <c r="I51" i="40"/>
  <c r="I50" i="40"/>
  <c r="I49" i="40"/>
  <c r="I48" i="40"/>
  <c r="I47" i="40"/>
  <c r="I46" i="40"/>
  <c r="I45" i="40"/>
  <c r="I44" i="40"/>
  <c r="I43" i="40"/>
  <c r="I42" i="40"/>
  <c r="I41" i="40"/>
  <c r="I40" i="40"/>
  <c r="I39" i="40"/>
  <c r="I38" i="40"/>
  <c r="I37" i="40"/>
  <c r="I36" i="40"/>
  <c r="I35" i="40"/>
  <c r="I34" i="40"/>
  <c r="I33" i="40"/>
  <c r="I32" i="40"/>
  <c r="I31" i="40"/>
  <c r="I30" i="40"/>
  <c r="I29" i="40"/>
  <c r="I28" i="40"/>
  <c r="I27" i="40"/>
  <c r="I26" i="40"/>
  <c r="I25" i="40"/>
  <c r="I24" i="40"/>
  <c r="I23" i="40"/>
  <c r="I22" i="40"/>
  <c r="I21" i="40"/>
  <c r="I20" i="40"/>
  <c r="I19" i="40"/>
  <c r="I18" i="40"/>
  <c r="I17" i="40"/>
  <c r="I16" i="40"/>
  <c r="I15" i="40"/>
  <c r="I14" i="40"/>
  <c r="I13" i="40"/>
  <c r="I12" i="40"/>
  <c r="I11" i="40"/>
  <c r="I10" i="40"/>
  <c r="I9" i="40"/>
  <c r="I8" i="40"/>
  <c r="I7" i="40"/>
  <c r="G150" i="40"/>
  <c r="G149" i="40"/>
  <c r="G148" i="40"/>
  <c r="G147" i="40"/>
  <c r="G146" i="40"/>
  <c r="G145" i="40"/>
  <c r="G144" i="40"/>
  <c r="G143" i="40"/>
  <c r="G142" i="40"/>
  <c r="G141" i="40"/>
  <c r="G140" i="40"/>
  <c r="G139" i="40"/>
  <c r="G138" i="40"/>
  <c r="G137" i="40"/>
  <c r="G136" i="40"/>
  <c r="G135" i="40"/>
  <c r="G134" i="40"/>
  <c r="G133" i="40"/>
  <c r="G132" i="40"/>
  <c r="G131" i="40"/>
  <c r="G130" i="40"/>
  <c r="G129" i="40"/>
  <c r="G128" i="40"/>
  <c r="G127" i="40"/>
  <c r="G126" i="40"/>
  <c r="G125" i="40"/>
  <c r="G124" i="40"/>
  <c r="G123" i="40"/>
  <c r="G122" i="40"/>
  <c r="G121" i="40"/>
  <c r="G120" i="40"/>
  <c r="G119" i="40"/>
  <c r="G118" i="40"/>
  <c r="G117" i="40"/>
  <c r="G116" i="40"/>
  <c r="G115" i="40"/>
  <c r="G114" i="40"/>
  <c r="G113" i="40"/>
  <c r="G112" i="40"/>
  <c r="G111" i="40"/>
  <c r="G110" i="40"/>
  <c r="G109" i="40"/>
  <c r="G108" i="40"/>
  <c r="G107" i="40"/>
  <c r="G106" i="40"/>
  <c r="G105" i="40"/>
  <c r="G104" i="40"/>
  <c r="G103" i="40"/>
  <c r="G102" i="40"/>
  <c r="G101" i="40"/>
  <c r="G100" i="40"/>
  <c r="G99" i="40"/>
  <c r="G98" i="40"/>
  <c r="G97" i="40"/>
  <c r="G96" i="40"/>
  <c r="G95" i="40"/>
  <c r="G94" i="40"/>
  <c r="G93" i="40"/>
  <c r="G92" i="40"/>
  <c r="G91" i="40"/>
  <c r="G90" i="40"/>
  <c r="G89" i="40"/>
  <c r="G88" i="40"/>
  <c r="G87" i="40"/>
  <c r="G86" i="40"/>
  <c r="G85" i="40"/>
  <c r="G84" i="40"/>
  <c r="G83" i="40"/>
  <c r="G82" i="40"/>
  <c r="G81" i="40"/>
  <c r="G80" i="40"/>
  <c r="G79" i="40"/>
  <c r="G78" i="40"/>
  <c r="G77" i="40"/>
  <c r="G76" i="40"/>
  <c r="G75" i="40"/>
  <c r="G74" i="40"/>
  <c r="G73" i="40"/>
  <c r="G72" i="40"/>
  <c r="G71" i="40"/>
  <c r="G70" i="40"/>
  <c r="G69" i="40"/>
  <c r="G68" i="40"/>
  <c r="G67" i="40"/>
  <c r="G66" i="40"/>
  <c r="G65" i="40"/>
  <c r="G64" i="40"/>
  <c r="G63" i="40"/>
  <c r="G62" i="40"/>
  <c r="G61" i="40"/>
  <c r="G60" i="40"/>
  <c r="G59" i="40"/>
  <c r="G58" i="40"/>
  <c r="G57" i="40"/>
  <c r="G56" i="40"/>
  <c r="G55" i="40"/>
  <c r="G54" i="40"/>
  <c r="G53" i="40"/>
  <c r="G52" i="40"/>
  <c r="G51" i="40"/>
  <c r="G50" i="40"/>
  <c r="G49" i="40"/>
  <c r="G48" i="40"/>
  <c r="G47" i="40"/>
  <c r="G46" i="40"/>
  <c r="G45" i="40"/>
  <c r="G44" i="40"/>
  <c r="G43" i="40"/>
  <c r="G42" i="40"/>
  <c r="G41" i="40"/>
  <c r="G40" i="40"/>
  <c r="G39" i="40"/>
  <c r="G38" i="40"/>
  <c r="G37" i="40"/>
  <c r="G36" i="40"/>
  <c r="G35" i="40"/>
  <c r="G34" i="40"/>
  <c r="G33" i="40"/>
  <c r="G32" i="40"/>
  <c r="G31" i="40"/>
  <c r="G30" i="40"/>
  <c r="G29" i="40"/>
  <c r="G28" i="40"/>
  <c r="G27" i="40"/>
  <c r="G26" i="40"/>
  <c r="G25" i="40"/>
  <c r="G24" i="40"/>
  <c r="G23" i="40"/>
  <c r="G22" i="40"/>
  <c r="G21" i="40"/>
  <c r="G20" i="40"/>
  <c r="G19" i="40"/>
  <c r="G18" i="40"/>
  <c r="G17" i="40"/>
  <c r="G16" i="40"/>
  <c r="G15" i="40"/>
  <c r="G14" i="40"/>
  <c r="G13" i="40"/>
  <c r="G12" i="40"/>
  <c r="G11" i="40"/>
  <c r="G10" i="40"/>
  <c r="G9" i="40"/>
  <c r="G8" i="40"/>
  <c r="G7" i="40"/>
  <c r="K6" i="40"/>
  <c r="I6" i="40"/>
  <c r="G6" i="40"/>
  <c r="E151" i="40"/>
  <c r="R151" i="40" s="1"/>
  <c r="E150" i="40"/>
  <c r="R150" i="40" s="1"/>
  <c r="E149" i="40"/>
  <c r="R149" i="40" s="1"/>
  <c r="E148" i="40"/>
  <c r="R148" i="40" s="1"/>
  <c r="E147" i="40"/>
  <c r="R147" i="40" s="1"/>
  <c r="E146" i="40"/>
  <c r="R146" i="40" s="1"/>
  <c r="E145" i="40"/>
  <c r="R145" i="40" s="1"/>
  <c r="E144" i="40"/>
  <c r="R144" i="40" s="1"/>
  <c r="E143" i="40"/>
  <c r="R143" i="40" s="1"/>
  <c r="E142" i="40"/>
  <c r="R142" i="40" s="1"/>
  <c r="E141" i="40"/>
  <c r="R141" i="40" s="1"/>
  <c r="E140" i="40"/>
  <c r="R140" i="40" s="1"/>
  <c r="E139" i="40"/>
  <c r="R139" i="40" s="1"/>
  <c r="E138" i="40"/>
  <c r="R138" i="40" s="1"/>
  <c r="E137" i="40"/>
  <c r="R137" i="40" s="1"/>
  <c r="E136" i="40"/>
  <c r="R136" i="40" s="1"/>
  <c r="E135" i="40"/>
  <c r="R135" i="40" s="1"/>
  <c r="E134" i="40"/>
  <c r="R134" i="40" s="1"/>
  <c r="E133" i="40"/>
  <c r="R133" i="40" s="1"/>
  <c r="E132" i="40"/>
  <c r="R132" i="40" s="1"/>
  <c r="E131" i="40"/>
  <c r="R131" i="40" s="1"/>
  <c r="E130" i="40"/>
  <c r="R130" i="40" s="1"/>
  <c r="E129" i="40"/>
  <c r="R129" i="40" s="1"/>
  <c r="E128" i="40"/>
  <c r="R128" i="40" s="1"/>
  <c r="E127" i="40"/>
  <c r="R127" i="40" s="1"/>
  <c r="E126" i="40"/>
  <c r="R126" i="40" s="1"/>
  <c r="E125" i="40"/>
  <c r="R125" i="40" s="1"/>
  <c r="E124" i="40"/>
  <c r="R124" i="40" s="1"/>
  <c r="E123" i="40"/>
  <c r="R123" i="40" s="1"/>
  <c r="E122" i="40"/>
  <c r="R122" i="40" s="1"/>
  <c r="E121" i="40"/>
  <c r="R121" i="40" s="1"/>
  <c r="E120" i="40"/>
  <c r="R120" i="40" s="1"/>
  <c r="E119" i="40"/>
  <c r="R119" i="40" s="1"/>
  <c r="E118" i="40"/>
  <c r="R118" i="40" s="1"/>
  <c r="E117" i="40"/>
  <c r="R117" i="40" s="1"/>
  <c r="E116" i="40"/>
  <c r="R116" i="40" s="1"/>
  <c r="E115" i="40"/>
  <c r="R115" i="40" s="1"/>
  <c r="E114" i="40"/>
  <c r="R114" i="40" s="1"/>
  <c r="E113" i="40"/>
  <c r="R113" i="40" s="1"/>
  <c r="E112" i="40"/>
  <c r="R112" i="40" s="1"/>
  <c r="E111" i="40"/>
  <c r="R111" i="40" s="1"/>
  <c r="E110" i="40"/>
  <c r="R110" i="40" s="1"/>
  <c r="E109" i="40"/>
  <c r="R109" i="40" s="1"/>
  <c r="E108" i="40"/>
  <c r="R108" i="40" s="1"/>
  <c r="E107" i="40"/>
  <c r="R107" i="40" s="1"/>
  <c r="E106" i="40"/>
  <c r="R106" i="40" s="1"/>
  <c r="E105" i="40"/>
  <c r="R105" i="40" s="1"/>
  <c r="E104" i="40"/>
  <c r="R104" i="40" s="1"/>
  <c r="E103" i="40"/>
  <c r="R103" i="40" s="1"/>
  <c r="E102" i="40"/>
  <c r="R102" i="40" s="1"/>
  <c r="E101" i="40"/>
  <c r="R101" i="40" s="1"/>
  <c r="E100" i="40"/>
  <c r="R100" i="40" s="1"/>
  <c r="E99" i="40"/>
  <c r="R99" i="40" s="1"/>
  <c r="E98" i="40"/>
  <c r="R98" i="40" s="1"/>
  <c r="E97" i="40"/>
  <c r="R97" i="40" s="1"/>
  <c r="E96" i="40"/>
  <c r="R96" i="40" s="1"/>
  <c r="E95" i="40"/>
  <c r="R95" i="40" s="1"/>
  <c r="E94" i="40"/>
  <c r="R94" i="40" s="1"/>
  <c r="E93" i="40"/>
  <c r="R93" i="40" s="1"/>
  <c r="E92" i="40"/>
  <c r="R92" i="40" s="1"/>
  <c r="E91" i="40"/>
  <c r="R91" i="40" s="1"/>
  <c r="E90" i="40"/>
  <c r="R90" i="40" s="1"/>
  <c r="E89" i="40"/>
  <c r="R89" i="40" s="1"/>
  <c r="E88" i="40"/>
  <c r="R88" i="40" s="1"/>
  <c r="E87" i="40"/>
  <c r="R87" i="40" s="1"/>
  <c r="E86" i="40"/>
  <c r="R86" i="40" s="1"/>
  <c r="E85" i="40"/>
  <c r="R85" i="40" s="1"/>
  <c r="E84" i="40"/>
  <c r="R84" i="40" s="1"/>
  <c r="E83" i="40"/>
  <c r="R83" i="40" s="1"/>
  <c r="E82" i="40"/>
  <c r="R82" i="40" s="1"/>
  <c r="E81" i="40"/>
  <c r="R81" i="40" s="1"/>
  <c r="E80" i="40"/>
  <c r="R80" i="40" s="1"/>
  <c r="E79" i="40"/>
  <c r="R79" i="40" s="1"/>
  <c r="E78" i="40"/>
  <c r="R78" i="40" s="1"/>
  <c r="E77" i="40"/>
  <c r="R77" i="40" s="1"/>
  <c r="E76" i="40"/>
  <c r="R76" i="40" s="1"/>
  <c r="E75" i="40"/>
  <c r="R75" i="40" s="1"/>
  <c r="E74" i="40"/>
  <c r="R74" i="40" s="1"/>
  <c r="E73" i="40"/>
  <c r="R73" i="40" s="1"/>
  <c r="E72" i="40"/>
  <c r="R72" i="40" s="1"/>
  <c r="E71" i="40"/>
  <c r="R71" i="40" s="1"/>
  <c r="E70" i="40"/>
  <c r="R70" i="40" s="1"/>
  <c r="E69" i="40"/>
  <c r="R69" i="40" s="1"/>
  <c r="E68" i="40"/>
  <c r="R68" i="40" s="1"/>
  <c r="E67" i="40"/>
  <c r="R67" i="40" s="1"/>
  <c r="E66" i="40"/>
  <c r="R66" i="40" s="1"/>
  <c r="E65" i="40"/>
  <c r="R65" i="40" s="1"/>
  <c r="E64" i="40"/>
  <c r="R64" i="40" s="1"/>
  <c r="E63" i="40"/>
  <c r="R63" i="40" s="1"/>
  <c r="E62" i="40"/>
  <c r="R62" i="40" s="1"/>
  <c r="E61" i="40"/>
  <c r="R61" i="40" s="1"/>
  <c r="E60" i="40"/>
  <c r="R60" i="40" s="1"/>
  <c r="E59" i="40"/>
  <c r="R59" i="40" s="1"/>
  <c r="E58" i="40"/>
  <c r="R58" i="40" s="1"/>
  <c r="E57" i="40"/>
  <c r="R57" i="40" s="1"/>
  <c r="E56" i="40"/>
  <c r="R56" i="40" s="1"/>
  <c r="E55" i="40"/>
  <c r="R55" i="40" s="1"/>
  <c r="E54" i="40"/>
  <c r="R54" i="40" s="1"/>
  <c r="E53" i="40"/>
  <c r="R53" i="40" s="1"/>
  <c r="E52" i="40"/>
  <c r="R52" i="40" s="1"/>
  <c r="E51" i="40"/>
  <c r="R51" i="40" s="1"/>
  <c r="E50" i="40"/>
  <c r="R50" i="40" s="1"/>
  <c r="E49" i="40"/>
  <c r="R49" i="40" s="1"/>
  <c r="E48" i="40"/>
  <c r="R48" i="40" s="1"/>
  <c r="E47" i="40"/>
  <c r="R47" i="40" s="1"/>
  <c r="E46" i="40"/>
  <c r="R46" i="40" s="1"/>
  <c r="E45" i="40"/>
  <c r="R45" i="40" s="1"/>
  <c r="E44" i="40"/>
  <c r="R44" i="40" s="1"/>
  <c r="E43" i="40"/>
  <c r="R43" i="40" s="1"/>
  <c r="E42" i="40"/>
  <c r="R42" i="40" s="1"/>
  <c r="E41" i="40"/>
  <c r="R41" i="40" s="1"/>
  <c r="E40" i="40"/>
  <c r="R40" i="40" s="1"/>
  <c r="E39" i="40"/>
  <c r="R39" i="40" s="1"/>
  <c r="E38" i="40"/>
  <c r="R38" i="40" s="1"/>
  <c r="E37" i="40"/>
  <c r="R37" i="40" s="1"/>
  <c r="E36" i="40"/>
  <c r="R36" i="40" s="1"/>
  <c r="E35" i="40"/>
  <c r="R35" i="40" s="1"/>
  <c r="E34" i="40"/>
  <c r="R34" i="40" s="1"/>
  <c r="E33" i="40"/>
  <c r="R33" i="40" s="1"/>
  <c r="E32" i="40"/>
  <c r="R32" i="40" s="1"/>
  <c r="E31" i="40"/>
  <c r="R31" i="40" s="1"/>
  <c r="E30" i="40"/>
  <c r="R30" i="40" s="1"/>
  <c r="E29" i="40"/>
  <c r="R29" i="40" s="1"/>
  <c r="E28" i="40"/>
  <c r="R28" i="40" s="1"/>
  <c r="E27" i="40"/>
  <c r="R27" i="40" s="1"/>
  <c r="E26" i="40"/>
  <c r="R26" i="40" s="1"/>
  <c r="E25" i="40"/>
  <c r="R25" i="40" s="1"/>
  <c r="E24" i="40"/>
  <c r="R24" i="40" s="1"/>
  <c r="E23" i="40"/>
  <c r="R23" i="40" s="1"/>
  <c r="E22" i="40"/>
  <c r="R22" i="40" s="1"/>
  <c r="E21" i="40"/>
  <c r="R21" i="40" s="1"/>
  <c r="E20" i="40"/>
  <c r="R20" i="40" s="1"/>
  <c r="E19" i="40"/>
  <c r="R19" i="40" s="1"/>
  <c r="E18" i="40"/>
  <c r="R18" i="40" s="1"/>
  <c r="E17" i="40"/>
  <c r="R17" i="40" s="1"/>
  <c r="E16" i="40"/>
  <c r="R16" i="40" s="1"/>
  <c r="E15" i="40"/>
  <c r="R15" i="40" s="1"/>
  <c r="E14" i="40"/>
  <c r="R14" i="40" s="1"/>
  <c r="E13" i="40"/>
  <c r="R13" i="40" s="1"/>
  <c r="E12" i="40"/>
  <c r="R12" i="40" s="1"/>
  <c r="E11" i="40"/>
  <c r="R11" i="40" s="1"/>
  <c r="E10" i="40"/>
  <c r="R10" i="40" s="1"/>
  <c r="E9" i="40"/>
  <c r="R9" i="40" s="1"/>
  <c r="E8" i="40"/>
  <c r="R8" i="40" s="1"/>
  <c r="E7" i="40"/>
  <c r="E6" i="40"/>
  <c r="BK149" i="41"/>
  <c r="BJ149" i="41"/>
  <c r="BI149" i="41"/>
  <c r="BH149" i="41"/>
  <c r="BG149" i="41"/>
  <c r="BK148" i="41"/>
  <c r="BJ148" i="41"/>
  <c r="BI148" i="41"/>
  <c r="BH148" i="41"/>
  <c r="BG148" i="41"/>
  <c r="BK147" i="41"/>
  <c r="BJ147" i="41"/>
  <c r="BI147" i="41"/>
  <c r="BH147" i="41"/>
  <c r="BG147" i="41"/>
  <c r="BK146" i="41"/>
  <c r="BJ146" i="41"/>
  <c r="BI146" i="41"/>
  <c r="BH146" i="41"/>
  <c r="BG146" i="41"/>
  <c r="BK145" i="41"/>
  <c r="BJ145" i="41"/>
  <c r="BI145" i="41"/>
  <c r="BH145" i="41"/>
  <c r="BG145" i="41"/>
  <c r="BK144" i="41"/>
  <c r="BJ144" i="41"/>
  <c r="BI144" i="41"/>
  <c r="BH144" i="41"/>
  <c r="BG144" i="41"/>
  <c r="BK143" i="41"/>
  <c r="BJ143" i="41"/>
  <c r="BI143" i="41"/>
  <c r="BH143" i="41"/>
  <c r="BG143" i="41"/>
  <c r="BK142" i="41"/>
  <c r="BJ142" i="41"/>
  <c r="BI142" i="41"/>
  <c r="BH142" i="41"/>
  <c r="BG142" i="41"/>
  <c r="BK141" i="41"/>
  <c r="BJ141" i="41"/>
  <c r="BI141" i="41"/>
  <c r="BH141" i="41"/>
  <c r="BG141" i="41"/>
  <c r="BK140" i="41"/>
  <c r="BJ140" i="41"/>
  <c r="BI140" i="41"/>
  <c r="BH140" i="41"/>
  <c r="BG140" i="41"/>
  <c r="BK139" i="41"/>
  <c r="BJ139" i="41"/>
  <c r="BI139" i="41"/>
  <c r="BH139" i="41"/>
  <c r="BG139" i="41"/>
  <c r="BK138" i="41"/>
  <c r="BJ138" i="41"/>
  <c r="BI138" i="41"/>
  <c r="BH138" i="41"/>
  <c r="BG138" i="41"/>
  <c r="BK137" i="41"/>
  <c r="BJ137" i="41"/>
  <c r="BI137" i="41"/>
  <c r="BH137" i="41"/>
  <c r="BG137" i="41"/>
  <c r="BK136" i="41"/>
  <c r="BJ136" i="41"/>
  <c r="BI136" i="41"/>
  <c r="BH136" i="41"/>
  <c r="BG136" i="41"/>
  <c r="BK135" i="41"/>
  <c r="BJ135" i="41"/>
  <c r="BI135" i="41"/>
  <c r="BH135" i="41"/>
  <c r="BG135" i="41"/>
  <c r="BK134" i="41"/>
  <c r="BJ134" i="41"/>
  <c r="BI134" i="41"/>
  <c r="BH134" i="41"/>
  <c r="BG134" i="41"/>
  <c r="BK133" i="41"/>
  <c r="BJ133" i="41"/>
  <c r="BI133" i="41"/>
  <c r="BH133" i="41"/>
  <c r="BG133" i="41"/>
  <c r="BK132" i="41"/>
  <c r="BJ132" i="41"/>
  <c r="BI132" i="41"/>
  <c r="BH132" i="41"/>
  <c r="BG132" i="41"/>
  <c r="BK131" i="41"/>
  <c r="BJ131" i="41"/>
  <c r="BI131" i="41"/>
  <c r="BH131" i="41"/>
  <c r="BG131" i="41"/>
  <c r="BK130" i="41"/>
  <c r="BJ130" i="41"/>
  <c r="BI130" i="41"/>
  <c r="BH130" i="41"/>
  <c r="BG130" i="41"/>
  <c r="BK129" i="41"/>
  <c r="BJ129" i="41"/>
  <c r="BI129" i="41"/>
  <c r="BH129" i="41"/>
  <c r="BG129" i="41"/>
  <c r="BK128" i="41"/>
  <c r="BJ128" i="41"/>
  <c r="BI128" i="41"/>
  <c r="BH128" i="41"/>
  <c r="BG128" i="41"/>
  <c r="BK127" i="41"/>
  <c r="BJ127" i="41"/>
  <c r="BI127" i="41"/>
  <c r="BH127" i="41"/>
  <c r="BG127" i="41"/>
  <c r="BK126" i="41"/>
  <c r="BJ126" i="41"/>
  <c r="BI126" i="41"/>
  <c r="BH126" i="41"/>
  <c r="BG126" i="41"/>
  <c r="BK125" i="41"/>
  <c r="BJ125" i="41"/>
  <c r="BI125" i="41"/>
  <c r="BH125" i="41"/>
  <c r="BG125" i="41"/>
  <c r="BK124" i="41"/>
  <c r="BJ124" i="41"/>
  <c r="BI124" i="41"/>
  <c r="BH124" i="41"/>
  <c r="BG124" i="41"/>
  <c r="BK123" i="41"/>
  <c r="BJ123" i="41"/>
  <c r="BI123" i="41"/>
  <c r="BH123" i="41"/>
  <c r="BG123" i="41"/>
  <c r="BK122" i="41"/>
  <c r="BJ122" i="41"/>
  <c r="BI122" i="41"/>
  <c r="BH122" i="41"/>
  <c r="BG122" i="41"/>
  <c r="BK121" i="41"/>
  <c r="BJ121" i="41"/>
  <c r="BI121" i="41"/>
  <c r="BH121" i="41"/>
  <c r="BG121" i="41"/>
  <c r="BK120" i="41"/>
  <c r="BJ120" i="41"/>
  <c r="BI120" i="41"/>
  <c r="BH120" i="41"/>
  <c r="BG120" i="41"/>
  <c r="BK119" i="41"/>
  <c r="BJ119" i="41"/>
  <c r="BI119" i="41"/>
  <c r="BH119" i="41"/>
  <c r="BG119" i="41"/>
  <c r="BK118" i="41"/>
  <c r="BJ118" i="41"/>
  <c r="BI118" i="41"/>
  <c r="BH118" i="41"/>
  <c r="BG118" i="41"/>
  <c r="BK117" i="41"/>
  <c r="BJ117" i="41"/>
  <c r="BI117" i="41"/>
  <c r="BH117" i="41"/>
  <c r="BG117" i="41"/>
  <c r="BK116" i="41"/>
  <c r="BJ116" i="41"/>
  <c r="BI116" i="41"/>
  <c r="BH116" i="41"/>
  <c r="BG116" i="41"/>
  <c r="BK115" i="41"/>
  <c r="BJ115" i="41"/>
  <c r="BI115" i="41"/>
  <c r="BH115" i="41"/>
  <c r="BG115" i="41"/>
  <c r="BK114" i="41"/>
  <c r="BJ114" i="41"/>
  <c r="BI114" i="41"/>
  <c r="BH114" i="41"/>
  <c r="BG114" i="41"/>
  <c r="BK113" i="41"/>
  <c r="BJ113" i="41"/>
  <c r="BI113" i="41"/>
  <c r="BH113" i="41"/>
  <c r="BG113" i="41"/>
  <c r="BK112" i="41"/>
  <c r="BJ112" i="41"/>
  <c r="BI112" i="41"/>
  <c r="BH112" i="41"/>
  <c r="BG112" i="41"/>
  <c r="BK111" i="41"/>
  <c r="BJ111" i="41"/>
  <c r="BI111" i="41"/>
  <c r="BH111" i="41"/>
  <c r="BG111" i="41"/>
  <c r="BK110" i="41"/>
  <c r="BJ110" i="41"/>
  <c r="BI110" i="41"/>
  <c r="BH110" i="41"/>
  <c r="BG110" i="41"/>
  <c r="BK109" i="41"/>
  <c r="BJ109" i="41"/>
  <c r="BI109" i="41"/>
  <c r="BH109" i="41"/>
  <c r="BG109" i="41"/>
  <c r="BK108" i="41"/>
  <c r="BJ108" i="41"/>
  <c r="BI108" i="41"/>
  <c r="BH108" i="41"/>
  <c r="BG108" i="41"/>
  <c r="BK107" i="41"/>
  <c r="BJ107" i="41"/>
  <c r="BI107" i="41"/>
  <c r="BH107" i="41"/>
  <c r="BG107" i="41"/>
  <c r="BK106" i="41"/>
  <c r="BJ106" i="41"/>
  <c r="BI106" i="41"/>
  <c r="BH106" i="41"/>
  <c r="BG106" i="41"/>
  <c r="BK105" i="41"/>
  <c r="BJ105" i="41"/>
  <c r="BI105" i="41"/>
  <c r="BH105" i="41"/>
  <c r="BG105" i="41"/>
  <c r="BK104" i="41"/>
  <c r="BJ104" i="41"/>
  <c r="BI104" i="41"/>
  <c r="BH104" i="41"/>
  <c r="BG104" i="41"/>
  <c r="BK103" i="41"/>
  <c r="BJ103" i="41"/>
  <c r="BI103" i="41"/>
  <c r="BH103" i="41"/>
  <c r="BG103" i="41"/>
  <c r="BK102" i="41"/>
  <c r="BJ102" i="41"/>
  <c r="BI102" i="41"/>
  <c r="BH102" i="41"/>
  <c r="BG102" i="41"/>
  <c r="BK101" i="41"/>
  <c r="BJ101" i="41"/>
  <c r="BI101" i="41"/>
  <c r="BH101" i="41"/>
  <c r="BG101" i="41"/>
  <c r="BK100" i="41"/>
  <c r="BJ100" i="41"/>
  <c r="BI100" i="41"/>
  <c r="BH100" i="41"/>
  <c r="BG100" i="41"/>
  <c r="BK99" i="41"/>
  <c r="BJ99" i="41"/>
  <c r="BI99" i="41"/>
  <c r="BH99" i="41"/>
  <c r="BG99" i="41"/>
  <c r="BK98" i="41"/>
  <c r="BJ98" i="41"/>
  <c r="BI98" i="41"/>
  <c r="BH98" i="41"/>
  <c r="BG98" i="41"/>
  <c r="BK97" i="41"/>
  <c r="BJ97" i="41"/>
  <c r="BI97" i="41"/>
  <c r="BH97" i="41"/>
  <c r="BG97" i="41"/>
  <c r="BK96" i="41"/>
  <c r="BJ96" i="41"/>
  <c r="BI96" i="41"/>
  <c r="BH96" i="41"/>
  <c r="BG96" i="41"/>
  <c r="BK95" i="41"/>
  <c r="BJ95" i="41"/>
  <c r="BI95" i="41"/>
  <c r="BH95" i="41"/>
  <c r="BG95" i="41"/>
  <c r="BK94" i="41"/>
  <c r="BJ94" i="41"/>
  <c r="BI94" i="41"/>
  <c r="BH94" i="41"/>
  <c r="BG94" i="41"/>
  <c r="BK93" i="41"/>
  <c r="BJ93" i="41"/>
  <c r="BI93" i="41"/>
  <c r="BH93" i="41"/>
  <c r="BG93" i="41"/>
  <c r="BK92" i="41"/>
  <c r="BJ92" i="41"/>
  <c r="BI92" i="41"/>
  <c r="BH92" i="41"/>
  <c r="BG92" i="41"/>
  <c r="BK91" i="41"/>
  <c r="BJ91" i="41"/>
  <c r="BI91" i="41"/>
  <c r="BH91" i="41"/>
  <c r="BG91" i="41"/>
  <c r="BK90" i="41"/>
  <c r="BJ90" i="41"/>
  <c r="BI90" i="41"/>
  <c r="BH90" i="41"/>
  <c r="BG90" i="41"/>
  <c r="BK89" i="41"/>
  <c r="BJ89" i="41"/>
  <c r="BI89" i="41"/>
  <c r="BH89" i="41"/>
  <c r="BG89" i="41"/>
  <c r="BK88" i="41"/>
  <c r="BJ88" i="41"/>
  <c r="BI88" i="41"/>
  <c r="BH88" i="41"/>
  <c r="BG88" i="41"/>
  <c r="BK87" i="41"/>
  <c r="BJ87" i="41"/>
  <c r="BI87" i="41"/>
  <c r="BH87" i="41"/>
  <c r="BG87" i="41"/>
  <c r="BK86" i="41"/>
  <c r="BJ86" i="41"/>
  <c r="BI86" i="41"/>
  <c r="BH86" i="41"/>
  <c r="BG86" i="41"/>
  <c r="BK85" i="41"/>
  <c r="BJ85" i="41"/>
  <c r="BI85" i="41"/>
  <c r="BH85" i="41"/>
  <c r="BG85" i="41"/>
  <c r="BK84" i="41"/>
  <c r="BJ84" i="41"/>
  <c r="BI84" i="41"/>
  <c r="BH84" i="41"/>
  <c r="BG84" i="41"/>
  <c r="BK83" i="41"/>
  <c r="BJ83" i="41"/>
  <c r="BI83" i="41"/>
  <c r="BH83" i="41"/>
  <c r="BG83" i="41"/>
  <c r="BK82" i="41"/>
  <c r="BJ82" i="41"/>
  <c r="BI82" i="41"/>
  <c r="BH82" i="41"/>
  <c r="BG82" i="41"/>
  <c r="BK81" i="41"/>
  <c r="BJ81" i="41"/>
  <c r="BI81" i="41"/>
  <c r="BH81" i="41"/>
  <c r="BG81" i="41"/>
  <c r="BK80" i="41"/>
  <c r="BJ80" i="41"/>
  <c r="BI80" i="41"/>
  <c r="BH80" i="41"/>
  <c r="BG80" i="41"/>
  <c r="BK79" i="41"/>
  <c r="BJ79" i="41"/>
  <c r="BI79" i="41"/>
  <c r="BH79" i="41"/>
  <c r="BG79" i="41"/>
  <c r="BK78" i="41"/>
  <c r="BJ78" i="41"/>
  <c r="BI78" i="41"/>
  <c r="BH78" i="41"/>
  <c r="BG78" i="41"/>
  <c r="BK77" i="41"/>
  <c r="BJ77" i="41"/>
  <c r="BI77" i="41"/>
  <c r="BH77" i="41"/>
  <c r="BG77" i="41"/>
  <c r="BK76" i="41"/>
  <c r="BJ76" i="41"/>
  <c r="BI76" i="41"/>
  <c r="BH76" i="41"/>
  <c r="BG76" i="41"/>
  <c r="BK75" i="41"/>
  <c r="BJ75" i="41"/>
  <c r="BI75" i="41"/>
  <c r="BH75" i="41"/>
  <c r="BG75" i="41"/>
  <c r="BK74" i="41"/>
  <c r="BJ74" i="41"/>
  <c r="BI74" i="41"/>
  <c r="BH74" i="41"/>
  <c r="BG74" i="41"/>
  <c r="BK73" i="41"/>
  <c r="BJ73" i="41"/>
  <c r="BI73" i="41"/>
  <c r="BH73" i="41"/>
  <c r="BG73" i="41"/>
  <c r="BK72" i="41"/>
  <c r="BJ72" i="41"/>
  <c r="BI72" i="41"/>
  <c r="BH72" i="41"/>
  <c r="BG72" i="41"/>
  <c r="BK71" i="41"/>
  <c r="BJ71" i="41"/>
  <c r="BI71" i="41"/>
  <c r="BH71" i="41"/>
  <c r="BG71" i="41"/>
  <c r="BK70" i="41"/>
  <c r="BJ70" i="41"/>
  <c r="BI70" i="41"/>
  <c r="BH70" i="41"/>
  <c r="BG70" i="41"/>
  <c r="BK69" i="41"/>
  <c r="BJ69" i="41"/>
  <c r="BI69" i="41"/>
  <c r="BH69" i="41"/>
  <c r="BG69" i="41"/>
  <c r="BK68" i="41"/>
  <c r="BJ68" i="41"/>
  <c r="BI68" i="41"/>
  <c r="BH68" i="41"/>
  <c r="BG68" i="41"/>
  <c r="BK67" i="41"/>
  <c r="BJ67" i="41"/>
  <c r="BI67" i="41"/>
  <c r="BH67" i="41"/>
  <c r="BG67" i="41"/>
  <c r="BK66" i="41"/>
  <c r="BJ66" i="41"/>
  <c r="BI66" i="41"/>
  <c r="BH66" i="41"/>
  <c r="BG66" i="41"/>
  <c r="BK65" i="41"/>
  <c r="BJ65" i="41"/>
  <c r="BI65" i="41"/>
  <c r="BH65" i="41"/>
  <c r="BG65" i="41"/>
  <c r="BK64" i="41"/>
  <c r="BJ64" i="41"/>
  <c r="BI64" i="41"/>
  <c r="BH64" i="41"/>
  <c r="BG64" i="41"/>
  <c r="BK63" i="41"/>
  <c r="BJ63" i="41"/>
  <c r="BI63" i="41"/>
  <c r="BH63" i="41"/>
  <c r="BG63" i="41"/>
  <c r="BK62" i="41"/>
  <c r="BJ62" i="41"/>
  <c r="BI62" i="41"/>
  <c r="BH62" i="41"/>
  <c r="BG62" i="41"/>
  <c r="BK61" i="41"/>
  <c r="BJ61" i="41"/>
  <c r="BI61" i="41"/>
  <c r="BH61" i="41"/>
  <c r="BG61" i="41"/>
  <c r="BK60" i="41"/>
  <c r="BJ60" i="41"/>
  <c r="BI60" i="41"/>
  <c r="BH60" i="41"/>
  <c r="BG60" i="41"/>
  <c r="BK59" i="41"/>
  <c r="BJ59" i="41"/>
  <c r="BI59" i="41"/>
  <c r="BH59" i="41"/>
  <c r="BG59" i="41"/>
  <c r="BK58" i="41"/>
  <c r="BJ58" i="41"/>
  <c r="BI58" i="41"/>
  <c r="BH58" i="41"/>
  <c r="BG58" i="41"/>
  <c r="BK57" i="41"/>
  <c r="BJ57" i="41"/>
  <c r="BI57" i="41"/>
  <c r="BH57" i="41"/>
  <c r="BG57" i="41"/>
  <c r="BK56" i="41"/>
  <c r="BJ56" i="41"/>
  <c r="BI56" i="41"/>
  <c r="BH56" i="41"/>
  <c r="BG56" i="41"/>
  <c r="BK55" i="41"/>
  <c r="BJ55" i="41"/>
  <c r="BI55" i="41"/>
  <c r="BH55" i="41"/>
  <c r="BG55" i="41"/>
  <c r="BK54" i="41"/>
  <c r="BJ54" i="41"/>
  <c r="BI54" i="41"/>
  <c r="BH54" i="41"/>
  <c r="BG54" i="41"/>
  <c r="BK53" i="41"/>
  <c r="BJ53" i="41"/>
  <c r="BI53" i="41"/>
  <c r="BH53" i="41"/>
  <c r="BG53" i="41"/>
  <c r="BK52" i="41"/>
  <c r="BJ52" i="41"/>
  <c r="BI52" i="41"/>
  <c r="BH52" i="41"/>
  <c r="BG52" i="41"/>
  <c r="BK51" i="41"/>
  <c r="BJ51" i="41"/>
  <c r="BI51" i="41"/>
  <c r="BH51" i="41"/>
  <c r="BG51" i="41"/>
  <c r="BK50" i="41"/>
  <c r="BJ50" i="41"/>
  <c r="BI50" i="41"/>
  <c r="BH50" i="41"/>
  <c r="BG50" i="41"/>
  <c r="BK49" i="41"/>
  <c r="BJ49" i="41"/>
  <c r="BI49" i="41"/>
  <c r="BH49" i="41"/>
  <c r="BG49" i="41"/>
  <c r="BK48" i="41"/>
  <c r="BJ48" i="41"/>
  <c r="BI48" i="41"/>
  <c r="BH48" i="41"/>
  <c r="BG48" i="41"/>
  <c r="BK47" i="41"/>
  <c r="BJ47" i="41"/>
  <c r="BI47" i="41"/>
  <c r="BH47" i="41"/>
  <c r="BG47" i="41"/>
  <c r="BK46" i="41"/>
  <c r="BJ46" i="41"/>
  <c r="BI46" i="41"/>
  <c r="BH46" i="41"/>
  <c r="BG46" i="41"/>
  <c r="BK45" i="41"/>
  <c r="BJ45" i="41"/>
  <c r="BI45" i="41"/>
  <c r="BH45" i="41"/>
  <c r="BG45" i="41"/>
  <c r="BK44" i="41"/>
  <c r="BJ44" i="41"/>
  <c r="BI44" i="41"/>
  <c r="BH44" i="41"/>
  <c r="BG44" i="41"/>
  <c r="BK43" i="41"/>
  <c r="BJ43" i="41"/>
  <c r="BI43" i="41"/>
  <c r="BH43" i="41"/>
  <c r="BG43" i="41"/>
  <c r="BK42" i="41"/>
  <c r="BJ42" i="41"/>
  <c r="BI42" i="41"/>
  <c r="BH42" i="41"/>
  <c r="BG42" i="41"/>
  <c r="BK41" i="41"/>
  <c r="BJ41" i="41"/>
  <c r="BI41" i="41"/>
  <c r="BH41" i="41"/>
  <c r="BG41" i="41"/>
  <c r="BK40" i="41"/>
  <c r="BJ40" i="41"/>
  <c r="BI40" i="41"/>
  <c r="BH40" i="41"/>
  <c r="BG40" i="41"/>
  <c r="BK39" i="41"/>
  <c r="BJ39" i="41"/>
  <c r="BI39" i="41"/>
  <c r="BH39" i="41"/>
  <c r="BG39" i="41"/>
  <c r="BK38" i="41"/>
  <c r="BJ38" i="41"/>
  <c r="BI38" i="41"/>
  <c r="BH38" i="41"/>
  <c r="BG38" i="41"/>
  <c r="BK37" i="41"/>
  <c r="BJ37" i="41"/>
  <c r="BI37" i="41"/>
  <c r="BH37" i="41"/>
  <c r="BG37" i="41"/>
  <c r="BK36" i="41"/>
  <c r="BJ36" i="41"/>
  <c r="BI36" i="41"/>
  <c r="BH36" i="41"/>
  <c r="BG36" i="41"/>
  <c r="BK35" i="41"/>
  <c r="BJ35" i="41"/>
  <c r="BI35" i="41"/>
  <c r="BH35" i="41"/>
  <c r="BG35" i="41"/>
  <c r="BK34" i="41"/>
  <c r="BJ34" i="41"/>
  <c r="BI34" i="41"/>
  <c r="BH34" i="41"/>
  <c r="BG34" i="41"/>
  <c r="BK33" i="41"/>
  <c r="BJ33" i="41"/>
  <c r="BI33" i="41"/>
  <c r="BH33" i="41"/>
  <c r="BG33" i="41"/>
  <c r="BK32" i="41"/>
  <c r="BJ32" i="41"/>
  <c r="BI32" i="41"/>
  <c r="BH32" i="41"/>
  <c r="BG32" i="41"/>
  <c r="BK31" i="41"/>
  <c r="BJ31" i="41"/>
  <c r="BI31" i="41"/>
  <c r="BH31" i="41"/>
  <c r="BG31" i="41"/>
  <c r="BK30" i="41"/>
  <c r="BJ30" i="41"/>
  <c r="BI30" i="41"/>
  <c r="BH30" i="41"/>
  <c r="BG30" i="41"/>
  <c r="BK29" i="41"/>
  <c r="BJ29" i="41"/>
  <c r="BI29" i="41"/>
  <c r="BH29" i="41"/>
  <c r="BG29" i="41"/>
  <c r="BK28" i="41"/>
  <c r="BJ28" i="41"/>
  <c r="BI28" i="41"/>
  <c r="BH28" i="41"/>
  <c r="BG28" i="41"/>
  <c r="BK27" i="41"/>
  <c r="BJ27" i="41"/>
  <c r="BI27" i="41"/>
  <c r="BH27" i="41"/>
  <c r="BG27" i="41"/>
  <c r="BK26" i="41"/>
  <c r="BJ26" i="41"/>
  <c r="BI26" i="41"/>
  <c r="BH26" i="41"/>
  <c r="BG26" i="41"/>
  <c r="BK25" i="41"/>
  <c r="BJ25" i="41"/>
  <c r="BI25" i="41"/>
  <c r="BH25" i="41"/>
  <c r="BG25" i="41"/>
  <c r="BK24" i="41"/>
  <c r="BJ24" i="41"/>
  <c r="BI24" i="41"/>
  <c r="BH24" i="41"/>
  <c r="BG24" i="41"/>
  <c r="BK23" i="41"/>
  <c r="BJ23" i="41"/>
  <c r="BI23" i="41"/>
  <c r="BH23" i="41"/>
  <c r="BG23" i="41"/>
  <c r="BK22" i="41"/>
  <c r="BJ22" i="41"/>
  <c r="BI22" i="41"/>
  <c r="BH22" i="41"/>
  <c r="BG22" i="41"/>
  <c r="BK21" i="41"/>
  <c r="BJ21" i="41"/>
  <c r="BI21" i="41"/>
  <c r="BH21" i="41"/>
  <c r="BG21" i="41"/>
  <c r="BK20" i="41"/>
  <c r="BJ20" i="41"/>
  <c r="BI20" i="41"/>
  <c r="BH20" i="41"/>
  <c r="BG20" i="41"/>
  <c r="BK19" i="41"/>
  <c r="BJ19" i="41"/>
  <c r="BI19" i="41"/>
  <c r="BH19" i="41"/>
  <c r="BG19" i="41"/>
  <c r="BK18" i="41"/>
  <c r="BJ18" i="41"/>
  <c r="BI18" i="41"/>
  <c r="BH18" i="41"/>
  <c r="BG18" i="41"/>
  <c r="BK17" i="41"/>
  <c r="BJ17" i="41"/>
  <c r="BI17" i="41"/>
  <c r="BH17" i="41"/>
  <c r="BG17" i="41"/>
  <c r="BK16" i="41"/>
  <c r="BJ16" i="41"/>
  <c r="BI16" i="41"/>
  <c r="BH16" i="41"/>
  <c r="BG16" i="41"/>
  <c r="BK15" i="41"/>
  <c r="BJ15" i="41"/>
  <c r="BI15" i="41"/>
  <c r="BH15" i="41"/>
  <c r="BG15" i="41"/>
  <c r="BK14" i="41"/>
  <c r="BJ14" i="41"/>
  <c r="BI14" i="41"/>
  <c r="BH14" i="41"/>
  <c r="BG14" i="41"/>
  <c r="BK13" i="41"/>
  <c r="BJ13" i="41"/>
  <c r="BI13" i="41"/>
  <c r="BH13" i="41"/>
  <c r="BG13" i="41"/>
  <c r="BK12" i="41"/>
  <c r="BJ12" i="41"/>
  <c r="BI12" i="41"/>
  <c r="BH12" i="41"/>
  <c r="BG12" i="41"/>
  <c r="BK11" i="41"/>
  <c r="BJ11" i="41"/>
  <c r="BI11" i="41"/>
  <c r="BH11" i="41"/>
  <c r="BG11" i="41"/>
  <c r="BK10" i="41"/>
  <c r="BJ10" i="41"/>
  <c r="BI10" i="41"/>
  <c r="BH10" i="41"/>
  <c r="BG10" i="41"/>
  <c r="BK9" i="41"/>
  <c r="BJ9" i="41"/>
  <c r="BI9" i="41"/>
  <c r="BH9" i="41"/>
  <c r="BG9" i="41"/>
  <c r="BK8" i="41"/>
  <c r="BJ8" i="41"/>
  <c r="BI8" i="41"/>
  <c r="BH8" i="41"/>
  <c r="BG8" i="41"/>
  <c r="BK7" i="41"/>
  <c r="BJ7" i="41"/>
  <c r="BI7" i="41"/>
  <c r="BH7" i="41"/>
  <c r="BG7" i="41"/>
  <c r="BK6" i="41"/>
  <c r="BJ6" i="41"/>
  <c r="BI6" i="41"/>
  <c r="BH6" i="41"/>
  <c r="BG6" i="41"/>
  <c r="BK5" i="41"/>
  <c r="BJ5" i="41"/>
  <c r="BI5" i="41"/>
  <c r="BH5" i="41"/>
  <c r="BG5" i="41"/>
  <c r="BF149" i="41"/>
  <c r="BE149" i="41"/>
  <c r="BD149" i="41"/>
  <c r="BC149" i="41"/>
  <c r="BB149" i="41"/>
  <c r="BF148" i="41"/>
  <c r="BE148" i="41"/>
  <c r="BD148" i="41"/>
  <c r="BC148" i="41"/>
  <c r="BB148" i="41"/>
  <c r="BF147" i="41"/>
  <c r="BE147" i="41"/>
  <c r="BD147" i="41"/>
  <c r="BC147" i="41"/>
  <c r="BB147" i="41"/>
  <c r="BF146" i="41"/>
  <c r="BE146" i="41"/>
  <c r="BD146" i="41"/>
  <c r="BC146" i="41"/>
  <c r="BB146" i="41"/>
  <c r="BF145" i="41"/>
  <c r="BE145" i="41"/>
  <c r="BD145" i="41"/>
  <c r="BC145" i="41"/>
  <c r="BB145" i="41"/>
  <c r="BF144" i="41"/>
  <c r="BE144" i="41"/>
  <c r="BD144" i="41"/>
  <c r="BC144" i="41"/>
  <c r="BB144" i="41"/>
  <c r="BF143" i="41"/>
  <c r="BE143" i="41"/>
  <c r="BD143" i="41"/>
  <c r="BC143" i="41"/>
  <c r="BB143" i="41"/>
  <c r="BF142" i="41"/>
  <c r="BE142" i="41"/>
  <c r="BD142" i="41"/>
  <c r="BC142" i="41"/>
  <c r="BB142" i="41"/>
  <c r="BF141" i="41"/>
  <c r="BE141" i="41"/>
  <c r="BD141" i="41"/>
  <c r="BC141" i="41"/>
  <c r="BB141" i="41"/>
  <c r="BF140" i="41"/>
  <c r="BE140" i="41"/>
  <c r="BD140" i="41"/>
  <c r="BC140" i="41"/>
  <c r="BB140" i="41"/>
  <c r="BF139" i="41"/>
  <c r="BE139" i="41"/>
  <c r="BD139" i="41"/>
  <c r="BC139" i="41"/>
  <c r="BB139" i="41"/>
  <c r="BF138" i="41"/>
  <c r="BE138" i="41"/>
  <c r="BD138" i="41"/>
  <c r="BC138" i="41"/>
  <c r="BB138" i="41"/>
  <c r="BF137" i="41"/>
  <c r="BE137" i="41"/>
  <c r="BD137" i="41"/>
  <c r="BC137" i="41"/>
  <c r="BB137" i="41"/>
  <c r="BF136" i="41"/>
  <c r="BE136" i="41"/>
  <c r="BD136" i="41"/>
  <c r="BC136" i="41"/>
  <c r="BB136" i="41"/>
  <c r="BF135" i="41"/>
  <c r="BE135" i="41"/>
  <c r="BD135" i="41"/>
  <c r="BC135" i="41"/>
  <c r="BB135" i="41"/>
  <c r="BF134" i="41"/>
  <c r="BE134" i="41"/>
  <c r="BD134" i="41"/>
  <c r="BC134" i="41"/>
  <c r="BB134" i="41"/>
  <c r="BF133" i="41"/>
  <c r="BE133" i="41"/>
  <c r="BD133" i="41"/>
  <c r="BC133" i="41"/>
  <c r="BB133" i="41"/>
  <c r="BF132" i="41"/>
  <c r="BE132" i="41"/>
  <c r="BD132" i="41"/>
  <c r="BC132" i="41"/>
  <c r="BB132" i="41"/>
  <c r="BF131" i="41"/>
  <c r="BE131" i="41"/>
  <c r="BD131" i="41"/>
  <c r="BC131" i="41"/>
  <c r="BB131" i="41"/>
  <c r="BF130" i="41"/>
  <c r="BE130" i="41"/>
  <c r="BD130" i="41"/>
  <c r="BC130" i="41"/>
  <c r="BB130" i="41"/>
  <c r="BF129" i="41"/>
  <c r="BE129" i="41"/>
  <c r="BD129" i="41"/>
  <c r="BC129" i="41"/>
  <c r="BB129" i="41"/>
  <c r="BF128" i="41"/>
  <c r="BE128" i="41"/>
  <c r="BD128" i="41"/>
  <c r="BC128" i="41"/>
  <c r="BB128" i="41"/>
  <c r="BF127" i="41"/>
  <c r="BE127" i="41"/>
  <c r="BD127" i="41"/>
  <c r="BC127" i="41"/>
  <c r="BB127" i="41"/>
  <c r="BF126" i="41"/>
  <c r="BE126" i="41"/>
  <c r="BD126" i="41"/>
  <c r="BC126" i="41"/>
  <c r="BB126" i="41"/>
  <c r="BF125" i="41"/>
  <c r="BE125" i="41"/>
  <c r="BD125" i="41"/>
  <c r="BC125" i="41"/>
  <c r="BB125" i="41"/>
  <c r="BF124" i="41"/>
  <c r="BE124" i="41"/>
  <c r="BD124" i="41"/>
  <c r="BC124" i="41"/>
  <c r="BB124" i="41"/>
  <c r="BF123" i="41"/>
  <c r="BE123" i="41"/>
  <c r="BD123" i="41"/>
  <c r="BC123" i="41"/>
  <c r="BB123" i="41"/>
  <c r="BF122" i="41"/>
  <c r="BE122" i="41"/>
  <c r="BD122" i="41"/>
  <c r="BC122" i="41"/>
  <c r="BB122" i="41"/>
  <c r="BF121" i="41"/>
  <c r="BE121" i="41"/>
  <c r="BD121" i="41"/>
  <c r="BC121" i="41"/>
  <c r="BB121" i="41"/>
  <c r="BF120" i="41"/>
  <c r="BE120" i="41"/>
  <c r="BD120" i="41"/>
  <c r="BC120" i="41"/>
  <c r="BB120" i="41"/>
  <c r="BF119" i="41"/>
  <c r="BE119" i="41"/>
  <c r="BD119" i="41"/>
  <c r="BC119" i="41"/>
  <c r="BB119" i="41"/>
  <c r="BF118" i="41"/>
  <c r="BE118" i="41"/>
  <c r="BD118" i="41"/>
  <c r="BC118" i="41"/>
  <c r="BB118" i="41"/>
  <c r="BF117" i="41"/>
  <c r="BE117" i="41"/>
  <c r="BD117" i="41"/>
  <c r="BC117" i="41"/>
  <c r="BB117" i="41"/>
  <c r="BF116" i="41"/>
  <c r="BE116" i="41"/>
  <c r="BD116" i="41"/>
  <c r="BC116" i="41"/>
  <c r="BB116" i="41"/>
  <c r="BF115" i="41"/>
  <c r="BE115" i="41"/>
  <c r="BD115" i="41"/>
  <c r="BC115" i="41"/>
  <c r="BB115" i="41"/>
  <c r="BF114" i="41"/>
  <c r="BE114" i="41"/>
  <c r="BD114" i="41"/>
  <c r="BC114" i="41"/>
  <c r="BB114" i="41"/>
  <c r="BF113" i="41"/>
  <c r="BE113" i="41"/>
  <c r="BD113" i="41"/>
  <c r="BC113" i="41"/>
  <c r="BB113" i="41"/>
  <c r="BF112" i="41"/>
  <c r="BE112" i="41"/>
  <c r="BD112" i="41"/>
  <c r="BC112" i="41"/>
  <c r="BB112" i="41"/>
  <c r="BF111" i="41"/>
  <c r="BE111" i="41"/>
  <c r="BD111" i="41"/>
  <c r="BC111" i="41"/>
  <c r="BB111" i="41"/>
  <c r="BF110" i="41"/>
  <c r="BE110" i="41"/>
  <c r="BD110" i="41"/>
  <c r="BC110" i="41"/>
  <c r="BB110" i="41"/>
  <c r="BF109" i="41"/>
  <c r="BE109" i="41"/>
  <c r="BD109" i="41"/>
  <c r="BC109" i="41"/>
  <c r="BB109" i="41"/>
  <c r="BF108" i="41"/>
  <c r="BE108" i="41"/>
  <c r="BD108" i="41"/>
  <c r="BC108" i="41"/>
  <c r="BB108" i="41"/>
  <c r="BF107" i="41"/>
  <c r="BE107" i="41"/>
  <c r="BD107" i="41"/>
  <c r="BC107" i="41"/>
  <c r="BB107" i="41"/>
  <c r="BF106" i="41"/>
  <c r="BE106" i="41"/>
  <c r="BD106" i="41"/>
  <c r="BC106" i="41"/>
  <c r="BB106" i="41"/>
  <c r="BF105" i="41"/>
  <c r="BE105" i="41"/>
  <c r="BD105" i="41"/>
  <c r="BC105" i="41"/>
  <c r="BB105" i="41"/>
  <c r="BF104" i="41"/>
  <c r="BE104" i="41"/>
  <c r="BD104" i="41"/>
  <c r="BC104" i="41"/>
  <c r="BB104" i="41"/>
  <c r="BF103" i="41"/>
  <c r="BE103" i="41"/>
  <c r="BD103" i="41"/>
  <c r="BC103" i="41"/>
  <c r="BB103" i="41"/>
  <c r="BF102" i="41"/>
  <c r="BE102" i="41"/>
  <c r="BD102" i="41"/>
  <c r="BC102" i="41"/>
  <c r="BB102" i="41"/>
  <c r="BF101" i="41"/>
  <c r="BE101" i="41"/>
  <c r="BD101" i="41"/>
  <c r="BC101" i="41"/>
  <c r="BB101" i="41"/>
  <c r="BF100" i="41"/>
  <c r="BE100" i="41"/>
  <c r="BD100" i="41"/>
  <c r="BC100" i="41"/>
  <c r="BB100" i="41"/>
  <c r="BF99" i="41"/>
  <c r="BE99" i="41"/>
  <c r="BD99" i="41"/>
  <c r="BC99" i="41"/>
  <c r="BB99" i="41"/>
  <c r="BF98" i="41"/>
  <c r="BE98" i="41"/>
  <c r="BD98" i="41"/>
  <c r="BC98" i="41"/>
  <c r="BB98" i="41"/>
  <c r="BF97" i="41"/>
  <c r="BE97" i="41"/>
  <c r="BD97" i="41"/>
  <c r="BC97" i="41"/>
  <c r="BB97" i="41"/>
  <c r="BF96" i="41"/>
  <c r="BE96" i="41"/>
  <c r="BD96" i="41"/>
  <c r="BC96" i="41"/>
  <c r="BB96" i="41"/>
  <c r="BF95" i="41"/>
  <c r="BE95" i="41"/>
  <c r="BD95" i="41"/>
  <c r="BC95" i="41"/>
  <c r="BB95" i="41"/>
  <c r="BF94" i="41"/>
  <c r="BE94" i="41"/>
  <c r="BD94" i="41"/>
  <c r="BC94" i="41"/>
  <c r="BB94" i="41"/>
  <c r="BF93" i="41"/>
  <c r="BE93" i="41"/>
  <c r="BD93" i="41"/>
  <c r="BC93" i="41"/>
  <c r="BB93" i="41"/>
  <c r="BF92" i="41"/>
  <c r="BE92" i="41"/>
  <c r="BD92" i="41"/>
  <c r="BC92" i="41"/>
  <c r="BB92" i="41"/>
  <c r="BF91" i="41"/>
  <c r="BE91" i="41"/>
  <c r="BD91" i="41"/>
  <c r="BC91" i="41"/>
  <c r="BB91" i="41"/>
  <c r="BF90" i="41"/>
  <c r="BE90" i="41"/>
  <c r="BD90" i="41"/>
  <c r="BC90" i="41"/>
  <c r="BB90" i="41"/>
  <c r="BF89" i="41"/>
  <c r="BE89" i="41"/>
  <c r="BD89" i="41"/>
  <c r="BC89" i="41"/>
  <c r="BB89" i="41"/>
  <c r="BF88" i="41"/>
  <c r="BE88" i="41"/>
  <c r="BD88" i="41"/>
  <c r="BC88" i="41"/>
  <c r="BB88" i="41"/>
  <c r="BF87" i="41"/>
  <c r="BE87" i="41"/>
  <c r="BD87" i="41"/>
  <c r="BC87" i="41"/>
  <c r="BB87" i="41"/>
  <c r="BF86" i="41"/>
  <c r="BE86" i="41"/>
  <c r="BD86" i="41"/>
  <c r="BC86" i="41"/>
  <c r="BB86" i="41"/>
  <c r="BF85" i="41"/>
  <c r="BE85" i="41"/>
  <c r="BD85" i="41"/>
  <c r="BC85" i="41"/>
  <c r="BB85" i="41"/>
  <c r="BF84" i="41"/>
  <c r="BE84" i="41"/>
  <c r="BD84" i="41"/>
  <c r="BC84" i="41"/>
  <c r="BB84" i="41"/>
  <c r="BF83" i="41"/>
  <c r="BE83" i="41"/>
  <c r="BD83" i="41"/>
  <c r="BC83" i="41"/>
  <c r="BB83" i="41"/>
  <c r="BF82" i="41"/>
  <c r="BE82" i="41"/>
  <c r="BD82" i="41"/>
  <c r="BC82" i="41"/>
  <c r="BB82" i="41"/>
  <c r="BF81" i="41"/>
  <c r="BE81" i="41"/>
  <c r="BD81" i="41"/>
  <c r="BC81" i="41"/>
  <c r="BB81" i="41"/>
  <c r="BF80" i="41"/>
  <c r="BE80" i="41"/>
  <c r="BD80" i="41"/>
  <c r="BC80" i="41"/>
  <c r="BB80" i="41"/>
  <c r="BF79" i="41"/>
  <c r="BE79" i="41"/>
  <c r="BD79" i="41"/>
  <c r="BC79" i="41"/>
  <c r="BB79" i="41"/>
  <c r="BF78" i="41"/>
  <c r="BE78" i="41"/>
  <c r="BD78" i="41"/>
  <c r="BC78" i="41"/>
  <c r="BB78" i="41"/>
  <c r="BF77" i="41"/>
  <c r="BE77" i="41"/>
  <c r="BD77" i="41"/>
  <c r="BC77" i="41"/>
  <c r="BB77" i="41"/>
  <c r="BF76" i="41"/>
  <c r="BE76" i="41"/>
  <c r="BD76" i="41"/>
  <c r="BC76" i="41"/>
  <c r="BB76" i="41"/>
  <c r="BF75" i="41"/>
  <c r="BE75" i="41"/>
  <c r="BD75" i="41"/>
  <c r="BC75" i="41"/>
  <c r="BB75" i="41"/>
  <c r="BF74" i="41"/>
  <c r="BE74" i="41"/>
  <c r="BD74" i="41"/>
  <c r="BC74" i="41"/>
  <c r="BB74" i="41"/>
  <c r="BF73" i="41"/>
  <c r="BE73" i="41"/>
  <c r="BD73" i="41"/>
  <c r="BC73" i="41"/>
  <c r="BB73" i="41"/>
  <c r="BF72" i="41"/>
  <c r="BE72" i="41"/>
  <c r="BD72" i="41"/>
  <c r="BC72" i="41"/>
  <c r="BB72" i="41"/>
  <c r="BF71" i="41"/>
  <c r="BE71" i="41"/>
  <c r="BD71" i="41"/>
  <c r="BC71" i="41"/>
  <c r="BB71" i="41"/>
  <c r="BF70" i="41"/>
  <c r="BE70" i="41"/>
  <c r="BD70" i="41"/>
  <c r="BC70" i="41"/>
  <c r="BB70" i="41"/>
  <c r="BF69" i="41"/>
  <c r="BE69" i="41"/>
  <c r="BD69" i="41"/>
  <c r="BC69" i="41"/>
  <c r="BB69" i="41"/>
  <c r="BF68" i="41"/>
  <c r="BE68" i="41"/>
  <c r="BD68" i="41"/>
  <c r="BC68" i="41"/>
  <c r="BB68" i="41"/>
  <c r="BF67" i="41"/>
  <c r="BE67" i="41"/>
  <c r="BD67" i="41"/>
  <c r="BC67" i="41"/>
  <c r="BB67" i="41"/>
  <c r="BF66" i="41"/>
  <c r="BE66" i="41"/>
  <c r="BD66" i="41"/>
  <c r="BC66" i="41"/>
  <c r="BB66" i="41"/>
  <c r="BF65" i="41"/>
  <c r="BE65" i="41"/>
  <c r="BD65" i="41"/>
  <c r="BC65" i="41"/>
  <c r="BB65" i="41"/>
  <c r="BF64" i="41"/>
  <c r="BE64" i="41"/>
  <c r="BD64" i="41"/>
  <c r="BC64" i="41"/>
  <c r="BB64" i="41"/>
  <c r="BF63" i="41"/>
  <c r="BE63" i="41"/>
  <c r="BD63" i="41"/>
  <c r="BC63" i="41"/>
  <c r="BB63" i="41"/>
  <c r="BF62" i="41"/>
  <c r="BE62" i="41"/>
  <c r="BD62" i="41"/>
  <c r="BC62" i="41"/>
  <c r="BB62" i="41"/>
  <c r="BF61" i="41"/>
  <c r="BE61" i="41"/>
  <c r="BD61" i="41"/>
  <c r="BC61" i="41"/>
  <c r="BB61" i="41"/>
  <c r="BF60" i="41"/>
  <c r="BE60" i="41"/>
  <c r="BD60" i="41"/>
  <c r="BC60" i="41"/>
  <c r="BB60" i="41"/>
  <c r="BF59" i="41"/>
  <c r="BE59" i="41"/>
  <c r="BD59" i="41"/>
  <c r="BC59" i="41"/>
  <c r="BB59" i="41"/>
  <c r="BF58" i="41"/>
  <c r="BE58" i="41"/>
  <c r="BD58" i="41"/>
  <c r="BC58" i="41"/>
  <c r="BB58" i="41"/>
  <c r="BF57" i="41"/>
  <c r="BE57" i="41"/>
  <c r="BD57" i="41"/>
  <c r="BC57" i="41"/>
  <c r="BB57" i="41"/>
  <c r="BF56" i="41"/>
  <c r="BE56" i="41"/>
  <c r="BD56" i="41"/>
  <c r="BC56" i="41"/>
  <c r="BB56" i="41"/>
  <c r="BF55" i="41"/>
  <c r="BE55" i="41"/>
  <c r="BD55" i="41"/>
  <c r="BC55" i="41"/>
  <c r="BB55" i="41"/>
  <c r="BF54" i="41"/>
  <c r="BE54" i="41"/>
  <c r="BD54" i="41"/>
  <c r="BC54" i="41"/>
  <c r="BB54" i="41"/>
  <c r="BF53" i="41"/>
  <c r="BE53" i="41"/>
  <c r="BD53" i="41"/>
  <c r="BC53" i="41"/>
  <c r="BB53" i="41"/>
  <c r="BF52" i="41"/>
  <c r="BE52" i="41"/>
  <c r="BD52" i="41"/>
  <c r="BC52" i="41"/>
  <c r="BB52" i="41"/>
  <c r="BF51" i="41"/>
  <c r="BE51" i="41"/>
  <c r="BD51" i="41"/>
  <c r="BC51" i="41"/>
  <c r="BB51" i="41"/>
  <c r="BF50" i="41"/>
  <c r="BE50" i="41"/>
  <c r="BD50" i="41"/>
  <c r="BC50" i="41"/>
  <c r="BB50" i="41"/>
  <c r="BF49" i="41"/>
  <c r="BE49" i="41"/>
  <c r="BD49" i="41"/>
  <c r="BC49" i="41"/>
  <c r="BB49" i="41"/>
  <c r="BF48" i="41"/>
  <c r="BE48" i="41"/>
  <c r="BD48" i="41"/>
  <c r="BC48" i="41"/>
  <c r="BB48" i="41"/>
  <c r="BF47" i="41"/>
  <c r="BE47" i="41"/>
  <c r="BD47" i="41"/>
  <c r="BC47" i="41"/>
  <c r="BB47" i="41"/>
  <c r="BF46" i="41"/>
  <c r="BE46" i="41"/>
  <c r="BD46" i="41"/>
  <c r="BC46" i="41"/>
  <c r="BB46" i="41"/>
  <c r="BF45" i="41"/>
  <c r="BE45" i="41"/>
  <c r="BD45" i="41"/>
  <c r="BC45" i="41"/>
  <c r="BB45" i="41"/>
  <c r="BF44" i="41"/>
  <c r="BE44" i="41"/>
  <c r="BD44" i="41"/>
  <c r="BC44" i="41"/>
  <c r="BB44" i="41"/>
  <c r="BF43" i="41"/>
  <c r="BE43" i="41"/>
  <c r="BD43" i="41"/>
  <c r="BC43" i="41"/>
  <c r="BB43" i="41"/>
  <c r="BF42" i="41"/>
  <c r="BE42" i="41"/>
  <c r="BD42" i="41"/>
  <c r="BC42" i="41"/>
  <c r="BB42" i="41"/>
  <c r="BF41" i="41"/>
  <c r="BE41" i="41"/>
  <c r="BD41" i="41"/>
  <c r="BC41" i="41"/>
  <c r="BB41" i="41"/>
  <c r="BF40" i="41"/>
  <c r="BE40" i="41"/>
  <c r="BD40" i="41"/>
  <c r="BC40" i="41"/>
  <c r="BB40" i="41"/>
  <c r="BF39" i="41"/>
  <c r="BE39" i="41"/>
  <c r="BD39" i="41"/>
  <c r="BC39" i="41"/>
  <c r="BB39" i="41"/>
  <c r="BF38" i="41"/>
  <c r="BE38" i="41"/>
  <c r="BD38" i="41"/>
  <c r="BC38" i="41"/>
  <c r="BB38" i="41"/>
  <c r="BF37" i="41"/>
  <c r="BE37" i="41"/>
  <c r="BD37" i="41"/>
  <c r="BC37" i="41"/>
  <c r="BB37" i="41"/>
  <c r="BF36" i="41"/>
  <c r="BE36" i="41"/>
  <c r="BD36" i="41"/>
  <c r="BC36" i="41"/>
  <c r="BB36" i="41"/>
  <c r="BF35" i="41"/>
  <c r="BE35" i="41"/>
  <c r="BD35" i="41"/>
  <c r="BC35" i="41"/>
  <c r="BB35" i="41"/>
  <c r="BF34" i="41"/>
  <c r="BE34" i="41"/>
  <c r="BD34" i="41"/>
  <c r="BC34" i="41"/>
  <c r="BB34" i="41"/>
  <c r="BF33" i="41"/>
  <c r="BE33" i="41"/>
  <c r="BD33" i="41"/>
  <c r="BC33" i="41"/>
  <c r="BB33" i="41"/>
  <c r="BF32" i="41"/>
  <c r="BE32" i="41"/>
  <c r="BD32" i="41"/>
  <c r="BC32" i="41"/>
  <c r="BB32" i="41"/>
  <c r="BF31" i="41"/>
  <c r="BE31" i="41"/>
  <c r="BD31" i="41"/>
  <c r="BC31" i="41"/>
  <c r="BB31" i="41"/>
  <c r="BF30" i="41"/>
  <c r="BE30" i="41"/>
  <c r="BD30" i="41"/>
  <c r="BC30" i="41"/>
  <c r="BB30" i="41"/>
  <c r="BF29" i="41"/>
  <c r="BE29" i="41"/>
  <c r="BD29" i="41"/>
  <c r="BC29" i="41"/>
  <c r="BB29" i="41"/>
  <c r="BF28" i="41"/>
  <c r="BE28" i="41"/>
  <c r="BD28" i="41"/>
  <c r="BC28" i="41"/>
  <c r="BB28" i="41"/>
  <c r="BF27" i="41"/>
  <c r="BE27" i="41"/>
  <c r="BD27" i="41"/>
  <c r="BC27" i="41"/>
  <c r="BB27" i="41"/>
  <c r="BF26" i="41"/>
  <c r="BE26" i="41"/>
  <c r="BD26" i="41"/>
  <c r="BC26" i="41"/>
  <c r="BB26" i="41"/>
  <c r="BF25" i="41"/>
  <c r="BE25" i="41"/>
  <c r="BD25" i="41"/>
  <c r="BC25" i="41"/>
  <c r="BB25" i="41"/>
  <c r="BF24" i="41"/>
  <c r="BE24" i="41"/>
  <c r="BD24" i="41"/>
  <c r="BC24" i="41"/>
  <c r="BB24" i="41"/>
  <c r="BF23" i="41"/>
  <c r="BE23" i="41"/>
  <c r="BD23" i="41"/>
  <c r="BC23" i="41"/>
  <c r="BB23" i="41"/>
  <c r="BF22" i="41"/>
  <c r="BE22" i="41"/>
  <c r="BD22" i="41"/>
  <c r="BC22" i="41"/>
  <c r="BB22" i="41"/>
  <c r="BF21" i="41"/>
  <c r="BE21" i="41"/>
  <c r="BD21" i="41"/>
  <c r="BC21" i="41"/>
  <c r="BB21" i="41"/>
  <c r="BF20" i="41"/>
  <c r="BE20" i="41"/>
  <c r="BD20" i="41"/>
  <c r="BC20" i="41"/>
  <c r="BB20" i="41"/>
  <c r="BF19" i="41"/>
  <c r="BE19" i="41"/>
  <c r="BD19" i="41"/>
  <c r="BC19" i="41"/>
  <c r="BB19" i="41"/>
  <c r="BF18" i="41"/>
  <c r="BE18" i="41"/>
  <c r="BD18" i="41"/>
  <c r="BC18" i="41"/>
  <c r="BB18" i="41"/>
  <c r="BF17" i="41"/>
  <c r="BE17" i="41"/>
  <c r="BD17" i="41"/>
  <c r="BC17" i="41"/>
  <c r="BB17" i="41"/>
  <c r="BF16" i="41"/>
  <c r="BE16" i="41"/>
  <c r="BD16" i="41"/>
  <c r="BC16" i="41"/>
  <c r="BB16" i="41"/>
  <c r="BF15" i="41"/>
  <c r="BE15" i="41"/>
  <c r="BD15" i="41"/>
  <c r="BC15" i="41"/>
  <c r="BB15" i="41"/>
  <c r="BF14" i="41"/>
  <c r="BE14" i="41"/>
  <c r="BD14" i="41"/>
  <c r="BC14" i="41"/>
  <c r="BB14" i="41"/>
  <c r="BF13" i="41"/>
  <c r="BE13" i="41"/>
  <c r="BD13" i="41"/>
  <c r="BC13" i="41"/>
  <c r="BB13" i="41"/>
  <c r="BF12" i="41"/>
  <c r="BE12" i="41"/>
  <c r="BD12" i="41"/>
  <c r="BC12" i="41"/>
  <c r="BB12" i="41"/>
  <c r="BF11" i="41"/>
  <c r="BE11" i="41"/>
  <c r="BD11" i="41"/>
  <c r="BC11" i="41"/>
  <c r="BB11" i="41"/>
  <c r="BF10" i="41"/>
  <c r="BE10" i="41"/>
  <c r="BD10" i="41"/>
  <c r="BC10" i="41"/>
  <c r="BB10" i="41"/>
  <c r="BF9" i="41"/>
  <c r="BE9" i="41"/>
  <c r="BD9" i="41"/>
  <c r="BC9" i="41"/>
  <c r="BB9" i="41"/>
  <c r="BF8" i="41"/>
  <c r="BE8" i="41"/>
  <c r="BD8" i="41"/>
  <c r="BC8" i="41"/>
  <c r="BB8" i="41"/>
  <c r="BF7" i="41"/>
  <c r="BE7" i="41"/>
  <c r="BD7" i="41"/>
  <c r="BC7" i="41"/>
  <c r="BB7" i="41"/>
  <c r="BF6" i="41"/>
  <c r="BE6" i="41"/>
  <c r="BD6" i="41"/>
  <c r="BC6" i="41"/>
  <c r="BB6" i="41"/>
  <c r="BF5" i="41"/>
  <c r="BE5" i="41"/>
  <c r="BD5" i="41"/>
  <c r="BC5" i="41"/>
  <c r="BB5" i="41"/>
  <c r="BA149" i="41"/>
  <c r="AZ149" i="41"/>
  <c r="AY149" i="41"/>
  <c r="AX149" i="41"/>
  <c r="AW149" i="41"/>
  <c r="BA148" i="41"/>
  <c r="AZ148" i="41"/>
  <c r="AY148" i="41"/>
  <c r="AX148" i="41"/>
  <c r="AW148" i="41"/>
  <c r="BA147" i="41"/>
  <c r="AZ147" i="41"/>
  <c r="AY147" i="41"/>
  <c r="AX147" i="41"/>
  <c r="AW147" i="41"/>
  <c r="BA146" i="41"/>
  <c r="AZ146" i="41"/>
  <c r="AY146" i="41"/>
  <c r="AX146" i="41"/>
  <c r="AW146" i="41"/>
  <c r="BA145" i="41"/>
  <c r="AZ145" i="41"/>
  <c r="AY145" i="41"/>
  <c r="AX145" i="41"/>
  <c r="AW145" i="41"/>
  <c r="BA144" i="41"/>
  <c r="AZ144" i="41"/>
  <c r="AY144" i="41"/>
  <c r="AX144" i="41"/>
  <c r="AW144" i="41"/>
  <c r="BA143" i="41"/>
  <c r="AZ143" i="41"/>
  <c r="AY143" i="41"/>
  <c r="AX143" i="41"/>
  <c r="AW143" i="41"/>
  <c r="BA142" i="41"/>
  <c r="AZ142" i="41"/>
  <c r="AY142" i="41"/>
  <c r="AX142" i="41"/>
  <c r="AW142" i="41"/>
  <c r="BA141" i="41"/>
  <c r="AZ141" i="41"/>
  <c r="AY141" i="41"/>
  <c r="AX141" i="41"/>
  <c r="AW141" i="41"/>
  <c r="BA140" i="41"/>
  <c r="AZ140" i="41"/>
  <c r="AY140" i="41"/>
  <c r="AX140" i="41"/>
  <c r="AW140" i="41"/>
  <c r="BA139" i="41"/>
  <c r="AZ139" i="41"/>
  <c r="AY139" i="41"/>
  <c r="AX139" i="41"/>
  <c r="AW139" i="41"/>
  <c r="BA138" i="41"/>
  <c r="AZ138" i="41"/>
  <c r="AY138" i="41"/>
  <c r="AX138" i="41"/>
  <c r="AW138" i="41"/>
  <c r="BA137" i="41"/>
  <c r="AZ137" i="41"/>
  <c r="AY137" i="41"/>
  <c r="AX137" i="41"/>
  <c r="AW137" i="41"/>
  <c r="BA136" i="41"/>
  <c r="AZ136" i="41"/>
  <c r="AY136" i="41"/>
  <c r="AX136" i="41"/>
  <c r="AW136" i="41"/>
  <c r="BA135" i="41"/>
  <c r="AZ135" i="41"/>
  <c r="AY135" i="41"/>
  <c r="AX135" i="41"/>
  <c r="AW135" i="41"/>
  <c r="BA134" i="41"/>
  <c r="AZ134" i="41"/>
  <c r="AY134" i="41"/>
  <c r="AX134" i="41"/>
  <c r="AW134" i="41"/>
  <c r="BA133" i="41"/>
  <c r="AZ133" i="41"/>
  <c r="AY133" i="41"/>
  <c r="AX133" i="41"/>
  <c r="AW133" i="41"/>
  <c r="BA132" i="41"/>
  <c r="AZ132" i="41"/>
  <c r="AY132" i="41"/>
  <c r="AX132" i="41"/>
  <c r="AW132" i="41"/>
  <c r="BA131" i="41"/>
  <c r="AZ131" i="41"/>
  <c r="AY131" i="41"/>
  <c r="AX131" i="41"/>
  <c r="AW131" i="41"/>
  <c r="BA130" i="41"/>
  <c r="AZ130" i="41"/>
  <c r="AY130" i="41"/>
  <c r="AX130" i="41"/>
  <c r="AW130" i="41"/>
  <c r="BA129" i="41"/>
  <c r="AZ129" i="41"/>
  <c r="AY129" i="41"/>
  <c r="AX129" i="41"/>
  <c r="AW129" i="41"/>
  <c r="BA128" i="41"/>
  <c r="AZ128" i="41"/>
  <c r="AY128" i="41"/>
  <c r="AX128" i="41"/>
  <c r="AW128" i="41"/>
  <c r="BA127" i="41"/>
  <c r="AZ127" i="41"/>
  <c r="AY127" i="41"/>
  <c r="AX127" i="41"/>
  <c r="AW127" i="41"/>
  <c r="BA126" i="41"/>
  <c r="AZ126" i="41"/>
  <c r="AY126" i="41"/>
  <c r="AX126" i="41"/>
  <c r="AW126" i="41"/>
  <c r="BA125" i="41"/>
  <c r="AZ125" i="41"/>
  <c r="AY125" i="41"/>
  <c r="AX125" i="41"/>
  <c r="AW125" i="41"/>
  <c r="BA124" i="41"/>
  <c r="AZ124" i="41"/>
  <c r="AY124" i="41"/>
  <c r="AX124" i="41"/>
  <c r="AW124" i="41"/>
  <c r="BA123" i="41"/>
  <c r="AZ123" i="41"/>
  <c r="AY123" i="41"/>
  <c r="AX123" i="41"/>
  <c r="AW123" i="41"/>
  <c r="BA122" i="41"/>
  <c r="AZ122" i="41"/>
  <c r="AY122" i="41"/>
  <c r="AX122" i="41"/>
  <c r="AW122" i="41"/>
  <c r="BA121" i="41"/>
  <c r="AZ121" i="41"/>
  <c r="AY121" i="41"/>
  <c r="AX121" i="41"/>
  <c r="AW121" i="41"/>
  <c r="BA120" i="41"/>
  <c r="AZ120" i="41"/>
  <c r="AY120" i="41"/>
  <c r="AX120" i="41"/>
  <c r="AW120" i="41"/>
  <c r="BA119" i="41"/>
  <c r="AZ119" i="41"/>
  <c r="AY119" i="41"/>
  <c r="AX119" i="41"/>
  <c r="AW119" i="41"/>
  <c r="BA118" i="41"/>
  <c r="AZ118" i="41"/>
  <c r="AY118" i="41"/>
  <c r="AX118" i="41"/>
  <c r="AW118" i="41"/>
  <c r="BA117" i="41"/>
  <c r="AZ117" i="41"/>
  <c r="AY117" i="41"/>
  <c r="AX117" i="41"/>
  <c r="AW117" i="41"/>
  <c r="BA116" i="41"/>
  <c r="AZ116" i="41"/>
  <c r="AY116" i="41"/>
  <c r="AX116" i="41"/>
  <c r="AW116" i="41"/>
  <c r="BA115" i="41"/>
  <c r="AZ115" i="41"/>
  <c r="AY115" i="41"/>
  <c r="AX115" i="41"/>
  <c r="AW115" i="41"/>
  <c r="BA114" i="41"/>
  <c r="AZ114" i="41"/>
  <c r="AY114" i="41"/>
  <c r="AX114" i="41"/>
  <c r="AW114" i="41"/>
  <c r="BA113" i="41"/>
  <c r="AZ113" i="41"/>
  <c r="AY113" i="41"/>
  <c r="AX113" i="41"/>
  <c r="AW113" i="41"/>
  <c r="BA112" i="41"/>
  <c r="AZ112" i="41"/>
  <c r="AY112" i="41"/>
  <c r="AX112" i="41"/>
  <c r="AW112" i="41"/>
  <c r="BA111" i="41"/>
  <c r="AZ111" i="41"/>
  <c r="AY111" i="41"/>
  <c r="AX111" i="41"/>
  <c r="AW111" i="41"/>
  <c r="BA110" i="41"/>
  <c r="AZ110" i="41"/>
  <c r="AY110" i="41"/>
  <c r="AX110" i="41"/>
  <c r="AW110" i="41"/>
  <c r="BA109" i="41"/>
  <c r="AZ109" i="41"/>
  <c r="AY109" i="41"/>
  <c r="AX109" i="41"/>
  <c r="AW109" i="41"/>
  <c r="BA108" i="41"/>
  <c r="AZ108" i="41"/>
  <c r="AY108" i="41"/>
  <c r="AX108" i="41"/>
  <c r="AW108" i="41"/>
  <c r="BA107" i="41"/>
  <c r="AZ107" i="41"/>
  <c r="AY107" i="41"/>
  <c r="AX107" i="41"/>
  <c r="AW107" i="41"/>
  <c r="BA106" i="41"/>
  <c r="AZ106" i="41"/>
  <c r="AY106" i="41"/>
  <c r="AX106" i="41"/>
  <c r="AW106" i="41"/>
  <c r="BA105" i="41"/>
  <c r="AZ105" i="41"/>
  <c r="AY105" i="41"/>
  <c r="AX105" i="41"/>
  <c r="AW105" i="41"/>
  <c r="BA104" i="41"/>
  <c r="AZ104" i="41"/>
  <c r="AY104" i="41"/>
  <c r="AX104" i="41"/>
  <c r="AW104" i="41"/>
  <c r="BA103" i="41"/>
  <c r="AZ103" i="41"/>
  <c r="AY103" i="41"/>
  <c r="AX103" i="41"/>
  <c r="AW103" i="41"/>
  <c r="BA102" i="41"/>
  <c r="AZ102" i="41"/>
  <c r="AY102" i="41"/>
  <c r="AX102" i="41"/>
  <c r="AW102" i="41"/>
  <c r="BA101" i="41"/>
  <c r="AZ101" i="41"/>
  <c r="AY101" i="41"/>
  <c r="AX101" i="41"/>
  <c r="AW101" i="41"/>
  <c r="BA100" i="41"/>
  <c r="AZ100" i="41"/>
  <c r="AY100" i="41"/>
  <c r="AX100" i="41"/>
  <c r="AW100" i="41"/>
  <c r="BA99" i="41"/>
  <c r="AZ99" i="41"/>
  <c r="AY99" i="41"/>
  <c r="AX99" i="41"/>
  <c r="AW99" i="41"/>
  <c r="BA98" i="41"/>
  <c r="AZ98" i="41"/>
  <c r="AY98" i="41"/>
  <c r="AX98" i="41"/>
  <c r="AW98" i="41"/>
  <c r="BA97" i="41"/>
  <c r="AZ97" i="41"/>
  <c r="AY97" i="41"/>
  <c r="AX97" i="41"/>
  <c r="AW97" i="41"/>
  <c r="BA96" i="41"/>
  <c r="AZ96" i="41"/>
  <c r="AY96" i="41"/>
  <c r="AX96" i="41"/>
  <c r="AW96" i="41"/>
  <c r="BA95" i="41"/>
  <c r="AZ95" i="41"/>
  <c r="AY95" i="41"/>
  <c r="AX95" i="41"/>
  <c r="AW95" i="41"/>
  <c r="BA94" i="41"/>
  <c r="AZ94" i="41"/>
  <c r="AY94" i="41"/>
  <c r="AX94" i="41"/>
  <c r="AW94" i="41"/>
  <c r="BA93" i="41"/>
  <c r="AZ93" i="41"/>
  <c r="AY93" i="41"/>
  <c r="AX93" i="41"/>
  <c r="AW93" i="41"/>
  <c r="BA92" i="41"/>
  <c r="AZ92" i="41"/>
  <c r="AY92" i="41"/>
  <c r="AX92" i="41"/>
  <c r="AW92" i="41"/>
  <c r="BA91" i="41"/>
  <c r="AZ91" i="41"/>
  <c r="AY91" i="41"/>
  <c r="AX91" i="41"/>
  <c r="AW91" i="41"/>
  <c r="BA90" i="41"/>
  <c r="AZ90" i="41"/>
  <c r="AY90" i="41"/>
  <c r="AX90" i="41"/>
  <c r="AW90" i="41"/>
  <c r="BA89" i="41"/>
  <c r="AZ89" i="41"/>
  <c r="AY89" i="41"/>
  <c r="AX89" i="41"/>
  <c r="AW89" i="41"/>
  <c r="BA88" i="41"/>
  <c r="AZ88" i="41"/>
  <c r="AY88" i="41"/>
  <c r="AX88" i="41"/>
  <c r="AW88" i="41"/>
  <c r="BA87" i="41"/>
  <c r="AZ87" i="41"/>
  <c r="AY87" i="41"/>
  <c r="AX87" i="41"/>
  <c r="AW87" i="41"/>
  <c r="BA86" i="41"/>
  <c r="AZ86" i="41"/>
  <c r="AY86" i="41"/>
  <c r="AX86" i="41"/>
  <c r="AW86" i="41"/>
  <c r="BA85" i="41"/>
  <c r="AZ85" i="41"/>
  <c r="AY85" i="41"/>
  <c r="AX85" i="41"/>
  <c r="AW85" i="41"/>
  <c r="BA84" i="41"/>
  <c r="AZ84" i="41"/>
  <c r="AY84" i="41"/>
  <c r="AX84" i="41"/>
  <c r="AW84" i="41"/>
  <c r="BA83" i="41"/>
  <c r="AZ83" i="41"/>
  <c r="AY83" i="41"/>
  <c r="AX83" i="41"/>
  <c r="AW83" i="41"/>
  <c r="BA82" i="41"/>
  <c r="AZ82" i="41"/>
  <c r="AY82" i="41"/>
  <c r="AX82" i="41"/>
  <c r="AW82" i="41"/>
  <c r="BA81" i="41"/>
  <c r="AZ81" i="41"/>
  <c r="AY81" i="41"/>
  <c r="AX81" i="41"/>
  <c r="AW81" i="41"/>
  <c r="BA80" i="41"/>
  <c r="AZ80" i="41"/>
  <c r="AY80" i="41"/>
  <c r="AX80" i="41"/>
  <c r="AW80" i="41"/>
  <c r="BA79" i="41"/>
  <c r="AZ79" i="41"/>
  <c r="AY79" i="41"/>
  <c r="AX79" i="41"/>
  <c r="AW79" i="41"/>
  <c r="BA78" i="41"/>
  <c r="AZ78" i="41"/>
  <c r="AY78" i="41"/>
  <c r="AX78" i="41"/>
  <c r="AW78" i="41"/>
  <c r="BA77" i="41"/>
  <c r="AZ77" i="41"/>
  <c r="AY77" i="41"/>
  <c r="AX77" i="41"/>
  <c r="AW77" i="41"/>
  <c r="BA76" i="41"/>
  <c r="AZ76" i="41"/>
  <c r="AY76" i="41"/>
  <c r="AX76" i="41"/>
  <c r="AW76" i="41"/>
  <c r="BA75" i="41"/>
  <c r="AZ75" i="41"/>
  <c r="AY75" i="41"/>
  <c r="AX75" i="41"/>
  <c r="AW75" i="41"/>
  <c r="BA74" i="41"/>
  <c r="AZ74" i="41"/>
  <c r="AY74" i="41"/>
  <c r="AX74" i="41"/>
  <c r="AW74" i="41"/>
  <c r="BA73" i="41"/>
  <c r="AZ73" i="41"/>
  <c r="AY73" i="41"/>
  <c r="AX73" i="41"/>
  <c r="AW73" i="41"/>
  <c r="BA72" i="41"/>
  <c r="AZ72" i="41"/>
  <c r="AY72" i="41"/>
  <c r="AX72" i="41"/>
  <c r="AW72" i="41"/>
  <c r="BA71" i="41"/>
  <c r="AZ71" i="41"/>
  <c r="AY71" i="41"/>
  <c r="AX71" i="41"/>
  <c r="AW71" i="41"/>
  <c r="BA70" i="41"/>
  <c r="AZ70" i="41"/>
  <c r="AY70" i="41"/>
  <c r="AX70" i="41"/>
  <c r="AW70" i="41"/>
  <c r="BA69" i="41"/>
  <c r="AZ69" i="41"/>
  <c r="AY69" i="41"/>
  <c r="AX69" i="41"/>
  <c r="AW69" i="41"/>
  <c r="BA68" i="41"/>
  <c r="AZ68" i="41"/>
  <c r="AY68" i="41"/>
  <c r="AX68" i="41"/>
  <c r="AW68" i="41"/>
  <c r="BA67" i="41"/>
  <c r="AZ67" i="41"/>
  <c r="AY67" i="41"/>
  <c r="AX67" i="41"/>
  <c r="AW67" i="41"/>
  <c r="BA66" i="41"/>
  <c r="AZ66" i="41"/>
  <c r="AY66" i="41"/>
  <c r="AX66" i="41"/>
  <c r="AW66" i="41"/>
  <c r="BA65" i="41"/>
  <c r="AZ65" i="41"/>
  <c r="AY65" i="41"/>
  <c r="AX65" i="41"/>
  <c r="AW65" i="41"/>
  <c r="BA64" i="41"/>
  <c r="AZ64" i="41"/>
  <c r="AY64" i="41"/>
  <c r="AX64" i="41"/>
  <c r="AW64" i="41"/>
  <c r="BA63" i="41"/>
  <c r="AZ63" i="41"/>
  <c r="AY63" i="41"/>
  <c r="AX63" i="41"/>
  <c r="AW63" i="41"/>
  <c r="BA62" i="41"/>
  <c r="AZ62" i="41"/>
  <c r="AY62" i="41"/>
  <c r="AX62" i="41"/>
  <c r="AW62" i="41"/>
  <c r="BA61" i="41"/>
  <c r="AZ61" i="41"/>
  <c r="AY61" i="41"/>
  <c r="AX61" i="41"/>
  <c r="AW61" i="41"/>
  <c r="BA60" i="41"/>
  <c r="AZ60" i="41"/>
  <c r="AY60" i="41"/>
  <c r="AX60" i="41"/>
  <c r="AW60" i="41"/>
  <c r="BA59" i="41"/>
  <c r="AZ59" i="41"/>
  <c r="AY59" i="41"/>
  <c r="AX59" i="41"/>
  <c r="AW59" i="41"/>
  <c r="BA58" i="41"/>
  <c r="AZ58" i="41"/>
  <c r="AY58" i="41"/>
  <c r="AX58" i="41"/>
  <c r="AW58" i="41"/>
  <c r="BA57" i="41"/>
  <c r="AZ57" i="41"/>
  <c r="AY57" i="41"/>
  <c r="AX57" i="41"/>
  <c r="AW57" i="41"/>
  <c r="BA56" i="41"/>
  <c r="AZ56" i="41"/>
  <c r="AY56" i="41"/>
  <c r="AX56" i="41"/>
  <c r="AW56" i="41"/>
  <c r="BA55" i="41"/>
  <c r="AZ55" i="41"/>
  <c r="AY55" i="41"/>
  <c r="AX55" i="41"/>
  <c r="AW55" i="41"/>
  <c r="BA54" i="41"/>
  <c r="AZ54" i="41"/>
  <c r="AY54" i="41"/>
  <c r="AX54" i="41"/>
  <c r="AW54" i="41"/>
  <c r="BA53" i="41"/>
  <c r="AZ53" i="41"/>
  <c r="AY53" i="41"/>
  <c r="AX53" i="41"/>
  <c r="AW53" i="41"/>
  <c r="BA52" i="41"/>
  <c r="AZ52" i="41"/>
  <c r="AY52" i="41"/>
  <c r="AX52" i="41"/>
  <c r="AW52" i="41"/>
  <c r="BA51" i="41"/>
  <c r="AZ51" i="41"/>
  <c r="AY51" i="41"/>
  <c r="AX51" i="41"/>
  <c r="AW51" i="41"/>
  <c r="BA50" i="41"/>
  <c r="AZ50" i="41"/>
  <c r="AY50" i="41"/>
  <c r="AX50" i="41"/>
  <c r="AW50" i="41"/>
  <c r="BA49" i="41"/>
  <c r="AZ49" i="41"/>
  <c r="AY49" i="41"/>
  <c r="AX49" i="41"/>
  <c r="AW49" i="41"/>
  <c r="BA48" i="41"/>
  <c r="AZ48" i="41"/>
  <c r="AY48" i="41"/>
  <c r="AX48" i="41"/>
  <c r="AW48" i="41"/>
  <c r="BA47" i="41"/>
  <c r="AZ47" i="41"/>
  <c r="AY47" i="41"/>
  <c r="AX47" i="41"/>
  <c r="AW47" i="41"/>
  <c r="BA46" i="41"/>
  <c r="AZ46" i="41"/>
  <c r="AY46" i="41"/>
  <c r="AX46" i="41"/>
  <c r="AW46" i="41"/>
  <c r="BA45" i="41"/>
  <c r="AZ45" i="41"/>
  <c r="AY45" i="41"/>
  <c r="AX45" i="41"/>
  <c r="AW45" i="41"/>
  <c r="BA44" i="41"/>
  <c r="AZ44" i="41"/>
  <c r="AY44" i="41"/>
  <c r="AX44" i="41"/>
  <c r="AW44" i="41"/>
  <c r="BA43" i="41"/>
  <c r="AZ43" i="41"/>
  <c r="AY43" i="41"/>
  <c r="AX43" i="41"/>
  <c r="AW43" i="41"/>
  <c r="BA42" i="41"/>
  <c r="AZ42" i="41"/>
  <c r="AY42" i="41"/>
  <c r="AX42" i="41"/>
  <c r="AW42" i="41"/>
  <c r="BA41" i="41"/>
  <c r="AZ41" i="41"/>
  <c r="AY41" i="41"/>
  <c r="AX41" i="41"/>
  <c r="AW41" i="41"/>
  <c r="BA40" i="41"/>
  <c r="AZ40" i="41"/>
  <c r="AY40" i="41"/>
  <c r="AX40" i="41"/>
  <c r="AW40" i="41"/>
  <c r="BA39" i="41"/>
  <c r="AZ39" i="41"/>
  <c r="AY39" i="41"/>
  <c r="AX39" i="41"/>
  <c r="AW39" i="41"/>
  <c r="BA38" i="41"/>
  <c r="AZ38" i="41"/>
  <c r="AY38" i="41"/>
  <c r="AX38" i="41"/>
  <c r="AW38" i="41"/>
  <c r="BA37" i="41"/>
  <c r="AZ37" i="41"/>
  <c r="AY37" i="41"/>
  <c r="AX37" i="41"/>
  <c r="AW37" i="41"/>
  <c r="BA36" i="41"/>
  <c r="AZ36" i="41"/>
  <c r="AY36" i="41"/>
  <c r="AX36" i="41"/>
  <c r="AW36" i="41"/>
  <c r="BA35" i="41"/>
  <c r="AZ35" i="41"/>
  <c r="AY35" i="41"/>
  <c r="AX35" i="41"/>
  <c r="AW35" i="41"/>
  <c r="BA34" i="41"/>
  <c r="AZ34" i="41"/>
  <c r="AY34" i="41"/>
  <c r="AX34" i="41"/>
  <c r="AW34" i="41"/>
  <c r="BA33" i="41"/>
  <c r="AZ33" i="41"/>
  <c r="AY33" i="41"/>
  <c r="AX33" i="41"/>
  <c r="AW33" i="41"/>
  <c r="BA32" i="41"/>
  <c r="AZ32" i="41"/>
  <c r="AY32" i="41"/>
  <c r="AX32" i="41"/>
  <c r="AW32" i="41"/>
  <c r="BA31" i="41"/>
  <c r="AZ31" i="41"/>
  <c r="AY31" i="41"/>
  <c r="AX31" i="41"/>
  <c r="AW31" i="41"/>
  <c r="BA30" i="41"/>
  <c r="AZ30" i="41"/>
  <c r="AY30" i="41"/>
  <c r="AX30" i="41"/>
  <c r="AW30" i="41"/>
  <c r="BA29" i="41"/>
  <c r="AZ29" i="41"/>
  <c r="AY29" i="41"/>
  <c r="AX29" i="41"/>
  <c r="AW29" i="41"/>
  <c r="BA28" i="41"/>
  <c r="AZ28" i="41"/>
  <c r="AY28" i="41"/>
  <c r="AX28" i="41"/>
  <c r="AW28" i="41"/>
  <c r="BA27" i="41"/>
  <c r="AZ27" i="41"/>
  <c r="AY27" i="41"/>
  <c r="AX27" i="41"/>
  <c r="AW27" i="41"/>
  <c r="BA26" i="41"/>
  <c r="AZ26" i="41"/>
  <c r="AY26" i="41"/>
  <c r="AX26" i="41"/>
  <c r="AW26" i="41"/>
  <c r="BA25" i="41"/>
  <c r="AZ25" i="41"/>
  <c r="AY25" i="41"/>
  <c r="AX25" i="41"/>
  <c r="AW25" i="41"/>
  <c r="BA24" i="41"/>
  <c r="AZ24" i="41"/>
  <c r="AY24" i="41"/>
  <c r="AX24" i="41"/>
  <c r="AW24" i="41"/>
  <c r="BA23" i="41"/>
  <c r="AZ23" i="41"/>
  <c r="AY23" i="41"/>
  <c r="AX23" i="41"/>
  <c r="AW23" i="41"/>
  <c r="BA22" i="41"/>
  <c r="AZ22" i="41"/>
  <c r="AY22" i="41"/>
  <c r="AX22" i="41"/>
  <c r="AW22" i="41"/>
  <c r="BA21" i="41"/>
  <c r="AZ21" i="41"/>
  <c r="AY21" i="41"/>
  <c r="AX21" i="41"/>
  <c r="AW21" i="41"/>
  <c r="BA20" i="41"/>
  <c r="AZ20" i="41"/>
  <c r="AY20" i="41"/>
  <c r="AX20" i="41"/>
  <c r="AW20" i="41"/>
  <c r="BA19" i="41"/>
  <c r="AZ19" i="41"/>
  <c r="AY19" i="41"/>
  <c r="AX19" i="41"/>
  <c r="AW19" i="41"/>
  <c r="BA18" i="41"/>
  <c r="AZ18" i="41"/>
  <c r="AY18" i="41"/>
  <c r="AX18" i="41"/>
  <c r="AW18" i="41"/>
  <c r="BA17" i="41"/>
  <c r="AZ17" i="41"/>
  <c r="AY17" i="41"/>
  <c r="AX17" i="41"/>
  <c r="AW17" i="41"/>
  <c r="BA16" i="41"/>
  <c r="AZ16" i="41"/>
  <c r="AY16" i="41"/>
  <c r="AX16" i="41"/>
  <c r="AW16" i="41"/>
  <c r="BA15" i="41"/>
  <c r="AZ15" i="41"/>
  <c r="AY15" i="41"/>
  <c r="AX15" i="41"/>
  <c r="AW15" i="41"/>
  <c r="BA14" i="41"/>
  <c r="AZ14" i="41"/>
  <c r="AY14" i="41"/>
  <c r="AX14" i="41"/>
  <c r="AW14" i="41"/>
  <c r="BA13" i="41"/>
  <c r="AZ13" i="41"/>
  <c r="AY13" i="41"/>
  <c r="AX13" i="41"/>
  <c r="AW13" i="41"/>
  <c r="BA12" i="41"/>
  <c r="AZ12" i="41"/>
  <c r="AY12" i="41"/>
  <c r="AX12" i="41"/>
  <c r="AW12" i="41"/>
  <c r="BA11" i="41"/>
  <c r="AZ11" i="41"/>
  <c r="AY11" i="41"/>
  <c r="AX11" i="41"/>
  <c r="AW11" i="41"/>
  <c r="BA10" i="41"/>
  <c r="AZ10" i="41"/>
  <c r="AY10" i="41"/>
  <c r="AX10" i="41"/>
  <c r="AW10" i="41"/>
  <c r="BA9" i="41"/>
  <c r="AZ9" i="41"/>
  <c r="AY9" i="41"/>
  <c r="AX9" i="41"/>
  <c r="AW9" i="41"/>
  <c r="BA8" i="41"/>
  <c r="AZ8" i="41"/>
  <c r="AY8" i="41"/>
  <c r="AX8" i="41"/>
  <c r="AW8" i="41"/>
  <c r="BA7" i="41"/>
  <c r="AZ7" i="41"/>
  <c r="AY7" i="41"/>
  <c r="AX7" i="41"/>
  <c r="AW7" i="41"/>
  <c r="BA6" i="41"/>
  <c r="AZ6" i="41"/>
  <c r="AY6" i="41"/>
  <c r="AX6" i="41"/>
  <c r="AW6" i="41"/>
  <c r="BA5" i="41"/>
  <c r="AZ5" i="41"/>
  <c r="AY5" i="41"/>
  <c r="AX5" i="41"/>
  <c r="AW5" i="41"/>
  <c r="AV149" i="41"/>
  <c r="AU149" i="41"/>
  <c r="AT149" i="41"/>
  <c r="AS149" i="41"/>
  <c r="AR149" i="41"/>
  <c r="AV148" i="41"/>
  <c r="AU148" i="41"/>
  <c r="AT148" i="41"/>
  <c r="AS148" i="41"/>
  <c r="AR148" i="41"/>
  <c r="AV147" i="41"/>
  <c r="AU147" i="41"/>
  <c r="AT147" i="41"/>
  <c r="AS147" i="41"/>
  <c r="AR147" i="41"/>
  <c r="AV146" i="41"/>
  <c r="AU146" i="41"/>
  <c r="AT146" i="41"/>
  <c r="AS146" i="41"/>
  <c r="AR146" i="41"/>
  <c r="AV145" i="41"/>
  <c r="AU145" i="41"/>
  <c r="AT145" i="41"/>
  <c r="AS145" i="41"/>
  <c r="AR145" i="41"/>
  <c r="AV144" i="41"/>
  <c r="AU144" i="41"/>
  <c r="AT144" i="41"/>
  <c r="AS144" i="41"/>
  <c r="AR144" i="41"/>
  <c r="AV143" i="41"/>
  <c r="AU143" i="41"/>
  <c r="AT143" i="41"/>
  <c r="AS143" i="41"/>
  <c r="AR143" i="41"/>
  <c r="AV142" i="41"/>
  <c r="AU142" i="41"/>
  <c r="AT142" i="41"/>
  <c r="AS142" i="41"/>
  <c r="AR142" i="41"/>
  <c r="AV141" i="41"/>
  <c r="AU141" i="41"/>
  <c r="AT141" i="41"/>
  <c r="AS141" i="41"/>
  <c r="AR141" i="41"/>
  <c r="AV140" i="41"/>
  <c r="AU140" i="41"/>
  <c r="AT140" i="41"/>
  <c r="AS140" i="41"/>
  <c r="AR140" i="41"/>
  <c r="AV139" i="41"/>
  <c r="AU139" i="41"/>
  <c r="AT139" i="41"/>
  <c r="AS139" i="41"/>
  <c r="AR139" i="41"/>
  <c r="AV138" i="41"/>
  <c r="AU138" i="41"/>
  <c r="AT138" i="41"/>
  <c r="AS138" i="41"/>
  <c r="AR138" i="41"/>
  <c r="AV137" i="41"/>
  <c r="AU137" i="41"/>
  <c r="AT137" i="41"/>
  <c r="AS137" i="41"/>
  <c r="AR137" i="41"/>
  <c r="AV136" i="41"/>
  <c r="AU136" i="41"/>
  <c r="AT136" i="41"/>
  <c r="AS136" i="41"/>
  <c r="AR136" i="41"/>
  <c r="AV135" i="41"/>
  <c r="AU135" i="41"/>
  <c r="AT135" i="41"/>
  <c r="AS135" i="41"/>
  <c r="AR135" i="41"/>
  <c r="AV134" i="41"/>
  <c r="AU134" i="41"/>
  <c r="AT134" i="41"/>
  <c r="AS134" i="41"/>
  <c r="AR134" i="41"/>
  <c r="AV133" i="41"/>
  <c r="AU133" i="41"/>
  <c r="AT133" i="41"/>
  <c r="AS133" i="41"/>
  <c r="AR133" i="41"/>
  <c r="AV132" i="41"/>
  <c r="AU132" i="41"/>
  <c r="AT132" i="41"/>
  <c r="AS132" i="41"/>
  <c r="AR132" i="41"/>
  <c r="AV131" i="41"/>
  <c r="AU131" i="41"/>
  <c r="AT131" i="41"/>
  <c r="AS131" i="41"/>
  <c r="AR131" i="41"/>
  <c r="AV130" i="41"/>
  <c r="AU130" i="41"/>
  <c r="AT130" i="41"/>
  <c r="AS130" i="41"/>
  <c r="AR130" i="41"/>
  <c r="AV129" i="41"/>
  <c r="AU129" i="41"/>
  <c r="AT129" i="41"/>
  <c r="AS129" i="41"/>
  <c r="AR129" i="41"/>
  <c r="AV128" i="41"/>
  <c r="AU128" i="41"/>
  <c r="AT128" i="41"/>
  <c r="AS128" i="41"/>
  <c r="AR128" i="41"/>
  <c r="AV127" i="41"/>
  <c r="AU127" i="41"/>
  <c r="AT127" i="41"/>
  <c r="AS127" i="41"/>
  <c r="AR127" i="41"/>
  <c r="AV126" i="41"/>
  <c r="AU126" i="41"/>
  <c r="AT126" i="41"/>
  <c r="AS126" i="41"/>
  <c r="AR126" i="41"/>
  <c r="AV125" i="41"/>
  <c r="AU125" i="41"/>
  <c r="AT125" i="41"/>
  <c r="AS125" i="41"/>
  <c r="AR125" i="41"/>
  <c r="AV124" i="41"/>
  <c r="AU124" i="41"/>
  <c r="AT124" i="41"/>
  <c r="AS124" i="41"/>
  <c r="AR124" i="41"/>
  <c r="AV123" i="41"/>
  <c r="AU123" i="41"/>
  <c r="AT123" i="41"/>
  <c r="AS123" i="41"/>
  <c r="AR123" i="41"/>
  <c r="AV122" i="41"/>
  <c r="AU122" i="41"/>
  <c r="AT122" i="41"/>
  <c r="AS122" i="41"/>
  <c r="AR122" i="41"/>
  <c r="AV121" i="41"/>
  <c r="AU121" i="41"/>
  <c r="AT121" i="41"/>
  <c r="AS121" i="41"/>
  <c r="AR121" i="41"/>
  <c r="AV120" i="41"/>
  <c r="AU120" i="41"/>
  <c r="AT120" i="41"/>
  <c r="AS120" i="41"/>
  <c r="AR120" i="41"/>
  <c r="AV119" i="41"/>
  <c r="AU119" i="41"/>
  <c r="AT119" i="41"/>
  <c r="AS119" i="41"/>
  <c r="AR119" i="41"/>
  <c r="AV118" i="41"/>
  <c r="AU118" i="41"/>
  <c r="AT118" i="41"/>
  <c r="AS118" i="41"/>
  <c r="AR118" i="41"/>
  <c r="AV117" i="41"/>
  <c r="AU117" i="41"/>
  <c r="AT117" i="41"/>
  <c r="AS117" i="41"/>
  <c r="AR117" i="41"/>
  <c r="AV116" i="41"/>
  <c r="AU116" i="41"/>
  <c r="AT116" i="41"/>
  <c r="AS116" i="41"/>
  <c r="AR116" i="41"/>
  <c r="AV115" i="41"/>
  <c r="AU115" i="41"/>
  <c r="AT115" i="41"/>
  <c r="AS115" i="41"/>
  <c r="AR115" i="41"/>
  <c r="AV114" i="41"/>
  <c r="AU114" i="41"/>
  <c r="AT114" i="41"/>
  <c r="AS114" i="41"/>
  <c r="AR114" i="41"/>
  <c r="AV113" i="41"/>
  <c r="AU113" i="41"/>
  <c r="AT113" i="41"/>
  <c r="AS113" i="41"/>
  <c r="AR113" i="41"/>
  <c r="AV112" i="41"/>
  <c r="AU112" i="41"/>
  <c r="AT112" i="41"/>
  <c r="AS112" i="41"/>
  <c r="AR112" i="41"/>
  <c r="AV111" i="41"/>
  <c r="AU111" i="41"/>
  <c r="AT111" i="41"/>
  <c r="AS111" i="41"/>
  <c r="AR111" i="41"/>
  <c r="AV110" i="41"/>
  <c r="AU110" i="41"/>
  <c r="AT110" i="41"/>
  <c r="AS110" i="41"/>
  <c r="AR110" i="41"/>
  <c r="AV109" i="41"/>
  <c r="AU109" i="41"/>
  <c r="AT109" i="41"/>
  <c r="AS109" i="41"/>
  <c r="AR109" i="41"/>
  <c r="AV108" i="41"/>
  <c r="AU108" i="41"/>
  <c r="AT108" i="41"/>
  <c r="AS108" i="41"/>
  <c r="AR108" i="41"/>
  <c r="AV107" i="41"/>
  <c r="AU107" i="41"/>
  <c r="AT107" i="41"/>
  <c r="AS107" i="41"/>
  <c r="AR107" i="41"/>
  <c r="AV106" i="41"/>
  <c r="AU106" i="41"/>
  <c r="AT106" i="41"/>
  <c r="AS106" i="41"/>
  <c r="AR106" i="41"/>
  <c r="AV105" i="41"/>
  <c r="AU105" i="41"/>
  <c r="AT105" i="41"/>
  <c r="AS105" i="41"/>
  <c r="AR105" i="41"/>
  <c r="AV104" i="41"/>
  <c r="AU104" i="41"/>
  <c r="AT104" i="41"/>
  <c r="AS104" i="41"/>
  <c r="AR104" i="41"/>
  <c r="AV103" i="41"/>
  <c r="AU103" i="41"/>
  <c r="AT103" i="41"/>
  <c r="AS103" i="41"/>
  <c r="AR103" i="41"/>
  <c r="AV102" i="41"/>
  <c r="AU102" i="41"/>
  <c r="AT102" i="41"/>
  <c r="AS102" i="41"/>
  <c r="AR102" i="41"/>
  <c r="AV101" i="41"/>
  <c r="AU101" i="41"/>
  <c r="AT101" i="41"/>
  <c r="AS101" i="41"/>
  <c r="AR101" i="41"/>
  <c r="AV100" i="41"/>
  <c r="AU100" i="41"/>
  <c r="AT100" i="41"/>
  <c r="AS100" i="41"/>
  <c r="AR100" i="41"/>
  <c r="AV99" i="41"/>
  <c r="AU99" i="41"/>
  <c r="AT99" i="41"/>
  <c r="AS99" i="41"/>
  <c r="AR99" i="41"/>
  <c r="AV98" i="41"/>
  <c r="AU98" i="41"/>
  <c r="AT98" i="41"/>
  <c r="AS98" i="41"/>
  <c r="AR98" i="41"/>
  <c r="AV97" i="41"/>
  <c r="AU97" i="41"/>
  <c r="AT97" i="41"/>
  <c r="AS97" i="41"/>
  <c r="AR97" i="41"/>
  <c r="AV96" i="41"/>
  <c r="AU96" i="41"/>
  <c r="AT96" i="41"/>
  <c r="AS96" i="41"/>
  <c r="AR96" i="41"/>
  <c r="AV95" i="41"/>
  <c r="AU95" i="41"/>
  <c r="AT95" i="41"/>
  <c r="AS95" i="41"/>
  <c r="AR95" i="41"/>
  <c r="AV94" i="41"/>
  <c r="AU94" i="41"/>
  <c r="AT94" i="41"/>
  <c r="AS94" i="41"/>
  <c r="AR94" i="41"/>
  <c r="AV93" i="41"/>
  <c r="AU93" i="41"/>
  <c r="AT93" i="41"/>
  <c r="AS93" i="41"/>
  <c r="AR93" i="41"/>
  <c r="AV92" i="41"/>
  <c r="AU92" i="41"/>
  <c r="AT92" i="41"/>
  <c r="AS92" i="41"/>
  <c r="AR92" i="41"/>
  <c r="AV91" i="41"/>
  <c r="AU91" i="41"/>
  <c r="AT91" i="41"/>
  <c r="AS91" i="41"/>
  <c r="AR91" i="41"/>
  <c r="AV90" i="41"/>
  <c r="AU90" i="41"/>
  <c r="AT90" i="41"/>
  <c r="AS90" i="41"/>
  <c r="AR90" i="41"/>
  <c r="AV89" i="41"/>
  <c r="AU89" i="41"/>
  <c r="AT89" i="41"/>
  <c r="AS89" i="41"/>
  <c r="AR89" i="41"/>
  <c r="AV88" i="41"/>
  <c r="AU88" i="41"/>
  <c r="AT88" i="41"/>
  <c r="AS88" i="41"/>
  <c r="AR88" i="41"/>
  <c r="AV87" i="41"/>
  <c r="AU87" i="41"/>
  <c r="AT87" i="41"/>
  <c r="AS87" i="41"/>
  <c r="AR87" i="41"/>
  <c r="AV86" i="41"/>
  <c r="AU86" i="41"/>
  <c r="AT86" i="41"/>
  <c r="AS86" i="41"/>
  <c r="AR86" i="41"/>
  <c r="AV85" i="41"/>
  <c r="AU85" i="41"/>
  <c r="AT85" i="41"/>
  <c r="AS85" i="41"/>
  <c r="AR85" i="41"/>
  <c r="AV84" i="41"/>
  <c r="AU84" i="41"/>
  <c r="AT84" i="41"/>
  <c r="AS84" i="41"/>
  <c r="AR84" i="41"/>
  <c r="AV83" i="41"/>
  <c r="AU83" i="41"/>
  <c r="AT83" i="41"/>
  <c r="AS83" i="41"/>
  <c r="AR83" i="41"/>
  <c r="AV82" i="41"/>
  <c r="AU82" i="41"/>
  <c r="AT82" i="41"/>
  <c r="AS82" i="41"/>
  <c r="AR82" i="41"/>
  <c r="AV81" i="41"/>
  <c r="AU81" i="41"/>
  <c r="AT81" i="41"/>
  <c r="AS81" i="41"/>
  <c r="AR81" i="41"/>
  <c r="AV80" i="41"/>
  <c r="AU80" i="41"/>
  <c r="AT80" i="41"/>
  <c r="AS80" i="41"/>
  <c r="AR80" i="41"/>
  <c r="AV79" i="41"/>
  <c r="AU79" i="41"/>
  <c r="AT79" i="41"/>
  <c r="AS79" i="41"/>
  <c r="AR79" i="41"/>
  <c r="AV78" i="41"/>
  <c r="AU78" i="41"/>
  <c r="AT78" i="41"/>
  <c r="AS78" i="41"/>
  <c r="AR78" i="41"/>
  <c r="AV77" i="41"/>
  <c r="AU77" i="41"/>
  <c r="AT77" i="41"/>
  <c r="AS77" i="41"/>
  <c r="AR77" i="41"/>
  <c r="AV76" i="41"/>
  <c r="AU76" i="41"/>
  <c r="AT76" i="41"/>
  <c r="AS76" i="41"/>
  <c r="AR76" i="41"/>
  <c r="AV75" i="41"/>
  <c r="AU75" i="41"/>
  <c r="AT75" i="41"/>
  <c r="AS75" i="41"/>
  <c r="AR75" i="41"/>
  <c r="AV74" i="41"/>
  <c r="AU74" i="41"/>
  <c r="AT74" i="41"/>
  <c r="AS74" i="41"/>
  <c r="AR74" i="41"/>
  <c r="AV73" i="41"/>
  <c r="AU73" i="41"/>
  <c r="AT73" i="41"/>
  <c r="AS73" i="41"/>
  <c r="AR73" i="41"/>
  <c r="AV72" i="41"/>
  <c r="AU72" i="41"/>
  <c r="AT72" i="41"/>
  <c r="AS72" i="41"/>
  <c r="AR72" i="41"/>
  <c r="AV71" i="41"/>
  <c r="AU71" i="41"/>
  <c r="AT71" i="41"/>
  <c r="AS71" i="41"/>
  <c r="AR71" i="41"/>
  <c r="AV70" i="41"/>
  <c r="AU70" i="41"/>
  <c r="AT70" i="41"/>
  <c r="AS70" i="41"/>
  <c r="AR70" i="41"/>
  <c r="AV69" i="41"/>
  <c r="AU69" i="41"/>
  <c r="AT69" i="41"/>
  <c r="AS69" i="41"/>
  <c r="AR69" i="41"/>
  <c r="AV68" i="41"/>
  <c r="AU68" i="41"/>
  <c r="AT68" i="41"/>
  <c r="AS68" i="41"/>
  <c r="AR68" i="41"/>
  <c r="AV67" i="41"/>
  <c r="AU67" i="41"/>
  <c r="AT67" i="41"/>
  <c r="AS67" i="41"/>
  <c r="AR67" i="41"/>
  <c r="AV66" i="41"/>
  <c r="AU66" i="41"/>
  <c r="AT66" i="41"/>
  <c r="AS66" i="41"/>
  <c r="AR66" i="41"/>
  <c r="AV65" i="41"/>
  <c r="AU65" i="41"/>
  <c r="AT65" i="41"/>
  <c r="AS65" i="41"/>
  <c r="AR65" i="41"/>
  <c r="AV64" i="41"/>
  <c r="AU64" i="41"/>
  <c r="AT64" i="41"/>
  <c r="AS64" i="41"/>
  <c r="AR64" i="41"/>
  <c r="AV63" i="41"/>
  <c r="AU63" i="41"/>
  <c r="AT63" i="41"/>
  <c r="AS63" i="41"/>
  <c r="AR63" i="41"/>
  <c r="AV62" i="41"/>
  <c r="AU62" i="41"/>
  <c r="AT62" i="41"/>
  <c r="AS62" i="41"/>
  <c r="AR62" i="41"/>
  <c r="AV61" i="41"/>
  <c r="AU61" i="41"/>
  <c r="AT61" i="41"/>
  <c r="AS61" i="41"/>
  <c r="AR61" i="41"/>
  <c r="AV60" i="41"/>
  <c r="AU60" i="41"/>
  <c r="AT60" i="41"/>
  <c r="AS60" i="41"/>
  <c r="AR60" i="41"/>
  <c r="AV59" i="41"/>
  <c r="AU59" i="41"/>
  <c r="AT59" i="41"/>
  <c r="AS59" i="41"/>
  <c r="AR59" i="41"/>
  <c r="AV58" i="41"/>
  <c r="AU58" i="41"/>
  <c r="AT58" i="41"/>
  <c r="AS58" i="41"/>
  <c r="AR58" i="41"/>
  <c r="AV57" i="41"/>
  <c r="AU57" i="41"/>
  <c r="AT57" i="41"/>
  <c r="AS57" i="41"/>
  <c r="AR57" i="41"/>
  <c r="AV56" i="41"/>
  <c r="AU56" i="41"/>
  <c r="AT56" i="41"/>
  <c r="AS56" i="41"/>
  <c r="AR56" i="41"/>
  <c r="AV55" i="41"/>
  <c r="AU55" i="41"/>
  <c r="AT55" i="41"/>
  <c r="AS55" i="41"/>
  <c r="AR55" i="41"/>
  <c r="AV54" i="41"/>
  <c r="AU54" i="41"/>
  <c r="AT54" i="41"/>
  <c r="AS54" i="41"/>
  <c r="AR54" i="41"/>
  <c r="AV53" i="41"/>
  <c r="AU53" i="41"/>
  <c r="AT53" i="41"/>
  <c r="AS53" i="41"/>
  <c r="AR53" i="41"/>
  <c r="AV52" i="41"/>
  <c r="AU52" i="41"/>
  <c r="AT52" i="41"/>
  <c r="AS52" i="41"/>
  <c r="AR52" i="41"/>
  <c r="AV51" i="41"/>
  <c r="AU51" i="41"/>
  <c r="AT51" i="41"/>
  <c r="AS51" i="41"/>
  <c r="AR51" i="41"/>
  <c r="AV50" i="41"/>
  <c r="AU50" i="41"/>
  <c r="AT50" i="41"/>
  <c r="AS50" i="41"/>
  <c r="AR50" i="41"/>
  <c r="AV49" i="41"/>
  <c r="AU49" i="41"/>
  <c r="AT49" i="41"/>
  <c r="AS49" i="41"/>
  <c r="AR49" i="41"/>
  <c r="AV48" i="41"/>
  <c r="AU48" i="41"/>
  <c r="AT48" i="41"/>
  <c r="AS48" i="41"/>
  <c r="AR48" i="41"/>
  <c r="AV47" i="41"/>
  <c r="AU47" i="41"/>
  <c r="AT47" i="41"/>
  <c r="AS47" i="41"/>
  <c r="AR47" i="41"/>
  <c r="AV46" i="41"/>
  <c r="AU46" i="41"/>
  <c r="AT46" i="41"/>
  <c r="AS46" i="41"/>
  <c r="AR46" i="41"/>
  <c r="AV45" i="41"/>
  <c r="AU45" i="41"/>
  <c r="AT45" i="41"/>
  <c r="AS45" i="41"/>
  <c r="AR45" i="41"/>
  <c r="AV44" i="41"/>
  <c r="AU44" i="41"/>
  <c r="AT44" i="41"/>
  <c r="AS44" i="41"/>
  <c r="AR44" i="41"/>
  <c r="AV43" i="41"/>
  <c r="AU43" i="41"/>
  <c r="AT43" i="41"/>
  <c r="AS43" i="41"/>
  <c r="AR43" i="41"/>
  <c r="AV42" i="41"/>
  <c r="AU42" i="41"/>
  <c r="AT42" i="41"/>
  <c r="AS42" i="41"/>
  <c r="AR42" i="41"/>
  <c r="AV41" i="41"/>
  <c r="AU41" i="41"/>
  <c r="AT41" i="41"/>
  <c r="AS41" i="41"/>
  <c r="AR41" i="41"/>
  <c r="AV40" i="41"/>
  <c r="AU40" i="41"/>
  <c r="AT40" i="41"/>
  <c r="AS40" i="41"/>
  <c r="AR40" i="41"/>
  <c r="AV39" i="41"/>
  <c r="AU39" i="41"/>
  <c r="AT39" i="41"/>
  <c r="AS39" i="41"/>
  <c r="AR39" i="41"/>
  <c r="AV38" i="41"/>
  <c r="AU38" i="41"/>
  <c r="AT38" i="41"/>
  <c r="AS38" i="41"/>
  <c r="AR38" i="41"/>
  <c r="AV37" i="41"/>
  <c r="AU37" i="41"/>
  <c r="AT37" i="41"/>
  <c r="AS37" i="41"/>
  <c r="AR37" i="41"/>
  <c r="AV36" i="41"/>
  <c r="AU36" i="41"/>
  <c r="AT36" i="41"/>
  <c r="AS36" i="41"/>
  <c r="AR36" i="41"/>
  <c r="AV35" i="41"/>
  <c r="AU35" i="41"/>
  <c r="AT35" i="41"/>
  <c r="AS35" i="41"/>
  <c r="AR35" i="41"/>
  <c r="AV34" i="41"/>
  <c r="AU34" i="41"/>
  <c r="AT34" i="41"/>
  <c r="AS34" i="41"/>
  <c r="AR34" i="41"/>
  <c r="AV33" i="41"/>
  <c r="AU33" i="41"/>
  <c r="AT33" i="41"/>
  <c r="AS33" i="41"/>
  <c r="AR33" i="41"/>
  <c r="AV32" i="41"/>
  <c r="AU32" i="41"/>
  <c r="AT32" i="41"/>
  <c r="AS32" i="41"/>
  <c r="AR32" i="41"/>
  <c r="AV31" i="41"/>
  <c r="AU31" i="41"/>
  <c r="AT31" i="41"/>
  <c r="AS31" i="41"/>
  <c r="AR31" i="41"/>
  <c r="AV30" i="41"/>
  <c r="AU30" i="41"/>
  <c r="AT30" i="41"/>
  <c r="AS30" i="41"/>
  <c r="AR30" i="41"/>
  <c r="AV29" i="41"/>
  <c r="AU29" i="41"/>
  <c r="AT29" i="41"/>
  <c r="AS29" i="41"/>
  <c r="AR29" i="41"/>
  <c r="AV28" i="41"/>
  <c r="AU28" i="41"/>
  <c r="AT28" i="41"/>
  <c r="AS28" i="41"/>
  <c r="AR28" i="41"/>
  <c r="AV27" i="41"/>
  <c r="AU27" i="41"/>
  <c r="AT27" i="41"/>
  <c r="AS27" i="41"/>
  <c r="AR27" i="41"/>
  <c r="AV26" i="41"/>
  <c r="AU26" i="41"/>
  <c r="AT26" i="41"/>
  <c r="AS26" i="41"/>
  <c r="AR26" i="41"/>
  <c r="AV25" i="41"/>
  <c r="AU25" i="41"/>
  <c r="AT25" i="41"/>
  <c r="AS25" i="41"/>
  <c r="AR25" i="41"/>
  <c r="AV24" i="41"/>
  <c r="AU24" i="41"/>
  <c r="AT24" i="41"/>
  <c r="AS24" i="41"/>
  <c r="AR24" i="41"/>
  <c r="AV23" i="41"/>
  <c r="AU23" i="41"/>
  <c r="AT23" i="41"/>
  <c r="AS23" i="41"/>
  <c r="AR23" i="41"/>
  <c r="AV22" i="41"/>
  <c r="AU22" i="41"/>
  <c r="AT22" i="41"/>
  <c r="AS22" i="41"/>
  <c r="AR22" i="41"/>
  <c r="AV21" i="41"/>
  <c r="AU21" i="41"/>
  <c r="AT21" i="41"/>
  <c r="AS21" i="41"/>
  <c r="AR21" i="41"/>
  <c r="AV20" i="41"/>
  <c r="AU20" i="41"/>
  <c r="AT20" i="41"/>
  <c r="AS20" i="41"/>
  <c r="AR20" i="41"/>
  <c r="AV19" i="41"/>
  <c r="AU19" i="41"/>
  <c r="AT19" i="41"/>
  <c r="AS19" i="41"/>
  <c r="AR19" i="41"/>
  <c r="AV18" i="41"/>
  <c r="AU18" i="41"/>
  <c r="AT18" i="41"/>
  <c r="AS18" i="41"/>
  <c r="AR18" i="41"/>
  <c r="AV17" i="41"/>
  <c r="AU17" i="41"/>
  <c r="AT17" i="41"/>
  <c r="AS17" i="41"/>
  <c r="AR17" i="41"/>
  <c r="AV16" i="41"/>
  <c r="AU16" i="41"/>
  <c r="AT16" i="41"/>
  <c r="AS16" i="41"/>
  <c r="AR16" i="41"/>
  <c r="AV15" i="41"/>
  <c r="AU15" i="41"/>
  <c r="AT15" i="41"/>
  <c r="AS15" i="41"/>
  <c r="AR15" i="41"/>
  <c r="AV14" i="41"/>
  <c r="AU14" i="41"/>
  <c r="AT14" i="41"/>
  <c r="AS14" i="41"/>
  <c r="AR14" i="41"/>
  <c r="AV13" i="41"/>
  <c r="AU13" i="41"/>
  <c r="AT13" i="41"/>
  <c r="AS13" i="41"/>
  <c r="AR13" i="41"/>
  <c r="AV12" i="41"/>
  <c r="AU12" i="41"/>
  <c r="AT12" i="41"/>
  <c r="AS12" i="41"/>
  <c r="AR12" i="41"/>
  <c r="AV11" i="41"/>
  <c r="AU11" i="41"/>
  <c r="AT11" i="41"/>
  <c r="AS11" i="41"/>
  <c r="AR11" i="41"/>
  <c r="AV10" i="41"/>
  <c r="AU10" i="41"/>
  <c r="AT10" i="41"/>
  <c r="AS10" i="41"/>
  <c r="AR10" i="41"/>
  <c r="AV9" i="41"/>
  <c r="AU9" i="41"/>
  <c r="AT9" i="41"/>
  <c r="AS9" i="41"/>
  <c r="AR9" i="41"/>
  <c r="AV8" i="41"/>
  <c r="AU8" i="41"/>
  <c r="AT8" i="41"/>
  <c r="AS8" i="41"/>
  <c r="AR8" i="41"/>
  <c r="AV7" i="41"/>
  <c r="AU7" i="41"/>
  <c r="AT7" i="41"/>
  <c r="AS7" i="41"/>
  <c r="AR7" i="41"/>
  <c r="AV6" i="41"/>
  <c r="AU6" i="41"/>
  <c r="AT6" i="41"/>
  <c r="AS6" i="41"/>
  <c r="AR6" i="41"/>
  <c r="AV5" i="41"/>
  <c r="AU5" i="41"/>
  <c r="AT5" i="41"/>
  <c r="AS5" i="41"/>
  <c r="AR5" i="41"/>
  <c r="AQ149" i="41"/>
  <c r="AP149" i="41"/>
  <c r="AO149" i="41"/>
  <c r="AN149" i="41"/>
  <c r="AM149" i="41"/>
  <c r="AQ148" i="41"/>
  <c r="AP148" i="41"/>
  <c r="AO148" i="41"/>
  <c r="AN148" i="41"/>
  <c r="AM148" i="41"/>
  <c r="AQ147" i="41"/>
  <c r="AP147" i="41"/>
  <c r="AO147" i="41"/>
  <c r="AN147" i="41"/>
  <c r="AM147" i="41"/>
  <c r="AQ146" i="41"/>
  <c r="AP146" i="41"/>
  <c r="AO146" i="41"/>
  <c r="AN146" i="41"/>
  <c r="AM146" i="41"/>
  <c r="AQ145" i="41"/>
  <c r="AP145" i="41"/>
  <c r="AO145" i="41"/>
  <c r="AN145" i="41"/>
  <c r="AM145" i="41"/>
  <c r="AQ144" i="41"/>
  <c r="AP144" i="41"/>
  <c r="AO144" i="41"/>
  <c r="AN144" i="41"/>
  <c r="AM144" i="41"/>
  <c r="AQ143" i="41"/>
  <c r="AP143" i="41"/>
  <c r="AO143" i="41"/>
  <c r="AN143" i="41"/>
  <c r="AM143" i="41"/>
  <c r="AQ142" i="41"/>
  <c r="AP142" i="41"/>
  <c r="AO142" i="41"/>
  <c r="AN142" i="41"/>
  <c r="AM142" i="41"/>
  <c r="AQ141" i="41"/>
  <c r="AP141" i="41"/>
  <c r="AO141" i="41"/>
  <c r="AN141" i="41"/>
  <c r="AM141" i="41"/>
  <c r="AQ140" i="41"/>
  <c r="AP140" i="41"/>
  <c r="AO140" i="41"/>
  <c r="AN140" i="41"/>
  <c r="AM140" i="41"/>
  <c r="AQ139" i="41"/>
  <c r="AP139" i="41"/>
  <c r="AO139" i="41"/>
  <c r="AN139" i="41"/>
  <c r="AM139" i="41"/>
  <c r="AQ138" i="41"/>
  <c r="AP138" i="41"/>
  <c r="AO138" i="41"/>
  <c r="AN138" i="41"/>
  <c r="AM138" i="41"/>
  <c r="AQ137" i="41"/>
  <c r="AP137" i="41"/>
  <c r="AO137" i="41"/>
  <c r="AN137" i="41"/>
  <c r="AM137" i="41"/>
  <c r="AQ136" i="41"/>
  <c r="AP136" i="41"/>
  <c r="AO136" i="41"/>
  <c r="AN136" i="41"/>
  <c r="AM136" i="41"/>
  <c r="AQ135" i="41"/>
  <c r="AP135" i="41"/>
  <c r="AO135" i="41"/>
  <c r="AN135" i="41"/>
  <c r="AM135" i="41"/>
  <c r="AQ134" i="41"/>
  <c r="AP134" i="41"/>
  <c r="AO134" i="41"/>
  <c r="AN134" i="41"/>
  <c r="AM134" i="41"/>
  <c r="AQ133" i="41"/>
  <c r="AP133" i="41"/>
  <c r="AO133" i="41"/>
  <c r="AN133" i="41"/>
  <c r="AM133" i="41"/>
  <c r="AQ132" i="41"/>
  <c r="AP132" i="41"/>
  <c r="AO132" i="41"/>
  <c r="AN132" i="41"/>
  <c r="AM132" i="41"/>
  <c r="AQ131" i="41"/>
  <c r="AP131" i="41"/>
  <c r="AO131" i="41"/>
  <c r="AN131" i="41"/>
  <c r="AM131" i="41"/>
  <c r="AQ130" i="41"/>
  <c r="AP130" i="41"/>
  <c r="AO130" i="41"/>
  <c r="AN130" i="41"/>
  <c r="AM130" i="41"/>
  <c r="AQ129" i="41"/>
  <c r="AP129" i="41"/>
  <c r="AO129" i="41"/>
  <c r="AN129" i="41"/>
  <c r="AM129" i="41"/>
  <c r="AQ128" i="41"/>
  <c r="AP128" i="41"/>
  <c r="AO128" i="41"/>
  <c r="AN128" i="41"/>
  <c r="AM128" i="41"/>
  <c r="AQ127" i="41"/>
  <c r="AP127" i="41"/>
  <c r="AO127" i="41"/>
  <c r="AN127" i="41"/>
  <c r="AM127" i="41"/>
  <c r="AQ126" i="41"/>
  <c r="AP126" i="41"/>
  <c r="AO126" i="41"/>
  <c r="AN126" i="41"/>
  <c r="AM126" i="41"/>
  <c r="AQ125" i="41"/>
  <c r="AP125" i="41"/>
  <c r="AO125" i="41"/>
  <c r="AN125" i="41"/>
  <c r="AM125" i="41"/>
  <c r="AQ124" i="41"/>
  <c r="AP124" i="41"/>
  <c r="AO124" i="41"/>
  <c r="AN124" i="41"/>
  <c r="AM124" i="41"/>
  <c r="AQ123" i="41"/>
  <c r="AP123" i="41"/>
  <c r="AO123" i="41"/>
  <c r="AN123" i="41"/>
  <c r="AM123" i="41"/>
  <c r="AQ122" i="41"/>
  <c r="AP122" i="41"/>
  <c r="AO122" i="41"/>
  <c r="AN122" i="41"/>
  <c r="AM122" i="41"/>
  <c r="AQ121" i="41"/>
  <c r="AP121" i="41"/>
  <c r="AO121" i="41"/>
  <c r="AN121" i="41"/>
  <c r="AM121" i="41"/>
  <c r="AQ120" i="41"/>
  <c r="AP120" i="41"/>
  <c r="AO120" i="41"/>
  <c r="AN120" i="41"/>
  <c r="AM120" i="41"/>
  <c r="AQ119" i="41"/>
  <c r="AP119" i="41"/>
  <c r="AO119" i="41"/>
  <c r="AN119" i="41"/>
  <c r="AM119" i="41"/>
  <c r="AQ118" i="41"/>
  <c r="AP118" i="41"/>
  <c r="AO118" i="41"/>
  <c r="AN118" i="41"/>
  <c r="AM118" i="41"/>
  <c r="AQ117" i="41"/>
  <c r="AP117" i="41"/>
  <c r="AO117" i="41"/>
  <c r="AN117" i="41"/>
  <c r="AM117" i="41"/>
  <c r="AQ116" i="41"/>
  <c r="AP116" i="41"/>
  <c r="AO116" i="41"/>
  <c r="AN116" i="41"/>
  <c r="AM116" i="41"/>
  <c r="AQ115" i="41"/>
  <c r="AP115" i="41"/>
  <c r="AO115" i="41"/>
  <c r="AN115" i="41"/>
  <c r="AM115" i="41"/>
  <c r="AQ114" i="41"/>
  <c r="AP114" i="41"/>
  <c r="AO114" i="41"/>
  <c r="AN114" i="41"/>
  <c r="AM114" i="41"/>
  <c r="AQ113" i="41"/>
  <c r="AP113" i="41"/>
  <c r="AO113" i="41"/>
  <c r="AN113" i="41"/>
  <c r="AM113" i="41"/>
  <c r="AQ112" i="41"/>
  <c r="AP112" i="41"/>
  <c r="AO112" i="41"/>
  <c r="AN112" i="41"/>
  <c r="AM112" i="41"/>
  <c r="AQ111" i="41"/>
  <c r="AP111" i="41"/>
  <c r="AO111" i="41"/>
  <c r="AN111" i="41"/>
  <c r="AM111" i="41"/>
  <c r="AQ110" i="41"/>
  <c r="AP110" i="41"/>
  <c r="AO110" i="41"/>
  <c r="AN110" i="41"/>
  <c r="AM110" i="41"/>
  <c r="AQ109" i="41"/>
  <c r="AP109" i="41"/>
  <c r="AO109" i="41"/>
  <c r="AN109" i="41"/>
  <c r="AM109" i="41"/>
  <c r="AQ108" i="41"/>
  <c r="AP108" i="41"/>
  <c r="AO108" i="41"/>
  <c r="AN108" i="41"/>
  <c r="AM108" i="41"/>
  <c r="AQ107" i="41"/>
  <c r="AP107" i="41"/>
  <c r="AO107" i="41"/>
  <c r="AN107" i="41"/>
  <c r="AM107" i="41"/>
  <c r="AQ106" i="41"/>
  <c r="AP106" i="41"/>
  <c r="AO106" i="41"/>
  <c r="AN106" i="41"/>
  <c r="AM106" i="41"/>
  <c r="AQ105" i="41"/>
  <c r="AP105" i="41"/>
  <c r="AO105" i="41"/>
  <c r="AN105" i="41"/>
  <c r="AM105" i="41"/>
  <c r="AQ104" i="41"/>
  <c r="AP104" i="41"/>
  <c r="AO104" i="41"/>
  <c r="AN104" i="41"/>
  <c r="AM104" i="41"/>
  <c r="AQ103" i="41"/>
  <c r="AP103" i="41"/>
  <c r="AO103" i="41"/>
  <c r="AN103" i="41"/>
  <c r="AM103" i="41"/>
  <c r="AQ102" i="41"/>
  <c r="AP102" i="41"/>
  <c r="AO102" i="41"/>
  <c r="AN102" i="41"/>
  <c r="AM102" i="41"/>
  <c r="AQ101" i="41"/>
  <c r="AP101" i="41"/>
  <c r="AO101" i="41"/>
  <c r="AN101" i="41"/>
  <c r="AM101" i="41"/>
  <c r="AQ100" i="41"/>
  <c r="AP100" i="41"/>
  <c r="AO100" i="41"/>
  <c r="AN100" i="41"/>
  <c r="AM100" i="41"/>
  <c r="AQ99" i="41"/>
  <c r="AP99" i="41"/>
  <c r="AO99" i="41"/>
  <c r="AN99" i="41"/>
  <c r="AM99" i="41"/>
  <c r="AQ98" i="41"/>
  <c r="AP98" i="41"/>
  <c r="AO98" i="41"/>
  <c r="AN98" i="41"/>
  <c r="AM98" i="41"/>
  <c r="AQ97" i="41"/>
  <c r="AP97" i="41"/>
  <c r="AO97" i="41"/>
  <c r="AN97" i="41"/>
  <c r="AM97" i="41"/>
  <c r="AQ96" i="41"/>
  <c r="AP96" i="41"/>
  <c r="AO96" i="41"/>
  <c r="AN96" i="41"/>
  <c r="AM96" i="41"/>
  <c r="AQ95" i="41"/>
  <c r="AP95" i="41"/>
  <c r="AO95" i="41"/>
  <c r="AN95" i="41"/>
  <c r="AM95" i="41"/>
  <c r="AQ94" i="41"/>
  <c r="AP94" i="41"/>
  <c r="AO94" i="41"/>
  <c r="AN94" i="41"/>
  <c r="AM94" i="41"/>
  <c r="AQ93" i="41"/>
  <c r="AP93" i="41"/>
  <c r="AO93" i="41"/>
  <c r="AN93" i="41"/>
  <c r="AM93" i="41"/>
  <c r="AQ92" i="41"/>
  <c r="AP92" i="41"/>
  <c r="AO92" i="41"/>
  <c r="AN92" i="41"/>
  <c r="AM92" i="41"/>
  <c r="AQ91" i="41"/>
  <c r="AP91" i="41"/>
  <c r="AO91" i="41"/>
  <c r="AN91" i="41"/>
  <c r="AM91" i="41"/>
  <c r="AQ90" i="41"/>
  <c r="AP90" i="41"/>
  <c r="AO90" i="41"/>
  <c r="AN90" i="41"/>
  <c r="AM90" i="41"/>
  <c r="AQ89" i="41"/>
  <c r="AP89" i="41"/>
  <c r="AO89" i="41"/>
  <c r="AN89" i="41"/>
  <c r="AM89" i="41"/>
  <c r="AQ88" i="41"/>
  <c r="AP88" i="41"/>
  <c r="AO88" i="41"/>
  <c r="AN88" i="41"/>
  <c r="AM88" i="41"/>
  <c r="AQ87" i="41"/>
  <c r="AP87" i="41"/>
  <c r="AO87" i="41"/>
  <c r="AN87" i="41"/>
  <c r="AM87" i="41"/>
  <c r="AQ86" i="41"/>
  <c r="AP86" i="41"/>
  <c r="AO86" i="41"/>
  <c r="AN86" i="41"/>
  <c r="AM86" i="41"/>
  <c r="AQ85" i="41"/>
  <c r="AP85" i="41"/>
  <c r="AO85" i="41"/>
  <c r="AN85" i="41"/>
  <c r="AM85" i="41"/>
  <c r="AQ84" i="41"/>
  <c r="AP84" i="41"/>
  <c r="AO84" i="41"/>
  <c r="AN84" i="41"/>
  <c r="AM84" i="41"/>
  <c r="AQ83" i="41"/>
  <c r="AP83" i="41"/>
  <c r="AO83" i="41"/>
  <c r="AN83" i="41"/>
  <c r="AM83" i="41"/>
  <c r="AQ82" i="41"/>
  <c r="AP82" i="41"/>
  <c r="AO82" i="41"/>
  <c r="AN82" i="41"/>
  <c r="AM82" i="41"/>
  <c r="AQ81" i="41"/>
  <c r="AP81" i="41"/>
  <c r="AO81" i="41"/>
  <c r="AN81" i="41"/>
  <c r="AM81" i="41"/>
  <c r="AQ80" i="41"/>
  <c r="AP80" i="41"/>
  <c r="AO80" i="41"/>
  <c r="AN80" i="41"/>
  <c r="AM80" i="41"/>
  <c r="AQ79" i="41"/>
  <c r="AP79" i="41"/>
  <c r="AO79" i="41"/>
  <c r="AN79" i="41"/>
  <c r="AM79" i="41"/>
  <c r="AQ78" i="41"/>
  <c r="AP78" i="41"/>
  <c r="AO78" i="41"/>
  <c r="AN78" i="41"/>
  <c r="AM78" i="41"/>
  <c r="AQ77" i="41"/>
  <c r="AP77" i="41"/>
  <c r="AO77" i="41"/>
  <c r="AN77" i="41"/>
  <c r="AM77" i="41"/>
  <c r="AQ76" i="41"/>
  <c r="AP76" i="41"/>
  <c r="AO76" i="41"/>
  <c r="AN76" i="41"/>
  <c r="AM76" i="41"/>
  <c r="AQ75" i="41"/>
  <c r="AP75" i="41"/>
  <c r="AO75" i="41"/>
  <c r="AN75" i="41"/>
  <c r="AM75" i="41"/>
  <c r="AQ74" i="41"/>
  <c r="AP74" i="41"/>
  <c r="AO74" i="41"/>
  <c r="AN74" i="41"/>
  <c r="AM74" i="41"/>
  <c r="AQ73" i="41"/>
  <c r="AP73" i="41"/>
  <c r="AO73" i="41"/>
  <c r="AN73" i="41"/>
  <c r="AM73" i="41"/>
  <c r="AQ72" i="41"/>
  <c r="AP72" i="41"/>
  <c r="AO72" i="41"/>
  <c r="AN72" i="41"/>
  <c r="AM72" i="41"/>
  <c r="AQ71" i="41"/>
  <c r="AP71" i="41"/>
  <c r="AO71" i="41"/>
  <c r="AN71" i="41"/>
  <c r="AM71" i="41"/>
  <c r="AQ70" i="41"/>
  <c r="AP70" i="41"/>
  <c r="AO70" i="41"/>
  <c r="AN70" i="41"/>
  <c r="AM70" i="41"/>
  <c r="AQ69" i="41"/>
  <c r="AP69" i="41"/>
  <c r="AO69" i="41"/>
  <c r="AN69" i="41"/>
  <c r="AM69" i="41"/>
  <c r="AQ68" i="41"/>
  <c r="AP68" i="41"/>
  <c r="AO68" i="41"/>
  <c r="AN68" i="41"/>
  <c r="AM68" i="41"/>
  <c r="AQ67" i="41"/>
  <c r="AP67" i="41"/>
  <c r="AO67" i="41"/>
  <c r="AN67" i="41"/>
  <c r="AM67" i="41"/>
  <c r="AQ66" i="41"/>
  <c r="AP66" i="41"/>
  <c r="AO66" i="41"/>
  <c r="AN66" i="41"/>
  <c r="AM66" i="41"/>
  <c r="AQ65" i="41"/>
  <c r="AP65" i="41"/>
  <c r="AO65" i="41"/>
  <c r="AN65" i="41"/>
  <c r="AM65" i="41"/>
  <c r="AQ64" i="41"/>
  <c r="AP64" i="41"/>
  <c r="AO64" i="41"/>
  <c r="AN64" i="41"/>
  <c r="AM64" i="41"/>
  <c r="AQ63" i="41"/>
  <c r="AP63" i="41"/>
  <c r="AO63" i="41"/>
  <c r="AN63" i="41"/>
  <c r="AM63" i="41"/>
  <c r="AQ62" i="41"/>
  <c r="AP62" i="41"/>
  <c r="AO62" i="41"/>
  <c r="AN62" i="41"/>
  <c r="AM62" i="41"/>
  <c r="AQ61" i="41"/>
  <c r="AP61" i="41"/>
  <c r="AO61" i="41"/>
  <c r="AN61" i="41"/>
  <c r="AM61" i="41"/>
  <c r="AQ60" i="41"/>
  <c r="AP60" i="41"/>
  <c r="AO60" i="41"/>
  <c r="AN60" i="41"/>
  <c r="AM60" i="41"/>
  <c r="AQ59" i="41"/>
  <c r="AP59" i="41"/>
  <c r="AO59" i="41"/>
  <c r="AN59" i="41"/>
  <c r="AM59" i="41"/>
  <c r="AQ58" i="41"/>
  <c r="AP58" i="41"/>
  <c r="AO58" i="41"/>
  <c r="AN58" i="41"/>
  <c r="AM58" i="41"/>
  <c r="AQ57" i="41"/>
  <c r="AP57" i="41"/>
  <c r="AO57" i="41"/>
  <c r="AN57" i="41"/>
  <c r="AM57" i="41"/>
  <c r="AQ56" i="41"/>
  <c r="AP56" i="41"/>
  <c r="AO56" i="41"/>
  <c r="AN56" i="41"/>
  <c r="AM56" i="41"/>
  <c r="AQ55" i="41"/>
  <c r="AP55" i="41"/>
  <c r="AO55" i="41"/>
  <c r="AN55" i="41"/>
  <c r="AM55" i="41"/>
  <c r="AQ54" i="41"/>
  <c r="AP54" i="41"/>
  <c r="AO54" i="41"/>
  <c r="AN54" i="41"/>
  <c r="AM54" i="41"/>
  <c r="AQ53" i="41"/>
  <c r="AP53" i="41"/>
  <c r="AO53" i="41"/>
  <c r="AN53" i="41"/>
  <c r="AM53" i="41"/>
  <c r="AQ52" i="41"/>
  <c r="AP52" i="41"/>
  <c r="AO52" i="41"/>
  <c r="AN52" i="41"/>
  <c r="AM52" i="41"/>
  <c r="AQ51" i="41"/>
  <c r="AP51" i="41"/>
  <c r="AO51" i="41"/>
  <c r="AN51" i="41"/>
  <c r="AM51" i="41"/>
  <c r="AQ50" i="41"/>
  <c r="AP50" i="41"/>
  <c r="AO50" i="41"/>
  <c r="AN50" i="41"/>
  <c r="AM50" i="41"/>
  <c r="AQ49" i="41"/>
  <c r="AP49" i="41"/>
  <c r="AO49" i="41"/>
  <c r="AN49" i="41"/>
  <c r="AM49" i="41"/>
  <c r="AQ48" i="41"/>
  <c r="AP48" i="41"/>
  <c r="AO48" i="41"/>
  <c r="AN48" i="41"/>
  <c r="AM48" i="41"/>
  <c r="AQ47" i="41"/>
  <c r="AP47" i="41"/>
  <c r="AO47" i="41"/>
  <c r="AN47" i="41"/>
  <c r="AM47" i="41"/>
  <c r="AQ46" i="41"/>
  <c r="AP46" i="41"/>
  <c r="AO46" i="41"/>
  <c r="AN46" i="41"/>
  <c r="AM46" i="41"/>
  <c r="AQ45" i="41"/>
  <c r="AP45" i="41"/>
  <c r="AO45" i="41"/>
  <c r="AN45" i="41"/>
  <c r="AM45" i="41"/>
  <c r="AQ44" i="41"/>
  <c r="AP44" i="41"/>
  <c r="AO44" i="41"/>
  <c r="AN44" i="41"/>
  <c r="AM44" i="41"/>
  <c r="AQ43" i="41"/>
  <c r="AP43" i="41"/>
  <c r="AO43" i="41"/>
  <c r="AN43" i="41"/>
  <c r="AM43" i="41"/>
  <c r="AQ42" i="41"/>
  <c r="AP42" i="41"/>
  <c r="AO42" i="41"/>
  <c r="AN42" i="41"/>
  <c r="AM42" i="41"/>
  <c r="AQ41" i="41"/>
  <c r="AP41" i="41"/>
  <c r="AO41" i="41"/>
  <c r="AN41" i="41"/>
  <c r="AM41" i="41"/>
  <c r="AQ40" i="41"/>
  <c r="AP40" i="41"/>
  <c r="AO40" i="41"/>
  <c r="AN40" i="41"/>
  <c r="AM40" i="41"/>
  <c r="AQ39" i="41"/>
  <c r="AP39" i="41"/>
  <c r="AO39" i="41"/>
  <c r="AN39" i="41"/>
  <c r="AM39" i="41"/>
  <c r="AQ38" i="41"/>
  <c r="AP38" i="41"/>
  <c r="AO38" i="41"/>
  <c r="AN38" i="41"/>
  <c r="AM38" i="41"/>
  <c r="AQ37" i="41"/>
  <c r="AP37" i="41"/>
  <c r="AO37" i="41"/>
  <c r="AN37" i="41"/>
  <c r="AM37" i="41"/>
  <c r="AQ36" i="41"/>
  <c r="AP36" i="41"/>
  <c r="AO36" i="41"/>
  <c r="AN36" i="41"/>
  <c r="AM36" i="41"/>
  <c r="AQ35" i="41"/>
  <c r="AP35" i="41"/>
  <c r="AO35" i="41"/>
  <c r="AN35" i="41"/>
  <c r="AM35" i="41"/>
  <c r="AQ34" i="41"/>
  <c r="AP34" i="41"/>
  <c r="AO34" i="41"/>
  <c r="AN34" i="41"/>
  <c r="AM34" i="41"/>
  <c r="AQ33" i="41"/>
  <c r="AP33" i="41"/>
  <c r="AO33" i="41"/>
  <c r="AN33" i="41"/>
  <c r="AM33" i="41"/>
  <c r="AQ32" i="41"/>
  <c r="AP32" i="41"/>
  <c r="AO32" i="41"/>
  <c r="AN32" i="41"/>
  <c r="AM32" i="41"/>
  <c r="AQ31" i="41"/>
  <c r="AP31" i="41"/>
  <c r="AO31" i="41"/>
  <c r="AN31" i="41"/>
  <c r="AM31" i="41"/>
  <c r="AQ30" i="41"/>
  <c r="AP30" i="41"/>
  <c r="AO30" i="41"/>
  <c r="AN30" i="41"/>
  <c r="AM30" i="41"/>
  <c r="AQ29" i="41"/>
  <c r="AP29" i="41"/>
  <c r="AO29" i="41"/>
  <c r="AN29" i="41"/>
  <c r="AM29" i="41"/>
  <c r="AQ28" i="41"/>
  <c r="AP28" i="41"/>
  <c r="AO28" i="41"/>
  <c r="AN28" i="41"/>
  <c r="AM28" i="41"/>
  <c r="AQ27" i="41"/>
  <c r="AP27" i="41"/>
  <c r="AO27" i="41"/>
  <c r="AN27" i="41"/>
  <c r="AM27" i="41"/>
  <c r="AQ26" i="41"/>
  <c r="AP26" i="41"/>
  <c r="AO26" i="41"/>
  <c r="AN26" i="41"/>
  <c r="AM26" i="41"/>
  <c r="AQ25" i="41"/>
  <c r="AP25" i="41"/>
  <c r="AO25" i="41"/>
  <c r="AN25" i="41"/>
  <c r="AM25" i="41"/>
  <c r="AQ24" i="41"/>
  <c r="AP24" i="41"/>
  <c r="AO24" i="41"/>
  <c r="AN24" i="41"/>
  <c r="AM24" i="41"/>
  <c r="AQ23" i="41"/>
  <c r="AP23" i="41"/>
  <c r="AO23" i="41"/>
  <c r="AN23" i="41"/>
  <c r="AM23" i="41"/>
  <c r="AQ22" i="41"/>
  <c r="AP22" i="41"/>
  <c r="AO22" i="41"/>
  <c r="AN22" i="41"/>
  <c r="AM22" i="41"/>
  <c r="AQ21" i="41"/>
  <c r="AP21" i="41"/>
  <c r="AO21" i="41"/>
  <c r="AN21" i="41"/>
  <c r="AM21" i="41"/>
  <c r="AQ20" i="41"/>
  <c r="AP20" i="41"/>
  <c r="AO20" i="41"/>
  <c r="AN20" i="41"/>
  <c r="AM20" i="41"/>
  <c r="AQ19" i="41"/>
  <c r="AP19" i="41"/>
  <c r="AO19" i="41"/>
  <c r="AN19" i="41"/>
  <c r="AM19" i="41"/>
  <c r="AQ18" i="41"/>
  <c r="AP18" i="41"/>
  <c r="AO18" i="41"/>
  <c r="AN18" i="41"/>
  <c r="AM18" i="41"/>
  <c r="AQ17" i="41"/>
  <c r="AP17" i="41"/>
  <c r="AO17" i="41"/>
  <c r="AN17" i="41"/>
  <c r="AM17" i="41"/>
  <c r="AQ16" i="41"/>
  <c r="AP16" i="41"/>
  <c r="AO16" i="41"/>
  <c r="AN16" i="41"/>
  <c r="AM16" i="41"/>
  <c r="AQ15" i="41"/>
  <c r="AP15" i="41"/>
  <c r="AO15" i="41"/>
  <c r="AN15" i="41"/>
  <c r="AM15" i="41"/>
  <c r="AQ14" i="41"/>
  <c r="AP14" i="41"/>
  <c r="AO14" i="41"/>
  <c r="AN14" i="41"/>
  <c r="AM14" i="41"/>
  <c r="AQ13" i="41"/>
  <c r="AP13" i="41"/>
  <c r="AO13" i="41"/>
  <c r="AN13" i="41"/>
  <c r="AM13" i="41"/>
  <c r="AQ12" i="41"/>
  <c r="AP12" i="41"/>
  <c r="AO12" i="41"/>
  <c r="AN12" i="41"/>
  <c r="AM12" i="41"/>
  <c r="AQ11" i="41"/>
  <c r="AP11" i="41"/>
  <c r="AO11" i="41"/>
  <c r="AN11" i="41"/>
  <c r="AM11" i="41"/>
  <c r="AQ10" i="41"/>
  <c r="AP10" i="41"/>
  <c r="AO10" i="41"/>
  <c r="AN10" i="41"/>
  <c r="AM10" i="41"/>
  <c r="AQ9" i="41"/>
  <c r="AP9" i="41"/>
  <c r="AO9" i="41"/>
  <c r="AN9" i="41"/>
  <c r="AM9" i="41"/>
  <c r="AQ8" i="41"/>
  <c r="AP8" i="41"/>
  <c r="AO8" i="41"/>
  <c r="AN8" i="41"/>
  <c r="AM8" i="41"/>
  <c r="AQ7" i="41"/>
  <c r="AP7" i="41"/>
  <c r="AO7" i="41"/>
  <c r="AN7" i="41"/>
  <c r="AM7" i="41"/>
  <c r="AQ6" i="41"/>
  <c r="AP6" i="41"/>
  <c r="AO6" i="41"/>
  <c r="AN6" i="41"/>
  <c r="AM6" i="41"/>
  <c r="AQ5" i="41"/>
  <c r="AP5" i="41"/>
  <c r="AO5" i="41"/>
  <c r="AN5" i="41"/>
  <c r="AM5" i="41"/>
  <c r="AL149" i="41"/>
  <c r="AK149" i="41"/>
  <c r="AJ149" i="41"/>
  <c r="AI149" i="41"/>
  <c r="AH149" i="41"/>
  <c r="AL148" i="41"/>
  <c r="AK148" i="41"/>
  <c r="AJ148" i="41"/>
  <c r="AI148" i="41"/>
  <c r="AH148" i="41"/>
  <c r="AL147" i="41"/>
  <c r="AK147" i="41"/>
  <c r="AJ147" i="41"/>
  <c r="AI147" i="41"/>
  <c r="AH147" i="41"/>
  <c r="AL146" i="41"/>
  <c r="AK146" i="41"/>
  <c r="AJ146" i="41"/>
  <c r="AI146" i="41"/>
  <c r="AH146" i="41"/>
  <c r="AL145" i="41"/>
  <c r="AK145" i="41"/>
  <c r="AJ145" i="41"/>
  <c r="AI145" i="41"/>
  <c r="AH145" i="41"/>
  <c r="AL144" i="41"/>
  <c r="AK144" i="41"/>
  <c r="AJ144" i="41"/>
  <c r="AI144" i="41"/>
  <c r="AH144" i="41"/>
  <c r="AL143" i="41"/>
  <c r="AK143" i="41"/>
  <c r="AJ143" i="41"/>
  <c r="AI143" i="41"/>
  <c r="AH143" i="41"/>
  <c r="AL142" i="41"/>
  <c r="AK142" i="41"/>
  <c r="AJ142" i="41"/>
  <c r="AI142" i="41"/>
  <c r="AH142" i="41"/>
  <c r="AL141" i="41"/>
  <c r="AK141" i="41"/>
  <c r="AJ141" i="41"/>
  <c r="AI141" i="41"/>
  <c r="AH141" i="41"/>
  <c r="AL140" i="41"/>
  <c r="AK140" i="41"/>
  <c r="AJ140" i="41"/>
  <c r="AI140" i="41"/>
  <c r="AH140" i="41"/>
  <c r="AL139" i="41"/>
  <c r="AK139" i="41"/>
  <c r="AJ139" i="41"/>
  <c r="AI139" i="41"/>
  <c r="AH139" i="41"/>
  <c r="AL138" i="41"/>
  <c r="AK138" i="41"/>
  <c r="AJ138" i="41"/>
  <c r="AI138" i="41"/>
  <c r="AH138" i="41"/>
  <c r="AL137" i="41"/>
  <c r="AK137" i="41"/>
  <c r="AJ137" i="41"/>
  <c r="AI137" i="41"/>
  <c r="AH137" i="41"/>
  <c r="AL136" i="41"/>
  <c r="AK136" i="41"/>
  <c r="AJ136" i="41"/>
  <c r="AI136" i="41"/>
  <c r="AH136" i="41"/>
  <c r="AL135" i="41"/>
  <c r="AK135" i="41"/>
  <c r="AJ135" i="41"/>
  <c r="AI135" i="41"/>
  <c r="AH135" i="41"/>
  <c r="AL134" i="41"/>
  <c r="AK134" i="41"/>
  <c r="AJ134" i="41"/>
  <c r="AI134" i="41"/>
  <c r="AH134" i="41"/>
  <c r="AL133" i="41"/>
  <c r="AK133" i="41"/>
  <c r="AJ133" i="41"/>
  <c r="AI133" i="41"/>
  <c r="AH133" i="41"/>
  <c r="AL132" i="41"/>
  <c r="AK132" i="41"/>
  <c r="AJ132" i="41"/>
  <c r="AI132" i="41"/>
  <c r="AH132" i="41"/>
  <c r="AL131" i="41"/>
  <c r="AK131" i="41"/>
  <c r="AJ131" i="41"/>
  <c r="AI131" i="41"/>
  <c r="AH131" i="41"/>
  <c r="AL130" i="41"/>
  <c r="AK130" i="41"/>
  <c r="AJ130" i="41"/>
  <c r="AI130" i="41"/>
  <c r="AH130" i="41"/>
  <c r="AL129" i="41"/>
  <c r="AK129" i="41"/>
  <c r="AJ129" i="41"/>
  <c r="AI129" i="41"/>
  <c r="AH129" i="41"/>
  <c r="AL128" i="41"/>
  <c r="AK128" i="41"/>
  <c r="AJ128" i="41"/>
  <c r="AI128" i="41"/>
  <c r="AH128" i="41"/>
  <c r="AL127" i="41"/>
  <c r="AK127" i="41"/>
  <c r="AJ127" i="41"/>
  <c r="AI127" i="41"/>
  <c r="AH127" i="41"/>
  <c r="AL126" i="41"/>
  <c r="AK126" i="41"/>
  <c r="AJ126" i="41"/>
  <c r="AI126" i="41"/>
  <c r="AH126" i="41"/>
  <c r="AL125" i="41"/>
  <c r="AK125" i="41"/>
  <c r="AJ125" i="41"/>
  <c r="AI125" i="41"/>
  <c r="AH125" i="41"/>
  <c r="AL124" i="41"/>
  <c r="AK124" i="41"/>
  <c r="AJ124" i="41"/>
  <c r="AI124" i="41"/>
  <c r="AH124" i="41"/>
  <c r="AL123" i="41"/>
  <c r="AK123" i="41"/>
  <c r="AJ123" i="41"/>
  <c r="AI123" i="41"/>
  <c r="AH123" i="41"/>
  <c r="AL122" i="41"/>
  <c r="AK122" i="41"/>
  <c r="AJ122" i="41"/>
  <c r="AI122" i="41"/>
  <c r="AH122" i="41"/>
  <c r="AL121" i="41"/>
  <c r="AK121" i="41"/>
  <c r="AJ121" i="41"/>
  <c r="AI121" i="41"/>
  <c r="AH121" i="41"/>
  <c r="AL120" i="41"/>
  <c r="AK120" i="41"/>
  <c r="AJ120" i="41"/>
  <c r="AI120" i="41"/>
  <c r="AH120" i="41"/>
  <c r="AL119" i="41"/>
  <c r="AK119" i="41"/>
  <c r="AJ119" i="41"/>
  <c r="AI119" i="41"/>
  <c r="AH119" i="41"/>
  <c r="AL118" i="41"/>
  <c r="AK118" i="41"/>
  <c r="AJ118" i="41"/>
  <c r="AI118" i="41"/>
  <c r="AH118" i="41"/>
  <c r="AL117" i="41"/>
  <c r="AK117" i="41"/>
  <c r="AJ117" i="41"/>
  <c r="AI117" i="41"/>
  <c r="AH117" i="41"/>
  <c r="AL116" i="41"/>
  <c r="AK116" i="41"/>
  <c r="AJ116" i="41"/>
  <c r="AI116" i="41"/>
  <c r="AH116" i="41"/>
  <c r="AL115" i="41"/>
  <c r="AK115" i="41"/>
  <c r="AJ115" i="41"/>
  <c r="AI115" i="41"/>
  <c r="AH115" i="41"/>
  <c r="AL114" i="41"/>
  <c r="AK114" i="41"/>
  <c r="AJ114" i="41"/>
  <c r="AI114" i="41"/>
  <c r="AH114" i="41"/>
  <c r="AL113" i="41"/>
  <c r="AK113" i="41"/>
  <c r="AJ113" i="41"/>
  <c r="AI113" i="41"/>
  <c r="AH113" i="41"/>
  <c r="AL112" i="41"/>
  <c r="AK112" i="41"/>
  <c r="AJ112" i="41"/>
  <c r="AI112" i="41"/>
  <c r="AH112" i="41"/>
  <c r="AL111" i="41"/>
  <c r="AK111" i="41"/>
  <c r="AJ111" i="41"/>
  <c r="AI111" i="41"/>
  <c r="AH111" i="41"/>
  <c r="AL110" i="41"/>
  <c r="AK110" i="41"/>
  <c r="AJ110" i="41"/>
  <c r="AI110" i="41"/>
  <c r="AH110" i="41"/>
  <c r="AL109" i="41"/>
  <c r="AK109" i="41"/>
  <c r="AJ109" i="41"/>
  <c r="AI109" i="41"/>
  <c r="AH109" i="41"/>
  <c r="AL108" i="41"/>
  <c r="AK108" i="41"/>
  <c r="AJ108" i="41"/>
  <c r="AI108" i="41"/>
  <c r="AH108" i="41"/>
  <c r="AL107" i="41"/>
  <c r="AK107" i="41"/>
  <c r="AJ107" i="41"/>
  <c r="AI107" i="41"/>
  <c r="AH107" i="41"/>
  <c r="AL106" i="41"/>
  <c r="AK106" i="41"/>
  <c r="AJ106" i="41"/>
  <c r="AI106" i="41"/>
  <c r="AH106" i="41"/>
  <c r="AL105" i="41"/>
  <c r="AK105" i="41"/>
  <c r="AJ105" i="41"/>
  <c r="AI105" i="41"/>
  <c r="AH105" i="41"/>
  <c r="AL104" i="41"/>
  <c r="AK104" i="41"/>
  <c r="AJ104" i="41"/>
  <c r="AI104" i="41"/>
  <c r="AH104" i="41"/>
  <c r="AL103" i="41"/>
  <c r="AK103" i="41"/>
  <c r="AJ103" i="41"/>
  <c r="AI103" i="41"/>
  <c r="AH103" i="41"/>
  <c r="AL102" i="41"/>
  <c r="AK102" i="41"/>
  <c r="AJ102" i="41"/>
  <c r="AI102" i="41"/>
  <c r="AH102" i="41"/>
  <c r="AL101" i="41"/>
  <c r="AK101" i="41"/>
  <c r="AJ101" i="41"/>
  <c r="AI101" i="41"/>
  <c r="AH101" i="41"/>
  <c r="AL100" i="41"/>
  <c r="AK100" i="41"/>
  <c r="AJ100" i="41"/>
  <c r="AI100" i="41"/>
  <c r="AH100" i="41"/>
  <c r="AL99" i="41"/>
  <c r="AK99" i="41"/>
  <c r="AJ99" i="41"/>
  <c r="AI99" i="41"/>
  <c r="AH99" i="41"/>
  <c r="AL98" i="41"/>
  <c r="AK98" i="41"/>
  <c r="AJ98" i="41"/>
  <c r="AI98" i="41"/>
  <c r="AH98" i="41"/>
  <c r="AL97" i="41"/>
  <c r="AK97" i="41"/>
  <c r="AJ97" i="41"/>
  <c r="AI97" i="41"/>
  <c r="AH97" i="41"/>
  <c r="AL96" i="41"/>
  <c r="AK96" i="41"/>
  <c r="AJ96" i="41"/>
  <c r="AI96" i="41"/>
  <c r="AH96" i="41"/>
  <c r="AL95" i="41"/>
  <c r="AK95" i="41"/>
  <c r="AJ95" i="41"/>
  <c r="AI95" i="41"/>
  <c r="AH95" i="41"/>
  <c r="AL94" i="41"/>
  <c r="AK94" i="41"/>
  <c r="AJ94" i="41"/>
  <c r="AI94" i="41"/>
  <c r="AH94" i="41"/>
  <c r="AL93" i="41"/>
  <c r="AK93" i="41"/>
  <c r="AJ93" i="41"/>
  <c r="AI93" i="41"/>
  <c r="AH93" i="41"/>
  <c r="AL92" i="41"/>
  <c r="AK92" i="41"/>
  <c r="AJ92" i="41"/>
  <c r="AI92" i="41"/>
  <c r="AH92" i="41"/>
  <c r="AL91" i="41"/>
  <c r="AK91" i="41"/>
  <c r="AJ91" i="41"/>
  <c r="AI91" i="41"/>
  <c r="AH91" i="41"/>
  <c r="AL90" i="41"/>
  <c r="AK90" i="41"/>
  <c r="AJ90" i="41"/>
  <c r="AI90" i="41"/>
  <c r="AH90" i="41"/>
  <c r="AL89" i="41"/>
  <c r="AK89" i="41"/>
  <c r="AJ89" i="41"/>
  <c r="AI89" i="41"/>
  <c r="AH89" i="41"/>
  <c r="AL88" i="41"/>
  <c r="AK88" i="41"/>
  <c r="AJ88" i="41"/>
  <c r="AI88" i="41"/>
  <c r="AH88" i="41"/>
  <c r="AL87" i="41"/>
  <c r="AK87" i="41"/>
  <c r="AJ87" i="41"/>
  <c r="AI87" i="41"/>
  <c r="AH87" i="41"/>
  <c r="AL86" i="41"/>
  <c r="AK86" i="41"/>
  <c r="AJ86" i="41"/>
  <c r="AI86" i="41"/>
  <c r="AH86" i="41"/>
  <c r="AL85" i="41"/>
  <c r="AK85" i="41"/>
  <c r="AJ85" i="41"/>
  <c r="AI85" i="41"/>
  <c r="AH85" i="41"/>
  <c r="AL84" i="41"/>
  <c r="AK84" i="41"/>
  <c r="AJ84" i="41"/>
  <c r="AI84" i="41"/>
  <c r="AH84" i="41"/>
  <c r="AL83" i="41"/>
  <c r="AK83" i="41"/>
  <c r="AJ83" i="41"/>
  <c r="AI83" i="41"/>
  <c r="AH83" i="41"/>
  <c r="AL82" i="41"/>
  <c r="AK82" i="41"/>
  <c r="AJ82" i="41"/>
  <c r="AI82" i="41"/>
  <c r="AH82" i="41"/>
  <c r="AL81" i="41"/>
  <c r="AK81" i="41"/>
  <c r="AJ81" i="41"/>
  <c r="AI81" i="41"/>
  <c r="AH81" i="41"/>
  <c r="AL80" i="41"/>
  <c r="AK80" i="41"/>
  <c r="AJ80" i="41"/>
  <c r="AI80" i="41"/>
  <c r="AH80" i="41"/>
  <c r="AL79" i="41"/>
  <c r="AK79" i="41"/>
  <c r="AJ79" i="41"/>
  <c r="AI79" i="41"/>
  <c r="AH79" i="41"/>
  <c r="AL78" i="41"/>
  <c r="AK78" i="41"/>
  <c r="AJ78" i="41"/>
  <c r="AI78" i="41"/>
  <c r="AH78" i="41"/>
  <c r="AL77" i="41"/>
  <c r="AK77" i="41"/>
  <c r="AJ77" i="41"/>
  <c r="AI77" i="41"/>
  <c r="AH77" i="41"/>
  <c r="AL76" i="41"/>
  <c r="AK76" i="41"/>
  <c r="AJ76" i="41"/>
  <c r="AI76" i="41"/>
  <c r="AH76" i="41"/>
  <c r="AL75" i="41"/>
  <c r="AK75" i="41"/>
  <c r="AJ75" i="41"/>
  <c r="AI75" i="41"/>
  <c r="AH75" i="41"/>
  <c r="AL74" i="41"/>
  <c r="AK74" i="41"/>
  <c r="AJ74" i="41"/>
  <c r="AI74" i="41"/>
  <c r="AH74" i="41"/>
  <c r="AL73" i="41"/>
  <c r="AK73" i="41"/>
  <c r="AJ73" i="41"/>
  <c r="AI73" i="41"/>
  <c r="AH73" i="41"/>
  <c r="AL72" i="41"/>
  <c r="AK72" i="41"/>
  <c r="AJ72" i="41"/>
  <c r="AI72" i="41"/>
  <c r="AH72" i="41"/>
  <c r="AL71" i="41"/>
  <c r="AK71" i="41"/>
  <c r="AJ71" i="41"/>
  <c r="AI71" i="41"/>
  <c r="AH71" i="41"/>
  <c r="AL70" i="41"/>
  <c r="AK70" i="41"/>
  <c r="AJ70" i="41"/>
  <c r="AI70" i="41"/>
  <c r="AH70" i="41"/>
  <c r="AL69" i="41"/>
  <c r="AK69" i="41"/>
  <c r="AJ69" i="41"/>
  <c r="AI69" i="41"/>
  <c r="AH69" i="41"/>
  <c r="AL68" i="41"/>
  <c r="AK68" i="41"/>
  <c r="AJ68" i="41"/>
  <c r="AI68" i="41"/>
  <c r="AH68" i="41"/>
  <c r="AL67" i="41"/>
  <c r="AK67" i="41"/>
  <c r="AJ67" i="41"/>
  <c r="AI67" i="41"/>
  <c r="AH67" i="41"/>
  <c r="AL66" i="41"/>
  <c r="AK66" i="41"/>
  <c r="AJ66" i="41"/>
  <c r="AI66" i="41"/>
  <c r="AH66" i="41"/>
  <c r="AL65" i="41"/>
  <c r="AK65" i="41"/>
  <c r="AJ65" i="41"/>
  <c r="AI65" i="41"/>
  <c r="AH65" i="41"/>
  <c r="AL64" i="41"/>
  <c r="AK64" i="41"/>
  <c r="AJ64" i="41"/>
  <c r="AI64" i="41"/>
  <c r="AH64" i="41"/>
  <c r="AL63" i="41"/>
  <c r="AK63" i="41"/>
  <c r="AJ63" i="41"/>
  <c r="AI63" i="41"/>
  <c r="AH63" i="41"/>
  <c r="AL62" i="41"/>
  <c r="AK62" i="41"/>
  <c r="AJ62" i="41"/>
  <c r="AI62" i="41"/>
  <c r="AH62" i="41"/>
  <c r="AL61" i="41"/>
  <c r="AK61" i="41"/>
  <c r="AJ61" i="41"/>
  <c r="AI61" i="41"/>
  <c r="AH61" i="41"/>
  <c r="AL60" i="41"/>
  <c r="AK60" i="41"/>
  <c r="AJ60" i="41"/>
  <c r="AI60" i="41"/>
  <c r="AH60" i="41"/>
  <c r="AL59" i="41"/>
  <c r="AK59" i="41"/>
  <c r="AJ59" i="41"/>
  <c r="AI59" i="41"/>
  <c r="AH59" i="41"/>
  <c r="AL58" i="41"/>
  <c r="AK58" i="41"/>
  <c r="AJ58" i="41"/>
  <c r="AI58" i="41"/>
  <c r="AH58" i="41"/>
  <c r="AL57" i="41"/>
  <c r="AK57" i="41"/>
  <c r="AJ57" i="41"/>
  <c r="AI57" i="41"/>
  <c r="AH57" i="41"/>
  <c r="AL56" i="41"/>
  <c r="AK56" i="41"/>
  <c r="AJ56" i="41"/>
  <c r="AI56" i="41"/>
  <c r="AH56" i="41"/>
  <c r="AL55" i="41"/>
  <c r="AK55" i="41"/>
  <c r="AJ55" i="41"/>
  <c r="AI55" i="41"/>
  <c r="AH55" i="41"/>
  <c r="AL54" i="41"/>
  <c r="AK54" i="41"/>
  <c r="AJ54" i="41"/>
  <c r="AI54" i="41"/>
  <c r="AH54" i="41"/>
  <c r="AL53" i="41"/>
  <c r="AK53" i="41"/>
  <c r="AJ53" i="41"/>
  <c r="AI53" i="41"/>
  <c r="AH53" i="41"/>
  <c r="AL52" i="41"/>
  <c r="AK52" i="41"/>
  <c r="AJ52" i="41"/>
  <c r="AI52" i="41"/>
  <c r="AH52" i="41"/>
  <c r="AL51" i="41"/>
  <c r="AK51" i="41"/>
  <c r="AJ51" i="41"/>
  <c r="AI51" i="41"/>
  <c r="AH51" i="41"/>
  <c r="AL50" i="41"/>
  <c r="AK50" i="41"/>
  <c r="AJ50" i="41"/>
  <c r="AI50" i="41"/>
  <c r="AH50" i="41"/>
  <c r="AL49" i="41"/>
  <c r="AK49" i="41"/>
  <c r="AJ49" i="41"/>
  <c r="AI49" i="41"/>
  <c r="AH49" i="41"/>
  <c r="AL48" i="41"/>
  <c r="AK48" i="41"/>
  <c r="AJ48" i="41"/>
  <c r="AI48" i="41"/>
  <c r="AH48" i="41"/>
  <c r="AL47" i="41"/>
  <c r="AK47" i="41"/>
  <c r="AJ47" i="41"/>
  <c r="AI47" i="41"/>
  <c r="AH47" i="41"/>
  <c r="AL46" i="41"/>
  <c r="AK46" i="41"/>
  <c r="AJ46" i="41"/>
  <c r="AI46" i="41"/>
  <c r="AH46" i="41"/>
  <c r="AL45" i="41"/>
  <c r="AK45" i="41"/>
  <c r="AJ45" i="41"/>
  <c r="AI45" i="41"/>
  <c r="AH45" i="41"/>
  <c r="AL44" i="41"/>
  <c r="AK44" i="41"/>
  <c r="AJ44" i="41"/>
  <c r="AI44" i="41"/>
  <c r="AH44" i="41"/>
  <c r="AL43" i="41"/>
  <c r="AK43" i="41"/>
  <c r="AJ43" i="41"/>
  <c r="AI43" i="41"/>
  <c r="AH43" i="41"/>
  <c r="AL42" i="41"/>
  <c r="AK42" i="41"/>
  <c r="AJ42" i="41"/>
  <c r="AI42" i="41"/>
  <c r="AH42" i="41"/>
  <c r="AL41" i="41"/>
  <c r="AK41" i="41"/>
  <c r="AJ41" i="41"/>
  <c r="AI41" i="41"/>
  <c r="AH41" i="41"/>
  <c r="AL40" i="41"/>
  <c r="AK40" i="41"/>
  <c r="AJ40" i="41"/>
  <c r="AI40" i="41"/>
  <c r="AH40" i="41"/>
  <c r="AL39" i="41"/>
  <c r="AK39" i="41"/>
  <c r="AJ39" i="41"/>
  <c r="AI39" i="41"/>
  <c r="AH39" i="41"/>
  <c r="AL38" i="41"/>
  <c r="AK38" i="41"/>
  <c r="AJ38" i="41"/>
  <c r="AI38" i="41"/>
  <c r="AH38" i="41"/>
  <c r="AL37" i="41"/>
  <c r="AK37" i="41"/>
  <c r="AJ37" i="41"/>
  <c r="AI37" i="41"/>
  <c r="AH37" i="41"/>
  <c r="AL36" i="41"/>
  <c r="AK36" i="41"/>
  <c r="AJ36" i="41"/>
  <c r="AI36" i="41"/>
  <c r="AH36" i="41"/>
  <c r="AL35" i="41"/>
  <c r="AK35" i="41"/>
  <c r="AJ35" i="41"/>
  <c r="AI35" i="41"/>
  <c r="AH35" i="41"/>
  <c r="AL34" i="41"/>
  <c r="AK34" i="41"/>
  <c r="AJ34" i="41"/>
  <c r="AI34" i="41"/>
  <c r="AH34" i="41"/>
  <c r="AL33" i="41"/>
  <c r="AK33" i="41"/>
  <c r="AJ33" i="41"/>
  <c r="AI33" i="41"/>
  <c r="AH33" i="41"/>
  <c r="AL32" i="41"/>
  <c r="AK32" i="41"/>
  <c r="AJ32" i="41"/>
  <c r="AI32" i="41"/>
  <c r="AH32" i="41"/>
  <c r="AL31" i="41"/>
  <c r="AK31" i="41"/>
  <c r="AJ31" i="41"/>
  <c r="AI31" i="41"/>
  <c r="AH31" i="41"/>
  <c r="AL30" i="41"/>
  <c r="AK30" i="41"/>
  <c r="AJ30" i="41"/>
  <c r="AI30" i="41"/>
  <c r="AH30" i="41"/>
  <c r="AL29" i="41"/>
  <c r="AK29" i="41"/>
  <c r="AJ29" i="41"/>
  <c r="AI29" i="41"/>
  <c r="AH29" i="41"/>
  <c r="AL28" i="41"/>
  <c r="AK28" i="41"/>
  <c r="AJ28" i="41"/>
  <c r="AI28" i="41"/>
  <c r="AH28" i="41"/>
  <c r="AL27" i="41"/>
  <c r="AK27" i="41"/>
  <c r="AJ27" i="41"/>
  <c r="AI27" i="41"/>
  <c r="AH27" i="41"/>
  <c r="AL26" i="41"/>
  <c r="AK26" i="41"/>
  <c r="AJ26" i="41"/>
  <c r="AI26" i="41"/>
  <c r="AH26" i="41"/>
  <c r="AL25" i="41"/>
  <c r="AK25" i="41"/>
  <c r="AJ25" i="41"/>
  <c r="AI25" i="41"/>
  <c r="AH25" i="41"/>
  <c r="AL24" i="41"/>
  <c r="AK24" i="41"/>
  <c r="AJ24" i="41"/>
  <c r="AI24" i="41"/>
  <c r="AH24" i="41"/>
  <c r="AL23" i="41"/>
  <c r="AK23" i="41"/>
  <c r="AJ23" i="41"/>
  <c r="AI23" i="41"/>
  <c r="AH23" i="41"/>
  <c r="AL22" i="41"/>
  <c r="AK22" i="41"/>
  <c r="AJ22" i="41"/>
  <c r="AI22" i="41"/>
  <c r="AH22" i="41"/>
  <c r="AL21" i="41"/>
  <c r="AK21" i="41"/>
  <c r="AJ21" i="41"/>
  <c r="AI21" i="41"/>
  <c r="AH21" i="41"/>
  <c r="AL20" i="41"/>
  <c r="AK20" i="41"/>
  <c r="AJ20" i="41"/>
  <c r="AI20" i="41"/>
  <c r="AH20" i="41"/>
  <c r="AL19" i="41"/>
  <c r="AK19" i="41"/>
  <c r="AJ19" i="41"/>
  <c r="AI19" i="41"/>
  <c r="AH19" i="41"/>
  <c r="AL18" i="41"/>
  <c r="AK18" i="41"/>
  <c r="AJ18" i="41"/>
  <c r="AI18" i="41"/>
  <c r="AH18" i="41"/>
  <c r="AL17" i="41"/>
  <c r="AK17" i="41"/>
  <c r="AJ17" i="41"/>
  <c r="AI17" i="41"/>
  <c r="AH17" i="41"/>
  <c r="AL16" i="41"/>
  <c r="AK16" i="41"/>
  <c r="AJ16" i="41"/>
  <c r="AI16" i="41"/>
  <c r="AH16" i="41"/>
  <c r="AL15" i="41"/>
  <c r="AK15" i="41"/>
  <c r="AJ15" i="41"/>
  <c r="AI15" i="41"/>
  <c r="AH15" i="41"/>
  <c r="AL14" i="41"/>
  <c r="AK14" i="41"/>
  <c r="AJ14" i="41"/>
  <c r="AI14" i="41"/>
  <c r="AH14" i="41"/>
  <c r="AL13" i="41"/>
  <c r="AK13" i="41"/>
  <c r="AJ13" i="41"/>
  <c r="AI13" i="41"/>
  <c r="AH13" i="41"/>
  <c r="AL12" i="41"/>
  <c r="AK12" i="41"/>
  <c r="AJ12" i="41"/>
  <c r="AI12" i="41"/>
  <c r="AH12" i="41"/>
  <c r="AL11" i="41"/>
  <c r="AK11" i="41"/>
  <c r="AJ11" i="41"/>
  <c r="AI11" i="41"/>
  <c r="AH11" i="41"/>
  <c r="AL10" i="41"/>
  <c r="AK10" i="41"/>
  <c r="AJ10" i="41"/>
  <c r="AI10" i="41"/>
  <c r="AH10" i="41"/>
  <c r="AL9" i="41"/>
  <c r="AK9" i="41"/>
  <c r="AJ9" i="41"/>
  <c r="AI9" i="41"/>
  <c r="AH9" i="41"/>
  <c r="AL8" i="41"/>
  <c r="AK8" i="41"/>
  <c r="AJ8" i="41"/>
  <c r="AI8" i="41"/>
  <c r="AH8" i="41"/>
  <c r="AL7" i="41"/>
  <c r="AK7" i="41"/>
  <c r="AJ7" i="41"/>
  <c r="AI7" i="41"/>
  <c r="AH7" i="41"/>
  <c r="AL6" i="41"/>
  <c r="AK6" i="41"/>
  <c r="AJ6" i="41"/>
  <c r="AI6" i="41"/>
  <c r="AH6" i="41"/>
  <c r="AL5" i="41"/>
  <c r="AK5" i="41"/>
  <c r="AJ5" i="41"/>
  <c r="AI5" i="41"/>
  <c r="AH5" i="41"/>
  <c r="AG149" i="41"/>
  <c r="AF149" i="41"/>
  <c r="AE149" i="41"/>
  <c r="AD149" i="41"/>
  <c r="AC149" i="41"/>
  <c r="AG148" i="41"/>
  <c r="AF148" i="41"/>
  <c r="AE148" i="41"/>
  <c r="AD148" i="41"/>
  <c r="AC148" i="41"/>
  <c r="AG147" i="41"/>
  <c r="AF147" i="41"/>
  <c r="AE147" i="41"/>
  <c r="AD147" i="41"/>
  <c r="AC147" i="41"/>
  <c r="AG146" i="41"/>
  <c r="AF146" i="41"/>
  <c r="AE146" i="41"/>
  <c r="AD146" i="41"/>
  <c r="AC146" i="41"/>
  <c r="AG145" i="41"/>
  <c r="AF145" i="41"/>
  <c r="AE145" i="41"/>
  <c r="AD145" i="41"/>
  <c r="AC145" i="41"/>
  <c r="AG144" i="41"/>
  <c r="AF144" i="41"/>
  <c r="AE144" i="41"/>
  <c r="AD144" i="41"/>
  <c r="AC144" i="41"/>
  <c r="AG143" i="41"/>
  <c r="AF143" i="41"/>
  <c r="AE143" i="41"/>
  <c r="AD143" i="41"/>
  <c r="AC143" i="41"/>
  <c r="AG142" i="41"/>
  <c r="AF142" i="41"/>
  <c r="AE142" i="41"/>
  <c r="AD142" i="41"/>
  <c r="AC142" i="41"/>
  <c r="AG141" i="41"/>
  <c r="AF141" i="41"/>
  <c r="AE141" i="41"/>
  <c r="AD141" i="41"/>
  <c r="AC141" i="41"/>
  <c r="AG140" i="41"/>
  <c r="AF140" i="41"/>
  <c r="AE140" i="41"/>
  <c r="AD140" i="41"/>
  <c r="AC140" i="41"/>
  <c r="AG139" i="41"/>
  <c r="AF139" i="41"/>
  <c r="AE139" i="41"/>
  <c r="AD139" i="41"/>
  <c r="AC139" i="41"/>
  <c r="AG138" i="41"/>
  <c r="AF138" i="41"/>
  <c r="AE138" i="41"/>
  <c r="AD138" i="41"/>
  <c r="AC138" i="41"/>
  <c r="AG137" i="41"/>
  <c r="AF137" i="41"/>
  <c r="AE137" i="41"/>
  <c r="AD137" i="41"/>
  <c r="AC137" i="41"/>
  <c r="AG136" i="41"/>
  <c r="AF136" i="41"/>
  <c r="AE136" i="41"/>
  <c r="AD136" i="41"/>
  <c r="AC136" i="41"/>
  <c r="AG135" i="41"/>
  <c r="AF135" i="41"/>
  <c r="AE135" i="41"/>
  <c r="AD135" i="41"/>
  <c r="AC135" i="41"/>
  <c r="AG134" i="41"/>
  <c r="AF134" i="41"/>
  <c r="AE134" i="41"/>
  <c r="AD134" i="41"/>
  <c r="AC134" i="41"/>
  <c r="AG133" i="41"/>
  <c r="AF133" i="41"/>
  <c r="AE133" i="41"/>
  <c r="AD133" i="41"/>
  <c r="AC133" i="41"/>
  <c r="AG132" i="41"/>
  <c r="AF132" i="41"/>
  <c r="AE132" i="41"/>
  <c r="AD132" i="41"/>
  <c r="AC132" i="41"/>
  <c r="AG131" i="41"/>
  <c r="AF131" i="41"/>
  <c r="AE131" i="41"/>
  <c r="AD131" i="41"/>
  <c r="AC131" i="41"/>
  <c r="AG130" i="41"/>
  <c r="AF130" i="41"/>
  <c r="AE130" i="41"/>
  <c r="AD130" i="41"/>
  <c r="AC130" i="41"/>
  <c r="AG129" i="41"/>
  <c r="AF129" i="41"/>
  <c r="AE129" i="41"/>
  <c r="AD129" i="41"/>
  <c r="AC129" i="41"/>
  <c r="AG128" i="41"/>
  <c r="AF128" i="41"/>
  <c r="AE128" i="41"/>
  <c r="AD128" i="41"/>
  <c r="AC128" i="41"/>
  <c r="AG127" i="41"/>
  <c r="AF127" i="41"/>
  <c r="AE127" i="41"/>
  <c r="AD127" i="41"/>
  <c r="AC127" i="41"/>
  <c r="AG126" i="41"/>
  <c r="AF126" i="41"/>
  <c r="AE126" i="41"/>
  <c r="AD126" i="41"/>
  <c r="AC126" i="41"/>
  <c r="AG125" i="41"/>
  <c r="AF125" i="41"/>
  <c r="AE125" i="41"/>
  <c r="AD125" i="41"/>
  <c r="AC125" i="41"/>
  <c r="AG124" i="41"/>
  <c r="AF124" i="41"/>
  <c r="AE124" i="41"/>
  <c r="AD124" i="41"/>
  <c r="AC124" i="41"/>
  <c r="AG123" i="41"/>
  <c r="AF123" i="41"/>
  <c r="AE123" i="41"/>
  <c r="AD123" i="41"/>
  <c r="AC123" i="41"/>
  <c r="AG122" i="41"/>
  <c r="AF122" i="41"/>
  <c r="AE122" i="41"/>
  <c r="AD122" i="41"/>
  <c r="AC122" i="41"/>
  <c r="AG121" i="41"/>
  <c r="AF121" i="41"/>
  <c r="AE121" i="41"/>
  <c r="AD121" i="41"/>
  <c r="AC121" i="41"/>
  <c r="AG120" i="41"/>
  <c r="AF120" i="41"/>
  <c r="AE120" i="41"/>
  <c r="AD120" i="41"/>
  <c r="AC120" i="41"/>
  <c r="AG119" i="41"/>
  <c r="AF119" i="41"/>
  <c r="AE119" i="41"/>
  <c r="AD119" i="41"/>
  <c r="AC119" i="41"/>
  <c r="AG118" i="41"/>
  <c r="AF118" i="41"/>
  <c r="AE118" i="41"/>
  <c r="AD118" i="41"/>
  <c r="AC118" i="41"/>
  <c r="AG117" i="41"/>
  <c r="AF117" i="41"/>
  <c r="AE117" i="41"/>
  <c r="AD117" i="41"/>
  <c r="AC117" i="41"/>
  <c r="AG116" i="41"/>
  <c r="AF116" i="41"/>
  <c r="AE116" i="41"/>
  <c r="AD116" i="41"/>
  <c r="AC116" i="41"/>
  <c r="AG115" i="41"/>
  <c r="AF115" i="41"/>
  <c r="AE115" i="41"/>
  <c r="AD115" i="41"/>
  <c r="AC115" i="41"/>
  <c r="AG114" i="41"/>
  <c r="AF114" i="41"/>
  <c r="AE114" i="41"/>
  <c r="AD114" i="41"/>
  <c r="AC114" i="41"/>
  <c r="AG113" i="41"/>
  <c r="AF113" i="41"/>
  <c r="AE113" i="41"/>
  <c r="AD113" i="41"/>
  <c r="AC113" i="41"/>
  <c r="AG112" i="41"/>
  <c r="AF112" i="41"/>
  <c r="AE112" i="41"/>
  <c r="AD112" i="41"/>
  <c r="AC112" i="41"/>
  <c r="AG111" i="41"/>
  <c r="AF111" i="41"/>
  <c r="AE111" i="41"/>
  <c r="AD111" i="41"/>
  <c r="AC111" i="41"/>
  <c r="AG110" i="41"/>
  <c r="AF110" i="41"/>
  <c r="AE110" i="41"/>
  <c r="AD110" i="41"/>
  <c r="AC110" i="41"/>
  <c r="AG109" i="41"/>
  <c r="AF109" i="41"/>
  <c r="AE109" i="41"/>
  <c r="AD109" i="41"/>
  <c r="AC109" i="41"/>
  <c r="AG108" i="41"/>
  <c r="AF108" i="41"/>
  <c r="AE108" i="41"/>
  <c r="AD108" i="41"/>
  <c r="AC108" i="41"/>
  <c r="AG107" i="41"/>
  <c r="AF107" i="41"/>
  <c r="AE107" i="41"/>
  <c r="AD107" i="41"/>
  <c r="AC107" i="41"/>
  <c r="AG106" i="41"/>
  <c r="AF106" i="41"/>
  <c r="AE106" i="41"/>
  <c r="AD106" i="41"/>
  <c r="AC106" i="41"/>
  <c r="AG105" i="41"/>
  <c r="AF105" i="41"/>
  <c r="AE105" i="41"/>
  <c r="AD105" i="41"/>
  <c r="AC105" i="41"/>
  <c r="AG104" i="41"/>
  <c r="AF104" i="41"/>
  <c r="AE104" i="41"/>
  <c r="AD104" i="41"/>
  <c r="AC104" i="41"/>
  <c r="AG103" i="41"/>
  <c r="AF103" i="41"/>
  <c r="AE103" i="41"/>
  <c r="AD103" i="41"/>
  <c r="AC103" i="41"/>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G93" i="41"/>
  <c r="AF93" i="41"/>
  <c r="AE93" i="41"/>
  <c r="AD93" i="41"/>
  <c r="AC93" i="41"/>
  <c r="AG92" i="41"/>
  <c r="AF92" i="41"/>
  <c r="AE92" i="41"/>
  <c r="AD92" i="41"/>
  <c r="AC92" i="41"/>
  <c r="AG91" i="41"/>
  <c r="AF91" i="41"/>
  <c r="AE91" i="41"/>
  <c r="AD91" i="41"/>
  <c r="AC91" i="41"/>
  <c r="AG90" i="41"/>
  <c r="AF90" i="41"/>
  <c r="AE90" i="41"/>
  <c r="AD90" i="41"/>
  <c r="AC90" i="41"/>
  <c r="AG89" i="41"/>
  <c r="AF89" i="41"/>
  <c r="AE89" i="41"/>
  <c r="AD89" i="41"/>
  <c r="AC89" i="41"/>
  <c r="AG88" i="41"/>
  <c r="AF88" i="41"/>
  <c r="AE88" i="41"/>
  <c r="AD88" i="41"/>
  <c r="AC88" i="41"/>
  <c r="AG87" i="41"/>
  <c r="AF87" i="41"/>
  <c r="AE87" i="41"/>
  <c r="AD87" i="41"/>
  <c r="AC87" i="41"/>
  <c r="AG86" i="41"/>
  <c r="AF86" i="41"/>
  <c r="AE86" i="41"/>
  <c r="AD86" i="41"/>
  <c r="AC86" i="41"/>
  <c r="AG85" i="41"/>
  <c r="AF85" i="41"/>
  <c r="AE85" i="41"/>
  <c r="AD85" i="41"/>
  <c r="AC85" i="41"/>
  <c r="AG84" i="41"/>
  <c r="AF84" i="41"/>
  <c r="AE84" i="41"/>
  <c r="AD84" i="41"/>
  <c r="AC84" i="41"/>
  <c r="AG83" i="41"/>
  <c r="AF83" i="41"/>
  <c r="AE83" i="41"/>
  <c r="AD83" i="41"/>
  <c r="AC83" i="41"/>
  <c r="AG82" i="41"/>
  <c r="AF82" i="41"/>
  <c r="AE82" i="41"/>
  <c r="AD82" i="41"/>
  <c r="AC82" i="41"/>
  <c r="AG81" i="41"/>
  <c r="AF81" i="41"/>
  <c r="AE81" i="41"/>
  <c r="AD81" i="41"/>
  <c r="AC81" i="41"/>
  <c r="AG80" i="41"/>
  <c r="AF80" i="41"/>
  <c r="AE80" i="41"/>
  <c r="AD80" i="41"/>
  <c r="AC80" i="41"/>
  <c r="AG79" i="41"/>
  <c r="AF79" i="41"/>
  <c r="AE79" i="41"/>
  <c r="AD79" i="41"/>
  <c r="AC79" i="41"/>
  <c r="AG78" i="41"/>
  <c r="AF78" i="41"/>
  <c r="AE78" i="41"/>
  <c r="AD78" i="41"/>
  <c r="AC78" i="41"/>
  <c r="AG77" i="41"/>
  <c r="AF77" i="41"/>
  <c r="AE77" i="41"/>
  <c r="AD77" i="41"/>
  <c r="AC77" i="41"/>
  <c r="AG76" i="41"/>
  <c r="AF76" i="41"/>
  <c r="AE76" i="41"/>
  <c r="AD76" i="41"/>
  <c r="AC76" i="41"/>
  <c r="AG75" i="41"/>
  <c r="AF75" i="41"/>
  <c r="AE75" i="41"/>
  <c r="AD75" i="41"/>
  <c r="AC75" i="41"/>
  <c r="AG74" i="41"/>
  <c r="AF74" i="41"/>
  <c r="AE74" i="41"/>
  <c r="AD74" i="41"/>
  <c r="AC74" i="41"/>
  <c r="AG73" i="41"/>
  <c r="AF73" i="41"/>
  <c r="AE73" i="41"/>
  <c r="AD73" i="41"/>
  <c r="AC73" i="41"/>
  <c r="AG72" i="41"/>
  <c r="AF72" i="41"/>
  <c r="AE72" i="41"/>
  <c r="AD72" i="41"/>
  <c r="AC72" i="41"/>
  <c r="AG71" i="41"/>
  <c r="AF71" i="41"/>
  <c r="AE71" i="41"/>
  <c r="AD71" i="41"/>
  <c r="AC71" i="41"/>
  <c r="AG70" i="41"/>
  <c r="AF70" i="41"/>
  <c r="AE70" i="41"/>
  <c r="AD70" i="41"/>
  <c r="AC70" i="41"/>
  <c r="AG69" i="41"/>
  <c r="AF69" i="41"/>
  <c r="AE69" i="41"/>
  <c r="AD69" i="41"/>
  <c r="AC69" i="41"/>
  <c r="AG68" i="41"/>
  <c r="AF68" i="41"/>
  <c r="AE68" i="41"/>
  <c r="AD68" i="41"/>
  <c r="AC68" i="41"/>
  <c r="AG67" i="41"/>
  <c r="AF67" i="41"/>
  <c r="AE67" i="41"/>
  <c r="AD67" i="41"/>
  <c r="AC67" i="41"/>
  <c r="AG66" i="41"/>
  <c r="AF66" i="41"/>
  <c r="AE66" i="41"/>
  <c r="AD66" i="41"/>
  <c r="AC66" i="41"/>
  <c r="AG65" i="41"/>
  <c r="AF65" i="41"/>
  <c r="AE65" i="41"/>
  <c r="AD65" i="41"/>
  <c r="AC65" i="41"/>
  <c r="AG64" i="41"/>
  <c r="AF64" i="41"/>
  <c r="AE64" i="41"/>
  <c r="AD64" i="41"/>
  <c r="AC64" i="41"/>
  <c r="AG63" i="41"/>
  <c r="AF63" i="41"/>
  <c r="AE63" i="41"/>
  <c r="AD63" i="41"/>
  <c r="AC63" i="41"/>
  <c r="AG62" i="41"/>
  <c r="AF62" i="41"/>
  <c r="AE62" i="41"/>
  <c r="AD62" i="41"/>
  <c r="AC62" i="41"/>
  <c r="AG61" i="41"/>
  <c r="AF61" i="41"/>
  <c r="AE61" i="41"/>
  <c r="AD61" i="41"/>
  <c r="AC61" i="41"/>
  <c r="AG60" i="41"/>
  <c r="AF60" i="41"/>
  <c r="AE60" i="41"/>
  <c r="AD60" i="41"/>
  <c r="AC60" i="41"/>
  <c r="AG59" i="41"/>
  <c r="AF59" i="41"/>
  <c r="AE59" i="41"/>
  <c r="AD59" i="41"/>
  <c r="AC59" i="41"/>
  <c r="AG58" i="41"/>
  <c r="AF58" i="41"/>
  <c r="AE58" i="41"/>
  <c r="AD58" i="41"/>
  <c r="AC58" i="41"/>
  <c r="AG57" i="41"/>
  <c r="AF57" i="41"/>
  <c r="AE57" i="41"/>
  <c r="AD57" i="41"/>
  <c r="AC57" i="41"/>
  <c r="AG56" i="41"/>
  <c r="AF56" i="41"/>
  <c r="AE56" i="41"/>
  <c r="AD56" i="41"/>
  <c r="AC56" i="41"/>
  <c r="AG55" i="41"/>
  <c r="AF55" i="41"/>
  <c r="AE55" i="41"/>
  <c r="AD55" i="41"/>
  <c r="AC55" i="41"/>
  <c r="AG54" i="41"/>
  <c r="AF54" i="41"/>
  <c r="AE54" i="41"/>
  <c r="AD54" i="41"/>
  <c r="AC54" i="41"/>
  <c r="AG53" i="41"/>
  <c r="AF53" i="41"/>
  <c r="AE53" i="41"/>
  <c r="AD53" i="41"/>
  <c r="AC53" i="41"/>
  <c r="AG52" i="41"/>
  <c r="AF52" i="41"/>
  <c r="AE52" i="41"/>
  <c r="AD52" i="41"/>
  <c r="AC52" i="41"/>
  <c r="AG51" i="41"/>
  <c r="AF51" i="41"/>
  <c r="AE51" i="41"/>
  <c r="AD51" i="41"/>
  <c r="AC51" i="41"/>
  <c r="AG50" i="41"/>
  <c r="AF50" i="41"/>
  <c r="AE50" i="41"/>
  <c r="AD50" i="41"/>
  <c r="AC50" i="41"/>
  <c r="AG49" i="41"/>
  <c r="AF49" i="41"/>
  <c r="AE49" i="41"/>
  <c r="AD49" i="41"/>
  <c r="AC49" i="41"/>
  <c r="AG48" i="41"/>
  <c r="AF48" i="41"/>
  <c r="AE48" i="41"/>
  <c r="AD48" i="41"/>
  <c r="AC48" i="41"/>
  <c r="AG47" i="41"/>
  <c r="AF47" i="41"/>
  <c r="AE47" i="41"/>
  <c r="AD47" i="41"/>
  <c r="AC47" i="41"/>
  <c r="AG46" i="41"/>
  <c r="AF46" i="41"/>
  <c r="AE46" i="41"/>
  <c r="AD46" i="41"/>
  <c r="AC46" i="41"/>
  <c r="AG45" i="41"/>
  <c r="AF45" i="41"/>
  <c r="AE45" i="41"/>
  <c r="AD45" i="41"/>
  <c r="AC45" i="41"/>
  <c r="AG44" i="41"/>
  <c r="AF44" i="41"/>
  <c r="AE44" i="41"/>
  <c r="AD44" i="41"/>
  <c r="AC44" i="41"/>
  <c r="AG43" i="41"/>
  <c r="AF43" i="41"/>
  <c r="AE43" i="41"/>
  <c r="AD43" i="41"/>
  <c r="AC43" i="41"/>
  <c r="AG42" i="41"/>
  <c r="AF42" i="41"/>
  <c r="AE42" i="41"/>
  <c r="AD42" i="41"/>
  <c r="AC42" i="41"/>
  <c r="AG41" i="41"/>
  <c r="AF41" i="41"/>
  <c r="AE41" i="41"/>
  <c r="AD41" i="41"/>
  <c r="AC41" i="41"/>
  <c r="AG40" i="41"/>
  <c r="AF40" i="41"/>
  <c r="AE40" i="41"/>
  <c r="AD40" i="41"/>
  <c r="AC40" i="41"/>
  <c r="AG39" i="41"/>
  <c r="AF39" i="41"/>
  <c r="AE39" i="41"/>
  <c r="AD39" i="41"/>
  <c r="AC39" i="41"/>
  <c r="AG38" i="41"/>
  <c r="AF38" i="41"/>
  <c r="AE38" i="41"/>
  <c r="AD38" i="41"/>
  <c r="AC38" i="41"/>
  <c r="AG37" i="41"/>
  <c r="AF37" i="41"/>
  <c r="AE37" i="41"/>
  <c r="AD37" i="41"/>
  <c r="AC37" i="41"/>
  <c r="AG36" i="41"/>
  <c r="AF36" i="41"/>
  <c r="AE36" i="41"/>
  <c r="AD36" i="41"/>
  <c r="AC36" i="41"/>
  <c r="AG35" i="41"/>
  <c r="AF35" i="41"/>
  <c r="AE35" i="41"/>
  <c r="AD35" i="41"/>
  <c r="AC35" i="41"/>
  <c r="AG34" i="41"/>
  <c r="AF34" i="41"/>
  <c r="AE34" i="41"/>
  <c r="AD34" i="41"/>
  <c r="AC34" i="41"/>
  <c r="AG33" i="41"/>
  <c r="AF33" i="41"/>
  <c r="AE33" i="41"/>
  <c r="AD33" i="41"/>
  <c r="AC33" i="41"/>
  <c r="AG32" i="41"/>
  <c r="AF32" i="41"/>
  <c r="AE32" i="41"/>
  <c r="AD32" i="41"/>
  <c r="AC32" i="41"/>
  <c r="AG31" i="41"/>
  <c r="AF31" i="41"/>
  <c r="AE31" i="41"/>
  <c r="AD31" i="41"/>
  <c r="AC31" i="41"/>
  <c r="AG30" i="41"/>
  <c r="AF30" i="41"/>
  <c r="AE30" i="41"/>
  <c r="AD30" i="41"/>
  <c r="AC30" i="41"/>
  <c r="AG29" i="41"/>
  <c r="AF29" i="41"/>
  <c r="AE29" i="41"/>
  <c r="AD29" i="41"/>
  <c r="AC29" i="41"/>
  <c r="AG28" i="41"/>
  <c r="AF28" i="41"/>
  <c r="AE28" i="41"/>
  <c r="AD28" i="41"/>
  <c r="AC28" i="41"/>
  <c r="AG27" i="41"/>
  <c r="AF27" i="41"/>
  <c r="AE27" i="41"/>
  <c r="AD27" i="41"/>
  <c r="AC27" i="41"/>
  <c r="AG26" i="41"/>
  <c r="AF26" i="41"/>
  <c r="AE26" i="41"/>
  <c r="AD26" i="41"/>
  <c r="AC26" i="41"/>
  <c r="AG25" i="41"/>
  <c r="AF25" i="41"/>
  <c r="AE25" i="41"/>
  <c r="AD25" i="41"/>
  <c r="AC25" i="41"/>
  <c r="AG24" i="41"/>
  <c r="AF24" i="41"/>
  <c r="AE24" i="41"/>
  <c r="AD24" i="41"/>
  <c r="AC24" i="41"/>
  <c r="AG23" i="41"/>
  <c r="AF23" i="41"/>
  <c r="AE23" i="41"/>
  <c r="AD23" i="41"/>
  <c r="AC23" i="41"/>
  <c r="AG22" i="41"/>
  <c r="AF22" i="41"/>
  <c r="AE22" i="41"/>
  <c r="AD22" i="41"/>
  <c r="AC22" i="41"/>
  <c r="AG21" i="41"/>
  <c r="AF21" i="41"/>
  <c r="AE21" i="41"/>
  <c r="AD21" i="41"/>
  <c r="AC21" i="41"/>
  <c r="AG20" i="41"/>
  <c r="AF20" i="41"/>
  <c r="AE20" i="41"/>
  <c r="AD20" i="41"/>
  <c r="AC20" i="41"/>
  <c r="AG19" i="41"/>
  <c r="AF19" i="41"/>
  <c r="AE19" i="41"/>
  <c r="AD19" i="41"/>
  <c r="AC19" i="41"/>
  <c r="AG18" i="41"/>
  <c r="AF18" i="41"/>
  <c r="AE18" i="41"/>
  <c r="AD18" i="41"/>
  <c r="AC18" i="41"/>
  <c r="AG17" i="41"/>
  <c r="AF17" i="41"/>
  <c r="AE17" i="41"/>
  <c r="AD17" i="41"/>
  <c r="AC17" i="41"/>
  <c r="AG16" i="41"/>
  <c r="AF16" i="41"/>
  <c r="AE16" i="41"/>
  <c r="AD16" i="41"/>
  <c r="AC16" i="41"/>
  <c r="AG15" i="41"/>
  <c r="AF15" i="41"/>
  <c r="AE15" i="41"/>
  <c r="AD15" i="41"/>
  <c r="AC15" i="41"/>
  <c r="AG14" i="41"/>
  <c r="AF14" i="41"/>
  <c r="AE14" i="41"/>
  <c r="AD14" i="41"/>
  <c r="AC14" i="41"/>
  <c r="AG13" i="41"/>
  <c r="AF13" i="41"/>
  <c r="AE13" i="41"/>
  <c r="AD13" i="41"/>
  <c r="AC13" i="41"/>
  <c r="AG12" i="41"/>
  <c r="AF12" i="41"/>
  <c r="AE12" i="41"/>
  <c r="AD12" i="41"/>
  <c r="AC12" i="41"/>
  <c r="AG11" i="41"/>
  <c r="AF11" i="41"/>
  <c r="AE11" i="41"/>
  <c r="AD11" i="41"/>
  <c r="AC11" i="41"/>
  <c r="AG10" i="41"/>
  <c r="AF10" i="41"/>
  <c r="AE10" i="41"/>
  <c r="AD10" i="41"/>
  <c r="AC10" i="41"/>
  <c r="AG9" i="41"/>
  <c r="AF9" i="41"/>
  <c r="AE9" i="41"/>
  <c r="AD9" i="41"/>
  <c r="AC9" i="41"/>
  <c r="AG8" i="41"/>
  <c r="AF8" i="41"/>
  <c r="AE8" i="41"/>
  <c r="AD8" i="41"/>
  <c r="AC8" i="41"/>
  <c r="AG7" i="41"/>
  <c r="AF7" i="41"/>
  <c r="AE7" i="41"/>
  <c r="AD7" i="41"/>
  <c r="AC7" i="41"/>
  <c r="AG6" i="41"/>
  <c r="AF6" i="41"/>
  <c r="AE6" i="41"/>
  <c r="AD6" i="41"/>
  <c r="AC6" i="41"/>
  <c r="AG5" i="41"/>
  <c r="AF5" i="41"/>
  <c r="AE5" i="41"/>
  <c r="AD5" i="41"/>
  <c r="AC5" i="41"/>
  <c r="AB149" i="41"/>
  <c r="AA149" i="41"/>
  <c r="Z149" i="41"/>
  <c r="Y149" i="41"/>
  <c r="X149" i="41"/>
  <c r="AB148" i="41"/>
  <c r="AA148" i="41"/>
  <c r="Z148" i="41"/>
  <c r="Y148" i="41"/>
  <c r="X148" i="41"/>
  <c r="AB147" i="41"/>
  <c r="AA147" i="41"/>
  <c r="Z147" i="41"/>
  <c r="Y147" i="41"/>
  <c r="X147" i="41"/>
  <c r="AB146" i="41"/>
  <c r="AA146" i="41"/>
  <c r="Z146" i="41"/>
  <c r="Y146" i="41"/>
  <c r="X146" i="41"/>
  <c r="AB145" i="41"/>
  <c r="AA145" i="41"/>
  <c r="Z145" i="41"/>
  <c r="Y145" i="41"/>
  <c r="X145" i="41"/>
  <c r="AB144" i="41"/>
  <c r="AA144" i="41"/>
  <c r="Z144" i="41"/>
  <c r="Y144" i="41"/>
  <c r="X144" i="41"/>
  <c r="AB143" i="41"/>
  <c r="AA143" i="41"/>
  <c r="Z143" i="41"/>
  <c r="Y143" i="41"/>
  <c r="X143" i="41"/>
  <c r="AB142" i="41"/>
  <c r="AA142" i="41"/>
  <c r="Z142" i="41"/>
  <c r="Y142" i="41"/>
  <c r="X142" i="41"/>
  <c r="AB141" i="41"/>
  <c r="AA141" i="41"/>
  <c r="Z141" i="41"/>
  <c r="Y141" i="41"/>
  <c r="X141" i="41"/>
  <c r="AB140" i="41"/>
  <c r="AA140" i="41"/>
  <c r="Z140" i="41"/>
  <c r="Y140" i="41"/>
  <c r="X140" i="41"/>
  <c r="AB139" i="41"/>
  <c r="AA139" i="41"/>
  <c r="Z139" i="41"/>
  <c r="Y139" i="41"/>
  <c r="X139" i="41"/>
  <c r="AB138" i="41"/>
  <c r="AA138" i="41"/>
  <c r="Z138" i="41"/>
  <c r="Y138" i="41"/>
  <c r="X138" i="41"/>
  <c r="AB137" i="41"/>
  <c r="AA137" i="41"/>
  <c r="Z137" i="41"/>
  <c r="Y137" i="41"/>
  <c r="X137" i="41"/>
  <c r="AB136" i="41"/>
  <c r="AA136" i="41"/>
  <c r="Z136" i="41"/>
  <c r="Y136" i="41"/>
  <c r="X136" i="41"/>
  <c r="AB135" i="41"/>
  <c r="AA135" i="41"/>
  <c r="Z135" i="41"/>
  <c r="Y135" i="41"/>
  <c r="X135" i="41"/>
  <c r="AB134" i="41"/>
  <c r="AA134" i="41"/>
  <c r="Z134" i="41"/>
  <c r="Y134" i="41"/>
  <c r="X134" i="41"/>
  <c r="AB133" i="41"/>
  <c r="AA133" i="41"/>
  <c r="Z133" i="41"/>
  <c r="Y133" i="41"/>
  <c r="X133" i="41"/>
  <c r="AB132" i="41"/>
  <c r="AA132" i="41"/>
  <c r="Z132" i="41"/>
  <c r="Y132" i="41"/>
  <c r="X132" i="41"/>
  <c r="AB131" i="41"/>
  <c r="AA131" i="41"/>
  <c r="Z131" i="41"/>
  <c r="Y131" i="41"/>
  <c r="X131" i="41"/>
  <c r="AB130" i="41"/>
  <c r="AA130" i="41"/>
  <c r="Z130" i="41"/>
  <c r="Y130" i="41"/>
  <c r="X130" i="41"/>
  <c r="AB129" i="41"/>
  <c r="AA129" i="41"/>
  <c r="Z129" i="41"/>
  <c r="Y129" i="41"/>
  <c r="X129" i="41"/>
  <c r="AB128" i="41"/>
  <c r="AA128" i="41"/>
  <c r="Z128" i="41"/>
  <c r="Y128" i="41"/>
  <c r="X128" i="41"/>
  <c r="AB127" i="41"/>
  <c r="AA127" i="41"/>
  <c r="Z127" i="41"/>
  <c r="Y127" i="41"/>
  <c r="X127" i="41"/>
  <c r="AB126" i="41"/>
  <c r="AA126" i="41"/>
  <c r="Z126" i="41"/>
  <c r="Y126" i="41"/>
  <c r="X126" i="41"/>
  <c r="AB125" i="41"/>
  <c r="AA125" i="41"/>
  <c r="Z125" i="41"/>
  <c r="Y125" i="41"/>
  <c r="X125" i="41"/>
  <c r="AB124" i="41"/>
  <c r="AA124" i="41"/>
  <c r="Z124" i="41"/>
  <c r="Y124" i="41"/>
  <c r="X124" i="41"/>
  <c r="AB123" i="41"/>
  <c r="AA123" i="41"/>
  <c r="Z123" i="41"/>
  <c r="Y123" i="41"/>
  <c r="X123" i="41"/>
  <c r="AB122" i="41"/>
  <c r="AA122" i="41"/>
  <c r="Z122" i="41"/>
  <c r="Y122" i="41"/>
  <c r="X122" i="41"/>
  <c r="AB121" i="41"/>
  <c r="AA121" i="41"/>
  <c r="Z121" i="41"/>
  <c r="Y121" i="41"/>
  <c r="X121" i="41"/>
  <c r="AB120" i="41"/>
  <c r="AA120" i="41"/>
  <c r="Z120" i="41"/>
  <c r="Y120" i="41"/>
  <c r="X120" i="41"/>
  <c r="AB119" i="41"/>
  <c r="AA119" i="41"/>
  <c r="Z119" i="41"/>
  <c r="Y119" i="41"/>
  <c r="X119" i="41"/>
  <c r="AB118" i="41"/>
  <c r="AA118" i="41"/>
  <c r="Z118" i="41"/>
  <c r="Y118" i="41"/>
  <c r="X118" i="41"/>
  <c r="AB117" i="41"/>
  <c r="AA117" i="41"/>
  <c r="Z117" i="41"/>
  <c r="Y117" i="41"/>
  <c r="X117" i="41"/>
  <c r="AB116" i="41"/>
  <c r="AA116" i="41"/>
  <c r="Z116" i="41"/>
  <c r="Y116" i="41"/>
  <c r="X116" i="41"/>
  <c r="AB115" i="41"/>
  <c r="AA115" i="41"/>
  <c r="Z115" i="41"/>
  <c r="Y115" i="41"/>
  <c r="X115" i="41"/>
  <c r="AB114" i="41"/>
  <c r="AA114" i="41"/>
  <c r="Z114" i="41"/>
  <c r="Y114" i="41"/>
  <c r="X114" i="41"/>
  <c r="AB113" i="41"/>
  <c r="AA113" i="41"/>
  <c r="Z113" i="41"/>
  <c r="Y113" i="41"/>
  <c r="X113" i="41"/>
  <c r="AB112" i="41"/>
  <c r="AA112" i="41"/>
  <c r="Z112" i="41"/>
  <c r="Y112" i="41"/>
  <c r="X112" i="41"/>
  <c r="AB111" i="41"/>
  <c r="AA111" i="41"/>
  <c r="Z111" i="41"/>
  <c r="Y111" i="41"/>
  <c r="X111" i="41"/>
  <c r="AB110" i="41"/>
  <c r="AA110" i="41"/>
  <c r="Z110" i="41"/>
  <c r="Y110" i="41"/>
  <c r="X110" i="41"/>
  <c r="AB109" i="41"/>
  <c r="AA109" i="41"/>
  <c r="Z109" i="41"/>
  <c r="Y109" i="41"/>
  <c r="X109" i="41"/>
  <c r="AB108" i="41"/>
  <c r="AA108" i="41"/>
  <c r="Z108" i="41"/>
  <c r="Y108" i="41"/>
  <c r="X108" i="41"/>
  <c r="AB107" i="41"/>
  <c r="AA107" i="41"/>
  <c r="Z107" i="41"/>
  <c r="Y107" i="41"/>
  <c r="X107" i="41"/>
  <c r="AB106" i="41"/>
  <c r="AA106" i="41"/>
  <c r="Z106" i="41"/>
  <c r="Y106" i="41"/>
  <c r="X106" i="41"/>
  <c r="AB105" i="41"/>
  <c r="AA105" i="41"/>
  <c r="Z105" i="41"/>
  <c r="Y105" i="41"/>
  <c r="X105" i="41"/>
  <c r="AB104" i="41"/>
  <c r="AA104" i="41"/>
  <c r="Z104" i="41"/>
  <c r="Y104" i="41"/>
  <c r="X104" i="41"/>
  <c r="AB103" i="41"/>
  <c r="AA103" i="41"/>
  <c r="Z103" i="41"/>
  <c r="Y103" i="41"/>
  <c r="X103" i="41"/>
  <c r="AB102" i="41"/>
  <c r="AA102" i="41"/>
  <c r="Z102" i="41"/>
  <c r="Y102" i="41"/>
  <c r="X102" i="41"/>
  <c r="AB101" i="41"/>
  <c r="AA101" i="41"/>
  <c r="Z101" i="41"/>
  <c r="Y101" i="41"/>
  <c r="X101" i="41"/>
  <c r="AB100" i="41"/>
  <c r="AA100" i="41"/>
  <c r="Z100" i="41"/>
  <c r="Y100" i="41"/>
  <c r="X100" i="41"/>
  <c r="AB99" i="41"/>
  <c r="AA99" i="41"/>
  <c r="Z99" i="41"/>
  <c r="Y99" i="41"/>
  <c r="X99" i="41"/>
  <c r="AB98" i="41"/>
  <c r="AA98" i="41"/>
  <c r="Z98" i="41"/>
  <c r="Y98" i="41"/>
  <c r="X98" i="41"/>
  <c r="AB97" i="41"/>
  <c r="AA97" i="41"/>
  <c r="Z97" i="41"/>
  <c r="Y97" i="41"/>
  <c r="X97" i="41"/>
  <c r="AB96" i="41"/>
  <c r="AA96" i="41"/>
  <c r="Z96" i="41"/>
  <c r="Y96" i="41"/>
  <c r="X96" i="41"/>
  <c r="AB95" i="41"/>
  <c r="AA95" i="41"/>
  <c r="Z95" i="41"/>
  <c r="Y95" i="41"/>
  <c r="X95" i="41"/>
  <c r="AB94" i="41"/>
  <c r="AA94" i="41"/>
  <c r="Z94" i="41"/>
  <c r="Y94" i="41"/>
  <c r="X94" i="41"/>
  <c r="AB93" i="41"/>
  <c r="AA93" i="41"/>
  <c r="Z93" i="41"/>
  <c r="Y93" i="41"/>
  <c r="X93" i="41"/>
  <c r="AB92" i="41"/>
  <c r="AA92" i="41"/>
  <c r="Z92" i="41"/>
  <c r="Y92" i="41"/>
  <c r="X92" i="41"/>
  <c r="AB91" i="41"/>
  <c r="AA91" i="41"/>
  <c r="Z91" i="41"/>
  <c r="Y91" i="41"/>
  <c r="X91" i="41"/>
  <c r="AB90" i="41"/>
  <c r="AA90" i="41"/>
  <c r="Z90" i="41"/>
  <c r="Y90" i="41"/>
  <c r="X90" i="41"/>
  <c r="AB89" i="41"/>
  <c r="AA89" i="41"/>
  <c r="Z89" i="41"/>
  <c r="Y89" i="41"/>
  <c r="X89" i="41"/>
  <c r="AB88" i="41"/>
  <c r="AA88" i="41"/>
  <c r="Z88" i="41"/>
  <c r="Y88" i="41"/>
  <c r="X88" i="41"/>
  <c r="AB87" i="41"/>
  <c r="AA87" i="41"/>
  <c r="Z87" i="41"/>
  <c r="Y87" i="41"/>
  <c r="X87" i="41"/>
  <c r="AB86" i="41"/>
  <c r="AA86" i="41"/>
  <c r="Z86" i="41"/>
  <c r="Y86" i="41"/>
  <c r="X86" i="41"/>
  <c r="AB85" i="41"/>
  <c r="AA85" i="41"/>
  <c r="Z85" i="41"/>
  <c r="Y85" i="41"/>
  <c r="X85" i="41"/>
  <c r="AB84" i="41"/>
  <c r="AA84" i="41"/>
  <c r="Z84" i="41"/>
  <c r="Y84" i="41"/>
  <c r="X84" i="41"/>
  <c r="AB83" i="41"/>
  <c r="AA83" i="41"/>
  <c r="Z83" i="41"/>
  <c r="Y83" i="41"/>
  <c r="X83" i="41"/>
  <c r="AB82" i="41"/>
  <c r="AA82" i="41"/>
  <c r="Z82" i="41"/>
  <c r="Y82" i="41"/>
  <c r="X82" i="41"/>
  <c r="AB81" i="41"/>
  <c r="AA81" i="41"/>
  <c r="Z81" i="41"/>
  <c r="Y81" i="41"/>
  <c r="X81" i="41"/>
  <c r="AB80" i="41"/>
  <c r="AA80" i="41"/>
  <c r="Z80" i="41"/>
  <c r="Y80" i="41"/>
  <c r="X80" i="41"/>
  <c r="AB79" i="41"/>
  <c r="AA79" i="41"/>
  <c r="Z79" i="41"/>
  <c r="Y79" i="41"/>
  <c r="X79" i="41"/>
  <c r="AB78" i="41"/>
  <c r="AA78" i="41"/>
  <c r="Z78" i="41"/>
  <c r="Y78" i="41"/>
  <c r="X78" i="41"/>
  <c r="AB77" i="41"/>
  <c r="AA77" i="41"/>
  <c r="Z77" i="41"/>
  <c r="Y77" i="41"/>
  <c r="X77" i="41"/>
  <c r="AB76" i="41"/>
  <c r="AA76" i="41"/>
  <c r="Z76" i="41"/>
  <c r="Y76" i="41"/>
  <c r="X76" i="41"/>
  <c r="AB75" i="41"/>
  <c r="AA75" i="41"/>
  <c r="Z75" i="41"/>
  <c r="Y75" i="41"/>
  <c r="X75" i="41"/>
  <c r="AB74" i="41"/>
  <c r="AA74" i="41"/>
  <c r="Z74" i="41"/>
  <c r="Y74" i="41"/>
  <c r="X74" i="41"/>
  <c r="AB73" i="41"/>
  <c r="AA73" i="41"/>
  <c r="Z73" i="41"/>
  <c r="Y73" i="41"/>
  <c r="X73" i="41"/>
  <c r="AB72" i="41"/>
  <c r="AA72" i="41"/>
  <c r="Z72" i="41"/>
  <c r="Y72" i="41"/>
  <c r="X72" i="41"/>
  <c r="AB71" i="41"/>
  <c r="AA71" i="41"/>
  <c r="Z71" i="41"/>
  <c r="Y71" i="41"/>
  <c r="X71" i="41"/>
  <c r="AB70" i="41"/>
  <c r="AA70" i="41"/>
  <c r="Z70" i="41"/>
  <c r="Y70" i="41"/>
  <c r="X70" i="41"/>
  <c r="AB69" i="41"/>
  <c r="AA69" i="41"/>
  <c r="Z69" i="41"/>
  <c r="Y69" i="41"/>
  <c r="X69" i="41"/>
  <c r="AB68" i="41"/>
  <c r="AA68" i="41"/>
  <c r="Z68" i="41"/>
  <c r="Y68" i="41"/>
  <c r="X68" i="41"/>
  <c r="AB67" i="41"/>
  <c r="AA67" i="41"/>
  <c r="Z67" i="41"/>
  <c r="Y67" i="41"/>
  <c r="X67" i="41"/>
  <c r="AB66" i="41"/>
  <c r="AA66" i="41"/>
  <c r="Z66" i="41"/>
  <c r="Y66" i="41"/>
  <c r="X66" i="41"/>
  <c r="AB65" i="41"/>
  <c r="AA65" i="41"/>
  <c r="Z65" i="41"/>
  <c r="Y65" i="41"/>
  <c r="X65" i="41"/>
  <c r="AB64" i="41"/>
  <c r="AA64" i="41"/>
  <c r="Z64" i="41"/>
  <c r="Y64" i="41"/>
  <c r="X64" i="41"/>
  <c r="AB63" i="41"/>
  <c r="AA63" i="41"/>
  <c r="Z63" i="41"/>
  <c r="Y63" i="41"/>
  <c r="X63" i="41"/>
  <c r="AB62" i="41"/>
  <c r="AA62" i="41"/>
  <c r="Z62" i="41"/>
  <c r="Y62" i="41"/>
  <c r="X62" i="41"/>
  <c r="AB61" i="41"/>
  <c r="AA61" i="41"/>
  <c r="Z61" i="41"/>
  <c r="Y61" i="41"/>
  <c r="X61" i="41"/>
  <c r="AB60" i="41"/>
  <c r="AA60" i="41"/>
  <c r="Z60" i="41"/>
  <c r="Y60" i="41"/>
  <c r="X60" i="41"/>
  <c r="AB59" i="41"/>
  <c r="AA59" i="41"/>
  <c r="Z59" i="41"/>
  <c r="Y59" i="41"/>
  <c r="X59" i="41"/>
  <c r="AB58" i="41"/>
  <c r="AA58" i="41"/>
  <c r="Z58" i="41"/>
  <c r="Y58" i="41"/>
  <c r="X58" i="41"/>
  <c r="AB57" i="41"/>
  <c r="AA57" i="41"/>
  <c r="Z57" i="41"/>
  <c r="Y57" i="41"/>
  <c r="X57" i="41"/>
  <c r="AB56" i="41"/>
  <c r="AA56" i="41"/>
  <c r="Z56" i="41"/>
  <c r="Y56" i="41"/>
  <c r="X56" i="41"/>
  <c r="AB55" i="41"/>
  <c r="AA55" i="41"/>
  <c r="Z55" i="41"/>
  <c r="Y55" i="41"/>
  <c r="X55" i="41"/>
  <c r="AB54" i="41"/>
  <c r="AA54" i="41"/>
  <c r="Z54" i="41"/>
  <c r="Y54" i="41"/>
  <c r="X54" i="41"/>
  <c r="AB53" i="41"/>
  <c r="AA53" i="41"/>
  <c r="Z53" i="41"/>
  <c r="Y53" i="41"/>
  <c r="X53" i="41"/>
  <c r="AB52" i="41"/>
  <c r="AA52" i="41"/>
  <c r="Z52" i="41"/>
  <c r="Y52" i="41"/>
  <c r="X52" i="41"/>
  <c r="AB51" i="41"/>
  <c r="AA51" i="41"/>
  <c r="Z51" i="41"/>
  <c r="Y51" i="41"/>
  <c r="X51" i="41"/>
  <c r="AB50" i="41"/>
  <c r="AA50" i="41"/>
  <c r="Z50" i="41"/>
  <c r="Y50" i="41"/>
  <c r="X50" i="41"/>
  <c r="AB49" i="41"/>
  <c r="AA49" i="41"/>
  <c r="Z49" i="41"/>
  <c r="Y49" i="41"/>
  <c r="X49" i="41"/>
  <c r="AB48" i="41"/>
  <c r="AA48" i="41"/>
  <c r="Z48" i="41"/>
  <c r="Y48" i="41"/>
  <c r="X48" i="41"/>
  <c r="AB47" i="41"/>
  <c r="AA47" i="41"/>
  <c r="Z47" i="41"/>
  <c r="Y47" i="41"/>
  <c r="X47" i="41"/>
  <c r="AB46" i="41"/>
  <c r="AA46" i="41"/>
  <c r="Z46" i="41"/>
  <c r="Y46" i="41"/>
  <c r="X46" i="41"/>
  <c r="AB45" i="41"/>
  <c r="AA45" i="41"/>
  <c r="Z45" i="41"/>
  <c r="Y45" i="41"/>
  <c r="X45" i="41"/>
  <c r="AB44" i="41"/>
  <c r="AA44" i="41"/>
  <c r="Z44" i="41"/>
  <c r="Y44" i="41"/>
  <c r="X44" i="41"/>
  <c r="AB43" i="41"/>
  <c r="AA43" i="41"/>
  <c r="Z43" i="41"/>
  <c r="Y43" i="41"/>
  <c r="X43" i="41"/>
  <c r="AB42" i="41"/>
  <c r="AA42" i="41"/>
  <c r="Z42" i="41"/>
  <c r="Y42" i="41"/>
  <c r="X42" i="41"/>
  <c r="AB41" i="41"/>
  <c r="AA41" i="41"/>
  <c r="Z41" i="41"/>
  <c r="Y41" i="41"/>
  <c r="X41" i="41"/>
  <c r="AB40" i="41"/>
  <c r="AA40" i="41"/>
  <c r="Z40" i="41"/>
  <c r="Y40" i="41"/>
  <c r="X40" i="41"/>
  <c r="AB39" i="41"/>
  <c r="AA39" i="41"/>
  <c r="Z39" i="41"/>
  <c r="Y39" i="41"/>
  <c r="X39" i="41"/>
  <c r="AB38" i="41"/>
  <c r="AA38" i="41"/>
  <c r="Z38" i="41"/>
  <c r="Y38" i="41"/>
  <c r="X38" i="41"/>
  <c r="AB37" i="41"/>
  <c r="AA37" i="41"/>
  <c r="Z37" i="41"/>
  <c r="Y37" i="41"/>
  <c r="X37" i="41"/>
  <c r="AB36" i="41"/>
  <c r="AA36" i="41"/>
  <c r="Z36" i="41"/>
  <c r="Y36" i="41"/>
  <c r="X36" i="41"/>
  <c r="AB35" i="41"/>
  <c r="AA35" i="41"/>
  <c r="Z35" i="41"/>
  <c r="Y35" i="41"/>
  <c r="X35" i="41"/>
  <c r="AB34" i="41"/>
  <c r="AA34" i="41"/>
  <c r="Z34" i="41"/>
  <c r="Y34" i="41"/>
  <c r="X34" i="41"/>
  <c r="AB33" i="41"/>
  <c r="AA33" i="41"/>
  <c r="Z33" i="41"/>
  <c r="Y33" i="41"/>
  <c r="X33" i="41"/>
  <c r="AB32" i="41"/>
  <c r="AA32" i="41"/>
  <c r="Z32" i="41"/>
  <c r="Y32" i="41"/>
  <c r="X32" i="41"/>
  <c r="AB31" i="41"/>
  <c r="AA31" i="41"/>
  <c r="Z31" i="41"/>
  <c r="Y31" i="41"/>
  <c r="X31" i="41"/>
  <c r="AB30" i="41"/>
  <c r="AA30" i="41"/>
  <c r="Z30" i="41"/>
  <c r="Y30" i="41"/>
  <c r="X30" i="41"/>
  <c r="AB29" i="41"/>
  <c r="AA29" i="41"/>
  <c r="Z29" i="41"/>
  <c r="Y29" i="41"/>
  <c r="X29" i="41"/>
  <c r="AB28" i="41"/>
  <c r="AA28" i="41"/>
  <c r="Z28" i="41"/>
  <c r="Y28" i="41"/>
  <c r="X28" i="41"/>
  <c r="AB27" i="41"/>
  <c r="AA27" i="41"/>
  <c r="Z27" i="41"/>
  <c r="Y27" i="41"/>
  <c r="X27" i="41"/>
  <c r="AB26" i="41"/>
  <c r="AA26" i="41"/>
  <c r="Z26" i="41"/>
  <c r="Y26" i="41"/>
  <c r="X26" i="41"/>
  <c r="AB25" i="41"/>
  <c r="AA25" i="41"/>
  <c r="Z25" i="41"/>
  <c r="Y25" i="41"/>
  <c r="X25" i="41"/>
  <c r="AB24" i="41"/>
  <c r="AA24" i="41"/>
  <c r="Z24" i="41"/>
  <c r="Y24" i="41"/>
  <c r="X24" i="41"/>
  <c r="AB23" i="41"/>
  <c r="AA23" i="41"/>
  <c r="Z23" i="41"/>
  <c r="Y23" i="41"/>
  <c r="X23" i="41"/>
  <c r="AB22" i="41"/>
  <c r="AA22" i="41"/>
  <c r="Z22" i="41"/>
  <c r="Y22" i="41"/>
  <c r="X22" i="41"/>
  <c r="AB21" i="41"/>
  <c r="AA21" i="41"/>
  <c r="Z21" i="41"/>
  <c r="Y21" i="41"/>
  <c r="X21" i="41"/>
  <c r="AB20" i="41"/>
  <c r="AA20" i="41"/>
  <c r="Z20" i="41"/>
  <c r="Y20" i="41"/>
  <c r="X20" i="41"/>
  <c r="AB19" i="41"/>
  <c r="AA19" i="41"/>
  <c r="Z19" i="41"/>
  <c r="Y19" i="41"/>
  <c r="X19" i="41"/>
  <c r="AB18" i="41"/>
  <c r="AA18" i="41"/>
  <c r="Z18" i="41"/>
  <c r="Y18" i="41"/>
  <c r="X18" i="41"/>
  <c r="AB17" i="41"/>
  <c r="AA17" i="41"/>
  <c r="Z17" i="41"/>
  <c r="Y17" i="41"/>
  <c r="X17" i="41"/>
  <c r="AB16" i="41"/>
  <c r="AA16" i="41"/>
  <c r="Z16" i="41"/>
  <c r="Y16" i="41"/>
  <c r="X16" i="41"/>
  <c r="AB15" i="41"/>
  <c r="AA15" i="41"/>
  <c r="Z15" i="41"/>
  <c r="Y15" i="41"/>
  <c r="X15" i="41"/>
  <c r="AB14" i="41"/>
  <c r="AA14" i="41"/>
  <c r="Z14" i="41"/>
  <c r="Y14" i="41"/>
  <c r="X14" i="41"/>
  <c r="AB13" i="41"/>
  <c r="AA13" i="41"/>
  <c r="Z13" i="41"/>
  <c r="Y13" i="41"/>
  <c r="X13" i="41"/>
  <c r="AB12" i="41"/>
  <c r="AA12" i="41"/>
  <c r="Z12" i="41"/>
  <c r="Y12" i="41"/>
  <c r="X12" i="41"/>
  <c r="AB11" i="41"/>
  <c r="AA11" i="41"/>
  <c r="Z11" i="41"/>
  <c r="Y11" i="41"/>
  <c r="X11" i="41"/>
  <c r="AB10" i="41"/>
  <c r="AA10" i="41"/>
  <c r="Z10" i="41"/>
  <c r="Y10" i="41"/>
  <c r="X10" i="41"/>
  <c r="AB9" i="41"/>
  <c r="AA9" i="41"/>
  <c r="Z9" i="41"/>
  <c r="Y9" i="41"/>
  <c r="X9" i="41"/>
  <c r="AB8" i="41"/>
  <c r="AA8" i="41"/>
  <c r="Z8" i="41"/>
  <c r="Y8" i="41"/>
  <c r="X8" i="41"/>
  <c r="AB7" i="41"/>
  <c r="AA7" i="41"/>
  <c r="Z7" i="41"/>
  <c r="Y7" i="41"/>
  <c r="X7" i="41"/>
  <c r="AB6" i="41"/>
  <c r="AA6" i="41"/>
  <c r="Z6" i="41"/>
  <c r="Y6" i="41"/>
  <c r="X6" i="41"/>
  <c r="AB5" i="41"/>
  <c r="AA5" i="41"/>
  <c r="Z5" i="41"/>
  <c r="Y5" i="41"/>
  <c r="X5" i="41"/>
  <c r="W149" i="41"/>
  <c r="V149" i="41"/>
  <c r="U149" i="41"/>
  <c r="T149" i="41"/>
  <c r="S149" i="41"/>
  <c r="W148" i="41"/>
  <c r="V148" i="41"/>
  <c r="U148" i="41"/>
  <c r="T148" i="41"/>
  <c r="S148" i="41"/>
  <c r="W147" i="41"/>
  <c r="V147" i="41"/>
  <c r="U147" i="41"/>
  <c r="T147" i="41"/>
  <c r="S147" i="41"/>
  <c r="W146" i="41"/>
  <c r="V146" i="41"/>
  <c r="U146" i="41"/>
  <c r="T146" i="41"/>
  <c r="S146" i="41"/>
  <c r="W145" i="41"/>
  <c r="V145" i="41"/>
  <c r="U145" i="41"/>
  <c r="T145" i="41"/>
  <c r="S145" i="41"/>
  <c r="W144" i="41"/>
  <c r="V144" i="41"/>
  <c r="U144" i="41"/>
  <c r="T144" i="41"/>
  <c r="S144" i="41"/>
  <c r="W143" i="41"/>
  <c r="V143" i="41"/>
  <c r="U143" i="41"/>
  <c r="T143" i="41"/>
  <c r="S143" i="41"/>
  <c r="W142" i="41"/>
  <c r="V142" i="41"/>
  <c r="U142" i="41"/>
  <c r="T142" i="41"/>
  <c r="S142" i="41"/>
  <c r="W141" i="41"/>
  <c r="V141" i="41"/>
  <c r="U141" i="41"/>
  <c r="T141" i="41"/>
  <c r="S141" i="41"/>
  <c r="W140" i="41"/>
  <c r="V140" i="41"/>
  <c r="U140" i="41"/>
  <c r="T140" i="41"/>
  <c r="S140" i="41"/>
  <c r="W139" i="41"/>
  <c r="V139" i="41"/>
  <c r="U139" i="41"/>
  <c r="T139" i="41"/>
  <c r="S139" i="41"/>
  <c r="W138" i="41"/>
  <c r="V138" i="41"/>
  <c r="U138" i="41"/>
  <c r="T138" i="41"/>
  <c r="S138" i="41"/>
  <c r="W137" i="41"/>
  <c r="V137" i="41"/>
  <c r="U137" i="41"/>
  <c r="T137" i="41"/>
  <c r="S137" i="41"/>
  <c r="W136" i="41"/>
  <c r="V136" i="41"/>
  <c r="U136" i="41"/>
  <c r="T136" i="41"/>
  <c r="S136" i="41"/>
  <c r="W135" i="41"/>
  <c r="V135" i="41"/>
  <c r="U135" i="41"/>
  <c r="T135" i="41"/>
  <c r="S135" i="41"/>
  <c r="W134" i="41"/>
  <c r="V134" i="41"/>
  <c r="U134" i="41"/>
  <c r="T134" i="41"/>
  <c r="S134" i="41"/>
  <c r="W133" i="41"/>
  <c r="V133" i="41"/>
  <c r="U133" i="41"/>
  <c r="T133" i="41"/>
  <c r="S133" i="41"/>
  <c r="W132" i="41"/>
  <c r="V132" i="41"/>
  <c r="U132" i="41"/>
  <c r="T132" i="41"/>
  <c r="S132" i="41"/>
  <c r="W131" i="41"/>
  <c r="V131" i="41"/>
  <c r="U131" i="41"/>
  <c r="T131" i="41"/>
  <c r="S131" i="41"/>
  <c r="W130" i="41"/>
  <c r="V130" i="41"/>
  <c r="U130" i="41"/>
  <c r="T130" i="41"/>
  <c r="S130" i="41"/>
  <c r="W129" i="41"/>
  <c r="V129" i="41"/>
  <c r="U129" i="41"/>
  <c r="T129" i="41"/>
  <c r="S129" i="41"/>
  <c r="W128" i="41"/>
  <c r="V128" i="41"/>
  <c r="U128" i="41"/>
  <c r="T128" i="41"/>
  <c r="S128" i="41"/>
  <c r="W127" i="41"/>
  <c r="V127" i="41"/>
  <c r="U127" i="41"/>
  <c r="T127" i="41"/>
  <c r="S127" i="41"/>
  <c r="W126" i="41"/>
  <c r="V126" i="41"/>
  <c r="U126" i="41"/>
  <c r="T126" i="41"/>
  <c r="S126" i="41"/>
  <c r="W125" i="41"/>
  <c r="V125" i="41"/>
  <c r="U125" i="41"/>
  <c r="T125" i="41"/>
  <c r="S125" i="41"/>
  <c r="W124" i="41"/>
  <c r="V124" i="41"/>
  <c r="U124" i="41"/>
  <c r="T124" i="41"/>
  <c r="S124" i="41"/>
  <c r="W123" i="41"/>
  <c r="V123" i="41"/>
  <c r="U123" i="41"/>
  <c r="T123" i="41"/>
  <c r="S123" i="41"/>
  <c r="W122" i="41"/>
  <c r="V122" i="41"/>
  <c r="U122" i="41"/>
  <c r="T122" i="41"/>
  <c r="S122" i="41"/>
  <c r="W121" i="41"/>
  <c r="V121" i="41"/>
  <c r="U121" i="41"/>
  <c r="T121" i="41"/>
  <c r="S121" i="41"/>
  <c r="W120" i="41"/>
  <c r="V120" i="41"/>
  <c r="U120" i="41"/>
  <c r="T120" i="41"/>
  <c r="S120" i="41"/>
  <c r="W119" i="41"/>
  <c r="V119" i="41"/>
  <c r="U119" i="41"/>
  <c r="T119" i="41"/>
  <c r="S119" i="41"/>
  <c r="W118" i="41"/>
  <c r="V118" i="41"/>
  <c r="U118" i="41"/>
  <c r="T118" i="41"/>
  <c r="S118" i="41"/>
  <c r="W117" i="41"/>
  <c r="V117" i="41"/>
  <c r="U117" i="41"/>
  <c r="T117" i="41"/>
  <c r="S117" i="41"/>
  <c r="W116" i="41"/>
  <c r="V116" i="41"/>
  <c r="U116" i="41"/>
  <c r="T116" i="41"/>
  <c r="S116" i="41"/>
  <c r="W115" i="41"/>
  <c r="V115" i="41"/>
  <c r="U115" i="41"/>
  <c r="T115" i="41"/>
  <c r="S115" i="41"/>
  <c r="W114" i="41"/>
  <c r="V114" i="41"/>
  <c r="U114" i="41"/>
  <c r="T114" i="41"/>
  <c r="S114" i="41"/>
  <c r="W113" i="41"/>
  <c r="V113" i="41"/>
  <c r="U113" i="41"/>
  <c r="T113" i="41"/>
  <c r="S113" i="41"/>
  <c r="W112" i="41"/>
  <c r="V112" i="41"/>
  <c r="U112" i="41"/>
  <c r="T112" i="41"/>
  <c r="S112" i="41"/>
  <c r="W111" i="41"/>
  <c r="V111" i="41"/>
  <c r="U111" i="41"/>
  <c r="T111" i="41"/>
  <c r="S111" i="41"/>
  <c r="W110" i="41"/>
  <c r="V110" i="41"/>
  <c r="U110" i="41"/>
  <c r="T110" i="41"/>
  <c r="S110" i="41"/>
  <c r="W109" i="41"/>
  <c r="V109" i="41"/>
  <c r="U109" i="41"/>
  <c r="T109" i="41"/>
  <c r="S109" i="41"/>
  <c r="W108" i="41"/>
  <c r="V108" i="41"/>
  <c r="U108" i="41"/>
  <c r="T108" i="41"/>
  <c r="S108" i="41"/>
  <c r="W107" i="41"/>
  <c r="V107" i="41"/>
  <c r="U107" i="41"/>
  <c r="T107" i="41"/>
  <c r="S107" i="41"/>
  <c r="W106" i="41"/>
  <c r="V106" i="41"/>
  <c r="U106" i="41"/>
  <c r="T106" i="41"/>
  <c r="S106" i="41"/>
  <c r="W105" i="41"/>
  <c r="V105" i="41"/>
  <c r="U105" i="41"/>
  <c r="T105" i="41"/>
  <c r="S105" i="41"/>
  <c r="W104" i="41"/>
  <c r="V104" i="41"/>
  <c r="U104" i="41"/>
  <c r="T104" i="41"/>
  <c r="S104" i="41"/>
  <c r="W103" i="41"/>
  <c r="V103" i="41"/>
  <c r="U103" i="41"/>
  <c r="T103" i="41"/>
  <c r="S103" i="41"/>
  <c r="W102" i="41"/>
  <c r="V102" i="41"/>
  <c r="U102" i="41"/>
  <c r="T102" i="41"/>
  <c r="S102" i="41"/>
  <c r="W101" i="41"/>
  <c r="V101" i="41"/>
  <c r="U101" i="41"/>
  <c r="T101" i="41"/>
  <c r="S101" i="41"/>
  <c r="W100" i="41"/>
  <c r="V100" i="41"/>
  <c r="U100" i="41"/>
  <c r="T100" i="41"/>
  <c r="S100" i="41"/>
  <c r="W99" i="41"/>
  <c r="V99" i="41"/>
  <c r="U99" i="41"/>
  <c r="T99" i="41"/>
  <c r="S99" i="41"/>
  <c r="W98" i="41"/>
  <c r="V98" i="41"/>
  <c r="U98" i="41"/>
  <c r="T98" i="41"/>
  <c r="S98" i="41"/>
  <c r="W97" i="41"/>
  <c r="V97" i="41"/>
  <c r="U97" i="41"/>
  <c r="T97" i="41"/>
  <c r="S97" i="41"/>
  <c r="W96" i="41"/>
  <c r="V96" i="41"/>
  <c r="U96" i="41"/>
  <c r="T96" i="41"/>
  <c r="S96" i="41"/>
  <c r="W95" i="41"/>
  <c r="V95" i="41"/>
  <c r="U95" i="41"/>
  <c r="T95" i="41"/>
  <c r="S95" i="41"/>
  <c r="W94" i="41"/>
  <c r="V94" i="41"/>
  <c r="U94" i="41"/>
  <c r="T94" i="41"/>
  <c r="S94" i="41"/>
  <c r="W93" i="41"/>
  <c r="V93" i="41"/>
  <c r="U93" i="41"/>
  <c r="T93" i="41"/>
  <c r="S93" i="41"/>
  <c r="W92" i="41"/>
  <c r="V92" i="41"/>
  <c r="U92" i="41"/>
  <c r="T92" i="41"/>
  <c r="S92" i="41"/>
  <c r="W91" i="41"/>
  <c r="V91" i="41"/>
  <c r="U91" i="41"/>
  <c r="T91" i="41"/>
  <c r="S91" i="41"/>
  <c r="W90" i="41"/>
  <c r="V90" i="41"/>
  <c r="U90" i="41"/>
  <c r="T90" i="41"/>
  <c r="S90" i="41"/>
  <c r="W89" i="41"/>
  <c r="V89" i="41"/>
  <c r="U89" i="41"/>
  <c r="T89" i="41"/>
  <c r="S89" i="41"/>
  <c r="W88" i="41"/>
  <c r="V88" i="41"/>
  <c r="U88" i="41"/>
  <c r="T88" i="41"/>
  <c r="S88" i="41"/>
  <c r="W87" i="41"/>
  <c r="V87" i="41"/>
  <c r="U87" i="41"/>
  <c r="T87" i="41"/>
  <c r="S87" i="41"/>
  <c r="W86" i="41"/>
  <c r="V86" i="41"/>
  <c r="U86" i="41"/>
  <c r="T86" i="41"/>
  <c r="S86" i="41"/>
  <c r="W85" i="41"/>
  <c r="V85" i="41"/>
  <c r="U85" i="41"/>
  <c r="T85" i="41"/>
  <c r="S85" i="41"/>
  <c r="W84" i="41"/>
  <c r="V84" i="41"/>
  <c r="U84" i="41"/>
  <c r="T84" i="41"/>
  <c r="S84" i="41"/>
  <c r="W83" i="41"/>
  <c r="V83" i="41"/>
  <c r="U83" i="41"/>
  <c r="T83" i="41"/>
  <c r="S83" i="41"/>
  <c r="W82" i="41"/>
  <c r="V82" i="41"/>
  <c r="U82" i="41"/>
  <c r="T82" i="41"/>
  <c r="S82" i="41"/>
  <c r="W81" i="41"/>
  <c r="V81" i="41"/>
  <c r="U81" i="41"/>
  <c r="T81" i="41"/>
  <c r="S81" i="41"/>
  <c r="W80" i="41"/>
  <c r="V80" i="41"/>
  <c r="U80" i="41"/>
  <c r="T80" i="41"/>
  <c r="S80" i="41"/>
  <c r="W79" i="41"/>
  <c r="V79" i="41"/>
  <c r="U79" i="41"/>
  <c r="T79" i="41"/>
  <c r="S79" i="41"/>
  <c r="W78" i="41"/>
  <c r="V78" i="41"/>
  <c r="U78" i="41"/>
  <c r="T78" i="41"/>
  <c r="S78" i="41"/>
  <c r="W77" i="41"/>
  <c r="V77" i="41"/>
  <c r="U77" i="41"/>
  <c r="T77" i="41"/>
  <c r="S77" i="41"/>
  <c r="W76" i="41"/>
  <c r="V76" i="41"/>
  <c r="U76" i="41"/>
  <c r="T76" i="41"/>
  <c r="S76" i="41"/>
  <c r="W75" i="41"/>
  <c r="V75" i="41"/>
  <c r="U75" i="41"/>
  <c r="T75" i="41"/>
  <c r="S75" i="41"/>
  <c r="W74" i="41"/>
  <c r="V74" i="41"/>
  <c r="U74" i="41"/>
  <c r="T74" i="41"/>
  <c r="S74" i="41"/>
  <c r="W73" i="41"/>
  <c r="V73" i="41"/>
  <c r="U73" i="41"/>
  <c r="T73" i="41"/>
  <c r="S73" i="41"/>
  <c r="W72" i="41"/>
  <c r="V72" i="41"/>
  <c r="U72" i="41"/>
  <c r="T72" i="41"/>
  <c r="S72" i="41"/>
  <c r="W71" i="41"/>
  <c r="V71" i="41"/>
  <c r="U71" i="41"/>
  <c r="T71" i="41"/>
  <c r="S71" i="41"/>
  <c r="W70" i="41"/>
  <c r="V70" i="41"/>
  <c r="U70" i="41"/>
  <c r="T70" i="41"/>
  <c r="S70" i="41"/>
  <c r="W69" i="41"/>
  <c r="V69" i="41"/>
  <c r="U69" i="41"/>
  <c r="T69" i="41"/>
  <c r="S69" i="41"/>
  <c r="W68" i="41"/>
  <c r="V68" i="41"/>
  <c r="U68" i="41"/>
  <c r="T68" i="41"/>
  <c r="S68" i="41"/>
  <c r="W67" i="41"/>
  <c r="V67" i="41"/>
  <c r="U67" i="41"/>
  <c r="T67" i="41"/>
  <c r="S67" i="41"/>
  <c r="W66" i="41"/>
  <c r="V66" i="41"/>
  <c r="U66" i="41"/>
  <c r="T66" i="41"/>
  <c r="S66" i="41"/>
  <c r="W65" i="41"/>
  <c r="V65" i="41"/>
  <c r="U65" i="41"/>
  <c r="T65" i="41"/>
  <c r="S65" i="41"/>
  <c r="W64" i="41"/>
  <c r="V64" i="41"/>
  <c r="U64" i="41"/>
  <c r="T64" i="41"/>
  <c r="S64" i="41"/>
  <c r="W63" i="41"/>
  <c r="V63" i="41"/>
  <c r="U63" i="41"/>
  <c r="T63" i="41"/>
  <c r="S63" i="41"/>
  <c r="W62" i="41"/>
  <c r="V62" i="41"/>
  <c r="U62" i="41"/>
  <c r="T62" i="41"/>
  <c r="S62" i="41"/>
  <c r="W61" i="41"/>
  <c r="V61" i="41"/>
  <c r="U61" i="41"/>
  <c r="T61" i="41"/>
  <c r="S61" i="41"/>
  <c r="W60" i="41"/>
  <c r="V60" i="41"/>
  <c r="U60" i="41"/>
  <c r="T60" i="41"/>
  <c r="S60" i="41"/>
  <c r="W59" i="41"/>
  <c r="V59" i="41"/>
  <c r="U59" i="41"/>
  <c r="T59" i="41"/>
  <c r="S59" i="41"/>
  <c r="W58" i="41"/>
  <c r="V58" i="41"/>
  <c r="U58" i="41"/>
  <c r="T58" i="41"/>
  <c r="S58" i="41"/>
  <c r="W57" i="41"/>
  <c r="V57" i="41"/>
  <c r="U57" i="41"/>
  <c r="T57" i="41"/>
  <c r="S57" i="41"/>
  <c r="W56" i="41"/>
  <c r="V56" i="41"/>
  <c r="U56" i="41"/>
  <c r="T56" i="41"/>
  <c r="S56" i="41"/>
  <c r="W55" i="41"/>
  <c r="V55" i="41"/>
  <c r="U55" i="41"/>
  <c r="T55" i="41"/>
  <c r="S55" i="41"/>
  <c r="W54" i="41"/>
  <c r="V54" i="41"/>
  <c r="U54" i="41"/>
  <c r="T54" i="41"/>
  <c r="S54" i="41"/>
  <c r="W53" i="41"/>
  <c r="V53" i="41"/>
  <c r="U53" i="41"/>
  <c r="T53" i="41"/>
  <c r="S53" i="41"/>
  <c r="W52" i="41"/>
  <c r="V52" i="41"/>
  <c r="U52" i="41"/>
  <c r="T52" i="41"/>
  <c r="S52" i="41"/>
  <c r="W51" i="41"/>
  <c r="V51" i="41"/>
  <c r="U51" i="41"/>
  <c r="T51" i="41"/>
  <c r="S51" i="41"/>
  <c r="W50" i="41"/>
  <c r="V50" i="41"/>
  <c r="U50" i="41"/>
  <c r="T50" i="41"/>
  <c r="S50" i="41"/>
  <c r="W49" i="41"/>
  <c r="V49" i="41"/>
  <c r="U49" i="41"/>
  <c r="T49" i="41"/>
  <c r="S49" i="41"/>
  <c r="W48" i="41"/>
  <c r="V48" i="41"/>
  <c r="U48" i="41"/>
  <c r="T48" i="41"/>
  <c r="S48" i="41"/>
  <c r="W47" i="41"/>
  <c r="V47" i="41"/>
  <c r="U47" i="41"/>
  <c r="T47" i="41"/>
  <c r="S47" i="41"/>
  <c r="W46" i="41"/>
  <c r="V46" i="41"/>
  <c r="U46" i="41"/>
  <c r="T46" i="41"/>
  <c r="S46" i="41"/>
  <c r="W45" i="41"/>
  <c r="V45" i="41"/>
  <c r="U45" i="41"/>
  <c r="T45" i="41"/>
  <c r="S45" i="41"/>
  <c r="W44" i="41"/>
  <c r="V44" i="41"/>
  <c r="U44" i="41"/>
  <c r="T44" i="41"/>
  <c r="S44" i="41"/>
  <c r="W43" i="41"/>
  <c r="V43" i="41"/>
  <c r="U43" i="41"/>
  <c r="T43" i="41"/>
  <c r="S43" i="41"/>
  <c r="W42" i="41"/>
  <c r="V42" i="41"/>
  <c r="U42" i="41"/>
  <c r="T42" i="41"/>
  <c r="S42" i="41"/>
  <c r="W41" i="41"/>
  <c r="V41" i="41"/>
  <c r="U41" i="41"/>
  <c r="T41" i="41"/>
  <c r="S41" i="41"/>
  <c r="W40" i="41"/>
  <c r="V40" i="41"/>
  <c r="U40" i="41"/>
  <c r="T40" i="41"/>
  <c r="S40" i="41"/>
  <c r="W39" i="41"/>
  <c r="V39" i="41"/>
  <c r="U39" i="41"/>
  <c r="T39" i="41"/>
  <c r="S39" i="41"/>
  <c r="W38" i="41"/>
  <c r="V38" i="41"/>
  <c r="U38" i="41"/>
  <c r="T38" i="41"/>
  <c r="S38" i="41"/>
  <c r="W37" i="41"/>
  <c r="V37" i="41"/>
  <c r="U37" i="41"/>
  <c r="T37" i="41"/>
  <c r="S37" i="41"/>
  <c r="W36" i="41"/>
  <c r="V36" i="41"/>
  <c r="U36" i="41"/>
  <c r="T36" i="41"/>
  <c r="S36" i="41"/>
  <c r="W35" i="41"/>
  <c r="V35" i="41"/>
  <c r="U35" i="41"/>
  <c r="T35" i="41"/>
  <c r="S35" i="41"/>
  <c r="W34" i="41"/>
  <c r="V34" i="41"/>
  <c r="U34" i="41"/>
  <c r="T34" i="41"/>
  <c r="S34" i="41"/>
  <c r="W33" i="41"/>
  <c r="V33" i="41"/>
  <c r="U33" i="41"/>
  <c r="T33" i="41"/>
  <c r="S33" i="41"/>
  <c r="W32" i="41"/>
  <c r="V32" i="41"/>
  <c r="U32" i="41"/>
  <c r="T32" i="41"/>
  <c r="S32" i="41"/>
  <c r="W31" i="41"/>
  <c r="V31" i="41"/>
  <c r="U31" i="41"/>
  <c r="T31" i="41"/>
  <c r="S31" i="41"/>
  <c r="W30" i="41"/>
  <c r="V30" i="41"/>
  <c r="U30" i="41"/>
  <c r="T30" i="41"/>
  <c r="S30" i="41"/>
  <c r="W29" i="41"/>
  <c r="V29" i="41"/>
  <c r="U29" i="41"/>
  <c r="T29" i="41"/>
  <c r="S29" i="41"/>
  <c r="W28" i="41"/>
  <c r="V28" i="41"/>
  <c r="U28" i="41"/>
  <c r="T28" i="41"/>
  <c r="S28" i="41"/>
  <c r="W27" i="41"/>
  <c r="V27" i="41"/>
  <c r="U27" i="41"/>
  <c r="T27" i="41"/>
  <c r="S27" i="41"/>
  <c r="W26" i="41"/>
  <c r="V26" i="41"/>
  <c r="U26" i="41"/>
  <c r="T26" i="41"/>
  <c r="S26" i="41"/>
  <c r="W25" i="41"/>
  <c r="V25" i="41"/>
  <c r="U25" i="41"/>
  <c r="T25" i="41"/>
  <c r="S25" i="41"/>
  <c r="W24" i="41"/>
  <c r="V24" i="41"/>
  <c r="U24" i="41"/>
  <c r="T24" i="41"/>
  <c r="S24" i="41"/>
  <c r="W23" i="41"/>
  <c r="V23" i="41"/>
  <c r="U23" i="41"/>
  <c r="T23" i="41"/>
  <c r="S23" i="41"/>
  <c r="W22" i="41"/>
  <c r="V22" i="41"/>
  <c r="U22" i="41"/>
  <c r="T22" i="41"/>
  <c r="S22" i="41"/>
  <c r="W21" i="41"/>
  <c r="V21" i="41"/>
  <c r="U21" i="41"/>
  <c r="T21" i="41"/>
  <c r="S21" i="41"/>
  <c r="W20" i="41"/>
  <c r="V20" i="41"/>
  <c r="U20" i="41"/>
  <c r="T20" i="41"/>
  <c r="S20" i="41"/>
  <c r="W19" i="41"/>
  <c r="V19" i="41"/>
  <c r="U19" i="41"/>
  <c r="T19" i="41"/>
  <c r="S19" i="41"/>
  <c r="W18" i="41"/>
  <c r="V18" i="41"/>
  <c r="U18" i="41"/>
  <c r="T18" i="41"/>
  <c r="S18" i="41"/>
  <c r="W17" i="41"/>
  <c r="V17" i="41"/>
  <c r="U17" i="41"/>
  <c r="T17" i="41"/>
  <c r="S17" i="41"/>
  <c r="W16" i="41"/>
  <c r="V16" i="41"/>
  <c r="U16" i="41"/>
  <c r="T16" i="41"/>
  <c r="S16" i="41"/>
  <c r="W15" i="41"/>
  <c r="V15" i="41"/>
  <c r="U15" i="41"/>
  <c r="T15" i="41"/>
  <c r="S15" i="41"/>
  <c r="W14" i="41"/>
  <c r="V14" i="41"/>
  <c r="U14" i="41"/>
  <c r="T14" i="41"/>
  <c r="S14" i="41"/>
  <c r="W13" i="41"/>
  <c r="V13" i="41"/>
  <c r="U13" i="41"/>
  <c r="T13" i="41"/>
  <c r="S13" i="41"/>
  <c r="W12" i="41"/>
  <c r="V12" i="41"/>
  <c r="U12" i="41"/>
  <c r="T12" i="41"/>
  <c r="S12" i="41"/>
  <c r="W11" i="41"/>
  <c r="V11" i="41"/>
  <c r="U11" i="41"/>
  <c r="T11" i="41"/>
  <c r="S11" i="41"/>
  <c r="W10" i="41"/>
  <c r="V10" i="41"/>
  <c r="U10" i="41"/>
  <c r="T10" i="41"/>
  <c r="S10" i="41"/>
  <c r="W9" i="41"/>
  <c r="V9" i="41"/>
  <c r="U9" i="41"/>
  <c r="T9" i="41"/>
  <c r="S9" i="41"/>
  <c r="W8" i="41"/>
  <c r="V8" i="41"/>
  <c r="U8" i="41"/>
  <c r="T8" i="41"/>
  <c r="S8" i="41"/>
  <c r="W7" i="41"/>
  <c r="V7" i="41"/>
  <c r="U7" i="41"/>
  <c r="T7" i="41"/>
  <c r="S7" i="41"/>
  <c r="W6" i="41"/>
  <c r="V6" i="41"/>
  <c r="U6" i="41"/>
  <c r="T6" i="41"/>
  <c r="S6" i="41"/>
  <c r="W5" i="41"/>
  <c r="V5" i="41"/>
  <c r="U5" i="41"/>
  <c r="T5" i="41"/>
  <c r="S5" i="41"/>
  <c r="R149" i="41"/>
  <c r="Q149" i="41"/>
  <c r="P149" i="41"/>
  <c r="O149" i="41"/>
  <c r="N149" i="41"/>
  <c r="R148" i="41"/>
  <c r="Q148" i="41"/>
  <c r="P148" i="41"/>
  <c r="O148" i="41"/>
  <c r="N148" i="41"/>
  <c r="R147" i="41"/>
  <c r="Q147" i="41"/>
  <c r="P147" i="41"/>
  <c r="O147" i="41"/>
  <c r="N147" i="41"/>
  <c r="R146" i="41"/>
  <c r="Q146" i="41"/>
  <c r="P146" i="41"/>
  <c r="O146" i="41"/>
  <c r="N146" i="41"/>
  <c r="R145" i="41"/>
  <c r="Q145" i="41"/>
  <c r="P145" i="41"/>
  <c r="O145" i="41"/>
  <c r="N145" i="41"/>
  <c r="R144" i="41"/>
  <c r="Q144" i="41"/>
  <c r="P144" i="41"/>
  <c r="O144" i="41"/>
  <c r="N144" i="41"/>
  <c r="R143" i="41"/>
  <c r="Q143" i="41"/>
  <c r="P143" i="41"/>
  <c r="O143" i="41"/>
  <c r="N143" i="41"/>
  <c r="R142" i="41"/>
  <c r="Q142" i="41"/>
  <c r="P142" i="41"/>
  <c r="O142" i="41"/>
  <c r="N142" i="41"/>
  <c r="R141" i="41"/>
  <c r="Q141" i="41"/>
  <c r="P141" i="41"/>
  <c r="O141" i="41"/>
  <c r="N141" i="41"/>
  <c r="R140" i="41"/>
  <c r="Q140" i="41"/>
  <c r="P140" i="41"/>
  <c r="O140" i="41"/>
  <c r="N140" i="41"/>
  <c r="R139" i="41"/>
  <c r="Q139" i="41"/>
  <c r="P139" i="41"/>
  <c r="O139" i="41"/>
  <c r="N139" i="41"/>
  <c r="R138" i="41"/>
  <c r="Q138" i="41"/>
  <c r="P138" i="41"/>
  <c r="O138" i="41"/>
  <c r="N138" i="41"/>
  <c r="R137" i="41"/>
  <c r="Q137" i="41"/>
  <c r="P137" i="41"/>
  <c r="O137" i="41"/>
  <c r="N137" i="41"/>
  <c r="R136" i="41"/>
  <c r="Q136" i="41"/>
  <c r="P136" i="41"/>
  <c r="O136" i="41"/>
  <c r="N136" i="41"/>
  <c r="R135" i="41"/>
  <c r="Q135" i="41"/>
  <c r="P135" i="41"/>
  <c r="O135" i="41"/>
  <c r="N135" i="41"/>
  <c r="R134" i="41"/>
  <c r="Q134" i="41"/>
  <c r="P134" i="41"/>
  <c r="O134" i="41"/>
  <c r="N134" i="41"/>
  <c r="R133" i="41"/>
  <c r="Q133" i="41"/>
  <c r="P133" i="41"/>
  <c r="O133" i="41"/>
  <c r="N133" i="41"/>
  <c r="R132" i="41"/>
  <c r="Q132" i="41"/>
  <c r="P132" i="41"/>
  <c r="O132" i="41"/>
  <c r="N132" i="41"/>
  <c r="R131" i="41"/>
  <c r="Q131" i="41"/>
  <c r="P131" i="41"/>
  <c r="O131" i="41"/>
  <c r="N131" i="41"/>
  <c r="R130" i="41"/>
  <c r="Q130" i="41"/>
  <c r="P130" i="41"/>
  <c r="O130" i="41"/>
  <c r="N130" i="41"/>
  <c r="R129" i="41"/>
  <c r="Q129" i="41"/>
  <c r="P129" i="41"/>
  <c r="O129" i="41"/>
  <c r="N129" i="41"/>
  <c r="R128" i="41"/>
  <c r="Q128" i="41"/>
  <c r="P128" i="41"/>
  <c r="O128" i="41"/>
  <c r="N128" i="41"/>
  <c r="R127" i="41"/>
  <c r="Q127" i="41"/>
  <c r="P127" i="41"/>
  <c r="O127" i="41"/>
  <c r="N127" i="41"/>
  <c r="R126" i="41"/>
  <c r="Q126" i="41"/>
  <c r="P126" i="41"/>
  <c r="O126" i="41"/>
  <c r="N126" i="41"/>
  <c r="R125" i="41"/>
  <c r="Q125" i="41"/>
  <c r="P125" i="41"/>
  <c r="O125" i="41"/>
  <c r="N125" i="41"/>
  <c r="R124" i="41"/>
  <c r="Q124" i="41"/>
  <c r="P124" i="41"/>
  <c r="O124" i="41"/>
  <c r="N124" i="41"/>
  <c r="R123" i="41"/>
  <c r="Q123" i="41"/>
  <c r="P123" i="41"/>
  <c r="O123" i="41"/>
  <c r="N123" i="41"/>
  <c r="R122" i="41"/>
  <c r="Q122" i="41"/>
  <c r="P122" i="41"/>
  <c r="O122" i="41"/>
  <c r="N122" i="41"/>
  <c r="R121" i="41"/>
  <c r="Q121" i="41"/>
  <c r="P121" i="41"/>
  <c r="O121" i="41"/>
  <c r="N121" i="41"/>
  <c r="R120" i="41"/>
  <c r="Q120" i="41"/>
  <c r="P120" i="41"/>
  <c r="O120" i="41"/>
  <c r="N120" i="41"/>
  <c r="R119" i="41"/>
  <c r="Q119" i="41"/>
  <c r="P119" i="41"/>
  <c r="O119" i="41"/>
  <c r="N119" i="41"/>
  <c r="R118" i="41"/>
  <c r="Q118" i="41"/>
  <c r="P118" i="41"/>
  <c r="O118" i="41"/>
  <c r="N118" i="41"/>
  <c r="R117" i="41"/>
  <c r="Q117" i="41"/>
  <c r="P117" i="41"/>
  <c r="O117" i="41"/>
  <c r="N117" i="41"/>
  <c r="R116" i="41"/>
  <c r="Q116" i="41"/>
  <c r="P116" i="41"/>
  <c r="O116" i="41"/>
  <c r="N116" i="41"/>
  <c r="R115" i="41"/>
  <c r="Q115" i="41"/>
  <c r="P115" i="41"/>
  <c r="O115" i="41"/>
  <c r="N115" i="41"/>
  <c r="R114" i="41"/>
  <c r="Q114" i="41"/>
  <c r="P114" i="41"/>
  <c r="O114" i="41"/>
  <c r="N114" i="41"/>
  <c r="R113" i="41"/>
  <c r="Q113" i="41"/>
  <c r="P113" i="41"/>
  <c r="O113" i="41"/>
  <c r="N113" i="41"/>
  <c r="R112" i="41"/>
  <c r="Q112" i="41"/>
  <c r="P112" i="41"/>
  <c r="O112" i="41"/>
  <c r="N112" i="41"/>
  <c r="R111" i="41"/>
  <c r="Q111" i="41"/>
  <c r="P111" i="41"/>
  <c r="O111" i="41"/>
  <c r="N111" i="41"/>
  <c r="R110" i="41"/>
  <c r="Q110" i="41"/>
  <c r="P110" i="41"/>
  <c r="O110" i="41"/>
  <c r="N110" i="41"/>
  <c r="R109" i="41"/>
  <c r="Q109" i="41"/>
  <c r="P109" i="41"/>
  <c r="O109" i="41"/>
  <c r="N109" i="41"/>
  <c r="R108" i="41"/>
  <c r="Q108" i="41"/>
  <c r="P108" i="41"/>
  <c r="O108" i="41"/>
  <c r="N108" i="41"/>
  <c r="R107" i="41"/>
  <c r="Q107" i="41"/>
  <c r="P107" i="41"/>
  <c r="O107" i="41"/>
  <c r="N107" i="41"/>
  <c r="R106" i="41"/>
  <c r="Q106" i="41"/>
  <c r="P106" i="41"/>
  <c r="O106" i="41"/>
  <c r="N106" i="41"/>
  <c r="R105" i="41"/>
  <c r="Q105" i="41"/>
  <c r="P105" i="41"/>
  <c r="O105" i="41"/>
  <c r="N105" i="41"/>
  <c r="R104" i="41"/>
  <c r="Q104" i="41"/>
  <c r="P104" i="41"/>
  <c r="O104" i="41"/>
  <c r="N104" i="41"/>
  <c r="R103" i="41"/>
  <c r="Q103" i="41"/>
  <c r="P103" i="41"/>
  <c r="O103" i="41"/>
  <c r="N103" i="41"/>
  <c r="R102" i="41"/>
  <c r="Q102" i="41"/>
  <c r="P102" i="41"/>
  <c r="O102" i="41"/>
  <c r="N102" i="41"/>
  <c r="R101" i="41"/>
  <c r="Q101" i="41"/>
  <c r="P101" i="41"/>
  <c r="O101" i="41"/>
  <c r="N101" i="41"/>
  <c r="R100" i="41"/>
  <c r="Q100" i="41"/>
  <c r="P100" i="41"/>
  <c r="O100" i="41"/>
  <c r="N100" i="41"/>
  <c r="R99" i="41"/>
  <c r="Q99" i="41"/>
  <c r="P99" i="41"/>
  <c r="O99" i="41"/>
  <c r="N99" i="41"/>
  <c r="R98" i="41"/>
  <c r="Q98" i="41"/>
  <c r="P98" i="41"/>
  <c r="O98" i="41"/>
  <c r="N98" i="41"/>
  <c r="R97" i="41"/>
  <c r="Q97" i="41"/>
  <c r="P97" i="41"/>
  <c r="O97" i="41"/>
  <c r="N97" i="41"/>
  <c r="R96" i="41"/>
  <c r="Q96" i="41"/>
  <c r="P96" i="41"/>
  <c r="O96" i="41"/>
  <c r="N96" i="41"/>
  <c r="R95" i="41"/>
  <c r="Q95" i="41"/>
  <c r="P95" i="41"/>
  <c r="O95" i="41"/>
  <c r="N95" i="41"/>
  <c r="R94" i="41"/>
  <c r="Q94" i="41"/>
  <c r="P94" i="41"/>
  <c r="O94" i="41"/>
  <c r="N94" i="41"/>
  <c r="R93" i="41"/>
  <c r="Q93" i="41"/>
  <c r="P93" i="41"/>
  <c r="O93" i="41"/>
  <c r="N93" i="41"/>
  <c r="R92" i="41"/>
  <c r="Q92" i="41"/>
  <c r="P92" i="41"/>
  <c r="O92" i="41"/>
  <c r="N92" i="41"/>
  <c r="R91" i="41"/>
  <c r="Q91" i="41"/>
  <c r="P91" i="41"/>
  <c r="O91" i="41"/>
  <c r="N91" i="41"/>
  <c r="R90" i="41"/>
  <c r="Q90" i="41"/>
  <c r="P90" i="41"/>
  <c r="O90" i="41"/>
  <c r="N90" i="41"/>
  <c r="R89" i="41"/>
  <c r="Q89" i="41"/>
  <c r="P89" i="41"/>
  <c r="O89" i="41"/>
  <c r="N89" i="41"/>
  <c r="R88" i="41"/>
  <c r="Q88" i="41"/>
  <c r="P88" i="41"/>
  <c r="O88" i="41"/>
  <c r="N88" i="41"/>
  <c r="R87" i="41"/>
  <c r="Q87" i="41"/>
  <c r="P87" i="41"/>
  <c r="O87" i="41"/>
  <c r="N87" i="41"/>
  <c r="R86" i="41"/>
  <c r="Q86" i="41"/>
  <c r="P86" i="41"/>
  <c r="O86" i="41"/>
  <c r="N86" i="41"/>
  <c r="R85" i="41"/>
  <c r="Q85" i="41"/>
  <c r="P85" i="41"/>
  <c r="O85" i="41"/>
  <c r="N85" i="41"/>
  <c r="R84" i="41"/>
  <c r="Q84" i="41"/>
  <c r="P84" i="41"/>
  <c r="O84" i="41"/>
  <c r="N84" i="41"/>
  <c r="R83" i="41"/>
  <c r="Q83" i="41"/>
  <c r="P83" i="41"/>
  <c r="O83" i="41"/>
  <c r="N83" i="41"/>
  <c r="R82" i="41"/>
  <c r="Q82" i="41"/>
  <c r="P82" i="41"/>
  <c r="O82" i="41"/>
  <c r="N82" i="41"/>
  <c r="R81" i="41"/>
  <c r="Q81" i="41"/>
  <c r="P81" i="41"/>
  <c r="O81" i="41"/>
  <c r="N81" i="41"/>
  <c r="R80" i="41"/>
  <c r="Q80" i="41"/>
  <c r="P80" i="41"/>
  <c r="O80" i="41"/>
  <c r="N80" i="41"/>
  <c r="R79" i="41"/>
  <c r="Q79" i="41"/>
  <c r="P79" i="41"/>
  <c r="O79" i="41"/>
  <c r="N79" i="41"/>
  <c r="R78" i="41"/>
  <c r="Q78" i="41"/>
  <c r="P78" i="41"/>
  <c r="O78" i="41"/>
  <c r="N78" i="41"/>
  <c r="R77" i="41"/>
  <c r="Q77" i="41"/>
  <c r="P77" i="41"/>
  <c r="O77" i="41"/>
  <c r="N77" i="41"/>
  <c r="R76" i="41"/>
  <c r="Q76" i="41"/>
  <c r="P76" i="41"/>
  <c r="O76" i="41"/>
  <c r="N76" i="41"/>
  <c r="R75" i="41"/>
  <c r="Q75" i="41"/>
  <c r="P75" i="41"/>
  <c r="O75" i="41"/>
  <c r="N75" i="41"/>
  <c r="R74" i="41"/>
  <c r="Q74" i="41"/>
  <c r="P74" i="41"/>
  <c r="O74" i="41"/>
  <c r="N74" i="41"/>
  <c r="R73" i="41"/>
  <c r="Q73" i="41"/>
  <c r="P73" i="41"/>
  <c r="O73" i="41"/>
  <c r="N73" i="41"/>
  <c r="R72" i="41"/>
  <c r="Q72" i="41"/>
  <c r="P72" i="41"/>
  <c r="O72" i="41"/>
  <c r="N72" i="41"/>
  <c r="R71" i="41"/>
  <c r="Q71" i="41"/>
  <c r="P71" i="41"/>
  <c r="O71" i="41"/>
  <c r="N71" i="41"/>
  <c r="R70" i="41"/>
  <c r="Q70" i="41"/>
  <c r="P70" i="41"/>
  <c r="O70" i="41"/>
  <c r="N70" i="41"/>
  <c r="R69" i="41"/>
  <c r="Q69" i="41"/>
  <c r="P69" i="41"/>
  <c r="O69" i="41"/>
  <c r="N69" i="41"/>
  <c r="R68" i="41"/>
  <c r="Q68" i="41"/>
  <c r="P68" i="41"/>
  <c r="O68" i="41"/>
  <c r="N68" i="41"/>
  <c r="R67" i="41"/>
  <c r="Q67" i="41"/>
  <c r="P67" i="41"/>
  <c r="O67" i="41"/>
  <c r="N67" i="41"/>
  <c r="R66" i="41"/>
  <c r="Q66" i="41"/>
  <c r="P66" i="41"/>
  <c r="O66" i="41"/>
  <c r="N66" i="41"/>
  <c r="R65" i="41"/>
  <c r="Q65" i="41"/>
  <c r="P65" i="41"/>
  <c r="O65" i="41"/>
  <c r="N65" i="41"/>
  <c r="R64" i="41"/>
  <c r="Q64" i="41"/>
  <c r="P64" i="41"/>
  <c r="O64" i="41"/>
  <c r="N64" i="41"/>
  <c r="R63" i="41"/>
  <c r="Q63" i="41"/>
  <c r="P63" i="41"/>
  <c r="O63" i="41"/>
  <c r="N63" i="41"/>
  <c r="R62" i="41"/>
  <c r="Q62" i="41"/>
  <c r="P62" i="41"/>
  <c r="O62" i="41"/>
  <c r="N62" i="41"/>
  <c r="R61" i="41"/>
  <c r="Q61" i="41"/>
  <c r="P61" i="41"/>
  <c r="O61" i="41"/>
  <c r="N61" i="41"/>
  <c r="R60" i="41"/>
  <c r="Q60" i="41"/>
  <c r="P60" i="41"/>
  <c r="O60" i="41"/>
  <c r="N60" i="41"/>
  <c r="R59" i="41"/>
  <c r="Q59" i="41"/>
  <c r="P59" i="41"/>
  <c r="O59" i="41"/>
  <c r="N59" i="41"/>
  <c r="R58" i="41"/>
  <c r="Q58" i="41"/>
  <c r="P58" i="41"/>
  <c r="O58" i="41"/>
  <c r="N58" i="41"/>
  <c r="R57" i="41"/>
  <c r="Q57" i="41"/>
  <c r="P57" i="41"/>
  <c r="O57" i="41"/>
  <c r="N57" i="41"/>
  <c r="R56" i="41"/>
  <c r="Q56" i="41"/>
  <c r="P56" i="41"/>
  <c r="O56" i="41"/>
  <c r="N56" i="41"/>
  <c r="R55" i="41"/>
  <c r="Q55" i="41"/>
  <c r="P55" i="41"/>
  <c r="O55" i="41"/>
  <c r="N55" i="41"/>
  <c r="R54" i="41"/>
  <c r="Q54" i="41"/>
  <c r="P54" i="41"/>
  <c r="O54" i="41"/>
  <c r="N54" i="41"/>
  <c r="R53" i="41"/>
  <c r="Q53" i="41"/>
  <c r="P53" i="41"/>
  <c r="O53" i="41"/>
  <c r="N53" i="41"/>
  <c r="R52" i="41"/>
  <c r="Q52" i="41"/>
  <c r="P52" i="41"/>
  <c r="O52" i="41"/>
  <c r="N52" i="41"/>
  <c r="R51" i="41"/>
  <c r="Q51" i="41"/>
  <c r="P51" i="41"/>
  <c r="O51" i="41"/>
  <c r="N51" i="41"/>
  <c r="R50" i="41"/>
  <c r="Q50" i="41"/>
  <c r="P50" i="41"/>
  <c r="O50" i="41"/>
  <c r="N50" i="41"/>
  <c r="R49" i="41"/>
  <c r="Q49" i="41"/>
  <c r="P49" i="41"/>
  <c r="O49" i="41"/>
  <c r="N49" i="41"/>
  <c r="R48" i="41"/>
  <c r="Q48" i="41"/>
  <c r="P48" i="41"/>
  <c r="O48" i="41"/>
  <c r="N48" i="41"/>
  <c r="R47" i="41"/>
  <c r="Q47" i="41"/>
  <c r="P47" i="41"/>
  <c r="O47" i="41"/>
  <c r="N47" i="41"/>
  <c r="R46" i="41"/>
  <c r="Q46" i="41"/>
  <c r="P46" i="41"/>
  <c r="O46" i="41"/>
  <c r="N46" i="41"/>
  <c r="R45" i="41"/>
  <c r="Q45" i="41"/>
  <c r="P45" i="41"/>
  <c r="O45" i="41"/>
  <c r="N45" i="41"/>
  <c r="R44" i="41"/>
  <c r="Q44" i="41"/>
  <c r="P44" i="41"/>
  <c r="O44" i="41"/>
  <c r="N44" i="41"/>
  <c r="R43" i="41"/>
  <c r="Q43" i="41"/>
  <c r="P43" i="41"/>
  <c r="O43" i="41"/>
  <c r="N43" i="41"/>
  <c r="R42" i="41"/>
  <c r="Q42" i="41"/>
  <c r="P42" i="41"/>
  <c r="O42" i="41"/>
  <c r="N42" i="41"/>
  <c r="R41" i="41"/>
  <c r="Q41" i="41"/>
  <c r="P41" i="41"/>
  <c r="O41" i="41"/>
  <c r="N41" i="41"/>
  <c r="R40" i="41"/>
  <c r="Q40" i="41"/>
  <c r="P40" i="41"/>
  <c r="O40" i="41"/>
  <c r="N40" i="41"/>
  <c r="R39" i="41"/>
  <c r="Q39" i="41"/>
  <c r="P39" i="41"/>
  <c r="O39" i="41"/>
  <c r="N39" i="41"/>
  <c r="R38" i="41"/>
  <c r="Q38" i="41"/>
  <c r="P38" i="41"/>
  <c r="O38" i="41"/>
  <c r="N38" i="41"/>
  <c r="R37" i="41"/>
  <c r="Q37" i="41"/>
  <c r="P37" i="41"/>
  <c r="O37" i="41"/>
  <c r="N37" i="41"/>
  <c r="R36" i="41"/>
  <c r="Q36" i="41"/>
  <c r="P36" i="41"/>
  <c r="O36" i="41"/>
  <c r="N36" i="41"/>
  <c r="R35" i="41"/>
  <c r="Q35" i="41"/>
  <c r="P35" i="41"/>
  <c r="O35" i="41"/>
  <c r="N35" i="41"/>
  <c r="R34" i="41"/>
  <c r="Q34" i="41"/>
  <c r="P34" i="41"/>
  <c r="O34" i="41"/>
  <c r="N34" i="41"/>
  <c r="R33" i="41"/>
  <c r="Q33" i="41"/>
  <c r="P33" i="41"/>
  <c r="O33" i="41"/>
  <c r="N33" i="41"/>
  <c r="R32" i="41"/>
  <c r="Q32" i="41"/>
  <c r="P32" i="41"/>
  <c r="O32" i="41"/>
  <c r="N32" i="41"/>
  <c r="R31" i="41"/>
  <c r="Q31" i="41"/>
  <c r="P31" i="41"/>
  <c r="O31" i="41"/>
  <c r="N31" i="41"/>
  <c r="R30" i="41"/>
  <c r="Q30" i="41"/>
  <c r="P30" i="41"/>
  <c r="O30" i="41"/>
  <c r="N30" i="41"/>
  <c r="R29" i="41"/>
  <c r="Q29" i="41"/>
  <c r="P29" i="41"/>
  <c r="O29" i="41"/>
  <c r="N29" i="41"/>
  <c r="R28" i="41"/>
  <c r="Q28" i="41"/>
  <c r="P28" i="41"/>
  <c r="O28" i="41"/>
  <c r="N28" i="41"/>
  <c r="R27" i="41"/>
  <c r="Q27" i="41"/>
  <c r="P27" i="41"/>
  <c r="O27" i="41"/>
  <c r="N27" i="41"/>
  <c r="R26" i="41"/>
  <c r="Q26" i="41"/>
  <c r="P26" i="41"/>
  <c r="O26" i="41"/>
  <c r="N26" i="41"/>
  <c r="R25" i="41"/>
  <c r="Q25" i="41"/>
  <c r="P25" i="41"/>
  <c r="O25" i="41"/>
  <c r="N25" i="41"/>
  <c r="R24" i="41"/>
  <c r="Q24" i="41"/>
  <c r="P24" i="41"/>
  <c r="O24" i="41"/>
  <c r="N24" i="41"/>
  <c r="R23" i="41"/>
  <c r="Q23" i="41"/>
  <c r="P23" i="41"/>
  <c r="O23" i="41"/>
  <c r="N23" i="41"/>
  <c r="R22" i="41"/>
  <c r="Q22" i="41"/>
  <c r="P22" i="41"/>
  <c r="O22" i="41"/>
  <c r="N22" i="41"/>
  <c r="R21" i="41"/>
  <c r="Q21" i="41"/>
  <c r="P21" i="41"/>
  <c r="O21" i="41"/>
  <c r="N21" i="41"/>
  <c r="R20" i="41"/>
  <c r="Q20" i="41"/>
  <c r="P20" i="41"/>
  <c r="O20" i="41"/>
  <c r="N20" i="41"/>
  <c r="R19" i="41"/>
  <c r="Q19" i="41"/>
  <c r="P19" i="41"/>
  <c r="O19" i="41"/>
  <c r="N19" i="41"/>
  <c r="R18" i="41"/>
  <c r="Q18" i="41"/>
  <c r="P18" i="41"/>
  <c r="O18" i="41"/>
  <c r="N18" i="41"/>
  <c r="R17" i="41"/>
  <c r="Q17" i="41"/>
  <c r="P17" i="41"/>
  <c r="O17" i="41"/>
  <c r="N17" i="41"/>
  <c r="R16" i="41"/>
  <c r="Q16" i="41"/>
  <c r="P16" i="41"/>
  <c r="O16" i="41"/>
  <c r="N16" i="41"/>
  <c r="R15" i="41"/>
  <c r="Q15" i="41"/>
  <c r="P15" i="41"/>
  <c r="O15" i="41"/>
  <c r="N15" i="41"/>
  <c r="R14" i="41"/>
  <c r="Q14" i="41"/>
  <c r="P14" i="41"/>
  <c r="O14" i="41"/>
  <c r="N14" i="41"/>
  <c r="R13" i="41"/>
  <c r="Q13" i="41"/>
  <c r="P13" i="41"/>
  <c r="O13" i="41"/>
  <c r="N13" i="41"/>
  <c r="R12" i="41"/>
  <c r="Q12" i="41"/>
  <c r="P12" i="41"/>
  <c r="O12" i="41"/>
  <c r="N12" i="41"/>
  <c r="R11" i="41"/>
  <c r="Q11" i="41"/>
  <c r="P11" i="41"/>
  <c r="O11" i="41"/>
  <c r="N11" i="41"/>
  <c r="R10" i="41"/>
  <c r="Q10" i="41"/>
  <c r="P10" i="41"/>
  <c r="O10" i="41"/>
  <c r="N10" i="41"/>
  <c r="R9" i="41"/>
  <c r="Q9" i="41"/>
  <c r="P9" i="41"/>
  <c r="O9" i="41"/>
  <c r="N9" i="41"/>
  <c r="R8" i="41"/>
  <c r="Q8" i="41"/>
  <c r="P8" i="41"/>
  <c r="O8" i="41"/>
  <c r="N8" i="41"/>
  <c r="R7" i="41"/>
  <c r="Q7" i="41"/>
  <c r="P7" i="41"/>
  <c r="O7" i="41"/>
  <c r="N7" i="41"/>
  <c r="R6" i="41"/>
  <c r="Q6" i="41"/>
  <c r="P6" i="41"/>
  <c r="O6" i="41"/>
  <c r="N6" i="41"/>
  <c r="R5" i="41"/>
  <c r="Q5" i="41"/>
  <c r="P5" i="41"/>
  <c r="O5" i="41"/>
  <c r="N5" i="41"/>
  <c r="M149" i="41"/>
  <c r="L149" i="41"/>
  <c r="K149" i="41"/>
  <c r="J149" i="41"/>
  <c r="I149" i="41"/>
  <c r="M148" i="41"/>
  <c r="L148" i="41"/>
  <c r="K148" i="41"/>
  <c r="J148" i="41"/>
  <c r="I148" i="41"/>
  <c r="M147" i="41"/>
  <c r="L147" i="41"/>
  <c r="K147" i="41"/>
  <c r="J147" i="41"/>
  <c r="I147" i="41"/>
  <c r="M146" i="41"/>
  <c r="L146" i="41"/>
  <c r="K146" i="41"/>
  <c r="J146" i="41"/>
  <c r="I146" i="41"/>
  <c r="M145" i="41"/>
  <c r="L145" i="41"/>
  <c r="K145" i="41"/>
  <c r="J145" i="41"/>
  <c r="I145" i="41"/>
  <c r="M144" i="41"/>
  <c r="L144" i="41"/>
  <c r="K144" i="41"/>
  <c r="J144" i="41"/>
  <c r="I144" i="41"/>
  <c r="M143" i="41"/>
  <c r="L143" i="41"/>
  <c r="K143" i="41"/>
  <c r="J143" i="41"/>
  <c r="I143" i="41"/>
  <c r="M142" i="41"/>
  <c r="L142" i="41"/>
  <c r="K142" i="41"/>
  <c r="J142" i="41"/>
  <c r="I142" i="41"/>
  <c r="M141" i="41"/>
  <c r="L141" i="41"/>
  <c r="K141" i="41"/>
  <c r="J141" i="41"/>
  <c r="I141" i="41"/>
  <c r="M140" i="41"/>
  <c r="L140" i="41"/>
  <c r="K140" i="41"/>
  <c r="J140" i="41"/>
  <c r="I140" i="41"/>
  <c r="M139" i="41"/>
  <c r="L139" i="41"/>
  <c r="K139" i="41"/>
  <c r="J139" i="41"/>
  <c r="I139" i="41"/>
  <c r="M138" i="41"/>
  <c r="L138" i="41"/>
  <c r="K138" i="41"/>
  <c r="J138" i="41"/>
  <c r="I138" i="41"/>
  <c r="M137" i="41"/>
  <c r="L137" i="41"/>
  <c r="K137" i="41"/>
  <c r="J137" i="41"/>
  <c r="I137" i="41"/>
  <c r="M136" i="41"/>
  <c r="L136" i="41"/>
  <c r="K136" i="41"/>
  <c r="J136" i="41"/>
  <c r="I136" i="41"/>
  <c r="M135" i="41"/>
  <c r="L135" i="41"/>
  <c r="K135" i="41"/>
  <c r="J135" i="41"/>
  <c r="I135" i="41"/>
  <c r="M134" i="41"/>
  <c r="L134" i="41"/>
  <c r="K134" i="41"/>
  <c r="J134" i="41"/>
  <c r="I134" i="41"/>
  <c r="M133" i="41"/>
  <c r="L133" i="41"/>
  <c r="K133" i="41"/>
  <c r="J133" i="41"/>
  <c r="I133" i="41"/>
  <c r="M132" i="41"/>
  <c r="L132" i="41"/>
  <c r="K132" i="41"/>
  <c r="J132" i="41"/>
  <c r="I132" i="41"/>
  <c r="M131" i="41"/>
  <c r="L131" i="41"/>
  <c r="K131" i="41"/>
  <c r="J131" i="41"/>
  <c r="I131" i="41"/>
  <c r="M130" i="41"/>
  <c r="L130" i="41"/>
  <c r="K130" i="41"/>
  <c r="J130" i="41"/>
  <c r="I130" i="41"/>
  <c r="M129" i="41"/>
  <c r="L129" i="41"/>
  <c r="K129" i="41"/>
  <c r="J129" i="41"/>
  <c r="I129" i="41"/>
  <c r="M128" i="41"/>
  <c r="L128" i="41"/>
  <c r="K128" i="41"/>
  <c r="J128" i="41"/>
  <c r="I128" i="41"/>
  <c r="M127" i="41"/>
  <c r="L127" i="41"/>
  <c r="K127" i="41"/>
  <c r="J127" i="41"/>
  <c r="I127" i="41"/>
  <c r="M126" i="41"/>
  <c r="L126" i="41"/>
  <c r="K126" i="41"/>
  <c r="J126" i="41"/>
  <c r="I126" i="41"/>
  <c r="M125" i="41"/>
  <c r="L125" i="41"/>
  <c r="K125" i="41"/>
  <c r="J125" i="41"/>
  <c r="I125" i="41"/>
  <c r="M124" i="41"/>
  <c r="L124" i="41"/>
  <c r="K124" i="41"/>
  <c r="J124" i="41"/>
  <c r="I124" i="41"/>
  <c r="M123" i="41"/>
  <c r="L123" i="41"/>
  <c r="K123" i="41"/>
  <c r="J123" i="41"/>
  <c r="I123" i="41"/>
  <c r="M122" i="41"/>
  <c r="L122" i="41"/>
  <c r="K122" i="41"/>
  <c r="J122" i="41"/>
  <c r="I122" i="41"/>
  <c r="M121" i="41"/>
  <c r="L121" i="41"/>
  <c r="K121" i="41"/>
  <c r="J121" i="41"/>
  <c r="I121" i="41"/>
  <c r="M120" i="41"/>
  <c r="L120" i="41"/>
  <c r="K120" i="41"/>
  <c r="J120" i="41"/>
  <c r="I120" i="41"/>
  <c r="M119" i="41"/>
  <c r="L119" i="41"/>
  <c r="K119" i="41"/>
  <c r="J119" i="41"/>
  <c r="I119" i="41"/>
  <c r="M118" i="41"/>
  <c r="L118" i="41"/>
  <c r="K118" i="41"/>
  <c r="J118" i="41"/>
  <c r="I118" i="41"/>
  <c r="M117" i="41"/>
  <c r="L117" i="41"/>
  <c r="K117" i="41"/>
  <c r="J117" i="41"/>
  <c r="I117" i="41"/>
  <c r="M116" i="41"/>
  <c r="L116" i="41"/>
  <c r="K116" i="41"/>
  <c r="J116" i="41"/>
  <c r="I116" i="41"/>
  <c r="M115" i="41"/>
  <c r="L115" i="41"/>
  <c r="K115" i="41"/>
  <c r="J115" i="41"/>
  <c r="I115" i="41"/>
  <c r="M114" i="41"/>
  <c r="L114" i="41"/>
  <c r="K114" i="41"/>
  <c r="J114" i="41"/>
  <c r="I114" i="41"/>
  <c r="M113" i="41"/>
  <c r="L113" i="41"/>
  <c r="K113" i="41"/>
  <c r="J113" i="41"/>
  <c r="I113" i="41"/>
  <c r="M112" i="41"/>
  <c r="L112" i="41"/>
  <c r="K112" i="41"/>
  <c r="J112" i="41"/>
  <c r="I112" i="41"/>
  <c r="M111" i="41"/>
  <c r="L111" i="41"/>
  <c r="K111" i="41"/>
  <c r="J111" i="41"/>
  <c r="I111" i="41"/>
  <c r="M110" i="41"/>
  <c r="L110" i="41"/>
  <c r="K110" i="41"/>
  <c r="J110" i="41"/>
  <c r="I110" i="41"/>
  <c r="M109" i="41"/>
  <c r="L109" i="41"/>
  <c r="K109" i="41"/>
  <c r="J109" i="41"/>
  <c r="I109" i="41"/>
  <c r="M108" i="41"/>
  <c r="L108" i="41"/>
  <c r="K108" i="41"/>
  <c r="J108" i="41"/>
  <c r="I108" i="41"/>
  <c r="M107" i="41"/>
  <c r="L107" i="41"/>
  <c r="K107" i="41"/>
  <c r="J107" i="41"/>
  <c r="I107" i="41"/>
  <c r="M106" i="41"/>
  <c r="L106" i="41"/>
  <c r="K106" i="41"/>
  <c r="J106" i="41"/>
  <c r="I106" i="41"/>
  <c r="M105" i="41"/>
  <c r="L105" i="41"/>
  <c r="K105" i="41"/>
  <c r="J105" i="41"/>
  <c r="I105" i="41"/>
  <c r="M104" i="41"/>
  <c r="L104" i="41"/>
  <c r="K104" i="41"/>
  <c r="J104" i="41"/>
  <c r="I104" i="41"/>
  <c r="M103" i="41"/>
  <c r="L103" i="41"/>
  <c r="K103" i="41"/>
  <c r="J103" i="41"/>
  <c r="I103" i="41"/>
  <c r="M102" i="41"/>
  <c r="L102" i="41"/>
  <c r="K102" i="41"/>
  <c r="J102" i="41"/>
  <c r="I102" i="41"/>
  <c r="M101" i="41"/>
  <c r="L101" i="41"/>
  <c r="K101" i="41"/>
  <c r="J101" i="41"/>
  <c r="I101" i="41"/>
  <c r="M100" i="41"/>
  <c r="L100" i="41"/>
  <c r="K100" i="41"/>
  <c r="J100" i="41"/>
  <c r="I100" i="41"/>
  <c r="M99" i="41"/>
  <c r="L99" i="41"/>
  <c r="K99" i="41"/>
  <c r="J99" i="41"/>
  <c r="I99" i="41"/>
  <c r="M98" i="41"/>
  <c r="L98" i="41"/>
  <c r="K98" i="41"/>
  <c r="J98" i="41"/>
  <c r="I98" i="41"/>
  <c r="M97" i="41"/>
  <c r="L97" i="41"/>
  <c r="K97" i="41"/>
  <c r="J97" i="41"/>
  <c r="I97" i="41"/>
  <c r="M96" i="41"/>
  <c r="L96" i="41"/>
  <c r="K96" i="41"/>
  <c r="J96" i="41"/>
  <c r="I96" i="41"/>
  <c r="M95" i="41"/>
  <c r="L95" i="41"/>
  <c r="K95" i="41"/>
  <c r="J95" i="41"/>
  <c r="I95" i="41"/>
  <c r="M94" i="41"/>
  <c r="L94" i="41"/>
  <c r="K94" i="41"/>
  <c r="J94" i="41"/>
  <c r="I94" i="41"/>
  <c r="M93" i="41"/>
  <c r="L93" i="41"/>
  <c r="K93" i="41"/>
  <c r="J93" i="41"/>
  <c r="I93" i="41"/>
  <c r="M92" i="41"/>
  <c r="L92" i="41"/>
  <c r="K92" i="41"/>
  <c r="J92" i="41"/>
  <c r="I92" i="41"/>
  <c r="M91" i="41"/>
  <c r="L91" i="41"/>
  <c r="K91" i="41"/>
  <c r="J91" i="41"/>
  <c r="I91" i="41"/>
  <c r="M90" i="41"/>
  <c r="L90" i="41"/>
  <c r="K90" i="41"/>
  <c r="J90" i="41"/>
  <c r="I90" i="41"/>
  <c r="M89" i="41"/>
  <c r="L89" i="41"/>
  <c r="K89" i="41"/>
  <c r="J89" i="41"/>
  <c r="I89" i="41"/>
  <c r="M88" i="41"/>
  <c r="L88" i="41"/>
  <c r="K88" i="41"/>
  <c r="J88" i="41"/>
  <c r="I88" i="41"/>
  <c r="M87" i="41"/>
  <c r="L87" i="41"/>
  <c r="K87" i="41"/>
  <c r="J87" i="41"/>
  <c r="I87" i="41"/>
  <c r="M86" i="41"/>
  <c r="L86" i="41"/>
  <c r="K86" i="41"/>
  <c r="J86" i="41"/>
  <c r="I86" i="41"/>
  <c r="M85" i="41"/>
  <c r="L85" i="41"/>
  <c r="K85" i="41"/>
  <c r="J85" i="41"/>
  <c r="I85" i="41"/>
  <c r="M84" i="41"/>
  <c r="L84" i="41"/>
  <c r="K84" i="41"/>
  <c r="J84" i="41"/>
  <c r="I84" i="41"/>
  <c r="M83" i="41"/>
  <c r="L83" i="41"/>
  <c r="K83" i="41"/>
  <c r="J83" i="41"/>
  <c r="I83" i="41"/>
  <c r="M82" i="41"/>
  <c r="L82" i="41"/>
  <c r="K82" i="41"/>
  <c r="J82" i="41"/>
  <c r="I82" i="41"/>
  <c r="M81" i="41"/>
  <c r="L81" i="41"/>
  <c r="K81" i="41"/>
  <c r="J81" i="41"/>
  <c r="I81" i="41"/>
  <c r="M80" i="41"/>
  <c r="L80" i="41"/>
  <c r="K80" i="41"/>
  <c r="J80" i="41"/>
  <c r="I80" i="41"/>
  <c r="M79" i="41"/>
  <c r="L79" i="41"/>
  <c r="K79" i="41"/>
  <c r="J79" i="41"/>
  <c r="I79" i="41"/>
  <c r="M78" i="41"/>
  <c r="L78" i="41"/>
  <c r="K78" i="41"/>
  <c r="J78" i="41"/>
  <c r="I78" i="41"/>
  <c r="M77" i="41"/>
  <c r="L77" i="41"/>
  <c r="K77" i="41"/>
  <c r="J77" i="41"/>
  <c r="I77" i="41"/>
  <c r="M76" i="41"/>
  <c r="L76" i="41"/>
  <c r="K76" i="41"/>
  <c r="J76" i="41"/>
  <c r="I76" i="41"/>
  <c r="M75" i="41"/>
  <c r="L75" i="41"/>
  <c r="K75" i="41"/>
  <c r="J75" i="41"/>
  <c r="I75" i="41"/>
  <c r="M74" i="41"/>
  <c r="L74" i="41"/>
  <c r="K74" i="41"/>
  <c r="J74" i="41"/>
  <c r="I74" i="41"/>
  <c r="M73" i="41"/>
  <c r="L73" i="41"/>
  <c r="K73" i="41"/>
  <c r="J73" i="41"/>
  <c r="I73" i="41"/>
  <c r="M72" i="41"/>
  <c r="L72" i="41"/>
  <c r="K72" i="41"/>
  <c r="J72" i="41"/>
  <c r="I72" i="41"/>
  <c r="M71" i="41"/>
  <c r="L71" i="41"/>
  <c r="K71" i="41"/>
  <c r="J71" i="41"/>
  <c r="I71" i="41"/>
  <c r="M70" i="41"/>
  <c r="L70" i="41"/>
  <c r="K70" i="41"/>
  <c r="J70" i="41"/>
  <c r="I70" i="41"/>
  <c r="M69" i="41"/>
  <c r="L69" i="41"/>
  <c r="K69" i="41"/>
  <c r="J69" i="41"/>
  <c r="I69" i="41"/>
  <c r="M68" i="41"/>
  <c r="L68" i="41"/>
  <c r="K68" i="41"/>
  <c r="J68" i="41"/>
  <c r="I68" i="41"/>
  <c r="M67" i="41"/>
  <c r="L67" i="41"/>
  <c r="K67" i="41"/>
  <c r="J67" i="41"/>
  <c r="I67" i="41"/>
  <c r="M66" i="41"/>
  <c r="L66" i="41"/>
  <c r="K66" i="41"/>
  <c r="J66" i="41"/>
  <c r="I66" i="41"/>
  <c r="M65" i="41"/>
  <c r="L65" i="41"/>
  <c r="K65" i="41"/>
  <c r="J65" i="41"/>
  <c r="I65" i="41"/>
  <c r="M64" i="41"/>
  <c r="L64" i="41"/>
  <c r="K64" i="41"/>
  <c r="J64" i="41"/>
  <c r="I64" i="41"/>
  <c r="M63" i="41"/>
  <c r="L63" i="41"/>
  <c r="K63" i="41"/>
  <c r="J63" i="41"/>
  <c r="I63" i="41"/>
  <c r="M62" i="41"/>
  <c r="L62" i="41"/>
  <c r="K62" i="41"/>
  <c r="J62" i="41"/>
  <c r="I62" i="41"/>
  <c r="M61" i="41"/>
  <c r="L61" i="41"/>
  <c r="K61" i="41"/>
  <c r="J61" i="41"/>
  <c r="I61" i="41"/>
  <c r="M60" i="41"/>
  <c r="L60" i="41"/>
  <c r="K60" i="41"/>
  <c r="J60" i="41"/>
  <c r="I60" i="41"/>
  <c r="M59" i="41"/>
  <c r="L59" i="41"/>
  <c r="K59" i="41"/>
  <c r="J59" i="41"/>
  <c r="I59" i="41"/>
  <c r="M58" i="41"/>
  <c r="L58" i="41"/>
  <c r="K58" i="41"/>
  <c r="J58" i="41"/>
  <c r="I58" i="41"/>
  <c r="M57" i="41"/>
  <c r="L57" i="41"/>
  <c r="K57" i="41"/>
  <c r="J57" i="41"/>
  <c r="I57" i="41"/>
  <c r="M56" i="41"/>
  <c r="L56" i="41"/>
  <c r="K56" i="41"/>
  <c r="J56" i="41"/>
  <c r="I56" i="41"/>
  <c r="M55" i="41"/>
  <c r="L55" i="41"/>
  <c r="K55" i="41"/>
  <c r="J55" i="41"/>
  <c r="I55" i="41"/>
  <c r="M54" i="41"/>
  <c r="L54" i="41"/>
  <c r="K54" i="41"/>
  <c r="J54" i="41"/>
  <c r="I54" i="41"/>
  <c r="M53" i="41"/>
  <c r="L53" i="41"/>
  <c r="K53" i="41"/>
  <c r="J53" i="41"/>
  <c r="I53" i="41"/>
  <c r="M52" i="41"/>
  <c r="L52" i="41"/>
  <c r="K52" i="41"/>
  <c r="J52" i="41"/>
  <c r="I52" i="41"/>
  <c r="M51" i="41"/>
  <c r="L51" i="41"/>
  <c r="K51" i="41"/>
  <c r="J51" i="41"/>
  <c r="I51" i="41"/>
  <c r="M50" i="41"/>
  <c r="L50" i="41"/>
  <c r="K50" i="41"/>
  <c r="J50" i="41"/>
  <c r="I50" i="41"/>
  <c r="M49" i="41"/>
  <c r="L49" i="41"/>
  <c r="K49" i="41"/>
  <c r="J49" i="41"/>
  <c r="I49" i="41"/>
  <c r="M48" i="41"/>
  <c r="L48" i="41"/>
  <c r="K48" i="41"/>
  <c r="J48" i="41"/>
  <c r="I48" i="41"/>
  <c r="M47" i="41"/>
  <c r="L47" i="41"/>
  <c r="K47" i="41"/>
  <c r="J47" i="41"/>
  <c r="I47" i="41"/>
  <c r="M46" i="41"/>
  <c r="L46" i="41"/>
  <c r="K46" i="41"/>
  <c r="J46" i="41"/>
  <c r="I46" i="41"/>
  <c r="M45" i="41"/>
  <c r="L45" i="41"/>
  <c r="K45" i="41"/>
  <c r="J45" i="41"/>
  <c r="I45" i="41"/>
  <c r="M44" i="41"/>
  <c r="L44" i="41"/>
  <c r="K44" i="41"/>
  <c r="J44" i="41"/>
  <c r="I44" i="41"/>
  <c r="M43" i="41"/>
  <c r="L43" i="41"/>
  <c r="K43" i="41"/>
  <c r="J43" i="41"/>
  <c r="I43" i="41"/>
  <c r="M42" i="41"/>
  <c r="L42" i="41"/>
  <c r="K42" i="41"/>
  <c r="J42" i="41"/>
  <c r="I42" i="41"/>
  <c r="M41" i="41"/>
  <c r="L41" i="41"/>
  <c r="K41" i="41"/>
  <c r="J41" i="41"/>
  <c r="I41" i="41"/>
  <c r="M40" i="41"/>
  <c r="L40" i="41"/>
  <c r="K40" i="41"/>
  <c r="J40" i="41"/>
  <c r="I40" i="41"/>
  <c r="M39" i="41"/>
  <c r="L39" i="41"/>
  <c r="K39" i="41"/>
  <c r="J39" i="41"/>
  <c r="I39" i="41"/>
  <c r="M38" i="41"/>
  <c r="L38" i="41"/>
  <c r="K38" i="41"/>
  <c r="J38" i="41"/>
  <c r="I38" i="41"/>
  <c r="M37" i="41"/>
  <c r="L37" i="41"/>
  <c r="K37" i="41"/>
  <c r="J37" i="41"/>
  <c r="I37" i="41"/>
  <c r="M36" i="41"/>
  <c r="L36" i="41"/>
  <c r="K36" i="41"/>
  <c r="J36" i="41"/>
  <c r="I36" i="41"/>
  <c r="M35" i="41"/>
  <c r="L35" i="41"/>
  <c r="K35" i="41"/>
  <c r="J35" i="41"/>
  <c r="I35" i="41"/>
  <c r="M34" i="41"/>
  <c r="L34" i="41"/>
  <c r="K34" i="41"/>
  <c r="J34" i="41"/>
  <c r="I34" i="41"/>
  <c r="M33" i="41"/>
  <c r="L33" i="41"/>
  <c r="K33" i="41"/>
  <c r="J33" i="41"/>
  <c r="I33" i="41"/>
  <c r="M32" i="41"/>
  <c r="L32" i="41"/>
  <c r="K32" i="41"/>
  <c r="J32" i="41"/>
  <c r="I32" i="41"/>
  <c r="M31" i="41"/>
  <c r="L31" i="41"/>
  <c r="K31" i="41"/>
  <c r="J31" i="41"/>
  <c r="I31" i="41"/>
  <c r="M30" i="41"/>
  <c r="L30" i="41"/>
  <c r="K30" i="41"/>
  <c r="J30" i="41"/>
  <c r="I30" i="41"/>
  <c r="M29" i="41"/>
  <c r="L29" i="41"/>
  <c r="K29" i="41"/>
  <c r="J29" i="41"/>
  <c r="I29" i="41"/>
  <c r="M28" i="41"/>
  <c r="L28" i="41"/>
  <c r="K28" i="41"/>
  <c r="J28" i="41"/>
  <c r="I28" i="41"/>
  <c r="M27" i="41"/>
  <c r="L27" i="41"/>
  <c r="K27" i="41"/>
  <c r="J27" i="41"/>
  <c r="I27" i="41"/>
  <c r="M26" i="41"/>
  <c r="L26" i="41"/>
  <c r="K26" i="41"/>
  <c r="J26" i="41"/>
  <c r="I26" i="41"/>
  <c r="M25" i="41"/>
  <c r="L25" i="41"/>
  <c r="K25" i="41"/>
  <c r="J25" i="41"/>
  <c r="I25" i="41"/>
  <c r="M24" i="41"/>
  <c r="L24" i="41"/>
  <c r="K24" i="41"/>
  <c r="J24" i="41"/>
  <c r="I24" i="41"/>
  <c r="M23" i="41"/>
  <c r="L23" i="41"/>
  <c r="K23" i="41"/>
  <c r="J23" i="41"/>
  <c r="I23" i="41"/>
  <c r="M22" i="41"/>
  <c r="L22" i="41"/>
  <c r="K22" i="41"/>
  <c r="J22" i="41"/>
  <c r="I22" i="41"/>
  <c r="M21" i="41"/>
  <c r="L21" i="41"/>
  <c r="K21" i="41"/>
  <c r="J21" i="41"/>
  <c r="I21" i="41"/>
  <c r="M20" i="41"/>
  <c r="L20" i="41"/>
  <c r="K20" i="41"/>
  <c r="J20" i="41"/>
  <c r="I20" i="41"/>
  <c r="M19" i="41"/>
  <c r="L19" i="41"/>
  <c r="K19" i="41"/>
  <c r="J19" i="41"/>
  <c r="I19" i="41"/>
  <c r="M18" i="41"/>
  <c r="L18" i="41"/>
  <c r="K18" i="41"/>
  <c r="J18" i="41"/>
  <c r="I18" i="41"/>
  <c r="M17" i="41"/>
  <c r="L17" i="41"/>
  <c r="K17" i="41"/>
  <c r="J17" i="41"/>
  <c r="I17" i="41"/>
  <c r="M16" i="41"/>
  <c r="L16" i="41"/>
  <c r="K16" i="41"/>
  <c r="J16" i="41"/>
  <c r="I16" i="41"/>
  <c r="M15" i="41"/>
  <c r="L15" i="41"/>
  <c r="K15" i="41"/>
  <c r="J15" i="41"/>
  <c r="I15" i="41"/>
  <c r="M14" i="41"/>
  <c r="L14" i="41"/>
  <c r="K14" i="41"/>
  <c r="J14" i="41"/>
  <c r="I14" i="41"/>
  <c r="M13" i="41"/>
  <c r="L13" i="41"/>
  <c r="K13" i="41"/>
  <c r="J13" i="41"/>
  <c r="I13" i="41"/>
  <c r="M12" i="41"/>
  <c r="L12" i="41"/>
  <c r="K12" i="41"/>
  <c r="J12" i="41"/>
  <c r="I12" i="41"/>
  <c r="M11" i="41"/>
  <c r="L11" i="41"/>
  <c r="K11" i="41"/>
  <c r="J11" i="41"/>
  <c r="I11" i="41"/>
  <c r="M10" i="41"/>
  <c r="L10" i="41"/>
  <c r="K10" i="41"/>
  <c r="J10" i="41"/>
  <c r="I10" i="41"/>
  <c r="M9" i="41"/>
  <c r="L9" i="41"/>
  <c r="K9" i="41"/>
  <c r="J9" i="41"/>
  <c r="I9" i="41"/>
  <c r="M8" i="41"/>
  <c r="L8" i="41"/>
  <c r="K8" i="41"/>
  <c r="J8" i="41"/>
  <c r="I8" i="41"/>
  <c r="M7" i="41"/>
  <c r="L7" i="41"/>
  <c r="K7" i="41"/>
  <c r="J7" i="41"/>
  <c r="I7" i="41"/>
  <c r="M6" i="41"/>
  <c r="L6" i="41"/>
  <c r="K6" i="41"/>
  <c r="J6" i="41"/>
  <c r="I6" i="41"/>
  <c r="M5" i="41"/>
  <c r="L5" i="41"/>
  <c r="K5" i="41"/>
  <c r="J5" i="41"/>
  <c r="I5" i="41"/>
  <c r="H149" i="41"/>
  <c r="G149" i="41"/>
  <c r="F149" i="41"/>
  <c r="E149" i="41"/>
  <c r="D149" i="41"/>
  <c r="H148" i="41"/>
  <c r="G148" i="41"/>
  <c r="F148" i="41"/>
  <c r="E148" i="41"/>
  <c r="D148" i="41"/>
  <c r="H147" i="41"/>
  <c r="G147" i="41"/>
  <c r="F147" i="41"/>
  <c r="E147" i="41"/>
  <c r="D147" i="41"/>
  <c r="H146" i="41"/>
  <c r="G146" i="41"/>
  <c r="F146" i="41"/>
  <c r="E146" i="41"/>
  <c r="D146" i="41"/>
  <c r="H145" i="41"/>
  <c r="G145" i="41"/>
  <c r="F145" i="41"/>
  <c r="E145" i="41"/>
  <c r="D145" i="41"/>
  <c r="H144" i="41"/>
  <c r="G144" i="41"/>
  <c r="F144" i="41"/>
  <c r="E144" i="41"/>
  <c r="D144" i="41"/>
  <c r="H143" i="41"/>
  <c r="G143" i="41"/>
  <c r="F143" i="41"/>
  <c r="E143" i="41"/>
  <c r="D143" i="41"/>
  <c r="H142" i="41"/>
  <c r="G142" i="41"/>
  <c r="F142" i="41"/>
  <c r="E142" i="41"/>
  <c r="D142" i="41"/>
  <c r="H141" i="41"/>
  <c r="G141" i="41"/>
  <c r="F141" i="41"/>
  <c r="E141" i="41"/>
  <c r="D141" i="41"/>
  <c r="H140" i="41"/>
  <c r="G140" i="41"/>
  <c r="F140" i="41"/>
  <c r="E140" i="41"/>
  <c r="D140" i="41"/>
  <c r="H139" i="41"/>
  <c r="G139" i="41"/>
  <c r="F139" i="41"/>
  <c r="E139" i="41"/>
  <c r="D139" i="41"/>
  <c r="H138" i="41"/>
  <c r="G138" i="41"/>
  <c r="F138" i="41"/>
  <c r="E138" i="41"/>
  <c r="D138" i="41"/>
  <c r="H137" i="41"/>
  <c r="G137" i="41"/>
  <c r="F137" i="41"/>
  <c r="E137" i="41"/>
  <c r="D137" i="41"/>
  <c r="H136" i="41"/>
  <c r="G136" i="41"/>
  <c r="F136" i="41"/>
  <c r="E136" i="41"/>
  <c r="D136" i="41"/>
  <c r="H135" i="41"/>
  <c r="G135" i="41"/>
  <c r="F135" i="41"/>
  <c r="E135" i="41"/>
  <c r="D135" i="41"/>
  <c r="H134" i="41"/>
  <c r="G134" i="41"/>
  <c r="F134" i="41"/>
  <c r="E134" i="41"/>
  <c r="D134" i="41"/>
  <c r="H133" i="41"/>
  <c r="G133" i="41"/>
  <c r="F133" i="41"/>
  <c r="E133" i="41"/>
  <c r="D133" i="41"/>
  <c r="H132" i="41"/>
  <c r="G132" i="41"/>
  <c r="F132" i="41"/>
  <c r="E132" i="41"/>
  <c r="D132" i="41"/>
  <c r="H131" i="41"/>
  <c r="G131" i="41"/>
  <c r="F131" i="41"/>
  <c r="E131" i="41"/>
  <c r="D131" i="41"/>
  <c r="H130" i="41"/>
  <c r="G130" i="41"/>
  <c r="F130" i="41"/>
  <c r="E130" i="41"/>
  <c r="D130" i="41"/>
  <c r="H129" i="41"/>
  <c r="G129" i="41"/>
  <c r="F129" i="41"/>
  <c r="E129" i="41"/>
  <c r="D129" i="41"/>
  <c r="H128" i="41"/>
  <c r="G128" i="41"/>
  <c r="F128" i="41"/>
  <c r="E128" i="41"/>
  <c r="D128" i="41"/>
  <c r="H127" i="41"/>
  <c r="G127" i="41"/>
  <c r="F127" i="41"/>
  <c r="E127" i="41"/>
  <c r="D127" i="41"/>
  <c r="H126" i="41"/>
  <c r="G126" i="41"/>
  <c r="F126" i="41"/>
  <c r="E126" i="41"/>
  <c r="D126" i="41"/>
  <c r="H125" i="41"/>
  <c r="G125" i="41"/>
  <c r="F125" i="41"/>
  <c r="E125" i="41"/>
  <c r="D125" i="41"/>
  <c r="H124" i="41"/>
  <c r="G124" i="41"/>
  <c r="F124" i="41"/>
  <c r="E124" i="41"/>
  <c r="D124" i="41"/>
  <c r="H123" i="41"/>
  <c r="G123" i="41"/>
  <c r="F123" i="41"/>
  <c r="E123" i="41"/>
  <c r="D123" i="41"/>
  <c r="H122" i="41"/>
  <c r="G122" i="41"/>
  <c r="F122" i="41"/>
  <c r="E122" i="41"/>
  <c r="D122" i="41"/>
  <c r="H121" i="41"/>
  <c r="G121" i="41"/>
  <c r="F121" i="41"/>
  <c r="E121" i="41"/>
  <c r="D121" i="41"/>
  <c r="H120" i="41"/>
  <c r="G120" i="41"/>
  <c r="F120" i="41"/>
  <c r="E120" i="41"/>
  <c r="D120" i="41"/>
  <c r="H119" i="41"/>
  <c r="G119" i="41"/>
  <c r="F119" i="41"/>
  <c r="E119" i="41"/>
  <c r="D119" i="41"/>
  <c r="H118" i="41"/>
  <c r="G118" i="41"/>
  <c r="F118" i="41"/>
  <c r="E118" i="41"/>
  <c r="D118" i="41"/>
  <c r="H117" i="41"/>
  <c r="G117" i="41"/>
  <c r="F117" i="41"/>
  <c r="E117" i="41"/>
  <c r="D117" i="41"/>
  <c r="H116" i="41"/>
  <c r="G116" i="41"/>
  <c r="F116" i="41"/>
  <c r="E116" i="41"/>
  <c r="D116" i="41"/>
  <c r="H115" i="41"/>
  <c r="G115" i="41"/>
  <c r="F115" i="41"/>
  <c r="E115" i="41"/>
  <c r="D115" i="41"/>
  <c r="H114" i="41"/>
  <c r="G114" i="41"/>
  <c r="F114" i="41"/>
  <c r="E114" i="41"/>
  <c r="D114" i="41"/>
  <c r="H113" i="41"/>
  <c r="G113" i="41"/>
  <c r="F113" i="41"/>
  <c r="E113" i="41"/>
  <c r="D113" i="41"/>
  <c r="H112" i="41"/>
  <c r="G112" i="41"/>
  <c r="F112" i="41"/>
  <c r="E112" i="41"/>
  <c r="D112" i="41"/>
  <c r="H111" i="41"/>
  <c r="G111" i="41"/>
  <c r="F111" i="41"/>
  <c r="E111" i="41"/>
  <c r="D111" i="41"/>
  <c r="H110" i="41"/>
  <c r="G110" i="41"/>
  <c r="F110" i="41"/>
  <c r="E110" i="41"/>
  <c r="D110" i="41"/>
  <c r="H109" i="41"/>
  <c r="G109" i="41"/>
  <c r="F109" i="41"/>
  <c r="E109" i="41"/>
  <c r="D109" i="41"/>
  <c r="H108" i="41"/>
  <c r="G108" i="41"/>
  <c r="F108" i="41"/>
  <c r="E108" i="41"/>
  <c r="D108" i="41"/>
  <c r="H107" i="41"/>
  <c r="G107" i="41"/>
  <c r="F107" i="41"/>
  <c r="E107" i="41"/>
  <c r="D107" i="41"/>
  <c r="H106" i="41"/>
  <c r="G106" i="41"/>
  <c r="F106" i="41"/>
  <c r="E106" i="41"/>
  <c r="D106" i="41"/>
  <c r="H105" i="41"/>
  <c r="G105" i="41"/>
  <c r="F105" i="41"/>
  <c r="E105" i="41"/>
  <c r="D105" i="41"/>
  <c r="H104" i="41"/>
  <c r="G104" i="41"/>
  <c r="F104" i="41"/>
  <c r="E104" i="41"/>
  <c r="D104" i="41"/>
  <c r="H103" i="41"/>
  <c r="G103" i="41"/>
  <c r="F103" i="41"/>
  <c r="E103" i="41"/>
  <c r="D103" i="41"/>
  <c r="H102" i="41"/>
  <c r="G102" i="41"/>
  <c r="F102" i="41"/>
  <c r="E102" i="41"/>
  <c r="D102" i="41"/>
  <c r="H101" i="41"/>
  <c r="G101" i="41"/>
  <c r="F101" i="41"/>
  <c r="E101" i="41"/>
  <c r="D101" i="41"/>
  <c r="H100" i="41"/>
  <c r="G100" i="41"/>
  <c r="F100" i="41"/>
  <c r="E100" i="41"/>
  <c r="D100" i="41"/>
  <c r="H99" i="41"/>
  <c r="G99" i="41"/>
  <c r="F99" i="41"/>
  <c r="E99" i="41"/>
  <c r="D99" i="41"/>
  <c r="H98" i="41"/>
  <c r="G98" i="41"/>
  <c r="F98" i="41"/>
  <c r="E98" i="41"/>
  <c r="D98" i="41"/>
  <c r="H97" i="41"/>
  <c r="G97" i="41"/>
  <c r="F97" i="41"/>
  <c r="E97" i="41"/>
  <c r="D97" i="41"/>
  <c r="H96" i="41"/>
  <c r="G96" i="41"/>
  <c r="F96" i="41"/>
  <c r="E96" i="41"/>
  <c r="D96" i="41"/>
  <c r="H95" i="41"/>
  <c r="G95" i="41"/>
  <c r="F95" i="41"/>
  <c r="E95" i="41"/>
  <c r="D95" i="41"/>
  <c r="H94" i="41"/>
  <c r="G94" i="41"/>
  <c r="F94" i="41"/>
  <c r="E94" i="41"/>
  <c r="D94" i="41"/>
  <c r="H93" i="41"/>
  <c r="G93" i="41"/>
  <c r="F93" i="41"/>
  <c r="E93" i="41"/>
  <c r="D93" i="41"/>
  <c r="H92" i="41"/>
  <c r="G92" i="41"/>
  <c r="F92" i="41"/>
  <c r="E92" i="41"/>
  <c r="D92" i="41"/>
  <c r="H91" i="41"/>
  <c r="G91" i="41"/>
  <c r="F91" i="41"/>
  <c r="E91" i="41"/>
  <c r="D91" i="41"/>
  <c r="H90" i="41"/>
  <c r="G90" i="41"/>
  <c r="F90" i="41"/>
  <c r="E90" i="41"/>
  <c r="D90" i="41"/>
  <c r="H89" i="41"/>
  <c r="G89" i="41"/>
  <c r="F89" i="41"/>
  <c r="E89" i="41"/>
  <c r="D89" i="41"/>
  <c r="H88" i="41"/>
  <c r="G88" i="41"/>
  <c r="F88" i="41"/>
  <c r="E88" i="41"/>
  <c r="D88" i="41"/>
  <c r="H87" i="41"/>
  <c r="G87" i="41"/>
  <c r="F87" i="41"/>
  <c r="E87" i="41"/>
  <c r="D87" i="41"/>
  <c r="H86" i="41"/>
  <c r="G86" i="41"/>
  <c r="F86" i="41"/>
  <c r="E86" i="41"/>
  <c r="D86" i="41"/>
  <c r="H85" i="41"/>
  <c r="G85" i="41"/>
  <c r="F85" i="41"/>
  <c r="E85" i="41"/>
  <c r="D85" i="41"/>
  <c r="H84" i="41"/>
  <c r="G84" i="41"/>
  <c r="F84" i="41"/>
  <c r="E84" i="41"/>
  <c r="D84" i="41"/>
  <c r="H83" i="41"/>
  <c r="G83" i="41"/>
  <c r="F83" i="41"/>
  <c r="E83" i="41"/>
  <c r="D83" i="41"/>
  <c r="H82" i="41"/>
  <c r="G82" i="41"/>
  <c r="F82" i="41"/>
  <c r="E82" i="41"/>
  <c r="D82" i="41"/>
  <c r="H81" i="41"/>
  <c r="G81" i="41"/>
  <c r="F81" i="41"/>
  <c r="E81" i="41"/>
  <c r="D81" i="41"/>
  <c r="H80" i="41"/>
  <c r="G80" i="41"/>
  <c r="F80" i="41"/>
  <c r="E80" i="41"/>
  <c r="D80" i="41"/>
  <c r="H79" i="41"/>
  <c r="G79" i="41"/>
  <c r="F79" i="41"/>
  <c r="E79" i="41"/>
  <c r="D79" i="41"/>
  <c r="H78" i="41"/>
  <c r="G78" i="41"/>
  <c r="F78" i="41"/>
  <c r="E78" i="41"/>
  <c r="D78" i="41"/>
  <c r="H77" i="41"/>
  <c r="G77" i="41"/>
  <c r="F77" i="41"/>
  <c r="E77" i="41"/>
  <c r="D77" i="41"/>
  <c r="H76" i="41"/>
  <c r="G76" i="41"/>
  <c r="F76" i="41"/>
  <c r="E76" i="41"/>
  <c r="D76" i="41"/>
  <c r="H75" i="41"/>
  <c r="G75" i="41"/>
  <c r="F75" i="41"/>
  <c r="E75" i="41"/>
  <c r="D75" i="41"/>
  <c r="H74" i="41"/>
  <c r="G74" i="41"/>
  <c r="F74" i="41"/>
  <c r="E74" i="41"/>
  <c r="D74" i="41"/>
  <c r="H73" i="41"/>
  <c r="G73" i="41"/>
  <c r="F73" i="41"/>
  <c r="E73" i="41"/>
  <c r="D73" i="41"/>
  <c r="H72" i="41"/>
  <c r="G72" i="41"/>
  <c r="F72" i="41"/>
  <c r="E72" i="41"/>
  <c r="D72" i="41"/>
  <c r="H71" i="41"/>
  <c r="G71" i="41"/>
  <c r="F71" i="41"/>
  <c r="E71" i="41"/>
  <c r="D71" i="41"/>
  <c r="H70" i="41"/>
  <c r="G70" i="41"/>
  <c r="F70" i="41"/>
  <c r="E70" i="41"/>
  <c r="D70" i="41"/>
  <c r="H69" i="41"/>
  <c r="G69" i="41"/>
  <c r="F69" i="41"/>
  <c r="E69" i="41"/>
  <c r="D69" i="41"/>
  <c r="H68" i="41"/>
  <c r="G68" i="41"/>
  <c r="F68" i="41"/>
  <c r="E68" i="41"/>
  <c r="D68" i="41"/>
  <c r="H67" i="41"/>
  <c r="G67" i="41"/>
  <c r="F67" i="41"/>
  <c r="E67" i="41"/>
  <c r="D67" i="41"/>
  <c r="H66" i="41"/>
  <c r="G66" i="41"/>
  <c r="F66" i="41"/>
  <c r="E66" i="41"/>
  <c r="D66" i="41"/>
  <c r="H65" i="41"/>
  <c r="G65" i="41"/>
  <c r="F65" i="41"/>
  <c r="E65" i="41"/>
  <c r="D65" i="41"/>
  <c r="H64" i="41"/>
  <c r="G64" i="41"/>
  <c r="F64" i="41"/>
  <c r="E64" i="41"/>
  <c r="D64" i="41"/>
  <c r="H63" i="41"/>
  <c r="G63" i="41"/>
  <c r="F63" i="41"/>
  <c r="E63" i="41"/>
  <c r="D63" i="41"/>
  <c r="H62" i="41"/>
  <c r="G62" i="41"/>
  <c r="F62" i="41"/>
  <c r="E62" i="41"/>
  <c r="D62" i="41"/>
  <c r="H61" i="41"/>
  <c r="G61" i="41"/>
  <c r="F61" i="41"/>
  <c r="E61" i="41"/>
  <c r="D61" i="41"/>
  <c r="H60" i="41"/>
  <c r="G60" i="41"/>
  <c r="F60" i="41"/>
  <c r="E60" i="41"/>
  <c r="D60" i="41"/>
  <c r="H59" i="41"/>
  <c r="G59" i="41"/>
  <c r="F59" i="41"/>
  <c r="E59" i="41"/>
  <c r="D59" i="41"/>
  <c r="H58" i="41"/>
  <c r="G58" i="41"/>
  <c r="F58" i="41"/>
  <c r="E58" i="41"/>
  <c r="D58" i="41"/>
  <c r="H57" i="41"/>
  <c r="G57" i="41"/>
  <c r="F57" i="41"/>
  <c r="E57" i="41"/>
  <c r="D57" i="41"/>
  <c r="H56" i="41"/>
  <c r="G56" i="41"/>
  <c r="F56" i="41"/>
  <c r="E56" i="41"/>
  <c r="D56" i="41"/>
  <c r="H55" i="41"/>
  <c r="G55" i="41"/>
  <c r="F55" i="41"/>
  <c r="E55" i="41"/>
  <c r="D55" i="41"/>
  <c r="H54" i="41"/>
  <c r="G54" i="41"/>
  <c r="F54" i="41"/>
  <c r="E54" i="41"/>
  <c r="D54" i="41"/>
  <c r="H53" i="41"/>
  <c r="G53" i="41"/>
  <c r="F53" i="41"/>
  <c r="E53" i="41"/>
  <c r="D53" i="41"/>
  <c r="H52" i="41"/>
  <c r="G52" i="41"/>
  <c r="F52" i="41"/>
  <c r="E52" i="41"/>
  <c r="D52" i="41"/>
  <c r="H51" i="41"/>
  <c r="G51" i="41"/>
  <c r="F51" i="41"/>
  <c r="E51" i="41"/>
  <c r="D51" i="41"/>
  <c r="H50" i="41"/>
  <c r="G50" i="41"/>
  <c r="F50" i="41"/>
  <c r="E50" i="41"/>
  <c r="D50" i="41"/>
  <c r="H49" i="41"/>
  <c r="G49" i="41"/>
  <c r="F49" i="41"/>
  <c r="E49" i="41"/>
  <c r="D49" i="41"/>
  <c r="H48" i="41"/>
  <c r="G48" i="41"/>
  <c r="F48" i="41"/>
  <c r="E48" i="41"/>
  <c r="D48" i="41"/>
  <c r="H47" i="41"/>
  <c r="BP47" i="41" s="1"/>
  <c r="G47" i="41"/>
  <c r="F47" i="41"/>
  <c r="BN47" i="41" s="1"/>
  <c r="E47" i="41"/>
  <c r="D47" i="41"/>
  <c r="BL47" i="41" s="1"/>
  <c r="H46" i="41"/>
  <c r="G46" i="41"/>
  <c r="BO46" i="41" s="1"/>
  <c r="F46" i="41"/>
  <c r="E46" i="41"/>
  <c r="BM46" i="41" s="1"/>
  <c r="D46" i="41"/>
  <c r="H45" i="41"/>
  <c r="BP45" i="41" s="1"/>
  <c r="G45" i="41"/>
  <c r="F45" i="41"/>
  <c r="BN45" i="41" s="1"/>
  <c r="E45" i="41"/>
  <c r="D45" i="41"/>
  <c r="BL45" i="41" s="1"/>
  <c r="H44" i="41"/>
  <c r="G44" i="41"/>
  <c r="BO44" i="41" s="1"/>
  <c r="F44" i="41"/>
  <c r="E44" i="41"/>
  <c r="BM44" i="41" s="1"/>
  <c r="D44" i="41"/>
  <c r="H43" i="41"/>
  <c r="BP43" i="41" s="1"/>
  <c r="G43" i="41"/>
  <c r="F43" i="41"/>
  <c r="BN43" i="41" s="1"/>
  <c r="E43" i="41"/>
  <c r="D43" i="41"/>
  <c r="BL43" i="41" s="1"/>
  <c r="H42" i="41"/>
  <c r="G42" i="41"/>
  <c r="BO42" i="41" s="1"/>
  <c r="F42" i="41"/>
  <c r="E42" i="41"/>
  <c r="BM42" i="41" s="1"/>
  <c r="D42" i="41"/>
  <c r="H41" i="41"/>
  <c r="BP41" i="41" s="1"/>
  <c r="G41" i="41"/>
  <c r="F41" i="41"/>
  <c r="BN41" i="41" s="1"/>
  <c r="E41" i="41"/>
  <c r="D41" i="41"/>
  <c r="BL41" i="41" s="1"/>
  <c r="H40" i="41"/>
  <c r="G40" i="41"/>
  <c r="BO40" i="41" s="1"/>
  <c r="F40" i="41"/>
  <c r="E40" i="41"/>
  <c r="BM40" i="41" s="1"/>
  <c r="D40" i="41"/>
  <c r="H39" i="41"/>
  <c r="BP39" i="41" s="1"/>
  <c r="G39" i="41"/>
  <c r="F39" i="41"/>
  <c r="BN39" i="41" s="1"/>
  <c r="E39" i="41"/>
  <c r="D39" i="41"/>
  <c r="BL39" i="41" s="1"/>
  <c r="H38" i="41"/>
  <c r="G38" i="41"/>
  <c r="BO38" i="41" s="1"/>
  <c r="F38" i="41"/>
  <c r="E38" i="41"/>
  <c r="BM38" i="41" s="1"/>
  <c r="D38" i="41"/>
  <c r="H37" i="41"/>
  <c r="BP37" i="41" s="1"/>
  <c r="G37" i="41"/>
  <c r="F37" i="41"/>
  <c r="BN37" i="41" s="1"/>
  <c r="E37" i="41"/>
  <c r="D37" i="41"/>
  <c r="BL37" i="41" s="1"/>
  <c r="H36" i="41"/>
  <c r="G36" i="41"/>
  <c r="BO36" i="41" s="1"/>
  <c r="F36" i="41"/>
  <c r="E36" i="41"/>
  <c r="BM36" i="41" s="1"/>
  <c r="D36" i="41"/>
  <c r="H35" i="41"/>
  <c r="BP35" i="41" s="1"/>
  <c r="G35" i="41"/>
  <c r="F35" i="41"/>
  <c r="BN35" i="41" s="1"/>
  <c r="E35" i="41"/>
  <c r="D35" i="41"/>
  <c r="BL35" i="41" s="1"/>
  <c r="H34" i="41"/>
  <c r="G34" i="41"/>
  <c r="BO34" i="41" s="1"/>
  <c r="F34" i="41"/>
  <c r="E34" i="41"/>
  <c r="BM34" i="41" s="1"/>
  <c r="D34" i="41"/>
  <c r="H33" i="41"/>
  <c r="BP33" i="41" s="1"/>
  <c r="G33" i="41"/>
  <c r="F33" i="41"/>
  <c r="BN33" i="41" s="1"/>
  <c r="E33" i="41"/>
  <c r="D33" i="41"/>
  <c r="BL33" i="41" s="1"/>
  <c r="H32" i="41"/>
  <c r="G32" i="41"/>
  <c r="BO32" i="41" s="1"/>
  <c r="F32" i="41"/>
  <c r="E32" i="41"/>
  <c r="BM32" i="41" s="1"/>
  <c r="D32" i="41"/>
  <c r="H31" i="41"/>
  <c r="BP31" i="41" s="1"/>
  <c r="G31" i="41"/>
  <c r="F31" i="41"/>
  <c r="BN31" i="41" s="1"/>
  <c r="E31" i="41"/>
  <c r="D31" i="41"/>
  <c r="BL31" i="41" s="1"/>
  <c r="H30" i="41"/>
  <c r="G30" i="41"/>
  <c r="BO30" i="41" s="1"/>
  <c r="F30" i="41"/>
  <c r="E30" i="41"/>
  <c r="BM30" i="41" s="1"/>
  <c r="D30" i="41"/>
  <c r="H29" i="41"/>
  <c r="BP29" i="41" s="1"/>
  <c r="G29" i="41"/>
  <c r="F29" i="41"/>
  <c r="BN29" i="41" s="1"/>
  <c r="E29" i="41"/>
  <c r="D29" i="41"/>
  <c r="BL29" i="41" s="1"/>
  <c r="H28" i="41"/>
  <c r="G28" i="41"/>
  <c r="BO28" i="41" s="1"/>
  <c r="F28" i="41"/>
  <c r="E28" i="41"/>
  <c r="BM28" i="41" s="1"/>
  <c r="D28" i="41"/>
  <c r="H27" i="41"/>
  <c r="BP27" i="41" s="1"/>
  <c r="G27" i="41"/>
  <c r="F27" i="41"/>
  <c r="BN27" i="41" s="1"/>
  <c r="E27" i="41"/>
  <c r="D27" i="41"/>
  <c r="BL27" i="41" s="1"/>
  <c r="H26" i="41"/>
  <c r="G26" i="41"/>
  <c r="BO26" i="41" s="1"/>
  <c r="F26" i="41"/>
  <c r="E26" i="41"/>
  <c r="BM26" i="41" s="1"/>
  <c r="D26" i="41"/>
  <c r="H25" i="41"/>
  <c r="BP25" i="41" s="1"/>
  <c r="G25" i="41"/>
  <c r="F25" i="41"/>
  <c r="BN25" i="41" s="1"/>
  <c r="E25" i="41"/>
  <c r="D25" i="41"/>
  <c r="BL25" i="41" s="1"/>
  <c r="H24" i="41"/>
  <c r="G24" i="41"/>
  <c r="BO24" i="41" s="1"/>
  <c r="F24" i="41"/>
  <c r="E24" i="41"/>
  <c r="BM24" i="41" s="1"/>
  <c r="D24" i="41"/>
  <c r="H23" i="41"/>
  <c r="BP23" i="41" s="1"/>
  <c r="G23" i="41"/>
  <c r="F23" i="41"/>
  <c r="BN23" i="41" s="1"/>
  <c r="E23" i="41"/>
  <c r="D23" i="41"/>
  <c r="BL23" i="41" s="1"/>
  <c r="H22" i="41"/>
  <c r="G22" i="41"/>
  <c r="BO22" i="41" s="1"/>
  <c r="F22" i="41"/>
  <c r="E22" i="41"/>
  <c r="BM22" i="41" s="1"/>
  <c r="D22" i="41"/>
  <c r="H21" i="41"/>
  <c r="BP21" i="41" s="1"/>
  <c r="G21" i="41"/>
  <c r="F21" i="41"/>
  <c r="BN21" i="41" s="1"/>
  <c r="E21" i="41"/>
  <c r="D21" i="41"/>
  <c r="BL21" i="41" s="1"/>
  <c r="H20" i="41"/>
  <c r="G20" i="41"/>
  <c r="BO20" i="41" s="1"/>
  <c r="F20" i="41"/>
  <c r="E20" i="41"/>
  <c r="BM20" i="41" s="1"/>
  <c r="D20" i="41"/>
  <c r="H19" i="41"/>
  <c r="BP19" i="41" s="1"/>
  <c r="G19" i="41"/>
  <c r="F19" i="41"/>
  <c r="BN19" i="41" s="1"/>
  <c r="E19" i="41"/>
  <c r="D19" i="41"/>
  <c r="BL19" i="41" s="1"/>
  <c r="H18" i="41"/>
  <c r="G18" i="41"/>
  <c r="BO18" i="41" s="1"/>
  <c r="F18" i="41"/>
  <c r="E18" i="41"/>
  <c r="BM18" i="41" s="1"/>
  <c r="D18" i="41"/>
  <c r="H17" i="41"/>
  <c r="BP17" i="41" s="1"/>
  <c r="G17" i="41"/>
  <c r="F17" i="41"/>
  <c r="BN17" i="41" s="1"/>
  <c r="E17" i="41"/>
  <c r="D17" i="41"/>
  <c r="BL17" i="41" s="1"/>
  <c r="H16" i="41"/>
  <c r="G16" i="41"/>
  <c r="BO16" i="41" s="1"/>
  <c r="F16" i="41"/>
  <c r="E16" i="41"/>
  <c r="BM16" i="41" s="1"/>
  <c r="D16" i="41"/>
  <c r="H15" i="41"/>
  <c r="BP15" i="41" s="1"/>
  <c r="G15" i="41"/>
  <c r="F15" i="41"/>
  <c r="BN15" i="41" s="1"/>
  <c r="E15" i="41"/>
  <c r="D15" i="41"/>
  <c r="BL15" i="41" s="1"/>
  <c r="H14" i="41"/>
  <c r="G14" i="41"/>
  <c r="BO14" i="41" s="1"/>
  <c r="F14" i="41"/>
  <c r="E14" i="41"/>
  <c r="BM14" i="41" s="1"/>
  <c r="D14" i="41"/>
  <c r="H13" i="41"/>
  <c r="BP13" i="41" s="1"/>
  <c r="G13" i="41"/>
  <c r="F13" i="41"/>
  <c r="BN13" i="41" s="1"/>
  <c r="E13" i="41"/>
  <c r="D13" i="41"/>
  <c r="BL13" i="41" s="1"/>
  <c r="H12" i="41"/>
  <c r="G12" i="41"/>
  <c r="BO12" i="41" s="1"/>
  <c r="F12" i="41"/>
  <c r="E12" i="41"/>
  <c r="BM12" i="41" s="1"/>
  <c r="D12" i="41"/>
  <c r="H11" i="41"/>
  <c r="BP11" i="41" s="1"/>
  <c r="G11" i="41"/>
  <c r="F11" i="41"/>
  <c r="BN11" i="41" s="1"/>
  <c r="E11" i="41"/>
  <c r="D11" i="41"/>
  <c r="BL11" i="41" s="1"/>
  <c r="H10" i="41"/>
  <c r="G10" i="41"/>
  <c r="BO10" i="41" s="1"/>
  <c r="F10" i="41"/>
  <c r="E10" i="41"/>
  <c r="BM10" i="41" s="1"/>
  <c r="D10" i="41"/>
  <c r="H9" i="41"/>
  <c r="BP9" i="41" s="1"/>
  <c r="G9" i="41"/>
  <c r="F9" i="41"/>
  <c r="BN9" i="41" s="1"/>
  <c r="E9" i="41"/>
  <c r="D9" i="41"/>
  <c r="BL9" i="41" s="1"/>
  <c r="H8" i="41"/>
  <c r="G8" i="41"/>
  <c r="BO8" i="41" s="1"/>
  <c r="F8" i="41"/>
  <c r="E8" i="41"/>
  <c r="BM8" i="41" s="1"/>
  <c r="D8" i="41"/>
  <c r="H7" i="41"/>
  <c r="BP7" i="41" s="1"/>
  <c r="G7" i="41"/>
  <c r="F7" i="41"/>
  <c r="BN7" i="41" s="1"/>
  <c r="E7" i="41"/>
  <c r="D7" i="41"/>
  <c r="BL7" i="41" s="1"/>
  <c r="H6" i="41"/>
  <c r="G6" i="41"/>
  <c r="BO6" i="41" s="1"/>
  <c r="F6" i="41"/>
  <c r="E6" i="41"/>
  <c r="BM6" i="41" s="1"/>
  <c r="D6" i="41"/>
  <c r="H5" i="41"/>
  <c r="BP5" i="41" s="1"/>
  <c r="G5" i="41"/>
  <c r="F5" i="41"/>
  <c r="BN5" i="41" s="1"/>
  <c r="E5" i="41"/>
  <c r="D5" i="41"/>
  <c r="BL5" i="41" s="1"/>
  <c r="BB39" i="29" l="1"/>
  <c r="AM40" i="29"/>
  <c r="BG40" i="29"/>
  <c r="BG38" i="29"/>
  <c r="BB37" i="29"/>
  <c r="BB38" i="29"/>
  <c r="AM38" i="29"/>
  <c r="AW38" i="29"/>
  <c r="AR39" i="29"/>
  <c r="AR37" i="29"/>
  <c r="AW37" i="29"/>
  <c r="AW40" i="29"/>
  <c r="BB40" i="29"/>
  <c r="AM39" i="29"/>
  <c r="BG39" i="29"/>
  <c r="AR40" i="29"/>
  <c r="AR38" i="29"/>
  <c r="AW39" i="29"/>
  <c r="AR36" i="29"/>
  <c r="BB36" i="29"/>
  <c r="AM37" i="29"/>
  <c r="BG37" i="29"/>
  <c r="AM148" i="30"/>
  <c r="BG148" i="30"/>
  <c r="AR149" i="30"/>
  <c r="AW149" i="30"/>
  <c r="AM152" i="30"/>
  <c r="BB149" i="30"/>
  <c r="BB151" i="30"/>
  <c r="BG151" i="30"/>
  <c r="BG150" i="30"/>
  <c r="AM150" i="30"/>
  <c r="AW150" i="30"/>
  <c r="BB150" i="30"/>
  <c r="BG152" i="30"/>
  <c r="AW148" i="30"/>
  <c r="BB148" i="30"/>
  <c r="AR151" i="30"/>
  <c r="AW151" i="30"/>
  <c r="AW152" i="30"/>
  <c r="BB152" i="30"/>
  <c r="AR148" i="30"/>
  <c r="AM149" i="30"/>
  <c r="BG149" i="30"/>
  <c r="AR150" i="30"/>
  <c r="AM151" i="30"/>
  <c r="AR152" i="30"/>
  <c r="AM36" i="29"/>
  <c r="AW36" i="29"/>
  <c r="BG36" i="29"/>
  <c r="BM5" i="41"/>
  <c r="BO5" i="41"/>
  <c r="BL6" i="41"/>
  <c r="BN6" i="41"/>
  <c r="BP6" i="41"/>
  <c r="BM7" i="41"/>
  <c r="BO7" i="41"/>
  <c r="BL8" i="41"/>
  <c r="BN8" i="41"/>
  <c r="BP8" i="41"/>
  <c r="BM9" i="41"/>
  <c r="BO9" i="41"/>
  <c r="BL10" i="41"/>
  <c r="BN10" i="41"/>
  <c r="BP10" i="41"/>
  <c r="BM11" i="41"/>
  <c r="BO11" i="41"/>
  <c r="BL12" i="41"/>
  <c r="BN12" i="41"/>
  <c r="BP12" i="41"/>
  <c r="BM13" i="41"/>
  <c r="BO13" i="41"/>
  <c r="BL14" i="41"/>
  <c r="BN14" i="41"/>
  <c r="BP14" i="41"/>
  <c r="BM15" i="41"/>
  <c r="BO15" i="41"/>
  <c r="BL16" i="41"/>
  <c r="BN16" i="41"/>
  <c r="BP16" i="41"/>
  <c r="BM17" i="41"/>
  <c r="BO17" i="41"/>
  <c r="BL18" i="41"/>
  <c r="BN18" i="41"/>
  <c r="BP18" i="41"/>
  <c r="BM19" i="41"/>
  <c r="BO19" i="41"/>
  <c r="BL20" i="41"/>
  <c r="BN20" i="41"/>
  <c r="BP20" i="41"/>
  <c r="BM21" i="41"/>
  <c r="BO21" i="41"/>
  <c r="BL22" i="41"/>
  <c r="BN22" i="41"/>
  <c r="BP22" i="41"/>
  <c r="BM23" i="41"/>
  <c r="BO23" i="41"/>
  <c r="BL24" i="41"/>
  <c r="BN24" i="41"/>
  <c r="BP24" i="41"/>
  <c r="BM25" i="41"/>
  <c r="BO25" i="41"/>
  <c r="BL26" i="41"/>
  <c r="BN26" i="41"/>
  <c r="BP26" i="41"/>
  <c r="BM27" i="41"/>
  <c r="BO27" i="41"/>
  <c r="BL28" i="41"/>
  <c r="BN28" i="41"/>
  <c r="BP28" i="41"/>
  <c r="BM29" i="41"/>
  <c r="BO29" i="41"/>
  <c r="BL30" i="41"/>
  <c r="BN30" i="41"/>
  <c r="BP30" i="41"/>
  <c r="BM31" i="41"/>
  <c r="BO31" i="41"/>
  <c r="BL32" i="41"/>
  <c r="BN32" i="41"/>
  <c r="BP32" i="41"/>
  <c r="BM33" i="41"/>
  <c r="BO33" i="41"/>
  <c r="BL34" i="41"/>
  <c r="BN34" i="41"/>
  <c r="BP34" i="41"/>
  <c r="BM35" i="41"/>
  <c r="BO35" i="41"/>
  <c r="BL36" i="41"/>
  <c r="BN36" i="41"/>
  <c r="BP36" i="41"/>
  <c r="BM37" i="41"/>
  <c r="BO37" i="41"/>
  <c r="BL38" i="41"/>
  <c r="BN38" i="41"/>
  <c r="BP38" i="41"/>
  <c r="BM39" i="41"/>
  <c r="BO39" i="41"/>
  <c r="BL40" i="41"/>
  <c r="BN40" i="41"/>
  <c r="BP40" i="41"/>
  <c r="BM41" i="41"/>
  <c r="BO41" i="41"/>
  <c r="BL42" i="41"/>
  <c r="BN42" i="41"/>
  <c r="BP42" i="41"/>
  <c r="BM43" i="41"/>
  <c r="BO43" i="41"/>
  <c r="BL44" i="41"/>
  <c r="BN44" i="41"/>
  <c r="BP44" i="41"/>
  <c r="BM45" i="41"/>
  <c r="BO45" i="41"/>
  <c r="BL46" i="41"/>
  <c r="BN46" i="41"/>
  <c r="BP46" i="41"/>
  <c r="BM47" i="41"/>
  <c r="BO47" i="41"/>
  <c r="BL48" i="41"/>
  <c r="BN48" i="41"/>
  <c r="BP48" i="41"/>
  <c r="BM49" i="41"/>
  <c r="BO49" i="41"/>
  <c r="BL50" i="41"/>
  <c r="BN50" i="41"/>
  <c r="BP50" i="41"/>
  <c r="BM51" i="41"/>
  <c r="BO51" i="41"/>
  <c r="BL52" i="41"/>
  <c r="BN52" i="41"/>
  <c r="BP52" i="41"/>
  <c r="BM53" i="41"/>
  <c r="BO53" i="41"/>
  <c r="BL54" i="41"/>
  <c r="BN54" i="41"/>
  <c r="BP54" i="41"/>
  <c r="BM55" i="41"/>
  <c r="BO55" i="41"/>
  <c r="BL56" i="41"/>
  <c r="BN56" i="41"/>
  <c r="BP56" i="41"/>
  <c r="BM57" i="41"/>
  <c r="BO57" i="41"/>
  <c r="BL58" i="41"/>
  <c r="BN58" i="41"/>
  <c r="BP58" i="41"/>
  <c r="BM59" i="41"/>
  <c r="BO59" i="41"/>
  <c r="BL60" i="41"/>
  <c r="BN60" i="41"/>
  <c r="BP60" i="41"/>
  <c r="BM61" i="41"/>
  <c r="BO61" i="41"/>
  <c r="BL62" i="41"/>
  <c r="BN62" i="41"/>
  <c r="BP62" i="41"/>
  <c r="BM63" i="41"/>
  <c r="BO63" i="41"/>
  <c r="BL64" i="41"/>
  <c r="BN64" i="41"/>
  <c r="BP64" i="41"/>
  <c r="BM65" i="41"/>
  <c r="BO65" i="41"/>
  <c r="BL66" i="41"/>
  <c r="BN66" i="41"/>
  <c r="BP66" i="41"/>
  <c r="BM67" i="41"/>
  <c r="BO67" i="41"/>
  <c r="BL68" i="41"/>
  <c r="BN68" i="41"/>
  <c r="BP68" i="41"/>
  <c r="BM69" i="41"/>
  <c r="BO69" i="41"/>
  <c r="BL70" i="41"/>
  <c r="BN70" i="41"/>
  <c r="BP70" i="41"/>
  <c r="BM71" i="41"/>
  <c r="BO71" i="41"/>
  <c r="BL72" i="41"/>
  <c r="BN72" i="41"/>
  <c r="BP72" i="41"/>
  <c r="BM73" i="41"/>
  <c r="BO73" i="41"/>
  <c r="BL74" i="41"/>
  <c r="BN74" i="41"/>
  <c r="BP74" i="41"/>
  <c r="BM75" i="41"/>
  <c r="BO75" i="41"/>
  <c r="BL76" i="41"/>
  <c r="BN76" i="41"/>
  <c r="BP76" i="41"/>
  <c r="BM77" i="41"/>
  <c r="BO77" i="41"/>
  <c r="BL78" i="41"/>
  <c r="BN78" i="41"/>
  <c r="BP78" i="41"/>
  <c r="BM79" i="41"/>
  <c r="BO79" i="41"/>
  <c r="BL80" i="41"/>
  <c r="BN80" i="41"/>
  <c r="BP80" i="41"/>
  <c r="BM81" i="41"/>
  <c r="BO81" i="41"/>
  <c r="BL82" i="41"/>
  <c r="BN82" i="41"/>
  <c r="BP82" i="41"/>
  <c r="BM83" i="41"/>
  <c r="BO83" i="41"/>
  <c r="BL84" i="41"/>
  <c r="BN84" i="41"/>
  <c r="BP84" i="41"/>
  <c r="BM85" i="41"/>
  <c r="BO85" i="41"/>
  <c r="BL86" i="41"/>
  <c r="BN86" i="41"/>
  <c r="BP86" i="41"/>
  <c r="BM87" i="41"/>
  <c r="BO87" i="41"/>
  <c r="BL88" i="41"/>
  <c r="BN88" i="41"/>
  <c r="BP88" i="41"/>
  <c r="BM89" i="41"/>
  <c r="BO89" i="41"/>
  <c r="BL90" i="41"/>
  <c r="BN90" i="41"/>
  <c r="BP90" i="41"/>
  <c r="BM91" i="41"/>
  <c r="BO91" i="41"/>
  <c r="BL92" i="41"/>
  <c r="BN92" i="41"/>
  <c r="BP92" i="41"/>
  <c r="BM93" i="41"/>
  <c r="BO93" i="41"/>
  <c r="BL94" i="41"/>
  <c r="BN94" i="41"/>
  <c r="BP94" i="41"/>
  <c r="BM95" i="41"/>
  <c r="BO95" i="41"/>
  <c r="BL96" i="41"/>
  <c r="BN96" i="41"/>
  <c r="BP96" i="41"/>
  <c r="BM97" i="41"/>
  <c r="BO97" i="41"/>
  <c r="BL98" i="41"/>
  <c r="BN98" i="41"/>
  <c r="BP98" i="41"/>
  <c r="BM99" i="41"/>
  <c r="BO99" i="41"/>
  <c r="BL100" i="41"/>
  <c r="BN100" i="41"/>
  <c r="BP100" i="41"/>
  <c r="BM101" i="41"/>
  <c r="BO101" i="41"/>
  <c r="BL102" i="41"/>
  <c r="BN102" i="41"/>
  <c r="BP102" i="41"/>
  <c r="BM103" i="41"/>
  <c r="BO103" i="41"/>
  <c r="BL104" i="41"/>
  <c r="BN104" i="41"/>
  <c r="BP104" i="41"/>
  <c r="BM105" i="41"/>
  <c r="BO105" i="41"/>
  <c r="BL106" i="41"/>
  <c r="BN106" i="41"/>
  <c r="BP106" i="41"/>
  <c r="BM107" i="41"/>
  <c r="BO107" i="41"/>
  <c r="BL108" i="41"/>
  <c r="BN108" i="41"/>
  <c r="BP108" i="41"/>
  <c r="BM109" i="41"/>
  <c r="BO109" i="41"/>
  <c r="BL110" i="41"/>
  <c r="BN110" i="41"/>
  <c r="BP110" i="41"/>
  <c r="BM111" i="41"/>
  <c r="BO111" i="41"/>
  <c r="BL112" i="41"/>
  <c r="BN112" i="41"/>
  <c r="BP112" i="41"/>
  <c r="BM113" i="41"/>
  <c r="BO113" i="41"/>
  <c r="BL114" i="41"/>
  <c r="BN114" i="41"/>
  <c r="BP114" i="41"/>
  <c r="BM115" i="41"/>
  <c r="BO115" i="41"/>
  <c r="BL116" i="41"/>
  <c r="BN116" i="41"/>
  <c r="BP116" i="41"/>
  <c r="BM117" i="41"/>
  <c r="BO117" i="41"/>
  <c r="BL118" i="41"/>
  <c r="BN118" i="41"/>
  <c r="BP118" i="41"/>
  <c r="BM119" i="41"/>
  <c r="BO119" i="41"/>
  <c r="BL120" i="41"/>
  <c r="BN120" i="41"/>
  <c r="BP120" i="41"/>
  <c r="BM121" i="41"/>
  <c r="BO121" i="41"/>
  <c r="BL122" i="41"/>
  <c r="BN122" i="41"/>
  <c r="BP122" i="41"/>
  <c r="BM123" i="41"/>
  <c r="BO123" i="41"/>
  <c r="BL124" i="41"/>
  <c r="BN124" i="41"/>
  <c r="BP124" i="41"/>
  <c r="BM125" i="41"/>
  <c r="BO125" i="41"/>
  <c r="BL126" i="41"/>
  <c r="BN126" i="41"/>
  <c r="BP126" i="41"/>
  <c r="BM127" i="41"/>
  <c r="BO127" i="41"/>
  <c r="BL128" i="41"/>
  <c r="BN128" i="41"/>
  <c r="BP128" i="41"/>
  <c r="BM129" i="41"/>
  <c r="BO129" i="41"/>
  <c r="BL130" i="41"/>
  <c r="BN130" i="41"/>
  <c r="BP130" i="41"/>
  <c r="BM131" i="41"/>
  <c r="BO131" i="41"/>
  <c r="BL132" i="41"/>
  <c r="BN132" i="41"/>
  <c r="BP132" i="41"/>
  <c r="BM133" i="41"/>
  <c r="BO133" i="41"/>
  <c r="BL134" i="41"/>
  <c r="BN134" i="41"/>
  <c r="BP134" i="41"/>
  <c r="BM135" i="41"/>
  <c r="BO135" i="41"/>
  <c r="BL136" i="41"/>
  <c r="BN136" i="41"/>
  <c r="BP136" i="41"/>
  <c r="BM137" i="41"/>
  <c r="BO137" i="41"/>
  <c r="BL138" i="41"/>
  <c r="BN138" i="41"/>
  <c r="BP138" i="41"/>
  <c r="BM139" i="41"/>
  <c r="BO139" i="41"/>
  <c r="BL140" i="41"/>
  <c r="BN140" i="41"/>
  <c r="BP140" i="41"/>
  <c r="BM141" i="41"/>
  <c r="BO141" i="41"/>
  <c r="BL142" i="41"/>
  <c r="BN142" i="41"/>
  <c r="BP142" i="41"/>
  <c r="BM143" i="41"/>
  <c r="BO143" i="41"/>
  <c r="BL144" i="41"/>
  <c r="BN144" i="41"/>
  <c r="BP144" i="41"/>
  <c r="BM145" i="41"/>
  <c r="BO145" i="41"/>
  <c r="BL146" i="41"/>
  <c r="BN146" i="41"/>
  <c r="BP146" i="41"/>
  <c r="BM147" i="41"/>
  <c r="BO147" i="41"/>
  <c r="BL148" i="41"/>
  <c r="BN148" i="41"/>
  <c r="BP148" i="41"/>
  <c r="E2" i="41"/>
  <c r="G2" i="41"/>
  <c r="I2" i="41"/>
  <c r="K2" i="41"/>
  <c r="M2" i="41"/>
  <c r="O2" i="41"/>
  <c r="Q2" i="41"/>
  <c r="S2" i="41"/>
  <c r="U2" i="41"/>
  <c r="W2" i="41"/>
  <c r="Y2" i="41"/>
  <c r="AA2" i="41"/>
  <c r="AC2" i="41"/>
  <c r="AE2" i="41"/>
  <c r="AG2" i="41"/>
  <c r="AI2" i="41"/>
  <c r="AK2" i="41"/>
  <c r="AM2" i="41"/>
  <c r="AO2" i="41"/>
  <c r="AQ2" i="41"/>
  <c r="AS2" i="41"/>
  <c r="AU2" i="41"/>
  <c r="AW2" i="41"/>
  <c r="AY2" i="41"/>
  <c r="BA2" i="41"/>
  <c r="BC2" i="41"/>
  <c r="BE2" i="41"/>
  <c r="BG2" i="41"/>
  <c r="BI2" i="41"/>
  <c r="BK2" i="41"/>
  <c r="BM48" i="41"/>
  <c r="BO48" i="41"/>
  <c r="BL49" i="41"/>
  <c r="BN49" i="41"/>
  <c r="BP49" i="41"/>
  <c r="BM50" i="41"/>
  <c r="BO50" i="41"/>
  <c r="BL51" i="41"/>
  <c r="BN51" i="41"/>
  <c r="BP51" i="41"/>
  <c r="BM52" i="41"/>
  <c r="BO52" i="41"/>
  <c r="BL53" i="41"/>
  <c r="BN53" i="41"/>
  <c r="BP53" i="41"/>
  <c r="BM54" i="41"/>
  <c r="BO54" i="41"/>
  <c r="BL55" i="41"/>
  <c r="BN55" i="41"/>
  <c r="BP55" i="41"/>
  <c r="BM56" i="41"/>
  <c r="BO56" i="41"/>
  <c r="BL57" i="41"/>
  <c r="BN57" i="41"/>
  <c r="BP57" i="41"/>
  <c r="BM58" i="41"/>
  <c r="BO58" i="41"/>
  <c r="BL59" i="41"/>
  <c r="BN59" i="41"/>
  <c r="BP59" i="41"/>
  <c r="BM60" i="41"/>
  <c r="BO60" i="41"/>
  <c r="BL61" i="41"/>
  <c r="BN61" i="41"/>
  <c r="BP61" i="41"/>
  <c r="BM62" i="41"/>
  <c r="BO62" i="41"/>
  <c r="BL63" i="41"/>
  <c r="BN63" i="41"/>
  <c r="BP63" i="41"/>
  <c r="BM64" i="41"/>
  <c r="BO64" i="41"/>
  <c r="BL65" i="41"/>
  <c r="BN65" i="41"/>
  <c r="BP65" i="41"/>
  <c r="BM66" i="41"/>
  <c r="BO66" i="41"/>
  <c r="BL67" i="41"/>
  <c r="BN67" i="41"/>
  <c r="BP67" i="41"/>
  <c r="BM68" i="41"/>
  <c r="BO68" i="41"/>
  <c r="BL69" i="41"/>
  <c r="BN69" i="41"/>
  <c r="BP69" i="41"/>
  <c r="BM70" i="41"/>
  <c r="BO70" i="41"/>
  <c r="BL71" i="41"/>
  <c r="BN71" i="41"/>
  <c r="BP71" i="41"/>
  <c r="BM72" i="41"/>
  <c r="BO72" i="41"/>
  <c r="BL73" i="41"/>
  <c r="BN73" i="41"/>
  <c r="BP73" i="41"/>
  <c r="BM74" i="41"/>
  <c r="BO74" i="41"/>
  <c r="BL75" i="41"/>
  <c r="BN75" i="41"/>
  <c r="BP75" i="41"/>
  <c r="BM76" i="41"/>
  <c r="BO76" i="41"/>
  <c r="BL77" i="41"/>
  <c r="BN77" i="41"/>
  <c r="BP77" i="41"/>
  <c r="BM78" i="41"/>
  <c r="BO78" i="41"/>
  <c r="BL79" i="41"/>
  <c r="BN79" i="41"/>
  <c r="BP79" i="41"/>
  <c r="BM80" i="41"/>
  <c r="BO80" i="41"/>
  <c r="BL81" i="41"/>
  <c r="BN81" i="41"/>
  <c r="BP81" i="41"/>
  <c r="BM82" i="41"/>
  <c r="BO82" i="41"/>
  <c r="BL83" i="41"/>
  <c r="BN83" i="41"/>
  <c r="BP83" i="41"/>
  <c r="BM84" i="41"/>
  <c r="BO84" i="41"/>
  <c r="BL85" i="41"/>
  <c r="BN85" i="41"/>
  <c r="BP85" i="41"/>
  <c r="BM86" i="41"/>
  <c r="BO86" i="41"/>
  <c r="BL87" i="41"/>
  <c r="BN87" i="41"/>
  <c r="BP87" i="41"/>
  <c r="BM88" i="41"/>
  <c r="BO88" i="41"/>
  <c r="BL89" i="41"/>
  <c r="BN89" i="41"/>
  <c r="BP89" i="41"/>
  <c r="BM90" i="41"/>
  <c r="BO90" i="41"/>
  <c r="BL91" i="41"/>
  <c r="BN91" i="41"/>
  <c r="BP91" i="41"/>
  <c r="BM92" i="41"/>
  <c r="BO92" i="41"/>
  <c r="BL93" i="41"/>
  <c r="BN93" i="41"/>
  <c r="BP93" i="41"/>
  <c r="BM94" i="41"/>
  <c r="BO94" i="41"/>
  <c r="BL95" i="41"/>
  <c r="BN95" i="41"/>
  <c r="BP95" i="41"/>
  <c r="BM96" i="41"/>
  <c r="BO96" i="41"/>
  <c r="BL97" i="41"/>
  <c r="BN97" i="41"/>
  <c r="BP97" i="41"/>
  <c r="BM98" i="41"/>
  <c r="BO98" i="41"/>
  <c r="BL99" i="41"/>
  <c r="BN99" i="41"/>
  <c r="BP99" i="41"/>
  <c r="BM100" i="41"/>
  <c r="BO100" i="41"/>
  <c r="BL101" i="41"/>
  <c r="BN101" i="41"/>
  <c r="BP101" i="41"/>
  <c r="BM102" i="41"/>
  <c r="BO102" i="41"/>
  <c r="BL103" i="41"/>
  <c r="BN103" i="41"/>
  <c r="BP103" i="41"/>
  <c r="BM104" i="41"/>
  <c r="BO104" i="41"/>
  <c r="BL105" i="41"/>
  <c r="BN105" i="41"/>
  <c r="BP105" i="41"/>
  <c r="BM106" i="41"/>
  <c r="BO106" i="41"/>
  <c r="BL107" i="41"/>
  <c r="BN107" i="41"/>
  <c r="BP107" i="41"/>
  <c r="BM108" i="41"/>
  <c r="BO108" i="41"/>
  <c r="BL109" i="41"/>
  <c r="BN109" i="41"/>
  <c r="BP109" i="41"/>
  <c r="BM110" i="41"/>
  <c r="BO110" i="41"/>
  <c r="BL111" i="41"/>
  <c r="BN111" i="41"/>
  <c r="BP111" i="41"/>
  <c r="BM112" i="41"/>
  <c r="BO112" i="41"/>
  <c r="BL113" i="41"/>
  <c r="BN113" i="41"/>
  <c r="BP113" i="41"/>
  <c r="BM114" i="41"/>
  <c r="BO114" i="41"/>
  <c r="BL115" i="41"/>
  <c r="BN115" i="41"/>
  <c r="BP115" i="41"/>
  <c r="BM116" i="41"/>
  <c r="BO116" i="41"/>
  <c r="BL117" i="41"/>
  <c r="BN117" i="41"/>
  <c r="BP117" i="41"/>
  <c r="BM118" i="41"/>
  <c r="BO118" i="41"/>
  <c r="BL119" i="41"/>
  <c r="BN119" i="41"/>
  <c r="BP119" i="41"/>
  <c r="BM120" i="41"/>
  <c r="BO120" i="41"/>
  <c r="BL121" i="41"/>
  <c r="BN121" i="41"/>
  <c r="BP121" i="41"/>
  <c r="BM122" i="41"/>
  <c r="BO122" i="41"/>
  <c r="BL123" i="41"/>
  <c r="BN123" i="41"/>
  <c r="BP123" i="41"/>
  <c r="BM124" i="41"/>
  <c r="BO124" i="41"/>
  <c r="BL125" i="41"/>
  <c r="BN125" i="41"/>
  <c r="BP125" i="41"/>
  <c r="BM126" i="41"/>
  <c r="BO126" i="41"/>
  <c r="BL127" i="41"/>
  <c r="BN127" i="41"/>
  <c r="BP127" i="41"/>
  <c r="BM128" i="41"/>
  <c r="BO128" i="41"/>
  <c r="BL129" i="41"/>
  <c r="BN129" i="41"/>
  <c r="BP129" i="41"/>
  <c r="BM130" i="41"/>
  <c r="BO130" i="41"/>
  <c r="BL131" i="41"/>
  <c r="BN131" i="41"/>
  <c r="BP131" i="41"/>
  <c r="BM132" i="41"/>
  <c r="BO132" i="41"/>
  <c r="BL133" i="41"/>
  <c r="BN133" i="41"/>
  <c r="BP133" i="41"/>
  <c r="BM134" i="41"/>
  <c r="BO134" i="41"/>
  <c r="BL135" i="41"/>
  <c r="BN135" i="41"/>
  <c r="BP135" i="41"/>
  <c r="BM136" i="41"/>
  <c r="BO136" i="41"/>
  <c r="BL137" i="41"/>
  <c r="BN137" i="41"/>
  <c r="BP137" i="41"/>
  <c r="BM138" i="41"/>
  <c r="BO138" i="41"/>
  <c r="BL139" i="41"/>
  <c r="BN139" i="41"/>
  <c r="BP139" i="41"/>
  <c r="BM140" i="41"/>
  <c r="BO140" i="41"/>
  <c r="BL141" i="41"/>
  <c r="BN141" i="41"/>
  <c r="BP141" i="41"/>
  <c r="BM142" i="41"/>
  <c r="BO142" i="41"/>
  <c r="BL143" i="41"/>
  <c r="BN143" i="41"/>
  <c r="BP143" i="41"/>
  <c r="BM144" i="41"/>
  <c r="BO144" i="41"/>
  <c r="BL145" i="41"/>
  <c r="BN145" i="41"/>
  <c r="BP145" i="41"/>
  <c r="BM146" i="41"/>
  <c r="BO146" i="41"/>
  <c r="BL147" i="41"/>
  <c r="BN147" i="41"/>
  <c r="BP147" i="41"/>
  <c r="BM148" i="41"/>
  <c r="BO148" i="41"/>
  <c r="BL149" i="41"/>
  <c r="BN149" i="41"/>
  <c r="BP149" i="41"/>
  <c r="BM149" i="41"/>
  <c r="BO149" i="41"/>
  <c r="N2" i="41"/>
  <c r="P2" i="41"/>
  <c r="R2" i="41"/>
  <c r="T2" i="41"/>
  <c r="V2" i="41"/>
  <c r="X2" i="41"/>
  <c r="Z2" i="41"/>
  <c r="AB2" i="41"/>
  <c r="AD2" i="41"/>
  <c r="AF2" i="41"/>
  <c r="AH2" i="41"/>
  <c r="AJ2" i="41"/>
  <c r="AL2" i="41"/>
  <c r="AN2" i="41"/>
  <c r="AP2" i="41"/>
  <c r="AR2" i="41"/>
  <c r="AT2" i="41"/>
  <c r="AV2" i="41"/>
  <c r="AX2" i="41"/>
  <c r="AZ2" i="41"/>
  <c r="BB2" i="41"/>
  <c r="BD2" i="41"/>
  <c r="BF2" i="41"/>
  <c r="BH2" i="41"/>
  <c r="BJ2" i="41"/>
  <c r="K3" i="40"/>
  <c r="G3" i="40"/>
  <c r="J2" i="41"/>
  <c r="F2" i="41"/>
  <c r="D2" i="41"/>
  <c r="L2" i="41"/>
  <c r="H2" i="41"/>
  <c r="E3" i="40"/>
  <c r="I3" i="40"/>
  <c r="N301" i="6"/>
  <c r="M301" i="6"/>
  <c r="L301" i="6"/>
  <c r="K301" i="6"/>
  <c r="J301" i="6"/>
  <c r="I301" i="6"/>
  <c r="H301" i="6"/>
  <c r="G301" i="6"/>
  <c r="F301" i="6"/>
  <c r="E301" i="6"/>
  <c r="D301" i="6"/>
  <c r="C301" i="6"/>
  <c r="N300" i="6"/>
  <c r="M300" i="6"/>
  <c r="L300" i="6"/>
  <c r="K300" i="6"/>
  <c r="J300" i="6"/>
  <c r="I300" i="6"/>
  <c r="H300" i="6"/>
  <c r="G300" i="6"/>
  <c r="F300" i="6"/>
  <c r="E300" i="6"/>
  <c r="D300" i="6"/>
  <c r="C300" i="6"/>
  <c r="N299" i="6"/>
  <c r="M299" i="6"/>
  <c r="L299" i="6"/>
  <c r="K299" i="6"/>
  <c r="J299" i="6"/>
  <c r="I299" i="6"/>
  <c r="H299" i="6"/>
  <c r="G299" i="6"/>
  <c r="F299" i="6"/>
  <c r="E299" i="6"/>
  <c r="D299" i="6"/>
  <c r="C299" i="6"/>
  <c r="N298" i="6"/>
  <c r="M298" i="6"/>
  <c r="L298" i="6"/>
  <c r="K298" i="6"/>
  <c r="J298" i="6"/>
  <c r="I298" i="6"/>
  <c r="H298" i="6"/>
  <c r="G298" i="6"/>
  <c r="F298" i="6"/>
  <c r="E298" i="6"/>
  <c r="D298" i="6"/>
  <c r="C298" i="6"/>
  <c r="N297" i="6"/>
  <c r="N296" i="6" s="1"/>
  <c r="M297" i="6"/>
  <c r="M296" i="6" s="1"/>
  <c r="L297" i="6"/>
  <c r="L296" i="6" s="1"/>
  <c r="K297" i="6"/>
  <c r="K296" i="6" s="1"/>
  <c r="J297" i="6"/>
  <c r="J296" i="6" s="1"/>
  <c r="I297" i="6"/>
  <c r="I296" i="6" s="1"/>
  <c r="H297" i="6"/>
  <c r="H296" i="6" s="1"/>
  <c r="G297" i="6"/>
  <c r="G296" i="6" s="1"/>
  <c r="F297" i="6"/>
  <c r="F296" i="6" s="1"/>
  <c r="E297" i="6"/>
  <c r="E296" i="6" s="1"/>
  <c r="D297" i="6"/>
  <c r="D296" i="6" s="1"/>
  <c r="C297" i="6"/>
  <c r="O295" i="6"/>
  <c r="N292" i="6"/>
  <c r="M292" i="6"/>
  <c r="L292" i="6"/>
  <c r="K292" i="6"/>
  <c r="J292" i="6"/>
  <c r="I292" i="6"/>
  <c r="H292" i="6"/>
  <c r="G292" i="6"/>
  <c r="F292" i="6"/>
  <c r="E292" i="6"/>
  <c r="D292" i="6"/>
  <c r="C292" i="6"/>
  <c r="N291" i="6"/>
  <c r="M291" i="6"/>
  <c r="L291" i="6"/>
  <c r="K291" i="6"/>
  <c r="J291" i="6"/>
  <c r="I291" i="6"/>
  <c r="H291" i="6"/>
  <c r="G291" i="6"/>
  <c r="F291" i="6"/>
  <c r="E291" i="6"/>
  <c r="D291" i="6"/>
  <c r="C291" i="6"/>
  <c r="N290" i="6"/>
  <c r="M290" i="6"/>
  <c r="L290" i="6"/>
  <c r="K290" i="6"/>
  <c r="J290" i="6"/>
  <c r="I290" i="6"/>
  <c r="H290" i="6"/>
  <c r="G290" i="6"/>
  <c r="F290" i="6"/>
  <c r="E290" i="6"/>
  <c r="D290" i="6"/>
  <c r="C290" i="6"/>
  <c r="N289" i="6"/>
  <c r="M289" i="6"/>
  <c r="L289" i="6"/>
  <c r="K289" i="6"/>
  <c r="J289" i="6"/>
  <c r="I289" i="6"/>
  <c r="H289" i="6"/>
  <c r="G289" i="6"/>
  <c r="F289" i="6"/>
  <c r="F287" i="6" s="1"/>
  <c r="E289" i="6"/>
  <c r="D289" i="6"/>
  <c r="C289" i="6"/>
  <c r="N288" i="6"/>
  <c r="M288" i="6"/>
  <c r="M287" i="6" s="1"/>
  <c r="L288" i="6"/>
  <c r="L287" i="6" s="1"/>
  <c r="K288" i="6"/>
  <c r="K287" i="6" s="1"/>
  <c r="J288" i="6"/>
  <c r="J287" i="6" s="1"/>
  <c r="I288" i="6"/>
  <c r="I287" i="6" s="1"/>
  <c r="H288" i="6"/>
  <c r="H287" i="6" s="1"/>
  <c r="G288" i="6"/>
  <c r="G287" i="6" s="1"/>
  <c r="F288" i="6"/>
  <c r="E288" i="6"/>
  <c r="E287" i="6" s="1"/>
  <c r="D288" i="6"/>
  <c r="D287" i="6" s="1"/>
  <c r="C288" i="6"/>
  <c r="N287" i="6"/>
  <c r="O286" i="6"/>
  <c r="N283" i="6"/>
  <c r="M283" i="6"/>
  <c r="L283" i="6"/>
  <c r="K283" i="6"/>
  <c r="J283" i="6"/>
  <c r="I283" i="6"/>
  <c r="H283" i="6"/>
  <c r="G283" i="6"/>
  <c r="F283" i="6"/>
  <c r="E283" i="6"/>
  <c r="D283" i="6"/>
  <c r="C283" i="6"/>
  <c r="N282" i="6"/>
  <c r="M282" i="6"/>
  <c r="L282" i="6"/>
  <c r="K282" i="6"/>
  <c r="J282" i="6"/>
  <c r="I282" i="6"/>
  <c r="H282" i="6"/>
  <c r="G282" i="6"/>
  <c r="F282" i="6"/>
  <c r="E282" i="6"/>
  <c r="D282" i="6"/>
  <c r="C282" i="6"/>
  <c r="N281" i="6"/>
  <c r="M281" i="6"/>
  <c r="L281" i="6"/>
  <c r="K281" i="6"/>
  <c r="J281" i="6"/>
  <c r="I281" i="6"/>
  <c r="H281" i="6"/>
  <c r="G281" i="6"/>
  <c r="F281" i="6"/>
  <c r="E281" i="6"/>
  <c r="D281" i="6"/>
  <c r="C281" i="6"/>
  <c r="N280" i="6"/>
  <c r="M280" i="6"/>
  <c r="L280" i="6"/>
  <c r="K280" i="6"/>
  <c r="J280" i="6"/>
  <c r="I280" i="6"/>
  <c r="H280" i="6"/>
  <c r="G280" i="6"/>
  <c r="F280" i="6"/>
  <c r="E280" i="6"/>
  <c r="D280" i="6"/>
  <c r="C280" i="6"/>
  <c r="N279" i="6"/>
  <c r="N278" i="6" s="1"/>
  <c r="M279" i="6"/>
  <c r="M278" i="6" s="1"/>
  <c r="L279" i="6"/>
  <c r="L278" i="6" s="1"/>
  <c r="K279" i="6"/>
  <c r="K278" i="6" s="1"/>
  <c r="J279" i="6"/>
  <c r="J278" i="6" s="1"/>
  <c r="I279" i="6"/>
  <c r="I278" i="6" s="1"/>
  <c r="H279" i="6"/>
  <c r="H278" i="6" s="1"/>
  <c r="G279" i="6"/>
  <c r="F279" i="6"/>
  <c r="F278" i="6" s="1"/>
  <c r="E279" i="6"/>
  <c r="E278" i="6" s="1"/>
  <c r="D279" i="6"/>
  <c r="C279" i="6"/>
  <c r="C278" i="6" s="1"/>
  <c r="O277" i="6"/>
  <c r="N274" i="6"/>
  <c r="M274" i="6"/>
  <c r="L274" i="6"/>
  <c r="K274" i="6"/>
  <c r="J274" i="6"/>
  <c r="I274" i="6"/>
  <c r="H274" i="6"/>
  <c r="G274" i="6"/>
  <c r="F274" i="6"/>
  <c r="E274" i="6"/>
  <c r="D274" i="6"/>
  <c r="C274" i="6"/>
  <c r="N273" i="6"/>
  <c r="M273" i="6"/>
  <c r="L273" i="6"/>
  <c r="K273" i="6"/>
  <c r="J273" i="6"/>
  <c r="I273" i="6"/>
  <c r="H273" i="6"/>
  <c r="G273" i="6"/>
  <c r="F273" i="6"/>
  <c r="E273" i="6"/>
  <c r="D273" i="6"/>
  <c r="C273" i="6"/>
  <c r="N272" i="6"/>
  <c r="M272" i="6"/>
  <c r="L272" i="6"/>
  <c r="K272" i="6"/>
  <c r="J272" i="6"/>
  <c r="I272" i="6"/>
  <c r="H272" i="6"/>
  <c r="G272" i="6"/>
  <c r="F272" i="6"/>
  <c r="E272" i="6"/>
  <c r="D272" i="6"/>
  <c r="C272" i="6"/>
  <c r="N271" i="6"/>
  <c r="M271" i="6"/>
  <c r="L271" i="6"/>
  <c r="K271" i="6"/>
  <c r="J271" i="6"/>
  <c r="I271" i="6"/>
  <c r="H271" i="6"/>
  <c r="G271" i="6"/>
  <c r="F271" i="6"/>
  <c r="F269" i="6" s="1"/>
  <c r="E271" i="6"/>
  <c r="D271" i="6"/>
  <c r="C271" i="6"/>
  <c r="N270" i="6"/>
  <c r="M270" i="6"/>
  <c r="M269" i="6" s="1"/>
  <c r="L270" i="6"/>
  <c r="L269" i="6" s="1"/>
  <c r="K270" i="6"/>
  <c r="K269" i="6" s="1"/>
  <c r="J270" i="6"/>
  <c r="I270" i="6"/>
  <c r="I269" i="6" s="1"/>
  <c r="H270" i="6"/>
  <c r="H269" i="6" s="1"/>
  <c r="G270" i="6"/>
  <c r="G269" i="6" s="1"/>
  <c r="F270" i="6"/>
  <c r="E270" i="6"/>
  <c r="E269" i="6" s="1"/>
  <c r="D270" i="6"/>
  <c r="D269" i="6" s="1"/>
  <c r="C270" i="6"/>
  <c r="N269" i="6"/>
  <c r="O268" i="6"/>
  <c r="N265" i="6"/>
  <c r="M265" i="6"/>
  <c r="L265" i="6"/>
  <c r="K265" i="6"/>
  <c r="J265" i="6"/>
  <c r="I265" i="6"/>
  <c r="H265" i="6"/>
  <c r="G265" i="6"/>
  <c r="F265" i="6"/>
  <c r="E265" i="6"/>
  <c r="D265" i="6"/>
  <c r="C265" i="6"/>
  <c r="N264" i="6"/>
  <c r="M264" i="6"/>
  <c r="L264" i="6"/>
  <c r="K264" i="6"/>
  <c r="J264" i="6"/>
  <c r="I264" i="6"/>
  <c r="H264" i="6"/>
  <c r="G264" i="6"/>
  <c r="F264" i="6"/>
  <c r="E264" i="6"/>
  <c r="D264" i="6"/>
  <c r="C264" i="6"/>
  <c r="N263" i="6"/>
  <c r="M263" i="6"/>
  <c r="L263" i="6"/>
  <c r="K263" i="6"/>
  <c r="J263" i="6"/>
  <c r="I263" i="6"/>
  <c r="H263" i="6"/>
  <c r="G263" i="6"/>
  <c r="F263" i="6"/>
  <c r="E263" i="6"/>
  <c r="D263" i="6"/>
  <c r="C263" i="6"/>
  <c r="N262" i="6"/>
  <c r="M262" i="6"/>
  <c r="L262" i="6"/>
  <c r="K262" i="6"/>
  <c r="J262" i="6"/>
  <c r="I262" i="6"/>
  <c r="H262" i="6"/>
  <c r="G262" i="6"/>
  <c r="F262" i="6"/>
  <c r="E262" i="6"/>
  <c r="D262" i="6"/>
  <c r="C262" i="6"/>
  <c r="N261" i="6"/>
  <c r="M261" i="6"/>
  <c r="M260" i="6" s="1"/>
  <c r="L261" i="6"/>
  <c r="L260" i="6" s="1"/>
  <c r="K261" i="6"/>
  <c r="K260" i="6" s="1"/>
  <c r="J261" i="6"/>
  <c r="I261" i="6"/>
  <c r="I260" i="6" s="1"/>
  <c r="H261" i="6"/>
  <c r="H260" i="6" s="1"/>
  <c r="G261" i="6"/>
  <c r="G260" i="6" s="1"/>
  <c r="F261" i="6"/>
  <c r="E261" i="6"/>
  <c r="E260" i="6" s="1"/>
  <c r="D261" i="6"/>
  <c r="C261" i="6"/>
  <c r="C260" i="6" s="1"/>
  <c r="N260" i="6"/>
  <c r="O259" i="6"/>
  <c r="N256" i="6"/>
  <c r="M256" i="6"/>
  <c r="L256" i="6"/>
  <c r="K256" i="6"/>
  <c r="J256" i="6"/>
  <c r="I256" i="6"/>
  <c r="H256" i="6"/>
  <c r="G256" i="6"/>
  <c r="F256" i="6"/>
  <c r="E256" i="6"/>
  <c r="D256" i="6"/>
  <c r="C256" i="6"/>
  <c r="N255" i="6"/>
  <c r="M255" i="6"/>
  <c r="L255" i="6"/>
  <c r="K255" i="6"/>
  <c r="J255" i="6"/>
  <c r="I255" i="6"/>
  <c r="H255" i="6"/>
  <c r="G255" i="6"/>
  <c r="F255" i="6"/>
  <c r="E255" i="6"/>
  <c r="D255" i="6"/>
  <c r="C255" i="6"/>
  <c r="N254" i="6"/>
  <c r="M254" i="6"/>
  <c r="L254" i="6"/>
  <c r="K254" i="6"/>
  <c r="J254" i="6"/>
  <c r="I254" i="6"/>
  <c r="H254" i="6"/>
  <c r="G254" i="6"/>
  <c r="F254" i="6"/>
  <c r="E254" i="6"/>
  <c r="D254" i="6"/>
  <c r="C254" i="6"/>
  <c r="N253" i="6"/>
  <c r="M253" i="6"/>
  <c r="L253" i="6"/>
  <c r="K253" i="6"/>
  <c r="J253" i="6"/>
  <c r="I253" i="6"/>
  <c r="H253" i="6"/>
  <c r="G253" i="6"/>
  <c r="F253" i="6"/>
  <c r="E253" i="6"/>
  <c r="D253" i="6"/>
  <c r="C253" i="6"/>
  <c r="N252" i="6"/>
  <c r="N251" i="6" s="1"/>
  <c r="M252" i="6"/>
  <c r="M251" i="6" s="1"/>
  <c r="L252" i="6"/>
  <c r="L251" i="6" s="1"/>
  <c r="K252" i="6"/>
  <c r="K251" i="6" s="1"/>
  <c r="J252" i="6"/>
  <c r="J251" i="6" s="1"/>
  <c r="I252" i="6"/>
  <c r="I251" i="6" s="1"/>
  <c r="H252" i="6"/>
  <c r="H251" i="6" s="1"/>
  <c r="G252" i="6"/>
  <c r="F252" i="6"/>
  <c r="F251" i="6" s="1"/>
  <c r="E252" i="6"/>
  <c r="E251" i="6" s="1"/>
  <c r="D252" i="6"/>
  <c r="C252" i="6"/>
  <c r="O250" i="6"/>
  <c r="N247" i="6"/>
  <c r="M247" i="6"/>
  <c r="L247" i="6"/>
  <c r="K247" i="6"/>
  <c r="J247" i="6"/>
  <c r="I247" i="6"/>
  <c r="H247" i="6"/>
  <c r="G247" i="6"/>
  <c r="F247" i="6"/>
  <c r="E247" i="6"/>
  <c r="D247" i="6"/>
  <c r="C247" i="6"/>
  <c r="N246" i="6"/>
  <c r="M246" i="6"/>
  <c r="L246" i="6"/>
  <c r="K246" i="6"/>
  <c r="J246" i="6"/>
  <c r="I246" i="6"/>
  <c r="H246" i="6"/>
  <c r="G246" i="6"/>
  <c r="F246" i="6"/>
  <c r="E246" i="6"/>
  <c r="D246" i="6"/>
  <c r="C246" i="6"/>
  <c r="N245" i="6"/>
  <c r="M245" i="6"/>
  <c r="L245" i="6"/>
  <c r="K245" i="6"/>
  <c r="J245" i="6"/>
  <c r="I245" i="6"/>
  <c r="H245" i="6"/>
  <c r="G245" i="6"/>
  <c r="F245" i="6"/>
  <c r="E245" i="6"/>
  <c r="D245" i="6"/>
  <c r="C245" i="6"/>
  <c r="N244" i="6"/>
  <c r="M244" i="6"/>
  <c r="L244" i="6"/>
  <c r="K244" i="6"/>
  <c r="J244" i="6"/>
  <c r="I244" i="6"/>
  <c r="H244" i="6"/>
  <c r="G244" i="6"/>
  <c r="F244" i="6"/>
  <c r="E244" i="6"/>
  <c r="D244" i="6"/>
  <c r="C244" i="6"/>
  <c r="N243" i="6"/>
  <c r="N242" i="6" s="1"/>
  <c r="M243" i="6"/>
  <c r="M242" i="6" s="1"/>
  <c r="L243" i="6"/>
  <c r="L242" i="6" s="1"/>
  <c r="K243" i="6"/>
  <c r="K242" i="6" s="1"/>
  <c r="J243" i="6"/>
  <c r="J242" i="6" s="1"/>
  <c r="I243" i="6"/>
  <c r="I242" i="6" s="1"/>
  <c r="H243" i="6"/>
  <c r="H242" i="6" s="1"/>
  <c r="G243" i="6"/>
  <c r="G242" i="6" s="1"/>
  <c r="F243" i="6"/>
  <c r="F242" i="6" s="1"/>
  <c r="E243" i="6"/>
  <c r="E242" i="6" s="1"/>
  <c r="D243" i="6"/>
  <c r="C243" i="6"/>
  <c r="O241" i="6"/>
  <c r="N238" i="6"/>
  <c r="M238" i="6"/>
  <c r="L238" i="6"/>
  <c r="K238" i="6"/>
  <c r="J238" i="6"/>
  <c r="I238" i="6"/>
  <c r="H238" i="6"/>
  <c r="G238" i="6"/>
  <c r="F238" i="6"/>
  <c r="E238" i="6"/>
  <c r="D238" i="6"/>
  <c r="C238" i="6"/>
  <c r="N237" i="6"/>
  <c r="M237" i="6"/>
  <c r="L237" i="6"/>
  <c r="K237" i="6"/>
  <c r="J237" i="6"/>
  <c r="I237" i="6"/>
  <c r="H237" i="6"/>
  <c r="G237" i="6"/>
  <c r="F237" i="6"/>
  <c r="E237" i="6"/>
  <c r="D237" i="6"/>
  <c r="C237" i="6"/>
  <c r="N236" i="6"/>
  <c r="M236" i="6"/>
  <c r="L236" i="6"/>
  <c r="K236" i="6"/>
  <c r="J236" i="6"/>
  <c r="I236" i="6"/>
  <c r="H236" i="6"/>
  <c r="G236" i="6"/>
  <c r="F236" i="6"/>
  <c r="E236" i="6"/>
  <c r="D236" i="6"/>
  <c r="C236" i="6"/>
  <c r="N235" i="6"/>
  <c r="M235" i="6"/>
  <c r="L235" i="6"/>
  <c r="K235" i="6"/>
  <c r="J235" i="6"/>
  <c r="I235" i="6"/>
  <c r="H235" i="6"/>
  <c r="H233" i="6" s="1"/>
  <c r="G235" i="6"/>
  <c r="F235" i="6"/>
  <c r="E235" i="6"/>
  <c r="D235" i="6"/>
  <c r="C235" i="6"/>
  <c r="N234" i="6"/>
  <c r="M234" i="6"/>
  <c r="L234" i="6"/>
  <c r="K234" i="6"/>
  <c r="J234" i="6"/>
  <c r="I234" i="6"/>
  <c r="H234" i="6"/>
  <c r="G234" i="6"/>
  <c r="F234" i="6"/>
  <c r="E234" i="6"/>
  <c r="D234" i="6"/>
  <c r="C234" i="6"/>
  <c r="L233" i="6"/>
  <c r="O232" i="6"/>
  <c r="C251" i="6" l="1"/>
  <c r="E233" i="6"/>
  <c r="G233" i="6"/>
  <c r="I233" i="6"/>
  <c r="K233" i="6"/>
  <c r="M233" i="6"/>
  <c r="J269" i="6"/>
  <c r="F233" i="6"/>
  <c r="J233" i="6"/>
  <c r="N233" i="6"/>
  <c r="F260" i="6"/>
  <c r="J260" i="6"/>
  <c r="C242" i="6"/>
  <c r="D251" i="6"/>
  <c r="D260" i="6"/>
  <c r="C269" i="6"/>
  <c r="D278" i="6"/>
  <c r="C287" i="6"/>
  <c r="D242" i="6"/>
  <c r="G251" i="6"/>
  <c r="O251" i="6" s="1"/>
  <c r="G278" i="6"/>
  <c r="D233" i="6"/>
  <c r="O262" i="6"/>
  <c r="O263" i="6"/>
  <c r="O297" i="6"/>
  <c r="O298" i="6"/>
  <c r="O299" i="6"/>
  <c r="O300" i="6"/>
  <c r="BM2" i="41"/>
  <c r="BN2" i="41"/>
  <c r="BO2" i="41"/>
  <c r="BP2" i="41"/>
  <c r="BL2" i="41"/>
  <c r="O301" i="6"/>
  <c r="O289" i="6"/>
  <c r="O290" i="6"/>
  <c r="O274" i="6"/>
  <c r="O234" i="6"/>
  <c r="O235" i="6"/>
  <c r="O236" i="6"/>
  <c r="O237" i="6"/>
  <c r="O238" i="6"/>
  <c r="O260" i="6"/>
  <c r="O287" i="6"/>
  <c r="O291" i="6"/>
  <c r="O292" i="6"/>
  <c r="O252" i="6"/>
  <c r="O253" i="6"/>
  <c r="O254" i="6"/>
  <c r="O255" i="6"/>
  <c r="O256" i="6"/>
  <c r="O271" i="6"/>
  <c r="O272" i="6"/>
  <c r="O273" i="6"/>
  <c r="O279" i="6"/>
  <c r="O280" i="6"/>
  <c r="O281" i="6"/>
  <c r="O282" i="6"/>
  <c r="O283" i="6"/>
  <c r="C296" i="6"/>
  <c r="O296" i="6" s="1"/>
  <c r="O288" i="6"/>
  <c r="O278" i="6"/>
  <c r="O269" i="6"/>
  <c r="O270" i="6"/>
  <c r="O264" i="6"/>
  <c r="O265" i="6"/>
  <c r="O261" i="6"/>
  <c r="O242" i="6"/>
  <c r="O243" i="6"/>
  <c r="O244" i="6"/>
  <c r="O245" i="6"/>
  <c r="O246" i="6"/>
  <c r="O247" i="6"/>
  <c r="C233" i="6"/>
  <c r="O233" i="6" s="1"/>
  <c r="N195" i="18"/>
  <c r="M195" i="18"/>
  <c r="L195" i="18"/>
  <c r="K195" i="18"/>
  <c r="J195" i="18"/>
  <c r="I195" i="18"/>
  <c r="H195" i="18"/>
  <c r="G195" i="18"/>
  <c r="F195" i="18"/>
  <c r="E195" i="18"/>
  <c r="D195" i="18"/>
  <c r="C195" i="18"/>
  <c r="N194" i="18"/>
  <c r="M194" i="18"/>
  <c r="L194" i="18"/>
  <c r="K194" i="18"/>
  <c r="J194" i="18"/>
  <c r="I194" i="18"/>
  <c r="H194" i="18"/>
  <c r="G194" i="18"/>
  <c r="F194" i="18"/>
  <c r="E194" i="18"/>
  <c r="D194" i="18"/>
  <c r="C194" i="18"/>
  <c r="N193" i="18"/>
  <c r="M193" i="18"/>
  <c r="L193" i="18"/>
  <c r="K193" i="18"/>
  <c r="J193" i="18"/>
  <c r="I193" i="18"/>
  <c r="H193" i="18"/>
  <c r="G193" i="18"/>
  <c r="F193" i="18"/>
  <c r="E193" i="18"/>
  <c r="D193" i="18"/>
  <c r="C193" i="18"/>
  <c r="N192" i="18"/>
  <c r="M192" i="18"/>
  <c r="L192" i="18"/>
  <c r="K192" i="18"/>
  <c r="J192" i="18"/>
  <c r="I192" i="18"/>
  <c r="H192" i="18"/>
  <c r="G192" i="18"/>
  <c r="F192" i="18"/>
  <c r="E192" i="18"/>
  <c r="D192" i="18"/>
  <c r="C192" i="18"/>
  <c r="N191" i="18"/>
  <c r="N190" i="18" s="1"/>
  <c r="M191" i="18"/>
  <c r="M190" i="18" s="1"/>
  <c r="L191" i="18"/>
  <c r="L190" i="18" s="1"/>
  <c r="K191" i="18"/>
  <c r="K190" i="18" s="1"/>
  <c r="J191" i="18"/>
  <c r="J190" i="18" s="1"/>
  <c r="I191" i="18"/>
  <c r="I190" i="18" s="1"/>
  <c r="H191" i="18"/>
  <c r="H190" i="18" s="1"/>
  <c r="G191" i="18"/>
  <c r="G190" i="18" s="1"/>
  <c r="F191" i="18"/>
  <c r="F190" i="18" s="1"/>
  <c r="E191" i="18"/>
  <c r="E190" i="18" s="1"/>
  <c r="D191" i="18"/>
  <c r="D190" i="18" s="1"/>
  <c r="C191" i="18"/>
  <c r="C190" i="18" s="1"/>
  <c r="O189" i="18"/>
  <c r="C150" i="13"/>
  <c r="D150" i="13"/>
  <c r="E150" i="13"/>
  <c r="F150" i="13"/>
  <c r="G150" i="13"/>
  <c r="H150" i="13"/>
  <c r="I150" i="13"/>
  <c r="J150" i="13"/>
  <c r="K150" i="13"/>
  <c r="L150" i="13"/>
  <c r="M150" i="13"/>
  <c r="B150" i="13"/>
  <c r="C250" i="13"/>
  <c r="D250" i="13"/>
  <c r="E250" i="13"/>
  <c r="F250" i="13"/>
  <c r="G250" i="13"/>
  <c r="H250" i="13"/>
  <c r="I250" i="13"/>
  <c r="J250" i="13"/>
  <c r="K250" i="13"/>
  <c r="L250" i="13"/>
  <c r="M250" i="13"/>
  <c r="B250" i="13"/>
  <c r="N247" i="13"/>
  <c r="N246" i="13"/>
  <c r="N245" i="13"/>
  <c r="N244" i="13"/>
  <c r="N243" i="13"/>
  <c r="N242" i="13"/>
  <c r="N239" i="13"/>
  <c r="N238" i="13"/>
  <c r="N237" i="13"/>
  <c r="N236" i="13"/>
  <c r="N235" i="13"/>
  <c r="N234" i="13"/>
  <c r="N232" i="13"/>
  <c r="N231" i="13"/>
  <c r="N230" i="13"/>
  <c r="N229" i="13"/>
  <c r="N228" i="13"/>
  <c r="N227" i="13"/>
  <c r="N225" i="13"/>
  <c r="N224" i="13"/>
  <c r="N223" i="13"/>
  <c r="N222" i="13"/>
  <c r="N221" i="13"/>
  <c r="N220" i="13"/>
  <c r="N217" i="13"/>
  <c r="N216" i="13"/>
  <c r="N215" i="13"/>
  <c r="N214" i="13"/>
  <c r="N213" i="13"/>
  <c r="N212" i="13"/>
  <c r="N209" i="13"/>
  <c r="N208" i="13"/>
  <c r="N207" i="13"/>
  <c r="N206" i="13"/>
  <c r="N205" i="13"/>
  <c r="N204" i="13"/>
  <c r="N202" i="13"/>
  <c r="N201" i="13"/>
  <c r="N200" i="13"/>
  <c r="N199" i="13"/>
  <c r="N198" i="13"/>
  <c r="N197" i="13"/>
  <c r="N195" i="13"/>
  <c r="N194" i="13"/>
  <c r="N193" i="13"/>
  <c r="N192" i="13"/>
  <c r="N191" i="13"/>
  <c r="N190" i="13"/>
  <c r="N187" i="13"/>
  <c r="N186" i="13"/>
  <c r="N185" i="13"/>
  <c r="N184" i="13"/>
  <c r="N183" i="13"/>
  <c r="N182" i="13"/>
  <c r="N179" i="13"/>
  <c r="N178" i="13"/>
  <c r="N177" i="13"/>
  <c r="N174" i="13"/>
  <c r="N171" i="13"/>
  <c r="N170" i="13"/>
  <c r="N169" i="13"/>
  <c r="N166" i="13"/>
  <c r="N163" i="13"/>
  <c r="N158" i="13"/>
  <c r="N150" i="13"/>
  <c r="N147" i="13"/>
  <c r="N146" i="13"/>
  <c r="N145" i="13"/>
  <c r="N144" i="13"/>
  <c r="N143" i="13"/>
  <c r="N142" i="13"/>
  <c r="N140" i="13"/>
  <c r="N139" i="13"/>
  <c r="N138" i="13"/>
  <c r="N137" i="13"/>
  <c r="N136" i="13"/>
  <c r="N135" i="13"/>
  <c r="N133" i="13"/>
  <c r="N132" i="13"/>
  <c r="N131" i="13"/>
  <c r="N130" i="13"/>
  <c r="N129" i="13"/>
  <c r="N128" i="13"/>
  <c r="N125" i="13"/>
  <c r="N124" i="13"/>
  <c r="N123" i="13"/>
  <c r="N122" i="13"/>
  <c r="N121" i="13"/>
  <c r="N120" i="13"/>
  <c r="N117" i="13"/>
  <c r="N116" i="13"/>
  <c r="N115" i="13"/>
  <c r="N114" i="13"/>
  <c r="N113" i="13"/>
  <c r="N112" i="13"/>
  <c r="N110" i="13"/>
  <c r="N109" i="13"/>
  <c r="N108" i="13"/>
  <c r="N107" i="13"/>
  <c r="N106" i="13"/>
  <c r="N105" i="13"/>
  <c r="N103" i="13"/>
  <c r="N102" i="13"/>
  <c r="N101" i="13"/>
  <c r="N100" i="13"/>
  <c r="N99" i="13"/>
  <c r="N98" i="13"/>
  <c r="N95" i="13"/>
  <c r="N94" i="13"/>
  <c r="N93" i="13"/>
  <c r="N92" i="13"/>
  <c r="N91" i="13"/>
  <c r="N90" i="13"/>
  <c r="N87" i="13"/>
  <c r="N86" i="13"/>
  <c r="N85" i="13"/>
  <c r="N84" i="13"/>
  <c r="N83" i="13"/>
  <c r="N82" i="13"/>
  <c r="N80" i="13"/>
  <c r="N79" i="13"/>
  <c r="N78" i="13"/>
  <c r="N77" i="13"/>
  <c r="N76" i="13"/>
  <c r="N75" i="13"/>
  <c r="N73" i="13"/>
  <c r="N72" i="13"/>
  <c r="N71" i="13"/>
  <c r="N70" i="13"/>
  <c r="N69" i="13"/>
  <c r="N68" i="13"/>
  <c r="N65" i="13"/>
  <c r="N64" i="13"/>
  <c r="N63" i="13"/>
  <c r="N62" i="13"/>
  <c r="N61" i="13"/>
  <c r="N60" i="13"/>
  <c r="N52" i="13"/>
  <c r="N44" i="13"/>
  <c r="N35" i="13"/>
  <c r="N28" i="13"/>
  <c r="N21" i="13"/>
  <c r="N13" i="13"/>
  <c r="N10" i="13"/>
  <c r="N5" i="13"/>
  <c r="O294" i="18"/>
  <c r="O285" i="18"/>
  <c r="O242" i="18"/>
  <c r="O233" i="18"/>
  <c r="O224" i="18"/>
  <c r="O213" i="18"/>
  <c r="O212" i="18"/>
  <c r="O211" i="18"/>
  <c r="O210" i="18"/>
  <c r="O209" i="18"/>
  <c r="O208" i="18"/>
  <c r="O207" i="18"/>
  <c r="O198" i="18"/>
  <c r="O180" i="18"/>
  <c r="O171" i="18"/>
  <c r="O162" i="18"/>
  <c r="O153" i="18"/>
  <c r="O144" i="18"/>
  <c r="O135" i="18"/>
  <c r="O126" i="18"/>
  <c r="O122" i="18"/>
  <c r="O121" i="18"/>
  <c r="O117" i="18"/>
  <c r="O116" i="18"/>
  <c r="O112" i="18"/>
  <c r="O111" i="18"/>
  <c r="O107" i="18"/>
  <c r="O106" i="18"/>
  <c r="O102" i="18"/>
  <c r="O101" i="18"/>
  <c r="O97" i="18"/>
  <c r="O96" i="18"/>
  <c r="O87" i="18"/>
  <c r="O78" i="18"/>
  <c r="O69" i="18"/>
  <c r="O60" i="18"/>
  <c r="O51" i="18"/>
  <c r="O42" i="18"/>
  <c r="O33" i="18"/>
  <c r="O26" i="18"/>
  <c r="O19" i="18"/>
  <c r="O12" i="18"/>
  <c r="O5" i="18"/>
  <c r="O14" i="6"/>
  <c r="O21" i="6"/>
  <c r="O30" i="6"/>
  <c r="O39" i="6"/>
  <c r="O48" i="6"/>
  <c r="O55" i="6"/>
  <c r="O62" i="6"/>
  <c r="O69" i="6"/>
  <c r="O75" i="6"/>
  <c r="O84" i="6"/>
  <c r="O93" i="6"/>
  <c r="O102" i="6"/>
  <c r="O111" i="6"/>
  <c r="O117" i="6"/>
  <c r="O120" i="6"/>
  <c r="O121" i="6"/>
  <c r="O122" i="6"/>
  <c r="O123" i="6"/>
  <c r="O126" i="6"/>
  <c r="O135" i="6"/>
  <c r="O142" i="6"/>
  <c r="O151" i="6"/>
  <c r="O160" i="6"/>
  <c r="O169" i="6"/>
  <c r="O176" i="6"/>
  <c r="O183" i="6"/>
  <c r="O190" i="6"/>
  <c r="O196" i="6"/>
  <c r="O213" i="6"/>
  <c r="O5" i="6"/>
  <c r="O163" i="16"/>
  <c r="O158" i="16"/>
  <c r="O153" i="16"/>
  <c r="O148" i="16"/>
  <c r="O146" i="16"/>
  <c r="O145" i="16"/>
  <c r="O144" i="16"/>
  <c r="O143" i="16"/>
  <c r="O136" i="16"/>
  <c r="O134" i="16"/>
  <c r="O133" i="16"/>
  <c r="O132" i="16"/>
  <c r="O131" i="16"/>
  <c r="O124" i="16"/>
  <c r="O121" i="16"/>
  <c r="O120" i="16"/>
  <c r="O113" i="16"/>
  <c r="O112" i="16"/>
  <c r="O111" i="16"/>
  <c r="O108" i="16"/>
  <c r="O107" i="16"/>
  <c r="O106" i="16"/>
  <c r="O103" i="16"/>
  <c r="O102" i="16"/>
  <c r="O101" i="16"/>
  <c r="O98" i="16"/>
  <c r="O97" i="16"/>
  <c r="O96" i="16"/>
  <c r="BJ278" i="28"/>
  <c r="BI278" i="28"/>
  <c r="BH278" i="28"/>
  <c r="BG278" i="28"/>
  <c r="BE278" i="28"/>
  <c r="BD278" i="28"/>
  <c r="BC278" i="28"/>
  <c r="BB278" i="28"/>
  <c r="AZ278" i="28"/>
  <c r="AY278" i="28"/>
  <c r="AX278" i="28"/>
  <c r="AW278" i="28"/>
  <c r="AU278" i="28"/>
  <c r="AT278" i="28"/>
  <c r="AS278" i="28"/>
  <c r="AR278" i="28"/>
  <c r="AP278" i="28"/>
  <c r="AO278" i="28"/>
  <c r="AN278" i="28"/>
  <c r="AM278" i="28"/>
  <c r="AK278" i="28"/>
  <c r="AJ278" i="28"/>
  <c r="AI278" i="28"/>
  <c r="AH278" i="28"/>
  <c r="AF278" i="28"/>
  <c r="AE278" i="28"/>
  <c r="AD278" i="28"/>
  <c r="AC278" i="28"/>
  <c r="AA278" i="28"/>
  <c r="Z278" i="28"/>
  <c r="Y278" i="28"/>
  <c r="X278" i="28"/>
  <c r="V278" i="28"/>
  <c r="U278" i="28"/>
  <c r="T278" i="28"/>
  <c r="S278" i="28"/>
  <c r="Q278" i="28"/>
  <c r="P278" i="28"/>
  <c r="O278" i="28"/>
  <c r="N278" i="28"/>
  <c r="L278" i="28"/>
  <c r="K278" i="28"/>
  <c r="J278" i="28"/>
  <c r="I278" i="28"/>
  <c r="G278" i="28"/>
  <c r="F278" i="28"/>
  <c r="E278" i="28"/>
  <c r="D278" i="28"/>
  <c r="BJ277" i="28"/>
  <c r="BI277" i="28"/>
  <c r="BH277" i="28"/>
  <c r="BG277" i="28"/>
  <c r="BE277" i="28"/>
  <c r="BD277" i="28"/>
  <c r="BC277" i="28"/>
  <c r="BB277" i="28"/>
  <c r="AZ277" i="28"/>
  <c r="AY277" i="28"/>
  <c r="AX277" i="28"/>
  <c r="AW277" i="28"/>
  <c r="AU277" i="28"/>
  <c r="AT277" i="28"/>
  <c r="AS277" i="28"/>
  <c r="AR277" i="28"/>
  <c r="AP277" i="28"/>
  <c r="AO277" i="28"/>
  <c r="AN277" i="28"/>
  <c r="AM277" i="28"/>
  <c r="AH277" i="28"/>
  <c r="AF277" i="28"/>
  <c r="AE277" i="28"/>
  <c r="AD277" i="28"/>
  <c r="AC277" i="28"/>
  <c r="AA277" i="28"/>
  <c r="Z277" i="28"/>
  <c r="Y277" i="28"/>
  <c r="X277" i="28"/>
  <c r="V277" i="28"/>
  <c r="U277" i="28"/>
  <c r="T277" i="28"/>
  <c r="S277" i="28"/>
  <c r="Q277" i="28"/>
  <c r="P277" i="28"/>
  <c r="O277" i="28"/>
  <c r="N277" i="28"/>
  <c r="L277" i="28"/>
  <c r="K277" i="28"/>
  <c r="J277" i="28"/>
  <c r="I277" i="28"/>
  <c r="G277" i="28"/>
  <c r="F277" i="28"/>
  <c r="E277" i="28"/>
  <c r="D277" i="28"/>
  <c r="BJ276" i="28"/>
  <c r="BI276" i="28"/>
  <c r="BH276" i="28"/>
  <c r="BG276" i="28"/>
  <c r="BE276" i="28"/>
  <c r="BD276" i="28"/>
  <c r="BC276" i="28"/>
  <c r="BB276" i="28"/>
  <c r="AZ276" i="28"/>
  <c r="AY276" i="28"/>
  <c r="AX276" i="28"/>
  <c r="AW276" i="28"/>
  <c r="AU276" i="28"/>
  <c r="AT276" i="28"/>
  <c r="AS276" i="28"/>
  <c r="AR276" i="28"/>
  <c r="AP276" i="28"/>
  <c r="AO276" i="28"/>
  <c r="AN276" i="28"/>
  <c r="AM276" i="28"/>
  <c r="AH276" i="28"/>
  <c r="AF276" i="28"/>
  <c r="AE276" i="28"/>
  <c r="AD276" i="28"/>
  <c r="AC276" i="28"/>
  <c r="AA276" i="28"/>
  <c r="Z276" i="28"/>
  <c r="Y276" i="28"/>
  <c r="X276" i="28"/>
  <c r="V276" i="28"/>
  <c r="U276" i="28"/>
  <c r="T276" i="28"/>
  <c r="S276" i="28"/>
  <c r="Q276" i="28"/>
  <c r="P276" i="28"/>
  <c r="O276" i="28"/>
  <c r="N276" i="28"/>
  <c r="L276" i="28"/>
  <c r="K276" i="28"/>
  <c r="J276" i="28"/>
  <c r="I276" i="28"/>
  <c r="G276" i="28"/>
  <c r="F276" i="28"/>
  <c r="E276" i="28"/>
  <c r="D276" i="28"/>
  <c r="BJ275" i="28"/>
  <c r="BI275" i="28"/>
  <c r="BH275" i="28"/>
  <c r="BG275" i="28"/>
  <c r="BE275" i="28"/>
  <c r="BD275" i="28"/>
  <c r="BC275" i="28"/>
  <c r="BB275" i="28"/>
  <c r="AZ275" i="28"/>
  <c r="AY275" i="28"/>
  <c r="AX275" i="28"/>
  <c r="AW275" i="28"/>
  <c r="AU275" i="28"/>
  <c r="AT275" i="28"/>
  <c r="AS275" i="28"/>
  <c r="AR275" i="28"/>
  <c r="AP275" i="28"/>
  <c r="AO275" i="28"/>
  <c r="AN275" i="28"/>
  <c r="AM275" i="28"/>
  <c r="AH275" i="28"/>
  <c r="AF275" i="28"/>
  <c r="AE275" i="28"/>
  <c r="AD275" i="28"/>
  <c r="AC275" i="28"/>
  <c r="AA275" i="28"/>
  <c r="Z275" i="28"/>
  <c r="Y275" i="28"/>
  <c r="X275" i="28"/>
  <c r="V275" i="28"/>
  <c r="U275" i="28"/>
  <c r="T275" i="28"/>
  <c r="S275" i="28"/>
  <c r="Q275" i="28"/>
  <c r="P275" i="28"/>
  <c r="O275" i="28"/>
  <c r="N275" i="28"/>
  <c r="L275" i="28"/>
  <c r="K275" i="28"/>
  <c r="J275" i="28"/>
  <c r="I275" i="28"/>
  <c r="G275" i="28"/>
  <c r="F275" i="28"/>
  <c r="E275" i="28"/>
  <c r="D275" i="28"/>
  <c r="BJ274" i="28"/>
  <c r="BI274" i="28"/>
  <c r="BH274" i="28"/>
  <c r="BG274" i="28"/>
  <c r="BE274" i="28"/>
  <c r="BD274" i="28"/>
  <c r="BC274" i="28"/>
  <c r="BB274" i="28"/>
  <c r="AZ274" i="28"/>
  <c r="AY274" i="28"/>
  <c r="AX274" i="28"/>
  <c r="AW274" i="28"/>
  <c r="AU274" i="28"/>
  <c r="AT274" i="28"/>
  <c r="AS274" i="28"/>
  <c r="AR274" i="28"/>
  <c r="AP274" i="28"/>
  <c r="AO274" i="28"/>
  <c r="AN274" i="28"/>
  <c r="AM274" i="28"/>
  <c r="AH274" i="28"/>
  <c r="AF274" i="28"/>
  <c r="AE274" i="28"/>
  <c r="AD274" i="28"/>
  <c r="AC274" i="28"/>
  <c r="AA274" i="28"/>
  <c r="Z274" i="28"/>
  <c r="Y274" i="28"/>
  <c r="X274" i="28"/>
  <c r="V274" i="28"/>
  <c r="U274" i="28"/>
  <c r="T274" i="28"/>
  <c r="S274" i="28"/>
  <c r="Q274" i="28"/>
  <c r="P274" i="28"/>
  <c r="O274" i="28"/>
  <c r="N274" i="28"/>
  <c r="L274" i="28"/>
  <c r="K274" i="28"/>
  <c r="J274" i="28"/>
  <c r="I274" i="28"/>
  <c r="G274" i="28"/>
  <c r="F274" i="28"/>
  <c r="E274" i="28"/>
  <c r="D274" i="28"/>
  <c r="BJ273" i="28"/>
  <c r="BI273" i="28"/>
  <c r="BH273" i="28"/>
  <c r="BG273" i="28"/>
  <c r="BE273" i="28"/>
  <c r="BD273" i="28"/>
  <c r="BC273" i="28"/>
  <c r="BB273" i="28"/>
  <c r="AZ273" i="28"/>
  <c r="AY273" i="28"/>
  <c r="AX273" i="28"/>
  <c r="AW273" i="28"/>
  <c r="AU273" i="28"/>
  <c r="AT273" i="28"/>
  <c r="AS273" i="28"/>
  <c r="AR273" i="28"/>
  <c r="AP273" i="28"/>
  <c r="AO273" i="28"/>
  <c r="AN273" i="28"/>
  <c r="AM273" i="28"/>
  <c r="AH273" i="28"/>
  <c r="AF273" i="28"/>
  <c r="AE273" i="28"/>
  <c r="AD273" i="28"/>
  <c r="AC273" i="28"/>
  <c r="AA273" i="28"/>
  <c r="Z273" i="28"/>
  <c r="Y273" i="28"/>
  <c r="X273" i="28"/>
  <c r="V273" i="28"/>
  <c r="U273" i="28"/>
  <c r="T273" i="28"/>
  <c r="S273" i="28"/>
  <c r="Q273" i="28"/>
  <c r="P273" i="28"/>
  <c r="O273" i="28"/>
  <c r="N273" i="28"/>
  <c r="L273" i="28"/>
  <c r="K273" i="28"/>
  <c r="J273" i="28"/>
  <c r="I273" i="28"/>
  <c r="G273" i="28"/>
  <c r="F273" i="28"/>
  <c r="E273" i="28"/>
  <c r="D273" i="28"/>
  <c r="BJ272" i="28"/>
  <c r="BI272" i="28"/>
  <c r="BH272" i="28"/>
  <c r="BG272" i="28"/>
  <c r="BE272" i="28"/>
  <c r="BD272" i="28"/>
  <c r="BC272" i="28"/>
  <c r="BB272" i="28"/>
  <c r="AZ272" i="28"/>
  <c r="AY272" i="28"/>
  <c r="AX272" i="28"/>
  <c r="AW272" i="28"/>
  <c r="AU272" i="28"/>
  <c r="AT272" i="28"/>
  <c r="AS272" i="28"/>
  <c r="AR272" i="28"/>
  <c r="AP272" i="28"/>
  <c r="AO272" i="28"/>
  <c r="AN272" i="28"/>
  <c r="AM272" i="28"/>
  <c r="AH272" i="28"/>
  <c r="AF272" i="28"/>
  <c r="AE272" i="28"/>
  <c r="AD272" i="28"/>
  <c r="AC272" i="28"/>
  <c r="AA272" i="28"/>
  <c r="Z272" i="28"/>
  <c r="Y272" i="28"/>
  <c r="X272" i="28"/>
  <c r="V272" i="28"/>
  <c r="U272" i="28"/>
  <c r="T272" i="28"/>
  <c r="S272" i="28"/>
  <c r="Q272" i="28"/>
  <c r="P272" i="28"/>
  <c r="O272" i="28"/>
  <c r="N272" i="28"/>
  <c r="L272" i="28"/>
  <c r="K272" i="28"/>
  <c r="J272" i="28"/>
  <c r="I272" i="28"/>
  <c r="G272" i="28"/>
  <c r="F272" i="28"/>
  <c r="E272" i="28"/>
  <c r="D272" i="28"/>
  <c r="BJ271" i="28"/>
  <c r="BI271" i="28"/>
  <c r="BH271" i="28"/>
  <c r="BG271" i="28"/>
  <c r="BE271" i="28"/>
  <c r="BD271" i="28"/>
  <c r="BC271" i="28"/>
  <c r="BB271" i="28"/>
  <c r="AZ271" i="28"/>
  <c r="AY271" i="28"/>
  <c r="AX271" i="28"/>
  <c r="AW271" i="28"/>
  <c r="AU271" i="28"/>
  <c r="AT271" i="28"/>
  <c r="AS271" i="28"/>
  <c r="AR271" i="28"/>
  <c r="AP271" i="28"/>
  <c r="AO271" i="28"/>
  <c r="AN271" i="28"/>
  <c r="AM271" i="28"/>
  <c r="AH271" i="28"/>
  <c r="AF271" i="28"/>
  <c r="AE271" i="28"/>
  <c r="AD271" i="28"/>
  <c r="AC271" i="28"/>
  <c r="AA271" i="28"/>
  <c r="Z271" i="28"/>
  <c r="Y271" i="28"/>
  <c r="X271" i="28"/>
  <c r="V271" i="28"/>
  <c r="U271" i="28"/>
  <c r="T271" i="28"/>
  <c r="S271" i="28"/>
  <c r="Q271" i="28"/>
  <c r="P271" i="28"/>
  <c r="O271" i="28"/>
  <c r="N271" i="28"/>
  <c r="L271" i="28"/>
  <c r="K271" i="28"/>
  <c r="J271" i="28"/>
  <c r="I271" i="28"/>
  <c r="G271" i="28"/>
  <c r="F271" i="28"/>
  <c r="E271" i="28"/>
  <c r="D271" i="28"/>
  <c r="BJ270" i="28"/>
  <c r="BI270" i="28"/>
  <c r="BH270" i="28"/>
  <c r="BG270" i="28"/>
  <c r="BE270" i="28"/>
  <c r="BD270" i="28"/>
  <c r="BC270" i="28"/>
  <c r="BB270" i="28"/>
  <c r="AZ270" i="28"/>
  <c r="AY270" i="28"/>
  <c r="AX270" i="28"/>
  <c r="AW270" i="28"/>
  <c r="AU270" i="28"/>
  <c r="AT270" i="28"/>
  <c r="AS270" i="28"/>
  <c r="AR270" i="28"/>
  <c r="AP270" i="28"/>
  <c r="AO270" i="28"/>
  <c r="AN270" i="28"/>
  <c r="AM270" i="28"/>
  <c r="AH270" i="28"/>
  <c r="AF270" i="28"/>
  <c r="AE270" i="28"/>
  <c r="AD270" i="28"/>
  <c r="AC270" i="28"/>
  <c r="AA270" i="28"/>
  <c r="Z270" i="28"/>
  <c r="Y270" i="28"/>
  <c r="X270" i="28"/>
  <c r="V270" i="28"/>
  <c r="U270" i="28"/>
  <c r="T270" i="28"/>
  <c r="S270" i="28"/>
  <c r="Q270" i="28"/>
  <c r="P270" i="28"/>
  <c r="O270" i="28"/>
  <c r="N270" i="28"/>
  <c r="L270" i="28"/>
  <c r="K270" i="28"/>
  <c r="J270" i="28"/>
  <c r="I270" i="28"/>
  <c r="G270" i="28"/>
  <c r="F270" i="28"/>
  <c r="E270" i="28"/>
  <c r="D270" i="28"/>
  <c r="BJ269" i="28"/>
  <c r="BI269" i="28"/>
  <c r="BH269" i="28"/>
  <c r="BG269" i="28"/>
  <c r="BE269" i="28"/>
  <c r="BD269" i="28"/>
  <c r="BC269" i="28"/>
  <c r="BB269" i="28"/>
  <c r="AZ269" i="28"/>
  <c r="AY269" i="28"/>
  <c r="AX269" i="28"/>
  <c r="AW269" i="28"/>
  <c r="AU269" i="28"/>
  <c r="AT269" i="28"/>
  <c r="AS269" i="28"/>
  <c r="AR269" i="28"/>
  <c r="AP269" i="28"/>
  <c r="AO269" i="28"/>
  <c r="AN269" i="28"/>
  <c r="AM269" i="28"/>
  <c r="AK269" i="28"/>
  <c r="AJ269" i="28"/>
  <c r="AI269" i="28"/>
  <c r="AH269" i="28"/>
  <c r="AF269" i="28"/>
  <c r="AE269" i="28"/>
  <c r="AD269" i="28"/>
  <c r="AC269" i="28"/>
  <c r="AA269" i="28"/>
  <c r="Z269" i="28"/>
  <c r="Y269" i="28"/>
  <c r="X269" i="28"/>
  <c r="V269" i="28"/>
  <c r="U269" i="28"/>
  <c r="T269" i="28"/>
  <c r="S269" i="28"/>
  <c r="Q269" i="28"/>
  <c r="P269" i="28"/>
  <c r="O269" i="28"/>
  <c r="N269" i="28"/>
  <c r="L269" i="28"/>
  <c r="K269" i="28"/>
  <c r="J269" i="28"/>
  <c r="I269" i="28"/>
  <c r="G269" i="28"/>
  <c r="F269" i="28"/>
  <c r="BN269" i="28" s="1"/>
  <c r="E269" i="28"/>
  <c r="D269" i="28"/>
  <c r="BL269" i="28" s="1"/>
  <c r="BJ268" i="28"/>
  <c r="BI268" i="28"/>
  <c r="BH268" i="28"/>
  <c r="BG268" i="28"/>
  <c r="BE268" i="28"/>
  <c r="BD268" i="28"/>
  <c r="BC268" i="28"/>
  <c r="BB268" i="28"/>
  <c r="AZ268" i="28"/>
  <c r="AY268" i="28"/>
  <c r="AX268" i="28"/>
  <c r="AW268" i="28"/>
  <c r="AU268" i="28"/>
  <c r="AT268" i="28"/>
  <c r="AS268" i="28"/>
  <c r="AR268" i="28"/>
  <c r="AP268" i="28"/>
  <c r="AO268" i="28"/>
  <c r="AN268" i="28"/>
  <c r="AM268" i="28"/>
  <c r="AH268" i="28"/>
  <c r="AF268" i="28"/>
  <c r="AE268" i="28"/>
  <c r="AD268" i="28"/>
  <c r="AC268" i="28"/>
  <c r="AA268" i="28"/>
  <c r="Z268" i="28"/>
  <c r="Y268" i="28"/>
  <c r="X268" i="28"/>
  <c r="V268" i="28"/>
  <c r="U268" i="28"/>
  <c r="T268" i="28"/>
  <c r="S268" i="28"/>
  <c r="Q268" i="28"/>
  <c r="P268" i="28"/>
  <c r="O268" i="28"/>
  <c r="N268" i="28"/>
  <c r="L268" i="28"/>
  <c r="K268" i="28"/>
  <c r="J268" i="28"/>
  <c r="I268" i="28"/>
  <c r="G268" i="28"/>
  <c r="F268" i="28"/>
  <c r="E268" i="28"/>
  <c r="D268" i="28"/>
  <c r="BJ267" i="28"/>
  <c r="BI267" i="28"/>
  <c r="BH267" i="28"/>
  <c r="BG267" i="28"/>
  <c r="BE267" i="28"/>
  <c r="BD267" i="28"/>
  <c r="BC267" i="28"/>
  <c r="BB267" i="28"/>
  <c r="AZ267" i="28"/>
  <c r="AY267" i="28"/>
  <c r="AX267" i="28"/>
  <c r="AW267" i="28"/>
  <c r="AU267" i="28"/>
  <c r="AT267" i="28"/>
  <c r="AS267" i="28"/>
  <c r="AR267" i="28"/>
  <c r="AP267" i="28"/>
  <c r="AO267" i="28"/>
  <c r="AN267" i="28"/>
  <c r="AM267" i="28"/>
  <c r="AK267" i="28"/>
  <c r="AJ267" i="28"/>
  <c r="AI267" i="28"/>
  <c r="AH267" i="28"/>
  <c r="AF267" i="28"/>
  <c r="AE267" i="28"/>
  <c r="AD267" i="28"/>
  <c r="AC267" i="28"/>
  <c r="AA267" i="28"/>
  <c r="Z267" i="28"/>
  <c r="Y267" i="28"/>
  <c r="X267" i="28"/>
  <c r="V267" i="28"/>
  <c r="U267" i="28"/>
  <c r="T267" i="28"/>
  <c r="S267" i="28"/>
  <c r="Q267" i="28"/>
  <c r="P267" i="28"/>
  <c r="O267" i="28"/>
  <c r="N267" i="28"/>
  <c r="L267" i="28"/>
  <c r="K267" i="28"/>
  <c r="J267" i="28"/>
  <c r="I267" i="28"/>
  <c r="G267" i="28"/>
  <c r="F267" i="28"/>
  <c r="E267" i="28"/>
  <c r="BM267" i="28" s="1"/>
  <c r="D267" i="28"/>
  <c r="I4" i="14"/>
  <c r="J4" i="14"/>
  <c r="K4" i="14"/>
  <c r="L4" i="14"/>
  <c r="I5" i="14"/>
  <c r="J5" i="14"/>
  <c r="K5" i="14"/>
  <c r="L5" i="14"/>
  <c r="I6" i="14"/>
  <c r="J6" i="14"/>
  <c r="K6" i="14"/>
  <c r="L6" i="14"/>
  <c r="I7" i="14"/>
  <c r="J7" i="14"/>
  <c r="K7" i="14"/>
  <c r="L7" i="14"/>
  <c r="I8" i="14"/>
  <c r="J8" i="14"/>
  <c r="K8" i="14"/>
  <c r="L8" i="14"/>
  <c r="I9" i="14"/>
  <c r="J9" i="14"/>
  <c r="K9" i="14"/>
  <c r="L9" i="14"/>
  <c r="I10" i="14"/>
  <c r="J10" i="14"/>
  <c r="K10" i="14"/>
  <c r="L10" i="14"/>
  <c r="I11" i="14"/>
  <c r="J11" i="14"/>
  <c r="K11" i="14"/>
  <c r="L11" i="14"/>
  <c r="I12" i="14"/>
  <c r="J12" i="14"/>
  <c r="K12" i="14"/>
  <c r="L12" i="14"/>
  <c r="I13" i="14"/>
  <c r="J13" i="14"/>
  <c r="K13" i="14"/>
  <c r="L13" i="14"/>
  <c r="I14" i="14"/>
  <c r="J14" i="14"/>
  <c r="K14" i="14"/>
  <c r="L14" i="14"/>
  <c r="I15" i="14"/>
  <c r="J15" i="14"/>
  <c r="K15" i="14"/>
  <c r="L15" i="14"/>
  <c r="I16" i="14"/>
  <c r="J16" i="14"/>
  <c r="K16" i="14"/>
  <c r="L16" i="14"/>
  <c r="I17" i="14"/>
  <c r="J17" i="14"/>
  <c r="K17" i="14"/>
  <c r="L17" i="14"/>
  <c r="I18" i="14"/>
  <c r="J18" i="14"/>
  <c r="K18" i="14"/>
  <c r="L18" i="14"/>
  <c r="I19" i="14"/>
  <c r="J19" i="14"/>
  <c r="K19" i="14"/>
  <c r="L19" i="14"/>
  <c r="I20" i="14"/>
  <c r="J20" i="14"/>
  <c r="K20" i="14"/>
  <c r="L20" i="14"/>
  <c r="I21" i="14"/>
  <c r="J21" i="14"/>
  <c r="K21" i="14"/>
  <c r="L21" i="14"/>
  <c r="I22" i="14"/>
  <c r="J22" i="14"/>
  <c r="K22" i="14"/>
  <c r="L22" i="14"/>
  <c r="D182" i="18"/>
  <c r="E182" i="18"/>
  <c r="F182" i="18"/>
  <c r="G182" i="18"/>
  <c r="H182" i="18"/>
  <c r="I182" i="18"/>
  <c r="J182" i="18"/>
  <c r="K182" i="18"/>
  <c r="L182" i="18"/>
  <c r="M182" i="18"/>
  <c r="N182" i="18"/>
  <c r="D183" i="18"/>
  <c r="E183" i="18"/>
  <c r="F183" i="18"/>
  <c r="G183" i="18"/>
  <c r="H183" i="18"/>
  <c r="I183" i="18"/>
  <c r="J183" i="18"/>
  <c r="K183" i="18"/>
  <c r="L183" i="18"/>
  <c r="M183" i="18"/>
  <c r="N183" i="18"/>
  <c r="D184" i="18"/>
  <c r="E184" i="18"/>
  <c r="F184" i="18"/>
  <c r="G184" i="18"/>
  <c r="H184" i="18"/>
  <c r="J184" i="18"/>
  <c r="K184" i="18"/>
  <c r="L184" i="18"/>
  <c r="M184" i="18"/>
  <c r="N184" i="18"/>
  <c r="D185" i="18"/>
  <c r="E185" i="18"/>
  <c r="F185" i="18"/>
  <c r="G185" i="18"/>
  <c r="H185" i="18"/>
  <c r="J185" i="18"/>
  <c r="K185" i="18"/>
  <c r="L185" i="18"/>
  <c r="M185" i="18"/>
  <c r="N185" i="18"/>
  <c r="D186" i="18"/>
  <c r="E186" i="18"/>
  <c r="F186" i="18"/>
  <c r="G186" i="18"/>
  <c r="H186" i="18"/>
  <c r="I186" i="18"/>
  <c r="J186" i="18"/>
  <c r="K186" i="18"/>
  <c r="L186" i="18"/>
  <c r="M186" i="18"/>
  <c r="N186" i="18"/>
  <c r="AG278" i="28" l="1"/>
  <c r="H21" i="14"/>
  <c r="H19" i="14"/>
  <c r="H17" i="14"/>
  <c r="H15" i="14"/>
  <c r="H13" i="14"/>
  <c r="H11" i="14"/>
  <c r="H9" i="14"/>
  <c r="H7" i="14"/>
  <c r="H5" i="14"/>
  <c r="H22" i="14"/>
  <c r="H20" i="14"/>
  <c r="H18" i="14"/>
  <c r="H16" i="14"/>
  <c r="H14" i="14"/>
  <c r="H12" i="14"/>
  <c r="H10" i="14"/>
  <c r="H8" i="14"/>
  <c r="H6" i="14"/>
  <c r="H4" i="14"/>
  <c r="C273" i="28"/>
  <c r="AB273" i="28"/>
  <c r="H275" i="28"/>
  <c r="AB275" i="28"/>
  <c r="C277" i="28"/>
  <c r="W277" i="28"/>
  <c r="C278" i="28"/>
  <c r="W278" i="28"/>
  <c r="AB278" i="28"/>
  <c r="BF278" i="28"/>
  <c r="C272" i="28"/>
  <c r="W272" i="28"/>
  <c r="H274" i="28"/>
  <c r="AB274" i="28"/>
  <c r="C276" i="28"/>
  <c r="W276" i="28"/>
  <c r="BO269" i="28"/>
  <c r="W267" i="28"/>
  <c r="AG267" i="28"/>
  <c r="AQ267" i="28"/>
  <c r="BA267" i="28"/>
  <c r="M268" i="28"/>
  <c r="W268" i="28"/>
  <c r="BL270" i="28"/>
  <c r="AQ270" i="28"/>
  <c r="BA270" i="28"/>
  <c r="M271" i="28"/>
  <c r="W271" i="28"/>
  <c r="BA271" i="28"/>
  <c r="BF271" i="28"/>
  <c r="AQ272" i="28"/>
  <c r="BA272" i="28"/>
  <c r="BF272" i="28"/>
  <c r="AV273" i="28"/>
  <c r="BF273" i="28"/>
  <c r="AV274" i="28"/>
  <c r="BF274" i="28"/>
  <c r="AQ275" i="28"/>
  <c r="BA275" i="28"/>
  <c r="BF275" i="28"/>
  <c r="AQ276" i="28"/>
  <c r="BA276" i="28"/>
  <c r="BF276" i="28"/>
  <c r="AQ277" i="28"/>
  <c r="BA277" i="28"/>
  <c r="BF277" i="28"/>
  <c r="BM278" i="28"/>
  <c r="BO278" i="28"/>
  <c r="BA278" i="28"/>
  <c r="O192" i="18"/>
  <c r="O193" i="18"/>
  <c r="O194" i="18"/>
  <c r="O195" i="18"/>
  <c r="M267" i="28"/>
  <c r="R267" i="28"/>
  <c r="BL268" i="28"/>
  <c r="AQ268" i="28"/>
  <c r="BA268" i="28"/>
  <c r="M269" i="28"/>
  <c r="W269" i="28"/>
  <c r="AG269" i="28"/>
  <c r="AQ269" i="28"/>
  <c r="BA269" i="28"/>
  <c r="M270" i="28"/>
  <c r="W270" i="28"/>
  <c r="AQ271" i="28"/>
  <c r="M272" i="28"/>
  <c r="R272" i="28"/>
  <c r="AL272" i="28"/>
  <c r="R273" i="28"/>
  <c r="W273" i="28"/>
  <c r="AL273" i="28"/>
  <c r="AQ273" i="28"/>
  <c r="R274" i="28"/>
  <c r="W274" i="28"/>
  <c r="AL274" i="28"/>
  <c r="AQ274" i="28"/>
  <c r="R275" i="28"/>
  <c r="W275" i="28"/>
  <c r="AL275" i="28"/>
  <c r="M276" i="28"/>
  <c r="R276" i="28"/>
  <c r="AL276" i="28"/>
  <c r="M277" i="28"/>
  <c r="R277" i="28"/>
  <c r="AL277" i="28"/>
  <c r="M278" i="28"/>
  <c r="R278" i="28"/>
  <c r="AV278" i="28"/>
  <c r="C267" i="28"/>
  <c r="BO267" i="28"/>
  <c r="C268" i="28"/>
  <c r="C269" i="28"/>
  <c r="BM269" i="28"/>
  <c r="C270" i="28"/>
  <c r="C271" i="28"/>
  <c r="C274" i="28"/>
  <c r="BL274" i="28"/>
  <c r="C275" i="28"/>
  <c r="BL275" i="28"/>
  <c r="BL267" i="28"/>
  <c r="BN267" i="28"/>
  <c r="H267" i="28"/>
  <c r="AB267" i="28"/>
  <c r="AL267" i="28"/>
  <c r="AV267" i="28"/>
  <c r="BF267" i="28"/>
  <c r="H268" i="28"/>
  <c r="R268" i="28"/>
  <c r="AB268" i="28"/>
  <c r="AL268" i="28"/>
  <c r="AV268" i="28"/>
  <c r="BF268" i="28"/>
  <c r="H269" i="28"/>
  <c r="R269" i="28"/>
  <c r="AB269" i="28"/>
  <c r="AL269" i="28"/>
  <c r="AV269" i="28"/>
  <c r="BF269" i="28"/>
  <c r="H270" i="28"/>
  <c r="R270" i="28"/>
  <c r="AB270" i="28"/>
  <c r="AL270" i="28"/>
  <c r="AV270" i="28"/>
  <c r="BF270" i="28"/>
  <c r="BL271" i="28"/>
  <c r="H271" i="28"/>
  <c r="R271" i="28"/>
  <c r="AB271" i="28"/>
  <c r="AL271" i="28"/>
  <c r="AV271" i="28"/>
  <c r="BL272" i="28"/>
  <c r="H272" i="28"/>
  <c r="AB272" i="28"/>
  <c r="AV272" i="28"/>
  <c r="BL273" i="28"/>
  <c r="H273" i="28"/>
  <c r="M273" i="28"/>
  <c r="BA273" i="28"/>
  <c r="M274" i="28"/>
  <c r="BA274" i="28"/>
  <c r="M275" i="28"/>
  <c r="AV275" i="28"/>
  <c r="BL276" i="28"/>
  <c r="H276" i="28"/>
  <c r="AB276" i="28"/>
  <c r="AV276" i="28"/>
  <c r="BL277" i="28"/>
  <c r="H277" i="28"/>
  <c r="AB277" i="28"/>
  <c r="AV277" i="28"/>
  <c r="BL278" i="28"/>
  <c r="BN278" i="28"/>
  <c r="H278" i="28"/>
  <c r="AL278" i="28"/>
  <c r="AQ278" i="28"/>
  <c r="O190" i="18"/>
  <c r="O191" i="18"/>
  <c r="N250" i="13"/>
  <c r="M181" i="18"/>
  <c r="K181" i="18"/>
  <c r="G181" i="18"/>
  <c r="E181" i="18"/>
  <c r="J181" i="18"/>
  <c r="H181" i="18"/>
  <c r="F181" i="18"/>
  <c r="D181" i="18"/>
  <c r="N181" i="18"/>
  <c r="L181" i="18"/>
  <c r="BK278" i="28" l="1"/>
  <c r="BK267" i="28"/>
  <c r="BK269" i="28"/>
  <c r="R1519" i="17"/>
  <c r="R1518" i="17"/>
  <c r="R1514" i="17"/>
  <c r="R1513" i="17"/>
  <c r="R1512" i="17"/>
  <c r="R1511" i="17"/>
  <c r="R1510" i="17"/>
  <c r="R1509" i="17"/>
  <c r="R1508" i="17"/>
  <c r="R1507" i="17"/>
  <c r="R1506" i="17"/>
  <c r="R1505" i="17"/>
  <c r="R1504" i="17"/>
  <c r="R1503" i="17"/>
  <c r="R1502" i="17"/>
  <c r="R1501" i="17"/>
  <c r="R1500" i="17"/>
  <c r="R1499" i="17"/>
  <c r="R1498" i="17"/>
  <c r="R1497" i="17"/>
  <c r="R1496" i="17"/>
  <c r="R1495" i="17"/>
  <c r="R1494" i="17"/>
  <c r="R1493" i="17"/>
  <c r="R1492" i="17"/>
  <c r="R1491" i="17"/>
  <c r="R1490" i="17"/>
  <c r="R1489" i="17"/>
  <c r="R1488" i="17"/>
  <c r="R1487" i="17"/>
  <c r="R1486" i="17"/>
  <c r="R1485" i="17"/>
  <c r="R1484" i="17"/>
  <c r="R1483" i="17"/>
  <c r="R1482" i="17"/>
  <c r="R1481" i="17"/>
  <c r="R1480" i="17"/>
  <c r="R1479" i="17"/>
  <c r="R1478" i="17"/>
  <c r="R1477" i="17"/>
  <c r="R1476" i="17"/>
  <c r="R1475" i="17"/>
  <c r="R1474" i="17"/>
  <c r="R1473" i="17"/>
  <c r="R1472" i="17"/>
  <c r="R1471" i="17"/>
  <c r="R1470" i="17"/>
  <c r="R1469" i="17"/>
  <c r="R1468" i="17"/>
  <c r="R1467" i="17"/>
  <c r="R1466" i="17"/>
  <c r="R1465" i="17"/>
  <c r="R1464" i="17"/>
  <c r="R1463" i="17"/>
  <c r="R1462" i="17"/>
  <c r="R1461" i="17"/>
  <c r="R1460" i="17"/>
  <c r="R1459" i="17"/>
  <c r="R1458" i="17"/>
  <c r="R1457" i="17"/>
  <c r="R1456" i="17"/>
  <c r="R1455" i="17"/>
  <c r="R1454" i="17"/>
  <c r="R1453" i="17"/>
  <c r="R1452" i="17"/>
  <c r="R1451" i="17"/>
  <c r="R1450" i="17"/>
  <c r="R1449" i="17"/>
  <c r="R1448" i="17"/>
  <c r="R1447" i="17"/>
  <c r="R1446" i="17"/>
  <c r="R1445" i="17"/>
  <c r="R1444" i="17"/>
  <c r="R1443" i="17"/>
  <c r="R1442" i="17"/>
  <c r="R1441" i="17"/>
  <c r="R1440" i="17"/>
  <c r="R1439" i="17"/>
  <c r="R1438" i="17"/>
  <c r="R1437" i="17"/>
  <c r="R1436" i="17"/>
  <c r="R1435" i="17"/>
  <c r="R1434" i="17"/>
  <c r="R1433" i="17"/>
  <c r="R1432" i="17"/>
  <c r="R1431" i="17"/>
  <c r="R1430" i="17"/>
  <c r="R1429" i="17"/>
  <c r="R1428" i="17"/>
  <c r="R1427" i="17"/>
  <c r="R1426" i="17"/>
  <c r="R1425" i="17"/>
  <c r="R1424" i="17"/>
  <c r="R1423" i="17"/>
  <c r="R1422" i="17"/>
  <c r="R1421" i="17"/>
  <c r="R1420" i="17"/>
  <c r="R1419" i="17"/>
  <c r="R1418" i="17"/>
  <c r="R1417" i="17"/>
  <c r="R1416" i="17"/>
  <c r="R1415" i="17"/>
  <c r="R1414" i="17"/>
  <c r="R1413" i="17"/>
  <c r="R1412" i="17"/>
  <c r="R1411" i="17"/>
  <c r="R1410" i="17"/>
  <c r="R1409" i="17"/>
  <c r="R1408" i="17"/>
  <c r="R1407" i="17"/>
  <c r="R1406" i="17"/>
  <c r="R1405" i="17"/>
  <c r="R1404" i="17"/>
  <c r="R1403" i="17"/>
  <c r="R1402" i="17"/>
  <c r="R1401" i="17"/>
  <c r="R1400" i="17"/>
  <c r="R1399" i="17"/>
  <c r="R1398" i="17"/>
  <c r="R1397" i="17"/>
  <c r="R1396" i="17"/>
  <c r="R1395" i="17"/>
  <c r="R1394" i="17"/>
  <c r="R1393" i="17"/>
  <c r="R1392" i="17"/>
  <c r="R1391" i="17"/>
  <c r="R1390" i="17"/>
  <c r="R1389" i="17"/>
  <c r="R1388" i="17"/>
  <c r="R1387" i="17"/>
  <c r="R1386" i="17"/>
  <c r="R1385" i="17"/>
  <c r="R1384" i="17"/>
  <c r="R1383" i="17"/>
  <c r="R1382" i="17"/>
  <c r="R1381" i="17"/>
  <c r="R1380" i="17"/>
  <c r="R1379" i="17"/>
  <c r="R1378" i="17"/>
  <c r="R1377" i="17"/>
  <c r="R1376" i="17"/>
  <c r="R1375" i="17"/>
  <c r="R1374" i="17"/>
  <c r="D4" i="28"/>
  <c r="E4" i="28"/>
  <c r="D5" i="28"/>
  <c r="E5" i="28"/>
  <c r="D6" i="28"/>
  <c r="E6" i="28"/>
  <c r="D7" i="28"/>
  <c r="E7" i="28"/>
  <c r="D8" i="28"/>
  <c r="E8" i="28"/>
  <c r="D9" i="28"/>
  <c r="E9" i="28"/>
  <c r="D10" i="28"/>
  <c r="E10" i="28"/>
  <c r="D11" i="28"/>
  <c r="E11" i="28"/>
  <c r="D12" i="28"/>
  <c r="E12" i="28"/>
  <c r="D13" i="28"/>
  <c r="E13" i="28"/>
  <c r="D14" i="28"/>
  <c r="E14" i="28"/>
  <c r="D15" i="28"/>
  <c r="E15" i="28"/>
  <c r="D16" i="28"/>
  <c r="E16" i="28"/>
  <c r="D17" i="28"/>
  <c r="E17" i="28"/>
  <c r="D18" i="28"/>
  <c r="E18" i="28"/>
  <c r="D19" i="28"/>
  <c r="E19" i="28"/>
  <c r="D20" i="28"/>
  <c r="E20" i="28"/>
  <c r="D21" i="28"/>
  <c r="E21" i="28"/>
  <c r="D22" i="28"/>
  <c r="E22" i="28"/>
  <c r="D23" i="28"/>
  <c r="E23" i="28"/>
  <c r="D24" i="28"/>
  <c r="E24" i="28"/>
  <c r="D25" i="28"/>
  <c r="E25" i="28"/>
  <c r="D26" i="28"/>
  <c r="E26" i="28"/>
  <c r="D27" i="28"/>
  <c r="E27" i="28"/>
  <c r="D28" i="28"/>
  <c r="E28" i="28"/>
  <c r="D29" i="28"/>
  <c r="E29" i="28"/>
  <c r="D30" i="28"/>
  <c r="E30" i="28"/>
  <c r="D31" i="28"/>
  <c r="E31" i="28"/>
  <c r="D32" i="28"/>
  <c r="E32" i="28"/>
  <c r="D33" i="28"/>
  <c r="E33" i="28"/>
  <c r="D34" i="28"/>
  <c r="E34" i="28"/>
  <c r="D35" i="28"/>
  <c r="E35" i="28"/>
  <c r="D36" i="28"/>
  <c r="E36" i="28"/>
  <c r="D37" i="28"/>
  <c r="E37" i="28"/>
  <c r="D38" i="28"/>
  <c r="E38" i="28"/>
  <c r="D39" i="28"/>
  <c r="E39" i="28"/>
  <c r="D40" i="28"/>
  <c r="E40" i="28"/>
  <c r="D41" i="28"/>
  <c r="E41" i="28"/>
  <c r="D42" i="28"/>
  <c r="E42" i="28"/>
  <c r="D43" i="28"/>
  <c r="E43" i="28"/>
  <c r="D44" i="28"/>
  <c r="E44" i="28"/>
  <c r="D45" i="28"/>
  <c r="E45" i="28"/>
  <c r="D46" i="28"/>
  <c r="E46" i="28"/>
  <c r="D47" i="28"/>
  <c r="E47" i="28"/>
  <c r="D48" i="28"/>
  <c r="E48" i="28"/>
  <c r="D49" i="28"/>
  <c r="E49" i="28"/>
  <c r="D50" i="28"/>
  <c r="E50" i="28"/>
  <c r="D51" i="28"/>
  <c r="E51" i="28"/>
  <c r="D52" i="28"/>
  <c r="E52" i="28"/>
  <c r="D53" i="28"/>
  <c r="E53" i="28"/>
  <c r="D54" i="28"/>
  <c r="E54" i="28"/>
  <c r="D55" i="28"/>
  <c r="E55" i="28"/>
  <c r="D56" i="28"/>
  <c r="E56" i="28"/>
  <c r="D57" i="28"/>
  <c r="E57" i="28"/>
  <c r="D58" i="28"/>
  <c r="E58" i="28"/>
  <c r="D59" i="28"/>
  <c r="E59" i="28"/>
  <c r="D60" i="28"/>
  <c r="E60" i="28"/>
  <c r="D61" i="28"/>
  <c r="E61" i="28"/>
  <c r="D62" i="28"/>
  <c r="E62" i="28"/>
  <c r="D63" i="28"/>
  <c r="E63" i="28"/>
  <c r="D64" i="28"/>
  <c r="E64" i="28"/>
  <c r="D65" i="28"/>
  <c r="E65" i="28"/>
  <c r="D66" i="28"/>
  <c r="E66" i="28"/>
  <c r="D67" i="28"/>
  <c r="E67" i="28"/>
  <c r="D68" i="28"/>
  <c r="E68" i="28"/>
  <c r="D69" i="28"/>
  <c r="E69" i="28"/>
  <c r="D70" i="28"/>
  <c r="E70" i="28"/>
  <c r="D71" i="28"/>
  <c r="E71" i="28"/>
  <c r="D72" i="28"/>
  <c r="E72" i="28"/>
  <c r="D73" i="28"/>
  <c r="E73" i="28"/>
  <c r="D74" i="28"/>
  <c r="E74" i="28"/>
  <c r="D75" i="28"/>
  <c r="E75" i="28"/>
  <c r="D76" i="28"/>
  <c r="E76" i="28"/>
  <c r="D77" i="28"/>
  <c r="E77" i="28"/>
  <c r="D78" i="28"/>
  <c r="E78" i="28"/>
  <c r="D79" i="28"/>
  <c r="E79" i="28"/>
  <c r="D80" i="28"/>
  <c r="E80" i="28"/>
  <c r="D81" i="28"/>
  <c r="E81" i="28"/>
  <c r="D82" i="28"/>
  <c r="E82" i="28"/>
  <c r="D83" i="28"/>
  <c r="E83" i="28"/>
  <c r="D84" i="28"/>
  <c r="E84" i="28"/>
  <c r="D85" i="28"/>
  <c r="E85" i="28"/>
  <c r="D86" i="28"/>
  <c r="E86" i="28"/>
  <c r="D87" i="28"/>
  <c r="E87" i="28"/>
  <c r="D88" i="28"/>
  <c r="E88" i="28"/>
  <c r="D89" i="28"/>
  <c r="E89" i="28"/>
  <c r="D90" i="28"/>
  <c r="E90" i="28"/>
  <c r="D91" i="28"/>
  <c r="E91" i="28"/>
  <c r="D92" i="28"/>
  <c r="E92" i="28"/>
  <c r="D93" i="28"/>
  <c r="E93" i="28"/>
  <c r="D94" i="28"/>
  <c r="E94" i="28"/>
  <c r="D95" i="28"/>
  <c r="E95" i="28"/>
  <c r="D96" i="28"/>
  <c r="E96" i="28"/>
  <c r="D97" i="28"/>
  <c r="E97" i="28"/>
  <c r="D98" i="28"/>
  <c r="E98" i="28"/>
  <c r="D99" i="28"/>
  <c r="E99" i="28"/>
  <c r="D100" i="28"/>
  <c r="E100" i="28"/>
  <c r="D101" i="28"/>
  <c r="E101" i="28"/>
  <c r="D102" i="28"/>
  <c r="E102" i="28"/>
  <c r="D103" i="28"/>
  <c r="E103" i="28"/>
  <c r="D104" i="28"/>
  <c r="E104" i="28"/>
  <c r="D105" i="28"/>
  <c r="E105" i="28"/>
  <c r="D106" i="28"/>
  <c r="E106" i="28"/>
  <c r="D107" i="28"/>
  <c r="E107" i="28"/>
  <c r="D108" i="28"/>
  <c r="E108" i="28"/>
  <c r="D109" i="28"/>
  <c r="E109" i="28"/>
  <c r="D110" i="28"/>
  <c r="E110" i="28"/>
  <c r="D111" i="28"/>
  <c r="E111" i="28"/>
  <c r="D112" i="28"/>
  <c r="E112" i="28"/>
  <c r="D113" i="28"/>
  <c r="E113" i="28"/>
  <c r="D114" i="28"/>
  <c r="E114" i="28"/>
  <c r="D115" i="28"/>
  <c r="E115" i="28"/>
  <c r="D116" i="28"/>
  <c r="E116" i="28"/>
  <c r="D117" i="28"/>
  <c r="E117" i="28"/>
  <c r="D118" i="28"/>
  <c r="E118" i="28"/>
  <c r="D119" i="28"/>
  <c r="E119" i="28"/>
  <c r="D120" i="28"/>
  <c r="E120" i="28"/>
  <c r="D121" i="28"/>
  <c r="E121" i="28"/>
  <c r="D122" i="28"/>
  <c r="E122" i="28"/>
  <c r="D123" i="28"/>
  <c r="E123" i="28"/>
  <c r="D124" i="28"/>
  <c r="E124" i="28"/>
  <c r="D125" i="28"/>
  <c r="E125" i="28"/>
  <c r="D126" i="28"/>
  <c r="E126" i="28"/>
  <c r="D127" i="28"/>
  <c r="E127" i="28"/>
  <c r="D128" i="28"/>
  <c r="E128" i="28"/>
  <c r="D129" i="28"/>
  <c r="E129" i="28"/>
  <c r="D130" i="28"/>
  <c r="E130" i="28"/>
  <c r="D131" i="28"/>
  <c r="E131" i="28"/>
  <c r="D132" i="28"/>
  <c r="E132" i="28"/>
  <c r="D133" i="28"/>
  <c r="E133" i="28"/>
  <c r="D134" i="28"/>
  <c r="E134" i="28"/>
  <c r="D135" i="28"/>
  <c r="E135" i="28"/>
  <c r="D136" i="28"/>
  <c r="E136" i="28"/>
  <c r="D137" i="28"/>
  <c r="E137" i="28"/>
  <c r="D138" i="28"/>
  <c r="E138" i="28"/>
  <c r="D139" i="28"/>
  <c r="E139" i="28"/>
  <c r="D140" i="28"/>
  <c r="E140" i="28"/>
  <c r="D141" i="28"/>
  <c r="E141" i="28"/>
  <c r="D142" i="28"/>
  <c r="E142" i="28"/>
  <c r="D143" i="28"/>
  <c r="E143" i="28"/>
  <c r="D144" i="28"/>
  <c r="E144" i="28"/>
  <c r="D145" i="28"/>
  <c r="E145" i="28"/>
  <c r="D146" i="28"/>
  <c r="E146" i="28"/>
  <c r="D147" i="28"/>
  <c r="E147" i="28"/>
  <c r="D148" i="28"/>
  <c r="E148" i="28"/>
  <c r="D149" i="28"/>
  <c r="E149" i="28"/>
  <c r="D150" i="28"/>
  <c r="E150" i="28"/>
  <c r="D151" i="28"/>
  <c r="E151" i="28"/>
  <c r="D152" i="28"/>
  <c r="E152" i="28"/>
  <c r="D153" i="28"/>
  <c r="E153" i="28"/>
  <c r="D154" i="28"/>
  <c r="E154" i="28"/>
  <c r="D155" i="28"/>
  <c r="E155" i="28"/>
  <c r="D156" i="28"/>
  <c r="E156" i="28"/>
  <c r="D157" i="28"/>
  <c r="E157" i="28"/>
  <c r="D158" i="28"/>
  <c r="E158" i="28"/>
  <c r="D159" i="28"/>
  <c r="E159" i="28"/>
  <c r="D160" i="28"/>
  <c r="E160" i="28"/>
  <c r="D161" i="28"/>
  <c r="E161" i="28"/>
  <c r="D162" i="28"/>
  <c r="E162" i="28"/>
  <c r="D163" i="28"/>
  <c r="E163" i="28"/>
  <c r="D164" i="28"/>
  <c r="E164" i="28"/>
  <c r="D165" i="28"/>
  <c r="E165" i="28"/>
  <c r="D166" i="28"/>
  <c r="E166" i="28"/>
  <c r="D167" i="28"/>
  <c r="E167" i="28"/>
  <c r="D168" i="28"/>
  <c r="E168" i="28"/>
  <c r="D169" i="28"/>
  <c r="E169" i="28"/>
  <c r="D170" i="28"/>
  <c r="E170" i="28"/>
  <c r="D171" i="28"/>
  <c r="E171" i="28"/>
  <c r="D172" i="28"/>
  <c r="E172" i="28"/>
  <c r="D173" i="28"/>
  <c r="E173" i="28"/>
  <c r="D174" i="28"/>
  <c r="E174" i="28"/>
  <c r="D175" i="28"/>
  <c r="E175" i="28"/>
  <c r="D176" i="28"/>
  <c r="E176" i="28"/>
  <c r="D177" i="28"/>
  <c r="E177" i="28"/>
  <c r="D178" i="28"/>
  <c r="E178" i="28"/>
  <c r="D179" i="28"/>
  <c r="E179" i="28"/>
  <c r="D180" i="28"/>
  <c r="E180" i="28"/>
  <c r="D181" i="28"/>
  <c r="E181" i="28"/>
  <c r="D182" i="28"/>
  <c r="E182" i="28"/>
  <c r="D183" i="28"/>
  <c r="E183" i="28"/>
  <c r="D184" i="28"/>
  <c r="E184" i="28"/>
  <c r="D185" i="28"/>
  <c r="E185" i="28"/>
  <c r="D186" i="28"/>
  <c r="E186" i="28"/>
  <c r="D187" i="28"/>
  <c r="E187" i="28"/>
  <c r="D188" i="28"/>
  <c r="E188" i="28"/>
  <c r="D189" i="28"/>
  <c r="E189" i="28"/>
  <c r="D190" i="28"/>
  <c r="E190" i="28"/>
  <c r="D191" i="28"/>
  <c r="E191" i="28"/>
  <c r="D192" i="28"/>
  <c r="E192" i="28"/>
  <c r="D193" i="28"/>
  <c r="E193" i="28"/>
  <c r="D194" i="28"/>
  <c r="E194" i="28"/>
  <c r="D195" i="28"/>
  <c r="E195" i="28"/>
  <c r="D196" i="28"/>
  <c r="E196" i="28"/>
  <c r="D197" i="28"/>
  <c r="E197" i="28"/>
  <c r="D198" i="28"/>
  <c r="E198" i="28"/>
  <c r="D199" i="28"/>
  <c r="E199" i="28"/>
  <c r="D200" i="28"/>
  <c r="E200" i="28"/>
  <c r="D201" i="28"/>
  <c r="E201" i="28"/>
  <c r="D202" i="28"/>
  <c r="E202" i="28"/>
  <c r="D203" i="28"/>
  <c r="E203" i="28"/>
  <c r="D204" i="28"/>
  <c r="E204" i="28"/>
  <c r="D205" i="28"/>
  <c r="E205" i="28"/>
  <c r="D206" i="28"/>
  <c r="E206" i="28"/>
  <c r="D207" i="28"/>
  <c r="E207" i="28"/>
  <c r="D208" i="28"/>
  <c r="E208" i="28"/>
  <c r="D209" i="28"/>
  <c r="E209" i="28"/>
  <c r="D210" i="28"/>
  <c r="E210" i="28"/>
  <c r="D211" i="28"/>
  <c r="E211" i="28"/>
  <c r="D212" i="28"/>
  <c r="E212" i="28"/>
  <c r="D213" i="28"/>
  <c r="E213" i="28"/>
  <c r="D214" i="28"/>
  <c r="E214" i="28"/>
  <c r="D215" i="28"/>
  <c r="E215" i="28"/>
  <c r="D216" i="28"/>
  <c r="E216" i="28"/>
  <c r="D217" i="28"/>
  <c r="E217" i="28"/>
  <c r="D218" i="28"/>
  <c r="E218" i="28"/>
  <c r="D219" i="28"/>
  <c r="E219" i="28"/>
  <c r="D220" i="28"/>
  <c r="E220" i="28"/>
  <c r="D221" i="28"/>
  <c r="E221" i="28"/>
  <c r="D222" i="28"/>
  <c r="E222" i="28"/>
  <c r="D223" i="28"/>
  <c r="E223" i="28"/>
  <c r="D224" i="28"/>
  <c r="E224" i="28"/>
  <c r="D225" i="28"/>
  <c r="E225" i="28"/>
  <c r="D226" i="28"/>
  <c r="E226" i="28"/>
  <c r="D227" i="28"/>
  <c r="E227" i="28"/>
  <c r="D228" i="28"/>
  <c r="E228" i="28"/>
  <c r="D229" i="28"/>
  <c r="E229" i="28"/>
  <c r="D230" i="28"/>
  <c r="E230" i="28"/>
  <c r="D231" i="28"/>
  <c r="E231" i="28"/>
  <c r="D232" i="28"/>
  <c r="E232" i="28"/>
  <c r="D233" i="28"/>
  <c r="E233" i="28"/>
  <c r="D234" i="28"/>
  <c r="E234" i="28"/>
  <c r="D235" i="28"/>
  <c r="E235" i="28"/>
  <c r="D236" i="28"/>
  <c r="E236" i="28"/>
  <c r="D237" i="28"/>
  <c r="E237" i="28"/>
  <c r="D238" i="28"/>
  <c r="E238" i="28"/>
  <c r="D239" i="28"/>
  <c r="E239" i="28"/>
  <c r="D240" i="28"/>
  <c r="E240" i="28"/>
  <c r="D241" i="28"/>
  <c r="E241" i="28"/>
  <c r="D242" i="28"/>
  <c r="E242" i="28"/>
  <c r="D243" i="28"/>
  <c r="E243" i="28"/>
  <c r="D244" i="28"/>
  <c r="E244" i="28"/>
  <c r="D245" i="28"/>
  <c r="E245" i="28"/>
  <c r="D246" i="28"/>
  <c r="E246" i="28"/>
  <c r="D247" i="28"/>
  <c r="E247" i="28"/>
  <c r="D248" i="28"/>
  <c r="E248" i="28"/>
  <c r="D249" i="28"/>
  <c r="E249" i="28"/>
  <c r="D250" i="28"/>
  <c r="E250" i="28"/>
  <c r="D251" i="28"/>
  <c r="E251" i="28"/>
  <c r="D252" i="28"/>
  <c r="E252" i="28"/>
  <c r="D253" i="28"/>
  <c r="E253" i="28"/>
  <c r="D254" i="28"/>
  <c r="E254" i="28"/>
  <c r="D255" i="28"/>
  <c r="E255" i="28"/>
  <c r="D256" i="28"/>
  <c r="E256" i="28"/>
  <c r="D257" i="28"/>
  <c r="E257" i="28"/>
  <c r="D258" i="28"/>
  <c r="E258" i="28"/>
  <c r="D259" i="28"/>
  <c r="E259" i="28"/>
  <c r="D260" i="28"/>
  <c r="E260" i="28"/>
  <c r="D261" i="28"/>
  <c r="E261" i="28"/>
  <c r="D262" i="28"/>
  <c r="E262" i="28"/>
  <c r="D263" i="28"/>
  <c r="E263" i="28"/>
  <c r="D264" i="28"/>
  <c r="E264" i="28"/>
  <c r="D265" i="28"/>
  <c r="E265" i="28"/>
  <c r="D266" i="28"/>
  <c r="E266" i="28"/>
  <c r="I1519" i="17"/>
  <c r="I1518" i="17"/>
  <c r="I1517" i="17"/>
  <c r="I1514" i="17"/>
  <c r="I1513" i="17"/>
  <c r="I1512" i="17"/>
  <c r="I1511" i="17"/>
  <c r="I1510" i="17"/>
  <c r="I1509" i="17"/>
  <c r="I1508" i="17"/>
  <c r="I1507" i="17"/>
  <c r="I1506" i="17"/>
  <c r="I1505" i="17"/>
  <c r="I1504" i="17"/>
  <c r="I1503" i="17"/>
  <c r="I1502" i="17"/>
  <c r="I1501" i="17"/>
  <c r="I1500" i="17"/>
  <c r="I1499" i="17"/>
  <c r="I1498" i="17"/>
  <c r="I1497" i="17"/>
  <c r="I1496" i="17"/>
  <c r="I1495" i="17"/>
  <c r="I1494" i="17"/>
  <c r="I1493" i="17"/>
  <c r="I1492" i="17"/>
  <c r="I1491" i="17"/>
  <c r="I1490" i="17"/>
  <c r="I1489" i="17"/>
  <c r="I1488" i="17"/>
  <c r="I1487" i="17"/>
  <c r="I1486" i="17"/>
  <c r="I1485" i="17"/>
  <c r="I1484" i="17"/>
  <c r="I1483" i="17"/>
  <c r="I1482" i="17"/>
  <c r="I1481" i="17"/>
  <c r="I1480" i="17"/>
  <c r="I1479" i="17"/>
  <c r="I1478" i="17"/>
  <c r="I1477" i="17"/>
  <c r="I1476" i="17"/>
  <c r="I1475" i="17"/>
  <c r="I1474" i="17"/>
  <c r="I1473" i="17"/>
  <c r="I1472" i="17"/>
  <c r="I1471" i="17"/>
  <c r="I1470" i="17"/>
  <c r="I1469" i="17"/>
  <c r="I1468" i="17"/>
  <c r="I1467" i="17"/>
  <c r="I1466" i="17"/>
  <c r="I1465" i="17"/>
  <c r="I1464" i="17"/>
  <c r="I1463" i="17"/>
  <c r="I1462" i="17"/>
  <c r="I1461" i="17"/>
  <c r="I1460" i="17"/>
  <c r="I1459" i="17"/>
  <c r="I1458" i="17"/>
  <c r="I1457" i="17"/>
  <c r="I1456" i="17"/>
  <c r="I1455" i="17"/>
  <c r="I1454" i="17"/>
  <c r="I1453" i="17"/>
  <c r="I1452" i="17"/>
  <c r="I1451" i="17"/>
  <c r="I1450" i="17"/>
  <c r="I1449" i="17"/>
  <c r="I1448" i="17"/>
  <c r="I1447" i="17"/>
  <c r="I1446" i="17"/>
  <c r="I1445" i="17"/>
  <c r="I1444" i="17"/>
  <c r="I1443" i="17"/>
  <c r="I1442" i="17"/>
  <c r="I1441" i="17"/>
  <c r="I1440" i="17"/>
  <c r="I1439" i="17"/>
  <c r="I1438" i="17"/>
  <c r="I1437" i="17"/>
  <c r="I1436" i="17"/>
  <c r="I1435" i="17"/>
  <c r="I1434" i="17"/>
  <c r="I1433" i="17"/>
  <c r="I1432" i="17"/>
  <c r="I1431" i="17"/>
  <c r="I1430" i="17"/>
  <c r="I1429" i="17"/>
  <c r="I1428" i="17"/>
  <c r="I1427" i="17"/>
  <c r="I1426" i="17"/>
  <c r="I1425" i="17"/>
  <c r="I1424" i="17"/>
  <c r="I1423" i="17"/>
  <c r="I1422" i="17"/>
  <c r="I1421" i="17"/>
  <c r="I1420" i="17"/>
  <c r="I1419" i="17"/>
  <c r="I1418" i="17"/>
  <c r="I1417" i="17"/>
  <c r="I1416" i="17"/>
  <c r="I1415" i="17"/>
  <c r="I1414" i="17"/>
  <c r="I1413" i="17"/>
  <c r="I1412" i="17"/>
  <c r="I1411" i="17"/>
  <c r="I1410" i="17"/>
  <c r="I1409" i="17"/>
  <c r="I1408" i="17"/>
  <c r="I1407" i="17"/>
  <c r="I1406" i="17"/>
  <c r="I1405" i="17"/>
  <c r="I1404" i="17"/>
  <c r="I1403" i="17"/>
  <c r="I1402" i="17"/>
  <c r="I1401" i="17"/>
  <c r="I1400" i="17"/>
  <c r="I1399" i="17"/>
  <c r="I1398" i="17"/>
  <c r="I1397" i="17"/>
  <c r="I1396" i="17"/>
  <c r="I1395" i="17"/>
  <c r="I1394" i="17"/>
  <c r="I1393" i="17"/>
  <c r="I1392" i="17"/>
  <c r="I1391" i="17"/>
  <c r="I1390" i="17"/>
  <c r="I1389" i="17"/>
  <c r="I1388" i="17"/>
  <c r="I1387" i="17"/>
  <c r="I1386" i="17"/>
  <c r="I1385" i="17"/>
  <c r="I1384" i="17"/>
  <c r="I1383" i="17"/>
  <c r="I1382" i="17"/>
  <c r="I1381" i="17"/>
  <c r="I1380" i="17"/>
  <c r="I1379" i="17"/>
  <c r="I1378" i="17"/>
  <c r="I1377" i="17"/>
  <c r="I1376" i="17"/>
  <c r="I1375" i="17"/>
  <c r="I1374" i="17"/>
  <c r="I1373" i="17"/>
  <c r="I1372" i="17"/>
  <c r="I1371" i="17"/>
  <c r="I1370" i="17"/>
  <c r="I1369" i="17"/>
  <c r="I1368" i="17"/>
  <c r="I1367" i="17"/>
  <c r="I1366" i="17"/>
  <c r="I1365" i="17"/>
  <c r="I1364" i="17"/>
  <c r="I1363" i="17"/>
  <c r="I1362" i="17"/>
  <c r="I1361" i="17"/>
  <c r="I1360" i="17"/>
  <c r="I1359" i="17"/>
  <c r="I1358" i="17"/>
  <c r="I1357" i="17"/>
  <c r="I1356" i="17"/>
  <c r="I1355" i="17"/>
  <c r="I1354" i="17"/>
  <c r="I1353" i="17"/>
  <c r="I1352" i="17"/>
  <c r="I1351" i="17"/>
  <c r="I1350" i="17"/>
  <c r="I1349" i="17"/>
  <c r="I1348" i="17"/>
  <c r="I1347" i="17"/>
  <c r="I1346" i="17"/>
  <c r="I1345" i="17"/>
  <c r="I1344" i="17"/>
  <c r="I1343" i="17"/>
  <c r="I1342" i="17"/>
  <c r="I1341" i="17"/>
  <c r="I1340" i="17"/>
  <c r="I1339" i="17"/>
  <c r="I1338" i="17"/>
  <c r="I1337" i="17"/>
  <c r="I1336" i="17"/>
  <c r="I1335" i="17"/>
  <c r="I1334" i="17"/>
  <c r="I1333" i="17"/>
  <c r="I1332" i="17"/>
  <c r="I1331" i="17"/>
  <c r="I1330" i="17"/>
  <c r="I1329" i="17"/>
  <c r="I1328" i="17"/>
  <c r="I1327" i="17"/>
  <c r="I1326" i="17"/>
  <c r="I1325" i="17"/>
  <c r="I1324" i="17"/>
  <c r="I1323" i="17"/>
  <c r="I1322" i="17"/>
  <c r="I1321" i="17"/>
  <c r="I1320" i="17"/>
  <c r="I1319" i="17"/>
  <c r="I1318" i="17"/>
  <c r="I1317" i="17"/>
  <c r="I1316" i="17"/>
  <c r="I1315" i="17"/>
  <c r="I1314" i="17"/>
  <c r="I1313" i="17"/>
  <c r="I1312" i="17"/>
  <c r="I1311" i="17"/>
  <c r="I1310" i="17"/>
  <c r="I1309" i="17"/>
  <c r="I1308" i="17"/>
  <c r="I1307" i="17"/>
  <c r="I1306" i="17"/>
  <c r="I1305" i="17"/>
  <c r="I1304" i="17"/>
  <c r="I1303" i="17"/>
  <c r="I1302" i="17"/>
  <c r="I1301" i="17"/>
  <c r="I1300" i="17"/>
  <c r="I1299" i="17"/>
  <c r="I1298" i="17"/>
  <c r="I1297" i="17"/>
  <c r="I1296" i="17"/>
  <c r="I1295" i="17"/>
  <c r="I1294" i="17"/>
  <c r="I1293" i="17"/>
  <c r="I1292" i="17"/>
  <c r="I1291" i="17"/>
  <c r="I1290" i="17"/>
  <c r="I1289" i="17"/>
  <c r="I1288" i="17"/>
  <c r="I1287" i="17"/>
  <c r="I1286" i="17"/>
  <c r="I1285" i="17"/>
  <c r="I1284" i="17"/>
  <c r="I1283" i="17"/>
  <c r="I1282" i="17"/>
  <c r="I1281" i="17"/>
  <c r="I1280" i="17"/>
  <c r="I1279" i="17"/>
  <c r="I1278" i="17"/>
  <c r="I1277" i="17"/>
  <c r="I1276" i="17"/>
  <c r="I1275" i="17"/>
  <c r="I1274" i="17"/>
  <c r="I1273" i="17"/>
  <c r="I1272" i="17"/>
  <c r="I1271" i="17"/>
  <c r="I1270" i="17"/>
  <c r="I1269" i="17"/>
  <c r="I1268" i="17"/>
  <c r="I1267" i="17"/>
  <c r="I1266" i="17"/>
  <c r="I1265" i="17"/>
  <c r="I1264" i="17"/>
  <c r="I1263" i="17"/>
  <c r="I1262" i="17"/>
  <c r="I1261" i="17"/>
  <c r="I1260" i="17"/>
  <c r="I1259" i="17"/>
  <c r="I1258" i="17"/>
  <c r="I1257" i="17"/>
  <c r="I1256" i="17"/>
  <c r="I1255" i="17"/>
  <c r="I1254" i="17"/>
  <c r="I1253" i="17"/>
  <c r="I1252" i="17"/>
  <c r="I1251" i="17"/>
  <c r="I1250" i="17"/>
  <c r="I1249" i="17"/>
  <c r="I1248" i="17"/>
  <c r="I1247" i="17"/>
  <c r="I1246" i="17"/>
  <c r="I1245" i="17"/>
  <c r="I1244" i="17"/>
  <c r="I1243" i="17"/>
  <c r="I1242" i="17"/>
  <c r="I1241" i="17"/>
  <c r="I1240" i="17"/>
  <c r="I1239" i="17"/>
  <c r="I1238" i="17"/>
  <c r="I1237" i="17"/>
  <c r="I1236" i="17"/>
  <c r="I1235" i="17"/>
  <c r="I1234" i="17"/>
  <c r="I1233" i="17"/>
  <c r="I1232" i="17"/>
  <c r="I1231" i="17"/>
  <c r="I1230" i="17"/>
  <c r="I1229" i="17"/>
  <c r="I1228" i="17"/>
  <c r="I1227" i="17"/>
  <c r="I1226" i="17"/>
  <c r="I1225" i="17"/>
  <c r="I1224" i="17"/>
  <c r="I1223" i="17"/>
  <c r="I1222" i="17"/>
  <c r="I1221" i="17"/>
  <c r="I1220" i="17"/>
  <c r="I1219" i="17"/>
  <c r="I1218" i="17"/>
  <c r="I1217" i="17"/>
  <c r="I1216" i="17"/>
  <c r="I1215" i="17"/>
  <c r="I1214" i="17"/>
  <c r="I1213" i="17"/>
  <c r="I1212" i="17"/>
  <c r="I1211" i="17"/>
  <c r="I1210" i="17"/>
  <c r="I1209" i="17"/>
  <c r="I1208" i="17"/>
  <c r="I1207" i="17"/>
  <c r="I1206" i="17"/>
  <c r="I1205" i="17"/>
  <c r="I1204" i="17"/>
  <c r="I1203" i="17"/>
  <c r="I1202" i="17"/>
  <c r="I1201" i="17"/>
  <c r="I1200" i="17"/>
  <c r="I1199" i="17"/>
  <c r="I1198" i="17"/>
  <c r="I1197" i="17"/>
  <c r="I1196" i="17"/>
  <c r="I1195" i="17"/>
  <c r="I1194" i="17"/>
  <c r="I1193" i="17"/>
  <c r="I1192" i="17"/>
  <c r="I1191" i="17"/>
  <c r="I1190" i="17"/>
  <c r="I1189" i="17"/>
  <c r="I1188" i="17"/>
  <c r="I1187" i="17"/>
  <c r="I1186" i="17"/>
  <c r="I1185" i="17"/>
  <c r="I1184" i="17"/>
  <c r="I1183" i="17"/>
  <c r="I1182" i="17"/>
  <c r="I1181" i="17"/>
  <c r="I1180" i="17"/>
  <c r="I1179" i="17"/>
  <c r="I1178" i="17"/>
  <c r="I1177" i="17"/>
  <c r="I1176" i="17"/>
  <c r="I1175" i="17"/>
  <c r="I1174" i="17"/>
  <c r="I1173" i="17"/>
  <c r="I1172" i="17"/>
  <c r="I1171" i="17"/>
  <c r="I1170" i="17"/>
  <c r="I1169" i="17"/>
  <c r="I1168" i="17"/>
  <c r="I1167" i="17"/>
  <c r="I1166" i="17"/>
  <c r="I1165" i="17"/>
  <c r="I1164" i="17"/>
  <c r="I1163" i="17"/>
  <c r="I1162" i="17"/>
  <c r="I1161" i="17"/>
  <c r="I1160" i="17"/>
  <c r="I1159" i="17"/>
  <c r="I1158" i="17"/>
  <c r="I1157" i="17"/>
  <c r="I1156" i="17"/>
  <c r="I1155" i="17"/>
  <c r="I1154" i="17"/>
  <c r="I1153" i="17"/>
  <c r="I1152" i="17"/>
  <c r="I1151" i="17"/>
  <c r="I1150" i="17"/>
  <c r="I1149" i="17"/>
  <c r="I1148" i="17"/>
  <c r="I1147" i="17"/>
  <c r="I1146" i="17"/>
  <c r="I1145" i="17"/>
  <c r="I1144" i="17"/>
  <c r="I1143" i="17"/>
  <c r="I1142" i="17"/>
  <c r="I1141" i="17"/>
  <c r="I1140" i="17"/>
  <c r="I1139" i="17"/>
  <c r="I1138" i="17"/>
  <c r="I1137" i="17"/>
  <c r="I1136" i="17"/>
  <c r="I1135" i="17"/>
  <c r="I1134" i="17"/>
  <c r="I1133" i="17"/>
  <c r="I1132" i="17"/>
  <c r="I1131" i="17"/>
  <c r="I1130" i="17"/>
  <c r="I1129" i="17"/>
  <c r="I1128" i="17"/>
  <c r="I1127" i="17"/>
  <c r="I1126" i="17"/>
  <c r="I1125" i="17"/>
  <c r="I1124" i="17"/>
  <c r="I1123" i="17"/>
  <c r="I1122" i="17"/>
  <c r="I1121" i="17"/>
  <c r="I1120" i="17"/>
  <c r="I1119" i="17"/>
  <c r="I1118" i="17"/>
  <c r="I1117" i="17"/>
  <c r="I1116" i="17"/>
  <c r="I1115" i="17"/>
  <c r="I1114" i="17"/>
  <c r="I1113" i="17"/>
  <c r="I1112" i="17"/>
  <c r="I1111" i="17"/>
  <c r="I1110" i="17"/>
  <c r="I1109" i="17"/>
  <c r="I1108" i="17"/>
  <c r="I1107" i="17"/>
  <c r="I1106" i="17"/>
  <c r="I1105" i="17"/>
  <c r="I1104" i="17"/>
  <c r="I1103" i="17"/>
  <c r="I1102" i="17"/>
  <c r="I1101" i="17"/>
  <c r="I1100" i="17"/>
  <c r="I1099" i="17"/>
  <c r="I1098" i="17"/>
  <c r="I1097" i="17"/>
  <c r="I1096" i="17"/>
  <c r="I1095" i="17"/>
  <c r="I1094" i="17"/>
  <c r="I1093" i="17"/>
  <c r="I1092" i="17"/>
  <c r="I1091" i="17"/>
  <c r="I1090" i="17"/>
  <c r="I1089" i="17"/>
  <c r="I1088" i="17"/>
  <c r="I1087" i="17"/>
  <c r="I1086" i="17"/>
  <c r="I1085" i="17"/>
  <c r="I1084" i="17"/>
  <c r="I1083" i="17"/>
  <c r="I1082" i="17"/>
  <c r="I1081" i="17"/>
  <c r="I1080" i="17"/>
  <c r="I1079" i="17"/>
  <c r="I1078" i="17"/>
  <c r="I1077" i="17"/>
  <c r="I1076" i="17"/>
  <c r="I1075" i="17"/>
  <c r="I1074" i="17"/>
  <c r="I1073" i="17"/>
  <c r="I1072" i="17"/>
  <c r="I1071" i="17"/>
  <c r="I1070" i="17"/>
  <c r="I1069" i="17"/>
  <c r="I1068" i="17"/>
  <c r="I1067" i="17"/>
  <c r="I1066" i="17"/>
  <c r="I1065" i="17"/>
  <c r="I1064" i="17"/>
  <c r="I1063" i="17"/>
  <c r="I1062" i="17"/>
  <c r="I1061" i="17"/>
  <c r="I1060" i="17"/>
  <c r="I1059" i="17"/>
  <c r="I1058" i="17"/>
  <c r="I1057" i="17"/>
  <c r="I1056" i="17"/>
  <c r="I1055" i="17"/>
  <c r="I1054" i="17"/>
  <c r="I1053" i="17"/>
  <c r="I1052" i="17"/>
  <c r="I1051" i="17"/>
  <c r="I1050" i="17"/>
  <c r="I1049" i="17"/>
  <c r="I1048" i="17"/>
  <c r="I1047" i="17"/>
  <c r="I1046" i="17"/>
  <c r="I1045" i="17"/>
  <c r="I1044" i="17"/>
  <c r="I1043" i="17"/>
  <c r="I1042" i="17"/>
  <c r="I1041" i="17"/>
  <c r="I1040" i="17"/>
  <c r="I1039" i="17"/>
  <c r="I1038" i="17"/>
  <c r="I1037" i="17"/>
  <c r="I1036" i="17"/>
  <c r="I1035" i="17"/>
  <c r="I1034" i="17"/>
  <c r="I1033" i="17"/>
  <c r="I1032" i="17"/>
  <c r="I1031" i="17"/>
  <c r="I1030" i="17"/>
  <c r="I1029" i="17"/>
  <c r="I1028" i="17"/>
  <c r="I1027" i="17"/>
  <c r="I1026" i="17"/>
  <c r="I1025" i="17"/>
  <c r="I1024" i="17"/>
  <c r="I1023" i="17"/>
  <c r="I1022" i="17"/>
  <c r="I1021" i="17"/>
  <c r="I1020" i="17"/>
  <c r="I1019" i="17"/>
  <c r="I1018" i="17"/>
  <c r="I1017" i="17"/>
  <c r="I1016" i="17"/>
  <c r="I1015" i="17"/>
  <c r="I1014" i="17"/>
  <c r="I1013" i="17"/>
  <c r="I1012" i="17"/>
  <c r="I1011" i="17"/>
  <c r="I1010" i="17"/>
  <c r="I1009" i="17"/>
  <c r="I1008" i="17"/>
  <c r="I1007" i="17"/>
  <c r="I1006" i="17"/>
  <c r="I1005" i="17"/>
  <c r="I1004" i="17"/>
  <c r="I1003" i="17"/>
  <c r="I1002" i="17"/>
  <c r="I1001" i="17"/>
  <c r="I1000" i="17"/>
  <c r="I999" i="17"/>
  <c r="I998" i="17"/>
  <c r="I997" i="17"/>
  <c r="I996" i="17"/>
  <c r="I995" i="17"/>
  <c r="I994" i="17"/>
  <c r="I993" i="17"/>
  <c r="I992" i="17"/>
  <c r="I991" i="17"/>
  <c r="I990" i="17"/>
  <c r="I989" i="17"/>
  <c r="I988" i="17"/>
  <c r="I987" i="17"/>
  <c r="I986" i="17"/>
  <c r="I985" i="17"/>
  <c r="I984" i="17"/>
  <c r="I983" i="17"/>
  <c r="I982" i="17"/>
  <c r="I981" i="17"/>
  <c r="I980" i="17"/>
  <c r="I979" i="17"/>
  <c r="I978" i="17"/>
  <c r="I977" i="17"/>
  <c r="I976" i="17"/>
  <c r="I975" i="17"/>
  <c r="I974" i="17"/>
  <c r="I973" i="17"/>
  <c r="I972" i="17"/>
  <c r="I971" i="17"/>
  <c r="I970" i="17"/>
  <c r="I969" i="17"/>
  <c r="I968" i="17"/>
  <c r="I967" i="17"/>
  <c r="I966" i="17"/>
  <c r="I965" i="17"/>
  <c r="I964" i="17"/>
  <c r="I963" i="17"/>
  <c r="I962" i="17"/>
  <c r="I961" i="17"/>
  <c r="I960" i="17"/>
  <c r="I959" i="17"/>
  <c r="I958" i="17"/>
  <c r="I957" i="17"/>
  <c r="I956" i="17"/>
  <c r="I955" i="17"/>
  <c r="I954" i="17"/>
  <c r="I953" i="17"/>
  <c r="I952" i="17"/>
  <c r="I951" i="17"/>
  <c r="I950" i="17"/>
  <c r="I949" i="17"/>
  <c r="I948" i="17"/>
  <c r="I947" i="17"/>
  <c r="I946" i="17"/>
  <c r="I945" i="17"/>
  <c r="I944" i="17"/>
  <c r="I943" i="17"/>
  <c r="I942" i="17"/>
  <c r="I941" i="17"/>
  <c r="I940" i="17"/>
  <c r="I939" i="17"/>
  <c r="I938" i="17"/>
  <c r="I937" i="17"/>
  <c r="I936" i="17"/>
  <c r="I935" i="17"/>
  <c r="I934" i="17"/>
  <c r="I933" i="17"/>
  <c r="I932" i="17"/>
  <c r="I931" i="17"/>
  <c r="I930" i="17"/>
  <c r="I929" i="17"/>
  <c r="I928" i="17"/>
  <c r="I927" i="17"/>
  <c r="I926" i="17"/>
  <c r="I925" i="17"/>
  <c r="I924" i="17"/>
  <c r="I923" i="17"/>
  <c r="I922" i="17"/>
  <c r="I921" i="17"/>
  <c r="I920" i="17"/>
  <c r="I919" i="17"/>
  <c r="I918" i="17"/>
  <c r="I917" i="17"/>
  <c r="I916" i="17"/>
  <c r="I915" i="17"/>
  <c r="I914" i="17"/>
  <c r="I913" i="17"/>
  <c r="I912" i="17"/>
  <c r="I911" i="17"/>
  <c r="I910" i="17"/>
  <c r="I909" i="17"/>
  <c r="I908" i="17"/>
  <c r="I907" i="17"/>
  <c r="I906" i="17"/>
  <c r="I905" i="17"/>
  <c r="I904" i="17"/>
  <c r="I903" i="17"/>
  <c r="I902" i="17"/>
  <c r="I901" i="17"/>
  <c r="I900" i="17"/>
  <c r="I899" i="17"/>
  <c r="I898" i="17"/>
  <c r="I897" i="17"/>
  <c r="I896" i="17"/>
  <c r="I895" i="17"/>
  <c r="I894" i="17"/>
  <c r="I893" i="17"/>
  <c r="I892" i="17"/>
  <c r="I891" i="17"/>
  <c r="I890" i="17"/>
  <c r="I889" i="17"/>
  <c r="I888" i="17"/>
  <c r="I887" i="17"/>
  <c r="I886" i="17"/>
  <c r="I885" i="17"/>
  <c r="I884" i="17"/>
  <c r="I883" i="17"/>
  <c r="I882" i="17"/>
  <c r="I881" i="17"/>
  <c r="I880" i="17"/>
  <c r="I879" i="17"/>
  <c r="I878" i="17"/>
  <c r="I877" i="17"/>
  <c r="I876" i="17"/>
  <c r="I875" i="17"/>
  <c r="I874" i="17"/>
  <c r="I873" i="17"/>
  <c r="I872" i="17"/>
  <c r="I871" i="17"/>
  <c r="I870" i="17"/>
  <c r="I869" i="17"/>
  <c r="I868" i="17"/>
  <c r="I867" i="17"/>
  <c r="I866" i="17"/>
  <c r="I865" i="17"/>
  <c r="I864" i="17"/>
  <c r="I863" i="17"/>
  <c r="I862" i="17"/>
  <c r="I861" i="17"/>
  <c r="I860" i="17"/>
  <c r="I859" i="17"/>
  <c r="I858" i="17"/>
  <c r="I857" i="17"/>
  <c r="I856" i="17"/>
  <c r="I855" i="17"/>
  <c r="I854" i="17"/>
  <c r="I853" i="17"/>
  <c r="I852" i="17"/>
  <c r="I851" i="17"/>
  <c r="I850" i="17"/>
  <c r="I849" i="17"/>
  <c r="I848" i="17"/>
  <c r="I847" i="17"/>
  <c r="I846" i="17"/>
  <c r="I845" i="17"/>
  <c r="I844" i="17"/>
  <c r="I843" i="17"/>
  <c r="I842" i="17"/>
  <c r="I841" i="17"/>
  <c r="I840" i="17"/>
  <c r="I839" i="17"/>
  <c r="I838" i="17"/>
  <c r="I837" i="17"/>
  <c r="I836" i="17"/>
  <c r="I835" i="17"/>
  <c r="I834" i="17"/>
  <c r="I833" i="17"/>
  <c r="I832" i="17"/>
  <c r="I831" i="17"/>
  <c r="I830" i="17"/>
  <c r="I829" i="17"/>
  <c r="I828" i="17"/>
  <c r="I827" i="17"/>
  <c r="I826" i="17"/>
  <c r="I825" i="17"/>
  <c r="I824" i="17"/>
  <c r="I823" i="17"/>
  <c r="I822" i="17"/>
  <c r="I821" i="17"/>
  <c r="I820" i="17"/>
  <c r="I819" i="17"/>
  <c r="I818" i="17"/>
  <c r="I817" i="17"/>
  <c r="I816" i="17"/>
  <c r="I815" i="17"/>
  <c r="I814" i="17"/>
  <c r="I813" i="17"/>
  <c r="I812" i="17"/>
  <c r="I811" i="17"/>
  <c r="I810" i="17"/>
  <c r="I809" i="17"/>
  <c r="I808" i="17"/>
  <c r="I807" i="17"/>
  <c r="I806" i="17"/>
  <c r="I805" i="17"/>
  <c r="I804" i="17"/>
  <c r="I803" i="17"/>
  <c r="I802" i="17"/>
  <c r="I801" i="17"/>
  <c r="I800" i="17"/>
  <c r="I799" i="17"/>
  <c r="I798" i="17"/>
  <c r="I797" i="17"/>
  <c r="I796" i="17"/>
  <c r="I795" i="17"/>
  <c r="I794" i="17"/>
  <c r="I793" i="17"/>
  <c r="I792" i="17"/>
  <c r="I791" i="17"/>
  <c r="I790" i="17"/>
  <c r="I789" i="17"/>
  <c r="I788" i="17"/>
  <c r="I787" i="17"/>
  <c r="I786" i="17"/>
  <c r="I785" i="17"/>
  <c r="I784" i="17"/>
  <c r="I783" i="17"/>
  <c r="I782" i="17"/>
  <c r="I781" i="17"/>
  <c r="I780" i="17"/>
  <c r="I779" i="17"/>
  <c r="I778" i="17"/>
  <c r="I777" i="17"/>
  <c r="I776" i="17"/>
  <c r="I775" i="17"/>
  <c r="I774" i="17"/>
  <c r="I773" i="17"/>
  <c r="I772" i="17"/>
  <c r="I771" i="17"/>
  <c r="I770" i="17"/>
  <c r="I769" i="17"/>
  <c r="I768" i="17"/>
  <c r="I767" i="17"/>
  <c r="I766" i="17"/>
  <c r="I765" i="17"/>
  <c r="I764" i="17"/>
  <c r="I763" i="17"/>
  <c r="I762" i="17"/>
  <c r="I761" i="17"/>
  <c r="I760" i="17"/>
  <c r="I759" i="17"/>
  <c r="I758" i="17"/>
  <c r="I757" i="17"/>
  <c r="I756" i="17"/>
  <c r="I755" i="17"/>
  <c r="I754" i="17"/>
  <c r="I753" i="17"/>
  <c r="I752" i="17"/>
  <c r="I751" i="17"/>
  <c r="I750" i="17"/>
  <c r="I749" i="17"/>
  <c r="I748" i="17"/>
  <c r="I747" i="17"/>
  <c r="I746" i="17"/>
  <c r="I745" i="17"/>
  <c r="I744" i="17"/>
  <c r="I743" i="17"/>
  <c r="I742" i="17"/>
  <c r="I741" i="17"/>
  <c r="I740" i="17"/>
  <c r="I739" i="17"/>
  <c r="I738" i="17"/>
  <c r="I737" i="17"/>
  <c r="I736" i="17"/>
  <c r="I735" i="17"/>
  <c r="I734" i="17"/>
  <c r="I733" i="17"/>
  <c r="I732" i="17"/>
  <c r="I731" i="17"/>
  <c r="I730" i="17"/>
  <c r="I729" i="17"/>
  <c r="I728" i="17"/>
  <c r="I727" i="17"/>
  <c r="I726" i="17"/>
  <c r="I725" i="17"/>
  <c r="I724" i="17"/>
  <c r="I723" i="17"/>
  <c r="I722" i="17"/>
  <c r="I721" i="17"/>
  <c r="I720" i="17"/>
  <c r="I719" i="17"/>
  <c r="I718" i="17"/>
  <c r="I717" i="17"/>
  <c r="I716" i="17"/>
  <c r="I715" i="17"/>
  <c r="I714" i="17"/>
  <c r="I713" i="17"/>
  <c r="I712" i="17"/>
  <c r="I711" i="17"/>
  <c r="I710" i="17"/>
  <c r="I709" i="17"/>
  <c r="I708" i="17"/>
  <c r="I707" i="17"/>
  <c r="I706" i="17"/>
  <c r="I705" i="17"/>
  <c r="I704" i="17"/>
  <c r="I703" i="17"/>
  <c r="I702" i="17"/>
  <c r="I701" i="17"/>
  <c r="I700" i="17"/>
  <c r="I699" i="17"/>
  <c r="I698" i="17"/>
  <c r="I697" i="17"/>
  <c r="I696" i="17"/>
  <c r="I695" i="17"/>
  <c r="I694" i="17"/>
  <c r="I693" i="17"/>
  <c r="I692" i="17"/>
  <c r="I691" i="17"/>
  <c r="I690" i="17"/>
  <c r="I689" i="17"/>
  <c r="I688" i="17"/>
  <c r="I687" i="17"/>
  <c r="I686" i="17"/>
  <c r="I685" i="17"/>
  <c r="I684" i="17"/>
  <c r="I683" i="17"/>
  <c r="I682" i="17"/>
  <c r="I681" i="17"/>
  <c r="I680" i="17"/>
  <c r="I679" i="17"/>
  <c r="I678" i="17"/>
  <c r="I677" i="17"/>
  <c r="I676" i="17"/>
  <c r="I675" i="17"/>
  <c r="I674" i="17"/>
  <c r="I673" i="17"/>
  <c r="I672" i="17"/>
  <c r="I671" i="17"/>
  <c r="I670" i="17"/>
  <c r="I669" i="17"/>
  <c r="I668" i="17"/>
  <c r="I667" i="17"/>
  <c r="I666" i="17"/>
  <c r="I665" i="17"/>
  <c r="I664" i="17"/>
  <c r="I663" i="17"/>
  <c r="I662" i="17"/>
  <c r="I661" i="17"/>
  <c r="I660" i="17"/>
  <c r="I659" i="17"/>
  <c r="I658" i="17"/>
  <c r="I657" i="17"/>
  <c r="I656" i="17"/>
  <c r="I655" i="17"/>
  <c r="I654" i="17"/>
  <c r="I653" i="17"/>
  <c r="I652" i="17"/>
  <c r="I651" i="17"/>
  <c r="I650" i="17"/>
  <c r="I649" i="17"/>
  <c r="I648" i="17"/>
  <c r="I647" i="17"/>
  <c r="I646" i="17"/>
  <c r="I645" i="17"/>
  <c r="I644" i="17"/>
  <c r="I643" i="17"/>
  <c r="I642" i="17"/>
  <c r="I641" i="17"/>
  <c r="I640" i="17"/>
  <c r="I639" i="17"/>
  <c r="I638" i="17"/>
  <c r="I637" i="17"/>
  <c r="I636" i="17"/>
  <c r="I635" i="17"/>
  <c r="I634" i="17"/>
  <c r="I633" i="17"/>
  <c r="I632" i="17"/>
  <c r="I631" i="17"/>
  <c r="I630" i="17"/>
  <c r="I629" i="17"/>
  <c r="I628" i="17"/>
  <c r="I627" i="17"/>
  <c r="I626" i="17"/>
  <c r="I625" i="17"/>
  <c r="I624" i="17"/>
  <c r="I623" i="17"/>
  <c r="I622" i="17"/>
  <c r="I621" i="17"/>
  <c r="I620" i="17"/>
  <c r="I619" i="17"/>
  <c r="I618" i="17"/>
  <c r="I617" i="17"/>
  <c r="I616" i="17"/>
  <c r="I615" i="17"/>
  <c r="I614" i="17"/>
  <c r="I613" i="17"/>
  <c r="I612" i="17"/>
  <c r="I611" i="17"/>
  <c r="I610" i="17"/>
  <c r="I609" i="17"/>
  <c r="I608" i="17"/>
  <c r="I607" i="17"/>
  <c r="I606" i="17"/>
  <c r="I605" i="17"/>
  <c r="I604" i="17"/>
  <c r="I603" i="17"/>
  <c r="I602" i="17"/>
  <c r="I601" i="17"/>
  <c r="I600" i="17"/>
  <c r="I599" i="17"/>
  <c r="I598" i="17"/>
  <c r="I597" i="17"/>
  <c r="I596" i="17"/>
  <c r="I595" i="17"/>
  <c r="I594" i="17"/>
  <c r="I593" i="17"/>
  <c r="I592" i="17"/>
  <c r="I591" i="17"/>
  <c r="I590" i="17"/>
  <c r="I589" i="17"/>
  <c r="I588" i="17"/>
  <c r="I587" i="17"/>
  <c r="I586" i="17"/>
  <c r="I585" i="17"/>
  <c r="I584" i="17"/>
  <c r="I583" i="17"/>
  <c r="I582" i="17"/>
  <c r="I581" i="17"/>
  <c r="I580" i="17"/>
  <c r="I579" i="17"/>
  <c r="I578" i="17"/>
  <c r="I577" i="17"/>
  <c r="I576" i="17"/>
  <c r="I575" i="17"/>
  <c r="I574" i="17"/>
  <c r="I573" i="17"/>
  <c r="I572" i="17"/>
  <c r="I571" i="17"/>
  <c r="I570" i="17"/>
  <c r="I569" i="17"/>
  <c r="I568" i="17"/>
  <c r="I567" i="17"/>
  <c r="I566" i="17"/>
  <c r="I565" i="17"/>
  <c r="I564" i="17"/>
  <c r="I563" i="17"/>
  <c r="I562" i="17"/>
  <c r="I561" i="17"/>
  <c r="I560" i="17"/>
  <c r="I559" i="17"/>
  <c r="I558" i="17"/>
  <c r="I557" i="17"/>
  <c r="I556" i="17"/>
  <c r="I555" i="17"/>
  <c r="I554" i="17"/>
  <c r="I553" i="17"/>
  <c r="I552" i="17"/>
  <c r="I551" i="17"/>
  <c r="I550" i="17"/>
  <c r="I549" i="17"/>
  <c r="I548" i="17"/>
  <c r="I547" i="17"/>
  <c r="I546" i="17"/>
  <c r="I545" i="17"/>
  <c r="I544" i="17"/>
  <c r="I543" i="17"/>
  <c r="I542" i="17"/>
  <c r="I541" i="17"/>
  <c r="I540" i="17"/>
  <c r="I539" i="17"/>
  <c r="I538" i="17"/>
  <c r="I537" i="17"/>
  <c r="I536" i="17"/>
  <c r="I535" i="17"/>
  <c r="I534" i="17"/>
  <c r="I533" i="17"/>
  <c r="I532" i="17"/>
  <c r="I531" i="17"/>
  <c r="I530" i="17"/>
  <c r="I529" i="17"/>
  <c r="I528" i="17"/>
  <c r="I527" i="17"/>
  <c r="I526" i="17"/>
  <c r="I525" i="17"/>
  <c r="I524" i="17"/>
  <c r="I523" i="17"/>
  <c r="I522" i="17"/>
  <c r="I521" i="17"/>
  <c r="I520" i="17"/>
  <c r="I519" i="17"/>
  <c r="I518" i="17"/>
  <c r="I517" i="17"/>
  <c r="I516" i="17"/>
  <c r="I515" i="17"/>
  <c r="I514" i="17"/>
  <c r="I513" i="17"/>
  <c r="I512" i="17"/>
  <c r="I511" i="17"/>
  <c r="I510" i="17"/>
  <c r="I509" i="17"/>
  <c r="I508" i="17"/>
  <c r="I507" i="17"/>
  <c r="I506" i="17"/>
  <c r="I505" i="17"/>
  <c r="I504" i="17"/>
  <c r="I503" i="17"/>
  <c r="I502" i="17"/>
  <c r="I501" i="17"/>
  <c r="I500" i="17"/>
  <c r="I499" i="17"/>
  <c r="I498" i="17"/>
  <c r="I497" i="17"/>
  <c r="I496" i="17"/>
  <c r="I495" i="17"/>
  <c r="I494" i="17"/>
  <c r="I493" i="17"/>
  <c r="I492" i="17"/>
  <c r="I491" i="17"/>
  <c r="I490" i="17"/>
  <c r="I489" i="17"/>
  <c r="I488" i="17"/>
  <c r="I487" i="17"/>
  <c r="I486" i="17"/>
  <c r="I485" i="17"/>
  <c r="I484" i="17"/>
  <c r="I483" i="17"/>
  <c r="I482" i="17"/>
  <c r="I481" i="17"/>
  <c r="I480" i="17"/>
  <c r="I479" i="17"/>
  <c r="I478" i="17"/>
  <c r="I477" i="17"/>
  <c r="I476" i="17"/>
  <c r="I475" i="17"/>
  <c r="I474" i="17"/>
  <c r="I473" i="17"/>
  <c r="I472" i="17"/>
  <c r="I471" i="17"/>
  <c r="I470" i="17"/>
  <c r="I469" i="17"/>
  <c r="I468" i="17"/>
  <c r="I467" i="17"/>
  <c r="I466" i="17"/>
  <c r="I465" i="17"/>
  <c r="I464" i="17"/>
  <c r="I463" i="17"/>
  <c r="I462" i="17"/>
  <c r="I461" i="17"/>
  <c r="I460" i="17"/>
  <c r="I459" i="17"/>
  <c r="I458" i="17"/>
  <c r="I457" i="17"/>
  <c r="I456" i="17"/>
  <c r="I455" i="17"/>
  <c r="I454" i="17"/>
  <c r="I453" i="17"/>
  <c r="I452" i="17"/>
  <c r="I451" i="17"/>
  <c r="I450" i="17"/>
  <c r="I449" i="17"/>
  <c r="I448" i="17"/>
  <c r="I447" i="17"/>
  <c r="I446" i="17"/>
  <c r="I445" i="17"/>
  <c r="I444" i="17"/>
  <c r="I443" i="17"/>
  <c r="I442" i="17"/>
  <c r="I441" i="17"/>
  <c r="I440" i="17"/>
  <c r="I439" i="17"/>
  <c r="I438" i="17"/>
  <c r="I437" i="17"/>
  <c r="I436" i="17"/>
  <c r="I435" i="17"/>
  <c r="I434" i="17"/>
  <c r="I433" i="17"/>
  <c r="I432" i="17"/>
  <c r="I431" i="17"/>
  <c r="I430" i="17"/>
  <c r="I429" i="17"/>
  <c r="I428" i="17"/>
  <c r="I427" i="17"/>
  <c r="I426" i="17"/>
  <c r="I425" i="17"/>
  <c r="I424" i="17"/>
  <c r="I423" i="17"/>
  <c r="I422" i="17"/>
  <c r="I421" i="17"/>
  <c r="I420" i="17"/>
  <c r="I419" i="17"/>
  <c r="I418" i="17"/>
  <c r="I417" i="17"/>
  <c r="I416" i="17"/>
  <c r="I415" i="17"/>
  <c r="I414" i="17"/>
  <c r="I413" i="17"/>
  <c r="I412" i="17"/>
  <c r="I411" i="17"/>
  <c r="I410" i="17"/>
  <c r="I409" i="17"/>
  <c r="I408" i="17"/>
  <c r="I407" i="17"/>
  <c r="I406" i="17"/>
  <c r="I405" i="17"/>
  <c r="I404" i="17"/>
  <c r="I403" i="17"/>
  <c r="I402" i="17"/>
  <c r="I401" i="17"/>
  <c r="I400" i="17"/>
  <c r="I399" i="17"/>
  <c r="I398" i="17"/>
  <c r="I397" i="17"/>
  <c r="I396" i="17"/>
  <c r="I395" i="17"/>
  <c r="I394" i="17"/>
  <c r="I393" i="17"/>
  <c r="I392" i="17"/>
  <c r="I391" i="17"/>
  <c r="I390" i="17"/>
  <c r="I389" i="17"/>
  <c r="I388" i="17"/>
  <c r="I387" i="17"/>
  <c r="I386" i="17"/>
  <c r="I385" i="17"/>
  <c r="I384" i="17"/>
  <c r="I383" i="17"/>
  <c r="I382" i="17"/>
  <c r="I381" i="17"/>
  <c r="I380" i="17"/>
  <c r="I379" i="17"/>
  <c r="I378" i="17"/>
  <c r="I377" i="17"/>
  <c r="I376" i="17"/>
  <c r="I375" i="17"/>
  <c r="I374" i="17"/>
  <c r="I373" i="17"/>
  <c r="I372" i="17"/>
  <c r="I371" i="17"/>
  <c r="I370" i="17"/>
  <c r="I369" i="17"/>
  <c r="I368" i="17"/>
  <c r="I367" i="17"/>
  <c r="I366" i="17"/>
  <c r="I365" i="17"/>
  <c r="I364" i="17"/>
  <c r="I363" i="17"/>
  <c r="I362" i="17"/>
  <c r="I361" i="17"/>
  <c r="I360" i="17"/>
  <c r="I359" i="17"/>
  <c r="I358" i="17"/>
  <c r="I357" i="17"/>
  <c r="I356" i="17"/>
  <c r="I355" i="17"/>
  <c r="I354" i="17"/>
  <c r="I353" i="17"/>
  <c r="I352" i="17"/>
  <c r="I351" i="17"/>
  <c r="I350" i="17"/>
  <c r="I349" i="17"/>
  <c r="I348" i="17"/>
  <c r="I347" i="17"/>
  <c r="I346" i="17"/>
  <c r="I345" i="17"/>
  <c r="I344" i="17"/>
  <c r="I343" i="17"/>
  <c r="I342" i="17"/>
  <c r="I341" i="17"/>
  <c r="I340" i="17"/>
  <c r="I339" i="17"/>
  <c r="I338" i="17"/>
  <c r="I337" i="17"/>
  <c r="I336" i="17"/>
  <c r="I335" i="17"/>
  <c r="I334" i="17"/>
  <c r="I333" i="17"/>
  <c r="I332" i="17"/>
  <c r="I331" i="17"/>
  <c r="I330" i="17"/>
  <c r="I329" i="17"/>
  <c r="I328" i="17"/>
  <c r="I327" i="17"/>
  <c r="I326" i="17"/>
  <c r="I325" i="17"/>
  <c r="I324" i="17"/>
  <c r="I323" i="17"/>
  <c r="I322" i="17"/>
  <c r="I321" i="17"/>
  <c r="I320" i="17"/>
  <c r="I319" i="17"/>
  <c r="I318" i="17"/>
  <c r="I317" i="17"/>
  <c r="I316" i="17"/>
  <c r="I315" i="17"/>
  <c r="I314" i="17"/>
  <c r="I313" i="17"/>
  <c r="I312" i="17"/>
  <c r="I311" i="17"/>
  <c r="I310" i="17"/>
  <c r="I309" i="17"/>
  <c r="I308" i="17"/>
  <c r="I307" i="17"/>
  <c r="I306" i="17"/>
  <c r="I305" i="17"/>
  <c r="I304" i="17"/>
  <c r="I303" i="17"/>
  <c r="I302" i="17"/>
  <c r="I301" i="17"/>
  <c r="I300" i="17"/>
  <c r="I299" i="17"/>
  <c r="I298" i="17"/>
  <c r="I297" i="17"/>
  <c r="I296" i="17"/>
  <c r="I295" i="17"/>
  <c r="I294" i="17"/>
  <c r="I293" i="17"/>
  <c r="I292" i="17"/>
  <c r="I291" i="17"/>
  <c r="I290" i="17"/>
  <c r="I289" i="17"/>
  <c r="I288" i="17"/>
  <c r="I287" i="17"/>
  <c r="I286" i="17"/>
  <c r="I285" i="17"/>
  <c r="I284" i="17"/>
  <c r="I283" i="17"/>
  <c r="I282" i="17"/>
  <c r="I281" i="17"/>
  <c r="I280" i="17"/>
  <c r="I279" i="17"/>
  <c r="I278" i="17"/>
  <c r="I277" i="17"/>
  <c r="I276" i="17"/>
  <c r="I275" i="17"/>
  <c r="I274" i="17"/>
  <c r="I273" i="17"/>
  <c r="I272" i="17"/>
  <c r="I271" i="17"/>
  <c r="I270" i="17"/>
  <c r="I269" i="17"/>
  <c r="I268" i="17"/>
  <c r="I267" i="17"/>
  <c r="I266" i="17"/>
  <c r="I265" i="17"/>
  <c r="I264" i="17"/>
  <c r="I263" i="17"/>
  <c r="I262" i="17"/>
  <c r="I261" i="17"/>
  <c r="I260" i="17"/>
  <c r="I259" i="17"/>
  <c r="I258" i="17"/>
  <c r="I257" i="17"/>
  <c r="I256" i="17"/>
  <c r="I255" i="17"/>
  <c r="I254" i="17"/>
  <c r="I253" i="17"/>
  <c r="I252" i="17"/>
  <c r="I251" i="17"/>
  <c r="I250" i="17"/>
  <c r="I249" i="17"/>
  <c r="I248" i="17"/>
  <c r="I247" i="17"/>
  <c r="I246" i="17"/>
  <c r="I245" i="17"/>
  <c r="I244" i="17"/>
  <c r="I243" i="17"/>
  <c r="I242" i="17"/>
  <c r="I241" i="17"/>
  <c r="I240" i="17"/>
  <c r="I239" i="17"/>
  <c r="I238" i="17"/>
  <c r="I237" i="17"/>
  <c r="I236" i="17"/>
  <c r="I235" i="17"/>
  <c r="I234" i="17"/>
  <c r="I233" i="17"/>
  <c r="I232" i="17"/>
  <c r="I231" i="17"/>
  <c r="I230" i="17"/>
  <c r="I229" i="17"/>
  <c r="I228" i="17"/>
  <c r="I227" i="17"/>
  <c r="I226" i="17"/>
  <c r="I225" i="17"/>
  <c r="I224" i="17"/>
  <c r="I223" i="17"/>
  <c r="I222" i="17"/>
  <c r="I221" i="17"/>
  <c r="I220" i="17"/>
  <c r="I219" i="17"/>
  <c r="I218" i="17"/>
  <c r="I217" i="17"/>
  <c r="I216" i="17"/>
  <c r="I215" i="17"/>
  <c r="I214" i="17"/>
  <c r="I213" i="17"/>
  <c r="I212" i="17"/>
  <c r="I211" i="17"/>
  <c r="I210" i="17"/>
  <c r="I209" i="17"/>
  <c r="I208" i="17"/>
  <c r="I207" i="17"/>
  <c r="I206" i="17"/>
  <c r="I205" i="17"/>
  <c r="I204" i="17"/>
  <c r="I203" i="17"/>
  <c r="I202" i="17"/>
  <c r="I201" i="17"/>
  <c r="I200" i="17"/>
  <c r="I199" i="17"/>
  <c r="I198" i="17"/>
  <c r="I197" i="17"/>
  <c r="I196" i="17"/>
  <c r="I195" i="17"/>
  <c r="I194" i="17"/>
  <c r="I193" i="17"/>
  <c r="I192" i="17"/>
  <c r="I191" i="17"/>
  <c r="I190" i="17"/>
  <c r="I189" i="17"/>
  <c r="I188" i="17"/>
  <c r="I187" i="17"/>
  <c r="I186" i="17"/>
  <c r="I185" i="17"/>
  <c r="I184" i="17"/>
  <c r="I183" i="17"/>
  <c r="I182" i="17"/>
  <c r="I181" i="17"/>
  <c r="I180" i="17"/>
  <c r="I179" i="17"/>
  <c r="I178" i="17"/>
  <c r="I177" i="17"/>
  <c r="I176" i="17"/>
  <c r="I175" i="17"/>
  <c r="I174" i="17"/>
  <c r="I173" i="17"/>
  <c r="I172" i="17"/>
  <c r="I171" i="17"/>
  <c r="I170" i="17"/>
  <c r="I169" i="17"/>
  <c r="I168" i="17"/>
  <c r="I167" i="17"/>
  <c r="I166" i="17"/>
  <c r="I165" i="17"/>
  <c r="I164" i="17"/>
  <c r="I163" i="17"/>
  <c r="I162" i="17"/>
  <c r="I161" i="17"/>
  <c r="I160" i="17"/>
  <c r="I159" i="17"/>
  <c r="I158" i="17"/>
  <c r="I157" i="17"/>
  <c r="I156" i="17"/>
  <c r="I155" i="17"/>
  <c r="I154" i="17"/>
  <c r="I153" i="17"/>
  <c r="I152" i="17"/>
  <c r="I151" i="17"/>
  <c r="I150" i="17"/>
  <c r="I149" i="17"/>
  <c r="I148" i="17"/>
  <c r="I147" i="17"/>
  <c r="I146" i="17"/>
  <c r="I145" i="17"/>
  <c r="I144" i="17"/>
  <c r="I143" i="17"/>
  <c r="I142" i="17"/>
  <c r="I141" i="17"/>
  <c r="I140" i="17"/>
  <c r="I139" i="17"/>
  <c r="I138" i="17"/>
  <c r="I137" i="17"/>
  <c r="I136" i="17"/>
  <c r="I135" i="17"/>
  <c r="I134" i="17"/>
  <c r="I133" i="17"/>
  <c r="I132" i="17"/>
  <c r="I131" i="17"/>
  <c r="I130" i="17"/>
  <c r="I129" i="17"/>
  <c r="I128" i="17"/>
  <c r="I127" i="17"/>
  <c r="I126" i="17"/>
  <c r="I125" i="17"/>
  <c r="I124" i="17"/>
  <c r="I123" i="17"/>
  <c r="I122" i="17"/>
  <c r="I121" i="17"/>
  <c r="I120" i="17"/>
  <c r="I119" i="17"/>
  <c r="I118" i="17"/>
  <c r="I117" i="17"/>
  <c r="I116" i="17"/>
  <c r="I115" i="17"/>
  <c r="I114" i="17"/>
  <c r="I113" i="17"/>
  <c r="I112" i="17"/>
  <c r="I111" i="17"/>
  <c r="I110" i="17"/>
  <c r="I109" i="17"/>
  <c r="I108" i="17"/>
  <c r="I107" i="17"/>
  <c r="I106" i="17"/>
  <c r="I105" i="17"/>
  <c r="I104" i="17"/>
  <c r="I103" i="17"/>
  <c r="I102" i="17"/>
  <c r="I101" i="17"/>
  <c r="I100" i="17"/>
  <c r="I99" i="17"/>
  <c r="I98" i="17"/>
  <c r="I97" i="17"/>
  <c r="I96" i="17"/>
  <c r="I95" i="17"/>
  <c r="I94" i="17"/>
  <c r="I93" i="17"/>
  <c r="I92" i="17"/>
  <c r="I91" i="17"/>
  <c r="I90" i="17"/>
  <c r="I89" i="17"/>
  <c r="I88" i="17"/>
  <c r="I87" i="17"/>
  <c r="I86" i="17"/>
  <c r="I85" i="17"/>
  <c r="I84" i="17"/>
  <c r="I83" i="17"/>
  <c r="I82" i="17"/>
  <c r="I81" i="17"/>
  <c r="I80" i="17"/>
  <c r="I79" i="17"/>
  <c r="I78" i="17"/>
  <c r="I77" i="17"/>
  <c r="I76" i="17"/>
  <c r="I75" i="17"/>
  <c r="I74" i="17"/>
  <c r="I73" i="17"/>
  <c r="I72" i="17"/>
  <c r="I71" i="17"/>
  <c r="I70" i="17"/>
  <c r="I69" i="17"/>
  <c r="I68" i="17"/>
  <c r="I67" i="17"/>
  <c r="I66" i="17"/>
  <c r="I65" i="17"/>
  <c r="I64" i="17"/>
  <c r="I63" i="17"/>
  <c r="I62" i="17"/>
  <c r="I61" i="17"/>
  <c r="I60" i="17"/>
  <c r="I59" i="17"/>
  <c r="I58" i="17"/>
  <c r="I57" i="17"/>
  <c r="I56" i="17"/>
  <c r="I55" i="17"/>
  <c r="I54" i="17"/>
  <c r="I53" i="17"/>
  <c r="I52" i="17"/>
  <c r="I51" i="17"/>
  <c r="I50" i="17"/>
  <c r="I49" i="17"/>
  <c r="I48" i="17"/>
  <c r="I47" i="17"/>
  <c r="I46" i="17"/>
  <c r="I45" i="17"/>
  <c r="I44" i="17"/>
  <c r="I43" i="17"/>
  <c r="I42" i="17"/>
  <c r="I41" i="17"/>
  <c r="I40" i="17"/>
  <c r="I39" i="17"/>
  <c r="I38" i="17"/>
  <c r="I37" i="17"/>
  <c r="I36" i="17"/>
  <c r="I35" i="17"/>
  <c r="I34" i="17"/>
  <c r="I33" i="17"/>
  <c r="I32" i="17"/>
  <c r="I31" i="17"/>
  <c r="I30" i="17"/>
  <c r="I29" i="17"/>
  <c r="I28" i="17"/>
  <c r="I27" i="17"/>
  <c r="I26" i="17"/>
  <c r="I25" i="17"/>
  <c r="I24" i="17"/>
  <c r="I23" i="17"/>
  <c r="I22" i="17"/>
  <c r="I21" i="17"/>
  <c r="I20" i="17"/>
  <c r="I19" i="17"/>
  <c r="I18" i="17"/>
  <c r="I17" i="17"/>
  <c r="I16" i="17"/>
  <c r="I15" i="17"/>
  <c r="I14" i="17"/>
  <c r="I13" i="17"/>
  <c r="I12" i="17"/>
  <c r="I11" i="17"/>
  <c r="I10" i="17"/>
  <c r="I9" i="17"/>
  <c r="I8" i="17"/>
  <c r="I7" i="17"/>
  <c r="I6" i="17"/>
  <c r="D1519" i="17"/>
  <c r="D1518" i="17"/>
  <c r="D1517" i="17"/>
  <c r="D1514" i="17"/>
  <c r="D1513" i="17"/>
  <c r="D1512" i="17"/>
  <c r="D1511" i="17"/>
  <c r="D1510" i="17"/>
  <c r="D1509" i="17"/>
  <c r="D1508" i="17"/>
  <c r="D1507" i="17"/>
  <c r="D1506" i="17"/>
  <c r="D1505" i="17"/>
  <c r="D1504" i="17"/>
  <c r="D1503" i="17"/>
  <c r="D1502" i="17"/>
  <c r="D1501" i="17"/>
  <c r="D1500" i="17"/>
  <c r="D1499" i="17"/>
  <c r="D1498" i="17"/>
  <c r="D1497" i="17"/>
  <c r="D1496" i="17"/>
  <c r="D1495" i="17"/>
  <c r="D1494" i="17"/>
  <c r="D1493" i="17"/>
  <c r="D1492" i="17"/>
  <c r="D1491" i="17"/>
  <c r="D1490" i="17"/>
  <c r="D1489" i="17"/>
  <c r="D1488" i="17"/>
  <c r="D1487" i="17"/>
  <c r="D1486" i="17"/>
  <c r="D1485" i="17"/>
  <c r="D1484" i="17"/>
  <c r="D1483" i="17"/>
  <c r="D1482" i="17"/>
  <c r="D1481" i="17"/>
  <c r="D1480" i="17"/>
  <c r="D1479" i="17"/>
  <c r="D1478" i="17"/>
  <c r="D1477" i="17"/>
  <c r="D1476" i="17"/>
  <c r="D1475" i="17"/>
  <c r="D1474" i="17"/>
  <c r="D1473" i="17"/>
  <c r="D1472" i="17"/>
  <c r="D1471" i="17"/>
  <c r="D1470" i="17"/>
  <c r="D1469" i="17"/>
  <c r="D1468" i="17"/>
  <c r="D1467" i="17"/>
  <c r="D1466" i="17"/>
  <c r="D1465" i="17"/>
  <c r="D1464" i="17"/>
  <c r="D1463" i="17"/>
  <c r="D1462" i="17"/>
  <c r="D1461" i="17"/>
  <c r="D1460" i="17"/>
  <c r="D1459" i="17"/>
  <c r="D1458" i="17"/>
  <c r="D1457" i="17"/>
  <c r="D1456" i="17"/>
  <c r="D1455" i="17"/>
  <c r="D1454" i="17"/>
  <c r="D1453" i="17"/>
  <c r="D1452" i="17"/>
  <c r="D1451" i="17"/>
  <c r="D1450" i="17"/>
  <c r="D1449" i="17"/>
  <c r="D1448" i="17"/>
  <c r="D1447" i="17"/>
  <c r="D1446" i="17"/>
  <c r="D1445" i="17"/>
  <c r="D1444" i="17"/>
  <c r="D1443" i="17"/>
  <c r="D1442" i="17"/>
  <c r="D1441" i="17"/>
  <c r="D1440" i="17"/>
  <c r="D1439" i="17"/>
  <c r="D1438" i="17"/>
  <c r="D1437" i="17"/>
  <c r="D1436" i="17"/>
  <c r="D1435" i="17"/>
  <c r="D1434" i="17"/>
  <c r="D1433" i="17"/>
  <c r="D1432" i="17"/>
  <c r="D1431" i="17"/>
  <c r="D1430" i="17"/>
  <c r="D1429" i="17"/>
  <c r="D1428" i="17"/>
  <c r="D1427" i="17"/>
  <c r="D1426" i="17"/>
  <c r="D1425" i="17"/>
  <c r="D1424" i="17"/>
  <c r="D1423" i="17"/>
  <c r="D1422" i="17"/>
  <c r="D1421" i="17"/>
  <c r="D1420" i="17"/>
  <c r="D1419" i="17"/>
  <c r="D1418" i="17"/>
  <c r="D1417" i="17"/>
  <c r="D1416" i="17"/>
  <c r="D1415" i="17"/>
  <c r="D1414" i="17"/>
  <c r="D1413" i="17"/>
  <c r="D1412" i="17"/>
  <c r="D1411" i="17"/>
  <c r="D1410" i="17"/>
  <c r="D1409" i="17"/>
  <c r="D1408" i="17"/>
  <c r="D1407" i="17"/>
  <c r="D1406" i="17"/>
  <c r="D1405" i="17"/>
  <c r="D1404" i="17"/>
  <c r="D1403" i="17"/>
  <c r="D1402" i="17"/>
  <c r="D1401" i="17"/>
  <c r="D1400" i="17"/>
  <c r="D1399" i="17"/>
  <c r="D1398" i="17"/>
  <c r="D1397" i="17"/>
  <c r="D1396" i="17"/>
  <c r="D1395" i="17"/>
  <c r="D1394" i="17"/>
  <c r="D1393" i="17"/>
  <c r="D1392" i="17"/>
  <c r="D1391" i="17"/>
  <c r="D1390" i="17"/>
  <c r="D1389" i="17"/>
  <c r="D1388" i="17"/>
  <c r="D1387" i="17"/>
  <c r="D1386" i="17"/>
  <c r="D1385" i="17"/>
  <c r="D1384" i="17"/>
  <c r="D1383" i="17"/>
  <c r="D1382" i="17"/>
  <c r="D1381" i="17"/>
  <c r="D1380" i="17"/>
  <c r="D1379" i="17"/>
  <c r="D1378" i="17"/>
  <c r="D1377" i="17"/>
  <c r="D1376" i="17"/>
  <c r="D1375" i="17"/>
  <c r="D1374" i="17"/>
  <c r="D1373" i="17"/>
  <c r="D1372" i="17"/>
  <c r="D1371" i="17"/>
  <c r="D1370" i="17"/>
  <c r="D1369" i="17"/>
  <c r="D1368" i="17"/>
  <c r="D1367" i="17"/>
  <c r="D1366" i="17"/>
  <c r="D1365" i="17"/>
  <c r="D1364" i="17"/>
  <c r="D1363" i="17"/>
  <c r="D1362" i="17"/>
  <c r="D1361" i="17"/>
  <c r="D1360" i="17"/>
  <c r="D1359" i="17"/>
  <c r="D1358" i="17"/>
  <c r="D1357" i="17"/>
  <c r="D1356" i="17"/>
  <c r="D1355" i="17"/>
  <c r="D1354" i="17"/>
  <c r="D1353" i="17"/>
  <c r="D1352" i="17"/>
  <c r="D1351" i="17"/>
  <c r="D1350" i="17"/>
  <c r="D1349" i="17"/>
  <c r="D1348" i="17"/>
  <c r="D1347" i="17"/>
  <c r="D1346" i="17"/>
  <c r="D1345" i="17"/>
  <c r="D1344" i="17"/>
  <c r="D1343" i="17"/>
  <c r="D1342" i="17"/>
  <c r="D1341" i="17"/>
  <c r="D1340" i="17"/>
  <c r="D1339" i="17"/>
  <c r="D1338" i="17"/>
  <c r="D1337" i="17"/>
  <c r="D1336" i="17"/>
  <c r="D1335" i="17"/>
  <c r="D1334" i="17"/>
  <c r="D1333" i="17"/>
  <c r="D1332" i="17"/>
  <c r="D1331" i="17"/>
  <c r="D1330" i="17"/>
  <c r="D1329" i="17"/>
  <c r="D1328" i="17"/>
  <c r="D1327" i="17"/>
  <c r="D1326" i="17"/>
  <c r="D1325" i="17"/>
  <c r="D1324" i="17"/>
  <c r="D1323" i="17"/>
  <c r="D1322" i="17"/>
  <c r="D1321" i="17"/>
  <c r="D1320" i="17"/>
  <c r="D1319" i="17"/>
  <c r="D1318" i="17"/>
  <c r="D1317" i="17"/>
  <c r="D1316" i="17"/>
  <c r="D1315" i="17"/>
  <c r="D1314" i="17"/>
  <c r="D1313" i="17"/>
  <c r="D1312" i="17"/>
  <c r="D1311" i="17"/>
  <c r="D1310" i="17"/>
  <c r="D1309" i="17"/>
  <c r="D1308" i="17"/>
  <c r="D1307" i="17"/>
  <c r="D1306" i="17"/>
  <c r="D1305" i="17"/>
  <c r="D1304" i="17"/>
  <c r="D1303" i="17"/>
  <c r="D1302" i="17"/>
  <c r="D1301" i="17"/>
  <c r="D1300" i="17"/>
  <c r="D1299" i="17"/>
  <c r="D1298" i="17"/>
  <c r="D1297" i="17"/>
  <c r="D1296" i="17"/>
  <c r="D1295" i="17"/>
  <c r="D1294" i="17"/>
  <c r="D1293" i="17"/>
  <c r="D1292" i="17"/>
  <c r="D1291" i="17"/>
  <c r="D1290" i="17"/>
  <c r="D1289" i="17"/>
  <c r="D1288" i="17"/>
  <c r="D1287" i="17"/>
  <c r="D1286" i="17"/>
  <c r="D1285" i="17"/>
  <c r="D1284" i="17"/>
  <c r="D1283" i="17"/>
  <c r="D1282" i="17"/>
  <c r="D1281" i="17"/>
  <c r="D1280" i="17"/>
  <c r="D1279" i="17"/>
  <c r="D1278" i="17"/>
  <c r="D1277" i="17"/>
  <c r="D1276" i="17"/>
  <c r="D1275" i="17"/>
  <c r="D1274" i="17"/>
  <c r="D1273" i="17"/>
  <c r="D1272" i="17"/>
  <c r="D1271" i="17"/>
  <c r="D1270" i="17"/>
  <c r="D1269" i="17"/>
  <c r="D1268" i="17"/>
  <c r="D1267" i="17"/>
  <c r="D1266" i="17"/>
  <c r="D1265" i="17"/>
  <c r="D1264" i="17"/>
  <c r="D1263" i="17"/>
  <c r="D1262" i="17"/>
  <c r="D1261" i="17"/>
  <c r="D1260" i="17"/>
  <c r="D1259" i="17"/>
  <c r="D1258" i="17"/>
  <c r="D1257" i="17"/>
  <c r="D1256" i="17"/>
  <c r="D1255" i="17"/>
  <c r="D1254" i="17"/>
  <c r="D1253" i="17"/>
  <c r="D1252" i="17"/>
  <c r="D1251" i="17"/>
  <c r="D1250" i="17"/>
  <c r="D1249" i="17"/>
  <c r="D1248" i="17"/>
  <c r="D1247" i="17"/>
  <c r="D1246" i="17"/>
  <c r="D1245" i="17"/>
  <c r="D1244" i="17"/>
  <c r="D1243" i="17"/>
  <c r="D1242" i="17"/>
  <c r="D1241" i="17"/>
  <c r="D1240" i="17"/>
  <c r="D1239" i="17"/>
  <c r="D1238" i="17"/>
  <c r="D1237" i="17"/>
  <c r="D1236" i="17"/>
  <c r="D1235" i="17"/>
  <c r="D1234" i="17"/>
  <c r="D1233" i="17"/>
  <c r="D1232" i="17"/>
  <c r="D1231" i="17"/>
  <c r="D1230" i="17"/>
  <c r="D1229" i="17"/>
  <c r="D1228" i="17"/>
  <c r="D1227" i="17"/>
  <c r="D1226" i="17"/>
  <c r="D1225" i="17"/>
  <c r="D1224" i="17"/>
  <c r="D1223" i="17"/>
  <c r="D1222" i="17"/>
  <c r="D1221" i="17"/>
  <c r="D1220" i="17"/>
  <c r="D1219" i="17"/>
  <c r="D1218" i="17"/>
  <c r="D1217" i="17"/>
  <c r="D1216" i="17"/>
  <c r="D1215" i="17"/>
  <c r="D1214" i="17"/>
  <c r="D1213" i="17"/>
  <c r="D1212" i="17"/>
  <c r="D1211" i="17"/>
  <c r="D1210" i="17"/>
  <c r="D1209" i="17"/>
  <c r="D1208" i="17"/>
  <c r="D1207" i="17"/>
  <c r="D1206" i="17"/>
  <c r="D1205" i="17"/>
  <c r="D1204" i="17"/>
  <c r="D1203" i="17"/>
  <c r="D1202" i="17"/>
  <c r="D1201" i="17"/>
  <c r="D1200" i="17"/>
  <c r="D1199" i="17"/>
  <c r="D1198" i="17"/>
  <c r="D1197" i="17"/>
  <c r="D1196" i="17"/>
  <c r="D1195" i="17"/>
  <c r="D1194" i="17"/>
  <c r="D1193" i="17"/>
  <c r="D1192" i="17"/>
  <c r="D1191" i="17"/>
  <c r="D1190" i="17"/>
  <c r="D1189" i="17"/>
  <c r="D1188" i="17"/>
  <c r="D1187" i="17"/>
  <c r="D1186" i="17"/>
  <c r="D1185" i="17"/>
  <c r="D1184" i="17"/>
  <c r="D1183" i="17"/>
  <c r="D1182" i="17"/>
  <c r="D1181" i="17"/>
  <c r="D1180" i="17"/>
  <c r="D1179" i="17"/>
  <c r="D1178" i="17"/>
  <c r="D1177" i="17"/>
  <c r="D1176" i="17"/>
  <c r="D1175" i="17"/>
  <c r="D1174" i="17"/>
  <c r="D1173" i="17"/>
  <c r="D1172" i="17"/>
  <c r="D1171" i="17"/>
  <c r="D1170" i="17"/>
  <c r="D1169" i="17"/>
  <c r="D1168" i="17"/>
  <c r="D1167" i="17"/>
  <c r="D1166" i="17"/>
  <c r="D1165" i="17"/>
  <c r="D1164" i="17"/>
  <c r="D1163" i="17"/>
  <c r="D1162" i="17"/>
  <c r="D1161" i="17"/>
  <c r="D1160" i="17"/>
  <c r="D1159" i="17"/>
  <c r="D1158" i="17"/>
  <c r="D1157" i="17"/>
  <c r="D1156" i="17"/>
  <c r="D1155" i="17"/>
  <c r="D1154" i="17"/>
  <c r="D1153" i="17"/>
  <c r="D1152" i="17"/>
  <c r="D1151" i="17"/>
  <c r="D1150" i="17"/>
  <c r="D1149" i="17"/>
  <c r="D1148" i="17"/>
  <c r="D1147" i="17"/>
  <c r="D1146" i="17"/>
  <c r="D1145" i="17"/>
  <c r="D1144" i="17"/>
  <c r="D1143" i="17"/>
  <c r="D1142" i="17"/>
  <c r="D1141" i="17"/>
  <c r="D1140" i="17"/>
  <c r="D1139" i="17"/>
  <c r="D1138" i="17"/>
  <c r="D1137" i="17"/>
  <c r="D1136" i="17"/>
  <c r="D1135" i="17"/>
  <c r="D1134" i="17"/>
  <c r="D1133" i="17"/>
  <c r="D1132" i="17"/>
  <c r="D1131" i="17"/>
  <c r="D1130" i="17"/>
  <c r="D1129" i="17"/>
  <c r="D1128" i="17"/>
  <c r="D1127" i="17"/>
  <c r="D1126" i="17"/>
  <c r="D1125" i="17"/>
  <c r="D1124" i="17"/>
  <c r="D1123" i="17"/>
  <c r="D1122" i="17"/>
  <c r="D1121" i="17"/>
  <c r="D1120" i="17"/>
  <c r="D1119" i="17"/>
  <c r="D1118" i="17"/>
  <c r="D1117" i="17"/>
  <c r="D1116" i="17"/>
  <c r="D1115" i="17"/>
  <c r="D1114" i="17"/>
  <c r="D1113" i="17"/>
  <c r="D1112" i="17"/>
  <c r="D1111" i="17"/>
  <c r="D1110" i="17"/>
  <c r="D1109" i="17"/>
  <c r="D1108" i="17"/>
  <c r="D1107" i="17"/>
  <c r="D1106" i="17"/>
  <c r="D1105" i="17"/>
  <c r="D1104" i="17"/>
  <c r="D1103" i="17"/>
  <c r="D1102" i="17"/>
  <c r="D1101" i="17"/>
  <c r="D1100" i="17"/>
  <c r="D1099" i="17"/>
  <c r="D1098" i="17"/>
  <c r="D1097" i="17"/>
  <c r="D1096" i="17"/>
  <c r="D1095" i="17"/>
  <c r="D1094" i="17"/>
  <c r="D1093" i="17"/>
  <c r="D1092" i="17"/>
  <c r="D1091" i="17"/>
  <c r="D1090" i="17"/>
  <c r="D1089" i="17"/>
  <c r="D1088" i="17"/>
  <c r="D1087" i="17"/>
  <c r="D1086" i="17"/>
  <c r="D1085" i="17"/>
  <c r="D1084" i="17"/>
  <c r="D1083" i="17"/>
  <c r="D1082" i="17"/>
  <c r="D1081" i="17"/>
  <c r="D1080" i="17"/>
  <c r="D1079" i="17"/>
  <c r="D1078" i="17"/>
  <c r="D1077" i="17"/>
  <c r="D1076" i="17"/>
  <c r="D1075" i="17"/>
  <c r="D1074" i="17"/>
  <c r="D1073" i="17"/>
  <c r="D1072" i="17"/>
  <c r="D1071" i="17"/>
  <c r="D1070" i="17"/>
  <c r="D1069" i="17"/>
  <c r="D1068" i="17"/>
  <c r="D1067" i="17"/>
  <c r="D1066" i="17"/>
  <c r="D1065" i="17"/>
  <c r="D1064" i="17"/>
  <c r="D1063" i="17"/>
  <c r="D1062" i="17"/>
  <c r="D1061" i="17"/>
  <c r="D1060" i="17"/>
  <c r="D1059" i="17"/>
  <c r="D1058" i="17"/>
  <c r="D1057" i="17"/>
  <c r="D1056" i="17"/>
  <c r="D1055" i="17"/>
  <c r="D1054" i="17"/>
  <c r="D1053" i="17"/>
  <c r="D1052" i="17"/>
  <c r="D1051" i="17"/>
  <c r="D1050" i="17"/>
  <c r="D1049" i="17"/>
  <c r="D1048" i="17"/>
  <c r="D1047" i="17"/>
  <c r="D1046" i="17"/>
  <c r="D1045" i="17"/>
  <c r="D1044" i="17"/>
  <c r="D1043" i="17"/>
  <c r="D1042" i="17"/>
  <c r="D1041" i="17"/>
  <c r="D1040" i="17"/>
  <c r="D1039" i="17"/>
  <c r="D1038" i="17"/>
  <c r="D1037" i="17"/>
  <c r="D1036" i="17"/>
  <c r="D1035" i="17"/>
  <c r="D1034" i="17"/>
  <c r="D1033" i="17"/>
  <c r="D1032" i="17"/>
  <c r="D1031" i="17"/>
  <c r="D1030" i="17"/>
  <c r="D1029" i="17"/>
  <c r="D1028" i="17"/>
  <c r="D1027" i="17"/>
  <c r="D1026" i="17"/>
  <c r="D1025" i="17"/>
  <c r="D1024" i="17"/>
  <c r="D1023" i="17"/>
  <c r="D1022" i="17"/>
  <c r="D1021" i="17"/>
  <c r="D1020" i="17"/>
  <c r="D1019" i="17"/>
  <c r="D1018" i="17"/>
  <c r="D1017" i="17"/>
  <c r="D1016" i="17"/>
  <c r="D1015" i="17"/>
  <c r="D1014" i="17"/>
  <c r="D1013" i="17"/>
  <c r="D1012" i="17"/>
  <c r="D1011" i="17"/>
  <c r="D1010" i="17"/>
  <c r="D1009" i="17"/>
  <c r="D1008" i="17"/>
  <c r="D1007" i="17"/>
  <c r="D1006" i="17"/>
  <c r="D1005" i="17"/>
  <c r="D1004" i="17"/>
  <c r="D1003" i="17"/>
  <c r="D1002" i="17"/>
  <c r="D1001" i="17"/>
  <c r="D1000" i="17"/>
  <c r="D999" i="17"/>
  <c r="D998" i="17"/>
  <c r="D997" i="17"/>
  <c r="D996" i="17"/>
  <c r="D995" i="17"/>
  <c r="D994" i="17"/>
  <c r="D993" i="17"/>
  <c r="D992" i="17"/>
  <c r="D991" i="17"/>
  <c r="D990" i="17"/>
  <c r="D989" i="17"/>
  <c r="D988" i="17"/>
  <c r="D987" i="17"/>
  <c r="D986" i="17"/>
  <c r="D985" i="17"/>
  <c r="D984" i="17"/>
  <c r="D983" i="17"/>
  <c r="D982" i="17"/>
  <c r="D981" i="17"/>
  <c r="D980" i="17"/>
  <c r="D979" i="17"/>
  <c r="D978" i="17"/>
  <c r="D977" i="17"/>
  <c r="D976" i="17"/>
  <c r="D975" i="17"/>
  <c r="D974" i="17"/>
  <c r="D973" i="17"/>
  <c r="D972" i="17"/>
  <c r="D971" i="17"/>
  <c r="D970" i="17"/>
  <c r="D969" i="17"/>
  <c r="D968" i="17"/>
  <c r="D967" i="17"/>
  <c r="D966" i="17"/>
  <c r="D965" i="17"/>
  <c r="D964" i="17"/>
  <c r="D963" i="17"/>
  <c r="D962" i="17"/>
  <c r="D961" i="17"/>
  <c r="D960" i="17"/>
  <c r="D959" i="17"/>
  <c r="D958" i="17"/>
  <c r="D957" i="17"/>
  <c r="D956" i="17"/>
  <c r="D955" i="17"/>
  <c r="D954" i="17"/>
  <c r="D953" i="17"/>
  <c r="D952" i="17"/>
  <c r="D951" i="17"/>
  <c r="D950" i="17"/>
  <c r="D949" i="17"/>
  <c r="D948" i="17"/>
  <c r="D947" i="17"/>
  <c r="D946" i="17"/>
  <c r="D945" i="17"/>
  <c r="D944" i="17"/>
  <c r="D943" i="17"/>
  <c r="D942" i="17"/>
  <c r="D941" i="17"/>
  <c r="D940" i="17"/>
  <c r="D939" i="17"/>
  <c r="D938" i="17"/>
  <c r="D937" i="17"/>
  <c r="D936" i="17"/>
  <c r="D935" i="17"/>
  <c r="D934" i="17"/>
  <c r="D933" i="17"/>
  <c r="D932" i="17"/>
  <c r="D931" i="17"/>
  <c r="D930" i="17"/>
  <c r="D929" i="17"/>
  <c r="D928" i="17"/>
  <c r="D927" i="17"/>
  <c r="D926" i="17"/>
  <c r="D925" i="17"/>
  <c r="D924" i="17"/>
  <c r="D923" i="17"/>
  <c r="D922" i="17"/>
  <c r="D921" i="17"/>
  <c r="D920" i="17"/>
  <c r="D919" i="17"/>
  <c r="D918" i="17"/>
  <c r="D917" i="17"/>
  <c r="D916" i="17"/>
  <c r="D915" i="17"/>
  <c r="D914" i="17"/>
  <c r="D913" i="17"/>
  <c r="D912" i="17"/>
  <c r="D911" i="17"/>
  <c r="D910" i="17"/>
  <c r="D909" i="17"/>
  <c r="D908" i="17"/>
  <c r="D907" i="17"/>
  <c r="D906" i="17"/>
  <c r="D905" i="17"/>
  <c r="D904" i="17"/>
  <c r="D903" i="17"/>
  <c r="D902" i="17"/>
  <c r="D901" i="17"/>
  <c r="D900" i="17"/>
  <c r="D899" i="17"/>
  <c r="D898" i="17"/>
  <c r="D897" i="17"/>
  <c r="D896" i="17"/>
  <c r="D895" i="17"/>
  <c r="D894" i="17"/>
  <c r="D893" i="17"/>
  <c r="D892" i="17"/>
  <c r="D891" i="17"/>
  <c r="D890" i="17"/>
  <c r="D889" i="17"/>
  <c r="D888" i="17"/>
  <c r="D887" i="17"/>
  <c r="D886" i="17"/>
  <c r="D885" i="17"/>
  <c r="D884" i="17"/>
  <c r="D883" i="17"/>
  <c r="D882" i="17"/>
  <c r="D881" i="17"/>
  <c r="D880" i="17"/>
  <c r="D879" i="17"/>
  <c r="D878" i="17"/>
  <c r="D877" i="17"/>
  <c r="D876" i="17"/>
  <c r="D875" i="17"/>
  <c r="D874" i="17"/>
  <c r="D873" i="17"/>
  <c r="D872" i="17"/>
  <c r="D871" i="17"/>
  <c r="D870" i="17"/>
  <c r="D869" i="17"/>
  <c r="D868" i="17"/>
  <c r="D867" i="17"/>
  <c r="D866" i="17"/>
  <c r="D865" i="17"/>
  <c r="D864" i="17"/>
  <c r="D863" i="17"/>
  <c r="D862" i="17"/>
  <c r="D861" i="17"/>
  <c r="D860" i="17"/>
  <c r="D859" i="17"/>
  <c r="D858" i="17"/>
  <c r="D857" i="17"/>
  <c r="D856" i="17"/>
  <c r="D855" i="17"/>
  <c r="D854" i="17"/>
  <c r="D853" i="17"/>
  <c r="D852" i="17"/>
  <c r="D851" i="17"/>
  <c r="D850" i="17"/>
  <c r="D849" i="17"/>
  <c r="D848" i="17"/>
  <c r="D847" i="17"/>
  <c r="D846" i="17"/>
  <c r="D845" i="17"/>
  <c r="D844" i="17"/>
  <c r="D843" i="17"/>
  <c r="D842" i="17"/>
  <c r="D841" i="17"/>
  <c r="D840" i="17"/>
  <c r="D839" i="17"/>
  <c r="D838" i="17"/>
  <c r="D837" i="17"/>
  <c r="D836" i="17"/>
  <c r="D835" i="17"/>
  <c r="D834" i="17"/>
  <c r="D833" i="17"/>
  <c r="D832" i="17"/>
  <c r="D831" i="17"/>
  <c r="D830" i="17"/>
  <c r="D829" i="17"/>
  <c r="D828" i="17"/>
  <c r="D827" i="17"/>
  <c r="D826" i="17"/>
  <c r="D825" i="17"/>
  <c r="D824" i="17"/>
  <c r="D823" i="17"/>
  <c r="D822" i="17"/>
  <c r="D821" i="17"/>
  <c r="D820" i="17"/>
  <c r="D819" i="17"/>
  <c r="D818" i="17"/>
  <c r="D817" i="17"/>
  <c r="D816" i="17"/>
  <c r="D815" i="17"/>
  <c r="D814" i="17"/>
  <c r="D813" i="17"/>
  <c r="D812" i="17"/>
  <c r="D811" i="17"/>
  <c r="D810" i="17"/>
  <c r="D809" i="17"/>
  <c r="D808" i="17"/>
  <c r="D807" i="17"/>
  <c r="D806" i="17"/>
  <c r="D805" i="17"/>
  <c r="D804" i="17"/>
  <c r="D803" i="17"/>
  <c r="D802" i="17"/>
  <c r="D801" i="17"/>
  <c r="D800" i="17"/>
  <c r="D799" i="17"/>
  <c r="D798" i="17"/>
  <c r="D797" i="17"/>
  <c r="D796" i="17"/>
  <c r="D795" i="17"/>
  <c r="D794" i="17"/>
  <c r="D793" i="17"/>
  <c r="D792" i="17"/>
  <c r="D791" i="17"/>
  <c r="D790" i="17"/>
  <c r="D789" i="17"/>
  <c r="D788" i="17"/>
  <c r="D787" i="17"/>
  <c r="D786" i="17"/>
  <c r="D785" i="17"/>
  <c r="D784" i="17"/>
  <c r="D783" i="17"/>
  <c r="D782" i="17"/>
  <c r="D781" i="17"/>
  <c r="D780" i="17"/>
  <c r="D779" i="17"/>
  <c r="D778" i="17"/>
  <c r="D777" i="17"/>
  <c r="D776" i="17"/>
  <c r="D775" i="17"/>
  <c r="D774" i="17"/>
  <c r="D773" i="17"/>
  <c r="D772" i="17"/>
  <c r="D771" i="17"/>
  <c r="D770" i="17"/>
  <c r="D769" i="17"/>
  <c r="D768" i="17"/>
  <c r="D767" i="17"/>
  <c r="D766" i="17"/>
  <c r="D765" i="17"/>
  <c r="D764" i="17"/>
  <c r="D763" i="17"/>
  <c r="D762" i="17"/>
  <c r="D761" i="17"/>
  <c r="D760" i="17"/>
  <c r="D759" i="17"/>
  <c r="D758" i="17"/>
  <c r="D757" i="17"/>
  <c r="D756" i="17"/>
  <c r="D755" i="17"/>
  <c r="D754" i="17"/>
  <c r="D753" i="17"/>
  <c r="D752" i="17"/>
  <c r="D751" i="17"/>
  <c r="D750" i="17"/>
  <c r="D749" i="17"/>
  <c r="D748" i="17"/>
  <c r="D747" i="17"/>
  <c r="D746" i="17"/>
  <c r="D745" i="17"/>
  <c r="D744" i="17"/>
  <c r="D743" i="17"/>
  <c r="D742" i="17"/>
  <c r="D741" i="17"/>
  <c r="D740" i="17"/>
  <c r="D739" i="17"/>
  <c r="D738" i="17"/>
  <c r="D737" i="17"/>
  <c r="D736" i="17"/>
  <c r="D735" i="17"/>
  <c r="D734" i="17"/>
  <c r="D733" i="17"/>
  <c r="D732" i="17"/>
  <c r="D731" i="17"/>
  <c r="D730" i="17"/>
  <c r="D729" i="17"/>
  <c r="D728" i="17"/>
  <c r="D727" i="17"/>
  <c r="D726" i="17"/>
  <c r="D725" i="17"/>
  <c r="D724" i="17"/>
  <c r="D723" i="17"/>
  <c r="D722" i="17"/>
  <c r="D721" i="17"/>
  <c r="D720" i="17"/>
  <c r="D719" i="17"/>
  <c r="D718" i="17"/>
  <c r="D717" i="17"/>
  <c r="D716" i="17"/>
  <c r="D715" i="17"/>
  <c r="D714" i="17"/>
  <c r="D713" i="17"/>
  <c r="D712" i="17"/>
  <c r="D711" i="17"/>
  <c r="D710" i="17"/>
  <c r="D709" i="17"/>
  <c r="D708" i="17"/>
  <c r="D707" i="17"/>
  <c r="D706" i="17"/>
  <c r="D705" i="17"/>
  <c r="D704" i="17"/>
  <c r="D703" i="17"/>
  <c r="D702" i="17"/>
  <c r="D701" i="17"/>
  <c r="D700" i="17"/>
  <c r="D699" i="17"/>
  <c r="D698" i="17"/>
  <c r="D697" i="17"/>
  <c r="D696" i="17"/>
  <c r="D695" i="17"/>
  <c r="D694" i="17"/>
  <c r="D693" i="17"/>
  <c r="D692" i="17"/>
  <c r="D691" i="17"/>
  <c r="D690" i="17"/>
  <c r="D689" i="17"/>
  <c r="D688" i="17"/>
  <c r="D687" i="17"/>
  <c r="D686" i="17"/>
  <c r="D685" i="17"/>
  <c r="D684" i="17"/>
  <c r="D683" i="17"/>
  <c r="D682" i="17"/>
  <c r="D681" i="17"/>
  <c r="D680" i="17"/>
  <c r="D679" i="17"/>
  <c r="D678" i="17"/>
  <c r="D677" i="17"/>
  <c r="D676" i="17"/>
  <c r="D675" i="17"/>
  <c r="D674" i="17"/>
  <c r="D673" i="17"/>
  <c r="D672" i="17"/>
  <c r="D671" i="17"/>
  <c r="D670" i="17"/>
  <c r="D669" i="17"/>
  <c r="D668" i="17"/>
  <c r="D667" i="17"/>
  <c r="D666" i="17"/>
  <c r="D665" i="17"/>
  <c r="D664" i="17"/>
  <c r="D663" i="17"/>
  <c r="D662" i="17"/>
  <c r="D661" i="17"/>
  <c r="D660" i="17"/>
  <c r="D659" i="17"/>
  <c r="D658" i="17"/>
  <c r="D657" i="17"/>
  <c r="D656" i="17"/>
  <c r="D655" i="17"/>
  <c r="D654" i="17"/>
  <c r="D653" i="17"/>
  <c r="D652" i="17"/>
  <c r="D651" i="17"/>
  <c r="D650" i="17"/>
  <c r="D649" i="17"/>
  <c r="D648" i="17"/>
  <c r="D647" i="17"/>
  <c r="D646" i="17"/>
  <c r="D645" i="17"/>
  <c r="D644" i="17"/>
  <c r="D643" i="17"/>
  <c r="D642" i="17"/>
  <c r="D641" i="17"/>
  <c r="D640" i="17"/>
  <c r="D639" i="17"/>
  <c r="D638" i="17"/>
  <c r="D637" i="17"/>
  <c r="D636" i="17"/>
  <c r="D635" i="17"/>
  <c r="D634" i="17"/>
  <c r="D633" i="17"/>
  <c r="D632" i="17"/>
  <c r="D631" i="17"/>
  <c r="D630" i="17"/>
  <c r="D629" i="17"/>
  <c r="D628" i="17"/>
  <c r="D627" i="17"/>
  <c r="D626" i="17"/>
  <c r="D625" i="17"/>
  <c r="D624" i="17"/>
  <c r="D623" i="17"/>
  <c r="D622" i="17"/>
  <c r="D621" i="17"/>
  <c r="D620" i="17"/>
  <c r="D619" i="17"/>
  <c r="D618" i="17"/>
  <c r="D617" i="17"/>
  <c r="D616" i="17"/>
  <c r="D615" i="17"/>
  <c r="D614" i="17"/>
  <c r="D613" i="17"/>
  <c r="D612" i="17"/>
  <c r="D611" i="17"/>
  <c r="D610" i="17"/>
  <c r="D609" i="17"/>
  <c r="D608" i="17"/>
  <c r="D607" i="17"/>
  <c r="D606" i="17"/>
  <c r="D605" i="17"/>
  <c r="D604" i="17"/>
  <c r="D603" i="17"/>
  <c r="D602" i="17"/>
  <c r="D601" i="17"/>
  <c r="D600" i="17"/>
  <c r="D599" i="17"/>
  <c r="D598" i="17"/>
  <c r="D597" i="17"/>
  <c r="D596" i="17"/>
  <c r="D595" i="17"/>
  <c r="D594" i="17"/>
  <c r="D593" i="17"/>
  <c r="D592" i="17"/>
  <c r="D591" i="17"/>
  <c r="D590" i="17"/>
  <c r="D589" i="17"/>
  <c r="D588" i="17"/>
  <c r="D587" i="17"/>
  <c r="D586" i="17"/>
  <c r="D585" i="17"/>
  <c r="D584" i="17"/>
  <c r="D583" i="17"/>
  <c r="D582" i="17"/>
  <c r="D581" i="17"/>
  <c r="D580" i="17"/>
  <c r="D579" i="17"/>
  <c r="D578" i="17"/>
  <c r="D577" i="17"/>
  <c r="D576" i="17"/>
  <c r="D575" i="17"/>
  <c r="D574" i="17"/>
  <c r="D573" i="17"/>
  <c r="D572" i="17"/>
  <c r="D571" i="17"/>
  <c r="D570" i="17"/>
  <c r="D569" i="17"/>
  <c r="D568" i="17"/>
  <c r="D567" i="17"/>
  <c r="D566" i="17"/>
  <c r="D565" i="17"/>
  <c r="D564" i="17"/>
  <c r="D563" i="17"/>
  <c r="D562" i="17"/>
  <c r="D561" i="17"/>
  <c r="D560" i="17"/>
  <c r="D559" i="17"/>
  <c r="D558" i="17"/>
  <c r="D557" i="17"/>
  <c r="D556" i="17"/>
  <c r="D555" i="17"/>
  <c r="D554" i="17"/>
  <c r="D553" i="17"/>
  <c r="D552" i="17"/>
  <c r="D551" i="17"/>
  <c r="D550" i="17"/>
  <c r="D549" i="17"/>
  <c r="D548" i="17"/>
  <c r="D547" i="17"/>
  <c r="D546" i="17"/>
  <c r="D545" i="17"/>
  <c r="D544" i="17"/>
  <c r="D543" i="17"/>
  <c r="D542" i="17"/>
  <c r="D541" i="17"/>
  <c r="D540" i="17"/>
  <c r="D539" i="17"/>
  <c r="D538" i="17"/>
  <c r="D537" i="17"/>
  <c r="D536" i="17"/>
  <c r="D535" i="17"/>
  <c r="D534" i="17"/>
  <c r="D533" i="17"/>
  <c r="D532" i="17"/>
  <c r="D531" i="17"/>
  <c r="D530" i="17"/>
  <c r="D529" i="17"/>
  <c r="D528" i="17"/>
  <c r="D527" i="17"/>
  <c r="D526" i="17"/>
  <c r="D525" i="17"/>
  <c r="D524" i="17"/>
  <c r="D523" i="17"/>
  <c r="D522" i="17"/>
  <c r="D521" i="17"/>
  <c r="D520" i="17"/>
  <c r="D519" i="17"/>
  <c r="D518" i="17"/>
  <c r="D517" i="17"/>
  <c r="D516" i="17"/>
  <c r="D515" i="17"/>
  <c r="D514" i="17"/>
  <c r="D513" i="17"/>
  <c r="D512" i="17"/>
  <c r="D511" i="17"/>
  <c r="D510" i="17"/>
  <c r="D509" i="17"/>
  <c r="D508" i="17"/>
  <c r="D507" i="17"/>
  <c r="D506" i="17"/>
  <c r="D505" i="17"/>
  <c r="D504" i="17"/>
  <c r="D503" i="17"/>
  <c r="D502" i="17"/>
  <c r="D501" i="17"/>
  <c r="D500" i="17"/>
  <c r="D499" i="17"/>
  <c r="D498" i="17"/>
  <c r="D497" i="17"/>
  <c r="D496" i="17"/>
  <c r="D495" i="17"/>
  <c r="D494" i="17"/>
  <c r="D493" i="17"/>
  <c r="D492" i="17"/>
  <c r="D491" i="17"/>
  <c r="D490" i="17"/>
  <c r="D489" i="17"/>
  <c r="D488" i="17"/>
  <c r="D487" i="17"/>
  <c r="D486" i="17"/>
  <c r="D485" i="17"/>
  <c r="D484" i="17"/>
  <c r="D483" i="17"/>
  <c r="D482" i="17"/>
  <c r="D481" i="17"/>
  <c r="D480" i="17"/>
  <c r="D479" i="17"/>
  <c r="D478" i="17"/>
  <c r="D477" i="17"/>
  <c r="D476" i="17"/>
  <c r="D475" i="17"/>
  <c r="D474" i="17"/>
  <c r="D473" i="17"/>
  <c r="D472" i="17"/>
  <c r="D471" i="17"/>
  <c r="D470" i="17"/>
  <c r="D469" i="17"/>
  <c r="D468" i="17"/>
  <c r="D467" i="17"/>
  <c r="D466" i="17"/>
  <c r="D465" i="17"/>
  <c r="D464" i="17"/>
  <c r="D463" i="17"/>
  <c r="D462" i="17"/>
  <c r="D461" i="17"/>
  <c r="D460" i="17"/>
  <c r="D459" i="17"/>
  <c r="D458" i="17"/>
  <c r="D457" i="17"/>
  <c r="D456" i="17"/>
  <c r="D455" i="17"/>
  <c r="D454" i="17"/>
  <c r="D453" i="17"/>
  <c r="D452" i="17"/>
  <c r="D451" i="17"/>
  <c r="D450" i="17"/>
  <c r="D449" i="17"/>
  <c r="D448" i="17"/>
  <c r="D447" i="17"/>
  <c r="D446" i="17"/>
  <c r="D445" i="17"/>
  <c r="D444" i="17"/>
  <c r="D443" i="17"/>
  <c r="D442" i="17"/>
  <c r="D441" i="17"/>
  <c r="D440" i="17"/>
  <c r="D439" i="17"/>
  <c r="D438" i="17"/>
  <c r="D437" i="17"/>
  <c r="D436" i="17"/>
  <c r="D435" i="17"/>
  <c r="D434" i="17"/>
  <c r="D433" i="17"/>
  <c r="D432" i="17"/>
  <c r="D431" i="17"/>
  <c r="D430" i="17"/>
  <c r="D429" i="17"/>
  <c r="D428" i="17"/>
  <c r="D427" i="17"/>
  <c r="D426" i="17"/>
  <c r="D425" i="17"/>
  <c r="D424" i="17"/>
  <c r="D423" i="17"/>
  <c r="D422" i="17"/>
  <c r="D421" i="17"/>
  <c r="D420" i="17"/>
  <c r="D419" i="17"/>
  <c r="D418" i="17"/>
  <c r="D417" i="17"/>
  <c r="D416" i="17"/>
  <c r="D415" i="17"/>
  <c r="D414" i="17"/>
  <c r="D413" i="17"/>
  <c r="D412" i="17"/>
  <c r="D411" i="17"/>
  <c r="D410" i="17"/>
  <c r="D409" i="17"/>
  <c r="D408" i="17"/>
  <c r="D407" i="17"/>
  <c r="D406" i="17"/>
  <c r="D405" i="17"/>
  <c r="D404" i="17"/>
  <c r="D403" i="17"/>
  <c r="D402" i="17"/>
  <c r="D401" i="17"/>
  <c r="D400" i="17"/>
  <c r="D399" i="17"/>
  <c r="D398" i="17"/>
  <c r="D397" i="17"/>
  <c r="D396" i="17"/>
  <c r="D395" i="17"/>
  <c r="D394" i="17"/>
  <c r="D393" i="17"/>
  <c r="D392" i="17"/>
  <c r="D391" i="17"/>
  <c r="D390" i="17"/>
  <c r="D389" i="17"/>
  <c r="D388" i="17"/>
  <c r="D387" i="17"/>
  <c r="D386" i="17"/>
  <c r="D385" i="17"/>
  <c r="D384" i="17"/>
  <c r="D383" i="17"/>
  <c r="D382" i="17"/>
  <c r="D381" i="17"/>
  <c r="D380" i="17"/>
  <c r="D379" i="17"/>
  <c r="D378" i="17"/>
  <c r="D377" i="17"/>
  <c r="D376" i="17"/>
  <c r="D375" i="17"/>
  <c r="D374" i="17"/>
  <c r="D373" i="17"/>
  <c r="D372" i="17"/>
  <c r="D371" i="17"/>
  <c r="D370" i="17"/>
  <c r="D369" i="17"/>
  <c r="D368" i="17"/>
  <c r="D367" i="17"/>
  <c r="D366" i="17"/>
  <c r="D365" i="17"/>
  <c r="D364" i="17"/>
  <c r="D363" i="17"/>
  <c r="D362" i="17"/>
  <c r="D361" i="17"/>
  <c r="D360" i="17"/>
  <c r="D359" i="17"/>
  <c r="D358" i="17"/>
  <c r="D357" i="17"/>
  <c r="D356" i="17"/>
  <c r="D355" i="17"/>
  <c r="D354" i="17"/>
  <c r="D353" i="17"/>
  <c r="D352" i="17"/>
  <c r="D351" i="17"/>
  <c r="D350" i="17"/>
  <c r="D349" i="17"/>
  <c r="D348" i="17"/>
  <c r="D347" i="17"/>
  <c r="D346" i="17"/>
  <c r="D345" i="17"/>
  <c r="D344" i="17"/>
  <c r="D343" i="17"/>
  <c r="D342" i="17"/>
  <c r="D341" i="17"/>
  <c r="D340" i="17"/>
  <c r="D339" i="17"/>
  <c r="D338" i="17"/>
  <c r="D337" i="17"/>
  <c r="D336" i="17"/>
  <c r="D335" i="17"/>
  <c r="D334" i="17"/>
  <c r="D333" i="17"/>
  <c r="D332" i="17"/>
  <c r="D331" i="17"/>
  <c r="D330" i="17"/>
  <c r="D329" i="17"/>
  <c r="D328" i="17"/>
  <c r="D327" i="17"/>
  <c r="D326" i="17"/>
  <c r="D325" i="17"/>
  <c r="D324" i="17"/>
  <c r="D323" i="17"/>
  <c r="D322" i="17"/>
  <c r="D321" i="17"/>
  <c r="D320" i="17"/>
  <c r="D319" i="17"/>
  <c r="D318" i="17"/>
  <c r="D317" i="17"/>
  <c r="D316" i="17"/>
  <c r="D315" i="17"/>
  <c r="D314" i="17"/>
  <c r="D313" i="17"/>
  <c r="D312" i="17"/>
  <c r="D311" i="17"/>
  <c r="D310" i="17"/>
  <c r="D309" i="17"/>
  <c r="D308" i="17"/>
  <c r="D307" i="17"/>
  <c r="D306" i="17"/>
  <c r="D305" i="17"/>
  <c r="D304" i="17"/>
  <c r="D303" i="17"/>
  <c r="D302" i="17"/>
  <c r="D301" i="17"/>
  <c r="D300" i="17"/>
  <c r="D299" i="17"/>
  <c r="D298" i="17"/>
  <c r="D297" i="17"/>
  <c r="D296" i="17"/>
  <c r="D295" i="17"/>
  <c r="D294" i="17"/>
  <c r="D293" i="17"/>
  <c r="D292" i="17"/>
  <c r="D291" i="17"/>
  <c r="D290" i="17"/>
  <c r="D289" i="17"/>
  <c r="D288" i="17"/>
  <c r="D287" i="17"/>
  <c r="D286" i="17"/>
  <c r="D285" i="17"/>
  <c r="D284" i="17"/>
  <c r="D283" i="17"/>
  <c r="D282" i="17"/>
  <c r="D281" i="17"/>
  <c r="D280" i="17"/>
  <c r="D279" i="17"/>
  <c r="D278" i="17"/>
  <c r="D277" i="17"/>
  <c r="D276" i="17"/>
  <c r="D275" i="17"/>
  <c r="D274" i="17"/>
  <c r="D273" i="17"/>
  <c r="D272" i="17"/>
  <c r="D271" i="17"/>
  <c r="D270" i="17"/>
  <c r="D269" i="17"/>
  <c r="D268" i="17"/>
  <c r="D267" i="17"/>
  <c r="D266" i="17"/>
  <c r="D265" i="17"/>
  <c r="D264" i="17"/>
  <c r="D263" i="17"/>
  <c r="D262" i="17"/>
  <c r="D261" i="17"/>
  <c r="D260" i="17"/>
  <c r="D259" i="17"/>
  <c r="D258" i="17"/>
  <c r="D257" i="17"/>
  <c r="D256" i="17"/>
  <c r="D255" i="17"/>
  <c r="D254" i="17"/>
  <c r="D253" i="17"/>
  <c r="D252" i="17"/>
  <c r="D251" i="17"/>
  <c r="D250" i="17"/>
  <c r="D249" i="17"/>
  <c r="D248" i="17"/>
  <c r="D247" i="17"/>
  <c r="D246" i="17"/>
  <c r="D245" i="17"/>
  <c r="D244" i="17"/>
  <c r="D243" i="17"/>
  <c r="D242" i="17"/>
  <c r="D241" i="17"/>
  <c r="D240" i="17"/>
  <c r="D239" i="17"/>
  <c r="D238" i="17"/>
  <c r="D237" i="17"/>
  <c r="D236" i="17"/>
  <c r="D235" i="17"/>
  <c r="D234" i="17"/>
  <c r="D233" i="17"/>
  <c r="D232" i="17"/>
  <c r="D231" i="17"/>
  <c r="D230" i="17"/>
  <c r="D229" i="17"/>
  <c r="D228" i="17"/>
  <c r="D227" i="17"/>
  <c r="D226" i="17"/>
  <c r="D225" i="17"/>
  <c r="D224" i="17"/>
  <c r="D223" i="17"/>
  <c r="D222" i="17"/>
  <c r="D221" i="17"/>
  <c r="D220" i="17"/>
  <c r="D219" i="17"/>
  <c r="D218" i="17"/>
  <c r="D217" i="17"/>
  <c r="D216" i="17"/>
  <c r="D215" i="17"/>
  <c r="D214" i="17"/>
  <c r="D213" i="17"/>
  <c r="D212" i="17"/>
  <c r="D211" i="17"/>
  <c r="D210" i="17"/>
  <c r="D209" i="17"/>
  <c r="D208" i="17"/>
  <c r="D207" i="17"/>
  <c r="D206" i="17"/>
  <c r="D205" i="17"/>
  <c r="D204" i="17"/>
  <c r="D203" i="17"/>
  <c r="D202" i="17"/>
  <c r="D201" i="17"/>
  <c r="D200" i="17"/>
  <c r="D199" i="17"/>
  <c r="D198" i="17"/>
  <c r="D197" i="17"/>
  <c r="D196" i="17"/>
  <c r="D195" i="17"/>
  <c r="D194" i="17"/>
  <c r="D193" i="17"/>
  <c r="D192" i="17"/>
  <c r="D191" i="17"/>
  <c r="D190" i="17"/>
  <c r="D189" i="17"/>
  <c r="D188" i="17"/>
  <c r="D187" i="17"/>
  <c r="D186" i="17"/>
  <c r="D185" i="17"/>
  <c r="D184" i="17"/>
  <c r="D183" i="17"/>
  <c r="D182" i="17"/>
  <c r="D181" i="17"/>
  <c r="D180" i="17"/>
  <c r="D179" i="17"/>
  <c r="D178" i="17"/>
  <c r="D177" i="17"/>
  <c r="D176" i="17"/>
  <c r="D175" i="17"/>
  <c r="D174" i="17"/>
  <c r="D173" i="17"/>
  <c r="D172" i="17"/>
  <c r="D171" i="17"/>
  <c r="D170" i="17"/>
  <c r="D169" i="17"/>
  <c r="D168" i="17"/>
  <c r="D167" i="17"/>
  <c r="D166" i="17"/>
  <c r="D165" i="17"/>
  <c r="D164" i="17"/>
  <c r="D163" i="17"/>
  <c r="D162" i="17"/>
  <c r="D161" i="17"/>
  <c r="D160" i="17"/>
  <c r="D159" i="17"/>
  <c r="D158" i="17"/>
  <c r="D157" i="17"/>
  <c r="D156" i="17"/>
  <c r="D155" i="17"/>
  <c r="D154" i="17"/>
  <c r="D153" i="17"/>
  <c r="D152" i="17"/>
  <c r="D151" i="17"/>
  <c r="D150" i="17"/>
  <c r="D149" i="17"/>
  <c r="D148" i="17"/>
  <c r="D147" i="17"/>
  <c r="D146" i="17"/>
  <c r="D145" i="17"/>
  <c r="D144" i="17"/>
  <c r="D143" i="17"/>
  <c r="D142" i="17"/>
  <c r="D141" i="17"/>
  <c r="D140" i="17"/>
  <c r="D139" i="17"/>
  <c r="D138" i="17"/>
  <c r="D137" i="17"/>
  <c r="D136" i="17"/>
  <c r="D135" i="17"/>
  <c r="D134" i="17"/>
  <c r="D133" i="17"/>
  <c r="D132" i="17"/>
  <c r="D131" i="17"/>
  <c r="D130" i="17"/>
  <c r="D129" i="17"/>
  <c r="D128" i="17"/>
  <c r="D127" i="17"/>
  <c r="D126" i="17"/>
  <c r="D125" i="17"/>
  <c r="D124" i="17"/>
  <c r="D123" i="17"/>
  <c r="D122" i="17"/>
  <c r="D121" i="17"/>
  <c r="D120" i="17"/>
  <c r="D119" i="17"/>
  <c r="D118" i="17"/>
  <c r="D117" i="17"/>
  <c r="D116" i="17"/>
  <c r="D115" i="17"/>
  <c r="D114" i="17"/>
  <c r="D113" i="17"/>
  <c r="D112" i="17"/>
  <c r="D111" i="17"/>
  <c r="D110" i="17"/>
  <c r="D109" i="17"/>
  <c r="D108" i="17"/>
  <c r="D107" i="17"/>
  <c r="D106" i="17"/>
  <c r="D105" i="17"/>
  <c r="D104" i="17"/>
  <c r="D103" i="17"/>
  <c r="D102" i="17"/>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D9" i="17"/>
  <c r="D8" i="17"/>
  <c r="D7" i="17"/>
  <c r="D6" i="17"/>
  <c r="N1089" i="1"/>
  <c r="P1089" i="1" s="1"/>
  <c r="M1089" i="1"/>
  <c r="L1089" i="1"/>
  <c r="R1088" i="1"/>
  <c r="L1088" i="1" s="1"/>
  <c r="R1087" i="1"/>
  <c r="L1087" i="1" s="1"/>
  <c r="R1086" i="1"/>
  <c r="L1086" i="1" s="1"/>
  <c r="R1085" i="1"/>
  <c r="L1085" i="1" s="1"/>
  <c r="R1084" i="1"/>
  <c r="L1084" i="1" s="1"/>
  <c r="R1083" i="1"/>
  <c r="L1083" i="1" s="1"/>
  <c r="R1082" i="1"/>
  <c r="L1082" i="1" s="1"/>
  <c r="R1081" i="1"/>
  <c r="L1081" i="1" s="1"/>
  <c r="R1080" i="1"/>
  <c r="L1080" i="1" s="1"/>
  <c r="R1079" i="1"/>
  <c r="L1079" i="1" s="1"/>
  <c r="R1078" i="1"/>
  <c r="L1078" i="1" s="1"/>
  <c r="R1077" i="1"/>
  <c r="L1077" i="1" s="1"/>
  <c r="R1076" i="1"/>
  <c r="L1076" i="1" s="1"/>
  <c r="R1075" i="1"/>
  <c r="L1075" i="1" s="1"/>
  <c r="R1074" i="1"/>
  <c r="M1074" i="1" s="1"/>
  <c r="R1073" i="1"/>
  <c r="M1073" i="1" s="1"/>
  <c r="R1072" i="1"/>
  <c r="M1072" i="1" s="1"/>
  <c r="R1071" i="1"/>
  <c r="L1071" i="1" s="1"/>
  <c r="R1070" i="1"/>
  <c r="L1070" i="1" s="1"/>
  <c r="R1069" i="1"/>
  <c r="L1069" i="1" s="1"/>
  <c r="R1068" i="1"/>
  <c r="L1068" i="1" s="1"/>
  <c r="R1067" i="1"/>
  <c r="L1067" i="1" s="1"/>
  <c r="R1066" i="1"/>
  <c r="L1066" i="1" s="1"/>
  <c r="R1065" i="1"/>
  <c r="L1065" i="1" s="1"/>
  <c r="R1064" i="1"/>
  <c r="L1064" i="1" s="1"/>
  <c r="R1063" i="1"/>
  <c r="L1063" i="1" s="1"/>
  <c r="R1062" i="1"/>
  <c r="L1062" i="1" s="1"/>
  <c r="R1061" i="1"/>
  <c r="L1061" i="1" s="1"/>
  <c r="R1060" i="1"/>
  <c r="L1060" i="1" s="1"/>
  <c r="R1059" i="1"/>
  <c r="L1059" i="1" s="1"/>
  <c r="R1058" i="1"/>
  <c r="L1058" i="1" s="1"/>
  <c r="R1057" i="1"/>
  <c r="L1057" i="1" s="1"/>
  <c r="R1056" i="1"/>
  <c r="L1056" i="1" s="1"/>
  <c r="R1055" i="1"/>
  <c r="L1055" i="1" s="1"/>
  <c r="R1054" i="1"/>
  <c r="L1054" i="1" s="1"/>
  <c r="R1053" i="1"/>
  <c r="L1053" i="1" s="1"/>
  <c r="R1052" i="1"/>
  <c r="L1052" i="1" s="1"/>
  <c r="R1051" i="1"/>
  <c r="L1051" i="1" s="1"/>
  <c r="R1050" i="1"/>
  <c r="L1050" i="1" s="1"/>
  <c r="R1049" i="1"/>
  <c r="L1049" i="1" s="1"/>
  <c r="R1048" i="1"/>
  <c r="L1048" i="1" s="1"/>
  <c r="R1047" i="1"/>
  <c r="L1047" i="1" s="1"/>
  <c r="R1046" i="1"/>
  <c r="L1046" i="1" s="1"/>
  <c r="R1045" i="1"/>
  <c r="L1045" i="1" s="1"/>
  <c r="R1044" i="1"/>
  <c r="N1044" i="1" s="1"/>
  <c r="AL36" i="29" s="1"/>
  <c r="R1043" i="1"/>
  <c r="N1043" i="1" s="1"/>
  <c r="R1042" i="1"/>
  <c r="L1042" i="1" s="1"/>
  <c r="R1041" i="1"/>
  <c r="L1041" i="1" s="1"/>
  <c r="R1040" i="1"/>
  <c r="L1040" i="1" s="1"/>
  <c r="R1039" i="1"/>
  <c r="L1039" i="1" s="1"/>
  <c r="R1038" i="1"/>
  <c r="L1038" i="1" s="1"/>
  <c r="R1037" i="1"/>
  <c r="L1037" i="1" s="1"/>
  <c r="R1036" i="1"/>
  <c r="L1036" i="1" s="1"/>
  <c r="R1035" i="1"/>
  <c r="L1035" i="1" s="1"/>
  <c r="R1034" i="1"/>
  <c r="L1034" i="1" s="1"/>
  <c r="R1033" i="1"/>
  <c r="L1033" i="1" s="1"/>
  <c r="R1032" i="1"/>
  <c r="L1032" i="1" s="1"/>
  <c r="R1031" i="1"/>
  <c r="L1031" i="1" s="1"/>
  <c r="R1030" i="1"/>
  <c r="L1030" i="1" s="1"/>
  <c r="R1029" i="1"/>
  <c r="L1029" i="1" s="1"/>
  <c r="R1028" i="1"/>
  <c r="L1028" i="1" s="1"/>
  <c r="R1027" i="1"/>
  <c r="L1027" i="1" s="1"/>
  <c r="R1026" i="1"/>
  <c r="L1026" i="1" s="1"/>
  <c r="R1025" i="1"/>
  <c r="M1025" i="1" s="1"/>
  <c r="R1024" i="1"/>
  <c r="L1024" i="1" s="1"/>
  <c r="R1023" i="1"/>
  <c r="L1023" i="1" s="1"/>
  <c r="R1022" i="1"/>
  <c r="L1022" i="1" s="1"/>
  <c r="R1021" i="1"/>
  <c r="L1021" i="1" s="1"/>
  <c r="R1020" i="1"/>
  <c r="L1020" i="1" s="1"/>
  <c r="R1019" i="1"/>
  <c r="L1019" i="1" s="1"/>
  <c r="R1018" i="1"/>
  <c r="L1018" i="1" s="1"/>
  <c r="R1017" i="1"/>
  <c r="L1017" i="1" s="1"/>
  <c r="R1016" i="1"/>
  <c r="L1016" i="1" s="1"/>
  <c r="R1015" i="1"/>
  <c r="L1015" i="1" s="1"/>
  <c r="R1014" i="1"/>
  <c r="L1014" i="1" s="1"/>
  <c r="R1013" i="1"/>
  <c r="L1013" i="1" s="1"/>
  <c r="R1012" i="1"/>
  <c r="L1012" i="1" s="1"/>
  <c r="R1011" i="1"/>
  <c r="L1011" i="1" s="1"/>
  <c r="R1010" i="1"/>
  <c r="L1010" i="1" s="1"/>
  <c r="R1009" i="1"/>
  <c r="L1009" i="1" s="1"/>
  <c r="R1008" i="1"/>
  <c r="M1008" i="1" s="1"/>
  <c r="R1007" i="1"/>
  <c r="M1007" i="1" s="1"/>
  <c r="R1006" i="1"/>
  <c r="M1006" i="1" s="1"/>
  <c r="R1005" i="1"/>
  <c r="M1005" i="1" s="1"/>
  <c r="R1004" i="1"/>
  <c r="M1004" i="1" s="1"/>
  <c r="R1003" i="1"/>
  <c r="M1003" i="1" s="1"/>
  <c r="R1002" i="1"/>
  <c r="M1002" i="1" s="1"/>
  <c r="R1001" i="1"/>
  <c r="L1001" i="1" s="1"/>
  <c r="R1000" i="1"/>
  <c r="L1000" i="1" s="1"/>
  <c r="R999" i="1"/>
  <c r="L999" i="1" s="1"/>
  <c r="R998" i="1"/>
  <c r="L998" i="1" s="1"/>
  <c r="R997" i="1"/>
  <c r="L997" i="1" s="1"/>
  <c r="R996" i="1"/>
  <c r="L996" i="1" s="1"/>
  <c r="R995" i="1"/>
  <c r="L995" i="1" s="1"/>
  <c r="I1088" i="1"/>
  <c r="I1087" i="1"/>
  <c r="I1086" i="1"/>
  <c r="I1085" i="1"/>
  <c r="I1084" i="1"/>
  <c r="I1083" i="1"/>
  <c r="I1082" i="1"/>
  <c r="I1081" i="1"/>
  <c r="I1080" i="1"/>
  <c r="I1079" i="1"/>
  <c r="I1078" i="1"/>
  <c r="I1077" i="1"/>
  <c r="I1076" i="1"/>
  <c r="I1075" i="1"/>
  <c r="I1074" i="1"/>
  <c r="L1074" i="1" s="1"/>
  <c r="I1073" i="1"/>
  <c r="L1073" i="1" s="1"/>
  <c r="I1072" i="1"/>
  <c r="L1072" i="1" s="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L1044" i="1" s="1"/>
  <c r="I1043" i="1"/>
  <c r="L1043" i="1" s="1"/>
  <c r="I1042" i="1"/>
  <c r="I1041" i="1"/>
  <c r="I1040" i="1"/>
  <c r="I1039" i="1"/>
  <c r="I1038" i="1"/>
  <c r="I1037" i="1"/>
  <c r="I1036" i="1"/>
  <c r="I1035" i="1"/>
  <c r="I1034" i="1"/>
  <c r="I1033" i="1"/>
  <c r="I1032" i="1"/>
  <c r="I1031" i="1"/>
  <c r="I1030" i="1"/>
  <c r="I1029" i="1"/>
  <c r="I1028" i="1"/>
  <c r="I1027" i="1"/>
  <c r="I1026" i="1"/>
  <c r="I1025" i="1"/>
  <c r="L1025" i="1" s="1"/>
  <c r="I1024" i="1"/>
  <c r="I1023" i="1"/>
  <c r="I1022" i="1"/>
  <c r="I1021" i="1"/>
  <c r="I1020" i="1"/>
  <c r="I1019" i="1"/>
  <c r="I1018" i="1"/>
  <c r="I1017" i="1"/>
  <c r="I1016" i="1"/>
  <c r="I1015" i="1"/>
  <c r="I1014" i="1"/>
  <c r="I1013" i="1"/>
  <c r="I1012" i="1"/>
  <c r="I1011" i="1"/>
  <c r="I1010" i="1"/>
  <c r="I1009" i="1"/>
  <c r="I1008" i="1"/>
  <c r="L1008" i="1" s="1"/>
  <c r="I1007" i="1"/>
  <c r="L1007" i="1" s="1"/>
  <c r="I1006" i="1"/>
  <c r="L1006" i="1" s="1"/>
  <c r="I1005" i="1"/>
  <c r="L1005" i="1" s="1"/>
  <c r="I1004" i="1"/>
  <c r="L1004" i="1" s="1"/>
  <c r="I1003" i="1"/>
  <c r="L1003" i="1" s="1"/>
  <c r="I1002" i="1"/>
  <c r="L1002" i="1" s="1"/>
  <c r="I1001" i="1"/>
  <c r="N1001" i="1" s="1"/>
  <c r="I1000" i="1"/>
  <c r="M1000" i="1" s="1"/>
  <c r="I999" i="1"/>
  <c r="N999" i="1" s="1"/>
  <c r="I998" i="1"/>
  <c r="M998" i="1" s="1"/>
  <c r="I997" i="1"/>
  <c r="N997" i="1" s="1"/>
  <c r="I996" i="1"/>
  <c r="M996" i="1" s="1"/>
  <c r="I995" i="1"/>
  <c r="N995" i="1" s="1"/>
  <c r="D1088" i="1"/>
  <c r="D1087" i="1"/>
  <c r="D1086" i="1"/>
  <c r="D1085" i="1"/>
  <c r="D1084" i="1"/>
  <c r="D1083" i="1"/>
  <c r="D1082" i="1"/>
  <c r="D1081" i="1"/>
  <c r="D1080" i="1"/>
  <c r="D1079" i="1"/>
  <c r="D1078" i="1"/>
  <c r="D1077" i="1"/>
  <c r="D1076" i="1"/>
  <c r="D1075" i="1"/>
  <c r="D1074" i="1"/>
  <c r="D1073" i="1"/>
  <c r="D1072" i="1"/>
  <c r="D1071" i="1"/>
  <c r="D1070" i="1"/>
  <c r="D1069" i="1"/>
  <c r="D1068" i="1"/>
  <c r="D1067" i="1"/>
  <c r="D1066" i="1"/>
  <c r="D1065" i="1"/>
  <c r="D1064" i="1"/>
  <c r="D1063" i="1"/>
  <c r="D1062" i="1"/>
  <c r="D1061" i="1"/>
  <c r="D1060" i="1"/>
  <c r="D1059" i="1"/>
  <c r="D1058" i="1"/>
  <c r="D1057" i="1"/>
  <c r="D1056" i="1"/>
  <c r="D1055" i="1"/>
  <c r="D1054" i="1"/>
  <c r="D1053" i="1"/>
  <c r="D1052" i="1"/>
  <c r="D1051" i="1"/>
  <c r="D1050" i="1"/>
  <c r="D1049" i="1"/>
  <c r="D1048" i="1"/>
  <c r="D1047" i="1"/>
  <c r="D1046" i="1"/>
  <c r="D1045" i="1"/>
  <c r="D1044" i="1"/>
  <c r="D1043" i="1"/>
  <c r="D1042" i="1"/>
  <c r="D1041" i="1"/>
  <c r="D1040" i="1"/>
  <c r="D1039" i="1"/>
  <c r="D1038" i="1"/>
  <c r="D1037" i="1"/>
  <c r="D1036" i="1"/>
  <c r="D1035" i="1"/>
  <c r="D1034" i="1"/>
  <c r="D1033" i="1"/>
  <c r="D1032" i="1"/>
  <c r="D1031" i="1"/>
  <c r="D1030" i="1"/>
  <c r="D1029" i="1"/>
  <c r="D1028" i="1"/>
  <c r="D1027" i="1"/>
  <c r="D1026" i="1"/>
  <c r="D1025" i="1"/>
  <c r="D1024" i="1"/>
  <c r="D1023" i="1"/>
  <c r="D1022" i="1"/>
  <c r="D1021" i="1"/>
  <c r="D1020" i="1"/>
  <c r="D1019" i="1"/>
  <c r="D1018" i="1"/>
  <c r="D1017" i="1"/>
  <c r="D1016" i="1"/>
  <c r="D1015" i="1"/>
  <c r="D1014" i="1"/>
  <c r="D1013" i="1"/>
  <c r="D1012" i="1"/>
  <c r="D1011" i="1"/>
  <c r="D1010" i="1"/>
  <c r="D1009" i="1"/>
  <c r="D1008" i="1"/>
  <c r="D1007" i="1"/>
  <c r="D1006" i="1"/>
  <c r="D1005" i="1"/>
  <c r="D1004" i="1"/>
  <c r="D1003" i="1"/>
  <c r="D1002" i="1"/>
  <c r="D1001" i="1"/>
  <c r="D1000" i="1"/>
  <c r="D999" i="1"/>
  <c r="D998" i="1"/>
  <c r="D997" i="1"/>
  <c r="D996" i="1"/>
  <c r="D995" i="1"/>
  <c r="D994" i="1"/>
  <c r="D993" i="1"/>
  <c r="D992" i="1"/>
  <c r="D991" i="1"/>
  <c r="D990" i="1"/>
  <c r="D989" i="1"/>
  <c r="D988" i="1"/>
  <c r="D987" i="1"/>
  <c r="D986" i="1"/>
  <c r="D985" i="1"/>
  <c r="D984" i="1"/>
  <c r="D983" i="1"/>
  <c r="D982" i="1"/>
  <c r="D981" i="1"/>
  <c r="D980" i="1"/>
  <c r="D979" i="1"/>
  <c r="D978" i="1"/>
  <c r="D977" i="1"/>
  <c r="D976" i="1"/>
  <c r="D975" i="1"/>
  <c r="D974" i="1"/>
  <c r="D973" i="1"/>
  <c r="D972" i="1"/>
  <c r="D971" i="1"/>
  <c r="D970" i="1"/>
  <c r="D969" i="1"/>
  <c r="D968" i="1"/>
  <c r="D967" i="1"/>
  <c r="D966" i="1"/>
  <c r="D965" i="1"/>
  <c r="D964" i="1"/>
  <c r="D963" i="1"/>
  <c r="D962" i="1"/>
  <c r="D961" i="1"/>
  <c r="D960" i="1"/>
  <c r="D959" i="1"/>
  <c r="D958" i="1"/>
  <c r="D957" i="1"/>
  <c r="D956" i="1"/>
  <c r="D955" i="1"/>
  <c r="D954" i="1"/>
  <c r="D953" i="1"/>
  <c r="D952" i="1"/>
  <c r="D951" i="1"/>
  <c r="D950" i="1"/>
  <c r="D949" i="1"/>
  <c r="D948" i="1"/>
  <c r="D947" i="1"/>
  <c r="D946" i="1"/>
  <c r="D945" i="1"/>
  <c r="D944" i="1"/>
  <c r="D943" i="1"/>
  <c r="D942" i="1"/>
  <c r="D941" i="1"/>
  <c r="D940" i="1"/>
  <c r="D939" i="1"/>
  <c r="D938" i="1"/>
  <c r="D937" i="1"/>
  <c r="D936" i="1"/>
  <c r="D935" i="1"/>
  <c r="D934" i="1"/>
  <c r="D933" i="1"/>
  <c r="D932" i="1"/>
  <c r="D931" i="1"/>
  <c r="D930" i="1"/>
  <c r="D929" i="1"/>
  <c r="D928" i="1"/>
  <c r="D927" i="1"/>
  <c r="D926" i="1"/>
  <c r="D925" i="1"/>
  <c r="D924" i="1"/>
  <c r="D923" i="1"/>
  <c r="D922" i="1"/>
  <c r="D921" i="1"/>
  <c r="D920" i="1"/>
  <c r="D919" i="1"/>
  <c r="D918" i="1"/>
  <c r="D917" i="1"/>
  <c r="D916" i="1"/>
  <c r="D915" i="1"/>
  <c r="D914" i="1"/>
  <c r="D913" i="1"/>
  <c r="D912" i="1"/>
  <c r="D911" i="1"/>
  <c r="D910" i="1"/>
  <c r="D909" i="1"/>
  <c r="D908" i="1"/>
  <c r="D907" i="1"/>
  <c r="D906" i="1"/>
  <c r="D905" i="1"/>
  <c r="D904" i="1"/>
  <c r="D903" i="1"/>
  <c r="D902" i="1"/>
  <c r="D901" i="1"/>
  <c r="D900" i="1"/>
  <c r="D899" i="1"/>
  <c r="D898" i="1"/>
  <c r="D897" i="1"/>
  <c r="D896" i="1"/>
  <c r="D895" i="1"/>
  <c r="D894" i="1"/>
  <c r="D893" i="1"/>
  <c r="D892" i="1"/>
  <c r="D891" i="1"/>
  <c r="D890" i="1"/>
  <c r="D889" i="1"/>
  <c r="D888" i="1"/>
  <c r="D887" i="1"/>
  <c r="D886" i="1"/>
  <c r="D885" i="1"/>
  <c r="D884" i="1"/>
  <c r="D883" i="1"/>
  <c r="D882" i="1"/>
  <c r="D881" i="1"/>
  <c r="D880" i="1"/>
  <c r="D879" i="1"/>
  <c r="D878" i="1"/>
  <c r="D877" i="1"/>
  <c r="D876" i="1"/>
  <c r="D875" i="1"/>
  <c r="D874" i="1"/>
  <c r="D873" i="1"/>
  <c r="D872" i="1"/>
  <c r="D871" i="1"/>
  <c r="D870" i="1"/>
  <c r="D869" i="1"/>
  <c r="D868" i="1"/>
  <c r="D867" i="1"/>
  <c r="D866" i="1"/>
  <c r="D865" i="1"/>
  <c r="D864" i="1"/>
  <c r="D862" i="1"/>
  <c r="D861" i="1"/>
  <c r="D860" i="1"/>
  <c r="D859" i="1"/>
  <c r="D858" i="1"/>
  <c r="D857" i="1"/>
  <c r="D856" i="1"/>
  <c r="D855" i="1"/>
  <c r="D854" i="1"/>
  <c r="D853" i="1"/>
  <c r="D852" i="1"/>
  <c r="D851" i="1"/>
  <c r="D850" i="1"/>
  <c r="D849" i="1"/>
  <c r="D848" i="1"/>
  <c r="D847" i="1"/>
  <c r="D846" i="1"/>
  <c r="D845" i="1"/>
  <c r="D844" i="1"/>
  <c r="D843" i="1"/>
  <c r="D842" i="1"/>
  <c r="D841" i="1"/>
  <c r="D840" i="1"/>
  <c r="D839" i="1"/>
  <c r="D838" i="1"/>
  <c r="D837" i="1"/>
  <c r="D836" i="1"/>
  <c r="D835" i="1"/>
  <c r="D834" i="1"/>
  <c r="D833" i="1"/>
  <c r="D832" i="1"/>
  <c r="D831" i="1"/>
  <c r="D830" i="1"/>
  <c r="D829" i="1"/>
  <c r="D828" i="1"/>
  <c r="D827" i="1"/>
  <c r="D826" i="1"/>
  <c r="D825" i="1"/>
  <c r="D824" i="1"/>
  <c r="D823" i="1"/>
  <c r="D822" i="1"/>
  <c r="D821" i="1"/>
  <c r="D820" i="1"/>
  <c r="D819" i="1"/>
  <c r="D818" i="1"/>
  <c r="D817" i="1"/>
  <c r="D816" i="1"/>
  <c r="D815" i="1"/>
  <c r="D814" i="1"/>
  <c r="D813" i="1"/>
  <c r="D812" i="1"/>
  <c r="D811" i="1"/>
  <c r="D810" i="1"/>
  <c r="D809" i="1"/>
  <c r="D808" i="1"/>
  <c r="D807" i="1"/>
  <c r="D806" i="1"/>
  <c r="D805" i="1"/>
  <c r="D804" i="1"/>
  <c r="D803" i="1"/>
  <c r="D802" i="1"/>
  <c r="D801" i="1"/>
  <c r="D800" i="1"/>
  <c r="D799" i="1"/>
  <c r="D798" i="1"/>
  <c r="D797" i="1"/>
  <c r="D796" i="1"/>
  <c r="D795" i="1"/>
  <c r="D794" i="1"/>
  <c r="D793" i="1"/>
  <c r="D792" i="1"/>
  <c r="D791" i="1"/>
  <c r="D790" i="1"/>
  <c r="D789" i="1"/>
  <c r="D788" i="1"/>
  <c r="D787" i="1"/>
  <c r="D786" i="1"/>
  <c r="D785" i="1"/>
  <c r="D784" i="1"/>
  <c r="D783" i="1"/>
  <c r="D782" i="1"/>
  <c r="D781" i="1"/>
  <c r="D780" i="1"/>
  <c r="D779" i="1"/>
  <c r="D778" i="1"/>
  <c r="D777" i="1"/>
  <c r="D776" i="1"/>
  <c r="D775" i="1"/>
  <c r="D774" i="1"/>
  <c r="D773" i="1"/>
  <c r="D772" i="1"/>
  <c r="D771" i="1"/>
  <c r="D770" i="1"/>
  <c r="D769" i="1"/>
  <c r="D768" i="1"/>
  <c r="D767" i="1"/>
  <c r="D766" i="1"/>
  <c r="D765" i="1"/>
  <c r="D764" i="1"/>
  <c r="D763" i="1"/>
  <c r="D762" i="1"/>
  <c r="D761" i="1"/>
  <c r="D760" i="1"/>
  <c r="D759" i="1"/>
  <c r="D758" i="1"/>
  <c r="D757" i="1"/>
  <c r="D756" i="1"/>
  <c r="D755" i="1"/>
  <c r="D754" i="1"/>
  <c r="D753" i="1"/>
  <c r="D752" i="1"/>
  <c r="D751" i="1"/>
  <c r="D750" i="1"/>
  <c r="D749" i="1"/>
  <c r="D748" i="1"/>
  <c r="D747" i="1"/>
  <c r="D746" i="1"/>
  <c r="D745" i="1"/>
  <c r="D744" i="1"/>
  <c r="D743" i="1"/>
  <c r="D742" i="1"/>
  <c r="D741" i="1"/>
  <c r="D740" i="1"/>
  <c r="D739" i="1"/>
  <c r="D738" i="1"/>
  <c r="D737" i="1"/>
  <c r="D736" i="1"/>
  <c r="D735" i="1"/>
  <c r="D734" i="1"/>
  <c r="D733" i="1"/>
  <c r="D732" i="1"/>
  <c r="D731" i="1"/>
  <c r="D730" i="1"/>
  <c r="D729" i="1"/>
  <c r="D728" i="1"/>
  <c r="D727" i="1"/>
  <c r="D726" i="1"/>
  <c r="D725" i="1"/>
  <c r="D724" i="1"/>
  <c r="D723" i="1"/>
  <c r="D722" i="1"/>
  <c r="D721" i="1"/>
  <c r="D720" i="1"/>
  <c r="D719" i="1"/>
  <c r="D718" i="1"/>
  <c r="D717" i="1"/>
  <c r="D716" i="1"/>
  <c r="D715" i="1"/>
  <c r="D714" i="1"/>
  <c r="D713" i="1"/>
  <c r="D712" i="1"/>
  <c r="D711" i="1"/>
  <c r="D710" i="1"/>
  <c r="D709" i="1"/>
  <c r="D708" i="1"/>
  <c r="D707" i="1"/>
  <c r="D706" i="1"/>
  <c r="D705" i="1"/>
  <c r="D704" i="1"/>
  <c r="D703" i="1"/>
  <c r="D702" i="1"/>
  <c r="D701" i="1"/>
  <c r="D700" i="1"/>
  <c r="D699" i="1"/>
  <c r="D698" i="1"/>
  <c r="D697" i="1"/>
  <c r="D696" i="1"/>
  <c r="D695" i="1"/>
  <c r="D694" i="1"/>
  <c r="D693" i="1"/>
  <c r="D692" i="1"/>
  <c r="D691"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1" i="1"/>
  <c r="D660" i="1"/>
  <c r="D659" i="1"/>
  <c r="D658" i="1"/>
  <c r="D657" i="1"/>
  <c r="D656" i="1"/>
  <c r="D655" i="1"/>
  <c r="D654" i="1"/>
  <c r="D653"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626" i="1"/>
  <c r="D625" i="1"/>
  <c r="D624" i="1"/>
  <c r="D623" i="1"/>
  <c r="D622" i="1"/>
  <c r="D621" i="1"/>
  <c r="D620" i="1"/>
  <c r="D619" i="1"/>
  <c r="D618" i="1"/>
  <c r="D617" i="1"/>
  <c r="D616" i="1"/>
  <c r="D615" i="1"/>
  <c r="D614" i="1"/>
  <c r="D613" i="1"/>
  <c r="D612" i="1"/>
  <c r="D611" i="1"/>
  <c r="D610" i="1"/>
  <c r="D609" i="1"/>
  <c r="D608" i="1"/>
  <c r="D607" i="1"/>
  <c r="D606" i="1"/>
  <c r="D605" i="1"/>
  <c r="D604" i="1"/>
  <c r="D603" i="1"/>
  <c r="D602" i="1"/>
  <c r="D601" i="1"/>
  <c r="D600"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P1" i="19"/>
  <c r="O1" i="19"/>
  <c r="N1" i="19"/>
  <c r="M1" i="19"/>
  <c r="L1" i="19"/>
  <c r="K1" i="19"/>
  <c r="P1" i="20"/>
  <c r="O1" i="20"/>
  <c r="N1" i="20"/>
  <c r="M1" i="20"/>
  <c r="L1" i="20"/>
  <c r="K1" i="20"/>
  <c r="W40" i="29" l="1"/>
  <c r="U40" i="29"/>
  <c r="R40" i="29"/>
  <c r="P40" i="29"/>
  <c r="W39" i="29"/>
  <c r="U39" i="29"/>
  <c r="R39" i="29"/>
  <c r="P39" i="29"/>
  <c r="W38" i="29"/>
  <c r="U38" i="29"/>
  <c r="R38" i="29"/>
  <c r="P38" i="29"/>
  <c r="R37" i="29"/>
  <c r="V36" i="29"/>
  <c r="T36" i="29"/>
  <c r="O36" i="29"/>
  <c r="V40" i="29"/>
  <c r="T40" i="29"/>
  <c r="Q40" i="29"/>
  <c r="O40" i="29"/>
  <c r="V39" i="29"/>
  <c r="T39" i="29"/>
  <c r="Q39" i="29"/>
  <c r="O39" i="29"/>
  <c r="V38" i="29"/>
  <c r="T38" i="29"/>
  <c r="Q38" i="29"/>
  <c r="O38" i="29"/>
  <c r="V37" i="29"/>
  <c r="T37" i="29"/>
  <c r="Q37" i="29"/>
  <c r="O37" i="29"/>
  <c r="W36" i="29"/>
  <c r="U36" i="29"/>
  <c r="R36" i="29"/>
  <c r="P36" i="29"/>
  <c r="W37" i="29"/>
  <c r="U37" i="29"/>
  <c r="P37" i="29"/>
  <c r="Q36" i="29"/>
  <c r="AL40" i="29"/>
  <c r="AJ40" i="29"/>
  <c r="AL39" i="29"/>
  <c r="AJ39" i="29"/>
  <c r="AL38" i="29"/>
  <c r="AJ38" i="29"/>
  <c r="AJ37" i="29"/>
  <c r="AK40" i="29"/>
  <c r="AI40" i="29"/>
  <c r="AK39" i="29"/>
  <c r="AI39" i="29"/>
  <c r="AK38" i="29"/>
  <c r="AI38" i="29"/>
  <c r="AK37" i="29"/>
  <c r="AI37" i="29"/>
  <c r="AL37" i="29"/>
  <c r="AI36" i="29"/>
  <c r="N1002" i="1"/>
  <c r="N1003" i="1"/>
  <c r="N1004" i="1"/>
  <c r="N1005" i="1"/>
  <c r="N1006" i="1"/>
  <c r="N1007" i="1"/>
  <c r="N1008" i="1"/>
  <c r="N1025" i="1"/>
  <c r="M1043" i="1"/>
  <c r="M1044" i="1"/>
  <c r="AK36" i="29" s="1"/>
  <c r="N1072" i="1"/>
  <c r="N1073" i="1"/>
  <c r="N1074" i="1"/>
  <c r="H40" i="29"/>
  <c r="F40" i="29"/>
  <c r="H39" i="29"/>
  <c r="F39" i="29"/>
  <c r="H38" i="29"/>
  <c r="F38" i="29"/>
  <c r="G40" i="29"/>
  <c r="E40" i="29"/>
  <c r="G39" i="29"/>
  <c r="E39" i="29"/>
  <c r="G38" i="29"/>
  <c r="E38" i="29"/>
  <c r="G37" i="29"/>
  <c r="E37" i="29"/>
  <c r="H36" i="29"/>
  <c r="F36" i="29"/>
  <c r="H37" i="29"/>
  <c r="F37" i="29"/>
  <c r="G36" i="29"/>
  <c r="E36" i="29"/>
  <c r="M40" i="29"/>
  <c r="K40" i="29"/>
  <c r="M39" i="29"/>
  <c r="K39" i="29"/>
  <c r="M38" i="29"/>
  <c r="K38" i="29"/>
  <c r="M37" i="29"/>
  <c r="K37" i="29"/>
  <c r="J36" i="29"/>
  <c r="L40" i="29"/>
  <c r="J40" i="29"/>
  <c r="L39" i="29"/>
  <c r="J39" i="29"/>
  <c r="L38" i="29"/>
  <c r="J38" i="29"/>
  <c r="L37" i="29"/>
  <c r="J37" i="29"/>
  <c r="M36" i="29"/>
  <c r="K36" i="29"/>
  <c r="L36" i="29"/>
  <c r="AB40" i="29"/>
  <c r="Z40" i="29"/>
  <c r="AB39" i="29"/>
  <c r="Z39" i="29"/>
  <c r="AB38" i="29"/>
  <c r="Z38" i="29"/>
  <c r="Z37" i="29"/>
  <c r="AA40" i="29"/>
  <c r="Y40" i="29"/>
  <c r="AA39" i="29"/>
  <c r="Y39" i="29"/>
  <c r="AA38" i="29"/>
  <c r="Y38" i="29"/>
  <c r="AA37" i="29"/>
  <c r="Y37" i="29"/>
  <c r="AB36" i="29"/>
  <c r="Z36" i="29"/>
  <c r="AB37" i="29"/>
  <c r="AA36" i="29"/>
  <c r="Y36" i="29"/>
  <c r="AG40" i="29"/>
  <c r="AE40" i="29"/>
  <c r="AG39" i="29"/>
  <c r="AE39" i="29"/>
  <c r="AG38" i="29"/>
  <c r="AE38" i="29"/>
  <c r="AE37" i="29"/>
  <c r="AF36" i="29"/>
  <c r="AD36" i="29"/>
  <c r="AF40" i="29"/>
  <c r="AD40" i="29"/>
  <c r="AF39" i="29"/>
  <c r="AD39" i="29"/>
  <c r="AF38" i="29"/>
  <c r="AD38" i="29"/>
  <c r="AF37" i="29"/>
  <c r="AD37" i="29"/>
  <c r="AG36" i="29"/>
  <c r="AE36" i="29"/>
  <c r="AG37" i="29"/>
  <c r="AJ36" i="29"/>
  <c r="AH36" i="29" s="1"/>
  <c r="M152" i="30"/>
  <c r="K152" i="30"/>
  <c r="L151" i="30"/>
  <c r="J151" i="30"/>
  <c r="L150" i="30"/>
  <c r="J150" i="30"/>
  <c r="L152" i="30"/>
  <c r="J152" i="30"/>
  <c r="M151" i="30"/>
  <c r="K151" i="30"/>
  <c r="M150" i="30"/>
  <c r="K150" i="30"/>
  <c r="M149" i="30"/>
  <c r="K149" i="30"/>
  <c r="M148" i="30"/>
  <c r="K148" i="30"/>
  <c r="L149" i="30"/>
  <c r="L148" i="30"/>
  <c r="J149" i="30"/>
  <c r="J148" i="30"/>
  <c r="W152" i="30"/>
  <c r="U152" i="30"/>
  <c r="W151" i="30"/>
  <c r="U151" i="30"/>
  <c r="W150" i="30"/>
  <c r="U150" i="30"/>
  <c r="V152" i="30"/>
  <c r="T152" i="30"/>
  <c r="V151" i="30"/>
  <c r="T151" i="30"/>
  <c r="V150" i="30"/>
  <c r="T150" i="30"/>
  <c r="V149" i="30"/>
  <c r="T149" i="30"/>
  <c r="W148" i="30"/>
  <c r="U148" i="30"/>
  <c r="U149" i="30"/>
  <c r="V148" i="30"/>
  <c r="W149" i="30"/>
  <c r="T148" i="30"/>
  <c r="AG152" i="30"/>
  <c r="AE152" i="30"/>
  <c r="AF151" i="30"/>
  <c r="AD151" i="30"/>
  <c r="AF150" i="30"/>
  <c r="AD150" i="30"/>
  <c r="AF152" i="30"/>
  <c r="AD152" i="30"/>
  <c r="AG151" i="30"/>
  <c r="AE151" i="30"/>
  <c r="AG150" i="30"/>
  <c r="AE150" i="30"/>
  <c r="AG149" i="30"/>
  <c r="AE149" i="30"/>
  <c r="AG148" i="30"/>
  <c r="AE148" i="30"/>
  <c r="AD149" i="30"/>
  <c r="AF148" i="30"/>
  <c r="AF149" i="30"/>
  <c r="AD148" i="30"/>
  <c r="H152" i="30"/>
  <c r="F152" i="30"/>
  <c r="G151" i="30"/>
  <c r="E151" i="30"/>
  <c r="H150" i="30"/>
  <c r="F150" i="30"/>
  <c r="G152" i="30"/>
  <c r="E152" i="30"/>
  <c r="H151" i="30"/>
  <c r="F151" i="30"/>
  <c r="G150" i="30"/>
  <c r="E150" i="30"/>
  <c r="H149" i="30"/>
  <c r="F149" i="30"/>
  <c r="H148" i="30"/>
  <c r="F148" i="30"/>
  <c r="G149" i="30"/>
  <c r="G148" i="30"/>
  <c r="E148" i="30"/>
  <c r="E149" i="30"/>
  <c r="J149" i="40"/>
  <c r="O149" i="40" s="1"/>
  <c r="J145" i="40"/>
  <c r="O145" i="40" s="1"/>
  <c r="J143" i="40"/>
  <c r="O143" i="40" s="1"/>
  <c r="J141" i="40"/>
  <c r="O141" i="40" s="1"/>
  <c r="J139" i="40"/>
  <c r="O139" i="40" s="1"/>
  <c r="J137" i="40"/>
  <c r="O137" i="40" s="1"/>
  <c r="J135" i="40"/>
  <c r="O135" i="40" s="1"/>
  <c r="J133" i="40"/>
  <c r="O133" i="40" s="1"/>
  <c r="J129" i="40"/>
  <c r="O129" i="40" s="1"/>
  <c r="J127" i="40"/>
  <c r="O127" i="40" s="1"/>
  <c r="J125" i="40"/>
  <c r="O125" i="40" s="1"/>
  <c r="J123" i="40"/>
  <c r="O123" i="40" s="1"/>
  <c r="J121" i="40"/>
  <c r="O121" i="40" s="1"/>
  <c r="J119" i="40"/>
  <c r="O119" i="40" s="1"/>
  <c r="J117" i="40"/>
  <c r="O117" i="40" s="1"/>
  <c r="J113" i="40"/>
  <c r="O113" i="40" s="1"/>
  <c r="J111" i="40"/>
  <c r="O111" i="40" s="1"/>
  <c r="J109" i="40"/>
  <c r="O109" i="40" s="1"/>
  <c r="J105" i="40"/>
  <c r="O105" i="40" s="1"/>
  <c r="J103" i="40"/>
  <c r="O103" i="40" s="1"/>
  <c r="J101" i="40"/>
  <c r="O101" i="40" s="1"/>
  <c r="J99" i="40"/>
  <c r="O99" i="40" s="1"/>
  <c r="J93" i="40"/>
  <c r="O93" i="40" s="1"/>
  <c r="J89" i="40"/>
  <c r="O89" i="40" s="1"/>
  <c r="J87" i="40"/>
  <c r="O87" i="40" s="1"/>
  <c r="J85" i="40"/>
  <c r="O85" i="40" s="1"/>
  <c r="J83" i="40"/>
  <c r="O83" i="40" s="1"/>
  <c r="J81" i="40"/>
  <c r="O81" i="40" s="1"/>
  <c r="J77" i="40"/>
  <c r="O77" i="40" s="1"/>
  <c r="J69" i="40"/>
  <c r="O69" i="40" s="1"/>
  <c r="J67" i="40"/>
  <c r="O67" i="40" s="1"/>
  <c r="J65" i="40"/>
  <c r="O65" i="40" s="1"/>
  <c r="J63" i="40"/>
  <c r="O63" i="40" s="1"/>
  <c r="J61" i="40"/>
  <c r="O61" i="40" s="1"/>
  <c r="J59" i="40"/>
  <c r="O59" i="40" s="1"/>
  <c r="J57" i="40"/>
  <c r="O57" i="40" s="1"/>
  <c r="J55" i="40"/>
  <c r="O55" i="40" s="1"/>
  <c r="J53" i="40"/>
  <c r="O53" i="40" s="1"/>
  <c r="J51" i="40"/>
  <c r="O51" i="40" s="1"/>
  <c r="J49" i="40"/>
  <c r="O49" i="40" s="1"/>
  <c r="J47" i="40"/>
  <c r="O47" i="40" s="1"/>
  <c r="J43" i="40"/>
  <c r="O43" i="40" s="1"/>
  <c r="J41" i="40"/>
  <c r="O41" i="40" s="1"/>
  <c r="J39" i="40"/>
  <c r="O39" i="40" s="1"/>
  <c r="J37" i="40"/>
  <c r="O37" i="40" s="1"/>
  <c r="J35" i="40"/>
  <c r="O35" i="40" s="1"/>
  <c r="J33" i="40"/>
  <c r="O33" i="40" s="1"/>
  <c r="J31" i="40"/>
  <c r="O31" i="40" s="1"/>
  <c r="J29" i="40"/>
  <c r="O29" i="40" s="1"/>
  <c r="J21" i="40"/>
  <c r="O21" i="40" s="1"/>
  <c r="J17" i="40"/>
  <c r="O17" i="40" s="1"/>
  <c r="J15" i="40"/>
  <c r="O15" i="40" s="1"/>
  <c r="J11" i="40"/>
  <c r="O11" i="40" s="1"/>
  <c r="J9" i="40"/>
  <c r="O9" i="40" s="1"/>
  <c r="J7" i="40"/>
  <c r="O7" i="40" s="1"/>
  <c r="H150" i="40"/>
  <c r="N150" i="40" s="1"/>
  <c r="H148" i="40"/>
  <c r="N148" i="40" s="1"/>
  <c r="H146" i="40"/>
  <c r="N146" i="40" s="1"/>
  <c r="H144" i="40"/>
  <c r="N144" i="40" s="1"/>
  <c r="H142" i="40"/>
  <c r="N142" i="40" s="1"/>
  <c r="H140" i="40"/>
  <c r="N140" i="40" s="1"/>
  <c r="H138" i="40"/>
  <c r="N138" i="40" s="1"/>
  <c r="H136" i="40"/>
  <c r="N136" i="40" s="1"/>
  <c r="H132" i="40"/>
  <c r="N132" i="40" s="1"/>
  <c r="H130" i="40"/>
  <c r="N130" i="40" s="1"/>
  <c r="H128" i="40"/>
  <c r="N128" i="40" s="1"/>
  <c r="H126" i="40"/>
  <c r="N126" i="40" s="1"/>
  <c r="H124" i="40"/>
  <c r="N124" i="40" s="1"/>
  <c r="H118" i="40"/>
  <c r="N118" i="40" s="1"/>
  <c r="H116" i="40"/>
  <c r="N116" i="40" s="1"/>
  <c r="H112" i="40"/>
  <c r="N112" i="40" s="1"/>
  <c r="H110" i="40"/>
  <c r="N110" i="40" s="1"/>
  <c r="H108" i="40"/>
  <c r="N108" i="40" s="1"/>
  <c r="J148" i="40"/>
  <c r="O148" i="40" s="1"/>
  <c r="J144" i="40"/>
  <c r="O144" i="40" s="1"/>
  <c r="J140" i="40"/>
  <c r="O140" i="40" s="1"/>
  <c r="J136" i="40"/>
  <c r="O136" i="40" s="1"/>
  <c r="J132" i="40"/>
  <c r="O132" i="40" s="1"/>
  <c r="J128" i="40"/>
  <c r="O128" i="40" s="1"/>
  <c r="J124" i="40"/>
  <c r="O124" i="40" s="1"/>
  <c r="J116" i="40"/>
  <c r="O116" i="40" s="1"/>
  <c r="J112" i="40"/>
  <c r="O112" i="40" s="1"/>
  <c r="J108" i="40"/>
  <c r="O108" i="40" s="1"/>
  <c r="J104" i="40"/>
  <c r="O104" i="40" s="1"/>
  <c r="J100" i="40"/>
  <c r="O100" i="40" s="1"/>
  <c r="J96" i="40"/>
  <c r="O96" i="40" s="1"/>
  <c r="J92" i="40"/>
  <c r="O92" i="40" s="1"/>
  <c r="J88" i="40"/>
  <c r="O88" i="40" s="1"/>
  <c r="J84" i="40"/>
  <c r="O84" i="40" s="1"/>
  <c r="J80" i="40"/>
  <c r="O80" i="40" s="1"/>
  <c r="J76" i="40"/>
  <c r="O76" i="40" s="1"/>
  <c r="J68" i="40"/>
  <c r="O68" i="40" s="1"/>
  <c r="J64" i="40"/>
  <c r="O64" i="40" s="1"/>
  <c r="J56" i="40"/>
  <c r="O56" i="40" s="1"/>
  <c r="J48" i="40"/>
  <c r="O48" i="40" s="1"/>
  <c r="J44" i="40"/>
  <c r="O44" i="40" s="1"/>
  <c r="J40" i="40"/>
  <c r="O40" i="40" s="1"/>
  <c r="J36" i="40"/>
  <c r="O36" i="40" s="1"/>
  <c r="J32" i="40"/>
  <c r="O32" i="40" s="1"/>
  <c r="J28" i="40"/>
  <c r="O28" i="40" s="1"/>
  <c r="J24" i="40"/>
  <c r="O24" i="40" s="1"/>
  <c r="J20" i="40"/>
  <c r="O20" i="40" s="1"/>
  <c r="J16" i="40"/>
  <c r="O16" i="40" s="1"/>
  <c r="J12" i="40"/>
  <c r="O12" i="40" s="1"/>
  <c r="J8" i="40"/>
  <c r="O8" i="40" s="1"/>
  <c r="H149" i="40"/>
  <c r="N149" i="40" s="1"/>
  <c r="H145" i="40"/>
  <c r="N145" i="40" s="1"/>
  <c r="H141" i="40"/>
  <c r="N141" i="40" s="1"/>
  <c r="H137" i="40"/>
  <c r="N137" i="40" s="1"/>
  <c r="H133" i="40"/>
  <c r="N133" i="40" s="1"/>
  <c r="H129" i="40"/>
  <c r="N129" i="40" s="1"/>
  <c r="H125" i="40"/>
  <c r="N125" i="40" s="1"/>
  <c r="H121" i="40"/>
  <c r="N121" i="40" s="1"/>
  <c r="H117" i="40"/>
  <c r="N117" i="40" s="1"/>
  <c r="H113" i="40"/>
  <c r="N113" i="40" s="1"/>
  <c r="H109" i="40"/>
  <c r="N109" i="40" s="1"/>
  <c r="H104" i="40"/>
  <c r="N104" i="40" s="1"/>
  <c r="H102" i="40"/>
  <c r="N102" i="40" s="1"/>
  <c r="H100" i="40"/>
  <c r="N100" i="40" s="1"/>
  <c r="H98" i="40"/>
  <c r="N98" i="40" s="1"/>
  <c r="H96" i="40"/>
  <c r="N96" i="40" s="1"/>
  <c r="H92" i="40"/>
  <c r="N92" i="40" s="1"/>
  <c r="H90" i="40"/>
  <c r="N90" i="40" s="1"/>
  <c r="H88" i="40"/>
  <c r="N88" i="40" s="1"/>
  <c r="H86" i="40"/>
  <c r="N86" i="40" s="1"/>
  <c r="H84" i="40"/>
  <c r="N84" i="40" s="1"/>
  <c r="H82" i="40"/>
  <c r="N82" i="40" s="1"/>
  <c r="H80" i="40"/>
  <c r="N80" i="40" s="1"/>
  <c r="H78" i="40"/>
  <c r="N78" i="40" s="1"/>
  <c r="H76" i="40"/>
  <c r="N76" i="40" s="1"/>
  <c r="H74" i="40"/>
  <c r="N74" i="40" s="1"/>
  <c r="H68" i="40"/>
  <c r="N68" i="40" s="1"/>
  <c r="H66" i="40"/>
  <c r="N66" i="40" s="1"/>
  <c r="H64" i="40"/>
  <c r="N64" i="40" s="1"/>
  <c r="H58" i="40"/>
  <c r="N58" i="40" s="1"/>
  <c r="H56" i="40"/>
  <c r="N56" i="40" s="1"/>
  <c r="H54" i="40"/>
  <c r="N54" i="40" s="1"/>
  <c r="H52" i="40"/>
  <c r="N52" i="40" s="1"/>
  <c r="H50" i="40"/>
  <c r="N50" i="40" s="1"/>
  <c r="H48" i="40"/>
  <c r="N48" i="40" s="1"/>
  <c r="H46" i="40"/>
  <c r="N46" i="40" s="1"/>
  <c r="H44" i="40"/>
  <c r="N44" i="40" s="1"/>
  <c r="H42" i="40"/>
  <c r="N42" i="40" s="1"/>
  <c r="H40" i="40"/>
  <c r="N40" i="40" s="1"/>
  <c r="H38" i="40"/>
  <c r="N38" i="40" s="1"/>
  <c r="H36" i="40"/>
  <c r="N36" i="40" s="1"/>
  <c r="H34" i="40"/>
  <c r="N34" i="40" s="1"/>
  <c r="H32" i="40"/>
  <c r="N32" i="40" s="1"/>
  <c r="H28" i="40"/>
  <c r="N28" i="40" s="1"/>
  <c r="H26" i="40"/>
  <c r="N26" i="40" s="1"/>
  <c r="H24" i="40"/>
  <c r="N24" i="40" s="1"/>
  <c r="H22" i="40"/>
  <c r="N22" i="40" s="1"/>
  <c r="H20" i="40"/>
  <c r="N20" i="40" s="1"/>
  <c r="H16" i="40"/>
  <c r="N16" i="40" s="1"/>
  <c r="H14" i="40"/>
  <c r="N14" i="40" s="1"/>
  <c r="H12" i="40"/>
  <c r="N12" i="40" s="1"/>
  <c r="H8" i="40"/>
  <c r="N8" i="40" s="1"/>
  <c r="H6" i="40"/>
  <c r="F149" i="40"/>
  <c r="M149" i="40" s="1"/>
  <c r="F145" i="40"/>
  <c r="M145" i="40" s="1"/>
  <c r="F143" i="40"/>
  <c r="M143" i="40" s="1"/>
  <c r="F141" i="40"/>
  <c r="M141" i="40" s="1"/>
  <c r="F139" i="40"/>
  <c r="M139" i="40" s="1"/>
  <c r="F137" i="40"/>
  <c r="M137" i="40" s="1"/>
  <c r="F135" i="40"/>
  <c r="M135" i="40" s="1"/>
  <c r="F133" i="40"/>
  <c r="M133" i="40" s="1"/>
  <c r="F129" i="40"/>
  <c r="M129" i="40" s="1"/>
  <c r="F127" i="40"/>
  <c r="M127" i="40" s="1"/>
  <c r="F125" i="40"/>
  <c r="M125" i="40" s="1"/>
  <c r="F123" i="40"/>
  <c r="M123" i="40" s="1"/>
  <c r="F121" i="40"/>
  <c r="M121" i="40" s="1"/>
  <c r="F119" i="40"/>
  <c r="M119" i="40" s="1"/>
  <c r="F117" i="40"/>
  <c r="M117" i="40" s="1"/>
  <c r="F113" i="40"/>
  <c r="M113" i="40" s="1"/>
  <c r="F111" i="40"/>
  <c r="M111" i="40" s="1"/>
  <c r="F109" i="40"/>
  <c r="M109" i="40" s="1"/>
  <c r="F105" i="40"/>
  <c r="M105" i="40" s="1"/>
  <c r="F103" i="40"/>
  <c r="M103" i="40" s="1"/>
  <c r="F101" i="40"/>
  <c r="M101" i="40" s="1"/>
  <c r="F99" i="40"/>
  <c r="M99" i="40" s="1"/>
  <c r="F93" i="40"/>
  <c r="M93" i="40" s="1"/>
  <c r="F89" i="40"/>
  <c r="M89" i="40" s="1"/>
  <c r="F87" i="40"/>
  <c r="M87" i="40" s="1"/>
  <c r="F83" i="40"/>
  <c r="M83" i="40" s="1"/>
  <c r="F81" i="40"/>
  <c r="M81" i="40" s="1"/>
  <c r="F77" i="40"/>
  <c r="M77" i="40" s="1"/>
  <c r="F69" i="40"/>
  <c r="M69" i="40" s="1"/>
  <c r="F67" i="40"/>
  <c r="M67" i="40" s="1"/>
  <c r="F65" i="40"/>
  <c r="M65" i="40" s="1"/>
  <c r="F63" i="40"/>
  <c r="M63" i="40" s="1"/>
  <c r="F61" i="40"/>
  <c r="M61" i="40" s="1"/>
  <c r="F59" i="40"/>
  <c r="M59" i="40" s="1"/>
  <c r="F57" i="40"/>
  <c r="M57" i="40" s="1"/>
  <c r="F55" i="40"/>
  <c r="M55" i="40" s="1"/>
  <c r="F53" i="40"/>
  <c r="M53" i="40" s="1"/>
  <c r="F51" i="40"/>
  <c r="M51" i="40" s="1"/>
  <c r="F49" i="40"/>
  <c r="M49" i="40" s="1"/>
  <c r="F47" i="40"/>
  <c r="M47" i="40" s="1"/>
  <c r="F43" i="40"/>
  <c r="M43" i="40" s="1"/>
  <c r="F41" i="40"/>
  <c r="M41" i="40" s="1"/>
  <c r="F39" i="40"/>
  <c r="M39" i="40" s="1"/>
  <c r="F37" i="40"/>
  <c r="M37" i="40" s="1"/>
  <c r="F35" i="40"/>
  <c r="M35" i="40" s="1"/>
  <c r="F33" i="40"/>
  <c r="M33" i="40" s="1"/>
  <c r="F31" i="40"/>
  <c r="M31" i="40" s="1"/>
  <c r="F29" i="40"/>
  <c r="M29" i="40" s="1"/>
  <c r="F21" i="40"/>
  <c r="M21" i="40" s="1"/>
  <c r="F17" i="40"/>
  <c r="M17" i="40" s="1"/>
  <c r="F15" i="40"/>
  <c r="M15" i="40" s="1"/>
  <c r="F11" i="40"/>
  <c r="M11" i="40" s="1"/>
  <c r="F9" i="40"/>
  <c r="M9" i="40" s="1"/>
  <c r="F7" i="40"/>
  <c r="M7" i="40" s="1"/>
  <c r="D151" i="40"/>
  <c r="D149" i="40"/>
  <c r="D147" i="40"/>
  <c r="D145" i="40"/>
  <c r="D143" i="40"/>
  <c r="D141" i="40"/>
  <c r="D139" i="40"/>
  <c r="D137" i="40"/>
  <c r="D133" i="40"/>
  <c r="D131" i="40"/>
  <c r="D129" i="40"/>
  <c r="D127" i="40"/>
  <c r="D125" i="40"/>
  <c r="D123" i="40"/>
  <c r="D121" i="40"/>
  <c r="D119" i="40"/>
  <c r="D117" i="40"/>
  <c r="D115" i="40"/>
  <c r="D113" i="40"/>
  <c r="D111" i="40"/>
  <c r="D109" i="40"/>
  <c r="D107" i="40"/>
  <c r="D105" i="40"/>
  <c r="D103" i="40"/>
  <c r="D101" i="40"/>
  <c r="D99" i="40"/>
  <c r="D97" i="40"/>
  <c r="D93" i="40"/>
  <c r="D91" i="40"/>
  <c r="D89" i="40"/>
  <c r="D87" i="40"/>
  <c r="D85" i="40"/>
  <c r="D83" i="40"/>
  <c r="D81" i="40"/>
  <c r="D79" i="40"/>
  <c r="D77" i="40"/>
  <c r="D75" i="40"/>
  <c r="D73" i="40"/>
  <c r="D71" i="40"/>
  <c r="D69" i="40"/>
  <c r="D67" i="40"/>
  <c r="D65" i="40"/>
  <c r="D63" i="40"/>
  <c r="D61" i="40"/>
  <c r="D59" i="40"/>
  <c r="D57" i="40"/>
  <c r="D55" i="40"/>
  <c r="D53" i="40"/>
  <c r="D51" i="40"/>
  <c r="D49" i="40"/>
  <c r="D47" i="40"/>
  <c r="D45" i="40"/>
  <c r="D43" i="40"/>
  <c r="D41" i="40"/>
  <c r="D39" i="40"/>
  <c r="D37" i="40"/>
  <c r="D35" i="40"/>
  <c r="D33" i="40"/>
  <c r="D31" i="40"/>
  <c r="D29" i="40"/>
  <c r="D27" i="40"/>
  <c r="D23" i="40"/>
  <c r="D21" i="40"/>
  <c r="D19" i="40"/>
  <c r="D17" i="40"/>
  <c r="D15" i="40"/>
  <c r="D13" i="40"/>
  <c r="D11" i="40"/>
  <c r="D9" i="40"/>
  <c r="D7" i="40"/>
  <c r="L7" i="40" s="1"/>
  <c r="J74" i="40"/>
  <c r="O74" i="40" s="1"/>
  <c r="J66" i="40"/>
  <c r="O66" i="40" s="1"/>
  <c r="J58" i="40"/>
  <c r="O58" i="40" s="1"/>
  <c r="J50" i="40"/>
  <c r="O50" i="40" s="1"/>
  <c r="J42" i="40"/>
  <c r="O42" i="40" s="1"/>
  <c r="J34" i="40"/>
  <c r="O34" i="40" s="1"/>
  <c r="J26" i="40"/>
  <c r="O26" i="40" s="1"/>
  <c r="H147" i="40"/>
  <c r="N147" i="40" s="1"/>
  <c r="H139" i="40"/>
  <c r="N139" i="40" s="1"/>
  <c r="H123" i="40"/>
  <c r="N123" i="40" s="1"/>
  <c r="H103" i="40"/>
  <c r="N103" i="40" s="1"/>
  <c r="H99" i="40"/>
  <c r="N99" i="40" s="1"/>
  <c r="H87" i="40"/>
  <c r="N87" i="40" s="1"/>
  <c r="H83" i="40"/>
  <c r="N83" i="40" s="1"/>
  <c r="H67" i="40"/>
  <c r="N67" i="40" s="1"/>
  <c r="H63" i="40"/>
  <c r="N63" i="40" s="1"/>
  <c r="H59" i="40"/>
  <c r="N59" i="40" s="1"/>
  <c r="H55" i="40"/>
  <c r="N55" i="40" s="1"/>
  <c r="H51" i="40"/>
  <c r="N51" i="40" s="1"/>
  <c r="H47" i="40"/>
  <c r="N47" i="40" s="1"/>
  <c r="H43" i="40"/>
  <c r="N43" i="40" s="1"/>
  <c r="H39" i="40"/>
  <c r="N39" i="40" s="1"/>
  <c r="H35" i="40"/>
  <c r="N35" i="40" s="1"/>
  <c r="H31" i="40"/>
  <c r="N31" i="40" s="1"/>
  <c r="H15" i="40"/>
  <c r="N15" i="40" s="1"/>
  <c r="H11" i="40"/>
  <c r="N11" i="40" s="1"/>
  <c r="H7" i="40"/>
  <c r="N7" i="40" s="1"/>
  <c r="F148" i="40"/>
  <c r="M148" i="40" s="1"/>
  <c r="F144" i="40"/>
  <c r="M144" i="40" s="1"/>
  <c r="F140" i="40"/>
  <c r="M140" i="40" s="1"/>
  <c r="F136" i="40"/>
  <c r="M136" i="40" s="1"/>
  <c r="F132" i="40"/>
  <c r="M132" i="40" s="1"/>
  <c r="F128" i="40"/>
  <c r="M128" i="40" s="1"/>
  <c r="F124" i="40"/>
  <c r="M124" i="40" s="1"/>
  <c r="F116" i="40"/>
  <c r="M116" i="40" s="1"/>
  <c r="F112" i="40"/>
  <c r="M112" i="40" s="1"/>
  <c r="F104" i="40"/>
  <c r="M104" i="40" s="1"/>
  <c r="F98" i="40"/>
  <c r="M98" i="40" s="1"/>
  <c r="F90" i="40"/>
  <c r="M90" i="40" s="1"/>
  <c r="F86" i="40"/>
  <c r="M86" i="40" s="1"/>
  <c r="F82" i="40"/>
  <c r="M82" i="40" s="1"/>
  <c r="F78" i="40"/>
  <c r="M78" i="40" s="1"/>
  <c r="F74" i="40"/>
  <c r="M74" i="40" s="1"/>
  <c r="F66" i="40"/>
  <c r="M66" i="40" s="1"/>
  <c r="F58" i="40"/>
  <c r="M58" i="40" s="1"/>
  <c r="F54" i="40"/>
  <c r="M54" i="40" s="1"/>
  <c r="F50" i="40"/>
  <c r="M50" i="40" s="1"/>
  <c r="F46" i="40"/>
  <c r="M46" i="40" s="1"/>
  <c r="F42" i="40"/>
  <c r="M42" i="40" s="1"/>
  <c r="F38" i="40"/>
  <c r="M38" i="40" s="1"/>
  <c r="F34" i="40"/>
  <c r="M34" i="40" s="1"/>
  <c r="F26" i="40"/>
  <c r="M26" i="40" s="1"/>
  <c r="F22" i="40"/>
  <c r="M22" i="40" s="1"/>
  <c r="F14" i="40"/>
  <c r="M14" i="40" s="1"/>
  <c r="F6" i="40"/>
  <c r="D148" i="40"/>
  <c r="D144" i="40"/>
  <c r="D140" i="40"/>
  <c r="D136" i="40"/>
  <c r="D132" i="40"/>
  <c r="D128" i="40"/>
  <c r="D126" i="40"/>
  <c r="D122" i="40"/>
  <c r="D118" i="40"/>
  <c r="D114" i="40"/>
  <c r="D110" i="40"/>
  <c r="D106" i="40"/>
  <c r="D100" i="40"/>
  <c r="D98" i="40"/>
  <c r="D90" i="40"/>
  <c r="D86" i="40"/>
  <c r="D80" i="40"/>
  <c r="D74" i="40"/>
  <c r="D70" i="40"/>
  <c r="D66" i="40"/>
  <c r="J150" i="40"/>
  <c r="O150" i="40" s="1"/>
  <c r="J146" i="40"/>
  <c r="O146" i="40" s="1"/>
  <c r="J142" i="40"/>
  <c r="O142" i="40" s="1"/>
  <c r="J138" i="40"/>
  <c r="O138" i="40" s="1"/>
  <c r="J130" i="40"/>
  <c r="O130" i="40" s="1"/>
  <c r="J126" i="40"/>
  <c r="O126" i="40" s="1"/>
  <c r="J118" i="40"/>
  <c r="O118" i="40" s="1"/>
  <c r="J110" i="40"/>
  <c r="O110" i="40" s="1"/>
  <c r="J102" i="40"/>
  <c r="O102" i="40" s="1"/>
  <c r="J98" i="40"/>
  <c r="O98" i="40" s="1"/>
  <c r="J90" i="40"/>
  <c r="O90" i="40" s="1"/>
  <c r="J86" i="40"/>
  <c r="O86" i="40" s="1"/>
  <c r="J82" i="40"/>
  <c r="O82" i="40" s="1"/>
  <c r="J78" i="40"/>
  <c r="O78" i="40" s="1"/>
  <c r="J54" i="40"/>
  <c r="O54" i="40" s="1"/>
  <c r="J46" i="40"/>
  <c r="O46" i="40" s="1"/>
  <c r="J38" i="40"/>
  <c r="O38" i="40" s="1"/>
  <c r="J22" i="40"/>
  <c r="O22" i="40" s="1"/>
  <c r="J14" i="40"/>
  <c r="O14" i="40" s="1"/>
  <c r="J6" i="40"/>
  <c r="H143" i="40"/>
  <c r="N143" i="40" s="1"/>
  <c r="H135" i="40"/>
  <c r="N135" i="40" s="1"/>
  <c r="H127" i="40"/>
  <c r="N127" i="40" s="1"/>
  <c r="H119" i="40"/>
  <c r="N119" i="40" s="1"/>
  <c r="H111" i="40"/>
  <c r="N111" i="40" s="1"/>
  <c r="H105" i="40"/>
  <c r="N105" i="40" s="1"/>
  <c r="H101" i="40"/>
  <c r="N101" i="40" s="1"/>
  <c r="H93" i="40"/>
  <c r="N93" i="40" s="1"/>
  <c r="H89" i="40"/>
  <c r="N89" i="40" s="1"/>
  <c r="H81" i="40"/>
  <c r="N81" i="40" s="1"/>
  <c r="H77" i="40"/>
  <c r="N77" i="40" s="1"/>
  <c r="H69" i="40"/>
  <c r="N69" i="40" s="1"/>
  <c r="H65" i="40"/>
  <c r="N65" i="40" s="1"/>
  <c r="H61" i="40"/>
  <c r="N61" i="40" s="1"/>
  <c r="H57" i="40"/>
  <c r="N57" i="40" s="1"/>
  <c r="H53" i="40"/>
  <c r="N53" i="40" s="1"/>
  <c r="H49" i="40"/>
  <c r="N49" i="40" s="1"/>
  <c r="H41" i="40"/>
  <c r="N41" i="40" s="1"/>
  <c r="H37" i="40"/>
  <c r="N37" i="40" s="1"/>
  <c r="H33" i="40"/>
  <c r="N33" i="40" s="1"/>
  <c r="H29" i="40"/>
  <c r="N29" i="40" s="1"/>
  <c r="H21" i="40"/>
  <c r="N21" i="40" s="1"/>
  <c r="H17" i="40"/>
  <c r="N17" i="40" s="1"/>
  <c r="H9" i="40"/>
  <c r="N9" i="40" s="1"/>
  <c r="F150" i="40"/>
  <c r="M150" i="40" s="1"/>
  <c r="F146" i="40"/>
  <c r="M146" i="40" s="1"/>
  <c r="F142" i="40"/>
  <c r="M142" i="40" s="1"/>
  <c r="F138" i="40"/>
  <c r="M138" i="40" s="1"/>
  <c r="F130" i="40"/>
  <c r="M130" i="40" s="1"/>
  <c r="F126" i="40"/>
  <c r="M126" i="40" s="1"/>
  <c r="F118" i="40"/>
  <c r="M118" i="40" s="1"/>
  <c r="F110" i="40"/>
  <c r="M110" i="40" s="1"/>
  <c r="F108" i="40"/>
  <c r="M108" i="40" s="1"/>
  <c r="F102" i="40"/>
  <c r="M102" i="40" s="1"/>
  <c r="F100" i="40"/>
  <c r="M100" i="40" s="1"/>
  <c r="F96" i="40"/>
  <c r="M96" i="40" s="1"/>
  <c r="F92" i="40"/>
  <c r="M92" i="40" s="1"/>
  <c r="F88" i="40"/>
  <c r="M88" i="40" s="1"/>
  <c r="F84" i="40"/>
  <c r="M84" i="40" s="1"/>
  <c r="F80" i="40"/>
  <c r="M80" i="40" s="1"/>
  <c r="F76" i="40"/>
  <c r="M76" i="40" s="1"/>
  <c r="F72" i="40"/>
  <c r="M72" i="40" s="1"/>
  <c r="F64" i="40"/>
  <c r="M64" i="40" s="1"/>
  <c r="F56" i="40"/>
  <c r="M56" i="40" s="1"/>
  <c r="F48" i="40"/>
  <c r="M48" i="40" s="1"/>
  <c r="F44" i="40"/>
  <c r="M44" i="40" s="1"/>
  <c r="F40" i="40"/>
  <c r="M40" i="40" s="1"/>
  <c r="F36" i="40"/>
  <c r="M36" i="40" s="1"/>
  <c r="F32" i="40"/>
  <c r="M32" i="40" s="1"/>
  <c r="F28" i="40"/>
  <c r="M28" i="40" s="1"/>
  <c r="F24" i="40"/>
  <c r="M24" i="40" s="1"/>
  <c r="F20" i="40"/>
  <c r="M20" i="40" s="1"/>
  <c r="F16" i="40"/>
  <c r="M16" i="40" s="1"/>
  <c r="F12" i="40"/>
  <c r="M12" i="40" s="1"/>
  <c r="F8" i="40"/>
  <c r="M8" i="40" s="1"/>
  <c r="D150" i="40"/>
  <c r="D146" i="40"/>
  <c r="D142" i="40"/>
  <c r="D138" i="40"/>
  <c r="D134" i="40"/>
  <c r="D130" i="40"/>
  <c r="D124" i="40"/>
  <c r="D120" i="40"/>
  <c r="D116" i="40"/>
  <c r="D112" i="40"/>
  <c r="D108" i="40"/>
  <c r="D104" i="40"/>
  <c r="D102" i="40"/>
  <c r="D96" i="40"/>
  <c r="D92" i="40"/>
  <c r="D88" i="40"/>
  <c r="D84" i="40"/>
  <c r="D82" i="40"/>
  <c r="D78" i="40"/>
  <c r="D72" i="40"/>
  <c r="D68" i="40"/>
  <c r="D64" i="40"/>
  <c r="D60" i="40"/>
  <c r="D56" i="40"/>
  <c r="D52" i="40"/>
  <c r="D48" i="40"/>
  <c r="D44" i="40"/>
  <c r="D40" i="40"/>
  <c r="D36" i="40"/>
  <c r="D32" i="40"/>
  <c r="D28" i="40"/>
  <c r="D24" i="40"/>
  <c r="D20" i="40"/>
  <c r="D16" i="40"/>
  <c r="D12" i="40"/>
  <c r="D8" i="40"/>
  <c r="D62" i="40"/>
  <c r="D58" i="40"/>
  <c r="D54" i="40"/>
  <c r="D50" i="40"/>
  <c r="D46" i="40"/>
  <c r="D42" i="40"/>
  <c r="D38" i="40"/>
  <c r="D34" i="40"/>
  <c r="D30" i="40"/>
  <c r="D26" i="40"/>
  <c r="D22" i="40"/>
  <c r="D14" i="40"/>
  <c r="D10" i="40"/>
  <c r="D6" i="40"/>
  <c r="Q152" i="30"/>
  <c r="O152" i="30"/>
  <c r="R151" i="30"/>
  <c r="P151" i="30"/>
  <c r="Q150" i="30"/>
  <c r="O150" i="30"/>
  <c r="R152" i="30"/>
  <c r="P152" i="30"/>
  <c r="Q151" i="30"/>
  <c r="O151" i="30"/>
  <c r="R150" i="30"/>
  <c r="P150" i="30"/>
  <c r="Q149" i="30"/>
  <c r="O149" i="30"/>
  <c r="R148" i="30"/>
  <c r="P148" i="30"/>
  <c r="P149" i="30"/>
  <c r="Q148" i="30"/>
  <c r="R149" i="30"/>
  <c r="O148" i="30"/>
  <c r="AB152" i="30"/>
  <c r="Z152" i="30"/>
  <c r="AA151" i="30"/>
  <c r="Y151" i="30"/>
  <c r="AB150" i="30"/>
  <c r="Z150" i="30"/>
  <c r="AA152" i="30"/>
  <c r="Y152" i="30"/>
  <c r="AB151" i="30"/>
  <c r="Z151" i="30"/>
  <c r="AA150" i="30"/>
  <c r="Y150" i="30"/>
  <c r="AB149" i="30"/>
  <c r="Z149" i="30"/>
  <c r="AB148" i="30"/>
  <c r="Z148" i="30"/>
  <c r="Y149" i="30"/>
  <c r="AA148" i="30"/>
  <c r="AA149" i="30"/>
  <c r="Y148" i="30"/>
  <c r="AK152" i="30"/>
  <c r="AI152" i="30"/>
  <c r="AL151" i="30"/>
  <c r="AJ151" i="30"/>
  <c r="AK150" i="30"/>
  <c r="AI150" i="30"/>
  <c r="AL152" i="30"/>
  <c r="AJ152" i="30"/>
  <c r="AK151" i="30"/>
  <c r="AI151" i="30"/>
  <c r="AL150" i="30"/>
  <c r="AJ150" i="30"/>
  <c r="AK149" i="30"/>
  <c r="AI149" i="30"/>
  <c r="AL148" i="30"/>
  <c r="AJ148" i="30"/>
  <c r="AL149" i="30"/>
  <c r="AK148" i="30"/>
  <c r="AJ149" i="30"/>
  <c r="AI148" i="30"/>
  <c r="H106" i="40"/>
  <c r="N106" i="40" s="1"/>
  <c r="AJ271" i="28"/>
  <c r="BN271" i="28" s="1"/>
  <c r="N1009" i="1"/>
  <c r="M1009" i="1"/>
  <c r="N1011" i="1"/>
  <c r="M1011" i="1"/>
  <c r="N1013" i="1"/>
  <c r="M1013" i="1"/>
  <c r="N1015" i="1"/>
  <c r="M1015" i="1"/>
  <c r="N1017" i="1"/>
  <c r="M1017" i="1"/>
  <c r="N1019" i="1"/>
  <c r="M1019" i="1"/>
  <c r="N1021" i="1"/>
  <c r="M1021" i="1"/>
  <c r="N1023" i="1"/>
  <c r="M1023" i="1"/>
  <c r="N1027" i="1"/>
  <c r="M1027" i="1"/>
  <c r="N1029" i="1"/>
  <c r="M1029" i="1"/>
  <c r="N1031" i="1"/>
  <c r="M1031" i="1"/>
  <c r="N1033" i="1"/>
  <c r="M1033" i="1"/>
  <c r="N1035" i="1"/>
  <c r="M1035" i="1"/>
  <c r="N1037" i="1"/>
  <c r="M1037" i="1"/>
  <c r="N1039" i="1"/>
  <c r="M1039" i="1"/>
  <c r="N1041" i="1"/>
  <c r="M1041" i="1"/>
  <c r="N1045" i="1"/>
  <c r="M1045" i="1"/>
  <c r="N1047" i="1"/>
  <c r="M1047" i="1"/>
  <c r="N1049" i="1"/>
  <c r="M1049" i="1"/>
  <c r="N1051" i="1"/>
  <c r="M1051" i="1"/>
  <c r="N1053" i="1"/>
  <c r="M1053" i="1"/>
  <c r="N1055" i="1"/>
  <c r="M1055" i="1"/>
  <c r="N1057" i="1"/>
  <c r="M1057" i="1"/>
  <c r="N1059" i="1"/>
  <c r="M1059" i="1"/>
  <c r="N1061" i="1"/>
  <c r="M1061" i="1"/>
  <c r="N1063" i="1"/>
  <c r="M1063" i="1"/>
  <c r="N1065" i="1"/>
  <c r="M1065" i="1"/>
  <c r="N1067" i="1"/>
  <c r="M1067" i="1"/>
  <c r="N1069" i="1"/>
  <c r="M1069" i="1"/>
  <c r="N1071" i="1"/>
  <c r="M1071" i="1"/>
  <c r="N1075" i="1"/>
  <c r="M1075" i="1"/>
  <c r="N1077" i="1"/>
  <c r="M1077" i="1"/>
  <c r="N1079" i="1"/>
  <c r="M1079" i="1"/>
  <c r="N1081" i="1"/>
  <c r="M1081" i="1"/>
  <c r="N1083" i="1"/>
  <c r="M1083" i="1"/>
  <c r="N1085" i="1"/>
  <c r="M1085" i="1"/>
  <c r="N1087" i="1"/>
  <c r="M1087" i="1"/>
  <c r="M995" i="1"/>
  <c r="P995" i="1" s="1"/>
  <c r="N996" i="1"/>
  <c r="P996" i="1" s="1"/>
  <c r="M997" i="1"/>
  <c r="P997" i="1" s="1"/>
  <c r="N998" i="1"/>
  <c r="P998" i="1" s="1"/>
  <c r="M999" i="1"/>
  <c r="P999" i="1" s="1"/>
  <c r="N1000" i="1"/>
  <c r="P1000" i="1" s="1"/>
  <c r="M1001" i="1"/>
  <c r="P1001" i="1" s="1"/>
  <c r="P1002" i="1"/>
  <c r="M1010" i="1"/>
  <c r="N1010" i="1"/>
  <c r="M1012" i="1"/>
  <c r="N1012" i="1"/>
  <c r="M1014" i="1"/>
  <c r="N1014" i="1"/>
  <c r="M1016" i="1"/>
  <c r="N1016" i="1"/>
  <c r="M1018" i="1"/>
  <c r="N1018" i="1"/>
  <c r="M1020" i="1"/>
  <c r="N1020" i="1"/>
  <c r="M1022" i="1"/>
  <c r="N1022" i="1"/>
  <c r="M1024" i="1"/>
  <c r="N1024" i="1"/>
  <c r="M1026" i="1"/>
  <c r="N1026" i="1"/>
  <c r="M1028" i="1"/>
  <c r="N1028" i="1"/>
  <c r="M1030" i="1"/>
  <c r="N1030" i="1"/>
  <c r="M1032" i="1"/>
  <c r="N1032" i="1"/>
  <c r="M1034" i="1"/>
  <c r="N1034" i="1"/>
  <c r="M1036" i="1"/>
  <c r="N1036" i="1"/>
  <c r="M1038" i="1"/>
  <c r="N1038" i="1"/>
  <c r="M1040" i="1"/>
  <c r="N1040" i="1"/>
  <c r="M1042" i="1"/>
  <c r="N1042" i="1"/>
  <c r="M1046" i="1"/>
  <c r="N1046" i="1"/>
  <c r="M1048" i="1"/>
  <c r="N1048" i="1"/>
  <c r="M1050" i="1"/>
  <c r="N1050" i="1"/>
  <c r="M1052" i="1"/>
  <c r="N1052" i="1"/>
  <c r="M1054" i="1"/>
  <c r="N1054" i="1"/>
  <c r="M1056" i="1"/>
  <c r="N1056" i="1"/>
  <c r="M1058" i="1"/>
  <c r="N1058" i="1"/>
  <c r="M1060" i="1"/>
  <c r="N1060" i="1"/>
  <c r="M1062" i="1"/>
  <c r="N1062" i="1"/>
  <c r="M1064" i="1"/>
  <c r="N1064" i="1"/>
  <c r="M1066" i="1"/>
  <c r="N1066" i="1"/>
  <c r="M1068" i="1"/>
  <c r="N1068" i="1"/>
  <c r="M1070" i="1"/>
  <c r="N1070" i="1"/>
  <c r="M1076" i="1"/>
  <c r="N1076" i="1"/>
  <c r="M1078" i="1"/>
  <c r="N1078" i="1"/>
  <c r="M1080" i="1"/>
  <c r="N1080" i="1"/>
  <c r="M1082" i="1"/>
  <c r="N1082" i="1"/>
  <c r="M1084" i="1"/>
  <c r="N1084" i="1"/>
  <c r="M1086" i="1"/>
  <c r="N1086" i="1"/>
  <c r="M1088" i="1"/>
  <c r="N1088" i="1"/>
  <c r="P1004" i="1"/>
  <c r="P1006" i="1"/>
  <c r="P1008" i="1"/>
  <c r="P1044" i="1"/>
  <c r="P1072" i="1"/>
  <c r="P1074" i="1"/>
  <c r="P1003" i="1"/>
  <c r="P1007" i="1"/>
  <c r="P1025" i="1"/>
  <c r="P1043" i="1"/>
  <c r="P1073" i="1"/>
  <c r="J107" i="40"/>
  <c r="O107" i="40" s="1"/>
  <c r="F107" i="40"/>
  <c r="M107" i="40" s="1"/>
  <c r="H107" i="40"/>
  <c r="N107" i="40" s="1"/>
  <c r="AK273" i="28"/>
  <c r="BO273" i="28" s="1"/>
  <c r="AI273" i="28"/>
  <c r="AJ273" i="28"/>
  <c r="BN273" i="28" s="1"/>
  <c r="AK275" i="28"/>
  <c r="BO275" i="28" s="1"/>
  <c r="AI275" i="28"/>
  <c r="AJ275" i="28"/>
  <c r="BN275" i="28" s="1"/>
  <c r="AK276" i="28"/>
  <c r="BO276" i="28" s="1"/>
  <c r="AI276" i="28"/>
  <c r="AK277" i="28"/>
  <c r="BO277" i="28" s="1"/>
  <c r="AI277" i="28"/>
  <c r="AJ277" i="28"/>
  <c r="BN277" i="28" s="1"/>
  <c r="J131" i="40"/>
  <c r="O131" i="40" s="1"/>
  <c r="J91" i="40"/>
  <c r="O91" i="40" s="1"/>
  <c r="F91" i="40"/>
  <c r="M91" i="40" s="1"/>
  <c r="H91" i="40"/>
  <c r="N91" i="40" s="1"/>
  <c r="AI271" i="28"/>
  <c r="AJ276" i="28"/>
  <c r="BN276" i="28" s="1"/>
  <c r="J30" i="40"/>
  <c r="O30" i="40" s="1"/>
  <c r="F30" i="40"/>
  <c r="M30" i="40" s="1"/>
  <c r="AK272" i="28"/>
  <c r="BO272" i="28" s="1"/>
  <c r="AI272" i="28"/>
  <c r="F52" i="40"/>
  <c r="M52" i="40" s="1"/>
  <c r="J23" i="40"/>
  <c r="O23" i="40" s="1"/>
  <c r="F23" i="40"/>
  <c r="M23" i="40" s="1"/>
  <c r="J147" i="40"/>
  <c r="O147" i="40" s="1"/>
  <c r="F147" i="40"/>
  <c r="M147" i="40" s="1"/>
  <c r="H85" i="40"/>
  <c r="N85" i="40" s="1"/>
  <c r="F85" i="40"/>
  <c r="M85" i="40" s="1"/>
  <c r="H95" i="40"/>
  <c r="N95" i="40" s="1"/>
  <c r="J95" i="40"/>
  <c r="O95" i="40" s="1"/>
  <c r="AJ270" i="28"/>
  <c r="BN270" i="28" s="1"/>
  <c r="AI270" i="28"/>
  <c r="AJ274" i="28"/>
  <c r="BN274" i="28" s="1"/>
  <c r="AK274" i="28"/>
  <c r="BO274" i="28" s="1"/>
  <c r="H13" i="40"/>
  <c r="N13" i="40" s="1"/>
  <c r="F13" i="40"/>
  <c r="M13" i="40" s="1"/>
  <c r="H75" i="40"/>
  <c r="N75" i="40" s="1"/>
  <c r="J75" i="40"/>
  <c r="O75" i="40" s="1"/>
  <c r="I184" i="18"/>
  <c r="I181" i="18" s="1"/>
  <c r="F73" i="40"/>
  <c r="M73" i="40" s="1"/>
  <c r="H23" i="40"/>
  <c r="N23" i="40" s="1"/>
  <c r="F19" i="40"/>
  <c r="M19" i="40" s="1"/>
  <c r="F95" i="40"/>
  <c r="M95" i="40" s="1"/>
  <c r="AK270" i="28"/>
  <c r="BO270" i="28" s="1"/>
  <c r="AI274" i="28"/>
  <c r="J13" i="40"/>
  <c r="O13" i="40" s="1"/>
  <c r="H131" i="40"/>
  <c r="N131" i="40" s="1"/>
  <c r="F75" i="40"/>
  <c r="M75" i="40" s="1"/>
  <c r="I185" i="18"/>
  <c r="P1005" i="1"/>
  <c r="I149" i="30" l="1"/>
  <c r="AC38" i="29"/>
  <c r="AC39" i="29"/>
  <c r="AC40" i="29"/>
  <c r="X37" i="29"/>
  <c r="X38" i="29"/>
  <c r="X39" i="29"/>
  <c r="X40" i="29"/>
  <c r="I37" i="29"/>
  <c r="I38" i="29"/>
  <c r="I39" i="29"/>
  <c r="I40" i="29"/>
  <c r="AH37" i="29"/>
  <c r="AH38" i="29"/>
  <c r="AH39" i="29"/>
  <c r="AH40" i="29"/>
  <c r="AC37" i="29"/>
  <c r="BP36" i="29"/>
  <c r="BN36" i="29"/>
  <c r="I36" i="29"/>
  <c r="BP37" i="29"/>
  <c r="BO37" i="29"/>
  <c r="BO38" i="29"/>
  <c r="BO39" i="29"/>
  <c r="BO40" i="29"/>
  <c r="BP38" i="29"/>
  <c r="BP39" i="29"/>
  <c r="BP40" i="29"/>
  <c r="BO36" i="29"/>
  <c r="S36" i="29"/>
  <c r="AC36" i="29"/>
  <c r="X36" i="29"/>
  <c r="D36" i="29"/>
  <c r="BM36" i="29"/>
  <c r="BN37" i="29"/>
  <c r="BM37" i="29"/>
  <c r="D37" i="29"/>
  <c r="D38" i="29"/>
  <c r="BM38" i="29"/>
  <c r="D39" i="29"/>
  <c r="BM39" i="29"/>
  <c r="D40" i="29"/>
  <c r="BM40" i="29"/>
  <c r="BN38" i="29"/>
  <c r="BN39" i="29"/>
  <c r="BN40" i="29"/>
  <c r="N37" i="29"/>
  <c r="S37" i="29"/>
  <c r="N38" i="29"/>
  <c r="S38" i="29"/>
  <c r="N39" i="29"/>
  <c r="S39" i="29"/>
  <c r="N40" i="29"/>
  <c r="S40" i="29"/>
  <c r="N36" i="29"/>
  <c r="L10" i="40"/>
  <c r="L22" i="40"/>
  <c r="Q22" i="40"/>
  <c r="S22" i="40" s="1"/>
  <c r="L30" i="40"/>
  <c r="L38" i="40"/>
  <c r="Q38" i="40"/>
  <c r="S38" i="40" s="1"/>
  <c r="L46" i="40"/>
  <c r="Q46" i="40"/>
  <c r="S46" i="40" s="1"/>
  <c r="L54" i="40"/>
  <c r="Q54" i="40"/>
  <c r="S54" i="40" s="1"/>
  <c r="L62" i="40"/>
  <c r="L12" i="40"/>
  <c r="Q12" i="40"/>
  <c r="S12" i="40" s="1"/>
  <c r="L20" i="40"/>
  <c r="Q20" i="40"/>
  <c r="S20" i="40" s="1"/>
  <c r="L28" i="40"/>
  <c r="Q28" i="40"/>
  <c r="S28" i="40" s="1"/>
  <c r="L36" i="40"/>
  <c r="Q36" i="40"/>
  <c r="S36" i="40" s="1"/>
  <c r="L44" i="40"/>
  <c r="Q44" i="40"/>
  <c r="S44" i="40" s="1"/>
  <c r="L52" i="40"/>
  <c r="L60" i="40"/>
  <c r="L68" i="40"/>
  <c r="L78" i="40"/>
  <c r="Q78" i="40"/>
  <c r="S78" i="40" s="1"/>
  <c r="L84" i="40"/>
  <c r="Q84" i="40"/>
  <c r="S84" i="40" s="1"/>
  <c r="L92" i="40"/>
  <c r="Q92" i="40"/>
  <c r="S92" i="40" s="1"/>
  <c r="L102" i="40"/>
  <c r="Q102" i="40"/>
  <c r="S102" i="40" s="1"/>
  <c r="L108" i="40"/>
  <c r="Q108" i="40"/>
  <c r="S108" i="40" s="1"/>
  <c r="L116" i="40"/>
  <c r="Q116" i="40"/>
  <c r="S116" i="40" s="1"/>
  <c r="L124" i="40"/>
  <c r="Q124" i="40"/>
  <c r="S124" i="40" s="1"/>
  <c r="L134" i="40"/>
  <c r="L142" i="40"/>
  <c r="Q142" i="40"/>
  <c r="S142" i="40" s="1"/>
  <c r="L150" i="40"/>
  <c r="Q150" i="40"/>
  <c r="S150" i="40" s="1"/>
  <c r="L66" i="40"/>
  <c r="Q66" i="40"/>
  <c r="S66" i="40" s="1"/>
  <c r="L74" i="40"/>
  <c r="Q74" i="40"/>
  <c r="S74" i="40" s="1"/>
  <c r="L86" i="40"/>
  <c r="Q86" i="40"/>
  <c r="S86" i="40" s="1"/>
  <c r="L98" i="40"/>
  <c r="Q98" i="40"/>
  <c r="S98" i="40" s="1"/>
  <c r="L106" i="40"/>
  <c r="L114" i="40"/>
  <c r="L122" i="40"/>
  <c r="L128" i="40"/>
  <c r="Q128" i="40"/>
  <c r="S128" i="40" s="1"/>
  <c r="L136" i="40"/>
  <c r="Q136" i="40"/>
  <c r="S136" i="40" s="1"/>
  <c r="L144" i="40"/>
  <c r="Q144" i="40"/>
  <c r="S144" i="40" s="1"/>
  <c r="L9" i="40"/>
  <c r="Q9" i="40"/>
  <c r="S9" i="40" s="1"/>
  <c r="L13" i="40"/>
  <c r="Q13" i="40"/>
  <c r="S13" i="40" s="1"/>
  <c r="L17" i="40"/>
  <c r="Q17" i="40"/>
  <c r="S17" i="40" s="1"/>
  <c r="L21" i="40"/>
  <c r="Q21" i="40"/>
  <c r="S21" i="40" s="1"/>
  <c r="L27" i="40"/>
  <c r="L31" i="40"/>
  <c r="Q31" i="40"/>
  <c r="S31" i="40" s="1"/>
  <c r="L35" i="40"/>
  <c r="Q35" i="40"/>
  <c r="S35" i="40" s="1"/>
  <c r="L39" i="40"/>
  <c r="Q39" i="40"/>
  <c r="S39" i="40" s="1"/>
  <c r="L43" i="40"/>
  <c r="Q43" i="40"/>
  <c r="S43" i="40" s="1"/>
  <c r="L47" i="40"/>
  <c r="Q47" i="40"/>
  <c r="S47" i="40" s="1"/>
  <c r="L51" i="40"/>
  <c r="Q51" i="40"/>
  <c r="S51" i="40" s="1"/>
  <c r="L55" i="40"/>
  <c r="Q55" i="40"/>
  <c r="S55" i="40" s="1"/>
  <c r="L59" i="40"/>
  <c r="Q59" i="40"/>
  <c r="S59" i="40" s="1"/>
  <c r="L63" i="40"/>
  <c r="Q63" i="40"/>
  <c r="S63" i="40" s="1"/>
  <c r="L67" i="40"/>
  <c r="Q67" i="40"/>
  <c r="S67" i="40" s="1"/>
  <c r="L71" i="40"/>
  <c r="L75" i="40"/>
  <c r="Q75" i="40"/>
  <c r="S75" i="40" s="1"/>
  <c r="L79" i="40"/>
  <c r="L83" i="40"/>
  <c r="Q83" i="40"/>
  <c r="S83" i="40" s="1"/>
  <c r="L87" i="40"/>
  <c r="Q87" i="40"/>
  <c r="S87" i="40" s="1"/>
  <c r="L91" i="40"/>
  <c r="Q91" i="40"/>
  <c r="S91" i="40" s="1"/>
  <c r="L97" i="40"/>
  <c r="L101" i="40"/>
  <c r="Q101" i="40"/>
  <c r="S101" i="40" s="1"/>
  <c r="L105" i="40"/>
  <c r="Q105" i="40"/>
  <c r="S105" i="40" s="1"/>
  <c r="L109" i="40"/>
  <c r="Q109" i="40"/>
  <c r="S109" i="40" s="1"/>
  <c r="L113" i="40"/>
  <c r="Q113" i="40"/>
  <c r="S113" i="40" s="1"/>
  <c r="L117" i="40"/>
  <c r="Q117" i="40"/>
  <c r="S117" i="40" s="1"/>
  <c r="L121" i="40"/>
  <c r="Q121" i="40"/>
  <c r="S121" i="40" s="1"/>
  <c r="L125" i="40"/>
  <c r="Q125" i="40"/>
  <c r="S125" i="40" s="1"/>
  <c r="L129" i="40"/>
  <c r="Q129" i="40"/>
  <c r="S129" i="40" s="1"/>
  <c r="L133" i="40"/>
  <c r="Q133" i="40"/>
  <c r="S133" i="40" s="1"/>
  <c r="L139" i="40"/>
  <c r="Q139" i="40"/>
  <c r="S139" i="40" s="1"/>
  <c r="L143" i="40"/>
  <c r="Q143" i="40"/>
  <c r="S143" i="40" s="1"/>
  <c r="L147" i="40"/>
  <c r="Q147" i="40"/>
  <c r="S147" i="40" s="1"/>
  <c r="L151" i="40"/>
  <c r="Q151" i="40"/>
  <c r="S151" i="40" s="1"/>
  <c r="L14" i="40"/>
  <c r="Q14" i="40"/>
  <c r="S14" i="40" s="1"/>
  <c r="L26" i="40"/>
  <c r="Q26" i="40"/>
  <c r="S26" i="40" s="1"/>
  <c r="L34" i="40"/>
  <c r="Q34" i="40"/>
  <c r="S34" i="40" s="1"/>
  <c r="L42" i="40"/>
  <c r="Q42" i="40"/>
  <c r="S42" i="40" s="1"/>
  <c r="L50" i="40"/>
  <c r="Q50" i="40"/>
  <c r="S50" i="40" s="1"/>
  <c r="L58" i="40"/>
  <c r="Q58" i="40"/>
  <c r="S58" i="40" s="1"/>
  <c r="L8" i="40"/>
  <c r="Q8" i="40"/>
  <c r="S8" i="40" s="1"/>
  <c r="L16" i="40"/>
  <c r="Q16" i="40"/>
  <c r="S16" i="40" s="1"/>
  <c r="L24" i="40"/>
  <c r="Q24" i="40"/>
  <c r="S24" i="40" s="1"/>
  <c r="L32" i="40"/>
  <c r="Q32" i="40"/>
  <c r="S32" i="40" s="1"/>
  <c r="L40" i="40"/>
  <c r="Q40" i="40"/>
  <c r="S40" i="40" s="1"/>
  <c r="L48" i="40"/>
  <c r="Q48" i="40"/>
  <c r="S48" i="40" s="1"/>
  <c r="L56" i="40"/>
  <c r="Q56" i="40"/>
  <c r="S56" i="40" s="1"/>
  <c r="L64" i="40"/>
  <c r="Q64" i="40"/>
  <c r="S64" i="40" s="1"/>
  <c r="L72" i="40"/>
  <c r="L82" i="40"/>
  <c r="Q82" i="40"/>
  <c r="S82" i="40" s="1"/>
  <c r="L88" i="40"/>
  <c r="Q88" i="40"/>
  <c r="S88" i="40" s="1"/>
  <c r="L96" i="40"/>
  <c r="Q96" i="40"/>
  <c r="S96" i="40" s="1"/>
  <c r="L104" i="40"/>
  <c r="Q104" i="40"/>
  <c r="S104" i="40" s="1"/>
  <c r="L112" i="40"/>
  <c r="Q112" i="40"/>
  <c r="S112" i="40" s="1"/>
  <c r="L120" i="40"/>
  <c r="L130" i="40"/>
  <c r="Q130" i="40"/>
  <c r="S130" i="40" s="1"/>
  <c r="L138" i="40"/>
  <c r="Q138" i="40"/>
  <c r="S138" i="40" s="1"/>
  <c r="L146" i="40"/>
  <c r="Q146" i="40"/>
  <c r="S146" i="40" s="1"/>
  <c r="L70" i="40"/>
  <c r="L80" i="40"/>
  <c r="Q80" i="40"/>
  <c r="S80" i="40" s="1"/>
  <c r="L90" i="40"/>
  <c r="Q90" i="40"/>
  <c r="S90" i="40" s="1"/>
  <c r="L100" i="40"/>
  <c r="Q100" i="40"/>
  <c r="S100" i="40" s="1"/>
  <c r="L110" i="40"/>
  <c r="Q110" i="40"/>
  <c r="S110" i="40" s="1"/>
  <c r="L118" i="40"/>
  <c r="Q118" i="40"/>
  <c r="S118" i="40" s="1"/>
  <c r="L126" i="40"/>
  <c r="Q126" i="40"/>
  <c r="S126" i="40" s="1"/>
  <c r="L132" i="40"/>
  <c r="Q132" i="40"/>
  <c r="S132" i="40" s="1"/>
  <c r="L140" i="40"/>
  <c r="Q140" i="40"/>
  <c r="S140" i="40" s="1"/>
  <c r="L148" i="40"/>
  <c r="Q148" i="40"/>
  <c r="S148" i="40" s="1"/>
  <c r="L11" i="40"/>
  <c r="Q11" i="40"/>
  <c r="S11" i="40" s="1"/>
  <c r="L15" i="40"/>
  <c r="Q15" i="40"/>
  <c r="S15" i="40" s="1"/>
  <c r="L19" i="40"/>
  <c r="L23" i="40"/>
  <c r="Q23" i="40"/>
  <c r="S23" i="40" s="1"/>
  <c r="L29" i="40"/>
  <c r="Q29" i="40"/>
  <c r="S29" i="40" s="1"/>
  <c r="L33" i="40"/>
  <c r="Q33" i="40"/>
  <c r="S33" i="40" s="1"/>
  <c r="L37" i="40"/>
  <c r="Q37" i="40"/>
  <c r="S37" i="40" s="1"/>
  <c r="L41" i="40"/>
  <c r="Q41" i="40"/>
  <c r="S41" i="40" s="1"/>
  <c r="L45" i="40"/>
  <c r="L49" i="40"/>
  <c r="Q49" i="40"/>
  <c r="S49" i="40" s="1"/>
  <c r="L53" i="40"/>
  <c r="Q53" i="40"/>
  <c r="S53" i="40" s="1"/>
  <c r="L57" i="40"/>
  <c r="Q57" i="40"/>
  <c r="S57" i="40" s="1"/>
  <c r="L61" i="40"/>
  <c r="Q61" i="40"/>
  <c r="S61" i="40" s="1"/>
  <c r="L65" i="40"/>
  <c r="Q65" i="40"/>
  <c r="S65" i="40" s="1"/>
  <c r="L69" i="40"/>
  <c r="Q69" i="40"/>
  <c r="S69" i="40" s="1"/>
  <c r="L73" i="40"/>
  <c r="L77" i="40"/>
  <c r="Q77" i="40"/>
  <c r="S77" i="40" s="1"/>
  <c r="L81" i="40"/>
  <c r="Q81" i="40"/>
  <c r="S81" i="40" s="1"/>
  <c r="L85" i="40"/>
  <c r="Q85" i="40"/>
  <c r="S85" i="40" s="1"/>
  <c r="L89" i="40"/>
  <c r="Q89" i="40"/>
  <c r="S89" i="40" s="1"/>
  <c r="L93" i="40"/>
  <c r="Q93" i="40"/>
  <c r="S93" i="40" s="1"/>
  <c r="L99" i="40"/>
  <c r="Q99" i="40"/>
  <c r="S99" i="40" s="1"/>
  <c r="L103" i="40"/>
  <c r="Q103" i="40"/>
  <c r="S103" i="40" s="1"/>
  <c r="L107" i="40"/>
  <c r="Q107" i="40"/>
  <c r="S107" i="40" s="1"/>
  <c r="L111" i="40"/>
  <c r="Q111" i="40"/>
  <c r="S111" i="40" s="1"/>
  <c r="L115" i="40"/>
  <c r="L119" i="40"/>
  <c r="Q119" i="40"/>
  <c r="S119" i="40" s="1"/>
  <c r="L123" i="40"/>
  <c r="Q123" i="40"/>
  <c r="S123" i="40" s="1"/>
  <c r="L127" i="40"/>
  <c r="Q127" i="40"/>
  <c r="S127" i="40" s="1"/>
  <c r="L131" i="40"/>
  <c r="L137" i="40"/>
  <c r="Q137" i="40"/>
  <c r="S137" i="40" s="1"/>
  <c r="L141" i="40"/>
  <c r="Q141" i="40"/>
  <c r="S141" i="40" s="1"/>
  <c r="L145" i="40"/>
  <c r="Q145" i="40"/>
  <c r="S145" i="40" s="1"/>
  <c r="L149" i="40"/>
  <c r="Q149" i="40"/>
  <c r="S149" i="40" s="1"/>
  <c r="F60" i="40"/>
  <c r="M60" i="40" s="1"/>
  <c r="H25" i="40"/>
  <c r="N25" i="40" s="1"/>
  <c r="AH148" i="30"/>
  <c r="AH151" i="30"/>
  <c r="X148" i="30"/>
  <c r="X150" i="30"/>
  <c r="X152" i="30"/>
  <c r="N148" i="30"/>
  <c r="N149" i="30"/>
  <c r="N151" i="30"/>
  <c r="AC152" i="30"/>
  <c r="S150" i="30"/>
  <c r="S151" i="30"/>
  <c r="S152" i="30"/>
  <c r="J62" i="40"/>
  <c r="O62" i="40" s="1"/>
  <c r="AI268" i="28"/>
  <c r="F25" i="40"/>
  <c r="M25" i="40" s="1"/>
  <c r="H122" i="40"/>
  <c r="N122" i="40" s="1"/>
  <c r="J97" i="40"/>
  <c r="O97" i="40" s="1"/>
  <c r="J10" i="40"/>
  <c r="O10" i="40" s="1"/>
  <c r="J122" i="40"/>
  <c r="O122" i="40" s="1"/>
  <c r="J45" i="40"/>
  <c r="O45" i="40" s="1"/>
  <c r="H114" i="40"/>
  <c r="N114" i="40" s="1"/>
  <c r="J19" i="40"/>
  <c r="O19" i="40" s="1"/>
  <c r="J60" i="40"/>
  <c r="O60" i="40" s="1"/>
  <c r="J73" i="40"/>
  <c r="O73" i="40" s="1"/>
  <c r="J25" i="40"/>
  <c r="O25" i="40" s="1"/>
  <c r="F120" i="40"/>
  <c r="M120" i="40" s="1"/>
  <c r="F131" i="40"/>
  <c r="M131" i="40" s="1"/>
  <c r="J114" i="40"/>
  <c r="O114" i="40" s="1"/>
  <c r="H19" i="40"/>
  <c r="N19" i="40" s="1"/>
  <c r="H115" i="40"/>
  <c r="N115" i="40" s="1"/>
  <c r="H71" i="40"/>
  <c r="N71" i="40" s="1"/>
  <c r="H79" i="40"/>
  <c r="N79" i="40" s="1"/>
  <c r="H120" i="40"/>
  <c r="N120" i="40" s="1"/>
  <c r="I152" i="30"/>
  <c r="F97" i="40"/>
  <c r="M97" i="40" s="1"/>
  <c r="F10" i="40"/>
  <c r="M10" i="40" s="1"/>
  <c r="F94" i="40"/>
  <c r="M94" i="40" s="1"/>
  <c r="F122" i="40"/>
  <c r="M122" i="40" s="1"/>
  <c r="F45" i="40"/>
  <c r="M45" i="40" s="1"/>
  <c r="F18" i="40"/>
  <c r="M18" i="40" s="1"/>
  <c r="F62" i="40"/>
  <c r="M62" i="40" s="1"/>
  <c r="F106" i="40"/>
  <c r="M106" i="40" s="1"/>
  <c r="F115" i="40"/>
  <c r="M115" i="40" s="1"/>
  <c r="F71" i="40"/>
  <c r="M71" i="40" s="1"/>
  <c r="F79" i="40"/>
  <c r="M79" i="40" s="1"/>
  <c r="F114" i="40"/>
  <c r="M114" i="40" s="1"/>
  <c r="H62" i="40"/>
  <c r="N62" i="40" s="1"/>
  <c r="H60" i="40"/>
  <c r="N60" i="40" s="1"/>
  <c r="H10" i="40"/>
  <c r="N10" i="40" s="1"/>
  <c r="H73" i="40"/>
  <c r="N73" i="40" s="1"/>
  <c r="AJ272" i="28"/>
  <c r="BN272" i="28" s="1"/>
  <c r="AK271" i="28"/>
  <c r="BO271" i="28" s="1"/>
  <c r="AG270" i="28"/>
  <c r="BK270" i="28" s="1"/>
  <c r="BM270" i="28"/>
  <c r="BM272" i="28"/>
  <c r="BM271" i="28"/>
  <c r="AG277" i="28"/>
  <c r="BK277" i="28" s="1"/>
  <c r="BM277" i="28"/>
  <c r="AG276" i="28"/>
  <c r="BK276" i="28" s="1"/>
  <c r="BM276" i="28"/>
  <c r="AG275" i="28"/>
  <c r="BK275" i="28" s="1"/>
  <c r="BM275" i="28"/>
  <c r="AJ268" i="28"/>
  <c r="BN268" i="28" s="1"/>
  <c r="X149" i="30"/>
  <c r="F134" i="40"/>
  <c r="M134" i="40" s="1"/>
  <c r="H45" i="40"/>
  <c r="N45" i="40" s="1"/>
  <c r="J134" i="40"/>
  <c r="O134" i="40" s="1"/>
  <c r="H27" i="40"/>
  <c r="N27" i="40" s="1"/>
  <c r="F27" i="40"/>
  <c r="M27" i="40" s="1"/>
  <c r="N6" i="40"/>
  <c r="H30" i="40"/>
  <c r="N30" i="40" s="1"/>
  <c r="H70" i="40"/>
  <c r="N70" i="40" s="1"/>
  <c r="J72" i="40"/>
  <c r="O72" i="40" s="1"/>
  <c r="J120" i="40"/>
  <c r="O120" i="40" s="1"/>
  <c r="J27" i="40"/>
  <c r="O27" i="40" s="1"/>
  <c r="J71" i="40"/>
  <c r="O71" i="40" s="1"/>
  <c r="J79" i="40"/>
  <c r="O79" i="40" s="1"/>
  <c r="J115" i="40"/>
  <c r="O115" i="40" s="1"/>
  <c r="BM149" i="30"/>
  <c r="D149" i="30"/>
  <c r="BO148" i="30"/>
  <c r="BN148" i="30"/>
  <c r="BN149" i="30"/>
  <c r="D150" i="30"/>
  <c r="BM150" i="30"/>
  <c r="BN151" i="30"/>
  <c r="BM152" i="30"/>
  <c r="D152" i="30"/>
  <c r="BN150" i="30"/>
  <c r="BM151" i="30"/>
  <c r="D151" i="30"/>
  <c r="BN152" i="30"/>
  <c r="AC148" i="30"/>
  <c r="AC150" i="30"/>
  <c r="AC151" i="30"/>
  <c r="S148" i="30"/>
  <c r="S149" i="30"/>
  <c r="I148" i="30"/>
  <c r="I150" i="30"/>
  <c r="I151" i="30"/>
  <c r="BM274" i="28"/>
  <c r="AG274" i="28"/>
  <c r="BK274" i="28" s="1"/>
  <c r="BM268" i="28"/>
  <c r="AK268" i="28"/>
  <c r="BO268" i="28" s="1"/>
  <c r="BM273" i="28"/>
  <c r="AG273" i="28"/>
  <c r="BK273" i="28" s="1"/>
  <c r="AH149" i="30"/>
  <c r="AH150" i="30"/>
  <c r="AH152" i="30"/>
  <c r="X151" i="30"/>
  <c r="N150" i="30"/>
  <c r="N152" i="30"/>
  <c r="L6" i="40"/>
  <c r="F68" i="40"/>
  <c r="M68" i="40" s="1"/>
  <c r="H97" i="40"/>
  <c r="N97" i="40" s="1"/>
  <c r="O6" i="40"/>
  <c r="J70" i="40"/>
  <c r="O70" i="40" s="1"/>
  <c r="J106" i="40"/>
  <c r="O106" i="40" s="1"/>
  <c r="M6" i="40"/>
  <c r="F70" i="40"/>
  <c r="M70" i="40" s="1"/>
  <c r="H72" i="40"/>
  <c r="N72" i="40" s="1"/>
  <c r="J52" i="40"/>
  <c r="O52" i="40" s="1"/>
  <c r="H134" i="40"/>
  <c r="N134" i="40" s="1"/>
  <c r="D148" i="30"/>
  <c r="BM148" i="30"/>
  <c r="BO149" i="30"/>
  <c r="BP148" i="30"/>
  <c r="BP149" i="30"/>
  <c r="BO150" i="30"/>
  <c r="BP151" i="30"/>
  <c r="BO152" i="30"/>
  <c r="BP150" i="30"/>
  <c r="BO151" i="30"/>
  <c r="BP152" i="30"/>
  <c r="AC149" i="30"/>
  <c r="P1087" i="1"/>
  <c r="P1085" i="1"/>
  <c r="P1083" i="1"/>
  <c r="P1081" i="1"/>
  <c r="P1079" i="1"/>
  <c r="P1077" i="1"/>
  <c r="P1075" i="1"/>
  <c r="P1071" i="1"/>
  <c r="P1069" i="1"/>
  <c r="P1067" i="1"/>
  <c r="P1065" i="1"/>
  <c r="P1063" i="1"/>
  <c r="P1061" i="1"/>
  <c r="P1059" i="1"/>
  <c r="P1057" i="1"/>
  <c r="P1055" i="1"/>
  <c r="P1053" i="1"/>
  <c r="P1051" i="1"/>
  <c r="P1049" i="1"/>
  <c r="P1047" i="1"/>
  <c r="P1045" i="1"/>
  <c r="P1041" i="1"/>
  <c r="P1039" i="1"/>
  <c r="P1037" i="1"/>
  <c r="P1035" i="1"/>
  <c r="P1033" i="1"/>
  <c r="P1031" i="1"/>
  <c r="P1029" i="1"/>
  <c r="P1027" i="1"/>
  <c r="P1023" i="1"/>
  <c r="P1021" i="1"/>
  <c r="P1019" i="1"/>
  <c r="P1017" i="1"/>
  <c r="P1015" i="1"/>
  <c r="P1013" i="1"/>
  <c r="P1011" i="1"/>
  <c r="P1009" i="1"/>
  <c r="P1088" i="1"/>
  <c r="P1086" i="1"/>
  <c r="P1084" i="1"/>
  <c r="P1082" i="1"/>
  <c r="P1080" i="1"/>
  <c r="P1078" i="1"/>
  <c r="P1076" i="1"/>
  <c r="P1070" i="1"/>
  <c r="P1068" i="1"/>
  <c r="P1066" i="1"/>
  <c r="P1064" i="1"/>
  <c r="P1062" i="1"/>
  <c r="P1060" i="1"/>
  <c r="P1058" i="1"/>
  <c r="P1056" i="1"/>
  <c r="P1054" i="1"/>
  <c r="P1052" i="1"/>
  <c r="P1050" i="1"/>
  <c r="P1048" i="1"/>
  <c r="P1046" i="1"/>
  <c r="P1042" i="1"/>
  <c r="P1040" i="1"/>
  <c r="P1038" i="1"/>
  <c r="P1036" i="1"/>
  <c r="P1034" i="1"/>
  <c r="P1032" i="1"/>
  <c r="P1030" i="1"/>
  <c r="P1028" i="1"/>
  <c r="P1026" i="1"/>
  <c r="P1024" i="1"/>
  <c r="P1022" i="1"/>
  <c r="P1020" i="1"/>
  <c r="P1018" i="1"/>
  <c r="P1016" i="1"/>
  <c r="P1014" i="1"/>
  <c r="P1012" i="1"/>
  <c r="P1010" i="1"/>
  <c r="BL40" i="29" l="1"/>
  <c r="BL36" i="29"/>
  <c r="BL39" i="29"/>
  <c r="BL38" i="29"/>
  <c r="BL37" i="29"/>
  <c r="Q131" i="40"/>
  <c r="S131" i="40" s="1"/>
  <c r="Q115" i="40"/>
  <c r="S115" i="40" s="1"/>
  <c r="Q73" i="40"/>
  <c r="S73" i="40" s="1"/>
  <c r="Q45" i="40"/>
  <c r="S45" i="40" s="1"/>
  <c r="Q19" i="40"/>
  <c r="S19" i="40" s="1"/>
  <c r="Q70" i="40"/>
  <c r="S70" i="40" s="1"/>
  <c r="Q120" i="40"/>
  <c r="S120" i="40" s="1"/>
  <c r="Q72" i="40"/>
  <c r="S72" i="40" s="1"/>
  <c r="Q97" i="40"/>
  <c r="S97" i="40" s="1"/>
  <c r="Q79" i="40"/>
  <c r="S79" i="40" s="1"/>
  <c r="Q71" i="40"/>
  <c r="S71" i="40" s="1"/>
  <c r="Q27" i="40"/>
  <c r="S27" i="40" s="1"/>
  <c r="Q122" i="40"/>
  <c r="S122" i="40" s="1"/>
  <c r="Q114" i="40"/>
  <c r="S114" i="40" s="1"/>
  <c r="Q106" i="40"/>
  <c r="S106" i="40" s="1"/>
  <c r="Q134" i="40"/>
  <c r="S134" i="40" s="1"/>
  <c r="Q68" i="40"/>
  <c r="S68" i="40" s="1"/>
  <c r="Q60" i="40"/>
  <c r="S60" i="40" s="1"/>
  <c r="Q52" i="40"/>
  <c r="S52" i="40" s="1"/>
  <c r="Q62" i="40"/>
  <c r="S62" i="40" s="1"/>
  <c r="Q30" i="40"/>
  <c r="S30" i="40" s="1"/>
  <c r="Q10" i="40"/>
  <c r="S10" i="40" s="1"/>
  <c r="AG272" i="28"/>
  <c r="BK272" i="28" s="1"/>
  <c r="BL148" i="30"/>
  <c r="AG271" i="28"/>
  <c r="BK271" i="28" s="1"/>
  <c r="M3" i="40"/>
  <c r="AG268" i="28"/>
  <c r="BK268" i="28" s="1"/>
  <c r="BL151" i="30"/>
  <c r="F3" i="40"/>
  <c r="BL152" i="30"/>
  <c r="BL150" i="30"/>
  <c r="BL149" i="30"/>
  <c r="C77" i="31"/>
  <c r="D77" i="31"/>
  <c r="E77" i="31"/>
  <c r="F77" i="31"/>
  <c r="G77" i="31"/>
  <c r="H77" i="31"/>
  <c r="I77" i="31"/>
  <c r="J77" i="31"/>
  <c r="K77" i="31"/>
  <c r="L77" i="31"/>
  <c r="M77" i="31"/>
  <c r="C78" i="31"/>
  <c r="D78" i="31"/>
  <c r="E78" i="31"/>
  <c r="F78" i="31"/>
  <c r="G78" i="31"/>
  <c r="H78" i="31"/>
  <c r="I78" i="31"/>
  <c r="J78" i="31"/>
  <c r="K78" i="31"/>
  <c r="L78" i="31"/>
  <c r="M78" i="31"/>
  <c r="C79" i="31"/>
  <c r="D79" i="31"/>
  <c r="E79" i="31"/>
  <c r="F79" i="31"/>
  <c r="G79" i="31"/>
  <c r="H79" i="31"/>
  <c r="I79" i="31"/>
  <c r="J79" i="31"/>
  <c r="K79" i="31"/>
  <c r="L79" i="31"/>
  <c r="M79" i="31"/>
  <c r="B79" i="31"/>
  <c r="B78" i="31"/>
  <c r="B77" i="31"/>
  <c r="C49" i="31"/>
  <c r="D49" i="31"/>
  <c r="E49" i="31"/>
  <c r="F49" i="31"/>
  <c r="G49" i="31"/>
  <c r="H49" i="31"/>
  <c r="I49" i="31"/>
  <c r="J49" i="31"/>
  <c r="K49" i="31"/>
  <c r="L49" i="31"/>
  <c r="M49" i="31"/>
  <c r="B49" i="31"/>
  <c r="AX36" i="23" l="1"/>
  <c r="AW36" i="23"/>
  <c r="AV36" i="23"/>
  <c r="AU36" i="23"/>
  <c r="AX35" i="23"/>
  <c r="AW35" i="23"/>
  <c r="AV35" i="23"/>
  <c r="AU35" i="23"/>
  <c r="AX34" i="23"/>
  <c r="AW34" i="23"/>
  <c r="AV34" i="23"/>
  <c r="AU34" i="23"/>
  <c r="AX33" i="23"/>
  <c r="AW33" i="23"/>
  <c r="AV33" i="23"/>
  <c r="AU33" i="23"/>
  <c r="AT36" i="23"/>
  <c r="AS36" i="23"/>
  <c r="AR36" i="23"/>
  <c r="AQ36" i="23"/>
  <c r="AT35" i="23"/>
  <c r="AS35" i="23"/>
  <c r="AR35" i="23"/>
  <c r="AQ35" i="23"/>
  <c r="AT34" i="23"/>
  <c r="AS34" i="23"/>
  <c r="AR34" i="23"/>
  <c r="AQ34" i="23"/>
  <c r="AT33" i="23"/>
  <c r="AS33" i="23"/>
  <c r="AR33" i="23"/>
  <c r="AQ33" i="23"/>
  <c r="AP36" i="23"/>
  <c r="AO36" i="23"/>
  <c r="AN36" i="23"/>
  <c r="AM36" i="23"/>
  <c r="AP35" i="23"/>
  <c r="AO35" i="23"/>
  <c r="AN35" i="23"/>
  <c r="AM35" i="23"/>
  <c r="AP34" i="23"/>
  <c r="AO34" i="23"/>
  <c r="AN34" i="23"/>
  <c r="AM34" i="23"/>
  <c r="AP33" i="23"/>
  <c r="AO33" i="23"/>
  <c r="AN33" i="23"/>
  <c r="AM33" i="23"/>
  <c r="AL36" i="23"/>
  <c r="AK36" i="23"/>
  <c r="AJ36" i="23"/>
  <c r="AI36" i="23"/>
  <c r="AL35" i="23"/>
  <c r="AK35" i="23"/>
  <c r="AJ35" i="23"/>
  <c r="AI35" i="23"/>
  <c r="AL34" i="23"/>
  <c r="AK34" i="23"/>
  <c r="AJ34" i="23"/>
  <c r="AI34" i="23"/>
  <c r="AL33" i="23"/>
  <c r="AK33" i="23"/>
  <c r="AJ33" i="23"/>
  <c r="AI33" i="23"/>
  <c r="AH36" i="23"/>
  <c r="AG36" i="23"/>
  <c r="AF36" i="23"/>
  <c r="AE36" i="23"/>
  <c r="AH35" i="23"/>
  <c r="AG35" i="23"/>
  <c r="AF35" i="23"/>
  <c r="AE35" i="23"/>
  <c r="AH34" i="23"/>
  <c r="AG34" i="23"/>
  <c r="AF34" i="23"/>
  <c r="AE34" i="23"/>
  <c r="AH33" i="23"/>
  <c r="AG33" i="23"/>
  <c r="AF33" i="23"/>
  <c r="AE33" i="23"/>
  <c r="AD36" i="23"/>
  <c r="AC36" i="23"/>
  <c r="AB36" i="23"/>
  <c r="AA36" i="23"/>
  <c r="AD35" i="23"/>
  <c r="AC35" i="23"/>
  <c r="AB35" i="23"/>
  <c r="AA35" i="23"/>
  <c r="AD34" i="23"/>
  <c r="AC34" i="23"/>
  <c r="AB34" i="23"/>
  <c r="AA34" i="23"/>
  <c r="AD33" i="23"/>
  <c r="AC33" i="23"/>
  <c r="AB33" i="23"/>
  <c r="AA33" i="23"/>
  <c r="Z36" i="23"/>
  <c r="Y36" i="23"/>
  <c r="X36" i="23"/>
  <c r="W36" i="23"/>
  <c r="Z35" i="23"/>
  <c r="Y35" i="23"/>
  <c r="X35" i="23"/>
  <c r="W35" i="23"/>
  <c r="Z34" i="23"/>
  <c r="Y34" i="23"/>
  <c r="X34" i="23"/>
  <c r="W34" i="23"/>
  <c r="Z33" i="23"/>
  <c r="Y33" i="23"/>
  <c r="X33" i="23"/>
  <c r="W33" i="23"/>
  <c r="V36" i="23"/>
  <c r="U36" i="23"/>
  <c r="T36" i="23"/>
  <c r="S36" i="23"/>
  <c r="V35" i="23"/>
  <c r="U35" i="23"/>
  <c r="T35" i="23"/>
  <c r="S35" i="23"/>
  <c r="V34" i="23"/>
  <c r="U34" i="23"/>
  <c r="T34" i="23"/>
  <c r="S34" i="23"/>
  <c r="V33" i="23"/>
  <c r="U33" i="23"/>
  <c r="T33" i="23"/>
  <c r="T37" i="23" s="1"/>
  <c r="S33" i="23"/>
  <c r="R36" i="23"/>
  <c r="Q36" i="23"/>
  <c r="P36" i="23"/>
  <c r="O36" i="23"/>
  <c r="R35" i="23"/>
  <c r="Q35" i="23"/>
  <c r="P35" i="23"/>
  <c r="O35" i="23"/>
  <c r="R34" i="23"/>
  <c r="Q34" i="23"/>
  <c r="P34" i="23"/>
  <c r="O34" i="23"/>
  <c r="R33" i="23"/>
  <c r="Q33" i="23"/>
  <c r="P33" i="23"/>
  <c r="P37" i="23" s="1"/>
  <c r="O33" i="23"/>
  <c r="N36" i="23"/>
  <c r="M36" i="23"/>
  <c r="L36" i="23"/>
  <c r="K36" i="23"/>
  <c r="N35" i="23"/>
  <c r="M35" i="23"/>
  <c r="L35" i="23"/>
  <c r="K35" i="23"/>
  <c r="N34" i="23"/>
  <c r="M34" i="23"/>
  <c r="L34" i="23"/>
  <c r="K34" i="23"/>
  <c r="N33" i="23"/>
  <c r="M33" i="23"/>
  <c r="L33" i="23"/>
  <c r="L37" i="23" s="1"/>
  <c r="K33" i="23"/>
  <c r="J36" i="23"/>
  <c r="I36" i="23"/>
  <c r="H36" i="23"/>
  <c r="G36" i="23"/>
  <c r="J35" i="23"/>
  <c r="I35" i="23"/>
  <c r="H35" i="23"/>
  <c r="G35" i="23"/>
  <c r="J34" i="23"/>
  <c r="I34" i="23"/>
  <c r="H34" i="23"/>
  <c r="G34" i="23"/>
  <c r="J33" i="23"/>
  <c r="I33" i="23"/>
  <c r="H33" i="23"/>
  <c r="H37" i="23" s="1"/>
  <c r="G33" i="23"/>
  <c r="AX37" i="23"/>
  <c r="AW37" i="23"/>
  <c r="AV37" i="23"/>
  <c r="AU37" i="23"/>
  <c r="AT37" i="23"/>
  <c r="AS37" i="23"/>
  <c r="AR37" i="23"/>
  <c r="AQ37" i="23"/>
  <c r="AP37" i="23"/>
  <c r="AO37" i="23"/>
  <c r="AN37" i="23"/>
  <c r="AM37" i="23"/>
  <c r="AL37" i="23"/>
  <c r="AK37" i="23"/>
  <c r="AJ37" i="23"/>
  <c r="AI37" i="23"/>
  <c r="AH37" i="23"/>
  <c r="AG37" i="23"/>
  <c r="AF37" i="23"/>
  <c r="AE37" i="23"/>
  <c r="AD37" i="23"/>
  <c r="AC37" i="23"/>
  <c r="AB37" i="23"/>
  <c r="AA37" i="23"/>
  <c r="Z37" i="23"/>
  <c r="Y37" i="23"/>
  <c r="X37" i="23"/>
  <c r="W37" i="23"/>
  <c r="V37" i="23"/>
  <c r="R37" i="23"/>
  <c r="N37" i="23"/>
  <c r="J37" i="23"/>
  <c r="F36" i="23"/>
  <c r="BB36" i="23" s="1"/>
  <c r="E36" i="23"/>
  <c r="BA36" i="23" s="1"/>
  <c r="D36" i="23"/>
  <c r="AZ36" i="23" s="1"/>
  <c r="C36" i="23"/>
  <c r="AY36" i="23" s="1"/>
  <c r="F35" i="23"/>
  <c r="BB35" i="23" s="1"/>
  <c r="E35" i="23"/>
  <c r="BA35" i="23" s="1"/>
  <c r="D35" i="23"/>
  <c r="AZ35" i="23" s="1"/>
  <c r="C35" i="23"/>
  <c r="AY35" i="23" s="1"/>
  <c r="F34" i="23"/>
  <c r="BB34" i="23" s="1"/>
  <c r="E34" i="23"/>
  <c r="BA34" i="23" s="1"/>
  <c r="D34" i="23"/>
  <c r="AZ34" i="23" s="1"/>
  <c r="C34" i="23"/>
  <c r="AY34" i="23" s="1"/>
  <c r="F33" i="23"/>
  <c r="BB33" i="23" s="1"/>
  <c r="E33" i="23"/>
  <c r="BA33" i="23" s="1"/>
  <c r="D33" i="23"/>
  <c r="AZ33" i="23" s="1"/>
  <c r="C33" i="23"/>
  <c r="AY33" i="23" s="1"/>
  <c r="AW67" i="23"/>
  <c r="AV67" i="23"/>
  <c r="AU67" i="23"/>
  <c r="AW66" i="23"/>
  <c r="AV66" i="23"/>
  <c r="AU66" i="23"/>
  <c r="AW65" i="23"/>
  <c r="AV65" i="23"/>
  <c r="AU65" i="23"/>
  <c r="AW64" i="23"/>
  <c r="AV64" i="23"/>
  <c r="AU64" i="23"/>
  <c r="AW60" i="23"/>
  <c r="AV60" i="23"/>
  <c r="AU60" i="23"/>
  <c r="AW59" i="23"/>
  <c r="AX59" i="23" s="1"/>
  <c r="AV59" i="23"/>
  <c r="AU59" i="23"/>
  <c r="AW58" i="23"/>
  <c r="AV58" i="23"/>
  <c r="AU58" i="23"/>
  <c r="AW57" i="23"/>
  <c r="AX57" i="23" s="1"/>
  <c r="AV57" i="23"/>
  <c r="AU57" i="23"/>
  <c r="AW53" i="23"/>
  <c r="AV53" i="23"/>
  <c r="AV74" i="23" s="1"/>
  <c r="AU53" i="23"/>
  <c r="AW52" i="23"/>
  <c r="AV52" i="23"/>
  <c r="AU52" i="23"/>
  <c r="AW51" i="23"/>
  <c r="AV51" i="23"/>
  <c r="AU51" i="23"/>
  <c r="AW50" i="23"/>
  <c r="AX50" i="23" s="1"/>
  <c r="AV50" i="23"/>
  <c r="AU50" i="23"/>
  <c r="AU71" i="23" s="1"/>
  <c r="AS67" i="23"/>
  <c r="AR67" i="23"/>
  <c r="AQ67" i="23"/>
  <c r="AS66" i="23"/>
  <c r="AR66" i="23"/>
  <c r="AQ66" i="23"/>
  <c r="AS65" i="23"/>
  <c r="AR65" i="23"/>
  <c r="AQ65" i="23"/>
  <c r="AS64" i="23"/>
  <c r="AR64" i="23"/>
  <c r="AQ64" i="23"/>
  <c r="AS60" i="23"/>
  <c r="AR60" i="23"/>
  <c r="AQ60" i="23"/>
  <c r="AS59" i="23"/>
  <c r="AR59" i="23"/>
  <c r="AQ59" i="23"/>
  <c r="AS58" i="23"/>
  <c r="AR58" i="23"/>
  <c r="AQ58" i="23"/>
  <c r="AS57" i="23"/>
  <c r="AR57" i="23"/>
  <c r="AQ57" i="23"/>
  <c r="AS53" i="23"/>
  <c r="AR53" i="23"/>
  <c r="AQ53" i="23"/>
  <c r="AS52" i="23"/>
  <c r="AT52" i="23" s="1"/>
  <c r="AR52" i="23"/>
  <c r="AQ52" i="23"/>
  <c r="AQ73" i="23" s="1"/>
  <c r="AS51" i="23"/>
  <c r="AR51" i="23"/>
  <c r="AR72" i="23" s="1"/>
  <c r="AQ51" i="23"/>
  <c r="AS50" i="23"/>
  <c r="AS71" i="23" s="1"/>
  <c r="AR50" i="23"/>
  <c r="AQ50" i="23"/>
  <c r="AQ71" i="23" s="1"/>
  <c r="AO67" i="23"/>
  <c r="AN67" i="23"/>
  <c r="AM67" i="23"/>
  <c r="AO66" i="23"/>
  <c r="AP66" i="23" s="1"/>
  <c r="AN66" i="23"/>
  <c r="AM66" i="23"/>
  <c r="AO65" i="23"/>
  <c r="AN65" i="23"/>
  <c r="AM65" i="23"/>
  <c r="AO64" i="23"/>
  <c r="AP64" i="23" s="1"/>
  <c r="AN64" i="23"/>
  <c r="AM64" i="23"/>
  <c r="AO60" i="23"/>
  <c r="AN60" i="23"/>
  <c r="AM60" i="23"/>
  <c r="AO59" i="23"/>
  <c r="AP59" i="23" s="1"/>
  <c r="AN59" i="23"/>
  <c r="AM59" i="23"/>
  <c r="AO58" i="23"/>
  <c r="AN58" i="23"/>
  <c r="AM58" i="23"/>
  <c r="AO57" i="23"/>
  <c r="AP57" i="23" s="1"/>
  <c r="AN57" i="23"/>
  <c r="AM57" i="23"/>
  <c r="AO53" i="23"/>
  <c r="AP53" i="23" s="1"/>
  <c r="AN53" i="23"/>
  <c r="AN74" i="23" s="1"/>
  <c r="AM53" i="23"/>
  <c r="AO52" i="23"/>
  <c r="AO73" i="23" s="1"/>
  <c r="AN52" i="23"/>
  <c r="AN73" i="23" s="1"/>
  <c r="AM52" i="23"/>
  <c r="AM73" i="23" s="1"/>
  <c r="AO51" i="23"/>
  <c r="AN51" i="23"/>
  <c r="AN72" i="23" s="1"/>
  <c r="AM51" i="23"/>
  <c r="AM72" i="23" s="1"/>
  <c r="AO50" i="23"/>
  <c r="AO71" i="23" s="1"/>
  <c r="AN50" i="23"/>
  <c r="AM50" i="23"/>
  <c r="AM71" i="23" s="1"/>
  <c r="AK67" i="23"/>
  <c r="AL67" i="23" s="1"/>
  <c r="AJ67" i="23"/>
  <c r="AI67" i="23"/>
  <c r="AK66" i="23"/>
  <c r="AL66" i="23" s="1"/>
  <c r="AJ66" i="23"/>
  <c r="AI66" i="23"/>
  <c r="AK65" i="23"/>
  <c r="AJ65" i="23"/>
  <c r="AI65" i="23"/>
  <c r="AK64" i="23"/>
  <c r="AL64" i="23" s="1"/>
  <c r="AJ64" i="23"/>
  <c r="AI64" i="23"/>
  <c r="AK60" i="23"/>
  <c r="AJ60" i="23"/>
  <c r="AI60" i="23"/>
  <c r="AK59" i="23"/>
  <c r="AL59" i="23" s="1"/>
  <c r="AJ59" i="23"/>
  <c r="AI59" i="23"/>
  <c r="AK58" i="23"/>
  <c r="AL58" i="23" s="1"/>
  <c r="AJ58" i="23"/>
  <c r="AI58" i="23"/>
  <c r="AK57" i="23"/>
  <c r="AL57" i="23" s="1"/>
  <c r="AJ57" i="23"/>
  <c r="AI57" i="23"/>
  <c r="AK53" i="23"/>
  <c r="AL53" i="23" s="1"/>
  <c r="AJ53" i="23"/>
  <c r="AJ74" i="23" s="1"/>
  <c r="AI53" i="23"/>
  <c r="AK52" i="23"/>
  <c r="AL52" i="23" s="1"/>
  <c r="AL73" i="23" s="1"/>
  <c r="AJ52" i="23"/>
  <c r="AJ73" i="23" s="1"/>
  <c r="AI52" i="23"/>
  <c r="AI73" i="23" s="1"/>
  <c r="AK51" i="23"/>
  <c r="AJ51" i="23"/>
  <c r="AJ72" i="23" s="1"/>
  <c r="AI51" i="23"/>
  <c r="AI72" i="23" s="1"/>
  <c r="AK50" i="23"/>
  <c r="AL50" i="23" s="1"/>
  <c r="AJ50" i="23"/>
  <c r="AJ71" i="23" s="1"/>
  <c r="AI50" i="23"/>
  <c r="AI71" i="23" s="1"/>
  <c r="AG67" i="23"/>
  <c r="AH67" i="23" s="1"/>
  <c r="AF67" i="23"/>
  <c r="AE67" i="23"/>
  <c r="AG66" i="23"/>
  <c r="AH66" i="23" s="1"/>
  <c r="AF66" i="23"/>
  <c r="AE66" i="23"/>
  <c r="AG65" i="23"/>
  <c r="AF65" i="23"/>
  <c r="AE65" i="23"/>
  <c r="AG64" i="23"/>
  <c r="AH64" i="23" s="1"/>
  <c r="AF64" i="23"/>
  <c r="AE64" i="23"/>
  <c r="AG60" i="23"/>
  <c r="AF60" i="23"/>
  <c r="AE60" i="23"/>
  <c r="AG59" i="23"/>
  <c r="AH59" i="23" s="1"/>
  <c r="AF59" i="23"/>
  <c r="AE59" i="23"/>
  <c r="AG58" i="23"/>
  <c r="AH58" i="23" s="1"/>
  <c r="AF58" i="23"/>
  <c r="AE58" i="23"/>
  <c r="AG57" i="23"/>
  <c r="AH57" i="23" s="1"/>
  <c r="AF57" i="23"/>
  <c r="AE57" i="23"/>
  <c r="AG53" i="23"/>
  <c r="AF53" i="23"/>
  <c r="AF74" i="23" s="1"/>
  <c r="AE53" i="23"/>
  <c r="AE74" i="23" s="1"/>
  <c r="AG52" i="23"/>
  <c r="AH52" i="23" s="1"/>
  <c r="AF52" i="23"/>
  <c r="AF73" i="23" s="1"/>
  <c r="AE52" i="23"/>
  <c r="AE73" i="23" s="1"/>
  <c r="AG51" i="23"/>
  <c r="AH51" i="23" s="1"/>
  <c r="AF51" i="23"/>
  <c r="AF72" i="23" s="1"/>
  <c r="AE51" i="23"/>
  <c r="AG50" i="23"/>
  <c r="AH50" i="23" s="1"/>
  <c r="AF50" i="23"/>
  <c r="AF71" i="23" s="1"/>
  <c r="AE50" i="23"/>
  <c r="AE71" i="23" s="1"/>
  <c r="AC67" i="23"/>
  <c r="AD67" i="23" s="1"/>
  <c r="AB67" i="23"/>
  <c r="AA67" i="23"/>
  <c r="AC66" i="23"/>
  <c r="AD66" i="23" s="1"/>
  <c r="AB66" i="23"/>
  <c r="AA66" i="23"/>
  <c r="AC65" i="23"/>
  <c r="AD65" i="23" s="1"/>
  <c r="AB65" i="23"/>
  <c r="AA65" i="23"/>
  <c r="AC64" i="23"/>
  <c r="AD64" i="23" s="1"/>
  <c r="AB64" i="23"/>
  <c r="AA64" i="23"/>
  <c r="AC60" i="23"/>
  <c r="AB60" i="23"/>
  <c r="AA60" i="23"/>
  <c r="AC59" i="23"/>
  <c r="AD59" i="23" s="1"/>
  <c r="AB59" i="23"/>
  <c r="AA59" i="23"/>
  <c r="AC58" i="23"/>
  <c r="AD58" i="23" s="1"/>
  <c r="AB58" i="23"/>
  <c r="AA58" i="23"/>
  <c r="AC57" i="23"/>
  <c r="AD57" i="23" s="1"/>
  <c r="AB57" i="23"/>
  <c r="AA57" i="23"/>
  <c r="Y67" i="23"/>
  <c r="Z67" i="23" s="1"/>
  <c r="X67" i="23"/>
  <c r="W67" i="23"/>
  <c r="Y66" i="23"/>
  <c r="Z66" i="23" s="1"/>
  <c r="X66" i="23"/>
  <c r="W66" i="23"/>
  <c r="Y65" i="23"/>
  <c r="Z65" i="23" s="1"/>
  <c r="X65" i="23"/>
  <c r="W65" i="23"/>
  <c r="Y64" i="23"/>
  <c r="Z64" i="23" s="1"/>
  <c r="X64" i="23"/>
  <c r="W64" i="23"/>
  <c r="Y60" i="23"/>
  <c r="Z60" i="23" s="1"/>
  <c r="X60" i="23"/>
  <c r="W60" i="23"/>
  <c r="Y59" i="23"/>
  <c r="Z59" i="23" s="1"/>
  <c r="X59" i="23"/>
  <c r="W59" i="23"/>
  <c r="Y58" i="23"/>
  <c r="Z58" i="23" s="1"/>
  <c r="X58" i="23"/>
  <c r="W58" i="23"/>
  <c r="Y57" i="23"/>
  <c r="Z57" i="23" s="1"/>
  <c r="X57" i="23"/>
  <c r="W57" i="23"/>
  <c r="U67" i="23"/>
  <c r="V67" i="23" s="1"/>
  <c r="T67" i="23"/>
  <c r="S67" i="23"/>
  <c r="U66" i="23"/>
  <c r="V66" i="23" s="1"/>
  <c r="T66" i="23"/>
  <c r="S66" i="23"/>
  <c r="U65" i="23"/>
  <c r="V65" i="23" s="1"/>
  <c r="T65" i="23"/>
  <c r="S65" i="23"/>
  <c r="U64" i="23"/>
  <c r="V64" i="23" s="1"/>
  <c r="T64" i="23"/>
  <c r="S64" i="23"/>
  <c r="Q67" i="23"/>
  <c r="R67" i="23" s="1"/>
  <c r="P67" i="23"/>
  <c r="O67" i="23"/>
  <c r="Q66" i="23"/>
  <c r="R66" i="23" s="1"/>
  <c r="P66" i="23"/>
  <c r="O66" i="23"/>
  <c r="Q65" i="23"/>
  <c r="R65" i="23" s="1"/>
  <c r="P65" i="23"/>
  <c r="O65" i="23"/>
  <c r="Q64" i="23"/>
  <c r="R64" i="23" s="1"/>
  <c r="P64" i="23"/>
  <c r="O64" i="23"/>
  <c r="Q60" i="23"/>
  <c r="R60" i="23" s="1"/>
  <c r="P60" i="23"/>
  <c r="O60" i="23"/>
  <c r="Q59" i="23"/>
  <c r="R59" i="23" s="1"/>
  <c r="P59" i="23"/>
  <c r="O59" i="23"/>
  <c r="Q58" i="23"/>
  <c r="R58" i="23" s="1"/>
  <c r="P58" i="23"/>
  <c r="O58" i="23"/>
  <c r="Q57" i="23"/>
  <c r="R57" i="23" s="1"/>
  <c r="P57" i="23"/>
  <c r="O57" i="23"/>
  <c r="M67" i="23"/>
  <c r="N67" i="23" s="1"/>
  <c r="L67" i="23"/>
  <c r="K67" i="23"/>
  <c r="M66" i="23"/>
  <c r="N66" i="23" s="1"/>
  <c r="L66" i="23"/>
  <c r="K66" i="23"/>
  <c r="M65" i="23"/>
  <c r="N65" i="23" s="1"/>
  <c r="L65" i="23"/>
  <c r="K65" i="23"/>
  <c r="M64" i="23"/>
  <c r="N64" i="23" s="1"/>
  <c r="L64" i="23"/>
  <c r="K64" i="23"/>
  <c r="I67" i="23"/>
  <c r="J67" i="23" s="1"/>
  <c r="H67" i="23"/>
  <c r="G67" i="23"/>
  <c r="I66" i="23"/>
  <c r="J66" i="23" s="1"/>
  <c r="H66" i="23"/>
  <c r="G66" i="23"/>
  <c r="I65" i="23"/>
  <c r="J65" i="23" s="1"/>
  <c r="H65" i="23"/>
  <c r="G65" i="23"/>
  <c r="I64" i="23"/>
  <c r="J64" i="23" s="1"/>
  <c r="H64" i="23"/>
  <c r="G64" i="23"/>
  <c r="I60" i="23"/>
  <c r="J60" i="23" s="1"/>
  <c r="H60" i="23"/>
  <c r="G60" i="23"/>
  <c r="I59" i="23"/>
  <c r="J59" i="23" s="1"/>
  <c r="H59" i="23"/>
  <c r="G59" i="23"/>
  <c r="I58" i="23"/>
  <c r="J58" i="23" s="1"/>
  <c r="H58" i="23"/>
  <c r="G58" i="23"/>
  <c r="I57" i="23"/>
  <c r="J57" i="23" s="1"/>
  <c r="H57" i="23"/>
  <c r="G57" i="23"/>
  <c r="AX94" i="23"/>
  <c r="AW94" i="23"/>
  <c r="AV94" i="23"/>
  <c r="AU94" i="23"/>
  <c r="AX93" i="23"/>
  <c r="AW93" i="23"/>
  <c r="AV93" i="23"/>
  <c r="AU93" i="23"/>
  <c r="AX92" i="23"/>
  <c r="AW92" i="23"/>
  <c r="AV92" i="23"/>
  <c r="AU92" i="23"/>
  <c r="AX91" i="23"/>
  <c r="AW91" i="23"/>
  <c r="AV91" i="23"/>
  <c r="AU91" i="23"/>
  <c r="AX87" i="23"/>
  <c r="AW87" i="23"/>
  <c r="AV87" i="23"/>
  <c r="AU87" i="23"/>
  <c r="AX86" i="23"/>
  <c r="AW86" i="23"/>
  <c r="AV86" i="23"/>
  <c r="AU86" i="23"/>
  <c r="AX85" i="23"/>
  <c r="AW85" i="23"/>
  <c r="AV85" i="23"/>
  <c r="AU85" i="23"/>
  <c r="AX84" i="23"/>
  <c r="AX88" i="23" s="1"/>
  <c r="AW84" i="23"/>
  <c r="AV84" i="23"/>
  <c r="AV88" i="23" s="1"/>
  <c r="AU84" i="23"/>
  <c r="AX81" i="23"/>
  <c r="AW81" i="23"/>
  <c r="AV81" i="23"/>
  <c r="AU81" i="23"/>
  <c r="AX80" i="23"/>
  <c r="AW80" i="23"/>
  <c r="AV80" i="23"/>
  <c r="AU80" i="23"/>
  <c r="AX79" i="23"/>
  <c r="AW79" i="23"/>
  <c r="AV79" i="23"/>
  <c r="AU79" i="23"/>
  <c r="AX78" i="23"/>
  <c r="AX82" i="23" s="1"/>
  <c r="AW78" i="23"/>
  <c r="AW82" i="23" s="1"/>
  <c r="AV78" i="23"/>
  <c r="AV82" i="23" s="1"/>
  <c r="AU78" i="23"/>
  <c r="AU82" i="23" s="1"/>
  <c r="AT94" i="23"/>
  <c r="AS94" i="23"/>
  <c r="AR94" i="23"/>
  <c r="AQ94" i="23"/>
  <c r="AT93" i="23"/>
  <c r="AS93" i="23"/>
  <c r="AR93" i="23"/>
  <c r="AQ93" i="23"/>
  <c r="AT92" i="23"/>
  <c r="AS92" i="23"/>
  <c r="AR92" i="23"/>
  <c r="AQ92" i="23"/>
  <c r="AT91" i="23"/>
  <c r="AS91" i="23"/>
  <c r="AR91" i="23"/>
  <c r="AQ91" i="23"/>
  <c r="AT87" i="23"/>
  <c r="AS87" i="23"/>
  <c r="AR87" i="23"/>
  <c r="AQ87" i="23"/>
  <c r="AT86" i="23"/>
  <c r="AS86" i="23"/>
  <c r="AR86" i="23"/>
  <c r="AQ86" i="23"/>
  <c r="AT85" i="23"/>
  <c r="AS85" i="23"/>
  <c r="AR85" i="23"/>
  <c r="AQ85" i="23"/>
  <c r="AT84" i="23"/>
  <c r="AT88" i="23" s="1"/>
  <c r="AS84" i="23"/>
  <c r="AR84" i="23"/>
  <c r="AR88" i="23" s="1"/>
  <c r="AQ84" i="23"/>
  <c r="AT81" i="23"/>
  <c r="AS81" i="23"/>
  <c r="AR81" i="23"/>
  <c r="AQ81" i="23"/>
  <c r="AT80" i="23"/>
  <c r="AS80" i="23"/>
  <c r="AR80" i="23"/>
  <c r="AQ80" i="23"/>
  <c r="AT79" i="23"/>
  <c r="AS79" i="23"/>
  <c r="AR79" i="23"/>
  <c r="AQ79" i="23"/>
  <c r="AT78" i="23"/>
  <c r="AS78" i="23"/>
  <c r="AS82" i="23" s="1"/>
  <c r="AR78" i="23"/>
  <c r="AR82" i="23" s="1"/>
  <c r="AQ78" i="23"/>
  <c r="AQ82" i="23" s="1"/>
  <c r="AP94" i="23"/>
  <c r="AO94" i="23"/>
  <c r="AN94" i="23"/>
  <c r="AM94" i="23"/>
  <c r="AP93" i="23"/>
  <c r="AO93" i="23"/>
  <c r="AN93" i="23"/>
  <c r="AM93" i="23"/>
  <c r="AP92" i="23"/>
  <c r="AO92" i="23"/>
  <c r="AN92" i="23"/>
  <c r="AM92" i="23"/>
  <c r="AP91" i="23"/>
  <c r="AO91" i="23"/>
  <c r="AN91" i="23"/>
  <c r="AM91" i="23"/>
  <c r="AP87" i="23"/>
  <c r="AO87" i="23"/>
  <c r="AN87" i="23"/>
  <c r="AM87" i="23"/>
  <c r="AP86" i="23"/>
  <c r="AO86" i="23"/>
  <c r="AN86" i="23"/>
  <c r="AM86" i="23"/>
  <c r="AP85" i="23"/>
  <c r="AO85" i="23"/>
  <c r="AN85" i="23"/>
  <c r="AM85" i="23"/>
  <c r="AP84" i="23"/>
  <c r="AO84" i="23"/>
  <c r="AN84" i="23"/>
  <c r="AM84" i="23"/>
  <c r="AP81" i="23"/>
  <c r="AO81" i="23"/>
  <c r="AN81" i="23"/>
  <c r="AM81" i="23"/>
  <c r="AP80" i="23"/>
  <c r="AO80" i="23"/>
  <c r="AN80" i="23"/>
  <c r="AM80" i="23"/>
  <c r="AP79" i="23"/>
  <c r="AO79" i="23"/>
  <c r="AN79" i="23"/>
  <c r="AM79" i="23"/>
  <c r="AP78" i="23"/>
  <c r="AP82" i="23" s="1"/>
  <c r="AO78" i="23"/>
  <c r="AO82" i="23" s="1"/>
  <c r="AN78" i="23"/>
  <c r="AM78" i="23"/>
  <c r="AM82" i="23" s="1"/>
  <c r="AL94" i="23"/>
  <c r="AK94" i="23"/>
  <c r="AJ94" i="23"/>
  <c r="AI94" i="23"/>
  <c r="AL93" i="23"/>
  <c r="AK93" i="23"/>
  <c r="AJ93" i="23"/>
  <c r="AI93" i="23"/>
  <c r="AL92" i="23"/>
  <c r="AK92" i="23"/>
  <c r="AJ92" i="23"/>
  <c r="AI92" i="23"/>
  <c r="AL91" i="23"/>
  <c r="AL95" i="23" s="1"/>
  <c r="AK91" i="23"/>
  <c r="AJ91" i="23"/>
  <c r="AJ95" i="23" s="1"/>
  <c r="AI91" i="23"/>
  <c r="AL87" i="23"/>
  <c r="AK87" i="23"/>
  <c r="AJ87" i="23"/>
  <c r="AI87" i="23"/>
  <c r="AL86" i="23"/>
  <c r="AK86" i="23"/>
  <c r="AJ86" i="23"/>
  <c r="AI86" i="23"/>
  <c r="AL85" i="23"/>
  <c r="AK85" i="23"/>
  <c r="AJ85" i="23"/>
  <c r="AI85" i="23"/>
  <c r="AL84" i="23"/>
  <c r="AL88" i="23" s="1"/>
  <c r="AK84" i="23"/>
  <c r="AJ84" i="23"/>
  <c r="AJ88" i="23" s="1"/>
  <c r="AI84" i="23"/>
  <c r="AL81" i="23"/>
  <c r="AK81" i="23"/>
  <c r="AJ81" i="23"/>
  <c r="AI81" i="23"/>
  <c r="AL80" i="23"/>
  <c r="AK80" i="23"/>
  <c r="AJ80" i="23"/>
  <c r="AI80" i="23"/>
  <c r="AL79" i="23"/>
  <c r="AK79" i="23"/>
  <c r="AJ79" i="23"/>
  <c r="AI79" i="23"/>
  <c r="AL78" i="23"/>
  <c r="AL82" i="23" s="1"/>
  <c r="AK78" i="23"/>
  <c r="AK82" i="23" s="1"/>
  <c r="AJ78" i="23"/>
  <c r="AJ82" i="23" s="1"/>
  <c r="AI78" i="23"/>
  <c r="AI82" i="23" s="1"/>
  <c r="AH94" i="23"/>
  <c r="AG94" i="23"/>
  <c r="AF94" i="23"/>
  <c r="AE94" i="23"/>
  <c r="AH93" i="23"/>
  <c r="AG93" i="23"/>
  <c r="AF93" i="23"/>
  <c r="AE93" i="23"/>
  <c r="AH92" i="23"/>
  <c r="AG92" i="23"/>
  <c r="AF92" i="23"/>
  <c r="AE92" i="23"/>
  <c r="AH91" i="23"/>
  <c r="AH95" i="23" s="1"/>
  <c r="AG91" i="23"/>
  <c r="AF91" i="23"/>
  <c r="AF95" i="23" s="1"/>
  <c r="AE91" i="23"/>
  <c r="AH87" i="23"/>
  <c r="AG87" i="23"/>
  <c r="AF87" i="23"/>
  <c r="AE87" i="23"/>
  <c r="AH86" i="23"/>
  <c r="AG86" i="23"/>
  <c r="AF86" i="23"/>
  <c r="AE86" i="23"/>
  <c r="AH85" i="23"/>
  <c r="AG85" i="23"/>
  <c r="AF85" i="23"/>
  <c r="AE85" i="23"/>
  <c r="AH84" i="23"/>
  <c r="AH88" i="23" s="1"/>
  <c r="AG84" i="23"/>
  <c r="AF84" i="23"/>
  <c r="AF88" i="23" s="1"/>
  <c r="AE84" i="23"/>
  <c r="AE88" i="23" s="1"/>
  <c r="AH81" i="23"/>
  <c r="AG81" i="23"/>
  <c r="AF81" i="23"/>
  <c r="AE81" i="23"/>
  <c r="AH80" i="23"/>
  <c r="AG80" i="23"/>
  <c r="AF80" i="23"/>
  <c r="AE80" i="23"/>
  <c r="AH79" i="23"/>
  <c r="AG79" i="23"/>
  <c r="AF79" i="23"/>
  <c r="AE79" i="23"/>
  <c r="AH78" i="23"/>
  <c r="AH82" i="23" s="1"/>
  <c r="AG78" i="23"/>
  <c r="AG82" i="23" s="1"/>
  <c r="AF78" i="23"/>
  <c r="AF82" i="23" s="1"/>
  <c r="AE78" i="23"/>
  <c r="AD94" i="23"/>
  <c r="AC94" i="23"/>
  <c r="AB94" i="23"/>
  <c r="AA94" i="23"/>
  <c r="AD93" i="23"/>
  <c r="AC93" i="23"/>
  <c r="AB93" i="23"/>
  <c r="AA93" i="23"/>
  <c r="AD92" i="23"/>
  <c r="AC92" i="23"/>
  <c r="AB92" i="23"/>
  <c r="AA92" i="23"/>
  <c r="AD91" i="23"/>
  <c r="AC91" i="23"/>
  <c r="AC95" i="23" s="1"/>
  <c r="AB91" i="23"/>
  <c r="AA91" i="23"/>
  <c r="AA95" i="23" s="1"/>
  <c r="AD87" i="23"/>
  <c r="AC87" i="23"/>
  <c r="AB87" i="23"/>
  <c r="AA87" i="23"/>
  <c r="AD86" i="23"/>
  <c r="AC86" i="23"/>
  <c r="AB86" i="23"/>
  <c r="AA86" i="23"/>
  <c r="AD85" i="23"/>
  <c r="AC85" i="23"/>
  <c r="AB85" i="23"/>
  <c r="AA85" i="23"/>
  <c r="AD84" i="23"/>
  <c r="AD88" i="23" s="1"/>
  <c r="AC84" i="23"/>
  <c r="AC88" i="23" s="1"/>
  <c r="AB84" i="23"/>
  <c r="AB88" i="23" s="1"/>
  <c r="AA84" i="23"/>
  <c r="AA88" i="23" s="1"/>
  <c r="AD81" i="23"/>
  <c r="AC81" i="23"/>
  <c r="AB81" i="23"/>
  <c r="AA81" i="23"/>
  <c r="AD80" i="23"/>
  <c r="AC80" i="23"/>
  <c r="AB80" i="23"/>
  <c r="AA80" i="23"/>
  <c r="AD79" i="23"/>
  <c r="AC79" i="23"/>
  <c r="AB79" i="23"/>
  <c r="AA79" i="23"/>
  <c r="AD78" i="23"/>
  <c r="AD82" i="23" s="1"/>
  <c r="AC78" i="23"/>
  <c r="AB78" i="23"/>
  <c r="AB82" i="23" s="1"/>
  <c r="AA78" i="23"/>
  <c r="AA82" i="23" s="1"/>
  <c r="Z94" i="23"/>
  <c r="Y94" i="23"/>
  <c r="X94" i="23"/>
  <c r="W94" i="23"/>
  <c r="Z93" i="23"/>
  <c r="Y93" i="23"/>
  <c r="X93" i="23"/>
  <c r="W93" i="23"/>
  <c r="Z92" i="23"/>
  <c r="Y92" i="23"/>
  <c r="X92" i="23"/>
  <c r="W92" i="23"/>
  <c r="Z91" i="23"/>
  <c r="Y91" i="23"/>
  <c r="Y95" i="23" s="1"/>
  <c r="X91" i="23"/>
  <c r="W91" i="23"/>
  <c r="Z87" i="23"/>
  <c r="Y87" i="23"/>
  <c r="X87" i="23"/>
  <c r="W87" i="23"/>
  <c r="Z86" i="23"/>
  <c r="Y86" i="23"/>
  <c r="X86" i="23"/>
  <c r="W86" i="23"/>
  <c r="Z85" i="23"/>
  <c r="Y85" i="23"/>
  <c r="X85" i="23"/>
  <c r="W85" i="23"/>
  <c r="Z84" i="23"/>
  <c r="Z88" i="23" s="1"/>
  <c r="Y84" i="23"/>
  <c r="Y88" i="23" s="1"/>
  <c r="X84" i="23"/>
  <c r="W84" i="23"/>
  <c r="W88" i="23" s="1"/>
  <c r="Z81" i="23"/>
  <c r="Y81" i="23"/>
  <c r="X81" i="23"/>
  <c r="W81" i="23"/>
  <c r="Z80" i="23"/>
  <c r="Y80" i="23"/>
  <c r="X80" i="23"/>
  <c r="W80" i="23"/>
  <c r="Z79" i="23"/>
  <c r="Y79" i="23"/>
  <c r="X79" i="23"/>
  <c r="W79" i="23"/>
  <c r="Z78" i="23"/>
  <c r="Z82" i="23" s="1"/>
  <c r="Y78" i="23"/>
  <c r="Y82" i="23" s="1"/>
  <c r="X78" i="23"/>
  <c r="X82" i="23" s="1"/>
  <c r="W78" i="23"/>
  <c r="W82" i="23" s="1"/>
  <c r="V94" i="23"/>
  <c r="U94" i="23"/>
  <c r="T94" i="23"/>
  <c r="S94" i="23"/>
  <c r="V93" i="23"/>
  <c r="U93" i="23"/>
  <c r="T93" i="23"/>
  <c r="S93" i="23"/>
  <c r="V92" i="23"/>
  <c r="U92" i="23"/>
  <c r="T92" i="23"/>
  <c r="S92" i="23"/>
  <c r="V91" i="23"/>
  <c r="U91" i="23"/>
  <c r="T91" i="23"/>
  <c r="S91" i="23"/>
  <c r="V87" i="23"/>
  <c r="U87" i="23"/>
  <c r="T87" i="23"/>
  <c r="S87" i="23"/>
  <c r="V86" i="23"/>
  <c r="U86" i="23"/>
  <c r="T86" i="23"/>
  <c r="S86" i="23"/>
  <c r="V85" i="23"/>
  <c r="U85" i="23"/>
  <c r="T85" i="23"/>
  <c r="S85" i="23"/>
  <c r="V84" i="23"/>
  <c r="V88" i="23" s="1"/>
  <c r="U84" i="23"/>
  <c r="U88" i="23" s="1"/>
  <c r="T84" i="23"/>
  <c r="T88" i="23" s="1"/>
  <c r="S84" i="23"/>
  <c r="S88" i="23" s="1"/>
  <c r="V81" i="23"/>
  <c r="U81" i="23"/>
  <c r="T81" i="23"/>
  <c r="S81" i="23"/>
  <c r="V80" i="23"/>
  <c r="U80" i="23"/>
  <c r="T80" i="23"/>
  <c r="S80" i="23"/>
  <c r="V79" i="23"/>
  <c r="U79" i="23"/>
  <c r="T79" i="23"/>
  <c r="S79" i="23"/>
  <c r="T78" i="23"/>
  <c r="T82" i="23" s="1"/>
  <c r="S78" i="23"/>
  <c r="S82" i="23" s="1"/>
  <c r="R94" i="23"/>
  <c r="Q94" i="23"/>
  <c r="P94" i="23"/>
  <c r="O94" i="23"/>
  <c r="R93" i="23"/>
  <c r="Q93" i="23"/>
  <c r="P93" i="23"/>
  <c r="O93" i="23"/>
  <c r="R92" i="23"/>
  <c r="Q92" i="23"/>
  <c r="P92" i="23"/>
  <c r="O92" i="23"/>
  <c r="R91" i="23"/>
  <c r="Q91" i="23"/>
  <c r="P91" i="23"/>
  <c r="O91" i="23"/>
  <c r="R87" i="23"/>
  <c r="Q87" i="23"/>
  <c r="P87" i="23"/>
  <c r="O87" i="23"/>
  <c r="R86" i="23"/>
  <c r="Q86" i="23"/>
  <c r="P86" i="23"/>
  <c r="O86" i="23"/>
  <c r="R85" i="23"/>
  <c r="Q85" i="23"/>
  <c r="P85" i="23"/>
  <c r="O85" i="23"/>
  <c r="R84" i="23"/>
  <c r="R88" i="23" s="1"/>
  <c r="Q84" i="23"/>
  <c r="Q88" i="23" s="1"/>
  <c r="P84" i="23"/>
  <c r="O84" i="23"/>
  <c r="O88" i="23" s="1"/>
  <c r="R81" i="23"/>
  <c r="Q81" i="23"/>
  <c r="P81" i="23"/>
  <c r="O81" i="23"/>
  <c r="R80" i="23"/>
  <c r="Q80" i="23"/>
  <c r="P80" i="23"/>
  <c r="O80" i="23"/>
  <c r="R79" i="23"/>
  <c r="Q79" i="23"/>
  <c r="P79" i="23"/>
  <c r="O79" i="23"/>
  <c r="R78" i="23"/>
  <c r="R82" i="23" s="1"/>
  <c r="Q78" i="23"/>
  <c r="Q82" i="23" s="1"/>
  <c r="P78" i="23"/>
  <c r="P82" i="23" s="1"/>
  <c r="O78" i="23"/>
  <c r="O82" i="23" s="1"/>
  <c r="W95" i="23"/>
  <c r="N94" i="23"/>
  <c r="M94" i="23"/>
  <c r="L94" i="23"/>
  <c r="K94" i="23"/>
  <c r="N93" i="23"/>
  <c r="M93" i="23"/>
  <c r="L93" i="23"/>
  <c r="K93" i="23"/>
  <c r="N92" i="23"/>
  <c r="M92" i="23"/>
  <c r="L92" i="23"/>
  <c r="K92" i="23"/>
  <c r="N91" i="23"/>
  <c r="M91" i="23"/>
  <c r="M95" i="23" s="1"/>
  <c r="L91" i="23"/>
  <c r="K91" i="23"/>
  <c r="K95" i="23" s="1"/>
  <c r="N87" i="23"/>
  <c r="M87" i="23"/>
  <c r="L87" i="23"/>
  <c r="K87" i="23"/>
  <c r="N86" i="23"/>
  <c r="M86" i="23"/>
  <c r="L86" i="23"/>
  <c r="K86" i="23"/>
  <c r="N85" i="23"/>
  <c r="M85" i="23"/>
  <c r="L85" i="23"/>
  <c r="K85" i="23"/>
  <c r="N84" i="23"/>
  <c r="M84" i="23"/>
  <c r="M88" i="23" s="1"/>
  <c r="L84" i="23"/>
  <c r="K84" i="23"/>
  <c r="K88" i="23" s="1"/>
  <c r="N81" i="23"/>
  <c r="M81" i="23"/>
  <c r="L81" i="23"/>
  <c r="K81" i="23"/>
  <c r="N80" i="23"/>
  <c r="M80" i="23"/>
  <c r="L80" i="23"/>
  <c r="K80" i="23"/>
  <c r="N79" i="23"/>
  <c r="M79" i="23"/>
  <c r="L79" i="23"/>
  <c r="K79" i="23"/>
  <c r="N78" i="23"/>
  <c r="M78" i="23"/>
  <c r="M82" i="23" s="1"/>
  <c r="L78" i="23"/>
  <c r="K78" i="23"/>
  <c r="K82" i="23" s="1"/>
  <c r="J94" i="23"/>
  <c r="I94" i="23"/>
  <c r="H94" i="23"/>
  <c r="G94" i="23"/>
  <c r="J93" i="23"/>
  <c r="I93" i="23"/>
  <c r="H93" i="23"/>
  <c r="G93" i="23"/>
  <c r="J92" i="23"/>
  <c r="I92" i="23"/>
  <c r="H92" i="23"/>
  <c r="G92" i="23"/>
  <c r="J91" i="23"/>
  <c r="I91" i="23"/>
  <c r="I95" i="23" s="1"/>
  <c r="H91" i="23"/>
  <c r="G91" i="23"/>
  <c r="G95" i="23" s="1"/>
  <c r="J87" i="23"/>
  <c r="I87" i="23"/>
  <c r="H87" i="23"/>
  <c r="G87" i="23"/>
  <c r="J86" i="23"/>
  <c r="I86" i="23"/>
  <c r="H86" i="23"/>
  <c r="G86" i="23"/>
  <c r="J85" i="23"/>
  <c r="I85" i="23"/>
  <c r="H85" i="23"/>
  <c r="G85" i="23"/>
  <c r="J84" i="23"/>
  <c r="I84" i="23"/>
  <c r="I88" i="23" s="1"/>
  <c r="H84" i="23"/>
  <c r="G84" i="23"/>
  <c r="G88" i="23" s="1"/>
  <c r="J81" i="23"/>
  <c r="I81" i="23"/>
  <c r="H81" i="23"/>
  <c r="G81" i="23"/>
  <c r="J80" i="23"/>
  <c r="I80" i="23"/>
  <c r="H80" i="23"/>
  <c r="G80" i="23"/>
  <c r="J79" i="23"/>
  <c r="I79" i="23"/>
  <c r="H79" i="23"/>
  <c r="G79" i="23"/>
  <c r="J78" i="23"/>
  <c r="J82" i="23" s="1"/>
  <c r="I78" i="23"/>
  <c r="I82" i="23" s="1"/>
  <c r="H78" i="23"/>
  <c r="G78" i="23"/>
  <c r="G82" i="23" s="1"/>
  <c r="AX95" i="23"/>
  <c r="AW95" i="23"/>
  <c r="AV95" i="23"/>
  <c r="AU95" i="23"/>
  <c r="AW88" i="23"/>
  <c r="AU88" i="23"/>
  <c r="AU74" i="23"/>
  <c r="AU72" i="23"/>
  <c r="AX67" i="23"/>
  <c r="AX66" i="23"/>
  <c r="AX65" i="23"/>
  <c r="AX64" i="23"/>
  <c r="AV68" i="23"/>
  <c r="AU68" i="23"/>
  <c r="AX60" i="23"/>
  <c r="AX58" i="23"/>
  <c r="AV61" i="23"/>
  <c r="AX53" i="23"/>
  <c r="AX52" i="23"/>
  <c r="AV73" i="23"/>
  <c r="AV99" i="23" s="1"/>
  <c r="AU73" i="23"/>
  <c r="AX51" i="23"/>
  <c r="AV72" i="23"/>
  <c r="AV71" i="23"/>
  <c r="AT95" i="23"/>
  <c r="AS95" i="23"/>
  <c r="AR95" i="23"/>
  <c r="AQ95" i="23"/>
  <c r="AS88" i="23"/>
  <c r="AQ88" i="23"/>
  <c r="AT82" i="23"/>
  <c r="AS73" i="23"/>
  <c r="AT67" i="23"/>
  <c r="AT66" i="23"/>
  <c r="AT65" i="23"/>
  <c r="AT64" i="23"/>
  <c r="AQ68" i="23"/>
  <c r="AT60" i="23"/>
  <c r="AT59" i="23"/>
  <c r="AT58" i="23"/>
  <c r="AT57" i="23"/>
  <c r="AQ61" i="23"/>
  <c r="AT53" i="23"/>
  <c r="AR74" i="23"/>
  <c r="AQ74" i="23"/>
  <c r="AR73" i="23"/>
  <c r="AT51" i="23"/>
  <c r="AQ72" i="23"/>
  <c r="AR71" i="23"/>
  <c r="AP95" i="23"/>
  <c r="AO95" i="23"/>
  <c r="AN95" i="23"/>
  <c r="AM95" i="23"/>
  <c r="AP88" i="23"/>
  <c r="AO88" i="23"/>
  <c r="AN88" i="23"/>
  <c r="AM88" i="23"/>
  <c r="AN82" i="23"/>
  <c r="AP67" i="23"/>
  <c r="AP65" i="23"/>
  <c r="AP60" i="23"/>
  <c r="AP58" i="23"/>
  <c r="AM74" i="23"/>
  <c r="AP51" i="23"/>
  <c r="AN71" i="23"/>
  <c r="AK95" i="23"/>
  <c r="AI95" i="23"/>
  <c r="AK88" i="23"/>
  <c r="AI88" i="23"/>
  <c r="AL65" i="23"/>
  <c r="AL60" i="23"/>
  <c r="AI74" i="23"/>
  <c r="AL51" i="23"/>
  <c r="AG95" i="23"/>
  <c r="AE95" i="23"/>
  <c r="AE82" i="23"/>
  <c r="AH65" i="23"/>
  <c r="AH60" i="23"/>
  <c r="AH53" i="23"/>
  <c r="AE72" i="23"/>
  <c r="AD95" i="23"/>
  <c r="AB95" i="23"/>
  <c r="AC82" i="23"/>
  <c r="AD60" i="23"/>
  <c r="Z95" i="23"/>
  <c r="X95" i="23"/>
  <c r="X88" i="23"/>
  <c r="V95" i="23"/>
  <c r="U95" i="23"/>
  <c r="T95" i="23"/>
  <c r="S95" i="23"/>
  <c r="R95" i="23"/>
  <c r="Q95" i="23"/>
  <c r="P95" i="23"/>
  <c r="O95" i="23"/>
  <c r="P88" i="23"/>
  <c r="N95" i="23"/>
  <c r="L95" i="23"/>
  <c r="N88" i="23"/>
  <c r="L88" i="23"/>
  <c r="N82" i="23"/>
  <c r="L82" i="23"/>
  <c r="J95" i="23"/>
  <c r="H95" i="23"/>
  <c r="J88" i="23"/>
  <c r="H88" i="23"/>
  <c r="H82" i="23"/>
  <c r="F94" i="23"/>
  <c r="E94" i="23"/>
  <c r="D94" i="23"/>
  <c r="C94" i="23"/>
  <c r="F93" i="23"/>
  <c r="E93" i="23"/>
  <c r="D93" i="23"/>
  <c r="C93" i="23"/>
  <c r="F92" i="23"/>
  <c r="E92" i="23"/>
  <c r="D92" i="23"/>
  <c r="C92" i="23"/>
  <c r="F91" i="23"/>
  <c r="E91" i="23"/>
  <c r="D91" i="23"/>
  <c r="C91" i="23"/>
  <c r="F87" i="23"/>
  <c r="BB87" i="23" s="1"/>
  <c r="E87" i="23"/>
  <c r="D87" i="23"/>
  <c r="AZ87" i="23" s="1"/>
  <c r="C87" i="23"/>
  <c r="F86" i="23"/>
  <c r="BB86" i="23" s="1"/>
  <c r="E86" i="23"/>
  <c r="D86" i="23"/>
  <c r="AZ86" i="23" s="1"/>
  <c r="C86" i="23"/>
  <c r="F85" i="23"/>
  <c r="BB85" i="23" s="1"/>
  <c r="E85" i="23"/>
  <c r="D85" i="23"/>
  <c r="AZ85" i="23" s="1"/>
  <c r="C85" i="23"/>
  <c r="F84" i="23"/>
  <c r="BB84" i="23" s="1"/>
  <c r="E84" i="23"/>
  <c r="D84" i="23"/>
  <c r="AZ84" i="23" s="1"/>
  <c r="C84" i="23"/>
  <c r="F81" i="23"/>
  <c r="BB81" i="23" s="1"/>
  <c r="E81" i="23"/>
  <c r="BA81" i="23" s="1"/>
  <c r="D81" i="23"/>
  <c r="AZ81" i="23" s="1"/>
  <c r="C81" i="23"/>
  <c r="AY81" i="23" s="1"/>
  <c r="F80" i="23"/>
  <c r="BB80" i="23" s="1"/>
  <c r="E80" i="23"/>
  <c r="BA80" i="23" s="1"/>
  <c r="D80" i="23"/>
  <c r="AZ80" i="23" s="1"/>
  <c r="C80" i="23"/>
  <c r="AY80" i="23" s="1"/>
  <c r="F79" i="23"/>
  <c r="BB79" i="23" s="1"/>
  <c r="E79" i="23"/>
  <c r="BA79" i="23" s="1"/>
  <c r="D79" i="23"/>
  <c r="AZ79" i="23" s="1"/>
  <c r="C79" i="23"/>
  <c r="AY79" i="23" s="1"/>
  <c r="F78" i="23"/>
  <c r="E78" i="23"/>
  <c r="D78" i="23"/>
  <c r="AZ78" i="23" s="1"/>
  <c r="C78" i="23"/>
  <c r="AY78" i="23" s="1"/>
  <c r="BJ22" i="14"/>
  <c r="BI22" i="14"/>
  <c r="BH22" i="14"/>
  <c r="BG22" i="14"/>
  <c r="BJ21" i="14"/>
  <c r="BI21" i="14"/>
  <c r="BH21" i="14"/>
  <c r="BG21" i="14"/>
  <c r="BJ20" i="14"/>
  <c r="BI20" i="14"/>
  <c r="BH20" i="14"/>
  <c r="BG20" i="14"/>
  <c r="BJ19" i="14"/>
  <c r="BI19" i="14"/>
  <c r="BH19" i="14"/>
  <c r="BG19" i="14"/>
  <c r="BJ18" i="14"/>
  <c r="BI18" i="14"/>
  <c r="BH18" i="14"/>
  <c r="BG18" i="14"/>
  <c r="BJ17" i="14"/>
  <c r="BI17" i="14"/>
  <c r="BH17" i="14"/>
  <c r="BG17" i="14"/>
  <c r="BJ16" i="14"/>
  <c r="BI16" i="14"/>
  <c r="BH16" i="14"/>
  <c r="BG16" i="14"/>
  <c r="BJ15" i="14"/>
  <c r="BI15" i="14"/>
  <c r="BH15" i="14"/>
  <c r="BG15" i="14"/>
  <c r="BJ14" i="14"/>
  <c r="BI14" i="14"/>
  <c r="BH14" i="14"/>
  <c r="BG14" i="14"/>
  <c r="BJ13" i="14"/>
  <c r="BI13" i="14"/>
  <c r="BH13" i="14"/>
  <c r="BG13" i="14"/>
  <c r="BJ12" i="14"/>
  <c r="BI12" i="14"/>
  <c r="BH12" i="14"/>
  <c r="BG12" i="14"/>
  <c r="BJ11" i="14"/>
  <c r="BI11" i="14"/>
  <c r="BH11" i="14"/>
  <c r="BG11" i="14"/>
  <c r="BJ10" i="14"/>
  <c r="BI10" i="14"/>
  <c r="BH10" i="14"/>
  <c r="BG10" i="14"/>
  <c r="BJ9" i="14"/>
  <c r="BI9" i="14"/>
  <c r="BH9" i="14"/>
  <c r="BG9" i="14"/>
  <c r="BJ8" i="14"/>
  <c r="BI8" i="14"/>
  <c r="BH8" i="14"/>
  <c r="BG8" i="14"/>
  <c r="BJ7" i="14"/>
  <c r="BI7" i="14"/>
  <c r="BH7" i="14"/>
  <c r="BG7" i="14"/>
  <c r="BJ6" i="14"/>
  <c r="BI6" i="14"/>
  <c r="BH6" i="14"/>
  <c r="BG6" i="14"/>
  <c r="BJ5" i="14"/>
  <c r="BI5" i="14"/>
  <c r="BH5" i="14"/>
  <c r="BG5" i="14"/>
  <c r="BJ4" i="14"/>
  <c r="BI4" i="14"/>
  <c r="BH4" i="14"/>
  <c r="BG4" i="14"/>
  <c r="BE22" i="14"/>
  <c r="BD22" i="14"/>
  <c r="BC22" i="14"/>
  <c r="BB22" i="14"/>
  <c r="BE21" i="14"/>
  <c r="BD21" i="14"/>
  <c r="BC21" i="14"/>
  <c r="BB21" i="14"/>
  <c r="BE20" i="14"/>
  <c r="BD20" i="14"/>
  <c r="BC20" i="14"/>
  <c r="BB20" i="14"/>
  <c r="BE19" i="14"/>
  <c r="BD19" i="14"/>
  <c r="BC19" i="14"/>
  <c r="BB19" i="14"/>
  <c r="BE18" i="14"/>
  <c r="BD18" i="14"/>
  <c r="BC18" i="14"/>
  <c r="BB18" i="14"/>
  <c r="BE17" i="14"/>
  <c r="BD17" i="14"/>
  <c r="BC17" i="14"/>
  <c r="BB17" i="14"/>
  <c r="BE16" i="14"/>
  <c r="BD16" i="14"/>
  <c r="BC16" i="14"/>
  <c r="BB16" i="14"/>
  <c r="BE15" i="14"/>
  <c r="BD15" i="14"/>
  <c r="BC15" i="14"/>
  <c r="BB15" i="14"/>
  <c r="BE14" i="14"/>
  <c r="BD14" i="14"/>
  <c r="BC14" i="14"/>
  <c r="BB14" i="14"/>
  <c r="BE13" i="14"/>
  <c r="BD13" i="14"/>
  <c r="BC13" i="14"/>
  <c r="BB13" i="14"/>
  <c r="BE12" i="14"/>
  <c r="BD12" i="14"/>
  <c r="BC12" i="14"/>
  <c r="BB12" i="14"/>
  <c r="BE11" i="14"/>
  <c r="BD11" i="14"/>
  <c r="BC11" i="14"/>
  <c r="BB11" i="14"/>
  <c r="BE10" i="14"/>
  <c r="BD10" i="14"/>
  <c r="BC10" i="14"/>
  <c r="BB10" i="14"/>
  <c r="BE9" i="14"/>
  <c r="BD9" i="14"/>
  <c r="BC9" i="14"/>
  <c r="BB9" i="14"/>
  <c r="BE8" i="14"/>
  <c r="BD8" i="14"/>
  <c r="BC8" i="14"/>
  <c r="BB8" i="14"/>
  <c r="BE7" i="14"/>
  <c r="BD7" i="14"/>
  <c r="BC7" i="14"/>
  <c r="BB7" i="14"/>
  <c r="BE6" i="14"/>
  <c r="BD6" i="14"/>
  <c r="BC6" i="14"/>
  <c r="BB6" i="14"/>
  <c r="BE5" i="14"/>
  <c r="BD5" i="14"/>
  <c r="BC5" i="14"/>
  <c r="BB5" i="14"/>
  <c r="BE4" i="14"/>
  <c r="BD4" i="14"/>
  <c r="BC4" i="14"/>
  <c r="BB4" i="14"/>
  <c r="AZ22" i="14"/>
  <c r="AY22" i="14"/>
  <c r="AX22" i="14"/>
  <c r="AW22" i="14"/>
  <c r="AZ21" i="14"/>
  <c r="AY21" i="14"/>
  <c r="AX21" i="14"/>
  <c r="AW21" i="14"/>
  <c r="AZ20" i="14"/>
  <c r="AY20" i="14"/>
  <c r="AX20" i="14"/>
  <c r="AW20" i="14"/>
  <c r="AZ19" i="14"/>
  <c r="AY19" i="14"/>
  <c r="AX19" i="14"/>
  <c r="AW19" i="14"/>
  <c r="AZ18" i="14"/>
  <c r="AY18" i="14"/>
  <c r="AX18" i="14"/>
  <c r="AW18" i="14"/>
  <c r="AZ17" i="14"/>
  <c r="AY17" i="14"/>
  <c r="AX17" i="14"/>
  <c r="AW17" i="14"/>
  <c r="AZ16" i="14"/>
  <c r="AY16" i="14"/>
  <c r="AX16" i="14"/>
  <c r="AW16" i="14"/>
  <c r="AZ15" i="14"/>
  <c r="AY15" i="14"/>
  <c r="AX15" i="14"/>
  <c r="AW15" i="14"/>
  <c r="AZ14" i="14"/>
  <c r="AY14" i="14"/>
  <c r="AX14" i="14"/>
  <c r="AW14" i="14"/>
  <c r="AZ13" i="14"/>
  <c r="AY13" i="14"/>
  <c r="AX13" i="14"/>
  <c r="AW13" i="14"/>
  <c r="AZ12" i="14"/>
  <c r="AY12" i="14"/>
  <c r="AX12" i="14"/>
  <c r="AW12" i="14"/>
  <c r="AZ11" i="14"/>
  <c r="AY11" i="14"/>
  <c r="AX11" i="14"/>
  <c r="AW11" i="14"/>
  <c r="AZ10" i="14"/>
  <c r="AY10" i="14"/>
  <c r="AX10" i="14"/>
  <c r="AW10" i="14"/>
  <c r="AZ9" i="14"/>
  <c r="AY9" i="14"/>
  <c r="AX9" i="14"/>
  <c r="AW9" i="14"/>
  <c r="AZ8" i="14"/>
  <c r="AY8" i="14"/>
  <c r="AX8" i="14"/>
  <c r="AW8" i="14"/>
  <c r="AZ7" i="14"/>
  <c r="AY7" i="14"/>
  <c r="AX7" i="14"/>
  <c r="AW7" i="14"/>
  <c r="AZ6" i="14"/>
  <c r="AY6" i="14"/>
  <c r="AX6" i="14"/>
  <c r="AW6" i="14"/>
  <c r="AZ5" i="14"/>
  <c r="AY5" i="14"/>
  <c r="AX5" i="14"/>
  <c r="AW5" i="14"/>
  <c r="AZ4" i="14"/>
  <c r="AY4" i="14"/>
  <c r="AX4" i="14"/>
  <c r="AW4" i="14"/>
  <c r="AU22" i="14"/>
  <c r="AT22" i="14"/>
  <c r="AS22" i="14"/>
  <c r="AR22" i="14"/>
  <c r="AU21" i="14"/>
  <c r="AT21" i="14"/>
  <c r="AS21" i="14"/>
  <c r="AR21" i="14"/>
  <c r="AU20" i="14"/>
  <c r="AT20" i="14"/>
  <c r="AS20" i="14"/>
  <c r="AR20" i="14"/>
  <c r="AU19" i="14"/>
  <c r="AT19" i="14"/>
  <c r="AS19" i="14"/>
  <c r="AR19" i="14"/>
  <c r="AU18" i="14"/>
  <c r="AT18" i="14"/>
  <c r="AS18" i="14"/>
  <c r="AR18" i="14"/>
  <c r="AU17" i="14"/>
  <c r="AT17" i="14"/>
  <c r="AS17" i="14"/>
  <c r="AR17" i="14"/>
  <c r="AU16" i="14"/>
  <c r="AT16" i="14"/>
  <c r="AS16" i="14"/>
  <c r="AR16" i="14"/>
  <c r="AU15" i="14"/>
  <c r="AT15" i="14"/>
  <c r="AS15" i="14"/>
  <c r="AR15" i="14"/>
  <c r="AU14" i="14"/>
  <c r="AT14" i="14"/>
  <c r="AS14" i="14"/>
  <c r="AR14" i="14"/>
  <c r="AU13" i="14"/>
  <c r="AT13" i="14"/>
  <c r="AS13" i="14"/>
  <c r="AR13" i="14"/>
  <c r="AU12" i="14"/>
  <c r="AT12" i="14"/>
  <c r="AS12" i="14"/>
  <c r="AR12" i="14"/>
  <c r="AU11" i="14"/>
  <c r="AT11" i="14"/>
  <c r="AS11" i="14"/>
  <c r="AR11" i="14"/>
  <c r="AU10" i="14"/>
  <c r="AT10" i="14"/>
  <c r="AS10" i="14"/>
  <c r="AR10" i="14"/>
  <c r="AU9" i="14"/>
  <c r="AT9" i="14"/>
  <c r="AS9" i="14"/>
  <c r="AR9" i="14"/>
  <c r="AU8" i="14"/>
  <c r="AT8" i="14"/>
  <c r="AS8" i="14"/>
  <c r="AR8" i="14"/>
  <c r="AU7" i="14"/>
  <c r="AT7" i="14"/>
  <c r="AS7" i="14"/>
  <c r="AR7" i="14"/>
  <c r="AU6" i="14"/>
  <c r="AT6" i="14"/>
  <c r="AS6" i="14"/>
  <c r="AR6" i="14"/>
  <c r="AU5" i="14"/>
  <c r="AT5" i="14"/>
  <c r="AS5" i="14"/>
  <c r="AR5" i="14"/>
  <c r="AU4" i="14"/>
  <c r="AT4" i="14"/>
  <c r="AS4" i="14"/>
  <c r="AR4" i="14"/>
  <c r="AP22" i="14"/>
  <c r="AO22" i="14"/>
  <c r="AN22" i="14"/>
  <c r="AM22" i="14"/>
  <c r="AP21" i="14"/>
  <c r="AO21" i="14"/>
  <c r="AN21" i="14"/>
  <c r="AM21" i="14"/>
  <c r="AP20" i="14"/>
  <c r="AO20" i="14"/>
  <c r="AN20" i="14"/>
  <c r="AM20" i="14"/>
  <c r="AP19" i="14"/>
  <c r="AO19" i="14"/>
  <c r="AN19" i="14"/>
  <c r="AM19" i="14"/>
  <c r="AP18" i="14"/>
  <c r="AO18" i="14"/>
  <c r="AN18" i="14"/>
  <c r="AM18" i="14"/>
  <c r="AP17" i="14"/>
  <c r="AO17" i="14"/>
  <c r="AN17" i="14"/>
  <c r="AM17" i="14"/>
  <c r="AP16" i="14"/>
  <c r="AO16" i="14"/>
  <c r="AN16" i="14"/>
  <c r="AM16" i="14"/>
  <c r="AP15" i="14"/>
  <c r="AO15" i="14"/>
  <c r="AN15" i="14"/>
  <c r="AM15" i="14"/>
  <c r="AP14" i="14"/>
  <c r="AO14" i="14"/>
  <c r="AN14" i="14"/>
  <c r="AM14" i="14"/>
  <c r="AP13" i="14"/>
  <c r="AO13" i="14"/>
  <c r="AN13" i="14"/>
  <c r="AM13" i="14"/>
  <c r="AP12" i="14"/>
  <c r="AO12" i="14"/>
  <c r="AN12" i="14"/>
  <c r="AM12" i="14"/>
  <c r="AP11" i="14"/>
  <c r="AO11" i="14"/>
  <c r="AN11" i="14"/>
  <c r="AM11" i="14"/>
  <c r="AP10" i="14"/>
  <c r="AO10" i="14"/>
  <c r="AN10" i="14"/>
  <c r="AM10" i="14"/>
  <c r="AP9" i="14"/>
  <c r="AO9" i="14"/>
  <c r="AN9" i="14"/>
  <c r="AM9" i="14"/>
  <c r="AP8" i="14"/>
  <c r="AO8" i="14"/>
  <c r="AN8" i="14"/>
  <c r="AM8" i="14"/>
  <c r="AP7" i="14"/>
  <c r="AO7" i="14"/>
  <c r="AN7" i="14"/>
  <c r="AM7" i="14"/>
  <c r="AP6" i="14"/>
  <c r="AO6" i="14"/>
  <c r="AN6" i="14"/>
  <c r="AM6" i="14"/>
  <c r="AP5" i="14"/>
  <c r="AO5" i="14"/>
  <c r="AN5" i="14"/>
  <c r="AM5" i="14"/>
  <c r="AP4" i="14"/>
  <c r="AO4" i="14"/>
  <c r="AN4" i="14"/>
  <c r="AM4" i="14"/>
  <c r="AW22" i="23"/>
  <c r="AV22" i="23"/>
  <c r="AU22" i="23"/>
  <c r="AW21" i="23"/>
  <c r="AV21" i="23"/>
  <c r="AU21" i="23"/>
  <c r="AW20" i="23"/>
  <c r="AV20" i="23"/>
  <c r="AU20" i="23"/>
  <c r="AW19" i="23"/>
  <c r="AX19" i="23" s="1"/>
  <c r="AX23" i="23" s="1"/>
  <c r="AV19" i="23"/>
  <c r="AU19" i="23"/>
  <c r="AW15" i="23"/>
  <c r="AV15" i="23"/>
  <c r="AU15" i="23"/>
  <c r="AW14" i="23"/>
  <c r="AX14" i="23" s="1"/>
  <c r="AV14" i="23"/>
  <c r="AU14" i="23"/>
  <c r="AW13" i="23"/>
  <c r="AV13" i="23"/>
  <c r="AU13" i="23"/>
  <c r="AW12" i="23"/>
  <c r="AX12" i="23" s="1"/>
  <c r="AV12" i="23"/>
  <c r="AU12" i="23"/>
  <c r="AW8" i="23"/>
  <c r="AV8" i="23"/>
  <c r="AV29" i="23" s="1"/>
  <c r="AU8" i="23"/>
  <c r="AW7" i="23"/>
  <c r="AW28" i="23" s="1"/>
  <c r="AV7" i="23"/>
  <c r="AU7" i="23"/>
  <c r="AU28" i="23" s="1"/>
  <c r="AW6" i="23"/>
  <c r="AV6" i="23"/>
  <c r="AV27" i="23" s="1"/>
  <c r="AU6" i="23"/>
  <c r="AW5" i="23"/>
  <c r="AX5" i="23" s="1"/>
  <c r="AV5" i="23"/>
  <c r="AU5" i="23"/>
  <c r="AS22" i="23"/>
  <c r="AR22" i="23"/>
  <c r="AQ22" i="23"/>
  <c r="AS21" i="23"/>
  <c r="AR21" i="23"/>
  <c r="AQ21" i="23"/>
  <c r="AS20" i="23"/>
  <c r="AR20" i="23"/>
  <c r="AQ20" i="23"/>
  <c r="AS19" i="23"/>
  <c r="AT19" i="23" s="1"/>
  <c r="AT23" i="23" s="1"/>
  <c r="AR19" i="23"/>
  <c r="AQ19" i="23"/>
  <c r="AS15" i="23"/>
  <c r="AR15" i="23"/>
  <c r="AQ15" i="23"/>
  <c r="AS14" i="23"/>
  <c r="AT14" i="23" s="1"/>
  <c r="AR14" i="23"/>
  <c r="AQ14" i="23"/>
  <c r="AS13" i="23"/>
  <c r="AR13" i="23"/>
  <c r="AQ13" i="23"/>
  <c r="AS12" i="23"/>
  <c r="AR12" i="23"/>
  <c r="AQ12" i="23"/>
  <c r="AS8" i="23"/>
  <c r="AR8" i="23"/>
  <c r="AR29" i="23" s="1"/>
  <c r="AQ8" i="23"/>
  <c r="AS7" i="23"/>
  <c r="AS28" i="23" s="1"/>
  <c r="AR7" i="23"/>
  <c r="AR28" i="23" s="1"/>
  <c r="AQ7" i="23"/>
  <c r="AQ28" i="23" s="1"/>
  <c r="AS6" i="23"/>
  <c r="AR6" i="23"/>
  <c r="AQ6" i="23"/>
  <c r="AS5" i="23"/>
  <c r="AR5" i="23"/>
  <c r="AQ5" i="23"/>
  <c r="AO22" i="23"/>
  <c r="AN22" i="23"/>
  <c r="AM22" i="23"/>
  <c r="AO21" i="23"/>
  <c r="AN21" i="23"/>
  <c r="AM21" i="23"/>
  <c r="AO20" i="23"/>
  <c r="AN20" i="23"/>
  <c r="AM20" i="23"/>
  <c r="AO19" i="23"/>
  <c r="AP19" i="23" s="1"/>
  <c r="AP23" i="23" s="1"/>
  <c r="AN19" i="23"/>
  <c r="AM19" i="23"/>
  <c r="AO15" i="23"/>
  <c r="AN15" i="23"/>
  <c r="AM15" i="23"/>
  <c r="AO14" i="23"/>
  <c r="AP14" i="23" s="1"/>
  <c r="AN14" i="23"/>
  <c r="AM14" i="23"/>
  <c r="AO13" i="23"/>
  <c r="AN13" i="23"/>
  <c r="AM13" i="23"/>
  <c r="AO12" i="23"/>
  <c r="AN12" i="23"/>
  <c r="AM12" i="23"/>
  <c r="AO8" i="23"/>
  <c r="AO29" i="23" s="1"/>
  <c r="AN8" i="23"/>
  <c r="AM8" i="23"/>
  <c r="AO7" i="23"/>
  <c r="AN7" i="23"/>
  <c r="AN28" i="23" s="1"/>
  <c r="AM7" i="23"/>
  <c r="AM28" i="23" s="1"/>
  <c r="AO6" i="23"/>
  <c r="AO27" i="23" s="1"/>
  <c r="AN6" i="23"/>
  <c r="AN27" i="23" s="1"/>
  <c r="AM6" i="23"/>
  <c r="AO5" i="23"/>
  <c r="AP5" i="23" s="1"/>
  <c r="AN5" i="23"/>
  <c r="AM5" i="23"/>
  <c r="AM26" i="23" s="1"/>
  <c r="AK22" i="23"/>
  <c r="AJ22" i="23"/>
  <c r="AI22" i="23"/>
  <c r="AK21" i="23"/>
  <c r="AJ21" i="23"/>
  <c r="AI21" i="23"/>
  <c r="AK20" i="23"/>
  <c r="AJ20" i="23"/>
  <c r="AI20" i="23"/>
  <c r="AK19" i="23"/>
  <c r="AL19" i="23" s="1"/>
  <c r="AL23" i="23" s="1"/>
  <c r="AJ19" i="23"/>
  <c r="AI19" i="23"/>
  <c r="AK15" i="23"/>
  <c r="AL15" i="23" s="1"/>
  <c r="AJ15" i="23"/>
  <c r="AI15" i="23"/>
  <c r="AK14" i="23"/>
  <c r="AL14" i="23" s="1"/>
  <c r="AJ14" i="23"/>
  <c r="AI14" i="23"/>
  <c r="AK13" i="23"/>
  <c r="AJ13" i="23"/>
  <c r="AI13" i="23"/>
  <c r="AK12" i="23"/>
  <c r="AL12" i="23" s="1"/>
  <c r="AJ12" i="23"/>
  <c r="AI12" i="23"/>
  <c r="AK8" i="23"/>
  <c r="AK29" i="23" s="1"/>
  <c r="AJ8" i="23"/>
  <c r="AJ29" i="23" s="1"/>
  <c r="AI8" i="23"/>
  <c r="AI29" i="23" s="1"/>
  <c r="AK7" i="23"/>
  <c r="AK28" i="23" s="1"/>
  <c r="AJ7" i="23"/>
  <c r="AJ28" i="23" s="1"/>
  <c r="AI7" i="23"/>
  <c r="AI28" i="23" s="1"/>
  <c r="AK6" i="23"/>
  <c r="AK27" i="23" s="1"/>
  <c r="AJ6" i="23"/>
  <c r="AJ27" i="23" s="1"/>
  <c r="AI6" i="23"/>
  <c r="AK5" i="23"/>
  <c r="AJ5" i="23"/>
  <c r="AJ26" i="23" s="1"/>
  <c r="AI5" i="23"/>
  <c r="AG22" i="23"/>
  <c r="AF22" i="23"/>
  <c r="AE22" i="23"/>
  <c r="AG21" i="23"/>
  <c r="AF21" i="23"/>
  <c r="AE21" i="23"/>
  <c r="AG20" i="23"/>
  <c r="AF20" i="23"/>
  <c r="AE20" i="23"/>
  <c r="AG19" i="23"/>
  <c r="AF19" i="23"/>
  <c r="AE19" i="23"/>
  <c r="AG15" i="23"/>
  <c r="AH15" i="23" s="1"/>
  <c r="AF15" i="23"/>
  <c r="AE15" i="23"/>
  <c r="AG14" i="23"/>
  <c r="AH14" i="23" s="1"/>
  <c r="AF14" i="23"/>
  <c r="AE14" i="23"/>
  <c r="AG13" i="23"/>
  <c r="AH13" i="23" s="1"/>
  <c r="AF13" i="23"/>
  <c r="AE13" i="23"/>
  <c r="AG12" i="23"/>
  <c r="AH12" i="23" s="1"/>
  <c r="AF12" i="23"/>
  <c r="AE12" i="23"/>
  <c r="AG8" i="23"/>
  <c r="AG29" i="23" s="1"/>
  <c r="AF8" i="23"/>
  <c r="AF29" i="23" s="1"/>
  <c r="AE8" i="23"/>
  <c r="AE29" i="23" s="1"/>
  <c r="AG7" i="23"/>
  <c r="AG28" i="23" s="1"/>
  <c r="AF7" i="23"/>
  <c r="AF28" i="23" s="1"/>
  <c r="AE7" i="23"/>
  <c r="AE28" i="23" s="1"/>
  <c r="AG6" i="23"/>
  <c r="AG27" i="23" s="1"/>
  <c r="AF6" i="23"/>
  <c r="AF27" i="23" s="1"/>
  <c r="AE6" i="23"/>
  <c r="AE27" i="23" s="1"/>
  <c r="AG5" i="23"/>
  <c r="AF5" i="23"/>
  <c r="AF26" i="23" s="1"/>
  <c r="AE5" i="23"/>
  <c r="AC22" i="23"/>
  <c r="AB22" i="23"/>
  <c r="AA22" i="23"/>
  <c r="AC21" i="23"/>
  <c r="AB21" i="23"/>
  <c r="AA21" i="23"/>
  <c r="AC20" i="23"/>
  <c r="AB20" i="23"/>
  <c r="AA20" i="23"/>
  <c r="AC19" i="23"/>
  <c r="AD19" i="23" s="1"/>
  <c r="AD23" i="23" s="1"/>
  <c r="AB19" i="23"/>
  <c r="AA19" i="23"/>
  <c r="AC15" i="23"/>
  <c r="AD15" i="23" s="1"/>
  <c r="AB15" i="23"/>
  <c r="AA15" i="23"/>
  <c r="AC14" i="23"/>
  <c r="AD14" i="23" s="1"/>
  <c r="AB14" i="23"/>
  <c r="AA14" i="23"/>
  <c r="AC13" i="23"/>
  <c r="AD13" i="23" s="1"/>
  <c r="AB13" i="23"/>
  <c r="AA13" i="23"/>
  <c r="AC12" i="23"/>
  <c r="AD12" i="23" s="1"/>
  <c r="AB12" i="23"/>
  <c r="AA12" i="23"/>
  <c r="Y22" i="23"/>
  <c r="X22" i="23"/>
  <c r="W22" i="23"/>
  <c r="Y21" i="23"/>
  <c r="X21" i="23"/>
  <c r="W21" i="23"/>
  <c r="Y20" i="23"/>
  <c r="X20" i="23"/>
  <c r="W20" i="23"/>
  <c r="Y19" i="23"/>
  <c r="X19" i="23"/>
  <c r="W19" i="23"/>
  <c r="Y15" i="23"/>
  <c r="Z15" i="23" s="1"/>
  <c r="X15" i="23"/>
  <c r="W15" i="23"/>
  <c r="Y14" i="23"/>
  <c r="Z14" i="23" s="1"/>
  <c r="X14" i="23"/>
  <c r="W14" i="23"/>
  <c r="Y13" i="23"/>
  <c r="Z13" i="23" s="1"/>
  <c r="X13" i="23"/>
  <c r="W13" i="23"/>
  <c r="Y12" i="23"/>
  <c r="X12" i="23"/>
  <c r="W12" i="23"/>
  <c r="Y8" i="23"/>
  <c r="Y29" i="23" s="1"/>
  <c r="X8" i="23"/>
  <c r="X29" i="23" s="1"/>
  <c r="W8" i="23"/>
  <c r="W29" i="23" s="1"/>
  <c r="Y7" i="23"/>
  <c r="Y28" i="23" s="1"/>
  <c r="X7" i="23"/>
  <c r="X28" i="23" s="1"/>
  <c r="W7" i="23"/>
  <c r="W28" i="23" s="1"/>
  <c r="Y6" i="23"/>
  <c r="Y27" i="23" s="1"/>
  <c r="X6" i="23"/>
  <c r="X27" i="23" s="1"/>
  <c r="W6" i="23"/>
  <c r="W27" i="23" s="1"/>
  <c r="Y5" i="23"/>
  <c r="X5" i="23"/>
  <c r="X26" i="23" s="1"/>
  <c r="W5" i="23"/>
  <c r="U22" i="23"/>
  <c r="T22" i="23"/>
  <c r="S22" i="23"/>
  <c r="U21" i="23"/>
  <c r="T21" i="23"/>
  <c r="S21" i="23"/>
  <c r="U20" i="23"/>
  <c r="T20" i="23"/>
  <c r="S20" i="23"/>
  <c r="U19" i="23"/>
  <c r="T19" i="23"/>
  <c r="S19" i="23"/>
  <c r="U15" i="23"/>
  <c r="V15" i="23" s="1"/>
  <c r="T15" i="23"/>
  <c r="S15" i="23"/>
  <c r="U14" i="23"/>
  <c r="V14" i="23" s="1"/>
  <c r="T14" i="23"/>
  <c r="S14" i="23"/>
  <c r="U13" i="23"/>
  <c r="V13" i="23" s="1"/>
  <c r="T13" i="23"/>
  <c r="S13" i="23"/>
  <c r="U12" i="23"/>
  <c r="V12" i="23" s="1"/>
  <c r="T12" i="23"/>
  <c r="S12" i="23"/>
  <c r="U8" i="23"/>
  <c r="U29" i="23" s="1"/>
  <c r="T8" i="23"/>
  <c r="T29" i="23" s="1"/>
  <c r="S8" i="23"/>
  <c r="S29" i="23" s="1"/>
  <c r="U7" i="23"/>
  <c r="T7" i="23"/>
  <c r="S7" i="23"/>
  <c r="S28" i="23" s="1"/>
  <c r="U6" i="23"/>
  <c r="U27" i="23" s="1"/>
  <c r="T6" i="23"/>
  <c r="T27" i="23" s="1"/>
  <c r="S6" i="23"/>
  <c r="S27" i="23" s="1"/>
  <c r="U5" i="23"/>
  <c r="T5" i="23"/>
  <c r="S5" i="23"/>
  <c r="Q22" i="23"/>
  <c r="P22" i="23"/>
  <c r="O22" i="23"/>
  <c r="Q21" i="23"/>
  <c r="P21" i="23"/>
  <c r="O21" i="23"/>
  <c r="Q20" i="23"/>
  <c r="P20" i="23"/>
  <c r="O20" i="23"/>
  <c r="Q19" i="23"/>
  <c r="R19" i="23" s="1"/>
  <c r="R23" i="23" s="1"/>
  <c r="P19" i="23"/>
  <c r="O19" i="23"/>
  <c r="Q15" i="23"/>
  <c r="R15" i="23" s="1"/>
  <c r="P15" i="23"/>
  <c r="O15" i="23"/>
  <c r="Q14" i="23"/>
  <c r="R14" i="23" s="1"/>
  <c r="P14" i="23"/>
  <c r="O14" i="23"/>
  <c r="Q13" i="23"/>
  <c r="R13" i="23" s="1"/>
  <c r="P13" i="23"/>
  <c r="O13" i="23"/>
  <c r="Q12" i="23"/>
  <c r="R12" i="23" s="1"/>
  <c r="P12" i="23"/>
  <c r="O12" i="23"/>
  <c r="Q8" i="23"/>
  <c r="R8" i="23" s="1"/>
  <c r="P8" i="23"/>
  <c r="P29" i="23" s="1"/>
  <c r="O8" i="23"/>
  <c r="O29" i="23" s="1"/>
  <c r="Q7" i="23"/>
  <c r="R7" i="23" s="1"/>
  <c r="R28" i="23" s="1"/>
  <c r="P7" i="23"/>
  <c r="P28" i="23" s="1"/>
  <c r="O7" i="23"/>
  <c r="O28" i="23" s="1"/>
  <c r="Q6" i="23"/>
  <c r="Q27" i="23" s="1"/>
  <c r="P6" i="23"/>
  <c r="P27" i="23" s="1"/>
  <c r="O6" i="23"/>
  <c r="O27" i="23" s="1"/>
  <c r="Q5" i="23"/>
  <c r="P5" i="23"/>
  <c r="P26" i="23" s="1"/>
  <c r="O5" i="23"/>
  <c r="M22" i="23"/>
  <c r="L22" i="23"/>
  <c r="K22" i="23"/>
  <c r="M21" i="23"/>
  <c r="L21" i="23"/>
  <c r="K21" i="23"/>
  <c r="M20" i="23"/>
  <c r="L20" i="23"/>
  <c r="K20" i="23"/>
  <c r="M19" i="23"/>
  <c r="N19" i="23" s="1"/>
  <c r="N23" i="23" s="1"/>
  <c r="L19" i="23"/>
  <c r="K19" i="23"/>
  <c r="M15" i="23"/>
  <c r="N15" i="23" s="1"/>
  <c r="L15" i="23"/>
  <c r="K15" i="23"/>
  <c r="M14" i="23"/>
  <c r="N14" i="23" s="1"/>
  <c r="L14" i="23"/>
  <c r="K14" i="23"/>
  <c r="M13" i="23"/>
  <c r="N13" i="23" s="1"/>
  <c r="L13" i="23"/>
  <c r="K13" i="23"/>
  <c r="M12" i="23"/>
  <c r="N12" i="23" s="1"/>
  <c r="L12" i="23"/>
  <c r="K12" i="23"/>
  <c r="M8" i="23"/>
  <c r="M29" i="23" s="1"/>
  <c r="L8" i="23"/>
  <c r="L29" i="23" s="1"/>
  <c r="K8" i="23"/>
  <c r="M7" i="23"/>
  <c r="N7" i="23" s="1"/>
  <c r="L7" i="23"/>
  <c r="L28" i="23" s="1"/>
  <c r="K7" i="23"/>
  <c r="M6" i="23"/>
  <c r="M27" i="23" s="1"/>
  <c r="L6" i="23"/>
  <c r="L27" i="23" s="1"/>
  <c r="K6" i="23"/>
  <c r="K27" i="23" s="1"/>
  <c r="M5" i="23"/>
  <c r="M26" i="23" s="1"/>
  <c r="L5" i="23"/>
  <c r="L26" i="23" s="1"/>
  <c r="K5" i="23"/>
  <c r="K26" i="23" s="1"/>
  <c r="I22" i="23"/>
  <c r="H22" i="23"/>
  <c r="G22" i="23"/>
  <c r="I21" i="23"/>
  <c r="H21" i="23"/>
  <c r="G21" i="23"/>
  <c r="I20" i="23"/>
  <c r="H20" i="23"/>
  <c r="G20" i="23"/>
  <c r="I19" i="23"/>
  <c r="H19" i="23"/>
  <c r="G19" i="23"/>
  <c r="I15" i="23"/>
  <c r="J15" i="23" s="1"/>
  <c r="H15" i="23"/>
  <c r="G15" i="23"/>
  <c r="I14" i="23"/>
  <c r="J14" i="23" s="1"/>
  <c r="H14" i="23"/>
  <c r="G14" i="23"/>
  <c r="I13" i="23"/>
  <c r="J13" i="23" s="1"/>
  <c r="H13" i="23"/>
  <c r="G13" i="23"/>
  <c r="I12" i="23"/>
  <c r="J12" i="23" s="1"/>
  <c r="H12" i="23"/>
  <c r="G12" i="23"/>
  <c r="I8" i="23"/>
  <c r="I29" i="23" s="1"/>
  <c r="H8" i="23"/>
  <c r="H29" i="23" s="1"/>
  <c r="G8" i="23"/>
  <c r="G29" i="23" s="1"/>
  <c r="I7" i="23"/>
  <c r="I28" i="23" s="1"/>
  <c r="H7" i="23"/>
  <c r="H28" i="23" s="1"/>
  <c r="G7" i="23"/>
  <c r="G28" i="23" s="1"/>
  <c r="I6" i="23"/>
  <c r="I27" i="23" s="1"/>
  <c r="H6" i="23"/>
  <c r="H27" i="23" s="1"/>
  <c r="G6" i="23"/>
  <c r="G27" i="23" s="1"/>
  <c r="I5" i="23"/>
  <c r="I26" i="23" s="1"/>
  <c r="H5" i="23"/>
  <c r="H26" i="23" s="1"/>
  <c r="G5" i="23"/>
  <c r="G26" i="23" s="1"/>
  <c r="AW29" i="23"/>
  <c r="AU29" i="23"/>
  <c r="AW27" i="23"/>
  <c r="AU27" i="23"/>
  <c r="AX15" i="23"/>
  <c r="AX13" i="23"/>
  <c r="AX8" i="23"/>
  <c r="AV28" i="23"/>
  <c r="AX6" i="23"/>
  <c r="AV26" i="23"/>
  <c r="AT15" i="23"/>
  <c r="AT13" i="23"/>
  <c r="AS29" i="23"/>
  <c r="AQ29" i="23"/>
  <c r="AS27" i="23"/>
  <c r="AQ27" i="23"/>
  <c r="AR26" i="23"/>
  <c r="AM29" i="23"/>
  <c r="AM27" i="23"/>
  <c r="AP15" i="23"/>
  <c r="AP13" i="23"/>
  <c r="AP8" i="23"/>
  <c r="AN29" i="23"/>
  <c r="AN26" i="23"/>
  <c r="AI27" i="23"/>
  <c r="AL13" i="23"/>
  <c r="AL6" i="23"/>
  <c r="N115" i="6"/>
  <c r="N116" i="6" s="1"/>
  <c r="N114" i="6"/>
  <c r="N113" i="6"/>
  <c r="N112" i="6"/>
  <c r="M115" i="6"/>
  <c r="M116" i="6" s="1"/>
  <c r="M114" i="6"/>
  <c r="M113" i="6"/>
  <c r="M112" i="6"/>
  <c r="L115" i="6"/>
  <c r="L116" i="6" s="1"/>
  <c r="L114" i="6"/>
  <c r="L113" i="6"/>
  <c r="L112" i="6"/>
  <c r="K115" i="6"/>
  <c r="K116" i="6" s="1"/>
  <c r="K114" i="6"/>
  <c r="K113" i="6"/>
  <c r="K112" i="6"/>
  <c r="J115" i="6"/>
  <c r="J116" i="6" s="1"/>
  <c r="J114" i="6"/>
  <c r="J113" i="6"/>
  <c r="J112" i="6"/>
  <c r="BJ266" i="28"/>
  <c r="BI266" i="28"/>
  <c r="BH266" i="28"/>
  <c r="BG266" i="28"/>
  <c r="BJ265" i="28"/>
  <c r="BI265" i="28"/>
  <c r="BH265" i="28"/>
  <c r="BG265" i="28"/>
  <c r="BJ264" i="28"/>
  <c r="BI264" i="28"/>
  <c r="BH264" i="28"/>
  <c r="BG264" i="28"/>
  <c r="BJ263" i="28"/>
  <c r="BI263" i="28"/>
  <c r="BH263" i="28"/>
  <c r="BG263" i="28"/>
  <c r="BJ262" i="28"/>
  <c r="BI262" i="28"/>
  <c r="BH262" i="28"/>
  <c r="BG262" i="28"/>
  <c r="BJ261" i="28"/>
  <c r="BI261" i="28"/>
  <c r="BH261" i="28"/>
  <c r="BG261" i="28"/>
  <c r="BJ260" i="28"/>
  <c r="BI260" i="28"/>
  <c r="BH260" i="28"/>
  <c r="BG260" i="28"/>
  <c r="BJ259" i="28"/>
  <c r="BI259" i="28"/>
  <c r="BH259" i="28"/>
  <c r="BG259" i="28"/>
  <c r="BJ258" i="28"/>
  <c r="BI258" i="28"/>
  <c r="BH258" i="28"/>
  <c r="BG258" i="28"/>
  <c r="BJ257" i="28"/>
  <c r="BI257" i="28"/>
  <c r="BH257" i="28"/>
  <c r="BG257" i="28"/>
  <c r="BJ256" i="28"/>
  <c r="BI256" i="28"/>
  <c r="BH256" i="28"/>
  <c r="BG256" i="28"/>
  <c r="BJ255" i="28"/>
  <c r="BI255" i="28"/>
  <c r="BH255" i="28"/>
  <c r="BG255" i="28"/>
  <c r="BJ254" i="28"/>
  <c r="BI254" i="28"/>
  <c r="BH254" i="28"/>
  <c r="BG254" i="28"/>
  <c r="BJ253" i="28"/>
  <c r="BI253" i="28"/>
  <c r="BH253" i="28"/>
  <c r="BG253" i="28"/>
  <c r="BJ252" i="28"/>
  <c r="BI252" i="28"/>
  <c r="BH252" i="28"/>
  <c r="BG252" i="28"/>
  <c r="BJ251" i="28"/>
  <c r="BI251" i="28"/>
  <c r="BH251" i="28"/>
  <c r="BG251" i="28"/>
  <c r="BJ250" i="28"/>
  <c r="BI250" i="28"/>
  <c r="BH250" i="28"/>
  <c r="BG250" i="28"/>
  <c r="BJ249" i="28"/>
  <c r="BI249" i="28"/>
  <c r="BH249" i="28"/>
  <c r="BG249" i="28"/>
  <c r="BJ248" i="28"/>
  <c r="BI248" i="28"/>
  <c r="BH248" i="28"/>
  <c r="BG248" i="28"/>
  <c r="BJ247" i="28"/>
  <c r="BI247" i="28"/>
  <c r="BH247" i="28"/>
  <c r="BG247" i="28"/>
  <c r="BJ246" i="28"/>
  <c r="BI246" i="28"/>
  <c r="BH246" i="28"/>
  <c r="BG246" i="28"/>
  <c r="BJ245" i="28"/>
  <c r="BI245" i="28"/>
  <c r="BH245" i="28"/>
  <c r="BG245" i="28"/>
  <c r="BJ244" i="28"/>
  <c r="BI244" i="28"/>
  <c r="BH244" i="28"/>
  <c r="BG244" i="28"/>
  <c r="BJ243" i="28"/>
  <c r="BI243" i="28"/>
  <c r="BH243" i="28"/>
  <c r="BG243" i="28"/>
  <c r="BJ242" i="28"/>
  <c r="BI242" i="28"/>
  <c r="BH242" i="28"/>
  <c r="BG242" i="28"/>
  <c r="BJ241" i="28"/>
  <c r="BI241" i="28"/>
  <c r="BH241" i="28"/>
  <c r="BG241" i="28"/>
  <c r="BJ240" i="28"/>
  <c r="BI240" i="28"/>
  <c r="BH240" i="28"/>
  <c r="BG240" i="28"/>
  <c r="BJ239" i="28"/>
  <c r="BI239" i="28"/>
  <c r="BH239" i="28"/>
  <c r="BG239" i="28"/>
  <c r="BJ238" i="28"/>
  <c r="BI238" i="28"/>
  <c r="BH238" i="28"/>
  <c r="BG238" i="28"/>
  <c r="BJ237" i="28"/>
  <c r="BI237" i="28"/>
  <c r="BH237" i="28"/>
  <c r="BG237" i="28"/>
  <c r="BJ236" i="28"/>
  <c r="BI236" i="28"/>
  <c r="BH236" i="28"/>
  <c r="BG236" i="28"/>
  <c r="BJ235" i="28"/>
  <c r="BI235" i="28"/>
  <c r="BH235" i="28"/>
  <c r="BG235" i="28"/>
  <c r="BJ234" i="28"/>
  <c r="BI234" i="28"/>
  <c r="BH234" i="28"/>
  <c r="BG234" i="28"/>
  <c r="BJ233" i="28"/>
  <c r="BI233" i="28"/>
  <c r="BH233" i="28"/>
  <c r="BG233" i="28"/>
  <c r="BJ232" i="28"/>
  <c r="BI232" i="28"/>
  <c r="BH232" i="28"/>
  <c r="BG232" i="28"/>
  <c r="BJ231" i="28"/>
  <c r="BI231" i="28"/>
  <c r="BH231" i="28"/>
  <c r="BG231" i="28"/>
  <c r="BJ230" i="28"/>
  <c r="BI230" i="28"/>
  <c r="BH230" i="28"/>
  <c r="BG230" i="28"/>
  <c r="BJ229" i="28"/>
  <c r="BI229" i="28"/>
  <c r="BH229" i="28"/>
  <c r="BG229" i="28"/>
  <c r="BJ228" i="28"/>
  <c r="BI228" i="28"/>
  <c r="BH228" i="28"/>
  <c r="BG228" i="28"/>
  <c r="BJ227" i="28"/>
  <c r="BI227" i="28"/>
  <c r="BH227" i="28"/>
  <c r="BG227" i="28"/>
  <c r="BJ226" i="28"/>
  <c r="BI226" i="28"/>
  <c r="BH226" i="28"/>
  <c r="BG226" i="28"/>
  <c r="BJ225" i="28"/>
  <c r="BI225" i="28"/>
  <c r="BH225" i="28"/>
  <c r="BG225" i="28"/>
  <c r="BJ224" i="28"/>
  <c r="BI224" i="28"/>
  <c r="BH224" i="28"/>
  <c r="BG224" i="28"/>
  <c r="BJ223" i="28"/>
  <c r="BI223" i="28"/>
  <c r="BH223" i="28"/>
  <c r="BG223" i="28"/>
  <c r="BJ222" i="28"/>
  <c r="BI222" i="28"/>
  <c r="BH222" i="28"/>
  <c r="BG222" i="28"/>
  <c r="BJ221" i="28"/>
  <c r="BI221" i="28"/>
  <c r="BH221" i="28"/>
  <c r="BG221" i="28"/>
  <c r="BJ220" i="28"/>
  <c r="BI220" i="28"/>
  <c r="BH220" i="28"/>
  <c r="BG220" i="28"/>
  <c r="BJ219" i="28"/>
  <c r="BI219" i="28"/>
  <c r="BH219" i="28"/>
  <c r="BG219" i="28"/>
  <c r="BJ218" i="28"/>
  <c r="BI218" i="28"/>
  <c r="BH218" i="28"/>
  <c r="BG218" i="28"/>
  <c r="BJ217" i="28"/>
  <c r="BI217" i="28"/>
  <c r="BH217" i="28"/>
  <c r="BG217" i="28"/>
  <c r="BJ216" i="28"/>
  <c r="BI216" i="28"/>
  <c r="BH216" i="28"/>
  <c r="BG216" i="28"/>
  <c r="BJ215" i="28"/>
  <c r="BI215" i="28"/>
  <c r="BH215" i="28"/>
  <c r="BG215" i="28"/>
  <c r="BJ214" i="28"/>
  <c r="BI214" i="28"/>
  <c r="BH214" i="28"/>
  <c r="BG214" i="28"/>
  <c r="BJ213" i="28"/>
  <c r="BI213" i="28"/>
  <c r="BH213" i="28"/>
  <c r="BG213" i="28"/>
  <c r="BJ212" i="28"/>
  <c r="BI212" i="28"/>
  <c r="BH212" i="28"/>
  <c r="BG212" i="28"/>
  <c r="BJ211" i="28"/>
  <c r="BI211" i="28"/>
  <c r="BH211" i="28"/>
  <c r="BG211" i="28"/>
  <c r="BJ210" i="28"/>
  <c r="BI210" i="28"/>
  <c r="BH210" i="28"/>
  <c r="BG210" i="28"/>
  <c r="BJ209" i="28"/>
  <c r="BI209" i="28"/>
  <c r="BH209" i="28"/>
  <c r="BG209" i="28"/>
  <c r="BJ208" i="28"/>
  <c r="BI208" i="28"/>
  <c r="BH208" i="28"/>
  <c r="BG208" i="28"/>
  <c r="BJ207" i="28"/>
  <c r="BI207" i="28"/>
  <c r="BH207" i="28"/>
  <c r="BG207" i="28"/>
  <c r="BJ206" i="28"/>
  <c r="BI206" i="28"/>
  <c r="BH206" i="28"/>
  <c r="BG206" i="28"/>
  <c r="BJ205" i="28"/>
  <c r="BI205" i="28"/>
  <c r="BH205" i="28"/>
  <c r="BG205" i="28"/>
  <c r="BJ204" i="28"/>
  <c r="BI204" i="28"/>
  <c r="BH204" i="28"/>
  <c r="BG204" i="28"/>
  <c r="BJ203" i="28"/>
  <c r="BI203" i="28"/>
  <c r="BH203" i="28"/>
  <c r="BG203" i="28"/>
  <c r="BJ202" i="28"/>
  <c r="BI202" i="28"/>
  <c r="BH202" i="28"/>
  <c r="BG202" i="28"/>
  <c r="BJ201" i="28"/>
  <c r="BI201" i="28"/>
  <c r="BH201" i="28"/>
  <c r="BG201" i="28"/>
  <c r="BJ200" i="28"/>
  <c r="BI200" i="28"/>
  <c r="BH200" i="28"/>
  <c r="BG200" i="28"/>
  <c r="BJ199" i="28"/>
  <c r="BI199" i="28"/>
  <c r="BH199" i="28"/>
  <c r="BG199" i="28"/>
  <c r="BJ198" i="28"/>
  <c r="BI198" i="28"/>
  <c r="BH198" i="28"/>
  <c r="BG198" i="28"/>
  <c r="BJ197" i="28"/>
  <c r="BI197" i="28"/>
  <c r="BH197" i="28"/>
  <c r="BG197" i="28"/>
  <c r="BJ196" i="28"/>
  <c r="BI196" i="28"/>
  <c r="BH196" i="28"/>
  <c r="BG196" i="28"/>
  <c r="BJ195" i="28"/>
  <c r="BI195" i="28"/>
  <c r="BH195" i="28"/>
  <c r="BG195" i="28"/>
  <c r="BJ194" i="28"/>
  <c r="BI194" i="28"/>
  <c r="BH194" i="28"/>
  <c r="BG194" i="28"/>
  <c r="BJ193" i="28"/>
  <c r="BI193" i="28"/>
  <c r="BH193" i="28"/>
  <c r="BG193" i="28"/>
  <c r="BJ192" i="28"/>
  <c r="BI192" i="28"/>
  <c r="BH192" i="28"/>
  <c r="BG192" i="28"/>
  <c r="BJ191" i="28"/>
  <c r="BI191" i="28"/>
  <c r="BH191" i="28"/>
  <c r="BG191" i="28"/>
  <c r="BJ190" i="28"/>
  <c r="BI190" i="28"/>
  <c r="BH190" i="28"/>
  <c r="BG190" i="28"/>
  <c r="BJ189" i="28"/>
  <c r="BI189" i="28"/>
  <c r="BH189" i="28"/>
  <c r="BG189" i="28"/>
  <c r="BJ188" i="28"/>
  <c r="BI188" i="28"/>
  <c r="BH188" i="28"/>
  <c r="BG188" i="28"/>
  <c r="BJ187" i="28"/>
  <c r="BI187" i="28"/>
  <c r="BH187" i="28"/>
  <c r="BG187" i="28"/>
  <c r="BJ186" i="28"/>
  <c r="BI186" i="28"/>
  <c r="BH186" i="28"/>
  <c r="BG186" i="28"/>
  <c r="BJ185" i="28"/>
  <c r="BI185" i="28"/>
  <c r="BH185" i="28"/>
  <c r="BG185" i="28"/>
  <c r="BJ184" i="28"/>
  <c r="BI184" i="28"/>
  <c r="BH184" i="28"/>
  <c r="BG184" i="28"/>
  <c r="BJ183" i="28"/>
  <c r="BI183" i="28"/>
  <c r="BH183" i="28"/>
  <c r="BG183" i="28"/>
  <c r="BJ182" i="28"/>
  <c r="BI182" i="28"/>
  <c r="BH182" i="28"/>
  <c r="BG182" i="28"/>
  <c r="BJ181" i="28"/>
  <c r="BI181" i="28"/>
  <c r="BH181" i="28"/>
  <c r="BG181" i="28"/>
  <c r="BJ180" i="28"/>
  <c r="BI180" i="28"/>
  <c r="BH180" i="28"/>
  <c r="BG180" i="28"/>
  <c r="BJ179" i="28"/>
  <c r="BI179" i="28"/>
  <c r="BH179" i="28"/>
  <c r="BG179" i="28"/>
  <c r="BJ178" i="28"/>
  <c r="BI178" i="28"/>
  <c r="BH178" i="28"/>
  <c r="BG178" i="28"/>
  <c r="BJ177" i="28"/>
  <c r="BI177" i="28"/>
  <c r="BH177" i="28"/>
  <c r="BG177" i="28"/>
  <c r="BJ176" i="28"/>
  <c r="BI176" i="28"/>
  <c r="BH176" i="28"/>
  <c r="BG176" i="28"/>
  <c r="BJ175" i="28"/>
  <c r="BI175" i="28"/>
  <c r="BH175" i="28"/>
  <c r="BG175" i="28"/>
  <c r="BJ174" i="28"/>
  <c r="BI174" i="28"/>
  <c r="BH174" i="28"/>
  <c r="BG174" i="28"/>
  <c r="BJ173" i="28"/>
  <c r="BI173" i="28"/>
  <c r="BH173" i="28"/>
  <c r="BG173" i="28"/>
  <c r="BJ172" i="28"/>
  <c r="BI172" i="28"/>
  <c r="BH172" i="28"/>
  <c r="BG172" i="28"/>
  <c r="BJ171" i="28"/>
  <c r="BI171" i="28"/>
  <c r="BH171" i="28"/>
  <c r="BG171" i="28"/>
  <c r="BJ170" i="28"/>
  <c r="BI170" i="28"/>
  <c r="BH170" i="28"/>
  <c r="BG170" i="28"/>
  <c r="BJ169" i="28"/>
  <c r="BI169" i="28"/>
  <c r="BH169" i="28"/>
  <c r="BG169" i="28"/>
  <c r="BJ168" i="28"/>
  <c r="BI168" i="28"/>
  <c r="BH168" i="28"/>
  <c r="BG168" i="28"/>
  <c r="BJ167" i="28"/>
  <c r="BI167" i="28"/>
  <c r="BH167" i="28"/>
  <c r="BG167" i="28"/>
  <c r="BJ166" i="28"/>
  <c r="BI166" i="28"/>
  <c r="BH166" i="28"/>
  <c r="BG166" i="28"/>
  <c r="BJ165" i="28"/>
  <c r="BI165" i="28"/>
  <c r="BH165" i="28"/>
  <c r="BG165" i="28"/>
  <c r="BJ164" i="28"/>
  <c r="BI164" i="28"/>
  <c r="BH164" i="28"/>
  <c r="BG164" i="28"/>
  <c r="BJ163" i="28"/>
  <c r="BI163" i="28"/>
  <c r="BH163" i="28"/>
  <c r="BG163" i="28"/>
  <c r="BJ162" i="28"/>
  <c r="BI162" i="28"/>
  <c r="BH162" i="28"/>
  <c r="BG162" i="28"/>
  <c r="BJ161" i="28"/>
  <c r="BI161" i="28"/>
  <c r="BH161" i="28"/>
  <c r="BG161" i="28"/>
  <c r="BJ160" i="28"/>
  <c r="BI160" i="28"/>
  <c r="BH160" i="28"/>
  <c r="BG160" i="28"/>
  <c r="BJ159" i="28"/>
  <c r="BI159" i="28"/>
  <c r="BH159" i="28"/>
  <c r="BG159" i="28"/>
  <c r="BJ158" i="28"/>
  <c r="BI158" i="28"/>
  <c r="BH158" i="28"/>
  <c r="BG158" i="28"/>
  <c r="BJ157" i="28"/>
  <c r="BI157" i="28"/>
  <c r="BH157" i="28"/>
  <c r="BG157" i="28"/>
  <c r="BJ156" i="28"/>
  <c r="BI156" i="28"/>
  <c r="BH156" i="28"/>
  <c r="BG156" i="28"/>
  <c r="BJ155" i="28"/>
  <c r="BI155" i="28"/>
  <c r="BH155" i="28"/>
  <c r="BG155" i="28"/>
  <c r="BJ154" i="28"/>
  <c r="BI154" i="28"/>
  <c r="BH154" i="28"/>
  <c r="BG154" i="28"/>
  <c r="BJ153" i="28"/>
  <c r="BI153" i="28"/>
  <c r="BH153" i="28"/>
  <c r="BG153" i="28"/>
  <c r="BJ152" i="28"/>
  <c r="BI152" i="28"/>
  <c r="BH152" i="28"/>
  <c r="BG152" i="28"/>
  <c r="BJ151" i="28"/>
  <c r="BI151" i="28"/>
  <c r="BH151" i="28"/>
  <c r="BG151" i="28"/>
  <c r="BJ150" i="28"/>
  <c r="BI150" i="28"/>
  <c r="BH150" i="28"/>
  <c r="BG150" i="28"/>
  <c r="BJ149" i="28"/>
  <c r="BI149" i="28"/>
  <c r="BH149" i="28"/>
  <c r="BG149" i="28"/>
  <c r="BJ148" i="28"/>
  <c r="BI148" i="28"/>
  <c r="BH148" i="28"/>
  <c r="BG148" i="28"/>
  <c r="BJ147" i="28"/>
  <c r="BI147" i="28"/>
  <c r="BH147" i="28"/>
  <c r="BG147" i="28"/>
  <c r="BJ146" i="28"/>
  <c r="BI146" i="28"/>
  <c r="BH146" i="28"/>
  <c r="BG146" i="28"/>
  <c r="BJ145" i="28"/>
  <c r="BI145" i="28"/>
  <c r="BH145" i="28"/>
  <c r="BG145" i="28"/>
  <c r="BJ144" i="28"/>
  <c r="BI144" i="28"/>
  <c r="BH144" i="28"/>
  <c r="BG144" i="28"/>
  <c r="BJ143" i="28"/>
  <c r="BI143" i="28"/>
  <c r="BH143" i="28"/>
  <c r="BG143" i="28"/>
  <c r="BJ142" i="28"/>
  <c r="BI142" i="28"/>
  <c r="BH142" i="28"/>
  <c r="BG142" i="28"/>
  <c r="BJ141" i="28"/>
  <c r="BI141" i="28"/>
  <c r="BH141" i="28"/>
  <c r="BG141" i="28"/>
  <c r="BJ140" i="28"/>
  <c r="BI140" i="28"/>
  <c r="BH140" i="28"/>
  <c r="BG140" i="28"/>
  <c r="BJ139" i="28"/>
  <c r="BI139" i="28"/>
  <c r="BH139" i="28"/>
  <c r="BG139" i="28"/>
  <c r="BJ138" i="28"/>
  <c r="BI138" i="28"/>
  <c r="BH138" i="28"/>
  <c r="BG138" i="28"/>
  <c r="BJ137" i="28"/>
  <c r="BI137" i="28"/>
  <c r="BH137" i="28"/>
  <c r="BG137" i="28"/>
  <c r="BJ136" i="28"/>
  <c r="BI136" i="28"/>
  <c r="BH136" i="28"/>
  <c r="BG136" i="28"/>
  <c r="BJ135" i="28"/>
  <c r="BI135" i="28"/>
  <c r="BH135" i="28"/>
  <c r="BG135" i="28"/>
  <c r="BJ134" i="28"/>
  <c r="BI134" i="28"/>
  <c r="BH134" i="28"/>
  <c r="BG134" i="28"/>
  <c r="BJ133" i="28"/>
  <c r="BI133" i="28"/>
  <c r="BH133" i="28"/>
  <c r="BG133" i="28"/>
  <c r="BJ132" i="28"/>
  <c r="BI132" i="28"/>
  <c r="BH132" i="28"/>
  <c r="BG132" i="28"/>
  <c r="BJ131" i="28"/>
  <c r="BI131" i="28"/>
  <c r="BH131" i="28"/>
  <c r="BG131" i="28"/>
  <c r="BJ130" i="28"/>
  <c r="BI130" i="28"/>
  <c r="BH130" i="28"/>
  <c r="BG130" i="28"/>
  <c r="BJ129" i="28"/>
  <c r="BI129" i="28"/>
  <c r="BH129" i="28"/>
  <c r="BG129" i="28"/>
  <c r="BJ128" i="28"/>
  <c r="BI128" i="28"/>
  <c r="BH128" i="28"/>
  <c r="BG128" i="28"/>
  <c r="BJ127" i="28"/>
  <c r="BI127" i="28"/>
  <c r="BH127" i="28"/>
  <c r="BG127" i="28"/>
  <c r="BJ126" i="28"/>
  <c r="BI126" i="28"/>
  <c r="BH126" i="28"/>
  <c r="BG126" i="28"/>
  <c r="BJ125" i="28"/>
  <c r="BI125" i="28"/>
  <c r="BH125" i="28"/>
  <c r="BG125" i="28"/>
  <c r="BJ124" i="28"/>
  <c r="BI124" i="28"/>
  <c r="BH124" i="28"/>
  <c r="BG124" i="28"/>
  <c r="BJ123" i="28"/>
  <c r="BI123" i="28"/>
  <c r="BH123" i="28"/>
  <c r="BG123" i="28"/>
  <c r="BJ122" i="28"/>
  <c r="BI122" i="28"/>
  <c r="BH122" i="28"/>
  <c r="BG122" i="28"/>
  <c r="BJ121" i="28"/>
  <c r="BI121" i="28"/>
  <c r="BH121" i="28"/>
  <c r="BG121" i="28"/>
  <c r="BJ120" i="28"/>
  <c r="BI120" i="28"/>
  <c r="BH120" i="28"/>
  <c r="BG120" i="28"/>
  <c r="BJ119" i="28"/>
  <c r="BI119" i="28"/>
  <c r="BH119" i="28"/>
  <c r="BG119" i="28"/>
  <c r="BJ118" i="28"/>
  <c r="BI118" i="28"/>
  <c r="BH118" i="28"/>
  <c r="BG118" i="28"/>
  <c r="BJ117" i="28"/>
  <c r="BI117" i="28"/>
  <c r="BH117" i="28"/>
  <c r="BG117" i="28"/>
  <c r="BJ116" i="28"/>
  <c r="BI116" i="28"/>
  <c r="BH116" i="28"/>
  <c r="BG116" i="28"/>
  <c r="BJ115" i="28"/>
  <c r="BI115" i="28"/>
  <c r="BH115" i="28"/>
  <c r="BG115" i="28"/>
  <c r="BJ114" i="28"/>
  <c r="BI114" i="28"/>
  <c r="BH114" i="28"/>
  <c r="BG114" i="28"/>
  <c r="BJ113" i="28"/>
  <c r="BI113" i="28"/>
  <c r="BH113" i="28"/>
  <c r="BG113" i="28"/>
  <c r="BJ112" i="28"/>
  <c r="BI112" i="28"/>
  <c r="BH112" i="28"/>
  <c r="BG112" i="28"/>
  <c r="BJ111" i="28"/>
  <c r="BI111" i="28"/>
  <c r="BH111" i="28"/>
  <c r="BG111" i="28"/>
  <c r="BJ110" i="28"/>
  <c r="BI110" i="28"/>
  <c r="BH110" i="28"/>
  <c r="BG110" i="28"/>
  <c r="BJ109" i="28"/>
  <c r="BI109" i="28"/>
  <c r="BH109" i="28"/>
  <c r="BG109" i="28"/>
  <c r="BJ108" i="28"/>
  <c r="BI108" i="28"/>
  <c r="BH108" i="28"/>
  <c r="BG108" i="28"/>
  <c r="BJ107" i="28"/>
  <c r="BI107" i="28"/>
  <c r="BH107" i="28"/>
  <c r="BG107" i="28"/>
  <c r="BJ106" i="28"/>
  <c r="BI106" i="28"/>
  <c r="BH106" i="28"/>
  <c r="BG106" i="28"/>
  <c r="BJ105" i="28"/>
  <c r="BI105" i="28"/>
  <c r="BH105" i="28"/>
  <c r="BG105" i="28"/>
  <c r="BJ104" i="28"/>
  <c r="BI104" i="28"/>
  <c r="BH104" i="28"/>
  <c r="BG104" i="28"/>
  <c r="BJ103" i="28"/>
  <c r="BI103" i="28"/>
  <c r="BH103" i="28"/>
  <c r="BG103" i="28"/>
  <c r="BJ102" i="28"/>
  <c r="BI102" i="28"/>
  <c r="BH102" i="28"/>
  <c r="BG102" i="28"/>
  <c r="BJ101" i="28"/>
  <c r="BI101" i="28"/>
  <c r="BH101" i="28"/>
  <c r="BG101" i="28"/>
  <c r="BJ100" i="28"/>
  <c r="BI100" i="28"/>
  <c r="BH100" i="28"/>
  <c r="BG100" i="28"/>
  <c r="BJ99" i="28"/>
  <c r="BI99" i="28"/>
  <c r="BH99" i="28"/>
  <c r="BG99" i="28"/>
  <c r="BJ98" i="28"/>
  <c r="BI98" i="28"/>
  <c r="BH98" i="28"/>
  <c r="BG98" i="28"/>
  <c r="BJ97" i="28"/>
  <c r="BI97" i="28"/>
  <c r="BH97" i="28"/>
  <c r="BG97" i="28"/>
  <c r="BJ96" i="28"/>
  <c r="BI96" i="28"/>
  <c r="BH96" i="28"/>
  <c r="BG96" i="28"/>
  <c r="BJ95" i="28"/>
  <c r="BI95" i="28"/>
  <c r="BH95" i="28"/>
  <c r="BG95" i="28"/>
  <c r="BJ94" i="28"/>
  <c r="BI94" i="28"/>
  <c r="BH94" i="28"/>
  <c r="BG94" i="28"/>
  <c r="BJ93" i="28"/>
  <c r="BI93" i="28"/>
  <c r="BH93" i="28"/>
  <c r="BG93" i="28"/>
  <c r="BJ92" i="28"/>
  <c r="BI92" i="28"/>
  <c r="BH92" i="28"/>
  <c r="BG92" i="28"/>
  <c r="BJ91" i="28"/>
  <c r="BI91" i="28"/>
  <c r="BH91" i="28"/>
  <c r="BG91" i="28"/>
  <c r="BJ90" i="28"/>
  <c r="BI90" i="28"/>
  <c r="BH90" i="28"/>
  <c r="BG90" i="28"/>
  <c r="BJ89" i="28"/>
  <c r="BI89" i="28"/>
  <c r="BH89" i="28"/>
  <c r="BG89" i="28"/>
  <c r="BJ88" i="28"/>
  <c r="BI88" i="28"/>
  <c r="BH88" i="28"/>
  <c r="BG88" i="28"/>
  <c r="BJ87" i="28"/>
  <c r="BI87" i="28"/>
  <c r="BH87" i="28"/>
  <c r="BG87" i="28"/>
  <c r="BJ86" i="28"/>
  <c r="BI86" i="28"/>
  <c r="BH86" i="28"/>
  <c r="BG86" i="28"/>
  <c r="BJ85" i="28"/>
  <c r="BI85" i="28"/>
  <c r="BH85" i="28"/>
  <c r="BG85" i="28"/>
  <c r="BJ84" i="28"/>
  <c r="BI84" i="28"/>
  <c r="BH84" i="28"/>
  <c r="BG84" i="28"/>
  <c r="BJ83" i="28"/>
  <c r="BI83" i="28"/>
  <c r="BH83" i="28"/>
  <c r="BG83" i="28"/>
  <c r="BJ82" i="28"/>
  <c r="BI82" i="28"/>
  <c r="BH82" i="28"/>
  <c r="BG82" i="28"/>
  <c r="BJ81" i="28"/>
  <c r="BI81" i="28"/>
  <c r="BH81" i="28"/>
  <c r="BG81" i="28"/>
  <c r="BJ80" i="28"/>
  <c r="BI80" i="28"/>
  <c r="BH80" i="28"/>
  <c r="BG80" i="28"/>
  <c r="BJ79" i="28"/>
  <c r="BI79" i="28"/>
  <c r="BH79" i="28"/>
  <c r="BG79" i="28"/>
  <c r="BJ78" i="28"/>
  <c r="BI78" i="28"/>
  <c r="BH78" i="28"/>
  <c r="BG78" i="28"/>
  <c r="BJ77" i="28"/>
  <c r="BI77" i="28"/>
  <c r="BH77" i="28"/>
  <c r="BG77" i="28"/>
  <c r="BJ76" i="28"/>
  <c r="BI76" i="28"/>
  <c r="BH76" i="28"/>
  <c r="BG76" i="28"/>
  <c r="BJ75" i="28"/>
  <c r="BI75" i="28"/>
  <c r="BH75" i="28"/>
  <c r="BG75" i="28"/>
  <c r="BJ74" i="28"/>
  <c r="BI74" i="28"/>
  <c r="BH74" i="28"/>
  <c r="BG74" i="28"/>
  <c r="BJ73" i="28"/>
  <c r="BI73" i="28"/>
  <c r="BH73" i="28"/>
  <c r="BG73" i="28"/>
  <c r="BJ72" i="28"/>
  <c r="BI72" i="28"/>
  <c r="BH72" i="28"/>
  <c r="BG72" i="28"/>
  <c r="BJ71" i="28"/>
  <c r="BI71" i="28"/>
  <c r="BH71" i="28"/>
  <c r="BG71" i="28"/>
  <c r="BJ70" i="28"/>
  <c r="BI70" i="28"/>
  <c r="BH70" i="28"/>
  <c r="BG70" i="28"/>
  <c r="BJ69" i="28"/>
  <c r="BI69" i="28"/>
  <c r="BH69" i="28"/>
  <c r="BG69" i="28"/>
  <c r="BJ68" i="28"/>
  <c r="BI68" i="28"/>
  <c r="BH68" i="28"/>
  <c r="BG68" i="28"/>
  <c r="BJ67" i="28"/>
  <c r="BI67" i="28"/>
  <c r="BH67" i="28"/>
  <c r="BG67" i="28"/>
  <c r="BJ66" i="28"/>
  <c r="BI66" i="28"/>
  <c r="BH66" i="28"/>
  <c r="BG66" i="28"/>
  <c r="BJ65" i="28"/>
  <c r="BI65" i="28"/>
  <c r="BH65" i="28"/>
  <c r="BG65" i="28"/>
  <c r="BJ64" i="28"/>
  <c r="BI64" i="28"/>
  <c r="BH64" i="28"/>
  <c r="BG64" i="28"/>
  <c r="BJ63" i="28"/>
  <c r="BI63" i="28"/>
  <c r="BH63" i="28"/>
  <c r="BG63" i="28"/>
  <c r="BJ62" i="28"/>
  <c r="BI62" i="28"/>
  <c r="BH62" i="28"/>
  <c r="BG62" i="28"/>
  <c r="BJ61" i="28"/>
  <c r="BI61" i="28"/>
  <c r="BH61" i="28"/>
  <c r="BG61" i="28"/>
  <c r="BJ60" i="28"/>
  <c r="BI60" i="28"/>
  <c r="BH60" i="28"/>
  <c r="BG60" i="28"/>
  <c r="BJ59" i="28"/>
  <c r="BI59" i="28"/>
  <c r="BH59" i="28"/>
  <c r="BG59" i="28"/>
  <c r="BJ58" i="28"/>
  <c r="BI58" i="28"/>
  <c r="BH58" i="28"/>
  <c r="BG58" i="28"/>
  <c r="BJ57" i="28"/>
  <c r="BI57" i="28"/>
  <c r="BH57" i="28"/>
  <c r="BG57" i="28"/>
  <c r="BJ56" i="28"/>
  <c r="BI56" i="28"/>
  <c r="BH56" i="28"/>
  <c r="BG56" i="28"/>
  <c r="BJ55" i="28"/>
  <c r="BI55" i="28"/>
  <c r="BH55" i="28"/>
  <c r="BG55" i="28"/>
  <c r="BJ54" i="28"/>
  <c r="BI54" i="28"/>
  <c r="BH54" i="28"/>
  <c r="BG54" i="28"/>
  <c r="BJ53" i="28"/>
  <c r="BI53" i="28"/>
  <c r="BH53" i="28"/>
  <c r="BG53" i="28"/>
  <c r="BJ52" i="28"/>
  <c r="BI52" i="28"/>
  <c r="BH52" i="28"/>
  <c r="BG52" i="28"/>
  <c r="BJ51" i="28"/>
  <c r="BI51" i="28"/>
  <c r="BH51" i="28"/>
  <c r="BG51" i="28"/>
  <c r="BJ50" i="28"/>
  <c r="BI50" i="28"/>
  <c r="BH50" i="28"/>
  <c r="BG50" i="28"/>
  <c r="BJ49" i="28"/>
  <c r="BI49" i="28"/>
  <c r="BH49" i="28"/>
  <c r="BG49" i="28"/>
  <c r="BJ48" i="28"/>
  <c r="BI48" i="28"/>
  <c r="BH48" i="28"/>
  <c r="BG48" i="28"/>
  <c r="BJ47" i="28"/>
  <c r="BI47" i="28"/>
  <c r="BH47" i="28"/>
  <c r="BG47" i="28"/>
  <c r="BJ46" i="28"/>
  <c r="BI46" i="28"/>
  <c r="BH46" i="28"/>
  <c r="BG46" i="28"/>
  <c r="BJ45" i="28"/>
  <c r="BI45" i="28"/>
  <c r="BH45" i="28"/>
  <c r="BG45" i="28"/>
  <c r="BJ44" i="28"/>
  <c r="BI44" i="28"/>
  <c r="BH44" i="28"/>
  <c r="BG44" i="28"/>
  <c r="BJ43" i="28"/>
  <c r="BI43" i="28"/>
  <c r="BH43" i="28"/>
  <c r="BG43" i="28"/>
  <c r="BJ42" i="28"/>
  <c r="BI42" i="28"/>
  <c r="BH42" i="28"/>
  <c r="BG42" i="28"/>
  <c r="BJ41" i="28"/>
  <c r="BI41" i="28"/>
  <c r="BH41" i="28"/>
  <c r="BG41" i="28"/>
  <c r="BJ40" i="28"/>
  <c r="BI40" i="28"/>
  <c r="BH40" i="28"/>
  <c r="BG40" i="28"/>
  <c r="BJ39" i="28"/>
  <c r="BI39" i="28"/>
  <c r="BH39" i="28"/>
  <c r="BG39" i="28"/>
  <c r="BJ38" i="28"/>
  <c r="BI38" i="28"/>
  <c r="BH38" i="28"/>
  <c r="BG38" i="28"/>
  <c r="BJ37" i="28"/>
  <c r="BI37" i="28"/>
  <c r="BH37" i="28"/>
  <c r="BG37" i="28"/>
  <c r="BJ36" i="28"/>
  <c r="BI36" i="28"/>
  <c r="BH36" i="28"/>
  <c r="BG36" i="28"/>
  <c r="BJ35" i="28"/>
  <c r="BI35" i="28"/>
  <c r="BH35" i="28"/>
  <c r="BG35" i="28"/>
  <c r="BJ34" i="28"/>
  <c r="BI34" i="28"/>
  <c r="BH34" i="28"/>
  <c r="BG34" i="28"/>
  <c r="BJ33" i="28"/>
  <c r="BI33" i="28"/>
  <c r="BH33" i="28"/>
  <c r="BG33" i="28"/>
  <c r="BJ32" i="28"/>
  <c r="BI32" i="28"/>
  <c r="BH32" i="28"/>
  <c r="BG32" i="28"/>
  <c r="BJ31" i="28"/>
  <c r="BI31" i="28"/>
  <c r="BH31" i="28"/>
  <c r="BG31" i="28"/>
  <c r="BJ30" i="28"/>
  <c r="BI30" i="28"/>
  <c r="BH30" i="28"/>
  <c r="BG30" i="28"/>
  <c r="BJ29" i="28"/>
  <c r="BI29" i="28"/>
  <c r="BH29" i="28"/>
  <c r="BG29" i="28"/>
  <c r="BJ28" i="28"/>
  <c r="BI28" i="28"/>
  <c r="BH28" i="28"/>
  <c r="BG28" i="28"/>
  <c r="BJ27" i="28"/>
  <c r="BI27" i="28"/>
  <c r="BH27" i="28"/>
  <c r="BG27" i="28"/>
  <c r="BJ26" i="28"/>
  <c r="BI26" i="28"/>
  <c r="BH26" i="28"/>
  <c r="BG26" i="28"/>
  <c r="BJ25" i="28"/>
  <c r="BI25" i="28"/>
  <c r="BH25" i="28"/>
  <c r="BG25" i="28"/>
  <c r="BJ24" i="28"/>
  <c r="BI24" i="28"/>
  <c r="BH24" i="28"/>
  <c r="BG24" i="28"/>
  <c r="BJ23" i="28"/>
  <c r="BI23" i="28"/>
  <c r="BH23" i="28"/>
  <c r="BG23" i="28"/>
  <c r="BJ22" i="28"/>
  <c r="BI22" i="28"/>
  <c r="BH22" i="28"/>
  <c r="BG22" i="28"/>
  <c r="BJ21" i="28"/>
  <c r="BI21" i="28"/>
  <c r="BH21" i="28"/>
  <c r="BG21" i="28"/>
  <c r="BJ20" i="28"/>
  <c r="BI20" i="28"/>
  <c r="BH20" i="28"/>
  <c r="BG20" i="28"/>
  <c r="BJ19" i="28"/>
  <c r="BI19" i="28"/>
  <c r="BH19" i="28"/>
  <c r="BG19" i="28"/>
  <c r="BJ18" i="28"/>
  <c r="BI18" i="28"/>
  <c r="BH18" i="28"/>
  <c r="BG18" i="28"/>
  <c r="BJ17" i="28"/>
  <c r="BI17" i="28"/>
  <c r="BH17" i="28"/>
  <c r="BG17" i="28"/>
  <c r="BJ16" i="28"/>
  <c r="BI16" i="28"/>
  <c r="BH16" i="28"/>
  <c r="BG16" i="28"/>
  <c r="BJ15" i="28"/>
  <c r="BI15" i="28"/>
  <c r="BH15" i="28"/>
  <c r="BG15" i="28"/>
  <c r="BJ14" i="28"/>
  <c r="BI14" i="28"/>
  <c r="BH14" i="28"/>
  <c r="BG14" i="28"/>
  <c r="BJ13" i="28"/>
  <c r="BI13" i="28"/>
  <c r="BH13" i="28"/>
  <c r="BG13" i="28"/>
  <c r="BJ12" i="28"/>
  <c r="BI12" i="28"/>
  <c r="BH12" i="28"/>
  <c r="BG12" i="28"/>
  <c r="BJ11" i="28"/>
  <c r="BI11" i="28"/>
  <c r="BH11" i="28"/>
  <c r="BG11" i="28"/>
  <c r="BJ10" i="28"/>
  <c r="BI10" i="28"/>
  <c r="BH10" i="28"/>
  <c r="BG10" i="28"/>
  <c r="BJ9" i="28"/>
  <c r="BI9" i="28"/>
  <c r="BH9" i="28"/>
  <c r="BG9" i="28"/>
  <c r="BJ8" i="28"/>
  <c r="BI8" i="28"/>
  <c r="BH8" i="28"/>
  <c r="BG8" i="28"/>
  <c r="BJ7" i="28"/>
  <c r="BI7" i="28"/>
  <c r="BH7" i="28"/>
  <c r="BG7" i="28"/>
  <c r="BJ6" i="28"/>
  <c r="BI6" i="28"/>
  <c r="BH6" i="28"/>
  <c r="BG6" i="28"/>
  <c r="BJ5" i="28"/>
  <c r="BI5" i="28"/>
  <c r="BH5" i="28"/>
  <c r="BG5" i="28"/>
  <c r="BJ4" i="28"/>
  <c r="BI4" i="28"/>
  <c r="BH4" i="28"/>
  <c r="BG4" i="28"/>
  <c r="BE266" i="28"/>
  <c r="BD266" i="28"/>
  <c r="BC266" i="28"/>
  <c r="BB266" i="28"/>
  <c r="BE265" i="28"/>
  <c r="BD265" i="28"/>
  <c r="BC265" i="28"/>
  <c r="BB265" i="28"/>
  <c r="BE264" i="28"/>
  <c r="BD264" i="28"/>
  <c r="BC264" i="28"/>
  <c r="BB264" i="28"/>
  <c r="BE263" i="28"/>
  <c r="BD263" i="28"/>
  <c r="BC263" i="28"/>
  <c r="BB263" i="28"/>
  <c r="BE262" i="28"/>
  <c r="BD262" i="28"/>
  <c r="BC262" i="28"/>
  <c r="BB262" i="28"/>
  <c r="BE261" i="28"/>
  <c r="BD261" i="28"/>
  <c r="BC261" i="28"/>
  <c r="BB261" i="28"/>
  <c r="BE260" i="28"/>
  <c r="BD260" i="28"/>
  <c r="BC260" i="28"/>
  <c r="BB260" i="28"/>
  <c r="BE259" i="28"/>
  <c r="BD259" i="28"/>
  <c r="BC259" i="28"/>
  <c r="BB259" i="28"/>
  <c r="BE258" i="28"/>
  <c r="BD258" i="28"/>
  <c r="BC258" i="28"/>
  <c r="BB258" i="28"/>
  <c r="BE257" i="28"/>
  <c r="BD257" i="28"/>
  <c r="BC257" i="28"/>
  <c r="BB257" i="28"/>
  <c r="BE256" i="28"/>
  <c r="BD256" i="28"/>
  <c r="BC256" i="28"/>
  <c r="BB256" i="28"/>
  <c r="BE255" i="28"/>
  <c r="BD255" i="28"/>
  <c r="BC255" i="28"/>
  <c r="BB255" i="28"/>
  <c r="BE254" i="28"/>
  <c r="BD254" i="28"/>
  <c r="BC254" i="28"/>
  <c r="BB254" i="28"/>
  <c r="BE253" i="28"/>
  <c r="BD253" i="28"/>
  <c r="BC253" i="28"/>
  <c r="BB253" i="28"/>
  <c r="BE252" i="28"/>
  <c r="BD252" i="28"/>
  <c r="BC252" i="28"/>
  <c r="BB252" i="28"/>
  <c r="BE251" i="28"/>
  <c r="BD251" i="28"/>
  <c r="BC251" i="28"/>
  <c r="BB251" i="28"/>
  <c r="BE250" i="28"/>
  <c r="BD250" i="28"/>
  <c r="BC250" i="28"/>
  <c r="BB250" i="28"/>
  <c r="BE249" i="28"/>
  <c r="BD249" i="28"/>
  <c r="BC249" i="28"/>
  <c r="BB249" i="28"/>
  <c r="BE248" i="28"/>
  <c r="BD248" i="28"/>
  <c r="BC248" i="28"/>
  <c r="BB248" i="28"/>
  <c r="BE247" i="28"/>
  <c r="BD247" i="28"/>
  <c r="BC247" i="28"/>
  <c r="BB247" i="28"/>
  <c r="BE246" i="28"/>
  <c r="BD246" i="28"/>
  <c r="BC246" i="28"/>
  <c r="BB246" i="28"/>
  <c r="BE245" i="28"/>
  <c r="BD245" i="28"/>
  <c r="BC245" i="28"/>
  <c r="BB245" i="28"/>
  <c r="BE244" i="28"/>
  <c r="BD244" i="28"/>
  <c r="BC244" i="28"/>
  <c r="BB244" i="28"/>
  <c r="BE243" i="28"/>
  <c r="BD243" i="28"/>
  <c r="BC243" i="28"/>
  <c r="BB243" i="28"/>
  <c r="BE242" i="28"/>
  <c r="BD242" i="28"/>
  <c r="BC242" i="28"/>
  <c r="BB242" i="28"/>
  <c r="BE241" i="28"/>
  <c r="BD241" i="28"/>
  <c r="BC241" i="28"/>
  <c r="BB241" i="28"/>
  <c r="BE240" i="28"/>
  <c r="BD240" i="28"/>
  <c r="BC240" i="28"/>
  <c r="BB240" i="28"/>
  <c r="BE239" i="28"/>
  <c r="BD239" i="28"/>
  <c r="BC239" i="28"/>
  <c r="BB239" i="28"/>
  <c r="BE238" i="28"/>
  <c r="BD238" i="28"/>
  <c r="BC238" i="28"/>
  <c r="BB238" i="28"/>
  <c r="BE237" i="28"/>
  <c r="BD237" i="28"/>
  <c r="BC237" i="28"/>
  <c r="BB237" i="28"/>
  <c r="BE236" i="28"/>
  <c r="BD236" i="28"/>
  <c r="BC236" i="28"/>
  <c r="BB236" i="28"/>
  <c r="BE235" i="28"/>
  <c r="BD235" i="28"/>
  <c r="BC235" i="28"/>
  <c r="BB235" i="28"/>
  <c r="BE234" i="28"/>
  <c r="BD234" i="28"/>
  <c r="BC234" i="28"/>
  <c r="BB234" i="28"/>
  <c r="BE233" i="28"/>
  <c r="BD233" i="28"/>
  <c r="BC233" i="28"/>
  <c r="BB233" i="28"/>
  <c r="BE232" i="28"/>
  <c r="BD232" i="28"/>
  <c r="BC232" i="28"/>
  <c r="BB232" i="28"/>
  <c r="BE231" i="28"/>
  <c r="BD231" i="28"/>
  <c r="BC231" i="28"/>
  <c r="BB231" i="28"/>
  <c r="BE230" i="28"/>
  <c r="BD230" i="28"/>
  <c r="BC230" i="28"/>
  <c r="BB230" i="28"/>
  <c r="BE229" i="28"/>
  <c r="BD229" i="28"/>
  <c r="BC229" i="28"/>
  <c r="BB229" i="28"/>
  <c r="BE228" i="28"/>
  <c r="BD228" i="28"/>
  <c r="BC228" i="28"/>
  <c r="BB228" i="28"/>
  <c r="BE227" i="28"/>
  <c r="BD227" i="28"/>
  <c r="BC227" i="28"/>
  <c r="BB227" i="28"/>
  <c r="BE226" i="28"/>
  <c r="BD226" i="28"/>
  <c r="BC226" i="28"/>
  <c r="BB226" i="28"/>
  <c r="BE225" i="28"/>
  <c r="BD225" i="28"/>
  <c r="BC225" i="28"/>
  <c r="BB225" i="28"/>
  <c r="BE224" i="28"/>
  <c r="BD224" i="28"/>
  <c r="BC224" i="28"/>
  <c r="BB224" i="28"/>
  <c r="BE223" i="28"/>
  <c r="BD223" i="28"/>
  <c r="BC223" i="28"/>
  <c r="BB223" i="28"/>
  <c r="BE222" i="28"/>
  <c r="BD222" i="28"/>
  <c r="BC222" i="28"/>
  <c r="BB222" i="28"/>
  <c r="BE221" i="28"/>
  <c r="BD221" i="28"/>
  <c r="BC221" i="28"/>
  <c r="BB221" i="28"/>
  <c r="BE220" i="28"/>
  <c r="BD220" i="28"/>
  <c r="BC220" i="28"/>
  <c r="BB220" i="28"/>
  <c r="BE219" i="28"/>
  <c r="BD219" i="28"/>
  <c r="BC219" i="28"/>
  <c r="BB219" i="28"/>
  <c r="BE218" i="28"/>
  <c r="BD218" i="28"/>
  <c r="BC218" i="28"/>
  <c r="BB218" i="28"/>
  <c r="BE217" i="28"/>
  <c r="BD217" i="28"/>
  <c r="BC217" i="28"/>
  <c r="BB217" i="28"/>
  <c r="BE216" i="28"/>
  <c r="BD216" i="28"/>
  <c r="BC216" i="28"/>
  <c r="BB216" i="28"/>
  <c r="BE215" i="28"/>
  <c r="BD215" i="28"/>
  <c r="BC215" i="28"/>
  <c r="BB215" i="28"/>
  <c r="BE214" i="28"/>
  <c r="BD214" i="28"/>
  <c r="BC214" i="28"/>
  <c r="BB214" i="28"/>
  <c r="BE213" i="28"/>
  <c r="BD213" i="28"/>
  <c r="BC213" i="28"/>
  <c r="BB213" i="28"/>
  <c r="BE212" i="28"/>
  <c r="BD212" i="28"/>
  <c r="BC212" i="28"/>
  <c r="BB212" i="28"/>
  <c r="BE211" i="28"/>
  <c r="BD211" i="28"/>
  <c r="BC211" i="28"/>
  <c r="BB211" i="28"/>
  <c r="BE210" i="28"/>
  <c r="BD210" i="28"/>
  <c r="BC210" i="28"/>
  <c r="BB210" i="28"/>
  <c r="BE209" i="28"/>
  <c r="BD209" i="28"/>
  <c r="BC209" i="28"/>
  <c r="BB209" i="28"/>
  <c r="BE208" i="28"/>
  <c r="BD208" i="28"/>
  <c r="BC208" i="28"/>
  <c r="BB208" i="28"/>
  <c r="BE207" i="28"/>
  <c r="BD207" i="28"/>
  <c r="BC207" i="28"/>
  <c r="BB207" i="28"/>
  <c r="BE206" i="28"/>
  <c r="BD206" i="28"/>
  <c r="BC206" i="28"/>
  <c r="BB206" i="28"/>
  <c r="BE205" i="28"/>
  <c r="BD205" i="28"/>
  <c r="BC205" i="28"/>
  <c r="BB205" i="28"/>
  <c r="BE204" i="28"/>
  <c r="BD204" i="28"/>
  <c r="BC204" i="28"/>
  <c r="BB204" i="28"/>
  <c r="BE203" i="28"/>
  <c r="BD203" i="28"/>
  <c r="BC203" i="28"/>
  <c r="BB203" i="28"/>
  <c r="BE202" i="28"/>
  <c r="BD202" i="28"/>
  <c r="BC202" i="28"/>
  <c r="BB202" i="28"/>
  <c r="BE201" i="28"/>
  <c r="BD201" i="28"/>
  <c r="BC201" i="28"/>
  <c r="BB201" i="28"/>
  <c r="BE200" i="28"/>
  <c r="BD200" i="28"/>
  <c r="BC200" i="28"/>
  <c r="BB200" i="28"/>
  <c r="BE199" i="28"/>
  <c r="BD199" i="28"/>
  <c r="BC199" i="28"/>
  <c r="BB199" i="28"/>
  <c r="BE198" i="28"/>
  <c r="BD198" i="28"/>
  <c r="BC198" i="28"/>
  <c r="BB198" i="28"/>
  <c r="BE197" i="28"/>
  <c r="BD197" i="28"/>
  <c r="BC197" i="28"/>
  <c r="BB197" i="28"/>
  <c r="BE196" i="28"/>
  <c r="BD196" i="28"/>
  <c r="BC196" i="28"/>
  <c r="BB196" i="28"/>
  <c r="BE195" i="28"/>
  <c r="BD195" i="28"/>
  <c r="BC195" i="28"/>
  <c r="BB195" i="28"/>
  <c r="BE194" i="28"/>
  <c r="BD194" i="28"/>
  <c r="BC194" i="28"/>
  <c r="BB194" i="28"/>
  <c r="BE193" i="28"/>
  <c r="BD193" i="28"/>
  <c r="BC193" i="28"/>
  <c r="BB193" i="28"/>
  <c r="BE192" i="28"/>
  <c r="BD192" i="28"/>
  <c r="BC192" i="28"/>
  <c r="BB192" i="28"/>
  <c r="BE191" i="28"/>
  <c r="BD191" i="28"/>
  <c r="BC191" i="28"/>
  <c r="BB191" i="28"/>
  <c r="BE190" i="28"/>
  <c r="BD190" i="28"/>
  <c r="BC190" i="28"/>
  <c r="BB190" i="28"/>
  <c r="BE189" i="28"/>
  <c r="BD189" i="28"/>
  <c r="BC189" i="28"/>
  <c r="BB189" i="28"/>
  <c r="BE188" i="28"/>
  <c r="BD188" i="28"/>
  <c r="BC188" i="28"/>
  <c r="BB188" i="28"/>
  <c r="BE187" i="28"/>
  <c r="BD187" i="28"/>
  <c r="BC187" i="28"/>
  <c r="BB187" i="28"/>
  <c r="BE186" i="28"/>
  <c r="BD186" i="28"/>
  <c r="BC186" i="28"/>
  <c r="BB186" i="28"/>
  <c r="BE185" i="28"/>
  <c r="BD185" i="28"/>
  <c r="BC185" i="28"/>
  <c r="BB185" i="28"/>
  <c r="BE184" i="28"/>
  <c r="BD184" i="28"/>
  <c r="BC184" i="28"/>
  <c r="BB184" i="28"/>
  <c r="BE183" i="28"/>
  <c r="BD183" i="28"/>
  <c r="BC183" i="28"/>
  <c r="BB183" i="28"/>
  <c r="BE182" i="28"/>
  <c r="BD182" i="28"/>
  <c r="BC182" i="28"/>
  <c r="BB182" i="28"/>
  <c r="BE181" i="28"/>
  <c r="BD181" i="28"/>
  <c r="BC181" i="28"/>
  <c r="BB181" i="28"/>
  <c r="BE180" i="28"/>
  <c r="BD180" i="28"/>
  <c r="BC180" i="28"/>
  <c r="BB180" i="28"/>
  <c r="BE179" i="28"/>
  <c r="BD179" i="28"/>
  <c r="BC179" i="28"/>
  <c r="BB179" i="28"/>
  <c r="BE178" i="28"/>
  <c r="BD178" i="28"/>
  <c r="BC178" i="28"/>
  <c r="BB178" i="28"/>
  <c r="BE177" i="28"/>
  <c r="BD177" i="28"/>
  <c r="BC177" i="28"/>
  <c r="BB177" i="28"/>
  <c r="BE176" i="28"/>
  <c r="BD176" i="28"/>
  <c r="BC176" i="28"/>
  <c r="BB176" i="28"/>
  <c r="BE175" i="28"/>
  <c r="BD175" i="28"/>
  <c r="BC175" i="28"/>
  <c r="BB175" i="28"/>
  <c r="BE174" i="28"/>
  <c r="BD174" i="28"/>
  <c r="BC174" i="28"/>
  <c r="BB174" i="28"/>
  <c r="BE173" i="28"/>
  <c r="BD173" i="28"/>
  <c r="BC173" i="28"/>
  <c r="BB173" i="28"/>
  <c r="BE172" i="28"/>
  <c r="BD172" i="28"/>
  <c r="BC172" i="28"/>
  <c r="BB172" i="28"/>
  <c r="BE171" i="28"/>
  <c r="BD171" i="28"/>
  <c r="BC171" i="28"/>
  <c r="BB171" i="28"/>
  <c r="BE170" i="28"/>
  <c r="BD170" i="28"/>
  <c r="BC170" i="28"/>
  <c r="BB170" i="28"/>
  <c r="BE169" i="28"/>
  <c r="BD169" i="28"/>
  <c r="BC169" i="28"/>
  <c r="BB169" i="28"/>
  <c r="BE168" i="28"/>
  <c r="BD168" i="28"/>
  <c r="BC168" i="28"/>
  <c r="BB168" i="28"/>
  <c r="BE167" i="28"/>
  <c r="BD167" i="28"/>
  <c r="BC167" i="28"/>
  <c r="BB167" i="28"/>
  <c r="BE166" i="28"/>
  <c r="BD166" i="28"/>
  <c r="BC166" i="28"/>
  <c r="BB166" i="28"/>
  <c r="BE165" i="28"/>
  <c r="BD165" i="28"/>
  <c r="BC165" i="28"/>
  <c r="BB165" i="28"/>
  <c r="BE164" i="28"/>
  <c r="BD164" i="28"/>
  <c r="BC164" i="28"/>
  <c r="BB164" i="28"/>
  <c r="BE163" i="28"/>
  <c r="BD163" i="28"/>
  <c r="BC163" i="28"/>
  <c r="BB163" i="28"/>
  <c r="BE162" i="28"/>
  <c r="BD162" i="28"/>
  <c r="BC162" i="28"/>
  <c r="BB162" i="28"/>
  <c r="BE161" i="28"/>
  <c r="BD161" i="28"/>
  <c r="BC161" i="28"/>
  <c r="BB161" i="28"/>
  <c r="BE160" i="28"/>
  <c r="BD160" i="28"/>
  <c r="BC160" i="28"/>
  <c r="BB160" i="28"/>
  <c r="BE159" i="28"/>
  <c r="BD159" i="28"/>
  <c r="BC159" i="28"/>
  <c r="BB159" i="28"/>
  <c r="BE158" i="28"/>
  <c r="BD158" i="28"/>
  <c r="BC158" i="28"/>
  <c r="BB158" i="28"/>
  <c r="BE157" i="28"/>
  <c r="BD157" i="28"/>
  <c r="BC157" i="28"/>
  <c r="BB157" i="28"/>
  <c r="BE156" i="28"/>
  <c r="BD156" i="28"/>
  <c r="BC156" i="28"/>
  <c r="BB156" i="28"/>
  <c r="BE155" i="28"/>
  <c r="BD155" i="28"/>
  <c r="BC155" i="28"/>
  <c r="BB155" i="28"/>
  <c r="BE154" i="28"/>
  <c r="BD154" i="28"/>
  <c r="BC154" i="28"/>
  <c r="BB154" i="28"/>
  <c r="BE153" i="28"/>
  <c r="BD153" i="28"/>
  <c r="BC153" i="28"/>
  <c r="BB153" i="28"/>
  <c r="BE152" i="28"/>
  <c r="BD152" i="28"/>
  <c r="BC152" i="28"/>
  <c r="BB152" i="28"/>
  <c r="BE151" i="28"/>
  <c r="BD151" i="28"/>
  <c r="BC151" i="28"/>
  <c r="BB151" i="28"/>
  <c r="BE150" i="28"/>
  <c r="BD150" i="28"/>
  <c r="BC150" i="28"/>
  <c r="BB150" i="28"/>
  <c r="BE149" i="28"/>
  <c r="BD149" i="28"/>
  <c r="BC149" i="28"/>
  <c r="BB149" i="28"/>
  <c r="BE148" i="28"/>
  <c r="BD148" i="28"/>
  <c r="BC148" i="28"/>
  <c r="BB148" i="28"/>
  <c r="BE147" i="28"/>
  <c r="BD147" i="28"/>
  <c r="BC147" i="28"/>
  <c r="BB147" i="28"/>
  <c r="BE146" i="28"/>
  <c r="BD146" i="28"/>
  <c r="BC146" i="28"/>
  <c r="BB146" i="28"/>
  <c r="BE145" i="28"/>
  <c r="BD145" i="28"/>
  <c r="BC145" i="28"/>
  <c r="BB145" i="28"/>
  <c r="BE144" i="28"/>
  <c r="BD144" i="28"/>
  <c r="BC144" i="28"/>
  <c r="BB144" i="28"/>
  <c r="BE143" i="28"/>
  <c r="BD143" i="28"/>
  <c r="BC143" i="28"/>
  <c r="BB143" i="28"/>
  <c r="BE142" i="28"/>
  <c r="BD142" i="28"/>
  <c r="BC142" i="28"/>
  <c r="BB142" i="28"/>
  <c r="BE141" i="28"/>
  <c r="BD141" i="28"/>
  <c r="BC141" i="28"/>
  <c r="BB141" i="28"/>
  <c r="BE140" i="28"/>
  <c r="BD140" i="28"/>
  <c r="BC140" i="28"/>
  <c r="BB140" i="28"/>
  <c r="BE139" i="28"/>
  <c r="BD139" i="28"/>
  <c r="BC139" i="28"/>
  <c r="BB139" i="28"/>
  <c r="BE138" i="28"/>
  <c r="BD138" i="28"/>
  <c r="BC138" i="28"/>
  <c r="BB138" i="28"/>
  <c r="BE137" i="28"/>
  <c r="BD137" i="28"/>
  <c r="BC137" i="28"/>
  <c r="BB137" i="28"/>
  <c r="BE136" i="28"/>
  <c r="BD136" i="28"/>
  <c r="BC136" i="28"/>
  <c r="BB136" i="28"/>
  <c r="BE135" i="28"/>
  <c r="BD135" i="28"/>
  <c r="BC135" i="28"/>
  <c r="BB135" i="28"/>
  <c r="BE134" i="28"/>
  <c r="BD134" i="28"/>
  <c r="BC134" i="28"/>
  <c r="BB134" i="28"/>
  <c r="BE133" i="28"/>
  <c r="BD133" i="28"/>
  <c r="BC133" i="28"/>
  <c r="BB133" i="28"/>
  <c r="BE132" i="28"/>
  <c r="BD132" i="28"/>
  <c r="BC132" i="28"/>
  <c r="BB132" i="28"/>
  <c r="BE131" i="28"/>
  <c r="BD131" i="28"/>
  <c r="BC131" i="28"/>
  <c r="BB131" i="28"/>
  <c r="BE130" i="28"/>
  <c r="BD130" i="28"/>
  <c r="BC130" i="28"/>
  <c r="BB130" i="28"/>
  <c r="BE129" i="28"/>
  <c r="BD129" i="28"/>
  <c r="BC129" i="28"/>
  <c r="BB129" i="28"/>
  <c r="BE128" i="28"/>
  <c r="BD128" i="28"/>
  <c r="BC128" i="28"/>
  <c r="BB128" i="28"/>
  <c r="BE127" i="28"/>
  <c r="BD127" i="28"/>
  <c r="BC127" i="28"/>
  <c r="BB127" i="28"/>
  <c r="BE126" i="28"/>
  <c r="BD126" i="28"/>
  <c r="BC126" i="28"/>
  <c r="BB126" i="28"/>
  <c r="BE125" i="28"/>
  <c r="BD125" i="28"/>
  <c r="BC125" i="28"/>
  <c r="BB125" i="28"/>
  <c r="BE124" i="28"/>
  <c r="BD124" i="28"/>
  <c r="BC124" i="28"/>
  <c r="BB124" i="28"/>
  <c r="BE123" i="28"/>
  <c r="BD123" i="28"/>
  <c r="BC123" i="28"/>
  <c r="BB123" i="28"/>
  <c r="BE122" i="28"/>
  <c r="BD122" i="28"/>
  <c r="BC122" i="28"/>
  <c r="BB122" i="28"/>
  <c r="BE121" i="28"/>
  <c r="BD121" i="28"/>
  <c r="BC121" i="28"/>
  <c r="BB121" i="28"/>
  <c r="BE120" i="28"/>
  <c r="BD120" i="28"/>
  <c r="BC120" i="28"/>
  <c r="BB120" i="28"/>
  <c r="BE119" i="28"/>
  <c r="BD119" i="28"/>
  <c r="BC119" i="28"/>
  <c r="BB119" i="28"/>
  <c r="BE118" i="28"/>
  <c r="BD118" i="28"/>
  <c r="BC118" i="28"/>
  <c r="BB118" i="28"/>
  <c r="BE117" i="28"/>
  <c r="BD117" i="28"/>
  <c r="BC117" i="28"/>
  <c r="BB117" i="28"/>
  <c r="BE116" i="28"/>
  <c r="BD116" i="28"/>
  <c r="BC116" i="28"/>
  <c r="BB116" i="28"/>
  <c r="BE115" i="28"/>
  <c r="BD115" i="28"/>
  <c r="BC115" i="28"/>
  <c r="BB115" i="28"/>
  <c r="BE114" i="28"/>
  <c r="BD114" i="28"/>
  <c r="BC114" i="28"/>
  <c r="BB114" i="28"/>
  <c r="BE113" i="28"/>
  <c r="BD113" i="28"/>
  <c r="BC113" i="28"/>
  <c r="BB113" i="28"/>
  <c r="BE112" i="28"/>
  <c r="BD112" i="28"/>
  <c r="BC112" i="28"/>
  <c r="BB112" i="28"/>
  <c r="BE111" i="28"/>
  <c r="BD111" i="28"/>
  <c r="BC111" i="28"/>
  <c r="BB111" i="28"/>
  <c r="BE110" i="28"/>
  <c r="BD110" i="28"/>
  <c r="BC110" i="28"/>
  <c r="BB110" i="28"/>
  <c r="BE109" i="28"/>
  <c r="BD109" i="28"/>
  <c r="BC109" i="28"/>
  <c r="BB109" i="28"/>
  <c r="BE108" i="28"/>
  <c r="BD108" i="28"/>
  <c r="BC108" i="28"/>
  <c r="BB108" i="28"/>
  <c r="BE107" i="28"/>
  <c r="BD107" i="28"/>
  <c r="BC107" i="28"/>
  <c r="BB107" i="28"/>
  <c r="BE106" i="28"/>
  <c r="BD106" i="28"/>
  <c r="BC106" i="28"/>
  <c r="BB106" i="28"/>
  <c r="BE105" i="28"/>
  <c r="BD105" i="28"/>
  <c r="BC105" i="28"/>
  <c r="BB105" i="28"/>
  <c r="BE104" i="28"/>
  <c r="BD104" i="28"/>
  <c r="BC104" i="28"/>
  <c r="BB104" i="28"/>
  <c r="BE103" i="28"/>
  <c r="BD103" i="28"/>
  <c r="BC103" i="28"/>
  <c r="BB103" i="28"/>
  <c r="BE102" i="28"/>
  <c r="BD102" i="28"/>
  <c r="BC102" i="28"/>
  <c r="BB102" i="28"/>
  <c r="BE101" i="28"/>
  <c r="BD101" i="28"/>
  <c r="BC101" i="28"/>
  <c r="BB101" i="28"/>
  <c r="BE100" i="28"/>
  <c r="BD100" i="28"/>
  <c r="BC100" i="28"/>
  <c r="BB100" i="28"/>
  <c r="BE99" i="28"/>
  <c r="BD99" i="28"/>
  <c r="BC99" i="28"/>
  <c r="BB99" i="28"/>
  <c r="BE98" i="28"/>
  <c r="BD98" i="28"/>
  <c r="BC98" i="28"/>
  <c r="BB98" i="28"/>
  <c r="BE97" i="28"/>
  <c r="BD97" i="28"/>
  <c r="BC97" i="28"/>
  <c r="BB97" i="28"/>
  <c r="BE96" i="28"/>
  <c r="BD96" i="28"/>
  <c r="BC96" i="28"/>
  <c r="BB96" i="28"/>
  <c r="BE95" i="28"/>
  <c r="BD95" i="28"/>
  <c r="BC95" i="28"/>
  <c r="BB95" i="28"/>
  <c r="BE94" i="28"/>
  <c r="BD94" i="28"/>
  <c r="BC94" i="28"/>
  <c r="BB94" i="28"/>
  <c r="BE93" i="28"/>
  <c r="BD93" i="28"/>
  <c r="BC93" i="28"/>
  <c r="BB93" i="28"/>
  <c r="BE92" i="28"/>
  <c r="BD92" i="28"/>
  <c r="BC92" i="28"/>
  <c r="BB92" i="28"/>
  <c r="BE91" i="28"/>
  <c r="BD91" i="28"/>
  <c r="BC91" i="28"/>
  <c r="BB91" i="28"/>
  <c r="BE90" i="28"/>
  <c r="BD90" i="28"/>
  <c r="BC90" i="28"/>
  <c r="BB90" i="28"/>
  <c r="BE89" i="28"/>
  <c r="BD89" i="28"/>
  <c r="BC89" i="28"/>
  <c r="BB89" i="28"/>
  <c r="BE88" i="28"/>
  <c r="BD88" i="28"/>
  <c r="BC88" i="28"/>
  <c r="BB88" i="28"/>
  <c r="BE87" i="28"/>
  <c r="BD87" i="28"/>
  <c r="BC87" i="28"/>
  <c r="BB87" i="28"/>
  <c r="BE86" i="28"/>
  <c r="BD86" i="28"/>
  <c r="BC86" i="28"/>
  <c r="BB86" i="28"/>
  <c r="BE85" i="28"/>
  <c r="BD85" i="28"/>
  <c r="BC85" i="28"/>
  <c r="BB85" i="28"/>
  <c r="BE84" i="28"/>
  <c r="BD84" i="28"/>
  <c r="BC84" i="28"/>
  <c r="BB84" i="28"/>
  <c r="BE83" i="28"/>
  <c r="BD83" i="28"/>
  <c r="BC83" i="28"/>
  <c r="BB83" i="28"/>
  <c r="BE82" i="28"/>
  <c r="BD82" i="28"/>
  <c r="BC82" i="28"/>
  <c r="BB82" i="28"/>
  <c r="BE81" i="28"/>
  <c r="BD81" i="28"/>
  <c r="BC81" i="28"/>
  <c r="BB81" i="28"/>
  <c r="BE80" i="28"/>
  <c r="BD80" i="28"/>
  <c r="BC80" i="28"/>
  <c r="BB80" i="28"/>
  <c r="BE79" i="28"/>
  <c r="BD79" i="28"/>
  <c r="BC79" i="28"/>
  <c r="BB79" i="28"/>
  <c r="BE78" i="28"/>
  <c r="BD78" i="28"/>
  <c r="BC78" i="28"/>
  <c r="BB78" i="28"/>
  <c r="BE77" i="28"/>
  <c r="BD77" i="28"/>
  <c r="BC77" i="28"/>
  <c r="BB77" i="28"/>
  <c r="BE76" i="28"/>
  <c r="BD76" i="28"/>
  <c r="BC76" i="28"/>
  <c r="BB76" i="28"/>
  <c r="BE75" i="28"/>
  <c r="BD75" i="28"/>
  <c r="BC75" i="28"/>
  <c r="BB75" i="28"/>
  <c r="BE74" i="28"/>
  <c r="BD74" i="28"/>
  <c r="BC74" i="28"/>
  <c r="BB74" i="28"/>
  <c r="BE73" i="28"/>
  <c r="BD73" i="28"/>
  <c r="BC73" i="28"/>
  <c r="BB73" i="28"/>
  <c r="BE72" i="28"/>
  <c r="BD72" i="28"/>
  <c r="BC72" i="28"/>
  <c r="BB72" i="28"/>
  <c r="BE71" i="28"/>
  <c r="BD71" i="28"/>
  <c r="BC71" i="28"/>
  <c r="BB71" i="28"/>
  <c r="BE70" i="28"/>
  <c r="BD70" i="28"/>
  <c r="BC70" i="28"/>
  <c r="BB70" i="28"/>
  <c r="BE69" i="28"/>
  <c r="BD69" i="28"/>
  <c r="BC69" i="28"/>
  <c r="BB69" i="28"/>
  <c r="BE68" i="28"/>
  <c r="BD68" i="28"/>
  <c r="BC68" i="28"/>
  <c r="BB68" i="28"/>
  <c r="BE67" i="28"/>
  <c r="BD67" i="28"/>
  <c r="BC67" i="28"/>
  <c r="BB67" i="28"/>
  <c r="BE66" i="28"/>
  <c r="BD66" i="28"/>
  <c r="BC66" i="28"/>
  <c r="BB66" i="28"/>
  <c r="BE65" i="28"/>
  <c r="BD65" i="28"/>
  <c r="BC65" i="28"/>
  <c r="BB65" i="28"/>
  <c r="BE64" i="28"/>
  <c r="BD64" i="28"/>
  <c r="BC64" i="28"/>
  <c r="BB64" i="28"/>
  <c r="BE63" i="28"/>
  <c r="BD63" i="28"/>
  <c r="BC63" i="28"/>
  <c r="BB63" i="28"/>
  <c r="BE62" i="28"/>
  <c r="BD62" i="28"/>
  <c r="BC62" i="28"/>
  <c r="BB62" i="28"/>
  <c r="BE61" i="28"/>
  <c r="BD61" i="28"/>
  <c r="BC61" i="28"/>
  <c r="BB61" i="28"/>
  <c r="BE60" i="28"/>
  <c r="BD60" i="28"/>
  <c r="BC60" i="28"/>
  <c r="BB60" i="28"/>
  <c r="BE59" i="28"/>
  <c r="BD59" i="28"/>
  <c r="BC59" i="28"/>
  <c r="BB59" i="28"/>
  <c r="BE58" i="28"/>
  <c r="BD58" i="28"/>
  <c r="BC58" i="28"/>
  <c r="BB58" i="28"/>
  <c r="BE57" i="28"/>
  <c r="BD57" i="28"/>
  <c r="BC57" i="28"/>
  <c r="BB57" i="28"/>
  <c r="BE56" i="28"/>
  <c r="BD56" i="28"/>
  <c r="BC56" i="28"/>
  <c r="BB56" i="28"/>
  <c r="BE55" i="28"/>
  <c r="BD55" i="28"/>
  <c r="BC55" i="28"/>
  <c r="BB55" i="28"/>
  <c r="BE54" i="28"/>
  <c r="BD54" i="28"/>
  <c r="BC54" i="28"/>
  <c r="BB54" i="28"/>
  <c r="BE53" i="28"/>
  <c r="BD53" i="28"/>
  <c r="BC53" i="28"/>
  <c r="BB53" i="28"/>
  <c r="BE52" i="28"/>
  <c r="BD52" i="28"/>
  <c r="BC52" i="28"/>
  <c r="BB52" i="28"/>
  <c r="BE51" i="28"/>
  <c r="BD51" i="28"/>
  <c r="BC51" i="28"/>
  <c r="BB51" i="28"/>
  <c r="BE50" i="28"/>
  <c r="BD50" i="28"/>
  <c r="BC50" i="28"/>
  <c r="BB50" i="28"/>
  <c r="BE49" i="28"/>
  <c r="BD49" i="28"/>
  <c r="BC49" i="28"/>
  <c r="BB49" i="28"/>
  <c r="BE48" i="28"/>
  <c r="BD48" i="28"/>
  <c r="BC48" i="28"/>
  <c r="BB48" i="28"/>
  <c r="BE47" i="28"/>
  <c r="BD47" i="28"/>
  <c r="BC47" i="28"/>
  <c r="BB47" i="28"/>
  <c r="BE46" i="28"/>
  <c r="BD46" i="28"/>
  <c r="BC46" i="28"/>
  <c r="BB46" i="28"/>
  <c r="BE45" i="28"/>
  <c r="BD45" i="28"/>
  <c r="BC45" i="28"/>
  <c r="BB45" i="28"/>
  <c r="BE44" i="28"/>
  <c r="BD44" i="28"/>
  <c r="BC44" i="28"/>
  <c r="BB44" i="28"/>
  <c r="BE43" i="28"/>
  <c r="BD43" i="28"/>
  <c r="BC43" i="28"/>
  <c r="BB43" i="28"/>
  <c r="BE42" i="28"/>
  <c r="BD42" i="28"/>
  <c r="BC42" i="28"/>
  <c r="BB42" i="28"/>
  <c r="BE41" i="28"/>
  <c r="BD41" i="28"/>
  <c r="BC41" i="28"/>
  <c r="BB41" i="28"/>
  <c r="BE40" i="28"/>
  <c r="BD40" i="28"/>
  <c r="BC40" i="28"/>
  <c r="BB40" i="28"/>
  <c r="BE39" i="28"/>
  <c r="BD39" i="28"/>
  <c r="BC39" i="28"/>
  <c r="BB39" i="28"/>
  <c r="BE38" i="28"/>
  <c r="BD38" i="28"/>
  <c r="BC38" i="28"/>
  <c r="BB38" i="28"/>
  <c r="BE37" i="28"/>
  <c r="BD37" i="28"/>
  <c r="BC37" i="28"/>
  <c r="BB37" i="28"/>
  <c r="BE36" i="28"/>
  <c r="BD36" i="28"/>
  <c r="BC36" i="28"/>
  <c r="BB36" i="28"/>
  <c r="BE35" i="28"/>
  <c r="BD35" i="28"/>
  <c r="BC35" i="28"/>
  <c r="BB35" i="28"/>
  <c r="BE34" i="28"/>
  <c r="BD34" i="28"/>
  <c r="BC34" i="28"/>
  <c r="BB34" i="28"/>
  <c r="BE33" i="28"/>
  <c r="BD33" i="28"/>
  <c r="BC33" i="28"/>
  <c r="BB33" i="28"/>
  <c r="BE32" i="28"/>
  <c r="BD32" i="28"/>
  <c r="BC32" i="28"/>
  <c r="BB32" i="28"/>
  <c r="BE31" i="28"/>
  <c r="BD31" i="28"/>
  <c r="BC31" i="28"/>
  <c r="BB31" i="28"/>
  <c r="BE30" i="28"/>
  <c r="BD30" i="28"/>
  <c r="BC30" i="28"/>
  <c r="BB30" i="28"/>
  <c r="BE29" i="28"/>
  <c r="BD29" i="28"/>
  <c r="BC29" i="28"/>
  <c r="BB29" i="28"/>
  <c r="BE28" i="28"/>
  <c r="BD28" i="28"/>
  <c r="BC28" i="28"/>
  <c r="BB28" i="28"/>
  <c r="BE27" i="28"/>
  <c r="BD27" i="28"/>
  <c r="BC27" i="28"/>
  <c r="BB27" i="28"/>
  <c r="BE26" i="28"/>
  <c r="BD26" i="28"/>
  <c r="BC26" i="28"/>
  <c r="BB26" i="28"/>
  <c r="BE25" i="28"/>
  <c r="BD25" i="28"/>
  <c r="BC25" i="28"/>
  <c r="BB25" i="28"/>
  <c r="BE24" i="28"/>
  <c r="BD24" i="28"/>
  <c r="BC24" i="28"/>
  <c r="BB24" i="28"/>
  <c r="BE23" i="28"/>
  <c r="BD23" i="28"/>
  <c r="BC23" i="28"/>
  <c r="BB23" i="28"/>
  <c r="BE22" i="28"/>
  <c r="BD22" i="28"/>
  <c r="BC22" i="28"/>
  <c r="BB22" i="28"/>
  <c r="BE21" i="28"/>
  <c r="BD21" i="28"/>
  <c r="BC21" i="28"/>
  <c r="BB21" i="28"/>
  <c r="BE20" i="28"/>
  <c r="BD20" i="28"/>
  <c r="BC20" i="28"/>
  <c r="BB20" i="28"/>
  <c r="BE19" i="28"/>
  <c r="BD19" i="28"/>
  <c r="BC19" i="28"/>
  <c r="BB19" i="28"/>
  <c r="BE18" i="28"/>
  <c r="BD18" i="28"/>
  <c r="BC18" i="28"/>
  <c r="BB18" i="28"/>
  <c r="BE17" i="28"/>
  <c r="BD17" i="28"/>
  <c r="BC17" i="28"/>
  <c r="BB17" i="28"/>
  <c r="BE16" i="28"/>
  <c r="BD16" i="28"/>
  <c r="BC16" i="28"/>
  <c r="BB16" i="28"/>
  <c r="BE15" i="28"/>
  <c r="BD15" i="28"/>
  <c r="BC15" i="28"/>
  <c r="BB15" i="28"/>
  <c r="BE14" i="28"/>
  <c r="BD14" i="28"/>
  <c r="BC14" i="28"/>
  <c r="BB14" i="28"/>
  <c r="BE13" i="28"/>
  <c r="BD13" i="28"/>
  <c r="BC13" i="28"/>
  <c r="BB13" i="28"/>
  <c r="BE12" i="28"/>
  <c r="BD12" i="28"/>
  <c r="BC12" i="28"/>
  <c r="BB12" i="28"/>
  <c r="BE11" i="28"/>
  <c r="BD11" i="28"/>
  <c r="BC11" i="28"/>
  <c r="BB11" i="28"/>
  <c r="BE10" i="28"/>
  <c r="BD10" i="28"/>
  <c r="BC10" i="28"/>
  <c r="BB10" i="28"/>
  <c r="BE9" i="28"/>
  <c r="BD9" i="28"/>
  <c r="BC9" i="28"/>
  <c r="BB9" i="28"/>
  <c r="BE8" i="28"/>
  <c r="BD8" i="28"/>
  <c r="BC8" i="28"/>
  <c r="BB8" i="28"/>
  <c r="BE7" i="28"/>
  <c r="BD7" i="28"/>
  <c r="BC7" i="28"/>
  <c r="BB7" i="28"/>
  <c r="BE6" i="28"/>
  <c r="BD6" i="28"/>
  <c r="BC6" i="28"/>
  <c r="BB6" i="28"/>
  <c r="BE5" i="28"/>
  <c r="BD5" i="28"/>
  <c r="BC5" i="28"/>
  <c r="BB5" i="28"/>
  <c r="BE4" i="28"/>
  <c r="BD4" i="28"/>
  <c r="BC4" i="28"/>
  <c r="BB4" i="28"/>
  <c r="AZ266" i="28"/>
  <c r="AY266" i="28"/>
  <c r="AX266" i="28"/>
  <c r="AW266" i="28"/>
  <c r="AZ265" i="28"/>
  <c r="AY265" i="28"/>
  <c r="AX265" i="28"/>
  <c r="AW265" i="28"/>
  <c r="AZ264" i="28"/>
  <c r="AY264" i="28"/>
  <c r="AX264" i="28"/>
  <c r="AW264" i="28"/>
  <c r="AZ263" i="28"/>
  <c r="AY263" i="28"/>
  <c r="AX263" i="28"/>
  <c r="AW263" i="28"/>
  <c r="AZ262" i="28"/>
  <c r="AY262" i="28"/>
  <c r="AX262" i="28"/>
  <c r="AW262" i="28"/>
  <c r="AZ261" i="28"/>
  <c r="AY261" i="28"/>
  <c r="AX261" i="28"/>
  <c r="AW261" i="28"/>
  <c r="AZ260" i="28"/>
  <c r="AY260" i="28"/>
  <c r="AX260" i="28"/>
  <c r="AW260" i="28"/>
  <c r="AZ259" i="28"/>
  <c r="AY259" i="28"/>
  <c r="AX259" i="28"/>
  <c r="AW259" i="28"/>
  <c r="AZ258" i="28"/>
  <c r="AY258" i="28"/>
  <c r="AX258" i="28"/>
  <c r="AW258" i="28"/>
  <c r="AZ257" i="28"/>
  <c r="AY257" i="28"/>
  <c r="AX257" i="28"/>
  <c r="AW257" i="28"/>
  <c r="AZ256" i="28"/>
  <c r="AY256" i="28"/>
  <c r="AX256" i="28"/>
  <c r="AW256" i="28"/>
  <c r="AZ255" i="28"/>
  <c r="AY255" i="28"/>
  <c r="AX255" i="28"/>
  <c r="AW255" i="28"/>
  <c r="AZ254" i="28"/>
  <c r="AY254" i="28"/>
  <c r="AX254" i="28"/>
  <c r="AW254" i="28"/>
  <c r="AZ253" i="28"/>
  <c r="AY253" i="28"/>
  <c r="AX253" i="28"/>
  <c r="AW253" i="28"/>
  <c r="AZ252" i="28"/>
  <c r="AY252" i="28"/>
  <c r="AX252" i="28"/>
  <c r="AW252" i="28"/>
  <c r="AZ251" i="28"/>
  <c r="AY251" i="28"/>
  <c r="AX251" i="28"/>
  <c r="AW251" i="28"/>
  <c r="AZ250" i="28"/>
  <c r="AY250" i="28"/>
  <c r="AX250" i="28"/>
  <c r="AW250" i="28"/>
  <c r="AZ249" i="28"/>
  <c r="AY249" i="28"/>
  <c r="AX249" i="28"/>
  <c r="AW249" i="28"/>
  <c r="AZ248" i="28"/>
  <c r="AY248" i="28"/>
  <c r="AX248" i="28"/>
  <c r="AW248" i="28"/>
  <c r="AZ247" i="28"/>
  <c r="AY247" i="28"/>
  <c r="AX247" i="28"/>
  <c r="AW247" i="28"/>
  <c r="AZ246" i="28"/>
  <c r="AY246" i="28"/>
  <c r="AX246" i="28"/>
  <c r="AW246" i="28"/>
  <c r="AZ245" i="28"/>
  <c r="AY245" i="28"/>
  <c r="AX245" i="28"/>
  <c r="AW245" i="28"/>
  <c r="AZ244" i="28"/>
  <c r="AY244" i="28"/>
  <c r="AX244" i="28"/>
  <c r="AW244" i="28"/>
  <c r="AZ243" i="28"/>
  <c r="AY243" i="28"/>
  <c r="AX243" i="28"/>
  <c r="AW243" i="28"/>
  <c r="AZ242" i="28"/>
  <c r="AY242" i="28"/>
  <c r="AX242" i="28"/>
  <c r="AW242" i="28"/>
  <c r="AZ241" i="28"/>
  <c r="AY241" i="28"/>
  <c r="AX241" i="28"/>
  <c r="AW241" i="28"/>
  <c r="AZ240" i="28"/>
  <c r="AY240" i="28"/>
  <c r="AX240" i="28"/>
  <c r="AW240" i="28"/>
  <c r="AZ239" i="28"/>
  <c r="AY239" i="28"/>
  <c r="AX239" i="28"/>
  <c r="AW239" i="28"/>
  <c r="AZ238" i="28"/>
  <c r="AY238" i="28"/>
  <c r="AX238" i="28"/>
  <c r="AW238" i="28"/>
  <c r="AZ237" i="28"/>
  <c r="AY237" i="28"/>
  <c r="AX237" i="28"/>
  <c r="AW237" i="28"/>
  <c r="AZ236" i="28"/>
  <c r="AY236" i="28"/>
  <c r="AX236" i="28"/>
  <c r="AW236" i="28"/>
  <c r="AZ235" i="28"/>
  <c r="AY235" i="28"/>
  <c r="AX235" i="28"/>
  <c r="AW235" i="28"/>
  <c r="AZ234" i="28"/>
  <c r="AY234" i="28"/>
  <c r="AX234" i="28"/>
  <c r="AW234" i="28"/>
  <c r="AZ233" i="28"/>
  <c r="AY233" i="28"/>
  <c r="AX233" i="28"/>
  <c r="AW233" i="28"/>
  <c r="AZ232" i="28"/>
  <c r="AY232" i="28"/>
  <c r="AX232" i="28"/>
  <c r="AW232" i="28"/>
  <c r="AZ231" i="28"/>
  <c r="AY231" i="28"/>
  <c r="AX231" i="28"/>
  <c r="AW231" i="28"/>
  <c r="AZ230" i="28"/>
  <c r="AY230" i="28"/>
  <c r="AX230" i="28"/>
  <c r="AW230" i="28"/>
  <c r="AZ229" i="28"/>
  <c r="AY229" i="28"/>
  <c r="AX229" i="28"/>
  <c r="AW229" i="28"/>
  <c r="AZ228" i="28"/>
  <c r="AY228" i="28"/>
  <c r="AX228" i="28"/>
  <c r="AW228" i="28"/>
  <c r="AZ227" i="28"/>
  <c r="AY227" i="28"/>
  <c r="AX227" i="28"/>
  <c r="AW227" i="28"/>
  <c r="AZ226" i="28"/>
  <c r="AY226" i="28"/>
  <c r="AX226" i="28"/>
  <c r="AW226" i="28"/>
  <c r="AZ225" i="28"/>
  <c r="AY225" i="28"/>
  <c r="AX225" i="28"/>
  <c r="AW225" i="28"/>
  <c r="AZ224" i="28"/>
  <c r="AY224" i="28"/>
  <c r="AX224" i="28"/>
  <c r="AW224" i="28"/>
  <c r="AZ223" i="28"/>
  <c r="AY223" i="28"/>
  <c r="AX223" i="28"/>
  <c r="AW223" i="28"/>
  <c r="AZ222" i="28"/>
  <c r="AY222" i="28"/>
  <c r="AX222" i="28"/>
  <c r="AW222" i="28"/>
  <c r="AZ221" i="28"/>
  <c r="AY221" i="28"/>
  <c r="AX221" i="28"/>
  <c r="AW221" i="28"/>
  <c r="AZ220" i="28"/>
  <c r="AY220" i="28"/>
  <c r="AX220" i="28"/>
  <c r="AW220" i="28"/>
  <c r="AZ219" i="28"/>
  <c r="AY219" i="28"/>
  <c r="AX219" i="28"/>
  <c r="AW219" i="28"/>
  <c r="AZ218" i="28"/>
  <c r="AY218" i="28"/>
  <c r="AX218" i="28"/>
  <c r="AW218" i="28"/>
  <c r="AZ217" i="28"/>
  <c r="AY217" i="28"/>
  <c r="AX217" i="28"/>
  <c r="AW217" i="28"/>
  <c r="AZ216" i="28"/>
  <c r="AY216" i="28"/>
  <c r="AX216" i="28"/>
  <c r="AW216" i="28"/>
  <c r="AZ215" i="28"/>
  <c r="AY215" i="28"/>
  <c r="AX215" i="28"/>
  <c r="AW215" i="28"/>
  <c r="AZ214" i="28"/>
  <c r="AY214" i="28"/>
  <c r="AX214" i="28"/>
  <c r="AW214" i="28"/>
  <c r="AZ213" i="28"/>
  <c r="AY213" i="28"/>
  <c r="AX213" i="28"/>
  <c r="AW213" i="28"/>
  <c r="AZ212" i="28"/>
  <c r="AY212" i="28"/>
  <c r="AX212" i="28"/>
  <c r="AW212" i="28"/>
  <c r="AZ211" i="28"/>
  <c r="AY211" i="28"/>
  <c r="AX211" i="28"/>
  <c r="AW211" i="28"/>
  <c r="AZ210" i="28"/>
  <c r="AY210" i="28"/>
  <c r="AX210" i="28"/>
  <c r="AW210" i="28"/>
  <c r="AZ209" i="28"/>
  <c r="AY209" i="28"/>
  <c r="AX209" i="28"/>
  <c r="AW209" i="28"/>
  <c r="AZ208" i="28"/>
  <c r="AY208" i="28"/>
  <c r="AX208" i="28"/>
  <c r="AW208" i="28"/>
  <c r="AZ207" i="28"/>
  <c r="AY207" i="28"/>
  <c r="AX207" i="28"/>
  <c r="AW207" i="28"/>
  <c r="AZ206" i="28"/>
  <c r="AY206" i="28"/>
  <c r="AX206" i="28"/>
  <c r="AW206" i="28"/>
  <c r="AZ205" i="28"/>
  <c r="AY205" i="28"/>
  <c r="AX205" i="28"/>
  <c r="AW205" i="28"/>
  <c r="AZ204" i="28"/>
  <c r="AY204" i="28"/>
  <c r="AX204" i="28"/>
  <c r="AW204" i="28"/>
  <c r="AZ203" i="28"/>
  <c r="AY203" i="28"/>
  <c r="AX203" i="28"/>
  <c r="AW203" i="28"/>
  <c r="AZ202" i="28"/>
  <c r="AY202" i="28"/>
  <c r="AX202" i="28"/>
  <c r="AW202" i="28"/>
  <c r="AZ201" i="28"/>
  <c r="AY201" i="28"/>
  <c r="AX201" i="28"/>
  <c r="AW201" i="28"/>
  <c r="AZ200" i="28"/>
  <c r="AY200" i="28"/>
  <c r="AX200" i="28"/>
  <c r="AW200" i="28"/>
  <c r="AZ199" i="28"/>
  <c r="AY199" i="28"/>
  <c r="AX199" i="28"/>
  <c r="AW199" i="28"/>
  <c r="AZ198" i="28"/>
  <c r="AY198" i="28"/>
  <c r="AX198" i="28"/>
  <c r="AW198" i="28"/>
  <c r="AZ197" i="28"/>
  <c r="AY197" i="28"/>
  <c r="AX197" i="28"/>
  <c r="AW197" i="28"/>
  <c r="AZ196" i="28"/>
  <c r="AY196" i="28"/>
  <c r="AX196" i="28"/>
  <c r="AW196" i="28"/>
  <c r="AZ195" i="28"/>
  <c r="AY195" i="28"/>
  <c r="AX195" i="28"/>
  <c r="AW195" i="28"/>
  <c r="AZ194" i="28"/>
  <c r="AY194" i="28"/>
  <c r="AX194" i="28"/>
  <c r="AW194" i="28"/>
  <c r="AZ193" i="28"/>
  <c r="AY193" i="28"/>
  <c r="AX193" i="28"/>
  <c r="AW193" i="28"/>
  <c r="AZ192" i="28"/>
  <c r="AY192" i="28"/>
  <c r="AX192" i="28"/>
  <c r="AW192" i="28"/>
  <c r="AZ191" i="28"/>
  <c r="AY191" i="28"/>
  <c r="AX191" i="28"/>
  <c r="AW191" i="28"/>
  <c r="AZ190" i="28"/>
  <c r="AY190" i="28"/>
  <c r="AX190" i="28"/>
  <c r="AW190" i="28"/>
  <c r="AZ189" i="28"/>
  <c r="AY189" i="28"/>
  <c r="AX189" i="28"/>
  <c r="AW189" i="28"/>
  <c r="AZ188" i="28"/>
  <c r="AY188" i="28"/>
  <c r="AX188" i="28"/>
  <c r="AW188" i="28"/>
  <c r="AZ187" i="28"/>
  <c r="AY187" i="28"/>
  <c r="AX187" i="28"/>
  <c r="AW187" i="28"/>
  <c r="AZ186" i="28"/>
  <c r="AY186" i="28"/>
  <c r="AX186" i="28"/>
  <c r="AW186" i="28"/>
  <c r="AZ185" i="28"/>
  <c r="AY185" i="28"/>
  <c r="AX185" i="28"/>
  <c r="AW185" i="28"/>
  <c r="AZ184" i="28"/>
  <c r="AY184" i="28"/>
  <c r="AX184" i="28"/>
  <c r="AW184" i="28"/>
  <c r="AZ183" i="28"/>
  <c r="AY183" i="28"/>
  <c r="AX183" i="28"/>
  <c r="AW183" i="28"/>
  <c r="AZ182" i="28"/>
  <c r="AY182" i="28"/>
  <c r="AX182" i="28"/>
  <c r="AW182" i="28"/>
  <c r="AZ181" i="28"/>
  <c r="AY181" i="28"/>
  <c r="AX181" i="28"/>
  <c r="AW181" i="28"/>
  <c r="AZ180" i="28"/>
  <c r="AY180" i="28"/>
  <c r="AX180" i="28"/>
  <c r="AW180" i="28"/>
  <c r="AZ179" i="28"/>
  <c r="AY179" i="28"/>
  <c r="AX179" i="28"/>
  <c r="AW179" i="28"/>
  <c r="AZ178" i="28"/>
  <c r="AY178" i="28"/>
  <c r="AX178" i="28"/>
  <c r="AW178" i="28"/>
  <c r="AZ177" i="28"/>
  <c r="AY177" i="28"/>
  <c r="AX177" i="28"/>
  <c r="AW177" i="28"/>
  <c r="AZ176" i="28"/>
  <c r="AY176" i="28"/>
  <c r="AX176" i="28"/>
  <c r="AW176" i="28"/>
  <c r="AZ175" i="28"/>
  <c r="AY175" i="28"/>
  <c r="AX175" i="28"/>
  <c r="AW175" i="28"/>
  <c r="AZ174" i="28"/>
  <c r="AY174" i="28"/>
  <c r="AX174" i="28"/>
  <c r="AW174" i="28"/>
  <c r="AZ173" i="28"/>
  <c r="AY173" i="28"/>
  <c r="AX173" i="28"/>
  <c r="AW173" i="28"/>
  <c r="AZ172" i="28"/>
  <c r="AY172" i="28"/>
  <c r="AX172" i="28"/>
  <c r="AW172" i="28"/>
  <c r="AZ171" i="28"/>
  <c r="AY171" i="28"/>
  <c r="AX171" i="28"/>
  <c r="AW171" i="28"/>
  <c r="AZ170" i="28"/>
  <c r="AY170" i="28"/>
  <c r="AX170" i="28"/>
  <c r="AW170" i="28"/>
  <c r="AZ169" i="28"/>
  <c r="AY169" i="28"/>
  <c r="AX169" i="28"/>
  <c r="AW169" i="28"/>
  <c r="AZ168" i="28"/>
  <c r="AY168" i="28"/>
  <c r="AX168" i="28"/>
  <c r="AW168" i="28"/>
  <c r="AZ167" i="28"/>
  <c r="AY167" i="28"/>
  <c r="AX167" i="28"/>
  <c r="AW167" i="28"/>
  <c r="AZ166" i="28"/>
  <c r="AY166" i="28"/>
  <c r="AX166" i="28"/>
  <c r="AW166" i="28"/>
  <c r="AZ165" i="28"/>
  <c r="AY165" i="28"/>
  <c r="AX165" i="28"/>
  <c r="AW165" i="28"/>
  <c r="AZ164" i="28"/>
  <c r="AY164" i="28"/>
  <c r="AX164" i="28"/>
  <c r="AW164" i="28"/>
  <c r="AZ163" i="28"/>
  <c r="AY163" i="28"/>
  <c r="AX163" i="28"/>
  <c r="AW163" i="28"/>
  <c r="AZ162" i="28"/>
  <c r="AY162" i="28"/>
  <c r="AX162" i="28"/>
  <c r="AW162" i="28"/>
  <c r="AZ161" i="28"/>
  <c r="AY161" i="28"/>
  <c r="AX161" i="28"/>
  <c r="AW161" i="28"/>
  <c r="AZ160" i="28"/>
  <c r="AY160" i="28"/>
  <c r="AX160" i="28"/>
  <c r="AW160" i="28"/>
  <c r="AZ159" i="28"/>
  <c r="AY159" i="28"/>
  <c r="AX159" i="28"/>
  <c r="AW159" i="28"/>
  <c r="AZ158" i="28"/>
  <c r="AY158" i="28"/>
  <c r="AX158" i="28"/>
  <c r="AW158" i="28"/>
  <c r="AZ157" i="28"/>
  <c r="AY157" i="28"/>
  <c r="AX157" i="28"/>
  <c r="AW157" i="28"/>
  <c r="AZ156" i="28"/>
  <c r="AY156" i="28"/>
  <c r="AX156" i="28"/>
  <c r="AW156" i="28"/>
  <c r="AZ155" i="28"/>
  <c r="AY155" i="28"/>
  <c r="AX155" i="28"/>
  <c r="AW155" i="28"/>
  <c r="AZ154" i="28"/>
  <c r="AY154" i="28"/>
  <c r="AX154" i="28"/>
  <c r="AW154" i="28"/>
  <c r="AZ153" i="28"/>
  <c r="AY153" i="28"/>
  <c r="AX153" i="28"/>
  <c r="AW153" i="28"/>
  <c r="AZ152" i="28"/>
  <c r="AY152" i="28"/>
  <c r="AX152" i="28"/>
  <c r="AW152" i="28"/>
  <c r="AZ151" i="28"/>
  <c r="AY151" i="28"/>
  <c r="AX151" i="28"/>
  <c r="AW151" i="28"/>
  <c r="AZ150" i="28"/>
  <c r="AY150" i="28"/>
  <c r="AX150" i="28"/>
  <c r="AW150" i="28"/>
  <c r="AZ149" i="28"/>
  <c r="AY149" i="28"/>
  <c r="AX149" i="28"/>
  <c r="AW149" i="28"/>
  <c r="AZ148" i="28"/>
  <c r="AY148" i="28"/>
  <c r="AX148" i="28"/>
  <c r="AW148" i="28"/>
  <c r="AZ147" i="28"/>
  <c r="AY147" i="28"/>
  <c r="AX147" i="28"/>
  <c r="AW147" i="28"/>
  <c r="AZ146" i="28"/>
  <c r="AY146" i="28"/>
  <c r="AX146" i="28"/>
  <c r="AW146" i="28"/>
  <c r="AZ145" i="28"/>
  <c r="AY145" i="28"/>
  <c r="AX145" i="28"/>
  <c r="AW145" i="28"/>
  <c r="AZ144" i="28"/>
  <c r="AY144" i="28"/>
  <c r="AX144" i="28"/>
  <c r="AW144" i="28"/>
  <c r="AZ143" i="28"/>
  <c r="AY143" i="28"/>
  <c r="AX143" i="28"/>
  <c r="AW143" i="28"/>
  <c r="AZ142" i="28"/>
  <c r="AY142" i="28"/>
  <c r="AX142" i="28"/>
  <c r="AW142" i="28"/>
  <c r="AZ141" i="28"/>
  <c r="AY141" i="28"/>
  <c r="AX141" i="28"/>
  <c r="AW141" i="28"/>
  <c r="AZ140" i="28"/>
  <c r="AY140" i="28"/>
  <c r="AX140" i="28"/>
  <c r="AW140" i="28"/>
  <c r="AZ139" i="28"/>
  <c r="AY139" i="28"/>
  <c r="AX139" i="28"/>
  <c r="AW139" i="28"/>
  <c r="AZ138" i="28"/>
  <c r="AY138" i="28"/>
  <c r="AX138" i="28"/>
  <c r="AW138" i="28"/>
  <c r="AZ137" i="28"/>
  <c r="AY137" i="28"/>
  <c r="AX137" i="28"/>
  <c r="AW137" i="28"/>
  <c r="AZ136" i="28"/>
  <c r="AY136" i="28"/>
  <c r="AX136" i="28"/>
  <c r="AW136" i="28"/>
  <c r="AZ135" i="28"/>
  <c r="AY135" i="28"/>
  <c r="AX135" i="28"/>
  <c r="AW135" i="28"/>
  <c r="AZ134" i="28"/>
  <c r="AY134" i="28"/>
  <c r="AX134" i="28"/>
  <c r="AW134" i="28"/>
  <c r="AZ133" i="28"/>
  <c r="AY133" i="28"/>
  <c r="AX133" i="28"/>
  <c r="AW133" i="28"/>
  <c r="AZ132" i="28"/>
  <c r="AY132" i="28"/>
  <c r="AX132" i="28"/>
  <c r="AW132" i="28"/>
  <c r="AZ131" i="28"/>
  <c r="AY131" i="28"/>
  <c r="AX131" i="28"/>
  <c r="AW131" i="28"/>
  <c r="AZ130" i="28"/>
  <c r="AY130" i="28"/>
  <c r="AX130" i="28"/>
  <c r="AW130" i="28"/>
  <c r="AZ129" i="28"/>
  <c r="AY129" i="28"/>
  <c r="AX129" i="28"/>
  <c r="AW129" i="28"/>
  <c r="AZ128" i="28"/>
  <c r="AY128" i="28"/>
  <c r="AX128" i="28"/>
  <c r="AW128" i="28"/>
  <c r="AZ127" i="28"/>
  <c r="AY127" i="28"/>
  <c r="AX127" i="28"/>
  <c r="AW127" i="28"/>
  <c r="AZ126" i="28"/>
  <c r="AY126" i="28"/>
  <c r="AX126" i="28"/>
  <c r="AW126" i="28"/>
  <c r="AZ125" i="28"/>
  <c r="AY125" i="28"/>
  <c r="AX125" i="28"/>
  <c r="AW125" i="28"/>
  <c r="AZ124" i="28"/>
  <c r="AY124" i="28"/>
  <c r="AX124" i="28"/>
  <c r="AW124" i="28"/>
  <c r="AZ123" i="28"/>
  <c r="AY123" i="28"/>
  <c r="AX123" i="28"/>
  <c r="AW123" i="28"/>
  <c r="AZ122" i="28"/>
  <c r="AY122" i="28"/>
  <c r="AX122" i="28"/>
  <c r="AW122" i="28"/>
  <c r="AZ121" i="28"/>
  <c r="AY121" i="28"/>
  <c r="AX121" i="28"/>
  <c r="AW121" i="28"/>
  <c r="AZ120" i="28"/>
  <c r="AY120" i="28"/>
  <c r="AX120" i="28"/>
  <c r="AW120" i="28"/>
  <c r="AZ119" i="28"/>
  <c r="AY119" i="28"/>
  <c r="AX119" i="28"/>
  <c r="AW119" i="28"/>
  <c r="AZ118" i="28"/>
  <c r="AY118" i="28"/>
  <c r="AX118" i="28"/>
  <c r="AW118" i="28"/>
  <c r="AZ117" i="28"/>
  <c r="AY117" i="28"/>
  <c r="AX117" i="28"/>
  <c r="AW117" i="28"/>
  <c r="AZ116" i="28"/>
  <c r="AY116" i="28"/>
  <c r="AX116" i="28"/>
  <c r="AW116" i="28"/>
  <c r="AZ115" i="28"/>
  <c r="AY115" i="28"/>
  <c r="AX115" i="28"/>
  <c r="AW115" i="28"/>
  <c r="AZ114" i="28"/>
  <c r="AY114" i="28"/>
  <c r="AX114" i="28"/>
  <c r="AW114" i="28"/>
  <c r="AZ113" i="28"/>
  <c r="AY113" i="28"/>
  <c r="AX113" i="28"/>
  <c r="AW113" i="28"/>
  <c r="AZ112" i="28"/>
  <c r="AY112" i="28"/>
  <c r="AX112" i="28"/>
  <c r="AW112" i="28"/>
  <c r="AZ111" i="28"/>
  <c r="AY111" i="28"/>
  <c r="AX111" i="28"/>
  <c r="AW111" i="28"/>
  <c r="AZ110" i="28"/>
  <c r="AY110" i="28"/>
  <c r="AX110" i="28"/>
  <c r="AW110" i="28"/>
  <c r="AZ109" i="28"/>
  <c r="AY109" i="28"/>
  <c r="AX109" i="28"/>
  <c r="AW109" i="28"/>
  <c r="AZ108" i="28"/>
  <c r="AY108" i="28"/>
  <c r="AX108" i="28"/>
  <c r="AW108" i="28"/>
  <c r="AZ107" i="28"/>
  <c r="AY107" i="28"/>
  <c r="AX107" i="28"/>
  <c r="AW107" i="28"/>
  <c r="AZ106" i="28"/>
  <c r="AY106" i="28"/>
  <c r="AX106" i="28"/>
  <c r="AW106" i="28"/>
  <c r="AZ105" i="28"/>
  <c r="AY105" i="28"/>
  <c r="AX105" i="28"/>
  <c r="AW105" i="28"/>
  <c r="AZ104" i="28"/>
  <c r="AY104" i="28"/>
  <c r="AX104" i="28"/>
  <c r="AW104" i="28"/>
  <c r="AZ103" i="28"/>
  <c r="AY103" i="28"/>
  <c r="AX103" i="28"/>
  <c r="AW103" i="28"/>
  <c r="AZ102" i="28"/>
  <c r="AY102" i="28"/>
  <c r="AX102" i="28"/>
  <c r="AW102" i="28"/>
  <c r="AZ101" i="28"/>
  <c r="AY101" i="28"/>
  <c r="AX101" i="28"/>
  <c r="AW101" i="28"/>
  <c r="AZ100" i="28"/>
  <c r="AY100" i="28"/>
  <c r="AX100" i="28"/>
  <c r="AW100" i="28"/>
  <c r="AZ99" i="28"/>
  <c r="AY99" i="28"/>
  <c r="AX99" i="28"/>
  <c r="AW99" i="28"/>
  <c r="AZ98" i="28"/>
  <c r="AY98" i="28"/>
  <c r="AX98" i="28"/>
  <c r="AW98" i="28"/>
  <c r="AZ97" i="28"/>
  <c r="AY97" i="28"/>
  <c r="AX97" i="28"/>
  <c r="AW97" i="28"/>
  <c r="AZ96" i="28"/>
  <c r="AY96" i="28"/>
  <c r="AX96" i="28"/>
  <c r="AW96" i="28"/>
  <c r="AZ95" i="28"/>
  <c r="AY95" i="28"/>
  <c r="AX95" i="28"/>
  <c r="AW95" i="28"/>
  <c r="AZ94" i="28"/>
  <c r="AY94" i="28"/>
  <c r="AX94" i="28"/>
  <c r="AW94" i="28"/>
  <c r="AZ93" i="28"/>
  <c r="AY93" i="28"/>
  <c r="AX93" i="28"/>
  <c r="AW93" i="28"/>
  <c r="AZ92" i="28"/>
  <c r="AY92" i="28"/>
  <c r="AX92" i="28"/>
  <c r="AW92" i="28"/>
  <c r="AZ91" i="28"/>
  <c r="AY91" i="28"/>
  <c r="AX91" i="28"/>
  <c r="AW91" i="28"/>
  <c r="AZ90" i="28"/>
  <c r="AY90" i="28"/>
  <c r="AX90" i="28"/>
  <c r="AW90" i="28"/>
  <c r="AZ89" i="28"/>
  <c r="AY89" i="28"/>
  <c r="AX89" i="28"/>
  <c r="AW89" i="28"/>
  <c r="AZ88" i="28"/>
  <c r="AY88" i="28"/>
  <c r="AX88" i="28"/>
  <c r="AW88" i="28"/>
  <c r="AZ87" i="28"/>
  <c r="AY87" i="28"/>
  <c r="AX87" i="28"/>
  <c r="AW87" i="28"/>
  <c r="AZ86" i="28"/>
  <c r="AY86" i="28"/>
  <c r="AX86" i="28"/>
  <c r="AW86" i="28"/>
  <c r="AZ85" i="28"/>
  <c r="AY85" i="28"/>
  <c r="AX85" i="28"/>
  <c r="AW85" i="28"/>
  <c r="AZ84" i="28"/>
  <c r="AY84" i="28"/>
  <c r="AX84" i="28"/>
  <c r="AW84" i="28"/>
  <c r="AZ83" i="28"/>
  <c r="AY83" i="28"/>
  <c r="AX83" i="28"/>
  <c r="AW83" i="28"/>
  <c r="AZ82" i="28"/>
  <c r="AY82" i="28"/>
  <c r="AX82" i="28"/>
  <c r="AW82" i="28"/>
  <c r="AZ81" i="28"/>
  <c r="AY81" i="28"/>
  <c r="AX81" i="28"/>
  <c r="AW81" i="28"/>
  <c r="AZ80" i="28"/>
  <c r="AY80" i="28"/>
  <c r="AX80" i="28"/>
  <c r="AW80" i="28"/>
  <c r="AZ79" i="28"/>
  <c r="AY79" i="28"/>
  <c r="AX79" i="28"/>
  <c r="AW79" i="28"/>
  <c r="AZ78" i="28"/>
  <c r="AY78" i="28"/>
  <c r="AX78" i="28"/>
  <c r="AW78" i="28"/>
  <c r="AZ77" i="28"/>
  <c r="AY77" i="28"/>
  <c r="AX77" i="28"/>
  <c r="AW77" i="28"/>
  <c r="AZ76" i="28"/>
  <c r="AY76" i="28"/>
  <c r="AX76" i="28"/>
  <c r="AW76" i="28"/>
  <c r="AZ75" i="28"/>
  <c r="AY75" i="28"/>
  <c r="AX75" i="28"/>
  <c r="AW75" i="28"/>
  <c r="AZ74" i="28"/>
  <c r="AY74" i="28"/>
  <c r="AX74" i="28"/>
  <c r="AW74" i="28"/>
  <c r="AZ73" i="28"/>
  <c r="AY73" i="28"/>
  <c r="AX73" i="28"/>
  <c r="AW73" i="28"/>
  <c r="AZ72" i="28"/>
  <c r="AY72" i="28"/>
  <c r="AX72" i="28"/>
  <c r="AW72" i="28"/>
  <c r="AZ71" i="28"/>
  <c r="AY71" i="28"/>
  <c r="AX71" i="28"/>
  <c r="AW71" i="28"/>
  <c r="AZ70" i="28"/>
  <c r="AY70" i="28"/>
  <c r="AX70" i="28"/>
  <c r="AW70" i="28"/>
  <c r="AZ69" i="28"/>
  <c r="AY69" i="28"/>
  <c r="AX69" i="28"/>
  <c r="AW69" i="28"/>
  <c r="AZ68" i="28"/>
  <c r="AY68" i="28"/>
  <c r="AX68" i="28"/>
  <c r="AW68" i="28"/>
  <c r="AZ67" i="28"/>
  <c r="AY67" i="28"/>
  <c r="AX67" i="28"/>
  <c r="AW67" i="28"/>
  <c r="AZ66" i="28"/>
  <c r="AY66" i="28"/>
  <c r="AX66" i="28"/>
  <c r="AW66" i="28"/>
  <c r="AZ65" i="28"/>
  <c r="AY65" i="28"/>
  <c r="AX65" i="28"/>
  <c r="AW65" i="28"/>
  <c r="AZ64" i="28"/>
  <c r="AY64" i="28"/>
  <c r="AX64" i="28"/>
  <c r="AW64" i="28"/>
  <c r="AZ63" i="28"/>
  <c r="AY63" i="28"/>
  <c r="AX63" i="28"/>
  <c r="AW63" i="28"/>
  <c r="AZ62" i="28"/>
  <c r="AY62" i="28"/>
  <c r="AX62" i="28"/>
  <c r="AW62" i="28"/>
  <c r="AZ61" i="28"/>
  <c r="AY61" i="28"/>
  <c r="AX61" i="28"/>
  <c r="AW61" i="28"/>
  <c r="AZ60" i="28"/>
  <c r="AY60" i="28"/>
  <c r="AX60" i="28"/>
  <c r="AW60" i="28"/>
  <c r="AZ59" i="28"/>
  <c r="AY59" i="28"/>
  <c r="AX59" i="28"/>
  <c r="AW59" i="28"/>
  <c r="AZ58" i="28"/>
  <c r="AY58" i="28"/>
  <c r="AX58" i="28"/>
  <c r="AW58" i="28"/>
  <c r="AZ57" i="28"/>
  <c r="AY57" i="28"/>
  <c r="AX57" i="28"/>
  <c r="AW57" i="28"/>
  <c r="AZ56" i="28"/>
  <c r="AY56" i="28"/>
  <c r="AX56" i="28"/>
  <c r="AW56" i="28"/>
  <c r="AZ55" i="28"/>
  <c r="AY55" i="28"/>
  <c r="AX55" i="28"/>
  <c r="AW55" i="28"/>
  <c r="AZ54" i="28"/>
  <c r="AY54" i="28"/>
  <c r="AX54" i="28"/>
  <c r="AW54" i="28"/>
  <c r="AZ53" i="28"/>
  <c r="AY53" i="28"/>
  <c r="AX53" i="28"/>
  <c r="AW53" i="28"/>
  <c r="AZ52" i="28"/>
  <c r="AY52" i="28"/>
  <c r="AX52" i="28"/>
  <c r="AW52" i="28"/>
  <c r="AZ51" i="28"/>
  <c r="AY51" i="28"/>
  <c r="AX51" i="28"/>
  <c r="AW51" i="28"/>
  <c r="AZ50" i="28"/>
  <c r="AY50" i="28"/>
  <c r="AX50" i="28"/>
  <c r="AW50" i="28"/>
  <c r="AZ49" i="28"/>
  <c r="AY49" i="28"/>
  <c r="AX49" i="28"/>
  <c r="AW49" i="28"/>
  <c r="AZ48" i="28"/>
  <c r="AY48" i="28"/>
  <c r="AX48" i="28"/>
  <c r="AW48" i="28"/>
  <c r="AZ47" i="28"/>
  <c r="AY47" i="28"/>
  <c r="AX47" i="28"/>
  <c r="AW47" i="28"/>
  <c r="AZ46" i="28"/>
  <c r="AY46" i="28"/>
  <c r="AX46" i="28"/>
  <c r="AW46" i="28"/>
  <c r="AZ45" i="28"/>
  <c r="AY45" i="28"/>
  <c r="AX45" i="28"/>
  <c r="AW45" i="28"/>
  <c r="AZ44" i="28"/>
  <c r="AY44" i="28"/>
  <c r="AX44" i="28"/>
  <c r="AW44" i="28"/>
  <c r="AZ43" i="28"/>
  <c r="AY43" i="28"/>
  <c r="AX43" i="28"/>
  <c r="AW43" i="28"/>
  <c r="AZ42" i="28"/>
  <c r="AY42" i="28"/>
  <c r="AX42" i="28"/>
  <c r="AW42" i="28"/>
  <c r="AZ41" i="28"/>
  <c r="AY41" i="28"/>
  <c r="AX41" i="28"/>
  <c r="AW41" i="28"/>
  <c r="AZ40" i="28"/>
  <c r="AY40" i="28"/>
  <c r="AX40" i="28"/>
  <c r="AW40" i="28"/>
  <c r="AZ39" i="28"/>
  <c r="AY39" i="28"/>
  <c r="AX39" i="28"/>
  <c r="AW39" i="28"/>
  <c r="AZ38" i="28"/>
  <c r="AY38" i="28"/>
  <c r="AX38" i="28"/>
  <c r="AW38" i="28"/>
  <c r="AZ37" i="28"/>
  <c r="AY37" i="28"/>
  <c r="AX37" i="28"/>
  <c r="AW37" i="28"/>
  <c r="AZ36" i="28"/>
  <c r="AY36" i="28"/>
  <c r="AX36" i="28"/>
  <c r="AW36" i="28"/>
  <c r="AZ35" i="28"/>
  <c r="AY35" i="28"/>
  <c r="AX35" i="28"/>
  <c r="AW35" i="28"/>
  <c r="AZ34" i="28"/>
  <c r="AY34" i="28"/>
  <c r="AX34" i="28"/>
  <c r="AW34" i="28"/>
  <c r="AZ33" i="28"/>
  <c r="AY33" i="28"/>
  <c r="AX33" i="28"/>
  <c r="AW33" i="28"/>
  <c r="AZ32" i="28"/>
  <c r="AY32" i="28"/>
  <c r="AX32" i="28"/>
  <c r="AW32" i="28"/>
  <c r="AZ31" i="28"/>
  <c r="AY31" i="28"/>
  <c r="AX31" i="28"/>
  <c r="AW31" i="28"/>
  <c r="AZ30" i="28"/>
  <c r="AY30" i="28"/>
  <c r="AX30" i="28"/>
  <c r="AW30" i="28"/>
  <c r="AZ29" i="28"/>
  <c r="AY29" i="28"/>
  <c r="AX29" i="28"/>
  <c r="AW29" i="28"/>
  <c r="AZ28" i="28"/>
  <c r="AY28" i="28"/>
  <c r="AX28" i="28"/>
  <c r="AW28" i="28"/>
  <c r="AZ27" i="28"/>
  <c r="AY27" i="28"/>
  <c r="AX27" i="28"/>
  <c r="AW27" i="28"/>
  <c r="AZ26" i="28"/>
  <c r="AY26" i="28"/>
  <c r="AX26" i="28"/>
  <c r="AW26" i="28"/>
  <c r="AZ25" i="28"/>
  <c r="AY25" i="28"/>
  <c r="AX25" i="28"/>
  <c r="AW25" i="28"/>
  <c r="AZ24" i="28"/>
  <c r="AY24" i="28"/>
  <c r="AX24" i="28"/>
  <c r="AW24" i="28"/>
  <c r="AZ23" i="28"/>
  <c r="AY23" i="28"/>
  <c r="AX23" i="28"/>
  <c r="AW23" i="28"/>
  <c r="AZ22" i="28"/>
  <c r="AY22" i="28"/>
  <c r="AX22" i="28"/>
  <c r="AW22" i="28"/>
  <c r="AZ21" i="28"/>
  <c r="AY21" i="28"/>
  <c r="AX21" i="28"/>
  <c r="AW21" i="28"/>
  <c r="AZ20" i="28"/>
  <c r="AY20" i="28"/>
  <c r="AX20" i="28"/>
  <c r="AW20" i="28"/>
  <c r="AZ19" i="28"/>
  <c r="AY19" i="28"/>
  <c r="AX19" i="28"/>
  <c r="AW19" i="28"/>
  <c r="AZ18" i="28"/>
  <c r="AY18" i="28"/>
  <c r="AX18" i="28"/>
  <c r="AW18" i="28"/>
  <c r="AZ17" i="28"/>
  <c r="AY17" i="28"/>
  <c r="AX17" i="28"/>
  <c r="AW17" i="28"/>
  <c r="AZ16" i="28"/>
  <c r="AY16" i="28"/>
  <c r="AX16" i="28"/>
  <c r="AW16" i="28"/>
  <c r="AZ15" i="28"/>
  <c r="AY15" i="28"/>
  <c r="AX15" i="28"/>
  <c r="AW15" i="28"/>
  <c r="AZ14" i="28"/>
  <c r="AY14" i="28"/>
  <c r="AX14" i="28"/>
  <c r="AW14" i="28"/>
  <c r="AZ13" i="28"/>
  <c r="AY13" i="28"/>
  <c r="AX13" i="28"/>
  <c r="AW13" i="28"/>
  <c r="AZ12" i="28"/>
  <c r="AY12" i="28"/>
  <c r="AX12" i="28"/>
  <c r="AW12" i="28"/>
  <c r="AZ11" i="28"/>
  <c r="AY11" i="28"/>
  <c r="AX11" i="28"/>
  <c r="AW11" i="28"/>
  <c r="AZ10" i="28"/>
  <c r="AY10" i="28"/>
  <c r="AX10" i="28"/>
  <c r="AW10" i="28"/>
  <c r="AZ9" i="28"/>
  <c r="AY9" i="28"/>
  <c r="AX9" i="28"/>
  <c r="AW9" i="28"/>
  <c r="AZ8" i="28"/>
  <c r="AY8" i="28"/>
  <c r="AX8" i="28"/>
  <c r="AW8" i="28"/>
  <c r="AZ7" i="28"/>
  <c r="AY7" i="28"/>
  <c r="AX7" i="28"/>
  <c r="AW7" i="28"/>
  <c r="AZ6" i="28"/>
  <c r="AY6" i="28"/>
  <c r="AX6" i="28"/>
  <c r="AW6" i="28"/>
  <c r="AZ5" i="28"/>
  <c r="AY5" i="28"/>
  <c r="AX5" i="28"/>
  <c r="AW5" i="28"/>
  <c r="AZ4" i="28"/>
  <c r="AY4" i="28"/>
  <c r="AX4" i="28"/>
  <c r="AW4" i="28"/>
  <c r="AU266" i="28"/>
  <c r="AT266" i="28"/>
  <c r="AS266" i="28"/>
  <c r="AR266" i="28"/>
  <c r="AU265" i="28"/>
  <c r="AT265" i="28"/>
  <c r="AS265" i="28"/>
  <c r="AR265" i="28"/>
  <c r="AU264" i="28"/>
  <c r="AT264" i="28"/>
  <c r="AS264" i="28"/>
  <c r="AR264" i="28"/>
  <c r="AU263" i="28"/>
  <c r="AT263" i="28"/>
  <c r="AS263" i="28"/>
  <c r="AR263" i="28"/>
  <c r="AU262" i="28"/>
  <c r="AT262" i="28"/>
  <c r="AS262" i="28"/>
  <c r="AR262" i="28"/>
  <c r="AU261" i="28"/>
  <c r="AT261" i="28"/>
  <c r="AS261" i="28"/>
  <c r="AR261" i="28"/>
  <c r="AU260" i="28"/>
  <c r="AT260" i="28"/>
  <c r="AS260" i="28"/>
  <c r="AR260" i="28"/>
  <c r="AU259" i="28"/>
  <c r="AT259" i="28"/>
  <c r="AS259" i="28"/>
  <c r="AR259" i="28"/>
  <c r="AU258" i="28"/>
  <c r="AT258" i="28"/>
  <c r="AS258" i="28"/>
  <c r="AR258" i="28"/>
  <c r="AU257" i="28"/>
  <c r="AT257" i="28"/>
  <c r="AS257" i="28"/>
  <c r="AR257" i="28"/>
  <c r="AU256" i="28"/>
  <c r="AT256" i="28"/>
  <c r="AS256" i="28"/>
  <c r="AR256" i="28"/>
  <c r="AU255" i="28"/>
  <c r="AT255" i="28"/>
  <c r="AS255" i="28"/>
  <c r="AR255" i="28"/>
  <c r="AU254" i="28"/>
  <c r="AT254" i="28"/>
  <c r="AS254" i="28"/>
  <c r="AR254" i="28"/>
  <c r="AU253" i="28"/>
  <c r="AT253" i="28"/>
  <c r="AS253" i="28"/>
  <c r="AR253" i="28"/>
  <c r="AU252" i="28"/>
  <c r="AT252" i="28"/>
  <c r="AS252" i="28"/>
  <c r="AR252" i="28"/>
  <c r="AU251" i="28"/>
  <c r="AT251" i="28"/>
  <c r="AS251" i="28"/>
  <c r="AR251" i="28"/>
  <c r="AU250" i="28"/>
  <c r="AT250" i="28"/>
  <c r="AS250" i="28"/>
  <c r="AR250" i="28"/>
  <c r="AU249" i="28"/>
  <c r="AT249" i="28"/>
  <c r="AS249" i="28"/>
  <c r="AR249" i="28"/>
  <c r="AU248" i="28"/>
  <c r="AT248" i="28"/>
  <c r="AS248" i="28"/>
  <c r="AR248" i="28"/>
  <c r="AU247" i="28"/>
  <c r="AT247" i="28"/>
  <c r="AS247" i="28"/>
  <c r="AR247" i="28"/>
  <c r="AU246" i="28"/>
  <c r="AT246" i="28"/>
  <c r="AS246" i="28"/>
  <c r="AR246" i="28"/>
  <c r="AU245" i="28"/>
  <c r="AT245" i="28"/>
  <c r="AS245" i="28"/>
  <c r="AR245" i="28"/>
  <c r="AU244" i="28"/>
  <c r="AT244" i="28"/>
  <c r="AS244" i="28"/>
  <c r="AR244" i="28"/>
  <c r="AU243" i="28"/>
  <c r="AT243" i="28"/>
  <c r="AS243" i="28"/>
  <c r="AR243" i="28"/>
  <c r="AU242" i="28"/>
  <c r="AT242" i="28"/>
  <c r="AS242" i="28"/>
  <c r="AR242" i="28"/>
  <c r="AU241" i="28"/>
  <c r="AT241" i="28"/>
  <c r="AS241" i="28"/>
  <c r="AR241" i="28"/>
  <c r="AU240" i="28"/>
  <c r="AT240" i="28"/>
  <c r="AS240" i="28"/>
  <c r="AR240" i="28"/>
  <c r="AU239" i="28"/>
  <c r="AT239" i="28"/>
  <c r="AS239" i="28"/>
  <c r="AR239" i="28"/>
  <c r="AU238" i="28"/>
  <c r="AT238" i="28"/>
  <c r="AS238" i="28"/>
  <c r="AR238" i="28"/>
  <c r="AU237" i="28"/>
  <c r="AT237" i="28"/>
  <c r="AS237" i="28"/>
  <c r="AR237" i="28"/>
  <c r="AU236" i="28"/>
  <c r="AT236" i="28"/>
  <c r="AS236" i="28"/>
  <c r="AR236" i="28"/>
  <c r="AU235" i="28"/>
  <c r="AT235" i="28"/>
  <c r="AS235" i="28"/>
  <c r="AR235" i="28"/>
  <c r="AU234" i="28"/>
  <c r="AT234" i="28"/>
  <c r="AS234" i="28"/>
  <c r="AR234" i="28"/>
  <c r="AU233" i="28"/>
  <c r="AT233" i="28"/>
  <c r="AS233" i="28"/>
  <c r="AR233" i="28"/>
  <c r="AU232" i="28"/>
  <c r="AT232" i="28"/>
  <c r="AS232" i="28"/>
  <c r="AR232" i="28"/>
  <c r="AU231" i="28"/>
  <c r="AT231" i="28"/>
  <c r="AS231" i="28"/>
  <c r="AR231" i="28"/>
  <c r="AU230" i="28"/>
  <c r="AT230" i="28"/>
  <c r="AS230" i="28"/>
  <c r="AR230" i="28"/>
  <c r="AU229" i="28"/>
  <c r="AT229" i="28"/>
  <c r="AS229" i="28"/>
  <c r="AR229" i="28"/>
  <c r="AU228" i="28"/>
  <c r="AT228" i="28"/>
  <c r="AS228" i="28"/>
  <c r="AR228" i="28"/>
  <c r="AU227" i="28"/>
  <c r="AT227" i="28"/>
  <c r="AS227" i="28"/>
  <c r="AR227" i="28"/>
  <c r="AU226" i="28"/>
  <c r="AT226" i="28"/>
  <c r="AS226" i="28"/>
  <c r="AR226" i="28"/>
  <c r="AU225" i="28"/>
  <c r="AT225" i="28"/>
  <c r="AS225" i="28"/>
  <c r="AR225" i="28"/>
  <c r="AU224" i="28"/>
  <c r="AT224" i="28"/>
  <c r="AS224" i="28"/>
  <c r="AR224" i="28"/>
  <c r="AU223" i="28"/>
  <c r="AT223" i="28"/>
  <c r="AS223" i="28"/>
  <c r="AR223" i="28"/>
  <c r="AU222" i="28"/>
  <c r="AT222" i="28"/>
  <c r="AS222" i="28"/>
  <c r="AR222" i="28"/>
  <c r="AU221" i="28"/>
  <c r="AT221" i="28"/>
  <c r="AS221" i="28"/>
  <c r="AR221" i="28"/>
  <c r="AU220" i="28"/>
  <c r="AT220" i="28"/>
  <c r="AS220" i="28"/>
  <c r="AR220" i="28"/>
  <c r="AU219" i="28"/>
  <c r="AT219" i="28"/>
  <c r="AS219" i="28"/>
  <c r="AR219" i="28"/>
  <c r="AU218" i="28"/>
  <c r="AT218" i="28"/>
  <c r="AS218" i="28"/>
  <c r="AR218" i="28"/>
  <c r="AU217" i="28"/>
  <c r="AT217" i="28"/>
  <c r="AS217" i="28"/>
  <c r="AR217" i="28"/>
  <c r="AU216" i="28"/>
  <c r="AT216" i="28"/>
  <c r="AS216" i="28"/>
  <c r="AR216" i="28"/>
  <c r="AU215" i="28"/>
  <c r="AT215" i="28"/>
  <c r="AS215" i="28"/>
  <c r="AR215" i="28"/>
  <c r="AU214" i="28"/>
  <c r="AT214" i="28"/>
  <c r="AS214" i="28"/>
  <c r="AR214" i="28"/>
  <c r="AU213" i="28"/>
  <c r="AT213" i="28"/>
  <c r="AS213" i="28"/>
  <c r="AR213" i="28"/>
  <c r="AU212" i="28"/>
  <c r="AT212" i="28"/>
  <c r="AS212" i="28"/>
  <c r="AR212" i="28"/>
  <c r="AU211" i="28"/>
  <c r="AT211" i="28"/>
  <c r="AS211" i="28"/>
  <c r="AR211" i="28"/>
  <c r="AU210" i="28"/>
  <c r="AT210" i="28"/>
  <c r="AS210" i="28"/>
  <c r="AR210" i="28"/>
  <c r="AU209" i="28"/>
  <c r="AT209" i="28"/>
  <c r="AS209" i="28"/>
  <c r="AR209" i="28"/>
  <c r="AU208" i="28"/>
  <c r="AT208" i="28"/>
  <c r="AS208" i="28"/>
  <c r="AR208" i="28"/>
  <c r="AU207" i="28"/>
  <c r="AT207" i="28"/>
  <c r="AS207" i="28"/>
  <c r="AR207" i="28"/>
  <c r="AU206" i="28"/>
  <c r="AT206" i="28"/>
  <c r="AS206" i="28"/>
  <c r="AR206" i="28"/>
  <c r="AU205" i="28"/>
  <c r="AT205" i="28"/>
  <c r="AS205" i="28"/>
  <c r="AR205" i="28"/>
  <c r="AU204" i="28"/>
  <c r="AT204" i="28"/>
  <c r="AS204" i="28"/>
  <c r="AR204" i="28"/>
  <c r="AU203" i="28"/>
  <c r="AT203" i="28"/>
  <c r="AS203" i="28"/>
  <c r="AR203" i="28"/>
  <c r="AU202" i="28"/>
  <c r="AT202" i="28"/>
  <c r="AS202" i="28"/>
  <c r="AR202" i="28"/>
  <c r="AU201" i="28"/>
  <c r="AT201" i="28"/>
  <c r="AS201" i="28"/>
  <c r="AR201" i="28"/>
  <c r="AU200" i="28"/>
  <c r="AT200" i="28"/>
  <c r="AS200" i="28"/>
  <c r="AR200" i="28"/>
  <c r="AU199" i="28"/>
  <c r="AT199" i="28"/>
  <c r="AS199" i="28"/>
  <c r="AR199" i="28"/>
  <c r="AU198" i="28"/>
  <c r="AT198" i="28"/>
  <c r="AS198" i="28"/>
  <c r="AR198" i="28"/>
  <c r="AU197" i="28"/>
  <c r="AT197" i="28"/>
  <c r="AS197" i="28"/>
  <c r="AR197" i="28"/>
  <c r="AU196" i="28"/>
  <c r="AT196" i="28"/>
  <c r="AS196" i="28"/>
  <c r="AR196" i="28"/>
  <c r="AU195" i="28"/>
  <c r="AT195" i="28"/>
  <c r="AS195" i="28"/>
  <c r="AR195" i="28"/>
  <c r="AU194" i="28"/>
  <c r="AT194" i="28"/>
  <c r="AS194" i="28"/>
  <c r="AR194" i="28"/>
  <c r="AU193" i="28"/>
  <c r="AT193" i="28"/>
  <c r="AS193" i="28"/>
  <c r="AR193" i="28"/>
  <c r="AU192" i="28"/>
  <c r="AT192" i="28"/>
  <c r="AS192" i="28"/>
  <c r="AR192" i="28"/>
  <c r="AU191" i="28"/>
  <c r="AT191" i="28"/>
  <c r="AS191" i="28"/>
  <c r="AR191" i="28"/>
  <c r="AU190" i="28"/>
  <c r="AT190" i="28"/>
  <c r="AS190" i="28"/>
  <c r="AR190" i="28"/>
  <c r="AU189" i="28"/>
  <c r="AT189" i="28"/>
  <c r="AS189" i="28"/>
  <c r="AR189" i="28"/>
  <c r="AU188" i="28"/>
  <c r="AT188" i="28"/>
  <c r="AS188" i="28"/>
  <c r="AR188" i="28"/>
  <c r="AU187" i="28"/>
  <c r="AT187" i="28"/>
  <c r="AS187" i="28"/>
  <c r="AR187" i="28"/>
  <c r="AU186" i="28"/>
  <c r="AT186" i="28"/>
  <c r="AS186" i="28"/>
  <c r="AR186" i="28"/>
  <c r="AU185" i="28"/>
  <c r="AT185" i="28"/>
  <c r="AS185" i="28"/>
  <c r="AR185" i="28"/>
  <c r="AU184" i="28"/>
  <c r="AT184" i="28"/>
  <c r="AS184" i="28"/>
  <c r="AR184" i="28"/>
  <c r="AU183" i="28"/>
  <c r="AT183" i="28"/>
  <c r="AS183" i="28"/>
  <c r="AR183" i="28"/>
  <c r="AU182" i="28"/>
  <c r="AT182" i="28"/>
  <c r="AS182" i="28"/>
  <c r="AR182" i="28"/>
  <c r="AU181" i="28"/>
  <c r="AT181" i="28"/>
  <c r="AS181" i="28"/>
  <c r="AR181" i="28"/>
  <c r="AU180" i="28"/>
  <c r="AT180" i="28"/>
  <c r="AS180" i="28"/>
  <c r="AR180" i="28"/>
  <c r="AU179" i="28"/>
  <c r="AT179" i="28"/>
  <c r="AS179" i="28"/>
  <c r="AR179" i="28"/>
  <c r="AU178" i="28"/>
  <c r="AT178" i="28"/>
  <c r="AS178" i="28"/>
  <c r="AR178" i="28"/>
  <c r="AU177" i="28"/>
  <c r="AT177" i="28"/>
  <c r="AS177" i="28"/>
  <c r="AR177" i="28"/>
  <c r="AU176" i="28"/>
  <c r="AT176" i="28"/>
  <c r="AS176" i="28"/>
  <c r="AR176" i="28"/>
  <c r="AU175" i="28"/>
  <c r="AT175" i="28"/>
  <c r="AS175" i="28"/>
  <c r="AR175" i="28"/>
  <c r="AU174" i="28"/>
  <c r="AT174" i="28"/>
  <c r="AS174" i="28"/>
  <c r="AR174" i="28"/>
  <c r="AU173" i="28"/>
  <c r="AT173" i="28"/>
  <c r="AS173" i="28"/>
  <c r="AR173" i="28"/>
  <c r="AU172" i="28"/>
  <c r="AT172" i="28"/>
  <c r="AS172" i="28"/>
  <c r="AR172" i="28"/>
  <c r="AU171" i="28"/>
  <c r="AT171" i="28"/>
  <c r="AS171" i="28"/>
  <c r="AR171" i="28"/>
  <c r="AU170" i="28"/>
  <c r="AT170" i="28"/>
  <c r="AS170" i="28"/>
  <c r="AR170" i="28"/>
  <c r="AU169" i="28"/>
  <c r="AT169" i="28"/>
  <c r="AS169" i="28"/>
  <c r="AR169" i="28"/>
  <c r="AU168" i="28"/>
  <c r="AT168" i="28"/>
  <c r="AS168" i="28"/>
  <c r="AR168" i="28"/>
  <c r="AU167" i="28"/>
  <c r="AT167" i="28"/>
  <c r="AS167" i="28"/>
  <c r="AR167" i="28"/>
  <c r="AU166" i="28"/>
  <c r="AT166" i="28"/>
  <c r="AS166" i="28"/>
  <c r="AR166" i="28"/>
  <c r="AU165" i="28"/>
  <c r="AT165" i="28"/>
  <c r="AS165" i="28"/>
  <c r="AR165" i="28"/>
  <c r="AU164" i="28"/>
  <c r="AT164" i="28"/>
  <c r="AS164" i="28"/>
  <c r="AR164" i="28"/>
  <c r="AU163" i="28"/>
  <c r="AT163" i="28"/>
  <c r="AS163" i="28"/>
  <c r="AR163" i="28"/>
  <c r="AU162" i="28"/>
  <c r="AT162" i="28"/>
  <c r="AS162" i="28"/>
  <c r="AR162" i="28"/>
  <c r="AU161" i="28"/>
  <c r="AT161" i="28"/>
  <c r="AS161" i="28"/>
  <c r="AR161" i="28"/>
  <c r="AU160" i="28"/>
  <c r="AT160" i="28"/>
  <c r="AS160" i="28"/>
  <c r="AR160" i="28"/>
  <c r="AU159" i="28"/>
  <c r="AT159" i="28"/>
  <c r="AS159" i="28"/>
  <c r="AR159" i="28"/>
  <c r="AU158" i="28"/>
  <c r="AT158" i="28"/>
  <c r="AS158" i="28"/>
  <c r="AR158" i="28"/>
  <c r="AU157" i="28"/>
  <c r="AT157" i="28"/>
  <c r="AS157" i="28"/>
  <c r="AR157" i="28"/>
  <c r="AU156" i="28"/>
  <c r="AT156" i="28"/>
  <c r="AS156" i="28"/>
  <c r="AR156" i="28"/>
  <c r="AU155" i="28"/>
  <c r="AT155" i="28"/>
  <c r="AS155" i="28"/>
  <c r="AR155" i="28"/>
  <c r="AU154" i="28"/>
  <c r="AT154" i="28"/>
  <c r="AS154" i="28"/>
  <c r="AR154" i="28"/>
  <c r="AU153" i="28"/>
  <c r="AT153" i="28"/>
  <c r="AS153" i="28"/>
  <c r="AR153" i="28"/>
  <c r="AU152" i="28"/>
  <c r="AT152" i="28"/>
  <c r="AS152" i="28"/>
  <c r="AR152" i="28"/>
  <c r="AU151" i="28"/>
  <c r="AT151" i="28"/>
  <c r="AS151" i="28"/>
  <c r="AR151" i="28"/>
  <c r="AU150" i="28"/>
  <c r="AT150" i="28"/>
  <c r="AS150" i="28"/>
  <c r="AR150" i="28"/>
  <c r="AU149" i="28"/>
  <c r="AT149" i="28"/>
  <c r="AS149" i="28"/>
  <c r="AR149" i="28"/>
  <c r="AU148" i="28"/>
  <c r="AT148" i="28"/>
  <c r="AS148" i="28"/>
  <c r="AR148" i="28"/>
  <c r="AU147" i="28"/>
  <c r="AT147" i="28"/>
  <c r="AS147" i="28"/>
  <c r="AR147" i="28"/>
  <c r="AU146" i="28"/>
  <c r="AT146" i="28"/>
  <c r="AS146" i="28"/>
  <c r="AR146" i="28"/>
  <c r="AU145" i="28"/>
  <c r="AT145" i="28"/>
  <c r="AS145" i="28"/>
  <c r="AR145" i="28"/>
  <c r="AU144" i="28"/>
  <c r="AT144" i="28"/>
  <c r="AS144" i="28"/>
  <c r="AR144" i="28"/>
  <c r="AU143" i="28"/>
  <c r="AT143" i="28"/>
  <c r="AS143" i="28"/>
  <c r="AR143" i="28"/>
  <c r="AU142" i="28"/>
  <c r="AT142" i="28"/>
  <c r="AS142" i="28"/>
  <c r="AR142" i="28"/>
  <c r="AU141" i="28"/>
  <c r="AT141" i="28"/>
  <c r="AS141" i="28"/>
  <c r="AR141" i="28"/>
  <c r="AU140" i="28"/>
  <c r="AT140" i="28"/>
  <c r="AS140" i="28"/>
  <c r="AR140" i="28"/>
  <c r="AU139" i="28"/>
  <c r="AT139" i="28"/>
  <c r="AS139" i="28"/>
  <c r="AR139" i="28"/>
  <c r="AU138" i="28"/>
  <c r="AT138" i="28"/>
  <c r="AS138" i="28"/>
  <c r="AR138" i="28"/>
  <c r="AU137" i="28"/>
  <c r="AT137" i="28"/>
  <c r="AS137" i="28"/>
  <c r="AR137" i="28"/>
  <c r="AU136" i="28"/>
  <c r="AT136" i="28"/>
  <c r="AS136" i="28"/>
  <c r="AR136" i="28"/>
  <c r="AU135" i="28"/>
  <c r="AT135" i="28"/>
  <c r="AS135" i="28"/>
  <c r="AR135" i="28"/>
  <c r="AU134" i="28"/>
  <c r="AT134" i="28"/>
  <c r="AS134" i="28"/>
  <c r="AR134" i="28"/>
  <c r="AU133" i="28"/>
  <c r="AT133" i="28"/>
  <c r="AS133" i="28"/>
  <c r="AR133" i="28"/>
  <c r="AU132" i="28"/>
  <c r="AT132" i="28"/>
  <c r="AS132" i="28"/>
  <c r="AR132" i="28"/>
  <c r="AU131" i="28"/>
  <c r="AT131" i="28"/>
  <c r="AS131" i="28"/>
  <c r="AR131" i="28"/>
  <c r="AU130" i="28"/>
  <c r="AT130" i="28"/>
  <c r="AS130" i="28"/>
  <c r="AR130" i="28"/>
  <c r="AU129" i="28"/>
  <c r="AT129" i="28"/>
  <c r="AS129" i="28"/>
  <c r="AR129" i="28"/>
  <c r="AU128" i="28"/>
  <c r="AT128" i="28"/>
  <c r="AS128" i="28"/>
  <c r="AR128" i="28"/>
  <c r="AU127" i="28"/>
  <c r="AT127" i="28"/>
  <c r="AS127" i="28"/>
  <c r="AR127" i="28"/>
  <c r="AU126" i="28"/>
  <c r="AT126" i="28"/>
  <c r="AS126" i="28"/>
  <c r="AR126" i="28"/>
  <c r="AU125" i="28"/>
  <c r="AT125" i="28"/>
  <c r="AS125" i="28"/>
  <c r="AR125" i="28"/>
  <c r="AU124" i="28"/>
  <c r="AT124" i="28"/>
  <c r="AS124" i="28"/>
  <c r="AR124" i="28"/>
  <c r="AU123" i="28"/>
  <c r="AT123" i="28"/>
  <c r="AS123" i="28"/>
  <c r="AR123" i="28"/>
  <c r="AU122" i="28"/>
  <c r="AT122" i="28"/>
  <c r="AS122" i="28"/>
  <c r="AR122" i="28"/>
  <c r="AU121" i="28"/>
  <c r="AT121" i="28"/>
  <c r="AS121" i="28"/>
  <c r="AR121" i="28"/>
  <c r="AU120" i="28"/>
  <c r="AT120" i="28"/>
  <c r="AS120" i="28"/>
  <c r="AR120" i="28"/>
  <c r="AU119" i="28"/>
  <c r="AT119" i="28"/>
  <c r="AS119" i="28"/>
  <c r="AR119" i="28"/>
  <c r="AU118" i="28"/>
  <c r="AT118" i="28"/>
  <c r="AS118" i="28"/>
  <c r="AR118" i="28"/>
  <c r="AU117" i="28"/>
  <c r="AT117" i="28"/>
  <c r="AS117" i="28"/>
  <c r="AR117" i="28"/>
  <c r="AU116" i="28"/>
  <c r="AT116" i="28"/>
  <c r="AS116" i="28"/>
  <c r="AR116" i="28"/>
  <c r="AU115" i="28"/>
  <c r="AT115" i="28"/>
  <c r="AS115" i="28"/>
  <c r="AR115" i="28"/>
  <c r="AU114" i="28"/>
  <c r="AT114" i="28"/>
  <c r="AS114" i="28"/>
  <c r="AR114" i="28"/>
  <c r="AU113" i="28"/>
  <c r="AT113" i="28"/>
  <c r="AS113" i="28"/>
  <c r="AR113" i="28"/>
  <c r="AU112" i="28"/>
  <c r="AT112" i="28"/>
  <c r="AS112" i="28"/>
  <c r="AR112" i="28"/>
  <c r="AU111" i="28"/>
  <c r="AT111" i="28"/>
  <c r="AS111" i="28"/>
  <c r="AR111" i="28"/>
  <c r="AU110" i="28"/>
  <c r="AT110" i="28"/>
  <c r="AS110" i="28"/>
  <c r="AR110" i="28"/>
  <c r="AU109" i="28"/>
  <c r="AT109" i="28"/>
  <c r="AS109" i="28"/>
  <c r="AR109" i="28"/>
  <c r="AU108" i="28"/>
  <c r="AT108" i="28"/>
  <c r="AS108" i="28"/>
  <c r="AR108" i="28"/>
  <c r="AU107" i="28"/>
  <c r="AT107" i="28"/>
  <c r="AS107" i="28"/>
  <c r="AR107" i="28"/>
  <c r="AU106" i="28"/>
  <c r="AT106" i="28"/>
  <c r="AS106" i="28"/>
  <c r="AR106" i="28"/>
  <c r="AU105" i="28"/>
  <c r="AT105" i="28"/>
  <c r="AS105" i="28"/>
  <c r="AR105" i="28"/>
  <c r="AU104" i="28"/>
  <c r="AT104" i="28"/>
  <c r="AS104" i="28"/>
  <c r="AR104" i="28"/>
  <c r="AU103" i="28"/>
  <c r="AT103" i="28"/>
  <c r="AS103" i="28"/>
  <c r="AR103" i="28"/>
  <c r="AU102" i="28"/>
  <c r="AT102" i="28"/>
  <c r="AS102" i="28"/>
  <c r="AR102" i="28"/>
  <c r="AU101" i="28"/>
  <c r="AT101" i="28"/>
  <c r="AS101" i="28"/>
  <c r="AR101" i="28"/>
  <c r="AU100" i="28"/>
  <c r="AT100" i="28"/>
  <c r="AS100" i="28"/>
  <c r="AR100" i="28"/>
  <c r="AU99" i="28"/>
  <c r="AT99" i="28"/>
  <c r="AS99" i="28"/>
  <c r="AR99" i="28"/>
  <c r="AU98" i="28"/>
  <c r="AT98" i="28"/>
  <c r="AS98" i="28"/>
  <c r="AR98" i="28"/>
  <c r="AU97" i="28"/>
  <c r="AT97" i="28"/>
  <c r="AS97" i="28"/>
  <c r="AR97" i="28"/>
  <c r="AU96" i="28"/>
  <c r="AT96" i="28"/>
  <c r="AS96" i="28"/>
  <c r="AR96" i="28"/>
  <c r="AU95" i="28"/>
  <c r="AT95" i="28"/>
  <c r="AS95" i="28"/>
  <c r="AR95" i="28"/>
  <c r="AU94" i="28"/>
  <c r="AT94" i="28"/>
  <c r="AS94" i="28"/>
  <c r="AR94" i="28"/>
  <c r="AU93" i="28"/>
  <c r="AT93" i="28"/>
  <c r="AS93" i="28"/>
  <c r="AR93" i="28"/>
  <c r="AU92" i="28"/>
  <c r="AT92" i="28"/>
  <c r="AS92" i="28"/>
  <c r="AR92" i="28"/>
  <c r="AU91" i="28"/>
  <c r="AT91" i="28"/>
  <c r="AS91" i="28"/>
  <c r="AR91" i="28"/>
  <c r="AU90" i="28"/>
  <c r="AT90" i="28"/>
  <c r="AS90" i="28"/>
  <c r="AR90" i="28"/>
  <c r="AU89" i="28"/>
  <c r="AT89" i="28"/>
  <c r="AS89" i="28"/>
  <c r="AR89" i="28"/>
  <c r="AU88" i="28"/>
  <c r="AT88" i="28"/>
  <c r="AS88" i="28"/>
  <c r="AR88" i="28"/>
  <c r="AU87" i="28"/>
  <c r="AT87" i="28"/>
  <c r="AS87" i="28"/>
  <c r="AR87" i="28"/>
  <c r="AU86" i="28"/>
  <c r="AT86" i="28"/>
  <c r="AS86" i="28"/>
  <c r="AR86" i="28"/>
  <c r="AU85" i="28"/>
  <c r="AT85" i="28"/>
  <c r="AS85" i="28"/>
  <c r="AR85" i="28"/>
  <c r="AU84" i="28"/>
  <c r="AT84" i="28"/>
  <c r="AS84" i="28"/>
  <c r="AR84" i="28"/>
  <c r="AU83" i="28"/>
  <c r="AT83" i="28"/>
  <c r="AS83" i="28"/>
  <c r="AR83" i="28"/>
  <c r="AU82" i="28"/>
  <c r="AT82" i="28"/>
  <c r="AS82" i="28"/>
  <c r="AR82" i="28"/>
  <c r="AU81" i="28"/>
  <c r="AT81" i="28"/>
  <c r="AS81" i="28"/>
  <c r="AR81" i="28"/>
  <c r="AU80" i="28"/>
  <c r="AT80" i="28"/>
  <c r="AS80" i="28"/>
  <c r="AR80" i="28"/>
  <c r="AU79" i="28"/>
  <c r="AT79" i="28"/>
  <c r="AS79" i="28"/>
  <c r="AR79" i="28"/>
  <c r="AU78" i="28"/>
  <c r="AT78" i="28"/>
  <c r="AS78" i="28"/>
  <c r="AR78" i="28"/>
  <c r="AU77" i="28"/>
  <c r="AT77" i="28"/>
  <c r="AS77" i="28"/>
  <c r="AR77" i="28"/>
  <c r="AU76" i="28"/>
  <c r="AT76" i="28"/>
  <c r="AS76" i="28"/>
  <c r="AR76" i="28"/>
  <c r="AU75" i="28"/>
  <c r="AT75" i="28"/>
  <c r="AS75" i="28"/>
  <c r="AR75" i="28"/>
  <c r="AU74" i="28"/>
  <c r="AT74" i="28"/>
  <c r="AS74" i="28"/>
  <c r="AR74" i="28"/>
  <c r="AU73" i="28"/>
  <c r="AT73" i="28"/>
  <c r="AS73" i="28"/>
  <c r="AR73" i="28"/>
  <c r="AU72" i="28"/>
  <c r="AT72" i="28"/>
  <c r="AS72" i="28"/>
  <c r="AR72" i="28"/>
  <c r="AU71" i="28"/>
  <c r="AT71" i="28"/>
  <c r="AS71" i="28"/>
  <c r="AR71" i="28"/>
  <c r="AU70" i="28"/>
  <c r="AT70" i="28"/>
  <c r="AS70" i="28"/>
  <c r="AR70" i="28"/>
  <c r="AU69" i="28"/>
  <c r="AT69" i="28"/>
  <c r="AS69" i="28"/>
  <c r="AR69" i="28"/>
  <c r="AU68" i="28"/>
  <c r="AT68" i="28"/>
  <c r="AS68" i="28"/>
  <c r="AR68" i="28"/>
  <c r="AU67" i="28"/>
  <c r="AT67" i="28"/>
  <c r="AS67" i="28"/>
  <c r="AR67" i="28"/>
  <c r="AU66" i="28"/>
  <c r="AT66" i="28"/>
  <c r="AS66" i="28"/>
  <c r="AR66" i="28"/>
  <c r="AU65" i="28"/>
  <c r="AT65" i="28"/>
  <c r="AS65" i="28"/>
  <c r="AR65" i="28"/>
  <c r="AU64" i="28"/>
  <c r="AT64" i="28"/>
  <c r="AS64" i="28"/>
  <c r="AR64" i="28"/>
  <c r="AU63" i="28"/>
  <c r="AT63" i="28"/>
  <c r="AS63" i="28"/>
  <c r="AR63" i="28"/>
  <c r="AU62" i="28"/>
  <c r="AT62" i="28"/>
  <c r="AS62" i="28"/>
  <c r="AR62" i="28"/>
  <c r="AU61" i="28"/>
  <c r="AT61" i="28"/>
  <c r="AS61" i="28"/>
  <c r="AR61" i="28"/>
  <c r="AU60" i="28"/>
  <c r="AT60" i="28"/>
  <c r="AS60" i="28"/>
  <c r="AR60" i="28"/>
  <c r="AU59" i="28"/>
  <c r="AT59" i="28"/>
  <c r="AS59" i="28"/>
  <c r="AR59" i="28"/>
  <c r="AU58" i="28"/>
  <c r="AT58" i="28"/>
  <c r="AS58" i="28"/>
  <c r="AR58" i="28"/>
  <c r="AU57" i="28"/>
  <c r="AT57" i="28"/>
  <c r="AS57" i="28"/>
  <c r="AR57" i="28"/>
  <c r="AU56" i="28"/>
  <c r="AT56" i="28"/>
  <c r="AS56" i="28"/>
  <c r="AR56" i="28"/>
  <c r="AU55" i="28"/>
  <c r="AT55" i="28"/>
  <c r="AS55" i="28"/>
  <c r="AR55" i="28"/>
  <c r="AU54" i="28"/>
  <c r="AT54" i="28"/>
  <c r="AS54" i="28"/>
  <c r="AR54" i="28"/>
  <c r="AU53" i="28"/>
  <c r="AT53" i="28"/>
  <c r="AS53" i="28"/>
  <c r="AR53" i="28"/>
  <c r="AU52" i="28"/>
  <c r="AT52" i="28"/>
  <c r="AS52" i="28"/>
  <c r="AR52" i="28"/>
  <c r="AU51" i="28"/>
  <c r="AT51" i="28"/>
  <c r="AS51" i="28"/>
  <c r="AR51" i="28"/>
  <c r="AU50" i="28"/>
  <c r="AT50" i="28"/>
  <c r="AS50" i="28"/>
  <c r="AR50" i="28"/>
  <c r="AU49" i="28"/>
  <c r="AT49" i="28"/>
  <c r="AS49" i="28"/>
  <c r="AR49" i="28"/>
  <c r="AU48" i="28"/>
  <c r="AT48" i="28"/>
  <c r="AS48" i="28"/>
  <c r="AR48" i="28"/>
  <c r="AU47" i="28"/>
  <c r="AT47" i="28"/>
  <c r="AS47" i="28"/>
  <c r="AR47" i="28"/>
  <c r="AU46" i="28"/>
  <c r="AT46" i="28"/>
  <c r="AS46" i="28"/>
  <c r="AR46" i="28"/>
  <c r="AU45" i="28"/>
  <c r="AT45" i="28"/>
  <c r="AS45" i="28"/>
  <c r="AR45" i="28"/>
  <c r="AU44" i="28"/>
  <c r="AT44" i="28"/>
  <c r="AS44" i="28"/>
  <c r="AR44" i="28"/>
  <c r="AU43" i="28"/>
  <c r="AT43" i="28"/>
  <c r="AS43" i="28"/>
  <c r="AR43" i="28"/>
  <c r="AU42" i="28"/>
  <c r="AT42" i="28"/>
  <c r="AS42" i="28"/>
  <c r="AR42" i="28"/>
  <c r="AU41" i="28"/>
  <c r="AT41" i="28"/>
  <c r="AS41" i="28"/>
  <c r="AR41" i="28"/>
  <c r="AU40" i="28"/>
  <c r="AT40" i="28"/>
  <c r="AS40" i="28"/>
  <c r="AR40" i="28"/>
  <c r="AU39" i="28"/>
  <c r="AT39" i="28"/>
  <c r="AS39" i="28"/>
  <c r="AR39" i="28"/>
  <c r="AU38" i="28"/>
  <c r="AT38" i="28"/>
  <c r="AS38" i="28"/>
  <c r="AR38" i="28"/>
  <c r="AU37" i="28"/>
  <c r="AT37" i="28"/>
  <c r="AS37" i="28"/>
  <c r="AR37" i="28"/>
  <c r="AU36" i="28"/>
  <c r="AT36" i="28"/>
  <c r="AS36" i="28"/>
  <c r="AR36" i="28"/>
  <c r="AU35" i="28"/>
  <c r="AT35" i="28"/>
  <c r="AS35" i="28"/>
  <c r="AR35" i="28"/>
  <c r="AU34" i="28"/>
  <c r="AT34" i="28"/>
  <c r="AS34" i="28"/>
  <c r="AR34" i="28"/>
  <c r="AU33" i="28"/>
  <c r="AT33" i="28"/>
  <c r="AS33" i="28"/>
  <c r="AR33" i="28"/>
  <c r="AU32" i="28"/>
  <c r="AT32" i="28"/>
  <c r="AS32" i="28"/>
  <c r="AR32" i="28"/>
  <c r="AU31" i="28"/>
  <c r="AT31" i="28"/>
  <c r="AS31" i="28"/>
  <c r="AR31" i="28"/>
  <c r="AU30" i="28"/>
  <c r="AT30" i="28"/>
  <c r="AS30" i="28"/>
  <c r="AR30" i="28"/>
  <c r="AU29" i="28"/>
  <c r="AT29" i="28"/>
  <c r="AS29" i="28"/>
  <c r="AR29" i="28"/>
  <c r="AU28" i="28"/>
  <c r="AT28" i="28"/>
  <c r="AS28" i="28"/>
  <c r="AR28" i="28"/>
  <c r="AU27" i="28"/>
  <c r="AT27" i="28"/>
  <c r="AS27" i="28"/>
  <c r="AR27" i="28"/>
  <c r="AU26" i="28"/>
  <c r="AT26" i="28"/>
  <c r="AS26" i="28"/>
  <c r="AR26" i="28"/>
  <c r="AU25" i="28"/>
  <c r="AT25" i="28"/>
  <c r="AS25" i="28"/>
  <c r="AR25" i="28"/>
  <c r="AU24" i="28"/>
  <c r="AT24" i="28"/>
  <c r="AS24" i="28"/>
  <c r="AR24" i="28"/>
  <c r="AU23" i="28"/>
  <c r="AT23" i="28"/>
  <c r="AS23" i="28"/>
  <c r="AR23" i="28"/>
  <c r="AU22" i="28"/>
  <c r="AT22" i="28"/>
  <c r="AS22" i="28"/>
  <c r="AR22" i="28"/>
  <c r="AU21" i="28"/>
  <c r="AT21" i="28"/>
  <c r="AS21" i="28"/>
  <c r="AR21" i="28"/>
  <c r="AU20" i="28"/>
  <c r="AT20" i="28"/>
  <c r="AS20" i="28"/>
  <c r="AR20" i="28"/>
  <c r="AU19" i="28"/>
  <c r="AT19" i="28"/>
  <c r="AS19" i="28"/>
  <c r="AR19" i="28"/>
  <c r="AU18" i="28"/>
  <c r="AT18" i="28"/>
  <c r="AS18" i="28"/>
  <c r="AR18" i="28"/>
  <c r="AU17" i="28"/>
  <c r="AT17" i="28"/>
  <c r="AS17" i="28"/>
  <c r="AR17" i="28"/>
  <c r="AU16" i="28"/>
  <c r="AT16" i="28"/>
  <c r="AS16" i="28"/>
  <c r="AR16" i="28"/>
  <c r="AU15" i="28"/>
  <c r="AT15" i="28"/>
  <c r="AS15" i="28"/>
  <c r="AR15" i="28"/>
  <c r="AU14" i="28"/>
  <c r="AT14" i="28"/>
  <c r="AS14" i="28"/>
  <c r="AR14" i="28"/>
  <c r="AU13" i="28"/>
  <c r="AT13" i="28"/>
  <c r="AS13" i="28"/>
  <c r="AR13" i="28"/>
  <c r="AU12" i="28"/>
  <c r="AT12" i="28"/>
  <c r="AS12" i="28"/>
  <c r="AR12" i="28"/>
  <c r="AU11" i="28"/>
  <c r="AT11" i="28"/>
  <c r="AS11" i="28"/>
  <c r="AR11" i="28"/>
  <c r="AU10" i="28"/>
  <c r="AT10" i="28"/>
  <c r="AS10" i="28"/>
  <c r="AR10" i="28"/>
  <c r="AU9" i="28"/>
  <c r="AT9" i="28"/>
  <c r="AS9" i="28"/>
  <c r="AR9" i="28"/>
  <c r="AU8" i="28"/>
  <c r="AT8" i="28"/>
  <c r="AS8" i="28"/>
  <c r="AR8" i="28"/>
  <c r="AU7" i="28"/>
  <c r="AT7" i="28"/>
  <c r="AS7" i="28"/>
  <c r="AR7" i="28"/>
  <c r="AU6" i="28"/>
  <c r="AT6" i="28"/>
  <c r="AS6" i="28"/>
  <c r="AR6" i="28"/>
  <c r="AU5" i="28"/>
  <c r="AT5" i="28"/>
  <c r="AS5" i="28"/>
  <c r="AR5" i="28"/>
  <c r="AU4" i="28"/>
  <c r="AT4" i="28"/>
  <c r="AS4" i="28"/>
  <c r="AR4" i="28"/>
  <c r="AP266" i="28"/>
  <c r="AO266" i="28"/>
  <c r="AN266" i="28"/>
  <c r="AM266" i="28"/>
  <c r="AP265" i="28"/>
  <c r="AO265" i="28"/>
  <c r="AN265" i="28"/>
  <c r="AM265" i="28"/>
  <c r="AP264" i="28"/>
  <c r="AO264" i="28"/>
  <c r="AN264" i="28"/>
  <c r="AM264" i="28"/>
  <c r="AP263" i="28"/>
  <c r="AO263" i="28"/>
  <c r="AN263" i="28"/>
  <c r="AM263" i="28"/>
  <c r="AP262" i="28"/>
  <c r="AO262" i="28"/>
  <c r="AN262" i="28"/>
  <c r="AM262" i="28"/>
  <c r="AP261" i="28"/>
  <c r="AO261" i="28"/>
  <c r="AN261" i="28"/>
  <c r="AM261" i="28"/>
  <c r="AP260" i="28"/>
  <c r="AO260" i="28"/>
  <c r="AN260" i="28"/>
  <c r="AM260" i="28"/>
  <c r="AP259" i="28"/>
  <c r="AO259" i="28"/>
  <c r="AN259" i="28"/>
  <c r="AM259" i="28"/>
  <c r="AP258" i="28"/>
  <c r="AO258" i="28"/>
  <c r="AN258" i="28"/>
  <c r="AM258" i="28"/>
  <c r="AP257" i="28"/>
  <c r="AO257" i="28"/>
  <c r="AN257" i="28"/>
  <c r="AM257" i="28"/>
  <c r="AP256" i="28"/>
  <c r="AO256" i="28"/>
  <c r="AN256" i="28"/>
  <c r="AM256" i="28"/>
  <c r="AP255" i="28"/>
  <c r="AO255" i="28"/>
  <c r="AN255" i="28"/>
  <c r="AM255" i="28"/>
  <c r="AP254" i="28"/>
  <c r="AO254" i="28"/>
  <c r="AN254" i="28"/>
  <c r="AM254" i="28"/>
  <c r="AP253" i="28"/>
  <c r="AO253" i="28"/>
  <c r="AN253" i="28"/>
  <c r="AM253" i="28"/>
  <c r="AP252" i="28"/>
  <c r="AO252" i="28"/>
  <c r="AN252" i="28"/>
  <c r="AM252" i="28"/>
  <c r="AP251" i="28"/>
  <c r="AO251" i="28"/>
  <c r="AN251" i="28"/>
  <c r="AM251" i="28"/>
  <c r="AP250" i="28"/>
  <c r="AO250" i="28"/>
  <c r="AN250" i="28"/>
  <c r="AM250" i="28"/>
  <c r="AP249" i="28"/>
  <c r="AO249" i="28"/>
  <c r="AN249" i="28"/>
  <c r="AM249" i="28"/>
  <c r="AP248" i="28"/>
  <c r="AO248" i="28"/>
  <c r="AN248" i="28"/>
  <c r="AM248" i="28"/>
  <c r="AP247" i="28"/>
  <c r="AO247" i="28"/>
  <c r="AN247" i="28"/>
  <c r="AM247" i="28"/>
  <c r="AP246" i="28"/>
  <c r="AO246" i="28"/>
  <c r="AN246" i="28"/>
  <c r="AM246" i="28"/>
  <c r="AP245" i="28"/>
  <c r="AO245" i="28"/>
  <c r="AN245" i="28"/>
  <c r="AM245" i="28"/>
  <c r="AP244" i="28"/>
  <c r="AO244" i="28"/>
  <c r="AN244" i="28"/>
  <c r="AM244" i="28"/>
  <c r="AP243" i="28"/>
  <c r="AO243" i="28"/>
  <c r="AN243" i="28"/>
  <c r="AM243" i="28"/>
  <c r="AP242" i="28"/>
  <c r="AO242" i="28"/>
  <c r="AN242" i="28"/>
  <c r="AM242" i="28"/>
  <c r="AP241" i="28"/>
  <c r="AO241" i="28"/>
  <c r="AN241" i="28"/>
  <c r="AM241" i="28"/>
  <c r="AP240" i="28"/>
  <c r="AO240" i="28"/>
  <c r="AN240" i="28"/>
  <c r="AM240" i="28"/>
  <c r="AP239" i="28"/>
  <c r="AO239" i="28"/>
  <c r="AN239" i="28"/>
  <c r="AM239" i="28"/>
  <c r="AP238" i="28"/>
  <c r="AO238" i="28"/>
  <c r="AN238" i="28"/>
  <c r="AM238" i="28"/>
  <c r="AP237" i="28"/>
  <c r="AO237" i="28"/>
  <c r="AN237" i="28"/>
  <c r="AM237" i="28"/>
  <c r="AP236" i="28"/>
  <c r="AO236" i="28"/>
  <c r="AN236" i="28"/>
  <c r="AM236" i="28"/>
  <c r="AP235" i="28"/>
  <c r="AO235" i="28"/>
  <c r="AN235" i="28"/>
  <c r="AM235" i="28"/>
  <c r="AP234" i="28"/>
  <c r="AO234" i="28"/>
  <c r="AN234" i="28"/>
  <c r="AM234" i="28"/>
  <c r="AP233" i="28"/>
  <c r="AO233" i="28"/>
  <c r="AN233" i="28"/>
  <c r="AM233" i="28"/>
  <c r="AP232" i="28"/>
  <c r="AO232" i="28"/>
  <c r="AN232" i="28"/>
  <c r="AM232" i="28"/>
  <c r="AP231" i="28"/>
  <c r="AO231" i="28"/>
  <c r="AN231" i="28"/>
  <c r="AM231" i="28"/>
  <c r="AP230" i="28"/>
  <c r="AO230" i="28"/>
  <c r="AN230" i="28"/>
  <c r="AM230" i="28"/>
  <c r="AP229" i="28"/>
  <c r="AO229" i="28"/>
  <c r="AN229" i="28"/>
  <c r="AM229" i="28"/>
  <c r="AP228" i="28"/>
  <c r="AO228" i="28"/>
  <c r="AN228" i="28"/>
  <c r="AM228" i="28"/>
  <c r="AP227" i="28"/>
  <c r="AO227" i="28"/>
  <c r="AN227" i="28"/>
  <c r="AM227" i="28"/>
  <c r="AP226" i="28"/>
  <c r="AO226" i="28"/>
  <c r="AN226" i="28"/>
  <c r="AM226" i="28"/>
  <c r="AP225" i="28"/>
  <c r="AO225" i="28"/>
  <c r="AN225" i="28"/>
  <c r="AM225" i="28"/>
  <c r="AP224" i="28"/>
  <c r="AO224" i="28"/>
  <c r="AN224" i="28"/>
  <c r="AM224" i="28"/>
  <c r="AP223" i="28"/>
  <c r="AO223" i="28"/>
  <c r="AN223" i="28"/>
  <c r="AM223" i="28"/>
  <c r="AP222" i="28"/>
  <c r="AO222" i="28"/>
  <c r="AN222" i="28"/>
  <c r="AM222" i="28"/>
  <c r="AP221" i="28"/>
  <c r="AO221" i="28"/>
  <c r="AN221" i="28"/>
  <c r="AM221" i="28"/>
  <c r="AP220" i="28"/>
  <c r="AO220" i="28"/>
  <c r="AN220" i="28"/>
  <c r="AM220" i="28"/>
  <c r="AP219" i="28"/>
  <c r="AO219" i="28"/>
  <c r="AN219" i="28"/>
  <c r="AM219" i="28"/>
  <c r="AP218" i="28"/>
  <c r="AO218" i="28"/>
  <c r="AN218" i="28"/>
  <c r="AM218" i="28"/>
  <c r="AP217" i="28"/>
  <c r="AO217" i="28"/>
  <c r="AN217" i="28"/>
  <c r="AM217" i="28"/>
  <c r="AP216" i="28"/>
  <c r="AO216" i="28"/>
  <c r="AN216" i="28"/>
  <c r="AM216" i="28"/>
  <c r="AP215" i="28"/>
  <c r="AO215" i="28"/>
  <c r="AN215" i="28"/>
  <c r="AM215" i="28"/>
  <c r="AP214" i="28"/>
  <c r="AO214" i="28"/>
  <c r="AN214" i="28"/>
  <c r="AM214" i="28"/>
  <c r="AP213" i="28"/>
  <c r="AO213" i="28"/>
  <c r="AN213" i="28"/>
  <c r="AM213" i="28"/>
  <c r="AP212" i="28"/>
  <c r="AO212" i="28"/>
  <c r="AN212" i="28"/>
  <c r="AM212" i="28"/>
  <c r="AP211" i="28"/>
  <c r="AO211" i="28"/>
  <c r="AN211" i="28"/>
  <c r="AM211" i="28"/>
  <c r="AP210" i="28"/>
  <c r="AO210" i="28"/>
  <c r="AN210" i="28"/>
  <c r="AM210" i="28"/>
  <c r="AP209" i="28"/>
  <c r="AO209" i="28"/>
  <c r="AN209" i="28"/>
  <c r="AM209" i="28"/>
  <c r="AP208" i="28"/>
  <c r="AO208" i="28"/>
  <c r="AN208" i="28"/>
  <c r="AM208" i="28"/>
  <c r="AP207" i="28"/>
  <c r="AO207" i="28"/>
  <c r="AN207" i="28"/>
  <c r="AM207" i="28"/>
  <c r="AP206" i="28"/>
  <c r="AO206" i="28"/>
  <c r="AN206" i="28"/>
  <c r="AM206" i="28"/>
  <c r="AP205" i="28"/>
  <c r="AO205" i="28"/>
  <c r="AN205" i="28"/>
  <c r="AM205" i="28"/>
  <c r="AP204" i="28"/>
  <c r="AO204" i="28"/>
  <c r="AN204" i="28"/>
  <c r="AM204" i="28"/>
  <c r="AP203" i="28"/>
  <c r="AO203" i="28"/>
  <c r="AN203" i="28"/>
  <c r="AM203" i="28"/>
  <c r="AP202" i="28"/>
  <c r="AO202" i="28"/>
  <c r="AN202" i="28"/>
  <c r="AM202" i="28"/>
  <c r="AP201" i="28"/>
  <c r="AO201" i="28"/>
  <c r="AN201" i="28"/>
  <c r="AM201" i="28"/>
  <c r="AP200" i="28"/>
  <c r="AO200" i="28"/>
  <c r="AN200" i="28"/>
  <c r="AM200" i="28"/>
  <c r="AP199" i="28"/>
  <c r="AO199" i="28"/>
  <c r="AN199" i="28"/>
  <c r="AM199" i="28"/>
  <c r="AP198" i="28"/>
  <c r="AO198" i="28"/>
  <c r="AN198" i="28"/>
  <c r="AM198" i="28"/>
  <c r="AP197" i="28"/>
  <c r="AO197" i="28"/>
  <c r="AN197" i="28"/>
  <c r="AM197" i="28"/>
  <c r="AP196" i="28"/>
  <c r="AO196" i="28"/>
  <c r="AN196" i="28"/>
  <c r="AM196" i="28"/>
  <c r="AP195" i="28"/>
  <c r="AO195" i="28"/>
  <c r="AN195" i="28"/>
  <c r="AM195" i="28"/>
  <c r="AP194" i="28"/>
  <c r="AO194" i="28"/>
  <c r="AN194" i="28"/>
  <c r="AM194" i="28"/>
  <c r="AP193" i="28"/>
  <c r="AO193" i="28"/>
  <c r="AN193" i="28"/>
  <c r="AM193" i="28"/>
  <c r="AP192" i="28"/>
  <c r="AO192" i="28"/>
  <c r="AN192" i="28"/>
  <c r="AM192" i="28"/>
  <c r="AP191" i="28"/>
  <c r="AO191" i="28"/>
  <c r="AN191" i="28"/>
  <c r="AM191" i="28"/>
  <c r="AP190" i="28"/>
  <c r="AO190" i="28"/>
  <c r="AN190" i="28"/>
  <c r="AM190" i="28"/>
  <c r="AP189" i="28"/>
  <c r="AO189" i="28"/>
  <c r="AN189" i="28"/>
  <c r="AM189" i="28"/>
  <c r="AP188" i="28"/>
  <c r="AO188" i="28"/>
  <c r="AN188" i="28"/>
  <c r="AM188" i="28"/>
  <c r="AP187" i="28"/>
  <c r="AO187" i="28"/>
  <c r="AN187" i="28"/>
  <c r="AM187" i="28"/>
  <c r="AP186" i="28"/>
  <c r="AO186" i="28"/>
  <c r="AN186" i="28"/>
  <c r="AM186" i="28"/>
  <c r="AP185" i="28"/>
  <c r="AO185" i="28"/>
  <c r="AN185" i="28"/>
  <c r="AM185" i="28"/>
  <c r="AP184" i="28"/>
  <c r="AO184" i="28"/>
  <c r="AN184" i="28"/>
  <c r="AM184" i="28"/>
  <c r="AP183" i="28"/>
  <c r="AO183" i="28"/>
  <c r="AN183" i="28"/>
  <c r="AM183" i="28"/>
  <c r="AP182" i="28"/>
  <c r="AO182" i="28"/>
  <c r="AN182" i="28"/>
  <c r="AM182" i="28"/>
  <c r="AP181" i="28"/>
  <c r="AO181" i="28"/>
  <c r="AN181" i="28"/>
  <c r="AM181" i="28"/>
  <c r="AP180" i="28"/>
  <c r="AO180" i="28"/>
  <c r="AN180" i="28"/>
  <c r="AM180" i="28"/>
  <c r="AP179" i="28"/>
  <c r="AO179" i="28"/>
  <c r="AN179" i="28"/>
  <c r="AM179" i="28"/>
  <c r="AP178" i="28"/>
  <c r="AO178" i="28"/>
  <c r="AN178" i="28"/>
  <c r="AM178" i="28"/>
  <c r="AP177" i="28"/>
  <c r="AO177" i="28"/>
  <c r="AN177" i="28"/>
  <c r="AM177" i="28"/>
  <c r="AP176" i="28"/>
  <c r="AO176" i="28"/>
  <c r="AN176" i="28"/>
  <c r="AM176" i="28"/>
  <c r="AP175" i="28"/>
  <c r="AO175" i="28"/>
  <c r="AN175" i="28"/>
  <c r="AM175" i="28"/>
  <c r="AP174" i="28"/>
  <c r="AO174" i="28"/>
  <c r="AN174" i="28"/>
  <c r="AM174" i="28"/>
  <c r="AP173" i="28"/>
  <c r="AO173" i="28"/>
  <c r="AN173" i="28"/>
  <c r="AM173" i="28"/>
  <c r="AP172" i="28"/>
  <c r="AO172" i="28"/>
  <c r="AN172" i="28"/>
  <c r="AM172" i="28"/>
  <c r="AP171" i="28"/>
  <c r="AO171" i="28"/>
  <c r="AN171" i="28"/>
  <c r="AM171" i="28"/>
  <c r="AP170" i="28"/>
  <c r="AO170" i="28"/>
  <c r="AN170" i="28"/>
  <c r="AM170" i="28"/>
  <c r="AP169" i="28"/>
  <c r="AO169" i="28"/>
  <c r="AN169" i="28"/>
  <c r="AM169" i="28"/>
  <c r="AP168" i="28"/>
  <c r="AO168" i="28"/>
  <c r="AN168" i="28"/>
  <c r="AM168" i="28"/>
  <c r="AP167" i="28"/>
  <c r="AO167" i="28"/>
  <c r="AN167" i="28"/>
  <c r="AM167" i="28"/>
  <c r="AP166" i="28"/>
  <c r="AO166" i="28"/>
  <c r="AN166" i="28"/>
  <c r="AM166" i="28"/>
  <c r="AP165" i="28"/>
  <c r="AO165" i="28"/>
  <c r="AN165" i="28"/>
  <c r="AM165" i="28"/>
  <c r="AP164" i="28"/>
  <c r="AO164" i="28"/>
  <c r="AN164" i="28"/>
  <c r="AM164" i="28"/>
  <c r="AP163" i="28"/>
  <c r="AO163" i="28"/>
  <c r="AN163" i="28"/>
  <c r="AM163" i="28"/>
  <c r="AP162" i="28"/>
  <c r="AO162" i="28"/>
  <c r="AN162" i="28"/>
  <c r="AM162" i="28"/>
  <c r="AP161" i="28"/>
  <c r="AO161" i="28"/>
  <c r="AN161" i="28"/>
  <c r="AM161" i="28"/>
  <c r="AP160" i="28"/>
  <c r="AO160" i="28"/>
  <c r="AN160" i="28"/>
  <c r="AM160" i="28"/>
  <c r="AP159" i="28"/>
  <c r="AO159" i="28"/>
  <c r="AN159" i="28"/>
  <c r="AM159" i="28"/>
  <c r="AP158" i="28"/>
  <c r="AO158" i="28"/>
  <c r="AN158" i="28"/>
  <c r="AM158" i="28"/>
  <c r="AP157" i="28"/>
  <c r="AO157" i="28"/>
  <c r="AN157" i="28"/>
  <c r="AM157" i="28"/>
  <c r="AP156" i="28"/>
  <c r="AO156" i="28"/>
  <c r="AN156" i="28"/>
  <c r="AM156" i="28"/>
  <c r="AP155" i="28"/>
  <c r="AO155" i="28"/>
  <c r="AN155" i="28"/>
  <c r="AM155" i="28"/>
  <c r="AP154" i="28"/>
  <c r="AO154" i="28"/>
  <c r="AN154" i="28"/>
  <c r="AM154" i="28"/>
  <c r="AP153" i="28"/>
  <c r="AO153" i="28"/>
  <c r="AN153" i="28"/>
  <c r="AM153" i="28"/>
  <c r="AP152" i="28"/>
  <c r="AO152" i="28"/>
  <c r="AN152" i="28"/>
  <c r="AM152" i="28"/>
  <c r="AP151" i="28"/>
  <c r="AO151" i="28"/>
  <c r="AN151" i="28"/>
  <c r="AM151" i="28"/>
  <c r="AP150" i="28"/>
  <c r="AO150" i="28"/>
  <c r="AN150" i="28"/>
  <c r="AM150" i="28"/>
  <c r="AP149" i="28"/>
  <c r="AO149" i="28"/>
  <c r="AN149" i="28"/>
  <c r="AM149" i="28"/>
  <c r="AP148" i="28"/>
  <c r="AO148" i="28"/>
  <c r="AN148" i="28"/>
  <c r="AM148" i="28"/>
  <c r="AP147" i="28"/>
  <c r="AO147" i="28"/>
  <c r="AN147" i="28"/>
  <c r="AM147" i="28"/>
  <c r="AP146" i="28"/>
  <c r="AO146" i="28"/>
  <c r="AN146" i="28"/>
  <c r="AM146" i="28"/>
  <c r="AP145" i="28"/>
  <c r="AO145" i="28"/>
  <c r="AN145" i="28"/>
  <c r="AM145" i="28"/>
  <c r="AP144" i="28"/>
  <c r="AO144" i="28"/>
  <c r="AN144" i="28"/>
  <c r="AM144" i="28"/>
  <c r="AP143" i="28"/>
  <c r="AO143" i="28"/>
  <c r="AN143" i="28"/>
  <c r="AM143" i="28"/>
  <c r="AP142" i="28"/>
  <c r="AO142" i="28"/>
  <c r="AN142" i="28"/>
  <c r="AM142" i="28"/>
  <c r="AP141" i="28"/>
  <c r="AO141" i="28"/>
  <c r="AN141" i="28"/>
  <c r="AM141" i="28"/>
  <c r="AP140" i="28"/>
  <c r="AO140" i="28"/>
  <c r="AN140" i="28"/>
  <c r="AM140" i="28"/>
  <c r="AP139" i="28"/>
  <c r="AO139" i="28"/>
  <c r="AN139" i="28"/>
  <c r="AM139" i="28"/>
  <c r="AP138" i="28"/>
  <c r="AO138" i="28"/>
  <c r="AN138" i="28"/>
  <c r="AM138" i="28"/>
  <c r="AP137" i="28"/>
  <c r="AO137" i="28"/>
  <c r="AN137" i="28"/>
  <c r="AM137" i="28"/>
  <c r="AP136" i="28"/>
  <c r="AO136" i="28"/>
  <c r="AN136" i="28"/>
  <c r="AM136" i="28"/>
  <c r="AP135" i="28"/>
  <c r="AO135" i="28"/>
  <c r="AN135" i="28"/>
  <c r="AM135" i="28"/>
  <c r="AP134" i="28"/>
  <c r="AO134" i="28"/>
  <c r="AN134" i="28"/>
  <c r="AM134" i="28"/>
  <c r="AP133" i="28"/>
  <c r="AO133" i="28"/>
  <c r="AN133" i="28"/>
  <c r="AM133" i="28"/>
  <c r="AP132" i="28"/>
  <c r="AO132" i="28"/>
  <c r="AN132" i="28"/>
  <c r="AM132" i="28"/>
  <c r="AP131" i="28"/>
  <c r="AO131" i="28"/>
  <c r="AN131" i="28"/>
  <c r="AM131" i="28"/>
  <c r="AP130" i="28"/>
  <c r="AO130" i="28"/>
  <c r="AN130" i="28"/>
  <c r="AM130" i="28"/>
  <c r="AP129" i="28"/>
  <c r="AO129" i="28"/>
  <c r="AN129" i="28"/>
  <c r="AM129" i="28"/>
  <c r="AP128" i="28"/>
  <c r="AO128" i="28"/>
  <c r="AN128" i="28"/>
  <c r="AM128" i="28"/>
  <c r="AP127" i="28"/>
  <c r="AO127" i="28"/>
  <c r="AN127" i="28"/>
  <c r="AM127" i="28"/>
  <c r="AP126" i="28"/>
  <c r="AO126" i="28"/>
  <c r="AN126" i="28"/>
  <c r="AM126" i="28"/>
  <c r="AP125" i="28"/>
  <c r="AO125" i="28"/>
  <c r="AN125" i="28"/>
  <c r="AM125" i="28"/>
  <c r="AP124" i="28"/>
  <c r="AO124" i="28"/>
  <c r="AN124" i="28"/>
  <c r="AM124" i="28"/>
  <c r="AP123" i="28"/>
  <c r="AO123" i="28"/>
  <c r="AN123" i="28"/>
  <c r="AM123" i="28"/>
  <c r="AP122" i="28"/>
  <c r="AO122" i="28"/>
  <c r="AN122" i="28"/>
  <c r="AM122" i="28"/>
  <c r="AP121" i="28"/>
  <c r="AO121" i="28"/>
  <c r="AN121" i="28"/>
  <c r="AM121" i="28"/>
  <c r="AP120" i="28"/>
  <c r="AO120" i="28"/>
  <c r="AN120" i="28"/>
  <c r="AM120" i="28"/>
  <c r="AP119" i="28"/>
  <c r="AO119" i="28"/>
  <c r="AN119" i="28"/>
  <c r="AM119" i="28"/>
  <c r="AP118" i="28"/>
  <c r="AO118" i="28"/>
  <c r="AN118" i="28"/>
  <c r="AM118" i="28"/>
  <c r="AP117" i="28"/>
  <c r="AO117" i="28"/>
  <c r="AN117" i="28"/>
  <c r="AM117" i="28"/>
  <c r="AP116" i="28"/>
  <c r="AO116" i="28"/>
  <c r="AN116" i="28"/>
  <c r="AM116" i="28"/>
  <c r="AP115" i="28"/>
  <c r="AO115" i="28"/>
  <c r="AN115" i="28"/>
  <c r="AM115" i="28"/>
  <c r="AP114" i="28"/>
  <c r="AO114" i="28"/>
  <c r="AN114" i="28"/>
  <c r="AM114" i="28"/>
  <c r="AP113" i="28"/>
  <c r="AO113" i="28"/>
  <c r="AN113" i="28"/>
  <c r="AM113" i="28"/>
  <c r="AP112" i="28"/>
  <c r="AO112" i="28"/>
  <c r="AN112" i="28"/>
  <c r="AM112" i="28"/>
  <c r="AP111" i="28"/>
  <c r="AO111" i="28"/>
  <c r="AN111" i="28"/>
  <c r="AM111" i="28"/>
  <c r="AP110" i="28"/>
  <c r="AO110" i="28"/>
  <c r="AN110" i="28"/>
  <c r="AM110" i="28"/>
  <c r="AP109" i="28"/>
  <c r="AO109" i="28"/>
  <c r="AN109" i="28"/>
  <c r="AM109" i="28"/>
  <c r="AP108" i="28"/>
  <c r="AO108" i="28"/>
  <c r="AN108" i="28"/>
  <c r="AM108" i="28"/>
  <c r="AP107" i="28"/>
  <c r="AO107" i="28"/>
  <c r="AN107" i="28"/>
  <c r="AM107" i="28"/>
  <c r="AP106" i="28"/>
  <c r="AO106" i="28"/>
  <c r="AN106" i="28"/>
  <c r="AM106" i="28"/>
  <c r="AP105" i="28"/>
  <c r="AO105" i="28"/>
  <c r="AN105" i="28"/>
  <c r="AM105" i="28"/>
  <c r="AP104" i="28"/>
  <c r="AO104" i="28"/>
  <c r="AN104" i="28"/>
  <c r="AM104" i="28"/>
  <c r="AP103" i="28"/>
  <c r="AO103" i="28"/>
  <c r="AN103" i="28"/>
  <c r="AM103" i="28"/>
  <c r="AP102" i="28"/>
  <c r="AO102" i="28"/>
  <c r="AN102" i="28"/>
  <c r="AM102" i="28"/>
  <c r="AP101" i="28"/>
  <c r="AO101" i="28"/>
  <c r="AN101" i="28"/>
  <c r="AM101" i="28"/>
  <c r="AP100" i="28"/>
  <c r="AO100" i="28"/>
  <c r="AN100" i="28"/>
  <c r="AM100" i="28"/>
  <c r="AP99" i="28"/>
  <c r="AO99" i="28"/>
  <c r="AN99" i="28"/>
  <c r="AM99" i="28"/>
  <c r="AP98" i="28"/>
  <c r="AO98" i="28"/>
  <c r="AN98" i="28"/>
  <c r="AM98" i="28"/>
  <c r="AP97" i="28"/>
  <c r="AO97" i="28"/>
  <c r="AN97" i="28"/>
  <c r="AM97" i="28"/>
  <c r="AP96" i="28"/>
  <c r="AO96" i="28"/>
  <c r="AN96" i="28"/>
  <c r="AM96" i="28"/>
  <c r="AP95" i="28"/>
  <c r="AO95" i="28"/>
  <c r="AN95" i="28"/>
  <c r="AM95" i="28"/>
  <c r="AP94" i="28"/>
  <c r="AO94" i="28"/>
  <c r="AN94" i="28"/>
  <c r="AM94" i="28"/>
  <c r="AP93" i="28"/>
  <c r="AO93" i="28"/>
  <c r="AN93" i="28"/>
  <c r="AM93" i="28"/>
  <c r="AP92" i="28"/>
  <c r="AO92" i="28"/>
  <c r="AN92" i="28"/>
  <c r="AM92" i="28"/>
  <c r="AP91" i="28"/>
  <c r="AO91" i="28"/>
  <c r="AN91" i="28"/>
  <c r="AM91" i="28"/>
  <c r="AP90" i="28"/>
  <c r="AO90" i="28"/>
  <c r="AN90" i="28"/>
  <c r="AM90" i="28"/>
  <c r="AP89" i="28"/>
  <c r="AO89" i="28"/>
  <c r="AN89" i="28"/>
  <c r="AM89" i="28"/>
  <c r="AP88" i="28"/>
  <c r="AO88" i="28"/>
  <c r="AN88" i="28"/>
  <c r="AM88" i="28"/>
  <c r="AP87" i="28"/>
  <c r="AO87" i="28"/>
  <c r="AN87" i="28"/>
  <c r="AM87" i="28"/>
  <c r="AP86" i="28"/>
  <c r="AO86" i="28"/>
  <c r="AN86" i="28"/>
  <c r="AM86" i="28"/>
  <c r="AP85" i="28"/>
  <c r="AO85" i="28"/>
  <c r="AN85" i="28"/>
  <c r="AM85" i="28"/>
  <c r="AP84" i="28"/>
  <c r="AO84" i="28"/>
  <c r="AN84" i="28"/>
  <c r="AM84" i="28"/>
  <c r="AP83" i="28"/>
  <c r="AO83" i="28"/>
  <c r="AN83" i="28"/>
  <c r="AM83" i="28"/>
  <c r="AP82" i="28"/>
  <c r="AO82" i="28"/>
  <c r="AN82" i="28"/>
  <c r="AM82" i="28"/>
  <c r="AP81" i="28"/>
  <c r="AO81" i="28"/>
  <c r="AN81" i="28"/>
  <c r="AM81" i="28"/>
  <c r="AP80" i="28"/>
  <c r="AO80" i="28"/>
  <c r="AN80" i="28"/>
  <c r="AM80" i="28"/>
  <c r="AP79" i="28"/>
  <c r="AO79" i="28"/>
  <c r="AN79" i="28"/>
  <c r="AM79" i="28"/>
  <c r="AP78" i="28"/>
  <c r="AO78" i="28"/>
  <c r="AN78" i="28"/>
  <c r="AM78" i="28"/>
  <c r="AP77" i="28"/>
  <c r="AO77" i="28"/>
  <c r="AN77" i="28"/>
  <c r="AM77" i="28"/>
  <c r="AP76" i="28"/>
  <c r="AO76" i="28"/>
  <c r="AN76" i="28"/>
  <c r="AM76" i="28"/>
  <c r="AP75" i="28"/>
  <c r="AO75" i="28"/>
  <c r="AN75" i="28"/>
  <c r="AM75" i="28"/>
  <c r="AP74" i="28"/>
  <c r="AO74" i="28"/>
  <c r="AN74" i="28"/>
  <c r="AM74" i="28"/>
  <c r="AP73" i="28"/>
  <c r="AO73" i="28"/>
  <c r="AN73" i="28"/>
  <c r="AM73" i="28"/>
  <c r="AP72" i="28"/>
  <c r="AO72" i="28"/>
  <c r="AN72" i="28"/>
  <c r="AM72" i="28"/>
  <c r="AP71" i="28"/>
  <c r="AO71" i="28"/>
  <c r="AN71" i="28"/>
  <c r="AM71" i="28"/>
  <c r="AP70" i="28"/>
  <c r="AO70" i="28"/>
  <c r="AN70" i="28"/>
  <c r="AM70" i="28"/>
  <c r="AP69" i="28"/>
  <c r="AO69" i="28"/>
  <c r="AN69" i="28"/>
  <c r="AM69" i="28"/>
  <c r="AP68" i="28"/>
  <c r="AO68" i="28"/>
  <c r="AN68" i="28"/>
  <c r="AM68" i="28"/>
  <c r="AP67" i="28"/>
  <c r="AO67" i="28"/>
  <c r="AN67" i="28"/>
  <c r="AM67" i="28"/>
  <c r="AP66" i="28"/>
  <c r="AO66" i="28"/>
  <c r="AN66" i="28"/>
  <c r="AM66" i="28"/>
  <c r="AP65" i="28"/>
  <c r="AO65" i="28"/>
  <c r="AN65" i="28"/>
  <c r="AM65" i="28"/>
  <c r="AP64" i="28"/>
  <c r="AO64" i="28"/>
  <c r="AN64" i="28"/>
  <c r="AM64" i="28"/>
  <c r="AP63" i="28"/>
  <c r="AO63" i="28"/>
  <c r="AN63" i="28"/>
  <c r="AM63" i="28"/>
  <c r="AP62" i="28"/>
  <c r="AO62" i="28"/>
  <c r="AN62" i="28"/>
  <c r="AM62" i="28"/>
  <c r="AP61" i="28"/>
  <c r="AO61" i="28"/>
  <c r="AN61" i="28"/>
  <c r="AM61" i="28"/>
  <c r="AP60" i="28"/>
  <c r="AO60" i="28"/>
  <c r="AN60" i="28"/>
  <c r="AM60" i="28"/>
  <c r="AP59" i="28"/>
  <c r="AO59" i="28"/>
  <c r="AN59" i="28"/>
  <c r="AM59" i="28"/>
  <c r="AP58" i="28"/>
  <c r="AO58" i="28"/>
  <c r="AN58" i="28"/>
  <c r="AM58" i="28"/>
  <c r="AP57" i="28"/>
  <c r="AO57" i="28"/>
  <c r="AN57" i="28"/>
  <c r="AM57" i="28"/>
  <c r="AP56" i="28"/>
  <c r="AO56" i="28"/>
  <c r="AN56" i="28"/>
  <c r="AM56" i="28"/>
  <c r="AP55" i="28"/>
  <c r="AO55" i="28"/>
  <c r="AN55" i="28"/>
  <c r="AM55" i="28"/>
  <c r="AP54" i="28"/>
  <c r="AO54" i="28"/>
  <c r="AN54" i="28"/>
  <c r="AM54" i="28"/>
  <c r="AP53" i="28"/>
  <c r="AO53" i="28"/>
  <c r="AN53" i="28"/>
  <c r="AM53" i="28"/>
  <c r="AP52" i="28"/>
  <c r="AO52" i="28"/>
  <c r="AN52" i="28"/>
  <c r="AM52" i="28"/>
  <c r="AP51" i="28"/>
  <c r="AO51" i="28"/>
  <c r="AN51" i="28"/>
  <c r="AM51" i="28"/>
  <c r="AP50" i="28"/>
  <c r="AO50" i="28"/>
  <c r="AN50" i="28"/>
  <c r="AM50" i="28"/>
  <c r="AP49" i="28"/>
  <c r="AO49" i="28"/>
  <c r="AN49" i="28"/>
  <c r="AM49" i="28"/>
  <c r="AP48" i="28"/>
  <c r="AO48" i="28"/>
  <c r="AN48" i="28"/>
  <c r="AM48" i="28"/>
  <c r="AP47" i="28"/>
  <c r="AO47" i="28"/>
  <c r="AN47" i="28"/>
  <c r="AM47" i="28"/>
  <c r="AP46" i="28"/>
  <c r="AO46" i="28"/>
  <c r="AN46" i="28"/>
  <c r="AM46" i="28"/>
  <c r="AP45" i="28"/>
  <c r="AO45" i="28"/>
  <c r="AN45" i="28"/>
  <c r="AM45" i="28"/>
  <c r="AP44" i="28"/>
  <c r="AO44" i="28"/>
  <c r="AN44" i="28"/>
  <c r="AM44" i="28"/>
  <c r="AP43" i="28"/>
  <c r="AO43" i="28"/>
  <c r="AN43" i="28"/>
  <c r="AM43" i="28"/>
  <c r="AP42" i="28"/>
  <c r="AO42" i="28"/>
  <c r="AN42" i="28"/>
  <c r="AM42" i="28"/>
  <c r="AP41" i="28"/>
  <c r="AO41" i="28"/>
  <c r="AN41" i="28"/>
  <c r="AM41" i="28"/>
  <c r="AP40" i="28"/>
  <c r="AO40" i="28"/>
  <c r="AN40" i="28"/>
  <c r="AM40" i="28"/>
  <c r="AP39" i="28"/>
  <c r="AO39" i="28"/>
  <c r="AN39" i="28"/>
  <c r="AM39" i="28"/>
  <c r="AP38" i="28"/>
  <c r="AO38" i="28"/>
  <c r="AN38" i="28"/>
  <c r="AM38" i="28"/>
  <c r="AP37" i="28"/>
  <c r="AO37" i="28"/>
  <c r="AN37" i="28"/>
  <c r="AM37" i="28"/>
  <c r="AP36" i="28"/>
  <c r="AO36" i="28"/>
  <c r="AN36" i="28"/>
  <c r="AM36" i="28"/>
  <c r="AP35" i="28"/>
  <c r="AO35" i="28"/>
  <c r="AN35" i="28"/>
  <c r="AM35" i="28"/>
  <c r="AP34" i="28"/>
  <c r="AO34" i="28"/>
  <c r="AN34" i="28"/>
  <c r="AM34" i="28"/>
  <c r="AP33" i="28"/>
  <c r="AO33" i="28"/>
  <c r="AN33" i="28"/>
  <c r="AM33" i="28"/>
  <c r="AP32" i="28"/>
  <c r="AO32" i="28"/>
  <c r="AN32" i="28"/>
  <c r="AM32" i="28"/>
  <c r="AP31" i="28"/>
  <c r="AO31" i="28"/>
  <c r="AN31" i="28"/>
  <c r="AM31" i="28"/>
  <c r="AP30" i="28"/>
  <c r="AO30" i="28"/>
  <c r="AN30" i="28"/>
  <c r="AM30" i="28"/>
  <c r="AP29" i="28"/>
  <c r="AO29" i="28"/>
  <c r="AN29" i="28"/>
  <c r="AM29" i="28"/>
  <c r="AP28" i="28"/>
  <c r="AO28" i="28"/>
  <c r="AN28" i="28"/>
  <c r="AM28" i="28"/>
  <c r="AP27" i="28"/>
  <c r="AO27" i="28"/>
  <c r="AN27" i="28"/>
  <c r="AM27" i="28"/>
  <c r="AP26" i="28"/>
  <c r="AO26" i="28"/>
  <c r="AN26" i="28"/>
  <c r="AM26" i="28"/>
  <c r="AP25" i="28"/>
  <c r="AO25" i="28"/>
  <c r="AN25" i="28"/>
  <c r="AM25" i="28"/>
  <c r="AP24" i="28"/>
  <c r="AO24" i="28"/>
  <c r="AN24" i="28"/>
  <c r="AM24" i="28"/>
  <c r="AP23" i="28"/>
  <c r="AO23" i="28"/>
  <c r="AN23" i="28"/>
  <c r="AM23" i="28"/>
  <c r="AP22" i="28"/>
  <c r="AO22" i="28"/>
  <c r="AN22" i="28"/>
  <c r="AM22" i="28"/>
  <c r="AP21" i="28"/>
  <c r="AO21" i="28"/>
  <c r="AN21" i="28"/>
  <c r="AM21" i="28"/>
  <c r="AP20" i="28"/>
  <c r="AO20" i="28"/>
  <c r="AN20" i="28"/>
  <c r="AM20" i="28"/>
  <c r="AP19" i="28"/>
  <c r="AO19" i="28"/>
  <c r="AN19" i="28"/>
  <c r="AM19" i="28"/>
  <c r="AP18" i="28"/>
  <c r="AO18" i="28"/>
  <c r="AN18" i="28"/>
  <c r="AM18" i="28"/>
  <c r="AP17" i="28"/>
  <c r="AO17" i="28"/>
  <c r="AN17" i="28"/>
  <c r="AM17" i="28"/>
  <c r="AP16" i="28"/>
  <c r="AO16" i="28"/>
  <c r="AN16" i="28"/>
  <c r="AM16" i="28"/>
  <c r="AP15" i="28"/>
  <c r="AO15" i="28"/>
  <c r="AN15" i="28"/>
  <c r="AM15" i="28"/>
  <c r="AP14" i="28"/>
  <c r="AO14" i="28"/>
  <c r="AN14" i="28"/>
  <c r="AM14" i="28"/>
  <c r="AP13" i="28"/>
  <c r="AO13" i="28"/>
  <c r="AN13" i="28"/>
  <c r="AM13" i="28"/>
  <c r="AP12" i="28"/>
  <c r="AO12" i="28"/>
  <c r="AN12" i="28"/>
  <c r="AM12" i="28"/>
  <c r="AP11" i="28"/>
  <c r="AO11" i="28"/>
  <c r="AN11" i="28"/>
  <c r="AM11" i="28"/>
  <c r="AP10" i="28"/>
  <c r="AO10" i="28"/>
  <c r="AN10" i="28"/>
  <c r="AM10" i="28"/>
  <c r="AP9" i="28"/>
  <c r="AO9" i="28"/>
  <c r="AN9" i="28"/>
  <c r="AM9" i="28"/>
  <c r="AP8" i="28"/>
  <c r="AO8" i="28"/>
  <c r="AN8" i="28"/>
  <c r="AM8" i="28"/>
  <c r="AP7" i="28"/>
  <c r="AO7" i="28"/>
  <c r="AN7" i="28"/>
  <c r="AM7" i="28"/>
  <c r="AP6" i="28"/>
  <c r="AO6" i="28"/>
  <c r="AN6" i="28"/>
  <c r="AM6" i="28"/>
  <c r="AP5" i="28"/>
  <c r="AO5" i="28"/>
  <c r="AN5" i="28"/>
  <c r="AM5" i="28"/>
  <c r="AP4" i="28"/>
  <c r="AO4" i="28"/>
  <c r="AN4" i="28"/>
  <c r="AM4" i="28"/>
  <c r="AK266" i="28"/>
  <c r="AJ266" i="28"/>
  <c r="AI266" i="28"/>
  <c r="AH266" i="28"/>
  <c r="AK265" i="28"/>
  <c r="AJ265" i="28"/>
  <c r="AI265" i="28"/>
  <c r="AH265" i="28"/>
  <c r="AK264" i="28"/>
  <c r="AJ264" i="28"/>
  <c r="AI264" i="28"/>
  <c r="AH264" i="28"/>
  <c r="AK263" i="28"/>
  <c r="AJ263" i="28"/>
  <c r="AI263" i="28"/>
  <c r="AH263" i="28"/>
  <c r="AK262" i="28"/>
  <c r="AJ262" i="28"/>
  <c r="AI262" i="28"/>
  <c r="AH262" i="28"/>
  <c r="AK261" i="28"/>
  <c r="AJ261" i="28"/>
  <c r="AI261" i="28"/>
  <c r="AH261" i="28"/>
  <c r="AK260" i="28"/>
  <c r="AJ260" i="28"/>
  <c r="AI260" i="28"/>
  <c r="AH260" i="28"/>
  <c r="AK259" i="28"/>
  <c r="AJ259" i="28"/>
  <c r="AI259" i="28"/>
  <c r="AH259" i="28"/>
  <c r="AK258" i="28"/>
  <c r="AJ258" i="28"/>
  <c r="AI258" i="28"/>
  <c r="AH258" i="28"/>
  <c r="AK257" i="28"/>
  <c r="AJ257" i="28"/>
  <c r="AI257" i="28"/>
  <c r="AH257" i="28"/>
  <c r="AK256" i="28"/>
  <c r="AJ256" i="28"/>
  <c r="AI256" i="28"/>
  <c r="AH256" i="28"/>
  <c r="AK255" i="28"/>
  <c r="AJ255" i="28"/>
  <c r="AI255" i="28"/>
  <c r="AH255" i="28"/>
  <c r="AK254" i="28"/>
  <c r="AJ254" i="28"/>
  <c r="AI254" i="28"/>
  <c r="AH254" i="28"/>
  <c r="AK253" i="28"/>
  <c r="AJ253" i="28"/>
  <c r="AI253" i="28"/>
  <c r="AH253" i="28"/>
  <c r="AK252" i="28"/>
  <c r="AJ252" i="28"/>
  <c r="AI252" i="28"/>
  <c r="AH252" i="28"/>
  <c r="AK251" i="28"/>
  <c r="AJ251" i="28"/>
  <c r="AI251" i="28"/>
  <c r="AH251" i="28"/>
  <c r="AK250" i="28"/>
  <c r="AJ250" i="28"/>
  <c r="AI250" i="28"/>
  <c r="AH250" i="28"/>
  <c r="AK249" i="28"/>
  <c r="AJ249" i="28"/>
  <c r="AI249" i="28"/>
  <c r="AH249" i="28"/>
  <c r="AK248" i="28"/>
  <c r="AJ248" i="28"/>
  <c r="AI248" i="28"/>
  <c r="AH248" i="28"/>
  <c r="AK247" i="28"/>
  <c r="AJ247" i="28"/>
  <c r="AI247" i="28"/>
  <c r="AH247" i="28"/>
  <c r="AK246" i="28"/>
  <c r="AJ246" i="28"/>
  <c r="AI246" i="28"/>
  <c r="AH246" i="28"/>
  <c r="AK245" i="28"/>
  <c r="AJ245" i="28"/>
  <c r="AI245" i="28"/>
  <c r="AH245" i="28"/>
  <c r="AK244" i="28"/>
  <c r="AJ244" i="28"/>
  <c r="AI244" i="28"/>
  <c r="AH244" i="28"/>
  <c r="AK243" i="28"/>
  <c r="AJ243" i="28"/>
  <c r="AI243" i="28"/>
  <c r="AH243" i="28"/>
  <c r="AK242" i="28"/>
  <c r="AJ242" i="28"/>
  <c r="AI242" i="28"/>
  <c r="AH242" i="28"/>
  <c r="AK241" i="28"/>
  <c r="AJ241" i="28"/>
  <c r="AI241" i="28"/>
  <c r="AH241" i="28"/>
  <c r="AK240" i="28"/>
  <c r="AJ240" i="28"/>
  <c r="AI240" i="28"/>
  <c r="AH240" i="28"/>
  <c r="AK239" i="28"/>
  <c r="AJ239" i="28"/>
  <c r="AI239" i="28"/>
  <c r="AH239" i="28"/>
  <c r="AK238" i="28"/>
  <c r="AJ238" i="28"/>
  <c r="AI238" i="28"/>
  <c r="AH238" i="28"/>
  <c r="AK237" i="28"/>
  <c r="AJ237" i="28"/>
  <c r="AI237" i="28"/>
  <c r="AH237" i="28"/>
  <c r="AK236" i="28"/>
  <c r="AJ236" i="28"/>
  <c r="AI236" i="28"/>
  <c r="AH236" i="28"/>
  <c r="AK235" i="28"/>
  <c r="AJ235" i="28"/>
  <c r="AI235" i="28"/>
  <c r="AH235" i="28"/>
  <c r="AK234" i="28"/>
  <c r="AJ234" i="28"/>
  <c r="AI234" i="28"/>
  <c r="AH234" i="28"/>
  <c r="AK233" i="28"/>
  <c r="AJ233" i="28"/>
  <c r="AI233" i="28"/>
  <c r="AH233" i="28"/>
  <c r="AK232" i="28"/>
  <c r="AJ232" i="28"/>
  <c r="AI232" i="28"/>
  <c r="AH232" i="28"/>
  <c r="AK231" i="28"/>
  <c r="AJ231" i="28"/>
  <c r="AI231" i="28"/>
  <c r="AH231" i="28"/>
  <c r="AK230" i="28"/>
  <c r="AJ230" i="28"/>
  <c r="AI230" i="28"/>
  <c r="AH230" i="28"/>
  <c r="AK229" i="28"/>
  <c r="AJ229" i="28"/>
  <c r="AI229" i="28"/>
  <c r="AH229" i="28"/>
  <c r="AK228" i="28"/>
  <c r="AJ228" i="28"/>
  <c r="AI228" i="28"/>
  <c r="AH228" i="28"/>
  <c r="AI227" i="28"/>
  <c r="AK226" i="28"/>
  <c r="AJ226" i="28"/>
  <c r="AI226" i="28"/>
  <c r="AH226" i="28"/>
  <c r="AK225" i="28"/>
  <c r="AJ225" i="28"/>
  <c r="AI225" i="28"/>
  <c r="AH225" i="28"/>
  <c r="AK224" i="28"/>
  <c r="AJ224" i="28"/>
  <c r="AI224" i="28"/>
  <c r="AH224" i="28"/>
  <c r="AK223" i="28"/>
  <c r="AJ223" i="28"/>
  <c r="AI223" i="28"/>
  <c r="AH223" i="28"/>
  <c r="AK222" i="28"/>
  <c r="AJ222" i="28"/>
  <c r="AI222" i="28"/>
  <c r="AH222" i="28"/>
  <c r="AK221" i="28"/>
  <c r="AJ221" i="28"/>
  <c r="AI221" i="28"/>
  <c r="AH221" i="28"/>
  <c r="AK220" i="28"/>
  <c r="AJ220" i="28"/>
  <c r="AI220" i="28"/>
  <c r="AH220" i="28"/>
  <c r="AK219" i="28"/>
  <c r="AJ219" i="28"/>
  <c r="AI219" i="28"/>
  <c r="AH219" i="28"/>
  <c r="AK218" i="28"/>
  <c r="AJ218" i="28"/>
  <c r="AI218" i="28"/>
  <c r="AH218" i="28"/>
  <c r="AK217" i="28"/>
  <c r="AJ217" i="28"/>
  <c r="AI217" i="28"/>
  <c r="AH217" i="28"/>
  <c r="AK216" i="28"/>
  <c r="AJ216" i="28"/>
  <c r="AI216" i="28"/>
  <c r="AH216" i="28"/>
  <c r="AK215" i="28"/>
  <c r="AJ215" i="28"/>
  <c r="AI215" i="28"/>
  <c r="AH215" i="28"/>
  <c r="AK214" i="28"/>
  <c r="AJ214" i="28"/>
  <c r="AI214" i="28"/>
  <c r="AH214" i="28"/>
  <c r="AK213" i="28"/>
  <c r="AJ213" i="28"/>
  <c r="AI213" i="28"/>
  <c r="AH213" i="28"/>
  <c r="AK212" i="28"/>
  <c r="AJ212" i="28"/>
  <c r="AI212" i="28"/>
  <c r="AK211" i="28"/>
  <c r="AJ211" i="28"/>
  <c r="AI211" i="28"/>
  <c r="AH211" i="28"/>
  <c r="AK210" i="28"/>
  <c r="AJ210" i="28"/>
  <c r="AI210" i="28"/>
  <c r="AH210" i="28"/>
  <c r="AK209" i="28"/>
  <c r="AJ209" i="28"/>
  <c r="AI209" i="28"/>
  <c r="AH209" i="28"/>
  <c r="AK208" i="28"/>
  <c r="AJ208" i="28"/>
  <c r="AI208" i="28"/>
  <c r="AH208" i="28"/>
  <c r="AK207" i="28"/>
  <c r="AJ207" i="28"/>
  <c r="AI207" i="28"/>
  <c r="AH207" i="28"/>
  <c r="AK206" i="28"/>
  <c r="AJ206" i="28"/>
  <c r="AI206" i="28"/>
  <c r="AH206" i="28"/>
  <c r="AK205" i="28"/>
  <c r="AJ205" i="28"/>
  <c r="AI205" i="28"/>
  <c r="AH205" i="28"/>
  <c r="AK204" i="28"/>
  <c r="AJ204" i="28"/>
  <c r="AI204" i="28"/>
  <c r="AH204" i="28"/>
  <c r="AK203" i="28"/>
  <c r="AJ203" i="28"/>
  <c r="AI203" i="28"/>
  <c r="AH203" i="28"/>
  <c r="AK202" i="28"/>
  <c r="AJ202" i="28"/>
  <c r="AI202" i="28"/>
  <c r="AH202" i="28"/>
  <c r="AK201" i="28"/>
  <c r="AJ201" i="28"/>
  <c r="AI201" i="28"/>
  <c r="AH201" i="28"/>
  <c r="AK200" i="28"/>
  <c r="AJ200" i="28"/>
  <c r="AI200" i="28"/>
  <c r="AH200" i="28"/>
  <c r="AK199" i="28"/>
  <c r="AJ199" i="28"/>
  <c r="AI199" i="28"/>
  <c r="AH199" i="28"/>
  <c r="AK198" i="28"/>
  <c r="AJ198" i="28"/>
  <c r="AI198" i="28"/>
  <c r="AH198" i="28"/>
  <c r="AK197" i="28"/>
  <c r="AJ197" i="28"/>
  <c r="AI197" i="28"/>
  <c r="AH197" i="28"/>
  <c r="AK196" i="28"/>
  <c r="AJ196" i="28"/>
  <c r="AI196" i="28"/>
  <c r="AH196" i="28"/>
  <c r="AK195" i="28"/>
  <c r="AJ195" i="28"/>
  <c r="AI195" i="28"/>
  <c r="AH195" i="28"/>
  <c r="AK194" i="28"/>
  <c r="AJ194" i="28"/>
  <c r="AI194" i="28"/>
  <c r="AH194" i="28"/>
  <c r="AK193" i="28"/>
  <c r="AJ193" i="28"/>
  <c r="AI193" i="28"/>
  <c r="AH193" i="28"/>
  <c r="AK192" i="28"/>
  <c r="AJ192" i="28"/>
  <c r="AI192" i="28"/>
  <c r="AH192" i="28"/>
  <c r="AK191" i="28"/>
  <c r="AJ191" i="28"/>
  <c r="AI191" i="28"/>
  <c r="AH191" i="28"/>
  <c r="AK190" i="28"/>
  <c r="AJ190" i="28"/>
  <c r="AI190" i="28"/>
  <c r="AH190" i="28"/>
  <c r="AK189" i="28"/>
  <c r="AJ189" i="28"/>
  <c r="AI189" i="28"/>
  <c r="AH189" i="28"/>
  <c r="AK188" i="28"/>
  <c r="AJ188" i="28"/>
  <c r="AI188" i="28"/>
  <c r="AH188" i="28"/>
  <c r="AK187" i="28"/>
  <c r="AJ187" i="28"/>
  <c r="AI187" i="28"/>
  <c r="AH187" i="28"/>
  <c r="AK186" i="28"/>
  <c r="AJ186" i="28"/>
  <c r="AI186" i="28"/>
  <c r="AH186" i="28"/>
  <c r="AK185" i="28"/>
  <c r="AJ185" i="28"/>
  <c r="AI185" i="28"/>
  <c r="AH185" i="28"/>
  <c r="AK184" i="28"/>
  <c r="AJ184" i="28"/>
  <c r="AI184" i="28"/>
  <c r="AH184" i="28"/>
  <c r="AK183" i="28"/>
  <c r="AJ183" i="28"/>
  <c r="AI183" i="28"/>
  <c r="AH183" i="28"/>
  <c r="AK182" i="28"/>
  <c r="AJ182" i="28"/>
  <c r="AI182" i="28"/>
  <c r="AH182" i="28"/>
  <c r="AK181" i="28"/>
  <c r="AJ181" i="28"/>
  <c r="AI181" i="28"/>
  <c r="AH181" i="28"/>
  <c r="AK180" i="28"/>
  <c r="AJ180" i="28"/>
  <c r="AI180" i="28"/>
  <c r="AH180" i="28"/>
  <c r="AK179" i="28"/>
  <c r="AJ179" i="28"/>
  <c r="AI179" i="28"/>
  <c r="AH179" i="28"/>
  <c r="AK178" i="28"/>
  <c r="AJ178" i="28"/>
  <c r="AI178" i="28"/>
  <c r="AH178" i="28"/>
  <c r="AK177" i="28"/>
  <c r="AJ177" i="28"/>
  <c r="AI177" i="28"/>
  <c r="AH177" i="28"/>
  <c r="AK176" i="28"/>
  <c r="AJ176" i="28"/>
  <c r="AI176" i="28"/>
  <c r="AH176" i="28"/>
  <c r="AK175" i="28"/>
  <c r="AJ175" i="28"/>
  <c r="AI175" i="28"/>
  <c r="AH175" i="28"/>
  <c r="AK174" i="28"/>
  <c r="AJ174" i="28"/>
  <c r="AI174" i="28"/>
  <c r="AH174" i="28"/>
  <c r="AK173" i="28"/>
  <c r="AJ173" i="28"/>
  <c r="AI173" i="28"/>
  <c r="AH173" i="28"/>
  <c r="AK172" i="28"/>
  <c r="AJ172" i="28"/>
  <c r="AI172" i="28"/>
  <c r="AH172" i="28"/>
  <c r="AK171" i="28"/>
  <c r="AJ171" i="28"/>
  <c r="AI171" i="28"/>
  <c r="AH171" i="28"/>
  <c r="AK170" i="28"/>
  <c r="AJ170" i="28"/>
  <c r="AI170" i="28"/>
  <c r="AH170" i="28"/>
  <c r="AK169" i="28"/>
  <c r="AJ169" i="28"/>
  <c r="AI169" i="28"/>
  <c r="AH169" i="28"/>
  <c r="AK168" i="28"/>
  <c r="AJ168" i="28"/>
  <c r="AI168" i="28"/>
  <c r="AH168" i="28"/>
  <c r="AK167" i="28"/>
  <c r="AJ167" i="28"/>
  <c r="AI167" i="28"/>
  <c r="AH167" i="28"/>
  <c r="AK166" i="28"/>
  <c r="AJ166" i="28"/>
  <c r="AI166" i="28"/>
  <c r="AH166" i="28"/>
  <c r="AK165" i="28"/>
  <c r="AJ165" i="28"/>
  <c r="AI165" i="28"/>
  <c r="AH165" i="28"/>
  <c r="AK164" i="28"/>
  <c r="AJ164" i="28"/>
  <c r="AI164" i="28"/>
  <c r="AH164" i="28"/>
  <c r="AK163" i="28"/>
  <c r="AJ163" i="28"/>
  <c r="AI163" i="28"/>
  <c r="AH163" i="28"/>
  <c r="AK162" i="28"/>
  <c r="AJ162" i="28"/>
  <c r="AI162" i="28"/>
  <c r="AH162" i="28"/>
  <c r="AK161" i="28"/>
  <c r="AJ161" i="28"/>
  <c r="AI161" i="28"/>
  <c r="AH161" i="28"/>
  <c r="AK160" i="28"/>
  <c r="AJ160" i="28"/>
  <c r="AI160" i="28"/>
  <c r="AH160" i="28"/>
  <c r="AK159" i="28"/>
  <c r="AJ159" i="28"/>
  <c r="AI159" i="28"/>
  <c r="AH159" i="28"/>
  <c r="AK158" i="28"/>
  <c r="AJ158" i="28"/>
  <c r="AI158" i="28"/>
  <c r="AH158" i="28"/>
  <c r="AK157" i="28"/>
  <c r="AJ157" i="28"/>
  <c r="AI157" i="28"/>
  <c r="AH157" i="28"/>
  <c r="AK156" i="28"/>
  <c r="AJ156" i="28"/>
  <c r="AI156" i="28"/>
  <c r="AH156" i="28"/>
  <c r="AK155" i="28"/>
  <c r="AJ155" i="28"/>
  <c r="AI155" i="28"/>
  <c r="AH155" i="28"/>
  <c r="AK154" i="28"/>
  <c r="AJ154" i="28"/>
  <c r="AI154" i="28"/>
  <c r="AH154" i="28"/>
  <c r="AK153" i="28"/>
  <c r="AJ153" i="28"/>
  <c r="AI153" i="28"/>
  <c r="AH153" i="28"/>
  <c r="AK152" i="28"/>
  <c r="AJ152" i="28"/>
  <c r="AI152" i="28"/>
  <c r="AH152" i="28"/>
  <c r="AK151" i="28"/>
  <c r="AJ151" i="28"/>
  <c r="AI151" i="28"/>
  <c r="AH151" i="28"/>
  <c r="AK150" i="28"/>
  <c r="AJ150" i="28"/>
  <c r="AI150" i="28"/>
  <c r="AH150" i="28"/>
  <c r="AK149" i="28"/>
  <c r="AJ149" i="28"/>
  <c r="AI149" i="28"/>
  <c r="AH149" i="28"/>
  <c r="AK148" i="28"/>
  <c r="AJ148" i="28"/>
  <c r="AI148" i="28"/>
  <c r="AH148" i="28"/>
  <c r="AK147" i="28"/>
  <c r="AJ147" i="28"/>
  <c r="AI147" i="28"/>
  <c r="AH147" i="28"/>
  <c r="AK146" i="28"/>
  <c r="AJ146" i="28"/>
  <c r="AI146" i="28"/>
  <c r="AH146" i="28"/>
  <c r="AK145" i="28"/>
  <c r="AJ145" i="28"/>
  <c r="AI145" i="28"/>
  <c r="AH145" i="28"/>
  <c r="AK144" i="28"/>
  <c r="AJ144" i="28"/>
  <c r="AI144" i="28"/>
  <c r="AH144" i="28"/>
  <c r="AK143" i="28"/>
  <c r="AJ143" i="28"/>
  <c r="AI143" i="28"/>
  <c r="AH143" i="28"/>
  <c r="AK142" i="28"/>
  <c r="AJ142" i="28"/>
  <c r="AI142" i="28"/>
  <c r="AH142" i="28"/>
  <c r="AK141" i="28"/>
  <c r="AJ141" i="28"/>
  <c r="AI141" i="28"/>
  <c r="AH141" i="28"/>
  <c r="AK140" i="28"/>
  <c r="AJ140" i="28"/>
  <c r="AI140" i="28"/>
  <c r="AH140" i="28"/>
  <c r="AK139" i="28"/>
  <c r="AJ139" i="28"/>
  <c r="AI139" i="28"/>
  <c r="AH139" i="28"/>
  <c r="AK138" i="28"/>
  <c r="AJ138" i="28"/>
  <c r="AI138" i="28"/>
  <c r="AH138" i="28"/>
  <c r="AK137" i="28"/>
  <c r="AJ137" i="28"/>
  <c r="AI137" i="28"/>
  <c r="AH137" i="28"/>
  <c r="AK136" i="28"/>
  <c r="AJ136" i="28"/>
  <c r="AI136" i="28"/>
  <c r="AH136" i="28"/>
  <c r="AK135" i="28"/>
  <c r="AJ135" i="28"/>
  <c r="AI135" i="28"/>
  <c r="AH135" i="28"/>
  <c r="AK134" i="28"/>
  <c r="AJ134" i="28"/>
  <c r="AI134" i="28"/>
  <c r="AH134" i="28"/>
  <c r="AK133" i="28"/>
  <c r="AJ133" i="28"/>
  <c r="AI133" i="28"/>
  <c r="AH133" i="28"/>
  <c r="AK132" i="28"/>
  <c r="AJ132" i="28"/>
  <c r="AI132" i="28"/>
  <c r="AH132" i="28"/>
  <c r="AK131" i="28"/>
  <c r="AJ131" i="28"/>
  <c r="AI131" i="28"/>
  <c r="AH131" i="28"/>
  <c r="AK130" i="28"/>
  <c r="AJ130" i="28"/>
  <c r="AI130" i="28"/>
  <c r="AH130" i="28"/>
  <c r="AK129" i="28"/>
  <c r="AJ129" i="28"/>
  <c r="AI129" i="28"/>
  <c r="AH129" i="28"/>
  <c r="AK128" i="28"/>
  <c r="AJ128" i="28"/>
  <c r="AI128" i="28"/>
  <c r="AH128" i="28"/>
  <c r="AK127" i="28"/>
  <c r="AJ127" i="28"/>
  <c r="AI127" i="28"/>
  <c r="AH127" i="28"/>
  <c r="AK126" i="28"/>
  <c r="AJ126" i="28"/>
  <c r="AI126" i="28"/>
  <c r="AH126" i="28"/>
  <c r="AK125" i="28"/>
  <c r="AJ125" i="28"/>
  <c r="AI125" i="28"/>
  <c r="AH125" i="28"/>
  <c r="AK124" i="28"/>
  <c r="AJ124" i="28"/>
  <c r="AI124" i="28"/>
  <c r="AH124" i="28"/>
  <c r="AK123" i="28"/>
  <c r="AJ123" i="28"/>
  <c r="AI123" i="28"/>
  <c r="AH123" i="28"/>
  <c r="AK122" i="28"/>
  <c r="AJ122" i="28"/>
  <c r="AI122" i="28"/>
  <c r="AH122" i="28"/>
  <c r="AK121" i="28"/>
  <c r="AJ121" i="28"/>
  <c r="AI121" i="28"/>
  <c r="AH121" i="28"/>
  <c r="AK120" i="28"/>
  <c r="AJ120" i="28"/>
  <c r="AI120" i="28"/>
  <c r="AH120" i="28"/>
  <c r="AK119" i="28"/>
  <c r="AJ119" i="28"/>
  <c r="AI119" i="28"/>
  <c r="AH119" i="28"/>
  <c r="AK118" i="28"/>
  <c r="AJ118" i="28"/>
  <c r="AI118" i="28"/>
  <c r="AH118" i="28"/>
  <c r="AK117" i="28"/>
  <c r="AJ117" i="28"/>
  <c r="AI117" i="28"/>
  <c r="AH117" i="28"/>
  <c r="AK116" i="28"/>
  <c r="AJ116" i="28"/>
  <c r="AI116" i="28"/>
  <c r="AH116" i="28"/>
  <c r="AI115" i="28"/>
  <c r="AK114" i="28"/>
  <c r="AJ114" i="28"/>
  <c r="AI114" i="28"/>
  <c r="AH114" i="28"/>
  <c r="AK113" i="28"/>
  <c r="AJ113" i="28"/>
  <c r="AI113" i="28"/>
  <c r="AH113" i="28"/>
  <c r="AK112" i="28"/>
  <c r="AJ112" i="28"/>
  <c r="AI112" i="28"/>
  <c r="AH112" i="28"/>
  <c r="AK111" i="28"/>
  <c r="AJ111" i="28"/>
  <c r="AI111" i="28"/>
  <c r="AH111" i="28"/>
  <c r="AK110" i="28"/>
  <c r="AJ110" i="28"/>
  <c r="AI110" i="28"/>
  <c r="AK109" i="28"/>
  <c r="AJ109" i="28"/>
  <c r="AI109" i="28"/>
  <c r="AH109" i="28"/>
  <c r="AK108" i="28"/>
  <c r="AJ108" i="28"/>
  <c r="AI108" i="28"/>
  <c r="AH108" i="28"/>
  <c r="AK107" i="28"/>
  <c r="AJ107" i="28"/>
  <c r="AI107" i="28"/>
  <c r="AH107" i="28"/>
  <c r="AK106" i="28"/>
  <c r="AJ106" i="28"/>
  <c r="AI106" i="28"/>
  <c r="AH106" i="28"/>
  <c r="AK105" i="28"/>
  <c r="AJ105" i="28"/>
  <c r="AI105" i="28"/>
  <c r="AH105" i="28"/>
  <c r="AK104" i="28"/>
  <c r="AJ104" i="28"/>
  <c r="AI104" i="28"/>
  <c r="AH104" i="28"/>
  <c r="AK103" i="28"/>
  <c r="AJ103" i="28"/>
  <c r="AI103" i="28"/>
  <c r="AH103" i="28"/>
  <c r="AI102" i="28"/>
  <c r="AK101" i="28"/>
  <c r="AJ101" i="28"/>
  <c r="AI101" i="28"/>
  <c r="AH101" i="28"/>
  <c r="AK100" i="28"/>
  <c r="AJ100" i="28"/>
  <c r="AI100" i="28"/>
  <c r="AH100" i="28"/>
  <c r="AK99" i="28"/>
  <c r="AJ99" i="28"/>
  <c r="AI99" i="28"/>
  <c r="AH99" i="28"/>
  <c r="AK98" i="28"/>
  <c r="AJ98" i="28"/>
  <c r="AI98" i="28"/>
  <c r="AH98" i="28"/>
  <c r="AK97" i="28"/>
  <c r="AJ97" i="28"/>
  <c r="AI97" i="28"/>
  <c r="AK96" i="28"/>
  <c r="AJ96" i="28"/>
  <c r="AI96" i="28"/>
  <c r="AH96" i="28"/>
  <c r="AK95" i="28"/>
  <c r="AJ95" i="28"/>
  <c r="AI95" i="28"/>
  <c r="AH95" i="28"/>
  <c r="AK94" i="28"/>
  <c r="AJ94" i="28"/>
  <c r="AI94" i="28"/>
  <c r="AH94" i="28"/>
  <c r="AK93" i="28"/>
  <c r="AJ93" i="28"/>
  <c r="AI93" i="28"/>
  <c r="AH93" i="28"/>
  <c r="AK92" i="28"/>
  <c r="AJ92" i="28"/>
  <c r="AI92" i="28"/>
  <c r="AH92" i="28"/>
  <c r="AK91" i="28"/>
  <c r="AJ91" i="28"/>
  <c r="AI91" i="28"/>
  <c r="AH91" i="28"/>
  <c r="AK90" i="28"/>
  <c r="AJ90" i="28"/>
  <c r="AI90" i="28"/>
  <c r="AH90" i="28"/>
  <c r="AK89" i="28"/>
  <c r="AJ89" i="28"/>
  <c r="AI89" i="28"/>
  <c r="AH89" i="28"/>
  <c r="AK88" i="28"/>
  <c r="AJ88" i="28"/>
  <c r="AI88" i="28"/>
  <c r="AH88" i="28"/>
  <c r="AK87" i="28"/>
  <c r="AJ87" i="28"/>
  <c r="AI87" i="28"/>
  <c r="AH87" i="28"/>
  <c r="AK86" i="28"/>
  <c r="AJ86" i="28"/>
  <c r="AI86" i="28"/>
  <c r="AH86" i="28"/>
  <c r="AK85" i="28"/>
  <c r="AJ85" i="28"/>
  <c r="AI85" i="28"/>
  <c r="AH85" i="28"/>
  <c r="AK84" i="28"/>
  <c r="AJ84" i="28"/>
  <c r="AI84" i="28"/>
  <c r="AH84" i="28"/>
  <c r="AK83" i="28"/>
  <c r="AJ83" i="28"/>
  <c r="AI83" i="28"/>
  <c r="AH83" i="28"/>
  <c r="AK82" i="28"/>
  <c r="AJ82" i="28"/>
  <c r="AI82" i="28"/>
  <c r="AH82" i="28"/>
  <c r="AK81" i="28"/>
  <c r="AJ81" i="28"/>
  <c r="AI81" i="28"/>
  <c r="AH81" i="28"/>
  <c r="AK80" i="28"/>
  <c r="AJ80" i="28"/>
  <c r="AI80" i="28"/>
  <c r="AH80" i="28"/>
  <c r="AK79" i="28"/>
  <c r="AJ79" i="28"/>
  <c r="AI79" i="28"/>
  <c r="AH79" i="28"/>
  <c r="AK78" i="28"/>
  <c r="AJ78" i="28"/>
  <c r="AI78" i="28"/>
  <c r="AH78" i="28"/>
  <c r="AK77" i="28"/>
  <c r="AJ77" i="28"/>
  <c r="AI77" i="28"/>
  <c r="AH77" i="28"/>
  <c r="AK76" i="28"/>
  <c r="AJ76" i="28"/>
  <c r="AI76" i="28"/>
  <c r="AH76" i="28"/>
  <c r="AK75" i="28"/>
  <c r="AJ75" i="28"/>
  <c r="AI75" i="28"/>
  <c r="AH75" i="28"/>
  <c r="AK74" i="28"/>
  <c r="AJ74" i="28"/>
  <c r="AI74" i="28"/>
  <c r="AH74" i="28"/>
  <c r="AK73" i="28"/>
  <c r="AJ73" i="28"/>
  <c r="AI73" i="28"/>
  <c r="AH73" i="28"/>
  <c r="AK72" i="28"/>
  <c r="AJ72" i="28"/>
  <c r="AI72" i="28"/>
  <c r="AH72" i="28"/>
  <c r="AK71" i="28"/>
  <c r="AJ71" i="28"/>
  <c r="AI71" i="28"/>
  <c r="AH71" i="28"/>
  <c r="AK70" i="28"/>
  <c r="AJ70" i="28"/>
  <c r="AI70" i="28"/>
  <c r="AH70" i="28"/>
  <c r="AK69" i="28"/>
  <c r="AJ69" i="28"/>
  <c r="AI69" i="28"/>
  <c r="AH69" i="28"/>
  <c r="AK68" i="28"/>
  <c r="AJ68" i="28"/>
  <c r="AI68" i="28"/>
  <c r="AH68" i="28"/>
  <c r="AK67" i="28"/>
  <c r="AJ67" i="28"/>
  <c r="AI67" i="28"/>
  <c r="AH67" i="28"/>
  <c r="AK66" i="28"/>
  <c r="AJ66" i="28"/>
  <c r="AI66" i="28"/>
  <c r="AH66" i="28"/>
  <c r="AK65" i="28"/>
  <c r="AJ65" i="28"/>
  <c r="AI65" i="28"/>
  <c r="AH65" i="28"/>
  <c r="AK64" i="28"/>
  <c r="AJ64" i="28"/>
  <c r="AI64" i="28"/>
  <c r="AH64" i="28"/>
  <c r="AK63" i="28"/>
  <c r="AJ63" i="28"/>
  <c r="AI63" i="28"/>
  <c r="AH63" i="28"/>
  <c r="AK62" i="28"/>
  <c r="AJ62" i="28"/>
  <c r="AI62" i="28"/>
  <c r="AH62" i="28"/>
  <c r="AK61" i="28"/>
  <c r="AJ61" i="28"/>
  <c r="AI61" i="28"/>
  <c r="AH61" i="28"/>
  <c r="AK60" i="28"/>
  <c r="AJ60" i="28"/>
  <c r="AI60" i="28"/>
  <c r="AH60" i="28"/>
  <c r="AK59" i="28"/>
  <c r="AJ59" i="28"/>
  <c r="AI59" i="28"/>
  <c r="AH59" i="28"/>
  <c r="AK58" i="28"/>
  <c r="AJ58" i="28"/>
  <c r="AI58" i="28"/>
  <c r="AH58" i="28"/>
  <c r="AK57" i="28"/>
  <c r="AJ57" i="28"/>
  <c r="AI57" i="28"/>
  <c r="AH57" i="28"/>
  <c r="AK56" i="28"/>
  <c r="AJ56" i="28"/>
  <c r="AI56" i="28"/>
  <c r="AH56" i="28"/>
  <c r="AK55" i="28"/>
  <c r="AJ55" i="28"/>
  <c r="AI55" i="28"/>
  <c r="AH55" i="28"/>
  <c r="AK54" i="28"/>
  <c r="AJ54" i="28"/>
  <c r="AI54" i="28"/>
  <c r="AH54" i="28"/>
  <c r="AK53" i="28"/>
  <c r="AJ53" i="28"/>
  <c r="AI53" i="28"/>
  <c r="AH53" i="28"/>
  <c r="AK52" i="28"/>
  <c r="AJ52" i="28"/>
  <c r="AI52" i="28"/>
  <c r="AH52" i="28"/>
  <c r="AK51" i="28"/>
  <c r="AJ51" i="28"/>
  <c r="AI51" i="28"/>
  <c r="AH51" i="28"/>
  <c r="AK50" i="28"/>
  <c r="AJ50" i="28"/>
  <c r="AI50" i="28"/>
  <c r="AH50" i="28"/>
  <c r="AK49" i="28"/>
  <c r="AJ49" i="28"/>
  <c r="AI49" i="28"/>
  <c r="AH49" i="28"/>
  <c r="AK48" i="28"/>
  <c r="AJ48" i="28"/>
  <c r="AI48" i="28"/>
  <c r="AH48" i="28"/>
  <c r="AK47" i="28"/>
  <c r="AJ47" i="28"/>
  <c r="AI47" i="28"/>
  <c r="AH47" i="28"/>
  <c r="AK46" i="28"/>
  <c r="AJ46" i="28"/>
  <c r="AI46" i="28"/>
  <c r="AH46" i="28"/>
  <c r="AK45" i="28"/>
  <c r="AJ45" i="28"/>
  <c r="AI45" i="28"/>
  <c r="AH45" i="28"/>
  <c r="AK44" i="28"/>
  <c r="AJ44" i="28"/>
  <c r="AI44" i="28"/>
  <c r="AH44" i="28"/>
  <c r="AK43" i="28"/>
  <c r="AJ43" i="28"/>
  <c r="AI43" i="28"/>
  <c r="AH43" i="28"/>
  <c r="AK42" i="28"/>
  <c r="AJ42" i="28"/>
  <c r="AI42" i="28"/>
  <c r="AH42" i="28"/>
  <c r="AK41" i="28"/>
  <c r="AJ41" i="28"/>
  <c r="AI41" i="28"/>
  <c r="AH41" i="28"/>
  <c r="AK40" i="28"/>
  <c r="AJ40" i="28"/>
  <c r="AI40" i="28"/>
  <c r="AH40" i="28"/>
  <c r="AK39" i="28"/>
  <c r="AJ39" i="28"/>
  <c r="AI39" i="28"/>
  <c r="AH39" i="28"/>
  <c r="AK38" i="28"/>
  <c r="AJ38" i="28"/>
  <c r="AI38" i="28"/>
  <c r="AH38" i="28"/>
  <c r="AK37" i="28"/>
  <c r="AJ37" i="28"/>
  <c r="AI37" i="28"/>
  <c r="AH37" i="28"/>
  <c r="AK36" i="28"/>
  <c r="AJ36" i="28"/>
  <c r="AI36" i="28"/>
  <c r="AH36" i="28"/>
  <c r="AK35" i="28"/>
  <c r="AJ35" i="28"/>
  <c r="AI35" i="28"/>
  <c r="AH35" i="28"/>
  <c r="AK34" i="28"/>
  <c r="AJ34" i="28"/>
  <c r="AI34" i="28"/>
  <c r="AH34" i="28"/>
  <c r="AK33" i="28"/>
  <c r="AJ33" i="28"/>
  <c r="AI33" i="28"/>
  <c r="AH33" i="28"/>
  <c r="AK32" i="28"/>
  <c r="AJ32" i="28"/>
  <c r="AI32" i="28"/>
  <c r="AH32" i="28"/>
  <c r="AK31" i="28"/>
  <c r="AJ31" i="28"/>
  <c r="AI31" i="28"/>
  <c r="AH31" i="28"/>
  <c r="AK30" i="28"/>
  <c r="AJ30" i="28"/>
  <c r="AI30" i="28"/>
  <c r="AK29" i="28"/>
  <c r="AJ29" i="28"/>
  <c r="AI29" i="28"/>
  <c r="AH29" i="28"/>
  <c r="AK28" i="28"/>
  <c r="AJ28" i="28"/>
  <c r="AI28" i="28"/>
  <c r="AH28" i="28"/>
  <c r="AK27" i="28"/>
  <c r="AJ27" i="28"/>
  <c r="AI27" i="28"/>
  <c r="AH27" i="28"/>
  <c r="AK26" i="28"/>
  <c r="AJ26" i="28"/>
  <c r="AI26" i="28"/>
  <c r="AH26" i="28"/>
  <c r="AK25" i="28"/>
  <c r="AJ25" i="28"/>
  <c r="AI25" i="28"/>
  <c r="AH25" i="28"/>
  <c r="AK24" i="28"/>
  <c r="AJ24" i="28"/>
  <c r="AI24" i="28"/>
  <c r="AH24" i="28"/>
  <c r="AK23" i="28"/>
  <c r="AJ23" i="28"/>
  <c r="AI23" i="28"/>
  <c r="AH23" i="28"/>
  <c r="AK22" i="28"/>
  <c r="AJ22" i="28"/>
  <c r="AI22" i="28"/>
  <c r="AH22" i="28"/>
  <c r="AK21" i="28"/>
  <c r="AJ21" i="28"/>
  <c r="AI21" i="28"/>
  <c r="AH21" i="28"/>
  <c r="AK20" i="28"/>
  <c r="AJ20" i="28"/>
  <c r="AI20" i="28"/>
  <c r="AH20" i="28"/>
  <c r="AK19" i="28"/>
  <c r="AJ19" i="28"/>
  <c r="AI19" i="28"/>
  <c r="AH19" i="28"/>
  <c r="AK18" i="28"/>
  <c r="AJ18" i="28"/>
  <c r="AI18" i="28"/>
  <c r="AH18" i="28"/>
  <c r="AK17" i="28"/>
  <c r="AJ17" i="28"/>
  <c r="AI17" i="28"/>
  <c r="AH17" i="28"/>
  <c r="AK16" i="28"/>
  <c r="AJ16" i="28"/>
  <c r="AI16" i="28"/>
  <c r="AH16" i="28"/>
  <c r="AK15" i="28"/>
  <c r="AJ15" i="28"/>
  <c r="AI15" i="28"/>
  <c r="AH15" i="28"/>
  <c r="AK14" i="28"/>
  <c r="AJ14" i="28"/>
  <c r="AI14" i="28"/>
  <c r="AH14" i="28"/>
  <c r="AK13" i="28"/>
  <c r="AJ13" i="28"/>
  <c r="AI13" i="28"/>
  <c r="AH13" i="28"/>
  <c r="AK12" i="28"/>
  <c r="AJ12" i="28"/>
  <c r="AI12" i="28"/>
  <c r="AH12" i="28"/>
  <c r="AK11" i="28"/>
  <c r="AJ11" i="28"/>
  <c r="AI11" i="28"/>
  <c r="AH11" i="28"/>
  <c r="AK10" i="28"/>
  <c r="AJ10" i="28"/>
  <c r="AI10" i="28"/>
  <c r="AH10" i="28"/>
  <c r="AK9" i="28"/>
  <c r="AJ9" i="28"/>
  <c r="AI9" i="28"/>
  <c r="AH9" i="28"/>
  <c r="AK8" i="28"/>
  <c r="AJ8" i="28"/>
  <c r="AI8" i="28"/>
  <c r="AH8" i="28"/>
  <c r="AK7" i="28"/>
  <c r="AJ7" i="28"/>
  <c r="AI7" i="28"/>
  <c r="AH7" i="28"/>
  <c r="AK6" i="28"/>
  <c r="AJ6" i="28"/>
  <c r="AI6" i="28"/>
  <c r="AH6" i="28"/>
  <c r="AK5" i="28"/>
  <c r="AJ5" i="28"/>
  <c r="AI5" i="28"/>
  <c r="AH5" i="28"/>
  <c r="AK4" i="28"/>
  <c r="AJ4" i="28"/>
  <c r="AI4" i="28"/>
  <c r="AH4" i="28"/>
  <c r="AF266" i="28"/>
  <c r="AE266" i="28"/>
  <c r="AD266" i="28"/>
  <c r="AF265" i="28"/>
  <c r="AE265" i="28"/>
  <c r="AD265" i="28"/>
  <c r="AC265" i="28"/>
  <c r="AF264" i="28"/>
  <c r="AE264" i="28"/>
  <c r="AD264" i="28"/>
  <c r="AC264" i="28"/>
  <c r="AF263" i="28"/>
  <c r="AE263" i="28"/>
  <c r="AD263" i="28"/>
  <c r="AC263" i="28"/>
  <c r="AF262" i="28"/>
  <c r="AE262" i="28"/>
  <c r="AD262" i="28"/>
  <c r="AC262" i="28"/>
  <c r="AF261" i="28"/>
  <c r="AE261" i="28"/>
  <c r="AD261" i="28"/>
  <c r="AC261" i="28"/>
  <c r="AF260" i="28"/>
  <c r="AE260" i="28"/>
  <c r="AD260" i="28"/>
  <c r="AC260" i="28"/>
  <c r="AF259" i="28"/>
  <c r="AE259" i="28"/>
  <c r="AD259" i="28"/>
  <c r="AC259" i="28"/>
  <c r="AF258" i="28"/>
  <c r="AE258" i="28"/>
  <c r="AD258" i="28"/>
  <c r="AC258" i="28"/>
  <c r="AF257" i="28"/>
  <c r="AE257" i="28"/>
  <c r="AD257" i="28"/>
  <c r="AC257" i="28"/>
  <c r="AF256" i="28"/>
  <c r="AE256" i="28"/>
  <c r="AD256" i="28"/>
  <c r="AC256" i="28"/>
  <c r="AF255" i="28"/>
  <c r="AE255" i="28"/>
  <c r="AD255" i="28"/>
  <c r="AC255" i="28"/>
  <c r="AF254" i="28"/>
  <c r="AE254" i="28"/>
  <c r="AD254" i="28"/>
  <c r="AC254" i="28"/>
  <c r="AF253" i="28"/>
  <c r="AE253" i="28"/>
  <c r="AD253" i="28"/>
  <c r="AC253" i="28"/>
  <c r="AF252" i="28"/>
  <c r="AE252" i="28"/>
  <c r="AD252" i="28"/>
  <c r="AC252" i="28"/>
  <c r="AF251" i="28"/>
  <c r="AE251" i="28"/>
  <c r="AD251" i="28"/>
  <c r="AC251" i="28"/>
  <c r="AF250" i="28"/>
  <c r="AE250" i="28"/>
  <c r="AD250" i="28"/>
  <c r="AF249" i="28"/>
  <c r="AE249" i="28"/>
  <c r="AD249" i="28"/>
  <c r="AC249" i="28"/>
  <c r="AF248" i="28"/>
  <c r="AE248" i="28"/>
  <c r="AD248" i="28"/>
  <c r="AC248" i="28"/>
  <c r="AF247" i="28"/>
  <c r="AE247" i="28"/>
  <c r="AD247" i="28"/>
  <c r="AC247" i="28"/>
  <c r="AF246" i="28"/>
  <c r="AE246" i="28"/>
  <c r="AD246" i="28"/>
  <c r="AC246" i="28"/>
  <c r="AF245" i="28"/>
  <c r="AE245" i="28"/>
  <c r="AD245" i="28"/>
  <c r="AC245" i="28"/>
  <c r="AF244" i="28"/>
  <c r="AE244" i="28"/>
  <c r="AD244" i="28"/>
  <c r="AC244" i="28"/>
  <c r="AF243" i="28"/>
  <c r="AE243" i="28"/>
  <c r="AD243" i="28"/>
  <c r="AC243" i="28"/>
  <c r="AF242" i="28"/>
  <c r="AE242" i="28"/>
  <c r="AD242" i="28"/>
  <c r="AF241" i="28"/>
  <c r="AE241" i="28"/>
  <c r="AD241" i="28"/>
  <c r="AC241" i="28"/>
  <c r="AF240" i="28"/>
  <c r="AE240" i="28"/>
  <c r="AD240" i="28"/>
  <c r="AC240" i="28"/>
  <c r="AF239" i="28"/>
  <c r="AE239" i="28"/>
  <c r="AD239" i="28"/>
  <c r="AC239" i="28"/>
  <c r="AF238" i="28"/>
  <c r="AE238" i="28"/>
  <c r="AD238" i="28"/>
  <c r="AC238" i="28"/>
  <c r="AF237" i="28"/>
  <c r="AE237" i="28"/>
  <c r="AD237" i="28"/>
  <c r="AC237" i="28"/>
  <c r="AF236" i="28"/>
  <c r="AE236" i="28"/>
  <c r="AD236" i="28"/>
  <c r="AC236" i="28"/>
  <c r="AF235" i="28"/>
  <c r="AE235" i="28"/>
  <c r="AD235" i="28"/>
  <c r="AC235" i="28"/>
  <c r="AF234" i="28"/>
  <c r="AE234" i="28"/>
  <c r="AD234" i="28"/>
  <c r="AC234" i="28"/>
  <c r="AF233" i="28"/>
  <c r="AE233" i="28"/>
  <c r="AD233" i="28"/>
  <c r="AC233" i="28"/>
  <c r="AF232" i="28"/>
  <c r="AE232" i="28"/>
  <c r="AD232" i="28"/>
  <c r="AC232" i="28"/>
  <c r="AF231" i="28"/>
  <c r="AE231" i="28"/>
  <c r="AD231" i="28"/>
  <c r="AC231" i="28"/>
  <c r="AF230" i="28"/>
  <c r="AE230" i="28"/>
  <c r="AD230" i="28"/>
  <c r="AC230" i="28"/>
  <c r="AF229" i="28"/>
  <c r="AE229" i="28"/>
  <c r="AD229" i="28"/>
  <c r="AC229" i="28"/>
  <c r="AF228" i="28"/>
  <c r="AE228" i="28"/>
  <c r="AD228" i="28"/>
  <c r="AC228" i="28"/>
  <c r="AF227" i="28"/>
  <c r="AE227" i="28"/>
  <c r="AD227" i="28"/>
  <c r="AC227" i="28"/>
  <c r="AF226" i="28"/>
  <c r="AE226" i="28"/>
  <c r="AD226" i="28"/>
  <c r="AF225" i="28"/>
  <c r="AE225" i="28"/>
  <c r="AD225" i="28"/>
  <c r="AC225" i="28"/>
  <c r="AF224" i="28"/>
  <c r="AE224" i="28"/>
  <c r="AD224" i="28"/>
  <c r="AC224" i="28"/>
  <c r="AF223" i="28"/>
  <c r="AE223" i="28"/>
  <c r="AD223" i="28"/>
  <c r="AC223" i="28"/>
  <c r="AF222" i="28"/>
  <c r="AE222" i="28"/>
  <c r="AD222" i="28"/>
  <c r="AC222" i="28"/>
  <c r="AF221" i="28"/>
  <c r="AE221" i="28"/>
  <c r="AD221" i="28"/>
  <c r="AC221" i="28"/>
  <c r="AF220" i="28"/>
  <c r="AE220" i="28"/>
  <c r="AD220" i="28"/>
  <c r="AC220" i="28"/>
  <c r="AF219" i="28"/>
  <c r="AE219" i="28"/>
  <c r="AD219" i="28"/>
  <c r="AC219" i="28"/>
  <c r="AF218" i="28"/>
  <c r="AE218" i="28"/>
  <c r="AD218" i="28"/>
  <c r="AC218" i="28"/>
  <c r="AF217" i="28"/>
  <c r="AE217" i="28"/>
  <c r="AD217" i="28"/>
  <c r="AC217" i="28"/>
  <c r="AF216" i="28"/>
  <c r="AE216" i="28"/>
  <c r="AD216" i="28"/>
  <c r="AC216" i="28"/>
  <c r="AF215" i="28"/>
  <c r="AE215" i="28"/>
  <c r="AD215" i="28"/>
  <c r="AC215" i="28"/>
  <c r="AF214" i="28"/>
  <c r="AE214" i="28"/>
  <c r="AD214" i="28"/>
  <c r="AC214" i="28"/>
  <c r="AF213" i="28"/>
  <c r="AE213" i="28"/>
  <c r="AD213" i="28"/>
  <c r="AC213" i="28"/>
  <c r="AF212" i="28"/>
  <c r="AE212" i="28"/>
  <c r="AD212" i="28"/>
  <c r="AC212" i="28"/>
  <c r="AF211" i="28"/>
  <c r="AE211" i="28"/>
  <c r="AD211" i="28"/>
  <c r="AC211" i="28"/>
  <c r="AF210" i="28"/>
  <c r="AE210" i="28"/>
  <c r="AD210" i="28"/>
  <c r="AC210" i="28"/>
  <c r="AF209" i="28"/>
  <c r="AE209" i="28"/>
  <c r="AD209" i="28"/>
  <c r="AC209" i="28"/>
  <c r="AF208" i="28"/>
  <c r="AE208" i="28"/>
  <c r="AD208" i="28"/>
  <c r="AC208" i="28"/>
  <c r="AF207" i="28"/>
  <c r="AE207" i="28"/>
  <c r="AD207" i="28"/>
  <c r="AC207" i="28"/>
  <c r="AF206" i="28"/>
  <c r="AE206" i="28"/>
  <c r="AD206" i="28"/>
  <c r="AC206" i="28"/>
  <c r="AF205" i="28"/>
  <c r="AE205" i="28"/>
  <c r="AD205" i="28"/>
  <c r="AC205" i="28"/>
  <c r="AF204" i="28"/>
  <c r="AE204" i="28"/>
  <c r="AD204" i="28"/>
  <c r="AC204" i="28"/>
  <c r="AF203" i="28"/>
  <c r="AE203" i="28"/>
  <c r="AD203" i="28"/>
  <c r="AC203" i="28"/>
  <c r="AF202" i="28"/>
  <c r="AE202" i="28"/>
  <c r="AD202" i="28"/>
  <c r="AC202" i="28"/>
  <c r="AF201" i="28"/>
  <c r="AE201" i="28"/>
  <c r="AD201" i="28"/>
  <c r="AC201" i="28"/>
  <c r="AF200" i="28"/>
  <c r="AE200" i="28"/>
  <c r="AD200" i="28"/>
  <c r="AC200" i="28"/>
  <c r="AF199" i="28"/>
  <c r="AE199" i="28"/>
  <c r="AD199" i="28"/>
  <c r="AC199" i="28"/>
  <c r="AF198" i="28"/>
  <c r="AE198" i="28"/>
  <c r="AD198" i="28"/>
  <c r="AC198" i="28"/>
  <c r="AF197" i="28"/>
  <c r="AE197" i="28"/>
  <c r="AD197" i="28"/>
  <c r="AC197" i="28"/>
  <c r="AF196" i="28"/>
  <c r="AE196" i="28"/>
  <c r="AD196" i="28"/>
  <c r="AC196" i="28"/>
  <c r="AF195" i="28"/>
  <c r="AE195" i="28"/>
  <c r="AD195" i="28"/>
  <c r="AC195" i="28"/>
  <c r="AF194" i="28"/>
  <c r="AE194" i="28"/>
  <c r="AD194" i="28"/>
  <c r="AC194" i="28"/>
  <c r="AF193" i="28"/>
  <c r="AE193" i="28"/>
  <c r="AD193" i="28"/>
  <c r="AC193" i="28"/>
  <c r="AF192" i="28"/>
  <c r="AE192" i="28"/>
  <c r="AD192" i="28"/>
  <c r="AC192" i="28"/>
  <c r="AF191" i="28"/>
  <c r="AE191" i="28"/>
  <c r="AD191" i="28"/>
  <c r="AC191" i="28"/>
  <c r="AF190" i="28"/>
  <c r="AE190" i="28"/>
  <c r="AD190" i="28"/>
  <c r="AC190" i="28"/>
  <c r="AF189" i="28"/>
  <c r="AE189" i="28"/>
  <c r="AD189" i="28"/>
  <c r="AC189" i="28"/>
  <c r="AF188" i="28"/>
  <c r="AE188" i="28"/>
  <c r="AD188" i="28"/>
  <c r="AC188" i="28"/>
  <c r="AF187" i="28"/>
  <c r="AE187" i="28"/>
  <c r="AD187" i="28"/>
  <c r="AC187" i="28"/>
  <c r="AF186" i="28"/>
  <c r="AE186" i="28"/>
  <c r="AD186" i="28"/>
  <c r="AC186" i="28"/>
  <c r="AF185" i="28"/>
  <c r="AE185" i="28"/>
  <c r="AD185" i="28"/>
  <c r="AC185" i="28"/>
  <c r="AF184" i="28"/>
  <c r="AE184" i="28"/>
  <c r="AD184" i="28"/>
  <c r="AC184" i="28"/>
  <c r="AF183" i="28"/>
  <c r="AE183" i="28"/>
  <c r="AD183" i="28"/>
  <c r="AC183" i="28"/>
  <c r="AF182" i="28"/>
  <c r="AE182" i="28"/>
  <c r="AD182" i="28"/>
  <c r="AC182" i="28"/>
  <c r="AF181" i="28"/>
  <c r="AE181" i="28"/>
  <c r="AD181" i="28"/>
  <c r="AC181" i="28"/>
  <c r="AF180" i="28"/>
  <c r="AE180" i="28"/>
  <c r="AD180" i="28"/>
  <c r="AC180" i="28"/>
  <c r="AF179" i="28"/>
  <c r="AE179" i="28"/>
  <c r="AD179" i="28"/>
  <c r="AC179" i="28"/>
  <c r="AF178" i="28"/>
  <c r="AE178" i="28"/>
  <c r="AD178" i="28"/>
  <c r="AC178" i="28"/>
  <c r="AF177" i="28"/>
  <c r="AE177" i="28"/>
  <c r="AD177" i="28"/>
  <c r="AC177" i="28"/>
  <c r="AF176" i="28"/>
  <c r="AE176" i="28"/>
  <c r="AD176" i="28"/>
  <c r="AC176" i="28"/>
  <c r="AF175" i="28"/>
  <c r="AE175" i="28"/>
  <c r="AD175" i="28"/>
  <c r="AC175" i="28"/>
  <c r="AF174" i="28"/>
  <c r="AE174" i="28"/>
  <c r="AD174" i="28"/>
  <c r="AC174" i="28"/>
  <c r="AF173" i="28"/>
  <c r="AE173" i="28"/>
  <c r="AD173" i="28"/>
  <c r="AC173" i="28"/>
  <c r="AF172" i="28"/>
  <c r="AE172" i="28"/>
  <c r="AD172" i="28"/>
  <c r="AC172" i="28"/>
  <c r="AF171" i="28"/>
  <c r="AE171" i="28"/>
  <c r="AD171" i="28"/>
  <c r="AC171" i="28"/>
  <c r="AF170" i="28"/>
  <c r="AE170" i="28"/>
  <c r="AD170" i="28"/>
  <c r="AC170" i="28"/>
  <c r="AF169" i="28"/>
  <c r="AE169" i="28"/>
  <c r="AD169" i="28"/>
  <c r="AC169" i="28"/>
  <c r="AF168" i="28"/>
  <c r="AE168" i="28"/>
  <c r="AD168" i="28"/>
  <c r="AC168" i="28"/>
  <c r="AF167" i="28"/>
  <c r="AE167" i="28"/>
  <c r="AD167" i="28"/>
  <c r="AC167" i="28"/>
  <c r="AF166" i="28"/>
  <c r="AE166" i="28"/>
  <c r="AD166" i="28"/>
  <c r="AC166" i="28"/>
  <c r="AF165" i="28"/>
  <c r="AE165" i="28"/>
  <c r="AD165" i="28"/>
  <c r="AC165" i="28"/>
  <c r="AF164" i="28"/>
  <c r="AE164" i="28"/>
  <c r="AD164" i="28"/>
  <c r="AC164" i="28"/>
  <c r="AF163" i="28"/>
  <c r="AE163" i="28"/>
  <c r="AD163" i="28"/>
  <c r="AC163" i="28"/>
  <c r="AF162" i="28"/>
  <c r="AE162" i="28"/>
  <c r="AD162" i="28"/>
  <c r="AC162" i="28"/>
  <c r="AF161" i="28"/>
  <c r="AE161" i="28"/>
  <c r="AD161" i="28"/>
  <c r="AC161" i="28"/>
  <c r="AF160" i="28"/>
  <c r="AE160" i="28"/>
  <c r="AD160" i="28"/>
  <c r="AC160" i="28"/>
  <c r="AF159" i="28"/>
  <c r="AE159" i="28"/>
  <c r="AD159" i="28"/>
  <c r="AC159" i="28"/>
  <c r="AF158" i="28"/>
  <c r="AE158" i="28"/>
  <c r="AD158" i="28"/>
  <c r="AC158" i="28"/>
  <c r="AF157" i="28"/>
  <c r="AE157" i="28"/>
  <c r="AD157" i="28"/>
  <c r="AC157" i="28"/>
  <c r="AF156" i="28"/>
  <c r="AE156" i="28"/>
  <c r="AD156" i="28"/>
  <c r="AC156" i="28"/>
  <c r="AF155" i="28"/>
  <c r="AE155" i="28"/>
  <c r="AD155" i="28"/>
  <c r="AC155" i="28"/>
  <c r="AF154" i="28"/>
  <c r="AE154" i="28"/>
  <c r="AD154" i="28"/>
  <c r="AC154" i="28"/>
  <c r="AF153" i="28"/>
  <c r="AE153" i="28"/>
  <c r="AD153" i="28"/>
  <c r="AC153" i="28"/>
  <c r="AF152" i="28"/>
  <c r="AE152" i="28"/>
  <c r="AD152" i="28"/>
  <c r="AC152" i="28"/>
  <c r="AF151" i="28"/>
  <c r="AE151" i="28"/>
  <c r="AD151" i="28"/>
  <c r="AC151" i="28"/>
  <c r="AF150" i="28"/>
  <c r="AE150" i="28"/>
  <c r="AD150" i="28"/>
  <c r="AC150" i="28"/>
  <c r="AF149" i="28"/>
  <c r="AE149" i="28"/>
  <c r="AD149" i="28"/>
  <c r="AC149" i="28"/>
  <c r="AF148" i="28"/>
  <c r="AE148" i="28"/>
  <c r="AD148" i="28"/>
  <c r="AC148" i="28"/>
  <c r="AF147" i="28"/>
  <c r="AE147" i="28"/>
  <c r="AD147" i="28"/>
  <c r="AC147" i="28"/>
  <c r="AF146" i="28"/>
  <c r="AE146" i="28"/>
  <c r="AD146" i="28"/>
  <c r="AC146" i="28"/>
  <c r="AF145" i="28"/>
  <c r="AE145" i="28"/>
  <c r="AD145" i="28"/>
  <c r="AC145" i="28"/>
  <c r="AF144" i="28"/>
  <c r="AE144" i="28"/>
  <c r="AD144" i="28"/>
  <c r="AC144" i="28"/>
  <c r="AF143" i="28"/>
  <c r="AE143" i="28"/>
  <c r="AD143" i="28"/>
  <c r="AC143" i="28"/>
  <c r="AF142" i="28"/>
  <c r="AE142" i="28"/>
  <c r="AD142" i="28"/>
  <c r="AC142" i="28"/>
  <c r="AF141" i="28"/>
  <c r="AE141" i="28"/>
  <c r="AD141" i="28"/>
  <c r="AC141" i="28"/>
  <c r="AF140" i="28"/>
  <c r="AE140" i="28"/>
  <c r="AD140" i="28"/>
  <c r="AC140" i="28"/>
  <c r="AF139" i="28"/>
  <c r="AE139" i="28"/>
  <c r="AD139" i="28"/>
  <c r="AC139" i="28"/>
  <c r="AF138" i="28"/>
  <c r="AE138" i="28"/>
  <c r="AD138" i="28"/>
  <c r="AC138" i="28"/>
  <c r="AF137" i="28"/>
  <c r="AE137" i="28"/>
  <c r="AD137" i="28"/>
  <c r="AC137" i="28"/>
  <c r="AF136" i="28"/>
  <c r="AE136" i="28"/>
  <c r="AD136" i="28"/>
  <c r="AC136" i="28"/>
  <c r="AF135" i="28"/>
  <c r="AE135" i="28"/>
  <c r="AD135" i="28"/>
  <c r="AC135" i="28"/>
  <c r="AF134" i="28"/>
  <c r="AE134" i="28"/>
  <c r="AD134" i="28"/>
  <c r="AC134" i="28"/>
  <c r="AF133" i="28"/>
  <c r="AE133" i="28"/>
  <c r="AD133" i="28"/>
  <c r="AC133" i="28"/>
  <c r="AF132" i="28"/>
  <c r="AE132" i="28"/>
  <c r="AD132" i="28"/>
  <c r="AC132" i="28"/>
  <c r="AF131" i="28"/>
  <c r="AE131" i="28"/>
  <c r="AD131" i="28"/>
  <c r="AC131" i="28"/>
  <c r="AF130" i="28"/>
  <c r="AE130" i="28"/>
  <c r="AD130" i="28"/>
  <c r="AC130" i="28"/>
  <c r="AF129" i="28"/>
  <c r="AE129" i="28"/>
  <c r="AD129" i="28"/>
  <c r="AC129" i="28"/>
  <c r="AF128" i="28"/>
  <c r="AE128" i="28"/>
  <c r="AD128" i="28"/>
  <c r="AC128" i="28"/>
  <c r="AF127" i="28"/>
  <c r="AE127" i="28"/>
  <c r="AD127" i="28"/>
  <c r="AC127" i="28"/>
  <c r="AF126" i="28"/>
  <c r="AE126" i="28"/>
  <c r="AD126" i="28"/>
  <c r="AC126" i="28"/>
  <c r="AF125" i="28"/>
  <c r="AE125" i="28"/>
  <c r="AD125" i="28"/>
  <c r="AC125" i="28"/>
  <c r="AF124" i="28"/>
  <c r="AE124" i="28"/>
  <c r="AD124" i="28"/>
  <c r="AC124" i="28"/>
  <c r="AF123" i="28"/>
  <c r="AE123" i="28"/>
  <c r="AD123" i="28"/>
  <c r="AC123" i="28"/>
  <c r="AF122" i="28"/>
  <c r="AE122" i="28"/>
  <c r="AD122" i="28"/>
  <c r="AC122" i="28"/>
  <c r="AF121" i="28"/>
  <c r="AE121" i="28"/>
  <c r="AD121" i="28"/>
  <c r="AC121" i="28"/>
  <c r="AF120" i="28"/>
  <c r="AE120" i="28"/>
  <c r="AD120" i="28"/>
  <c r="AC120" i="28"/>
  <c r="AF119" i="28"/>
  <c r="AE119" i="28"/>
  <c r="AD119" i="28"/>
  <c r="AC119" i="28"/>
  <c r="AF118" i="28"/>
  <c r="AE118" i="28"/>
  <c r="AD118" i="28"/>
  <c r="AC118" i="28"/>
  <c r="AF117" i="28"/>
  <c r="AE117" i="28"/>
  <c r="AD117" i="28"/>
  <c r="AC117" i="28"/>
  <c r="AF116" i="28"/>
  <c r="AE116" i="28"/>
  <c r="AD116" i="28"/>
  <c r="AC116" i="28"/>
  <c r="AF115" i="28"/>
  <c r="AE115" i="28"/>
  <c r="AD115" i="28"/>
  <c r="AF114" i="28"/>
  <c r="AE114" i="28"/>
  <c r="AD114" i="28"/>
  <c r="AC114" i="28"/>
  <c r="AF113" i="28"/>
  <c r="AE113" i="28"/>
  <c r="AD113" i="28"/>
  <c r="AC113" i="28"/>
  <c r="AF112" i="28"/>
  <c r="AE112" i="28"/>
  <c r="AD112" i="28"/>
  <c r="AC112" i="28"/>
  <c r="AF111" i="28"/>
  <c r="AE111" i="28"/>
  <c r="AD111" i="28"/>
  <c r="AC111" i="28"/>
  <c r="AF110" i="28"/>
  <c r="AE110" i="28"/>
  <c r="AD110" i="28"/>
  <c r="AF109" i="28"/>
  <c r="AE109" i="28"/>
  <c r="AD109" i="28"/>
  <c r="AC109" i="28"/>
  <c r="AF108" i="28"/>
  <c r="AE108" i="28"/>
  <c r="AD108" i="28"/>
  <c r="AC108" i="28"/>
  <c r="AF107" i="28"/>
  <c r="AE107" i="28"/>
  <c r="AD107" i="28"/>
  <c r="AC107" i="28"/>
  <c r="AF106" i="28"/>
  <c r="AE106" i="28"/>
  <c r="AD106" i="28"/>
  <c r="AC106" i="28"/>
  <c r="AF105" i="28"/>
  <c r="AE105" i="28"/>
  <c r="AD105" i="28"/>
  <c r="AC105" i="28"/>
  <c r="AF104" i="28"/>
  <c r="AE104" i="28"/>
  <c r="AD104" i="28"/>
  <c r="AC104" i="28"/>
  <c r="AF103" i="28"/>
  <c r="AE103" i="28"/>
  <c r="AD103" i="28"/>
  <c r="AC103" i="28"/>
  <c r="AF102" i="28"/>
  <c r="AE102" i="28"/>
  <c r="AD102" i="28"/>
  <c r="AF101" i="28"/>
  <c r="AE101" i="28"/>
  <c r="AD101" i="28"/>
  <c r="AC101" i="28"/>
  <c r="AF100" i="28"/>
  <c r="AE100" i="28"/>
  <c r="AD100" i="28"/>
  <c r="AC100" i="28"/>
  <c r="AF99" i="28"/>
  <c r="AE99" i="28"/>
  <c r="AD99" i="28"/>
  <c r="AC99" i="28"/>
  <c r="AF98" i="28"/>
  <c r="AE98" i="28"/>
  <c r="AD98" i="28"/>
  <c r="AC98" i="28"/>
  <c r="AF97" i="28"/>
  <c r="AE97" i="28"/>
  <c r="AD97" i="28"/>
  <c r="AF96" i="28"/>
  <c r="AE96" i="28"/>
  <c r="AD96" i="28"/>
  <c r="AC96" i="28"/>
  <c r="AF95" i="28"/>
  <c r="AE95" i="28"/>
  <c r="AD95" i="28"/>
  <c r="AC95" i="28"/>
  <c r="AF94" i="28"/>
  <c r="AE94" i="28"/>
  <c r="AD94" i="28"/>
  <c r="AC94" i="28"/>
  <c r="AF93" i="28"/>
  <c r="AE93" i="28"/>
  <c r="AD93" i="28"/>
  <c r="AC93" i="28"/>
  <c r="AF92" i="28"/>
  <c r="AE92" i="28"/>
  <c r="AD92" i="28"/>
  <c r="AC92" i="28"/>
  <c r="AF91" i="28"/>
  <c r="AE91" i="28"/>
  <c r="AD91" i="28"/>
  <c r="AC91" i="28"/>
  <c r="AF90" i="28"/>
  <c r="AE90" i="28"/>
  <c r="AD90" i="28"/>
  <c r="AC90" i="28"/>
  <c r="AF89" i="28"/>
  <c r="AE89" i="28"/>
  <c r="AD89" i="28"/>
  <c r="AC89" i="28"/>
  <c r="AF88" i="28"/>
  <c r="AE88" i="28"/>
  <c r="AD88" i="28"/>
  <c r="AC88" i="28"/>
  <c r="AF87" i="28"/>
  <c r="AE87" i="28"/>
  <c r="AD87" i="28"/>
  <c r="AC87" i="28"/>
  <c r="AF86" i="28"/>
  <c r="AE86" i="28"/>
  <c r="AD86" i="28"/>
  <c r="AC86" i="28"/>
  <c r="AF85" i="28"/>
  <c r="AE85" i="28"/>
  <c r="AD85" i="28"/>
  <c r="AC85" i="28"/>
  <c r="AF84" i="28"/>
  <c r="AE84" i="28"/>
  <c r="AD84" i="28"/>
  <c r="AC84" i="28"/>
  <c r="AF83" i="28"/>
  <c r="AE83" i="28"/>
  <c r="AD83" i="28"/>
  <c r="AC83" i="28"/>
  <c r="AF82" i="28"/>
  <c r="AE82" i="28"/>
  <c r="AD82" i="28"/>
  <c r="AC82" i="28"/>
  <c r="AF81" i="28"/>
  <c r="AE81" i="28"/>
  <c r="AD81" i="28"/>
  <c r="AC81" i="28"/>
  <c r="AF80" i="28"/>
  <c r="AE80" i="28"/>
  <c r="AD80" i="28"/>
  <c r="AC80" i="28"/>
  <c r="AF79" i="28"/>
  <c r="AE79" i="28"/>
  <c r="AD79" i="28"/>
  <c r="AC79" i="28"/>
  <c r="AF78" i="28"/>
  <c r="AE78" i="28"/>
  <c r="AD78" i="28"/>
  <c r="AC78" i="28"/>
  <c r="AF77" i="28"/>
  <c r="AE77" i="28"/>
  <c r="AD77" i="28"/>
  <c r="AC77" i="28"/>
  <c r="AF76" i="28"/>
  <c r="AE76" i="28"/>
  <c r="AD76" i="28"/>
  <c r="AC76" i="28"/>
  <c r="AF75" i="28"/>
  <c r="AE75" i="28"/>
  <c r="AD75" i="28"/>
  <c r="AC75" i="28"/>
  <c r="AF74" i="28"/>
  <c r="AE74" i="28"/>
  <c r="AD74" i="28"/>
  <c r="AC74" i="28"/>
  <c r="AF73" i="28"/>
  <c r="AE73" i="28"/>
  <c r="AD73" i="28"/>
  <c r="AC73" i="28"/>
  <c r="AF72" i="28"/>
  <c r="AE72" i="28"/>
  <c r="AD72" i="28"/>
  <c r="AC72" i="28"/>
  <c r="AF71" i="28"/>
  <c r="AE71" i="28"/>
  <c r="AD71" i="28"/>
  <c r="AC71" i="28"/>
  <c r="AF70" i="28"/>
  <c r="AE70" i="28"/>
  <c r="AD70" i="28"/>
  <c r="AC70" i="28"/>
  <c r="AF69" i="28"/>
  <c r="AE69" i="28"/>
  <c r="AD69" i="28"/>
  <c r="AC69" i="28"/>
  <c r="AF68" i="28"/>
  <c r="AE68" i="28"/>
  <c r="AD68" i="28"/>
  <c r="AC68" i="28"/>
  <c r="AF67" i="28"/>
  <c r="AE67" i="28"/>
  <c r="AD67" i="28"/>
  <c r="AC67" i="28"/>
  <c r="AF66" i="28"/>
  <c r="AE66" i="28"/>
  <c r="AD66" i="28"/>
  <c r="AC66" i="28"/>
  <c r="AF65" i="28"/>
  <c r="AE65" i="28"/>
  <c r="AD65" i="28"/>
  <c r="AC65" i="28"/>
  <c r="AF64" i="28"/>
  <c r="AE64" i="28"/>
  <c r="AD64" i="28"/>
  <c r="AC64" i="28"/>
  <c r="AF63" i="28"/>
  <c r="AE63" i="28"/>
  <c r="AD63" i="28"/>
  <c r="AC63" i="28"/>
  <c r="AF62" i="28"/>
  <c r="AE62" i="28"/>
  <c r="AD62" i="28"/>
  <c r="AC62" i="28"/>
  <c r="AF61" i="28"/>
  <c r="AE61" i="28"/>
  <c r="AD61" i="28"/>
  <c r="AC61" i="28"/>
  <c r="AF60" i="28"/>
  <c r="AE60" i="28"/>
  <c r="AD60" i="28"/>
  <c r="AC60" i="28"/>
  <c r="AF59" i="28"/>
  <c r="AE59" i="28"/>
  <c r="AD59" i="28"/>
  <c r="AC59" i="28"/>
  <c r="AF58" i="28"/>
  <c r="AE58" i="28"/>
  <c r="AD58" i="28"/>
  <c r="AC58" i="28"/>
  <c r="AF57" i="28"/>
  <c r="AE57" i="28"/>
  <c r="AD57" i="28"/>
  <c r="AC57" i="28"/>
  <c r="AF56" i="28"/>
  <c r="AE56" i="28"/>
  <c r="AD56" i="28"/>
  <c r="AC56" i="28"/>
  <c r="AF55" i="28"/>
  <c r="AE55" i="28"/>
  <c r="AD55" i="28"/>
  <c r="AC55" i="28"/>
  <c r="AF54" i="28"/>
  <c r="AE54" i="28"/>
  <c r="AD54" i="28"/>
  <c r="AC54" i="28"/>
  <c r="AF53" i="28"/>
  <c r="AE53" i="28"/>
  <c r="AD53" i="28"/>
  <c r="AC53" i="28"/>
  <c r="AF52" i="28"/>
  <c r="AE52" i="28"/>
  <c r="AD52" i="28"/>
  <c r="AC52" i="28"/>
  <c r="AF51" i="28"/>
  <c r="AE51" i="28"/>
  <c r="AD51" i="28"/>
  <c r="AC51" i="28"/>
  <c r="AF50" i="28"/>
  <c r="AE50" i="28"/>
  <c r="AD50" i="28"/>
  <c r="AC50" i="28"/>
  <c r="AF49" i="28"/>
  <c r="AE49" i="28"/>
  <c r="AD49" i="28"/>
  <c r="AC49" i="28"/>
  <c r="AF48" i="28"/>
  <c r="AE48" i="28"/>
  <c r="AD48" i="28"/>
  <c r="AC48" i="28"/>
  <c r="AF47" i="28"/>
  <c r="AE47" i="28"/>
  <c r="AD47" i="28"/>
  <c r="AC47" i="28"/>
  <c r="AF46" i="28"/>
  <c r="AE46" i="28"/>
  <c r="AD46" i="28"/>
  <c r="AC46" i="28"/>
  <c r="AF45" i="28"/>
  <c r="AE45" i="28"/>
  <c r="AD45" i="28"/>
  <c r="AC45" i="28"/>
  <c r="AF44" i="28"/>
  <c r="AE44" i="28"/>
  <c r="AD44" i="28"/>
  <c r="AC44" i="28"/>
  <c r="AF43" i="28"/>
  <c r="AE43" i="28"/>
  <c r="AD43" i="28"/>
  <c r="AF42" i="28"/>
  <c r="AE42" i="28"/>
  <c r="AD42" i="28"/>
  <c r="AC42" i="28"/>
  <c r="AF41" i="28"/>
  <c r="AE41" i="28"/>
  <c r="AD41" i="28"/>
  <c r="AF40" i="28"/>
  <c r="AE40" i="28"/>
  <c r="AD40" i="28"/>
  <c r="AC40" i="28"/>
  <c r="AF39" i="28"/>
  <c r="AE39" i="28"/>
  <c r="AD39" i="28"/>
  <c r="AC39" i="28"/>
  <c r="AF38" i="28"/>
  <c r="AE38" i="28"/>
  <c r="AD38" i="28"/>
  <c r="AC38" i="28"/>
  <c r="AF37" i="28"/>
  <c r="AE37" i="28"/>
  <c r="AD37" i="28"/>
  <c r="AF36" i="28"/>
  <c r="AE36" i="28"/>
  <c r="AD36" i="28"/>
  <c r="AC36" i="28"/>
  <c r="AF35" i="28"/>
  <c r="AE35" i="28"/>
  <c r="AD35" i="28"/>
  <c r="AF34" i="28"/>
  <c r="AE34" i="28"/>
  <c r="AD34" i="28"/>
  <c r="AC34" i="28"/>
  <c r="AF33" i="28"/>
  <c r="AE33" i="28"/>
  <c r="AD33" i="28"/>
  <c r="AC33" i="28"/>
  <c r="AF32" i="28"/>
  <c r="AE32" i="28"/>
  <c r="AD32" i="28"/>
  <c r="AC32" i="28"/>
  <c r="AF31" i="28"/>
  <c r="AE31" i="28"/>
  <c r="AD31" i="28"/>
  <c r="AC31" i="28"/>
  <c r="AF30" i="28"/>
  <c r="AE30" i="28"/>
  <c r="AD30" i="28"/>
  <c r="AC30" i="28"/>
  <c r="AF29" i="28"/>
  <c r="AE29" i="28"/>
  <c r="AD29" i="28"/>
  <c r="AC29" i="28"/>
  <c r="AF28" i="28"/>
  <c r="AE28" i="28"/>
  <c r="AD28" i="28"/>
  <c r="AC28" i="28"/>
  <c r="AF27" i="28"/>
  <c r="AE27" i="28"/>
  <c r="AD27" i="28"/>
  <c r="AC27" i="28"/>
  <c r="AF26" i="28"/>
  <c r="AE26" i="28"/>
  <c r="AD26" i="28"/>
  <c r="AC26" i="28"/>
  <c r="AF25" i="28"/>
  <c r="AE25" i="28"/>
  <c r="AD25" i="28"/>
  <c r="AC25" i="28"/>
  <c r="AF24" i="28"/>
  <c r="AE24" i="28"/>
  <c r="AD24" i="28"/>
  <c r="AC24" i="28"/>
  <c r="AF23" i="28"/>
  <c r="AE23" i="28"/>
  <c r="AD23" i="28"/>
  <c r="AC23" i="28"/>
  <c r="AF22" i="28"/>
  <c r="AE22" i="28"/>
  <c r="AD22" i="28"/>
  <c r="AF21" i="28"/>
  <c r="AE21" i="28"/>
  <c r="AD21" i="28"/>
  <c r="AF20" i="28"/>
  <c r="AE20" i="28"/>
  <c r="AD20" i="28"/>
  <c r="AC20" i="28"/>
  <c r="AF19" i="28"/>
  <c r="AE19" i="28"/>
  <c r="AD19" i="28"/>
  <c r="AC19" i="28"/>
  <c r="AF18" i="28"/>
  <c r="AE18" i="28"/>
  <c r="AD18" i="28"/>
  <c r="AC18" i="28"/>
  <c r="AF17" i="28"/>
  <c r="AE17" i="28"/>
  <c r="AD17" i="28"/>
  <c r="AC17" i="28"/>
  <c r="AF16" i="28"/>
  <c r="AE16" i="28"/>
  <c r="AD16" i="28"/>
  <c r="AC16" i="28"/>
  <c r="AF15" i="28"/>
  <c r="AE15" i="28"/>
  <c r="AD15" i="28"/>
  <c r="AC15" i="28"/>
  <c r="AF14" i="28"/>
  <c r="AE14" i="28"/>
  <c r="AD14" i="28"/>
  <c r="AC14" i="28"/>
  <c r="AF13" i="28"/>
  <c r="AE13" i="28"/>
  <c r="AD13" i="28"/>
  <c r="AC13" i="28"/>
  <c r="AF12" i="28"/>
  <c r="AE12" i="28"/>
  <c r="AD12" i="28"/>
  <c r="AC12" i="28"/>
  <c r="AF11" i="28"/>
  <c r="AE11" i="28"/>
  <c r="AD11" i="28"/>
  <c r="AC11" i="28"/>
  <c r="AF10" i="28"/>
  <c r="AE10" i="28"/>
  <c r="AD10" i="28"/>
  <c r="AC10" i="28"/>
  <c r="AF9" i="28"/>
  <c r="AE9" i="28"/>
  <c r="AD9" i="28"/>
  <c r="AC9" i="28"/>
  <c r="AF8" i="28"/>
  <c r="AE8" i="28"/>
  <c r="AD8" i="28"/>
  <c r="AC8" i="28"/>
  <c r="AF7" i="28"/>
  <c r="AE7" i="28"/>
  <c r="AD7" i="28"/>
  <c r="AC7" i="28"/>
  <c r="AF6" i="28"/>
  <c r="AE6" i="28"/>
  <c r="AD6" i="28"/>
  <c r="AC6" i="28"/>
  <c r="AF5" i="28"/>
  <c r="AE5" i="28"/>
  <c r="AD5" i="28"/>
  <c r="AC5" i="28"/>
  <c r="AF4" i="28"/>
  <c r="AE4" i="28"/>
  <c r="AD4" i="28"/>
  <c r="AC4" i="28"/>
  <c r="AA266" i="28"/>
  <c r="Z266" i="28"/>
  <c r="Y266" i="28"/>
  <c r="X266" i="28"/>
  <c r="AA265" i="28"/>
  <c r="Z265" i="28"/>
  <c r="Y265" i="28"/>
  <c r="X265" i="28"/>
  <c r="AA264" i="28"/>
  <c r="Z264" i="28"/>
  <c r="Y264" i="28"/>
  <c r="X264" i="28"/>
  <c r="AA263" i="28"/>
  <c r="Z263" i="28"/>
  <c r="Y263" i="28"/>
  <c r="X263" i="28"/>
  <c r="AA262" i="28"/>
  <c r="Z262" i="28"/>
  <c r="Y262" i="28"/>
  <c r="X262" i="28"/>
  <c r="AA261" i="28"/>
  <c r="Z261" i="28"/>
  <c r="Y261" i="28"/>
  <c r="X261" i="28"/>
  <c r="AA260" i="28"/>
  <c r="Z260" i="28"/>
  <c r="Y260" i="28"/>
  <c r="X260" i="28"/>
  <c r="AA259" i="28"/>
  <c r="Z259" i="28"/>
  <c r="Y259" i="28"/>
  <c r="X259" i="28"/>
  <c r="AA258" i="28"/>
  <c r="Z258" i="28"/>
  <c r="Y258" i="28"/>
  <c r="X258" i="28"/>
  <c r="AA257" i="28"/>
  <c r="Z257" i="28"/>
  <c r="Y257" i="28"/>
  <c r="X257" i="28"/>
  <c r="AA256" i="28"/>
  <c r="Z256" i="28"/>
  <c r="Y256" i="28"/>
  <c r="X256" i="28"/>
  <c r="AA255" i="28"/>
  <c r="Z255" i="28"/>
  <c r="Y255" i="28"/>
  <c r="X255" i="28"/>
  <c r="AA254" i="28"/>
  <c r="Z254" i="28"/>
  <c r="Y254" i="28"/>
  <c r="X254" i="28"/>
  <c r="AA253" i="28"/>
  <c r="Z253" i="28"/>
  <c r="Y253" i="28"/>
  <c r="X253" i="28"/>
  <c r="AA252" i="28"/>
  <c r="Z252" i="28"/>
  <c r="Y252" i="28"/>
  <c r="X252" i="28"/>
  <c r="AA251" i="28"/>
  <c r="Z251" i="28"/>
  <c r="Y251" i="28"/>
  <c r="X251" i="28"/>
  <c r="AA250" i="28"/>
  <c r="Z250" i="28"/>
  <c r="Y250" i="28"/>
  <c r="X250" i="28"/>
  <c r="AA249" i="28"/>
  <c r="Z249" i="28"/>
  <c r="Y249" i="28"/>
  <c r="X249" i="28"/>
  <c r="AA248" i="28"/>
  <c r="Z248" i="28"/>
  <c r="Y248" i="28"/>
  <c r="X248" i="28"/>
  <c r="AA247" i="28"/>
  <c r="Z247" i="28"/>
  <c r="Y247" i="28"/>
  <c r="X247" i="28"/>
  <c r="AA246" i="28"/>
  <c r="Z246" i="28"/>
  <c r="Y246" i="28"/>
  <c r="X246" i="28"/>
  <c r="AA245" i="28"/>
  <c r="Z245" i="28"/>
  <c r="Y245" i="28"/>
  <c r="X245" i="28"/>
  <c r="AA244" i="28"/>
  <c r="Z244" i="28"/>
  <c r="Y244" i="28"/>
  <c r="X244" i="28"/>
  <c r="AA243" i="28"/>
  <c r="Z243" i="28"/>
  <c r="Y243" i="28"/>
  <c r="X243" i="28"/>
  <c r="AA242" i="28"/>
  <c r="Z242" i="28"/>
  <c r="Y242" i="28"/>
  <c r="X242" i="28"/>
  <c r="AA241" i="28"/>
  <c r="Z241" i="28"/>
  <c r="Y241" i="28"/>
  <c r="X241" i="28"/>
  <c r="AA240" i="28"/>
  <c r="Z240" i="28"/>
  <c r="Y240" i="28"/>
  <c r="X240" i="28"/>
  <c r="AA239" i="28"/>
  <c r="Z239" i="28"/>
  <c r="Y239" i="28"/>
  <c r="X239" i="28"/>
  <c r="AA238" i="28"/>
  <c r="Z238" i="28"/>
  <c r="Y238" i="28"/>
  <c r="X238" i="28"/>
  <c r="AA237" i="28"/>
  <c r="Z237" i="28"/>
  <c r="Y237" i="28"/>
  <c r="X237" i="28"/>
  <c r="AA236" i="28"/>
  <c r="Z236" i="28"/>
  <c r="Y236" i="28"/>
  <c r="X236" i="28"/>
  <c r="AA235" i="28"/>
  <c r="Z235" i="28"/>
  <c r="Y235" i="28"/>
  <c r="X235" i="28"/>
  <c r="AA234" i="28"/>
  <c r="Z234" i="28"/>
  <c r="Y234" i="28"/>
  <c r="X234" i="28"/>
  <c r="AA233" i="28"/>
  <c r="Z233" i="28"/>
  <c r="Y233" i="28"/>
  <c r="X233" i="28"/>
  <c r="AA232" i="28"/>
  <c r="Z232" i="28"/>
  <c r="Y232" i="28"/>
  <c r="X232" i="28"/>
  <c r="AA231" i="28"/>
  <c r="Z231" i="28"/>
  <c r="Y231" i="28"/>
  <c r="X231" i="28"/>
  <c r="AA230" i="28"/>
  <c r="Z230" i="28"/>
  <c r="Y230" i="28"/>
  <c r="X230" i="28"/>
  <c r="AA229" i="28"/>
  <c r="Z229" i="28"/>
  <c r="Y229" i="28"/>
  <c r="X229" i="28"/>
  <c r="AA228" i="28"/>
  <c r="Z228" i="28"/>
  <c r="Y228" i="28"/>
  <c r="X228" i="28"/>
  <c r="AA227" i="28"/>
  <c r="Z227" i="28"/>
  <c r="Y227" i="28"/>
  <c r="X227" i="28"/>
  <c r="AA226" i="28"/>
  <c r="Z226" i="28"/>
  <c r="Y226" i="28"/>
  <c r="X226" i="28"/>
  <c r="AA225" i="28"/>
  <c r="Z225" i="28"/>
  <c r="Y225" i="28"/>
  <c r="X225" i="28"/>
  <c r="AA224" i="28"/>
  <c r="Z224" i="28"/>
  <c r="Y224" i="28"/>
  <c r="X224" i="28"/>
  <c r="AA223" i="28"/>
  <c r="Z223" i="28"/>
  <c r="Y223" i="28"/>
  <c r="X223" i="28"/>
  <c r="AA222" i="28"/>
  <c r="Z222" i="28"/>
  <c r="Y222" i="28"/>
  <c r="X222" i="28"/>
  <c r="AA221" i="28"/>
  <c r="Z221" i="28"/>
  <c r="Y221" i="28"/>
  <c r="X221" i="28"/>
  <c r="AA220" i="28"/>
  <c r="Z220" i="28"/>
  <c r="Y220" i="28"/>
  <c r="X220" i="28"/>
  <c r="AA219" i="28"/>
  <c r="Z219" i="28"/>
  <c r="Y219" i="28"/>
  <c r="X219" i="28"/>
  <c r="AA218" i="28"/>
  <c r="Z218" i="28"/>
  <c r="Y218" i="28"/>
  <c r="X218" i="28"/>
  <c r="AA217" i="28"/>
  <c r="Z217" i="28"/>
  <c r="Y217" i="28"/>
  <c r="X217" i="28"/>
  <c r="AA216" i="28"/>
  <c r="Z216" i="28"/>
  <c r="Y216" i="28"/>
  <c r="X216" i="28"/>
  <c r="AA215" i="28"/>
  <c r="Z215" i="28"/>
  <c r="Y215" i="28"/>
  <c r="X215" i="28"/>
  <c r="AA214" i="28"/>
  <c r="Z214" i="28"/>
  <c r="Y214" i="28"/>
  <c r="X214" i="28"/>
  <c r="AA213" i="28"/>
  <c r="Z213" i="28"/>
  <c r="Y213" i="28"/>
  <c r="X213" i="28"/>
  <c r="AA212" i="28"/>
  <c r="Z212" i="28"/>
  <c r="Y212" i="28"/>
  <c r="X212" i="28"/>
  <c r="AA211" i="28"/>
  <c r="Z211" i="28"/>
  <c r="Y211" i="28"/>
  <c r="X211" i="28"/>
  <c r="AA210" i="28"/>
  <c r="Z210" i="28"/>
  <c r="Y210" i="28"/>
  <c r="X210" i="28"/>
  <c r="AA209" i="28"/>
  <c r="Z209" i="28"/>
  <c r="Y209" i="28"/>
  <c r="X209" i="28"/>
  <c r="AA208" i="28"/>
  <c r="Z208" i="28"/>
  <c r="Y208" i="28"/>
  <c r="X208" i="28"/>
  <c r="AA207" i="28"/>
  <c r="Z207" i="28"/>
  <c r="Y207" i="28"/>
  <c r="X207" i="28"/>
  <c r="AA206" i="28"/>
  <c r="Z206" i="28"/>
  <c r="Y206" i="28"/>
  <c r="X206" i="28"/>
  <c r="AA205" i="28"/>
  <c r="Z205" i="28"/>
  <c r="Y205" i="28"/>
  <c r="X205" i="28"/>
  <c r="AA204" i="28"/>
  <c r="Z204" i="28"/>
  <c r="Y204" i="28"/>
  <c r="X204" i="28"/>
  <c r="AA203" i="28"/>
  <c r="Z203" i="28"/>
  <c r="Y203" i="28"/>
  <c r="X203" i="28"/>
  <c r="AA202" i="28"/>
  <c r="Z202" i="28"/>
  <c r="Y202" i="28"/>
  <c r="X202" i="28"/>
  <c r="AA201" i="28"/>
  <c r="Z201" i="28"/>
  <c r="Y201" i="28"/>
  <c r="X201" i="28"/>
  <c r="AA200" i="28"/>
  <c r="Z200" i="28"/>
  <c r="Y200" i="28"/>
  <c r="X200" i="28"/>
  <c r="AA199" i="28"/>
  <c r="Z199" i="28"/>
  <c r="Y199" i="28"/>
  <c r="X199" i="28"/>
  <c r="AA198" i="28"/>
  <c r="Z198" i="28"/>
  <c r="Y198" i="28"/>
  <c r="X198" i="28"/>
  <c r="AA197" i="28"/>
  <c r="Z197" i="28"/>
  <c r="Y197" i="28"/>
  <c r="X197" i="28"/>
  <c r="AA196" i="28"/>
  <c r="Z196" i="28"/>
  <c r="Y196" i="28"/>
  <c r="X196" i="28"/>
  <c r="AA195" i="28"/>
  <c r="Z195" i="28"/>
  <c r="Y195" i="28"/>
  <c r="X195" i="28"/>
  <c r="AA194" i="28"/>
  <c r="Z194" i="28"/>
  <c r="Y194" i="28"/>
  <c r="X194" i="28"/>
  <c r="AA193" i="28"/>
  <c r="Z193" i="28"/>
  <c r="Y193" i="28"/>
  <c r="X193" i="28"/>
  <c r="AA192" i="28"/>
  <c r="Z192" i="28"/>
  <c r="Y192" i="28"/>
  <c r="X192" i="28"/>
  <c r="AA191" i="28"/>
  <c r="Z191" i="28"/>
  <c r="Y191" i="28"/>
  <c r="X191" i="28"/>
  <c r="AA190" i="28"/>
  <c r="Z190" i="28"/>
  <c r="Y190" i="28"/>
  <c r="X190" i="28"/>
  <c r="AA189" i="28"/>
  <c r="Z189" i="28"/>
  <c r="Y189" i="28"/>
  <c r="X189" i="28"/>
  <c r="AA188" i="28"/>
  <c r="Z188" i="28"/>
  <c r="Y188" i="28"/>
  <c r="X188" i="28"/>
  <c r="AA187" i="28"/>
  <c r="Z187" i="28"/>
  <c r="Y187" i="28"/>
  <c r="X187" i="28"/>
  <c r="AA186" i="28"/>
  <c r="Z186" i="28"/>
  <c r="Y186" i="28"/>
  <c r="X186" i="28"/>
  <c r="AA185" i="28"/>
  <c r="Z185" i="28"/>
  <c r="Y185" i="28"/>
  <c r="X185" i="28"/>
  <c r="AA184" i="28"/>
  <c r="Z184" i="28"/>
  <c r="Y184" i="28"/>
  <c r="X184" i="28"/>
  <c r="AA183" i="28"/>
  <c r="Z183" i="28"/>
  <c r="Y183" i="28"/>
  <c r="X183" i="28"/>
  <c r="AA182" i="28"/>
  <c r="Z182" i="28"/>
  <c r="Y182" i="28"/>
  <c r="X182" i="28"/>
  <c r="AA181" i="28"/>
  <c r="Z181" i="28"/>
  <c r="Y181" i="28"/>
  <c r="X181" i="28"/>
  <c r="AA180" i="28"/>
  <c r="Z180" i="28"/>
  <c r="Y180" i="28"/>
  <c r="X180" i="28"/>
  <c r="AA179" i="28"/>
  <c r="Z179" i="28"/>
  <c r="Y179" i="28"/>
  <c r="X179" i="28"/>
  <c r="AA178" i="28"/>
  <c r="Z178" i="28"/>
  <c r="Y178" i="28"/>
  <c r="X178" i="28"/>
  <c r="AA177" i="28"/>
  <c r="Z177" i="28"/>
  <c r="Y177" i="28"/>
  <c r="X177" i="28"/>
  <c r="AA176" i="28"/>
  <c r="Z176" i="28"/>
  <c r="Y176" i="28"/>
  <c r="X176" i="28"/>
  <c r="AA175" i="28"/>
  <c r="Z175" i="28"/>
  <c r="Y175" i="28"/>
  <c r="X175" i="28"/>
  <c r="AA174" i="28"/>
  <c r="Z174" i="28"/>
  <c r="Y174" i="28"/>
  <c r="X174" i="28"/>
  <c r="AA173" i="28"/>
  <c r="Z173" i="28"/>
  <c r="Y173" i="28"/>
  <c r="X173" i="28"/>
  <c r="AA172" i="28"/>
  <c r="Z172" i="28"/>
  <c r="Y172" i="28"/>
  <c r="X172" i="28"/>
  <c r="AA171" i="28"/>
  <c r="Z171" i="28"/>
  <c r="Y171" i="28"/>
  <c r="X171" i="28"/>
  <c r="AA170" i="28"/>
  <c r="Z170" i="28"/>
  <c r="Y170" i="28"/>
  <c r="X170" i="28"/>
  <c r="AA169" i="28"/>
  <c r="Z169" i="28"/>
  <c r="Y169" i="28"/>
  <c r="X169" i="28"/>
  <c r="AA168" i="28"/>
  <c r="Z168" i="28"/>
  <c r="Y168" i="28"/>
  <c r="X168" i="28"/>
  <c r="AA167" i="28"/>
  <c r="Z167" i="28"/>
  <c r="Y167" i="28"/>
  <c r="X167" i="28"/>
  <c r="AA166" i="28"/>
  <c r="Z166" i="28"/>
  <c r="Y166" i="28"/>
  <c r="X166" i="28"/>
  <c r="AA165" i="28"/>
  <c r="Z165" i="28"/>
  <c r="Y165" i="28"/>
  <c r="X165" i="28"/>
  <c r="AA164" i="28"/>
  <c r="Z164" i="28"/>
  <c r="Y164" i="28"/>
  <c r="X164" i="28"/>
  <c r="AA163" i="28"/>
  <c r="Z163" i="28"/>
  <c r="Y163" i="28"/>
  <c r="X163" i="28"/>
  <c r="AA162" i="28"/>
  <c r="Z162" i="28"/>
  <c r="Y162" i="28"/>
  <c r="X162" i="28"/>
  <c r="AA161" i="28"/>
  <c r="Z161" i="28"/>
  <c r="Y161" i="28"/>
  <c r="X161" i="28"/>
  <c r="AA160" i="28"/>
  <c r="Z160" i="28"/>
  <c r="Y160" i="28"/>
  <c r="X160" i="28"/>
  <c r="AA159" i="28"/>
  <c r="Z159" i="28"/>
  <c r="Y159" i="28"/>
  <c r="X159" i="28"/>
  <c r="AA158" i="28"/>
  <c r="Z158" i="28"/>
  <c r="Y158" i="28"/>
  <c r="X158" i="28"/>
  <c r="AA157" i="28"/>
  <c r="Z157" i="28"/>
  <c r="Y157" i="28"/>
  <c r="X157" i="28"/>
  <c r="AA156" i="28"/>
  <c r="Z156" i="28"/>
  <c r="Y156" i="28"/>
  <c r="X156" i="28"/>
  <c r="AA155" i="28"/>
  <c r="Z155" i="28"/>
  <c r="Y155" i="28"/>
  <c r="X155" i="28"/>
  <c r="AA154" i="28"/>
  <c r="Z154" i="28"/>
  <c r="Y154" i="28"/>
  <c r="X154" i="28"/>
  <c r="AA153" i="28"/>
  <c r="Z153" i="28"/>
  <c r="Y153" i="28"/>
  <c r="X153" i="28"/>
  <c r="AA152" i="28"/>
  <c r="Z152" i="28"/>
  <c r="Y152" i="28"/>
  <c r="X152" i="28"/>
  <c r="AA151" i="28"/>
  <c r="Z151" i="28"/>
  <c r="Y151" i="28"/>
  <c r="X151" i="28"/>
  <c r="AA150" i="28"/>
  <c r="Z150" i="28"/>
  <c r="Y150" i="28"/>
  <c r="X150" i="28"/>
  <c r="AA149" i="28"/>
  <c r="Z149" i="28"/>
  <c r="Y149" i="28"/>
  <c r="X149" i="28"/>
  <c r="AA148" i="28"/>
  <c r="Z148" i="28"/>
  <c r="Y148" i="28"/>
  <c r="X148" i="28"/>
  <c r="AA147" i="28"/>
  <c r="Z147" i="28"/>
  <c r="Y147" i="28"/>
  <c r="X147" i="28"/>
  <c r="AA146" i="28"/>
  <c r="Z146" i="28"/>
  <c r="Y146" i="28"/>
  <c r="X146" i="28"/>
  <c r="AA145" i="28"/>
  <c r="Z145" i="28"/>
  <c r="Y145" i="28"/>
  <c r="X145" i="28"/>
  <c r="AA144" i="28"/>
  <c r="Z144" i="28"/>
  <c r="Y144" i="28"/>
  <c r="X144" i="28"/>
  <c r="AA143" i="28"/>
  <c r="Z143" i="28"/>
  <c r="Y143" i="28"/>
  <c r="X143" i="28"/>
  <c r="AA142" i="28"/>
  <c r="Z142" i="28"/>
  <c r="Y142" i="28"/>
  <c r="X142" i="28"/>
  <c r="AA141" i="28"/>
  <c r="Z141" i="28"/>
  <c r="Y141" i="28"/>
  <c r="X141" i="28"/>
  <c r="AA140" i="28"/>
  <c r="Z140" i="28"/>
  <c r="Y140" i="28"/>
  <c r="X140" i="28"/>
  <c r="AA139" i="28"/>
  <c r="Z139" i="28"/>
  <c r="Y139" i="28"/>
  <c r="X139" i="28"/>
  <c r="AA138" i="28"/>
  <c r="Z138" i="28"/>
  <c r="Y138" i="28"/>
  <c r="X138" i="28"/>
  <c r="AA137" i="28"/>
  <c r="Z137" i="28"/>
  <c r="Y137" i="28"/>
  <c r="X137" i="28"/>
  <c r="AA136" i="28"/>
  <c r="Z136" i="28"/>
  <c r="Y136" i="28"/>
  <c r="X136" i="28"/>
  <c r="AA135" i="28"/>
  <c r="Z135" i="28"/>
  <c r="Y135" i="28"/>
  <c r="X135" i="28"/>
  <c r="AA134" i="28"/>
  <c r="Z134" i="28"/>
  <c r="Y134" i="28"/>
  <c r="X134" i="28"/>
  <c r="AA133" i="28"/>
  <c r="Z133" i="28"/>
  <c r="Y133" i="28"/>
  <c r="X133" i="28"/>
  <c r="AA132" i="28"/>
  <c r="Z132" i="28"/>
  <c r="Y132" i="28"/>
  <c r="X132" i="28"/>
  <c r="AA131" i="28"/>
  <c r="Z131" i="28"/>
  <c r="Y131" i="28"/>
  <c r="X131" i="28"/>
  <c r="AA130" i="28"/>
  <c r="Z130" i="28"/>
  <c r="Y130" i="28"/>
  <c r="X130" i="28"/>
  <c r="AA129" i="28"/>
  <c r="Z129" i="28"/>
  <c r="Y129" i="28"/>
  <c r="X129" i="28"/>
  <c r="AA128" i="28"/>
  <c r="Z128" i="28"/>
  <c r="Y128" i="28"/>
  <c r="X128" i="28"/>
  <c r="AA127" i="28"/>
  <c r="Z127" i="28"/>
  <c r="Y127" i="28"/>
  <c r="X127" i="28"/>
  <c r="AA126" i="28"/>
  <c r="Z126" i="28"/>
  <c r="Y126" i="28"/>
  <c r="X126" i="28"/>
  <c r="AA125" i="28"/>
  <c r="Z125" i="28"/>
  <c r="Y125" i="28"/>
  <c r="X125" i="28"/>
  <c r="AA124" i="28"/>
  <c r="Z124" i="28"/>
  <c r="Y124" i="28"/>
  <c r="X124" i="28"/>
  <c r="AA123" i="28"/>
  <c r="Z123" i="28"/>
  <c r="Y123" i="28"/>
  <c r="X123" i="28"/>
  <c r="AA122" i="28"/>
  <c r="Z122" i="28"/>
  <c r="Y122" i="28"/>
  <c r="X122" i="28"/>
  <c r="AA121" i="28"/>
  <c r="Z121" i="28"/>
  <c r="Y121" i="28"/>
  <c r="X121" i="28"/>
  <c r="AA120" i="28"/>
  <c r="Z120" i="28"/>
  <c r="Y120" i="28"/>
  <c r="X120" i="28"/>
  <c r="AA119" i="28"/>
  <c r="Z119" i="28"/>
  <c r="Y119" i="28"/>
  <c r="X119" i="28"/>
  <c r="AA118" i="28"/>
  <c r="Z118" i="28"/>
  <c r="Y118" i="28"/>
  <c r="X118" i="28"/>
  <c r="AA117" i="28"/>
  <c r="Z117" i="28"/>
  <c r="Y117" i="28"/>
  <c r="X117" i="28"/>
  <c r="AA116" i="28"/>
  <c r="Z116" i="28"/>
  <c r="Y116" i="28"/>
  <c r="X116" i="28"/>
  <c r="AA115" i="28"/>
  <c r="Z115" i="28"/>
  <c r="Y115" i="28"/>
  <c r="X115" i="28"/>
  <c r="AA114" i="28"/>
  <c r="Z114" i="28"/>
  <c r="Y114" i="28"/>
  <c r="X114" i="28"/>
  <c r="AA113" i="28"/>
  <c r="Z113" i="28"/>
  <c r="Y113" i="28"/>
  <c r="X113" i="28"/>
  <c r="AA112" i="28"/>
  <c r="Z112" i="28"/>
  <c r="Y112" i="28"/>
  <c r="X112" i="28"/>
  <c r="AA111" i="28"/>
  <c r="Z111" i="28"/>
  <c r="Y111" i="28"/>
  <c r="X111" i="28"/>
  <c r="AA110" i="28"/>
  <c r="Z110" i="28"/>
  <c r="Y110" i="28"/>
  <c r="X110" i="28"/>
  <c r="AA109" i="28"/>
  <c r="Z109" i="28"/>
  <c r="Y109" i="28"/>
  <c r="X109" i="28"/>
  <c r="AA108" i="28"/>
  <c r="Z108" i="28"/>
  <c r="Y108" i="28"/>
  <c r="X108" i="28"/>
  <c r="AA107" i="28"/>
  <c r="Z107" i="28"/>
  <c r="Y107" i="28"/>
  <c r="X107" i="28"/>
  <c r="AA106" i="28"/>
  <c r="Z106" i="28"/>
  <c r="Y106" i="28"/>
  <c r="X106" i="28"/>
  <c r="AA105" i="28"/>
  <c r="Z105" i="28"/>
  <c r="Y105" i="28"/>
  <c r="X105" i="28"/>
  <c r="AA104" i="28"/>
  <c r="Z104" i="28"/>
  <c r="Y104" i="28"/>
  <c r="X104" i="28"/>
  <c r="AA103" i="28"/>
  <c r="Z103" i="28"/>
  <c r="Y103" i="28"/>
  <c r="X103" i="28"/>
  <c r="AA102" i="28"/>
  <c r="Z102" i="28"/>
  <c r="Y102" i="28"/>
  <c r="X102" i="28"/>
  <c r="AA101" i="28"/>
  <c r="Z101" i="28"/>
  <c r="Y101" i="28"/>
  <c r="X101" i="28"/>
  <c r="AA100" i="28"/>
  <c r="Z100" i="28"/>
  <c r="Y100" i="28"/>
  <c r="X100" i="28"/>
  <c r="AA99" i="28"/>
  <c r="Z99" i="28"/>
  <c r="Y99" i="28"/>
  <c r="X99" i="28"/>
  <c r="AA98" i="28"/>
  <c r="Z98" i="28"/>
  <c r="Y98" i="28"/>
  <c r="X98" i="28"/>
  <c r="AA97" i="28"/>
  <c r="Z97" i="28"/>
  <c r="Y97" i="28"/>
  <c r="X97" i="28"/>
  <c r="AA96" i="28"/>
  <c r="Z96" i="28"/>
  <c r="Y96" i="28"/>
  <c r="X96" i="28"/>
  <c r="AA95" i="28"/>
  <c r="Z95" i="28"/>
  <c r="Y95" i="28"/>
  <c r="X95" i="28"/>
  <c r="AA94" i="28"/>
  <c r="Z94" i="28"/>
  <c r="Y94" i="28"/>
  <c r="X94" i="28"/>
  <c r="AA93" i="28"/>
  <c r="Z93" i="28"/>
  <c r="Y93" i="28"/>
  <c r="X93" i="28"/>
  <c r="AA92" i="28"/>
  <c r="Z92" i="28"/>
  <c r="Y92" i="28"/>
  <c r="X92" i="28"/>
  <c r="AA91" i="28"/>
  <c r="Z91" i="28"/>
  <c r="Y91" i="28"/>
  <c r="X91" i="28"/>
  <c r="AA90" i="28"/>
  <c r="Z90" i="28"/>
  <c r="Y90" i="28"/>
  <c r="X90" i="28"/>
  <c r="AA89" i="28"/>
  <c r="Z89" i="28"/>
  <c r="Y89" i="28"/>
  <c r="X89" i="28"/>
  <c r="AA88" i="28"/>
  <c r="Z88" i="28"/>
  <c r="Y88" i="28"/>
  <c r="X88" i="28"/>
  <c r="AA87" i="28"/>
  <c r="Z87" i="28"/>
  <c r="Y87" i="28"/>
  <c r="X87" i="28"/>
  <c r="AA86" i="28"/>
  <c r="Z86" i="28"/>
  <c r="Y86" i="28"/>
  <c r="X86" i="28"/>
  <c r="AA85" i="28"/>
  <c r="Z85" i="28"/>
  <c r="Y85" i="28"/>
  <c r="X85" i="28"/>
  <c r="AA84" i="28"/>
  <c r="Z84" i="28"/>
  <c r="Y84" i="28"/>
  <c r="X84" i="28"/>
  <c r="AA83" i="28"/>
  <c r="Z83" i="28"/>
  <c r="Y83" i="28"/>
  <c r="X83" i="28"/>
  <c r="AA82" i="28"/>
  <c r="Z82" i="28"/>
  <c r="Y82" i="28"/>
  <c r="X82" i="28"/>
  <c r="AA81" i="28"/>
  <c r="Z81" i="28"/>
  <c r="Y81" i="28"/>
  <c r="X81" i="28"/>
  <c r="AA80" i="28"/>
  <c r="Z80" i="28"/>
  <c r="Y80" i="28"/>
  <c r="X80" i="28"/>
  <c r="AA79" i="28"/>
  <c r="Z79" i="28"/>
  <c r="Y79" i="28"/>
  <c r="X79" i="28"/>
  <c r="AA78" i="28"/>
  <c r="Z78" i="28"/>
  <c r="Y78" i="28"/>
  <c r="X78" i="28"/>
  <c r="AA77" i="28"/>
  <c r="Z77" i="28"/>
  <c r="Y77" i="28"/>
  <c r="X77" i="28"/>
  <c r="AA76" i="28"/>
  <c r="Z76" i="28"/>
  <c r="Y76" i="28"/>
  <c r="X76" i="28"/>
  <c r="AA75" i="28"/>
  <c r="Z75" i="28"/>
  <c r="Y75" i="28"/>
  <c r="X75" i="28"/>
  <c r="AA74" i="28"/>
  <c r="Z74" i="28"/>
  <c r="Y74" i="28"/>
  <c r="X74" i="28"/>
  <c r="AA73" i="28"/>
  <c r="Z73" i="28"/>
  <c r="Y73" i="28"/>
  <c r="X73" i="28"/>
  <c r="AA72" i="28"/>
  <c r="Z72" i="28"/>
  <c r="Y72" i="28"/>
  <c r="X72" i="28"/>
  <c r="AA71" i="28"/>
  <c r="Z71" i="28"/>
  <c r="Y71" i="28"/>
  <c r="X71" i="28"/>
  <c r="AA70" i="28"/>
  <c r="Z70" i="28"/>
  <c r="Y70" i="28"/>
  <c r="X70" i="28"/>
  <c r="AA69" i="28"/>
  <c r="Z69" i="28"/>
  <c r="Y69" i="28"/>
  <c r="X69" i="28"/>
  <c r="AA68" i="28"/>
  <c r="Z68" i="28"/>
  <c r="Y68" i="28"/>
  <c r="X68" i="28"/>
  <c r="AA67" i="28"/>
  <c r="Z67" i="28"/>
  <c r="Y67" i="28"/>
  <c r="X67" i="28"/>
  <c r="AA66" i="28"/>
  <c r="Z66" i="28"/>
  <c r="Y66" i="28"/>
  <c r="X66" i="28"/>
  <c r="AA65" i="28"/>
  <c r="Z65" i="28"/>
  <c r="Y65" i="28"/>
  <c r="X65" i="28"/>
  <c r="AA64" i="28"/>
  <c r="Z64" i="28"/>
  <c r="Y64" i="28"/>
  <c r="X64" i="28"/>
  <c r="AA63" i="28"/>
  <c r="Z63" i="28"/>
  <c r="Y63" i="28"/>
  <c r="X63" i="28"/>
  <c r="AA62" i="28"/>
  <c r="Z62" i="28"/>
  <c r="Y62" i="28"/>
  <c r="X62" i="28"/>
  <c r="AA61" i="28"/>
  <c r="Z61" i="28"/>
  <c r="Y61" i="28"/>
  <c r="X61" i="28"/>
  <c r="AA60" i="28"/>
  <c r="Z60" i="28"/>
  <c r="Y60" i="28"/>
  <c r="X60" i="28"/>
  <c r="AA59" i="28"/>
  <c r="Z59" i="28"/>
  <c r="Y59" i="28"/>
  <c r="X59" i="28"/>
  <c r="AA58" i="28"/>
  <c r="Z58" i="28"/>
  <c r="Y58" i="28"/>
  <c r="X58" i="28"/>
  <c r="AA57" i="28"/>
  <c r="Z57" i="28"/>
  <c r="Y57" i="28"/>
  <c r="X57" i="28"/>
  <c r="AA56" i="28"/>
  <c r="Z56" i="28"/>
  <c r="Y56" i="28"/>
  <c r="X56" i="28"/>
  <c r="AA55" i="28"/>
  <c r="Z55" i="28"/>
  <c r="Y55" i="28"/>
  <c r="X55" i="28"/>
  <c r="AA54" i="28"/>
  <c r="Z54" i="28"/>
  <c r="Y54" i="28"/>
  <c r="X54" i="28"/>
  <c r="AA53" i="28"/>
  <c r="Z53" i="28"/>
  <c r="Y53" i="28"/>
  <c r="X53" i="28"/>
  <c r="AA52" i="28"/>
  <c r="Z52" i="28"/>
  <c r="Y52" i="28"/>
  <c r="X52" i="28"/>
  <c r="AA51" i="28"/>
  <c r="Z51" i="28"/>
  <c r="Y51" i="28"/>
  <c r="X51" i="28"/>
  <c r="AA50" i="28"/>
  <c r="Z50" i="28"/>
  <c r="Y50" i="28"/>
  <c r="X50" i="28"/>
  <c r="AA49" i="28"/>
  <c r="Z49" i="28"/>
  <c r="Y49" i="28"/>
  <c r="X49" i="28"/>
  <c r="AA48" i="28"/>
  <c r="Z48" i="28"/>
  <c r="Y48" i="28"/>
  <c r="X48" i="28"/>
  <c r="AA47" i="28"/>
  <c r="Z47" i="28"/>
  <c r="Y47" i="28"/>
  <c r="X47" i="28"/>
  <c r="AA46" i="28"/>
  <c r="Z46" i="28"/>
  <c r="Y46" i="28"/>
  <c r="X46" i="28"/>
  <c r="AA45" i="28"/>
  <c r="Z45" i="28"/>
  <c r="Y45" i="28"/>
  <c r="X45" i="28"/>
  <c r="AA44" i="28"/>
  <c r="Z44" i="28"/>
  <c r="Y44" i="28"/>
  <c r="X44" i="28"/>
  <c r="AA43" i="28"/>
  <c r="Z43" i="28"/>
  <c r="Y43" i="28"/>
  <c r="X43" i="28"/>
  <c r="AA42" i="28"/>
  <c r="Z42" i="28"/>
  <c r="Y42" i="28"/>
  <c r="X42" i="28"/>
  <c r="AA41" i="28"/>
  <c r="Z41" i="28"/>
  <c r="Y41" i="28"/>
  <c r="X41" i="28"/>
  <c r="AA40" i="28"/>
  <c r="Z40" i="28"/>
  <c r="Y40" i="28"/>
  <c r="X40" i="28"/>
  <c r="AA39" i="28"/>
  <c r="Z39" i="28"/>
  <c r="Y39" i="28"/>
  <c r="X39" i="28"/>
  <c r="AA38" i="28"/>
  <c r="Z38" i="28"/>
  <c r="Y38" i="28"/>
  <c r="X38" i="28"/>
  <c r="AA37" i="28"/>
  <c r="Z37" i="28"/>
  <c r="Y37" i="28"/>
  <c r="X37" i="28"/>
  <c r="AA36" i="28"/>
  <c r="Z36" i="28"/>
  <c r="Y36" i="28"/>
  <c r="X36" i="28"/>
  <c r="AA35" i="28"/>
  <c r="Z35" i="28"/>
  <c r="Y35" i="28"/>
  <c r="X35" i="28"/>
  <c r="AA34" i="28"/>
  <c r="Z34" i="28"/>
  <c r="Y34" i="28"/>
  <c r="X34" i="28"/>
  <c r="AA33" i="28"/>
  <c r="Z33" i="28"/>
  <c r="Y33" i="28"/>
  <c r="X33" i="28"/>
  <c r="AA32" i="28"/>
  <c r="Z32" i="28"/>
  <c r="Y32" i="28"/>
  <c r="X32" i="28"/>
  <c r="AA31" i="28"/>
  <c r="Z31" i="28"/>
  <c r="Y31" i="28"/>
  <c r="X31" i="28"/>
  <c r="AA30" i="28"/>
  <c r="Z30" i="28"/>
  <c r="Y30" i="28"/>
  <c r="X30" i="28"/>
  <c r="AA29" i="28"/>
  <c r="Z29" i="28"/>
  <c r="Y29" i="28"/>
  <c r="X29" i="28"/>
  <c r="AA28" i="28"/>
  <c r="Z28" i="28"/>
  <c r="Y28" i="28"/>
  <c r="X28" i="28"/>
  <c r="AA27" i="28"/>
  <c r="Z27" i="28"/>
  <c r="Y27" i="28"/>
  <c r="X27" i="28"/>
  <c r="AA26" i="28"/>
  <c r="Z26" i="28"/>
  <c r="Y26" i="28"/>
  <c r="X26" i="28"/>
  <c r="AA25" i="28"/>
  <c r="Z25" i="28"/>
  <c r="Y25" i="28"/>
  <c r="X25" i="28"/>
  <c r="AA24" i="28"/>
  <c r="Z24" i="28"/>
  <c r="Y24" i="28"/>
  <c r="X24" i="28"/>
  <c r="AA23" i="28"/>
  <c r="Z23" i="28"/>
  <c r="Y23" i="28"/>
  <c r="X23" i="28"/>
  <c r="AA22" i="28"/>
  <c r="Z22" i="28"/>
  <c r="Y22" i="28"/>
  <c r="X22" i="28"/>
  <c r="AA21" i="28"/>
  <c r="Z21" i="28"/>
  <c r="Y21" i="28"/>
  <c r="X21" i="28"/>
  <c r="AA20" i="28"/>
  <c r="Z20" i="28"/>
  <c r="Y20" i="28"/>
  <c r="X20" i="28"/>
  <c r="AA19" i="28"/>
  <c r="Z19" i="28"/>
  <c r="Y19" i="28"/>
  <c r="X19" i="28"/>
  <c r="AA18" i="28"/>
  <c r="Z18" i="28"/>
  <c r="Y18" i="28"/>
  <c r="X18" i="28"/>
  <c r="AA17" i="28"/>
  <c r="Z17" i="28"/>
  <c r="Y17" i="28"/>
  <c r="X17" i="28"/>
  <c r="AA16" i="28"/>
  <c r="Z16" i="28"/>
  <c r="Y16" i="28"/>
  <c r="X16" i="28"/>
  <c r="AA15" i="28"/>
  <c r="Z15" i="28"/>
  <c r="Y15" i="28"/>
  <c r="X15" i="28"/>
  <c r="AA14" i="28"/>
  <c r="Z14" i="28"/>
  <c r="Y14" i="28"/>
  <c r="X14" i="28"/>
  <c r="AA13" i="28"/>
  <c r="Z13" i="28"/>
  <c r="Y13" i="28"/>
  <c r="X13" i="28"/>
  <c r="AA12" i="28"/>
  <c r="Z12" i="28"/>
  <c r="Y12" i="28"/>
  <c r="X12" i="28"/>
  <c r="AA11" i="28"/>
  <c r="Z11" i="28"/>
  <c r="Y11" i="28"/>
  <c r="X11" i="28"/>
  <c r="AA10" i="28"/>
  <c r="Z10" i="28"/>
  <c r="Y10" i="28"/>
  <c r="X10" i="28"/>
  <c r="AA9" i="28"/>
  <c r="Z9" i="28"/>
  <c r="Y9" i="28"/>
  <c r="X9" i="28"/>
  <c r="AA8" i="28"/>
  <c r="Z8" i="28"/>
  <c r="Y8" i="28"/>
  <c r="X8" i="28"/>
  <c r="AA7" i="28"/>
  <c r="Z7" i="28"/>
  <c r="Y7" i="28"/>
  <c r="X7" i="28"/>
  <c r="AA6" i="28"/>
  <c r="Z6" i="28"/>
  <c r="Y6" i="28"/>
  <c r="X6" i="28"/>
  <c r="AA5" i="28"/>
  <c r="Z5" i="28"/>
  <c r="Y5" i="28"/>
  <c r="X5" i="28"/>
  <c r="AA4" i="28"/>
  <c r="Z4" i="28"/>
  <c r="Y4" i="28"/>
  <c r="X4" i="28"/>
  <c r="V266" i="28"/>
  <c r="U266" i="28"/>
  <c r="T266" i="28"/>
  <c r="S266" i="28"/>
  <c r="V265" i="28"/>
  <c r="U265" i="28"/>
  <c r="T265" i="28"/>
  <c r="S265" i="28"/>
  <c r="V264" i="28"/>
  <c r="U264" i="28"/>
  <c r="T264" i="28"/>
  <c r="S264" i="28"/>
  <c r="V263" i="28"/>
  <c r="U263" i="28"/>
  <c r="T263" i="28"/>
  <c r="S263" i="28"/>
  <c r="V262" i="28"/>
  <c r="U262" i="28"/>
  <c r="T262" i="28"/>
  <c r="S262" i="28"/>
  <c r="V261" i="28"/>
  <c r="U261" i="28"/>
  <c r="T261" i="28"/>
  <c r="S261" i="28"/>
  <c r="V260" i="28"/>
  <c r="U260" i="28"/>
  <c r="T260" i="28"/>
  <c r="S260" i="28"/>
  <c r="V259" i="28"/>
  <c r="U259" i="28"/>
  <c r="T259" i="28"/>
  <c r="S259" i="28"/>
  <c r="V258" i="28"/>
  <c r="U258" i="28"/>
  <c r="T258" i="28"/>
  <c r="S258" i="28"/>
  <c r="V257" i="28"/>
  <c r="U257" i="28"/>
  <c r="T257" i="28"/>
  <c r="S257" i="28"/>
  <c r="V256" i="28"/>
  <c r="U256" i="28"/>
  <c r="T256" i="28"/>
  <c r="S256" i="28"/>
  <c r="V255" i="28"/>
  <c r="U255" i="28"/>
  <c r="T255" i="28"/>
  <c r="S255" i="28"/>
  <c r="V254" i="28"/>
  <c r="U254" i="28"/>
  <c r="T254" i="28"/>
  <c r="S254" i="28"/>
  <c r="V253" i="28"/>
  <c r="U253" i="28"/>
  <c r="T253" i="28"/>
  <c r="S253" i="28"/>
  <c r="V252" i="28"/>
  <c r="U252" i="28"/>
  <c r="T252" i="28"/>
  <c r="S252" i="28"/>
  <c r="V251" i="28"/>
  <c r="U251" i="28"/>
  <c r="T251" i="28"/>
  <c r="S251" i="28"/>
  <c r="V250" i="28"/>
  <c r="U250" i="28"/>
  <c r="T250" i="28"/>
  <c r="S250" i="28"/>
  <c r="V249" i="28"/>
  <c r="U249" i="28"/>
  <c r="T249" i="28"/>
  <c r="S249" i="28"/>
  <c r="V248" i="28"/>
  <c r="U248" i="28"/>
  <c r="T248" i="28"/>
  <c r="S248" i="28"/>
  <c r="V247" i="28"/>
  <c r="U247" i="28"/>
  <c r="T247" i="28"/>
  <c r="S247" i="28"/>
  <c r="V246" i="28"/>
  <c r="U246" i="28"/>
  <c r="T246" i="28"/>
  <c r="S246" i="28"/>
  <c r="V245" i="28"/>
  <c r="U245" i="28"/>
  <c r="T245" i="28"/>
  <c r="S245" i="28"/>
  <c r="V244" i="28"/>
  <c r="U244" i="28"/>
  <c r="T244" i="28"/>
  <c r="S244" i="28"/>
  <c r="V243" i="28"/>
  <c r="U243" i="28"/>
  <c r="T243" i="28"/>
  <c r="S243" i="28"/>
  <c r="V242" i="28"/>
  <c r="U242" i="28"/>
  <c r="T242" i="28"/>
  <c r="S242" i="28"/>
  <c r="V241" i="28"/>
  <c r="U241" i="28"/>
  <c r="T241" i="28"/>
  <c r="S241" i="28"/>
  <c r="V240" i="28"/>
  <c r="U240" i="28"/>
  <c r="T240" i="28"/>
  <c r="S240" i="28"/>
  <c r="V239" i="28"/>
  <c r="U239" i="28"/>
  <c r="T239" i="28"/>
  <c r="S239" i="28"/>
  <c r="V238" i="28"/>
  <c r="U238" i="28"/>
  <c r="T238" i="28"/>
  <c r="S238" i="28"/>
  <c r="V237" i="28"/>
  <c r="U237" i="28"/>
  <c r="T237" i="28"/>
  <c r="S237" i="28"/>
  <c r="V236" i="28"/>
  <c r="U236" i="28"/>
  <c r="T236" i="28"/>
  <c r="S236" i="28"/>
  <c r="V235" i="28"/>
  <c r="U235" i="28"/>
  <c r="T235" i="28"/>
  <c r="S235" i="28"/>
  <c r="V234" i="28"/>
  <c r="U234" i="28"/>
  <c r="T234" i="28"/>
  <c r="S234" i="28"/>
  <c r="V233" i="28"/>
  <c r="U233" i="28"/>
  <c r="T233" i="28"/>
  <c r="S233" i="28"/>
  <c r="V232" i="28"/>
  <c r="U232" i="28"/>
  <c r="T232" i="28"/>
  <c r="S232" i="28"/>
  <c r="V231" i="28"/>
  <c r="U231" i="28"/>
  <c r="T231" i="28"/>
  <c r="S231" i="28"/>
  <c r="V230" i="28"/>
  <c r="U230" i="28"/>
  <c r="T230" i="28"/>
  <c r="S230" i="28"/>
  <c r="V229" i="28"/>
  <c r="U229" i="28"/>
  <c r="T229" i="28"/>
  <c r="S229" i="28"/>
  <c r="V228" i="28"/>
  <c r="U228" i="28"/>
  <c r="T228" i="28"/>
  <c r="S228" i="28"/>
  <c r="V227" i="28"/>
  <c r="U227" i="28"/>
  <c r="T227" i="28"/>
  <c r="S227" i="28"/>
  <c r="V226" i="28"/>
  <c r="U226" i="28"/>
  <c r="T226" i="28"/>
  <c r="S226" i="28"/>
  <c r="V225" i="28"/>
  <c r="U225" i="28"/>
  <c r="T225" i="28"/>
  <c r="S225" i="28"/>
  <c r="V224" i="28"/>
  <c r="U224" i="28"/>
  <c r="T224" i="28"/>
  <c r="S224" i="28"/>
  <c r="V223" i="28"/>
  <c r="U223" i="28"/>
  <c r="T223" i="28"/>
  <c r="S223" i="28"/>
  <c r="V222" i="28"/>
  <c r="U222" i="28"/>
  <c r="T222" i="28"/>
  <c r="S222" i="28"/>
  <c r="V221" i="28"/>
  <c r="U221" i="28"/>
  <c r="T221" i="28"/>
  <c r="S221" i="28"/>
  <c r="V220" i="28"/>
  <c r="U220" i="28"/>
  <c r="T220" i="28"/>
  <c r="S220" i="28"/>
  <c r="V219" i="28"/>
  <c r="U219" i="28"/>
  <c r="T219" i="28"/>
  <c r="S219" i="28"/>
  <c r="V218" i="28"/>
  <c r="U218" i="28"/>
  <c r="T218" i="28"/>
  <c r="S218" i="28"/>
  <c r="V217" i="28"/>
  <c r="U217" i="28"/>
  <c r="T217" i="28"/>
  <c r="S217" i="28"/>
  <c r="V216" i="28"/>
  <c r="U216" i="28"/>
  <c r="T216" i="28"/>
  <c r="S216" i="28"/>
  <c r="V215" i="28"/>
  <c r="U215" i="28"/>
  <c r="T215" i="28"/>
  <c r="S215" i="28"/>
  <c r="V214" i="28"/>
  <c r="U214" i="28"/>
  <c r="T214" i="28"/>
  <c r="S214" i="28"/>
  <c r="V213" i="28"/>
  <c r="U213" i="28"/>
  <c r="T213" i="28"/>
  <c r="S213" i="28"/>
  <c r="V212" i="28"/>
  <c r="U212" i="28"/>
  <c r="T212" i="28"/>
  <c r="S212" i="28"/>
  <c r="V211" i="28"/>
  <c r="U211" i="28"/>
  <c r="T211" i="28"/>
  <c r="S211" i="28"/>
  <c r="V210" i="28"/>
  <c r="U210" i="28"/>
  <c r="T210" i="28"/>
  <c r="S210" i="28"/>
  <c r="V209" i="28"/>
  <c r="U209" i="28"/>
  <c r="T209" i="28"/>
  <c r="S209" i="28"/>
  <c r="V208" i="28"/>
  <c r="U208" i="28"/>
  <c r="T208" i="28"/>
  <c r="S208" i="28"/>
  <c r="V207" i="28"/>
  <c r="U207" i="28"/>
  <c r="T207" i="28"/>
  <c r="S207" i="28"/>
  <c r="V206" i="28"/>
  <c r="U206" i="28"/>
  <c r="T206" i="28"/>
  <c r="S206" i="28"/>
  <c r="V205" i="28"/>
  <c r="U205" i="28"/>
  <c r="T205" i="28"/>
  <c r="S205" i="28"/>
  <c r="V204" i="28"/>
  <c r="U204" i="28"/>
  <c r="T204" i="28"/>
  <c r="S204" i="28"/>
  <c r="V203" i="28"/>
  <c r="U203" i="28"/>
  <c r="T203" i="28"/>
  <c r="S203" i="28"/>
  <c r="V202" i="28"/>
  <c r="U202" i="28"/>
  <c r="T202" i="28"/>
  <c r="S202" i="28"/>
  <c r="V201" i="28"/>
  <c r="U201" i="28"/>
  <c r="T201" i="28"/>
  <c r="S201" i="28"/>
  <c r="V200" i="28"/>
  <c r="U200" i="28"/>
  <c r="T200" i="28"/>
  <c r="S200" i="28"/>
  <c r="V199" i="28"/>
  <c r="U199" i="28"/>
  <c r="T199" i="28"/>
  <c r="S199" i="28"/>
  <c r="V198" i="28"/>
  <c r="U198" i="28"/>
  <c r="T198" i="28"/>
  <c r="S198" i="28"/>
  <c r="V197" i="28"/>
  <c r="U197" i="28"/>
  <c r="T197" i="28"/>
  <c r="S197" i="28"/>
  <c r="V196" i="28"/>
  <c r="U196" i="28"/>
  <c r="T196" i="28"/>
  <c r="S196" i="28"/>
  <c r="V195" i="28"/>
  <c r="U195" i="28"/>
  <c r="T195" i="28"/>
  <c r="S195" i="28"/>
  <c r="V194" i="28"/>
  <c r="U194" i="28"/>
  <c r="T194" i="28"/>
  <c r="S194" i="28"/>
  <c r="V193" i="28"/>
  <c r="U193" i="28"/>
  <c r="T193" i="28"/>
  <c r="S193" i="28"/>
  <c r="V192" i="28"/>
  <c r="U192" i="28"/>
  <c r="T192" i="28"/>
  <c r="S192" i="28"/>
  <c r="V191" i="28"/>
  <c r="U191" i="28"/>
  <c r="T191" i="28"/>
  <c r="S191" i="28"/>
  <c r="V190" i="28"/>
  <c r="U190" i="28"/>
  <c r="T190" i="28"/>
  <c r="S190" i="28"/>
  <c r="V189" i="28"/>
  <c r="U189" i="28"/>
  <c r="T189" i="28"/>
  <c r="S189" i="28"/>
  <c r="V188" i="28"/>
  <c r="U188" i="28"/>
  <c r="T188" i="28"/>
  <c r="S188" i="28"/>
  <c r="V187" i="28"/>
  <c r="U187" i="28"/>
  <c r="T187" i="28"/>
  <c r="S187" i="28"/>
  <c r="V186" i="28"/>
  <c r="U186" i="28"/>
  <c r="T186" i="28"/>
  <c r="S186" i="28"/>
  <c r="V185" i="28"/>
  <c r="U185" i="28"/>
  <c r="T185" i="28"/>
  <c r="S185" i="28"/>
  <c r="V184" i="28"/>
  <c r="U184" i="28"/>
  <c r="T184" i="28"/>
  <c r="S184" i="28"/>
  <c r="V183" i="28"/>
  <c r="U183" i="28"/>
  <c r="T183" i="28"/>
  <c r="S183" i="28"/>
  <c r="V182" i="28"/>
  <c r="U182" i="28"/>
  <c r="T182" i="28"/>
  <c r="S182" i="28"/>
  <c r="V181" i="28"/>
  <c r="U181" i="28"/>
  <c r="T181" i="28"/>
  <c r="S181" i="28"/>
  <c r="V180" i="28"/>
  <c r="U180" i="28"/>
  <c r="T180" i="28"/>
  <c r="S180" i="28"/>
  <c r="V179" i="28"/>
  <c r="U179" i="28"/>
  <c r="T179" i="28"/>
  <c r="S179" i="28"/>
  <c r="V178" i="28"/>
  <c r="U178" i="28"/>
  <c r="T178" i="28"/>
  <c r="S178" i="28"/>
  <c r="V177" i="28"/>
  <c r="U177" i="28"/>
  <c r="T177" i="28"/>
  <c r="S177" i="28"/>
  <c r="V176" i="28"/>
  <c r="U176" i="28"/>
  <c r="T176" i="28"/>
  <c r="S176" i="28"/>
  <c r="V175" i="28"/>
  <c r="U175" i="28"/>
  <c r="T175" i="28"/>
  <c r="S175" i="28"/>
  <c r="V174" i="28"/>
  <c r="U174" i="28"/>
  <c r="T174" i="28"/>
  <c r="S174" i="28"/>
  <c r="V173" i="28"/>
  <c r="U173" i="28"/>
  <c r="T173" i="28"/>
  <c r="S173" i="28"/>
  <c r="V172" i="28"/>
  <c r="U172" i="28"/>
  <c r="T172" i="28"/>
  <c r="S172" i="28"/>
  <c r="V171" i="28"/>
  <c r="U171" i="28"/>
  <c r="T171" i="28"/>
  <c r="S171" i="28"/>
  <c r="V170" i="28"/>
  <c r="U170" i="28"/>
  <c r="T170" i="28"/>
  <c r="S170" i="28"/>
  <c r="V169" i="28"/>
  <c r="U169" i="28"/>
  <c r="T169" i="28"/>
  <c r="S169" i="28"/>
  <c r="V168" i="28"/>
  <c r="U168" i="28"/>
  <c r="T168" i="28"/>
  <c r="S168" i="28"/>
  <c r="V167" i="28"/>
  <c r="U167" i="28"/>
  <c r="T167" i="28"/>
  <c r="S167" i="28"/>
  <c r="V166" i="28"/>
  <c r="U166" i="28"/>
  <c r="T166" i="28"/>
  <c r="S166" i="28"/>
  <c r="V165" i="28"/>
  <c r="U165" i="28"/>
  <c r="T165" i="28"/>
  <c r="S165" i="28"/>
  <c r="V164" i="28"/>
  <c r="U164" i="28"/>
  <c r="T164" i="28"/>
  <c r="S164" i="28"/>
  <c r="V163" i="28"/>
  <c r="U163" i="28"/>
  <c r="T163" i="28"/>
  <c r="S163" i="28"/>
  <c r="V162" i="28"/>
  <c r="U162" i="28"/>
  <c r="T162" i="28"/>
  <c r="S162" i="28"/>
  <c r="V161" i="28"/>
  <c r="U161" i="28"/>
  <c r="T161" i="28"/>
  <c r="S161" i="28"/>
  <c r="V160" i="28"/>
  <c r="U160" i="28"/>
  <c r="T160" i="28"/>
  <c r="S160" i="28"/>
  <c r="V159" i="28"/>
  <c r="U159" i="28"/>
  <c r="T159" i="28"/>
  <c r="S159" i="28"/>
  <c r="V158" i="28"/>
  <c r="U158" i="28"/>
  <c r="T158" i="28"/>
  <c r="S158" i="28"/>
  <c r="V157" i="28"/>
  <c r="U157" i="28"/>
  <c r="T157" i="28"/>
  <c r="S157" i="28"/>
  <c r="V156" i="28"/>
  <c r="U156" i="28"/>
  <c r="T156" i="28"/>
  <c r="S156" i="28"/>
  <c r="V155" i="28"/>
  <c r="U155" i="28"/>
  <c r="T155" i="28"/>
  <c r="S155" i="28"/>
  <c r="V154" i="28"/>
  <c r="U154" i="28"/>
  <c r="T154" i="28"/>
  <c r="S154" i="28"/>
  <c r="V153" i="28"/>
  <c r="U153" i="28"/>
  <c r="T153" i="28"/>
  <c r="S153" i="28"/>
  <c r="V152" i="28"/>
  <c r="U152" i="28"/>
  <c r="T152" i="28"/>
  <c r="S152" i="28"/>
  <c r="V151" i="28"/>
  <c r="U151" i="28"/>
  <c r="T151" i="28"/>
  <c r="S151" i="28"/>
  <c r="V150" i="28"/>
  <c r="U150" i="28"/>
  <c r="T150" i="28"/>
  <c r="S150" i="28"/>
  <c r="V149" i="28"/>
  <c r="U149" i="28"/>
  <c r="T149" i="28"/>
  <c r="S149" i="28"/>
  <c r="V148" i="28"/>
  <c r="U148" i="28"/>
  <c r="T148" i="28"/>
  <c r="S148" i="28"/>
  <c r="V147" i="28"/>
  <c r="U147" i="28"/>
  <c r="T147" i="28"/>
  <c r="S147" i="28"/>
  <c r="V146" i="28"/>
  <c r="U146" i="28"/>
  <c r="T146" i="28"/>
  <c r="S146" i="28"/>
  <c r="V145" i="28"/>
  <c r="U145" i="28"/>
  <c r="T145" i="28"/>
  <c r="S145" i="28"/>
  <c r="V144" i="28"/>
  <c r="U144" i="28"/>
  <c r="T144" i="28"/>
  <c r="S144" i="28"/>
  <c r="V143" i="28"/>
  <c r="U143" i="28"/>
  <c r="T143" i="28"/>
  <c r="S143" i="28"/>
  <c r="V142" i="28"/>
  <c r="U142" i="28"/>
  <c r="T142" i="28"/>
  <c r="S142" i="28"/>
  <c r="V141" i="28"/>
  <c r="U141" i="28"/>
  <c r="T141" i="28"/>
  <c r="S141" i="28"/>
  <c r="V140" i="28"/>
  <c r="U140" i="28"/>
  <c r="T140" i="28"/>
  <c r="S140" i="28"/>
  <c r="V139" i="28"/>
  <c r="U139" i="28"/>
  <c r="T139" i="28"/>
  <c r="S139" i="28"/>
  <c r="V138" i="28"/>
  <c r="U138" i="28"/>
  <c r="T138" i="28"/>
  <c r="S138" i="28"/>
  <c r="V137" i="28"/>
  <c r="U137" i="28"/>
  <c r="T137" i="28"/>
  <c r="S137" i="28"/>
  <c r="V136" i="28"/>
  <c r="U136" i="28"/>
  <c r="T136" i="28"/>
  <c r="S136" i="28"/>
  <c r="V135" i="28"/>
  <c r="U135" i="28"/>
  <c r="T135" i="28"/>
  <c r="S135" i="28"/>
  <c r="V134" i="28"/>
  <c r="U134" i="28"/>
  <c r="T134" i="28"/>
  <c r="S134" i="28"/>
  <c r="V133" i="28"/>
  <c r="U133" i="28"/>
  <c r="T133" i="28"/>
  <c r="S133" i="28"/>
  <c r="V132" i="28"/>
  <c r="U132" i="28"/>
  <c r="T132" i="28"/>
  <c r="S132" i="28"/>
  <c r="V131" i="28"/>
  <c r="U131" i="28"/>
  <c r="T131" i="28"/>
  <c r="S131" i="28"/>
  <c r="V130" i="28"/>
  <c r="U130" i="28"/>
  <c r="T130" i="28"/>
  <c r="S130" i="28"/>
  <c r="V129" i="28"/>
  <c r="U129" i="28"/>
  <c r="T129" i="28"/>
  <c r="S129" i="28"/>
  <c r="V128" i="28"/>
  <c r="U128" i="28"/>
  <c r="T128" i="28"/>
  <c r="S128" i="28"/>
  <c r="V127" i="28"/>
  <c r="U127" i="28"/>
  <c r="T127" i="28"/>
  <c r="S127" i="28"/>
  <c r="V126" i="28"/>
  <c r="U126" i="28"/>
  <c r="T126" i="28"/>
  <c r="S126" i="28"/>
  <c r="V125" i="28"/>
  <c r="U125" i="28"/>
  <c r="T125" i="28"/>
  <c r="S125" i="28"/>
  <c r="V124" i="28"/>
  <c r="U124" i="28"/>
  <c r="T124" i="28"/>
  <c r="S124" i="28"/>
  <c r="V123" i="28"/>
  <c r="U123" i="28"/>
  <c r="T123" i="28"/>
  <c r="S123" i="28"/>
  <c r="V122" i="28"/>
  <c r="U122" i="28"/>
  <c r="T122" i="28"/>
  <c r="S122" i="28"/>
  <c r="V121" i="28"/>
  <c r="U121" i="28"/>
  <c r="T121" i="28"/>
  <c r="S121" i="28"/>
  <c r="V120" i="28"/>
  <c r="U120" i="28"/>
  <c r="T120" i="28"/>
  <c r="S120" i="28"/>
  <c r="V119" i="28"/>
  <c r="U119" i="28"/>
  <c r="T119" i="28"/>
  <c r="S119" i="28"/>
  <c r="V118" i="28"/>
  <c r="U118" i="28"/>
  <c r="T118" i="28"/>
  <c r="S118" i="28"/>
  <c r="V117" i="28"/>
  <c r="U117" i="28"/>
  <c r="T117" i="28"/>
  <c r="S117" i="28"/>
  <c r="V116" i="28"/>
  <c r="U116" i="28"/>
  <c r="T116" i="28"/>
  <c r="S116" i="28"/>
  <c r="V115" i="28"/>
  <c r="U115" i="28"/>
  <c r="T115" i="28"/>
  <c r="S115" i="28"/>
  <c r="V114" i="28"/>
  <c r="U114" i="28"/>
  <c r="T114" i="28"/>
  <c r="S114" i="28"/>
  <c r="V113" i="28"/>
  <c r="U113" i="28"/>
  <c r="T113" i="28"/>
  <c r="S113" i="28"/>
  <c r="V112" i="28"/>
  <c r="U112" i="28"/>
  <c r="T112" i="28"/>
  <c r="S112" i="28"/>
  <c r="V111" i="28"/>
  <c r="U111" i="28"/>
  <c r="T111" i="28"/>
  <c r="S111" i="28"/>
  <c r="V110" i="28"/>
  <c r="U110" i="28"/>
  <c r="T110" i="28"/>
  <c r="S110" i="28"/>
  <c r="V109" i="28"/>
  <c r="U109" i="28"/>
  <c r="T109" i="28"/>
  <c r="S109" i="28"/>
  <c r="V108" i="28"/>
  <c r="U108" i="28"/>
  <c r="T108" i="28"/>
  <c r="S108" i="28"/>
  <c r="V107" i="28"/>
  <c r="U107" i="28"/>
  <c r="T107" i="28"/>
  <c r="S107" i="28"/>
  <c r="V106" i="28"/>
  <c r="U106" i="28"/>
  <c r="T106" i="28"/>
  <c r="S106" i="28"/>
  <c r="V105" i="28"/>
  <c r="U105" i="28"/>
  <c r="T105" i="28"/>
  <c r="S105" i="28"/>
  <c r="V104" i="28"/>
  <c r="U104" i="28"/>
  <c r="T104" i="28"/>
  <c r="S104" i="28"/>
  <c r="V103" i="28"/>
  <c r="U103" i="28"/>
  <c r="T103" i="28"/>
  <c r="S103" i="28"/>
  <c r="V102" i="28"/>
  <c r="U102" i="28"/>
  <c r="T102" i="28"/>
  <c r="S102" i="28"/>
  <c r="V101" i="28"/>
  <c r="U101" i="28"/>
  <c r="T101" i="28"/>
  <c r="S101" i="28"/>
  <c r="V100" i="28"/>
  <c r="U100" i="28"/>
  <c r="T100" i="28"/>
  <c r="S100" i="28"/>
  <c r="V99" i="28"/>
  <c r="U99" i="28"/>
  <c r="T99" i="28"/>
  <c r="S99" i="28"/>
  <c r="V98" i="28"/>
  <c r="U98" i="28"/>
  <c r="T98" i="28"/>
  <c r="S98" i="28"/>
  <c r="V97" i="28"/>
  <c r="U97" i="28"/>
  <c r="T97" i="28"/>
  <c r="S97" i="28"/>
  <c r="V96" i="28"/>
  <c r="U96" i="28"/>
  <c r="T96" i="28"/>
  <c r="S96" i="28"/>
  <c r="V95" i="28"/>
  <c r="U95" i="28"/>
  <c r="T95" i="28"/>
  <c r="S95" i="28"/>
  <c r="V94" i="28"/>
  <c r="U94" i="28"/>
  <c r="T94" i="28"/>
  <c r="S94" i="28"/>
  <c r="V93" i="28"/>
  <c r="U93" i="28"/>
  <c r="T93" i="28"/>
  <c r="S93" i="28"/>
  <c r="V92" i="28"/>
  <c r="U92" i="28"/>
  <c r="T92" i="28"/>
  <c r="S92" i="28"/>
  <c r="V91" i="28"/>
  <c r="U91" i="28"/>
  <c r="T91" i="28"/>
  <c r="S91" i="28"/>
  <c r="V90" i="28"/>
  <c r="U90" i="28"/>
  <c r="T90" i="28"/>
  <c r="S90" i="28"/>
  <c r="V89" i="28"/>
  <c r="U89" i="28"/>
  <c r="T89" i="28"/>
  <c r="S89" i="28"/>
  <c r="V88" i="28"/>
  <c r="U88" i="28"/>
  <c r="T88" i="28"/>
  <c r="S88" i="28"/>
  <c r="V87" i="28"/>
  <c r="U87" i="28"/>
  <c r="T87" i="28"/>
  <c r="S87" i="28"/>
  <c r="V86" i="28"/>
  <c r="U86" i="28"/>
  <c r="T86" i="28"/>
  <c r="S86" i="28"/>
  <c r="V85" i="28"/>
  <c r="U85" i="28"/>
  <c r="T85" i="28"/>
  <c r="S85" i="28"/>
  <c r="V84" i="28"/>
  <c r="U84" i="28"/>
  <c r="T84" i="28"/>
  <c r="S84" i="28"/>
  <c r="V83" i="28"/>
  <c r="U83" i="28"/>
  <c r="T83" i="28"/>
  <c r="S83" i="28"/>
  <c r="V82" i="28"/>
  <c r="U82" i="28"/>
  <c r="T82" i="28"/>
  <c r="S82" i="28"/>
  <c r="V81" i="28"/>
  <c r="U81" i="28"/>
  <c r="T81" i="28"/>
  <c r="S81" i="28"/>
  <c r="V80" i="28"/>
  <c r="U80" i="28"/>
  <c r="T80" i="28"/>
  <c r="S80" i="28"/>
  <c r="V79" i="28"/>
  <c r="U79" i="28"/>
  <c r="T79" i="28"/>
  <c r="S79" i="28"/>
  <c r="V78" i="28"/>
  <c r="U78" i="28"/>
  <c r="T78" i="28"/>
  <c r="S78" i="28"/>
  <c r="V77" i="28"/>
  <c r="U77" i="28"/>
  <c r="T77" i="28"/>
  <c r="S77" i="28"/>
  <c r="V76" i="28"/>
  <c r="U76" i="28"/>
  <c r="T76" i="28"/>
  <c r="S76" i="28"/>
  <c r="V75" i="28"/>
  <c r="U75" i="28"/>
  <c r="T75" i="28"/>
  <c r="S75" i="28"/>
  <c r="V74" i="28"/>
  <c r="U74" i="28"/>
  <c r="T74" i="28"/>
  <c r="S74" i="28"/>
  <c r="V73" i="28"/>
  <c r="U73" i="28"/>
  <c r="T73" i="28"/>
  <c r="S73" i="28"/>
  <c r="V72" i="28"/>
  <c r="U72" i="28"/>
  <c r="T72" i="28"/>
  <c r="S72" i="28"/>
  <c r="V71" i="28"/>
  <c r="U71" i="28"/>
  <c r="T71" i="28"/>
  <c r="S71" i="28"/>
  <c r="V70" i="28"/>
  <c r="U70" i="28"/>
  <c r="T70" i="28"/>
  <c r="S70" i="28"/>
  <c r="V69" i="28"/>
  <c r="U69" i="28"/>
  <c r="T69" i="28"/>
  <c r="S69" i="28"/>
  <c r="V68" i="28"/>
  <c r="U68" i="28"/>
  <c r="T68" i="28"/>
  <c r="S68" i="28"/>
  <c r="V67" i="28"/>
  <c r="U67" i="28"/>
  <c r="T67" i="28"/>
  <c r="S67" i="28"/>
  <c r="V66" i="28"/>
  <c r="U66" i="28"/>
  <c r="T66" i="28"/>
  <c r="S66" i="28"/>
  <c r="V65" i="28"/>
  <c r="U65" i="28"/>
  <c r="T65" i="28"/>
  <c r="S65" i="28"/>
  <c r="V64" i="28"/>
  <c r="U64" i="28"/>
  <c r="T64" i="28"/>
  <c r="S64" i="28"/>
  <c r="V63" i="28"/>
  <c r="U63" i="28"/>
  <c r="T63" i="28"/>
  <c r="S63" i="28"/>
  <c r="V62" i="28"/>
  <c r="U62" i="28"/>
  <c r="T62" i="28"/>
  <c r="S62" i="28"/>
  <c r="V61" i="28"/>
  <c r="U61" i="28"/>
  <c r="T61" i="28"/>
  <c r="S61" i="28"/>
  <c r="V60" i="28"/>
  <c r="U60" i="28"/>
  <c r="T60" i="28"/>
  <c r="S60" i="28"/>
  <c r="V59" i="28"/>
  <c r="U59" i="28"/>
  <c r="T59" i="28"/>
  <c r="S59" i="28"/>
  <c r="V58" i="28"/>
  <c r="U58" i="28"/>
  <c r="T58" i="28"/>
  <c r="S58" i="28"/>
  <c r="V57" i="28"/>
  <c r="U57" i="28"/>
  <c r="T57" i="28"/>
  <c r="S57" i="28"/>
  <c r="V56" i="28"/>
  <c r="U56" i="28"/>
  <c r="T56" i="28"/>
  <c r="S56" i="28"/>
  <c r="V55" i="28"/>
  <c r="U55" i="28"/>
  <c r="T55" i="28"/>
  <c r="S55" i="28"/>
  <c r="V54" i="28"/>
  <c r="U54" i="28"/>
  <c r="T54" i="28"/>
  <c r="S54" i="28"/>
  <c r="V53" i="28"/>
  <c r="U53" i="28"/>
  <c r="T53" i="28"/>
  <c r="S53" i="28"/>
  <c r="V52" i="28"/>
  <c r="U52" i="28"/>
  <c r="T52" i="28"/>
  <c r="S52" i="28"/>
  <c r="V51" i="28"/>
  <c r="U51" i="28"/>
  <c r="T51" i="28"/>
  <c r="S51" i="28"/>
  <c r="V50" i="28"/>
  <c r="U50" i="28"/>
  <c r="T50" i="28"/>
  <c r="S50" i="28"/>
  <c r="V49" i="28"/>
  <c r="U49" i="28"/>
  <c r="T49" i="28"/>
  <c r="S49" i="28"/>
  <c r="V48" i="28"/>
  <c r="U48" i="28"/>
  <c r="T48" i="28"/>
  <c r="S48" i="28"/>
  <c r="V47" i="28"/>
  <c r="U47" i="28"/>
  <c r="T47" i="28"/>
  <c r="S47" i="28"/>
  <c r="V46" i="28"/>
  <c r="U46" i="28"/>
  <c r="T46" i="28"/>
  <c r="S46" i="28"/>
  <c r="V45" i="28"/>
  <c r="U45" i="28"/>
  <c r="T45" i="28"/>
  <c r="S45" i="28"/>
  <c r="V44" i="28"/>
  <c r="U44" i="28"/>
  <c r="T44" i="28"/>
  <c r="S44" i="28"/>
  <c r="V43" i="28"/>
  <c r="U43" i="28"/>
  <c r="T43" i="28"/>
  <c r="S43" i="28"/>
  <c r="V42" i="28"/>
  <c r="U42" i="28"/>
  <c r="T42" i="28"/>
  <c r="S42" i="28"/>
  <c r="V41" i="28"/>
  <c r="U41" i="28"/>
  <c r="T41" i="28"/>
  <c r="S41" i="28"/>
  <c r="V40" i="28"/>
  <c r="U40" i="28"/>
  <c r="T40" i="28"/>
  <c r="S40" i="28"/>
  <c r="V39" i="28"/>
  <c r="U39" i="28"/>
  <c r="T39" i="28"/>
  <c r="S39" i="28"/>
  <c r="V38" i="28"/>
  <c r="U38" i="28"/>
  <c r="T38" i="28"/>
  <c r="S38" i="28"/>
  <c r="V37" i="28"/>
  <c r="U37" i="28"/>
  <c r="T37" i="28"/>
  <c r="S37" i="28"/>
  <c r="V36" i="28"/>
  <c r="U36" i="28"/>
  <c r="T36" i="28"/>
  <c r="S36" i="28"/>
  <c r="V35" i="28"/>
  <c r="U35" i="28"/>
  <c r="T35" i="28"/>
  <c r="S35" i="28"/>
  <c r="V34" i="28"/>
  <c r="U34" i="28"/>
  <c r="T34" i="28"/>
  <c r="S34" i="28"/>
  <c r="V33" i="28"/>
  <c r="U33" i="28"/>
  <c r="T33" i="28"/>
  <c r="S33" i="28"/>
  <c r="V32" i="28"/>
  <c r="U32" i="28"/>
  <c r="T32" i="28"/>
  <c r="S32" i="28"/>
  <c r="V31" i="28"/>
  <c r="U31" i="28"/>
  <c r="T31" i="28"/>
  <c r="S31" i="28"/>
  <c r="V30" i="28"/>
  <c r="U30" i="28"/>
  <c r="T30" i="28"/>
  <c r="S30" i="28"/>
  <c r="V29" i="28"/>
  <c r="U29" i="28"/>
  <c r="T29" i="28"/>
  <c r="S29" i="28"/>
  <c r="V28" i="28"/>
  <c r="U28" i="28"/>
  <c r="T28" i="28"/>
  <c r="S28" i="28"/>
  <c r="V27" i="28"/>
  <c r="U27" i="28"/>
  <c r="T27" i="28"/>
  <c r="S27" i="28"/>
  <c r="V26" i="28"/>
  <c r="U26" i="28"/>
  <c r="T26" i="28"/>
  <c r="S26" i="28"/>
  <c r="V25" i="28"/>
  <c r="U25" i="28"/>
  <c r="T25" i="28"/>
  <c r="S25" i="28"/>
  <c r="V24" i="28"/>
  <c r="U24" i="28"/>
  <c r="T24" i="28"/>
  <c r="S24" i="28"/>
  <c r="V23" i="28"/>
  <c r="U23" i="28"/>
  <c r="T23" i="28"/>
  <c r="S23" i="28"/>
  <c r="V22" i="28"/>
  <c r="U22" i="28"/>
  <c r="T22" i="28"/>
  <c r="S22" i="28"/>
  <c r="V21" i="28"/>
  <c r="U21" i="28"/>
  <c r="T21" i="28"/>
  <c r="S21" i="28"/>
  <c r="V20" i="28"/>
  <c r="U20" i="28"/>
  <c r="T20" i="28"/>
  <c r="S20" i="28"/>
  <c r="V19" i="28"/>
  <c r="U19" i="28"/>
  <c r="T19" i="28"/>
  <c r="S19" i="28"/>
  <c r="V18" i="28"/>
  <c r="U18" i="28"/>
  <c r="T18" i="28"/>
  <c r="S18" i="28"/>
  <c r="V17" i="28"/>
  <c r="U17" i="28"/>
  <c r="T17" i="28"/>
  <c r="S17" i="28"/>
  <c r="V16" i="28"/>
  <c r="U16" i="28"/>
  <c r="T16" i="28"/>
  <c r="S16" i="28"/>
  <c r="V15" i="28"/>
  <c r="U15" i="28"/>
  <c r="T15" i="28"/>
  <c r="S15" i="28"/>
  <c r="V14" i="28"/>
  <c r="U14" i="28"/>
  <c r="T14" i="28"/>
  <c r="S14" i="28"/>
  <c r="V13" i="28"/>
  <c r="U13" i="28"/>
  <c r="T13" i="28"/>
  <c r="S13" i="28"/>
  <c r="V12" i="28"/>
  <c r="U12" i="28"/>
  <c r="T12" i="28"/>
  <c r="S12" i="28"/>
  <c r="V11" i="28"/>
  <c r="U11" i="28"/>
  <c r="T11" i="28"/>
  <c r="S11" i="28"/>
  <c r="V10" i="28"/>
  <c r="U10" i="28"/>
  <c r="T10" i="28"/>
  <c r="S10" i="28"/>
  <c r="V9" i="28"/>
  <c r="U9" i="28"/>
  <c r="T9" i="28"/>
  <c r="S9" i="28"/>
  <c r="V8" i="28"/>
  <c r="U8" i="28"/>
  <c r="T8" i="28"/>
  <c r="S8" i="28"/>
  <c r="V7" i="28"/>
  <c r="U7" i="28"/>
  <c r="T7" i="28"/>
  <c r="S7" i="28"/>
  <c r="V6" i="28"/>
  <c r="U6" i="28"/>
  <c r="T6" i="28"/>
  <c r="S6" i="28"/>
  <c r="V5" i="28"/>
  <c r="U5" i="28"/>
  <c r="T5" i="28"/>
  <c r="S5" i="28"/>
  <c r="V4" i="28"/>
  <c r="U4" i="28"/>
  <c r="T4" i="28"/>
  <c r="S4" i="28"/>
  <c r="Q266" i="28"/>
  <c r="P266" i="28"/>
  <c r="O266" i="28"/>
  <c r="N266" i="28"/>
  <c r="G266" i="28"/>
  <c r="F266" i="28"/>
  <c r="Q265" i="28"/>
  <c r="P265" i="28"/>
  <c r="O265" i="28"/>
  <c r="N265" i="28"/>
  <c r="G265" i="28"/>
  <c r="F265" i="28"/>
  <c r="Q264" i="28"/>
  <c r="P264" i="28"/>
  <c r="O264" i="28"/>
  <c r="N264" i="28"/>
  <c r="G264" i="28"/>
  <c r="F264" i="28"/>
  <c r="Q263" i="28"/>
  <c r="P263" i="28"/>
  <c r="O263" i="28"/>
  <c r="N263" i="28"/>
  <c r="G263" i="28"/>
  <c r="F263" i="28"/>
  <c r="Q262" i="28"/>
  <c r="P262" i="28"/>
  <c r="O262" i="28"/>
  <c r="N262" i="28"/>
  <c r="G262" i="28"/>
  <c r="F262" i="28"/>
  <c r="Q261" i="28"/>
  <c r="P261" i="28"/>
  <c r="O261" i="28"/>
  <c r="N261" i="28"/>
  <c r="G261" i="28"/>
  <c r="F261" i="28"/>
  <c r="Q260" i="28"/>
  <c r="P260" i="28"/>
  <c r="O260" i="28"/>
  <c r="N260" i="28"/>
  <c r="G260" i="28"/>
  <c r="F260" i="28"/>
  <c r="Q259" i="28"/>
  <c r="P259" i="28"/>
  <c r="O259" i="28"/>
  <c r="N259" i="28"/>
  <c r="G259" i="28"/>
  <c r="F259" i="28"/>
  <c r="Q258" i="28"/>
  <c r="P258" i="28"/>
  <c r="O258" i="28"/>
  <c r="N258" i="28"/>
  <c r="G258" i="28"/>
  <c r="F258" i="28"/>
  <c r="Q257" i="28"/>
  <c r="P257" i="28"/>
  <c r="O257" i="28"/>
  <c r="N257" i="28"/>
  <c r="G257" i="28"/>
  <c r="F257" i="28"/>
  <c r="Q256" i="28"/>
  <c r="P256" i="28"/>
  <c r="O256" i="28"/>
  <c r="N256" i="28"/>
  <c r="G256" i="28"/>
  <c r="F256" i="28"/>
  <c r="Q255" i="28"/>
  <c r="P255" i="28"/>
  <c r="O255" i="28"/>
  <c r="N255" i="28"/>
  <c r="G255" i="28"/>
  <c r="F255" i="28"/>
  <c r="Q254" i="28"/>
  <c r="P254" i="28"/>
  <c r="O254" i="28"/>
  <c r="N254" i="28"/>
  <c r="G254" i="28"/>
  <c r="F254" i="28"/>
  <c r="Q253" i="28"/>
  <c r="P253" i="28"/>
  <c r="O253" i="28"/>
  <c r="N253" i="28"/>
  <c r="G253" i="28"/>
  <c r="F253" i="28"/>
  <c r="Q252" i="28"/>
  <c r="P252" i="28"/>
  <c r="O252" i="28"/>
  <c r="N252" i="28"/>
  <c r="G252" i="28"/>
  <c r="F252" i="28"/>
  <c r="Q251" i="28"/>
  <c r="P251" i="28"/>
  <c r="O251" i="28"/>
  <c r="N251" i="28"/>
  <c r="G251" i="28"/>
  <c r="F251" i="28"/>
  <c r="Q250" i="28"/>
  <c r="P250" i="28"/>
  <c r="O250" i="28"/>
  <c r="N250" i="28"/>
  <c r="G250" i="28"/>
  <c r="F250" i="28"/>
  <c r="Q249" i="28"/>
  <c r="P249" i="28"/>
  <c r="O249" i="28"/>
  <c r="N249" i="28"/>
  <c r="G249" i="28"/>
  <c r="F249" i="28"/>
  <c r="Q248" i="28"/>
  <c r="P248" i="28"/>
  <c r="O248" i="28"/>
  <c r="N248" i="28"/>
  <c r="G248" i="28"/>
  <c r="F248" i="28"/>
  <c r="Q247" i="28"/>
  <c r="P247" i="28"/>
  <c r="O247" i="28"/>
  <c r="N247" i="28"/>
  <c r="G247" i="28"/>
  <c r="F247" i="28"/>
  <c r="Q246" i="28"/>
  <c r="P246" i="28"/>
  <c r="O246" i="28"/>
  <c r="N246" i="28"/>
  <c r="G246" i="28"/>
  <c r="F246" i="28"/>
  <c r="Q245" i="28"/>
  <c r="P245" i="28"/>
  <c r="O245" i="28"/>
  <c r="N245" i="28"/>
  <c r="G245" i="28"/>
  <c r="F245" i="28"/>
  <c r="Q244" i="28"/>
  <c r="P244" i="28"/>
  <c r="O244" i="28"/>
  <c r="N244" i="28"/>
  <c r="G244" i="28"/>
  <c r="F244" i="28"/>
  <c r="Q243" i="28"/>
  <c r="P243" i="28"/>
  <c r="O243" i="28"/>
  <c r="N243" i="28"/>
  <c r="G243" i="28"/>
  <c r="F243" i="28"/>
  <c r="Q242" i="28"/>
  <c r="P242" i="28"/>
  <c r="O242" i="28"/>
  <c r="N242" i="28"/>
  <c r="G242" i="28"/>
  <c r="F242" i="28"/>
  <c r="Q241" i="28"/>
  <c r="P241" i="28"/>
  <c r="O241" i="28"/>
  <c r="N241" i="28"/>
  <c r="G241" i="28"/>
  <c r="F241" i="28"/>
  <c r="Q240" i="28"/>
  <c r="P240" i="28"/>
  <c r="O240" i="28"/>
  <c r="N240" i="28"/>
  <c r="G240" i="28"/>
  <c r="F240" i="28"/>
  <c r="Q239" i="28"/>
  <c r="P239" i="28"/>
  <c r="O239" i="28"/>
  <c r="N239" i="28"/>
  <c r="G239" i="28"/>
  <c r="F239" i="28"/>
  <c r="Q238" i="28"/>
  <c r="P238" i="28"/>
  <c r="O238" i="28"/>
  <c r="N238" i="28"/>
  <c r="G238" i="28"/>
  <c r="F238" i="28"/>
  <c r="Q237" i="28"/>
  <c r="P237" i="28"/>
  <c r="O237" i="28"/>
  <c r="N237" i="28"/>
  <c r="G237" i="28"/>
  <c r="F237" i="28"/>
  <c r="Q236" i="28"/>
  <c r="P236" i="28"/>
  <c r="O236" i="28"/>
  <c r="N236" i="28"/>
  <c r="G236" i="28"/>
  <c r="F236" i="28"/>
  <c r="Q235" i="28"/>
  <c r="P235" i="28"/>
  <c r="O235" i="28"/>
  <c r="N235" i="28"/>
  <c r="G235" i="28"/>
  <c r="F235" i="28"/>
  <c r="Q234" i="28"/>
  <c r="P234" i="28"/>
  <c r="O234" i="28"/>
  <c r="N234" i="28"/>
  <c r="G234" i="28"/>
  <c r="F234" i="28"/>
  <c r="Q233" i="28"/>
  <c r="P233" i="28"/>
  <c r="O233" i="28"/>
  <c r="N233" i="28"/>
  <c r="G233" i="28"/>
  <c r="F233" i="28"/>
  <c r="Q232" i="28"/>
  <c r="P232" i="28"/>
  <c r="O232" i="28"/>
  <c r="N232" i="28"/>
  <c r="G232" i="28"/>
  <c r="F232" i="28"/>
  <c r="Q231" i="28"/>
  <c r="P231" i="28"/>
  <c r="O231" i="28"/>
  <c r="N231" i="28"/>
  <c r="G231" i="28"/>
  <c r="F231" i="28"/>
  <c r="Q230" i="28"/>
  <c r="P230" i="28"/>
  <c r="O230" i="28"/>
  <c r="N230" i="28"/>
  <c r="G230" i="28"/>
  <c r="F230" i="28"/>
  <c r="Q229" i="28"/>
  <c r="P229" i="28"/>
  <c r="O229" i="28"/>
  <c r="N229" i="28"/>
  <c r="G229" i="28"/>
  <c r="F229" i="28"/>
  <c r="Q228" i="28"/>
  <c r="P228" i="28"/>
  <c r="O228" i="28"/>
  <c r="N228" i="28"/>
  <c r="G228" i="28"/>
  <c r="F228" i="28"/>
  <c r="Q227" i="28"/>
  <c r="P227" i="28"/>
  <c r="O227" i="28"/>
  <c r="N227" i="28"/>
  <c r="G227" i="28"/>
  <c r="F227" i="28"/>
  <c r="Q226" i="28"/>
  <c r="P226" i="28"/>
  <c r="O226" i="28"/>
  <c r="N226" i="28"/>
  <c r="G226" i="28"/>
  <c r="F226" i="28"/>
  <c r="Q225" i="28"/>
  <c r="P225" i="28"/>
  <c r="O225" i="28"/>
  <c r="N225" i="28"/>
  <c r="G225" i="28"/>
  <c r="F225" i="28"/>
  <c r="Q224" i="28"/>
  <c r="P224" i="28"/>
  <c r="O224" i="28"/>
  <c r="N224" i="28"/>
  <c r="G224" i="28"/>
  <c r="F224" i="28"/>
  <c r="Q223" i="28"/>
  <c r="P223" i="28"/>
  <c r="O223" i="28"/>
  <c r="N223" i="28"/>
  <c r="G223" i="28"/>
  <c r="F223" i="28"/>
  <c r="Q222" i="28"/>
  <c r="P222" i="28"/>
  <c r="O222" i="28"/>
  <c r="N222" i="28"/>
  <c r="G222" i="28"/>
  <c r="F222" i="28"/>
  <c r="Q221" i="28"/>
  <c r="P221" i="28"/>
  <c r="O221" i="28"/>
  <c r="N221" i="28"/>
  <c r="G221" i="28"/>
  <c r="F221" i="28"/>
  <c r="Q220" i="28"/>
  <c r="P220" i="28"/>
  <c r="O220" i="28"/>
  <c r="N220" i="28"/>
  <c r="G220" i="28"/>
  <c r="F220" i="28"/>
  <c r="Q219" i="28"/>
  <c r="P219" i="28"/>
  <c r="O219" i="28"/>
  <c r="N219" i="28"/>
  <c r="G219" i="28"/>
  <c r="F219" i="28"/>
  <c r="Q218" i="28"/>
  <c r="P218" i="28"/>
  <c r="O218" i="28"/>
  <c r="N218" i="28"/>
  <c r="G218" i="28"/>
  <c r="F218" i="28"/>
  <c r="Q217" i="28"/>
  <c r="P217" i="28"/>
  <c r="O217" i="28"/>
  <c r="N217" i="28"/>
  <c r="G217" i="28"/>
  <c r="F217" i="28"/>
  <c r="Q216" i="28"/>
  <c r="P216" i="28"/>
  <c r="O216" i="28"/>
  <c r="N216" i="28"/>
  <c r="G216" i="28"/>
  <c r="F216" i="28"/>
  <c r="Q215" i="28"/>
  <c r="P215" i="28"/>
  <c r="O215" i="28"/>
  <c r="N215" i="28"/>
  <c r="G215" i="28"/>
  <c r="F215" i="28"/>
  <c r="Q214" i="28"/>
  <c r="P214" i="28"/>
  <c r="O214" i="28"/>
  <c r="N214" i="28"/>
  <c r="G214" i="28"/>
  <c r="F214" i="28"/>
  <c r="Q213" i="28"/>
  <c r="P213" i="28"/>
  <c r="O213" i="28"/>
  <c r="N213" i="28"/>
  <c r="G213" i="28"/>
  <c r="F213" i="28"/>
  <c r="Q212" i="28"/>
  <c r="P212" i="28"/>
  <c r="O212" i="28"/>
  <c r="N212" i="28"/>
  <c r="G212" i="28"/>
  <c r="F212" i="28"/>
  <c r="Q211" i="28"/>
  <c r="P211" i="28"/>
  <c r="O211" i="28"/>
  <c r="N211" i="28"/>
  <c r="G211" i="28"/>
  <c r="F211" i="28"/>
  <c r="Q210" i="28"/>
  <c r="P210" i="28"/>
  <c r="O210" i="28"/>
  <c r="N210" i="28"/>
  <c r="G210" i="28"/>
  <c r="F210" i="28"/>
  <c r="Q209" i="28"/>
  <c r="P209" i="28"/>
  <c r="O209" i="28"/>
  <c r="N209" i="28"/>
  <c r="G209" i="28"/>
  <c r="F209" i="28"/>
  <c r="Q208" i="28"/>
  <c r="P208" i="28"/>
  <c r="O208" i="28"/>
  <c r="N208" i="28"/>
  <c r="G208" i="28"/>
  <c r="F208" i="28"/>
  <c r="Q207" i="28"/>
  <c r="P207" i="28"/>
  <c r="O207" i="28"/>
  <c r="N207" i="28"/>
  <c r="G207" i="28"/>
  <c r="F207" i="28"/>
  <c r="Q206" i="28"/>
  <c r="P206" i="28"/>
  <c r="O206" i="28"/>
  <c r="N206" i="28"/>
  <c r="G206" i="28"/>
  <c r="F206" i="28"/>
  <c r="Q205" i="28"/>
  <c r="P205" i="28"/>
  <c r="O205" i="28"/>
  <c r="N205" i="28"/>
  <c r="G205" i="28"/>
  <c r="F205" i="28"/>
  <c r="Q204" i="28"/>
  <c r="P204" i="28"/>
  <c r="O204" i="28"/>
  <c r="N204" i="28"/>
  <c r="G204" i="28"/>
  <c r="F204" i="28"/>
  <c r="Q203" i="28"/>
  <c r="P203" i="28"/>
  <c r="O203" i="28"/>
  <c r="N203" i="28"/>
  <c r="G203" i="28"/>
  <c r="F203" i="28"/>
  <c r="Q202" i="28"/>
  <c r="P202" i="28"/>
  <c r="O202" i="28"/>
  <c r="N202" i="28"/>
  <c r="G202" i="28"/>
  <c r="F202" i="28"/>
  <c r="Q201" i="28"/>
  <c r="P201" i="28"/>
  <c r="O201" i="28"/>
  <c r="N201" i="28"/>
  <c r="G201" i="28"/>
  <c r="F201" i="28"/>
  <c r="Q200" i="28"/>
  <c r="P200" i="28"/>
  <c r="O200" i="28"/>
  <c r="N200" i="28"/>
  <c r="G200" i="28"/>
  <c r="F200" i="28"/>
  <c r="Q199" i="28"/>
  <c r="P199" i="28"/>
  <c r="O199" i="28"/>
  <c r="N199" i="28"/>
  <c r="G199" i="28"/>
  <c r="F199" i="28"/>
  <c r="Q198" i="28"/>
  <c r="P198" i="28"/>
  <c r="O198" i="28"/>
  <c r="N198" i="28"/>
  <c r="G198" i="28"/>
  <c r="F198" i="28"/>
  <c r="Q197" i="28"/>
  <c r="P197" i="28"/>
  <c r="O197" i="28"/>
  <c r="N197" i="28"/>
  <c r="G197" i="28"/>
  <c r="F197" i="28"/>
  <c r="Q196" i="28"/>
  <c r="P196" i="28"/>
  <c r="O196" i="28"/>
  <c r="N196" i="28"/>
  <c r="G196" i="28"/>
  <c r="F196" i="28"/>
  <c r="Q195" i="28"/>
  <c r="P195" i="28"/>
  <c r="O195" i="28"/>
  <c r="N195" i="28"/>
  <c r="G195" i="28"/>
  <c r="F195" i="28"/>
  <c r="Q194" i="28"/>
  <c r="P194" i="28"/>
  <c r="O194" i="28"/>
  <c r="N194" i="28"/>
  <c r="G194" i="28"/>
  <c r="F194" i="28"/>
  <c r="Q193" i="28"/>
  <c r="P193" i="28"/>
  <c r="O193" i="28"/>
  <c r="N193" i="28"/>
  <c r="G193" i="28"/>
  <c r="F193" i="28"/>
  <c r="Q192" i="28"/>
  <c r="P192" i="28"/>
  <c r="O192" i="28"/>
  <c r="N192" i="28"/>
  <c r="G192" i="28"/>
  <c r="F192" i="28"/>
  <c r="Q191" i="28"/>
  <c r="P191" i="28"/>
  <c r="O191" i="28"/>
  <c r="N191" i="28"/>
  <c r="G191" i="28"/>
  <c r="F191" i="28"/>
  <c r="Q190" i="28"/>
  <c r="P190" i="28"/>
  <c r="O190" i="28"/>
  <c r="N190" i="28"/>
  <c r="G190" i="28"/>
  <c r="F190" i="28"/>
  <c r="Q189" i="28"/>
  <c r="P189" i="28"/>
  <c r="O189" i="28"/>
  <c r="N189" i="28"/>
  <c r="G189" i="28"/>
  <c r="F189" i="28"/>
  <c r="Q188" i="28"/>
  <c r="P188" i="28"/>
  <c r="O188" i="28"/>
  <c r="N188" i="28"/>
  <c r="G188" i="28"/>
  <c r="F188" i="28"/>
  <c r="Q187" i="28"/>
  <c r="P187" i="28"/>
  <c r="O187" i="28"/>
  <c r="N187" i="28"/>
  <c r="G187" i="28"/>
  <c r="F187" i="28"/>
  <c r="Q186" i="28"/>
  <c r="P186" i="28"/>
  <c r="O186" i="28"/>
  <c r="N186" i="28"/>
  <c r="G186" i="28"/>
  <c r="F186" i="28"/>
  <c r="Q185" i="28"/>
  <c r="P185" i="28"/>
  <c r="O185" i="28"/>
  <c r="N185" i="28"/>
  <c r="G185" i="28"/>
  <c r="F185" i="28"/>
  <c r="Q184" i="28"/>
  <c r="P184" i="28"/>
  <c r="O184" i="28"/>
  <c r="N184" i="28"/>
  <c r="G184" i="28"/>
  <c r="F184" i="28"/>
  <c r="Q183" i="28"/>
  <c r="P183" i="28"/>
  <c r="O183" i="28"/>
  <c r="N183" i="28"/>
  <c r="G183" i="28"/>
  <c r="F183" i="28"/>
  <c r="Q182" i="28"/>
  <c r="P182" i="28"/>
  <c r="O182" i="28"/>
  <c r="N182" i="28"/>
  <c r="G182" i="28"/>
  <c r="F182" i="28"/>
  <c r="Q181" i="28"/>
  <c r="P181" i="28"/>
  <c r="O181" i="28"/>
  <c r="N181" i="28"/>
  <c r="G181" i="28"/>
  <c r="F181" i="28"/>
  <c r="Q180" i="28"/>
  <c r="P180" i="28"/>
  <c r="O180" i="28"/>
  <c r="N180" i="28"/>
  <c r="G180" i="28"/>
  <c r="F180" i="28"/>
  <c r="Q179" i="28"/>
  <c r="P179" i="28"/>
  <c r="O179" i="28"/>
  <c r="N179" i="28"/>
  <c r="G179" i="28"/>
  <c r="F179" i="28"/>
  <c r="Q178" i="28"/>
  <c r="P178" i="28"/>
  <c r="O178" i="28"/>
  <c r="N178" i="28"/>
  <c r="G178" i="28"/>
  <c r="F178" i="28"/>
  <c r="Q177" i="28"/>
  <c r="P177" i="28"/>
  <c r="O177" i="28"/>
  <c r="N177" i="28"/>
  <c r="G177" i="28"/>
  <c r="F177" i="28"/>
  <c r="Q176" i="28"/>
  <c r="P176" i="28"/>
  <c r="O176" i="28"/>
  <c r="N176" i="28"/>
  <c r="G176" i="28"/>
  <c r="F176" i="28"/>
  <c r="Q175" i="28"/>
  <c r="P175" i="28"/>
  <c r="O175" i="28"/>
  <c r="N175" i="28"/>
  <c r="G175" i="28"/>
  <c r="F175" i="28"/>
  <c r="Q174" i="28"/>
  <c r="P174" i="28"/>
  <c r="O174" i="28"/>
  <c r="N174" i="28"/>
  <c r="G174" i="28"/>
  <c r="F174" i="28"/>
  <c r="Q173" i="28"/>
  <c r="P173" i="28"/>
  <c r="O173" i="28"/>
  <c r="N173" i="28"/>
  <c r="G173" i="28"/>
  <c r="F173" i="28"/>
  <c r="Q172" i="28"/>
  <c r="P172" i="28"/>
  <c r="O172" i="28"/>
  <c r="N172" i="28"/>
  <c r="G172" i="28"/>
  <c r="F172" i="28"/>
  <c r="Q171" i="28"/>
  <c r="P171" i="28"/>
  <c r="O171" i="28"/>
  <c r="N171" i="28"/>
  <c r="G171" i="28"/>
  <c r="F171" i="28"/>
  <c r="Q170" i="28"/>
  <c r="P170" i="28"/>
  <c r="O170" i="28"/>
  <c r="N170" i="28"/>
  <c r="G170" i="28"/>
  <c r="F170" i="28"/>
  <c r="Q169" i="28"/>
  <c r="P169" i="28"/>
  <c r="O169" i="28"/>
  <c r="N169" i="28"/>
  <c r="G169" i="28"/>
  <c r="F169" i="28"/>
  <c r="Q168" i="28"/>
  <c r="P168" i="28"/>
  <c r="O168" i="28"/>
  <c r="N168" i="28"/>
  <c r="G168" i="28"/>
  <c r="F168" i="28"/>
  <c r="Q167" i="28"/>
  <c r="P167" i="28"/>
  <c r="O167" i="28"/>
  <c r="N167" i="28"/>
  <c r="G167" i="28"/>
  <c r="F167" i="28"/>
  <c r="Q166" i="28"/>
  <c r="P166" i="28"/>
  <c r="O166" i="28"/>
  <c r="N166" i="28"/>
  <c r="G166" i="28"/>
  <c r="F166" i="28"/>
  <c r="Q165" i="28"/>
  <c r="P165" i="28"/>
  <c r="O165" i="28"/>
  <c r="N165" i="28"/>
  <c r="G165" i="28"/>
  <c r="F165" i="28"/>
  <c r="Q164" i="28"/>
  <c r="P164" i="28"/>
  <c r="O164" i="28"/>
  <c r="N164" i="28"/>
  <c r="G164" i="28"/>
  <c r="F164" i="28"/>
  <c r="Q163" i="28"/>
  <c r="P163" i="28"/>
  <c r="O163" i="28"/>
  <c r="N163" i="28"/>
  <c r="G163" i="28"/>
  <c r="F163" i="28"/>
  <c r="Q162" i="28"/>
  <c r="P162" i="28"/>
  <c r="O162" i="28"/>
  <c r="N162" i="28"/>
  <c r="G162" i="28"/>
  <c r="F162" i="28"/>
  <c r="Q161" i="28"/>
  <c r="P161" i="28"/>
  <c r="O161" i="28"/>
  <c r="N161" i="28"/>
  <c r="G161" i="28"/>
  <c r="F161" i="28"/>
  <c r="Q160" i="28"/>
  <c r="P160" i="28"/>
  <c r="O160" i="28"/>
  <c r="N160" i="28"/>
  <c r="G160" i="28"/>
  <c r="F160" i="28"/>
  <c r="Q159" i="28"/>
  <c r="P159" i="28"/>
  <c r="O159" i="28"/>
  <c r="N159" i="28"/>
  <c r="G159" i="28"/>
  <c r="F159" i="28"/>
  <c r="Q158" i="28"/>
  <c r="P158" i="28"/>
  <c r="O158" i="28"/>
  <c r="N158" i="28"/>
  <c r="G158" i="28"/>
  <c r="F158" i="28"/>
  <c r="Q157" i="28"/>
  <c r="P157" i="28"/>
  <c r="O157" i="28"/>
  <c r="N157" i="28"/>
  <c r="G157" i="28"/>
  <c r="F157" i="28"/>
  <c r="Q156" i="28"/>
  <c r="P156" i="28"/>
  <c r="O156" i="28"/>
  <c r="N156" i="28"/>
  <c r="G156" i="28"/>
  <c r="F156" i="28"/>
  <c r="Q155" i="28"/>
  <c r="P155" i="28"/>
  <c r="O155" i="28"/>
  <c r="N155" i="28"/>
  <c r="G155" i="28"/>
  <c r="F155" i="28"/>
  <c r="Q154" i="28"/>
  <c r="P154" i="28"/>
  <c r="O154" i="28"/>
  <c r="N154" i="28"/>
  <c r="G154" i="28"/>
  <c r="F154" i="28"/>
  <c r="Q153" i="28"/>
  <c r="P153" i="28"/>
  <c r="O153" i="28"/>
  <c r="N153" i="28"/>
  <c r="G153" i="28"/>
  <c r="F153" i="28"/>
  <c r="Q152" i="28"/>
  <c r="P152" i="28"/>
  <c r="O152" i="28"/>
  <c r="N152" i="28"/>
  <c r="G152" i="28"/>
  <c r="F152" i="28"/>
  <c r="Q151" i="28"/>
  <c r="P151" i="28"/>
  <c r="O151" i="28"/>
  <c r="N151" i="28"/>
  <c r="G151" i="28"/>
  <c r="F151" i="28"/>
  <c r="Q150" i="28"/>
  <c r="P150" i="28"/>
  <c r="O150" i="28"/>
  <c r="N150" i="28"/>
  <c r="G150" i="28"/>
  <c r="F150" i="28"/>
  <c r="Q149" i="28"/>
  <c r="P149" i="28"/>
  <c r="O149" i="28"/>
  <c r="N149" i="28"/>
  <c r="G149" i="28"/>
  <c r="F149" i="28"/>
  <c r="Q148" i="28"/>
  <c r="P148" i="28"/>
  <c r="O148" i="28"/>
  <c r="N148" i="28"/>
  <c r="G148" i="28"/>
  <c r="F148" i="28"/>
  <c r="Q147" i="28"/>
  <c r="P147" i="28"/>
  <c r="O147" i="28"/>
  <c r="N147" i="28"/>
  <c r="G147" i="28"/>
  <c r="F147" i="28"/>
  <c r="Q146" i="28"/>
  <c r="P146" i="28"/>
  <c r="O146" i="28"/>
  <c r="N146" i="28"/>
  <c r="G146" i="28"/>
  <c r="F146" i="28"/>
  <c r="Q145" i="28"/>
  <c r="P145" i="28"/>
  <c r="O145" i="28"/>
  <c r="N145" i="28"/>
  <c r="G145" i="28"/>
  <c r="F145" i="28"/>
  <c r="Q144" i="28"/>
  <c r="P144" i="28"/>
  <c r="O144" i="28"/>
  <c r="N144" i="28"/>
  <c r="G144" i="28"/>
  <c r="F144" i="28"/>
  <c r="Q143" i="28"/>
  <c r="P143" i="28"/>
  <c r="O143" i="28"/>
  <c r="N143" i="28"/>
  <c r="G143" i="28"/>
  <c r="F143" i="28"/>
  <c r="Q142" i="28"/>
  <c r="P142" i="28"/>
  <c r="O142" i="28"/>
  <c r="N142" i="28"/>
  <c r="G142" i="28"/>
  <c r="F142" i="28"/>
  <c r="Q141" i="28"/>
  <c r="P141" i="28"/>
  <c r="O141" i="28"/>
  <c r="N141" i="28"/>
  <c r="G141" i="28"/>
  <c r="F141" i="28"/>
  <c r="Q140" i="28"/>
  <c r="P140" i="28"/>
  <c r="O140" i="28"/>
  <c r="N140" i="28"/>
  <c r="G140" i="28"/>
  <c r="F140" i="28"/>
  <c r="Q139" i="28"/>
  <c r="P139" i="28"/>
  <c r="O139" i="28"/>
  <c r="N139" i="28"/>
  <c r="G139" i="28"/>
  <c r="F139" i="28"/>
  <c r="Q138" i="28"/>
  <c r="P138" i="28"/>
  <c r="O138" i="28"/>
  <c r="N138" i="28"/>
  <c r="G138" i="28"/>
  <c r="F138" i="28"/>
  <c r="Q137" i="28"/>
  <c r="P137" i="28"/>
  <c r="O137" i="28"/>
  <c r="N137" i="28"/>
  <c r="G137" i="28"/>
  <c r="F137" i="28"/>
  <c r="Q136" i="28"/>
  <c r="P136" i="28"/>
  <c r="O136" i="28"/>
  <c r="N136" i="28"/>
  <c r="G136" i="28"/>
  <c r="F136" i="28"/>
  <c r="Q135" i="28"/>
  <c r="P135" i="28"/>
  <c r="O135" i="28"/>
  <c r="N135" i="28"/>
  <c r="G135" i="28"/>
  <c r="F135" i="28"/>
  <c r="Q134" i="28"/>
  <c r="P134" i="28"/>
  <c r="O134" i="28"/>
  <c r="N134" i="28"/>
  <c r="G134" i="28"/>
  <c r="F134" i="28"/>
  <c r="Q133" i="28"/>
  <c r="P133" i="28"/>
  <c r="O133" i="28"/>
  <c r="N133" i="28"/>
  <c r="G133" i="28"/>
  <c r="F133" i="28"/>
  <c r="Q132" i="28"/>
  <c r="P132" i="28"/>
  <c r="O132" i="28"/>
  <c r="N132" i="28"/>
  <c r="G132" i="28"/>
  <c r="F132" i="28"/>
  <c r="Q131" i="28"/>
  <c r="P131" i="28"/>
  <c r="O131" i="28"/>
  <c r="N131" i="28"/>
  <c r="G131" i="28"/>
  <c r="F131" i="28"/>
  <c r="Q130" i="28"/>
  <c r="P130" i="28"/>
  <c r="O130" i="28"/>
  <c r="N130" i="28"/>
  <c r="G130" i="28"/>
  <c r="F130" i="28"/>
  <c r="Q129" i="28"/>
  <c r="P129" i="28"/>
  <c r="O129" i="28"/>
  <c r="N129" i="28"/>
  <c r="G129" i="28"/>
  <c r="F129" i="28"/>
  <c r="Q128" i="28"/>
  <c r="P128" i="28"/>
  <c r="O128" i="28"/>
  <c r="N128" i="28"/>
  <c r="G128" i="28"/>
  <c r="F128" i="28"/>
  <c r="Q127" i="28"/>
  <c r="P127" i="28"/>
  <c r="O127" i="28"/>
  <c r="N127" i="28"/>
  <c r="G127" i="28"/>
  <c r="F127" i="28"/>
  <c r="Q126" i="28"/>
  <c r="P126" i="28"/>
  <c r="O126" i="28"/>
  <c r="N126" i="28"/>
  <c r="G126" i="28"/>
  <c r="F126" i="28"/>
  <c r="Q125" i="28"/>
  <c r="P125" i="28"/>
  <c r="O125" i="28"/>
  <c r="N125" i="28"/>
  <c r="G125" i="28"/>
  <c r="F125" i="28"/>
  <c r="Q124" i="28"/>
  <c r="P124" i="28"/>
  <c r="O124" i="28"/>
  <c r="N124" i="28"/>
  <c r="G124" i="28"/>
  <c r="F124" i="28"/>
  <c r="Q123" i="28"/>
  <c r="P123" i="28"/>
  <c r="O123" i="28"/>
  <c r="N123" i="28"/>
  <c r="G123" i="28"/>
  <c r="F123" i="28"/>
  <c r="Q122" i="28"/>
  <c r="P122" i="28"/>
  <c r="O122" i="28"/>
  <c r="N122" i="28"/>
  <c r="G122" i="28"/>
  <c r="F122" i="28"/>
  <c r="Q121" i="28"/>
  <c r="P121" i="28"/>
  <c r="O121" i="28"/>
  <c r="N121" i="28"/>
  <c r="G121" i="28"/>
  <c r="F121" i="28"/>
  <c r="Q120" i="28"/>
  <c r="P120" i="28"/>
  <c r="O120" i="28"/>
  <c r="N120" i="28"/>
  <c r="G120" i="28"/>
  <c r="F120" i="28"/>
  <c r="Q119" i="28"/>
  <c r="P119" i="28"/>
  <c r="O119" i="28"/>
  <c r="N119" i="28"/>
  <c r="G119" i="28"/>
  <c r="F119" i="28"/>
  <c r="Q118" i="28"/>
  <c r="P118" i="28"/>
  <c r="O118" i="28"/>
  <c r="N118" i="28"/>
  <c r="G118" i="28"/>
  <c r="F118" i="28"/>
  <c r="Q117" i="28"/>
  <c r="P117" i="28"/>
  <c r="O117" i="28"/>
  <c r="N117" i="28"/>
  <c r="G117" i="28"/>
  <c r="F117" i="28"/>
  <c r="Q116" i="28"/>
  <c r="P116" i="28"/>
  <c r="O116" i="28"/>
  <c r="N116" i="28"/>
  <c r="G116" i="28"/>
  <c r="F116" i="28"/>
  <c r="Q115" i="28"/>
  <c r="P115" i="28"/>
  <c r="O115" i="28"/>
  <c r="N115" i="28"/>
  <c r="G115" i="28"/>
  <c r="F115" i="28"/>
  <c r="Q114" i="28"/>
  <c r="P114" i="28"/>
  <c r="O114" i="28"/>
  <c r="N114" i="28"/>
  <c r="G114" i="28"/>
  <c r="F114" i="28"/>
  <c r="Q113" i="28"/>
  <c r="P113" i="28"/>
  <c r="O113" i="28"/>
  <c r="N113" i="28"/>
  <c r="G113" i="28"/>
  <c r="F113" i="28"/>
  <c r="Q112" i="28"/>
  <c r="P112" i="28"/>
  <c r="O112" i="28"/>
  <c r="N112" i="28"/>
  <c r="G112" i="28"/>
  <c r="F112" i="28"/>
  <c r="Q111" i="28"/>
  <c r="P111" i="28"/>
  <c r="O111" i="28"/>
  <c r="N111" i="28"/>
  <c r="G111" i="28"/>
  <c r="F111" i="28"/>
  <c r="Q110" i="28"/>
  <c r="P110" i="28"/>
  <c r="O110" i="28"/>
  <c r="N110" i="28"/>
  <c r="G110" i="28"/>
  <c r="F110" i="28"/>
  <c r="Q109" i="28"/>
  <c r="P109" i="28"/>
  <c r="O109" i="28"/>
  <c r="N109" i="28"/>
  <c r="G109" i="28"/>
  <c r="F109" i="28"/>
  <c r="Q108" i="28"/>
  <c r="P108" i="28"/>
  <c r="O108" i="28"/>
  <c r="N108" i="28"/>
  <c r="G108" i="28"/>
  <c r="F108" i="28"/>
  <c r="Q107" i="28"/>
  <c r="P107" i="28"/>
  <c r="O107" i="28"/>
  <c r="N107" i="28"/>
  <c r="G107" i="28"/>
  <c r="F107" i="28"/>
  <c r="Q106" i="28"/>
  <c r="P106" i="28"/>
  <c r="O106" i="28"/>
  <c r="N106" i="28"/>
  <c r="G106" i="28"/>
  <c r="F106" i="28"/>
  <c r="Q105" i="28"/>
  <c r="P105" i="28"/>
  <c r="O105" i="28"/>
  <c r="N105" i="28"/>
  <c r="G105" i="28"/>
  <c r="F105" i="28"/>
  <c r="Q104" i="28"/>
  <c r="P104" i="28"/>
  <c r="O104" i="28"/>
  <c r="N104" i="28"/>
  <c r="G104" i="28"/>
  <c r="F104" i="28"/>
  <c r="Q103" i="28"/>
  <c r="P103" i="28"/>
  <c r="O103" i="28"/>
  <c r="N103" i="28"/>
  <c r="G103" i="28"/>
  <c r="F103" i="28"/>
  <c r="Q102" i="28"/>
  <c r="P102" i="28"/>
  <c r="O102" i="28"/>
  <c r="N102" i="28"/>
  <c r="G102" i="28"/>
  <c r="F102" i="28"/>
  <c r="Q101" i="28"/>
  <c r="P101" i="28"/>
  <c r="O101" i="28"/>
  <c r="N101" i="28"/>
  <c r="G101" i="28"/>
  <c r="F101" i="28"/>
  <c r="Q100" i="28"/>
  <c r="P100" i="28"/>
  <c r="O100" i="28"/>
  <c r="N100" i="28"/>
  <c r="G100" i="28"/>
  <c r="F100" i="28"/>
  <c r="Q99" i="28"/>
  <c r="P99" i="28"/>
  <c r="O99" i="28"/>
  <c r="N99" i="28"/>
  <c r="G99" i="28"/>
  <c r="F99" i="28"/>
  <c r="Q98" i="28"/>
  <c r="P98" i="28"/>
  <c r="O98" i="28"/>
  <c r="N98" i="28"/>
  <c r="G98" i="28"/>
  <c r="F98" i="28"/>
  <c r="Q97" i="28"/>
  <c r="P97" i="28"/>
  <c r="O97" i="28"/>
  <c r="N97" i="28"/>
  <c r="G97" i="28"/>
  <c r="F97" i="28"/>
  <c r="Q96" i="28"/>
  <c r="P96" i="28"/>
  <c r="O96" i="28"/>
  <c r="N96" i="28"/>
  <c r="G96" i="28"/>
  <c r="F96" i="28"/>
  <c r="Q95" i="28"/>
  <c r="P95" i="28"/>
  <c r="O95" i="28"/>
  <c r="N95" i="28"/>
  <c r="G95" i="28"/>
  <c r="F95" i="28"/>
  <c r="Q94" i="28"/>
  <c r="P94" i="28"/>
  <c r="O94" i="28"/>
  <c r="N94" i="28"/>
  <c r="G94" i="28"/>
  <c r="F94" i="28"/>
  <c r="Q93" i="28"/>
  <c r="P93" i="28"/>
  <c r="O93" i="28"/>
  <c r="N93" i="28"/>
  <c r="G93" i="28"/>
  <c r="F93" i="28"/>
  <c r="Q92" i="28"/>
  <c r="P92" i="28"/>
  <c r="O92" i="28"/>
  <c r="N92" i="28"/>
  <c r="G92" i="28"/>
  <c r="F92" i="28"/>
  <c r="Q91" i="28"/>
  <c r="P91" i="28"/>
  <c r="O91" i="28"/>
  <c r="N91" i="28"/>
  <c r="G91" i="28"/>
  <c r="F91" i="28"/>
  <c r="Q90" i="28"/>
  <c r="P90" i="28"/>
  <c r="O90" i="28"/>
  <c r="N90" i="28"/>
  <c r="G90" i="28"/>
  <c r="F90" i="28"/>
  <c r="Q89" i="28"/>
  <c r="P89" i="28"/>
  <c r="O89" i="28"/>
  <c r="N89" i="28"/>
  <c r="G89" i="28"/>
  <c r="F89" i="28"/>
  <c r="Q88" i="28"/>
  <c r="P88" i="28"/>
  <c r="O88" i="28"/>
  <c r="N88" i="28"/>
  <c r="G88" i="28"/>
  <c r="F88" i="28"/>
  <c r="Q87" i="28"/>
  <c r="P87" i="28"/>
  <c r="O87" i="28"/>
  <c r="N87" i="28"/>
  <c r="G87" i="28"/>
  <c r="F87" i="28"/>
  <c r="Q86" i="28"/>
  <c r="P86" i="28"/>
  <c r="O86" i="28"/>
  <c r="N86" i="28"/>
  <c r="G86" i="28"/>
  <c r="F86" i="28"/>
  <c r="Q85" i="28"/>
  <c r="P85" i="28"/>
  <c r="O85" i="28"/>
  <c r="N85" i="28"/>
  <c r="G85" i="28"/>
  <c r="F85" i="28"/>
  <c r="Q84" i="28"/>
  <c r="P84" i="28"/>
  <c r="O84" i="28"/>
  <c r="N84" i="28"/>
  <c r="G84" i="28"/>
  <c r="F84" i="28"/>
  <c r="Q83" i="28"/>
  <c r="P83" i="28"/>
  <c r="O83" i="28"/>
  <c r="N83" i="28"/>
  <c r="G83" i="28"/>
  <c r="F83" i="28"/>
  <c r="Q82" i="28"/>
  <c r="P82" i="28"/>
  <c r="O82" i="28"/>
  <c r="N82" i="28"/>
  <c r="G82" i="28"/>
  <c r="F82" i="28"/>
  <c r="Q81" i="28"/>
  <c r="P81" i="28"/>
  <c r="O81" i="28"/>
  <c r="N81" i="28"/>
  <c r="G81" i="28"/>
  <c r="F81" i="28"/>
  <c r="Q80" i="28"/>
  <c r="P80" i="28"/>
  <c r="O80" i="28"/>
  <c r="N80" i="28"/>
  <c r="G80" i="28"/>
  <c r="F80" i="28"/>
  <c r="Q79" i="28"/>
  <c r="P79" i="28"/>
  <c r="O79" i="28"/>
  <c r="N79" i="28"/>
  <c r="G79" i="28"/>
  <c r="F79" i="28"/>
  <c r="Q78" i="28"/>
  <c r="P78" i="28"/>
  <c r="O78" i="28"/>
  <c r="N78" i="28"/>
  <c r="G78" i="28"/>
  <c r="F78" i="28"/>
  <c r="Q77" i="28"/>
  <c r="P77" i="28"/>
  <c r="O77" i="28"/>
  <c r="N77" i="28"/>
  <c r="G77" i="28"/>
  <c r="F77" i="28"/>
  <c r="Q76" i="28"/>
  <c r="P76" i="28"/>
  <c r="O76" i="28"/>
  <c r="N76" i="28"/>
  <c r="G76" i="28"/>
  <c r="F76" i="28"/>
  <c r="Q75" i="28"/>
  <c r="P75" i="28"/>
  <c r="O75" i="28"/>
  <c r="N75" i="28"/>
  <c r="G75" i="28"/>
  <c r="F75" i="28"/>
  <c r="Q74" i="28"/>
  <c r="P74" i="28"/>
  <c r="O74" i="28"/>
  <c r="N74" i="28"/>
  <c r="G74" i="28"/>
  <c r="F74" i="28"/>
  <c r="Q73" i="28"/>
  <c r="P73" i="28"/>
  <c r="O73" i="28"/>
  <c r="N73" i="28"/>
  <c r="G73" i="28"/>
  <c r="F73" i="28"/>
  <c r="Q72" i="28"/>
  <c r="P72" i="28"/>
  <c r="O72" i="28"/>
  <c r="N72" i="28"/>
  <c r="G72" i="28"/>
  <c r="F72" i="28"/>
  <c r="Q71" i="28"/>
  <c r="P71" i="28"/>
  <c r="O71" i="28"/>
  <c r="N71" i="28"/>
  <c r="G71" i="28"/>
  <c r="F71" i="28"/>
  <c r="Q70" i="28"/>
  <c r="P70" i="28"/>
  <c r="O70" i="28"/>
  <c r="N70" i="28"/>
  <c r="G70" i="28"/>
  <c r="F70" i="28"/>
  <c r="Q69" i="28"/>
  <c r="P69" i="28"/>
  <c r="O69" i="28"/>
  <c r="N69" i="28"/>
  <c r="G69" i="28"/>
  <c r="F69" i="28"/>
  <c r="Q68" i="28"/>
  <c r="P68" i="28"/>
  <c r="O68" i="28"/>
  <c r="N68" i="28"/>
  <c r="G68" i="28"/>
  <c r="F68" i="28"/>
  <c r="Q67" i="28"/>
  <c r="P67" i="28"/>
  <c r="O67" i="28"/>
  <c r="N67" i="28"/>
  <c r="G67" i="28"/>
  <c r="F67" i="28"/>
  <c r="Q66" i="28"/>
  <c r="P66" i="28"/>
  <c r="O66" i="28"/>
  <c r="N66" i="28"/>
  <c r="G66" i="28"/>
  <c r="F66" i="28"/>
  <c r="Q65" i="28"/>
  <c r="P65" i="28"/>
  <c r="O65" i="28"/>
  <c r="N65" i="28"/>
  <c r="G65" i="28"/>
  <c r="F65" i="28"/>
  <c r="Q64" i="28"/>
  <c r="P64" i="28"/>
  <c r="O64" i="28"/>
  <c r="N64" i="28"/>
  <c r="G64" i="28"/>
  <c r="F64" i="28"/>
  <c r="Q63" i="28"/>
  <c r="P63" i="28"/>
  <c r="O63" i="28"/>
  <c r="N63" i="28"/>
  <c r="G63" i="28"/>
  <c r="F63" i="28"/>
  <c r="Q62" i="28"/>
  <c r="P62" i="28"/>
  <c r="O62" i="28"/>
  <c r="N62" i="28"/>
  <c r="G62" i="28"/>
  <c r="F62" i="28"/>
  <c r="Q61" i="28"/>
  <c r="P61" i="28"/>
  <c r="O61" i="28"/>
  <c r="N61" i="28"/>
  <c r="G61" i="28"/>
  <c r="F61" i="28"/>
  <c r="Q60" i="28"/>
  <c r="P60" i="28"/>
  <c r="O60" i="28"/>
  <c r="N60" i="28"/>
  <c r="G60" i="28"/>
  <c r="F60" i="28"/>
  <c r="Q59" i="28"/>
  <c r="P59" i="28"/>
  <c r="O59" i="28"/>
  <c r="N59" i="28"/>
  <c r="G59" i="28"/>
  <c r="F59" i="28"/>
  <c r="Q58" i="28"/>
  <c r="P58" i="28"/>
  <c r="O58" i="28"/>
  <c r="N58" i="28"/>
  <c r="G58" i="28"/>
  <c r="F58" i="28"/>
  <c r="Q57" i="28"/>
  <c r="P57" i="28"/>
  <c r="O57" i="28"/>
  <c r="N57" i="28"/>
  <c r="G57" i="28"/>
  <c r="F57" i="28"/>
  <c r="Q56" i="28"/>
  <c r="P56" i="28"/>
  <c r="O56" i="28"/>
  <c r="N56" i="28"/>
  <c r="G56" i="28"/>
  <c r="F56" i="28"/>
  <c r="Q55" i="28"/>
  <c r="P55" i="28"/>
  <c r="O55" i="28"/>
  <c r="N55" i="28"/>
  <c r="G55" i="28"/>
  <c r="F55" i="28"/>
  <c r="Q54" i="28"/>
  <c r="P54" i="28"/>
  <c r="O54" i="28"/>
  <c r="N54" i="28"/>
  <c r="G54" i="28"/>
  <c r="F54" i="28"/>
  <c r="Q53" i="28"/>
  <c r="P53" i="28"/>
  <c r="O53" i="28"/>
  <c r="N53" i="28"/>
  <c r="G53" i="28"/>
  <c r="F53" i="28"/>
  <c r="Q52" i="28"/>
  <c r="P52" i="28"/>
  <c r="O52" i="28"/>
  <c r="N52" i="28"/>
  <c r="G52" i="28"/>
  <c r="F52" i="28"/>
  <c r="Q51" i="28"/>
  <c r="P51" i="28"/>
  <c r="O51" i="28"/>
  <c r="N51" i="28"/>
  <c r="G51" i="28"/>
  <c r="F51" i="28"/>
  <c r="Q50" i="28"/>
  <c r="P50" i="28"/>
  <c r="O50" i="28"/>
  <c r="N50" i="28"/>
  <c r="G50" i="28"/>
  <c r="F50" i="28"/>
  <c r="Q49" i="28"/>
  <c r="P49" i="28"/>
  <c r="O49" i="28"/>
  <c r="N49" i="28"/>
  <c r="G49" i="28"/>
  <c r="F49" i="28"/>
  <c r="Q48" i="28"/>
  <c r="P48" i="28"/>
  <c r="O48" i="28"/>
  <c r="N48" i="28"/>
  <c r="G48" i="28"/>
  <c r="F48" i="28"/>
  <c r="Q47" i="28"/>
  <c r="P47" i="28"/>
  <c r="O47" i="28"/>
  <c r="N47" i="28"/>
  <c r="G47" i="28"/>
  <c r="F47" i="28"/>
  <c r="Q46" i="28"/>
  <c r="P46" i="28"/>
  <c r="O46" i="28"/>
  <c r="N46" i="28"/>
  <c r="G46" i="28"/>
  <c r="F46" i="28"/>
  <c r="Q45" i="28"/>
  <c r="P45" i="28"/>
  <c r="O45" i="28"/>
  <c r="N45" i="28"/>
  <c r="G45" i="28"/>
  <c r="F45" i="28"/>
  <c r="Q44" i="28"/>
  <c r="P44" i="28"/>
  <c r="O44" i="28"/>
  <c r="N44" i="28"/>
  <c r="G44" i="28"/>
  <c r="F44" i="28"/>
  <c r="Q43" i="28"/>
  <c r="P43" i="28"/>
  <c r="O43" i="28"/>
  <c r="N43" i="28"/>
  <c r="G43" i="28"/>
  <c r="F43" i="28"/>
  <c r="Q42" i="28"/>
  <c r="P42" i="28"/>
  <c r="O42" i="28"/>
  <c r="N42" i="28"/>
  <c r="G42" i="28"/>
  <c r="F42" i="28"/>
  <c r="Q41" i="28"/>
  <c r="P41" i="28"/>
  <c r="O41" i="28"/>
  <c r="N41" i="28"/>
  <c r="G41" i="28"/>
  <c r="F41" i="28"/>
  <c r="Q40" i="28"/>
  <c r="P40" i="28"/>
  <c r="O40" i="28"/>
  <c r="N40" i="28"/>
  <c r="G40" i="28"/>
  <c r="F40" i="28"/>
  <c r="Q39" i="28"/>
  <c r="P39" i="28"/>
  <c r="O39" i="28"/>
  <c r="N39" i="28"/>
  <c r="G39" i="28"/>
  <c r="F39" i="28"/>
  <c r="Q38" i="28"/>
  <c r="P38" i="28"/>
  <c r="O38" i="28"/>
  <c r="N38" i="28"/>
  <c r="G38" i="28"/>
  <c r="F38" i="28"/>
  <c r="Q37" i="28"/>
  <c r="P37" i="28"/>
  <c r="O37" i="28"/>
  <c r="N37" i="28"/>
  <c r="G37" i="28"/>
  <c r="F37" i="28"/>
  <c r="Q36" i="28"/>
  <c r="P36" i="28"/>
  <c r="O36" i="28"/>
  <c r="N36" i="28"/>
  <c r="G36" i="28"/>
  <c r="F36" i="28"/>
  <c r="Q35" i="28"/>
  <c r="P35" i="28"/>
  <c r="O35" i="28"/>
  <c r="N35" i="28"/>
  <c r="G35" i="28"/>
  <c r="F35" i="28"/>
  <c r="Q34" i="28"/>
  <c r="P34" i="28"/>
  <c r="O34" i="28"/>
  <c r="N34" i="28"/>
  <c r="G34" i="28"/>
  <c r="F34" i="28"/>
  <c r="Q33" i="28"/>
  <c r="P33" i="28"/>
  <c r="O33" i="28"/>
  <c r="N33" i="28"/>
  <c r="G33" i="28"/>
  <c r="F33" i="28"/>
  <c r="Q32" i="28"/>
  <c r="P32" i="28"/>
  <c r="O32" i="28"/>
  <c r="N32" i="28"/>
  <c r="G32" i="28"/>
  <c r="F32" i="28"/>
  <c r="Q31" i="28"/>
  <c r="P31" i="28"/>
  <c r="O31" i="28"/>
  <c r="N31" i="28"/>
  <c r="G31" i="28"/>
  <c r="F31" i="28"/>
  <c r="Q30" i="28"/>
  <c r="P30" i="28"/>
  <c r="O30" i="28"/>
  <c r="N30" i="28"/>
  <c r="G30" i="28"/>
  <c r="F30" i="28"/>
  <c r="Q29" i="28"/>
  <c r="P29" i="28"/>
  <c r="O29" i="28"/>
  <c r="N29" i="28"/>
  <c r="G29" i="28"/>
  <c r="F29" i="28"/>
  <c r="Q28" i="28"/>
  <c r="P28" i="28"/>
  <c r="O28" i="28"/>
  <c r="N28" i="28"/>
  <c r="G28" i="28"/>
  <c r="F28" i="28"/>
  <c r="Q27" i="28"/>
  <c r="P27" i="28"/>
  <c r="O27" i="28"/>
  <c r="N27" i="28"/>
  <c r="G27" i="28"/>
  <c r="F27" i="28"/>
  <c r="Q26" i="28"/>
  <c r="P26" i="28"/>
  <c r="O26" i="28"/>
  <c r="N26" i="28"/>
  <c r="G26" i="28"/>
  <c r="F26" i="28"/>
  <c r="Q25" i="28"/>
  <c r="P25" i="28"/>
  <c r="O25" i="28"/>
  <c r="N25" i="28"/>
  <c r="G25" i="28"/>
  <c r="F25" i="28"/>
  <c r="Q24" i="28"/>
  <c r="P24" i="28"/>
  <c r="O24" i="28"/>
  <c r="N24" i="28"/>
  <c r="G24" i="28"/>
  <c r="F24" i="28"/>
  <c r="Q23" i="28"/>
  <c r="P23" i="28"/>
  <c r="O23" i="28"/>
  <c r="N23" i="28"/>
  <c r="G23" i="28"/>
  <c r="F23" i="28"/>
  <c r="Q22" i="28"/>
  <c r="P22" i="28"/>
  <c r="O22" i="28"/>
  <c r="N22" i="28"/>
  <c r="G22" i="28"/>
  <c r="F22" i="28"/>
  <c r="Q21" i="28"/>
  <c r="P21" i="28"/>
  <c r="O21" i="28"/>
  <c r="N21" i="28"/>
  <c r="G21" i="28"/>
  <c r="F21" i="28"/>
  <c r="Q20" i="28"/>
  <c r="P20" i="28"/>
  <c r="O20" i="28"/>
  <c r="N20" i="28"/>
  <c r="G20" i="28"/>
  <c r="F20" i="28"/>
  <c r="Q19" i="28"/>
  <c r="P19" i="28"/>
  <c r="O19" i="28"/>
  <c r="N19" i="28"/>
  <c r="G19" i="28"/>
  <c r="F19" i="28"/>
  <c r="Q18" i="28"/>
  <c r="P18" i="28"/>
  <c r="O18" i="28"/>
  <c r="N18" i="28"/>
  <c r="G18" i="28"/>
  <c r="F18" i="28"/>
  <c r="Q17" i="28"/>
  <c r="P17" i="28"/>
  <c r="O17" i="28"/>
  <c r="N17" i="28"/>
  <c r="G17" i="28"/>
  <c r="F17" i="28"/>
  <c r="Q16" i="28"/>
  <c r="P16" i="28"/>
  <c r="O16" i="28"/>
  <c r="N16" i="28"/>
  <c r="G16" i="28"/>
  <c r="F16" i="28"/>
  <c r="Q15" i="28"/>
  <c r="P15" i="28"/>
  <c r="O15" i="28"/>
  <c r="N15" i="28"/>
  <c r="G15" i="28"/>
  <c r="F15" i="28"/>
  <c r="Q14" i="28"/>
  <c r="P14" i="28"/>
  <c r="O14" i="28"/>
  <c r="N14" i="28"/>
  <c r="G14" i="28"/>
  <c r="F14" i="28"/>
  <c r="Q13" i="28"/>
  <c r="P13" i="28"/>
  <c r="O13" i="28"/>
  <c r="N13" i="28"/>
  <c r="G13" i="28"/>
  <c r="F13" i="28"/>
  <c r="Q12" i="28"/>
  <c r="P12" i="28"/>
  <c r="O12" i="28"/>
  <c r="N12" i="28"/>
  <c r="G12" i="28"/>
  <c r="F12" i="28"/>
  <c r="Q11" i="28"/>
  <c r="P11" i="28"/>
  <c r="O11" i="28"/>
  <c r="N11" i="28"/>
  <c r="G11" i="28"/>
  <c r="F11" i="28"/>
  <c r="Q10" i="28"/>
  <c r="P10" i="28"/>
  <c r="O10" i="28"/>
  <c r="N10" i="28"/>
  <c r="G10" i="28"/>
  <c r="F10" i="28"/>
  <c r="Q9" i="28"/>
  <c r="P9" i="28"/>
  <c r="O9" i="28"/>
  <c r="N9" i="28"/>
  <c r="G9" i="28"/>
  <c r="F9" i="28"/>
  <c r="Q8" i="28"/>
  <c r="P8" i="28"/>
  <c r="O8" i="28"/>
  <c r="N8" i="28"/>
  <c r="G8" i="28"/>
  <c r="F8" i="28"/>
  <c r="Q7" i="28"/>
  <c r="P7" i="28"/>
  <c r="O7" i="28"/>
  <c r="N7" i="28"/>
  <c r="G7" i="28"/>
  <c r="F7" i="28"/>
  <c r="Q6" i="28"/>
  <c r="P6" i="28"/>
  <c r="O6" i="28"/>
  <c r="N6" i="28"/>
  <c r="G6" i="28"/>
  <c r="F6" i="28"/>
  <c r="Q5" i="28"/>
  <c r="P5" i="28"/>
  <c r="O5" i="28"/>
  <c r="N5" i="28"/>
  <c r="G5" i="28"/>
  <c r="F5" i="28"/>
  <c r="Q4" i="28"/>
  <c r="P4" i="28"/>
  <c r="O4" i="28"/>
  <c r="N4" i="28"/>
  <c r="G4" i="28"/>
  <c r="F4" i="28"/>
  <c r="L266" i="28"/>
  <c r="K266" i="28"/>
  <c r="J266" i="28"/>
  <c r="BM266" i="28" s="1"/>
  <c r="I266" i="28"/>
  <c r="L265" i="28"/>
  <c r="K265" i="28"/>
  <c r="J265" i="28"/>
  <c r="BM265" i="28" s="1"/>
  <c r="I265" i="28"/>
  <c r="BL265" i="28" s="1"/>
  <c r="L264" i="28"/>
  <c r="K264" i="28"/>
  <c r="J264" i="28"/>
  <c r="BM264" i="28" s="1"/>
  <c r="I264" i="28"/>
  <c r="BL264" i="28" s="1"/>
  <c r="L263" i="28"/>
  <c r="K263" i="28"/>
  <c r="J263" i="28"/>
  <c r="BM263" i="28" s="1"/>
  <c r="I263" i="28"/>
  <c r="BL263" i="28" s="1"/>
  <c r="L262" i="28"/>
  <c r="K262" i="28"/>
  <c r="J262" i="28"/>
  <c r="BM262" i="28" s="1"/>
  <c r="I262" i="28"/>
  <c r="BL262" i="28" s="1"/>
  <c r="L261" i="28"/>
  <c r="K261" i="28"/>
  <c r="J261" i="28"/>
  <c r="BM261" i="28" s="1"/>
  <c r="I261" i="28"/>
  <c r="BL261" i="28" s="1"/>
  <c r="L260" i="28"/>
  <c r="K260" i="28"/>
  <c r="J260" i="28"/>
  <c r="BM260" i="28" s="1"/>
  <c r="I260" i="28"/>
  <c r="BL260" i="28" s="1"/>
  <c r="L259" i="28"/>
  <c r="K259" i="28"/>
  <c r="J259" i="28"/>
  <c r="BM259" i="28" s="1"/>
  <c r="I259" i="28"/>
  <c r="BL259" i="28" s="1"/>
  <c r="L258" i="28"/>
  <c r="K258" i="28"/>
  <c r="J258" i="28"/>
  <c r="BM258" i="28" s="1"/>
  <c r="I258" i="28"/>
  <c r="BL258" i="28" s="1"/>
  <c r="L257" i="28"/>
  <c r="K257" i="28"/>
  <c r="J257" i="28"/>
  <c r="BM257" i="28" s="1"/>
  <c r="I257" i="28"/>
  <c r="BL257" i="28" s="1"/>
  <c r="L256" i="28"/>
  <c r="K256" i="28"/>
  <c r="J256" i="28"/>
  <c r="BM256" i="28" s="1"/>
  <c r="I256" i="28"/>
  <c r="BL256" i="28" s="1"/>
  <c r="L255" i="28"/>
  <c r="K255" i="28"/>
  <c r="J255" i="28"/>
  <c r="BM255" i="28" s="1"/>
  <c r="I255" i="28"/>
  <c r="BL255" i="28" s="1"/>
  <c r="L254" i="28"/>
  <c r="K254" i="28"/>
  <c r="J254" i="28"/>
  <c r="BM254" i="28" s="1"/>
  <c r="I254" i="28"/>
  <c r="BL254" i="28" s="1"/>
  <c r="L253" i="28"/>
  <c r="K253" i="28"/>
  <c r="J253" i="28"/>
  <c r="BM253" i="28" s="1"/>
  <c r="I253" i="28"/>
  <c r="BL253" i="28" s="1"/>
  <c r="L252" i="28"/>
  <c r="K252" i="28"/>
  <c r="J252" i="28"/>
  <c r="BM252" i="28" s="1"/>
  <c r="I252" i="28"/>
  <c r="BL252" i="28" s="1"/>
  <c r="L251" i="28"/>
  <c r="K251" i="28"/>
  <c r="J251" i="28"/>
  <c r="BM251" i="28" s="1"/>
  <c r="I251" i="28"/>
  <c r="BL251" i="28" s="1"/>
  <c r="L250" i="28"/>
  <c r="K250" i="28"/>
  <c r="J250" i="28"/>
  <c r="BM250" i="28" s="1"/>
  <c r="I250" i="28"/>
  <c r="L249" i="28"/>
  <c r="K249" i="28"/>
  <c r="J249" i="28"/>
  <c r="BM249" i="28" s="1"/>
  <c r="I249" i="28"/>
  <c r="BL249" i="28" s="1"/>
  <c r="L248" i="28"/>
  <c r="K248" i="28"/>
  <c r="J248" i="28"/>
  <c r="BM248" i="28" s="1"/>
  <c r="I248" i="28"/>
  <c r="BL248" i="28" s="1"/>
  <c r="L247" i="28"/>
  <c r="K247" i="28"/>
  <c r="J247" i="28"/>
  <c r="BM247" i="28" s="1"/>
  <c r="I247" i="28"/>
  <c r="BL247" i="28" s="1"/>
  <c r="L246" i="28"/>
  <c r="K246" i="28"/>
  <c r="J246" i="28"/>
  <c r="BM246" i="28" s="1"/>
  <c r="I246" i="28"/>
  <c r="BL246" i="28" s="1"/>
  <c r="L245" i="28"/>
  <c r="K245" i="28"/>
  <c r="J245" i="28"/>
  <c r="BM245" i="28" s="1"/>
  <c r="I245" i="28"/>
  <c r="BL245" i="28" s="1"/>
  <c r="L244" i="28"/>
  <c r="K244" i="28"/>
  <c r="J244" i="28"/>
  <c r="BM244" i="28" s="1"/>
  <c r="I244" i="28"/>
  <c r="BL244" i="28" s="1"/>
  <c r="L243" i="28"/>
  <c r="K243" i="28"/>
  <c r="J243" i="28"/>
  <c r="BM243" i="28" s="1"/>
  <c r="I243" i="28"/>
  <c r="BL243" i="28" s="1"/>
  <c r="L242" i="28"/>
  <c r="K242" i="28"/>
  <c r="J242" i="28"/>
  <c r="BM242" i="28" s="1"/>
  <c r="I242" i="28"/>
  <c r="L241" i="28"/>
  <c r="K241" i="28"/>
  <c r="J241" i="28"/>
  <c r="BM241" i="28" s="1"/>
  <c r="I241" i="28"/>
  <c r="BL241" i="28" s="1"/>
  <c r="L240" i="28"/>
  <c r="K240" i="28"/>
  <c r="J240" i="28"/>
  <c r="BM240" i="28" s="1"/>
  <c r="I240" i="28"/>
  <c r="BL240" i="28" s="1"/>
  <c r="L239" i="28"/>
  <c r="K239" i="28"/>
  <c r="J239" i="28"/>
  <c r="BM239" i="28" s="1"/>
  <c r="I239" i="28"/>
  <c r="BL239" i="28" s="1"/>
  <c r="L238" i="28"/>
  <c r="K238" i="28"/>
  <c r="J238" i="28"/>
  <c r="BM238" i="28" s="1"/>
  <c r="I238" i="28"/>
  <c r="BL238" i="28" s="1"/>
  <c r="L237" i="28"/>
  <c r="K237" i="28"/>
  <c r="J237" i="28"/>
  <c r="BM237" i="28" s="1"/>
  <c r="I237" i="28"/>
  <c r="BL237" i="28" s="1"/>
  <c r="L236" i="28"/>
  <c r="K236" i="28"/>
  <c r="J236" i="28"/>
  <c r="BM236" i="28" s="1"/>
  <c r="I236" i="28"/>
  <c r="BL236" i="28" s="1"/>
  <c r="L235" i="28"/>
  <c r="K235" i="28"/>
  <c r="J235" i="28"/>
  <c r="BM235" i="28" s="1"/>
  <c r="I235" i="28"/>
  <c r="BL235" i="28" s="1"/>
  <c r="L234" i="28"/>
  <c r="K234" i="28"/>
  <c r="J234" i="28"/>
  <c r="BM234" i="28" s="1"/>
  <c r="I234" i="28"/>
  <c r="BL234" i="28" s="1"/>
  <c r="L233" i="28"/>
  <c r="K233" i="28"/>
  <c r="J233" i="28"/>
  <c r="BM233" i="28" s="1"/>
  <c r="I233" i="28"/>
  <c r="BL233" i="28" s="1"/>
  <c r="L232" i="28"/>
  <c r="K232" i="28"/>
  <c r="J232" i="28"/>
  <c r="BM232" i="28" s="1"/>
  <c r="I232" i="28"/>
  <c r="BL232" i="28" s="1"/>
  <c r="L231" i="28"/>
  <c r="K231" i="28"/>
  <c r="J231" i="28"/>
  <c r="BM231" i="28" s="1"/>
  <c r="I231" i="28"/>
  <c r="BL231" i="28" s="1"/>
  <c r="L230" i="28"/>
  <c r="K230" i="28"/>
  <c r="J230" i="28"/>
  <c r="BM230" i="28" s="1"/>
  <c r="I230" i="28"/>
  <c r="BL230" i="28" s="1"/>
  <c r="L229" i="28"/>
  <c r="K229" i="28"/>
  <c r="J229" i="28"/>
  <c r="BM229" i="28" s="1"/>
  <c r="I229" i="28"/>
  <c r="BL229" i="28" s="1"/>
  <c r="L228" i="28"/>
  <c r="K228" i="28"/>
  <c r="J228" i="28"/>
  <c r="BM228" i="28" s="1"/>
  <c r="I228" i="28"/>
  <c r="BL228" i="28" s="1"/>
  <c r="L227" i="28"/>
  <c r="K227" i="28"/>
  <c r="J227" i="28"/>
  <c r="BM227" i="28" s="1"/>
  <c r="I227" i="28"/>
  <c r="L226" i="28"/>
  <c r="K226" i="28"/>
  <c r="J226" i="28"/>
  <c r="BM226" i="28" s="1"/>
  <c r="I226" i="28"/>
  <c r="L225" i="28"/>
  <c r="K225" i="28"/>
  <c r="J225" i="28"/>
  <c r="BM225" i="28" s="1"/>
  <c r="I225" i="28"/>
  <c r="BL225" i="28" s="1"/>
  <c r="L224" i="28"/>
  <c r="K224" i="28"/>
  <c r="J224" i="28"/>
  <c r="BM224" i="28" s="1"/>
  <c r="I224" i="28"/>
  <c r="BL224" i="28" s="1"/>
  <c r="L223" i="28"/>
  <c r="K223" i="28"/>
  <c r="J223" i="28"/>
  <c r="BM223" i="28" s="1"/>
  <c r="I223" i="28"/>
  <c r="BL223" i="28" s="1"/>
  <c r="L222" i="28"/>
  <c r="K222" i="28"/>
  <c r="J222" i="28"/>
  <c r="BM222" i="28" s="1"/>
  <c r="I222" i="28"/>
  <c r="BL222" i="28" s="1"/>
  <c r="L221" i="28"/>
  <c r="K221" i="28"/>
  <c r="J221" i="28"/>
  <c r="BM221" i="28" s="1"/>
  <c r="I221" i="28"/>
  <c r="BL221" i="28" s="1"/>
  <c r="L220" i="28"/>
  <c r="K220" i="28"/>
  <c r="J220" i="28"/>
  <c r="BM220" i="28" s="1"/>
  <c r="I220" i="28"/>
  <c r="BL220" i="28" s="1"/>
  <c r="L219" i="28"/>
  <c r="K219" i="28"/>
  <c r="J219" i="28"/>
  <c r="BM219" i="28" s="1"/>
  <c r="I219" i="28"/>
  <c r="BL219" i="28" s="1"/>
  <c r="L218" i="28"/>
  <c r="K218" i="28"/>
  <c r="J218" i="28"/>
  <c r="BM218" i="28" s="1"/>
  <c r="I218" i="28"/>
  <c r="BL218" i="28" s="1"/>
  <c r="L217" i="28"/>
  <c r="K217" i="28"/>
  <c r="J217" i="28"/>
  <c r="BM217" i="28" s="1"/>
  <c r="I217" i="28"/>
  <c r="BL217" i="28" s="1"/>
  <c r="L216" i="28"/>
  <c r="K216" i="28"/>
  <c r="J216" i="28"/>
  <c r="BM216" i="28" s="1"/>
  <c r="I216" i="28"/>
  <c r="BL216" i="28" s="1"/>
  <c r="L215" i="28"/>
  <c r="K215" i="28"/>
  <c r="J215" i="28"/>
  <c r="BM215" i="28" s="1"/>
  <c r="I215" i="28"/>
  <c r="BL215" i="28" s="1"/>
  <c r="L214" i="28"/>
  <c r="K214" i="28"/>
  <c r="J214" i="28"/>
  <c r="BM214" i="28" s="1"/>
  <c r="I214" i="28"/>
  <c r="BL214" i="28" s="1"/>
  <c r="L213" i="28"/>
  <c r="K213" i="28"/>
  <c r="J213" i="28"/>
  <c r="BM213" i="28" s="1"/>
  <c r="I213" i="28"/>
  <c r="BL213" i="28" s="1"/>
  <c r="L212" i="28"/>
  <c r="K212" i="28"/>
  <c r="J212" i="28"/>
  <c r="BM212" i="28" s="1"/>
  <c r="I212" i="28"/>
  <c r="L211" i="28"/>
  <c r="K211" i="28"/>
  <c r="J211" i="28"/>
  <c r="BM211" i="28" s="1"/>
  <c r="I211" i="28"/>
  <c r="BL211" i="28" s="1"/>
  <c r="L210" i="28"/>
  <c r="K210" i="28"/>
  <c r="J210" i="28"/>
  <c r="BM210" i="28" s="1"/>
  <c r="I210" i="28"/>
  <c r="BL210" i="28" s="1"/>
  <c r="L209" i="28"/>
  <c r="K209" i="28"/>
  <c r="J209" i="28"/>
  <c r="BM209" i="28" s="1"/>
  <c r="I209" i="28"/>
  <c r="BL209" i="28" s="1"/>
  <c r="L208" i="28"/>
  <c r="K208" i="28"/>
  <c r="J208" i="28"/>
  <c r="BM208" i="28" s="1"/>
  <c r="I208" i="28"/>
  <c r="BL208" i="28" s="1"/>
  <c r="L207" i="28"/>
  <c r="K207" i="28"/>
  <c r="J207" i="28"/>
  <c r="BM207" i="28" s="1"/>
  <c r="I207" i="28"/>
  <c r="BL207" i="28" s="1"/>
  <c r="L206" i="28"/>
  <c r="K206" i="28"/>
  <c r="J206" i="28"/>
  <c r="BM206" i="28" s="1"/>
  <c r="I206" i="28"/>
  <c r="BL206" i="28" s="1"/>
  <c r="L205" i="28"/>
  <c r="K205" i="28"/>
  <c r="J205" i="28"/>
  <c r="BM205" i="28" s="1"/>
  <c r="I205" i="28"/>
  <c r="BL205" i="28" s="1"/>
  <c r="L204" i="28"/>
  <c r="K204" i="28"/>
  <c r="J204" i="28"/>
  <c r="BM204" i="28" s="1"/>
  <c r="I204" i="28"/>
  <c r="BL204" i="28" s="1"/>
  <c r="L203" i="28"/>
  <c r="K203" i="28"/>
  <c r="J203" i="28"/>
  <c r="BM203" i="28" s="1"/>
  <c r="I203" i="28"/>
  <c r="BL203" i="28" s="1"/>
  <c r="L202" i="28"/>
  <c r="K202" i="28"/>
  <c r="J202" i="28"/>
  <c r="BM202" i="28" s="1"/>
  <c r="I202" i="28"/>
  <c r="BL202" i="28" s="1"/>
  <c r="L201" i="28"/>
  <c r="K201" i="28"/>
  <c r="J201" i="28"/>
  <c r="BM201" i="28" s="1"/>
  <c r="I201" i="28"/>
  <c r="BL201" i="28" s="1"/>
  <c r="L200" i="28"/>
  <c r="K200" i="28"/>
  <c r="J200" i="28"/>
  <c r="BM200" i="28" s="1"/>
  <c r="I200" i="28"/>
  <c r="BL200" i="28" s="1"/>
  <c r="L199" i="28"/>
  <c r="K199" i="28"/>
  <c r="J199" i="28"/>
  <c r="BM199" i="28" s="1"/>
  <c r="I199" i="28"/>
  <c r="BL199" i="28" s="1"/>
  <c r="L198" i="28"/>
  <c r="K198" i="28"/>
  <c r="J198" i="28"/>
  <c r="BM198" i="28" s="1"/>
  <c r="I198" i="28"/>
  <c r="BL198" i="28" s="1"/>
  <c r="L197" i="28"/>
  <c r="K197" i="28"/>
  <c r="J197" i="28"/>
  <c r="BM197" i="28" s="1"/>
  <c r="I197" i="28"/>
  <c r="BL197" i="28" s="1"/>
  <c r="L196" i="28"/>
  <c r="K196" i="28"/>
  <c r="J196" i="28"/>
  <c r="BM196" i="28" s="1"/>
  <c r="I196" i="28"/>
  <c r="BL196" i="28" s="1"/>
  <c r="L195" i="28"/>
  <c r="K195" i="28"/>
  <c r="J195" i="28"/>
  <c r="BM195" i="28" s="1"/>
  <c r="I195" i="28"/>
  <c r="BL195" i="28" s="1"/>
  <c r="L194" i="28"/>
  <c r="K194" i="28"/>
  <c r="J194" i="28"/>
  <c r="BM194" i="28" s="1"/>
  <c r="I194" i="28"/>
  <c r="BL194" i="28" s="1"/>
  <c r="L193" i="28"/>
  <c r="K193" i="28"/>
  <c r="J193" i="28"/>
  <c r="BM193" i="28" s="1"/>
  <c r="I193" i="28"/>
  <c r="BL193" i="28" s="1"/>
  <c r="L192" i="28"/>
  <c r="K192" i="28"/>
  <c r="J192" i="28"/>
  <c r="BM192" i="28" s="1"/>
  <c r="I192" i="28"/>
  <c r="BL192" i="28" s="1"/>
  <c r="L191" i="28"/>
  <c r="K191" i="28"/>
  <c r="J191" i="28"/>
  <c r="BM191" i="28" s="1"/>
  <c r="I191" i="28"/>
  <c r="BL191" i="28" s="1"/>
  <c r="L190" i="28"/>
  <c r="K190" i="28"/>
  <c r="J190" i="28"/>
  <c r="BM190" i="28" s="1"/>
  <c r="I190" i="28"/>
  <c r="BL190" i="28" s="1"/>
  <c r="L189" i="28"/>
  <c r="K189" i="28"/>
  <c r="J189" i="28"/>
  <c r="BM189" i="28" s="1"/>
  <c r="I189" i="28"/>
  <c r="BL189" i="28" s="1"/>
  <c r="L188" i="28"/>
  <c r="K188" i="28"/>
  <c r="J188" i="28"/>
  <c r="BM188" i="28" s="1"/>
  <c r="I188" i="28"/>
  <c r="BL188" i="28" s="1"/>
  <c r="L187" i="28"/>
  <c r="K187" i="28"/>
  <c r="J187" i="28"/>
  <c r="BM187" i="28" s="1"/>
  <c r="I187" i="28"/>
  <c r="BL187" i="28" s="1"/>
  <c r="L186" i="28"/>
  <c r="K186" i="28"/>
  <c r="J186" i="28"/>
  <c r="BM186" i="28" s="1"/>
  <c r="I186" i="28"/>
  <c r="BL186" i="28" s="1"/>
  <c r="L185" i="28"/>
  <c r="K185" i="28"/>
  <c r="J185" i="28"/>
  <c r="BM185" i="28" s="1"/>
  <c r="I185" i="28"/>
  <c r="BL185" i="28" s="1"/>
  <c r="L184" i="28"/>
  <c r="K184" i="28"/>
  <c r="J184" i="28"/>
  <c r="BM184" i="28" s="1"/>
  <c r="I184" i="28"/>
  <c r="BL184" i="28" s="1"/>
  <c r="L183" i="28"/>
  <c r="K183" i="28"/>
  <c r="J183" i="28"/>
  <c r="BM183" i="28" s="1"/>
  <c r="I183" i="28"/>
  <c r="BL183" i="28" s="1"/>
  <c r="L182" i="28"/>
  <c r="K182" i="28"/>
  <c r="J182" i="28"/>
  <c r="BM182" i="28" s="1"/>
  <c r="I182" i="28"/>
  <c r="BL182" i="28" s="1"/>
  <c r="L181" i="28"/>
  <c r="K181" i="28"/>
  <c r="J181" i="28"/>
  <c r="BM181" i="28" s="1"/>
  <c r="I181" i="28"/>
  <c r="BL181" i="28" s="1"/>
  <c r="L180" i="28"/>
  <c r="K180" i="28"/>
  <c r="J180" i="28"/>
  <c r="BM180" i="28" s="1"/>
  <c r="I180" i="28"/>
  <c r="BL180" i="28" s="1"/>
  <c r="L179" i="28"/>
  <c r="K179" i="28"/>
  <c r="J179" i="28"/>
  <c r="BM179" i="28" s="1"/>
  <c r="I179" i="28"/>
  <c r="BL179" i="28" s="1"/>
  <c r="L178" i="28"/>
  <c r="K178" i="28"/>
  <c r="J178" i="28"/>
  <c r="BM178" i="28" s="1"/>
  <c r="I178" i="28"/>
  <c r="BL178" i="28" s="1"/>
  <c r="L177" i="28"/>
  <c r="K177" i="28"/>
  <c r="J177" i="28"/>
  <c r="BM177" i="28" s="1"/>
  <c r="I177" i="28"/>
  <c r="BL177" i="28" s="1"/>
  <c r="L176" i="28"/>
  <c r="K176" i="28"/>
  <c r="J176" i="28"/>
  <c r="BM176" i="28" s="1"/>
  <c r="I176" i="28"/>
  <c r="BL176" i="28" s="1"/>
  <c r="L175" i="28"/>
  <c r="K175" i="28"/>
  <c r="J175" i="28"/>
  <c r="BM175" i="28" s="1"/>
  <c r="I175" i="28"/>
  <c r="BL175" i="28" s="1"/>
  <c r="L174" i="28"/>
  <c r="K174" i="28"/>
  <c r="J174" i="28"/>
  <c r="BM174" i="28" s="1"/>
  <c r="I174" i="28"/>
  <c r="BL174" i="28" s="1"/>
  <c r="L173" i="28"/>
  <c r="K173" i="28"/>
  <c r="J173" i="28"/>
  <c r="BM173" i="28" s="1"/>
  <c r="I173" i="28"/>
  <c r="BL173" i="28" s="1"/>
  <c r="L172" i="28"/>
  <c r="K172" i="28"/>
  <c r="J172" i="28"/>
  <c r="BM172" i="28" s="1"/>
  <c r="I172" i="28"/>
  <c r="BL172" i="28" s="1"/>
  <c r="L171" i="28"/>
  <c r="K171" i="28"/>
  <c r="J171" i="28"/>
  <c r="BM171" i="28" s="1"/>
  <c r="I171" i="28"/>
  <c r="BL171" i="28" s="1"/>
  <c r="L170" i="28"/>
  <c r="K170" i="28"/>
  <c r="J170" i="28"/>
  <c r="BM170" i="28" s="1"/>
  <c r="I170" i="28"/>
  <c r="BL170" i="28" s="1"/>
  <c r="L169" i="28"/>
  <c r="K169" i="28"/>
  <c r="J169" i="28"/>
  <c r="BM169" i="28" s="1"/>
  <c r="I169" i="28"/>
  <c r="BL169" i="28" s="1"/>
  <c r="L168" i="28"/>
  <c r="K168" i="28"/>
  <c r="J168" i="28"/>
  <c r="BM168" i="28" s="1"/>
  <c r="I168" i="28"/>
  <c r="BL168" i="28" s="1"/>
  <c r="L167" i="28"/>
  <c r="K167" i="28"/>
  <c r="J167" i="28"/>
  <c r="BM167" i="28" s="1"/>
  <c r="I167" i="28"/>
  <c r="BL167" i="28" s="1"/>
  <c r="L166" i="28"/>
  <c r="K166" i="28"/>
  <c r="J166" i="28"/>
  <c r="BM166" i="28" s="1"/>
  <c r="I166" i="28"/>
  <c r="BL166" i="28" s="1"/>
  <c r="L165" i="28"/>
  <c r="K165" i="28"/>
  <c r="J165" i="28"/>
  <c r="BM165" i="28" s="1"/>
  <c r="I165" i="28"/>
  <c r="BL165" i="28" s="1"/>
  <c r="L164" i="28"/>
  <c r="K164" i="28"/>
  <c r="J164" i="28"/>
  <c r="BM164" i="28" s="1"/>
  <c r="I164" i="28"/>
  <c r="BL164" i="28" s="1"/>
  <c r="L163" i="28"/>
  <c r="K163" i="28"/>
  <c r="J163" i="28"/>
  <c r="BM163" i="28" s="1"/>
  <c r="I163" i="28"/>
  <c r="BL163" i="28" s="1"/>
  <c r="L162" i="28"/>
  <c r="K162" i="28"/>
  <c r="J162" i="28"/>
  <c r="BM162" i="28" s="1"/>
  <c r="I162" i="28"/>
  <c r="BL162" i="28" s="1"/>
  <c r="L161" i="28"/>
  <c r="K161" i="28"/>
  <c r="J161" i="28"/>
  <c r="BM161" i="28" s="1"/>
  <c r="I161" i="28"/>
  <c r="BL161" i="28" s="1"/>
  <c r="L160" i="28"/>
  <c r="K160" i="28"/>
  <c r="J160" i="28"/>
  <c r="BM160" i="28" s="1"/>
  <c r="I160" i="28"/>
  <c r="BL160" i="28" s="1"/>
  <c r="L159" i="28"/>
  <c r="K159" i="28"/>
  <c r="J159" i="28"/>
  <c r="BM159" i="28" s="1"/>
  <c r="I159" i="28"/>
  <c r="BL159" i="28" s="1"/>
  <c r="L158" i="28"/>
  <c r="K158" i="28"/>
  <c r="J158" i="28"/>
  <c r="BM158" i="28" s="1"/>
  <c r="I158" i="28"/>
  <c r="BL158" i="28" s="1"/>
  <c r="L157" i="28"/>
  <c r="K157" i="28"/>
  <c r="J157" i="28"/>
  <c r="BM157" i="28" s="1"/>
  <c r="I157" i="28"/>
  <c r="BL157" i="28" s="1"/>
  <c r="L156" i="28"/>
  <c r="K156" i="28"/>
  <c r="J156" i="28"/>
  <c r="BM156" i="28" s="1"/>
  <c r="I156" i="28"/>
  <c r="BL156" i="28" s="1"/>
  <c r="L155" i="28"/>
  <c r="K155" i="28"/>
  <c r="J155" i="28"/>
  <c r="BM155" i="28" s="1"/>
  <c r="I155" i="28"/>
  <c r="BL155" i="28" s="1"/>
  <c r="L154" i="28"/>
  <c r="K154" i="28"/>
  <c r="J154" i="28"/>
  <c r="BM154" i="28" s="1"/>
  <c r="I154" i="28"/>
  <c r="BL154" i="28" s="1"/>
  <c r="L153" i="28"/>
  <c r="K153" i="28"/>
  <c r="J153" i="28"/>
  <c r="BM153" i="28" s="1"/>
  <c r="I153" i="28"/>
  <c r="BL153" i="28" s="1"/>
  <c r="L152" i="28"/>
  <c r="K152" i="28"/>
  <c r="J152" i="28"/>
  <c r="BM152" i="28" s="1"/>
  <c r="I152" i="28"/>
  <c r="BL152" i="28" s="1"/>
  <c r="L151" i="28"/>
  <c r="K151" i="28"/>
  <c r="J151" i="28"/>
  <c r="BM151" i="28" s="1"/>
  <c r="I151" i="28"/>
  <c r="BL151" i="28" s="1"/>
  <c r="L150" i="28"/>
  <c r="K150" i="28"/>
  <c r="J150" i="28"/>
  <c r="BM150" i="28" s="1"/>
  <c r="I150" i="28"/>
  <c r="BL150" i="28" s="1"/>
  <c r="L149" i="28"/>
  <c r="K149" i="28"/>
  <c r="J149" i="28"/>
  <c r="BM149" i="28" s="1"/>
  <c r="I149" i="28"/>
  <c r="BL149" i="28" s="1"/>
  <c r="L148" i="28"/>
  <c r="K148" i="28"/>
  <c r="J148" i="28"/>
  <c r="BM148" i="28" s="1"/>
  <c r="I148" i="28"/>
  <c r="BL148" i="28" s="1"/>
  <c r="L147" i="28"/>
  <c r="K147" i="28"/>
  <c r="J147" i="28"/>
  <c r="BM147" i="28" s="1"/>
  <c r="I147" i="28"/>
  <c r="BL147" i="28" s="1"/>
  <c r="L146" i="28"/>
  <c r="K146" i="28"/>
  <c r="J146" i="28"/>
  <c r="BM146" i="28" s="1"/>
  <c r="I146" i="28"/>
  <c r="BL146" i="28" s="1"/>
  <c r="L145" i="28"/>
  <c r="K145" i="28"/>
  <c r="J145" i="28"/>
  <c r="BM145" i="28" s="1"/>
  <c r="I145" i="28"/>
  <c r="BL145" i="28" s="1"/>
  <c r="L144" i="28"/>
  <c r="K144" i="28"/>
  <c r="J144" i="28"/>
  <c r="BM144" i="28" s="1"/>
  <c r="I144" i="28"/>
  <c r="BL144" i="28" s="1"/>
  <c r="L143" i="28"/>
  <c r="K143" i="28"/>
  <c r="J143" i="28"/>
  <c r="BM143" i="28" s="1"/>
  <c r="I143" i="28"/>
  <c r="BL143" i="28" s="1"/>
  <c r="L142" i="28"/>
  <c r="K142" i="28"/>
  <c r="J142" i="28"/>
  <c r="BM142" i="28" s="1"/>
  <c r="I142" i="28"/>
  <c r="BL142" i="28" s="1"/>
  <c r="L141" i="28"/>
  <c r="K141" i="28"/>
  <c r="J141" i="28"/>
  <c r="BM141" i="28" s="1"/>
  <c r="I141" i="28"/>
  <c r="BL141" i="28" s="1"/>
  <c r="L140" i="28"/>
  <c r="K140" i="28"/>
  <c r="J140" i="28"/>
  <c r="BM140" i="28" s="1"/>
  <c r="I140" i="28"/>
  <c r="BL140" i="28" s="1"/>
  <c r="L139" i="28"/>
  <c r="K139" i="28"/>
  <c r="J139" i="28"/>
  <c r="BM139" i="28" s="1"/>
  <c r="I139" i="28"/>
  <c r="BL139" i="28" s="1"/>
  <c r="L138" i="28"/>
  <c r="K138" i="28"/>
  <c r="J138" i="28"/>
  <c r="BM138" i="28" s="1"/>
  <c r="I138" i="28"/>
  <c r="BL138" i="28" s="1"/>
  <c r="L137" i="28"/>
  <c r="K137" i="28"/>
  <c r="J137" i="28"/>
  <c r="BM137" i="28" s="1"/>
  <c r="I137" i="28"/>
  <c r="BL137" i="28" s="1"/>
  <c r="L136" i="28"/>
  <c r="K136" i="28"/>
  <c r="J136" i="28"/>
  <c r="BM136" i="28" s="1"/>
  <c r="I136" i="28"/>
  <c r="BL136" i="28" s="1"/>
  <c r="L135" i="28"/>
  <c r="K135" i="28"/>
  <c r="J135" i="28"/>
  <c r="BM135" i="28" s="1"/>
  <c r="I135" i="28"/>
  <c r="BL135" i="28" s="1"/>
  <c r="L134" i="28"/>
  <c r="K134" i="28"/>
  <c r="J134" i="28"/>
  <c r="BM134" i="28" s="1"/>
  <c r="I134" i="28"/>
  <c r="BL134" i="28" s="1"/>
  <c r="L133" i="28"/>
  <c r="K133" i="28"/>
  <c r="J133" i="28"/>
  <c r="BM133" i="28" s="1"/>
  <c r="I133" i="28"/>
  <c r="BL133" i="28" s="1"/>
  <c r="L132" i="28"/>
  <c r="K132" i="28"/>
  <c r="J132" i="28"/>
  <c r="BM132" i="28" s="1"/>
  <c r="I132" i="28"/>
  <c r="BL132" i="28" s="1"/>
  <c r="L131" i="28"/>
  <c r="K131" i="28"/>
  <c r="J131" i="28"/>
  <c r="BM131" i="28" s="1"/>
  <c r="I131" i="28"/>
  <c r="BL131" i="28" s="1"/>
  <c r="L130" i="28"/>
  <c r="K130" i="28"/>
  <c r="J130" i="28"/>
  <c r="BM130" i="28" s="1"/>
  <c r="I130" i="28"/>
  <c r="BL130" i="28" s="1"/>
  <c r="L129" i="28"/>
  <c r="K129" i="28"/>
  <c r="J129" i="28"/>
  <c r="BM129" i="28" s="1"/>
  <c r="I129" i="28"/>
  <c r="BL129" i="28" s="1"/>
  <c r="L128" i="28"/>
  <c r="K128" i="28"/>
  <c r="J128" i="28"/>
  <c r="BM128" i="28" s="1"/>
  <c r="I128" i="28"/>
  <c r="BL128" i="28" s="1"/>
  <c r="L127" i="28"/>
  <c r="K127" i="28"/>
  <c r="J127" i="28"/>
  <c r="BM127" i="28" s="1"/>
  <c r="I127" i="28"/>
  <c r="BL127" i="28" s="1"/>
  <c r="L126" i="28"/>
  <c r="K126" i="28"/>
  <c r="J126" i="28"/>
  <c r="BM126" i="28" s="1"/>
  <c r="I126" i="28"/>
  <c r="BL126" i="28" s="1"/>
  <c r="L125" i="28"/>
  <c r="K125" i="28"/>
  <c r="J125" i="28"/>
  <c r="BM125" i="28" s="1"/>
  <c r="I125" i="28"/>
  <c r="BL125" i="28" s="1"/>
  <c r="L124" i="28"/>
  <c r="K124" i="28"/>
  <c r="J124" i="28"/>
  <c r="BM124" i="28" s="1"/>
  <c r="I124" i="28"/>
  <c r="BL124" i="28" s="1"/>
  <c r="L123" i="28"/>
  <c r="K123" i="28"/>
  <c r="J123" i="28"/>
  <c r="BM123" i="28" s="1"/>
  <c r="I123" i="28"/>
  <c r="BL123" i="28" s="1"/>
  <c r="L122" i="28"/>
  <c r="K122" i="28"/>
  <c r="J122" i="28"/>
  <c r="BM122" i="28" s="1"/>
  <c r="I122" i="28"/>
  <c r="BL122" i="28" s="1"/>
  <c r="L121" i="28"/>
  <c r="K121" i="28"/>
  <c r="J121" i="28"/>
  <c r="BM121" i="28" s="1"/>
  <c r="I121" i="28"/>
  <c r="BL121" i="28" s="1"/>
  <c r="L120" i="28"/>
  <c r="K120" i="28"/>
  <c r="J120" i="28"/>
  <c r="BM120" i="28" s="1"/>
  <c r="I120" i="28"/>
  <c r="BL120" i="28" s="1"/>
  <c r="L119" i="28"/>
  <c r="K119" i="28"/>
  <c r="J119" i="28"/>
  <c r="BM119" i="28" s="1"/>
  <c r="I119" i="28"/>
  <c r="BL119" i="28" s="1"/>
  <c r="L118" i="28"/>
  <c r="K118" i="28"/>
  <c r="J118" i="28"/>
  <c r="BM118" i="28" s="1"/>
  <c r="I118" i="28"/>
  <c r="BL118" i="28" s="1"/>
  <c r="L117" i="28"/>
  <c r="K117" i="28"/>
  <c r="J117" i="28"/>
  <c r="BM117" i="28" s="1"/>
  <c r="I117" i="28"/>
  <c r="BL117" i="28" s="1"/>
  <c r="L116" i="28"/>
  <c r="K116" i="28"/>
  <c r="J116" i="28"/>
  <c r="BM116" i="28" s="1"/>
  <c r="I116" i="28"/>
  <c r="BL116" i="28" s="1"/>
  <c r="L115" i="28"/>
  <c r="K115" i="28"/>
  <c r="J115" i="28"/>
  <c r="BM115" i="28" s="1"/>
  <c r="I115" i="28"/>
  <c r="L114" i="28"/>
  <c r="K114" i="28"/>
  <c r="J114" i="28"/>
  <c r="BM114" i="28" s="1"/>
  <c r="I114" i="28"/>
  <c r="BL114" i="28" s="1"/>
  <c r="L113" i="28"/>
  <c r="K113" i="28"/>
  <c r="J113" i="28"/>
  <c r="BM113" i="28" s="1"/>
  <c r="I113" i="28"/>
  <c r="BL113" i="28" s="1"/>
  <c r="L112" i="28"/>
  <c r="K112" i="28"/>
  <c r="J112" i="28"/>
  <c r="BM112" i="28" s="1"/>
  <c r="I112" i="28"/>
  <c r="BL112" i="28" s="1"/>
  <c r="L111" i="28"/>
  <c r="K111" i="28"/>
  <c r="J111" i="28"/>
  <c r="BM111" i="28" s="1"/>
  <c r="I111" i="28"/>
  <c r="BL111" i="28" s="1"/>
  <c r="L110" i="28"/>
  <c r="K110" i="28"/>
  <c r="J110" i="28"/>
  <c r="BM110" i="28" s="1"/>
  <c r="I110" i="28"/>
  <c r="L109" i="28"/>
  <c r="K109" i="28"/>
  <c r="J109" i="28"/>
  <c r="BM109" i="28" s="1"/>
  <c r="I109" i="28"/>
  <c r="BL109" i="28" s="1"/>
  <c r="L108" i="28"/>
  <c r="K108" i="28"/>
  <c r="J108" i="28"/>
  <c r="BM108" i="28" s="1"/>
  <c r="I108" i="28"/>
  <c r="BL108" i="28" s="1"/>
  <c r="L107" i="28"/>
  <c r="K107" i="28"/>
  <c r="J107" i="28"/>
  <c r="BM107" i="28" s="1"/>
  <c r="I107" i="28"/>
  <c r="BL107" i="28" s="1"/>
  <c r="L106" i="28"/>
  <c r="K106" i="28"/>
  <c r="J106" i="28"/>
  <c r="BM106" i="28" s="1"/>
  <c r="I106" i="28"/>
  <c r="BL106" i="28" s="1"/>
  <c r="L105" i="28"/>
  <c r="K105" i="28"/>
  <c r="J105" i="28"/>
  <c r="BM105" i="28" s="1"/>
  <c r="I105" i="28"/>
  <c r="BL105" i="28" s="1"/>
  <c r="L104" i="28"/>
  <c r="K104" i="28"/>
  <c r="J104" i="28"/>
  <c r="BM104" i="28" s="1"/>
  <c r="I104" i="28"/>
  <c r="BL104" i="28" s="1"/>
  <c r="L103" i="28"/>
  <c r="K103" i="28"/>
  <c r="J103" i="28"/>
  <c r="BM103" i="28" s="1"/>
  <c r="I103" i="28"/>
  <c r="BL103" i="28" s="1"/>
  <c r="L102" i="28"/>
  <c r="K102" i="28"/>
  <c r="J102" i="28"/>
  <c r="BM102" i="28" s="1"/>
  <c r="I102" i="28"/>
  <c r="L101" i="28"/>
  <c r="K101" i="28"/>
  <c r="J101" i="28"/>
  <c r="BM101" i="28" s="1"/>
  <c r="I101" i="28"/>
  <c r="BL101" i="28" s="1"/>
  <c r="L100" i="28"/>
  <c r="K100" i="28"/>
  <c r="J100" i="28"/>
  <c r="BM100" i="28" s="1"/>
  <c r="I100" i="28"/>
  <c r="BL100" i="28" s="1"/>
  <c r="L99" i="28"/>
  <c r="K99" i="28"/>
  <c r="J99" i="28"/>
  <c r="BM99" i="28" s="1"/>
  <c r="I99" i="28"/>
  <c r="BL99" i="28" s="1"/>
  <c r="L98" i="28"/>
  <c r="K98" i="28"/>
  <c r="J98" i="28"/>
  <c r="BM98" i="28" s="1"/>
  <c r="I98" i="28"/>
  <c r="BL98" i="28" s="1"/>
  <c r="L97" i="28"/>
  <c r="K97" i="28"/>
  <c r="J97" i="28"/>
  <c r="BM97" i="28" s="1"/>
  <c r="I97" i="28"/>
  <c r="L96" i="28"/>
  <c r="K96" i="28"/>
  <c r="J96" i="28"/>
  <c r="BM96" i="28" s="1"/>
  <c r="I96" i="28"/>
  <c r="BL96" i="28" s="1"/>
  <c r="L95" i="28"/>
  <c r="K95" i="28"/>
  <c r="J95" i="28"/>
  <c r="BM95" i="28" s="1"/>
  <c r="I95" i="28"/>
  <c r="BL95" i="28" s="1"/>
  <c r="L94" i="28"/>
  <c r="K94" i="28"/>
  <c r="J94" i="28"/>
  <c r="BM94" i="28" s="1"/>
  <c r="I94" i="28"/>
  <c r="BL94" i="28" s="1"/>
  <c r="L93" i="28"/>
  <c r="K93" i="28"/>
  <c r="J93" i="28"/>
  <c r="BM93" i="28" s="1"/>
  <c r="I93" i="28"/>
  <c r="BL93" i="28" s="1"/>
  <c r="L92" i="28"/>
  <c r="K92" i="28"/>
  <c r="J92" i="28"/>
  <c r="BM92" i="28" s="1"/>
  <c r="I92" i="28"/>
  <c r="BL92" i="28" s="1"/>
  <c r="L91" i="28"/>
  <c r="K91" i="28"/>
  <c r="J91" i="28"/>
  <c r="BM91" i="28" s="1"/>
  <c r="I91" i="28"/>
  <c r="BL91" i="28" s="1"/>
  <c r="L90" i="28"/>
  <c r="K90" i="28"/>
  <c r="J90" i="28"/>
  <c r="BM90" i="28" s="1"/>
  <c r="I90" i="28"/>
  <c r="BL90" i="28" s="1"/>
  <c r="L89" i="28"/>
  <c r="K89" i="28"/>
  <c r="J89" i="28"/>
  <c r="BM89" i="28" s="1"/>
  <c r="I89" i="28"/>
  <c r="BL89" i="28" s="1"/>
  <c r="L88" i="28"/>
  <c r="K88" i="28"/>
  <c r="J88" i="28"/>
  <c r="BM88" i="28" s="1"/>
  <c r="I88" i="28"/>
  <c r="BL88" i="28" s="1"/>
  <c r="L87" i="28"/>
  <c r="K87" i="28"/>
  <c r="J87" i="28"/>
  <c r="BM87" i="28" s="1"/>
  <c r="I87" i="28"/>
  <c r="BL87" i="28" s="1"/>
  <c r="L86" i="28"/>
  <c r="K86" i="28"/>
  <c r="J86" i="28"/>
  <c r="BM86" i="28" s="1"/>
  <c r="I86" i="28"/>
  <c r="BL86" i="28" s="1"/>
  <c r="L85" i="28"/>
  <c r="K85" i="28"/>
  <c r="J85" i="28"/>
  <c r="BM85" i="28" s="1"/>
  <c r="I85" i="28"/>
  <c r="BL85" i="28" s="1"/>
  <c r="L84" i="28"/>
  <c r="K84" i="28"/>
  <c r="J84" i="28"/>
  <c r="BM84" i="28" s="1"/>
  <c r="I84" i="28"/>
  <c r="BL84" i="28" s="1"/>
  <c r="L83" i="28"/>
  <c r="K83" i="28"/>
  <c r="J83" i="28"/>
  <c r="BM83" i="28" s="1"/>
  <c r="I83" i="28"/>
  <c r="BL83" i="28" s="1"/>
  <c r="L82" i="28"/>
  <c r="K82" i="28"/>
  <c r="J82" i="28"/>
  <c r="BM82" i="28" s="1"/>
  <c r="I82" i="28"/>
  <c r="BL82" i="28" s="1"/>
  <c r="L81" i="28"/>
  <c r="K81" i="28"/>
  <c r="J81" i="28"/>
  <c r="BM81" i="28" s="1"/>
  <c r="I81" i="28"/>
  <c r="BL81" i="28" s="1"/>
  <c r="L80" i="28"/>
  <c r="K80" i="28"/>
  <c r="J80" i="28"/>
  <c r="BM80" i="28" s="1"/>
  <c r="I80" i="28"/>
  <c r="BL80" i="28" s="1"/>
  <c r="L79" i="28"/>
  <c r="K79" i="28"/>
  <c r="J79" i="28"/>
  <c r="BM79" i="28" s="1"/>
  <c r="I79" i="28"/>
  <c r="BL79" i="28" s="1"/>
  <c r="L78" i="28"/>
  <c r="K78" i="28"/>
  <c r="J78" i="28"/>
  <c r="BM78" i="28" s="1"/>
  <c r="I78" i="28"/>
  <c r="BL78" i="28" s="1"/>
  <c r="L77" i="28"/>
  <c r="K77" i="28"/>
  <c r="J77" i="28"/>
  <c r="BM77" i="28" s="1"/>
  <c r="I77" i="28"/>
  <c r="BL77" i="28" s="1"/>
  <c r="L76" i="28"/>
  <c r="K76" i="28"/>
  <c r="J76" i="28"/>
  <c r="BM76" i="28" s="1"/>
  <c r="I76" i="28"/>
  <c r="BL76" i="28" s="1"/>
  <c r="L75" i="28"/>
  <c r="K75" i="28"/>
  <c r="J75" i="28"/>
  <c r="BM75" i="28" s="1"/>
  <c r="I75" i="28"/>
  <c r="BL75" i="28" s="1"/>
  <c r="L74" i="28"/>
  <c r="K74" i="28"/>
  <c r="J74" i="28"/>
  <c r="BM74" i="28" s="1"/>
  <c r="I74" i="28"/>
  <c r="BL74" i="28" s="1"/>
  <c r="L73" i="28"/>
  <c r="K73" i="28"/>
  <c r="J73" i="28"/>
  <c r="BM73" i="28" s="1"/>
  <c r="I73" i="28"/>
  <c r="BL73" i="28" s="1"/>
  <c r="L72" i="28"/>
  <c r="K72" i="28"/>
  <c r="J72" i="28"/>
  <c r="BM72" i="28" s="1"/>
  <c r="I72" i="28"/>
  <c r="BL72" i="28" s="1"/>
  <c r="L71" i="28"/>
  <c r="K71" i="28"/>
  <c r="J71" i="28"/>
  <c r="BM71" i="28" s="1"/>
  <c r="I71" i="28"/>
  <c r="BL71" i="28" s="1"/>
  <c r="L70" i="28"/>
  <c r="K70" i="28"/>
  <c r="J70" i="28"/>
  <c r="BM70" i="28" s="1"/>
  <c r="I70" i="28"/>
  <c r="BL70" i="28" s="1"/>
  <c r="L69" i="28"/>
  <c r="K69" i="28"/>
  <c r="J69" i="28"/>
  <c r="BM69" i="28" s="1"/>
  <c r="I69" i="28"/>
  <c r="BL69" i="28" s="1"/>
  <c r="L68" i="28"/>
  <c r="K68" i="28"/>
  <c r="J68" i="28"/>
  <c r="BM68" i="28" s="1"/>
  <c r="I68" i="28"/>
  <c r="BL68" i="28" s="1"/>
  <c r="L67" i="28"/>
  <c r="K67" i="28"/>
  <c r="J67" i="28"/>
  <c r="BM67" i="28" s="1"/>
  <c r="I67" i="28"/>
  <c r="BL67" i="28" s="1"/>
  <c r="L66" i="28"/>
  <c r="K66" i="28"/>
  <c r="J66" i="28"/>
  <c r="BM66" i="28" s="1"/>
  <c r="I66" i="28"/>
  <c r="BL66" i="28" s="1"/>
  <c r="L65" i="28"/>
  <c r="K65" i="28"/>
  <c r="J65" i="28"/>
  <c r="BM65" i="28" s="1"/>
  <c r="I65" i="28"/>
  <c r="BL65" i="28" s="1"/>
  <c r="L64" i="28"/>
  <c r="K64" i="28"/>
  <c r="J64" i="28"/>
  <c r="BM64" i="28" s="1"/>
  <c r="I64" i="28"/>
  <c r="BL64" i="28" s="1"/>
  <c r="L63" i="28"/>
  <c r="K63" i="28"/>
  <c r="J63" i="28"/>
  <c r="BM63" i="28" s="1"/>
  <c r="I63" i="28"/>
  <c r="BL63" i="28" s="1"/>
  <c r="L62" i="28"/>
  <c r="K62" i="28"/>
  <c r="J62" i="28"/>
  <c r="BM62" i="28" s="1"/>
  <c r="I62" i="28"/>
  <c r="BL62" i="28" s="1"/>
  <c r="L61" i="28"/>
  <c r="K61" i="28"/>
  <c r="J61" i="28"/>
  <c r="BM61" i="28" s="1"/>
  <c r="I61" i="28"/>
  <c r="BL61" i="28" s="1"/>
  <c r="L60" i="28"/>
  <c r="K60" i="28"/>
  <c r="J60" i="28"/>
  <c r="BM60" i="28" s="1"/>
  <c r="I60" i="28"/>
  <c r="BL60" i="28" s="1"/>
  <c r="L59" i="28"/>
  <c r="K59" i="28"/>
  <c r="J59" i="28"/>
  <c r="BM59" i="28" s="1"/>
  <c r="I59" i="28"/>
  <c r="BL59" i="28" s="1"/>
  <c r="L58" i="28"/>
  <c r="K58" i="28"/>
  <c r="J58" i="28"/>
  <c r="BM58" i="28" s="1"/>
  <c r="I58" i="28"/>
  <c r="BL58" i="28" s="1"/>
  <c r="L57" i="28"/>
  <c r="K57" i="28"/>
  <c r="J57" i="28"/>
  <c r="BM57" i="28" s="1"/>
  <c r="I57" i="28"/>
  <c r="BL57" i="28" s="1"/>
  <c r="L56" i="28"/>
  <c r="K56" i="28"/>
  <c r="J56" i="28"/>
  <c r="BM56" i="28" s="1"/>
  <c r="I56" i="28"/>
  <c r="BL56" i="28" s="1"/>
  <c r="L55" i="28"/>
  <c r="K55" i="28"/>
  <c r="J55" i="28"/>
  <c r="BM55" i="28" s="1"/>
  <c r="I55" i="28"/>
  <c r="BL55" i="28" s="1"/>
  <c r="L54" i="28"/>
  <c r="K54" i="28"/>
  <c r="J54" i="28"/>
  <c r="BM54" i="28" s="1"/>
  <c r="I54" i="28"/>
  <c r="BL54" i="28" s="1"/>
  <c r="L53" i="28"/>
  <c r="K53" i="28"/>
  <c r="J53" i="28"/>
  <c r="BM53" i="28" s="1"/>
  <c r="I53" i="28"/>
  <c r="BL53" i="28" s="1"/>
  <c r="L52" i="28"/>
  <c r="K52" i="28"/>
  <c r="J52" i="28"/>
  <c r="BM52" i="28" s="1"/>
  <c r="I52" i="28"/>
  <c r="BL52" i="28" s="1"/>
  <c r="L51" i="28"/>
  <c r="K51" i="28"/>
  <c r="J51" i="28"/>
  <c r="BM51" i="28" s="1"/>
  <c r="I51" i="28"/>
  <c r="BL51" i="28" s="1"/>
  <c r="L50" i="28"/>
  <c r="K50" i="28"/>
  <c r="J50" i="28"/>
  <c r="BM50" i="28" s="1"/>
  <c r="I50" i="28"/>
  <c r="BL50" i="28" s="1"/>
  <c r="L49" i="28"/>
  <c r="K49" i="28"/>
  <c r="J49" i="28"/>
  <c r="BM49" i="28" s="1"/>
  <c r="I49" i="28"/>
  <c r="BL49" i="28" s="1"/>
  <c r="L48" i="28"/>
  <c r="K48" i="28"/>
  <c r="J48" i="28"/>
  <c r="BM48" i="28" s="1"/>
  <c r="I48" i="28"/>
  <c r="BL48" i="28" s="1"/>
  <c r="L47" i="28"/>
  <c r="K47" i="28"/>
  <c r="J47" i="28"/>
  <c r="BM47" i="28" s="1"/>
  <c r="I47" i="28"/>
  <c r="BL47" i="28" s="1"/>
  <c r="L46" i="28"/>
  <c r="K46" i="28"/>
  <c r="J46" i="28"/>
  <c r="BM46" i="28" s="1"/>
  <c r="I46" i="28"/>
  <c r="BL46" i="28" s="1"/>
  <c r="L45" i="28"/>
  <c r="K45" i="28"/>
  <c r="J45" i="28"/>
  <c r="BM45" i="28" s="1"/>
  <c r="I45" i="28"/>
  <c r="BL45" i="28" s="1"/>
  <c r="L44" i="28"/>
  <c r="K44" i="28"/>
  <c r="J44" i="28"/>
  <c r="BM44" i="28" s="1"/>
  <c r="I44" i="28"/>
  <c r="BL44" i="28" s="1"/>
  <c r="L43" i="28"/>
  <c r="K43" i="28"/>
  <c r="J43" i="28"/>
  <c r="BM43" i="28" s="1"/>
  <c r="I43" i="28"/>
  <c r="L42" i="28"/>
  <c r="K42" i="28"/>
  <c r="J42" i="28"/>
  <c r="BM42" i="28" s="1"/>
  <c r="I42" i="28"/>
  <c r="BL42" i="28" s="1"/>
  <c r="L41" i="28"/>
  <c r="K41" i="28"/>
  <c r="J41" i="28"/>
  <c r="BM41" i="28" s="1"/>
  <c r="I41" i="28"/>
  <c r="L40" i="28"/>
  <c r="K40" i="28"/>
  <c r="J40" i="28"/>
  <c r="BM40" i="28" s="1"/>
  <c r="I40" i="28"/>
  <c r="BL40" i="28" s="1"/>
  <c r="L39" i="28"/>
  <c r="K39" i="28"/>
  <c r="J39" i="28"/>
  <c r="BM39" i="28" s="1"/>
  <c r="I39" i="28"/>
  <c r="BL39" i="28" s="1"/>
  <c r="L38" i="28"/>
  <c r="K38" i="28"/>
  <c r="J38" i="28"/>
  <c r="BM38" i="28" s="1"/>
  <c r="I38" i="28"/>
  <c r="BL38" i="28" s="1"/>
  <c r="L37" i="28"/>
  <c r="K37" i="28"/>
  <c r="J37" i="28"/>
  <c r="BM37" i="28" s="1"/>
  <c r="I37" i="28"/>
  <c r="L36" i="28"/>
  <c r="K36" i="28"/>
  <c r="J36" i="28"/>
  <c r="BM36" i="28" s="1"/>
  <c r="I36" i="28"/>
  <c r="BL36" i="28" s="1"/>
  <c r="L35" i="28"/>
  <c r="K35" i="28"/>
  <c r="J35" i="28"/>
  <c r="BM35" i="28" s="1"/>
  <c r="I35" i="28"/>
  <c r="L34" i="28"/>
  <c r="K34" i="28"/>
  <c r="J34" i="28"/>
  <c r="BM34" i="28" s="1"/>
  <c r="I34" i="28"/>
  <c r="BL34" i="28" s="1"/>
  <c r="L33" i="28"/>
  <c r="K33" i="28"/>
  <c r="J33" i="28"/>
  <c r="BM33" i="28" s="1"/>
  <c r="I33" i="28"/>
  <c r="BL33" i="28" s="1"/>
  <c r="L32" i="28"/>
  <c r="K32" i="28"/>
  <c r="J32" i="28"/>
  <c r="BM32" i="28" s="1"/>
  <c r="I32" i="28"/>
  <c r="BL32" i="28" s="1"/>
  <c r="L31" i="28"/>
  <c r="K31" i="28"/>
  <c r="J31" i="28"/>
  <c r="BM31" i="28" s="1"/>
  <c r="I31" i="28"/>
  <c r="BL31" i="28" s="1"/>
  <c r="L30" i="28"/>
  <c r="K30" i="28"/>
  <c r="J30" i="28"/>
  <c r="BM30" i="28" s="1"/>
  <c r="I30" i="28"/>
  <c r="BL30" i="28" s="1"/>
  <c r="L29" i="28"/>
  <c r="K29" i="28"/>
  <c r="J29" i="28"/>
  <c r="BM29" i="28" s="1"/>
  <c r="I29" i="28"/>
  <c r="BL29" i="28" s="1"/>
  <c r="L28" i="28"/>
  <c r="K28" i="28"/>
  <c r="J28" i="28"/>
  <c r="BM28" i="28" s="1"/>
  <c r="I28" i="28"/>
  <c r="BL28" i="28" s="1"/>
  <c r="L27" i="28"/>
  <c r="K27" i="28"/>
  <c r="J27" i="28"/>
  <c r="BM27" i="28" s="1"/>
  <c r="I27" i="28"/>
  <c r="BL27" i="28" s="1"/>
  <c r="L26" i="28"/>
  <c r="K26" i="28"/>
  <c r="J26" i="28"/>
  <c r="BM26" i="28" s="1"/>
  <c r="I26" i="28"/>
  <c r="BL26" i="28" s="1"/>
  <c r="L25" i="28"/>
  <c r="K25" i="28"/>
  <c r="J25" i="28"/>
  <c r="BM25" i="28" s="1"/>
  <c r="I25" i="28"/>
  <c r="BL25" i="28" s="1"/>
  <c r="L24" i="28"/>
  <c r="K24" i="28"/>
  <c r="J24" i="28"/>
  <c r="BM24" i="28" s="1"/>
  <c r="I24" i="28"/>
  <c r="BL24" i="28" s="1"/>
  <c r="L23" i="28"/>
  <c r="K23" i="28"/>
  <c r="J23" i="28"/>
  <c r="BM23" i="28" s="1"/>
  <c r="I23" i="28"/>
  <c r="BL23" i="28" s="1"/>
  <c r="L22" i="28"/>
  <c r="K22" i="28"/>
  <c r="J22" i="28"/>
  <c r="BM22" i="28" s="1"/>
  <c r="I22" i="28"/>
  <c r="L21" i="28"/>
  <c r="K21" i="28"/>
  <c r="J21" i="28"/>
  <c r="BM21" i="28" s="1"/>
  <c r="I21" i="28"/>
  <c r="L20" i="28"/>
  <c r="K20" i="28"/>
  <c r="J20" i="28"/>
  <c r="BM20" i="28" s="1"/>
  <c r="I20" i="28"/>
  <c r="BL20" i="28" s="1"/>
  <c r="L19" i="28"/>
  <c r="K19" i="28"/>
  <c r="J19" i="28"/>
  <c r="BM19" i="28" s="1"/>
  <c r="I19" i="28"/>
  <c r="BL19" i="28" s="1"/>
  <c r="L18" i="28"/>
  <c r="K18" i="28"/>
  <c r="J18" i="28"/>
  <c r="BM18" i="28" s="1"/>
  <c r="I18" i="28"/>
  <c r="BL18" i="28" s="1"/>
  <c r="L17" i="28"/>
  <c r="K17" i="28"/>
  <c r="J17" i="28"/>
  <c r="BM17" i="28" s="1"/>
  <c r="I17" i="28"/>
  <c r="BL17" i="28" s="1"/>
  <c r="L16" i="28"/>
  <c r="K16" i="28"/>
  <c r="J16" i="28"/>
  <c r="BM16" i="28" s="1"/>
  <c r="I16" i="28"/>
  <c r="BL16" i="28" s="1"/>
  <c r="L15" i="28"/>
  <c r="K15" i="28"/>
  <c r="J15" i="28"/>
  <c r="BM15" i="28" s="1"/>
  <c r="I15" i="28"/>
  <c r="BL15" i="28" s="1"/>
  <c r="L14" i="28"/>
  <c r="K14" i="28"/>
  <c r="J14" i="28"/>
  <c r="BM14" i="28" s="1"/>
  <c r="I14" i="28"/>
  <c r="BL14" i="28" s="1"/>
  <c r="L13" i="28"/>
  <c r="K13" i="28"/>
  <c r="J13" i="28"/>
  <c r="BM13" i="28" s="1"/>
  <c r="I13" i="28"/>
  <c r="BL13" i="28" s="1"/>
  <c r="L12" i="28"/>
  <c r="K12" i="28"/>
  <c r="J12" i="28"/>
  <c r="BM12" i="28" s="1"/>
  <c r="I12" i="28"/>
  <c r="BL12" i="28" s="1"/>
  <c r="L11" i="28"/>
  <c r="K11" i="28"/>
  <c r="J11" i="28"/>
  <c r="BM11" i="28" s="1"/>
  <c r="I11" i="28"/>
  <c r="BL11" i="28" s="1"/>
  <c r="L10" i="28"/>
  <c r="K10" i="28"/>
  <c r="J10" i="28"/>
  <c r="BM10" i="28" s="1"/>
  <c r="I10" i="28"/>
  <c r="BL10" i="28" s="1"/>
  <c r="L9" i="28"/>
  <c r="K9" i="28"/>
  <c r="J9" i="28"/>
  <c r="BM9" i="28" s="1"/>
  <c r="I9" i="28"/>
  <c r="BL9" i="28" s="1"/>
  <c r="L8" i="28"/>
  <c r="K8" i="28"/>
  <c r="J8" i="28"/>
  <c r="BM8" i="28" s="1"/>
  <c r="I8" i="28"/>
  <c r="BL8" i="28" s="1"/>
  <c r="L7" i="28"/>
  <c r="K7" i="28"/>
  <c r="J7" i="28"/>
  <c r="BM7" i="28" s="1"/>
  <c r="I7" i="28"/>
  <c r="BL7" i="28" s="1"/>
  <c r="L6" i="28"/>
  <c r="K6" i="28"/>
  <c r="J6" i="28"/>
  <c r="BM6" i="28" s="1"/>
  <c r="I6" i="28"/>
  <c r="BL6" i="28" s="1"/>
  <c r="L5" i="28"/>
  <c r="K5" i="28"/>
  <c r="J5" i="28"/>
  <c r="BM5" i="28" s="1"/>
  <c r="I5" i="28"/>
  <c r="BL5" i="28" s="1"/>
  <c r="L4" i="28"/>
  <c r="K4" i="28"/>
  <c r="J4" i="28"/>
  <c r="I4" i="28"/>
  <c r="BL4" i="28" s="1"/>
  <c r="BF266" i="28"/>
  <c r="BF250" i="28"/>
  <c r="BF234" i="28"/>
  <c r="BF218" i="28"/>
  <c r="BF202" i="28"/>
  <c r="BF186" i="28"/>
  <c r="BF170" i="28"/>
  <c r="BF154" i="28"/>
  <c r="BF138" i="28"/>
  <c r="BF122" i="28"/>
  <c r="BF106" i="28"/>
  <c r="BF95" i="28"/>
  <c r="BF87" i="28"/>
  <c r="BF79" i="28"/>
  <c r="BF71" i="28"/>
  <c r="BF63" i="28"/>
  <c r="BF55" i="28"/>
  <c r="BF47" i="28"/>
  <c r="BF37" i="28"/>
  <c r="BF21" i="28"/>
  <c r="BA266" i="28"/>
  <c r="BA258" i="28"/>
  <c r="BA250" i="28"/>
  <c r="BA239" i="28"/>
  <c r="BA223" i="28"/>
  <c r="AL172" i="28"/>
  <c r="AG209" i="28"/>
  <c r="AG177" i="28"/>
  <c r="AG145" i="28"/>
  <c r="AG113" i="28"/>
  <c r="AG89" i="28"/>
  <c r="AG81" i="28"/>
  <c r="AG73" i="28"/>
  <c r="AG65" i="28"/>
  <c r="AG57" i="28"/>
  <c r="AG49" i="28"/>
  <c r="AG41" i="28"/>
  <c r="AG33" i="28"/>
  <c r="AG25" i="28"/>
  <c r="AG17" i="28"/>
  <c r="AB258" i="28"/>
  <c r="AB214" i="28"/>
  <c r="AB198" i="28"/>
  <c r="AB182" i="28"/>
  <c r="AB166" i="28"/>
  <c r="AB134" i="28"/>
  <c r="AB86" i="28"/>
  <c r="AB54" i="28"/>
  <c r="AY84" i="23" l="1"/>
  <c r="BA84" i="23"/>
  <c r="AY85" i="23"/>
  <c r="BA85" i="23"/>
  <c r="AY86" i="23"/>
  <c r="BA86" i="23"/>
  <c r="AY87" i="23"/>
  <c r="BA87" i="23"/>
  <c r="AG88" i="23"/>
  <c r="AR23" i="23"/>
  <c r="AV16" i="23"/>
  <c r="AV23" i="23"/>
  <c r="BF16" i="14"/>
  <c r="K28" i="23"/>
  <c r="AW16" i="23"/>
  <c r="G41" i="23"/>
  <c r="I41" i="23"/>
  <c r="G42" i="23"/>
  <c r="I42" i="23"/>
  <c r="G43" i="23"/>
  <c r="I43" i="23"/>
  <c r="K41" i="23"/>
  <c r="M41" i="23"/>
  <c r="K42" i="23"/>
  <c r="M43" i="23"/>
  <c r="O41" i="23"/>
  <c r="Q41" i="23"/>
  <c r="O42" i="23"/>
  <c r="O43" i="23"/>
  <c r="S41" i="23"/>
  <c r="U41" i="23"/>
  <c r="S42" i="23"/>
  <c r="S43" i="23"/>
  <c r="U43" i="23"/>
  <c r="W41" i="23"/>
  <c r="Y41" i="23"/>
  <c r="W42" i="23"/>
  <c r="Y42" i="23"/>
  <c r="W43" i="23"/>
  <c r="Y43" i="23"/>
  <c r="AE41" i="23"/>
  <c r="AG41" i="23"/>
  <c r="AE42" i="23"/>
  <c r="AG42" i="23"/>
  <c r="AE43" i="23"/>
  <c r="AG43" i="23"/>
  <c r="AI41" i="23"/>
  <c r="AK41" i="23"/>
  <c r="AI42" i="23"/>
  <c r="AK42" i="23"/>
  <c r="AI43" i="23"/>
  <c r="AK43" i="23"/>
  <c r="AM40" i="23"/>
  <c r="AM41" i="23"/>
  <c r="AO41" i="23"/>
  <c r="AM42" i="23"/>
  <c r="AM43" i="23"/>
  <c r="AO43" i="23"/>
  <c r="AQ41" i="23"/>
  <c r="AS41" i="23"/>
  <c r="AQ42" i="23"/>
  <c r="AS42" i="23"/>
  <c r="AQ43" i="23"/>
  <c r="AS43" i="23"/>
  <c r="AU41" i="23"/>
  <c r="AW41" i="23"/>
  <c r="AU42" i="23"/>
  <c r="AW42" i="23"/>
  <c r="AU43" i="23"/>
  <c r="AW43" i="23"/>
  <c r="H40" i="23"/>
  <c r="H41" i="23"/>
  <c r="H42" i="23"/>
  <c r="H43" i="23"/>
  <c r="L40" i="23"/>
  <c r="L41" i="23"/>
  <c r="L42" i="23"/>
  <c r="L43" i="23"/>
  <c r="P40" i="23"/>
  <c r="P41" i="23"/>
  <c r="P42" i="23"/>
  <c r="R42" i="23"/>
  <c r="P43" i="23"/>
  <c r="T41" i="23"/>
  <c r="T43" i="23"/>
  <c r="X40" i="23"/>
  <c r="X41" i="23"/>
  <c r="X42" i="23"/>
  <c r="X43" i="23"/>
  <c r="AF40" i="23"/>
  <c r="AF41" i="23"/>
  <c r="AF42" i="23"/>
  <c r="AF43" i="23"/>
  <c r="AJ40" i="23"/>
  <c r="AJ41" i="23"/>
  <c r="AJ42" i="23"/>
  <c r="AJ43" i="23"/>
  <c r="AN40" i="23"/>
  <c r="AN41" i="23"/>
  <c r="AN42" i="23"/>
  <c r="AN43" i="23"/>
  <c r="AR40" i="23"/>
  <c r="AR42" i="23"/>
  <c r="AR43" i="23"/>
  <c r="AV40" i="23"/>
  <c r="AV41" i="23"/>
  <c r="AV42" i="23"/>
  <c r="AV106" i="23" s="1"/>
  <c r="AV43" i="23"/>
  <c r="G37" i="23"/>
  <c r="G40" i="23"/>
  <c r="G44" i="23" s="1"/>
  <c r="G110" i="23" s="1"/>
  <c r="I37" i="23"/>
  <c r="I40" i="23"/>
  <c r="K37" i="23"/>
  <c r="K40" i="23"/>
  <c r="M37" i="23"/>
  <c r="M40" i="23"/>
  <c r="O37" i="23"/>
  <c r="Q37" i="23"/>
  <c r="S37" i="23"/>
  <c r="U37" i="23"/>
  <c r="AB70" i="28"/>
  <c r="AB118" i="28"/>
  <c r="AB150" i="28"/>
  <c r="BN4" i="28"/>
  <c r="BN5" i="28"/>
  <c r="BN6" i="28"/>
  <c r="BN7" i="28"/>
  <c r="BN8" i="28"/>
  <c r="BN9" i="28"/>
  <c r="BN10" i="28"/>
  <c r="BN11" i="28"/>
  <c r="BN12" i="28"/>
  <c r="BN13" i="28"/>
  <c r="BN14" i="28"/>
  <c r="BN15" i="28"/>
  <c r="BN16" i="28"/>
  <c r="BN17" i="28"/>
  <c r="BN18" i="28"/>
  <c r="BN19" i="28"/>
  <c r="BN20" i="28"/>
  <c r="BN21" i="28"/>
  <c r="BN22" i="28"/>
  <c r="BN23" i="28"/>
  <c r="BN24" i="28"/>
  <c r="BN25" i="28"/>
  <c r="BN26" i="28"/>
  <c r="BN27" i="28"/>
  <c r="BN28" i="28"/>
  <c r="BN29" i="28"/>
  <c r="BN30" i="28"/>
  <c r="BN31" i="28"/>
  <c r="BN32" i="28"/>
  <c r="BN33" i="28"/>
  <c r="BN34" i="28"/>
  <c r="BN35" i="28"/>
  <c r="BN36" i="28"/>
  <c r="BN37" i="28"/>
  <c r="BN38" i="28"/>
  <c r="BN39" i="28"/>
  <c r="BN40" i="28"/>
  <c r="BN41" i="28"/>
  <c r="BN42" i="28"/>
  <c r="BN43" i="28"/>
  <c r="BN44" i="28"/>
  <c r="BN45" i="28"/>
  <c r="BN46" i="28"/>
  <c r="BN47" i="28"/>
  <c r="BN48" i="28"/>
  <c r="BN49" i="28"/>
  <c r="BN50" i="28"/>
  <c r="BN51" i="28"/>
  <c r="BN52" i="28"/>
  <c r="BN53" i="28"/>
  <c r="BN54" i="28"/>
  <c r="BN55" i="28"/>
  <c r="BN56" i="28"/>
  <c r="BN57" i="28"/>
  <c r="BN58" i="28"/>
  <c r="BN59" i="28"/>
  <c r="BN60" i="28"/>
  <c r="BN61" i="28"/>
  <c r="BN62" i="28"/>
  <c r="BN63" i="28"/>
  <c r="BN64" i="28"/>
  <c r="BN65" i="28"/>
  <c r="BN66" i="28"/>
  <c r="BN67" i="28"/>
  <c r="BN68" i="28"/>
  <c r="BN69" i="28"/>
  <c r="BN70" i="28"/>
  <c r="BN71" i="28"/>
  <c r="BN72" i="28"/>
  <c r="BN73" i="28"/>
  <c r="BN74" i="28"/>
  <c r="BN75" i="28"/>
  <c r="BN76" i="28"/>
  <c r="BN77" i="28"/>
  <c r="BN78" i="28"/>
  <c r="BN79" i="28"/>
  <c r="BN80" i="28"/>
  <c r="BN81" i="28"/>
  <c r="BN82" i="28"/>
  <c r="BN83" i="28"/>
  <c r="BN84" i="28"/>
  <c r="BN85" i="28"/>
  <c r="BN86" i="28"/>
  <c r="BN87" i="28"/>
  <c r="BN88" i="28"/>
  <c r="BN89" i="28"/>
  <c r="BN90" i="28"/>
  <c r="BN91" i="28"/>
  <c r="BN92" i="28"/>
  <c r="BN93" i="28"/>
  <c r="BN94" i="28"/>
  <c r="BN95" i="28"/>
  <c r="BN96" i="28"/>
  <c r="BN97" i="28"/>
  <c r="BN98" i="28"/>
  <c r="BN99" i="28"/>
  <c r="BN100" i="28"/>
  <c r="BN101" i="28"/>
  <c r="BN103" i="28"/>
  <c r="BN104" i="28"/>
  <c r="BN105" i="28"/>
  <c r="BN106" i="28"/>
  <c r="BN107" i="28"/>
  <c r="BN108" i="28"/>
  <c r="BN109" i="28"/>
  <c r="BN110" i="28"/>
  <c r="BN111" i="28"/>
  <c r="BN112" i="28"/>
  <c r="BN113" i="28"/>
  <c r="BN114" i="28"/>
  <c r="BN116" i="28"/>
  <c r="BN117" i="28"/>
  <c r="BN118" i="28"/>
  <c r="BN119" i="28"/>
  <c r="BN120" i="28"/>
  <c r="BN121" i="28"/>
  <c r="BN122" i="28"/>
  <c r="BN123" i="28"/>
  <c r="BN124" i="28"/>
  <c r="BN125" i="28"/>
  <c r="BN126" i="28"/>
  <c r="BN127" i="28"/>
  <c r="BN128" i="28"/>
  <c r="BN129" i="28"/>
  <c r="BN130" i="28"/>
  <c r="BN131" i="28"/>
  <c r="BN132" i="28"/>
  <c r="BN133" i="28"/>
  <c r="BN134" i="28"/>
  <c r="BN135" i="28"/>
  <c r="BN136" i="28"/>
  <c r="BN137" i="28"/>
  <c r="BN138" i="28"/>
  <c r="BN139" i="28"/>
  <c r="BN140" i="28"/>
  <c r="BN141" i="28"/>
  <c r="BN142" i="28"/>
  <c r="BN143" i="28"/>
  <c r="BN144" i="28"/>
  <c r="BN145" i="28"/>
  <c r="BN146" i="28"/>
  <c r="BN147" i="28"/>
  <c r="BN148" i="28"/>
  <c r="BN149" i="28"/>
  <c r="BN150" i="28"/>
  <c r="BN151" i="28"/>
  <c r="BN152" i="28"/>
  <c r="BN153" i="28"/>
  <c r="BN154" i="28"/>
  <c r="BN155" i="28"/>
  <c r="BN156" i="28"/>
  <c r="BN157" i="28"/>
  <c r="BN158" i="28"/>
  <c r="BN159" i="28"/>
  <c r="BN160" i="28"/>
  <c r="BN161" i="28"/>
  <c r="BN162" i="28"/>
  <c r="BN163" i="28"/>
  <c r="BN164" i="28"/>
  <c r="BN165" i="28"/>
  <c r="BN166" i="28"/>
  <c r="BN167" i="28"/>
  <c r="BN168" i="28"/>
  <c r="BN169" i="28"/>
  <c r="BN170" i="28"/>
  <c r="BN171" i="28"/>
  <c r="BN172" i="28"/>
  <c r="BN173" i="28"/>
  <c r="BN174" i="28"/>
  <c r="BN175" i="28"/>
  <c r="BN176" i="28"/>
  <c r="BN177" i="28"/>
  <c r="BN178" i="28"/>
  <c r="BN179" i="28"/>
  <c r="BN180" i="28"/>
  <c r="BN181" i="28"/>
  <c r="BN182" i="28"/>
  <c r="BN183" i="28"/>
  <c r="BN184" i="28"/>
  <c r="BN185" i="28"/>
  <c r="BN186" i="28"/>
  <c r="BN187" i="28"/>
  <c r="BN188" i="28"/>
  <c r="BN189" i="28"/>
  <c r="BN190" i="28"/>
  <c r="BN191" i="28"/>
  <c r="BN192" i="28"/>
  <c r="BN193" i="28"/>
  <c r="BN194" i="28"/>
  <c r="BN195" i="28"/>
  <c r="BN196" i="28"/>
  <c r="BN197" i="28"/>
  <c r="BN198" i="28"/>
  <c r="BN199" i="28"/>
  <c r="BN200" i="28"/>
  <c r="BN201" i="28"/>
  <c r="BN202" i="28"/>
  <c r="BN203" i="28"/>
  <c r="BN204" i="28"/>
  <c r="BN205" i="28"/>
  <c r="BN206" i="28"/>
  <c r="BN207" i="28"/>
  <c r="BN208" i="28"/>
  <c r="BN209" i="28"/>
  <c r="BN210" i="28"/>
  <c r="BN211" i="28"/>
  <c r="BN212" i="28"/>
  <c r="BN213" i="28"/>
  <c r="BN214" i="28"/>
  <c r="BN215" i="28"/>
  <c r="BN216" i="28"/>
  <c r="BN217" i="28"/>
  <c r="BN218" i="28"/>
  <c r="BN219" i="28"/>
  <c r="BN220" i="28"/>
  <c r="BN221" i="28"/>
  <c r="BN222" i="28"/>
  <c r="BN223" i="28"/>
  <c r="BN224" i="28"/>
  <c r="BN225" i="28"/>
  <c r="BN226" i="28"/>
  <c r="BN228" i="28"/>
  <c r="BM4" i="28"/>
  <c r="BM1" i="28" s="1"/>
  <c r="BO4" i="28"/>
  <c r="BO5" i="28"/>
  <c r="BO6" i="28"/>
  <c r="BO7" i="28"/>
  <c r="BO8" i="28"/>
  <c r="BO9" i="28"/>
  <c r="BO10" i="28"/>
  <c r="BO11" i="28"/>
  <c r="BO12" i="28"/>
  <c r="BO13" i="28"/>
  <c r="BO14" i="28"/>
  <c r="BO15" i="28"/>
  <c r="BO16" i="28"/>
  <c r="BO17" i="28"/>
  <c r="BO18" i="28"/>
  <c r="BO19" i="28"/>
  <c r="BO20" i="28"/>
  <c r="BO21" i="28"/>
  <c r="BO22" i="28"/>
  <c r="BO23" i="28"/>
  <c r="BO24" i="28"/>
  <c r="BO25" i="28"/>
  <c r="BO26" i="28"/>
  <c r="BO27" i="28"/>
  <c r="BO28" i="28"/>
  <c r="BO29" i="28"/>
  <c r="BO30" i="28"/>
  <c r="BO31" i="28"/>
  <c r="BO32" i="28"/>
  <c r="BO33" i="28"/>
  <c r="BO34" i="28"/>
  <c r="BO35" i="28"/>
  <c r="BO36" i="28"/>
  <c r="BO37" i="28"/>
  <c r="BO38" i="28"/>
  <c r="BO39" i="28"/>
  <c r="BO40" i="28"/>
  <c r="BO41" i="28"/>
  <c r="BO42" i="28"/>
  <c r="BO43" i="28"/>
  <c r="BO44" i="28"/>
  <c r="BO45" i="28"/>
  <c r="BO46" i="28"/>
  <c r="BO47" i="28"/>
  <c r="BO48" i="28"/>
  <c r="BO49" i="28"/>
  <c r="BO50" i="28"/>
  <c r="BO51" i="28"/>
  <c r="BO52" i="28"/>
  <c r="BO53" i="28"/>
  <c r="BO54" i="28"/>
  <c r="BO55" i="28"/>
  <c r="BO56" i="28"/>
  <c r="BO57" i="28"/>
  <c r="BO58" i="28"/>
  <c r="BO59" i="28"/>
  <c r="BO60" i="28"/>
  <c r="BO61" i="28"/>
  <c r="BO62" i="28"/>
  <c r="BO63" i="28"/>
  <c r="BO64" i="28"/>
  <c r="BO65" i="28"/>
  <c r="BO66" i="28"/>
  <c r="BO67" i="28"/>
  <c r="BO68" i="28"/>
  <c r="BO69" i="28"/>
  <c r="BO70" i="28"/>
  <c r="BO71" i="28"/>
  <c r="BO72" i="28"/>
  <c r="BO73" i="28"/>
  <c r="BO74" i="28"/>
  <c r="BO75" i="28"/>
  <c r="BO76" i="28"/>
  <c r="BO77" i="28"/>
  <c r="BO78" i="28"/>
  <c r="BO79" i="28"/>
  <c r="BO80" i="28"/>
  <c r="BO81" i="28"/>
  <c r="BO82" i="28"/>
  <c r="BO83" i="28"/>
  <c r="BO84" i="28"/>
  <c r="BO85" i="28"/>
  <c r="BO86" i="28"/>
  <c r="BO87" i="28"/>
  <c r="BO88" i="28"/>
  <c r="BO89" i="28"/>
  <c r="BO90" i="28"/>
  <c r="BO91" i="28"/>
  <c r="BO92" i="28"/>
  <c r="BO93" i="28"/>
  <c r="BO94" i="28"/>
  <c r="BO95" i="28"/>
  <c r="BO96" i="28"/>
  <c r="BO97" i="28"/>
  <c r="BO98" i="28"/>
  <c r="BO99" i="28"/>
  <c r="BO100" i="28"/>
  <c r="BO101" i="28"/>
  <c r="BO103" i="28"/>
  <c r="BO104" i="28"/>
  <c r="BO105" i="28"/>
  <c r="BO106" i="28"/>
  <c r="BO107" i="28"/>
  <c r="BO108" i="28"/>
  <c r="BO109" i="28"/>
  <c r="BO110" i="28"/>
  <c r="BO111" i="28"/>
  <c r="BO112" i="28"/>
  <c r="BO113" i="28"/>
  <c r="BO114" i="28"/>
  <c r="BO116" i="28"/>
  <c r="BO117" i="28"/>
  <c r="BO118" i="28"/>
  <c r="BO119" i="28"/>
  <c r="BO120" i="28"/>
  <c r="BO121" i="28"/>
  <c r="BO122" i="28"/>
  <c r="BO123" i="28"/>
  <c r="BO124" i="28"/>
  <c r="BO125" i="28"/>
  <c r="BO126" i="28"/>
  <c r="BO127" i="28"/>
  <c r="BO128" i="28"/>
  <c r="BO129" i="28"/>
  <c r="BO130" i="28"/>
  <c r="BO131" i="28"/>
  <c r="BO132" i="28"/>
  <c r="BO133" i="28"/>
  <c r="BO134" i="28"/>
  <c r="BO135" i="28"/>
  <c r="BO136" i="28"/>
  <c r="BO137" i="28"/>
  <c r="BO138" i="28"/>
  <c r="BO139" i="28"/>
  <c r="BO140" i="28"/>
  <c r="BO141" i="28"/>
  <c r="BO142" i="28"/>
  <c r="BO143" i="28"/>
  <c r="BO144" i="28"/>
  <c r="BO145" i="28"/>
  <c r="BO146" i="28"/>
  <c r="BO147" i="28"/>
  <c r="BO148" i="28"/>
  <c r="BO149" i="28"/>
  <c r="BO150" i="28"/>
  <c r="BO151" i="28"/>
  <c r="BO152" i="28"/>
  <c r="BO153" i="28"/>
  <c r="BO154" i="28"/>
  <c r="BO155" i="28"/>
  <c r="BO156" i="28"/>
  <c r="BO157" i="28"/>
  <c r="BO158" i="28"/>
  <c r="BO159" i="28"/>
  <c r="BO160" i="28"/>
  <c r="BO161" i="28"/>
  <c r="BO162" i="28"/>
  <c r="BO163" i="28"/>
  <c r="BO164" i="28"/>
  <c r="BO165" i="28"/>
  <c r="BO166" i="28"/>
  <c r="BO167" i="28"/>
  <c r="BO168" i="28"/>
  <c r="BO169" i="28"/>
  <c r="BO170" i="28"/>
  <c r="BO171" i="28"/>
  <c r="BO172" i="28"/>
  <c r="BO173" i="28"/>
  <c r="BO174" i="28"/>
  <c r="BO175" i="28"/>
  <c r="BO176" i="28"/>
  <c r="BO177" i="28"/>
  <c r="BO178" i="28"/>
  <c r="BO179" i="28"/>
  <c r="BO180" i="28"/>
  <c r="BO181" i="28"/>
  <c r="BO182" i="28"/>
  <c r="BO183" i="28"/>
  <c r="BO184" i="28"/>
  <c r="BO185" i="28"/>
  <c r="BO186" i="28"/>
  <c r="BO187" i="28"/>
  <c r="BO188" i="28"/>
  <c r="BO189" i="28"/>
  <c r="BO190" i="28"/>
  <c r="BO191" i="28"/>
  <c r="BO192" i="28"/>
  <c r="BO193" i="28"/>
  <c r="BO194" i="28"/>
  <c r="BO195" i="28"/>
  <c r="BO196" i="28"/>
  <c r="BO197" i="28"/>
  <c r="BO198" i="28"/>
  <c r="BO199" i="28"/>
  <c r="BO200" i="28"/>
  <c r="BO201" i="28"/>
  <c r="BO202" i="28"/>
  <c r="BO203" i="28"/>
  <c r="BO204" i="28"/>
  <c r="BO205" i="28"/>
  <c r="BO206" i="28"/>
  <c r="BO207" i="28"/>
  <c r="BO208" i="28"/>
  <c r="BO209" i="28"/>
  <c r="BO210" i="28"/>
  <c r="BO211" i="28"/>
  <c r="BO212" i="28"/>
  <c r="BO213" i="28"/>
  <c r="BO214" i="28"/>
  <c r="BO215" i="28"/>
  <c r="BO216" i="28"/>
  <c r="BO217" i="28"/>
  <c r="BO218" i="28"/>
  <c r="BO219" i="28"/>
  <c r="BO220" i="28"/>
  <c r="BO221" i="28"/>
  <c r="BO222" i="28"/>
  <c r="BO223" i="28"/>
  <c r="BO224" i="28"/>
  <c r="BO225" i="28"/>
  <c r="BO226" i="28"/>
  <c r="BO228" i="28"/>
  <c r="V8" i="23"/>
  <c r="AL8" i="23"/>
  <c r="BN229" i="28"/>
  <c r="BN230" i="28"/>
  <c r="BN231" i="28"/>
  <c r="BN232" i="28"/>
  <c r="BN233" i="28"/>
  <c r="BN234" i="28"/>
  <c r="BN235" i="28"/>
  <c r="BN236" i="28"/>
  <c r="BN237" i="28"/>
  <c r="BN238" i="28"/>
  <c r="BN239" i="28"/>
  <c r="BN240" i="28"/>
  <c r="BN241" i="28"/>
  <c r="BN242" i="28"/>
  <c r="BN243" i="28"/>
  <c r="BN244" i="28"/>
  <c r="BN245" i="28"/>
  <c r="BN246" i="28"/>
  <c r="BN247" i="28"/>
  <c r="BN248" i="28"/>
  <c r="BN249" i="28"/>
  <c r="BN250" i="28"/>
  <c r="BN251" i="28"/>
  <c r="BN252" i="28"/>
  <c r="BN253" i="28"/>
  <c r="BN254" i="28"/>
  <c r="BN255" i="28"/>
  <c r="BN256" i="28"/>
  <c r="BN257" i="28"/>
  <c r="BN258" i="28"/>
  <c r="BN259" i="28"/>
  <c r="BN260" i="28"/>
  <c r="BN261" i="28"/>
  <c r="BN262" i="28"/>
  <c r="BN263" i="28"/>
  <c r="BN264" i="28"/>
  <c r="BN265" i="28"/>
  <c r="BN266" i="28"/>
  <c r="O61" i="23"/>
  <c r="AM68" i="23"/>
  <c r="BO229" i="28"/>
  <c r="BO230" i="28"/>
  <c r="BO231" i="28"/>
  <c r="BO232" i="28"/>
  <c r="BO233" i="28"/>
  <c r="BO234" i="28"/>
  <c r="BO235" i="28"/>
  <c r="BO236" i="28"/>
  <c r="BO237" i="28"/>
  <c r="BO238" i="28"/>
  <c r="BO239" i="28"/>
  <c r="BO240" i="28"/>
  <c r="BO241" i="28"/>
  <c r="BO242" i="28"/>
  <c r="BO243" i="28"/>
  <c r="BO244" i="28"/>
  <c r="BO245" i="28"/>
  <c r="BO246" i="28"/>
  <c r="BO247" i="28"/>
  <c r="BO248" i="28"/>
  <c r="BO249" i="28"/>
  <c r="BO250" i="28"/>
  <c r="BO251" i="28"/>
  <c r="BO252" i="28"/>
  <c r="BO253" i="28"/>
  <c r="BO254" i="28"/>
  <c r="BO255" i="28"/>
  <c r="BO256" i="28"/>
  <c r="BO257" i="28"/>
  <c r="BO258" i="28"/>
  <c r="BO259" i="28"/>
  <c r="BO260" i="28"/>
  <c r="BO261" i="28"/>
  <c r="BO262" i="28"/>
  <c r="BO263" i="28"/>
  <c r="BO264" i="28"/>
  <c r="BO265" i="28"/>
  <c r="BO266" i="28"/>
  <c r="BA207" i="28"/>
  <c r="W257" i="28"/>
  <c r="BA51" i="28"/>
  <c r="M9" i="28"/>
  <c r="M27" i="28"/>
  <c r="M43" i="28"/>
  <c r="M51" i="28"/>
  <c r="M59" i="28"/>
  <c r="M83" i="28"/>
  <c r="M91" i="28"/>
  <c r="M99" i="28"/>
  <c r="M107" i="28"/>
  <c r="M115" i="28"/>
  <c r="M123" i="28"/>
  <c r="M131" i="28"/>
  <c r="M139" i="28"/>
  <c r="M147" i="28"/>
  <c r="M155" i="28"/>
  <c r="M163" i="28"/>
  <c r="M171" i="28"/>
  <c r="M179" i="28"/>
  <c r="M187" i="28"/>
  <c r="M195" i="28"/>
  <c r="M203" i="28"/>
  <c r="M211" i="28"/>
  <c r="M219" i="28"/>
  <c r="M227" i="28"/>
  <c r="M235" i="28"/>
  <c r="M243" i="28"/>
  <c r="M251" i="28"/>
  <c r="M259" i="28"/>
  <c r="R7" i="28"/>
  <c r="R19" i="28"/>
  <c r="R27" i="28"/>
  <c r="R35" i="28"/>
  <c r="R43" i="28"/>
  <c r="R59" i="28"/>
  <c r="R75" i="28"/>
  <c r="R91" i="28"/>
  <c r="R107" i="28"/>
  <c r="R123" i="28"/>
  <c r="R139" i="28"/>
  <c r="R155" i="28"/>
  <c r="R171" i="28"/>
  <c r="R187" i="28"/>
  <c r="R203" i="28"/>
  <c r="R219" i="28"/>
  <c r="R235" i="28"/>
  <c r="R251" i="28"/>
  <c r="W4" i="28"/>
  <c r="W33" i="28"/>
  <c r="W49" i="28"/>
  <c r="W65" i="28"/>
  <c r="W81" i="28"/>
  <c r="W97" i="28"/>
  <c r="W113" i="28"/>
  <c r="W129" i="28"/>
  <c r="W145" i="28"/>
  <c r="W161" i="28"/>
  <c r="W177" i="28"/>
  <c r="W193" i="28"/>
  <c r="W209" i="28"/>
  <c r="W225" i="28"/>
  <c r="W241" i="28"/>
  <c r="AB19" i="28"/>
  <c r="AB38" i="28"/>
  <c r="AB230" i="28"/>
  <c r="AB246" i="28"/>
  <c r="AG241" i="28"/>
  <c r="AL15" i="28"/>
  <c r="AL47" i="28"/>
  <c r="AL108" i="28"/>
  <c r="AL236" i="28"/>
  <c r="AQ48" i="28"/>
  <c r="AQ112" i="28"/>
  <c r="AQ176" i="28"/>
  <c r="AQ240" i="28"/>
  <c r="AV57" i="28"/>
  <c r="AV179" i="28"/>
  <c r="AM16" i="23"/>
  <c r="AQ13" i="14"/>
  <c r="M67" i="28"/>
  <c r="M75" i="28"/>
  <c r="H176" i="28"/>
  <c r="H224" i="28"/>
  <c r="H256" i="28"/>
  <c r="C4" i="28"/>
  <c r="C5" i="28"/>
  <c r="C6" i="28"/>
  <c r="C7" i="28"/>
  <c r="C8" i="28"/>
  <c r="C9" i="28"/>
  <c r="C10" i="28"/>
  <c r="C11" i="28"/>
  <c r="C12" i="28"/>
  <c r="C13" i="28"/>
  <c r="C14" i="28"/>
  <c r="C15" i="28"/>
  <c r="C16" i="28"/>
  <c r="C17" i="28"/>
  <c r="C18" i="28"/>
  <c r="C19" i="28"/>
  <c r="M19" i="28"/>
  <c r="C20" i="28"/>
  <c r="C21" i="28"/>
  <c r="C22" i="28"/>
  <c r="C23" i="28"/>
  <c r="C24" i="28"/>
  <c r="C25" i="28"/>
  <c r="C26" i="28"/>
  <c r="C27" i="28"/>
  <c r="C28" i="28"/>
  <c r="C29" i="28"/>
  <c r="C30" i="28"/>
  <c r="C31" i="28"/>
  <c r="C32" i="28"/>
  <c r="C33" i="28"/>
  <c r="C34" i="28"/>
  <c r="C35" i="28"/>
  <c r="M35" i="28"/>
  <c r="C36" i="28"/>
  <c r="C37" i="28"/>
  <c r="C38" i="28"/>
  <c r="C39" i="28"/>
  <c r="C40" i="28"/>
  <c r="C41" i="28"/>
  <c r="C42" i="28"/>
  <c r="C43" i="28"/>
  <c r="C44" i="28"/>
  <c r="C45" i="28"/>
  <c r="C46" i="28"/>
  <c r="C47" i="28"/>
  <c r="C48" i="28"/>
  <c r="C49" i="28"/>
  <c r="C50" i="28"/>
  <c r="C51" i="28"/>
  <c r="C52" i="28"/>
  <c r="C53" i="28"/>
  <c r="C54" i="28"/>
  <c r="C55" i="28"/>
  <c r="C56" i="28"/>
  <c r="C57" i="28"/>
  <c r="C58" i="28"/>
  <c r="C59" i="28"/>
  <c r="C60" i="28"/>
  <c r="C61" i="28"/>
  <c r="C62" i="28"/>
  <c r="C63" i="28"/>
  <c r="C64" i="28"/>
  <c r="C65" i="28"/>
  <c r="C66" i="28"/>
  <c r="C67" i="28"/>
  <c r="C68" i="28"/>
  <c r="C69" i="28"/>
  <c r="C70" i="28"/>
  <c r="C71" i="28"/>
  <c r="C72" i="28"/>
  <c r="C73" i="28"/>
  <c r="C74" i="28"/>
  <c r="C75" i="28"/>
  <c r="C76" i="28"/>
  <c r="C77" i="28"/>
  <c r="C78" i="28"/>
  <c r="C79" i="28"/>
  <c r="C80" i="28"/>
  <c r="C81" i="28"/>
  <c r="C82" i="28"/>
  <c r="C83" i="28"/>
  <c r="C84" i="28"/>
  <c r="C85" i="28"/>
  <c r="C86" i="28"/>
  <c r="C87" i="28"/>
  <c r="C88" i="28"/>
  <c r="C89" i="28"/>
  <c r="C90" i="28"/>
  <c r="C91" i="28"/>
  <c r="C92" i="28"/>
  <c r="C93" i="28"/>
  <c r="C94" i="28"/>
  <c r="C95" i="28"/>
  <c r="C96" i="28"/>
  <c r="C97" i="28"/>
  <c r="C98" i="28"/>
  <c r="C99" i="28"/>
  <c r="C100" i="28"/>
  <c r="C101" i="28"/>
  <c r="C102" i="28"/>
  <c r="C103" i="28"/>
  <c r="C104" i="28"/>
  <c r="C105" i="28"/>
  <c r="C106" i="28"/>
  <c r="C107" i="28"/>
  <c r="C108" i="28"/>
  <c r="C109" i="28"/>
  <c r="C110" i="28"/>
  <c r="C111" i="28"/>
  <c r="C112" i="28"/>
  <c r="C113" i="28"/>
  <c r="C114" i="28"/>
  <c r="C115" i="28"/>
  <c r="C116" i="28"/>
  <c r="C117" i="28"/>
  <c r="C118" i="28"/>
  <c r="C119" i="28"/>
  <c r="C120" i="28"/>
  <c r="C121" i="28"/>
  <c r="C122" i="28"/>
  <c r="C123" i="28"/>
  <c r="C124" i="28"/>
  <c r="C125" i="28"/>
  <c r="C126" i="28"/>
  <c r="C127" i="28"/>
  <c r="C128" i="28"/>
  <c r="C129" i="28"/>
  <c r="C130" i="28"/>
  <c r="C131" i="28"/>
  <c r="C132" i="28"/>
  <c r="C133" i="28"/>
  <c r="C134" i="28"/>
  <c r="C135" i="28"/>
  <c r="C136" i="28"/>
  <c r="C137" i="28"/>
  <c r="C138" i="28"/>
  <c r="C139" i="28"/>
  <c r="C140" i="28"/>
  <c r="C141" i="28"/>
  <c r="C142" i="28"/>
  <c r="C143" i="28"/>
  <c r="C144" i="28"/>
  <c r="C145" i="28"/>
  <c r="C146" i="28"/>
  <c r="C147" i="28"/>
  <c r="C148" i="28"/>
  <c r="C149" i="28"/>
  <c r="C150" i="28"/>
  <c r="C151" i="28"/>
  <c r="C152" i="28"/>
  <c r="C153" i="28"/>
  <c r="C154" i="28"/>
  <c r="C155" i="28"/>
  <c r="C156" i="28"/>
  <c r="C157" i="28"/>
  <c r="C158" i="28"/>
  <c r="C159" i="28"/>
  <c r="C160" i="28"/>
  <c r="C161" i="28"/>
  <c r="C162" i="28"/>
  <c r="C163" i="28"/>
  <c r="C164" i="28"/>
  <c r="C165" i="28"/>
  <c r="C166" i="28"/>
  <c r="C167" i="28"/>
  <c r="C168" i="28"/>
  <c r="C169" i="28"/>
  <c r="C170" i="28"/>
  <c r="C171" i="28"/>
  <c r="C172" i="28"/>
  <c r="C173" i="28"/>
  <c r="C174" i="28"/>
  <c r="C175" i="28"/>
  <c r="C176" i="28"/>
  <c r="C177" i="28"/>
  <c r="C178" i="28"/>
  <c r="C179" i="28"/>
  <c r="C180" i="28"/>
  <c r="C181" i="28"/>
  <c r="C182" i="28"/>
  <c r="C183" i="28"/>
  <c r="C184" i="28"/>
  <c r="C185" i="28"/>
  <c r="C186" i="28"/>
  <c r="C187" i="28"/>
  <c r="C188" i="28"/>
  <c r="C189" i="28"/>
  <c r="C190" i="28"/>
  <c r="C191" i="28"/>
  <c r="C192" i="28"/>
  <c r="C193" i="28"/>
  <c r="C194" i="28"/>
  <c r="C195" i="28"/>
  <c r="C196" i="28"/>
  <c r="C197" i="28"/>
  <c r="C198" i="28"/>
  <c r="C199" i="28"/>
  <c r="C200" i="28"/>
  <c r="C201" i="28"/>
  <c r="C202" i="28"/>
  <c r="C203" i="28"/>
  <c r="C204" i="28"/>
  <c r="C205" i="28"/>
  <c r="C206" i="28"/>
  <c r="C207" i="28"/>
  <c r="C208" i="28"/>
  <c r="C209" i="28"/>
  <c r="C210" i="28"/>
  <c r="C211" i="28"/>
  <c r="C212" i="28"/>
  <c r="C213" i="28"/>
  <c r="C214" i="28"/>
  <c r="C215" i="28"/>
  <c r="C216" i="28"/>
  <c r="C217" i="28"/>
  <c r="C218" i="28"/>
  <c r="C219" i="28"/>
  <c r="C220" i="28"/>
  <c r="C221" i="28"/>
  <c r="C222" i="28"/>
  <c r="C223" i="28"/>
  <c r="C224" i="28"/>
  <c r="C225" i="28"/>
  <c r="C226" i="28"/>
  <c r="C227" i="28"/>
  <c r="C228" i="28"/>
  <c r="C229" i="28"/>
  <c r="C230" i="28"/>
  <c r="C231" i="28"/>
  <c r="C232" i="28"/>
  <c r="C233" i="28"/>
  <c r="C234" i="28"/>
  <c r="C235" i="28"/>
  <c r="C236" i="28"/>
  <c r="C237" i="28"/>
  <c r="C238" i="28"/>
  <c r="C239" i="28"/>
  <c r="C240" i="28"/>
  <c r="C241" i="28"/>
  <c r="C242" i="28"/>
  <c r="C243" i="28"/>
  <c r="C244" i="28"/>
  <c r="C245" i="28"/>
  <c r="C246" i="28"/>
  <c r="C247" i="28"/>
  <c r="C248" i="28"/>
  <c r="C249" i="28"/>
  <c r="C250" i="28"/>
  <c r="C251" i="28"/>
  <c r="C252" i="28"/>
  <c r="C253" i="28"/>
  <c r="C254" i="28"/>
  <c r="C255" i="28"/>
  <c r="C256" i="28"/>
  <c r="C257" i="28"/>
  <c r="C258" i="28"/>
  <c r="C259" i="28"/>
  <c r="C260" i="28"/>
  <c r="C261" i="28"/>
  <c r="C262" i="28"/>
  <c r="C263" i="28"/>
  <c r="C264" i="28"/>
  <c r="C265" i="28"/>
  <c r="C266" i="28"/>
  <c r="R127" i="28"/>
  <c r="R131" i="28"/>
  <c r="R135" i="28"/>
  <c r="R143" i="28"/>
  <c r="R147" i="28"/>
  <c r="R151" i="28"/>
  <c r="R159" i="28"/>
  <c r="R163" i="28"/>
  <c r="R167" i="28"/>
  <c r="R175" i="28"/>
  <c r="R179" i="28"/>
  <c r="R183" i="28"/>
  <c r="R191" i="28"/>
  <c r="R195" i="28"/>
  <c r="R199" i="28"/>
  <c r="R207" i="28"/>
  <c r="R211" i="28"/>
  <c r="R215" i="28"/>
  <c r="R223" i="28"/>
  <c r="R227" i="28"/>
  <c r="R231" i="28"/>
  <c r="R239" i="28"/>
  <c r="R243" i="28"/>
  <c r="R247" i="28"/>
  <c r="W13" i="28"/>
  <c r="W21" i="28"/>
  <c r="W29" i="28"/>
  <c r="W37" i="28"/>
  <c r="W41" i="28"/>
  <c r="W45" i="28"/>
  <c r="W53" i="28"/>
  <c r="W57" i="28"/>
  <c r="W61" i="28"/>
  <c r="W69" i="28"/>
  <c r="W73" i="28"/>
  <c r="W77" i="28"/>
  <c r="W85" i="28"/>
  <c r="W89" i="28"/>
  <c r="W93" i="28"/>
  <c r="W101" i="28"/>
  <c r="W105" i="28"/>
  <c r="W109" i="28"/>
  <c r="W117" i="28"/>
  <c r="W121" i="28"/>
  <c r="W125" i="28"/>
  <c r="W133" i="28"/>
  <c r="W137" i="28"/>
  <c r="W141" i="28"/>
  <c r="W149" i="28"/>
  <c r="W153" i="28"/>
  <c r="W157" i="28"/>
  <c r="W165" i="28"/>
  <c r="W169" i="28"/>
  <c r="W173" i="28"/>
  <c r="W181" i="28"/>
  <c r="W185" i="28"/>
  <c r="W189" i="28"/>
  <c r="W197" i="28"/>
  <c r="W201" i="28"/>
  <c r="W205" i="28"/>
  <c r="W213" i="28"/>
  <c r="W217" i="28"/>
  <c r="W221" i="28"/>
  <c r="W229" i="28"/>
  <c r="W233" i="28"/>
  <c r="W237" i="28"/>
  <c r="AV243" i="28"/>
  <c r="BA19" i="28"/>
  <c r="BA35" i="28"/>
  <c r="BA67" i="28"/>
  <c r="BA83" i="28"/>
  <c r="BA111" i="28"/>
  <c r="BA143" i="28"/>
  <c r="BF257" i="28"/>
  <c r="BF258" i="28"/>
  <c r="BF260" i="28"/>
  <c r="BF261" i="28"/>
  <c r="BF262" i="28"/>
  <c r="BF263" i="28"/>
  <c r="BF264" i="28"/>
  <c r="BF265" i="28"/>
  <c r="R255" i="28"/>
  <c r="R259" i="28"/>
  <c r="R263" i="28"/>
  <c r="AV259" i="28"/>
  <c r="BF259" i="28"/>
  <c r="T28" i="23"/>
  <c r="T42" i="23" s="1"/>
  <c r="BA7" i="14"/>
  <c r="BA19" i="14"/>
  <c r="BF8" i="14"/>
  <c r="BF18" i="14"/>
  <c r="BF20" i="14"/>
  <c r="BF22" i="14"/>
  <c r="AL8" i="14"/>
  <c r="AQ21" i="14"/>
  <c r="AV16" i="14"/>
  <c r="AV20" i="14"/>
  <c r="BA13" i="14"/>
  <c r="BA15" i="14"/>
  <c r="BA17" i="14"/>
  <c r="BA21" i="14"/>
  <c r="BF4" i="14"/>
  <c r="BF6" i="14"/>
  <c r="BF10" i="14"/>
  <c r="BF12" i="14"/>
  <c r="BF14" i="14"/>
  <c r="AL16" i="14"/>
  <c r="AL20" i="14"/>
  <c r="AQ7" i="14"/>
  <c r="AQ15" i="14"/>
  <c r="AQ17" i="14"/>
  <c r="AQ19" i="14"/>
  <c r="AV5" i="14"/>
  <c r="AV9" i="14"/>
  <c r="AV13" i="14"/>
  <c r="AV18" i="14"/>
  <c r="AV22" i="14"/>
  <c r="BA11" i="14"/>
  <c r="BA14" i="14"/>
  <c r="BA16" i="14"/>
  <c r="BA18" i="14"/>
  <c r="BA20" i="14"/>
  <c r="BA22" i="14"/>
  <c r="BF5" i="14"/>
  <c r="BF7" i="14"/>
  <c r="BF9" i="14"/>
  <c r="BF11" i="14"/>
  <c r="BF13" i="14"/>
  <c r="BF15" i="14"/>
  <c r="BF17" i="14"/>
  <c r="BF19" i="14"/>
  <c r="BF21" i="14"/>
  <c r="T26" i="23"/>
  <c r="T30" i="23" s="1"/>
  <c r="M28" i="23"/>
  <c r="M42" i="23" s="1"/>
  <c r="AJ23" i="23"/>
  <c r="AL4" i="14"/>
  <c r="AL6" i="14"/>
  <c r="AL10" i="14"/>
  <c r="AL12" i="14"/>
  <c r="AL14" i="14"/>
  <c r="AL18" i="14"/>
  <c r="AL22" i="14"/>
  <c r="AQ11" i="14"/>
  <c r="AQ14" i="14"/>
  <c r="AQ16" i="14"/>
  <c r="AQ18" i="14"/>
  <c r="AQ20" i="14"/>
  <c r="AQ22" i="14"/>
  <c r="AV7" i="14"/>
  <c r="AV11" i="14"/>
  <c r="AV15" i="14"/>
  <c r="AV17" i="14"/>
  <c r="AV19" i="14"/>
  <c r="AV21" i="14"/>
  <c r="BA5" i="14"/>
  <c r="BA9" i="14"/>
  <c r="N6" i="23"/>
  <c r="AP6" i="23"/>
  <c r="AP27" i="23" s="1"/>
  <c r="AP41" i="23" s="1"/>
  <c r="K29" i="23"/>
  <c r="K43" i="23" s="1"/>
  <c r="V6" i="23"/>
  <c r="V27" i="23" s="1"/>
  <c r="V41" i="23" s="1"/>
  <c r="Q29" i="23"/>
  <c r="Q43" i="23" s="1"/>
  <c r="AC16" i="23"/>
  <c r="AU9" i="23"/>
  <c r="AU16" i="23"/>
  <c r="AR27" i="23"/>
  <c r="AR30" i="23" s="1"/>
  <c r="AO26" i="23"/>
  <c r="AO40" i="23" s="1"/>
  <c r="Q16" i="23"/>
  <c r="T23" i="23"/>
  <c r="H11" i="28"/>
  <c r="H43" i="28"/>
  <c r="H75" i="28"/>
  <c r="H107" i="28"/>
  <c r="H139" i="28"/>
  <c r="H160" i="28"/>
  <c r="H192" i="28"/>
  <c r="H208" i="28"/>
  <c r="H216" i="28"/>
  <c r="H232" i="28"/>
  <c r="H240" i="28"/>
  <c r="H248" i="28"/>
  <c r="H260" i="28"/>
  <c r="H264" i="28"/>
  <c r="H266" i="28"/>
  <c r="M13" i="28"/>
  <c r="M15" i="28"/>
  <c r="M17" i="28"/>
  <c r="M21" i="28"/>
  <c r="M23" i="28"/>
  <c r="M25" i="28"/>
  <c r="M29" i="28"/>
  <c r="M31" i="28"/>
  <c r="M33" i="28"/>
  <c r="M37" i="28"/>
  <c r="M39" i="28"/>
  <c r="M41" i="28"/>
  <c r="M45" i="28"/>
  <c r="M47" i="28"/>
  <c r="M49" i="28"/>
  <c r="M53" i="28"/>
  <c r="M55" i="28"/>
  <c r="M57" i="28"/>
  <c r="M61" i="28"/>
  <c r="M63" i="28"/>
  <c r="M65" i="28"/>
  <c r="M69" i="28"/>
  <c r="M71" i="28"/>
  <c r="M73" i="28"/>
  <c r="M77" i="28"/>
  <c r="M79" i="28"/>
  <c r="M81" i="28"/>
  <c r="M85" i="28"/>
  <c r="M87" i="28"/>
  <c r="M89" i="28"/>
  <c r="M93" i="28"/>
  <c r="M95" i="28"/>
  <c r="M97" i="28"/>
  <c r="M101" i="28"/>
  <c r="M103" i="28"/>
  <c r="M105" i="28"/>
  <c r="M109" i="28"/>
  <c r="M111" i="28"/>
  <c r="M113" i="28"/>
  <c r="M117" i="28"/>
  <c r="M119" i="28"/>
  <c r="M121" i="28"/>
  <c r="M125" i="28"/>
  <c r="M127" i="28"/>
  <c r="M129" i="28"/>
  <c r="M133" i="28"/>
  <c r="M135" i="28"/>
  <c r="M137" i="28"/>
  <c r="M141" i="28"/>
  <c r="M143" i="28"/>
  <c r="M145" i="28"/>
  <c r="M149" i="28"/>
  <c r="M151" i="28"/>
  <c r="M153" i="28"/>
  <c r="M157" i="28"/>
  <c r="M159" i="28"/>
  <c r="M161" i="28"/>
  <c r="M165" i="28"/>
  <c r="M167" i="28"/>
  <c r="M169" i="28"/>
  <c r="M173" i="28"/>
  <c r="M175" i="28"/>
  <c r="M177" i="28"/>
  <c r="M181" i="28"/>
  <c r="M183" i="28"/>
  <c r="M185" i="28"/>
  <c r="M189" i="28"/>
  <c r="M191" i="28"/>
  <c r="M193" i="28"/>
  <c r="M197" i="28"/>
  <c r="M199" i="28"/>
  <c r="M201" i="28"/>
  <c r="M205" i="28"/>
  <c r="M207" i="28"/>
  <c r="M209" i="28"/>
  <c r="M213" i="28"/>
  <c r="M215" i="28"/>
  <c r="M217" i="28"/>
  <c r="M221" i="28"/>
  <c r="M223" i="28"/>
  <c r="M225" i="28"/>
  <c r="M229" i="28"/>
  <c r="M231" i="28"/>
  <c r="M233" i="28"/>
  <c r="M237" i="28"/>
  <c r="M239" i="28"/>
  <c r="M241" i="28"/>
  <c r="M245" i="28"/>
  <c r="M247" i="28"/>
  <c r="M249" i="28"/>
  <c r="M253" i="28"/>
  <c r="M255" i="28"/>
  <c r="M257" i="28"/>
  <c r="M261" i="28"/>
  <c r="M263" i="28"/>
  <c r="M265" i="28"/>
  <c r="R11" i="28"/>
  <c r="R15" i="28"/>
  <c r="R17" i="28"/>
  <c r="R21" i="28"/>
  <c r="R23" i="28"/>
  <c r="R25" i="28"/>
  <c r="R29" i="28"/>
  <c r="R31" i="28"/>
  <c r="R33" i="28"/>
  <c r="R37" i="28"/>
  <c r="R39" i="28"/>
  <c r="R41" i="28"/>
  <c r="R47" i="28"/>
  <c r="R51" i="28"/>
  <c r="R55" i="28"/>
  <c r="R63" i="28"/>
  <c r="R67" i="28"/>
  <c r="R71" i="28"/>
  <c r="R79" i="28"/>
  <c r="R83" i="28"/>
  <c r="R87" i="28"/>
  <c r="R95" i="28"/>
  <c r="R99" i="28"/>
  <c r="R103" i="28"/>
  <c r="R111" i="28"/>
  <c r="R115" i="28"/>
  <c r="R119" i="28"/>
  <c r="W245" i="28"/>
  <c r="W249" i="28"/>
  <c r="W253" i="28"/>
  <c r="W261" i="28"/>
  <c r="W265" i="28"/>
  <c r="AB11" i="28"/>
  <c r="AB98" i="28"/>
  <c r="AB106" i="28"/>
  <c r="AB234" i="28"/>
  <c r="AB238" i="28"/>
  <c r="AG101" i="28"/>
  <c r="AG105" i="28"/>
  <c r="AG109" i="28"/>
  <c r="AG213" i="28"/>
  <c r="AG217" i="28"/>
  <c r="AG221" i="28"/>
  <c r="AG225" i="28"/>
  <c r="AG229" i="28"/>
  <c r="AG233" i="28"/>
  <c r="AG237" i="28"/>
  <c r="AG245" i="28"/>
  <c r="AG249" i="28"/>
  <c r="AG253" i="28"/>
  <c r="AG257" i="28"/>
  <c r="AG261" i="28"/>
  <c r="AG265" i="28"/>
  <c r="AL11" i="28"/>
  <c r="AL19" i="28"/>
  <c r="AL23" i="28"/>
  <c r="AL27" i="28"/>
  <c r="AL31" i="28"/>
  <c r="AL35" i="28"/>
  <c r="AL39" i="28"/>
  <c r="AL43" i="28"/>
  <c r="AL52" i="28"/>
  <c r="AL60" i="28"/>
  <c r="AL68" i="28"/>
  <c r="AL76" i="28"/>
  <c r="AL84" i="28"/>
  <c r="AL92" i="28"/>
  <c r="AL100" i="28"/>
  <c r="AL116" i="28"/>
  <c r="AL124" i="28"/>
  <c r="AL132" i="28"/>
  <c r="AL140" i="28"/>
  <c r="AL148" i="28"/>
  <c r="AL156" i="28"/>
  <c r="AL164" i="28"/>
  <c r="AL180" i="28"/>
  <c r="AL188" i="28"/>
  <c r="AL196" i="28"/>
  <c r="AL204" i="28"/>
  <c r="AL212" i="28"/>
  <c r="AL220" i="28"/>
  <c r="AL228" i="28"/>
  <c r="AL244" i="28"/>
  <c r="AL252" i="28"/>
  <c r="AL260" i="28"/>
  <c r="AQ7" i="28"/>
  <c r="AQ23" i="28"/>
  <c r="AQ32" i="28"/>
  <c r="AQ40" i="28"/>
  <c r="AQ56" i="28"/>
  <c r="AQ64" i="28"/>
  <c r="AQ72" i="28"/>
  <c r="AQ80" i="28"/>
  <c r="AQ88" i="28"/>
  <c r="AQ96" i="28"/>
  <c r="AQ104" i="28"/>
  <c r="AQ120" i="28"/>
  <c r="AQ128" i="28"/>
  <c r="AQ136" i="28"/>
  <c r="AQ144" i="28"/>
  <c r="AQ152" i="28"/>
  <c r="AQ160" i="28"/>
  <c r="AQ168" i="28"/>
  <c r="AQ184" i="28"/>
  <c r="AQ192" i="28"/>
  <c r="AQ200" i="28"/>
  <c r="AQ208" i="28"/>
  <c r="AQ216" i="28"/>
  <c r="AQ224" i="28"/>
  <c r="AQ232" i="28"/>
  <c r="AQ248" i="28"/>
  <c r="AQ256" i="28"/>
  <c r="AQ264" i="28"/>
  <c r="AV17" i="28"/>
  <c r="AV33" i="28"/>
  <c r="AV41" i="28"/>
  <c r="AV49" i="28"/>
  <c r="AV67" i="28"/>
  <c r="AV83" i="28"/>
  <c r="AV99" i="28"/>
  <c r="AV115" i="28"/>
  <c r="AV131" i="28"/>
  <c r="AV147" i="28"/>
  <c r="AV163" i="28"/>
  <c r="AV195" i="28"/>
  <c r="AV211" i="28"/>
  <c r="AV227" i="28"/>
  <c r="BA175" i="28"/>
  <c r="BA203" i="28"/>
  <c r="BA205" i="28"/>
  <c r="BA209" i="28"/>
  <c r="BA211" i="28"/>
  <c r="BA213" i="28"/>
  <c r="BA215" i="28"/>
  <c r="BA217" i="28"/>
  <c r="BA219" i="28"/>
  <c r="BA221" i="28"/>
  <c r="BA225" i="28"/>
  <c r="BA227" i="28"/>
  <c r="BA229" i="28"/>
  <c r="BA231" i="28"/>
  <c r="BA233" i="28"/>
  <c r="BA235" i="28"/>
  <c r="BA237" i="28"/>
  <c r="BA241" i="28"/>
  <c r="BA243" i="28"/>
  <c r="BA245" i="28"/>
  <c r="BA246" i="28"/>
  <c r="BA247" i="28"/>
  <c r="BA248" i="28"/>
  <c r="BA249" i="28"/>
  <c r="BA251" i="28"/>
  <c r="BA252" i="28"/>
  <c r="BA253" i="28"/>
  <c r="BA254" i="28"/>
  <c r="BA255" i="28"/>
  <c r="BA256" i="28"/>
  <c r="BA257" i="28"/>
  <c r="BA259" i="28"/>
  <c r="BA260" i="28"/>
  <c r="BA261" i="28"/>
  <c r="BA262" i="28"/>
  <c r="BA263" i="28"/>
  <c r="BA264" i="28"/>
  <c r="BA265" i="28"/>
  <c r="BF7" i="28"/>
  <c r="BF9" i="28"/>
  <c r="BF11" i="28"/>
  <c r="BF13" i="28"/>
  <c r="BF15" i="28"/>
  <c r="BF17" i="28"/>
  <c r="BF19" i="28"/>
  <c r="BF23" i="28"/>
  <c r="BF25" i="28"/>
  <c r="BF27" i="28"/>
  <c r="BF29" i="28"/>
  <c r="BF31" i="28"/>
  <c r="BF33" i="28"/>
  <c r="BF35" i="28"/>
  <c r="BF39" i="28"/>
  <c r="BF41" i="28"/>
  <c r="BF42" i="28"/>
  <c r="BF43" i="28"/>
  <c r="BF44" i="28"/>
  <c r="BF45" i="28"/>
  <c r="BF46" i="28"/>
  <c r="BF48" i="28"/>
  <c r="BF49" i="28"/>
  <c r="BF50" i="28"/>
  <c r="BF51" i="28"/>
  <c r="BF52" i="28"/>
  <c r="BF53" i="28"/>
  <c r="BF54" i="28"/>
  <c r="BF56" i="28"/>
  <c r="BF57" i="28"/>
  <c r="BF58" i="28"/>
  <c r="BF59" i="28"/>
  <c r="BF60" i="28"/>
  <c r="BF61" i="28"/>
  <c r="BF62" i="28"/>
  <c r="BF64" i="28"/>
  <c r="BF65" i="28"/>
  <c r="BF66" i="28"/>
  <c r="BF67" i="28"/>
  <c r="BF68" i="28"/>
  <c r="BF69" i="28"/>
  <c r="BF70" i="28"/>
  <c r="BF72" i="28"/>
  <c r="BF73" i="28"/>
  <c r="BF74" i="28"/>
  <c r="BF75" i="28"/>
  <c r="BF76" i="28"/>
  <c r="BF77" i="28"/>
  <c r="BF78" i="28"/>
  <c r="BF80" i="28"/>
  <c r="BF81" i="28"/>
  <c r="BF82" i="28"/>
  <c r="BF83" i="28"/>
  <c r="BF84" i="28"/>
  <c r="BF85" i="28"/>
  <c r="BF86" i="28"/>
  <c r="BF88" i="28"/>
  <c r="BF89" i="28"/>
  <c r="BF90" i="28"/>
  <c r="BF91" i="28"/>
  <c r="BF92" i="28"/>
  <c r="BF93" i="28"/>
  <c r="BF94" i="28"/>
  <c r="BF96" i="28"/>
  <c r="BF97" i="28"/>
  <c r="BF98" i="28"/>
  <c r="BF99" i="28"/>
  <c r="BF100" i="28"/>
  <c r="BF101" i="28"/>
  <c r="BF102" i="28"/>
  <c r="BF103" i="28"/>
  <c r="BF104" i="28"/>
  <c r="BF105" i="28"/>
  <c r="BF107" i="28"/>
  <c r="BF108" i="28"/>
  <c r="BF109" i="28"/>
  <c r="BF110" i="28"/>
  <c r="BF111" i="28"/>
  <c r="BF112" i="28"/>
  <c r="BF113" i="28"/>
  <c r="BF114" i="28"/>
  <c r="BF115" i="28"/>
  <c r="BF116" i="28"/>
  <c r="BF117" i="28"/>
  <c r="BF118" i="28"/>
  <c r="BF119" i="28"/>
  <c r="BF120" i="28"/>
  <c r="BF121" i="28"/>
  <c r="BF123" i="28"/>
  <c r="BF124" i="28"/>
  <c r="BF125" i="28"/>
  <c r="BF126" i="28"/>
  <c r="BF127" i="28"/>
  <c r="BF128" i="28"/>
  <c r="BF129" i="28"/>
  <c r="BF130" i="28"/>
  <c r="BF131" i="28"/>
  <c r="BF132" i="28"/>
  <c r="BF133" i="28"/>
  <c r="BF134" i="28"/>
  <c r="BF135" i="28"/>
  <c r="BF136" i="28"/>
  <c r="BF137" i="28"/>
  <c r="BF139" i="28"/>
  <c r="BF140" i="28"/>
  <c r="BF141" i="28"/>
  <c r="BF142" i="28"/>
  <c r="BF143" i="28"/>
  <c r="BF144" i="28"/>
  <c r="BF145" i="28"/>
  <c r="BF146" i="28"/>
  <c r="BF147" i="28"/>
  <c r="BF148" i="28"/>
  <c r="BF149" i="28"/>
  <c r="BF150" i="28"/>
  <c r="BF151" i="28"/>
  <c r="BF152" i="28"/>
  <c r="BF153" i="28"/>
  <c r="BF155" i="28"/>
  <c r="BF156" i="28"/>
  <c r="BF157" i="28"/>
  <c r="BF158" i="28"/>
  <c r="BF159" i="28"/>
  <c r="BF160" i="28"/>
  <c r="BF161" i="28"/>
  <c r="BF162" i="28"/>
  <c r="BF163" i="28"/>
  <c r="BF164" i="28"/>
  <c r="BF165" i="28"/>
  <c r="BF166" i="28"/>
  <c r="BF167" i="28"/>
  <c r="BF168" i="28"/>
  <c r="BF169" i="28"/>
  <c r="BF171" i="28"/>
  <c r="BF172" i="28"/>
  <c r="BF173" i="28"/>
  <c r="BF174" i="28"/>
  <c r="BF175" i="28"/>
  <c r="BF176" i="28"/>
  <c r="BF177" i="28"/>
  <c r="BF178" i="28"/>
  <c r="BF179" i="28"/>
  <c r="BF180" i="28"/>
  <c r="BF181" i="28"/>
  <c r="BF182" i="28"/>
  <c r="BF183" i="28"/>
  <c r="BF184" i="28"/>
  <c r="BF185" i="28"/>
  <c r="BF187" i="28"/>
  <c r="BF188" i="28"/>
  <c r="BF189" i="28"/>
  <c r="BF190" i="28"/>
  <c r="BF191" i="28"/>
  <c r="BF192" i="28"/>
  <c r="BF193" i="28"/>
  <c r="BF194" i="28"/>
  <c r="BF195" i="28"/>
  <c r="BF196" i="28"/>
  <c r="BF197" i="28"/>
  <c r="BF198" i="28"/>
  <c r="BF199" i="28"/>
  <c r="BF200" i="28"/>
  <c r="BF201" i="28"/>
  <c r="BF203" i="28"/>
  <c r="BF204" i="28"/>
  <c r="BF205" i="28"/>
  <c r="BF206" i="28"/>
  <c r="BF207" i="28"/>
  <c r="BF208" i="28"/>
  <c r="BF209" i="28"/>
  <c r="BF210" i="28"/>
  <c r="BF211" i="28"/>
  <c r="BF212" i="28"/>
  <c r="BF213" i="28"/>
  <c r="BF214" i="28"/>
  <c r="BF215" i="28"/>
  <c r="BF216" i="28"/>
  <c r="BF217" i="28"/>
  <c r="BF219" i="28"/>
  <c r="BF220" i="28"/>
  <c r="BF221" i="28"/>
  <c r="BF222" i="28"/>
  <c r="BF223" i="28"/>
  <c r="BF224" i="28"/>
  <c r="BF225" i="28"/>
  <c r="BF226" i="28"/>
  <c r="BF227" i="28"/>
  <c r="BF228" i="28"/>
  <c r="BF229" i="28"/>
  <c r="BF230" i="28"/>
  <c r="BF231" i="28"/>
  <c r="BF232" i="28"/>
  <c r="BF233" i="28"/>
  <c r="BF235" i="28"/>
  <c r="BF236" i="28"/>
  <c r="BF237" i="28"/>
  <c r="BF238" i="28"/>
  <c r="BF239" i="28"/>
  <c r="BF240" i="28"/>
  <c r="BF241" i="28"/>
  <c r="BF242" i="28"/>
  <c r="BF243" i="28"/>
  <c r="BF244" i="28"/>
  <c r="BF245" i="28"/>
  <c r="BF246" i="28"/>
  <c r="BF247" i="28"/>
  <c r="BF248" i="28"/>
  <c r="BF249" i="28"/>
  <c r="BF251" i="28"/>
  <c r="BF252" i="28"/>
  <c r="BF253" i="28"/>
  <c r="BF254" i="28"/>
  <c r="BF255" i="28"/>
  <c r="BF256" i="28"/>
  <c r="AB26" i="28"/>
  <c r="AB30" i="28"/>
  <c r="AB34" i="28"/>
  <c r="AB42" i="28"/>
  <c r="AB46" i="28"/>
  <c r="AB50" i="28"/>
  <c r="AB58" i="28"/>
  <c r="AB62" i="28"/>
  <c r="AB66" i="28"/>
  <c r="AB74" i="28"/>
  <c r="AB78" i="28"/>
  <c r="AB82" i="28"/>
  <c r="AB90" i="28"/>
  <c r="AB94" i="28"/>
  <c r="AB114" i="28"/>
  <c r="AB122" i="28"/>
  <c r="AB126" i="28"/>
  <c r="AB130" i="28"/>
  <c r="AB138" i="28"/>
  <c r="AB142" i="28"/>
  <c r="AB146" i="28"/>
  <c r="AB154" i="28"/>
  <c r="AB158" i="28"/>
  <c r="AB162" i="28"/>
  <c r="AB170" i="28"/>
  <c r="AB174" i="28"/>
  <c r="AB178" i="28"/>
  <c r="AB186" i="28"/>
  <c r="AB190" i="28"/>
  <c r="AB194" i="28"/>
  <c r="AB202" i="28"/>
  <c r="AB206" i="28"/>
  <c r="AB210" i="28"/>
  <c r="AB218" i="28"/>
  <c r="AB222" i="28"/>
  <c r="AB254" i="28"/>
  <c r="AB262" i="28"/>
  <c r="AG11" i="28"/>
  <c r="AG21" i="28"/>
  <c r="AG29" i="28"/>
  <c r="AG37" i="28"/>
  <c r="AG45" i="28"/>
  <c r="AG53" i="28"/>
  <c r="AG61" i="28"/>
  <c r="AG69" i="28"/>
  <c r="AG77" i="28"/>
  <c r="AG85" i="28"/>
  <c r="AG93" i="28"/>
  <c r="AG117" i="28"/>
  <c r="AG121" i="28"/>
  <c r="AG125" i="28"/>
  <c r="AG129" i="28"/>
  <c r="AG133" i="28"/>
  <c r="AG137" i="28"/>
  <c r="AG141" i="28"/>
  <c r="AG149" i="28"/>
  <c r="AG153" i="28"/>
  <c r="AG157" i="28"/>
  <c r="AG161" i="28"/>
  <c r="AG165" i="28"/>
  <c r="AG169" i="28"/>
  <c r="AG173" i="28"/>
  <c r="AG181" i="28"/>
  <c r="AG185" i="28"/>
  <c r="AG189" i="28"/>
  <c r="AG193" i="28"/>
  <c r="AG197" i="28"/>
  <c r="AG201" i="28"/>
  <c r="AG205" i="28"/>
  <c r="AB61" i="23"/>
  <c r="AQ98" i="23"/>
  <c r="AS99" i="23"/>
  <c r="AU98" i="23"/>
  <c r="AE98" i="23"/>
  <c r="AE105" i="23" s="1"/>
  <c r="AI100" i="23"/>
  <c r="AQ100" i="23"/>
  <c r="AQ107" i="23" s="1"/>
  <c r="AU99" i="23"/>
  <c r="AU100" i="23"/>
  <c r="AU107" i="23" s="1"/>
  <c r="AE100" i="23"/>
  <c r="AI98" i="23"/>
  <c r="AI105" i="23" s="1"/>
  <c r="AN99" i="23"/>
  <c r="AN106" i="23" s="1"/>
  <c r="AR99" i="23"/>
  <c r="AR106" i="23" s="1"/>
  <c r="AR100" i="23"/>
  <c r="AR107" i="23" s="1"/>
  <c r="AV98" i="23"/>
  <c r="AF98" i="23"/>
  <c r="AE99" i="23"/>
  <c r="AE106" i="23" s="1"/>
  <c r="AF100" i="23"/>
  <c r="AJ98" i="23"/>
  <c r="AJ105" i="23" s="1"/>
  <c r="AI99" i="23"/>
  <c r="AL99" i="23"/>
  <c r="AJ100" i="23"/>
  <c r="AO97" i="23"/>
  <c r="AN98" i="23"/>
  <c r="AM99" i="23"/>
  <c r="AN100" i="23"/>
  <c r="AS97" i="23"/>
  <c r="AR98" i="23"/>
  <c r="AQ99" i="23"/>
  <c r="AQ106" i="23" s="1"/>
  <c r="AV100" i="23"/>
  <c r="AV107" i="23" s="1"/>
  <c r="H4" i="28"/>
  <c r="H5" i="28"/>
  <c r="H6" i="28"/>
  <c r="H7" i="28"/>
  <c r="H8" i="28"/>
  <c r="H9" i="28"/>
  <c r="H10" i="28"/>
  <c r="H13" i="28"/>
  <c r="H14" i="28"/>
  <c r="H15" i="28"/>
  <c r="H16" i="28"/>
  <c r="H17" i="28"/>
  <c r="H18" i="28"/>
  <c r="H19" i="28"/>
  <c r="H20" i="28"/>
  <c r="H21" i="28"/>
  <c r="H22" i="28"/>
  <c r="H23" i="28"/>
  <c r="H24" i="28"/>
  <c r="H25" i="28"/>
  <c r="H26" i="28"/>
  <c r="H27" i="28"/>
  <c r="H28" i="28"/>
  <c r="H29" i="28"/>
  <c r="H30" i="28"/>
  <c r="H31" i="28"/>
  <c r="H32" i="28"/>
  <c r="H33" i="28"/>
  <c r="H34" i="28"/>
  <c r="H35" i="28"/>
  <c r="H36" i="28"/>
  <c r="H38" i="28"/>
  <c r="H39" i="28"/>
  <c r="H40" i="28"/>
  <c r="H41" i="28"/>
  <c r="H42" i="28"/>
  <c r="H44" i="28"/>
  <c r="H45" i="28"/>
  <c r="H46" i="28"/>
  <c r="H47" i="28"/>
  <c r="H48" i="28"/>
  <c r="H49" i="28"/>
  <c r="H50" i="28"/>
  <c r="H51" i="28"/>
  <c r="H52" i="28"/>
  <c r="H53" i="28"/>
  <c r="H54" i="28"/>
  <c r="H55" i="28"/>
  <c r="H56" i="28"/>
  <c r="H57" i="28"/>
  <c r="H58" i="28"/>
  <c r="H59" i="28"/>
  <c r="H60" i="28"/>
  <c r="H61" i="28"/>
  <c r="H62" i="28"/>
  <c r="H63" i="28"/>
  <c r="H64" i="28"/>
  <c r="H65" i="28"/>
  <c r="H66" i="28"/>
  <c r="H67" i="28"/>
  <c r="H68" i="28"/>
  <c r="H69" i="28"/>
  <c r="H70" i="28"/>
  <c r="H71" i="28"/>
  <c r="H72" i="28"/>
  <c r="H73" i="28"/>
  <c r="H74" i="28"/>
  <c r="H76" i="28"/>
  <c r="H77" i="28"/>
  <c r="H78" i="28"/>
  <c r="H79" i="28"/>
  <c r="H80" i="28"/>
  <c r="H81" i="28"/>
  <c r="H82" i="28"/>
  <c r="H83" i="28"/>
  <c r="H84" i="28"/>
  <c r="H85" i="28"/>
  <c r="H86" i="28"/>
  <c r="H87" i="28"/>
  <c r="H88" i="28"/>
  <c r="H89" i="28"/>
  <c r="H90" i="28"/>
  <c r="H91" i="28"/>
  <c r="H92" i="28"/>
  <c r="H93" i="28"/>
  <c r="H94" i="28"/>
  <c r="H95" i="28"/>
  <c r="H96" i="28"/>
  <c r="H97" i="28"/>
  <c r="H98" i="28"/>
  <c r="H99" i="28"/>
  <c r="H100" i="28"/>
  <c r="H101" i="28"/>
  <c r="H102" i="28"/>
  <c r="H103" i="28"/>
  <c r="H104" i="28"/>
  <c r="H105" i="28"/>
  <c r="H106" i="28"/>
  <c r="H108" i="28"/>
  <c r="H109" i="28"/>
  <c r="H110" i="28"/>
  <c r="H111" i="28"/>
  <c r="H112" i="28"/>
  <c r="H113" i="28"/>
  <c r="H114" i="28"/>
  <c r="H115" i="28"/>
  <c r="H116" i="28"/>
  <c r="H117" i="28"/>
  <c r="H118" i="28"/>
  <c r="H119" i="28"/>
  <c r="H120" i="28"/>
  <c r="H121" i="28"/>
  <c r="H122" i="28"/>
  <c r="H123" i="28"/>
  <c r="H124" i="28"/>
  <c r="H126" i="28"/>
  <c r="H127" i="28"/>
  <c r="H128" i="28"/>
  <c r="H129" i="28"/>
  <c r="H130" i="28"/>
  <c r="H131" i="28"/>
  <c r="H132" i="28"/>
  <c r="H133" i="28"/>
  <c r="H134" i="28"/>
  <c r="H135" i="28"/>
  <c r="H136" i="28"/>
  <c r="H137" i="28"/>
  <c r="H138" i="28"/>
  <c r="H140" i="28"/>
  <c r="H141" i="28"/>
  <c r="H142" i="28"/>
  <c r="H143" i="28"/>
  <c r="H144" i="28"/>
  <c r="H145" i="28"/>
  <c r="H146" i="28"/>
  <c r="H147" i="28"/>
  <c r="H148" i="28"/>
  <c r="H149" i="28"/>
  <c r="H150" i="28"/>
  <c r="H151" i="28"/>
  <c r="H152" i="28"/>
  <c r="H153" i="28"/>
  <c r="H154" i="28"/>
  <c r="H155" i="28"/>
  <c r="H157" i="28"/>
  <c r="H158" i="28"/>
  <c r="H159" i="28"/>
  <c r="H161" i="28"/>
  <c r="H162" i="28"/>
  <c r="H163" i="28"/>
  <c r="H164" i="28"/>
  <c r="H165" i="28"/>
  <c r="H166" i="28"/>
  <c r="H167" i="28"/>
  <c r="H168" i="28"/>
  <c r="H169" i="28"/>
  <c r="H170" i="28"/>
  <c r="H171" i="28"/>
  <c r="H172" i="28"/>
  <c r="H173" i="28"/>
  <c r="H174" i="28"/>
  <c r="H175" i="28"/>
  <c r="H177" i="28"/>
  <c r="H178" i="28"/>
  <c r="H179" i="28"/>
  <c r="H180" i="28"/>
  <c r="H181" i="28"/>
  <c r="H182" i="28"/>
  <c r="H183" i="28"/>
  <c r="H184" i="28"/>
  <c r="H185" i="28"/>
  <c r="H186" i="28"/>
  <c r="H187" i="28"/>
  <c r="H188" i="28"/>
  <c r="H189" i="28"/>
  <c r="H190" i="28"/>
  <c r="H191" i="28"/>
  <c r="H193" i="28"/>
  <c r="H194" i="28"/>
  <c r="H195" i="28"/>
  <c r="H196" i="28"/>
  <c r="H197" i="28"/>
  <c r="H198" i="28"/>
  <c r="H199" i="28"/>
  <c r="H200" i="28"/>
  <c r="H201" i="28"/>
  <c r="H202" i="28"/>
  <c r="H203" i="28"/>
  <c r="H204" i="28"/>
  <c r="H205" i="28"/>
  <c r="H207" i="28"/>
  <c r="H209" i="28"/>
  <c r="H210" i="28"/>
  <c r="H211" i="28"/>
  <c r="H212" i="28"/>
  <c r="H213" i="28"/>
  <c r="H214" i="28"/>
  <c r="H215" i="28"/>
  <c r="H217" i="28"/>
  <c r="H218" i="28"/>
  <c r="H219" i="28"/>
  <c r="H220" i="28"/>
  <c r="H221" i="28"/>
  <c r="H222" i="28"/>
  <c r="H223" i="28"/>
  <c r="H225" i="28"/>
  <c r="H226" i="28"/>
  <c r="H227" i="28"/>
  <c r="H228" i="28"/>
  <c r="H229" i="28"/>
  <c r="H230" i="28"/>
  <c r="H231" i="28"/>
  <c r="H233" i="28"/>
  <c r="H234" i="28"/>
  <c r="H235" i="28"/>
  <c r="H236" i="28"/>
  <c r="H237" i="28"/>
  <c r="H238" i="28"/>
  <c r="H239" i="28"/>
  <c r="H241" i="28"/>
  <c r="H242" i="28"/>
  <c r="H243" i="28"/>
  <c r="H244" i="28"/>
  <c r="H245" i="28"/>
  <c r="H246" i="28"/>
  <c r="H247" i="28"/>
  <c r="H249" i="28"/>
  <c r="H250" i="28"/>
  <c r="H251" i="28"/>
  <c r="H252" i="28"/>
  <c r="H253" i="28"/>
  <c r="H254" i="28"/>
  <c r="H255" i="28"/>
  <c r="H257" i="28"/>
  <c r="H258" i="28"/>
  <c r="H259" i="28"/>
  <c r="H261" i="28"/>
  <c r="H262" i="28"/>
  <c r="H263" i="28"/>
  <c r="H265" i="28"/>
  <c r="M4" i="28"/>
  <c r="M6" i="28"/>
  <c r="M11" i="28"/>
  <c r="M14" i="28"/>
  <c r="M16" i="28"/>
  <c r="M18" i="28"/>
  <c r="M20" i="28"/>
  <c r="M22" i="28"/>
  <c r="M24" i="28"/>
  <c r="M26" i="28"/>
  <c r="M28" i="28"/>
  <c r="M30" i="28"/>
  <c r="M32" i="28"/>
  <c r="M34" i="28"/>
  <c r="M36" i="28"/>
  <c r="M38" i="28"/>
  <c r="M40" i="28"/>
  <c r="M42" i="28"/>
  <c r="M44" i="28"/>
  <c r="M46" i="28"/>
  <c r="M48" i="28"/>
  <c r="M50" i="28"/>
  <c r="M52" i="28"/>
  <c r="M54" i="28"/>
  <c r="M56" i="28"/>
  <c r="M58" i="28"/>
  <c r="M60" i="28"/>
  <c r="M62" i="28"/>
  <c r="M64" i="28"/>
  <c r="M66" i="28"/>
  <c r="M68" i="28"/>
  <c r="M70" i="28"/>
  <c r="M72" i="28"/>
  <c r="M74" i="28"/>
  <c r="M76" i="28"/>
  <c r="M78" i="28"/>
  <c r="M80" i="28"/>
  <c r="M82" i="28"/>
  <c r="M84" i="28"/>
  <c r="M86" i="28"/>
  <c r="M88" i="28"/>
  <c r="M90" i="28"/>
  <c r="M92" i="28"/>
  <c r="M94" i="28"/>
  <c r="M96" i="28"/>
  <c r="M98" i="28"/>
  <c r="M100" i="28"/>
  <c r="M102" i="28"/>
  <c r="M104" i="28"/>
  <c r="M106" i="28"/>
  <c r="M108" i="28"/>
  <c r="M110" i="28"/>
  <c r="M112" i="28"/>
  <c r="M114" i="28"/>
  <c r="M116" i="28"/>
  <c r="M118" i="28"/>
  <c r="M120" i="28"/>
  <c r="M122" i="28"/>
  <c r="M124" i="28"/>
  <c r="M126" i="28"/>
  <c r="M128" i="28"/>
  <c r="M130" i="28"/>
  <c r="M132" i="28"/>
  <c r="M134" i="28"/>
  <c r="M136" i="28"/>
  <c r="M138" i="28"/>
  <c r="M140" i="28"/>
  <c r="M142" i="28"/>
  <c r="M144" i="28"/>
  <c r="M146" i="28"/>
  <c r="M148" i="28"/>
  <c r="M150" i="28"/>
  <c r="M152" i="28"/>
  <c r="M154" i="28"/>
  <c r="M156" i="28"/>
  <c r="M158" i="28"/>
  <c r="M160" i="28"/>
  <c r="M162" i="28"/>
  <c r="M164" i="28"/>
  <c r="M166" i="28"/>
  <c r="M168" i="28"/>
  <c r="M170" i="28"/>
  <c r="M172" i="28"/>
  <c r="M174" i="28"/>
  <c r="M176" i="28"/>
  <c r="M178" i="28"/>
  <c r="M180" i="28"/>
  <c r="M182" i="28"/>
  <c r="M184" i="28"/>
  <c r="M186" i="28"/>
  <c r="M188" i="28"/>
  <c r="M190" i="28"/>
  <c r="M192" i="28"/>
  <c r="M194" i="28"/>
  <c r="M196" i="28"/>
  <c r="M198" i="28"/>
  <c r="M200" i="28"/>
  <c r="M202" i="28"/>
  <c r="M204" i="28"/>
  <c r="M206" i="28"/>
  <c r="M208" i="28"/>
  <c r="M210" i="28"/>
  <c r="M212" i="28"/>
  <c r="M214" i="28"/>
  <c r="M216" i="28"/>
  <c r="M218" i="28"/>
  <c r="M220" i="28"/>
  <c r="M222" i="28"/>
  <c r="M224" i="28"/>
  <c r="M226" i="28"/>
  <c r="M228" i="28"/>
  <c r="M230" i="28"/>
  <c r="M232" i="28"/>
  <c r="M234" i="28"/>
  <c r="M236" i="28"/>
  <c r="M238" i="28"/>
  <c r="M240" i="28"/>
  <c r="M242" i="28"/>
  <c r="M244" i="28"/>
  <c r="M246" i="28"/>
  <c r="M248" i="28"/>
  <c r="M250" i="28"/>
  <c r="M252" i="28"/>
  <c r="M254" i="28"/>
  <c r="M256" i="28"/>
  <c r="M258" i="28"/>
  <c r="M260" i="28"/>
  <c r="M262" i="28"/>
  <c r="M264" i="28"/>
  <c r="M266" i="28"/>
  <c r="R4" i="28"/>
  <c r="R9" i="28"/>
  <c r="R13" i="28"/>
  <c r="R16" i="28"/>
  <c r="R18" i="28"/>
  <c r="R20" i="28"/>
  <c r="R22" i="28"/>
  <c r="R24" i="28"/>
  <c r="R26" i="28"/>
  <c r="R28" i="28"/>
  <c r="R30" i="28"/>
  <c r="R32" i="28"/>
  <c r="R34" i="28"/>
  <c r="R36" i="28"/>
  <c r="R38" i="28"/>
  <c r="R40" i="28"/>
  <c r="R42" i="28"/>
  <c r="R44" i="28"/>
  <c r="R45" i="28"/>
  <c r="R46" i="28"/>
  <c r="R48" i="28"/>
  <c r="R49" i="28"/>
  <c r="R50" i="28"/>
  <c r="R52" i="28"/>
  <c r="R53" i="28"/>
  <c r="R54" i="28"/>
  <c r="R56" i="28"/>
  <c r="R57" i="28"/>
  <c r="R58" i="28"/>
  <c r="R60" i="28"/>
  <c r="R61" i="28"/>
  <c r="R62" i="28"/>
  <c r="R64" i="28"/>
  <c r="R65" i="28"/>
  <c r="R66" i="28"/>
  <c r="R68" i="28"/>
  <c r="R69" i="28"/>
  <c r="R70" i="28"/>
  <c r="R72" i="28"/>
  <c r="R73" i="28"/>
  <c r="R74" i="28"/>
  <c r="R76" i="28"/>
  <c r="R77" i="28"/>
  <c r="R78" i="28"/>
  <c r="R80" i="28"/>
  <c r="R81" i="28"/>
  <c r="R82" i="28"/>
  <c r="R84" i="28"/>
  <c r="R85" i="28"/>
  <c r="R86" i="28"/>
  <c r="R88" i="28"/>
  <c r="R89" i="28"/>
  <c r="R90" i="28"/>
  <c r="R92" i="28"/>
  <c r="R93" i="28"/>
  <c r="R94" i="28"/>
  <c r="R96" i="28"/>
  <c r="R97" i="28"/>
  <c r="R98" i="28"/>
  <c r="R100" i="28"/>
  <c r="R101" i="28"/>
  <c r="R102" i="28"/>
  <c r="R104" i="28"/>
  <c r="R105" i="28"/>
  <c r="R106" i="28"/>
  <c r="R108" i="28"/>
  <c r="R109" i="28"/>
  <c r="R110" i="28"/>
  <c r="R112" i="28"/>
  <c r="R113" i="28"/>
  <c r="R114" i="28"/>
  <c r="R116" i="28"/>
  <c r="R117" i="28"/>
  <c r="R118" i="28"/>
  <c r="R120" i="28"/>
  <c r="R121" i="28"/>
  <c r="R122" i="28"/>
  <c r="R124" i="28"/>
  <c r="R125" i="28"/>
  <c r="R126" i="28"/>
  <c r="R128" i="28"/>
  <c r="R129" i="28"/>
  <c r="R130" i="28"/>
  <c r="R132" i="28"/>
  <c r="R133" i="28"/>
  <c r="R134" i="28"/>
  <c r="R136" i="28"/>
  <c r="R137" i="28"/>
  <c r="R138" i="28"/>
  <c r="R140" i="28"/>
  <c r="R141" i="28"/>
  <c r="R142" i="28"/>
  <c r="R144" i="28"/>
  <c r="R145" i="28"/>
  <c r="R146" i="28"/>
  <c r="R148" i="28"/>
  <c r="R149" i="28"/>
  <c r="R150" i="28"/>
  <c r="R152" i="28"/>
  <c r="R153" i="28"/>
  <c r="R154" i="28"/>
  <c r="R156" i="28"/>
  <c r="R157" i="28"/>
  <c r="R158" i="28"/>
  <c r="R160" i="28"/>
  <c r="R161" i="28"/>
  <c r="R162" i="28"/>
  <c r="R164" i="28"/>
  <c r="R165" i="28"/>
  <c r="R166" i="28"/>
  <c r="R168" i="28"/>
  <c r="R169" i="28"/>
  <c r="R170" i="28"/>
  <c r="R172" i="28"/>
  <c r="R173" i="28"/>
  <c r="R174" i="28"/>
  <c r="R176" i="28"/>
  <c r="R177" i="28"/>
  <c r="R178" i="28"/>
  <c r="R180" i="28"/>
  <c r="R181" i="28"/>
  <c r="R182" i="28"/>
  <c r="R184" i="28"/>
  <c r="R185" i="28"/>
  <c r="R186" i="28"/>
  <c r="R188" i="28"/>
  <c r="R189" i="28"/>
  <c r="R190" i="28"/>
  <c r="R192" i="28"/>
  <c r="R193" i="28"/>
  <c r="R194" i="28"/>
  <c r="R196" i="28"/>
  <c r="R197" i="28"/>
  <c r="R198" i="28"/>
  <c r="R200" i="28"/>
  <c r="R201" i="28"/>
  <c r="R202" i="28"/>
  <c r="R204" i="28"/>
  <c r="R205" i="28"/>
  <c r="R206" i="28"/>
  <c r="R208" i="28"/>
  <c r="R209" i="28"/>
  <c r="R210" i="28"/>
  <c r="R212" i="28"/>
  <c r="R213" i="28"/>
  <c r="R214" i="28"/>
  <c r="R216" i="28"/>
  <c r="R217" i="28"/>
  <c r="R218" i="28"/>
  <c r="R220" i="28"/>
  <c r="R221" i="28"/>
  <c r="R222" i="28"/>
  <c r="R224" i="28"/>
  <c r="R225" i="28"/>
  <c r="R226" i="28"/>
  <c r="R228" i="28"/>
  <c r="R229" i="28"/>
  <c r="R230" i="28"/>
  <c r="R232" i="28"/>
  <c r="R233" i="28"/>
  <c r="R234" i="28"/>
  <c r="R236" i="28"/>
  <c r="R237" i="28"/>
  <c r="R238" i="28"/>
  <c r="R240" i="28"/>
  <c r="R241" i="28"/>
  <c r="R242" i="28"/>
  <c r="R244" i="28"/>
  <c r="R245" i="28"/>
  <c r="R246" i="28"/>
  <c r="R248" i="28"/>
  <c r="R249" i="28"/>
  <c r="R250" i="28"/>
  <c r="R252" i="28"/>
  <c r="R253" i="28"/>
  <c r="R254" i="28"/>
  <c r="R256" i="28"/>
  <c r="R257" i="28"/>
  <c r="R258" i="28"/>
  <c r="R260" i="28"/>
  <c r="R261" i="28"/>
  <c r="R262" i="28"/>
  <c r="R264" i="28"/>
  <c r="R265" i="28"/>
  <c r="R266" i="28"/>
  <c r="W7" i="28"/>
  <c r="W9" i="28"/>
  <c r="W11" i="28"/>
  <c r="W15" i="28"/>
  <c r="W17" i="28"/>
  <c r="W19" i="28"/>
  <c r="W23" i="28"/>
  <c r="W25" i="28"/>
  <c r="W27" i="28"/>
  <c r="W30" i="28"/>
  <c r="W31" i="28"/>
  <c r="W32" i="28"/>
  <c r="W34" i="28"/>
  <c r="W35" i="28"/>
  <c r="W36" i="28"/>
  <c r="W38" i="28"/>
  <c r="W39" i="28"/>
  <c r="W40" i="28"/>
  <c r="W42" i="28"/>
  <c r="W43" i="28"/>
  <c r="W44" i="28"/>
  <c r="W46" i="28"/>
  <c r="W47" i="28"/>
  <c r="W48" i="28"/>
  <c r="W50" i="28"/>
  <c r="W51" i="28"/>
  <c r="W52" i="28"/>
  <c r="W54" i="28"/>
  <c r="W55" i="28"/>
  <c r="W56" i="28"/>
  <c r="W58" i="28"/>
  <c r="W59" i="28"/>
  <c r="W60" i="28"/>
  <c r="W62" i="28"/>
  <c r="W63" i="28"/>
  <c r="W64" i="28"/>
  <c r="W66" i="28"/>
  <c r="W67" i="28"/>
  <c r="W68" i="28"/>
  <c r="W70" i="28"/>
  <c r="W71" i="28"/>
  <c r="W72" i="28"/>
  <c r="W74" i="28"/>
  <c r="W75" i="28"/>
  <c r="W76" i="28"/>
  <c r="W78" i="28"/>
  <c r="W79" i="28"/>
  <c r="W80" i="28"/>
  <c r="W82" i="28"/>
  <c r="W83" i="28"/>
  <c r="W84" i="28"/>
  <c r="W86" i="28"/>
  <c r="W87" i="28"/>
  <c r="W88" i="28"/>
  <c r="W90" i="28"/>
  <c r="W91" i="28"/>
  <c r="W92" i="28"/>
  <c r="W94" i="28"/>
  <c r="W95" i="28"/>
  <c r="W96" i="28"/>
  <c r="W98" i="28"/>
  <c r="W99" i="28"/>
  <c r="W100" i="28"/>
  <c r="W102" i="28"/>
  <c r="W103" i="28"/>
  <c r="W104" i="28"/>
  <c r="W106" i="28"/>
  <c r="W107" i="28"/>
  <c r="W108" i="28"/>
  <c r="W110" i="28"/>
  <c r="W111" i="28"/>
  <c r="W112" i="28"/>
  <c r="W114" i="28"/>
  <c r="W115" i="28"/>
  <c r="W116" i="28"/>
  <c r="W118" i="28"/>
  <c r="W119" i="28"/>
  <c r="W120" i="28"/>
  <c r="W122" i="28"/>
  <c r="W123" i="28"/>
  <c r="W124" i="28"/>
  <c r="W126" i="28"/>
  <c r="W127" i="28"/>
  <c r="W128" i="28"/>
  <c r="W130" i="28"/>
  <c r="W131" i="28"/>
  <c r="W132" i="28"/>
  <c r="W134" i="28"/>
  <c r="W135" i="28"/>
  <c r="W136" i="28"/>
  <c r="W138" i="28"/>
  <c r="W139" i="28"/>
  <c r="W140" i="28"/>
  <c r="W142" i="28"/>
  <c r="W143" i="28"/>
  <c r="W144" i="28"/>
  <c r="W146" i="28"/>
  <c r="W147" i="28"/>
  <c r="W148" i="28"/>
  <c r="W150" i="28"/>
  <c r="W151" i="28"/>
  <c r="W152" i="28"/>
  <c r="W154" i="28"/>
  <c r="W155" i="28"/>
  <c r="W156" i="28"/>
  <c r="W158" i="28"/>
  <c r="W159" i="28"/>
  <c r="W160" i="28"/>
  <c r="W162" i="28"/>
  <c r="W163" i="28"/>
  <c r="W164" i="28"/>
  <c r="W166" i="28"/>
  <c r="W167" i="28"/>
  <c r="W168" i="28"/>
  <c r="W170" i="28"/>
  <c r="W171" i="28"/>
  <c r="W172" i="28"/>
  <c r="W174" i="28"/>
  <c r="W175" i="28"/>
  <c r="W176" i="28"/>
  <c r="W178" i="28"/>
  <c r="W179" i="28"/>
  <c r="W180" i="28"/>
  <c r="W182" i="28"/>
  <c r="W183" i="28"/>
  <c r="W184" i="28"/>
  <c r="W186" i="28"/>
  <c r="W187" i="28"/>
  <c r="W188" i="28"/>
  <c r="W190" i="28"/>
  <c r="W191" i="28"/>
  <c r="W192" i="28"/>
  <c r="W194" i="28"/>
  <c r="W195" i="28"/>
  <c r="W196" i="28"/>
  <c r="W198" i="28"/>
  <c r="W199" i="28"/>
  <c r="W200" i="28"/>
  <c r="W202" i="28"/>
  <c r="W203" i="28"/>
  <c r="W204" i="28"/>
  <c r="W206" i="28"/>
  <c r="W207" i="28"/>
  <c r="W208" i="28"/>
  <c r="W210" i="28"/>
  <c r="W211" i="28"/>
  <c r="W212" i="28"/>
  <c r="W214" i="28"/>
  <c r="W215" i="28"/>
  <c r="W216" i="28"/>
  <c r="W218" i="28"/>
  <c r="W219" i="28"/>
  <c r="W220" i="28"/>
  <c r="W222" i="28"/>
  <c r="W223" i="28"/>
  <c r="W224" i="28"/>
  <c r="W226" i="28"/>
  <c r="W227" i="28"/>
  <c r="W228" i="28"/>
  <c r="W230" i="28"/>
  <c r="W231" i="28"/>
  <c r="W232" i="28"/>
  <c r="W234" i="28"/>
  <c r="W235" i="28"/>
  <c r="W236" i="28"/>
  <c r="W238" i="28"/>
  <c r="W239" i="28"/>
  <c r="W240" i="28"/>
  <c r="W242" i="28"/>
  <c r="W243" i="28"/>
  <c r="W244" i="28"/>
  <c r="W246" i="28"/>
  <c r="W247" i="28"/>
  <c r="W248" i="28"/>
  <c r="W250" i="28"/>
  <c r="W251" i="28"/>
  <c r="W252" i="28"/>
  <c r="W254" i="28"/>
  <c r="W255" i="28"/>
  <c r="W256" i="28"/>
  <c r="W258" i="28"/>
  <c r="W259" i="28"/>
  <c r="W260" i="28"/>
  <c r="W262" i="28"/>
  <c r="W263" i="28"/>
  <c r="W264" i="28"/>
  <c r="W266" i="28"/>
  <c r="AB4" i="28"/>
  <c r="AB7" i="28"/>
  <c r="AB9" i="28"/>
  <c r="AB13" i="28"/>
  <c r="AB15" i="28"/>
  <c r="AB17" i="28"/>
  <c r="AB23" i="28"/>
  <c r="AB25" i="28"/>
  <c r="AB27" i="28"/>
  <c r="AB28" i="28"/>
  <c r="AB29" i="28"/>
  <c r="AB31" i="28"/>
  <c r="AB32" i="28"/>
  <c r="AB33" i="28"/>
  <c r="AB36" i="28"/>
  <c r="AB39" i="28"/>
  <c r="AB40" i="28"/>
  <c r="AB44" i="28"/>
  <c r="AB45" i="28"/>
  <c r="AB47" i="28"/>
  <c r="AB48" i="28"/>
  <c r="AB49" i="28"/>
  <c r="AB51" i="28"/>
  <c r="AB52" i="28"/>
  <c r="AB53" i="28"/>
  <c r="AB55" i="28"/>
  <c r="AB56" i="28"/>
  <c r="AB57" i="28"/>
  <c r="AB59" i="28"/>
  <c r="AB60" i="28"/>
  <c r="AB61" i="28"/>
  <c r="AB63" i="28"/>
  <c r="AB64" i="28"/>
  <c r="AB65" i="28"/>
  <c r="AB67" i="28"/>
  <c r="AB68" i="28"/>
  <c r="AB69" i="28"/>
  <c r="AB71" i="28"/>
  <c r="AB72" i="28"/>
  <c r="AB73" i="28"/>
  <c r="AB75" i="28"/>
  <c r="AB76" i="28"/>
  <c r="AB77" i="28"/>
  <c r="AB79" i="28"/>
  <c r="AB80" i="28"/>
  <c r="AB81" i="28"/>
  <c r="AB83" i="28"/>
  <c r="AB84" i="28"/>
  <c r="AB85" i="28"/>
  <c r="AB87" i="28"/>
  <c r="AB88" i="28"/>
  <c r="AB89" i="28"/>
  <c r="AB91" i="28"/>
  <c r="AB92" i="28"/>
  <c r="AB93" i="28"/>
  <c r="AB95" i="28"/>
  <c r="AB96" i="28"/>
  <c r="AB99" i="28"/>
  <c r="AB100" i="28"/>
  <c r="AB101" i="28"/>
  <c r="AB103" i="28"/>
  <c r="AB104" i="28"/>
  <c r="AB105" i="28"/>
  <c r="AB107" i="28"/>
  <c r="AB108" i="28"/>
  <c r="AB109" i="28"/>
  <c r="AB111" i="28"/>
  <c r="AB112" i="28"/>
  <c r="AB113" i="28"/>
  <c r="AB116" i="28"/>
  <c r="AB117" i="28"/>
  <c r="AB119" i="28"/>
  <c r="AB120" i="28"/>
  <c r="AB121" i="28"/>
  <c r="AB123" i="28"/>
  <c r="AB124" i="28"/>
  <c r="AB125" i="28"/>
  <c r="AB127" i="28"/>
  <c r="AB128" i="28"/>
  <c r="AB129" i="28"/>
  <c r="AB131" i="28"/>
  <c r="AB132" i="28"/>
  <c r="AB133" i="28"/>
  <c r="AB135" i="28"/>
  <c r="AB136" i="28"/>
  <c r="AB137" i="28"/>
  <c r="AB139" i="28"/>
  <c r="AB140" i="28"/>
  <c r="AB141" i="28"/>
  <c r="AB143" i="28"/>
  <c r="AB144" i="28"/>
  <c r="AB145" i="28"/>
  <c r="AB147" i="28"/>
  <c r="AB148" i="28"/>
  <c r="AB149" i="28"/>
  <c r="AB151" i="28"/>
  <c r="AB152" i="28"/>
  <c r="AB153" i="28"/>
  <c r="AB155" i="28"/>
  <c r="AB156" i="28"/>
  <c r="AB157" i="28"/>
  <c r="AB159" i="28"/>
  <c r="AB160" i="28"/>
  <c r="AB161" i="28"/>
  <c r="AB163" i="28"/>
  <c r="AB164" i="28"/>
  <c r="AB165" i="28"/>
  <c r="AB167" i="28"/>
  <c r="AB168" i="28"/>
  <c r="AB169" i="28"/>
  <c r="AB171" i="28"/>
  <c r="AB172" i="28"/>
  <c r="AB173" i="28"/>
  <c r="AB175" i="28"/>
  <c r="AB176" i="28"/>
  <c r="AB177" i="28"/>
  <c r="AB179" i="28"/>
  <c r="AB180" i="28"/>
  <c r="AB181" i="28"/>
  <c r="AB183" i="28"/>
  <c r="AB184" i="28"/>
  <c r="AB185" i="28"/>
  <c r="AB187" i="28"/>
  <c r="AB188" i="28"/>
  <c r="AB189" i="28"/>
  <c r="AB191" i="28"/>
  <c r="AB192" i="28"/>
  <c r="AB193" i="28"/>
  <c r="AB195" i="28"/>
  <c r="AB196" i="28"/>
  <c r="AB197" i="28"/>
  <c r="AB199" i="28"/>
  <c r="AB200" i="28"/>
  <c r="AB201" i="28"/>
  <c r="AB203" i="28"/>
  <c r="AB204" i="28"/>
  <c r="AB205" i="28"/>
  <c r="AB207" i="28"/>
  <c r="AB208" i="28"/>
  <c r="AB209" i="28"/>
  <c r="AB211" i="28"/>
  <c r="AB212" i="28"/>
  <c r="AB213" i="28"/>
  <c r="AB215" i="28"/>
  <c r="AB216" i="28"/>
  <c r="AB217" i="28"/>
  <c r="AB219" i="28"/>
  <c r="AB220" i="28"/>
  <c r="AB221" i="28"/>
  <c r="AB223" i="28"/>
  <c r="AB224" i="28"/>
  <c r="AB225" i="28"/>
  <c r="AB227" i="28"/>
  <c r="AB228" i="28"/>
  <c r="AB229" i="28"/>
  <c r="AB231" i="28"/>
  <c r="AB232" i="28"/>
  <c r="AB233" i="28"/>
  <c r="AB235" i="28"/>
  <c r="AB236" i="28"/>
  <c r="AB237" i="28"/>
  <c r="AB239" i="28"/>
  <c r="AB240" i="28"/>
  <c r="AB241" i="28"/>
  <c r="AB243" i="28"/>
  <c r="AB244" i="28"/>
  <c r="AB245" i="28"/>
  <c r="AB247" i="28"/>
  <c r="AB248" i="28"/>
  <c r="AB249" i="28"/>
  <c r="AB251" i="28"/>
  <c r="AB252" i="28"/>
  <c r="AB253" i="28"/>
  <c r="AB255" i="28"/>
  <c r="AB256" i="28"/>
  <c r="AB257" i="28"/>
  <c r="AB259" i="28"/>
  <c r="AB260" i="28"/>
  <c r="AB261" i="28"/>
  <c r="AB263" i="28"/>
  <c r="AB264" i="28"/>
  <c r="AB265" i="28"/>
  <c r="AG4" i="28"/>
  <c r="AG7" i="28"/>
  <c r="AG9" i="28"/>
  <c r="AG13" i="28"/>
  <c r="AG15" i="28"/>
  <c r="AG16" i="28"/>
  <c r="AG18" i="28"/>
  <c r="AG19" i="28"/>
  <c r="AG20" i="28"/>
  <c r="AG22" i="28"/>
  <c r="AG23" i="28"/>
  <c r="AG24" i="28"/>
  <c r="AG26" i="28"/>
  <c r="AG27" i="28"/>
  <c r="AG28" i="28"/>
  <c r="AG30" i="28"/>
  <c r="AG31" i="28"/>
  <c r="AG32" i="28"/>
  <c r="AG34" i="28"/>
  <c r="AG35" i="28"/>
  <c r="AG36" i="28"/>
  <c r="AG38" i="28"/>
  <c r="AG39" i="28"/>
  <c r="AG40" i="28"/>
  <c r="AG42" i="28"/>
  <c r="AG43" i="28"/>
  <c r="AG44" i="28"/>
  <c r="AG46" i="28"/>
  <c r="AG47" i="28"/>
  <c r="AG48" i="28"/>
  <c r="AG50" i="28"/>
  <c r="AG51" i="28"/>
  <c r="AG52" i="28"/>
  <c r="AG54" i="28"/>
  <c r="AG55" i="28"/>
  <c r="AG56" i="28"/>
  <c r="AG58" i="28"/>
  <c r="AG59" i="28"/>
  <c r="AG60" i="28"/>
  <c r="AG62" i="28"/>
  <c r="AG63" i="28"/>
  <c r="AG64" i="28"/>
  <c r="AG66" i="28"/>
  <c r="AG67" i="28"/>
  <c r="AG68" i="28"/>
  <c r="AG70" i="28"/>
  <c r="AG71" i="28"/>
  <c r="AG72" i="28"/>
  <c r="AG74" i="28"/>
  <c r="AG75" i="28"/>
  <c r="AG76" i="28"/>
  <c r="AG78" i="28"/>
  <c r="AG79" i="28"/>
  <c r="AG80" i="28"/>
  <c r="AG82" i="28"/>
  <c r="AG83" i="28"/>
  <c r="AG84" i="28"/>
  <c r="AG86" i="28"/>
  <c r="AG87" i="28"/>
  <c r="AG88" i="28"/>
  <c r="AG90" i="28"/>
  <c r="AG91" i="28"/>
  <c r="AG92" i="28"/>
  <c r="AG94" i="28"/>
  <c r="AG95" i="28"/>
  <c r="AG96" i="28"/>
  <c r="AG98" i="28"/>
  <c r="AG99" i="28"/>
  <c r="AG100" i="28"/>
  <c r="AG103" i="28"/>
  <c r="AG104" i="28"/>
  <c r="AG106" i="28"/>
  <c r="AG107" i="28"/>
  <c r="AG108" i="28"/>
  <c r="AG111" i="28"/>
  <c r="AG112" i="28"/>
  <c r="AG114" i="28"/>
  <c r="AG116" i="28"/>
  <c r="AG118" i="28"/>
  <c r="AG119" i="28"/>
  <c r="AG120" i="28"/>
  <c r="AG122" i="28"/>
  <c r="AG123" i="28"/>
  <c r="AG124" i="28"/>
  <c r="AG126" i="28"/>
  <c r="AG127" i="28"/>
  <c r="AG128" i="28"/>
  <c r="AG130" i="28"/>
  <c r="AG131" i="28"/>
  <c r="AG132" i="28"/>
  <c r="AG134" i="28"/>
  <c r="AG135" i="28"/>
  <c r="AG136" i="28"/>
  <c r="AG138" i="28"/>
  <c r="AG139" i="28"/>
  <c r="AG140" i="28"/>
  <c r="AG142" i="28"/>
  <c r="AG143" i="28"/>
  <c r="AG144" i="28"/>
  <c r="AG146" i="28"/>
  <c r="AG147" i="28"/>
  <c r="AG148" i="28"/>
  <c r="AG150" i="28"/>
  <c r="AG151" i="28"/>
  <c r="AG152" i="28"/>
  <c r="AG154" i="28"/>
  <c r="AG155" i="28"/>
  <c r="AG156" i="28"/>
  <c r="AG158" i="28"/>
  <c r="AG159" i="28"/>
  <c r="AG160" i="28"/>
  <c r="AG162" i="28"/>
  <c r="AG163" i="28"/>
  <c r="AG164" i="28"/>
  <c r="AG166" i="28"/>
  <c r="AG167" i="28"/>
  <c r="AG168" i="28"/>
  <c r="AG170" i="28"/>
  <c r="AG171" i="28"/>
  <c r="AG172" i="28"/>
  <c r="AG174" i="28"/>
  <c r="AG175" i="28"/>
  <c r="AG176" i="28"/>
  <c r="AG178" i="28"/>
  <c r="AG179" i="28"/>
  <c r="AG180" i="28"/>
  <c r="AG182" i="28"/>
  <c r="AG183" i="28"/>
  <c r="AG184" i="28"/>
  <c r="AG186" i="28"/>
  <c r="AG187" i="28"/>
  <c r="AG188" i="28"/>
  <c r="AG190" i="28"/>
  <c r="AG191" i="28"/>
  <c r="AG192" i="28"/>
  <c r="AG194" i="28"/>
  <c r="AG195" i="28"/>
  <c r="AG196" i="28"/>
  <c r="AG198" i="28"/>
  <c r="AG199" i="28"/>
  <c r="AG200" i="28"/>
  <c r="AG202" i="28"/>
  <c r="AG203" i="28"/>
  <c r="AG204" i="28"/>
  <c r="AG206" i="28"/>
  <c r="AG207" i="28"/>
  <c r="AG208" i="28"/>
  <c r="AG210" i="28"/>
  <c r="AG211" i="28"/>
  <c r="AG214" i="28"/>
  <c r="AG215" i="28"/>
  <c r="AG216" i="28"/>
  <c r="AG218" i="28"/>
  <c r="AG219" i="28"/>
  <c r="AG220" i="28"/>
  <c r="AG222" i="28"/>
  <c r="AG223" i="28"/>
  <c r="AG224" i="28"/>
  <c r="AG226" i="28"/>
  <c r="AG228" i="28"/>
  <c r="AG230" i="28"/>
  <c r="AG231" i="28"/>
  <c r="AG232" i="28"/>
  <c r="AG234" i="28"/>
  <c r="AG235" i="28"/>
  <c r="AG236" i="28"/>
  <c r="AG238" i="28"/>
  <c r="AG239" i="28"/>
  <c r="AG240" i="28"/>
  <c r="AG242" i="28"/>
  <c r="AG243" i="28"/>
  <c r="AG244" i="28"/>
  <c r="AG246" i="28"/>
  <c r="AG247" i="28"/>
  <c r="AG248" i="28"/>
  <c r="AG250" i="28"/>
  <c r="AG251" i="28"/>
  <c r="AG252" i="28"/>
  <c r="AG254" i="28"/>
  <c r="AG255" i="28"/>
  <c r="AG256" i="28"/>
  <c r="AG258" i="28"/>
  <c r="AG259" i="28"/>
  <c r="AG260" i="28"/>
  <c r="AG262" i="28"/>
  <c r="AG263" i="28"/>
  <c r="AG264" i="28"/>
  <c r="AG266" i="28"/>
  <c r="AL4" i="28"/>
  <c r="AL7" i="28"/>
  <c r="AL9" i="28"/>
  <c r="AL12" i="28"/>
  <c r="AL13" i="28"/>
  <c r="AL14" i="28"/>
  <c r="AL16" i="28"/>
  <c r="AL17" i="28"/>
  <c r="AL18" i="28"/>
  <c r="AL20" i="28"/>
  <c r="AL21" i="28"/>
  <c r="AL22" i="28"/>
  <c r="AL24" i="28"/>
  <c r="AL25" i="28"/>
  <c r="AL26" i="28"/>
  <c r="AL28" i="28"/>
  <c r="AL29" i="28"/>
  <c r="AL30" i="28"/>
  <c r="AL32" i="28"/>
  <c r="AL33" i="28"/>
  <c r="AL34" i="28"/>
  <c r="AL36" i="28"/>
  <c r="AL37" i="28"/>
  <c r="AL38" i="28"/>
  <c r="AL40" i="28"/>
  <c r="AL41" i="28"/>
  <c r="AL42" i="28"/>
  <c r="AL44" i="28"/>
  <c r="AL45" i="28"/>
  <c r="AL46" i="28"/>
  <c r="AL48" i="28"/>
  <c r="AL49" i="28"/>
  <c r="AL50" i="28"/>
  <c r="AL51" i="28"/>
  <c r="AL53" i="28"/>
  <c r="AL54" i="28"/>
  <c r="AL55" i="28"/>
  <c r="AL56" i="28"/>
  <c r="AL57" i="28"/>
  <c r="AL58" i="28"/>
  <c r="AL59" i="28"/>
  <c r="AL61" i="28"/>
  <c r="AL62" i="28"/>
  <c r="AL63" i="28"/>
  <c r="AL64" i="28"/>
  <c r="AL65" i="28"/>
  <c r="AL66" i="28"/>
  <c r="AL67" i="28"/>
  <c r="AL69" i="28"/>
  <c r="AL70" i="28"/>
  <c r="AL71" i="28"/>
  <c r="AL72" i="28"/>
  <c r="AL73" i="28"/>
  <c r="AL74" i="28"/>
  <c r="AL75" i="28"/>
  <c r="AL77" i="28"/>
  <c r="AL78" i="28"/>
  <c r="AL79" i="28"/>
  <c r="AL80" i="28"/>
  <c r="AL81" i="28"/>
  <c r="AL82" i="28"/>
  <c r="AL83" i="28"/>
  <c r="AL85" i="28"/>
  <c r="AL86" i="28"/>
  <c r="AL87" i="28"/>
  <c r="AL88" i="28"/>
  <c r="AL89" i="28"/>
  <c r="AL90" i="28"/>
  <c r="AL91" i="28"/>
  <c r="AL93" i="28"/>
  <c r="AL94" i="28"/>
  <c r="AL95" i="28"/>
  <c r="AL96" i="28"/>
  <c r="AL97" i="28"/>
  <c r="AL98" i="28"/>
  <c r="AL99" i="28"/>
  <c r="AL101" i="28"/>
  <c r="AL102" i="28"/>
  <c r="AL103" i="28"/>
  <c r="AL104" i="28"/>
  <c r="AL105" i="28"/>
  <c r="AL106" i="28"/>
  <c r="AL107" i="28"/>
  <c r="AL109" i="28"/>
  <c r="AL110" i="28"/>
  <c r="AL111" i="28"/>
  <c r="AL112" i="28"/>
  <c r="AL113" i="28"/>
  <c r="AL114" i="28"/>
  <c r="AL115" i="28"/>
  <c r="AL117" i="28"/>
  <c r="AL118" i="28"/>
  <c r="AL119" i="28"/>
  <c r="AL120" i="28"/>
  <c r="AL121" i="28"/>
  <c r="AL122" i="28"/>
  <c r="AL123" i="28"/>
  <c r="AL125" i="28"/>
  <c r="AL126" i="28"/>
  <c r="AL127" i="28"/>
  <c r="AL128" i="28"/>
  <c r="AL129" i="28"/>
  <c r="AL130" i="28"/>
  <c r="AL131" i="28"/>
  <c r="AL133" i="28"/>
  <c r="AL134" i="28"/>
  <c r="AL135" i="28"/>
  <c r="AL136" i="28"/>
  <c r="AL137" i="28"/>
  <c r="AL138" i="28"/>
  <c r="AL139" i="28"/>
  <c r="AL141" i="28"/>
  <c r="AL142" i="28"/>
  <c r="AL143" i="28"/>
  <c r="AL144" i="28"/>
  <c r="AL145" i="28"/>
  <c r="AL146" i="28"/>
  <c r="AL147" i="28"/>
  <c r="AL149" i="28"/>
  <c r="AL150" i="28"/>
  <c r="AL151" i="28"/>
  <c r="AL152" i="28"/>
  <c r="AL153" i="28"/>
  <c r="AL154" i="28"/>
  <c r="AL155" i="28"/>
  <c r="AL157" i="28"/>
  <c r="AL158" i="28"/>
  <c r="AL159" i="28"/>
  <c r="AL160" i="28"/>
  <c r="AL161" i="28"/>
  <c r="AL162" i="28"/>
  <c r="AL163" i="28"/>
  <c r="AL165" i="28"/>
  <c r="AL166" i="28"/>
  <c r="AL167" i="28"/>
  <c r="AL168" i="28"/>
  <c r="AL169" i="28"/>
  <c r="AL170" i="28"/>
  <c r="AL171" i="28"/>
  <c r="AL173" i="28"/>
  <c r="AL174" i="28"/>
  <c r="AL175" i="28"/>
  <c r="AL176" i="28"/>
  <c r="AL177" i="28"/>
  <c r="AL178" i="28"/>
  <c r="AL179" i="28"/>
  <c r="AL181" i="28"/>
  <c r="AL182" i="28"/>
  <c r="AL183" i="28"/>
  <c r="AL184" i="28"/>
  <c r="AL185" i="28"/>
  <c r="AL186" i="28"/>
  <c r="AL187" i="28"/>
  <c r="AL189" i="28"/>
  <c r="AL190" i="28"/>
  <c r="AL191" i="28"/>
  <c r="AL192" i="28"/>
  <c r="AL193" i="28"/>
  <c r="AL194" i="28"/>
  <c r="AL195" i="28"/>
  <c r="AL197" i="28"/>
  <c r="AL198" i="28"/>
  <c r="AL199" i="28"/>
  <c r="AL200" i="28"/>
  <c r="AL201" i="28"/>
  <c r="AL202" i="28"/>
  <c r="AL203" i="28"/>
  <c r="AL205" i="28"/>
  <c r="AL206" i="28"/>
  <c r="AL207" i="28"/>
  <c r="AL208" i="28"/>
  <c r="AL209" i="28"/>
  <c r="AL210" i="28"/>
  <c r="AL211" i="28"/>
  <c r="AL213" i="28"/>
  <c r="AL214" i="28"/>
  <c r="AL215" i="28"/>
  <c r="AL216" i="28"/>
  <c r="AL217" i="28"/>
  <c r="AL218" i="28"/>
  <c r="AL219" i="28"/>
  <c r="AL221" i="28"/>
  <c r="AL222" i="28"/>
  <c r="AL223" i="28"/>
  <c r="AL224" i="28"/>
  <c r="AL225" i="28"/>
  <c r="AL226" i="28"/>
  <c r="AL227" i="28"/>
  <c r="AL229" i="28"/>
  <c r="AL230" i="28"/>
  <c r="AL231" i="28"/>
  <c r="AL232" i="28"/>
  <c r="AL233" i="28"/>
  <c r="AL234" i="28"/>
  <c r="AL235" i="28"/>
  <c r="AL237" i="28"/>
  <c r="AL238" i="28"/>
  <c r="AL239" i="28"/>
  <c r="AL240" i="28"/>
  <c r="AL241" i="28"/>
  <c r="AL242" i="28"/>
  <c r="AL243" i="28"/>
  <c r="AL245" i="28"/>
  <c r="AL246" i="28"/>
  <c r="AL247" i="28"/>
  <c r="AL248" i="28"/>
  <c r="AL249" i="28"/>
  <c r="AL250" i="28"/>
  <c r="AL251" i="28"/>
  <c r="AL253" i="28"/>
  <c r="AL254" i="28"/>
  <c r="AL255" i="28"/>
  <c r="AL256" i="28"/>
  <c r="AL257" i="28"/>
  <c r="AL258" i="28"/>
  <c r="AL259" i="28"/>
  <c r="AL261" i="28"/>
  <c r="AL262" i="28"/>
  <c r="AL263" i="28"/>
  <c r="AL264" i="28"/>
  <c r="AL265" i="28"/>
  <c r="AL266" i="28"/>
  <c r="AQ4" i="28"/>
  <c r="AQ9" i="28"/>
  <c r="AQ11" i="28"/>
  <c r="AQ13" i="28"/>
  <c r="AQ15" i="28"/>
  <c r="AQ17" i="28"/>
  <c r="AQ19" i="28"/>
  <c r="AQ21" i="28"/>
  <c r="AQ25" i="28"/>
  <c r="AQ26" i="28"/>
  <c r="AQ27" i="28"/>
  <c r="AQ28" i="28"/>
  <c r="AQ29" i="28"/>
  <c r="AQ30" i="28"/>
  <c r="AQ31" i="28"/>
  <c r="AQ33" i="28"/>
  <c r="AQ34" i="28"/>
  <c r="AQ35" i="28"/>
  <c r="AQ36" i="28"/>
  <c r="AQ37" i="28"/>
  <c r="AQ38" i="28"/>
  <c r="AQ39" i="28"/>
  <c r="AQ41" i="28"/>
  <c r="AQ42" i="28"/>
  <c r="AQ43" i="28"/>
  <c r="AQ44" i="28"/>
  <c r="AQ45" i="28"/>
  <c r="AQ46" i="28"/>
  <c r="AQ47" i="28"/>
  <c r="AQ49" i="28"/>
  <c r="AQ50" i="28"/>
  <c r="AQ51" i="28"/>
  <c r="AQ52" i="28"/>
  <c r="AQ53" i="28"/>
  <c r="AQ54" i="28"/>
  <c r="AQ55" i="28"/>
  <c r="AQ57" i="28"/>
  <c r="AQ58" i="28"/>
  <c r="AQ59" i="28"/>
  <c r="AQ60" i="28"/>
  <c r="AQ61" i="28"/>
  <c r="AQ62" i="28"/>
  <c r="AQ63" i="28"/>
  <c r="AQ65" i="28"/>
  <c r="AQ66" i="28"/>
  <c r="AQ67" i="28"/>
  <c r="AQ68" i="28"/>
  <c r="AQ69" i="28"/>
  <c r="AQ70" i="28"/>
  <c r="AQ71" i="28"/>
  <c r="AQ73" i="28"/>
  <c r="AQ74" i="28"/>
  <c r="AQ75" i="28"/>
  <c r="AQ76" i="28"/>
  <c r="AQ77" i="28"/>
  <c r="AQ78" i="28"/>
  <c r="AQ79" i="28"/>
  <c r="AQ81" i="28"/>
  <c r="AQ82" i="28"/>
  <c r="AQ83" i="28"/>
  <c r="AQ84" i="28"/>
  <c r="AQ85" i="28"/>
  <c r="AQ86" i="28"/>
  <c r="AQ87" i="28"/>
  <c r="AQ89" i="28"/>
  <c r="AQ90" i="28"/>
  <c r="AQ91" i="28"/>
  <c r="AQ92" i="28"/>
  <c r="AQ93" i="28"/>
  <c r="AQ94" i="28"/>
  <c r="AQ95" i="28"/>
  <c r="AQ97" i="28"/>
  <c r="AQ98" i="28"/>
  <c r="AQ99" i="28"/>
  <c r="AQ100" i="28"/>
  <c r="AQ101" i="28"/>
  <c r="AQ102" i="28"/>
  <c r="AQ103" i="28"/>
  <c r="AQ105" i="28"/>
  <c r="AQ106" i="28"/>
  <c r="AQ107" i="28"/>
  <c r="AQ108" i="28"/>
  <c r="AQ109" i="28"/>
  <c r="AQ110" i="28"/>
  <c r="AQ111" i="28"/>
  <c r="AQ113" i="28"/>
  <c r="AQ114" i="28"/>
  <c r="AQ115" i="28"/>
  <c r="AQ116" i="28"/>
  <c r="AQ117" i="28"/>
  <c r="AQ118" i="28"/>
  <c r="AQ119" i="28"/>
  <c r="AQ121" i="28"/>
  <c r="AQ122" i="28"/>
  <c r="AQ123" i="28"/>
  <c r="AQ124" i="28"/>
  <c r="AQ125" i="28"/>
  <c r="AQ126" i="28"/>
  <c r="AQ127" i="28"/>
  <c r="AQ129" i="28"/>
  <c r="AQ130" i="28"/>
  <c r="AQ131" i="28"/>
  <c r="AQ132" i="28"/>
  <c r="AQ133" i="28"/>
  <c r="AQ134" i="28"/>
  <c r="AQ135" i="28"/>
  <c r="AQ137" i="28"/>
  <c r="AQ138" i="28"/>
  <c r="AQ139" i="28"/>
  <c r="AQ140" i="28"/>
  <c r="AQ141" i="28"/>
  <c r="AQ142" i="28"/>
  <c r="AQ143" i="28"/>
  <c r="AQ145" i="28"/>
  <c r="AQ146" i="28"/>
  <c r="AQ147" i="28"/>
  <c r="AQ148" i="28"/>
  <c r="AQ149" i="28"/>
  <c r="AQ150" i="28"/>
  <c r="AQ151" i="28"/>
  <c r="AQ153" i="28"/>
  <c r="AQ154" i="28"/>
  <c r="AQ155" i="28"/>
  <c r="AQ156" i="28"/>
  <c r="AQ157" i="28"/>
  <c r="AQ158" i="28"/>
  <c r="AQ159" i="28"/>
  <c r="AQ161" i="28"/>
  <c r="AQ162" i="28"/>
  <c r="AQ163" i="28"/>
  <c r="AQ164" i="28"/>
  <c r="AQ165" i="28"/>
  <c r="AQ166" i="28"/>
  <c r="AQ167" i="28"/>
  <c r="AQ169" i="28"/>
  <c r="AQ170" i="28"/>
  <c r="AQ171" i="28"/>
  <c r="AQ172" i="28"/>
  <c r="AQ173" i="28"/>
  <c r="AQ174" i="28"/>
  <c r="AQ175" i="28"/>
  <c r="AQ177" i="28"/>
  <c r="AQ178" i="28"/>
  <c r="AQ179" i="28"/>
  <c r="AQ180" i="28"/>
  <c r="AQ181" i="28"/>
  <c r="AQ182" i="28"/>
  <c r="AQ183" i="28"/>
  <c r="AQ185" i="28"/>
  <c r="AQ186" i="28"/>
  <c r="AQ187" i="28"/>
  <c r="AQ188" i="28"/>
  <c r="AQ189" i="28"/>
  <c r="AQ190" i="28"/>
  <c r="AQ191" i="28"/>
  <c r="AQ193" i="28"/>
  <c r="AQ194" i="28"/>
  <c r="AQ195" i="28"/>
  <c r="AQ196" i="28"/>
  <c r="AQ197" i="28"/>
  <c r="AQ198" i="28"/>
  <c r="AQ199" i="28"/>
  <c r="AQ201" i="28"/>
  <c r="AQ202" i="28"/>
  <c r="AQ203" i="28"/>
  <c r="AQ204" i="28"/>
  <c r="AQ205" i="28"/>
  <c r="AQ206" i="28"/>
  <c r="AQ207" i="28"/>
  <c r="AQ209" i="28"/>
  <c r="AQ210" i="28"/>
  <c r="AQ211" i="28"/>
  <c r="AQ212" i="28"/>
  <c r="AQ213" i="28"/>
  <c r="AQ214" i="28"/>
  <c r="AQ215" i="28"/>
  <c r="AQ217" i="28"/>
  <c r="AQ218" i="28"/>
  <c r="AQ219" i="28"/>
  <c r="AQ220" i="28"/>
  <c r="AQ221" i="28"/>
  <c r="AQ222" i="28"/>
  <c r="AQ223" i="28"/>
  <c r="AQ225" i="28"/>
  <c r="AQ226" i="28"/>
  <c r="AQ227" i="28"/>
  <c r="AQ228" i="28"/>
  <c r="AQ229" i="28"/>
  <c r="AQ230" i="28"/>
  <c r="AQ231" i="28"/>
  <c r="AQ233" i="28"/>
  <c r="AQ234" i="28"/>
  <c r="AQ235" i="28"/>
  <c r="AQ236" i="28"/>
  <c r="AQ237" i="28"/>
  <c r="AQ238" i="28"/>
  <c r="AQ239" i="28"/>
  <c r="AQ241" i="28"/>
  <c r="AQ242" i="28"/>
  <c r="AQ243" i="28"/>
  <c r="AQ244" i="28"/>
  <c r="AQ245" i="28"/>
  <c r="AQ246" i="28"/>
  <c r="AQ247" i="28"/>
  <c r="AQ249" i="28"/>
  <c r="AQ250" i="28"/>
  <c r="AQ251" i="28"/>
  <c r="AQ252" i="28"/>
  <c r="AQ253" i="28"/>
  <c r="AQ254" i="28"/>
  <c r="AQ255" i="28"/>
  <c r="AQ257" i="28"/>
  <c r="AQ258" i="28"/>
  <c r="AQ259" i="28"/>
  <c r="AQ260" i="28"/>
  <c r="AQ261" i="28"/>
  <c r="AQ262" i="28"/>
  <c r="AQ263" i="28"/>
  <c r="AQ265" i="28"/>
  <c r="AQ266" i="28"/>
  <c r="AV4" i="28"/>
  <c r="AV7" i="28"/>
  <c r="AV9" i="28"/>
  <c r="AV11" i="28"/>
  <c r="AV13" i="28"/>
  <c r="AV15" i="28"/>
  <c r="AV19" i="28"/>
  <c r="AV21" i="28"/>
  <c r="AV23" i="28"/>
  <c r="AV25" i="28"/>
  <c r="AV27" i="28"/>
  <c r="AV29" i="28"/>
  <c r="AV31" i="28"/>
  <c r="AV34" i="28"/>
  <c r="AV35" i="28"/>
  <c r="AV36" i="28"/>
  <c r="AV37" i="28"/>
  <c r="AV38" i="28"/>
  <c r="AV39" i="28"/>
  <c r="AV40" i="28"/>
  <c r="AV42" i="28"/>
  <c r="AV43" i="28"/>
  <c r="AV44" i="28"/>
  <c r="AV45" i="28"/>
  <c r="AV46" i="28"/>
  <c r="AV47" i="28"/>
  <c r="AV48" i="28"/>
  <c r="AV50" i="28"/>
  <c r="AV51" i="28"/>
  <c r="AV52" i="28"/>
  <c r="AV53" i="28"/>
  <c r="AV54" i="28"/>
  <c r="AV55" i="28"/>
  <c r="AV56" i="28"/>
  <c r="AV58" i="28"/>
  <c r="AV59" i="28"/>
  <c r="AV60" i="28"/>
  <c r="AV61" i="28"/>
  <c r="AV62" i="28"/>
  <c r="AV63" i="28"/>
  <c r="AV64" i="28"/>
  <c r="AV65" i="28"/>
  <c r="AV66" i="28"/>
  <c r="AV68" i="28"/>
  <c r="AV69" i="28"/>
  <c r="AV70" i="28"/>
  <c r="AV71" i="28"/>
  <c r="AV72" i="28"/>
  <c r="AV73" i="28"/>
  <c r="AV74" i="28"/>
  <c r="AV75" i="28"/>
  <c r="AV76" i="28"/>
  <c r="AV77" i="28"/>
  <c r="AV78" i="28"/>
  <c r="AV79" i="28"/>
  <c r="AV80" i="28"/>
  <c r="AV81" i="28"/>
  <c r="AV82" i="28"/>
  <c r="AV84" i="28"/>
  <c r="AV85" i="28"/>
  <c r="AV86" i="28"/>
  <c r="AV87" i="28"/>
  <c r="AV88" i="28"/>
  <c r="AV89" i="28"/>
  <c r="AV90" i="28"/>
  <c r="AV91" i="28"/>
  <c r="AV92" i="28"/>
  <c r="AV93" i="28"/>
  <c r="AV94" i="28"/>
  <c r="AV95" i="28"/>
  <c r="AV96" i="28"/>
  <c r="AV97" i="28"/>
  <c r="AV98" i="28"/>
  <c r="AV100" i="28"/>
  <c r="AV101" i="28"/>
  <c r="AV102" i="28"/>
  <c r="AV103" i="28"/>
  <c r="AV104" i="28"/>
  <c r="AV105" i="28"/>
  <c r="AV106" i="28"/>
  <c r="AV107" i="28"/>
  <c r="AV108" i="28"/>
  <c r="AV109" i="28"/>
  <c r="AV110" i="28"/>
  <c r="AV111" i="28"/>
  <c r="AV112" i="28"/>
  <c r="AV113" i="28"/>
  <c r="AV114" i="28"/>
  <c r="AV116" i="28"/>
  <c r="AV117" i="28"/>
  <c r="AV118" i="28"/>
  <c r="AV119" i="28"/>
  <c r="AV120" i="28"/>
  <c r="AV121" i="28"/>
  <c r="AV122" i="28"/>
  <c r="AV123" i="28"/>
  <c r="AV124" i="28"/>
  <c r="AV125" i="28"/>
  <c r="AV126" i="28"/>
  <c r="AV127" i="28"/>
  <c r="AV128" i="28"/>
  <c r="AV129" i="28"/>
  <c r="AV130" i="28"/>
  <c r="AV132" i="28"/>
  <c r="AV133" i="28"/>
  <c r="AV134" i="28"/>
  <c r="AV135" i="28"/>
  <c r="AV136" i="28"/>
  <c r="AV137" i="28"/>
  <c r="AV138" i="28"/>
  <c r="AV139" i="28"/>
  <c r="AV140" i="28"/>
  <c r="AV141" i="28"/>
  <c r="AV142" i="28"/>
  <c r="AV143" i="28"/>
  <c r="AV144" i="28"/>
  <c r="AV145" i="28"/>
  <c r="AV146" i="28"/>
  <c r="AV148" i="28"/>
  <c r="AV149" i="28"/>
  <c r="AV150" i="28"/>
  <c r="AV151" i="28"/>
  <c r="AV152" i="28"/>
  <c r="AV153" i="28"/>
  <c r="AV154" i="28"/>
  <c r="AV155" i="28"/>
  <c r="AV156" i="28"/>
  <c r="AV157" i="28"/>
  <c r="AV158" i="28"/>
  <c r="AV159" i="28"/>
  <c r="AV160" i="28"/>
  <c r="AV161" i="28"/>
  <c r="AV162" i="28"/>
  <c r="AV164" i="28"/>
  <c r="AV165" i="28"/>
  <c r="AV166" i="28"/>
  <c r="AV167" i="28"/>
  <c r="AV168" i="28"/>
  <c r="AV169" i="28"/>
  <c r="AV170" i="28"/>
  <c r="AV171" i="28"/>
  <c r="AV172" i="28"/>
  <c r="AV173" i="28"/>
  <c r="AV174" i="28"/>
  <c r="AV175" i="28"/>
  <c r="AV176" i="28"/>
  <c r="AV177" i="28"/>
  <c r="AV178" i="28"/>
  <c r="AV180" i="28"/>
  <c r="AV181" i="28"/>
  <c r="AV182" i="28"/>
  <c r="AV183" i="28"/>
  <c r="AV184" i="28"/>
  <c r="AV185" i="28"/>
  <c r="AV186" i="28"/>
  <c r="AV187" i="28"/>
  <c r="AV188" i="28"/>
  <c r="AV189" i="28"/>
  <c r="AV190" i="28"/>
  <c r="AV191" i="28"/>
  <c r="AV192" i="28"/>
  <c r="AV193" i="28"/>
  <c r="AV194" i="28"/>
  <c r="AV196" i="28"/>
  <c r="AV197" i="28"/>
  <c r="AV198" i="28"/>
  <c r="AV199" i="28"/>
  <c r="AV200" i="28"/>
  <c r="AV201" i="28"/>
  <c r="AV202" i="28"/>
  <c r="AV203" i="28"/>
  <c r="AV204" i="28"/>
  <c r="AV205" i="28"/>
  <c r="AV206" i="28"/>
  <c r="AV207" i="28"/>
  <c r="AV208" i="28"/>
  <c r="AV209" i="28"/>
  <c r="AV210" i="28"/>
  <c r="AV212" i="28"/>
  <c r="AV213" i="28"/>
  <c r="AV214" i="28"/>
  <c r="AV215" i="28"/>
  <c r="AV216" i="28"/>
  <c r="AV217" i="28"/>
  <c r="AV218" i="28"/>
  <c r="AV219" i="28"/>
  <c r="AV220" i="28"/>
  <c r="AV221" i="28"/>
  <c r="AV222" i="28"/>
  <c r="AV223" i="28"/>
  <c r="AV224" i="28"/>
  <c r="AV225" i="28"/>
  <c r="AV226" i="28"/>
  <c r="AV228" i="28"/>
  <c r="AV229" i="28"/>
  <c r="AV230" i="28"/>
  <c r="AV231" i="28"/>
  <c r="AV232" i="28"/>
  <c r="AV233" i="28"/>
  <c r="AV234" i="28"/>
  <c r="AV235" i="28"/>
  <c r="AV236" i="28"/>
  <c r="AV237" i="28"/>
  <c r="AV238" i="28"/>
  <c r="AV239" i="28"/>
  <c r="AV240" i="28"/>
  <c r="AV241" i="28"/>
  <c r="AV242" i="28"/>
  <c r="AV244" i="28"/>
  <c r="AV245" i="28"/>
  <c r="AV246" i="28"/>
  <c r="AV247" i="28"/>
  <c r="AV248" i="28"/>
  <c r="AV249" i="28"/>
  <c r="AV250" i="28"/>
  <c r="AV251" i="28"/>
  <c r="AV252" i="28"/>
  <c r="AV253" i="28"/>
  <c r="AV254" i="28"/>
  <c r="AV255" i="28"/>
  <c r="AV256" i="28"/>
  <c r="AV257" i="28"/>
  <c r="AV258" i="28"/>
  <c r="AV260" i="28"/>
  <c r="AV261" i="28"/>
  <c r="AV262" i="28"/>
  <c r="AV263" i="28"/>
  <c r="AV264" i="28"/>
  <c r="AV265" i="28"/>
  <c r="AV266" i="28"/>
  <c r="BA4" i="28"/>
  <c r="BA7" i="28"/>
  <c r="BA9" i="28"/>
  <c r="BA11" i="28"/>
  <c r="BA13" i="28"/>
  <c r="BA15" i="28"/>
  <c r="BA17" i="28"/>
  <c r="BA18" i="28"/>
  <c r="BA20" i="28"/>
  <c r="BA21" i="28"/>
  <c r="BA22" i="28"/>
  <c r="BA23" i="28"/>
  <c r="BA24" i="28"/>
  <c r="BA25" i="28"/>
  <c r="BA26" i="28"/>
  <c r="BA27" i="28"/>
  <c r="BA28" i="28"/>
  <c r="BA29" i="28"/>
  <c r="BA30" i="28"/>
  <c r="BA31" i="28"/>
  <c r="BA32" i="28"/>
  <c r="BA33" i="28"/>
  <c r="BA34" i="28"/>
  <c r="BA36" i="28"/>
  <c r="BA37" i="28"/>
  <c r="BA38" i="28"/>
  <c r="BA39" i="28"/>
  <c r="BA40" i="28"/>
  <c r="BA41" i="28"/>
  <c r="BA42" i="28"/>
  <c r="BA43" i="28"/>
  <c r="BA44" i="28"/>
  <c r="BA45" i="28"/>
  <c r="BA46" i="28"/>
  <c r="BA47" i="28"/>
  <c r="BA48" i="28"/>
  <c r="BA49" i="28"/>
  <c r="BA50" i="28"/>
  <c r="BA52" i="28"/>
  <c r="BA53" i="28"/>
  <c r="BA54" i="28"/>
  <c r="BA55" i="28"/>
  <c r="BA56" i="28"/>
  <c r="BA57" i="28"/>
  <c r="BA58" i="28"/>
  <c r="BA59" i="28"/>
  <c r="BA60" i="28"/>
  <c r="BA61" i="28"/>
  <c r="BA62" i="28"/>
  <c r="BA63" i="28"/>
  <c r="BA64" i="28"/>
  <c r="BA65" i="28"/>
  <c r="BA66" i="28"/>
  <c r="BA68" i="28"/>
  <c r="BA69" i="28"/>
  <c r="BA70" i="28"/>
  <c r="BA71" i="28"/>
  <c r="BA72" i="28"/>
  <c r="BA73" i="28"/>
  <c r="BA74" i="28"/>
  <c r="BA75" i="28"/>
  <c r="BA76" i="28"/>
  <c r="BA77" i="28"/>
  <c r="BA78" i="28"/>
  <c r="BA79" i="28"/>
  <c r="BA80" i="28"/>
  <c r="BA81" i="28"/>
  <c r="BA82" i="28"/>
  <c r="BA84" i="28"/>
  <c r="BA85" i="28"/>
  <c r="BA86" i="28"/>
  <c r="BA87" i="28"/>
  <c r="BA88" i="28"/>
  <c r="BA89" i="28"/>
  <c r="BA90" i="28"/>
  <c r="BA91" i="28"/>
  <c r="BA92" i="28"/>
  <c r="BA93" i="28"/>
  <c r="BA94" i="28"/>
  <c r="BA95" i="28"/>
  <c r="BA96" i="28"/>
  <c r="BA97" i="28"/>
  <c r="BA98" i="28"/>
  <c r="BA99" i="28"/>
  <c r="BA100" i="28"/>
  <c r="BA101" i="28"/>
  <c r="BA102" i="28"/>
  <c r="BA103" i="28"/>
  <c r="BA104" i="28"/>
  <c r="BA105" i="28"/>
  <c r="BA106" i="28"/>
  <c r="BA107" i="28"/>
  <c r="BA108" i="28"/>
  <c r="BA109" i="28"/>
  <c r="BA110" i="28"/>
  <c r="BA112" i="28"/>
  <c r="BA113" i="28"/>
  <c r="BA114" i="28"/>
  <c r="BA115" i="28"/>
  <c r="BA116" i="28"/>
  <c r="BA117" i="28"/>
  <c r="BA118" i="28"/>
  <c r="BA119" i="28"/>
  <c r="BA120" i="28"/>
  <c r="BA121" i="28"/>
  <c r="BA122" i="28"/>
  <c r="BA123" i="28"/>
  <c r="BA124" i="28"/>
  <c r="BA125" i="28"/>
  <c r="BA126" i="28"/>
  <c r="BA127" i="28"/>
  <c r="BA128" i="28"/>
  <c r="BA129" i="28"/>
  <c r="BA130" i="28"/>
  <c r="BA131" i="28"/>
  <c r="BA132" i="28"/>
  <c r="BA133" i="28"/>
  <c r="BA134" i="28"/>
  <c r="BA135" i="28"/>
  <c r="BA136" i="28"/>
  <c r="BA137" i="28"/>
  <c r="H61" i="23"/>
  <c r="T68" i="23"/>
  <c r="X61" i="23"/>
  <c r="AJ61" i="23"/>
  <c r="BA138" i="28"/>
  <c r="BA139" i="28"/>
  <c r="BA140" i="28"/>
  <c r="BA141" i="28"/>
  <c r="BA142" i="28"/>
  <c r="BA144" i="28"/>
  <c r="BA145" i="28"/>
  <c r="BA146" i="28"/>
  <c r="BA147" i="28"/>
  <c r="BA148" i="28"/>
  <c r="BA149" i="28"/>
  <c r="BA150" i="28"/>
  <c r="BA151" i="28"/>
  <c r="BA152" i="28"/>
  <c r="BA153" i="28"/>
  <c r="BA154" i="28"/>
  <c r="BA155" i="28"/>
  <c r="BA156" i="28"/>
  <c r="BA157" i="28"/>
  <c r="BA158" i="28"/>
  <c r="BA159" i="28"/>
  <c r="BA160" i="28"/>
  <c r="BA161" i="28"/>
  <c r="BA162" i="28"/>
  <c r="BA163" i="28"/>
  <c r="BA164" i="28"/>
  <c r="BA165" i="28"/>
  <c r="BA166" i="28"/>
  <c r="BA167" i="28"/>
  <c r="BA168" i="28"/>
  <c r="BA169" i="28"/>
  <c r="BA170" i="28"/>
  <c r="BA171" i="28"/>
  <c r="BA172" i="28"/>
  <c r="BA173" i="28"/>
  <c r="BA174" i="28"/>
  <c r="BA176" i="28"/>
  <c r="BA177" i="28"/>
  <c r="BA178" i="28"/>
  <c r="BA179" i="28"/>
  <c r="BA180" i="28"/>
  <c r="BA181" i="28"/>
  <c r="BA182" i="28"/>
  <c r="BA183" i="28"/>
  <c r="BA184" i="28"/>
  <c r="BA185" i="28"/>
  <c r="BA186" i="28"/>
  <c r="BA187" i="28"/>
  <c r="BA188" i="28"/>
  <c r="BA189" i="28"/>
  <c r="BA190" i="28"/>
  <c r="BA191" i="28"/>
  <c r="BA192" i="28"/>
  <c r="BA193" i="28"/>
  <c r="BA194" i="28"/>
  <c r="BA195" i="28"/>
  <c r="BA196" i="28"/>
  <c r="BA197" i="28"/>
  <c r="BA198" i="28"/>
  <c r="BA199" i="28"/>
  <c r="BA200" i="28"/>
  <c r="BA201" i="28"/>
  <c r="BA202" i="28"/>
  <c r="BA204" i="28"/>
  <c r="BA206" i="28"/>
  <c r="BA208" i="28"/>
  <c r="BA210" i="28"/>
  <c r="BA212" i="28"/>
  <c r="BA214" i="28"/>
  <c r="BA216" i="28"/>
  <c r="BA218" i="28"/>
  <c r="BA220" i="28"/>
  <c r="BA222" i="28"/>
  <c r="BA224" i="28"/>
  <c r="BA226" i="28"/>
  <c r="BA228" i="28"/>
  <c r="BA230" i="28"/>
  <c r="BA232" i="28"/>
  <c r="BA234" i="28"/>
  <c r="BA236" i="28"/>
  <c r="BA238" i="28"/>
  <c r="BA240" i="28"/>
  <c r="BA242" i="28"/>
  <c r="BA244" i="28"/>
  <c r="BF4" i="28"/>
  <c r="M8" i="28"/>
  <c r="M10" i="28"/>
  <c r="M12" i="28"/>
  <c r="H37" i="28"/>
  <c r="H125" i="28"/>
  <c r="H156" i="28"/>
  <c r="H206" i="28"/>
  <c r="AP72" i="23"/>
  <c r="AP98" i="23" s="1"/>
  <c r="AT72" i="23"/>
  <c r="AT98" i="23" s="1"/>
  <c r="AT74" i="23"/>
  <c r="AT100" i="23" s="1"/>
  <c r="K68" i="23"/>
  <c r="O68" i="23"/>
  <c r="X68" i="23"/>
  <c r="AB68" i="23"/>
  <c r="AH72" i="23"/>
  <c r="AH98" i="23" s="1"/>
  <c r="AE68" i="23"/>
  <c r="AL74" i="23"/>
  <c r="AL100" i="23" s="1"/>
  <c r="AJ68" i="23"/>
  <c r="AP74" i="23"/>
  <c r="AP100" i="23" s="1"/>
  <c r="H12" i="28"/>
  <c r="AH61" i="23"/>
  <c r="G61" i="23"/>
  <c r="G68" i="23"/>
  <c r="H68" i="23"/>
  <c r="L68" i="23"/>
  <c r="P61" i="23"/>
  <c r="P68" i="23"/>
  <c r="S68" i="23"/>
  <c r="W61" i="23"/>
  <c r="W68" i="23"/>
  <c r="AA61" i="23"/>
  <c r="AA68" i="23"/>
  <c r="AE61" i="23"/>
  <c r="AI61" i="23"/>
  <c r="AI68" i="23"/>
  <c r="AM61" i="23"/>
  <c r="AR61" i="23"/>
  <c r="AR68" i="23"/>
  <c r="AU61" i="23"/>
  <c r="AH74" i="23"/>
  <c r="AH100" i="23" s="1"/>
  <c r="AL72" i="23"/>
  <c r="AL98" i="23" s="1"/>
  <c r="AP50" i="23"/>
  <c r="AP71" i="23" s="1"/>
  <c r="AP52" i="23"/>
  <c r="AP73" i="23" s="1"/>
  <c r="AP99" i="23" s="1"/>
  <c r="M5" i="28"/>
  <c r="M7" i="28"/>
  <c r="R5" i="28"/>
  <c r="R6" i="28"/>
  <c r="R8" i="28"/>
  <c r="R10" i="28"/>
  <c r="R12" i="28"/>
  <c r="R14" i="28"/>
  <c r="W5" i="28"/>
  <c r="W6" i="28"/>
  <c r="W8" i="28"/>
  <c r="W10" i="28"/>
  <c r="W12" i="28"/>
  <c r="W14" i="28"/>
  <c r="W16" i="28"/>
  <c r="W18" i="28"/>
  <c r="W20" i="28"/>
  <c r="W22" i="28"/>
  <c r="W24" i="28"/>
  <c r="W26" i="28"/>
  <c r="W28" i="28"/>
  <c r="AB5" i="28"/>
  <c r="AB6" i="28"/>
  <c r="AB8" i="28"/>
  <c r="AB10" i="28"/>
  <c r="AB12" i="28"/>
  <c r="AB14" i="28"/>
  <c r="AB16" i="28"/>
  <c r="AB18" i="28"/>
  <c r="AB20" i="28"/>
  <c r="AB24" i="28"/>
  <c r="AG5" i="28"/>
  <c r="AG6" i="28"/>
  <c r="AG8" i="28"/>
  <c r="AG10" i="28"/>
  <c r="AG12" i="28"/>
  <c r="AG14" i="28"/>
  <c r="AL5" i="28"/>
  <c r="AL6" i="28"/>
  <c r="AL8" i="28"/>
  <c r="AL10" i="28"/>
  <c r="AQ5" i="28"/>
  <c r="AQ6" i="28"/>
  <c r="AQ8" i="28"/>
  <c r="AQ10" i="28"/>
  <c r="AQ12" i="28"/>
  <c r="AQ14" i="28"/>
  <c r="AQ16" i="28"/>
  <c r="AQ18" i="28"/>
  <c r="AQ20" i="28"/>
  <c r="AQ22" i="28"/>
  <c r="AQ24" i="28"/>
  <c r="AV5" i="28"/>
  <c r="AV6" i="28"/>
  <c r="AV8" i="28"/>
  <c r="AV10" i="28"/>
  <c r="AV12" i="28"/>
  <c r="AV14" i="28"/>
  <c r="AV16" i="28"/>
  <c r="AV18" i="28"/>
  <c r="AV20" i="28"/>
  <c r="AV22" i="28"/>
  <c r="AV24" i="28"/>
  <c r="AV26" i="28"/>
  <c r="AV28" i="28"/>
  <c r="AV30" i="28"/>
  <c r="AV32" i="28"/>
  <c r="BA5" i="28"/>
  <c r="BA6" i="28"/>
  <c r="BA8" i="28"/>
  <c r="BA10" i="28"/>
  <c r="BA12" i="28"/>
  <c r="BA14" i="28"/>
  <c r="BA16" i="28"/>
  <c r="BF5" i="28"/>
  <c r="BF6" i="28"/>
  <c r="BF8" i="28"/>
  <c r="BF10" i="28"/>
  <c r="BF12" i="28"/>
  <c r="BF14" i="28"/>
  <c r="BF16" i="28"/>
  <c r="BF18" i="28"/>
  <c r="BF20" i="28"/>
  <c r="BF22" i="28"/>
  <c r="BF24" i="28"/>
  <c r="BF26" i="28"/>
  <c r="BF28" i="28"/>
  <c r="BF30" i="28"/>
  <c r="BF32" i="28"/>
  <c r="BF34" i="28"/>
  <c r="BF36" i="28"/>
  <c r="BF38" i="28"/>
  <c r="BF40" i="28"/>
  <c r="N8" i="23"/>
  <c r="AX29" i="23"/>
  <c r="AX43" i="23" s="1"/>
  <c r="H16" i="23"/>
  <c r="I23" i="23"/>
  <c r="L16" i="23"/>
  <c r="L23" i="23"/>
  <c r="O9" i="23"/>
  <c r="O16" i="23"/>
  <c r="S16" i="23"/>
  <c r="U16" i="23"/>
  <c r="T16" i="23"/>
  <c r="S23" i="23"/>
  <c r="Y9" i="23"/>
  <c r="W16" i="23"/>
  <c r="Y16" i="23"/>
  <c r="W23" i="23"/>
  <c r="Y23" i="23"/>
  <c r="AA16" i="23"/>
  <c r="AB16" i="23"/>
  <c r="AB23" i="23"/>
  <c r="AG9" i="23"/>
  <c r="AF16" i="23"/>
  <c r="AG23" i="23"/>
  <c r="AK16" i="23"/>
  <c r="AJ16" i="23"/>
  <c r="AR16" i="23"/>
  <c r="AQ23" i="23"/>
  <c r="AS23" i="23"/>
  <c r="AL19" i="14"/>
  <c r="AL21" i="14"/>
  <c r="AQ5" i="14"/>
  <c r="AQ9" i="14"/>
  <c r="AW26" i="23"/>
  <c r="AW30" i="23" s="1"/>
  <c r="AX7" i="23"/>
  <c r="AX28" i="23" s="1"/>
  <c r="AX42" i="23" s="1"/>
  <c r="AL5" i="14"/>
  <c r="AL7" i="14"/>
  <c r="AL9" i="14"/>
  <c r="AL11" i="14"/>
  <c r="AL13" i="14"/>
  <c r="AL15" i="14"/>
  <c r="AL17" i="14"/>
  <c r="N28" i="23"/>
  <c r="N42" i="23" s="1"/>
  <c r="V7" i="23"/>
  <c r="U28" i="23"/>
  <c r="U42" i="23" s="1"/>
  <c r="U23" i="23"/>
  <c r="V19" i="23"/>
  <c r="V23" i="23" s="1"/>
  <c r="AK26" i="23"/>
  <c r="AK30" i="23" s="1"/>
  <c r="AL5" i="23"/>
  <c r="AL26" i="23" s="1"/>
  <c r="AL40" i="23" s="1"/>
  <c r="AP12" i="23"/>
  <c r="AP16" i="23" s="1"/>
  <c r="AO16" i="23"/>
  <c r="I30" i="23"/>
  <c r="V5" i="23"/>
  <c r="U9" i="23"/>
  <c r="AD16" i="23"/>
  <c r="AP7" i="23"/>
  <c r="AP28" i="23" s="1"/>
  <c r="AP42" i="23" s="1"/>
  <c r="AO28" i="23"/>
  <c r="AO42" i="23" s="1"/>
  <c r="N5" i="23"/>
  <c r="Q28" i="23"/>
  <c r="Q42" i="23" s="1"/>
  <c r="Q23" i="23"/>
  <c r="AL7" i="23"/>
  <c r="AL28" i="23" s="1"/>
  <c r="AL42" i="23" s="1"/>
  <c r="AO9" i="23"/>
  <c r="H9" i="23"/>
  <c r="G16" i="23"/>
  <c r="G23" i="23"/>
  <c r="K9" i="23"/>
  <c r="K16" i="23"/>
  <c r="P16" i="23"/>
  <c r="P23" i="23"/>
  <c r="O23" i="23"/>
  <c r="AQ4" i="14"/>
  <c r="AQ6" i="14"/>
  <c r="AQ8" i="14"/>
  <c r="AQ10" i="14"/>
  <c r="AQ12" i="14"/>
  <c r="AV4" i="14"/>
  <c r="AV6" i="14"/>
  <c r="AV8" i="14"/>
  <c r="AV10" i="14"/>
  <c r="AV12" i="14"/>
  <c r="AV14" i="14"/>
  <c r="BA4" i="14"/>
  <c r="BA6" i="14"/>
  <c r="BA8" i="14"/>
  <c r="BA10" i="14"/>
  <c r="BA12" i="14"/>
  <c r="AL29" i="23"/>
  <c r="AL43" i="23" s="1"/>
  <c r="J16" i="23"/>
  <c r="M9" i="23"/>
  <c r="M16" i="23"/>
  <c r="Q9" i="23"/>
  <c r="AL27" i="23"/>
  <c r="AL41" i="23" s="1"/>
  <c r="AL16" i="23"/>
  <c r="AX26" i="23"/>
  <c r="AX40" i="23" s="1"/>
  <c r="G30" i="23"/>
  <c r="S9" i="23"/>
  <c r="W9" i="23"/>
  <c r="AE9" i="23"/>
  <c r="AE16" i="23"/>
  <c r="AE23" i="23"/>
  <c r="AI9" i="23"/>
  <c r="AI16" i="23"/>
  <c r="AQ9" i="23"/>
  <c r="AS9" i="23"/>
  <c r="AQ16" i="23"/>
  <c r="AS16" i="23"/>
  <c r="L30" i="23"/>
  <c r="N26" i="23"/>
  <c r="N40" i="23" s="1"/>
  <c r="N27" i="23"/>
  <c r="N41" i="23" s="1"/>
  <c r="N29" i="23"/>
  <c r="N43" i="23" s="1"/>
  <c r="N16" i="23"/>
  <c r="AX27" i="23"/>
  <c r="AX41" i="23" s="1"/>
  <c r="AX16" i="23"/>
  <c r="P30" i="23"/>
  <c r="V26" i="23"/>
  <c r="V40" i="23" s="1"/>
  <c r="V28" i="23"/>
  <c r="V42" i="23" s="1"/>
  <c r="X16" i="23"/>
  <c r="X23" i="23"/>
  <c r="AH16" i="23"/>
  <c r="AP26" i="23"/>
  <c r="AP40" i="23" s="1"/>
  <c r="AN16" i="23"/>
  <c r="AN23" i="23"/>
  <c r="J61" i="23"/>
  <c r="J68" i="23"/>
  <c r="V68" i="23"/>
  <c r="Z61" i="23"/>
  <c r="AF61" i="23"/>
  <c r="AF68" i="23"/>
  <c r="AN61" i="23"/>
  <c r="AN68" i="23"/>
  <c r="AT73" i="23"/>
  <c r="AT99" i="23" s="1"/>
  <c r="AX61" i="23"/>
  <c r="AH73" i="23"/>
  <c r="AH99" i="23" s="1"/>
  <c r="AH68" i="23"/>
  <c r="AX74" i="23"/>
  <c r="AX100" i="23" s="1"/>
  <c r="AX73" i="23"/>
  <c r="AX99" i="23" s="1"/>
  <c r="AX72" i="23"/>
  <c r="AX98" i="23" s="1"/>
  <c r="AX68" i="23"/>
  <c r="AT50" i="23"/>
  <c r="AT71" i="23" s="1"/>
  <c r="Z68" i="23"/>
  <c r="R61" i="23"/>
  <c r="R68" i="23"/>
  <c r="N68" i="23"/>
  <c r="AM98" i="23"/>
  <c r="AM100" i="23"/>
  <c r="AO99" i="23"/>
  <c r="AJ99" i="23"/>
  <c r="AJ106" i="23" s="1"/>
  <c r="AF99" i="23"/>
  <c r="AU97" i="23"/>
  <c r="AU75" i="23"/>
  <c r="AX71" i="23"/>
  <c r="AX54" i="23"/>
  <c r="AU54" i="23"/>
  <c r="AV97" i="23"/>
  <c r="AV75" i="23"/>
  <c r="AW54" i="23"/>
  <c r="AW61" i="23"/>
  <c r="AW68" i="23"/>
  <c r="AW71" i="23"/>
  <c r="AW72" i="23"/>
  <c r="AW98" i="23" s="1"/>
  <c r="AW73" i="23"/>
  <c r="AW99" i="23" s="1"/>
  <c r="AW106" i="23" s="1"/>
  <c r="AW74" i="23"/>
  <c r="AW100" i="23" s="1"/>
  <c r="AV54" i="23"/>
  <c r="AQ97" i="23"/>
  <c r="AQ75" i="23"/>
  <c r="AR97" i="23"/>
  <c r="AR75" i="23"/>
  <c r="AS54" i="23"/>
  <c r="AS61" i="23"/>
  <c r="AS68" i="23"/>
  <c r="AS72" i="23"/>
  <c r="AS98" i="23" s="1"/>
  <c r="AS105" i="23" s="1"/>
  <c r="AS74" i="23"/>
  <c r="AS100" i="23" s="1"/>
  <c r="AQ54" i="23"/>
  <c r="AT61" i="23"/>
  <c r="AT68" i="23"/>
  <c r="AR54" i="23"/>
  <c r="AM97" i="23"/>
  <c r="AM75" i="23"/>
  <c r="AN97" i="23"/>
  <c r="AN75" i="23"/>
  <c r="AO54" i="23"/>
  <c r="AO61" i="23"/>
  <c r="AO68" i="23"/>
  <c r="AO72" i="23"/>
  <c r="AO98" i="23" s="1"/>
  <c r="AO105" i="23" s="1"/>
  <c r="AO74" i="23"/>
  <c r="AO100" i="23" s="1"/>
  <c r="AO107" i="23" s="1"/>
  <c r="AM54" i="23"/>
  <c r="AP61" i="23"/>
  <c r="AP68" i="23"/>
  <c r="AN54" i="23"/>
  <c r="AI97" i="23"/>
  <c r="AI75" i="23"/>
  <c r="AJ97" i="23"/>
  <c r="AJ75" i="23"/>
  <c r="AK54" i="23"/>
  <c r="AK61" i="23"/>
  <c r="AK68" i="23"/>
  <c r="AK71" i="23"/>
  <c r="AK72" i="23"/>
  <c r="AK98" i="23" s="1"/>
  <c r="AK73" i="23"/>
  <c r="AK99" i="23" s="1"/>
  <c r="AK106" i="23" s="1"/>
  <c r="AK74" i="23"/>
  <c r="AK100" i="23" s="1"/>
  <c r="AL71" i="23"/>
  <c r="AL54" i="23"/>
  <c r="AI54" i="23"/>
  <c r="AL61" i="23"/>
  <c r="AL68" i="23"/>
  <c r="AJ54" i="23"/>
  <c r="AE97" i="23"/>
  <c r="AE75" i="23"/>
  <c r="AG54" i="23"/>
  <c r="AG61" i="23"/>
  <c r="AG68" i="23"/>
  <c r="AG71" i="23"/>
  <c r="AG72" i="23"/>
  <c r="AG98" i="23" s="1"/>
  <c r="AG105" i="23" s="1"/>
  <c r="AG73" i="23"/>
  <c r="AG99" i="23" s="1"/>
  <c r="AG74" i="23"/>
  <c r="AG100" i="23" s="1"/>
  <c r="AG107" i="23" s="1"/>
  <c r="AF97" i="23"/>
  <c r="AF75" i="23"/>
  <c r="AH71" i="23"/>
  <c r="AH54" i="23"/>
  <c r="AE54" i="23"/>
  <c r="AF54" i="23"/>
  <c r="AC61" i="23"/>
  <c r="AC68" i="23"/>
  <c r="AD61" i="23"/>
  <c r="AD68" i="23"/>
  <c r="Y61" i="23"/>
  <c r="Y68" i="23"/>
  <c r="U68" i="23"/>
  <c r="Q61" i="23"/>
  <c r="Q68" i="23"/>
  <c r="M68" i="23"/>
  <c r="I61" i="23"/>
  <c r="I68" i="23"/>
  <c r="AV30" i="23"/>
  <c r="AU26" i="23"/>
  <c r="AU30" i="23" s="1"/>
  <c r="AW9" i="23"/>
  <c r="AM9" i="23"/>
  <c r="AN30" i="23"/>
  <c r="AP29" i="23"/>
  <c r="AP43" i="23" s="1"/>
  <c r="AJ30" i="23"/>
  <c r="AI26" i="23"/>
  <c r="AI30" i="23" s="1"/>
  <c r="AK9" i="23"/>
  <c r="AF9" i="23"/>
  <c r="V29" i="23"/>
  <c r="V43" i="23" s="1"/>
  <c r="V16" i="23"/>
  <c r="R29" i="23"/>
  <c r="R43" i="23" s="1"/>
  <c r="R16" i="23"/>
  <c r="AV9" i="23"/>
  <c r="AU23" i="23"/>
  <c r="AW23" i="23"/>
  <c r="AT5" i="23"/>
  <c r="AT6" i="23"/>
  <c r="AT27" i="23" s="1"/>
  <c r="AT41" i="23" s="1"/>
  <c r="AT7" i="23"/>
  <c r="AT28" i="23" s="1"/>
  <c r="AT42" i="23" s="1"/>
  <c r="AT8" i="23"/>
  <c r="AT29" i="23" s="1"/>
  <c r="AT43" i="23" s="1"/>
  <c r="AR9" i="23"/>
  <c r="AT12" i="23"/>
  <c r="AT16" i="23" s="1"/>
  <c r="AQ26" i="23"/>
  <c r="AQ30" i="23" s="1"/>
  <c r="AS26" i="23"/>
  <c r="AS30" i="23" s="1"/>
  <c r="AM30" i="23"/>
  <c r="AN9" i="23"/>
  <c r="AM23" i="23"/>
  <c r="AO23" i="23"/>
  <c r="AJ9" i="23"/>
  <c r="AI23" i="23"/>
  <c r="AK23" i="23"/>
  <c r="AF30" i="23"/>
  <c r="AG16" i="23"/>
  <c r="AF23" i="23"/>
  <c r="AH5" i="23"/>
  <c r="AH6" i="23"/>
  <c r="AH27" i="23" s="1"/>
  <c r="AH41" i="23" s="1"/>
  <c r="AH7" i="23"/>
  <c r="AH28" i="23" s="1"/>
  <c r="AH42" i="23" s="1"/>
  <c r="AH8" i="23"/>
  <c r="AH29" i="23" s="1"/>
  <c r="AH43" i="23" s="1"/>
  <c r="AH19" i="23"/>
  <c r="AH23" i="23" s="1"/>
  <c r="AE26" i="23"/>
  <c r="AE30" i="23" s="1"/>
  <c r="AG26" i="23"/>
  <c r="AG30" i="23" s="1"/>
  <c r="AA23" i="23"/>
  <c r="AC23" i="23"/>
  <c r="X30" i="23"/>
  <c r="Z5" i="23"/>
  <c r="Z6" i="23"/>
  <c r="Z27" i="23" s="1"/>
  <c r="Z41" i="23" s="1"/>
  <c r="Z7" i="23"/>
  <c r="Z28" i="23" s="1"/>
  <c r="Z42" i="23" s="1"/>
  <c r="Z8" i="23"/>
  <c r="Z29" i="23" s="1"/>
  <c r="Z43" i="23" s="1"/>
  <c r="X9" i="23"/>
  <c r="Z12" i="23"/>
  <c r="Z16" i="23" s="1"/>
  <c r="Z19" i="23"/>
  <c r="Z23" i="23" s="1"/>
  <c r="W26" i="23"/>
  <c r="W30" i="23" s="1"/>
  <c r="Y26" i="23"/>
  <c r="Y30" i="23" s="1"/>
  <c r="T9" i="23"/>
  <c r="S26" i="23"/>
  <c r="S30" i="23" s="1"/>
  <c r="U26" i="23"/>
  <c r="U40" i="23" s="1"/>
  <c r="R5" i="23"/>
  <c r="R6" i="23"/>
  <c r="R27" i="23" s="1"/>
  <c r="R41" i="23" s="1"/>
  <c r="P9" i="23"/>
  <c r="O26" i="23"/>
  <c r="O30" i="23" s="1"/>
  <c r="Q26" i="23"/>
  <c r="Q40" i="23" s="1"/>
  <c r="L9" i="23"/>
  <c r="K23" i="23"/>
  <c r="M23" i="23"/>
  <c r="H30" i="23"/>
  <c r="G9" i="23"/>
  <c r="I9" i="23"/>
  <c r="I16" i="23"/>
  <c r="H23" i="23"/>
  <c r="J5" i="23"/>
  <c r="J6" i="23"/>
  <c r="J27" i="23" s="1"/>
  <c r="J41" i="23" s="1"/>
  <c r="J7" i="23"/>
  <c r="J28" i="23" s="1"/>
  <c r="J42" i="23" s="1"/>
  <c r="J8" i="23"/>
  <c r="J29" i="23" s="1"/>
  <c r="J43" i="23" s="1"/>
  <c r="J19" i="23"/>
  <c r="J23" i="23" s="1"/>
  <c r="D146" i="16"/>
  <c r="E146" i="16"/>
  <c r="F146" i="16"/>
  <c r="G146" i="16"/>
  <c r="H146" i="16"/>
  <c r="I146" i="16"/>
  <c r="J146" i="16"/>
  <c r="K146" i="16"/>
  <c r="L146" i="16"/>
  <c r="M146" i="16"/>
  <c r="N146" i="16"/>
  <c r="D134" i="16"/>
  <c r="E134" i="16"/>
  <c r="F134" i="16"/>
  <c r="G134" i="16"/>
  <c r="H134" i="16"/>
  <c r="I134" i="16"/>
  <c r="J134" i="16"/>
  <c r="K134" i="16"/>
  <c r="L134" i="16"/>
  <c r="M134" i="16"/>
  <c r="N134" i="16"/>
  <c r="D122" i="16"/>
  <c r="C146" i="16"/>
  <c r="C134" i="16"/>
  <c r="AK23" i="35"/>
  <c r="AJ23" i="35"/>
  <c r="AI23" i="35"/>
  <c r="AH23" i="35"/>
  <c r="AG23" i="35"/>
  <c r="AF23" i="35"/>
  <c r="AE23" i="35"/>
  <c r="AD23" i="35"/>
  <c r="AC23" i="35"/>
  <c r="AB23" i="35"/>
  <c r="AA23" i="35"/>
  <c r="Z23" i="35"/>
  <c r="Y23" i="35"/>
  <c r="X23" i="35"/>
  <c r="W23" i="35"/>
  <c r="K30" i="23" l="1"/>
  <c r="U44" i="23"/>
  <c r="U110" i="23" s="1"/>
  <c r="AG106" i="23"/>
  <c r="AK107" i="23"/>
  <c r="AK105" i="23"/>
  <c r="AS107" i="23"/>
  <c r="AW107" i="23"/>
  <c r="AW105" i="23"/>
  <c r="AF106" i="23"/>
  <c r="AM105" i="23"/>
  <c r="AM106" i="23"/>
  <c r="AV105" i="23"/>
  <c r="AS106" i="23"/>
  <c r="M30" i="23"/>
  <c r="Q44" i="23"/>
  <c r="Q110" i="23" s="1"/>
  <c r="AM107" i="23"/>
  <c r="AN107" i="23"/>
  <c r="AN105" i="23"/>
  <c r="AJ107" i="23"/>
  <c r="AI106" i="23"/>
  <c r="AF107" i="23"/>
  <c r="AF105" i="23"/>
  <c r="AE107" i="23"/>
  <c r="AU106" i="23"/>
  <c r="AI107" i="23"/>
  <c r="AU105" i="23"/>
  <c r="AQ105" i="23"/>
  <c r="I44" i="23"/>
  <c r="I110" i="23" s="1"/>
  <c r="AP44" i="23"/>
  <c r="AP110" i="23" s="1"/>
  <c r="N44" i="23"/>
  <c r="N110" i="23" s="1"/>
  <c r="AX44" i="23"/>
  <c r="AX110" i="23" s="1"/>
  <c r="AO44" i="23"/>
  <c r="AO110" i="23" s="1"/>
  <c r="V44" i="23"/>
  <c r="V110" i="23" s="1"/>
  <c r="AL44" i="23"/>
  <c r="AL110" i="23" s="1"/>
  <c r="AO106" i="23"/>
  <c r="AX106" i="23"/>
  <c r="AP106" i="23"/>
  <c r="AL105" i="23"/>
  <c r="AP107" i="23"/>
  <c r="AL107" i="23"/>
  <c r="AH105" i="23"/>
  <c r="AT105" i="23"/>
  <c r="AO104" i="23"/>
  <c r="AO108" i="23" s="1"/>
  <c r="AL106" i="23"/>
  <c r="AV44" i="23"/>
  <c r="AV110" i="23" s="1"/>
  <c r="AR41" i="23"/>
  <c r="AR44" i="23" s="1"/>
  <c r="AR110" i="23" s="1"/>
  <c r="AN44" i="23"/>
  <c r="AN110" i="23" s="1"/>
  <c r="AJ44" i="23"/>
  <c r="AJ110" i="23" s="1"/>
  <c r="AF44" i="23"/>
  <c r="AF110" i="23" s="1"/>
  <c r="X44" i="23"/>
  <c r="X110" i="23" s="1"/>
  <c r="T40" i="23"/>
  <c r="T44" i="23" s="1"/>
  <c r="T110" i="23" s="1"/>
  <c r="P44" i="23"/>
  <c r="P110" i="23" s="1"/>
  <c r="L44" i="23"/>
  <c r="L110" i="23" s="1"/>
  <c r="H44" i="23"/>
  <c r="H110" i="23" s="1"/>
  <c r="AW40" i="23"/>
  <c r="AW44" i="23" s="1"/>
  <c r="AW110" i="23" s="1"/>
  <c r="AS40" i="23"/>
  <c r="AK40" i="23"/>
  <c r="AK44" i="23" s="1"/>
  <c r="AK110" i="23" s="1"/>
  <c r="AG40" i="23"/>
  <c r="AG44" i="23" s="1"/>
  <c r="AG110" i="23" s="1"/>
  <c r="Y40" i="23"/>
  <c r="Y44" i="23" s="1"/>
  <c r="Y110" i="23" s="1"/>
  <c r="AX105" i="23"/>
  <c r="AX107" i="23"/>
  <c r="AH106" i="23"/>
  <c r="AT106" i="23"/>
  <c r="AH107" i="23"/>
  <c r="AT107" i="23"/>
  <c r="AP105" i="23"/>
  <c r="S40" i="23"/>
  <c r="S44" i="23" s="1"/>
  <c r="S110" i="23" s="1"/>
  <c r="O40" i="23"/>
  <c r="O44" i="23" s="1"/>
  <c r="O110" i="23" s="1"/>
  <c r="M44" i="23"/>
  <c r="M110" i="23" s="1"/>
  <c r="K44" i="23"/>
  <c r="K110" i="23" s="1"/>
  <c r="AU40" i="23"/>
  <c r="AU44" i="23" s="1"/>
  <c r="AU110" i="23" s="1"/>
  <c r="AQ40" i="23"/>
  <c r="AQ44" i="23" s="1"/>
  <c r="AQ110" i="23" s="1"/>
  <c r="AM44" i="23"/>
  <c r="AM110" i="23" s="1"/>
  <c r="AI40" i="23"/>
  <c r="AI44" i="23" s="1"/>
  <c r="AI110" i="23" s="1"/>
  <c r="AE40" i="23"/>
  <c r="AE44" i="23" s="1"/>
  <c r="AE110" i="23" s="1"/>
  <c r="W40" i="23"/>
  <c r="W44" i="23" s="1"/>
  <c r="W110" i="23" s="1"/>
  <c r="BK228" i="28"/>
  <c r="BK224" i="28"/>
  <c r="BK222" i="28"/>
  <c r="BK220" i="28"/>
  <c r="BK218" i="28"/>
  <c r="BK216" i="28"/>
  <c r="BK214" i="28"/>
  <c r="BK210" i="28"/>
  <c r="BK208" i="28"/>
  <c r="BK206" i="28"/>
  <c r="BK204" i="28"/>
  <c r="BK202" i="28"/>
  <c r="BK200" i="28"/>
  <c r="BK198" i="28"/>
  <c r="BK196" i="28"/>
  <c r="BK194" i="28"/>
  <c r="BK192" i="28"/>
  <c r="BK190" i="28"/>
  <c r="BK188" i="28"/>
  <c r="BK186" i="28"/>
  <c r="BK184" i="28"/>
  <c r="BK182" i="28"/>
  <c r="BK180" i="28"/>
  <c r="BK178" i="28"/>
  <c r="BK176" i="28"/>
  <c r="BK174" i="28"/>
  <c r="BK172" i="28"/>
  <c r="BK170" i="28"/>
  <c r="BK168" i="28"/>
  <c r="BK166" i="28"/>
  <c r="BK164" i="28"/>
  <c r="BK162" i="28"/>
  <c r="BK160" i="28"/>
  <c r="BK158" i="28"/>
  <c r="BK156" i="28"/>
  <c r="BK154" i="28"/>
  <c r="BK152" i="28"/>
  <c r="BK150" i="28"/>
  <c r="BK148" i="28"/>
  <c r="BK146" i="28"/>
  <c r="BK144" i="28"/>
  <c r="BK142" i="28"/>
  <c r="BK140" i="28"/>
  <c r="BK138" i="28"/>
  <c r="BK136" i="28"/>
  <c r="BK134" i="28"/>
  <c r="BK132" i="28"/>
  <c r="BK130" i="28"/>
  <c r="BK128" i="28"/>
  <c r="BK126" i="28"/>
  <c r="BK124" i="28"/>
  <c r="BK122" i="28"/>
  <c r="BK120" i="28"/>
  <c r="BK118" i="28"/>
  <c r="BK116" i="28"/>
  <c r="BK114" i="28"/>
  <c r="BK112" i="28"/>
  <c r="BK108" i="28"/>
  <c r="BK106" i="28"/>
  <c r="BK104" i="28"/>
  <c r="BK100" i="28"/>
  <c r="BK98" i="28"/>
  <c r="BK96" i="28"/>
  <c r="BK94" i="28"/>
  <c r="BK92" i="28"/>
  <c r="BK90" i="28"/>
  <c r="BK88" i="28"/>
  <c r="BK86" i="28"/>
  <c r="BK84" i="28"/>
  <c r="BK82" i="28"/>
  <c r="BK80" i="28"/>
  <c r="BK78" i="28"/>
  <c r="BK76" i="28"/>
  <c r="BK74" i="28"/>
  <c r="BK72" i="28"/>
  <c r="BK70" i="28"/>
  <c r="BK68" i="28"/>
  <c r="BK66" i="28"/>
  <c r="BK64" i="28"/>
  <c r="BK62" i="28"/>
  <c r="BK60" i="28"/>
  <c r="BK58" i="28"/>
  <c r="BK56" i="28"/>
  <c r="BK54" i="28"/>
  <c r="BK52" i="28"/>
  <c r="BK50" i="28"/>
  <c r="BK48" i="28"/>
  <c r="BK46" i="28"/>
  <c r="BK44" i="28"/>
  <c r="BK42" i="28"/>
  <c r="BK40" i="28"/>
  <c r="BK38" i="28"/>
  <c r="BK36" i="28"/>
  <c r="BK33" i="28"/>
  <c r="BK31" i="28"/>
  <c r="BK29" i="28"/>
  <c r="BK27" i="28"/>
  <c r="BK25" i="28"/>
  <c r="BK23" i="28"/>
  <c r="BK18" i="28"/>
  <c r="BK16" i="28"/>
  <c r="BK14" i="28"/>
  <c r="BK12" i="28"/>
  <c r="BK10" i="28"/>
  <c r="BK8" i="28"/>
  <c r="BK6" i="28"/>
  <c r="BK4" i="28"/>
  <c r="BK225" i="28"/>
  <c r="BK223" i="28"/>
  <c r="BK221" i="28"/>
  <c r="BK219" i="28"/>
  <c r="BK217" i="28"/>
  <c r="BK215" i="28"/>
  <c r="BK213" i="28"/>
  <c r="BK211" i="28"/>
  <c r="BK209" i="28"/>
  <c r="BK207" i="28"/>
  <c r="BK205" i="28"/>
  <c r="BK203" i="28"/>
  <c r="BK201" i="28"/>
  <c r="BK199" i="28"/>
  <c r="BK197" i="28"/>
  <c r="BK195" i="28"/>
  <c r="BK193" i="28"/>
  <c r="BK191" i="28"/>
  <c r="BK189" i="28"/>
  <c r="BK187" i="28"/>
  <c r="BK185" i="28"/>
  <c r="BK183" i="28"/>
  <c r="BK181" i="28"/>
  <c r="BK179" i="28"/>
  <c r="BK177" i="28"/>
  <c r="BK175" i="28"/>
  <c r="BK173" i="28"/>
  <c r="BK171" i="28"/>
  <c r="BK169" i="28"/>
  <c r="BK167" i="28"/>
  <c r="BK165" i="28"/>
  <c r="BK163" i="28"/>
  <c r="BK161" i="28"/>
  <c r="BK159" i="28"/>
  <c r="BK157" i="28"/>
  <c r="BK155" i="28"/>
  <c r="BK153" i="28"/>
  <c r="BK151" i="28"/>
  <c r="BK149" i="28"/>
  <c r="BK147" i="28"/>
  <c r="BK145" i="28"/>
  <c r="BK143" i="28"/>
  <c r="BK141" i="28"/>
  <c r="BK139" i="28"/>
  <c r="BK137" i="28"/>
  <c r="BK135" i="28"/>
  <c r="BK133" i="28"/>
  <c r="BK131" i="28"/>
  <c r="BK129" i="28"/>
  <c r="BK127" i="28"/>
  <c r="BK125" i="28"/>
  <c r="BK123" i="28"/>
  <c r="BK121" i="28"/>
  <c r="BK119" i="28"/>
  <c r="BK117" i="28"/>
  <c r="BK113" i="28"/>
  <c r="BK111" i="28"/>
  <c r="BK109" i="28"/>
  <c r="BK107" i="28"/>
  <c r="BK105" i="28"/>
  <c r="BK103" i="28"/>
  <c r="BK101" i="28"/>
  <c r="BK99" i="28"/>
  <c r="BK95" i="28"/>
  <c r="BK93" i="28"/>
  <c r="BK91" i="28"/>
  <c r="BK89" i="28"/>
  <c r="BK87" i="28"/>
  <c r="BK85" i="28"/>
  <c r="BK83" i="28"/>
  <c r="BK81" i="28"/>
  <c r="BK79" i="28"/>
  <c r="BK77" i="28"/>
  <c r="BK75" i="28"/>
  <c r="BK73" i="28"/>
  <c r="BK71" i="28"/>
  <c r="BK69" i="28"/>
  <c r="BK67" i="28"/>
  <c r="BK65" i="28"/>
  <c r="BK63" i="28"/>
  <c r="BK61" i="28"/>
  <c r="BK59" i="28"/>
  <c r="BK57" i="28"/>
  <c r="BK55" i="28"/>
  <c r="BK53" i="28"/>
  <c r="BK51" i="28"/>
  <c r="BK49" i="28"/>
  <c r="BK47" i="28"/>
  <c r="BK45" i="28"/>
  <c r="BK39" i="28"/>
  <c r="BK34" i="28"/>
  <c r="BK32" i="28"/>
  <c r="BK30" i="28"/>
  <c r="BK28" i="28"/>
  <c r="BK26" i="28"/>
  <c r="BK24" i="28"/>
  <c r="BK20" i="28"/>
  <c r="BK19" i="28"/>
  <c r="BK17" i="28"/>
  <c r="BK15" i="28"/>
  <c r="BK13" i="28"/>
  <c r="BK11" i="28"/>
  <c r="BK9" i="28"/>
  <c r="BK7" i="28"/>
  <c r="BK5" i="28"/>
  <c r="BK264" i="28"/>
  <c r="BK262" i="28"/>
  <c r="BK260" i="28"/>
  <c r="BK258" i="28"/>
  <c r="BK256" i="28"/>
  <c r="BK254" i="28"/>
  <c r="BK252" i="28"/>
  <c r="BK248" i="28"/>
  <c r="BK246" i="28"/>
  <c r="BK244" i="28"/>
  <c r="BK240" i="28"/>
  <c r="BK238" i="28"/>
  <c r="BK236" i="28"/>
  <c r="BK234" i="28"/>
  <c r="BK232" i="28"/>
  <c r="BK230" i="28"/>
  <c r="BK265" i="28"/>
  <c r="BK263" i="28"/>
  <c r="BK261" i="28"/>
  <c r="BK259" i="28"/>
  <c r="BK257" i="28"/>
  <c r="BK255" i="28"/>
  <c r="BK253" i="28"/>
  <c r="BK251" i="28"/>
  <c r="BK249" i="28"/>
  <c r="BK247" i="28"/>
  <c r="BK245" i="28"/>
  <c r="BK243" i="28"/>
  <c r="BK241" i="28"/>
  <c r="BK239" i="28"/>
  <c r="BK237" i="28"/>
  <c r="BK235" i="28"/>
  <c r="BK233" i="28"/>
  <c r="BK231" i="28"/>
  <c r="BK229" i="28"/>
  <c r="AT54" i="23"/>
  <c r="AP9" i="23"/>
  <c r="AO30" i="23"/>
  <c r="N9" i="23"/>
  <c r="Q30" i="23"/>
  <c r="AL9" i="23"/>
  <c r="AX9" i="23"/>
  <c r="AX30" i="23"/>
  <c r="AL30" i="23"/>
  <c r="U30" i="23"/>
  <c r="V9" i="23"/>
  <c r="AP54" i="23"/>
  <c r="AP30" i="23"/>
  <c r="N30" i="23"/>
  <c r="V30" i="23"/>
  <c r="AO75" i="23"/>
  <c r="AV104" i="23"/>
  <c r="AV108" i="23" s="1"/>
  <c r="AV101" i="23"/>
  <c r="AV111" i="23" s="1"/>
  <c r="AV112" i="23" s="1"/>
  <c r="AW97" i="23"/>
  <c r="AW75" i="23"/>
  <c r="AX97" i="23"/>
  <c r="AX75" i="23"/>
  <c r="AU101" i="23"/>
  <c r="AU111" i="23" s="1"/>
  <c r="AU112" i="23" s="1"/>
  <c r="AT97" i="23"/>
  <c r="AT75" i="23"/>
  <c r="AS101" i="23"/>
  <c r="AS111" i="23" s="1"/>
  <c r="AR104" i="23"/>
  <c r="AR101" i="23"/>
  <c r="AR111" i="23" s="1"/>
  <c r="AQ101" i="23"/>
  <c r="AQ111" i="23" s="1"/>
  <c r="AS75" i="23"/>
  <c r="AP97" i="23"/>
  <c r="AP75" i="23"/>
  <c r="AO101" i="23"/>
  <c r="AO111" i="23" s="1"/>
  <c r="AN104" i="23"/>
  <c r="AN101" i="23"/>
  <c r="AN111" i="23" s="1"/>
  <c r="AN112" i="23" s="1"/>
  <c r="AM104" i="23"/>
  <c r="AM101" i="23"/>
  <c r="AM111" i="23" s="1"/>
  <c r="AM112" i="23" s="1"/>
  <c r="AJ104" i="23"/>
  <c r="AJ101" i="23"/>
  <c r="AJ111" i="23" s="1"/>
  <c r="AI101" i="23"/>
  <c r="AI111" i="23" s="1"/>
  <c r="AI112" i="23" s="1"/>
  <c r="AL97" i="23"/>
  <c r="AL75" i="23"/>
  <c r="AK97" i="23"/>
  <c r="AK75" i="23"/>
  <c r="AH97" i="23"/>
  <c r="AH75" i="23"/>
  <c r="AF104" i="23"/>
  <c r="AF101" i="23"/>
  <c r="AF111" i="23" s="1"/>
  <c r="AG97" i="23"/>
  <c r="AG75" i="23"/>
  <c r="AE104" i="23"/>
  <c r="AE108" i="23" s="1"/>
  <c r="AE101" i="23"/>
  <c r="AE111" i="23" s="1"/>
  <c r="AT26" i="23"/>
  <c r="AT9" i="23"/>
  <c r="AH9" i="23"/>
  <c r="AH26" i="23"/>
  <c r="Z26" i="23"/>
  <c r="Z9" i="23"/>
  <c r="R26" i="23"/>
  <c r="R9" i="23"/>
  <c r="J9" i="23"/>
  <c r="J26" i="23"/>
  <c r="Q18" i="35"/>
  <c r="Q17" i="35"/>
  <c r="Q15" i="35"/>
  <c r="S10" i="35"/>
  <c r="R10" i="35"/>
  <c r="Q10" i="35"/>
  <c r="P30" i="35"/>
  <c r="M31" i="35"/>
  <c r="M10" i="35" s="1"/>
  <c r="M30" i="35"/>
  <c r="J31" i="35"/>
  <c r="J10" i="35" s="1"/>
  <c r="J30" i="35"/>
  <c r="P10" i="35"/>
  <c r="O10" i="35"/>
  <c r="N10" i="35"/>
  <c r="L10" i="35"/>
  <c r="K10" i="35"/>
  <c r="I10" i="35"/>
  <c r="H10" i="35"/>
  <c r="G10" i="35"/>
  <c r="F10" i="35"/>
  <c r="E10" i="35"/>
  <c r="D32" i="35"/>
  <c r="C32" i="35"/>
  <c r="B32" i="35"/>
  <c r="AK10" i="35"/>
  <c r="AJ10" i="35"/>
  <c r="AI10" i="35"/>
  <c r="AH10" i="35"/>
  <c r="AG10" i="35"/>
  <c r="AF10" i="35"/>
  <c r="AE10" i="35"/>
  <c r="AD10" i="35"/>
  <c r="AC10" i="35"/>
  <c r="AB10" i="35"/>
  <c r="AA10" i="35"/>
  <c r="Z10" i="35"/>
  <c r="Y10" i="35"/>
  <c r="X10" i="35"/>
  <c r="W10" i="35"/>
  <c r="V10" i="35"/>
  <c r="U10" i="35"/>
  <c r="T10" i="35"/>
  <c r="D10" i="35"/>
  <c r="C10" i="35"/>
  <c r="B10" i="35"/>
  <c r="AE112" i="23" l="1"/>
  <c r="AF112" i="23"/>
  <c r="AU104" i="23"/>
  <c r="AU108" i="23" s="1"/>
  <c r="AJ112" i="23"/>
  <c r="AO112" i="23"/>
  <c r="AQ112" i="23"/>
  <c r="AI104" i="23"/>
  <c r="AI108" i="23" s="1"/>
  <c r="AM108" i="23"/>
  <c r="AQ104" i="23"/>
  <c r="AQ108" i="23" s="1"/>
  <c r="AJ108" i="23"/>
  <c r="AF108" i="23"/>
  <c r="AN108" i="23"/>
  <c r="AR105" i="23"/>
  <c r="AR108" i="23" s="1"/>
  <c r="AR112" i="23"/>
  <c r="J30" i="23"/>
  <c r="J40" i="23"/>
  <c r="J44" i="23" s="1"/>
  <c r="J110" i="23" s="1"/>
  <c r="AH30" i="23"/>
  <c r="AH40" i="23"/>
  <c r="AH44" i="23" s="1"/>
  <c r="AH110" i="23" s="1"/>
  <c r="R30" i="23"/>
  <c r="R40" i="23"/>
  <c r="R44" i="23" s="1"/>
  <c r="R110" i="23" s="1"/>
  <c r="Z30" i="23"/>
  <c r="Z40" i="23"/>
  <c r="Z44" i="23" s="1"/>
  <c r="Z110" i="23" s="1"/>
  <c r="AT30" i="23"/>
  <c r="AT40" i="23"/>
  <c r="AT44" i="23" s="1"/>
  <c r="AT110" i="23" s="1"/>
  <c r="AS44" i="23"/>
  <c r="AS110" i="23" s="1"/>
  <c r="AS112" i="23" s="1"/>
  <c r="AS104" i="23"/>
  <c r="AS108" i="23" s="1"/>
  <c r="V78" i="23"/>
  <c r="U78" i="23"/>
  <c r="AX104" i="23"/>
  <c r="AX108" i="23" s="1"/>
  <c r="AX101" i="23"/>
  <c r="AX111" i="23" s="1"/>
  <c r="AX112" i="23" s="1"/>
  <c r="AW104" i="23"/>
  <c r="AW108" i="23" s="1"/>
  <c r="AW101" i="23"/>
  <c r="AW111" i="23" s="1"/>
  <c r="AW112" i="23" s="1"/>
  <c r="AT101" i="23"/>
  <c r="AT111" i="23" s="1"/>
  <c r="AP104" i="23"/>
  <c r="AP108" i="23" s="1"/>
  <c r="AP101" i="23"/>
  <c r="AP111" i="23" s="1"/>
  <c r="AP112" i="23" s="1"/>
  <c r="AK104" i="23"/>
  <c r="AK108" i="23" s="1"/>
  <c r="AK101" i="23"/>
  <c r="AK111" i="23" s="1"/>
  <c r="AK112" i="23" s="1"/>
  <c r="AL104" i="23"/>
  <c r="AL108" i="23" s="1"/>
  <c r="AL101" i="23"/>
  <c r="AL111" i="23" s="1"/>
  <c r="AL112" i="23" s="1"/>
  <c r="AG104" i="23"/>
  <c r="AG108" i="23" s="1"/>
  <c r="AG101" i="23"/>
  <c r="AG111" i="23" s="1"/>
  <c r="AG112" i="23" s="1"/>
  <c r="AH104" i="23"/>
  <c r="AH108" i="23" s="1"/>
  <c r="AH101" i="23"/>
  <c r="AH111" i="23" s="1"/>
  <c r="E29" i="35"/>
  <c r="E32" i="35" s="1"/>
  <c r="G29" i="35"/>
  <c r="G32" i="35" s="1"/>
  <c r="F29" i="35"/>
  <c r="F32" i="35" s="1"/>
  <c r="Q19" i="35"/>
  <c r="AH112" i="23" l="1"/>
  <c r="AT112" i="23"/>
  <c r="AT104" i="23"/>
  <c r="AT108" i="23" s="1"/>
  <c r="U82" i="23"/>
  <c r="BA78" i="23"/>
  <c r="V82" i="23"/>
  <c r="BB78" i="23"/>
  <c r="I29" i="35"/>
  <c r="I32" i="35" s="1"/>
  <c r="J29" i="35"/>
  <c r="J32" i="35" s="1"/>
  <c r="H29" i="35"/>
  <c r="H32" i="35" s="1"/>
  <c r="F95" i="23"/>
  <c r="E95" i="23"/>
  <c r="D95" i="23"/>
  <c r="C95" i="23"/>
  <c r="K29" i="35" l="1"/>
  <c r="K32" i="35" s="1"/>
  <c r="M29" i="35"/>
  <c r="M32" i="35" s="1"/>
  <c r="L29" i="35"/>
  <c r="L32" i="35" s="1"/>
  <c r="M83" i="31"/>
  <c r="L83" i="31"/>
  <c r="K83" i="31"/>
  <c r="J83" i="31"/>
  <c r="I83" i="31"/>
  <c r="H83" i="31"/>
  <c r="G83" i="31"/>
  <c r="F83" i="31"/>
  <c r="E83" i="31"/>
  <c r="D83" i="31"/>
  <c r="C83" i="31"/>
  <c r="B83" i="31"/>
  <c r="M57" i="31"/>
  <c r="L57" i="31"/>
  <c r="K57" i="31"/>
  <c r="J57" i="31"/>
  <c r="I57" i="31"/>
  <c r="H57" i="31"/>
  <c r="G57" i="31"/>
  <c r="F57" i="31"/>
  <c r="E57" i="31"/>
  <c r="D57" i="31"/>
  <c r="C57" i="31"/>
  <c r="B57" i="31"/>
  <c r="N57" i="31" s="1"/>
  <c r="N50" i="31"/>
  <c r="M50" i="31"/>
  <c r="L50" i="31"/>
  <c r="K50" i="31"/>
  <c r="J50" i="31"/>
  <c r="I50" i="31"/>
  <c r="H50" i="31"/>
  <c r="G50" i="31"/>
  <c r="F50" i="31"/>
  <c r="E50" i="31"/>
  <c r="D50" i="31"/>
  <c r="C50" i="31"/>
  <c r="B50" i="31"/>
  <c r="Q9" i="31"/>
  <c r="Q7" i="31"/>
  <c r="P7" i="31"/>
  <c r="O29" i="35" l="1"/>
  <c r="O32" i="35" s="1"/>
  <c r="P29" i="35"/>
  <c r="P32" i="35" s="1"/>
  <c r="N29" i="35"/>
  <c r="N32" i="35" s="1"/>
  <c r="Q29" i="35" l="1"/>
  <c r="Q32" i="35" s="1"/>
  <c r="S29" i="35"/>
  <c r="S32" i="35" s="1"/>
  <c r="R29" i="35"/>
  <c r="R32" i="35" s="1"/>
  <c r="U29" i="35" l="1"/>
  <c r="U32" i="35" s="1"/>
  <c r="V29" i="35"/>
  <c r="V32" i="35" s="1"/>
  <c r="T29" i="35"/>
  <c r="T32" i="35" s="1"/>
  <c r="W29" i="35" l="1"/>
  <c r="W32" i="35" s="1"/>
  <c r="Y29" i="35"/>
  <c r="Y32" i="35" s="1"/>
  <c r="X29" i="35"/>
  <c r="X32" i="35" s="1"/>
  <c r="AA29" i="35" l="1"/>
  <c r="AA32" i="35" s="1"/>
  <c r="AB29" i="35"/>
  <c r="AB32" i="35" s="1"/>
  <c r="Z29" i="35"/>
  <c r="Z32" i="35" s="1"/>
  <c r="AC29" i="35" l="1"/>
  <c r="AC32" i="35" s="1"/>
  <c r="AE29" i="35"/>
  <c r="AE32" i="35" s="1"/>
  <c r="AD29" i="35"/>
  <c r="AD32" i="35" s="1"/>
  <c r="AG29" i="35" l="1"/>
  <c r="AG32" i="35" s="1"/>
  <c r="AH29" i="35"/>
  <c r="AH32" i="35" s="1"/>
  <c r="AF29" i="35"/>
  <c r="AF32" i="35" s="1"/>
  <c r="AI29" i="35" l="1"/>
  <c r="AI32" i="35" s="1"/>
  <c r="AK29" i="35"/>
  <c r="AK32" i="35" s="1"/>
  <c r="AJ29" i="35"/>
  <c r="AJ32" i="35" s="1"/>
  <c r="D88" i="23" l="1"/>
  <c r="AZ88" i="23" s="1"/>
  <c r="E88" i="23"/>
  <c r="BA88" i="23" s="1"/>
  <c r="F88" i="23"/>
  <c r="BB88" i="23" s="1"/>
  <c r="C88" i="23"/>
  <c r="AY88" i="23" s="1"/>
  <c r="D82" i="23"/>
  <c r="AZ82" i="23" s="1"/>
  <c r="E82" i="23"/>
  <c r="BA82" i="23" s="1"/>
  <c r="F82" i="23"/>
  <c r="BB82" i="23" s="1"/>
  <c r="C82" i="23"/>
  <c r="AY82" i="23" s="1"/>
  <c r="D37" i="23"/>
  <c r="AZ37" i="23" s="1"/>
  <c r="E37" i="23"/>
  <c r="BA37" i="23" s="1"/>
  <c r="F37" i="23"/>
  <c r="BB37" i="23" s="1"/>
  <c r="C37" i="23"/>
  <c r="AY37" i="23" s="1"/>
  <c r="E67" i="23"/>
  <c r="D67" i="23"/>
  <c r="AZ67" i="23" s="1"/>
  <c r="C67" i="23"/>
  <c r="AY67" i="23" s="1"/>
  <c r="E66" i="23"/>
  <c r="D66" i="23"/>
  <c r="AZ66" i="23" s="1"/>
  <c r="C66" i="23"/>
  <c r="AY66" i="23" s="1"/>
  <c r="E65" i="23"/>
  <c r="D65" i="23"/>
  <c r="AZ65" i="23" s="1"/>
  <c r="C65" i="23"/>
  <c r="AY65" i="23" s="1"/>
  <c r="E64" i="23"/>
  <c r="D64" i="23"/>
  <c r="AZ64" i="23" s="1"/>
  <c r="C64" i="23"/>
  <c r="AY64" i="23" s="1"/>
  <c r="E60" i="23"/>
  <c r="D60" i="23"/>
  <c r="C60" i="23"/>
  <c r="E59" i="23"/>
  <c r="D59" i="23"/>
  <c r="C59" i="23"/>
  <c r="E58" i="23"/>
  <c r="D58" i="23"/>
  <c r="C58" i="23"/>
  <c r="E57" i="23"/>
  <c r="D57" i="23"/>
  <c r="C57" i="23"/>
  <c r="C61" i="23" l="1"/>
  <c r="F57" i="23"/>
  <c r="F59" i="23"/>
  <c r="F64" i="23"/>
  <c r="BA64" i="23"/>
  <c r="F66" i="23"/>
  <c r="BB66" i="23" s="1"/>
  <c r="BA66" i="23"/>
  <c r="F58" i="23"/>
  <c r="F60" i="23"/>
  <c r="F65" i="23"/>
  <c r="BB65" i="23" s="1"/>
  <c r="BA65" i="23"/>
  <c r="F67" i="23"/>
  <c r="BB67" i="23" s="1"/>
  <c r="BA67" i="23"/>
  <c r="C68" i="23"/>
  <c r="AY68" i="23" s="1"/>
  <c r="D61" i="23"/>
  <c r="D68" i="23"/>
  <c r="AZ68" i="23" s="1"/>
  <c r="E61" i="23"/>
  <c r="E68" i="23"/>
  <c r="BA68" i="23" s="1"/>
  <c r="E15" i="23"/>
  <c r="BA15" i="23" s="1"/>
  <c r="D15" i="23"/>
  <c r="AZ15" i="23" s="1"/>
  <c r="C15" i="23"/>
  <c r="AY15" i="23" s="1"/>
  <c r="E14" i="23"/>
  <c r="D14" i="23"/>
  <c r="AZ14" i="23" s="1"/>
  <c r="C14" i="23"/>
  <c r="AY14" i="23" s="1"/>
  <c r="E13" i="23"/>
  <c r="D13" i="23"/>
  <c r="AZ13" i="23" s="1"/>
  <c r="C13" i="23"/>
  <c r="AY13" i="23" s="1"/>
  <c r="E12" i="23"/>
  <c r="D12" i="23"/>
  <c r="AZ12" i="23" s="1"/>
  <c r="C12" i="23"/>
  <c r="AY12" i="23" s="1"/>
  <c r="E22" i="23"/>
  <c r="BA22" i="23" s="1"/>
  <c r="D22" i="23"/>
  <c r="AZ22" i="23" s="1"/>
  <c r="E21" i="23"/>
  <c r="BA21" i="23" s="1"/>
  <c r="D21" i="23"/>
  <c r="AZ21" i="23" s="1"/>
  <c r="E20" i="23"/>
  <c r="BA20" i="23" s="1"/>
  <c r="D20" i="23"/>
  <c r="AZ20" i="23" s="1"/>
  <c r="E19" i="23"/>
  <c r="D19" i="23"/>
  <c r="AZ19" i="23" s="1"/>
  <c r="C20" i="23"/>
  <c r="AY20" i="23" s="1"/>
  <c r="C21" i="23"/>
  <c r="AY21" i="23" s="1"/>
  <c r="C22" i="23"/>
  <c r="AY22" i="23" s="1"/>
  <c r="C19" i="23"/>
  <c r="AY19" i="23" s="1"/>
  <c r="F15" i="23"/>
  <c r="BB15" i="23" s="1"/>
  <c r="E8" i="23"/>
  <c r="D8" i="23"/>
  <c r="C8" i="23"/>
  <c r="E7" i="23"/>
  <c r="D7" i="23"/>
  <c r="C7" i="23"/>
  <c r="E6" i="23"/>
  <c r="D6" i="23"/>
  <c r="C6" i="23"/>
  <c r="E5" i="23"/>
  <c r="D5" i="23"/>
  <c r="C5" i="23"/>
  <c r="F61" i="23" l="1"/>
  <c r="F5" i="23"/>
  <c r="E23" i="23"/>
  <c r="BA23" i="23" s="1"/>
  <c r="BA19" i="23"/>
  <c r="F13" i="23"/>
  <c r="BB13" i="23" s="1"/>
  <c r="BA13" i="23"/>
  <c r="F12" i="23"/>
  <c r="BB12" i="23" s="1"/>
  <c r="BA12" i="23"/>
  <c r="F14" i="23"/>
  <c r="BB14" i="23" s="1"/>
  <c r="BA14" i="23"/>
  <c r="F68" i="23"/>
  <c r="BB68" i="23" s="1"/>
  <c r="BB64" i="23"/>
  <c r="F19" i="23"/>
  <c r="D29" i="23"/>
  <c r="D27" i="23"/>
  <c r="C28" i="23"/>
  <c r="D16" i="23"/>
  <c r="AZ16" i="23" s="1"/>
  <c r="D26" i="23"/>
  <c r="D9" i="23"/>
  <c r="F7" i="23"/>
  <c r="E28" i="23"/>
  <c r="D23" i="23"/>
  <c r="AZ23" i="23" s="1"/>
  <c r="F16" i="23"/>
  <c r="BB16" i="23" s="1"/>
  <c r="C26" i="23"/>
  <c r="C9" i="23"/>
  <c r="E26" i="23"/>
  <c r="E9" i="23"/>
  <c r="C27" i="23"/>
  <c r="F6" i="23"/>
  <c r="E27" i="23"/>
  <c r="D28" i="23"/>
  <c r="C29" i="23"/>
  <c r="F8" i="23"/>
  <c r="E29" i="23"/>
  <c r="C23" i="23"/>
  <c r="AY23" i="23" s="1"/>
  <c r="C16" i="23"/>
  <c r="AY16" i="23" s="1"/>
  <c r="E16" i="23"/>
  <c r="BA16" i="23" s="1"/>
  <c r="L73" i="8"/>
  <c r="K73" i="8"/>
  <c r="J73" i="8"/>
  <c r="I73" i="8"/>
  <c r="H73" i="8"/>
  <c r="F73" i="8"/>
  <c r="E73" i="8"/>
  <c r="L57" i="8"/>
  <c r="K57" i="8"/>
  <c r="J57" i="8"/>
  <c r="I57" i="8"/>
  <c r="H57" i="8"/>
  <c r="F57" i="8"/>
  <c r="N56" i="8"/>
  <c r="N55" i="8"/>
  <c r="N54" i="8"/>
  <c r="N53" i="8"/>
  <c r="N52" i="8"/>
  <c r="N51" i="8"/>
  <c r="N50" i="8"/>
  <c r="N49" i="8"/>
  <c r="N48" i="8"/>
  <c r="N47" i="8"/>
  <c r="N46" i="8"/>
  <c r="N45" i="8"/>
  <c r="E57" i="8"/>
  <c r="N72" i="8"/>
  <c r="N71" i="8"/>
  <c r="N70" i="8"/>
  <c r="N69" i="8"/>
  <c r="N68" i="8"/>
  <c r="N67" i="8"/>
  <c r="N66" i="8"/>
  <c r="N65" i="8"/>
  <c r="N64" i="8"/>
  <c r="N63" i="8"/>
  <c r="N62" i="8"/>
  <c r="N61" i="8"/>
  <c r="B73" i="8"/>
  <c r="Q40" i="8"/>
  <c r="R40" i="8" s="1"/>
  <c r="P40" i="8"/>
  <c r="O40" i="8"/>
  <c r="Q39" i="8"/>
  <c r="R39" i="8" s="1"/>
  <c r="P39" i="8"/>
  <c r="O39" i="8"/>
  <c r="Q38" i="8"/>
  <c r="R38" i="8" s="1"/>
  <c r="P38" i="8"/>
  <c r="O38" i="8"/>
  <c r="Q37" i="8"/>
  <c r="R37" i="8" s="1"/>
  <c r="P37" i="8"/>
  <c r="O37" i="8"/>
  <c r="Q36" i="8"/>
  <c r="R36" i="8" s="1"/>
  <c r="P36" i="8"/>
  <c r="O36" i="8"/>
  <c r="Q35" i="8"/>
  <c r="R35" i="8" s="1"/>
  <c r="P35" i="8"/>
  <c r="O35" i="8"/>
  <c r="Q34" i="8"/>
  <c r="R34" i="8" s="1"/>
  <c r="P34" i="8"/>
  <c r="O34" i="8"/>
  <c r="Q33" i="8"/>
  <c r="R33" i="8" s="1"/>
  <c r="P33" i="8"/>
  <c r="O33" i="8"/>
  <c r="Q32" i="8"/>
  <c r="R32" i="8" s="1"/>
  <c r="P32" i="8"/>
  <c r="O32" i="8"/>
  <c r="Q31" i="8"/>
  <c r="R31" i="8" s="1"/>
  <c r="P31" i="8"/>
  <c r="O31" i="8"/>
  <c r="Q30" i="8"/>
  <c r="R30" i="8" s="1"/>
  <c r="P30" i="8"/>
  <c r="O30" i="8"/>
  <c r="Q29" i="8"/>
  <c r="P29" i="8"/>
  <c r="O29" i="8"/>
  <c r="K40" i="8"/>
  <c r="L40" i="8" s="1"/>
  <c r="J40" i="8"/>
  <c r="I40" i="8"/>
  <c r="K39" i="8"/>
  <c r="L39" i="8" s="1"/>
  <c r="J39" i="8"/>
  <c r="I39" i="8"/>
  <c r="K38" i="8"/>
  <c r="L38" i="8" s="1"/>
  <c r="J38" i="8"/>
  <c r="I38" i="8"/>
  <c r="K37" i="8"/>
  <c r="L37" i="8" s="1"/>
  <c r="J37" i="8"/>
  <c r="I37" i="8"/>
  <c r="K36" i="8"/>
  <c r="L36" i="8" s="1"/>
  <c r="J36" i="8"/>
  <c r="I36" i="8"/>
  <c r="K35" i="8"/>
  <c r="L35" i="8" s="1"/>
  <c r="J35" i="8"/>
  <c r="I35" i="8"/>
  <c r="K34" i="8"/>
  <c r="L34" i="8" s="1"/>
  <c r="J34" i="8"/>
  <c r="I34" i="8"/>
  <c r="K33" i="8"/>
  <c r="L33" i="8" s="1"/>
  <c r="J33" i="8"/>
  <c r="I33" i="8"/>
  <c r="K32" i="8"/>
  <c r="L32" i="8" s="1"/>
  <c r="J32" i="8"/>
  <c r="I32" i="8"/>
  <c r="K31" i="8"/>
  <c r="L31" i="8" s="1"/>
  <c r="J31" i="8"/>
  <c r="I31" i="8"/>
  <c r="K30" i="8"/>
  <c r="L30" i="8" s="1"/>
  <c r="J30" i="8"/>
  <c r="I30" i="8"/>
  <c r="K29" i="8"/>
  <c r="J29" i="8"/>
  <c r="I29" i="8"/>
  <c r="K1360" i="17"/>
  <c r="K1357" i="17"/>
  <c r="K1356" i="17"/>
  <c r="K1354" i="17"/>
  <c r="K1261" i="17"/>
  <c r="K1191" i="17"/>
  <c r="K1187" i="17"/>
  <c r="K1186" i="17"/>
  <c r="K1185" i="17"/>
  <c r="K1131" i="17"/>
  <c r="D95" i="40" s="1"/>
  <c r="K1110" i="17"/>
  <c r="D76" i="40" s="1"/>
  <c r="J1287" i="17"/>
  <c r="J1286" i="17"/>
  <c r="J1278" i="17"/>
  <c r="J1253" i="17"/>
  <c r="J1112" i="17"/>
  <c r="J1097" i="17"/>
  <c r="P41" i="8" l="1"/>
  <c r="J41" i="8"/>
  <c r="F26" i="23"/>
  <c r="E43" i="23"/>
  <c r="C43" i="23"/>
  <c r="E41" i="23"/>
  <c r="C41" i="23"/>
  <c r="F28" i="23"/>
  <c r="D41" i="23"/>
  <c r="F23" i="23"/>
  <c r="BB23" i="23" s="1"/>
  <c r="BB19" i="23"/>
  <c r="F29" i="23"/>
  <c r="D42" i="23"/>
  <c r="F27" i="23"/>
  <c r="F30" i="23" s="1"/>
  <c r="E42" i="23"/>
  <c r="C42" i="23"/>
  <c r="D43" i="23"/>
  <c r="L76" i="40"/>
  <c r="Q76" i="40"/>
  <c r="S76" i="40" s="1"/>
  <c r="L95" i="40"/>
  <c r="Q95" i="40"/>
  <c r="S95" i="40" s="1"/>
  <c r="O41" i="8"/>
  <c r="I41" i="8"/>
  <c r="AC97" i="28"/>
  <c r="D18" i="40"/>
  <c r="AC102" i="28"/>
  <c r="AC35" i="28"/>
  <c r="AC37" i="28"/>
  <c r="AC41" i="28"/>
  <c r="AC43" i="28"/>
  <c r="AH97" i="28"/>
  <c r="AG97" i="28" s="1"/>
  <c r="AH102" i="28"/>
  <c r="AH212" i="28"/>
  <c r="D94" i="40"/>
  <c r="AH227" i="28"/>
  <c r="BL227" i="28" s="1"/>
  <c r="AC110" i="28"/>
  <c r="AC115" i="28"/>
  <c r="AC250" i="28"/>
  <c r="BL250" i="28" s="1"/>
  <c r="D25" i="40"/>
  <c r="AC266" i="28"/>
  <c r="AC226" i="28"/>
  <c r="D135" i="40"/>
  <c r="AC242" i="28"/>
  <c r="AC21" i="28"/>
  <c r="AC22" i="28"/>
  <c r="AH110" i="28"/>
  <c r="AG110" i="28" s="1"/>
  <c r="AH115" i="28"/>
  <c r="AB250" i="28"/>
  <c r="BK250" i="28" s="1"/>
  <c r="L29" i="8"/>
  <c r="L41" i="8" s="1"/>
  <c r="K41" i="8"/>
  <c r="R29" i="8"/>
  <c r="R41" i="8" s="1"/>
  <c r="Q41" i="8"/>
  <c r="M53" i="23"/>
  <c r="K53" i="23"/>
  <c r="L52" i="23"/>
  <c r="M51" i="23"/>
  <c r="K51" i="23"/>
  <c r="L50" i="23"/>
  <c r="L53" i="23"/>
  <c r="M52" i="23"/>
  <c r="K52" i="23"/>
  <c r="L51" i="23"/>
  <c r="M50" i="23"/>
  <c r="K50" i="23"/>
  <c r="M60" i="23"/>
  <c r="K60" i="23"/>
  <c r="L59" i="23"/>
  <c r="M58" i="23"/>
  <c r="K58" i="23"/>
  <c r="L57" i="23"/>
  <c r="L60" i="23"/>
  <c r="M59" i="23"/>
  <c r="K59" i="23"/>
  <c r="L58" i="23"/>
  <c r="M57" i="23"/>
  <c r="K57" i="23"/>
  <c r="Q53" i="23"/>
  <c r="O53" i="23"/>
  <c r="O74" i="23" s="1"/>
  <c r="O100" i="23" s="1"/>
  <c r="O107" i="23" s="1"/>
  <c r="P52" i="23"/>
  <c r="P73" i="23" s="1"/>
  <c r="P99" i="23" s="1"/>
  <c r="P106" i="23" s="1"/>
  <c r="Q51" i="23"/>
  <c r="O51" i="23"/>
  <c r="O72" i="23" s="1"/>
  <c r="O98" i="23" s="1"/>
  <c r="O105" i="23" s="1"/>
  <c r="P50" i="23"/>
  <c r="P53" i="23"/>
  <c r="P74" i="23" s="1"/>
  <c r="P100" i="23" s="1"/>
  <c r="P107" i="23" s="1"/>
  <c r="Q52" i="23"/>
  <c r="O52" i="23"/>
  <c r="O73" i="23" s="1"/>
  <c r="O99" i="23" s="1"/>
  <c r="O106" i="23" s="1"/>
  <c r="P51" i="23"/>
  <c r="P72" i="23" s="1"/>
  <c r="P98" i="23" s="1"/>
  <c r="P105" i="23" s="1"/>
  <c r="Q50" i="23"/>
  <c r="O50" i="23"/>
  <c r="U53" i="23"/>
  <c r="S53" i="23"/>
  <c r="T52" i="23"/>
  <c r="U51" i="23"/>
  <c r="S51" i="23"/>
  <c r="T50" i="23"/>
  <c r="T53" i="23"/>
  <c r="U52" i="23"/>
  <c r="S52" i="23"/>
  <c r="T51" i="23"/>
  <c r="U50" i="23"/>
  <c r="S50" i="23"/>
  <c r="Y53" i="23"/>
  <c r="W53" i="23"/>
  <c r="W74" i="23" s="1"/>
  <c r="W100" i="23" s="1"/>
  <c r="W107" i="23" s="1"/>
  <c r="X52" i="23"/>
  <c r="X73" i="23" s="1"/>
  <c r="X99" i="23" s="1"/>
  <c r="X106" i="23" s="1"/>
  <c r="Y51" i="23"/>
  <c r="W51" i="23"/>
  <c r="W72" i="23" s="1"/>
  <c r="W98" i="23" s="1"/>
  <c r="W105" i="23" s="1"/>
  <c r="X50" i="23"/>
  <c r="X53" i="23"/>
  <c r="X74" i="23" s="1"/>
  <c r="X100" i="23" s="1"/>
  <c r="X107" i="23" s="1"/>
  <c r="Y52" i="23"/>
  <c r="W52" i="23"/>
  <c r="W73" i="23" s="1"/>
  <c r="W99" i="23" s="1"/>
  <c r="W106" i="23" s="1"/>
  <c r="X51" i="23"/>
  <c r="X72" i="23" s="1"/>
  <c r="X98" i="23" s="1"/>
  <c r="X105" i="23" s="1"/>
  <c r="Y50" i="23"/>
  <c r="W50" i="23"/>
  <c r="AB8" i="23"/>
  <c r="AC7" i="23"/>
  <c r="BA7" i="23" s="1"/>
  <c r="AA7" i="23"/>
  <c r="AB6" i="23"/>
  <c r="AC5" i="23"/>
  <c r="BA5" i="23" s="1"/>
  <c r="AA5" i="23"/>
  <c r="AY5" i="23" s="1"/>
  <c r="AC8" i="23"/>
  <c r="BA8" i="23" s="1"/>
  <c r="AA8" i="23"/>
  <c r="AB7" i="23"/>
  <c r="AC6" i="23"/>
  <c r="BA6" i="23" s="1"/>
  <c r="AA6" i="23"/>
  <c r="AB5" i="23"/>
  <c r="AZ5" i="23" s="1"/>
  <c r="I53" i="23"/>
  <c r="G53" i="23"/>
  <c r="G74" i="23" s="1"/>
  <c r="G100" i="23" s="1"/>
  <c r="G107" i="23" s="1"/>
  <c r="H52" i="23"/>
  <c r="H73" i="23" s="1"/>
  <c r="H99" i="23" s="1"/>
  <c r="H106" i="23" s="1"/>
  <c r="I51" i="23"/>
  <c r="G51" i="23"/>
  <c r="G72" i="23" s="1"/>
  <c r="G98" i="23" s="1"/>
  <c r="G105" i="23" s="1"/>
  <c r="H50" i="23"/>
  <c r="H53" i="23"/>
  <c r="H74" i="23" s="1"/>
  <c r="H100" i="23" s="1"/>
  <c r="H107" i="23" s="1"/>
  <c r="I52" i="23"/>
  <c r="G52" i="23"/>
  <c r="G73" i="23" s="1"/>
  <c r="G99" i="23" s="1"/>
  <c r="G106" i="23" s="1"/>
  <c r="H51" i="23"/>
  <c r="H72" i="23" s="1"/>
  <c r="H98" i="23" s="1"/>
  <c r="H105" i="23" s="1"/>
  <c r="I50" i="23"/>
  <c r="G50" i="23"/>
  <c r="U60" i="23"/>
  <c r="V60" i="23" s="1"/>
  <c r="S60" i="23"/>
  <c r="T59" i="23"/>
  <c r="U58" i="23"/>
  <c r="V58" i="23" s="1"/>
  <c r="S58" i="23"/>
  <c r="T57" i="23"/>
  <c r="T60" i="23"/>
  <c r="U59" i="23"/>
  <c r="V59" i="23" s="1"/>
  <c r="S59" i="23"/>
  <c r="T58" i="23"/>
  <c r="U57" i="23"/>
  <c r="S57" i="23"/>
  <c r="AC53" i="23"/>
  <c r="AA53" i="23"/>
  <c r="AA74" i="23" s="1"/>
  <c r="AA100" i="23" s="1"/>
  <c r="AB52" i="23"/>
  <c r="AB73" i="23" s="1"/>
  <c r="AB99" i="23" s="1"/>
  <c r="AC51" i="23"/>
  <c r="AA51" i="23"/>
  <c r="AA72" i="23" s="1"/>
  <c r="AA98" i="23" s="1"/>
  <c r="AB50" i="23"/>
  <c r="AB53" i="23"/>
  <c r="AB74" i="23" s="1"/>
  <c r="AB100" i="23" s="1"/>
  <c r="AC52" i="23"/>
  <c r="AA52" i="23"/>
  <c r="AA73" i="23" s="1"/>
  <c r="AA99" i="23" s="1"/>
  <c r="AB51" i="23"/>
  <c r="AB72" i="23" s="1"/>
  <c r="AB98" i="23" s="1"/>
  <c r="AC50" i="23"/>
  <c r="AA50" i="23"/>
  <c r="F9" i="23"/>
  <c r="E53" i="23"/>
  <c r="C53" i="23"/>
  <c r="D52" i="23"/>
  <c r="E51" i="23"/>
  <c r="C51" i="23"/>
  <c r="E50" i="23"/>
  <c r="BA50" i="23" s="1"/>
  <c r="C50" i="23"/>
  <c r="AY50" i="23" s="1"/>
  <c r="D53" i="23"/>
  <c r="E52" i="23"/>
  <c r="BA52" i="23" s="1"/>
  <c r="C52" i="23"/>
  <c r="D51" i="23"/>
  <c r="D50" i="23"/>
  <c r="E30" i="23"/>
  <c r="E40" i="23"/>
  <c r="C30" i="23"/>
  <c r="C40" i="23"/>
  <c r="F40" i="23"/>
  <c r="D40" i="23"/>
  <c r="D30" i="23"/>
  <c r="N73" i="8"/>
  <c r="N57" i="8"/>
  <c r="B57" i="8"/>
  <c r="N32" i="8"/>
  <c r="N36" i="8"/>
  <c r="N34" i="8"/>
  <c r="N38" i="8"/>
  <c r="N40" i="8"/>
  <c r="N30" i="8"/>
  <c r="N31" i="8"/>
  <c r="N33" i="8"/>
  <c r="N35" i="8"/>
  <c r="N37" i="8"/>
  <c r="N39" i="8"/>
  <c r="H30" i="8"/>
  <c r="H32" i="8"/>
  <c r="H34" i="8"/>
  <c r="H36" i="8"/>
  <c r="H38" i="8"/>
  <c r="H40" i="8"/>
  <c r="H29" i="8"/>
  <c r="H31" i="8"/>
  <c r="H33" i="8"/>
  <c r="H35" i="8"/>
  <c r="H37" i="8"/>
  <c r="H39" i="8"/>
  <c r="N29" i="8"/>
  <c r="BA53" i="23" l="1"/>
  <c r="AZ50" i="23"/>
  <c r="BA51" i="23"/>
  <c r="AA27" i="23"/>
  <c r="AY6" i="23"/>
  <c r="AB28" i="23"/>
  <c r="AZ7" i="23"/>
  <c r="AA28" i="23"/>
  <c r="AY7" i="23"/>
  <c r="AB29" i="23"/>
  <c r="AZ8" i="23"/>
  <c r="AA29" i="23"/>
  <c r="AY8" i="23"/>
  <c r="AB27" i="23"/>
  <c r="AZ6" i="23"/>
  <c r="F41" i="23"/>
  <c r="F43" i="23"/>
  <c r="F42" i="23"/>
  <c r="D74" i="23"/>
  <c r="AZ53" i="23"/>
  <c r="C74" i="23"/>
  <c r="AY53" i="23"/>
  <c r="BA57" i="23"/>
  <c r="AY59" i="23"/>
  <c r="AZ60" i="23"/>
  <c r="AY58" i="23"/>
  <c r="AZ59" i="23"/>
  <c r="N60" i="23"/>
  <c r="BB60" i="23" s="1"/>
  <c r="BA60" i="23"/>
  <c r="C73" i="23"/>
  <c r="AY52" i="23"/>
  <c r="D72" i="23"/>
  <c r="AZ51" i="23"/>
  <c r="C72" i="23"/>
  <c r="AY51" i="23"/>
  <c r="D73" i="23"/>
  <c r="AZ52" i="23"/>
  <c r="AY57" i="23"/>
  <c r="AZ58" i="23"/>
  <c r="N59" i="23"/>
  <c r="BB59" i="23" s="1"/>
  <c r="BA59" i="23"/>
  <c r="AZ57" i="23"/>
  <c r="N58" i="23"/>
  <c r="BB58" i="23" s="1"/>
  <c r="BA58" i="23"/>
  <c r="AY60" i="23"/>
  <c r="AB22" i="28"/>
  <c r="BK22" i="28" s="1"/>
  <c r="BL22" i="28"/>
  <c r="AB226" i="28"/>
  <c r="BK226" i="28" s="1"/>
  <c r="BL226" i="28"/>
  <c r="L25" i="40"/>
  <c r="Q25" i="40"/>
  <c r="S25" i="40" s="1"/>
  <c r="AB115" i="28"/>
  <c r="BL115" i="28"/>
  <c r="L94" i="40"/>
  <c r="AG212" i="28"/>
  <c r="BK212" i="28" s="1"/>
  <c r="BL212" i="28"/>
  <c r="AB41" i="28"/>
  <c r="BK41" i="28" s="1"/>
  <c r="BL41" i="28"/>
  <c r="AB35" i="28"/>
  <c r="BK35" i="28" s="1"/>
  <c r="BL35" i="28"/>
  <c r="AB21" i="28"/>
  <c r="BK21" i="28" s="1"/>
  <c r="BL21" i="28"/>
  <c r="L135" i="40"/>
  <c r="Q135" i="40"/>
  <c r="S135" i="40" s="1"/>
  <c r="AB110" i="28"/>
  <c r="BK110" i="28" s="1"/>
  <c r="BL110" i="28"/>
  <c r="AB43" i="28"/>
  <c r="BK43" i="28" s="1"/>
  <c r="BL43" i="28"/>
  <c r="AB37" i="28"/>
  <c r="BK37" i="28" s="1"/>
  <c r="BL37" i="28"/>
  <c r="AB102" i="28"/>
  <c r="BL102" i="28"/>
  <c r="AB97" i="28"/>
  <c r="BK97" i="28" s="1"/>
  <c r="BL97" i="28"/>
  <c r="H18" i="40"/>
  <c r="AJ115" i="28"/>
  <c r="BN115" i="28" s="1"/>
  <c r="BL242" i="28"/>
  <c r="AB242" i="28"/>
  <c r="BK242" i="28" s="1"/>
  <c r="AK102" i="28"/>
  <c r="BO102" i="28" s="1"/>
  <c r="L18" i="40"/>
  <c r="L3" i="40" s="1"/>
  <c r="D3" i="40"/>
  <c r="J18" i="40"/>
  <c r="AK115" i="28"/>
  <c r="BO115" i="28" s="1"/>
  <c r="AB266" i="28"/>
  <c r="BK266" i="28" s="1"/>
  <c r="BL266" i="28"/>
  <c r="H94" i="40"/>
  <c r="N94" i="40" s="1"/>
  <c r="AJ227" i="28"/>
  <c r="BN227" i="28" s="1"/>
  <c r="J94" i="40"/>
  <c r="O94" i="40" s="1"/>
  <c r="AK227" i="28"/>
  <c r="BO227" i="28" s="1"/>
  <c r="AJ102" i="28"/>
  <c r="N41" i="8"/>
  <c r="H41" i="8"/>
  <c r="K61" i="23"/>
  <c r="S61" i="23"/>
  <c r="AA71" i="23"/>
  <c r="AA54" i="23"/>
  <c r="AD52" i="23"/>
  <c r="AD73" i="23" s="1"/>
  <c r="AD99" i="23" s="1"/>
  <c r="AC73" i="23"/>
  <c r="AC99" i="23" s="1"/>
  <c r="AB71" i="23"/>
  <c r="AB54" i="23"/>
  <c r="AD51" i="23"/>
  <c r="AD72" i="23" s="1"/>
  <c r="AD98" i="23" s="1"/>
  <c r="AC72" i="23"/>
  <c r="AC98" i="23" s="1"/>
  <c r="T61" i="23"/>
  <c r="G71" i="23"/>
  <c r="G54" i="23"/>
  <c r="J52" i="23"/>
  <c r="J73" i="23" s="1"/>
  <c r="J99" i="23" s="1"/>
  <c r="J106" i="23" s="1"/>
  <c r="I73" i="23"/>
  <c r="I99" i="23" s="1"/>
  <c r="I106" i="23" s="1"/>
  <c r="H71" i="23"/>
  <c r="H54" i="23"/>
  <c r="J51" i="23"/>
  <c r="J72" i="23" s="1"/>
  <c r="J98" i="23" s="1"/>
  <c r="J105" i="23" s="1"/>
  <c r="I72" i="23"/>
  <c r="I98" i="23" s="1"/>
  <c r="I105" i="23" s="1"/>
  <c r="AB26" i="23"/>
  <c r="AB9" i="23"/>
  <c r="AZ9" i="23" s="1"/>
  <c r="AC27" i="23"/>
  <c r="AD6" i="23"/>
  <c r="AA9" i="23"/>
  <c r="AY9" i="23" s="1"/>
  <c r="AA26" i="23"/>
  <c r="AD7" i="23"/>
  <c r="AC28" i="23"/>
  <c r="W71" i="23"/>
  <c r="W54" i="23"/>
  <c r="Z52" i="23"/>
  <c r="Z73" i="23" s="1"/>
  <c r="Z99" i="23" s="1"/>
  <c r="Z106" i="23" s="1"/>
  <c r="Y73" i="23"/>
  <c r="Y99" i="23" s="1"/>
  <c r="Y106" i="23" s="1"/>
  <c r="X71" i="23"/>
  <c r="X54" i="23"/>
  <c r="Z51" i="23"/>
  <c r="Z72" i="23" s="1"/>
  <c r="Z98" i="23" s="1"/>
  <c r="Z105" i="23" s="1"/>
  <c r="Y72" i="23"/>
  <c r="Y98" i="23" s="1"/>
  <c r="Y105" i="23" s="1"/>
  <c r="S54" i="23"/>
  <c r="S71" i="23"/>
  <c r="T72" i="23"/>
  <c r="T98" i="23" s="1"/>
  <c r="T105" i="23" s="1"/>
  <c r="V52" i="23"/>
  <c r="V73" i="23" s="1"/>
  <c r="V99" i="23" s="1"/>
  <c r="V106" i="23" s="1"/>
  <c r="U73" i="23"/>
  <c r="U99" i="23" s="1"/>
  <c r="U106" i="23" s="1"/>
  <c r="T71" i="23"/>
  <c r="T54" i="23"/>
  <c r="V51" i="23"/>
  <c r="V72" i="23" s="1"/>
  <c r="V98" i="23" s="1"/>
  <c r="V105" i="23" s="1"/>
  <c r="U72" i="23"/>
  <c r="U98" i="23" s="1"/>
  <c r="U105" i="23" s="1"/>
  <c r="S74" i="23"/>
  <c r="S100" i="23" s="1"/>
  <c r="S107" i="23" s="1"/>
  <c r="O71" i="23"/>
  <c r="O54" i="23"/>
  <c r="R52" i="23"/>
  <c r="R73" i="23" s="1"/>
  <c r="R99" i="23" s="1"/>
  <c r="R106" i="23" s="1"/>
  <c r="Q73" i="23"/>
  <c r="Q99" i="23" s="1"/>
  <c r="Q106" i="23" s="1"/>
  <c r="P71" i="23"/>
  <c r="P54" i="23"/>
  <c r="R51" i="23"/>
  <c r="R72" i="23" s="1"/>
  <c r="R98" i="23" s="1"/>
  <c r="R105" i="23" s="1"/>
  <c r="Q72" i="23"/>
  <c r="Q98" i="23" s="1"/>
  <c r="Q105" i="23" s="1"/>
  <c r="L61" i="23"/>
  <c r="K54" i="23"/>
  <c r="K71" i="23"/>
  <c r="L72" i="23"/>
  <c r="L98" i="23" s="1"/>
  <c r="L105" i="23" s="1"/>
  <c r="N52" i="23"/>
  <c r="N73" i="23" s="1"/>
  <c r="N99" i="23" s="1"/>
  <c r="N106" i="23" s="1"/>
  <c r="M73" i="23"/>
  <c r="M99" i="23" s="1"/>
  <c r="M106" i="23" s="1"/>
  <c r="L71" i="23"/>
  <c r="L54" i="23"/>
  <c r="N51" i="23"/>
  <c r="N72" i="23" s="1"/>
  <c r="N98" i="23" s="1"/>
  <c r="N105" i="23" s="1"/>
  <c r="M72" i="23"/>
  <c r="M98" i="23" s="1"/>
  <c r="M105" i="23" s="1"/>
  <c r="K74" i="23"/>
  <c r="K100" i="23" s="1"/>
  <c r="K107" i="23" s="1"/>
  <c r="AD50" i="23"/>
  <c r="AC71" i="23"/>
  <c r="AC54" i="23"/>
  <c r="AD53" i="23"/>
  <c r="AD74" i="23" s="1"/>
  <c r="AD100" i="23" s="1"/>
  <c r="AC74" i="23"/>
  <c r="AC100" i="23" s="1"/>
  <c r="V57" i="23"/>
  <c r="V61" i="23" s="1"/>
  <c r="U61" i="23"/>
  <c r="J50" i="23"/>
  <c r="I71" i="23"/>
  <c r="I54" i="23"/>
  <c r="J53" i="23"/>
  <c r="J74" i="23" s="1"/>
  <c r="J100" i="23" s="1"/>
  <c r="J107" i="23" s="1"/>
  <c r="I74" i="23"/>
  <c r="I100" i="23" s="1"/>
  <c r="I107" i="23" s="1"/>
  <c r="AC29" i="23"/>
  <c r="AD8" i="23"/>
  <c r="AC26" i="23"/>
  <c r="AD5" i="23"/>
  <c r="BB5" i="23" s="1"/>
  <c r="AC9" i="23"/>
  <c r="BA9" i="23" s="1"/>
  <c r="Z50" i="23"/>
  <c r="Y71" i="23"/>
  <c r="Y54" i="23"/>
  <c r="Z53" i="23"/>
  <c r="Z74" i="23" s="1"/>
  <c r="Z100" i="23" s="1"/>
  <c r="Z107" i="23" s="1"/>
  <c r="Y74" i="23"/>
  <c r="Y100" i="23" s="1"/>
  <c r="Y107" i="23" s="1"/>
  <c r="V50" i="23"/>
  <c r="U71" i="23"/>
  <c r="U54" i="23"/>
  <c r="S73" i="23"/>
  <c r="S99" i="23" s="1"/>
  <c r="S106" i="23" s="1"/>
  <c r="T74" i="23"/>
  <c r="T100" i="23" s="1"/>
  <c r="T107" i="23" s="1"/>
  <c r="S72" i="23"/>
  <c r="S98" i="23" s="1"/>
  <c r="S105" i="23" s="1"/>
  <c r="T73" i="23"/>
  <c r="T99" i="23" s="1"/>
  <c r="T106" i="23" s="1"/>
  <c r="V53" i="23"/>
  <c r="V74" i="23" s="1"/>
  <c r="V100" i="23" s="1"/>
  <c r="V107" i="23" s="1"/>
  <c r="U74" i="23"/>
  <c r="U100" i="23" s="1"/>
  <c r="U107" i="23" s="1"/>
  <c r="R50" i="23"/>
  <c r="Q71" i="23"/>
  <c r="Q54" i="23"/>
  <c r="R53" i="23"/>
  <c r="R74" i="23" s="1"/>
  <c r="R100" i="23" s="1"/>
  <c r="R107" i="23" s="1"/>
  <c r="Q74" i="23"/>
  <c r="Q100" i="23" s="1"/>
  <c r="Q107" i="23" s="1"/>
  <c r="N57" i="23"/>
  <c r="M61" i="23"/>
  <c r="N50" i="23"/>
  <c r="M71" i="23"/>
  <c r="M54" i="23"/>
  <c r="K73" i="23"/>
  <c r="K99" i="23" s="1"/>
  <c r="K106" i="23" s="1"/>
  <c r="L74" i="23"/>
  <c r="L100" i="23" s="1"/>
  <c r="L107" i="23" s="1"/>
  <c r="K72" i="23"/>
  <c r="K98" i="23" s="1"/>
  <c r="K105" i="23" s="1"/>
  <c r="L73" i="23"/>
  <c r="L99" i="23" s="1"/>
  <c r="L106" i="23" s="1"/>
  <c r="N53" i="23"/>
  <c r="N74" i="23" s="1"/>
  <c r="N100" i="23" s="1"/>
  <c r="N107" i="23" s="1"/>
  <c r="M74" i="23"/>
  <c r="M100" i="23" s="1"/>
  <c r="M107" i="23" s="1"/>
  <c r="F51" i="23"/>
  <c r="E72" i="23"/>
  <c r="D44" i="23"/>
  <c r="C44" i="23"/>
  <c r="E44" i="23"/>
  <c r="D71" i="23"/>
  <c r="D54" i="23"/>
  <c r="E71" i="23"/>
  <c r="E54" i="23"/>
  <c r="F50" i="23"/>
  <c r="F52" i="23"/>
  <c r="E73" i="23"/>
  <c r="C71" i="23"/>
  <c r="AY71" i="23" s="1"/>
  <c r="C54" i="23"/>
  <c r="F53" i="23"/>
  <c r="E74" i="23"/>
  <c r="C30" i="8"/>
  <c r="C31" i="8"/>
  <c r="E40" i="8"/>
  <c r="D40" i="8"/>
  <c r="C40" i="8"/>
  <c r="E39" i="8"/>
  <c r="F39" i="8" s="1"/>
  <c r="D39" i="8"/>
  <c r="C39" i="8"/>
  <c r="E38" i="8"/>
  <c r="F38" i="8" s="1"/>
  <c r="D38" i="8"/>
  <c r="C38" i="8"/>
  <c r="E37" i="8"/>
  <c r="F37" i="8" s="1"/>
  <c r="D37" i="8"/>
  <c r="C37" i="8"/>
  <c r="E36" i="8"/>
  <c r="D36" i="8"/>
  <c r="C36" i="8"/>
  <c r="E35" i="8"/>
  <c r="F35" i="8" s="1"/>
  <c r="D35" i="8"/>
  <c r="C35" i="8"/>
  <c r="E34" i="8"/>
  <c r="F34" i="8" s="1"/>
  <c r="D34" i="8"/>
  <c r="C34" i="8"/>
  <c r="E33" i="8"/>
  <c r="F33" i="8" s="1"/>
  <c r="D33" i="8"/>
  <c r="C33" i="8"/>
  <c r="E32" i="8"/>
  <c r="F32" i="8" s="1"/>
  <c r="D32" i="8"/>
  <c r="C32" i="8"/>
  <c r="E31" i="8"/>
  <c r="F31" i="8" s="1"/>
  <c r="D31" i="8"/>
  <c r="E30" i="8"/>
  <c r="F30" i="8" s="1"/>
  <c r="D30" i="8"/>
  <c r="E29" i="8"/>
  <c r="D29" i="8"/>
  <c r="C29" i="8"/>
  <c r="E21" i="8"/>
  <c r="D21" i="8"/>
  <c r="C21" i="8"/>
  <c r="E20" i="8"/>
  <c r="D20" i="8"/>
  <c r="C20" i="8"/>
  <c r="E19" i="8"/>
  <c r="D19" i="8"/>
  <c r="C19" i="8"/>
  <c r="E18" i="8"/>
  <c r="D18" i="8"/>
  <c r="C18" i="8"/>
  <c r="E17" i="8"/>
  <c r="D17" i="8"/>
  <c r="C17" i="8"/>
  <c r="E16" i="8"/>
  <c r="D16" i="8"/>
  <c r="C16" i="8"/>
  <c r="E15" i="8"/>
  <c r="D15" i="8"/>
  <c r="C15" i="8"/>
  <c r="E14" i="8"/>
  <c r="D14" i="8"/>
  <c r="C14" i="8"/>
  <c r="E13" i="8"/>
  <c r="D13" i="8"/>
  <c r="C13" i="8"/>
  <c r="E12" i="8"/>
  <c r="D12" i="8"/>
  <c r="C12" i="8"/>
  <c r="E11" i="8"/>
  <c r="D11" i="8"/>
  <c r="C11" i="8"/>
  <c r="E10" i="8"/>
  <c r="D10" i="8"/>
  <c r="C10" i="8"/>
  <c r="F40" i="8"/>
  <c r="F36" i="8"/>
  <c r="BA54" i="23" l="1"/>
  <c r="AZ54" i="23"/>
  <c r="BA61" i="23"/>
  <c r="AZ61" i="23"/>
  <c r="F44" i="23"/>
  <c r="AD29" i="23"/>
  <c r="BB8" i="23"/>
  <c r="AD28" i="23"/>
  <c r="BB7" i="23"/>
  <c r="AC41" i="23"/>
  <c r="BA41" i="23" s="1"/>
  <c r="BA27" i="23"/>
  <c r="AB30" i="23"/>
  <c r="AZ30" i="23" s="1"/>
  <c r="AB40" i="23"/>
  <c r="AZ26" i="23"/>
  <c r="AC30" i="23"/>
  <c r="BA30" i="23" s="1"/>
  <c r="AC40" i="23"/>
  <c r="BA26" i="23"/>
  <c r="AC43" i="23"/>
  <c r="BA43" i="23" s="1"/>
  <c r="BA29" i="23"/>
  <c r="AC107" i="23"/>
  <c r="AC42" i="23"/>
  <c r="BA42" i="23" s="1"/>
  <c r="BA28" i="23"/>
  <c r="AA30" i="23"/>
  <c r="AY30" i="23" s="1"/>
  <c r="AA40" i="23"/>
  <c r="AY26" i="23"/>
  <c r="AD27" i="23"/>
  <c r="BB6" i="23"/>
  <c r="AB41" i="23"/>
  <c r="AZ27" i="23"/>
  <c r="AA43" i="23"/>
  <c r="AY29" i="23"/>
  <c r="AB43" i="23"/>
  <c r="AZ29" i="23"/>
  <c r="AA42" i="23"/>
  <c r="AY28" i="23"/>
  <c r="AB42" i="23"/>
  <c r="AZ28" i="23"/>
  <c r="AA41" i="23"/>
  <c r="AY27" i="23"/>
  <c r="F110" i="23"/>
  <c r="E110" i="23"/>
  <c r="D110" i="23"/>
  <c r="C110" i="23"/>
  <c r="F74" i="23"/>
  <c r="BB53" i="23"/>
  <c r="F73" i="23"/>
  <c r="BB52" i="23"/>
  <c r="F72" i="23"/>
  <c r="BB51" i="23"/>
  <c r="D99" i="23"/>
  <c r="AZ73" i="23"/>
  <c r="C98" i="23"/>
  <c r="AY72" i="23"/>
  <c r="D98" i="23"/>
  <c r="AZ72" i="23"/>
  <c r="C99" i="23"/>
  <c r="AY73" i="23"/>
  <c r="E100" i="23"/>
  <c r="BA74" i="23"/>
  <c r="AY54" i="23"/>
  <c r="E99" i="23"/>
  <c r="BA73" i="23"/>
  <c r="BB50" i="23"/>
  <c r="BA71" i="23"/>
  <c r="AZ71" i="23"/>
  <c r="E98" i="23"/>
  <c r="BA72" i="23"/>
  <c r="N61" i="23"/>
  <c r="BB61" i="23" s="1"/>
  <c r="BB57" i="23"/>
  <c r="AY61" i="23"/>
  <c r="C100" i="23"/>
  <c r="AY74" i="23"/>
  <c r="D100" i="23"/>
  <c r="AZ74" i="23"/>
  <c r="Q18" i="40"/>
  <c r="S18" i="40" s="1"/>
  <c r="C41" i="8"/>
  <c r="E41" i="8"/>
  <c r="AG102" i="28"/>
  <c r="BK102" i="28" s="1"/>
  <c r="BN102" i="28"/>
  <c r="BN1" i="28" s="1"/>
  <c r="BO1" i="28"/>
  <c r="Q94" i="40"/>
  <c r="S94" i="40" s="1"/>
  <c r="D22" i="8"/>
  <c r="C22" i="8"/>
  <c r="E22" i="8"/>
  <c r="D41" i="8"/>
  <c r="AG227" i="28"/>
  <c r="BK227" i="28" s="1"/>
  <c r="BL1" i="28"/>
  <c r="AG115" i="28"/>
  <c r="BK115" i="28" s="1"/>
  <c r="O18" i="40"/>
  <c r="O3" i="40" s="1"/>
  <c r="J3" i="40"/>
  <c r="N18" i="40"/>
  <c r="N3" i="40" s="1"/>
  <c r="H3" i="40"/>
  <c r="M97" i="23"/>
  <c r="M75" i="23"/>
  <c r="R71" i="23"/>
  <c r="R54" i="23"/>
  <c r="U97" i="23"/>
  <c r="U75" i="23"/>
  <c r="Z71" i="23"/>
  <c r="Z54" i="23"/>
  <c r="AD26" i="23"/>
  <c r="AD9" i="23"/>
  <c r="BB9" i="23" s="1"/>
  <c r="J71" i="23"/>
  <c r="J54" i="23"/>
  <c r="AC97" i="23"/>
  <c r="AC75" i="23"/>
  <c r="L75" i="23"/>
  <c r="L97" i="23"/>
  <c r="K97" i="23"/>
  <c r="K75" i="23"/>
  <c r="P97" i="23"/>
  <c r="P75" i="23"/>
  <c r="O97" i="23"/>
  <c r="O75" i="23"/>
  <c r="X97" i="23"/>
  <c r="X75" i="23"/>
  <c r="W97" i="23"/>
  <c r="W75" i="23"/>
  <c r="H97" i="23"/>
  <c r="H75" i="23"/>
  <c r="G97" i="23"/>
  <c r="G75" i="23"/>
  <c r="N54" i="23"/>
  <c r="N71" i="23"/>
  <c r="Q97" i="23"/>
  <c r="Q75" i="23"/>
  <c r="V54" i="23"/>
  <c r="V71" i="23"/>
  <c r="Y97" i="23"/>
  <c r="Y75" i="23"/>
  <c r="I97" i="23"/>
  <c r="I75" i="23"/>
  <c r="AD71" i="23"/>
  <c r="AD54" i="23"/>
  <c r="T75" i="23"/>
  <c r="T97" i="23"/>
  <c r="S97" i="23"/>
  <c r="S75" i="23"/>
  <c r="AB75" i="23"/>
  <c r="AB97" i="23"/>
  <c r="AA75" i="23"/>
  <c r="AA97" i="23"/>
  <c r="F71" i="23"/>
  <c r="F54" i="23"/>
  <c r="E97" i="23"/>
  <c r="BA97" i="23" s="1"/>
  <c r="E75" i="23"/>
  <c r="BA75" i="23" s="1"/>
  <c r="D97" i="23"/>
  <c r="D75" i="23"/>
  <c r="C75" i="23"/>
  <c r="C97" i="23"/>
  <c r="X31" i="8"/>
  <c r="Y30" i="8"/>
  <c r="B40" i="8"/>
  <c r="B39" i="8"/>
  <c r="C71" i="8" s="1"/>
  <c r="D71" i="8" s="1"/>
  <c r="O71" i="8" s="1"/>
  <c r="B38" i="8"/>
  <c r="B37" i="8"/>
  <c r="C69" i="8" s="1"/>
  <c r="D69" i="8" s="1"/>
  <c r="O69" i="8" s="1"/>
  <c r="B36" i="8"/>
  <c r="C68" i="8" s="1"/>
  <c r="D68" i="8" s="1"/>
  <c r="O68" i="8" s="1"/>
  <c r="B35" i="8"/>
  <c r="C67" i="8" s="1"/>
  <c r="D67" i="8" s="1"/>
  <c r="O67" i="8" s="1"/>
  <c r="B34" i="8"/>
  <c r="C66" i="8" s="1"/>
  <c r="D66" i="8" s="1"/>
  <c r="O66" i="8" s="1"/>
  <c r="B33" i="8"/>
  <c r="C65" i="8" s="1"/>
  <c r="D65" i="8" s="1"/>
  <c r="O65" i="8" s="1"/>
  <c r="B32" i="8"/>
  <c r="C64" i="8" s="1"/>
  <c r="D64" i="8" s="1"/>
  <c r="O64" i="8" s="1"/>
  <c r="Z40" i="8"/>
  <c r="Y40" i="8"/>
  <c r="X40" i="8"/>
  <c r="U40" i="8"/>
  <c r="Y39" i="8"/>
  <c r="X39" i="8"/>
  <c r="U39" i="8"/>
  <c r="Z39" i="8"/>
  <c r="Z38" i="8"/>
  <c r="Y38" i="8"/>
  <c r="X38" i="8"/>
  <c r="U38" i="8"/>
  <c r="Q21" i="8"/>
  <c r="P21" i="8"/>
  <c r="O21" i="8"/>
  <c r="K21" i="8"/>
  <c r="J21" i="8"/>
  <c r="I21" i="8"/>
  <c r="Q20" i="8"/>
  <c r="P20" i="8"/>
  <c r="O20" i="8"/>
  <c r="K20" i="8"/>
  <c r="J20" i="8"/>
  <c r="I20" i="8"/>
  <c r="Q19" i="8"/>
  <c r="P19" i="8"/>
  <c r="O19" i="8"/>
  <c r="K19" i="8"/>
  <c r="J19" i="8"/>
  <c r="I19" i="8"/>
  <c r="Z37" i="8"/>
  <c r="Y37" i="8"/>
  <c r="X37" i="8"/>
  <c r="U37" i="8"/>
  <c r="Z36" i="8"/>
  <c r="Y36" i="8"/>
  <c r="X36" i="8"/>
  <c r="U36" i="8"/>
  <c r="Z35" i="8"/>
  <c r="Y35" i="8"/>
  <c r="X35" i="8"/>
  <c r="U35" i="8"/>
  <c r="Z34" i="8"/>
  <c r="Y34" i="8"/>
  <c r="X34" i="8"/>
  <c r="U34" i="8"/>
  <c r="Z33" i="8"/>
  <c r="Y33" i="8"/>
  <c r="X33" i="8"/>
  <c r="U33" i="8"/>
  <c r="Z32" i="8"/>
  <c r="Y32" i="8"/>
  <c r="X32" i="8"/>
  <c r="U32" i="8"/>
  <c r="Y31" i="8"/>
  <c r="U31" i="8"/>
  <c r="X30" i="8"/>
  <c r="Y29" i="8"/>
  <c r="X29" i="8"/>
  <c r="U29" i="8"/>
  <c r="O18" i="8"/>
  <c r="O17" i="8"/>
  <c r="O16" i="8"/>
  <c r="O15" i="8"/>
  <c r="O14" i="8"/>
  <c r="O13" i="8"/>
  <c r="O12" i="8"/>
  <c r="O11" i="8"/>
  <c r="O10" i="8"/>
  <c r="I18" i="8"/>
  <c r="I17" i="8"/>
  <c r="I16" i="8"/>
  <c r="I15" i="8"/>
  <c r="I14" i="8"/>
  <c r="I13" i="8"/>
  <c r="I12" i="8"/>
  <c r="I11" i="8"/>
  <c r="I10" i="8"/>
  <c r="Q18" i="8"/>
  <c r="P18" i="8"/>
  <c r="Q17" i="8"/>
  <c r="P17" i="8"/>
  <c r="Q16" i="8"/>
  <c r="P16" i="8"/>
  <c r="Q15" i="8"/>
  <c r="P15" i="8"/>
  <c r="Q14" i="8"/>
  <c r="P14" i="8"/>
  <c r="Q13" i="8"/>
  <c r="P13" i="8"/>
  <c r="Q12" i="8"/>
  <c r="P12" i="8"/>
  <c r="Q11" i="8"/>
  <c r="P11" i="8"/>
  <c r="Q10" i="8"/>
  <c r="P10" i="8"/>
  <c r="P22" i="8" s="1"/>
  <c r="K18" i="8"/>
  <c r="Y18" i="8" s="1"/>
  <c r="J18" i="8"/>
  <c r="X18" i="8" s="1"/>
  <c r="K17" i="8"/>
  <c r="Y17" i="8" s="1"/>
  <c r="J17" i="8"/>
  <c r="X17" i="8" s="1"/>
  <c r="K16" i="8"/>
  <c r="Y16" i="8" s="1"/>
  <c r="J16" i="8"/>
  <c r="X16" i="8" s="1"/>
  <c r="K15" i="8"/>
  <c r="Y15" i="8" s="1"/>
  <c r="J15" i="8"/>
  <c r="X15" i="8" s="1"/>
  <c r="K14" i="8"/>
  <c r="Y14" i="8" s="1"/>
  <c r="J14" i="8"/>
  <c r="X14" i="8" s="1"/>
  <c r="K13" i="8"/>
  <c r="Y13" i="8" s="1"/>
  <c r="J13" i="8"/>
  <c r="X13" i="8" s="1"/>
  <c r="K12" i="8"/>
  <c r="Y12" i="8" s="1"/>
  <c r="J12" i="8"/>
  <c r="X12" i="8" s="1"/>
  <c r="K11" i="8"/>
  <c r="Y11" i="8" s="1"/>
  <c r="J11" i="8"/>
  <c r="X11" i="8" s="1"/>
  <c r="K10" i="8"/>
  <c r="Y10" i="8" s="1"/>
  <c r="J10" i="8"/>
  <c r="F12" i="8"/>
  <c r="F11" i="8"/>
  <c r="AC105" i="23" l="1"/>
  <c r="AY75" i="23"/>
  <c r="AZ97" i="23"/>
  <c r="J22" i="8"/>
  <c r="U10" i="8"/>
  <c r="W10" i="8" s="1"/>
  <c r="U12" i="8"/>
  <c r="W12" i="8" s="1"/>
  <c r="U14" i="8"/>
  <c r="W14" i="8" s="1"/>
  <c r="U16" i="8"/>
  <c r="W16" i="8" s="1"/>
  <c r="U18" i="8"/>
  <c r="W18" i="8" s="1"/>
  <c r="U19" i="8"/>
  <c r="W19" i="8" s="1"/>
  <c r="U20" i="8"/>
  <c r="W20" i="8" s="1"/>
  <c r="U21" i="8"/>
  <c r="W21" i="8" s="1"/>
  <c r="U11" i="8"/>
  <c r="W11" i="8" s="1"/>
  <c r="U13" i="8"/>
  <c r="W13" i="8" s="1"/>
  <c r="U15" i="8"/>
  <c r="W15" i="8" s="1"/>
  <c r="U17" i="8"/>
  <c r="W17" i="8" s="1"/>
  <c r="O22" i="8"/>
  <c r="X19" i="8"/>
  <c r="X20" i="8"/>
  <c r="AE20" i="8" s="1"/>
  <c r="X21" i="8"/>
  <c r="AE21" i="8" s="1"/>
  <c r="Y19" i="8"/>
  <c r="Y20" i="8"/>
  <c r="Y21" i="8"/>
  <c r="AF21" i="8" s="1"/>
  <c r="BB71" i="23"/>
  <c r="X10" i="8"/>
  <c r="AD30" i="23"/>
  <c r="BB30" i="23" s="1"/>
  <c r="AD40" i="23"/>
  <c r="BB26" i="23"/>
  <c r="AC106" i="23"/>
  <c r="AD42" i="23"/>
  <c r="BB28" i="23"/>
  <c r="AA105" i="23"/>
  <c r="AY41" i="23"/>
  <c r="AB106" i="23"/>
  <c r="AZ42" i="23"/>
  <c r="AA106" i="23"/>
  <c r="AY42" i="23"/>
  <c r="AZ43" i="23"/>
  <c r="AB107" i="23"/>
  <c r="AY43" i="23"/>
  <c r="AA107" i="23"/>
  <c r="AZ41" i="23"/>
  <c r="AB105" i="23"/>
  <c r="AD41" i="23"/>
  <c r="BB27" i="23"/>
  <c r="AA44" i="23"/>
  <c r="AY40" i="23"/>
  <c r="AC44" i="23"/>
  <c r="BA40" i="23"/>
  <c r="AB44" i="23"/>
  <c r="AZ40" i="23"/>
  <c r="AD43" i="23"/>
  <c r="BB29" i="23"/>
  <c r="D107" i="23"/>
  <c r="AZ100" i="23"/>
  <c r="C107" i="23"/>
  <c r="AY107" i="23" s="1"/>
  <c r="AY100" i="23"/>
  <c r="E106" i="23"/>
  <c r="BA106" i="23" s="1"/>
  <c r="BA99" i="23"/>
  <c r="AY97" i="23"/>
  <c r="AZ75" i="23"/>
  <c r="BB54" i="23"/>
  <c r="E105" i="23"/>
  <c r="BA105" i="23" s="1"/>
  <c r="BA98" i="23"/>
  <c r="E107" i="23"/>
  <c r="BA107" i="23" s="1"/>
  <c r="BA100" i="23"/>
  <c r="C106" i="23"/>
  <c r="AY99" i="23"/>
  <c r="D105" i="23"/>
  <c r="AZ105" i="23" s="1"/>
  <c r="AZ98" i="23"/>
  <c r="C105" i="23"/>
  <c r="AY98" i="23"/>
  <c r="D106" i="23"/>
  <c r="AZ99" i="23"/>
  <c r="F98" i="23"/>
  <c r="BB72" i="23"/>
  <c r="F99" i="23"/>
  <c r="BB73" i="23"/>
  <c r="F100" i="23"/>
  <c r="BB74" i="23"/>
  <c r="BK1" i="28"/>
  <c r="K22" i="8"/>
  <c r="Q22" i="8"/>
  <c r="I22" i="8"/>
  <c r="AE12" i="8"/>
  <c r="X41" i="8"/>
  <c r="Y41" i="8"/>
  <c r="T32" i="8"/>
  <c r="AA104" i="23"/>
  <c r="AA101" i="23"/>
  <c r="AA111" i="23" s="1"/>
  <c r="AB104" i="23"/>
  <c r="AB101" i="23"/>
  <c r="AB111" i="23" s="1"/>
  <c r="T104" i="23"/>
  <c r="T108" i="23" s="1"/>
  <c r="T101" i="23"/>
  <c r="T111" i="23" s="1"/>
  <c r="T112" i="23" s="1"/>
  <c r="V97" i="23"/>
  <c r="V75" i="23"/>
  <c r="N97" i="23"/>
  <c r="N75" i="23"/>
  <c r="L104" i="23"/>
  <c r="L108" i="23" s="1"/>
  <c r="L101" i="23"/>
  <c r="L111" i="23" s="1"/>
  <c r="L112" i="23" s="1"/>
  <c r="S104" i="23"/>
  <c r="S108" i="23" s="1"/>
  <c r="S101" i="23"/>
  <c r="S111" i="23" s="1"/>
  <c r="S112" i="23" s="1"/>
  <c r="AD97" i="23"/>
  <c r="AD75" i="23"/>
  <c r="I104" i="23"/>
  <c r="I108" i="23" s="1"/>
  <c r="I101" i="23"/>
  <c r="I111" i="23" s="1"/>
  <c r="I112" i="23" s="1"/>
  <c r="Y104" i="23"/>
  <c r="Y108" i="23" s="1"/>
  <c r="Y101" i="23"/>
  <c r="Y111" i="23" s="1"/>
  <c r="Y112" i="23" s="1"/>
  <c r="Q104" i="23"/>
  <c r="Q108" i="23" s="1"/>
  <c r="Q101" i="23"/>
  <c r="Q111" i="23" s="1"/>
  <c r="Q112" i="23" s="1"/>
  <c r="G104" i="23"/>
  <c r="G108" i="23" s="1"/>
  <c r="G101" i="23"/>
  <c r="G111" i="23" s="1"/>
  <c r="G112" i="23" s="1"/>
  <c r="H104" i="23"/>
  <c r="H108" i="23" s="1"/>
  <c r="H101" i="23"/>
  <c r="H111" i="23" s="1"/>
  <c r="H112" i="23" s="1"/>
  <c r="W104" i="23"/>
  <c r="W108" i="23" s="1"/>
  <c r="W101" i="23"/>
  <c r="W111" i="23" s="1"/>
  <c r="W112" i="23" s="1"/>
  <c r="X104" i="23"/>
  <c r="X108" i="23" s="1"/>
  <c r="X101" i="23"/>
  <c r="X111" i="23" s="1"/>
  <c r="X112" i="23" s="1"/>
  <c r="O104" i="23"/>
  <c r="O108" i="23" s="1"/>
  <c r="O101" i="23"/>
  <c r="O111" i="23" s="1"/>
  <c r="O112" i="23" s="1"/>
  <c r="P104" i="23"/>
  <c r="P108" i="23" s="1"/>
  <c r="P101" i="23"/>
  <c r="P111" i="23" s="1"/>
  <c r="P112" i="23" s="1"/>
  <c r="K104" i="23"/>
  <c r="K108" i="23" s="1"/>
  <c r="K101" i="23"/>
  <c r="K111" i="23" s="1"/>
  <c r="K112" i="23" s="1"/>
  <c r="AC104" i="23"/>
  <c r="AC108" i="23" s="1"/>
  <c r="AC101" i="23"/>
  <c r="AC111" i="23" s="1"/>
  <c r="J97" i="23"/>
  <c r="J75" i="23"/>
  <c r="Z97" i="23"/>
  <c r="Z75" i="23"/>
  <c r="U104" i="23"/>
  <c r="U108" i="23" s="1"/>
  <c r="U101" i="23"/>
  <c r="U111" i="23" s="1"/>
  <c r="U112" i="23" s="1"/>
  <c r="R97" i="23"/>
  <c r="R75" i="23"/>
  <c r="M104" i="23"/>
  <c r="M108" i="23" s="1"/>
  <c r="M101" i="23"/>
  <c r="M111" i="23" s="1"/>
  <c r="M112" i="23" s="1"/>
  <c r="C101" i="23"/>
  <c r="C104" i="23"/>
  <c r="D101" i="23"/>
  <c r="D104" i="23"/>
  <c r="E101" i="23"/>
  <c r="E104" i="23"/>
  <c r="F97" i="23"/>
  <c r="BB97" i="23" s="1"/>
  <c r="F75" i="23"/>
  <c r="BB75" i="23" s="1"/>
  <c r="C72" i="8"/>
  <c r="D72" i="8" s="1"/>
  <c r="O72" i="8" s="1"/>
  <c r="C70" i="8"/>
  <c r="D70" i="8" s="1"/>
  <c r="O70" i="8" s="1"/>
  <c r="L10" i="8"/>
  <c r="L11" i="8"/>
  <c r="L12" i="8"/>
  <c r="H12" i="8" s="1"/>
  <c r="L13" i="8"/>
  <c r="L14" i="8"/>
  <c r="L15" i="8"/>
  <c r="H15" i="8" s="1"/>
  <c r="L16" i="8"/>
  <c r="L17" i="8"/>
  <c r="L18" i="8"/>
  <c r="R10" i="8"/>
  <c r="R11" i="8"/>
  <c r="N11" i="8" s="1"/>
  <c r="R12" i="8"/>
  <c r="R13" i="8"/>
  <c r="R14" i="8"/>
  <c r="R15" i="8"/>
  <c r="R16" i="8"/>
  <c r="N16" i="8" s="1"/>
  <c r="R17" i="8"/>
  <c r="R18" i="8"/>
  <c r="R19" i="8"/>
  <c r="L20" i="8"/>
  <c r="R21" i="8"/>
  <c r="L19" i="8"/>
  <c r="R20" i="8"/>
  <c r="L21" i="8"/>
  <c r="F13" i="8"/>
  <c r="F14" i="8"/>
  <c r="F15" i="8"/>
  <c r="F16" i="8"/>
  <c r="F17" i="8"/>
  <c r="F18" i="8"/>
  <c r="AE11" i="8"/>
  <c r="AE13" i="8"/>
  <c r="AE14" i="8"/>
  <c r="AE15" i="8"/>
  <c r="AE16" i="8"/>
  <c r="AE17" i="8"/>
  <c r="AE18" i="8"/>
  <c r="AA32" i="8"/>
  <c r="T36" i="8"/>
  <c r="T38" i="8"/>
  <c r="AA36" i="8"/>
  <c r="T34" i="8"/>
  <c r="AA39" i="8"/>
  <c r="T40" i="8"/>
  <c r="AA33" i="8"/>
  <c r="AA37" i="8"/>
  <c r="T33" i="8"/>
  <c r="T35" i="8"/>
  <c r="T37" i="8"/>
  <c r="T39" i="8"/>
  <c r="AA34" i="8"/>
  <c r="AA35" i="8"/>
  <c r="AA40" i="8"/>
  <c r="AA38" i="8"/>
  <c r="U30" i="8"/>
  <c r="AE19" i="8"/>
  <c r="AD20" i="8"/>
  <c r="AF20" i="8"/>
  <c r="AD19" i="8"/>
  <c r="AF19" i="8"/>
  <c r="AD21" i="8"/>
  <c r="F20" i="8"/>
  <c r="F19" i="8"/>
  <c r="F21" i="8"/>
  <c r="B12" i="8"/>
  <c r="AD12" i="8"/>
  <c r="AF12" i="8"/>
  <c r="AD14" i="8"/>
  <c r="AF14" i="8"/>
  <c r="AD16" i="8"/>
  <c r="AF16" i="8"/>
  <c r="AD18" i="8"/>
  <c r="AF18" i="8"/>
  <c r="B11" i="8"/>
  <c r="AF11" i="8"/>
  <c r="AD13" i="8"/>
  <c r="AF13" i="8"/>
  <c r="AD15" i="8"/>
  <c r="AF15" i="8"/>
  <c r="AD17" i="8"/>
  <c r="AF17" i="8"/>
  <c r="BI1" i="28"/>
  <c r="BD1" i="28"/>
  <c r="AZ1" i="28"/>
  <c r="AP1" i="28"/>
  <c r="BJ1" i="28"/>
  <c r="BE1" i="28"/>
  <c r="AY1" i="28"/>
  <c r="AT1" i="28"/>
  <c r="AO1" i="28"/>
  <c r="BK147" i="30"/>
  <c r="BJ147" i="30"/>
  <c r="BI147" i="30"/>
  <c r="BH147" i="30"/>
  <c r="BK146" i="30"/>
  <c r="BJ146" i="30"/>
  <c r="BI146" i="30"/>
  <c r="BH146" i="30"/>
  <c r="BK145" i="30"/>
  <c r="BJ145" i="30"/>
  <c r="BI145" i="30"/>
  <c r="BH145" i="30"/>
  <c r="BK144" i="30"/>
  <c r="BJ144" i="30"/>
  <c r="BI144" i="30"/>
  <c r="BH144" i="30"/>
  <c r="BK143" i="30"/>
  <c r="BJ143" i="30"/>
  <c r="BI143" i="30"/>
  <c r="BH143" i="30"/>
  <c r="BK142" i="30"/>
  <c r="BJ142" i="30"/>
  <c r="BI142" i="30"/>
  <c r="BH142" i="30"/>
  <c r="BK141" i="30"/>
  <c r="BJ141" i="30"/>
  <c r="BI141" i="30"/>
  <c r="BH141" i="30"/>
  <c r="BK140" i="30"/>
  <c r="BJ140" i="30"/>
  <c r="BI140" i="30"/>
  <c r="BH140" i="30"/>
  <c r="BK139" i="30"/>
  <c r="BJ139" i="30"/>
  <c r="BI139" i="30"/>
  <c r="BH139" i="30"/>
  <c r="BK138" i="30"/>
  <c r="BJ138" i="30"/>
  <c r="BI138" i="30"/>
  <c r="BH138" i="30"/>
  <c r="BK137" i="30"/>
  <c r="BJ137" i="30"/>
  <c r="BI137" i="30"/>
  <c r="BH137" i="30"/>
  <c r="BK136" i="30"/>
  <c r="BJ136" i="30"/>
  <c r="BI136" i="30"/>
  <c r="BH136" i="30"/>
  <c r="BK135" i="30"/>
  <c r="BJ135" i="30"/>
  <c r="BI135" i="30"/>
  <c r="BH135" i="30"/>
  <c r="BK134" i="30"/>
  <c r="BJ134" i="30"/>
  <c r="BI134" i="30"/>
  <c r="BH134" i="30"/>
  <c r="BK133" i="30"/>
  <c r="BJ133" i="30"/>
  <c r="BI133" i="30"/>
  <c r="BH133" i="30"/>
  <c r="BK132" i="30"/>
  <c r="BJ132" i="30"/>
  <c r="BI132" i="30"/>
  <c r="BH132" i="30"/>
  <c r="BK131" i="30"/>
  <c r="BJ131" i="30"/>
  <c r="BI131" i="30"/>
  <c r="BH131" i="30"/>
  <c r="BK130" i="30"/>
  <c r="BJ130" i="30"/>
  <c r="BI130" i="30"/>
  <c r="BH130" i="30"/>
  <c r="BK129" i="30"/>
  <c r="BJ129" i="30"/>
  <c r="BI129" i="30"/>
  <c r="BH129" i="30"/>
  <c r="BK128" i="30"/>
  <c r="BJ128" i="30"/>
  <c r="BI128" i="30"/>
  <c r="BH128" i="30"/>
  <c r="BK127" i="30"/>
  <c r="BJ127" i="30"/>
  <c r="BI127" i="30"/>
  <c r="BH127" i="30"/>
  <c r="BK126" i="30"/>
  <c r="BJ126" i="30"/>
  <c r="BI126" i="30"/>
  <c r="BH126" i="30"/>
  <c r="BK125" i="30"/>
  <c r="BJ125" i="30"/>
  <c r="BI125" i="30"/>
  <c r="BH125" i="30"/>
  <c r="BK124" i="30"/>
  <c r="BJ124" i="30"/>
  <c r="BI124" i="30"/>
  <c r="BH124" i="30"/>
  <c r="BK123" i="30"/>
  <c r="BJ123" i="30"/>
  <c r="BI123" i="30"/>
  <c r="BH123" i="30"/>
  <c r="BK122" i="30"/>
  <c r="BJ122" i="30"/>
  <c r="BI122" i="30"/>
  <c r="BH122" i="30"/>
  <c r="BK121" i="30"/>
  <c r="BJ121" i="30"/>
  <c r="BI121" i="30"/>
  <c r="BH121" i="30"/>
  <c r="BK120" i="30"/>
  <c r="BJ120" i="30"/>
  <c r="BI120" i="30"/>
  <c r="BH120" i="30"/>
  <c r="BK119" i="30"/>
  <c r="BJ119" i="30"/>
  <c r="BI119" i="30"/>
  <c r="BH119" i="30"/>
  <c r="BK118" i="30"/>
  <c r="BJ118" i="30"/>
  <c r="BI118" i="30"/>
  <c r="BH118" i="30"/>
  <c r="BK117" i="30"/>
  <c r="BJ117" i="30"/>
  <c r="BI117" i="30"/>
  <c r="BH117" i="30"/>
  <c r="BK116" i="30"/>
  <c r="BJ116" i="30"/>
  <c r="BI116" i="30"/>
  <c r="BH116" i="30"/>
  <c r="BK115" i="30"/>
  <c r="BJ115" i="30"/>
  <c r="BI115" i="30"/>
  <c r="BH115" i="30"/>
  <c r="BK114" i="30"/>
  <c r="BJ114" i="30"/>
  <c r="BI114" i="30"/>
  <c r="BH114" i="30"/>
  <c r="BK113" i="30"/>
  <c r="BJ113" i="30"/>
  <c r="BI113" i="30"/>
  <c r="BH113" i="30"/>
  <c r="BK112" i="30"/>
  <c r="BJ112" i="30"/>
  <c r="BI112" i="30"/>
  <c r="BH112" i="30"/>
  <c r="BK111" i="30"/>
  <c r="BJ111" i="30"/>
  <c r="BI111" i="30"/>
  <c r="BH111" i="30"/>
  <c r="BK110" i="30"/>
  <c r="BJ110" i="30"/>
  <c r="BI110" i="30"/>
  <c r="BH110" i="30"/>
  <c r="BK109" i="30"/>
  <c r="BJ109" i="30"/>
  <c r="BI109" i="30"/>
  <c r="BH109" i="30"/>
  <c r="BK108" i="30"/>
  <c r="BJ108" i="30"/>
  <c r="BI108" i="30"/>
  <c r="BH108" i="30"/>
  <c r="BK107" i="30"/>
  <c r="BJ107" i="30"/>
  <c r="BI107" i="30"/>
  <c r="BH107" i="30"/>
  <c r="BK106" i="30"/>
  <c r="BJ106" i="30"/>
  <c r="BI106" i="30"/>
  <c r="BH106" i="30"/>
  <c r="BK105" i="30"/>
  <c r="BJ105" i="30"/>
  <c r="BI105" i="30"/>
  <c r="BH105" i="30"/>
  <c r="BK104" i="30"/>
  <c r="BJ104" i="30"/>
  <c r="BI104" i="30"/>
  <c r="BH104" i="30"/>
  <c r="BK103" i="30"/>
  <c r="BJ103" i="30"/>
  <c r="BI103" i="30"/>
  <c r="BH103" i="30"/>
  <c r="BK102" i="30"/>
  <c r="BJ102" i="30"/>
  <c r="BI102" i="30"/>
  <c r="BH102" i="30"/>
  <c r="BK101" i="30"/>
  <c r="BJ101" i="30"/>
  <c r="BI101" i="30"/>
  <c r="BH101" i="30"/>
  <c r="BK100" i="30"/>
  <c r="BJ100" i="30"/>
  <c r="BI100" i="30"/>
  <c r="BH100" i="30"/>
  <c r="BK99" i="30"/>
  <c r="BJ99" i="30"/>
  <c r="BI99" i="30"/>
  <c r="BH99" i="30"/>
  <c r="BK98" i="30"/>
  <c r="BJ98" i="30"/>
  <c r="BI98" i="30"/>
  <c r="BH98" i="30"/>
  <c r="BK97" i="30"/>
  <c r="BJ97" i="30"/>
  <c r="BI97" i="30"/>
  <c r="BH97" i="30"/>
  <c r="BK96" i="30"/>
  <c r="BJ96" i="30"/>
  <c r="BI96" i="30"/>
  <c r="BH96" i="30"/>
  <c r="BK95" i="30"/>
  <c r="BJ95" i="30"/>
  <c r="BI95" i="30"/>
  <c r="BH95" i="30"/>
  <c r="BK94" i="30"/>
  <c r="BJ94" i="30"/>
  <c r="BI94" i="30"/>
  <c r="BH94" i="30"/>
  <c r="BK93" i="30"/>
  <c r="BJ93" i="30"/>
  <c r="BI93" i="30"/>
  <c r="BH93" i="30"/>
  <c r="BK92" i="30"/>
  <c r="BJ92" i="30"/>
  <c r="BI92" i="30"/>
  <c r="BH92" i="30"/>
  <c r="BK91" i="30"/>
  <c r="BJ91" i="30"/>
  <c r="BI91" i="30"/>
  <c r="BH91" i="30"/>
  <c r="BK90" i="30"/>
  <c r="BJ90" i="30"/>
  <c r="BI90" i="30"/>
  <c r="BH90" i="30"/>
  <c r="BK89" i="30"/>
  <c r="BJ89" i="30"/>
  <c r="BI89" i="30"/>
  <c r="BH89" i="30"/>
  <c r="BK88" i="30"/>
  <c r="BJ88" i="30"/>
  <c r="BI88" i="30"/>
  <c r="BH88" i="30"/>
  <c r="BK87" i="30"/>
  <c r="BJ87" i="30"/>
  <c r="BI87" i="30"/>
  <c r="BH87" i="30"/>
  <c r="BK86" i="30"/>
  <c r="BJ86" i="30"/>
  <c r="BI86" i="30"/>
  <c r="BH86" i="30"/>
  <c r="BK85" i="30"/>
  <c r="BJ85" i="30"/>
  <c r="BI85" i="30"/>
  <c r="BH85" i="30"/>
  <c r="BK84" i="30"/>
  <c r="BJ84" i="30"/>
  <c r="BI84" i="30"/>
  <c r="BH84" i="30"/>
  <c r="BK83" i="30"/>
  <c r="BJ83" i="30"/>
  <c r="BI83" i="30"/>
  <c r="BH83" i="30"/>
  <c r="BK82" i="30"/>
  <c r="BJ82" i="30"/>
  <c r="BI82" i="30"/>
  <c r="BH82" i="30"/>
  <c r="BK81" i="30"/>
  <c r="BJ81" i="30"/>
  <c r="BI81" i="30"/>
  <c r="BH81" i="30"/>
  <c r="BK80" i="30"/>
  <c r="BJ80" i="30"/>
  <c r="BI80" i="30"/>
  <c r="BH80" i="30"/>
  <c r="BK79" i="30"/>
  <c r="BJ79" i="30"/>
  <c r="BI79" i="30"/>
  <c r="BH79" i="30"/>
  <c r="BK78" i="30"/>
  <c r="BJ78" i="30"/>
  <c r="BI78" i="30"/>
  <c r="BH78" i="30"/>
  <c r="BK77" i="30"/>
  <c r="BJ77" i="30"/>
  <c r="BI77" i="30"/>
  <c r="BH77" i="30"/>
  <c r="BK76" i="30"/>
  <c r="BJ76" i="30"/>
  <c r="BI76" i="30"/>
  <c r="BH76" i="30"/>
  <c r="BK75" i="30"/>
  <c r="BJ75" i="30"/>
  <c r="BI75" i="30"/>
  <c r="BH75" i="30"/>
  <c r="BK74" i="30"/>
  <c r="BJ74" i="30"/>
  <c r="BI74" i="30"/>
  <c r="BH74" i="30"/>
  <c r="BK73" i="30"/>
  <c r="BJ73" i="30"/>
  <c r="BI73" i="30"/>
  <c r="BH73" i="30"/>
  <c r="BK72" i="30"/>
  <c r="BJ72" i="30"/>
  <c r="BI72" i="30"/>
  <c r="BH72" i="30"/>
  <c r="BK71" i="30"/>
  <c r="BJ71" i="30"/>
  <c r="BI71" i="30"/>
  <c r="BH71" i="30"/>
  <c r="BK70" i="30"/>
  <c r="BJ70" i="30"/>
  <c r="BI70" i="30"/>
  <c r="BH70" i="30"/>
  <c r="BK69" i="30"/>
  <c r="BJ69" i="30"/>
  <c r="BI69" i="30"/>
  <c r="BH69" i="30"/>
  <c r="BK68" i="30"/>
  <c r="BJ68" i="30"/>
  <c r="BI68" i="30"/>
  <c r="BH68" i="30"/>
  <c r="BK67" i="30"/>
  <c r="BJ67" i="30"/>
  <c r="BI67" i="30"/>
  <c r="BH67" i="30"/>
  <c r="BK66" i="30"/>
  <c r="BJ66" i="30"/>
  <c r="BI66" i="30"/>
  <c r="BH66" i="30"/>
  <c r="BK65" i="30"/>
  <c r="BJ65" i="30"/>
  <c r="BI65" i="30"/>
  <c r="BH65" i="30"/>
  <c r="BK64" i="30"/>
  <c r="BJ64" i="30"/>
  <c r="BI64" i="30"/>
  <c r="BH64" i="30"/>
  <c r="BK63" i="30"/>
  <c r="BJ63" i="30"/>
  <c r="BI63" i="30"/>
  <c r="BH63" i="30"/>
  <c r="BK62" i="30"/>
  <c r="BJ62" i="30"/>
  <c r="BI62" i="30"/>
  <c r="BH62" i="30"/>
  <c r="BK61" i="30"/>
  <c r="BJ61" i="30"/>
  <c r="BI61" i="30"/>
  <c r="BH61" i="30"/>
  <c r="BK60" i="30"/>
  <c r="BJ60" i="30"/>
  <c r="BI60" i="30"/>
  <c r="BH60" i="30"/>
  <c r="BK59" i="30"/>
  <c r="BJ59" i="30"/>
  <c r="BI59" i="30"/>
  <c r="BH59" i="30"/>
  <c r="BK58" i="30"/>
  <c r="BJ58" i="30"/>
  <c r="BI58" i="30"/>
  <c r="BH58" i="30"/>
  <c r="BK57" i="30"/>
  <c r="BJ57" i="30"/>
  <c r="BI57" i="30"/>
  <c r="BH57" i="30"/>
  <c r="BK56" i="30"/>
  <c r="BJ56" i="30"/>
  <c r="BI56" i="30"/>
  <c r="BH56" i="30"/>
  <c r="BK55" i="30"/>
  <c r="BJ55" i="30"/>
  <c r="BI55" i="30"/>
  <c r="BH55" i="30"/>
  <c r="BK54" i="30"/>
  <c r="BJ54" i="30"/>
  <c r="BI54" i="30"/>
  <c r="BH54" i="30"/>
  <c r="BK53" i="30"/>
  <c r="BJ53" i="30"/>
  <c r="BI53" i="30"/>
  <c r="BH53" i="30"/>
  <c r="BK52" i="30"/>
  <c r="BJ52" i="30"/>
  <c r="BI52" i="30"/>
  <c r="BH52" i="30"/>
  <c r="BK51" i="30"/>
  <c r="BJ51" i="30"/>
  <c r="BI51" i="30"/>
  <c r="BH51" i="30"/>
  <c r="BK50" i="30"/>
  <c r="BJ50" i="30"/>
  <c r="BI50" i="30"/>
  <c r="BH50" i="30"/>
  <c r="BK49" i="30"/>
  <c r="BJ49" i="30"/>
  <c r="BI49" i="30"/>
  <c r="BH49" i="30"/>
  <c r="BK48" i="30"/>
  <c r="BJ48" i="30"/>
  <c r="BI48" i="30"/>
  <c r="BH48" i="30"/>
  <c r="BK47" i="30"/>
  <c r="BJ47" i="30"/>
  <c r="BI47" i="30"/>
  <c r="BH47" i="30"/>
  <c r="BK46" i="30"/>
  <c r="BJ46" i="30"/>
  <c r="BI46" i="30"/>
  <c r="BH46" i="30"/>
  <c r="BK45" i="30"/>
  <c r="BJ45" i="30"/>
  <c r="BI45" i="30"/>
  <c r="BH45" i="30"/>
  <c r="BK44" i="30"/>
  <c r="BJ44" i="30"/>
  <c r="BI44" i="30"/>
  <c r="BH44" i="30"/>
  <c r="BK43" i="30"/>
  <c r="BJ43" i="30"/>
  <c r="BI43" i="30"/>
  <c r="BH43" i="30"/>
  <c r="BK42" i="30"/>
  <c r="BJ42" i="30"/>
  <c r="BI42" i="30"/>
  <c r="BH42" i="30"/>
  <c r="BK41" i="30"/>
  <c r="BJ41" i="30"/>
  <c r="BI41" i="30"/>
  <c r="BH41" i="30"/>
  <c r="BK40" i="30"/>
  <c r="BJ40" i="30"/>
  <c r="BI40" i="30"/>
  <c r="BH40" i="30"/>
  <c r="BK39" i="30"/>
  <c r="BJ39" i="30"/>
  <c r="BI39" i="30"/>
  <c r="BH39" i="30"/>
  <c r="BK38" i="30"/>
  <c r="BJ38" i="30"/>
  <c r="BI38" i="30"/>
  <c r="BH38" i="30"/>
  <c r="BK37" i="30"/>
  <c r="BJ37" i="30"/>
  <c r="BI37" i="30"/>
  <c r="BH37" i="30"/>
  <c r="BK36" i="30"/>
  <c r="BJ36" i="30"/>
  <c r="BI36" i="30"/>
  <c r="BH36" i="30"/>
  <c r="BK35" i="30"/>
  <c r="BJ35" i="30"/>
  <c r="BI35" i="30"/>
  <c r="BH35" i="30"/>
  <c r="BK34" i="30"/>
  <c r="BJ34" i="30"/>
  <c r="BI34" i="30"/>
  <c r="BH34" i="30"/>
  <c r="BK33" i="30"/>
  <c r="BJ33" i="30"/>
  <c r="BI33" i="30"/>
  <c r="BH33" i="30"/>
  <c r="BK32" i="30"/>
  <c r="BJ32" i="30"/>
  <c r="BI32" i="30"/>
  <c r="BH32" i="30"/>
  <c r="BK31" i="30"/>
  <c r="BJ31" i="30"/>
  <c r="BI31" i="30"/>
  <c r="BH31" i="30"/>
  <c r="BK30" i="30"/>
  <c r="BJ30" i="30"/>
  <c r="BI30" i="30"/>
  <c r="BH30" i="30"/>
  <c r="BK29" i="30"/>
  <c r="BJ29" i="30"/>
  <c r="BI29" i="30"/>
  <c r="BH29" i="30"/>
  <c r="BK28" i="30"/>
  <c r="BJ28" i="30"/>
  <c r="BI28" i="30"/>
  <c r="BH28" i="30"/>
  <c r="BK27" i="30"/>
  <c r="BJ27" i="30"/>
  <c r="BI27" i="30"/>
  <c r="BH27" i="30"/>
  <c r="BK26" i="30"/>
  <c r="BJ26" i="30"/>
  <c r="BI26" i="30"/>
  <c r="BH26" i="30"/>
  <c r="BK25" i="30"/>
  <c r="BJ25" i="30"/>
  <c r="BI25" i="30"/>
  <c r="BH25" i="30"/>
  <c r="BK24" i="30"/>
  <c r="BJ24" i="30"/>
  <c r="BI24" i="30"/>
  <c r="BH24" i="30"/>
  <c r="BK23" i="30"/>
  <c r="BJ23" i="30"/>
  <c r="BI23" i="30"/>
  <c r="BH23" i="30"/>
  <c r="BK22" i="30"/>
  <c r="BJ22" i="30"/>
  <c r="BI22" i="30"/>
  <c r="BH22" i="30"/>
  <c r="BK21" i="30"/>
  <c r="BJ21" i="30"/>
  <c r="BI21" i="30"/>
  <c r="BH21" i="30"/>
  <c r="BK20" i="30"/>
  <c r="BJ20" i="30"/>
  <c r="BI20" i="30"/>
  <c r="BH20" i="30"/>
  <c r="BK19" i="30"/>
  <c r="BJ19" i="30"/>
  <c r="BI19" i="30"/>
  <c r="BH19" i="30"/>
  <c r="BK18" i="30"/>
  <c r="BJ18" i="30"/>
  <c r="BI18" i="30"/>
  <c r="BH18" i="30"/>
  <c r="BK17" i="30"/>
  <c r="BJ17" i="30"/>
  <c r="BI17" i="30"/>
  <c r="BH17" i="30"/>
  <c r="BK16" i="30"/>
  <c r="BJ16" i="30"/>
  <c r="BI16" i="30"/>
  <c r="BH16" i="30"/>
  <c r="BK15" i="30"/>
  <c r="BJ15" i="30"/>
  <c r="BI15" i="30"/>
  <c r="BH15" i="30"/>
  <c r="BK14" i="30"/>
  <c r="BJ14" i="30"/>
  <c r="BI14" i="30"/>
  <c r="BH14" i="30"/>
  <c r="BK13" i="30"/>
  <c r="BJ13" i="30"/>
  <c r="BI13" i="30"/>
  <c r="BH13" i="30"/>
  <c r="BK12" i="30"/>
  <c r="BJ12" i="30"/>
  <c r="BI12" i="30"/>
  <c r="BH12" i="30"/>
  <c r="BK11" i="30"/>
  <c r="BJ11" i="30"/>
  <c r="BI11" i="30"/>
  <c r="BH11" i="30"/>
  <c r="BK10" i="30"/>
  <c r="BJ10" i="30"/>
  <c r="BI10" i="30"/>
  <c r="BH10" i="30"/>
  <c r="BK9" i="30"/>
  <c r="BJ9" i="30"/>
  <c r="BI9" i="30"/>
  <c r="BH9" i="30"/>
  <c r="BK8" i="30"/>
  <c r="BJ8" i="30"/>
  <c r="BI8" i="30"/>
  <c r="BH8" i="30"/>
  <c r="BK7" i="30"/>
  <c r="BJ7" i="30"/>
  <c r="BI7" i="30"/>
  <c r="BH7" i="30"/>
  <c r="BK6" i="30"/>
  <c r="BJ6" i="30"/>
  <c r="BI6" i="30"/>
  <c r="BH6" i="30"/>
  <c r="BK5" i="30"/>
  <c r="BK2" i="30" s="1"/>
  <c r="BJ5" i="30"/>
  <c r="BJ2" i="30" s="1"/>
  <c r="BI5" i="30"/>
  <c r="BH5" i="30"/>
  <c r="BF147" i="30"/>
  <c r="BE147" i="30"/>
  <c r="BD147" i="30"/>
  <c r="BC147" i="30"/>
  <c r="BF146" i="30"/>
  <c r="BE146" i="30"/>
  <c r="BD146" i="30"/>
  <c r="BC146" i="30"/>
  <c r="BF145" i="30"/>
  <c r="BE145" i="30"/>
  <c r="BD145" i="30"/>
  <c r="BC145" i="30"/>
  <c r="BF144" i="30"/>
  <c r="BE144" i="30"/>
  <c r="BD144" i="30"/>
  <c r="BC144" i="30"/>
  <c r="BF143" i="30"/>
  <c r="BE143" i="30"/>
  <c r="BD143" i="30"/>
  <c r="BC143" i="30"/>
  <c r="BF142" i="30"/>
  <c r="BE142" i="30"/>
  <c r="BD142" i="30"/>
  <c r="BC142" i="30"/>
  <c r="BF141" i="30"/>
  <c r="BE141" i="30"/>
  <c r="BD141" i="30"/>
  <c r="BC141" i="30"/>
  <c r="BF140" i="30"/>
  <c r="BE140" i="30"/>
  <c r="BD140" i="30"/>
  <c r="BC140" i="30"/>
  <c r="BF139" i="30"/>
  <c r="BE139" i="30"/>
  <c r="BD139" i="30"/>
  <c r="BC139" i="30"/>
  <c r="BF138" i="30"/>
  <c r="BE138" i="30"/>
  <c r="BD138" i="30"/>
  <c r="BC138" i="30"/>
  <c r="BF137" i="30"/>
  <c r="BE137" i="30"/>
  <c r="BD137" i="30"/>
  <c r="BC137" i="30"/>
  <c r="BF136" i="30"/>
  <c r="BE136" i="30"/>
  <c r="BD136" i="30"/>
  <c r="BC136" i="30"/>
  <c r="BF135" i="30"/>
  <c r="BE135" i="30"/>
  <c r="BD135" i="30"/>
  <c r="BC135" i="30"/>
  <c r="BF134" i="30"/>
  <c r="BE134" i="30"/>
  <c r="BD134" i="30"/>
  <c r="BC134" i="30"/>
  <c r="BF133" i="30"/>
  <c r="BE133" i="30"/>
  <c r="BD133" i="30"/>
  <c r="BC133" i="30"/>
  <c r="BF132" i="30"/>
  <c r="BE132" i="30"/>
  <c r="BD132" i="30"/>
  <c r="BC132" i="30"/>
  <c r="BF131" i="30"/>
  <c r="BE131" i="30"/>
  <c r="BD131" i="30"/>
  <c r="BC131" i="30"/>
  <c r="BF130" i="30"/>
  <c r="BE130" i="30"/>
  <c r="BD130" i="30"/>
  <c r="BC130" i="30"/>
  <c r="BF129" i="30"/>
  <c r="BE129" i="30"/>
  <c r="BD129" i="30"/>
  <c r="BC129" i="30"/>
  <c r="BF128" i="30"/>
  <c r="BE128" i="30"/>
  <c r="BD128" i="30"/>
  <c r="BC128" i="30"/>
  <c r="BF127" i="30"/>
  <c r="BE127" i="30"/>
  <c r="BD127" i="30"/>
  <c r="BC127" i="30"/>
  <c r="BF126" i="30"/>
  <c r="BE126" i="30"/>
  <c r="BD126" i="30"/>
  <c r="BC126" i="30"/>
  <c r="BF125" i="30"/>
  <c r="BE125" i="30"/>
  <c r="BD125" i="30"/>
  <c r="BC125" i="30"/>
  <c r="BF124" i="30"/>
  <c r="BE124" i="30"/>
  <c r="BD124" i="30"/>
  <c r="BC124" i="30"/>
  <c r="BF123" i="30"/>
  <c r="BE123" i="30"/>
  <c r="BD123" i="30"/>
  <c r="BC123" i="30"/>
  <c r="BF122" i="30"/>
  <c r="BE122" i="30"/>
  <c r="BD122" i="30"/>
  <c r="BC122" i="30"/>
  <c r="BF121" i="30"/>
  <c r="BE121" i="30"/>
  <c r="BD121" i="30"/>
  <c r="BC121" i="30"/>
  <c r="BF120" i="30"/>
  <c r="BE120" i="30"/>
  <c r="BD120" i="30"/>
  <c r="BC120" i="30"/>
  <c r="BF119" i="30"/>
  <c r="BE119" i="30"/>
  <c r="BD119" i="30"/>
  <c r="BC119" i="30"/>
  <c r="BF118" i="30"/>
  <c r="BE118" i="30"/>
  <c r="BD118" i="30"/>
  <c r="BC118" i="30"/>
  <c r="BF117" i="30"/>
  <c r="BE117" i="30"/>
  <c r="BD117" i="30"/>
  <c r="BC117" i="30"/>
  <c r="BF116" i="30"/>
  <c r="BE116" i="30"/>
  <c r="BD116" i="30"/>
  <c r="BC116" i="30"/>
  <c r="BF115" i="30"/>
  <c r="BE115" i="30"/>
  <c r="BD115" i="30"/>
  <c r="BC115" i="30"/>
  <c r="BF114" i="30"/>
  <c r="BE114" i="30"/>
  <c r="BD114" i="30"/>
  <c r="BC114" i="30"/>
  <c r="BF113" i="30"/>
  <c r="BE113" i="30"/>
  <c r="BD113" i="30"/>
  <c r="BC113" i="30"/>
  <c r="BF112" i="30"/>
  <c r="BE112" i="30"/>
  <c r="BD112" i="30"/>
  <c r="BC112" i="30"/>
  <c r="BF111" i="30"/>
  <c r="BE111" i="30"/>
  <c r="BD111" i="30"/>
  <c r="BC111" i="30"/>
  <c r="BF110" i="30"/>
  <c r="BE110" i="30"/>
  <c r="BD110" i="30"/>
  <c r="BC110" i="30"/>
  <c r="BF109" i="30"/>
  <c r="BE109" i="30"/>
  <c r="BD109" i="30"/>
  <c r="BC109" i="30"/>
  <c r="BF108" i="30"/>
  <c r="BE108" i="30"/>
  <c r="BD108" i="30"/>
  <c r="BC108" i="30"/>
  <c r="BF107" i="30"/>
  <c r="BE107" i="30"/>
  <c r="BD107" i="30"/>
  <c r="BC107" i="30"/>
  <c r="BF106" i="30"/>
  <c r="BE106" i="30"/>
  <c r="BD106" i="30"/>
  <c r="BC106" i="30"/>
  <c r="BF105" i="30"/>
  <c r="BE105" i="30"/>
  <c r="BD105" i="30"/>
  <c r="BC105" i="30"/>
  <c r="BF104" i="30"/>
  <c r="BE104" i="30"/>
  <c r="BD104" i="30"/>
  <c r="BC104" i="30"/>
  <c r="BF103" i="30"/>
  <c r="BE103" i="30"/>
  <c r="BD103" i="30"/>
  <c r="BC103" i="30"/>
  <c r="BF102" i="30"/>
  <c r="BE102" i="30"/>
  <c r="BD102" i="30"/>
  <c r="BC102" i="30"/>
  <c r="BF101" i="30"/>
  <c r="BE101" i="30"/>
  <c r="BD101" i="30"/>
  <c r="BC101" i="30"/>
  <c r="BF100" i="30"/>
  <c r="BE100" i="30"/>
  <c r="BD100" i="30"/>
  <c r="BC100" i="30"/>
  <c r="BF99" i="30"/>
  <c r="BE99" i="30"/>
  <c r="BD99" i="30"/>
  <c r="BC99" i="30"/>
  <c r="BF98" i="30"/>
  <c r="BE98" i="30"/>
  <c r="BD98" i="30"/>
  <c r="BC98" i="30"/>
  <c r="BF97" i="30"/>
  <c r="BE97" i="30"/>
  <c r="BD97" i="30"/>
  <c r="BC97" i="30"/>
  <c r="BF96" i="30"/>
  <c r="BE96" i="30"/>
  <c r="BD96" i="30"/>
  <c r="BC96" i="30"/>
  <c r="BF95" i="30"/>
  <c r="BE95" i="30"/>
  <c r="BD95" i="30"/>
  <c r="BC95" i="30"/>
  <c r="BF94" i="30"/>
  <c r="BE94" i="30"/>
  <c r="BD94" i="30"/>
  <c r="BC94" i="30"/>
  <c r="BF93" i="30"/>
  <c r="BE93" i="30"/>
  <c r="BD93" i="30"/>
  <c r="BC93" i="30"/>
  <c r="BF92" i="30"/>
  <c r="BE92" i="30"/>
  <c r="BD92" i="30"/>
  <c r="BC92" i="30"/>
  <c r="BF91" i="30"/>
  <c r="BE91" i="30"/>
  <c r="BD91" i="30"/>
  <c r="BC91" i="30"/>
  <c r="BF90" i="30"/>
  <c r="BE90" i="30"/>
  <c r="BD90" i="30"/>
  <c r="BC90" i="30"/>
  <c r="BF89" i="30"/>
  <c r="BE89" i="30"/>
  <c r="BD89" i="30"/>
  <c r="BC89" i="30"/>
  <c r="BF88" i="30"/>
  <c r="BE88" i="30"/>
  <c r="BD88" i="30"/>
  <c r="BC88" i="30"/>
  <c r="BF87" i="30"/>
  <c r="BE87" i="30"/>
  <c r="BD87" i="30"/>
  <c r="BC87" i="30"/>
  <c r="BF86" i="30"/>
  <c r="BE86" i="30"/>
  <c r="BD86" i="30"/>
  <c r="BC86" i="30"/>
  <c r="BF85" i="30"/>
  <c r="BE85" i="30"/>
  <c r="BD85" i="30"/>
  <c r="BC85" i="30"/>
  <c r="BF84" i="30"/>
  <c r="BE84" i="30"/>
  <c r="BD84" i="30"/>
  <c r="BC84" i="30"/>
  <c r="BF83" i="30"/>
  <c r="BE83" i="30"/>
  <c r="BD83" i="30"/>
  <c r="BC83" i="30"/>
  <c r="BF82" i="30"/>
  <c r="BE82" i="30"/>
  <c r="BD82" i="30"/>
  <c r="BC82" i="30"/>
  <c r="BF81" i="30"/>
  <c r="BE81" i="30"/>
  <c r="BD81" i="30"/>
  <c r="BC81" i="30"/>
  <c r="BF80" i="30"/>
  <c r="BE80" i="30"/>
  <c r="BD80" i="30"/>
  <c r="BC80" i="30"/>
  <c r="BF79" i="30"/>
  <c r="BE79" i="30"/>
  <c r="BD79" i="30"/>
  <c r="BC79" i="30"/>
  <c r="BF78" i="30"/>
  <c r="BE78" i="30"/>
  <c r="BD78" i="30"/>
  <c r="BC78" i="30"/>
  <c r="BF77" i="30"/>
  <c r="BE77" i="30"/>
  <c r="BD77" i="30"/>
  <c r="BC77" i="30"/>
  <c r="BF76" i="30"/>
  <c r="BE76" i="30"/>
  <c r="BD76" i="30"/>
  <c r="BC76" i="30"/>
  <c r="BF75" i="30"/>
  <c r="BE75" i="30"/>
  <c r="BD75" i="30"/>
  <c r="BC75" i="30"/>
  <c r="BF74" i="30"/>
  <c r="BE74" i="30"/>
  <c r="BD74" i="30"/>
  <c r="BC74" i="30"/>
  <c r="BF73" i="30"/>
  <c r="BE73" i="30"/>
  <c r="BD73" i="30"/>
  <c r="BC73" i="30"/>
  <c r="BF72" i="30"/>
  <c r="BE72" i="30"/>
  <c r="BD72" i="30"/>
  <c r="BC72" i="30"/>
  <c r="BF71" i="30"/>
  <c r="BE71" i="30"/>
  <c r="BD71" i="30"/>
  <c r="BC71" i="30"/>
  <c r="BF70" i="30"/>
  <c r="BE70" i="30"/>
  <c r="BD70" i="30"/>
  <c r="BC70" i="30"/>
  <c r="BF69" i="30"/>
  <c r="BE69" i="30"/>
  <c r="BD69" i="30"/>
  <c r="BC69" i="30"/>
  <c r="BF68" i="30"/>
  <c r="BE68" i="30"/>
  <c r="BD68" i="30"/>
  <c r="BC68" i="30"/>
  <c r="BF67" i="30"/>
  <c r="BE67" i="30"/>
  <c r="BD67" i="30"/>
  <c r="BC67" i="30"/>
  <c r="BF66" i="30"/>
  <c r="BE66" i="30"/>
  <c r="BD66" i="30"/>
  <c r="BC66" i="30"/>
  <c r="BF65" i="30"/>
  <c r="BE65" i="30"/>
  <c r="BD65" i="30"/>
  <c r="BC65" i="30"/>
  <c r="BF64" i="30"/>
  <c r="BE64" i="30"/>
  <c r="BD64" i="30"/>
  <c r="BC64" i="30"/>
  <c r="BF63" i="30"/>
  <c r="BE63" i="30"/>
  <c r="BD63" i="30"/>
  <c r="BC63" i="30"/>
  <c r="BF62" i="30"/>
  <c r="BE62" i="30"/>
  <c r="BD62" i="30"/>
  <c r="BC62" i="30"/>
  <c r="BF61" i="30"/>
  <c r="BE61" i="30"/>
  <c r="BD61" i="30"/>
  <c r="BC61" i="30"/>
  <c r="BF60" i="30"/>
  <c r="BE60" i="30"/>
  <c r="BD60" i="30"/>
  <c r="BC60" i="30"/>
  <c r="BF59" i="30"/>
  <c r="BE59" i="30"/>
  <c r="BD59" i="30"/>
  <c r="BC59" i="30"/>
  <c r="BF58" i="30"/>
  <c r="BE58" i="30"/>
  <c r="BD58" i="30"/>
  <c r="BC58" i="30"/>
  <c r="BF57" i="30"/>
  <c r="BE57" i="30"/>
  <c r="BD57" i="30"/>
  <c r="BC57" i="30"/>
  <c r="BF56" i="30"/>
  <c r="BE56" i="30"/>
  <c r="BD56" i="30"/>
  <c r="BC56" i="30"/>
  <c r="BF55" i="30"/>
  <c r="BE55" i="30"/>
  <c r="BD55" i="30"/>
  <c r="BC55" i="30"/>
  <c r="BF54" i="30"/>
  <c r="BE54" i="30"/>
  <c r="BD54" i="30"/>
  <c r="BC54" i="30"/>
  <c r="BF53" i="30"/>
  <c r="BE53" i="30"/>
  <c r="BD53" i="30"/>
  <c r="BC53" i="30"/>
  <c r="BF52" i="30"/>
  <c r="BE52" i="30"/>
  <c r="BD52" i="30"/>
  <c r="BC52" i="30"/>
  <c r="BF51" i="30"/>
  <c r="BE51" i="30"/>
  <c r="BD51" i="30"/>
  <c r="BC51" i="30"/>
  <c r="BF50" i="30"/>
  <c r="BE50" i="30"/>
  <c r="BD50" i="30"/>
  <c r="BC50" i="30"/>
  <c r="BF49" i="30"/>
  <c r="BE49" i="30"/>
  <c r="BD49" i="30"/>
  <c r="BC49" i="30"/>
  <c r="BF48" i="30"/>
  <c r="BE48" i="30"/>
  <c r="BD48" i="30"/>
  <c r="BC48" i="30"/>
  <c r="BF47" i="30"/>
  <c r="BE47" i="30"/>
  <c r="BD47" i="30"/>
  <c r="BC47" i="30"/>
  <c r="BF46" i="30"/>
  <c r="BE46" i="30"/>
  <c r="BD46" i="30"/>
  <c r="BC46" i="30"/>
  <c r="BF45" i="30"/>
  <c r="BE45" i="30"/>
  <c r="BD45" i="30"/>
  <c r="BC45" i="30"/>
  <c r="BF44" i="30"/>
  <c r="BE44" i="30"/>
  <c r="BD44" i="30"/>
  <c r="BC44" i="30"/>
  <c r="BF43" i="30"/>
  <c r="BE43" i="30"/>
  <c r="BD43" i="30"/>
  <c r="BC43" i="30"/>
  <c r="BF42" i="30"/>
  <c r="BE42" i="30"/>
  <c r="BD42" i="30"/>
  <c r="BC42" i="30"/>
  <c r="BF41" i="30"/>
  <c r="BE41" i="30"/>
  <c r="BD41" i="30"/>
  <c r="BC41" i="30"/>
  <c r="BF40" i="30"/>
  <c r="BE40" i="30"/>
  <c r="BD40" i="30"/>
  <c r="BC40" i="30"/>
  <c r="BF39" i="30"/>
  <c r="BE39" i="30"/>
  <c r="BD39" i="30"/>
  <c r="BC39" i="30"/>
  <c r="BF38" i="30"/>
  <c r="BE38" i="30"/>
  <c r="BD38" i="30"/>
  <c r="BC38" i="30"/>
  <c r="BF37" i="30"/>
  <c r="BE37" i="30"/>
  <c r="BD37" i="30"/>
  <c r="BC37" i="30"/>
  <c r="BF36" i="30"/>
  <c r="BE36" i="30"/>
  <c r="BD36" i="30"/>
  <c r="BC36" i="30"/>
  <c r="BF35" i="30"/>
  <c r="BE35" i="30"/>
  <c r="BD35" i="30"/>
  <c r="BC35" i="30"/>
  <c r="BF34" i="30"/>
  <c r="BE34" i="30"/>
  <c r="BD34" i="30"/>
  <c r="BC34" i="30"/>
  <c r="BF33" i="30"/>
  <c r="BE33" i="30"/>
  <c r="BD33" i="30"/>
  <c r="BC33" i="30"/>
  <c r="BF32" i="30"/>
  <c r="BE32" i="30"/>
  <c r="BD32" i="30"/>
  <c r="BC32" i="30"/>
  <c r="BF31" i="30"/>
  <c r="BE31" i="30"/>
  <c r="BD31" i="30"/>
  <c r="BC31" i="30"/>
  <c r="BF30" i="30"/>
  <c r="BE30" i="30"/>
  <c r="BD30" i="30"/>
  <c r="BC30" i="30"/>
  <c r="BF29" i="30"/>
  <c r="BE29" i="30"/>
  <c r="BD29" i="30"/>
  <c r="BC29" i="30"/>
  <c r="BF28" i="30"/>
  <c r="BE28" i="30"/>
  <c r="BD28" i="30"/>
  <c r="BC28" i="30"/>
  <c r="BF27" i="30"/>
  <c r="BE27" i="30"/>
  <c r="BD27" i="30"/>
  <c r="BC27" i="30"/>
  <c r="BF26" i="30"/>
  <c r="BE26" i="30"/>
  <c r="BD26" i="30"/>
  <c r="BC26" i="30"/>
  <c r="BF25" i="30"/>
  <c r="BE25" i="30"/>
  <c r="BD25" i="30"/>
  <c r="BC25" i="30"/>
  <c r="BF24" i="30"/>
  <c r="BE24" i="30"/>
  <c r="BD24" i="30"/>
  <c r="BC24" i="30"/>
  <c r="BF23" i="30"/>
  <c r="BE23" i="30"/>
  <c r="BD23" i="30"/>
  <c r="BC23" i="30"/>
  <c r="BF22" i="30"/>
  <c r="BE22" i="30"/>
  <c r="BD22" i="30"/>
  <c r="BC22" i="30"/>
  <c r="BF21" i="30"/>
  <c r="BE21" i="30"/>
  <c r="BD21" i="30"/>
  <c r="BC21" i="30"/>
  <c r="BF20" i="30"/>
  <c r="BE20" i="30"/>
  <c r="BD20" i="30"/>
  <c r="BC20" i="30"/>
  <c r="BF19" i="30"/>
  <c r="BE19" i="30"/>
  <c r="BD19" i="30"/>
  <c r="BC19" i="30"/>
  <c r="BF18" i="30"/>
  <c r="BE18" i="30"/>
  <c r="BD18" i="30"/>
  <c r="BC18" i="30"/>
  <c r="BF17" i="30"/>
  <c r="BE17" i="30"/>
  <c r="BD17" i="30"/>
  <c r="BC17" i="30"/>
  <c r="BF16" i="30"/>
  <c r="BE16" i="30"/>
  <c r="BD16" i="30"/>
  <c r="BC16" i="30"/>
  <c r="BF15" i="30"/>
  <c r="BE15" i="30"/>
  <c r="BD15" i="30"/>
  <c r="BC15" i="30"/>
  <c r="BF14" i="30"/>
  <c r="BE14" i="30"/>
  <c r="BD14" i="30"/>
  <c r="BC14" i="30"/>
  <c r="BF13" i="30"/>
  <c r="BE13" i="30"/>
  <c r="BD13" i="30"/>
  <c r="BC13" i="30"/>
  <c r="BF12" i="30"/>
  <c r="BE12" i="30"/>
  <c r="BD12" i="30"/>
  <c r="BC12" i="30"/>
  <c r="BF11" i="30"/>
  <c r="BE11" i="30"/>
  <c r="BD11" i="30"/>
  <c r="BC11" i="30"/>
  <c r="BF10" i="30"/>
  <c r="BE10" i="30"/>
  <c r="BD10" i="30"/>
  <c r="BC10" i="30"/>
  <c r="BF9" i="30"/>
  <c r="BE9" i="30"/>
  <c r="BD9" i="30"/>
  <c r="BC9" i="30"/>
  <c r="BF8" i="30"/>
  <c r="BE8" i="30"/>
  <c r="BD8" i="30"/>
  <c r="BC8" i="30"/>
  <c r="BF7" i="30"/>
  <c r="BE7" i="30"/>
  <c r="BD7" i="30"/>
  <c r="BC7" i="30"/>
  <c r="BF6" i="30"/>
  <c r="BE6" i="30"/>
  <c r="BD6" i="30"/>
  <c r="BC6" i="30"/>
  <c r="BF5" i="30"/>
  <c r="BF2" i="30" s="1"/>
  <c r="BE5" i="30"/>
  <c r="BD5" i="30"/>
  <c r="BD2" i="30" s="1"/>
  <c r="BC5" i="30"/>
  <c r="BA147" i="30"/>
  <c r="AZ147" i="30"/>
  <c r="AY147" i="30"/>
  <c r="AX147" i="30"/>
  <c r="BA146" i="30"/>
  <c r="AZ146" i="30"/>
  <c r="AY146" i="30"/>
  <c r="AX146" i="30"/>
  <c r="BA145" i="30"/>
  <c r="AZ145" i="30"/>
  <c r="AY145" i="30"/>
  <c r="AX145" i="30"/>
  <c r="BA144" i="30"/>
  <c r="AZ144" i="30"/>
  <c r="AY144" i="30"/>
  <c r="AX144" i="30"/>
  <c r="BA143" i="30"/>
  <c r="AZ143" i="30"/>
  <c r="AY143" i="30"/>
  <c r="AX143" i="30"/>
  <c r="BA142" i="30"/>
  <c r="AZ142" i="30"/>
  <c r="AY142" i="30"/>
  <c r="AX142" i="30"/>
  <c r="BA141" i="30"/>
  <c r="AZ141" i="30"/>
  <c r="AY141" i="30"/>
  <c r="AX141" i="30"/>
  <c r="BA140" i="30"/>
  <c r="AZ140" i="30"/>
  <c r="AY140" i="30"/>
  <c r="AX140" i="30"/>
  <c r="BA139" i="30"/>
  <c r="AZ139" i="30"/>
  <c r="AY139" i="30"/>
  <c r="AX139" i="30"/>
  <c r="BA138" i="30"/>
  <c r="AZ138" i="30"/>
  <c r="AY138" i="30"/>
  <c r="AX138" i="30"/>
  <c r="BA137" i="30"/>
  <c r="AZ137" i="30"/>
  <c r="AY137" i="30"/>
  <c r="AX137" i="30"/>
  <c r="BA136" i="30"/>
  <c r="AZ136" i="30"/>
  <c r="AY136" i="30"/>
  <c r="AX136" i="30"/>
  <c r="BA135" i="30"/>
  <c r="AZ135" i="30"/>
  <c r="AY135" i="30"/>
  <c r="AX135" i="30"/>
  <c r="BA134" i="30"/>
  <c r="AZ134" i="30"/>
  <c r="AY134" i="30"/>
  <c r="AX134" i="30"/>
  <c r="BA133" i="30"/>
  <c r="AZ133" i="30"/>
  <c r="AY133" i="30"/>
  <c r="AX133" i="30"/>
  <c r="BA132" i="30"/>
  <c r="AZ132" i="30"/>
  <c r="AY132" i="30"/>
  <c r="AX132" i="30"/>
  <c r="BA131" i="30"/>
  <c r="AZ131" i="30"/>
  <c r="AY131" i="30"/>
  <c r="AX131" i="30"/>
  <c r="BA130" i="30"/>
  <c r="AZ130" i="30"/>
  <c r="AY130" i="30"/>
  <c r="AX130" i="30"/>
  <c r="BA129" i="30"/>
  <c r="AZ129" i="30"/>
  <c r="AY129" i="30"/>
  <c r="AX129" i="30"/>
  <c r="BA128" i="30"/>
  <c r="AZ128" i="30"/>
  <c r="AY128" i="30"/>
  <c r="AX128" i="30"/>
  <c r="BA127" i="30"/>
  <c r="AZ127" i="30"/>
  <c r="AY127" i="30"/>
  <c r="AX127" i="30"/>
  <c r="BA126" i="30"/>
  <c r="AZ126" i="30"/>
  <c r="AY126" i="30"/>
  <c r="AX126" i="30"/>
  <c r="BA125" i="30"/>
  <c r="AZ125" i="30"/>
  <c r="AY125" i="30"/>
  <c r="AX125" i="30"/>
  <c r="BA124" i="30"/>
  <c r="AZ124" i="30"/>
  <c r="AY124" i="30"/>
  <c r="AX124" i="30"/>
  <c r="BA123" i="30"/>
  <c r="AZ123" i="30"/>
  <c r="AY123" i="30"/>
  <c r="AX123" i="30"/>
  <c r="BA122" i="30"/>
  <c r="AZ122" i="30"/>
  <c r="AY122" i="30"/>
  <c r="AX122" i="30"/>
  <c r="BA121" i="30"/>
  <c r="AZ121" i="30"/>
  <c r="AY121" i="30"/>
  <c r="AX121" i="30"/>
  <c r="BA120" i="30"/>
  <c r="AZ120" i="30"/>
  <c r="AY120" i="30"/>
  <c r="AX120" i="30"/>
  <c r="BA119" i="30"/>
  <c r="AZ119" i="30"/>
  <c r="AY119" i="30"/>
  <c r="AX119" i="30"/>
  <c r="BA118" i="30"/>
  <c r="AZ118" i="30"/>
  <c r="AY118" i="30"/>
  <c r="AX118" i="30"/>
  <c r="BA117" i="30"/>
  <c r="AZ117" i="30"/>
  <c r="AY117" i="30"/>
  <c r="AX117" i="30"/>
  <c r="BA116" i="30"/>
  <c r="AZ116" i="30"/>
  <c r="AY116" i="30"/>
  <c r="AX116" i="30"/>
  <c r="BA115" i="30"/>
  <c r="AZ115" i="30"/>
  <c r="AY115" i="30"/>
  <c r="AX115" i="30"/>
  <c r="BA114" i="30"/>
  <c r="AZ114" i="30"/>
  <c r="AY114" i="30"/>
  <c r="AX114" i="30"/>
  <c r="BA113" i="30"/>
  <c r="AZ113" i="30"/>
  <c r="AY113" i="30"/>
  <c r="AX113" i="30"/>
  <c r="BA112" i="30"/>
  <c r="AZ112" i="30"/>
  <c r="AY112" i="30"/>
  <c r="AX112" i="30"/>
  <c r="BA111" i="30"/>
  <c r="AZ111" i="30"/>
  <c r="AY111" i="30"/>
  <c r="AX111" i="30"/>
  <c r="BA110" i="30"/>
  <c r="AZ110" i="30"/>
  <c r="AY110" i="30"/>
  <c r="AX110" i="30"/>
  <c r="BA109" i="30"/>
  <c r="AZ109" i="30"/>
  <c r="AY109" i="30"/>
  <c r="AX109" i="30"/>
  <c r="BA108" i="30"/>
  <c r="AZ108" i="30"/>
  <c r="AY108" i="30"/>
  <c r="AX108" i="30"/>
  <c r="BA107" i="30"/>
  <c r="AZ107" i="30"/>
  <c r="AY107" i="30"/>
  <c r="AX107" i="30"/>
  <c r="BA106" i="30"/>
  <c r="AZ106" i="30"/>
  <c r="AY106" i="30"/>
  <c r="AX106" i="30"/>
  <c r="BA105" i="30"/>
  <c r="AZ105" i="30"/>
  <c r="AY105" i="30"/>
  <c r="AX105" i="30"/>
  <c r="BA104" i="30"/>
  <c r="AZ104" i="30"/>
  <c r="AY104" i="30"/>
  <c r="AX104" i="30"/>
  <c r="BA103" i="30"/>
  <c r="AZ103" i="30"/>
  <c r="AY103" i="30"/>
  <c r="AX103" i="30"/>
  <c r="BA102" i="30"/>
  <c r="AZ102" i="30"/>
  <c r="AY102" i="30"/>
  <c r="AX102" i="30"/>
  <c r="BA101" i="30"/>
  <c r="AZ101" i="30"/>
  <c r="AY101" i="30"/>
  <c r="AX101" i="30"/>
  <c r="BA100" i="30"/>
  <c r="AZ100" i="30"/>
  <c r="AY100" i="30"/>
  <c r="AX100" i="30"/>
  <c r="BA99" i="30"/>
  <c r="AZ99" i="30"/>
  <c r="AY99" i="30"/>
  <c r="AX99" i="30"/>
  <c r="BA98" i="30"/>
  <c r="AZ98" i="30"/>
  <c r="AY98" i="30"/>
  <c r="AX98" i="30"/>
  <c r="BA97" i="30"/>
  <c r="AZ97" i="30"/>
  <c r="AY97" i="30"/>
  <c r="AX97" i="30"/>
  <c r="BA96" i="30"/>
  <c r="AZ96" i="30"/>
  <c r="AY96" i="30"/>
  <c r="AX96" i="30"/>
  <c r="BA95" i="30"/>
  <c r="AZ95" i="30"/>
  <c r="AY95" i="30"/>
  <c r="AX95" i="30"/>
  <c r="BA94" i="30"/>
  <c r="AZ94" i="30"/>
  <c r="AY94" i="30"/>
  <c r="AX94" i="30"/>
  <c r="BA93" i="30"/>
  <c r="AZ93" i="30"/>
  <c r="AY93" i="30"/>
  <c r="AX93" i="30"/>
  <c r="BA92" i="30"/>
  <c r="AZ92" i="30"/>
  <c r="AY92" i="30"/>
  <c r="AX92" i="30"/>
  <c r="BA91" i="30"/>
  <c r="AZ91" i="30"/>
  <c r="AY91" i="30"/>
  <c r="AX91" i="30"/>
  <c r="BA90" i="30"/>
  <c r="AZ90" i="30"/>
  <c r="AY90" i="30"/>
  <c r="AX90" i="30"/>
  <c r="BA89" i="30"/>
  <c r="AZ89" i="30"/>
  <c r="AY89" i="30"/>
  <c r="AX89" i="30"/>
  <c r="BA88" i="30"/>
  <c r="AZ88" i="30"/>
  <c r="AY88" i="30"/>
  <c r="AX88" i="30"/>
  <c r="BA87" i="30"/>
  <c r="AZ87" i="30"/>
  <c r="AY87" i="30"/>
  <c r="AX87" i="30"/>
  <c r="BA86" i="30"/>
  <c r="AZ86" i="30"/>
  <c r="AY86" i="30"/>
  <c r="AX86" i="30"/>
  <c r="BA85" i="30"/>
  <c r="AZ85" i="30"/>
  <c r="AY85" i="30"/>
  <c r="AX85" i="30"/>
  <c r="BA84" i="30"/>
  <c r="AZ84" i="30"/>
  <c r="AY84" i="30"/>
  <c r="AX84" i="30"/>
  <c r="BA83" i="30"/>
  <c r="AZ83" i="30"/>
  <c r="AY83" i="30"/>
  <c r="AX83" i="30"/>
  <c r="BA82" i="30"/>
  <c r="AZ82" i="30"/>
  <c r="AY82" i="30"/>
  <c r="AX82" i="30"/>
  <c r="BA81" i="30"/>
  <c r="AZ81" i="30"/>
  <c r="AY81" i="30"/>
  <c r="AX81" i="30"/>
  <c r="BA80" i="30"/>
  <c r="AZ80" i="30"/>
  <c r="AY80" i="30"/>
  <c r="AX80" i="30"/>
  <c r="BA79" i="30"/>
  <c r="AZ79" i="30"/>
  <c r="AY79" i="30"/>
  <c r="AX79" i="30"/>
  <c r="BA78" i="30"/>
  <c r="AZ78" i="30"/>
  <c r="AY78" i="30"/>
  <c r="AX78" i="30"/>
  <c r="BA77" i="30"/>
  <c r="AZ77" i="30"/>
  <c r="AY77" i="30"/>
  <c r="AX77" i="30"/>
  <c r="BA76" i="30"/>
  <c r="AZ76" i="30"/>
  <c r="AY76" i="30"/>
  <c r="AX76" i="30"/>
  <c r="BA75" i="30"/>
  <c r="AZ75" i="30"/>
  <c r="AY75" i="30"/>
  <c r="AX75" i="30"/>
  <c r="BA74" i="30"/>
  <c r="AZ74" i="30"/>
  <c r="AY74" i="30"/>
  <c r="AX74" i="30"/>
  <c r="BA73" i="30"/>
  <c r="AZ73" i="30"/>
  <c r="AY73" i="30"/>
  <c r="AX73" i="30"/>
  <c r="BA72" i="30"/>
  <c r="AZ72" i="30"/>
  <c r="AY72" i="30"/>
  <c r="AX72" i="30"/>
  <c r="BA71" i="30"/>
  <c r="AZ71" i="30"/>
  <c r="AY71" i="30"/>
  <c r="AX71" i="30"/>
  <c r="BA70" i="30"/>
  <c r="AZ70" i="30"/>
  <c r="AY70" i="30"/>
  <c r="AX70" i="30"/>
  <c r="BA69" i="30"/>
  <c r="AZ69" i="30"/>
  <c r="AY69" i="30"/>
  <c r="AX69" i="30"/>
  <c r="BA68" i="30"/>
  <c r="AZ68" i="30"/>
  <c r="AY68" i="30"/>
  <c r="AX68" i="30"/>
  <c r="BA67" i="30"/>
  <c r="AZ67" i="30"/>
  <c r="AY67" i="30"/>
  <c r="AX67" i="30"/>
  <c r="BA66" i="30"/>
  <c r="AZ66" i="30"/>
  <c r="AY66" i="30"/>
  <c r="AX66" i="30"/>
  <c r="BA65" i="30"/>
  <c r="AZ65" i="30"/>
  <c r="AY65" i="30"/>
  <c r="AX65" i="30"/>
  <c r="BA64" i="30"/>
  <c r="AZ64" i="30"/>
  <c r="AY64" i="30"/>
  <c r="AX64" i="30"/>
  <c r="BA63" i="30"/>
  <c r="AZ63" i="30"/>
  <c r="AY63" i="30"/>
  <c r="AX63" i="30"/>
  <c r="BA62" i="30"/>
  <c r="AZ62" i="30"/>
  <c r="AY62" i="30"/>
  <c r="AX62" i="30"/>
  <c r="BA61" i="30"/>
  <c r="AZ61" i="30"/>
  <c r="AY61" i="30"/>
  <c r="AX61" i="30"/>
  <c r="BA60" i="30"/>
  <c r="AZ60" i="30"/>
  <c r="AY60" i="30"/>
  <c r="AX60" i="30"/>
  <c r="BA59" i="30"/>
  <c r="AZ59" i="30"/>
  <c r="AY59" i="30"/>
  <c r="AX59" i="30"/>
  <c r="BA58" i="30"/>
  <c r="AZ58" i="30"/>
  <c r="AY58" i="30"/>
  <c r="AX58" i="30"/>
  <c r="BA57" i="30"/>
  <c r="AZ57" i="30"/>
  <c r="AY57" i="30"/>
  <c r="AX57" i="30"/>
  <c r="BA56" i="30"/>
  <c r="AZ56" i="30"/>
  <c r="AY56" i="30"/>
  <c r="AX56" i="30"/>
  <c r="BA55" i="30"/>
  <c r="AZ55" i="30"/>
  <c r="AY55" i="30"/>
  <c r="AX55" i="30"/>
  <c r="BA54" i="30"/>
  <c r="AZ54" i="30"/>
  <c r="AY54" i="30"/>
  <c r="AX54" i="30"/>
  <c r="BA53" i="30"/>
  <c r="AZ53" i="30"/>
  <c r="AY53" i="30"/>
  <c r="AX53" i="30"/>
  <c r="BA52" i="30"/>
  <c r="AZ52" i="30"/>
  <c r="AY52" i="30"/>
  <c r="AX52" i="30"/>
  <c r="BA51" i="30"/>
  <c r="AZ51" i="30"/>
  <c r="AY51" i="30"/>
  <c r="AX51" i="30"/>
  <c r="BA50" i="30"/>
  <c r="AZ50" i="30"/>
  <c r="AY50" i="30"/>
  <c r="AX50" i="30"/>
  <c r="BA49" i="30"/>
  <c r="AZ49" i="30"/>
  <c r="AY49" i="30"/>
  <c r="AX49" i="30"/>
  <c r="BA48" i="30"/>
  <c r="AZ48" i="30"/>
  <c r="AY48" i="30"/>
  <c r="AX48" i="30"/>
  <c r="BA47" i="30"/>
  <c r="AZ47" i="30"/>
  <c r="AY47" i="30"/>
  <c r="AX47" i="30"/>
  <c r="BA46" i="30"/>
  <c r="AZ46" i="30"/>
  <c r="AY46" i="30"/>
  <c r="AX46" i="30"/>
  <c r="BA45" i="30"/>
  <c r="AZ45" i="30"/>
  <c r="AY45" i="30"/>
  <c r="AX45" i="30"/>
  <c r="BA44" i="30"/>
  <c r="AZ44" i="30"/>
  <c r="AY44" i="30"/>
  <c r="AX44" i="30"/>
  <c r="BA43" i="30"/>
  <c r="AZ43" i="30"/>
  <c r="AY43" i="30"/>
  <c r="AX43" i="30"/>
  <c r="BA42" i="30"/>
  <c r="AZ42" i="30"/>
  <c r="AY42" i="30"/>
  <c r="AX42" i="30"/>
  <c r="BA41" i="30"/>
  <c r="AZ41" i="30"/>
  <c r="AY41" i="30"/>
  <c r="AX41" i="30"/>
  <c r="BA40" i="30"/>
  <c r="AZ40" i="30"/>
  <c r="AY40" i="30"/>
  <c r="AX40" i="30"/>
  <c r="BA39" i="30"/>
  <c r="AZ39" i="30"/>
  <c r="AY39" i="30"/>
  <c r="AX39" i="30"/>
  <c r="BA38" i="30"/>
  <c r="AZ38" i="30"/>
  <c r="AY38" i="30"/>
  <c r="AX38" i="30"/>
  <c r="BA37" i="30"/>
  <c r="AZ37" i="30"/>
  <c r="AY37" i="30"/>
  <c r="AX37" i="30"/>
  <c r="BA36" i="30"/>
  <c r="AZ36" i="30"/>
  <c r="AY36" i="30"/>
  <c r="AX36" i="30"/>
  <c r="BA35" i="30"/>
  <c r="AZ35" i="30"/>
  <c r="AY35" i="30"/>
  <c r="AX35" i="30"/>
  <c r="BA34" i="30"/>
  <c r="AZ34" i="30"/>
  <c r="AY34" i="30"/>
  <c r="AX34" i="30"/>
  <c r="BA33" i="30"/>
  <c r="AZ33" i="30"/>
  <c r="AY33" i="30"/>
  <c r="AX33" i="30"/>
  <c r="BA32" i="30"/>
  <c r="AZ32" i="30"/>
  <c r="AY32" i="30"/>
  <c r="AX32" i="30"/>
  <c r="BA31" i="30"/>
  <c r="AZ31" i="30"/>
  <c r="AY31" i="30"/>
  <c r="AX31" i="30"/>
  <c r="BA30" i="30"/>
  <c r="AZ30" i="30"/>
  <c r="AY30" i="30"/>
  <c r="AX30" i="30"/>
  <c r="BA29" i="30"/>
  <c r="AZ29" i="30"/>
  <c r="AY29" i="30"/>
  <c r="AX29" i="30"/>
  <c r="BA28" i="30"/>
  <c r="AZ28" i="30"/>
  <c r="AY28" i="30"/>
  <c r="AX28" i="30"/>
  <c r="BA27" i="30"/>
  <c r="AZ27" i="30"/>
  <c r="AY27" i="30"/>
  <c r="AX27" i="30"/>
  <c r="BA26" i="30"/>
  <c r="AZ26" i="30"/>
  <c r="AY26" i="30"/>
  <c r="AX26" i="30"/>
  <c r="BA25" i="30"/>
  <c r="AZ25" i="30"/>
  <c r="AY25" i="30"/>
  <c r="AX25" i="30"/>
  <c r="BA24" i="30"/>
  <c r="AZ24" i="30"/>
  <c r="AY24" i="30"/>
  <c r="AX24" i="30"/>
  <c r="BA23" i="30"/>
  <c r="AZ23" i="30"/>
  <c r="AY23" i="30"/>
  <c r="AX23" i="30"/>
  <c r="BA22" i="30"/>
  <c r="AZ22" i="30"/>
  <c r="AY22" i="30"/>
  <c r="AX22" i="30"/>
  <c r="BA21" i="30"/>
  <c r="AZ21" i="30"/>
  <c r="AY21" i="30"/>
  <c r="AX21" i="30"/>
  <c r="BA20" i="30"/>
  <c r="AZ20" i="30"/>
  <c r="AY20" i="30"/>
  <c r="AX20" i="30"/>
  <c r="BA19" i="30"/>
  <c r="AZ19" i="30"/>
  <c r="AY19" i="30"/>
  <c r="AX19" i="30"/>
  <c r="BA18" i="30"/>
  <c r="AZ18" i="30"/>
  <c r="AY18" i="30"/>
  <c r="AX18" i="30"/>
  <c r="BA17" i="30"/>
  <c r="AZ17" i="30"/>
  <c r="AY17" i="30"/>
  <c r="AX17" i="30"/>
  <c r="BA16" i="30"/>
  <c r="AZ16" i="30"/>
  <c r="AY16" i="30"/>
  <c r="AX16" i="30"/>
  <c r="BA15" i="30"/>
  <c r="AZ15" i="30"/>
  <c r="AY15" i="30"/>
  <c r="AX15" i="30"/>
  <c r="BA14" i="30"/>
  <c r="AZ14" i="30"/>
  <c r="AY14" i="30"/>
  <c r="AX14" i="30"/>
  <c r="BA13" i="30"/>
  <c r="AZ13" i="30"/>
  <c r="AY13" i="30"/>
  <c r="AX13" i="30"/>
  <c r="BA12" i="30"/>
  <c r="AZ12" i="30"/>
  <c r="AY12" i="30"/>
  <c r="AX12" i="30"/>
  <c r="BA11" i="30"/>
  <c r="AZ11" i="30"/>
  <c r="AY11" i="30"/>
  <c r="AX11" i="30"/>
  <c r="BA10" i="30"/>
  <c r="AZ10" i="30"/>
  <c r="AY10" i="30"/>
  <c r="AX10" i="30"/>
  <c r="BA9" i="30"/>
  <c r="AZ9" i="30"/>
  <c r="AY9" i="30"/>
  <c r="AX9" i="30"/>
  <c r="BA8" i="30"/>
  <c r="AZ8" i="30"/>
  <c r="AY8" i="30"/>
  <c r="AX8" i="30"/>
  <c r="BA7" i="30"/>
  <c r="AZ7" i="30"/>
  <c r="AY7" i="30"/>
  <c r="AX7" i="30"/>
  <c r="BA6" i="30"/>
  <c r="AZ6" i="30"/>
  <c r="AY6" i="30"/>
  <c r="AX6" i="30"/>
  <c r="BA5" i="30"/>
  <c r="BA2" i="30" s="1"/>
  <c r="AZ5" i="30"/>
  <c r="AZ2" i="30" s="1"/>
  <c r="AY5" i="30"/>
  <c r="AY2" i="30" s="1"/>
  <c r="AX5" i="30"/>
  <c r="AV147" i="30"/>
  <c r="AU147" i="30"/>
  <c r="AT147" i="30"/>
  <c r="AS147" i="30"/>
  <c r="AV146" i="30"/>
  <c r="AU146" i="30"/>
  <c r="AT146" i="30"/>
  <c r="AS146" i="30"/>
  <c r="AV145" i="30"/>
  <c r="AU145" i="30"/>
  <c r="AT145" i="30"/>
  <c r="AS145" i="30"/>
  <c r="AV144" i="30"/>
  <c r="AU144" i="30"/>
  <c r="AT144" i="30"/>
  <c r="AS144" i="30"/>
  <c r="AV143" i="30"/>
  <c r="AU143" i="30"/>
  <c r="AT143" i="30"/>
  <c r="AS143" i="30"/>
  <c r="AV142" i="30"/>
  <c r="AU142" i="30"/>
  <c r="AT142" i="30"/>
  <c r="AS142" i="30"/>
  <c r="AV141" i="30"/>
  <c r="AU141" i="30"/>
  <c r="AT141" i="30"/>
  <c r="AS141" i="30"/>
  <c r="AV140" i="30"/>
  <c r="AU140" i="30"/>
  <c r="AT140" i="30"/>
  <c r="AS140" i="30"/>
  <c r="AV139" i="30"/>
  <c r="AU139" i="30"/>
  <c r="AT139" i="30"/>
  <c r="AS139" i="30"/>
  <c r="AV138" i="30"/>
  <c r="AU138" i="30"/>
  <c r="AT138" i="30"/>
  <c r="AS138" i="30"/>
  <c r="AV137" i="30"/>
  <c r="AU137" i="30"/>
  <c r="AT137" i="30"/>
  <c r="AS137" i="30"/>
  <c r="AV136" i="30"/>
  <c r="AU136" i="30"/>
  <c r="AT136" i="30"/>
  <c r="AS136" i="30"/>
  <c r="AV135" i="30"/>
  <c r="AU135" i="30"/>
  <c r="AT135" i="30"/>
  <c r="AS135" i="30"/>
  <c r="AV134" i="30"/>
  <c r="AU134" i="30"/>
  <c r="AT134" i="30"/>
  <c r="AS134" i="30"/>
  <c r="AV133" i="30"/>
  <c r="AU133" i="30"/>
  <c r="AT133" i="30"/>
  <c r="AS133" i="30"/>
  <c r="AV132" i="30"/>
  <c r="AU132" i="30"/>
  <c r="AT132" i="30"/>
  <c r="AS132" i="30"/>
  <c r="AV131" i="30"/>
  <c r="AU131" i="30"/>
  <c r="AT131" i="30"/>
  <c r="AS131" i="30"/>
  <c r="AV130" i="30"/>
  <c r="AU130" i="30"/>
  <c r="AT130" i="30"/>
  <c r="AS130" i="30"/>
  <c r="AV129" i="30"/>
  <c r="AU129" i="30"/>
  <c r="AT129" i="30"/>
  <c r="AS129" i="30"/>
  <c r="AV128" i="30"/>
  <c r="AU128" i="30"/>
  <c r="AT128" i="30"/>
  <c r="AS128" i="30"/>
  <c r="AV127" i="30"/>
  <c r="AU127" i="30"/>
  <c r="AT127" i="30"/>
  <c r="AS127" i="30"/>
  <c r="AV126" i="30"/>
  <c r="AU126" i="30"/>
  <c r="AT126" i="30"/>
  <c r="AS126" i="30"/>
  <c r="AV125" i="30"/>
  <c r="AU125" i="30"/>
  <c r="AT125" i="30"/>
  <c r="AS125" i="30"/>
  <c r="AV124" i="30"/>
  <c r="AU124" i="30"/>
  <c r="AT124" i="30"/>
  <c r="AS124" i="30"/>
  <c r="AV123" i="30"/>
  <c r="AU123" i="30"/>
  <c r="AT123" i="30"/>
  <c r="AS123" i="30"/>
  <c r="AV122" i="30"/>
  <c r="AU122" i="30"/>
  <c r="AT122" i="30"/>
  <c r="AS122" i="30"/>
  <c r="AV121" i="30"/>
  <c r="AU121" i="30"/>
  <c r="AT121" i="30"/>
  <c r="AS121" i="30"/>
  <c r="AV120" i="30"/>
  <c r="AU120" i="30"/>
  <c r="AT120" i="30"/>
  <c r="AS120" i="30"/>
  <c r="AV119" i="30"/>
  <c r="AU119" i="30"/>
  <c r="AT119" i="30"/>
  <c r="AS119" i="30"/>
  <c r="AV118" i="30"/>
  <c r="AU118" i="30"/>
  <c r="AT118" i="30"/>
  <c r="AS118" i="30"/>
  <c r="AV117" i="30"/>
  <c r="AU117" i="30"/>
  <c r="AT117" i="30"/>
  <c r="AS117" i="30"/>
  <c r="AV116" i="30"/>
  <c r="AU116" i="30"/>
  <c r="AT116" i="30"/>
  <c r="AS116" i="30"/>
  <c r="AV115" i="30"/>
  <c r="AU115" i="30"/>
  <c r="AT115" i="30"/>
  <c r="AS115" i="30"/>
  <c r="AV114" i="30"/>
  <c r="AU114" i="30"/>
  <c r="AT114" i="30"/>
  <c r="AS114" i="30"/>
  <c r="AV113" i="30"/>
  <c r="AU113" i="30"/>
  <c r="AT113" i="30"/>
  <c r="AS113" i="30"/>
  <c r="AV112" i="30"/>
  <c r="AU112" i="30"/>
  <c r="AT112" i="30"/>
  <c r="AS112" i="30"/>
  <c r="AV111" i="30"/>
  <c r="AU111" i="30"/>
  <c r="AT111" i="30"/>
  <c r="AS111" i="30"/>
  <c r="AV110" i="30"/>
  <c r="AU110" i="30"/>
  <c r="AT110" i="30"/>
  <c r="AS110" i="30"/>
  <c r="AV109" i="30"/>
  <c r="AU109" i="30"/>
  <c r="AT109" i="30"/>
  <c r="AS109" i="30"/>
  <c r="AV108" i="30"/>
  <c r="AU108" i="30"/>
  <c r="AT108" i="30"/>
  <c r="AS108" i="30"/>
  <c r="AV107" i="30"/>
  <c r="AU107" i="30"/>
  <c r="AT107" i="30"/>
  <c r="AS107" i="30"/>
  <c r="AV106" i="30"/>
  <c r="AU106" i="30"/>
  <c r="AT106" i="30"/>
  <c r="AS106" i="30"/>
  <c r="AV105" i="30"/>
  <c r="AU105" i="30"/>
  <c r="AT105" i="30"/>
  <c r="AS105" i="30"/>
  <c r="AV104" i="30"/>
  <c r="AU104" i="30"/>
  <c r="AT104" i="30"/>
  <c r="AS104" i="30"/>
  <c r="AV103" i="30"/>
  <c r="AU103" i="30"/>
  <c r="AT103" i="30"/>
  <c r="AS103" i="30"/>
  <c r="AV102" i="30"/>
  <c r="AU102" i="30"/>
  <c r="AT102" i="30"/>
  <c r="AS102" i="30"/>
  <c r="AV101" i="30"/>
  <c r="AU101" i="30"/>
  <c r="AT101" i="30"/>
  <c r="AS101" i="30"/>
  <c r="AV100" i="30"/>
  <c r="AU100" i="30"/>
  <c r="AT100" i="30"/>
  <c r="AS100" i="30"/>
  <c r="AV99" i="30"/>
  <c r="AU99" i="30"/>
  <c r="AT99" i="30"/>
  <c r="AS99" i="30"/>
  <c r="AV98" i="30"/>
  <c r="AU98" i="30"/>
  <c r="AT98" i="30"/>
  <c r="AS98" i="30"/>
  <c r="AV97" i="30"/>
  <c r="AU97" i="30"/>
  <c r="AT97" i="30"/>
  <c r="AS97" i="30"/>
  <c r="AV96" i="30"/>
  <c r="AU96" i="30"/>
  <c r="AT96" i="30"/>
  <c r="AS96" i="30"/>
  <c r="AV95" i="30"/>
  <c r="AU95" i="30"/>
  <c r="AT95" i="30"/>
  <c r="AS95" i="30"/>
  <c r="AV94" i="30"/>
  <c r="AU94" i="30"/>
  <c r="AT94" i="30"/>
  <c r="AS94" i="30"/>
  <c r="AV93" i="30"/>
  <c r="AU93" i="30"/>
  <c r="AT93" i="30"/>
  <c r="AS93" i="30"/>
  <c r="AV92" i="30"/>
  <c r="AU92" i="30"/>
  <c r="AT92" i="30"/>
  <c r="AS92" i="30"/>
  <c r="AV91" i="30"/>
  <c r="AU91" i="30"/>
  <c r="AT91" i="30"/>
  <c r="AS91" i="30"/>
  <c r="AV90" i="30"/>
  <c r="AU90" i="30"/>
  <c r="AT90" i="30"/>
  <c r="AS90" i="30"/>
  <c r="AV89" i="30"/>
  <c r="AU89" i="30"/>
  <c r="AT89" i="30"/>
  <c r="AS89" i="30"/>
  <c r="AV88" i="30"/>
  <c r="AU88" i="30"/>
  <c r="AT88" i="30"/>
  <c r="AS88" i="30"/>
  <c r="AV87" i="30"/>
  <c r="AU87" i="30"/>
  <c r="AT87" i="30"/>
  <c r="AS87" i="30"/>
  <c r="AV86" i="30"/>
  <c r="AU86" i="30"/>
  <c r="AT86" i="30"/>
  <c r="AS86" i="30"/>
  <c r="AV85" i="30"/>
  <c r="AU85" i="30"/>
  <c r="AT85" i="30"/>
  <c r="AS85" i="30"/>
  <c r="AV84" i="30"/>
  <c r="AU84" i="30"/>
  <c r="AT84" i="30"/>
  <c r="AS84" i="30"/>
  <c r="AV83" i="30"/>
  <c r="AU83" i="30"/>
  <c r="AT83" i="30"/>
  <c r="AS83" i="30"/>
  <c r="AV82" i="30"/>
  <c r="AU82" i="30"/>
  <c r="AT82" i="30"/>
  <c r="AS82" i="30"/>
  <c r="AV81" i="30"/>
  <c r="AU81" i="30"/>
  <c r="AT81" i="30"/>
  <c r="AS81" i="30"/>
  <c r="AV80" i="30"/>
  <c r="AU80" i="30"/>
  <c r="AT80" i="30"/>
  <c r="AS80" i="30"/>
  <c r="AV79" i="30"/>
  <c r="AU79" i="30"/>
  <c r="AT79" i="30"/>
  <c r="AS79" i="30"/>
  <c r="AV78" i="30"/>
  <c r="AU78" i="30"/>
  <c r="AT78" i="30"/>
  <c r="AS78" i="30"/>
  <c r="AV77" i="30"/>
  <c r="AU77" i="30"/>
  <c r="AT77" i="30"/>
  <c r="AS77" i="30"/>
  <c r="AV76" i="30"/>
  <c r="AU76" i="30"/>
  <c r="AT76" i="30"/>
  <c r="AS76" i="30"/>
  <c r="AV75" i="30"/>
  <c r="AU75" i="30"/>
  <c r="AT75" i="30"/>
  <c r="AS75" i="30"/>
  <c r="AV74" i="30"/>
  <c r="AU74" i="30"/>
  <c r="AT74" i="30"/>
  <c r="AS74" i="30"/>
  <c r="AV73" i="30"/>
  <c r="AU73" i="30"/>
  <c r="AT73" i="30"/>
  <c r="AS73" i="30"/>
  <c r="AV72" i="30"/>
  <c r="AU72" i="30"/>
  <c r="AT72" i="30"/>
  <c r="AS72" i="30"/>
  <c r="AV71" i="30"/>
  <c r="AU71" i="30"/>
  <c r="AT71" i="30"/>
  <c r="AS71" i="30"/>
  <c r="AV70" i="30"/>
  <c r="AU70" i="30"/>
  <c r="AT70" i="30"/>
  <c r="AS70" i="30"/>
  <c r="AV69" i="30"/>
  <c r="AU69" i="30"/>
  <c r="AT69" i="30"/>
  <c r="AS69" i="30"/>
  <c r="AV68" i="30"/>
  <c r="AU68" i="30"/>
  <c r="AT68" i="30"/>
  <c r="AS68" i="30"/>
  <c r="AV67" i="30"/>
  <c r="AU67" i="30"/>
  <c r="AT67" i="30"/>
  <c r="AS67" i="30"/>
  <c r="AV66" i="30"/>
  <c r="AU66" i="30"/>
  <c r="AT66" i="30"/>
  <c r="AS66" i="30"/>
  <c r="AV65" i="30"/>
  <c r="AU65" i="30"/>
  <c r="AT65" i="30"/>
  <c r="AS65" i="30"/>
  <c r="AV64" i="30"/>
  <c r="AU64" i="30"/>
  <c r="AT64" i="30"/>
  <c r="AS64" i="30"/>
  <c r="AV63" i="30"/>
  <c r="AU63" i="30"/>
  <c r="AT63" i="30"/>
  <c r="AS63" i="30"/>
  <c r="AV62" i="30"/>
  <c r="AU62" i="30"/>
  <c r="AT62" i="30"/>
  <c r="AS62" i="30"/>
  <c r="AV61" i="30"/>
  <c r="AU61" i="30"/>
  <c r="AT61" i="30"/>
  <c r="AS61" i="30"/>
  <c r="AV60" i="30"/>
  <c r="AU60" i="30"/>
  <c r="AT60" i="30"/>
  <c r="AS60" i="30"/>
  <c r="AV59" i="30"/>
  <c r="AU59" i="30"/>
  <c r="AT59" i="30"/>
  <c r="AS59" i="30"/>
  <c r="AV58" i="30"/>
  <c r="AU58" i="30"/>
  <c r="AT58" i="30"/>
  <c r="AS58" i="30"/>
  <c r="AV57" i="30"/>
  <c r="AU57" i="30"/>
  <c r="AT57" i="30"/>
  <c r="AS57" i="30"/>
  <c r="AV56" i="30"/>
  <c r="AU56" i="30"/>
  <c r="AT56" i="30"/>
  <c r="AS56" i="30"/>
  <c r="AV55" i="30"/>
  <c r="AU55" i="30"/>
  <c r="AT55" i="30"/>
  <c r="AS55" i="30"/>
  <c r="AV54" i="30"/>
  <c r="AU54" i="30"/>
  <c r="AT54" i="30"/>
  <c r="AS54" i="30"/>
  <c r="AV53" i="30"/>
  <c r="AU53" i="30"/>
  <c r="AT53" i="30"/>
  <c r="AS53" i="30"/>
  <c r="AV52" i="30"/>
  <c r="AU52" i="30"/>
  <c r="AT52" i="30"/>
  <c r="AS52" i="30"/>
  <c r="AV51" i="30"/>
  <c r="AU51" i="30"/>
  <c r="AT51" i="30"/>
  <c r="AS51" i="30"/>
  <c r="AV50" i="30"/>
  <c r="AU50" i="30"/>
  <c r="AT50" i="30"/>
  <c r="AS50" i="30"/>
  <c r="AV49" i="30"/>
  <c r="AU49" i="30"/>
  <c r="AT49" i="30"/>
  <c r="AS49" i="30"/>
  <c r="AV48" i="30"/>
  <c r="AU48" i="30"/>
  <c r="AT48" i="30"/>
  <c r="AS48" i="30"/>
  <c r="AV47" i="30"/>
  <c r="AU47" i="30"/>
  <c r="AT47" i="30"/>
  <c r="AS47" i="30"/>
  <c r="AV46" i="30"/>
  <c r="AU46" i="30"/>
  <c r="AT46" i="30"/>
  <c r="AS46" i="30"/>
  <c r="AV45" i="30"/>
  <c r="AU45" i="30"/>
  <c r="AT45" i="30"/>
  <c r="AS45" i="30"/>
  <c r="AV44" i="30"/>
  <c r="AU44" i="30"/>
  <c r="AT44" i="30"/>
  <c r="AS44" i="30"/>
  <c r="AV43" i="30"/>
  <c r="AU43" i="30"/>
  <c r="AT43" i="30"/>
  <c r="AS43" i="30"/>
  <c r="AV42" i="30"/>
  <c r="AU42" i="30"/>
  <c r="AT42" i="30"/>
  <c r="AS42" i="30"/>
  <c r="AV41" i="30"/>
  <c r="AU41" i="30"/>
  <c r="AT41" i="30"/>
  <c r="AS41" i="30"/>
  <c r="AV40" i="30"/>
  <c r="AU40" i="30"/>
  <c r="AT40" i="30"/>
  <c r="AS40" i="30"/>
  <c r="AV39" i="30"/>
  <c r="AU39" i="30"/>
  <c r="AT39" i="30"/>
  <c r="AS39" i="30"/>
  <c r="AV38" i="30"/>
  <c r="AU38" i="30"/>
  <c r="AT38" i="30"/>
  <c r="AS38" i="30"/>
  <c r="AV37" i="30"/>
  <c r="AU37" i="30"/>
  <c r="AT37" i="30"/>
  <c r="AS37" i="30"/>
  <c r="AV36" i="30"/>
  <c r="AU36" i="30"/>
  <c r="AT36" i="30"/>
  <c r="AS36" i="30"/>
  <c r="AV35" i="30"/>
  <c r="AU35" i="30"/>
  <c r="AT35" i="30"/>
  <c r="AS35" i="30"/>
  <c r="AV34" i="30"/>
  <c r="AU34" i="30"/>
  <c r="AT34" i="30"/>
  <c r="AS34" i="30"/>
  <c r="AV33" i="30"/>
  <c r="AU33" i="30"/>
  <c r="AT33" i="30"/>
  <c r="AS33" i="30"/>
  <c r="AV32" i="30"/>
  <c r="AU32" i="30"/>
  <c r="AT32" i="30"/>
  <c r="AS32" i="30"/>
  <c r="AV31" i="30"/>
  <c r="AU31" i="30"/>
  <c r="AT31" i="30"/>
  <c r="AS31" i="30"/>
  <c r="AV30" i="30"/>
  <c r="AU30" i="30"/>
  <c r="AT30" i="30"/>
  <c r="AS30" i="30"/>
  <c r="AV29" i="30"/>
  <c r="AU29" i="30"/>
  <c r="AT29" i="30"/>
  <c r="AS29" i="30"/>
  <c r="AV28" i="30"/>
  <c r="AU28" i="30"/>
  <c r="AT28" i="30"/>
  <c r="AS28" i="30"/>
  <c r="AV27" i="30"/>
  <c r="AU27" i="30"/>
  <c r="AT27" i="30"/>
  <c r="AS27" i="30"/>
  <c r="AV26" i="30"/>
  <c r="AU26" i="30"/>
  <c r="AT26" i="30"/>
  <c r="AS26" i="30"/>
  <c r="AV25" i="30"/>
  <c r="AU25" i="30"/>
  <c r="AT25" i="30"/>
  <c r="AS25" i="30"/>
  <c r="AV24" i="30"/>
  <c r="AU24" i="30"/>
  <c r="AT24" i="30"/>
  <c r="AS24" i="30"/>
  <c r="AV23" i="30"/>
  <c r="AU23" i="30"/>
  <c r="AT23" i="30"/>
  <c r="AS23" i="30"/>
  <c r="AV22" i="30"/>
  <c r="AU22" i="30"/>
  <c r="AT22" i="30"/>
  <c r="AS22" i="30"/>
  <c r="AV21" i="30"/>
  <c r="AU21" i="30"/>
  <c r="AT21" i="30"/>
  <c r="AS21" i="30"/>
  <c r="AV20" i="30"/>
  <c r="AU20" i="30"/>
  <c r="AT20" i="30"/>
  <c r="AS20" i="30"/>
  <c r="AV19" i="30"/>
  <c r="AU19" i="30"/>
  <c r="AT19" i="30"/>
  <c r="AS19" i="30"/>
  <c r="AV18" i="30"/>
  <c r="AU18" i="30"/>
  <c r="AT18" i="30"/>
  <c r="AS18" i="30"/>
  <c r="AV17" i="30"/>
  <c r="AU17" i="30"/>
  <c r="AT17" i="30"/>
  <c r="AS17" i="30"/>
  <c r="AV16" i="30"/>
  <c r="AU16" i="30"/>
  <c r="AT16" i="30"/>
  <c r="AS16" i="30"/>
  <c r="AV15" i="30"/>
  <c r="AU15" i="30"/>
  <c r="AT15" i="30"/>
  <c r="AS15" i="30"/>
  <c r="AV14" i="30"/>
  <c r="AU14" i="30"/>
  <c r="AT14" i="30"/>
  <c r="AS14" i="30"/>
  <c r="AV13" i="30"/>
  <c r="AU13" i="30"/>
  <c r="AT13" i="30"/>
  <c r="AS13" i="30"/>
  <c r="AV12" i="30"/>
  <c r="AU12" i="30"/>
  <c r="AT12" i="30"/>
  <c r="AS12" i="30"/>
  <c r="AV11" i="30"/>
  <c r="AU11" i="30"/>
  <c r="AT11" i="30"/>
  <c r="AS11" i="30"/>
  <c r="AV10" i="30"/>
  <c r="AU10" i="30"/>
  <c r="AT10" i="30"/>
  <c r="AS10" i="30"/>
  <c r="AV9" i="30"/>
  <c r="AU9" i="30"/>
  <c r="AT9" i="30"/>
  <c r="AS9" i="30"/>
  <c r="AV8" i="30"/>
  <c r="AU8" i="30"/>
  <c r="AT8" i="30"/>
  <c r="AS8" i="30"/>
  <c r="AV7" i="30"/>
  <c r="AU7" i="30"/>
  <c r="AT7" i="30"/>
  <c r="AS7" i="30"/>
  <c r="AV6" i="30"/>
  <c r="AU6" i="30"/>
  <c r="AT6" i="30"/>
  <c r="AS6" i="30"/>
  <c r="AV5" i="30"/>
  <c r="AV2" i="30" s="1"/>
  <c r="AU5" i="30"/>
  <c r="AT5" i="30"/>
  <c r="AT2" i="30" s="1"/>
  <c r="AS5" i="30"/>
  <c r="AQ147" i="30"/>
  <c r="AP147" i="30"/>
  <c r="AO147" i="30"/>
  <c r="AN147" i="30"/>
  <c r="AQ146" i="30"/>
  <c r="AP146" i="30"/>
  <c r="AO146" i="30"/>
  <c r="AN146" i="30"/>
  <c r="AQ145" i="30"/>
  <c r="AP145" i="30"/>
  <c r="AO145" i="30"/>
  <c r="AN145" i="30"/>
  <c r="AQ144" i="30"/>
  <c r="AP144" i="30"/>
  <c r="AO144" i="30"/>
  <c r="AN144" i="30"/>
  <c r="AQ143" i="30"/>
  <c r="AP143" i="30"/>
  <c r="AO143" i="30"/>
  <c r="AN143" i="30"/>
  <c r="AQ142" i="30"/>
  <c r="AP142" i="30"/>
  <c r="AO142" i="30"/>
  <c r="AN142" i="30"/>
  <c r="AQ141" i="30"/>
  <c r="AP141" i="30"/>
  <c r="AO141" i="30"/>
  <c r="AN141" i="30"/>
  <c r="AQ140" i="30"/>
  <c r="AP140" i="30"/>
  <c r="AO140" i="30"/>
  <c r="AN140" i="30"/>
  <c r="AQ139" i="30"/>
  <c r="AP139" i="30"/>
  <c r="AO139" i="30"/>
  <c r="AN139" i="30"/>
  <c r="AQ138" i="30"/>
  <c r="AP138" i="30"/>
  <c r="AO138" i="30"/>
  <c r="AN138" i="30"/>
  <c r="AQ137" i="30"/>
  <c r="AP137" i="30"/>
  <c r="AO137" i="30"/>
  <c r="AN137" i="30"/>
  <c r="AQ136" i="30"/>
  <c r="AP136" i="30"/>
  <c r="AO136" i="30"/>
  <c r="AN136" i="30"/>
  <c r="AQ135" i="30"/>
  <c r="AP135" i="30"/>
  <c r="AO135" i="30"/>
  <c r="AN135" i="30"/>
  <c r="AQ134" i="30"/>
  <c r="AP134" i="30"/>
  <c r="AO134" i="30"/>
  <c r="AN134" i="30"/>
  <c r="AQ133" i="30"/>
  <c r="AP133" i="30"/>
  <c r="AO133" i="30"/>
  <c r="AN133" i="30"/>
  <c r="AQ132" i="30"/>
  <c r="AP132" i="30"/>
  <c r="AO132" i="30"/>
  <c r="AN132" i="30"/>
  <c r="AQ131" i="30"/>
  <c r="AP131" i="30"/>
  <c r="AO131" i="30"/>
  <c r="AN131" i="30"/>
  <c r="AQ130" i="30"/>
  <c r="AP130" i="30"/>
  <c r="AO130" i="30"/>
  <c r="AN130" i="30"/>
  <c r="AQ129" i="30"/>
  <c r="AP129" i="30"/>
  <c r="AO129" i="30"/>
  <c r="AN129" i="30"/>
  <c r="AQ128" i="30"/>
  <c r="AP128" i="30"/>
  <c r="AO128" i="30"/>
  <c r="AN128" i="30"/>
  <c r="AQ127" i="30"/>
  <c r="AP127" i="30"/>
  <c r="AO127" i="30"/>
  <c r="AN127" i="30"/>
  <c r="AQ126" i="30"/>
  <c r="AP126" i="30"/>
  <c r="AO126" i="30"/>
  <c r="AN126" i="30"/>
  <c r="AQ125" i="30"/>
  <c r="AP125" i="30"/>
  <c r="AO125" i="30"/>
  <c r="AN125" i="30"/>
  <c r="AQ124" i="30"/>
  <c r="AP124" i="30"/>
  <c r="AO124" i="30"/>
  <c r="AN124" i="30"/>
  <c r="AQ123" i="30"/>
  <c r="AP123" i="30"/>
  <c r="AO123" i="30"/>
  <c r="AN123" i="30"/>
  <c r="AQ122" i="30"/>
  <c r="AP122" i="30"/>
  <c r="AO122" i="30"/>
  <c r="AN122" i="30"/>
  <c r="AQ121" i="30"/>
  <c r="AP121" i="30"/>
  <c r="AO121" i="30"/>
  <c r="AN121" i="30"/>
  <c r="AQ120" i="30"/>
  <c r="AP120" i="30"/>
  <c r="AO120" i="30"/>
  <c r="AN120" i="30"/>
  <c r="AQ119" i="30"/>
  <c r="AP119" i="30"/>
  <c r="AO119" i="30"/>
  <c r="AN119" i="30"/>
  <c r="AQ118" i="30"/>
  <c r="AP118" i="30"/>
  <c r="AO118" i="30"/>
  <c r="AN118" i="30"/>
  <c r="AQ117" i="30"/>
  <c r="AP117" i="30"/>
  <c r="AO117" i="30"/>
  <c r="AN117" i="30"/>
  <c r="AQ116" i="30"/>
  <c r="AP116" i="30"/>
  <c r="AO116" i="30"/>
  <c r="AN116" i="30"/>
  <c r="AQ115" i="30"/>
  <c r="AP115" i="30"/>
  <c r="AO115" i="30"/>
  <c r="AN115" i="30"/>
  <c r="AQ114" i="30"/>
  <c r="AP114" i="30"/>
  <c r="AO114" i="30"/>
  <c r="AN114" i="30"/>
  <c r="AQ113" i="30"/>
  <c r="AP113" i="30"/>
  <c r="AO113" i="30"/>
  <c r="AN113" i="30"/>
  <c r="AQ112" i="30"/>
  <c r="AP112" i="30"/>
  <c r="AO112" i="30"/>
  <c r="AN112" i="30"/>
  <c r="AQ111" i="30"/>
  <c r="AP111" i="30"/>
  <c r="AO111" i="30"/>
  <c r="AN111" i="30"/>
  <c r="AQ110" i="30"/>
  <c r="AP110" i="30"/>
  <c r="AO110" i="30"/>
  <c r="AN110" i="30"/>
  <c r="AQ109" i="30"/>
  <c r="AP109" i="30"/>
  <c r="AO109" i="30"/>
  <c r="AN109" i="30"/>
  <c r="AQ108" i="30"/>
  <c r="AP108" i="30"/>
  <c r="AO108" i="30"/>
  <c r="AN108" i="30"/>
  <c r="AQ107" i="30"/>
  <c r="AP107" i="30"/>
  <c r="AO107" i="30"/>
  <c r="AN107" i="30"/>
  <c r="AQ106" i="30"/>
  <c r="AP106" i="30"/>
  <c r="AO106" i="30"/>
  <c r="AN106" i="30"/>
  <c r="AQ105" i="30"/>
  <c r="AP105" i="30"/>
  <c r="AO105" i="30"/>
  <c r="AN105" i="30"/>
  <c r="AQ104" i="30"/>
  <c r="AP104" i="30"/>
  <c r="AO104" i="30"/>
  <c r="AN104" i="30"/>
  <c r="AQ103" i="30"/>
  <c r="AP103" i="30"/>
  <c r="AO103" i="30"/>
  <c r="AN103" i="30"/>
  <c r="AQ102" i="30"/>
  <c r="AP102" i="30"/>
  <c r="AO102" i="30"/>
  <c r="AN102" i="30"/>
  <c r="AQ101" i="30"/>
  <c r="AP101" i="30"/>
  <c r="AO101" i="30"/>
  <c r="AN101" i="30"/>
  <c r="AQ100" i="30"/>
  <c r="AP100" i="30"/>
  <c r="AO100" i="30"/>
  <c r="AN100" i="30"/>
  <c r="AQ99" i="30"/>
  <c r="AP99" i="30"/>
  <c r="AO99" i="30"/>
  <c r="AN99" i="30"/>
  <c r="AQ98" i="30"/>
  <c r="AP98" i="30"/>
  <c r="AO98" i="30"/>
  <c r="AN98" i="30"/>
  <c r="AQ97" i="30"/>
  <c r="AP97" i="30"/>
  <c r="AO97" i="30"/>
  <c r="AN97" i="30"/>
  <c r="AQ96" i="30"/>
  <c r="AP96" i="30"/>
  <c r="AO96" i="30"/>
  <c r="AN96" i="30"/>
  <c r="AQ95" i="30"/>
  <c r="AP95" i="30"/>
  <c r="AO95" i="30"/>
  <c r="AN95" i="30"/>
  <c r="AQ94" i="30"/>
  <c r="AP94" i="30"/>
  <c r="AO94" i="30"/>
  <c r="AN94" i="30"/>
  <c r="AQ93" i="30"/>
  <c r="AP93" i="30"/>
  <c r="AO93" i="30"/>
  <c r="AN93" i="30"/>
  <c r="AQ92" i="30"/>
  <c r="AP92" i="30"/>
  <c r="AO92" i="30"/>
  <c r="AN92" i="30"/>
  <c r="AQ91" i="30"/>
  <c r="AP91" i="30"/>
  <c r="AO91" i="30"/>
  <c r="AN91" i="30"/>
  <c r="AQ90" i="30"/>
  <c r="AP90" i="30"/>
  <c r="AO90" i="30"/>
  <c r="AN90" i="30"/>
  <c r="AQ89" i="30"/>
  <c r="AP89" i="30"/>
  <c r="AO89" i="30"/>
  <c r="AN89" i="30"/>
  <c r="AQ88" i="30"/>
  <c r="AP88" i="30"/>
  <c r="AO88" i="30"/>
  <c r="AN88" i="30"/>
  <c r="AQ87" i="30"/>
  <c r="AP87" i="30"/>
  <c r="AO87" i="30"/>
  <c r="AN87" i="30"/>
  <c r="AQ86" i="30"/>
  <c r="AP86" i="30"/>
  <c r="AO86" i="30"/>
  <c r="AN86" i="30"/>
  <c r="AQ85" i="30"/>
  <c r="AP85" i="30"/>
  <c r="AO85" i="30"/>
  <c r="AN85" i="30"/>
  <c r="AQ84" i="30"/>
  <c r="AP84" i="30"/>
  <c r="AO84" i="30"/>
  <c r="AN84" i="30"/>
  <c r="AQ83" i="30"/>
  <c r="AP83" i="30"/>
  <c r="AO83" i="30"/>
  <c r="AN83" i="30"/>
  <c r="AQ82" i="30"/>
  <c r="AP82" i="30"/>
  <c r="AO82" i="30"/>
  <c r="AN82" i="30"/>
  <c r="AQ81" i="30"/>
  <c r="AP81" i="30"/>
  <c r="AO81" i="30"/>
  <c r="AN81" i="30"/>
  <c r="AQ80" i="30"/>
  <c r="AP80" i="30"/>
  <c r="AO80" i="30"/>
  <c r="AN80" i="30"/>
  <c r="AQ79" i="30"/>
  <c r="AP79" i="30"/>
  <c r="AO79" i="30"/>
  <c r="AN79" i="30"/>
  <c r="AQ78" i="30"/>
  <c r="AP78" i="30"/>
  <c r="AO78" i="30"/>
  <c r="AN78" i="30"/>
  <c r="AQ77" i="30"/>
  <c r="AP77" i="30"/>
  <c r="AO77" i="30"/>
  <c r="AN77" i="30"/>
  <c r="AQ76" i="30"/>
  <c r="AP76" i="30"/>
  <c r="AO76" i="30"/>
  <c r="AN76" i="30"/>
  <c r="AQ75" i="30"/>
  <c r="AP75" i="30"/>
  <c r="AO75" i="30"/>
  <c r="AN75" i="30"/>
  <c r="AQ74" i="30"/>
  <c r="AP74" i="30"/>
  <c r="AO74" i="30"/>
  <c r="AN74" i="30"/>
  <c r="AQ73" i="30"/>
  <c r="AP73" i="30"/>
  <c r="AO73" i="30"/>
  <c r="AN73" i="30"/>
  <c r="AQ72" i="30"/>
  <c r="AP72" i="30"/>
  <c r="AO72" i="30"/>
  <c r="AN72" i="30"/>
  <c r="AQ71" i="30"/>
  <c r="AP71" i="30"/>
  <c r="AO71" i="30"/>
  <c r="AN71" i="30"/>
  <c r="AQ70" i="30"/>
  <c r="AP70" i="30"/>
  <c r="AO70" i="30"/>
  <c r="AN70" i="30"/>
  <c r="AQ69" i="30"/>
  <c r="AP69" i="30"/>
  <c r="AO69" i="30"/>
  <c r="AN69" i="30"/>
  <c r="AQ68" i="30"/>
  <c r="AP68" i="30"/>
  <c r="AO68" i="30"/>
  <c r="AN68" i="30"/>
  <c r="AQ67" i="30"/>
  <c r="AP67" i="30"/>
  <c r="AO67" i="30"/>
  <c r="AN67" i="30"/>
  <c r="AQ66" i="30"/>
  <c r="AP66" i="30"/>
  <c r="AO66" i="30"/>
  <c r="AN66" i="30"/>
  <c r="AQ65" i="30"/>
  <c r="AP65" i="30"/>
  <c r="AO65" i="30"/>
  <c r="AN65" i="30"/>
  <c r="AQ64" i="30"/>
  <c r="AP64" i="30"/>
  <c r="AO64" i="30"/>
  <c r="AN64" i="30"/>
  <c r="AQ63" i="30"/>
  <c r="AP63" i="30"/>
  <c r="AO63" i="30"/>
  <c r="AN63" i="30"/>
  <c r="AQ62" i="30"/>
  <c r="AP62" i="30"/>
  <c r="AO62" i="30"/>
  <c r="AN62" i="30"/>
  <c r="AQ61" i="30"/>
  <c r="AP61" i="30"/>
  <c r="AO61" i="30"/>
  <c r="AN61" i="30"/>
  <c r="AQ60" i="30"/>
  <c r="AP60" i="30"/>
  <c r="AO60" i="30"/>
  <c r="AN60" i="30"/>
  <c r="AQ59" i="30"/>
  <c r="AP59" i="30"/>
  <c r="AO59" i="30"/>
  <c r="AN59" i="30"/>
  <c r="AQ58" i="30"/>
  <c r="AP58" i="30"/>
  <c r="AO58" i="30"/>
  <c r="AN58" i="30"/>
  <c r="AQ57" i="30"/>
  <c r="AP57" i="30"/>
  <c r="AO57" i="30"/>
  <c r="AN57" i="30"/>
  <c r="AQ56" i="30"/>
  <c r="AP56" i="30"/>
  <c r="AO56" i="30"/>
  <c r="AN56" i="30"/>
  <c r="AQ55" i="30"/>
  <c r="AP55" i="30"/>
  <c r="AO55" i="30"/>
  <c r="AN55" i="30"/>
  <c r="AQ54" i="30"/>
  <c r="AP54" i="30"/>
  <c r="AO54" i="30"/>
  <c r="AN54" i="30"/>
  <c r="AQ53" i="30"/>
  <c r="AP53" i="30"/>
  <c r="AO53" i="30"/>
  <c r="AN53" i="30"/>
  <c r="AQ52" i="30"/>
  <c r="AP52" i="30"/>
  <c r="AO52" i="30"/>
  <c r="AN52" i="30"/>
  <c r="AQ51" i="30"/>
  <c r="AP51" i="30"/>
  <c r="AO51" i="30"/>
  <c r="AN51" i="30"/>
  <c r="AQ50" i="30"/>
  <c r="AP50" i="30"/>
  <c r="AO50" i="30"/>
  <c r="AN50" i="30"/>
  <c r="AQ49" i="30"/>
  <c r="AP49" i="30"/>
  <c r="AO49" i="30"/>
  <c r="AN49" i="30"/>
  <c r="AQ48" i="30"/>
  <c r="AP48" i="30"/>
  <c r="AO48" i="30"/>
  <c r="AN48" i="30"/>
  <c r="AQ47" i="30"/>
  <c r="AP47" i="30"/>
  <c r="AO47" i="30"/>
  <c r="AN47" i="30"/>
  <c r="AQ46" i="30"/>
  <c r="AP46" i="30"/>
  <c r="AO46" i="30"/>
  <c r="AN46" i="30"/>
  <c r="AQ45" i="30"/>
  <c r="AP45" i="30"/>
  <c r="AO45" i="30"/>
  <c r="AN45" i="30"/>
  <c r="AQ44" i="30"/>
  <c r="AP44" i="30"/>
  <c r="AO44" i="30"/>
  <c r="AN44" i="30"/>
  <c r="AQ43" i="30"/>
  <c r="AP43" i="30"/>
  <c r="AO43" i="30"/>
  <c r="AN43" i="30"/>
  <c r="AQ42" i="30"/>
  <c r="AP42" i="30"/>
  <c r="AO42" i="30"/>
  <c r="AN42" i="30"/>
  <c r="AQ41" i="30"/>
  <c r="AP41" i="30"/>
  <c r="AO41" i="30"/>
  <c r="AN41" i="30"/>
  <c r="AQ40" i="30"/>
  <c r="AP40" i="30"/>
  <c r="AO40" i="30"/>
  <c r="AN40" i="30"/>
  <c r="AQ39" i="30"/>
  <c r="AP39" i="30"/>
  <c r="AO39" i="30"/>
  <c r="AN39" i="30"/>
  <c r="AQ38" i="30"/>
  <c r="AP38" i="30"/>
  <c r="AO38" i="30"/>
  <c r="AN38" i="30"/>
  <c r="AQ37" i="30"/>
  <c r="AP37" i="30"/>
  <c r="AO37" i="30"/>
  <c r="AN37" i="30"/>
  <c r="AQ36" i="30"/>
  <c r="AP36" i="30"/>
  <c r="AO36" i="30"/>
  <c r="AN36" i="30"/>
  <c r="AQ35" i="30"/>
  <c r="AP35" i="30"/>
  <c r="AO35" i="30"/>
  <c r="AN35" i="30"/>
  <c r="AQ34" i="30"/>
  <c r="AP34" i="30"/>
  <c r="AO34" i="30"/>
  <c r="AN34" i="30"/>
  <c r="AQ33" i="30"/>
  <c r="AP33" i="30"/>
  <c r="AO33" i="30"/>
  <c r="AN33" i="30"/>
  <c r="AQ32" i="30"/>
  <c r="AP32" i="30"/>
  <c r="AO32" i="30"/>
  <c r="AN32" i="30"/>
  <c r="AQ31" i="30"/>
  <c r="AP31" i="30"/>
  <c r="AO31" i="30"/>
  <c r="AN31" i="30"/>
  <c r="AQ30" i="30"/>
  <c r="AP30" i="30"/>
  <c r="AO30" i="30"/>
  <c r="AN30" i="30"/>
  <c r="AQ29" i="30"/>
  <c r="AP29" i="30"/>
  <c r="AO29" i="30"/>
  <c r="AN29" i="30"/>
  <c r="AQ28" i="30"/>
  <c r="AP28" i="30"/>
  <c r="AO28" i="30"/>
  <c r="AN28" i="30"/>
  <c r="AQ27" i="30"/>
  <c r="AP27" i="30"/>
  <c r="AO27" i="30"/>
  <c r="AN27" i="30"/>
  <c r="AQ26" i="30"/>
  <c r="AP26" i="30"/>
  <c r="AO26" i="30"/>
  <c r="AN26" i="30"/>
  <c r="AQ25" i="30"/>
  <c r="AP25" i="30"/>
  <c r="AO25" i="30"/>
  <c r="AN25" i="30"/>
  <c r="AQ24" i="30"/>
  <c r="AP24" i="30"/>
  <c r="AO24" i="30"/>
  <c r="AN24" i="30"/>
  <c r="AQ23" i="30"/>
  <c r="AP23" i="30"/>
  <c r="AO23" i="30"/>
  <c r="AN23" i="30"/>
  <c r="AQ22" i="30"/>
  <c r="AP22" i="30"/>
  <c r="AO22" i="30"/>
  <c r="AN22" i="30"/>
  <c r="AQ21" i="30"/>
  <c r="AP21" i="30"/>
  <c r="AO21" i="30"/>
  <c r="AN21" i="30"/>
  <c r="AQ20" i="30"/>
  <c r="AP20" i="30"/>
  <c r="AO20" i="30"/>
  <c r="AN20" i="30"/>
  <c r="AQ19" i="30"/>
  <c r="AP19" i="30"/>
  <c r="AO19" i="30"/>
  <c r="AN19" i="30"/>
  <c r="AQ18" i="30"/>
  <c r="AP18" i="30"/>
  <c r="AO18" i="30"/>
  <c r="AN18" i="30"/>
  <c r="AQ17" i="30"/>
  <c r="AP17" i="30"/>
  <c r="AO17" i="30"/>
  <c r="AN17" i="30"/>
  <c r="AQ16" i="30"/>
  <c r="AP16" i="30"/>
  <c r="AO16" i="30"/>
  <c r="AN16" i="30"/>
  <c r="AQ15" i="30"/>
  <c r="AP15" i="30"/>
  <c r="AO15" i="30"/>
  <c r="AN15" i="30"/>
  <c r="AQ14" i="30"/>
  <c r="AP14" i="30"/>
  <c r="AO14" i="30"/>
  <c r="AN14" i="30"/>
  <c r="AQ13" i="30"/>
  <c r="AP13" i="30"/>
  <c r="AO13" i="30"/>
  <c r="AN13" i="30"/>
  <c r="AQ12" i="30"/>
  <c r="AP12" i="30"/>
  <c r="AO12" i="30"/>
  <c r="AN12" i="30"/>
  <c r="AQ11" i="30"/>
  <c r="AP11" i="30"/>
  <c r="AO11" i="30"/>
  <c r="AN11" i="30"/>
  <c r="AQ10" i="30"/>
  <c r="AP10" i="30"/>
  <c r="AO10" i="30"/>
  <c r="AN10" i="30"/>
  <c r="AQ9" i="30"/>
  <c r="AP9" i="30"/>
  <c r="AO9" i="30"/>
  <c r="AN9" i="30"/>
  <c r="AQ8" i="30"/>
  <c r="AP8" i="30"/>
  <c r="AO8" i="30"/>
  <c r="AN8" i="30"/>
  <c r="AQ7" i="30"/>
  <c r="AP7" i="30"/>
  <c r="AO7" i="30"/>
  <c r="AN7" i="30"/>
  <c r="AQ6" i="30"/>
  <c r="AP6" i="30"/>
  <c r="AO6" i="30"/>
  <c r="AN6" i="30"/>
  <c r="AQ5" i="30"/>
  <c r="AQ2" i="30" s="1"/>
  <c r="AP5" i="30"/>
  <c r="AP2" i="30" s="1"/>
  <c r="AO5" i="30"/>
  <c r="AO2" i="30" s="1"/>
  <c r="AN5" i="30"/>
  <c r="AL147" i="30"/>
  <c r="AK147" i="30"/>
  <c r="AJ147" i="30"/>
  <c r="AI147" i="30"/>
  <c r="AL146" i="30"/>
  <c r="AK146" i="30"/>
  <c r="AJ146" i="30"/>
  <c r="AI146" i="30"/>
  <c r="AL145" i="30"/>
  <c r="AK145" i="30"/>
  <c r="AJ145" i="30"/>
  <c r="AI145" i="30"/>
  <c r="AL144" i="30"/>
  <c r="AK144" i="30"/>
  <c r="AJ144" i="30"/>
  <c r="AI144" i="30"/>
  <c r="AL143" i="30"/>
  <c r="AK143" i="30"/>
  <c r="AJ143" i="30"/>
  <c r="AI143" i="30"/>
  <c r="AL142" i="30"/>
  <c r="AK142" i="30"/>
  <c r="AJ142" i="30"/>
  <c r="AI142" i="30"/>
  <c r="AL141" i="30"/>
  <c r="AK141" i="30"/>
  <c r="AJ141" i="30"/>
  <c r="AI141" i="30"/>
  <c r="AL140" i="30"/>
  <c r="AK140" i="30"/>
  <c r="AJ140" i="30"/>
  <c r="AI140" i="30"/>
  <c r="AL139" i="30"/>
  <c r="AK139" i="30"/>
  <c r="AJ139" i="30"/>
  <c r="AI139" i="30"/>
  <c r="AL138" i="30"/>
  <c r="AK138" i="30"/>
  <c r="AJ138" i="30"/>
  <c r="AI138" i="30"/>
  <c r="AL137" i="30"/>
  <c r="AK137" i="30"/>
  <c r="AJ137" i="30"/>
  <c r="AI137" i="30"/>
  <c r="AL136" i="30"/>
  <c r="AK136" i="30"/>
  <c r="AJ136" i="30"/>
  <c r="AI136" i="30"/>
  <c r="AL135" i="30"/>
  <c r="AK135" i="30"/>
  <c r="AJ135" i="30"/>
  <c r="AI135" i="30"/>
  <c r="AL134" i="30"/>
  <c r="AK134" i="30"/>
  <c r="AJ134" i="30"/>
  <c r="AI134" i="30"/>
  <c r="AL133" i="30"/>
  <c r="AK133" i="30"/>
  <c r="AJ133" i="30"/>
  <c r="AI133" i="30"/>
  <c r="AL132" i="30"/>
  <c r="AK132" i="30"/>
  <c r="AJ132" i="30"/>
  <c r="AI132" i="30"/>
  <c r="AL131" i="30"/>
  <c r="AK131" i="30"/>
  <c r="AJ131" i="30"/>
  <c r="AI131" i="30"/>
  <c r="AL130" i="30"/>
  <c r="AK130" i="30"/>
  <c r="AJ130" i="30"/>
  <c r="AI130" i="30"/>
  <c r="AL129" i="30"/>
  <c r="AK129" i="30"/>
  <c r="AJ129" i="30"/>
  <c r="AI129" i="30"/>
  <c r="AL128" i="30"/>
  <c r="AK128" i="30"/>
  <c r="AJ128" i="30"/>
  <c r="AI128" i="30"/>
  <c r="AL127" i="30"/>
  <c r="AK127" i="30"/>
  <c r="AJ127" i="30"/>
  <c r="AI127" i="30"/>
  <c r="AL126" i="30"/>
  <c r="AK126" i="30"/>
  <c r="AJ126" i="30"/>
  <c r="AI126" i="30"/>
  <c r="AL125" i="30"/>
  <c r="AK125" i="30"/>
  <c r="AJ125" i="30"/>
  <c r="AI125" i="30"/>
  <c r="AL124" i="30"/>
  <c r="AK124" i="30"/>
  <c r="AJ124" i="30"/>
  <c r="AI124" i="30"/>
  <c r="AL123" i="30"/>
  <c r="AK123" i="30"/>
  <c r="AJ123" i="30"/>
  <c r="AI123" i="30"/>
  <c r="AL122" i="30"/>
  <c r="AK122" i="30"/>
  <c r="AJ122" i="30"/>
  <c r="AI122" i="30"/>
  <c r="AL121" i="30"/>
  <c r="AK121" i="30"/>
  <c r="AJ121" i="30"/>
  <c r="AI121" i="30"/>
  <c r="AL120" i="30"/>
  <c r="AK120" i="30"/>
  <c r="AJ120" i="30"/>
  <c r="AI120" i="30"/>
  <c r="AL119" i="30"/>
  <c r="AK119" i="30"/>
  <c r="AJ119" i="30"/>
  <c r="AI119" i="30"/>
  <c r="AL118" i="30"/>
  <c r="AK118" i="30"/>
  <c r="AJ118" i="30"/>
  <c r="AI118" i="30"/>
  <c r="AL117" i="30"/>
  <c r="AK117" i="30"/>
  <c r="AJ117" i="30"/>
  <c r="AI117" i="30"/>
  <c r="AL116" i="30"/>
  <c r="AK116" i="30"/>
  <c r="AJ116" i="30"/>
  <c r="AI116" i="30"/>
  <c r="AL115" i="30"/>
  <c r="AK115" i="30"/>
  <c r="AJ115" i="30"/>
  <c r="AI115" i="30"/>
  <c r="AL114" i="30"/>
  <c r="AK114" i="30"/>
  <c r="AJ114" i="30"/>
  <c r="AI114" i="30"/>
  <c r="AL113" i="30"/>
  <c r="AK113" i="30"/>
  <c r="AJ113" i="30"/>
  <c r="AI113" i="30"/>
  <c r="AL112" i="30"/>
  <c r="AK112" i="30"/>
  <c r="AJ112" i="30"/>
  <c r="AI112" i="30"/>
  <c r="AL111" i="30"/>
  <c r="AK111" i="30"/>
  <c r="AJ111" i="30"/>
  <c r="AI111" i="30"/>
  <c r="AL110" i="30"/>
  <c r="AK110" i="30"/>
  <c r="AJ110" i="30"/>
  <c r="AI110" i="30"/>
  <c r="AL109" i="30"/>
  <c r="AK109" i="30"/>
  <c r="AJ109" i="30"/>
  <c r="AI109" i="30"/>
  <c r="AL108" i="30"/>
  <c r="AK108" i="30"/>
  <c r="AJ108" i="30"/>
  <c r="AI108" i="30"/>
  <c r="AL107" i="30"/>
  <c r="AK107" i="30"/>
  <c r="AJ107" i="30"/>
  <c r="AI107" i="30"/>
  <c r="AL106" i="30"/>
  <c r="AK106" i="30"/>
  <c r="AJ106" i="30"/>
  <c r="AI106" i="30"/>
  <c r="AL105" i="30"/>
  <c r="AK105" i="30"/>
  <c r="AJ105" i="30"/>
  <c r="AI105" i="30"/>
  <c r="AL104" i="30"/>
  <c r="AK104" i="30"/>
  <c r="AJ104" i="30"/>
  <c r="AI104" i="30"/>
  <c r="AL103" i="30"/>
  <c r="AK103" i="30"/>
  <c r="AJ103" i="30"/>
  <c r="AI103" i="30"/>
  <c r="AL102" i="30"/>
  <c r="AK102" i="30"/>
  <c r="AJ102" i="30"/>
  <c r="AI102" i="30"/>
  <c r="AL101" i="30"/>
  <c r="AK101" i="30"/>
  <c r="AJ101" i="30"/>
  <c r="AI101" i="30"/>
  <c r="AL100" i="30"/>
  <c r="AK100" i="30"/>
  <c r="AJ100" i="30"/>
  <c r="AI100" i="30"/>
  <c r="AL99" i="30"/>
  <c r="AK99" i="30"/>
  <c r="AJ99" i="30"/>
  <c r="AI99" i="30"/>
  <c r="AL98" i="30"/>
  <c r="AK98" i="30"/>
  <c r="AJ98" i="30"/>
  <c r="AI98" i="30"/>
  <c r="AL97" i="30"/>
  <c r="AK97" i="30"/>
  <c r="AJ97" i="30"/>
  <c r="AI97" i="30"/>
  <c r="AL96" i="30"/>
  <c r="AK96" i="30"/>
  <c r="AJ96" i="30"/>
  <c r="AI96" i="30"/>
  <c r="AL95" i="30"/>
  <c r="AK95" i="30"/>
  <c r="AJ95" i="30"/>
  <c r="AI95" i="30"/>
  <c r="AL94" i="30"/>
  <c r="AK94" i="30"/>
  <c r="AJ94" i="30"/>
  <c r="AI94" i="30"/>
  <c r="AL93" i="30"/>
  <c r="AK93" i="30"/>
  <c r="AJ93" i="30"/>
  <c r="AI93" i="30"/>
  <c r="AL92" i="30"/>
  <c r="AK92" i="30"/>
  <c r="AJ92" i="30"/>
  <c r="AI92" i="30"/>
  <c r="AL91" i="30"/>
  <c r="AK91" i="30"/>
  <c r="AJ91" i="30"/>
  <c r="AI91" i="30"/>
  <c r="AL90" i="30"/>
  <c r="AK90" i="30"/>
  <c r="AJ90" i="30"/>
  <c r="AI90" i="30"/>
  <c r="AL89" i="30"/>
  <c r="AK89" i="30"/>
  <c r="AJ89" i="30"/>
  <c r="AI89" i="30"/>
  <c r="AL88" i="30"/>
  <c r="AK88" i="30"/>
  <c r="AJ88" i="30"/>
  <c r="AI88" i="30"/>
  <c r="AL87" i="30"/>
  <c r="AK87" i="30"/>
  <c r="AJ87" i="30"/>
  <c r="AI87" i="30"/>
  <c r="AL86" i="30"/>
  <c r="AK86" i="30"/>
  <c r="AJ86" i="30"/>
  <c r="AI86" i="30"/>
  <c r="AL85" i="30"/>
  <c r="AK85" i="30"/>
  <c r="AJ85" i="30"/>
  <c r="AI85" i="30"/>
  <c r="AL84" i="30"/>
  <c r="AK84" i="30"/>
  <c r="AJ84" i="30"/>
  <c r="AI84" i="30"/>
  <c r="AL83" i="30"/>
  <c r="AK83" i="30"/>
  <c r="AJ83" i="30"/>
  <c r="AI83" i="30"/>
  <c r="AL82" i="30"/>
  <c r="AK82" i="30"/>
  <c r="AJ82" i="30"/>
  <c r="AI82" i="30"/>
  <c r="AL81" i="30"/>
  <c r="AK81" i="30"/>
  <c r="AJ81" i="30"/>
  <c r="AI81" i="30"/>
  <c r="AL80" i="30"/>
  <c r="AK80" i="30"/>
  <c r="AJ80" i="30"/>
  <c r="AI80" i="30"/>
  <c r="AL79" i="30"/>
  <c r="AK79" i="30"/>
  <c r="AJ79" i="30"/>
  <c r="AI79" i="30"/>
  <c r="AL78" i="30"/>
  <c r="AK78" i="30"/>
  <c r="AJ78" i="30"/>
  <c r="AI78" i="30"/>
  <c r="AL77" i="30"/>
  <c r="AK77" i="30"/>
  <c r="AJ77" i="30"/>
  <c r="AI77" i="30"/>
  <c r="AL76" i="30"/>
  <c r="AK76" i="30"/>
  <c r="AJ76" i="30"/>
  <c r="AI76" i="30"/>
  <c r="AL75" i="30"/>
  <c r="AK75" i="30"/>
  <c r="AJ75" i="30"/>
  <c r="AI75" i="30"/>
  <c r="AL74" i="30"/>
  <c r="AK74" i="30"/>
  <c r="AJ74" i="30"/>
  <c r="AI74" i="30"/>
  <c r="AL73" i="30"/>
  <c r="AK73" i="30"/>
  <c r="AJ73" i="30"/>
  <c r="AI73" i="30"/>
  <c r="AL72" i="30"/>
  <c r="AK72" i="30"/>
  <c r="AJ72" i="30"/>
  <c r="AI72" i="30"/>
  <c r="AL71" i="30"/>
  <c r="AK71" i="30"/>
  <c r="AJ71" i="30"/>
  <c r="AI71" i="30"/>
  <c r="AL70" i="30"/>
  <c r="AK70" i="30"/>
  <c r="AJ70" i="30"/>
  <c r="AI70" i="30"/>
  <c r="AL69" i="30"/>
  <c r="AK69" i="30"/>
  <c r="AJ69" i="30"/>
  <c r="AI69" i="30"/>
  <c r="AL68" i="30"/>
  <c r="AK68" i="30"/>
  <c r="AJ68" i="30"/>
  <c r="AI68" i="30"/>
  <c r="AL67" i="30"/>
  <c r="AK67" i="30"/>
  <c r="AJ67" i="30"/>
  <c r="AI67" i="30"/>
  <c r="AL66" i="30"/>
  <c r="AK66" i="30"/>
  <c r="AJ66" i="30"/>
  <c r="AI66" i="30"/>
  <c r="AL65" i="30"/>
  <c r="AK65" i="30"/>
  <c r="AJ65" i="30"/>
  <c r="AI65" i="30"/>
  <c r="AL64" i="30"/>
  <c r="AK64" i="30"/>
  <c r="AJ64" i="30"/>
  <c r="AI64" i="30"/>
  <c r="AL63" i="30"/>
  <c r="AK63" i="30"/>
  <c r="AJ63" i="30"/>
  <c r="AI63" i="30"/>
  <c r="AL62" i="30"/>
  <c r="AK62" i="30"/>
  <c r="AJ62" i="30"/>
  <c r="AI62" i="30"/>
  <c r="AL61" i="30"/>
  <c r="AK61" i="30"/>
  <c r="AJ61" i="30"/>
  <c r="AI61" i="30"/>
  <c r="AL60" i="30"/>
  <c r="AK60" i="30"/>
  <c r="AJ60" i="30"/>
  <c r="AI60" i="30"/>
  <c r="AL59" i="30"/>
  <c r="AK59" i="30"/>
  <c r="AJ59" i="30"/>
  <c r="AI59" i="30"/>
  <c r="AL58" i="30"/>
  <c r="AK58" i="30"/>
  <c r="AJ58" i="30"/>
  <c r="AI58" i="30"/>
  <c r="AL57" i="30"/>
  <c r="AK57" i="30"/>
  <c r="AJ57" i="30"/>
  <c r="AI57" i="30"/>
  <c r="AL56" i="30"/>
  <c r="AK56" i="30"/>
  <c r="AJ56" i="30"/>
  <c r="AI56" i="30"/>
  <c r="AL55" i="30"/>
  <c r="AK55" i="30"/>
  <c r="AJ55" i="30"/>
  <c r="AI55" i="30"/>
  <c r="AL54" i="30"/>
  <c r="AK54" i="30"/>
  <c r="AJ54" i="30"/>
  <c r="AI54" i="30"/>
  <c r="AL53" i="30"/>
  <c r="AK53" i="30"/>
  <c r="AJ53" i="30"/>
  <c r="AI53" i="30"/>
  <c r="AL52" i="30"/>
  <c r="AK52" i="30"/>
  <c r="AJ52" i="30"/>
  <c r="AI52" i="30"/>
  <c r="AL51" i="30"/>
  <c r="AK51" i="30"/>
  <c r="AJ51" i="30"/>
  <c r="AI51" i="30"/>
  <c r="AL50" i="30"/>
  <c r="AK50" i="30"/>
  <c r="AJ50" i="30"/>
  <c r="AI50" i="30"/>
  <c r="AL49" i="30"/>
  <c r="AK49" i="30"/>
  <c r="AJ49" i="30"/>
  <c r="AI49" i="30"/>
  <c r="AL48" i="30"/>
  <c r="AK48" i="30"/>
  <c r="AJ48" i="30"/>
  <c r="AI48" i="30"/>
  <c r="AL47" i="30"/>
  <c r="AK47" i="30"/>
  <c r="AJ47" i="30"/>
  <c r="AI47" i="30"/>
  <c r="AL46" i="30"/>
  <c r="AK46" i="30"/>
  <c r="AJ46" i="30"/>
  <c r="AI46" i="30"/>
  <c r="AL45" i="30"/>
  <c r="AK45" i="30"/>
  <c r="AJ45" i="30"/>
  <c r="AI45" i="30"/>
  <c r="AL44" i="30"/>
  <c r="AK44" i="30"/>
  <c r="AJ44" i="30"/>
  <c r="AI44" i="30"/>
  <c r="AL43" i="30"/>
  <c r="AK43" i="30"/>
  <c r="AJ43" i="30"/>
  <c r="AI43" i="30"/>
  <c r="AL42" i="30"/>
  <c r="AK42" i="30"/>
  <c r="AJ42" i="30"/>
  <c r="AI42" i="30"/>
  <c r="AL41" i="30"/>
  <c r="AK41" i="30"/>
  <c r="AJ41" i="30"/>
  <c r="AI41" i="30"/>
  <c r="AL40" i="30"/>
  <c r="AK40" i="30"/>
  <c r="AJ40" i="30"/>
  <c r="AI40" i="30"/>
  <c r="AL39" i="30"/>
  <c r="AK39" i="30"/>
  <c r="AJ39" i="30"/>
  <c r="AI39" i="30"/>
  <c r="AL38" i="30"/>
  <c r="AK38" i="30"/>
  <c r="AJ38" i="30"/>
  <c r="AI38" i="30"/>
  <c r="AL37" i="30"/>
  <c r="AK37" i="30"/>
  <c r="AJ37" i="30"/>
  <c r="AI37" i="30"/>
  <c r="AL36" i="30"/>
  <c r="AK36" i="30"/>
  <c r="AJ36" i="30"/>
  <c r="AI36" i="30"/>
  <c r="AL35" i="30"/>
  <c r="AK35" i="30"/>
  <c r="AJ35" i="30"/>
  <c r="AI35" i="30"/>
  <c r="AL34" i="30"/>
  <c r="AK34" i="30"/>
  <c r="AJ34" i="30"/>
  <c r="AI34" i="30"/>
  <c r="AL33" i="30"/>
  <c r="AK33" i="30"/>
  <c r="AJ33" i="30"/>
  <c r="AI33" i="30"/>
  <c r="AL32" i="30"/>
  <c r="AK32" i="30"/>
  <c r="AJ32" i="30"/>
  <c r="AI32" i="30"/>
  <c r="AL31" i="30"/>
  <c r="AK31" i="30"/>
  <c r="AJ31" i="30"/>
  <c r="AI31" i="30"/>
  <c r="AL30" i="30"/>
  <c r="AK30" i="30"/>
  <c r="AJ30" i="30"/>
  <c r="AI30" i="30"/>
  <c r="AL29" i="30"/>
  <c r="AK29" i="30"/>
  <c r="AJ29" i="30"/>
  <c r="AI29" i="30"/>
  <c r="AL28" i="30"/>
  <c r="AK28" i="30"/>
  <c r="AJ28" i="30"/>
  <c r="AI28" i="30"/>
  <c r="AL27" i="30"/>
  <c r="AK27" i="30"/>
  <c r="AJ27" i="30"/>
  <c r="AI27" i="30"/>
  <c r="AL26" i="30"/>
  <c r="AK26" i="30"/>
  <c r="AJ26" i="30"/>
  <c r="AI26" i="30"/>
  <c r="AL25" i="30"/>
  <c r="AK25" i="30"/>
  <c r="AJ25" i="30"/>
  <c r="AI25" i="30"/>
  <c r="AL24" i="30"/>
  <c r="AK24" i="30"/>
  <c r="AJ24" i="30"/>
  <c r="AI24" i="30"/>
  <c r="AL23" i="30"/>
  <c r="AK23" i="30"/>
  <c r="AJ23" i="30"/>
  <c r="AI23" i="30"/>
  <c r="AL22" i="30"/>
  <c r="AK22" i="30"/>
  <c r="AJ22" i="30"/>
  <c r="AI22" i="30"/>
  <c r="AL21" i="30"/>
  <c r="AK21" i="30"/>
  <c r="AJ21" i="30"/>
  <c r="AI21" i="30"/>
  <c r="AL20" i="30"/>
  <c r="AK20" i="30"/>
  <c r="AJ20" i="30"/>
  <c r="AI20" i="30"/>
  <c r="AL19" i="30"/>
  <c r="AK19" i="30"/>
  <c r="AJ19" i="30"/>
  <c r="AI19" i="30"/>
  <c r="AL18" i="30"/>
  <c r="AK18" i="30"/>
  <c r="AJ18" i="30"/>
  <c r="AI18" i="30"/>
  <c r="AL17" i="30"/>
  <c r="AK17" i="30"/>
  <c r="AJ17" i="30"/>
  <c r="AI17" i="30"/>
  <c r="AL16" i="30"/>
  <c r="AK16" i="30"/>
  <c r="AJ16" i="30"/>
  <c r="AI16" i="30"/>
  <c r="AL15" i="30"/>
  <c r="AK15" i="30"/>
  <c r="AJ15" i="30"/>
  <c r="AI15" i="30"/>
  <c r="AL14" i="30"/>
  <c r="AK14" i="30"/>
  <c r="AJ14" i="30"/>
  <c r="AI14" i="30"/>
  <c r="AL13" i="30"/>
  <c r="AK13" i="30"/>
  <c r="AJ13" i="30"/>
  <c r="AI13" i="30"/>
  <c r="AL12" i="30"/>
  <c r="AK12" i="30"/>
  <c r="AJ12" i="30"/>
  <c r="AI12" i="30"/>
  <c r="AL11" i="30"/>
  <c r="AK11" i="30"/>
  <c r="AJ11" i="30"/>
  <c r="AI11" i="30"/>
  <c r="AL10" i="30"/>
  <c r="AK10" i="30"/>
  <c r="AJ10" i="30"/>
  <c r="AI10" i="30"/>
  <c r="AL9" i="30"/>
  <c r="AK9" i="30"/>
  <c r="AJ9" i="30"/>
  <c r="AI9" i="30"/>
  <c r="AL8" i="30"/>
  <c r="AK8" i="30"/>
  <c r="AJ8" i="30"/>
  <c r="AI8" i="30"/>
  <c r="AL7" i="30"/>
  <c r="AK7" i="30"/>
  <c r="AJ7" i="30"/>
  <c r="AI7" i="30"/>
  <c r="AL6" i="30"/>
  <c r="AK6" i="30"/>
  <c r="AJ6" i="30"/>
  <c r="AI6" i="30"/>
  <c r="AL5" i="30"/>
  <c r="AK5" i="30"/>
  <c r="AJ5" i="30"/>
  <c r="AI5" i="30"/>
  <c r="AG147" i="30"/>
  <c r="AF147" i="30"/>
  <c r="AE147" i="30"/>
  <c r="AD147" i="30"/>
  <c r="AG146" i="30"/>
  <c r="AF146" i="30"/>
  <c r="AE146" i="30"/>
  <c r="AD146" i="30"/>
  <c r="AG145" i="30"/>
  <c r="AF145" i="30"/>
  <c r="AE145" i="30"/>
  <c r="AD145" i="30"/>
  <c r="AG144" i="30"/>
  <c r="AF144" i="30"/>
  <c r="AE144" i="30"/>
  <c r="AD144" i="30"/>
  <c r="AG143" i="30"/>
  <c r="AF143" i="30"/>
  <c r="AE143" i="30"/>
  <c r="AD143" i="30"/>
  <c r="AG142" i="30"/>
  <c r="AF142" i="30"/>
  <c r="AE142" i="30"/>
  <c r="AD142" i="30"/>
  <c r="AG141" i="30"/>
  <c r="AF141" i="30"/>
  <c r="AE141" i="30"/>
  <c r="AD141" i="30"/>
  <c r="AG140" i="30"/>
  <c r="AF140" i="30"/>
  <c r="AE140" i="30"/>
  <c r="AD140" i="30"/>
  <c r="AG139" i="30"/>
  <c r="AF139" i="30"/>
  <c r="AE139" i="30"/>
  <c r="AD139" i="30"/>
  <c r="AG138" i="30"/>
  <c r="AF138" i="30"/>
  <c r="AE138" i="30"/>
  <c r="AD138" i="30"/>
  <c r="AG137" i="30"/>
  <c r="AF137" i="30"/>
  <c r="AE137" i="30"/>
  <c r="AD137" i="30"/>
  <c r="AG136" i="30"/>
  <c r="AF136" i="30"/>
  <c r="AE136" i="30"/>
  <c r="AD136" i="30"/>
  <c r="AG135" i="30"/>
  <c r="AF135" i="30"/>
  <c r="AE135" i="30"/>
  <c r="AD135" i="30"/>
  <c r="AG134" i="30"/>
  <c r="AF134" i="30"/>
  <c r="AE134" i="30"/>
  <c r="AD134" i="30"/>
  <c r="AG133" i="30"/>
  <c r="AF133" i="30"/>
  <c r="AE133" i="30"/>
  <c r="AD133" i="30"/>
  <c r="AG132" i="30"/>
  <c r="AF132" i="30"/>
  <c r="AE132" i="30"/>
  <c r="AD132" i="30"/>
  <c r="AG131" i="30"/>
  <c r="AF131" i="30"/>
  <c r="AE131" i="30"/>
  <c r="AD131" i="30"/>
  <c r="AG130" i="30"/>
  <c r="AF130" i="30"/>
  <c r="AE130" i="30"/>
  <c r="AD130" i="30"/>
  <c r="AG129" i="30"/>
  <c r="AF129" i="30"/>
  <c r="AE129" i="30"/>
  <c r="AD129" i="30"/>
  <c r="AG128" i="30"/>
  <c r="AF128" i="30"/>
  <c r="AE128" i="30"/>
  <c r="AD128" i="30"/>
  <c r="AG127" i="30"/>
  <c r="AF127" i="30"/>
  <c r="AE127" i="30"/>
  <c r="AD127" i="30"/>
  <c r="AG126" i="30"/>
  <c r="AF126" i="30"/>
  <c r="AE126" i="30"/>
  <c r="AD126" i="30"/>
  <c r="AG125" i="30"/>
  <c r="AF125" i="30"/>
  <c r="AE125" i="30"/>
  <c r="AD125" i="30"/>
  <c r="AG124" i="30"/>
  <c r="AF124" i="30"/>
  <c r="AE124" i="30"/>
  <c r="AD124" i="30"/>
  <c r="AG123" i="30"/>
  <c r="AF123" i="30"/>
  <c r="AE123" i="30"/>
  <c r="AD123" i="30"/>
  <c r="AG122" i="30"/>
  <c r="AF122" i="30"/>
  <c r="AE122" i="30"/>
  <c r="AD122" i="30"/>
  <c r="AG121" i="30"/>
  <c r="AF121" i="30"/>
  <c r="AE121" i="30"/>
  <c r="AD121" i="30"/>
  <c r="AG120" i="30"/>
  <c r="AF120" i="30"/>
  <c r="AE120" i="30"/>
  <c r="AD120" i="30"/>
  <c r="AG119" i="30"/>
  <c r="AF119" i="30"/>
  <c r="AE119" i="30"/>
  <c r="AD119" i="30"/>
  <c r="AG118" i="30"/>
  <c r="AF118" i="30"/>
  <c r="AE118" i="30"/>
  <c r="AD118" i="30"/>
  <c r="AG117" i="30"/>
  <c r="AF117" i="30"/>
  <c r="AE117" i="30"/>
  <c r="AD117" i="30"/>
  <c r="AG116" i="30"/>
  <c r="AF116" i="30"/>
  <c r="AE116" i="30"/>
  <c r="AD116" i="30"/>
  <c r="AG115" i="30"/>
  <c r="AF115" i="30"/>
  <c r="AE115" i="30"/>
  <c r="AD115" i="30"/>
  <c r="AG114" i="30"/>
  <c r="AF114" i="30"/>
  <c r="AE114" i="30"/>
  <c r="AD114" i="30"/>
  <c r="AG113" i="30"/>
  <c r="AF113" i="30"/>
  <c r="AE113" i="30"/>
  <c r="AD113" i="30"/>
  <c r="AG112" i="30"/>
  <c r="AF112" i="30"/>
  <c r="AE112" i="30"/>
  <c r="AD112" i="30"/>
  <c r="AG111" i="30"/>
  <c r="AF111" i="30"/>
  <c r="AE111" i="30"/>
  <c r="AD111" i="30"/>
  <c r="AG110" i="30"/>
  <c r="AF110" i="30"/>
  <c r="AE110" i="30"/>
  <c r="AD110" i="30"/>
  <c r="AG109" i="30"/>
  <c r="AF109" i="30"/>
  <c r="AE109" i="30"/>
  <c r="AD109" i="30"/>
  <c r="AG108" i="30"/>
  <c r="AF108" i="30"/>
  <c r="AE108" i="30"/>
  <c r="AD108" i="30"/>
  <c r="AG107" i="30"/>
  <c r="AF107" i="30"/>
  <c r="AE107" i="30"/>
  <c r="AD107" i="30"/>
  <c r="AG106" i="30"/>
  <c r="AF106" i="30"/>
  <c r="AE106" i="30"/>
  <c r="AD106" i="30"/>
  <c r="AG105" i="30"/>
  <c r="AF105" i="30"/>
  <c r="AE105" i="30"/>
  <c r="AD105" i="30"/>
  <c r="AG104" i="30"/>
  <c r="AF104" i="30"/>
  <c r="AE104" i="30"/>
  <c r="AD104" i="30"/>
  <c r="AG103" i="30"/>
  <c r="AF103" i="30"/>
  <c r="AE103" i="30"/>
  <c r="AD103" i="30"/>
  <c r="AG102" i="30"/>
  <c r="AF102" i="30"/>
  <c r="AE102" i="30"/>
  <c r="AD102" i="30"/>
  <c r="AG101" i="30"/>
  <c r="AF101" i="30"/>
  <c r="AE101" i="30"/>
  <c r="AD101" i="30"/>
  <c r="AG100" i="30"/>
  <c r="AF100" i="30"/>
  <c r="AE100" i="30"/>
  <c r="AD100" i="30"/>
  <c r="AG99" i="30"/>
  <c r="AF99" i="30"/>
  <c r="AE99" i="30"/>
  <c r="AD99" i="30"/>
  <c r="AG98" i="30"/>
  <c r="AF98" i="30"/>
  <c r="AE98" i="30"/>
  <c r="AD98" i="30"/>
  <c r="AG97" i="30"/>
  <c r="AF97" i="30"/>
  <c r="AE97" i="30"/>
  <c r="AD97" i="30"/>
  <c r="AG96" i="30"/>
  <c r="AF96" i="30"/>
  <c r="AE96" i="30"/>
  <c r="AD96" i="30"/>
  <c r="AG95" i="30"/>
  <c r="AF95" i="30"/>
  <c r="AE95" i="30"/>
  <c r="AD95" i="30"/>
  <c r="AG94" i="30"/>
  <c r="AF94" i="30"/>
  <c r="AE94" i="30"/>
  <c r="AD94" i="30"/>
  <c r="AG93" i="30"/>
  <c r="AF93" i="30"/>
  <c r="AE93" i="30"/>
  <c r="AD93" i="30"/>
  <c r="AG92" i="30"/>
  <c r="AF92" i="30"/>
  <c r="AE92" i="30"/>
  <c r="AD92" i="30"/>
  <c r="AG91" i="30"/>
  <c r="AF91" i="30"/>
  <c r="AE91" i="30"/>
  <c r="AD91" i="30"/>
  <c r="AG90" i="30"/>
  <c r="AF90" i="30"/>
  <c r="AE90" i="30"/>
  <c r="AD90" i="30"/>
  <c r="AG89" i="30"/>
  <c r="AF89" i="30"/>
  <c r="AE89" i="30"/>
  <c r="AD89" i="30"/>
  <c r="AG88" i="30"/>
  <c r="AF88" i="30"/>
  <c r="AE88" i="30"/>
  <c r="AD88" i="30"/>
  <c r="AG87" i="30"/>
  <c r="AF87" i="30"/>
  <c r="AE87" i="30"/>
  <c r="AD87" i="30"/>
  <c r="AG86" i="30"/>
  <c r="AF86" i="30"/>
  <c r="AE86" i="30"/>
  <c r="AD86" i="30"/>
  <c r="AG85" i="30"/>
  <c r="AF85" i="30"/>
  <c r="AE85" i="30"/>
  <c r="AD85" i="30"/>
  <c r="AG84" i="30"/>
  <c r="AF84" i="30"/>
  <c r="AE84" i="30"/>
  <c r="AD84" i="30"/>
  <c r="AG83" i="30"/>
  <c r="AF83" i="30"/>
  <c r="AE83" i="30"/>
  <c r="AD83" i="30"/>
  <c r="AG82" i="30"/>
  <c r="AF82" i="30"/>
  <c r="AE82" i="30"/>
  <c r="AD82" i="30"/>
  <c r="AG81" i="30"/>
  <c r="AF81" i="30"/>
  <c r="AE81" i="30"/>
  <c r="AD81" i="30"/>
  <c r="AG80" i="30"/>
  <c r="AF80" i="30"/>
  <c r="AE80" i="30"/>
  <c r="AD80" i="30"/>
  <c r="AG79" i="30"/>
  <c r="AF79" i="30"/>
  <c r="AE79" i="30"/>
  <c r="AD79" i="30"/>
  <c r="AG78" i="30"/>
  <c r="AF78" i="30"/>
  <c r="AE78" i="30"/>
  <c r="AD78" i="30"/>
  <c r="AG77" i="30"/>
  <c r="AF77" i="30"/>
  <c r="AE77" i="30"/>
  <c r="AD77" i="30"/>
  <c r="AG76" i="30"/>
  <c r="AF76" i="30"/>
  <c r="AE76" i="30"/>
  <c r="AD76" i="30"/>
  <c r="AG75" i="30"/>
  <c r="AF75" i="30"/>
  <c r="AE75" i="30"/>
  <c r="AD75" i="30"/>
  <c r="AG74" i="30"/>
  <c r="AF74" i="30"/>
  <c r="AE74" i="30"/>
  <c r="AD74" i="30"/>
  <c r="AG73" i="30"/>
  <c r="AF73" i="30"/>
  <c r="AE73" i="30"/>
  <c r="AD73" i="30"/>
  <c r="AG72" i="30"/>
  <c r="AF72" i="30"/>
  <c r="AE72" i="30"/>
  <c r="AD72" i="30"/>
  <c r="AG71" i="30"/>
  <c r="AF71" i="30"/>
  <c r="AE71" i="30"/>
  <c r="AD71" i="30"/>
  <c r="AG70" i="30"/>
  <c r="AF70" i="30"/>
  <c r="AE70" i="30"/>
  <c r="AD70" i="30"/>
  <c r="AG69" i="30"/>
  <c r="AF69" i="30"/>
  <c r="AE69" i="30"/>
  <c r="AD69" i="30"/>
  <c r="AG68" i="30"/>
  <c r="AF68" i="30"/>
  <c r="AE68" i="30"/>
  <c r="AD68" i="30"/>
  <c r="AG67" i="30"/>
  <c r="AF67" i="30"/>
  <c r="AE67" i="30"/>
  <c r="AD67" i="30"/>
  <c r="AG66" i="30"/>
  <c r="AF66" i="30"/>
  <c r="AE66" i="30"/>
  <c r="AD66" i="30"/>
  <c r="AG65" i="30"/>
  <c r="AF65" i="30"/>
  <c r="AE65" i="30"/>
  <c r="AD65" i="30"/>
  <c r="AG64" i="30"/>
  <c r="AF64" i="30"/>
  <c r="AE64" i="30"/>
  <c r="AD64" i="30"/>
  <c r="AG63" i="30"/>
  <c r="AF63" i="30"/>
  <c r="AE63" i="30"/>
  <c r="AD63" i="30"/>
  <c r="AG62" i="30"/>
  <c r="AF62" i="30"/>
  <c r="AE62" i="30"/>
  <c r="AD62" i="30"/>
  <c r="AG61" i="30"/>
  <c r="AF61" i="30"/>
  <c r="AE61" i="30"/>
  <c r="AD61" i="30"/>
  <c r="AG60" i="30"/>
  <c r="AF60" i="30"/>
  <c r="AE60" i="30"/>
  <c r="AD60" i="30"/>
  <c r="AG59" i="30"/>
  <c r="AF59" i="30"/>
  <c r="AE59" i="30"/>
  <c r="AD59" i="30"/>
  <c r="AG58" i="30"/>
  <c r="AF58" i="30"/>
  <c r="AE58" i="30"/>
  <c r="AD58" i="30"/>
  <c r="AG57" i="30"/>
  <c r="AF57" i="30"/>
  <c r="AE57" i="30"/>
  <c r="AD57" i="30"/>
  <c r="AG56" i="30"/>
  <c r="AF56" i="30"/>
  <c r="AE56" i="30"/>
  <c r="AD56" i="30"/>
  <c r="AG55" i="30"/>
  <c r="AF55" i="30"/>
  <c r="AE55" i="30"/>
  <c r="AD55" i="30"/>
  <c r="AG54" i="30"/>
  <c r="AF54" i="30"/>
  <c r="AE54" i="30"/>
  <c r="AD54" i="30"/>
  <c r="AG53" i="30"/>
  <c r="AF53" i="30"/>
  <c r="AE53" i="30"/>
  <c r="AD53" i="30"/>
  <c r="AG52" i="30"/>
  <c r="AF52" i="30"/>
  <c r="AE52" i="30"/>
  <c r="AD52" i="30"/>
  <c r="AG51" i="30"/>
  <c r="AF51" i="30"/>
  <c r="AE51" i="30"/>
  <c r="AD51" i="30"/>
  <c r="AG50" i="30"/>
  <c r="AF50" i="30"/>
  <c r="AE50" i="30"/>
  <c r="AD50" i="30"/>
  <c r="AG49" i="30"/>
  <c r="AF49" i="30"/>
  <c r="AE49" i="30"/>
  <c r="AD49" i="30"/>
  <c r="AG48" i="30"/>
  <c r="AF48" i="30"/>
  <c r="AE48" i="30"/>
  <c r="AD48" i="30"/>
  <c r="AG47" i="30"/>
  <c r="AF47" i="30"/>
  <c r="AE47" i="30"/>
  <c r="AD47" i="30"/>
  <c r="AG46" i="30"/>
  <c r="AF46" i="30"/>
  <c r="AE46" i="30"/>
  <c r="AD46" i="30"/>
  <c r="AG45" i="30"/>
  <c r="AF45" i="30"/>
  <c r="AE45" i="30"/>
  <c r="AD45" i="30"/>
  <c r="AG44" i="30"/>
  <c r="AF44" i="30"/>
  <c r="AE44" i="30"/>
  <c r="AD44" i="30"/>
  <c r="AG43" i="30"/>
  <c r="AF43" i="30"/>
  <c r="AE43" i="30"/>
  <c r="AD43" i="30"/>
  <c r="AG42" i="30"/>
  <c r="AF42" i="30"/>
  <c r="AE42" i="30"/>
  <c r="AD42" i="30"/>
  <c r="AG41" i="30"/>
  <c r="AF41" i="30"/>
  <c r="AE41" i="30"/>
  <c r="AD41" i="30"/>
  <c r="AG40" i="30"/>
  <c r="AF40" i="30"/>
  <c r="AE40" i="30"/>
  <c r="AD40" i="30"/>
  <c r="AG39" i="30"/>
  <c r="AF39" i="30"/>
  <c r="AE39" i="30"/>
  <c r="AD39" i="30"/>
  <c r="AG38" i="30"/>
  <c r="AF38" i="30"/>
  <c r="AE38" i="30"/>
  <c r="AD38" i="30"/>
  <c r="AG37" i="30"/>
  <c r="AF37" i="30"/>
  <c r="AE37" i="30"/>
  <c r="AD37" i="30"/>
  <c r="AG36" i="30"/>
  <c r="AF36" i="30"/>
  <c r="AE36" i="30"/>
  <c r="AD36" i="30"/>
  <c r="AG35" i="30"/>
  <c r="AF35" i="30"/>
  <c r="AE35" i="30"/>
  <c r="AD35" i="30"/>
  <c r="AG34" i="30"/>
  <c r="AF34" i="30"/>
  <c r="AE34" i="30"/>
  <c r="AD34" i="30"/>
  <c r="AG33" i="30"/>
  <c r="AF33" i="30"/>
  <c r="AE33" i="30"/>
  <c r="AD33" i="30"/>
  <c r="AG32" i="30"/>
  <c r="AF32" i="30"/>
  <c r="AE32" i="30"/>
  <c r="AD32" i="30"/>
  <c r="AG31" i="30"/>
  <c r="AF31" i="30"/>
  <c r="AE31" i="30"/>
  <c r="AD31" i="30"/>
  <c r="AG30" i="30"/>
  <c r="AF30" i="30"/>
  <c r="AE30" i="30"/>
  <c r="AD30" i="30"/>
  <c r="AG29" i="30"/>
  <c r="AF29" i="30"/>
  <c r="AE29" i="30"/>
  <c r="AD29" i="30"/>
  <c r="AG28" i="30"/>
  <c r="AF28" i="30"/>
  <c r="AE28" i="30"/>
  <c r="AD28" i="30"/>
  <c r="AG27" i="30"/>
  <c r="AF27" i="30"/>
  <c r="AE27" i="30"/>
  <c r="AD27" i="30"/>
  <c r="AG26" i="30"/>
  <c r="AF26" i="30"/>
  <c r="AE26" i="30"/>
  <c r="AD26" i="30"/>
  <c r="AG25" i="30"/>
  <c r="AF25" i="30"/>
  <c r="AE25" i="30"/>
  <c r="AD25" i="30"/>
  <c r="AG24" i="30"/>
  <c r="AF24" i="30"/>
  <c r="AE24" i="30"/>
  <c r="AD24" i="30"/>
  <c r="AG23" i="30"/>
  <c r="AF23" i="30"/>
  <c r="AE23" i="30"/>
  <c r="AD23" i="30"/>
  <c r="AG22" i="30"/>
  <c r="AF22" i="30"/>
  <c r="AE22" i="30"/>
  <c r="AD22" i="30"/>
  <c r="AG21" i="30"/>
  <c r="AF21" i="30"/>
  <c r="AE21" i="30"/>
  <c r="AD21" i="30"/>
  <c r="AG20" i="30"/>
  <c r="AF20" i="30"/>
  <c r="AE20" i="30"/>
  <c r="AD20" i="30"/>
  <c r="AG19" i="30"/>
  <c r="AF19" i="30"/>
  <c r="AE19" i="30"/>
  <c r="AD19" i="30"/>
  <c r="AG18" i="30"/>
  <c r="AF18" i="30"/>
  <c r="AE18" i="30"/>
  <c r="AD18" i="30"/>
  <c r="AG17" i="30"/>
  <c r="AF17" i="30"/>
  <c r="AE17" i="30"/>
  <c r="AD17" i="30"/>
  <c r="AG16" i="30"/>
  <c r="AF16" i="30"/>
  <c r="AE16" i="30"/>
  <c r="AD16" i="30"/>
  <c r="AG15" i="30"/>
  <c r="AF15" i="30"/>
  <c r="AE15" i="30"/>
  <c r="AD15" i="30"/>
  <c r="AG14" i="30"/>
  <c r="AF14" i="30"/>
  <c r="AE14" i="30"/>
  <c r="AD14" i="30"/>
  <c r="AG13" i="30"/>
  <c r="AF13" i="30"/>
  <c r="AE13" i="30"/>
  <c r="AD13" i="30"/>
  <c r="AG12" i="30"/>
  <c r="AF12" i="30"/>
  <c r="AE12" i="30"/>
  <c r="AD12" i="30"/>
  <c r="AG11" i="30"/>
  <c r="AF11" i="30"/>
  <c r="AE11" i="30"/>
  <c r="AD11" i="30"/>
  <c r="AG10" i="30"/>
  <c r="AF10" i="30"/>
  <c r="AE10" i="30"/>
  <c r="AD10" i="30"/>
  <c r="AG9" i="30"/>
  <c r="AF9" i="30"/>
  <c r="AE9" i="30"/>
  <c r="AD9" i="30"/>
  <c r="AG8" i="30"/>
  <c r="AF8" i="30"/>
  <c r="AE8" i="30"/>
  <c r="AD8" i="30"/>
  <c r="AG7" i="30"/>
  <c r="AF7" i="30"/>
  <c r="AE7" i="30"/>
  <c r="AD7" i="30"/>
  <c r="AG6" i="30"/>
  <c r="AF6" i="30"/>
  <c r="AE6" i="30"/>
  <c r="AD6" i="30"/>
  <c r="AG5" i="30"/>
  <c r="AF5" i="30"/>
  <c r="AE5" i="30"/>
  <c r="AD5" i="30"/>
  <c r="AB147" i="30"/>
  <c r="AA147" i="30"/>
  <c r="Z147" i="30"/>
  <c r="Y147" i="30"/>
  <c r="AB146" i="30"/>
  <c r="AA146" i="30"/>
  <c r="Z146" i="30"/>
  <c r="Y146" i="30"/>
  <c r="AB145" i="30"/>
  <c r="AA145" i="30"/>
  <c r="Z145" i="30"/>
  <c r="Y145" i="30"/>
  <c r="AB144" i="30"/>
  <c r="AA144" i="30"/>
  <c r="Z144" i="30"/>
  <c r="Y144" i="30"/>
  <c r="AB143" i="30"/>
  <c r="AA143" i="30"/>
  <c r="Z143" i="30"/>
  <c r="Y143" i="30"/>
  <c r="AB142" i="30"/>
  <c r="AA142" i="30"/>
  <c r="Z142" i="30"/>
  <c r="Y142" i="30"/>
  <c r="AB141" i="30"/>
  <c r="AA141" i="30"/>
  <c r="Z141" i="30"/>
  <c r="Y141" i="30"/>
  <c r="AB140" i="30"/>
  <c r="AA140" i="30"/>
  <c r="Z140" i="30"/>
  <c r="Y140" i="30"/>
  <c r="AB139" i="30"/>
  <c r="AA139" i="30"/>
  <c r="Z139" i="30"/>
  <c r="Y139" i="30"/>
  <c r="AB138" i="30"/>
  <c r="AA138" i="30"/>
  <c r="Z138" i="30"/>
  <c r="Y138" i="30"/>
  <c r="AB137" i="30"/>
  <c r="AA137" i="30"/>
  <c r="Z137" i="30"/>
  <c r="Y137" i="30"/>
  <c r="AB136" i="30"/>
  <c r="AA136" i="30"/>
  <c r="Z136" i="30"/>
  <c r="Y136" i="30"/>
  <c r="AB135" i="30"/>
  <c r="AA135" i="30"/>
  <c r="Z135" i="30"/>
  <c r="Y135" i="30"/>
  <c r="AB134" i="30"/>
  <c r="AA134" i="30"/>
  <c r="Z134" i="30"/>
  <c r="Y134" i="30"/>
  <c r="AB133" i="30"/>
  <c r="AA133" i="30"/>
  <c r="Z133" i="30"/>
  <c r="Y133" i="30"/>
  <c r="AB132" i="30"/>
  <c r="AA132" i="30"/>
  <c r="Z132" i="30"/>
  <c r="Y132" i="30"/>
  <c r="AB131" i="30"/>
  <c r="AA131" i="30"/>
  <c r="Z131" i="30"/>
  <c r="Y131" i="30"/>
  <c r="AB130" i="30"/>
  <c r="AA130" i="30"/>
  <c r="Z130" i="30"/>
  <c r="Y130" i="30"/>
  <c r="AB129" i="30"/>
  <c r="AA129" i="30"/>
  <c r="Z129" i="30"/>
  <c r="Y129" i="30"/>
  <c r="AB128" i="30"/>
  <c r="AA128" i="30"/>
  <c r="Z128" i="30"/>
  <c r="Y128" i="30"/>
  <c r="AB127" i="30"/>
  <c r="AA127" i="30"/>
  <c r="Z127" i="30"/>
  <c r="Y127" i="30"/>
  <c r="AB126" i="30"/>
  <c r="AA126" i="30"/>
  <c r="Z126" i="30"/>
  <c r="Y126" i="30"/>
  <c r="AB125" i="30"/>
  <c r="AA125" i="30"/>
  <c r="Z125" i="30"/>
  <c r="Y125" i="30"/>
  <c r="AB124" i="30"/>
  <c r="AA124" i="30"/>
  <c r="Z124" i="30"/>
  <c r="Y124" i="30"/>
  <c r="AB123" i="30"/>
  <c r="AA123" i="30"/>
  <c r="Z123" i="30"/>
  <c r="Y123" i="30"/>
  <c r="AB122" i="30"/>
  <c r="AA122" i="30"/>
  <c r="Z122" i="30"/>
  <c r="Y122" i="30"/>
  <c r="AB121" i="30"/>
  <c r="AA121" i="30"/>
  <c r="Z121" i="30"/>
  <c r="Y121" i="30"/>
  <c r="AB120" i="30"/>
  <c r="AA120" i="30"/>
  <c r="Z120" i="30"/>
  <c r="Y120" i="30"/>
  <c r="AB119" i="30"/>
  <c r="AA119" i="30"/>
  <c r="Z119" i="30"/>
  <c r="Y119" i="30"/>
  <c r="AB118" i="30"/>
  <c r="AA118" i="30"/>
  <c r="Z118" i="30"/>
  <c r="Y118" i="30"/>
  <c r="AB117" i="30"/>
  <c r="AA117" i="30"/>
  <c r="Z117" i="30"/>
  <c r="Y117" i="30"/>
  <c r="AB116" i="30"/>
  <c r="AA116" i="30"/>
  <c r="Z116" i="30"/>
  <c r="Y116" i="30"/>
  <c r="AB115" i="30"/>
  <c r="AA115" i="30"/>
  <c r="Z115" i="30"/>
  <c r="Y115" i="30"/>
  <c r="AB114" i="30"/>
  <c r="AA114" i="30"/>
  <c r="Z114" i="30"/>
  <c r="Y114" i="30"/>
  <c r="AB113" i="30"/>
  <c r="AA113" i="30"/>
  <c r="Z113" i="30"/>
  <c r="Y113" i="30"/>
  <c r="AB112" i="30"/>
  <c r="AA112" i="30"/>
  <c r="Z112" i="30"/>
  <c r="Y112" i="30"/>
  <c r="AB111" i="30"/>
  <c r="AA111" i="30"/>
  <c r="Z111" i="30"/>
  <c r="Y111" i="30"/>
  <c r="AB110" i="30"/>
  <c r="AA110" i="30"/>
  <c r="Z110" i="30"/>
  <c r="Y110" i="30"/>
  <c r="AB109" i="30"/>
  <c r="AA109" i="30"/>
  <c r="Z109" i="30"/>
  <c r="Y109" i="30"/>
  <c r="AB108" i="30"/>
  <c r="AA108" i="30"/>
  <c r="Z108" i="30"/>
  <c r="Y108" i="30"/>
  <c r="AB107" i="30"/>
  <c r="AA107" i="30"/>
  <c r="Z107" i="30"/>
  <c r="Y107" i="30"/>
  <c r="AB106" i="30"/>
  <c r="AA106" i="30"/>
  <c r="Z106" i="30"/>
  <c r="Y106" i="30"/>
  <c r="AB105" i="30"/>
  <c r="AA105" i="30"/>
  <c r="Z105" i="30"/>
  <c r="Y105" i="30"/>
  <c r="AB104" i="30"/>
  <c r="AA104" i="30"/>
  <c r="Z104" i="30"/>
  <c r="Y104" i="30"/>
  <c r="AB103" i="30"/>
  <c r="AA103" i="30"/>
  <c r="Z103" i="30"/>
  <c r="Y103" i="30"/>
  <c r="AB102" i="30"/>
  <c r="AA102" i="30"/>
  <c r="Z102" i="30"/>
  <c r="Y102" i="30"/>
  <c r="AB101" i="30"/>
  <c r="AA101" i="30"/>
  <c r="Z101" i="30"/>
  <c r="Y101" i="30"/>
  <c r="AB100" i="30"/>
  <c r="AA100" i="30"/>
  <c r="Z100" i="30"/>
  <c r="Y100" i="30"/>
  <c r="AB99" i="30"/>
  <c r="AA99" i="30"/>
  <c r="Z99" i="30"/>
  <c r="Y99" i="30"/>
  <c r="AB98" i="30"/>
  <c r="AA98" i="30"/>
  <c r="Z98" i="30"/>
  <c r="Y98" i="30"/>
  <c r="AB97" i="30"/>
  <c r="AA97" i="30"/>
  <c r="Z97" i="30"/>
  <c r="Y97" i="30"/>
  <c r="AB96" i="30"/>
  <c r="AA96" i="30"/>
  <c r="Z96" i="30"/>
  <c r="Y96" i="30"/>
  <c r="AB95" i="30"/>
  <c r="AA95" i="30"/>
  <c r="Z95" i="30"/>
  <c r="Y95" i="30"/>
  <c r="AB94" i="30"/>
  <c r="AA94" i="30"/>
  <c r="Z94" i="30"/>
  <c r="Y94" i="30"/>
  <c r="AB93" i="30"/>
  <c r="AA93" i="30"/>
  <c r="Z93" i="30"/>
  <c r="Y93" i="30"/>
  <c r="AB92" i="30"/>
  <c r="AA92" i="30"/>
  <c r="Z92" i="30"/>
  <c r="Y92" i="30"/>
  <c r="AB91" i="30"/>
  <c r="AA91" i="30"/>
  <c r="Z91" i="30"/>
  <c r="Y91" i="30"/>
  <c r="AB90" i="30"/>
  <c r="AA90" i="30"/>
  <c r="Z90" i="30"/>
  <c r="Y90" i="30"/>
  <c r="AB89" i="30"/>
  <c r="AA89" i="30"/>
  <c r="Z89" i="30"/>
  <c r="Y89" i="30"/>
  <c r="AB88" i="30"/>
  <c r="AA88" i="30"/>
  <c r="Z88" i="30"/>
  <c r="Y88" i="30"/>
  <c r="AB87" i="30"/>
  <c r="AA87" i="30"/>
  <c r="Z87" i="30"/>
  <c r="Y87" i="30"/>
  <c r="AB86" i="30"/>
  <c r="AA86" i="30"/>
  <c r="Z86" i="30"/>
  <c r="Y86" i="30"/>
  <c r="AB85" i="30"/>
  <c r="AA85" i="30"/>
  <c r="Z85" i="30"/>
  <c r="Y85" i="30"/>
  <c r="AB84" i="30"/>
  <c r="AA84" i="30"/>
  <c r="Z84" i="30"/>
  <c r="Y84" i="30"/>
  <c r="AB83" i="30"/>
  <c r="AA83" i="30"/>
  <c r="Z83" i="30"/>
  <c r="Y83" i="30"/>
  <c r="AB82" i="30"/>
  <c r="AA82" i="30"/>
  <c r="Z82" i="30"/>
  <c r="Y82" i="30"/>
  <c r="AB81" i="30"/>
  <c r="AA81" i="30"/>
  <c r="Z81" i="30"/>
  <c r="Y81" i="30"/>
  <c r="AB80" i="30"/>
  <c r="AA80" i="30"/>
  <c r="Z80" i="30"/>
  <c r="Y80" i="30"/>
  <c r="AB79" i="30"/>
  <c r="AA79" i="30"/>
  <c r="Z79" i="30"/>
  <c r="Y79" i="30"/>
  <c r="AB78" i="30"/>
  <c r="AA78" i="30"/>
  <c r="Z78" i="30"/>
  <c r="Y78" i="30"/>
  <c r="AB77" i="30"/>
  <c r="AA77" i="30"/>
  <c r="Z77" i="30"/>
  <c r="Y77" i="30"/>
  <c r="AB76" i="30"/>
  <c r="AA76" i="30"/>
  <c r="Z76" i="30"/>
  <c r="Y76" i="30"/>
  <c r="AB75" i="30"/>
  <c r="AA75" i="30"/>
  <c r="Z75" i="30"/>
  <c r="Y75" i="30"/>
  <c r="AB74" i="30"/>
  <c r="AA74" i="30"/>
  <c r="Z74" i="30"/>
  <c r="Y74" i="30"/>
  <c r="AB73" i="30"/>
  <c r="AA73" i="30"/>
  <c r="Z73" i="30"/>
  <c r="Y73" i="30"/>
  <c r="AB72" i="30"/>
  <c r="AA72" i="30"/>
  <c r="Z72" i="30"/>
  <c r="Y72" i="30"/>
  <c r="AB71" i="30"/>
  <c r="AA71" i="30"/>
  <c r="Z71" i="30"/>
  <c r="Y71" i="30"/>
  <c r="AB70" i="30"/>
  <c r="AA70" i="30"/>
  <c r="Z70" i="30"/>
  <c r="Y70" i="30"/>
  <c r="AB69" i="30"/>
  <c r="AA69" i="30"/>
  <c r="Z69" i="30"/>
  <c r="Y69" i="30"/>
  <c r="AB68" i="30"/>
  <c r="AA68" i="30"/>
  <c r="Z68" i="30"/>
  <c r="Y68" i="30"/>
  <c r="AB67" i="30"/>
  <c r="AA67" i="30"/>
  <c r="Z67" i="30"/>
  <c r="Y67" i="30"/>
  <c r="AB66" i="30"/>
  <c r="AA66" i="30"/>
  <c r="Z66" i="30"/>
  <c r="Y66" i="30"/>
  <c r="AB65" i="30"/>
  <c r="AA65" i="30"/>
  <c r="Z65" i="30"/>
  <c r="Y65" i="30"/>
  <c r="AB64" i="30"/>
  <c r="AA64" i="30"/>
  <c r="Z64" i="30"/>
  <c r="Y64" i="30"/>
  <c r="AB63" i="30"/>
  <c r="AA63" i="30"/>
  <c r="Z63" i="30"/>
  <c r="Y63" i="30"/>
  <c r="AB62" i="30"/>
  <c r="AA62" i="30"/>
  <c r="Z62" i="30"/>
  <c r="Y62" i="30"/>
  <c r="AB61" i="30"/>
  <c r="AA61" i="30"/>
  <c r="Z61" i="30"/>
  <c r="Y61" i="30"/>
  <c r="AB60" i="30"/>
  <c r="AA60" i="30"/>
  <c r="Z60" i="30"/>
  <c r="Y60" i="30"/>
  <c r="AB59" i="30"/>
  <c r="AA59" i="30"/>
  <c r="Z59" i="30"/>
  <c r="Y59" i="30"/>
  <c r="AB58" i="30"/>
  <c r="AA58" i="30"/>
  <c r="Z58" i="30"/>
  <c r="Y58" i="30"/>
  <c r="AB57" i="30"/>
  <c r="AA57" i="30"/>
  <c r="Z57" i="30"/>
  <c r="Y57" i="30"/>
  <c r="AB56" i="30"/>
  <c r="AA56" i="30"/>
  <c r="Z56" i="30"/>
  <c r="Y56" i="30"/>
  <c r="AB55" i="30"/>
  <c r="AA55" i="30"/>
  <c r="Z55" i="30"/>
  <c r="Y55" i="30"/>
  <c r="AB54" i="30"/>
  <c r="AA54" i="30"/>
  <c r="Z54" i="30"/>
  <c r="Y54" i="30"/>
  <c r="AB53" i="30"/>
  <c r="AA53" i="30"/>
  <c r="Z53" i="30"/>
  <c r="Y53" i="30"/>
  <c r="AB52" i="30"/>
  <c r="AA52" i="30"/>
  <c r="Z52" i="30"/>
  <c r="Y52" i="30"/>
  <c r="AB51" i="30"/>
  <c r="AA51" i="30"/>
  <c r="Z51" i="30"/>
  <c r="Y51" i="30"/>
  <c r="AB50" i="30"/>
  <c r="AA50" i="30"/>
  <c r="Z50" i="30"/>
  <c r="Y50" i="30"/>
  <c r="AB49" i="30"/>
  <c r="AA49" i="30"/>
  <c r="Z49" i="30"/>
  <c r="Y49" i="30"/>
  <c r="AB48" i="30"/>
  <c r="AA48" i="30"/>
  <c r="Z48" i="30"/>
  <c r="Y48" i="30"/>
  <c r="AB47" i="30"/>
  <c r="AA47" i="30"/>
  <c r="Z47" i="30"/>
  <c r="Y47" i="30"/>
  <c r="AB46" i="30"/>
  <c r="AA46" i="30"/>
  <c r="Z46" i="30"/>
  <c r="Y46" i="30"/>
  <c r="AB45" i="30"/>
  <c r="AA45" i="30"/>
  <c r="Z45" i="30"/>
  <c r="Y45" i="30"/>
  <c r="AB44" i="30"/>
  <c r="AA44" i="30"/>
  <c r="Z44" i="30"/>
  <c r="Y44" i="30"/>
  <c r="AB43" i="30"/>
  <c r="AA43" i="30"/>
  <c r="Z43" i="30"/>
  <c r="Y43" i="30"/>
  <c r="AB42" i="30"/>
  <c r="AA42" i="30"/>
  <c r="Z42" i="30"/>
  <c r="Y42" i="30"/>
  <c r="AB41" i="30"/>
  <c r="AA41" i="30"/>
  <c r="Z41" i="30"/>
  <c r="Y41" i="30"/>
  <c r="AB40" i="30"/>
  <c r="AA40" i="30"/>
  <c r="Z40" i="30"/>
  <c r="Y40" i="30"/>
  <c r="AB39" i="30"/>
  <c r="AA39" i="30"/>
  <c r="Z39" i="30"/>
  <c r="Y39" i="30"/>
  <c r="AB38" i="30"/>
  <c r="AA38" i="30"/>
  <c r="Z38" i="30"/>
  <c r="Y38" i="30"/>
  <c r="AB37" i="30"/>
  <c r="AA37" i="30"/>
  <c r="Z37" i="30"/>
  <c r="Y37" i="30"/>
  <c r="AB36" i="30"/>
  <c r="AA36" i="30"/>
  <c r="Z36" i="30"/>
  <c r="Y36" i="30"/>
  <c r="AB35" i="30"/>
  <c r="AA35" i="30"/>
  <c r="Z35" i="30"/>
  <c r="Y35" i="30"/>
  <c r="AB34" i="30"/>
  <c r="AA34" i="30"/>
  <c r="Z34" i="30"/>
  <c r="Y34" i="30"/>
  <c r="AB33" i="30"/>
  <c r="AA33" i="30"/>
  <c r="Z33" i="30"/>
  <c r="Y33" i="30"/>
  <c r="AB32" i="30"/>
  <c r="AA32" i="30"/>
  <c r="Z32" i="30"/>
  <c r="Y32" i="30"/>
  <c r="AB31" i="30"/>
  <c r="AA31" i="30"/>
  <c r="Z31" i="30"/>
  <c r="Y31" i="30"/>
  <c r="AB30" i="30"/>
  <c r="AA30" i="30"/>
  <c r="Z30" i="30"/>
  <c r="Y30" i="30"/>
  <c r="AB29" i="30"/>
  <c r="AA29" i="30"/>
  <c r="Z29" i="30"/>
  <c r="Y29" i="30"/>
  <c r="AB28" i="30"/>
  <c r="AA28" i="30"/>
  <c r="Z28" i="30"/>
  <c r="Y28" i="30"/>
  <c r="AB27" i="30"/>
  <c r="AA27" i="30"/>
  <c r="Z27" i="30"/>
  <c r="Y27" i="30"/>
  <c r="AB26" i="30"/>
  <c r="AA26" i="30"/>
  <c r="Z26" i="30"/>
  <c r="Y26" i="30"/>
  <c r="AB25" i="30"/>
  <c r="AA25" i="30"/>
  <c r="Z25" i="30"/>
  <c r="Y25" i="30"/>
  <c r="AB24" i="30"/>
  <c r="AA24" i="30"/>
  <c r="Z24" i="30"/>
  <c r="Y24" i="30"/>
  <c r="AB23" i="30"/>
  <c r="AA23" i="30"/>
  <c r="Z23" i="30"/>
  <c r="Y23" i="30"/>
  <c r="AB22" i="30"/>
  <c r="AA22" i="30"/>
  <c r="Z22" i="30"/>
  <c r="Y22" i="30"/>
  <c r="AB21" i="30"/>
  <c r="AA21" i="30"/>
  <c r="Z21" i="30"/>
  <c r="Y21" i="30"/>
  <c r="AB20" i="30"/>
  <c r="AA20" i="30"/>
  <c r="Z20" i="30"/>
  <c r="Y20" i="30"/>
  <c r="AB19" i="30"/>
  <c r="AA19" i="30"/>
  <c r="Z19" i="30"/>
  <c r="Y19" i="30"/>
  <c r="AB18" i="30"/>
  <c r="AA18" i="30"/>
  <c r="Z18" i="30"/>
  <c r="Y18" i="30"/>
  <c r="AB17" i="30"/>
  <c r="AA17" i="30"/>
  <c r="Z17" i="30"/>
  <c r="Y17" i="30"/>
  <c r="AB16" i="30"/>
  <c r="AA16" i="30"/>
  <c r="Z16" i="30"/>
  <c r="Y16" i="30"/>
  <c r="AB15" i="30"/>
  <c r="AA15" i="30"/>
  <c r="Z15" i="30"/>
  <c r="Y15" i="30"/>
  <c r="AB14" i="30"/>
  <c r="AA14" i="30"/>
  <c r="Z14" i="30"/>
  <c r="Y14" i="30"/>
  <c r="AB13" i="30"/>
  <c r="AA13" i="30"/>
  <c r="Z13" i="30"/>
  <c r="Y13" i="30"/>
  <c r="AB12" i="30"/>
  <c r="AA12" i="30"/>
  <c r="Z12" i="30"/>
  <c r="Y12" i="30"/>
  <c r="AB11" i="30"/>
  <c r="AA11" i="30"/>
  <c r="Z11" i="30"/>
  <c r="Y11" i="30"/>
  <c r="AB10" i="30"/>
  <c r="AA10" i="30"/>
  <c r="Z10" i="30"/>
  <c r="Y10" i="30"/>
  <c r="AB9" i="30"/>
  <c r="AA9" i="30"/>
  <c r="Z9" i="30"/>
  <c r="Y9" i="30"/>
  <c r="AB8" i="30"/>
  <c r="AA8" i="30"/>
  <c r="Z8" i="30"/>
  <c r="Y8" i="30"/>
  <c r="AB7" i="30"/>
  <c r="AA7" i="30"/>
  <c r="Z7" i="30"/>
  <c r="Y7" i="30"/>
  <c r="AB6" i="30"/>
  <c r="AA6" i="30"/>
  <c r="Z6" i="30"/>
  <c r="Y6" i="30"/>
  <c r="AB5" i="30"/>
  <c r="AA5" i="30"/>
  <c r="Z5" i="30"/>
  <c r="Y5" i="30"/>
  <c r="W147" i="30"/>
  <c r="V147" i="30"/>
  <c r="U147" i="30"/>
  <c r="T147" i="30"/>
  <c r="W146" i="30"/>
  <c r="V146" i="30"/>
  <c r="U146" i="30"/>
  <c r="T146" i="30"/>
  <c r="W145" i="30"/>
  <c r="V145" i="30"/>
  <c r="U145" i="30"/>
  <c r="T145" i="30"/>
  <c r="W144" i="30"/>
  <c r="V144" i="30"/>
  <c r="U144" i="30"/>
  <c r="T144" i="30"/>
  <c r="W143" i="30"/>
  <c r="V143" i="30"/>
  <c r="U143" i="30"/>
  <c r="T143" i="30"/>
  <c r="W142" i="30"/>
  <c r="V142" i="30"/>
  <c r="U142" i="30"/>
  <c r="T142" i="30"/>
  <c r="W141" i="30"/>
  <c r="V141" i="30"/>
  <c r="U141" i="30"/>
  <c r="T141" i="30"/>
  <c r="W140" i="30"/>
  <c r="V140" i="30"/>
  <c r="U140" i="30"/>
  <c r="T140" i="30"/>
  <c r="W139" i="30"/>
  <c r="V139" i="30"/>
  <c r="U139" i="30"/>
  <c r="T139" i="30"/>
  <c r="W138" i="30"/>
  <c r="V138" i="30"/>
  <c r="U138" i="30"/>
  <c r="T138" i="30"/>
  <c r="W137" i="30"/>
  <c r="V137" i="30"/>
  <c r="U137" i="30"/>
  <c r="T137" i="30"/>
  <c r="W136" i="30"/>
  <c r="V136" i="30"/>
  <c r="U136" i="30"/>
  <c r="T136" i="30"/>
  <c r="W135" i="30"/>
  <c r="V135" i="30"/>
  <c r="U135" i="30"/>
  <c r="T135" i="30"/>
  <c r="W134" i="30"/>
  <c r="V134" i="30"/>
  <c r="U134" i="30"/>
  <c r="T134" i="30"/>
  <c r="W133" i="30"/>
  <c r="V133" i="30"/>
  <c r="U133" i="30"/>
  <c r="T133" i="30"/>
  <c r="W132" i="30"/>
  <c r="V132" i="30"/>
  <c r="U132" i="30"/>
  <c r="T132" i="30"/>
  <c r="W131" i="30"/>
  <c r="V131" i="30"/>
  <c r="U131" i="30"/>
  <c r="T131" i="30"/>
  <c r="W130" i="30"/>
  <c r="V130" i="30"/>
  <c r="U130" i="30"/>
  <c r="T130" i="30"/>
  <c r="W129" i="30"/>
  <c r="V129" i="30"/>
  <c r="U129" i="30"/>
  <c r="T129" i="30"/>
  <c r="W128" i="30"/>
  <c r="V128" i="30"/>
  <c r="U128" i="30"/>
  <c r="T128" i="30"/>
  <c r="W127" i="30"/>
  <c r="V127" i="30"/>
  <c r="U127" i="30"/>
  <c r="T127" i="30"/>
  <c r="W126" i="30"/>
  <c r="V126" i="30"/>
  <c r="U126" i="30"/>
  <c r="T126" i="30"/>
  <c r="W125" i="30"/>
  <c r="V125" i="30"/>
  <c r="U125" i="30"/>
  <c r="T125" i="30"/>
  <c r="W124" i="30"/>
  <c r="V124" i="30"/>
  <c r="U124" i="30"/>
  <c r="T124" i="30"/>
  <c r="W123" i="30"/>
  <c r="V123" i="30"/>
  <c r="U123" i="30"/>
  <c r="T123" i="30"/>
  <c r="W122" i="30"/>
  <c r="V122" i="30"/>
  <c r="U122" i="30"/>
  <c r="T122" i="30"/>
  <c r="W121" i="30"/>
  <c r="V121" i="30"/>
  <c r="U121" i="30"/>
  <c r="T121" i="30"/>
  <c r="W120" i="30"/>
  <c r="V120" i="30"/>
  <c r="U120" i="30"/>
  <c r="T120" i="30"/>
  <c r="W119" i="30"/>
  <c r="V119" i="30"/>
  <c r="U119" i="30"/>
  <c r="T119" i="30"/>
  <c r="W118" i="30"/>
  <c r="V118" i="30"/>
  <c r="U118" i="30"/>
  <c r="T118" i="30"/>
  <c r="W117" i="30"/>
  <c r="V117" i="30"/>
  <c r="U117" i="30"/>
  <c r="T117" i="30"/>
  <c r="W116" i="30"/>
  <c r="V116" i="30"/>
  <c r="U116" i="30"/>
  <c r="T116" i="30"/>
  <c r="W115" i="30"/>
  <c r="V115" i="30"/>
  <c r="U115" i="30"/>
  <c r="T115" i="30"/>
  <c r="W114" i="30"/>
  <c r="V114" i="30"/>
  <c r="U114" i="30"/>
  <c r="T114" i="30"/>
  <c r="W113" i="30"/>
  <c r="V113" i="30"/>
  <c r="U113" i="30"/>
  <c r="T113" i="30"/>
  <c r="W112" i="30"/>
  <c r="V112" i="30"/>
  <c r="U112" i="30"/>
  <c r="T112" i="30"/>
  <c r="W111" i="30"/>
  <c r="V111" i="30"/>
  <c r="U111" i="30"/>
  <c r="T111" i="30"/>
  <c r="W110" i="30"/>
  <c r="V110" i="30"/>
  <c r="U110" i="30"/>
  <c r="T110" i="30"/>
  <c r="W109" i="30"/>
  <c r="V109" i="30"/>
  <c r="U109" i="30"/>
  <c r="T109" i="30"/>
  <c r="W108" i="30"/>
  <c r="V108" i="30"/>
  <c r="U108" i="30"/>
  <c r="T108" i="30"/>
  <c r="W107" i="30"/>
  <c r="V107" i="30"/>
  <c r="U107" i="30"/>
  <c r="T107" i="30"/>
  <c r="W106" i="30"/>
  <c r="V106" i="30"/>
  <c r="U106" i="30"/>
  <c r="T106" i="30"/>
  <c r="W105" i="30"/>
  <c r="V105" i="30"/>
  <c r="U105" i="30"/>
  <c r="T105" i="30"/>
  <c r="W104" i="30"/>
  <c r="V104" i="30"/>
  <c r="U104" i="30"/>
  <c r="T104" i="30"/>
  <c r="W103" i="30"/>
  <c r="V103" i="30"/>
  <c r="U103" i="30"/>
  <c r="T103" i="30"/>
  <c r="W102" i="30"/>
  <c r="V102" i="30"/>
  <c r="U102" i="30"/>
  <c r="T102" i="30"/>
  <c r="W101" i="30"/>
  <c r="V101" i="30"/>
  <c r="U101" i="30"/>
  <c r="T101" i="30"/>
  <c r="W100" i="30"/>
  <c r="V100" i="30"/>
  <c r="U100" i="30"/>
  <c r="T100" i="30"/>
  <c r="W99" i="30"/>
  <c r="V99" i="30"/>
  <c r="U99" i="30"/>
  <c r="T99" i="30"/>
  <c r="W98" i="30"/>
  <c r="V98" i="30"/>
  <c r="U98" i="30"/>
  <c r="T98" i="30"/>
  <c r="W97" i="30"/>
  <c r="V97" i="30"/>
  <c r="U97" i="30"/>
  <c r="T97" i="30"/>
  <c r="W96" i="30"/>
  <c r="V96" i="30"/>
  <c r="U96" i="30"/>
  <c r="T96" i="30"/>
  <c r="W95" i="30"/>
  <c r="V95" i="30"/>
  <c r="U95" i="30"/>
  <c r="T95" i="30"/>
  <c r="W94" i="30"/>
  <c r="V94" i="30"/>
  <c r="U94" i="30"/>
  <c r="T94" i="30"/>
  <c r="W93" i="30"/>
  <c r="V93" i="30"/>
  <c r="U93" i="30"/>
  <c r="T93" i="30"/>
  <c r="W92" i="30"/>
  <c r="V92" i="30"/>
  <c r="U92" i="30"/>
  <c r="T92" i="30"/>
  <c r="W91" i="30"/>
  <c r="V91" i="30"/>
  <c r="U91" i="30"/>
  <c r="T91" i="30"/>
  <c r="W90" i="30"/>
  <c r="V90" i="30"/>
  <c r="U90" i="30"/>
  <c r="T90" i="30"/>
  <c r="W89" i="30"/>
  <c r="V89" i="30"/>
  <c r="U89" i="30"/>
  <c r="T89" i="30"/>
  <c r="W88" i="30"/>
  <c r="V88" i="30"/>
  <c r="U88" i="30"/>
  <c r="T88" i="30"/>
  <c r="W87" i="30"/>
  <c r="V87" i="30"/>
  <c r="U87" i="30"/>
  <c r="T87" i="30"/>
  <c r="W86" i="30"/>
  <c r="V86" i="30"/>
  <c r="U86" i="30"/>
  <c r="T86" i="30"/>
  <c r="W85" i="30"/>
  <c r="V85" i="30"/>
  <c r="U85" i="30"/>
  <c r="T85" i="30"/>
  <c r="W84" i="30"/>
  <c r="V84" i="30"/>
  <c r="U84" i="30"/>
  <c r="T84" i="30"/>
  <c r="W83" i="30"/>
  <c r="V83" i="30"/>
  <c r="U83" i="30"/>
  <c r="T83" i="30"/>
  <c r="W82" i="30"/>
  <c r="V82" i="30"/>
  <c r="U82" i="30"/>
  <c r="T82" i="30"/>
  <c r="W81" i="30"/>
  <c r="V81" i="30"/>
  <c r="U81" i="30"/>
  <c r="T81" i="30"/>
  <c r="W80" i="30"/>
  <c r="V80" i="30"/>
  <c r="U80" i="30"/>
  <c r="T80" i="30"/>
  <c r="W79" i="30"/>
  <c r="V79" i="30"/>
  <c r="U79" i="30"/>
  <c r="T79" i="30"/>
  <c r="W78" i="30"/>
  <c r="V78" i="30"/>
  <c r="U78" i="30"/>
  <c r="T78" i="30"/>
  <c r="W77" i="30"/>
  <c r="V77" i="30"/>
  <c r="U77" i="30"/>
  <c r="T77" i="30"/>
  <c r="W76" i="30"/>
  <c r="V76" i="30"/>
  <c r="U76" i="30"/>
  <c r="T76" i="30"/>
  <c r="W75" i="30"/>
  <c r="V75" i="30"/>
  <c r="U75" i="30"/>
  <c r="T75" i="30"/>
  <c r="W74" i="30"/>
  <c r="V74" i="30"/>
  <c r="U74" i="30"/>
  <c r="T74" i="30"/>
  <c r="W73" i="30"/>
  <c r="V73" i="30"/>
  <c r="U73" i="30"/>
  <c r="T73" i="30"/>
  <c r="W72" i="30"/>
  <c r="V72" i="30"/>
  <c r="U72" i="30"/>
  <c r="T72" i="30"/>
  <c r="W71" i="30"/>
  <c r="V71" i="30"/>
  <c r="U71" i="30"/>
  <c r="T71" i="30"/>
  <c r="W70" i="30"/>
  <c r="V70" i="30"/>
  <c r="U70" i="30"/>
  <c r="T70" i="30"/>
  <c r="W69" i="30"/>
  <c r="V69" i="30"/>
  <c r="U69" i="30"/>
  <c r="T69" i="30"/>
  <c r="W68" i="30"/>
  <c r="V68" i="30"/>
  <c r="U68" i="30"/>
  <c r="T68" i="30"/>
  <c r="W67" i="30"/>
  <c r="V67" i="30"/>
  <c r="U67" i="30"/>
  <c r="T67" i="30"/>
  <c r="W66" i="30"/>
  <c r="V66" i="30"/>
  <c r="U66" i="30"/>
  <c r="T66" i="30"/>
  <c r="W65" i="30"/>
  <c r="V65" i="30"/>
  <c r="U65" i="30"/>
  <c r="T65" i="30"/>
  <c r="W64" i="30"/>
  <c r="V64" i="30"/>
  <c r="U64" i="30"/>
  <c r="T64" i="30"/>
  <c r="W63" i="30"/>
  <c r="V63" i="30"/>
  <c r="U63" i="30"/>
  <c r="T63" i="30"/>
  <c r="W62" i="30"/>
  <c r="V62" i="30"/>
  <c r="U62" i="30"/>
  <c r="T62" i="30"/>
  <c r="W61" i="30"/>
  <c r="V61" i="30"/>
  <c r="U61" i="30"/>
  <c r="T61" i="30"/>
  <c r="W60" i="30"/>
  <c r="V60" i="30"/>
  <c r="U60" i="30"/>
  <c r="T60" i="30"/>
  <c r="W59" i="30"/>
  <c r="V59" i="30"/>
  <c r="U59" i="30"/>
  <c r="T59" i="30"/>
  <c r="W58" i="30"/>
  <c r="V58" i="30"/>
  <c r="U58" i="30"/>
  <c r="T58" i="30"/>
  <c r="W57" i="30"/>
  <c r="V57" i="30"/>
  <c r="U57" i="30"/>
  <c r="T57" i="30"/>
  <c r="W56" i="30"/>
  <c r="V56" i="30"/>
  <c r="U56" i="30"/>
  <c r="T56" i="30"/>
  <c r="W55" i="30"/>
  <c r="V55" i="30"/>
  <c r="U55" i="30"/>
  <c r="T55" i="30"/>
  <c r="W54" i="30"/>
  <c r="V54" i="30"/>
  <c r="U54" i="30"/>
  <c r="T54" i="30"/>
  <c r="W53" i="30"/>
  <c r="V53" i="30"/>
  <c r="U53" i="30"/>
  <c r="T53" i="30"/>
  <c r="W52" i="30"/>
  <c r="V52" i="30"/>
  <c r="U52" i="30"/>
  <c r="T52" i="30"/>
  <c r="W51" i="30"/>
  <c r="V51" i="30"/>
  <c r="U51" i="30"/>
  <c r="T51" i="30"/>
  <c r="W50" i="30"/>
  <c r="V50" i="30"/>
  <c r="U50" i="30"/>
  <c r="T50" i="30"/>
  <c r="W49" i="30"/>
  <c r="V49" i="30"/>
  <c r="U49" i="30"/>
  <c r="T49" i="30"/>
  <c r="W48" i="30"/>
  <c r="V48" i="30"/>
  <c r="U48" i="30"/>
  <c r="T48" i="30"/>
  <c r="W47" i="30"/>
  <c r="V47" i="30"/>
  <c r="U47" i="30"/>
  <c r="T47" i="30"/>
  <c r="W46" i="30"/>
  <c r="V46" i="30"/>
  <c r="U46" i="30"/>
  <c r="T46" i="30"/>
  <c r="W45" i="30"/>
  <c r="V45" i="30"/>
  <c r="U45" i="30"/>
  <c r="T45" i="30"/>
  <c r="W44" i="30"/>
  <c r="V44" i="30"/>
  <c r="U44" i="30"/>
  <c r="T44" i="30"/>
  <c r="W43" i="30"/>
  <c r="V43" i="30"/>
  <c r="U43" i="30"/>
  <c r="T43" i="30"/>
  <c r="W42" i="30"/>
  <c r="V42" i="30"/>
  <c r="U42" i="30"/>
  <c r="T42" i="30"/>
  <c r="W41" i="30"/>
  <c r="V41" i="30"/>
  <c r="U41" i="30"/>
  <c r="T41" i="30"/>
  <c r="W40" i="30"/>
  <c r="V40" i="30"/>
  <c r="U40" i="30"/>
  <c r="T40" i="30"/>
  <c r="W39" i="30"/>
  <c r="V39" i="30"/>
  <c r="U39" i="30"/>
  <c r="T39" i="30"/>
  <c r="W38" i="30"/>
  <c r="V38" i="30"/>
  <c r="U38" i="30"/>
  <c r="T38" i="30"/>
  <c r="W37" i="30"/>
  <c r="V37" i="30"/>
  <c r="U37" i="30"/>
  <c r="T37" i="30"/>
  <c r="W36" i="30"/>
  <c r="V36" i="30"/>
  <c r="U36" i="30"/>
  <c r="T36" i="30"/>
  <c r="W35" i="30"/>
  <c r="V35" i="30"/>
  <c r="U35" i="30"/>
  <c r="T35" i="30"/>
  <c r="W34" i="30"/>
  <c r="V34" i="30"/>
  <c r="U34" i="30"/>
  <c r="T34" i="30"/>
  <c r="W33" i="30"/>
  <c r="V33" i="30"/>
  <c r="U33" i="30"/>
  <c r="T33" i="30"/>
  <c r="W32" i="30"/>
  <c r="V32" i="30"/>
  <c r="U32" i="30"/>
  <c r="T32" i="30"/>
  <c r="W31" i="30"/>
  <c r="V31" i="30"/>
  <c r="U31" i="30"/>
  <c r="T31" i="30"/>
  <c r="W30" i="30"/>
  <c r="V30" i="30"/>
  <c r="U30" i="30"/>
  <c r="T30" i="30"/>
  <c r="W29" i="30"/>
  <c r="V29" i="30"/>
  <c r="U29" i="30"/>
  <c r="T29" i="30"/>
  <c r="W28" i="30"/>
  <c r="V28" i="30"/>
  <c r="U28" i="30"/>
  <c r="T28" i="30"/>
  <c r="W27" i="30"/>
  <c r="V27" i="30"/>
  <c r="U27" i="30"/>
  <c r="T27" i="30"/>
  <c r="W26" i="30"/>
  <c r="V26" i="30"/>
  <c r="U26" i="30"/>
  <c r="T26" i="30"/>
  <c r="W25" i="30"/>
  <c r="V25" i="30"/>
  <c r="U25" i="30"/>
  <c r="T25" i="30"/>
  <c r="W24" i="30"/>
  <c r="V24" i="30"/>
  <c r="U24" i="30"/>
  <c r="T24" i="30"/>
  <c r="W23" i="30"/>
  <c r="V23" i="30"/>
  <c r="U23" i="30"/>
  <c r="T23" i="30"/>
  <c r="W22" i="30"/>
  <c r="V22" i="30"/>
  <c r="U22" i="30"/>
  <c r="T22" i="30"/>
  <c r="W21" i="30"/>
  <c r="V21" i="30"/>
  <c r="U21" i="30"/>
  <c r="T21" i="30"/>
  <c r="W20" i="30"/>
  <c r="V20" i="30"/>
  <c r="U20" i="30"/>
  <c r="T20" i="30"/>
  <c r="W19" i="30"/>
  <c r="V19" i="30"/>
  <c r="U19" i="30"/>
  <c r="T19" i="30"/>
  <c r="W18" i="30"/>
  <c r="V18" i="30"/>
  <c r="U18" i="30"/>
  <c r="T18" i="30"/>
  <c r="W17" i="30"/>
  <c r="V17" i="30"/>
  <c r="U17" i="30"/>
  <c r="T17" i="30"/>
  <c r="W16" i="30"/>
  <c r="V16" i="30"/>
  <c r="U16" i="30"/>
  <c r="T16" i="30"/>
  <c r="W15" i="30"/>
  <c r="V15" i="30"/>
  <c r="U15" i="30"/>
  <c r="T15" i="30"/>
  <c r="W14" i="30"/>
  <c r="V14" i="30"/>
  <c r="U14" i="30"/>
  <c r="T14" i="30"/>
  <c r="W13" i="30"/>
  <c r="V13" i="30"/>
  <c r="U13" i="30"/>
  <c r="T13" i="30"/>
  <c r="W12" i="30"/>
  <c r="V12" i="30"/>
  <c r="U12" i="30"/>
  <c r="T12" i="30"/>
  <c r="W11" i="30"/>
  <c r="V11" i="30"/>
  <c r="U11" i="30"/>
  <c r="T11" i="30"/>
  <c r="W10" i="30"/>
  <c r="V10" i="30"/>
  <c r="U10" i="30"/>
  <c r="T10" i="30"/>
  <c r="W9" i="30"/>
  <c r="V9" i="30"/>
  <c r="U9" i="30"/>
  <c r="T9" i="30"/>
  <c r="W8" i="30"/>
  <c r="V8" i="30"/>
  <c r="U8" i="30"/>
  <c r="T8" i="30"/>
  <c r="W7" i="30"/>
  <c r="V7" i="30"/>
  <c r="U7" i="30"/>
  <c r="T7" i="30"/>
  <c r="W6" i="30"/>
  <c r="V6" i="30"/>
  <c r="U6" i="30"/>
  <c r="T6" i="30"/>
  <c r="W5" i="30"/>
  <c r="V5" i="30"/>
  <c r="U5" i="30"/>
  <c r="T5" i="30"/>
  <c r="R147" i="30"/>
  <c r="Q147" i="30"/>
  <c r="P147" i="30"/>
  <c r="O147" i="30"/>
  <c r="R146" i="30"/>
  <c r="Q146" i="30"/>
  <c r="P146" i="30"/>
  <c r="O146" i="30"/>
  <c r="R145" i="30"/>
  <c r="Q145" i="30"/>
  <c r="P145" i="30"/>
  <c r="O145" i="30"/>
  <c r="R144" i="30"/>
  <c r="Q144" i="30"/>
  <c r="P144" i="30"/>
  <c r="O144" i="30"/>
  <c r="R143" i="30"/>
  <c r="Q143" i="30"/>
  <c r="P143" i="30"/>
  <c r="O143" i="30"/>
  <c r="R142" i="30"/>
  <c r="Q142" i="30"/>
  <c r="P142" i="30"/>
  <c r="O142" i="30"/>
  <c r="R141" i="30"/>
  <c r="Q141" i="30"/>
  <c r="P141" i="30"/>
  <c r="O141" i="30"/>
  <c r="R140" i="30"/>
  <c r="Q140" i="30"/>
  <c r="P140" i="30"/>
  <c r="O140" i="30"/>
  <c r="R139" i="30"/>
  <c r="Q139" i="30"/>
  <c r="P139" i="30"/>
  <c r="O139" i="30"/>
  <c r="R138" i="30"/>
  <c r="Q138" i="30"/>
  <c r="P138" i="30"/>
  <c r="O138" i="30"/>
  <c r="R137" i="30"/>
  <c r="Q137" i="30"/>
  <c r="P137" i="30"/>
  <c r="O137" i="30"/>
  <c r="R136" i="30"/>
  <c r="Q136" i="30"/>
  <c r="P136" i="30"/>
  <c r="O136" i="30"/>
  <c r="R135" i="30"/>
  <c r="Q135" i="30"/>
  <c r="P135" i="30"/>
  <c r="O135" i="30"/>
  <c r="R134" i="30"/>
  <c r="Q134" i="30"/>
  <c r="P134" i="30"/>
  <c r="O134" i="30"/>
  <c r="R133" i="30"/>
  <c r="Q133" i="30"/>
  <c r="P133" i="30"/>
  <c r="O133" i="30"/>
  <c r="R132" i="30"/>
  <c r="Q132" i="30"/>
  <c r="P132" i="30"/>
  <c r="O132" i="30"/>
  <c r="R131" i="30"/>
  <c r="Q131" i="30"/>
  <c r="P131" i="30"/>
  <c r="O131" i="30"/>
  <c r="R130" i="30"/>
  <c r="Q130" i="30"/>
  <c r="P130" i="30"/>
  <c r="O130" i="30"/>
  <c r="R129" i="30"/>
  <c r="Q129" i="30"/>
  <c r="P129" i="30"/>
  <c r="O129" i="30"/>
  <c r="R128" i="30"/>
  <c r="Q128" i="30"/>
  <c r="P128" i="30"/>
  <c r="O128" i="30"/>
  <c r="R127" i="30"/>
  <c r="Q127" i="30"/>
  <c r="P127" i="30"/>
  <c r="O127" i="30"/>
  <c r="R126" i="30"/>
  <c r="Q126" i="30"/>
  <c r="P126" i="30"/>
  <c r="O126" i="30"/>
  <c r="R125" i="30"/>
  <c r="Q125" i="30"/>
  <c r="P125" i="30"/>
  <c r="O125" i="30"/>
  <c r="R124" i="30"/>
  <c r="Q124" i="30"/>
  <c r="P124" i="30"/>
  <c r="O124" i="30"/>
  <c r="R123" i="30"/>
  <c r="Q123" i="30"/>
  <c r="P123" i="30"/>
  <c r="O123" i="30"/>
  <c r="R122" i="30"/>
  <c r="Q122" i="30"/>
  <c r="P122" i="30"/>
  <c r="O122" i="30"/>
  <c r="R121" i="30"/>
  <c r="Q121" i="30"/>
  <c r="P121" i="30"/>
  <c r="O121" i="30"/>
  <c r="R120" i="30"/>
  <c r="Q120" i="30"/>
  <c r="P120" i="30"/>
  <c r="O120" i="30"/>
  <c r="R119" i="30"/>
  <c r="Q119" i="30"/>
  <c r="P119" i="30"/>
  <c r="O119" i="30"/>
  <c r="R118" i="30"/>
  <c r="Q118" i="30"/>
  <c r="P118" i="30"/>
  <c r="O118" i="30"/>
  <c r="R117" i="30"/>
  <c r="Q117" i="30"/>
  <c r="P117" i="30"/>
  <c r="O117" i="30"/>
  <c r="R116" i="30"/>
  <c r="Q116" i="30"/>
  <c r="P116" i="30"/>
  <c r="O116" i="30"/>
  <c r="R115" i="30"/>
  <c r="Q115" i="30"/>
  <c r="P115" i="30"/>
  <c r="O115" i="30"/>
  <c r="R114" i="30"/>
  <c r="Q114" i="30"/>
  <c r="P114" i="30"/>
  <c r="O114" i="30"/>
  <c r="R113" i="30"/>
  <c r="Q113" i="30"/>
  <c r="P113" i="30"/>
  <c r="O113" i="30"/>
  <c r="R112" i="30"/>
  <c r="Q112" i="30"/>
  <c r="P112" i="30"/>
  <c r="O112" i="30"/>
  <c r="R111" i="30"/>
  <c r="Q111" i="30"/>
  <c r="P111" i="30"/>
  <c r="O111" i="30"/>
  <c r="R110" i="30"/>
  <c r="Q110" i="30"/>
  <c r="P110" i="30"/>
  <c r="O110" i="30"/>
  <c r="R109" i="30"/>
  <c r="Q109" i="30"/>
  <c r="P109" i="30"/>
  <c r="O109" i="30"/>
  <c r="R108" i="30"/>
  <c r="Q108" i="30"/>
  <c r="P108" i="30"/>
  <c r="O108" i="30"/>
  <c r="R107" i="30"/>
  <c r="Q107" i="30"/>
  <c r="P107" i="30"/>
  <c r="O107" i="30"/>
  <c r="R106" i="30"/>
  <c r="Q106" i="30"/>
  <c r="P106" i="30"/>
  <c r="O106" i="30"/>
  <c r="R105" i="30"/>
  <c r="Q105" i="30"/>
  <c r="P105" i="30"/>
  <c r="O105" i="30"/>
  <c r="R104" i="30"/>
  <c r="Q104" i="30"/>
  <c r="P104" i="30"/>
  <c r="O104" i="30"/>
  <c r="R103" i="30"/>
  <c r="Q103" i="30"/>
  <c r="P103" i="30"/>
  <c r="O103" i="30"/>
  <c r="R102" i="30"/>
  <c r="Q102" i="30"/>
  <c r="P102" i="30"/>
  <c r="O102" i="30"/>
  <c r="R101" i="30"/>
  <c r="Q101" i="30"/>
  <c r="P101" i="30"/>
  <c r="O101" i="30"/>
  <c r="R100" i="30"/>
  <c r="Q100" i="30"/>
  <c r="P100" i="30"/>
  <c r="O100" i="30"/>
  <c r="R99" i="30"/>
  <c r="Q99" i="30"/>
  <c r="P99" i="30"/>
  <c r="O99" i="30"/>
  <c r="R98" i="30"/>
  <c r="Q98" i="30"/>
  <c r="P98" i="30"/>
  <c r="O98" i="30"/>
  <c r="R97" i="30"/>
  <c r="Q97" i="30"/>
  <c r="P97" i="30"/>
  <c r="O97" i="30"/>
  <c r="R96" i="30"/>
  <c r="Q96" i="30"/>
  <c r="P96" i="30"/>
  <c r="O96" i="30"/>
  <c r="R95" i="30"/>
  <c r="Q95" i="30"/>
  <c r="P95" i="30"/>
  <c r="O95" i="30"/>
  <c r="R94" i="30"/>
  <c r="Q94" i="30"/>
  <c r="P94" i="30"/>
  <c r="O94" i="30"/>
  <c r="R93" i="30"/>
  <c r="Q93" i="30"/>
  <c r="P93" i="30"/>
  <c r="O93" i="30"/>
  <c r="R92" i="30"/>
  <c r="Q92" i="30"/>
  <c r="P92" i="30"/>
  <c r="O92" i="30"/>
  <c r="R91" i="30"/>
  <c r="Q91" i="30"/>
  <c r="P91" i="30"/>
  <c r="O91" i="30"/>
  <c r="R90" i="30"/>
  <c r="Q90" i="30"/>
  <c r="P90" i="30"/>
  <c r="O90" i="30"/>
  <c r="R89" i="30"/>
  <c r="Q89" i="30"/>
  <c r="P89" i="30"/>
  <c r="O89" i="30"/>
  <c r="R88" i="30"/>
  <c r="Q88" i="30"/>
  <c r="P88" i="30"/>
  <c r="O88" i="30"/>
  <c r="R87" i="30"/>
  <c r="Q87" i="30"/>
  <c r="P87" i="30"/>
  <c r="O87" i="30"/>
  <c r="R86" i="30"/>
  <c r="Q86" i="30"/>
  <c r="P86" i="30"/>
  <c r="O86" i="30"/>
  <c r="R85" i="30"/>
  <c r="Q85" i="30"/>
  <c r="P85" i="30"/>
  <c r="O85" i="30"/>
  <c r="R84" i="30"/>
  <c r="Q84" i="30"/>
  <c r="P84" i="30"/>
  <c r="O84" i="30"/>
  <c r="R83" i="30"/>
  <c r="Q83" i="30"/>
  <c r="P83" i="30"/>
  <c r="O83" i="30"/>
  <c r="R82" i="30"/>
  <c r="Q82" i="30"/>
  <c r="P82" i="30"/>
  <c r="O82" i="30"/>
  <c r="R81" i="30"/>
  <c r="Q81" i="30"/>
  <c r="P81" i="30"/>
  <c r="O81" i="30"/>
  <c r="R80" i="30"/>
  <c r="Q80" i="30"/>
  <c r="P80" i="30"/>
  <c r="O80" i="30"/>
  <c r="R79" i="30"/>
  <c r="Q79" i="30"/>
  <c r="P79" i="30"/>
  <c r="O79" i="30"/>
  <c r="R78" i="30"/>
  <c r="Q78" i="30"/>
  <c r="P78" i="30"/>
  <c r="O78" i="30"/>
  <c r="R77" i="30"/>
  <c r="Q77" i="30"/>
  <c r="P77" i="30"/>
  <c r="O77" i="30"/>
  <c r="R76" i="30"/>
  <c r="Q76" i="30"/>
  <c r="P76" i="30"/>
  <c r="O76" i="30"/>
  <c r="R75" i="30"/>
  <c r="Q75" i="30"/>
  <c r="P75" i="30"/>
  <c r="O75" i="30"/>
  <c r="R74" i="30"/>
  <c r="Q74" i="30"/>
  <c r="P74" i="30"/>
  <c r="O74" i="30"/>
  <c r="R73" i="30"/>
  <c r="Q73" i="30"/>
  <c r="P73" i="30"/>
  <c r="O73" i="30"/>
  <c r="R72" i="30"/>
  <c r="Q72" i="30"/>
  <c r="P72" i="30"/>
  <c r="O72" i="30"/>
  <c r="R71" i="30"/>
  <c r="Q71" i="30"/>
  <c r="P71" i="30"/>
  <c r="O71" i="30"/>
  <c r="R70" i="30"/>
  <c r="Q70" i="30"/>
  <c r="P70" i="30"/>
  <c r="O70" i="30"/>
  <c r="R69" i="30"/>
  <c r="Q69" i="30"/>
  <c r="P69" i="30"/>
  <c r="O69" i="30"/>
  <c r="R68" i="30"/>
  <c r="Q68" i="30"/>
  <c r="P68" i="30"/>
  <c r="O68" i="30"/>
  <c r="R67" i="30"/>
  <c r="Q67" i="30"/>
  <c r="P67" i="30"/>
  <c r="O67" i="30"/>
  <c r="R66" i="30"/>
  <c r="Q66" i="30"/>
  <c r="P66" i="30"/>
  <c r="O66" i="30"/>
  <c r="R65" i="30"/>
  <c r="Q65" i="30"/>
  <c r="P65" i="30"/>
  <c r="O65" i="30"/>
  <c r="R64" i="30"/>
  <c r="Q64" i="30"/>
  <c r="P64" i="30"/>
  <c r="O64" i="30"/>
  <c r="R63" i="30"/>
  <c r="Q63" i="30"/>
  <c r="P63" i="30"/>
  <c r="O63" i="30"/>
  <c r="R62" i="30"/>
  <c r="Q62" i="30"/>
  <c r="P62" i="30"/>
  <c r="O62" i="30"/>
  <c r="R61" i="30"/>
  <c r="Q61" i="30"/>
  <c r="P61" i="30"/>
  <c r="O61" i="30"/>
  <c r="R60" i="30"/>
  <c r="Q60" i="30"/>
  <c r="P60" i="30"/>
  <c r="O60" i="30"/>
  <c r="R59" i="30"/>
  <c r="Q59" i="30"/>
  <c r="P59" i="30"/>
  <c r="O59" i="30"/>
  <c r="R58" i="30"/>
  <c r="Q58" i="30"/>
  <c r="P58" i="30"/>
  <c r="O58" i="30"/>
  <c r="R57" i="30"/>
  <c r="Q57" i="30"/>
  <c r="P57" i="30"/>
  <c r="O57" i="30"/>
  <c r="R56" i="30"/>
  <c r="Q56" i="30"/>
  <c r="P56" i="30"/>
  <c r="O56" i="30"/>
  <c r="R55" i="30"/>
  <c r="Q55" i="30"/>
  <c r="P55" i="30"/>
  <c r="O55" i="30"/>
  <c r="R54" i="30"/>
  <c r="Q54" i="30"/>
  <c r="P54" i="30"/>
  <c r="O54" i="30"/>
  <c r="R53" i="30"/>
  <c r="Q53" i="30"/>
  <c r="P53" i="30"/>
  <c r="O53" i="30"/>
  <c r="R52" i="30"/>
  <c r="Q52" i="30"/>
  <c r="P52" i="30"/>
  <c r="O52" i="30"/>
  <c r="R51" i="30"/>
  <c r="Q51" i="30"/>
  <c r="P51" i="30"/>
  <c r="O51" i="30"/>
  <c r="R50" i="30"/>
  <c r="Q50" i="30"/>
  <c r="P50" i="30"/>
  <c r="O50" i="30"/>
  <c r="R49" i="30"/>
  <c r="Q49" i="30"/>
  <c r="P49" i="30"/>
  <c r="O49" i="30"/>
  <c r="R48" i="30"/>
  <c r="Q48" i="30"/>
  <c r="P48" i="30"/>
  <c r="O48" i="30"/>
  <c r="R47" i="30"/>
  <c r="Q47" i="30"/>
  <c r="P47" i="30"/>
  <c r="O47" i="30"/>
  <c r="R46" i="30"/>
  <c r="Q46" i="30"/>
  <c r="P46" i="30"/>
  <c r="O46" i="30"/>
  <c r="R45" i="30"/>
  <c r="Q45" i="30"/>
  <c r="P45" i="30"/>
  <c r="O45" i="30"/>
  <c r="R44" i="30"/>
  <c r="Q44" i="30"/>
  <c r="P44" i="30"/>
  <c r="O44" i="30"/>
  <c r="R43" i="30"/>
  <c r="Q43" i="30"/>
  <c r="P43" i="30"/>
  <c r="O43" i="30"/>
  <c r="R42" i="30"/>
  <c r="Q42" i="30"/>
  <c r="P42" i="30"/>
  <c r="O42" i="30"/>
  <c r="R41" i="30"/>
  <c r="Q41" i="30"/>
  <c r="P41" i="30"/>
  <c r="O41" i="30"/>
  <c r="R40" i="30"/>
  <c r="Q40" i="30"/>
  <c r="P40" i="30"/>
  <c r="O40" i="30"/>
  <c r="R39" i="30"/>
  <c r="Q39" i="30"/>
  <c r="P39" i="30"/>
  <c r="O39" i="30"/>
  <c r="R38" i="30"/>
  <c r="Q38" i="30"/>
  <c r="P38" i="30"/>
  <c r="O38" i="30"/>
  <c r="R37" i="30"/>
  <c r="Q37" i="30"/>
  <c r="P37" i="30"/>
  <c r="O37" i="30"/>
  <c r="R36" i="30"/>
  <c r="Q36" i="30"/>
  <c r="P36" i="30"/>
  <c r="O36" i="30"/>
  <c r="R35" i="30"/>
  <c r="Q35" i="30"/>
  <c r="P35" i="30"/>
  <c r="O35" i="30"/>
  <c r="R34" i="30"/>
  <c r="Q34" i="30"/>
  <c r="P34" i="30"/>
  <c r="O34" i="30"/>
  <c r="R33" i="30"/>
  <c r="Q33" i="30"/>
  <c r="P33" i="30"/>
  <c r="O33" i="30"/>
  <c r="R32" i="30"/>
  <c r="Q32" i="30"/>
  <c r="P32" i="30"/>
  <c r="O32" i="30"/>
  <c r="R31" i="30"/>
  <c r="Q31" i="30"/>
  <c r="P31" i="30"/>
  <c r="O31" i="30"/>
  <c r="R30" i="30"/>
  <c r="Q30" i="30"/>
  <c r="P30" i="30"/>
  <c r="O30" i="30"/>
  <c r="R29" i="30"/>
  <c r="Q29" i="30"/>
  <c r="P29" i="30"/>
  <c r="O29" i="30"/>
  <c r="R28" i="30"/>
  <c r="Q28" i="30"/>
  <c r="P28" i="30"/>
  <c r="O28" i="30"/>
  <c r="R27" i="30"/>
  <c r="Q27" i="30"/>
  <c r="P27" i="30"/>
  <c r="O27" i="30"/>
  <c r="R26" i="30"/>
  <c r="Q26" i="30"/>
  <c r="P26" i="30"/>
  <c r="O26" i="30"/>
  <c r="R25" i="30"/>
  <c r="Q25" i="30"/>
  <c r="P25" i="30"/>
  <c r="O25" i="30"/>
  <c r="R24" i="30"/>
  <c r="Q24" i="30"/>
  <c r="P24" i="30"/>
  <c r="O24" i="30"/>
  <c r="R23" i="30"/>
  <c r="Q23" i="30"/>
  <c r="P23" i="30"/>
  <c r="O23" i="30"/>
  <c r="R22" i="30"/>
  <c r="Q22" i="30"/>
  <c r="P22" i="30"/>
  <c r="O22" i="30"/>
  <c r="R21" i="30"/>
  <c r="Q21" i="30"/>
  <c r="P21" i="30"/>
  <c r="O21" i="30"/>
  <c r="R20" i="30"/>
  <c r="Q20" i="30"/>
  <c r="P20" i="30"/>
  <c r="O20" i="30"/>
  <c r="R19" i="30"/>
  <c r="Q19" i="30"/>
  <c r="P19" i="30"/>
  <c r="O19" i="30"/>
  <c r="R18" i="30"/>
  <c r="Q18" i="30"/>
  <c r="P18" i="30"/>
  <c r="O18" i="30"/>
  <c r="R17" i="30"/>
  <c r="Q17" i="30"/>
  <c r="P17" i="30"/>
  <c r="O17" i="30"/>
  <c r="R16" i="30"/>
  <c r="Q16" i="30"/>
  <c r="P16" i="30"/>
  <c r="O16" i="30"/>
  <c r="R15" i="30"/>
  <c r="Q15" i="30"/>
  <c r="P15" i="30"/>
  <c r="O15" i="30"/>
  <c r="R14" i="30"/>
  <c r="Q14" i="30"/>
  <c r="P14" i="30"/>
  <c r="O14" i="30"/>
  <c r="R13" i="30"/>
  <c r="Q13" i="30"/>
  <c r="P13" i="30"/>
  <c r="O13" i="30"/>
  <c r="R12" i="30"/>
  <c r="Q12" i="30"/>
  <c r="P12" i="30"/>
  <c r="O12" i="30"/>
  <c r="R11" i="30"/>
  <c r="Q11" i="30"/>
  <c r="P11" i="30"/>
  <c r="O11" i="30"/>
  <c r="R10" i="30"/>
  <c r="Q10" i="30"/>
  <c r="P10" i="30"/>
  <c r="O10" i="30"/>
  <c r="R9" i="30"/>
  <c r="Q9" i="30"/>
  <c r="P9" i="30"/>
  <c r="O9" i="30"/>
  <c r="R8" i="30"/>
  <c r="Q8" i="30"/>
  <c r="P8" i="30"/>
  <c r="O8" i="30"/>
  <c r="R7" i="30"/>
  <c r="Q7" i="30"/>
  <c r="P7" i="30"/>
  <c r="O7" i="30"/>
  <c r="R6" i="30"/>
  <c r="Q6" i="30"/>
  <c r="P6" i="30"/>
  <c r="O6" i="30"/>
  <c r="R5" i="30"/>
  <c r="Q5" i="30"/>
  <c r="P5" i="30"/>
  <c r="O5" i="30"/>
  <c r="M147" i="30"/>
  <c r="L147" i="30"/>
  <c r="K147" i="30"/>
  <c r="J147" i="30"/>
  <c r="M146" i="30"/>
  <c r="L146" i="30"/>
  <c r="K146" i="30"/>
  <c r="J146" i="30"/>
  <c r="M145" i="30"/>
  <c r="L145" i="30"/>
  <c r="K145" i="30"/>
  <c r="J145" i="30"/>
  <c r="M144" i="30"/>
  <c r="L144" i="30"/>
  <c r="K144" i="30"/>
  <c r="J144" i="30"/>
  <c r="M143" i="30"/>
  <c r="L143" i="30"/>
  <c r="K143" i="30"/>
  <c r="J143" i="30"/>
  <c r="M142" i="30"/>
  <c r="L142" i="30"/>
  <c r="K142" i="30"/>
  <c r="J142" i="30"/>
  <c r="M141" i="30"/>
  <c r="L141" i="30"/>
  <c r="K141" i="30"/>
  <c r="J141" i="30"/>
  <c r="M140" i="30"/>
  <c r="L140" i="30"/>
  <c r="K140" i="30"/>
  <c r="J140" i="30"/>
  <c r="M139" i="30"/>
  <c r="L139" i="30"/>
  <c r="K139" i="30"/>
  <c r="J139" i="30"/>
  <c r="M138" i="30"/>
  <c r="L138" i="30"/>
  <c r="K138" i="30"/>
  <c r="J138" i="30"/>
  <c r="M137" i="30"/>
  <c r="L137" i="30"/>
  <c r="K137" i="30"/>
  <c r="J137" i="30"/>
  <c r="M136" i="30"/>
  <c r="L136" i="30"/>
  <c r="K136" i="30"/>
  <c r="J136" i="30"/>
  <c r="M135" i="30"/>
  <c r="L135" i="30"/>
  <c r="K135" i="30"/>
  <c r="J135" i="30"/>
  <c r="M134" i="30"/>
  <c r="L134" i="30"/>
  <c r="K134" i="30"/>
  <c r="J134" i="30"/>
  <c r="M133" i="30"/>
  <c r="L133" i="30"/>
  <c r="K133" i="30"/>
  <c r="J133" i="30"/>
  <c r="M132" i="30"/>
  <c r="L132" i="30"/>
  <c r="K132" i="30"/>
  <c r="J132" i="30"/>
  <c r="M131" i="30"/>
  <c r="L131" i="30"/>
  <c r="K131" i="30"/>
  <c r="J131" i="30"/>
  <c r="M130" i="30"/>
  <c r="L130" i="30"/>
  <c r="K130" i="30"/>
  <c r="J130" i="30"/>
  <c r="M129" i="30"/>
  <c r="L129" i="30"/>
  <c r="K129" i="30"/>
  <c r="J129" i="30"/>
  <c r="M128" i="30"/>
  <c r="L128" i="30"/>
  <c r="K128" i="30"/>
  <c r="J128" i="30"/>
  <c r="M127" i="30"/>
  <c r="L127" i="30"/>
  <c r="K127" i="30"/>
  <c r="J127" i="30"/>
  <c r="M126" i="30"/>
  <c r="L126" i="30"/>
  <c r="K126" i="30"/>
  <c r="J126" i="30"/>
  <c r="M125" i="30"/>
  <c r="L125" i="30"/>
  <c r="K125" i="30"/>
  <c r="J125" i="30"/>
  <c r="M124" i="30"/>
  <c r="L124" i="30"/>
  <c r="K124" i="30"/>
  <c r="J124" i="30"/>
  <c r="M123" i="30"/>
  <c r="L123" i="30"/>
  <c r="K123" i="30"/>
  <c r="J123" i="30"/>
  <c r="M122" i="30"/>
  <c r="L122" i="30"/>
  <c r="K122" i="30"/>
  <c r="J122" i="30"/>
  <c r="M121" i="30"/>
  <c r="L121" i="30"/>
  <c r="K121" i="30"/>
  <c r="J121" i="30"/>
  <c r="M120" i="30"/>
  <c r="L120" i="30"/>
  <c r="K120" i="30"/>
  <c r="J120" i="30"/>
  <c r="M119" i="30"/>
  <c r="L119" i="30"/>
  <c r="K119" i="30"/>
  <c r="J119" i="30"/>
  <c r="M118" i="30"/>
  <c r="L118" i="30"/>
  <c r="K118" i="30"/>
  <c r="J118" i="30"/>
  <c r="M117" i="30"/>
  <c r="L117" i="30"/>
  <c r="K117" i="30"/>
  <c r="J117" i="30"/>
  <c r="M116" i="30"/>
  <c r="L116" i="30"/>
  <c r="K116" i="30"/>
  <c r="J116" i="30"/>
  <c r="M115" i="30"/>
  <c r="L115" i="30"/>
  <c r="K115" i="30"/>
  <c r="J115" i="30"/>
  <c r="M114" i="30"/>
  <c r="L114" i="30"/>
  <c r="K114" i="30"/>
  <c r="J114" i="30"/>
  <c r="M113" i="30"/>
  <c r="L113" i="30"/>
  <c r="K113" i="30"/>
  <c r="J113" i="30"/>
  <c r="M112" i="30"/>
  <c r="L112" i="30"/>
  <c r="K112" i="30"/>
  <c r="J112" i="30"/>
  <c r="M111" i="30"/>
  <c r="L111" i="30"/>
  <c r="K111" i="30"/>
  <c r="J111" i="30"/>
  <c r="M110" i="30"/>
  <c r="L110" i="30"/>
  <c r="K110" i="30"/>
  <c r="J110" i="30"/>
  <c r="M109" i="30"/>
  <c r="L109" i="30"/>
  <c r="K109" i="30"/>
  <c r="J109" i="30"/>
  <c r="M108" i="30"/>
  <c r="L108" i="30"/>
  <c r="K108" i="30"/>
  <c r="J108" i="30"/>
  <c r="M107" i="30"/>
  <c r="L107" i="30"/>
  <c r="K107" i="30"/>
  <c r="J107" i="30"/>
  <c r="M106" i="30"/>
  <c r="L106" i="30"/>
  <c r="K106" i="30"/>
  <c r="J106" i="30"/>
  <c r="M105" i="30"/>
  <c r="L105" i="30"/>
  <c r="K105" i="30"/>
  <c r="J105" i="30"/>
  <c r="M104" i="30"/>
  <c r="L104" i="30"/>
  <c r="K104" i="30"/>
  <c r="J104" i="30"/>
  <c r="M103" i="30"/>
  <c r="L103" i="30"/>
  <c r="K103" i="30"/>
  <c r="J103" i="30"/>
  <c r="M102" i="30"/>
  <c r="L102" i="30"/>
  <c r="K102" i="30"/>
  <c r="J102" i="30"/>
  <c r="M101" i="30"/>
  <c r="L101" i="30"/>
  <c r="K101" i="30"/>
  <c r="J101" i="30"/>
  <c r="M100" i="30"/>
  <c r="L100" i="30"/>
  <c r="K100" i="30"/>
  <c r="J100" i="30"/>
  <c r="M99" i="30"/>
  <c r="L99" i="30"/>
  <c r="K99" i="30"/>
  <c r="J99" i="30"/>
  <c r="M98" i="30"/>
  <c r="L98" i="30"/>
  <c r="K98" i="30"/>
  <c r="J98" i="30"/>
  <c r="M97" i="30"/>
  <c r="L97" i="30"/>
  <c r="K97" i="30"/>
  <c r="J97" i="30"/>
  <c r="M96" i="30"/>
  <c r="L96" i="30"/>
  <c r="K96" i="30"/>
  <c r="J96" i="30"/>
  <c r="M95" i="30"/>
  <c r="L95" i="30"/>
  <c r="K95" i="30"/>
  <c r="J95" i="30"/>
  <c r="M94" i="30"/>
  <c r="L94" i="30"/>
  <c r="K94" i="30"/>
  <c r="J94" i="30"/>
  <c r="M93" i="30"/>
  <c r="L93" i="30"/>
  <c r="K93" i="30"/>
  <c r="J93" i="30"/>
  <c r="M92" i="30"/>
  <c r="L92" i="30"/>
  <c r="K92" i="30"/>
  <c r="J92" i="30"/>
  <c r="M91" i="30"/>
  <c r="L91" i="30"/>
  <c r="K91" i="30"/>
  <c r="J91" i="30"/>
  <c r="M90" i="30"/>
  <c r="L90" i="30"/>
  <c r="K90" i="30"/>
  <c r="J90" i="30"/>
  <c r="M89" i="30"/>
  <c r="L89" i="30"/>
  <c r="K89" i="30"/>
  <c r="J89" i="30"/>
  <c r="M88" i="30"/>
  <c r="L88" i="30"/>
  <c r="K88" i="30"/>
  <c r="J88" i="30"/>
  <c r="M87" i="30"/>
  <c r="L87" i="30"/>
  <c r="K87" i="30"/>
  <c r="J87" i="30"/>
  <c r="M86" i="30"/>
  <c r="L86" i="30"/>
  <c r="K86" i="30"/>
  <c r="J86" i="30"/>
  <c r="M85" i="30"/>
  <c r="L85" i="30"/>
  <c r="K85" i="30"/>
  <c r="J85" i="30"/>
  <c r="M84" i="30"/>
  <c r="L84" i="30"/>
  <c r="K84" i="30"/>
  <c r="J84" i="30"/>
  <c r="M83" i="30"/>
  <c r="L83" i="30"/>
  <c r="K83" i="30"/>
  <c r="J83" i="30"/>
  <c r="M82" i="30"/>
  <c r="L82" i="30"/>
  <c r="K82" i="30"/>
  <c r="J82" i="30"/>
  <c r="M81" i="30"/>
  <c r="L81" i="30"/>
  <c r="K81" i="30"/>
  <c r="J81" i="30"/>
  <c r="M80" i="30"/>
  <c r="L80" i="30"/>
  <c r="K80" i="30"/>
  <c r="J80" i="30"/>
  <c r="M79" i="30"/>
  <c r="L79" i="30"/>
  <c r="K79" i="30"/>
  <c r="J79" i="30"/>
  <c r="M78" i="30"/>
  <c r="L78" i="30"/>
  <c r="K78" i="30"/>
  <c r="J78" i="30"/>
  <c r="M77" i="30"/>
  <c r="L77" i="30"/>
  <c r="K77" i="30"/>
  <c r="J77" i="30"/>
  <c r="M76" i="30"/>
  <c r="L76" i="30"/>
  <c r="K76" i="30"/>
  <c r="J76" i="30"/>
  <c r="M75" i="30"/>
  <c r="L75" i="30"/>
  <c r="K75" i="30"/>
  <c r="J75" i="30"/>
  <c r="M74" i="30"/>
  <c r="L74" i="30"/>
  <c r="K74" i="30"/>
  <c r="J74" i="30"/>
  <c r="M73" i="30"/>
  <c r="L73" i="30"/>
  <c r="K73" i="30"/>
  <c r="J73" i="30"/>
  <c r="M72" i="30"/>
  <c r="L72" i="30"/>
  <c r="K72" i="30"/>
  <c r="J72" i="30"/>
  <c r="M71" i="30"/>
  <c r="L71" i="30"/>
  <c r="K71" i="30"/>
  <c r="J71" i="30"/>
  <c r="M70" i="30"/>
  <c r="L70" i="30"/>
  <c r="K70" i="30"/>
  <c r="J70" i="30"/>
  <c r="M69" i="30"/>
  <c r="L69" i="30"/>
  <c r="K69" i="30"/>
  <c r="J69" i="30"/>
  <c r="M68" i="30"/>
  <c r="L68" i="30"/>
  <c r="K68" i="30"/>
  <c r="J68" i="30"/>
  <c r="M67" i="30"/>
  <c r="L67" i="30"/>
  <c r="K67" i="30"/>
  <c r="J67" i="30"/>
  <c r="M66" i="30"/>
  <c r="L66" i="30"/>
  <c r="K66" i="30"/>
  <c r="J66" i="30"/>
  <c r="M65" i="30"/>
  <c r="L65" i="30"/>
  <c r="K65" i="30"/>
  <c r="J65" i="30"/>
  <c r="M64" i="30"/>
  <c r="L64" i="30"/>
  <c r="K64" i="30"/>
  <c r="J64" i="30"/>
  <c r="M63" i="30"/>
  <c r="L63" i="30"/>
  <c r="K63" i="30"/>
  <c r="J63" i="30"/>
  <c r="M62" i="30"/>
  <c r="L62" i="30"/>
  <c r="K62" i="30"/>
  <c r="J62" i="30"/>
  <c r="M61" i="30"/>
  <c r="L61" i="30"/>
  <c r="K61" i="30"/>
  <c r="J61" i="30"/>
  <c r="M60" i="30"/>
  <c r="L60" i="30"/>
  <c r="K60" i="30"/>
  <c r="J60" i="30"/>
  <c r="M59" i="30"/>
  <c r="L59" i="30"/>
  <c r="K59" i="30"/>
  <c r="J59" i="30"/>
  <c r="M58" i="30"/>
  <c r="L58" i="30"/>
  <c r="K58" i="30"/>
  <c r="J58" i="30"/>
  <c r="M57" i="30"/>
  <c r="L57" i="30"/>
  <c r="K57" i="30"/>
  <c r="J57" i="30"/>
  <c r="M56" i="30"/>
  <c r="L56" i="30"/>
  <c r="K56" i="30"/>
  <c r="J56" i="30"/>
  <c r="M55" i="30"/>
  <c r="L55" i="30"/>
  <c r="K55" i="30"/>
  <c r="J55" i="30"/>
  <c r="M54" i="30"/>
  <c r="L54" i="30"/>
  <c r="K54" i="30"/>
  <c r="J54" i="30"/>
  <c r="M53" i="30"/>
  <c r="L53" i="30"/>
  <c r="K53" i="30"/>
  <c r="J53" i="30"/>
  <c r="M52" i="30"/>
  <c r="L52" i="30"/>
  <c r="K52" i="30"/>
  <c r="J52" i="30"/>
  <c r="M51" i="30"/>
  <c r="L51" i="30"/>
  <c r="K51" i="30"/>
  <c r="J51" i="30"/>
  <c r="M50" i="30"/>
  <c r="L50" i="30"/>
  <c r="K50" i="30"/>
  <c r="J50" i="30"/>
  <c r="M49" i="30"/>
  <c r="L49" i="30"/>
  <c r="K49" i="30"/>
  <c r="J49" i="30"/>
  <c r="M48" i="30"/>
  <c r="L48" i="30"/>
  <c r="K48" i="30"/>
  <c r="J48" i="30"/>
  <c r="M47" i="30"/>
  <c r="L47" i="30"/>
  <c r="K47" i="30"/>
  <c r="J47" i="30"/>
  <c r="M46" i="30"/>
  <c r="L46" i="30"/>
  <c r="K46" i="30"/>
  <c r="J46" i="30"/>
  <c r="M45" i="30"/>
  <c r="L45" i="30"/>
  <c r="K45" i="30"/>
  <c r="J45" i="30"/>
  <c r="M44" i="30"/>
  <c r="L44" i="30"/>
  <c r="K44" i="30"/>
  <c r="J44" i="30"/>
  <c r="M43" i="30"/>
  <c r="L43" i="30"/>
  <c r="K43" i="30"/>
  <c r="J43" i="30"/>
  <c r="M42" i="30"/>
  <c r="L42" i="30"/>
  <c r="K42" i="30"/>
  <c r="J42" i="30"/>
  <c r="M41" i="30"/>
  <c r="L41" i="30"/>
  <c r="K41" i="30"/>
  <c r="J41" i="30"/>
  <c r="M40" i="30"/>
  <c r="L40" i="30"/>
  <c r="K40" i="30"/>
  <c r="J40" i="30"/>
  <c r="M39" i="30"/>
  <c r="L39" i="30"/>
  <c r="K39" i="30"/>
  <c r="J39" i="30"/>
  <c r="M38" i="30"/>
  <c r="L38" i="30"/>
  <c r="K38" i="30"/>
  <c r="J38" i="30"/>
  <c r="M37" i="30"/>
  <c r="L37" i="30"/>
  <c r="K37" i="30"/>
  <c r="J37" i="30"/>
  <c r="M36" i="30"/>
  <c r="L36" i="30"/>
  <c r="K36" i="30"/>
  <c r="J36" i="30"/>
  <c r="M35" i="30"/>
  <c r="L35" i="30"/>
  <c r="K35" i="30"/>
  <c r="J35" i="30"/>
  <c r="M34" i="30"/>
  <c r="L34" i="30"/>
  <c r="K34" i="30"/>
  <c r="J34" i="30"/>
  <c r="M33" i="30"/>
  <c r="L33" i="30"/>
  <c r="K33" i="30"/>
  <c r="J33" i="30"/>
  <c r="M32" i="30"/>
  <c r="L32" i="30"/>
  <c r="K32" i="30"/>
  <c r="J32" i="30"/>
  <c r="M31" i="30"/>
  <c r="L31" i="30"/>
  <c r="K31" i="30"/>
  <c r="J31" i="30"/>
  <c r="M30" i="30"/>
  <c r="L30" i="30"/>
  <c r="K30" i="30"/>
  <c r="J30" i="30"/>
  <c r="M29" i="30"/>
  <c r="L29" i="30"/>
  <c r="K29" i="30"/>
  <c r="J29" i="30"/>
  <c r="M28" i="30"/>
  <c r="L28" i="30"/>
  <c r="K28" i="30"/>
  <c r="J28" i="30"/>
  <c r="M27" i="30"/>
  <c r="L27" i="30"/>
  <c r="K27" i="30"/>
  <c r="J27" i="30"/>
  <c r="M26" i="30"/>
  <c r="L26" i="30"/>
  <c r="K26" i="30"/>
  <c r="J26" i="30"/>
  <c r="M25" i="30"/>
  <c r="L25" i="30"/>
  <c r="K25" i="30"/>
  <c r="J25" i="30"/>
  <c r="M24" i="30"/>
  <c r="L24" i="30"/>
  <c r="K24" i="30"/>
  <c r="J24" i="30"/>
  <c r="M23" i="30"/>
  <c r="L23" i="30"/>
  <c r="K23" i="30"/>
  <c r="J23" i="30"/>
  <c r="M22" i="30"/>
  <c r="L22" i="30"/>
  <c r="K22" i="30"/>
  <c r="J22" i="30"/>
  <c r="M21" i="30"/>
  <c r="L21" i="30"/>
  <c r="K21" i="30"/>
  <c r="J21" i="30"/>
  <c r="M20" i="30"/>
  <c r="L20" i="30"/>
  <c r="K20" i="30"/>
  <c r="J20" i="30"/>
  <c r="M19" i="30"/>
  <c r="L19" i="30"/>
  <c r="K19" i="30"/>
  <c r="J19" i="30"/>
  <c r="M18" i="30"/>
  <c r="L18" i="30"/>
  <c r="K18" i="30"/>
  <c r="J18" i="30"/>
  <c r="M17" i="30"/>
  <c r="L17" i="30"/>
  <c r="K17" i="30"/>
  <c r="J17" i="30"/>
  <c r="M16" i="30"/>
  <c r="L16" i="30"/>
  <c r="K16" i="30"/>
  <c r="J16" i="30"/>
  <c r="M15" i="30"/>
  <c r="L15" i="30"/>
  <c r="K15" i="30"/>
  <c r="J15" i="30"/>
  <c r="M14" i="30"/>
  <c r="L14" i="30"/>
  <c r="K14" i="30"/>
  <c r="J14" i="30"/>
  <c r="M13" i="30"/>
  <c r="L13" i="30"/>
  <c r="K13" i="30"/>
  <c r="J13" i="30"/>
  <c r="M12" i="30"/>
  <c r="L12" i="30"/>
  <c r="K12" i="30"/>
  <c r="J12" i="30"/>
  <c r="M11" i="30"/>
  <c r="L11" i="30"/>
  <c r="K11" i="30"/>
  <c r="J11" i="30"/>
  <c r="M10" i="30"/>
  <c r="L10" i="30"/>
  <c r="K10" i="30"/>
  <c r="J10" i="30"/>
  <c r="M9" i="30"/>
  <c r="L9" i="30"/>
  <c r="K9" i="30"/>
  <c r="J9" i="30"/>
  <c r="M8" i="30"/>
  <c r="L8" i="30"/>
  <c r="K8" i="30"/>
  <c r="J8" i="30"/>
  <c r="M7" i="30"/>
  <c r="L7" i="30"/>
  <c r="K7" i="30"/>
  <c r="J7" i="30"/>
  <c r="M6" i="30"/>
  <c r="L6" i="30"/>
  <c r="K6" i="30"/>
  <c r="J6" i="30"/>
  <c r="M5" i="30"/>
  <c r="L5" i="30"/>
  <c r="K5" i="30"/>
  <c r="J5" i="30"/>
  <c r="AW34" i="30"/>
  <c r="AR125" i="30"/>
  <c r="AH147" i="30"/>
  <c r="BI2" i="30"/>
  <c r="AU2" i="30"/>
  <c r="H147" i="30"/>
  <c r="G147" i="30"/>
  <c r="F147" i="30"/>
  <c r="E147" i="30"/>
  <c r="H146" i="30"/>
  <c r="G146" i="30"/>
  <c r="F146" i="30"/>
  <c r="E146" i="30"/>
  <c r="H145" i="30"/>
  <c r="G145" i="30"/>
  <c r="F145" i="30"/>
  <c r="E145" i="30"/>
  <c r="H144" i="30"/>
  <c r="G144" i="30"/>
  <c r="F144" i="30"/>
  <c r="E144" i="30"/>
  <c r="H143" i="30"/>
  <c r="G143" i="30"/>
  <c r="F143" i="30"/>
  <c r="E143" i="30"/>
  <c r="H142" i="30"/>
  <c r="G142" i="30"/>
  <c r="F142" i="30"/>
  <c r="E142" i="30"/>
  <c r="H141" i="30"/>
  <c r="G141" i="30"/>
  <c r="F141" i="30"/>
  <c r="E141" i="30"/>
  <c r="H140" i="30"/>
  <c r="G140" i="30"/>
  <c r="F140" i="30"/>
  <c r="E140" i="30"/>
  <c r="H139" i="30"/>
  <c r="G139" i="30"/>
  <c r="F139" i="30"/>
  <c r="E139" i="30"/>
  <c r="H138" i="30"/>
  <c r="G138" i="30"/>
  <c r="F138" i="30"/>
  <c r="E138" i="30"/>
  <c r="H137" i="30"/>
  <c r="G137" i="30"/>
  <c r="F137" i="30"/>
  <c r="E137" i="30"/>
  <c r="H136" i="30"/>
  <c r="G136" i="30"/>
  <c r="F136" i="30"/>
  <c r="E136" i="30"/>
  <c r="H135" i="30"/>
  <c r="G135" i="30"/>
  <c r="F135" i="30"/>
  <c r="E135" i="30"/>
  <c r="H134" i="30"/>
  <c r="G134" i="30"/>
  <c r="F134" i="30"/>
  <c r="E134" i="30"/>
  <c r="H133" i="30"/>
  <c r="G133" i="30"/>
  <c r="F133" i="30"/>
  <c r="E133" i="30"/>
  <c r="H132" i="30"/>
  <c r="G132" i="30"/>
  <c r="F132" i="30"/>
  <c r="E132" i="30"/>
  <c r="H131" i="30"/>
  <c r="G131" i="30"/>
  <c r="F131" i="30"/>
  <c r="E131" i="30"/>
  <c r="H130" i="30"/>
  <c r="G130" i="30"/>
  <c r="F130" i="30"/>
  <c r="E130" i="30"/>
  <c r="H129" i="30"/>
  <c r="G129" i="30"/>
  <c r="F129" i="30"/>
  <c r="E129" i="30"/>
  <c r="H128" i="30"/>
  <c r="G128" i="30"/>
  <c r="F128" i="30"/>
  <c r="E128" i="30"/>
  <c r="H127" i="30"/>
  <c r="G127" i="30"/>
  <c r="F127" i="30"/>
  <c r="E127" i="30"/>
  <c r="H126" i="30"/>
  <c r="G126" i="30"/>
  <c r="F126" i="30"/>
  <c r="E126" i="30"/>
  <c r="H125" i="30"/>
  <c r="G125" i="30"/>
  <c r="F125" i="30"/>
  <c r="E125" i="30"/>
  <c r="H124" i="30"/>
  <c r="G124" i="30"/>
  <c r="F124" i="30"/>
  <c r="E124" i="30"/>
  <c r="H123" i="30"/>
  <c r="G123" i="30"/>
  <c r="F123" i="30"/>
  <c r="E123" i="30"/>
  <c r="H122" i="30"/>
  <c r="G122" i="30"/>
  <c r="F122" i="30"/>
  <c r="E122" i="30"/>
  <c r="H121" i="30"/>
  <c r="G121" i="30"/>
  <c r="F121" i="30"/>
  <c r="E121" i="30"/>
  <c r="H120" i="30"/>
  <c r="G120" i="30"/>
  <c r="F120" i="30"/>
  <c r="E120" i="30"/>
  <c r="H119" i="30"/>
  <c r="G119" i="30"/>
  <c r="F119" i="30"/>
  <c r="E119" i="30"/>
  <c r="H118" i="30"/>
  <c r="G118" i="30"/>
  <c r="F118" i="30"/>
  <c r="E118" i="30"/>
  <c r="H117" i="30"/>
  <c r="G117" i="30"/>
  <c r="F117" i="30"/>
  <c r="E117" i="30"/>
  <c r="H116" i="30"/>
  <c r="G116" i="30"/>
  <c r="F116" i="30"/>
  <c r="E116" i="30"/>
  <c r="H115" i="30"/>
  <c r="G115" i="30"/>
  <c r="F115" i="30"/>
  <c r="E115" i="30"/>
  <c r="H114" i="30"/>
  <c r="G114" i="30"/>
  <c r="F114" i="30"/>
  <c r="E114" i="30"/>
  <c r="H113" i="30"/>
  <c r="G113" i="30"/>
  <c r="F113" i="30"/>
  <c r="E113" i="30"/>
  <c r="H112" i="30"/>
  <c r="G112" i="30"/>
  <c r="F112" i="30"/>
  <c r="E112" i="30"/>
  <c r="H111" i="30"/>
  <c r="G111" i="30"/>
  <c r="F111" i="30"/>
  <c r="E111" i="30"/>
  <c r="H110" i="30"/>
  <c r="G110" i="30"/>
  <c r="F110" i="30"/>
  <c r="E110" i="30"/>
  <c r="H109" i="30"/>
  <c r="G109" i="30"/>
  <c r="F109" i="30"/>
  <c r="E109" i="30"/>
  <c r="H108" i="30"/>
  <c r="G108" i="30"/>
  <c r="F108" i="30"/>
  <c r="E108" i="30"/>
  <c r="H107" i="30"/>
  <c r="G107" i="30"/>
  <c r="F107" i="30"/>
  <c r="E107" i="30"/>
  <c r="H106" i="30"/>
  <c r="G106" i="30"/>
  <c r="F106" i="30"/>
  <c r="E106" i="30"/>
  <c r="H105" i="30"/>
  <c r="G105" i="30"/>
  <c r="F105" i="30"/>
  <c r="E105" i="30"/>
  <c r="H104" i="30"/>
  <c r="G104" i="30"/>
  <c r="F104" i="30"/>
  <c r="E104" i="30"/>
  <c r="H103" i="30"/>
  <c r="G103" i="30"/>
  <c r="F103" i="30"/>
  <c r="E103" i="30"/>
  <c r="H102" i="30"/>
  <c r="G102" i="30"/>
  <c r="F102" i="30"/>
  <c r="E102" i="30"/>
  <c r="H101" i="30"/>
  <c r="G101" i="30"/>
  <c r="F101" i="30"/>
  <c r="E101" i="30"/>
  <c r="H100" i="30"/>
  <c r="G100" i="30"/>
  <c r="F100" i="30"/>
  <c r="E100" i="30"/>
  <c r="H99" i="30"/>
  <c r="G99" i="30"/>
  <c r="F99" i="30"/>
  <c r="E99" i="30"/>
  <c r="H98" i="30"/>
  <c r="G98" i="30"/>
  <c r="F98" i="30"/>
  <c r="E98" i="30"/>
  <c r="H97" i="30"/>
  <c r="G97" i="30"/>
  <c r="F97" i="30"/>
  <c r="E97" i="30"/>
  <c r="H96" i="30"/>
  <c r="G96" i="30"/>
  <c r="F96" i="30"/>
  <c r="E96" i="30"/>
  <c r="H95" i="30"/>
  <c r="G95" i="30"/>
  <c r="F95" i="30"/>
  <c r="E95" i="30"/>
  <c r="H94" i="30"/>
  <c r="G94" i="30"/>
  <c r="F94" i="30"/>
  <c r="E94" i="30"/>
  <c r="H93" i="30"/>
  <c r="G93" i="30"/>
  <c r="F93" i="30"/>
  <c r="E93" i="30"/>
  <c r="H92" i="30"/>
  <c r="G92" i="30"/>
  <c r="F92" i="30"/>
  <c r="E92" i="30"/>
  <c r="H91" i="30"/>
  <c r="G91" i="30"/>
  <c r="F91" i="30"/>
  <c r="E91" i="30"/>
  <c r="H90" i="30"/>
  <c r="G90" i="30"/>
  <c r="F90" i="30"/>
  <c r="E90" i="30"/>
  <c r="H89" i="30"/>
  <c r="G89" i="30"/>
  <c r="F89" i="30"/>
  <c r="E89" i="30"/>
  <c r="H88" i="30"/>
  <c r="G88" i="30"/>
  <c r="F88" i="30"/>
  <c r="E88" i="30"/>
  <c r="H87" i="30"/>
  <c r="G87" i="30"/>
  <c r="F87" i="30"/>
  <c r="E87" i="30"/>
  <c r="H86" i="30"/>
  <c r="G86" i="30"/>
  <c r="F86" i="30"/>
  <c r="E86" i="30"/>
  <c r="H85" i="30"/>
  <c r="G85" i="30"/>
  <c r="F85" i="30"/>
  <c r="E85" i="30"/>
  <c r="H84" i="30"/>
  <c r="G84" i="30"/>
  <c r="F84" i="30"/>
  <c r="E84" i="30"/>
  <c r="H83" i="30"/>
  <c r="G83" i="30"/>
  <c r="F83" i="30"/>
  <c r="E83" i="30"/>
  <c r="H82" i="30"/>
  <c r="G82" i="30"/>
  <c r="F82" i="30"/>
  <c r="E82" i="30"/>
  <c r="H81" i="30"/>
  <c r="G81" i="30"/>
  <c r="F81" i="30"/>
  <c r="E81" i="30"/>
  <c r="H80" i="30"/>
  <c r="G80" i="30"/>
  <c r="F80" i="30"/>
  <c r="E80" i="30"/>
  <c r="H79" i="30"/>
  <c r="G79" i="30"/>
  <c r="F79" i="30"/>
  <c r="E79" i="30"/>
  <c r="H78" i="30"/>
  <c r="G78" i="30"/>
  <c r="F78" i="30"/>
  <c r="E78" i="30"/>
  <c r="H77" i="30"/>
  <c r="G77" i="30"/>
  <c r="F77" i="30"/>
  <c r="E77" i="30"/>
  <c r="H76" i="30"/>
  <c r="G76" i="30"/>
  <c r="F76" i="30"/>
  <c r="E76" i="30"/>
  <c r="H75" i="30"/>
  <c r="G75" i="30"/>
  <c r="F75" i="30"/>
  <c r="E75" i="30"/>
  <c r="H74" i="30"/>
  <c r="G74" i="30"/>
  <c r="F74" i="30"/>
  <c r="E74" i="30"/>
  <c r="H73" i="30"/>
  <c r="G73" i="30"/>
  <c r="F73" i="30"/>
  <c r="E73" i="30"/>
  <c r="H72" i="30"/>
  <c r="G72" i="30"/>
  <c r="F72" i="30"/>
  <c r="E72" i="30"/>
  <c r="H71" i="30"/>
  <c r="G71" i="30"/>
  <c r="F71" i="30"/>
  <c r="E71" i="30"/>
  <c r="H70" i="30"/>
  <c r="G70" i="30"/>
  <c r="F70" i="30"/>
  <c r="E70" i="30"/>
  <c r="H69" i="30"/>
  <c r="G69" i="30"/>
  <c r="F69" i="30"/>
  <c r="E69" i="30"/>
  <c r="H68" i="30"/>
  <c r="G68" i="30"/>
  <c r="F68" i="30"/>
  <c r="E68" i="30"/>
  <c r="H67" i="30"/>
  <c r="G67" i="30"/>
  <c r="F67" i="30"/>
  <c r="E67" i="30"/>
  <c r="H66" i="30"/>
  <c r="G66" i="30"/>
  <c r="F66" i="30"/>
  <c r="E66" i="30"/>
  <c r="H65" i="30"/>
  <c r="G65" i="30"/>
  <c r="F65" i="30"/>
  <c r="E65" i="30"/>
  <c r="H64" i="30"/>
  <c r="G64" i="30"/>
  <c r="F64" i="30"/>
  <c r="E64" i="30"/>
  <c r="H63" i="30"/>
  <c r="G63" i="30"/>
  <c r="F63" i="30"/>
  <c r="E63" i="30"/>
  <c r="H62" i="30"/>
  <c r="G62" i="30"/>
  <c r="F62" i="30"/>
  <c r="E62" i="30"/>
  <c r="H61" i="30"/>
  <c r="G61" i="30"/>
  <c r="F61" i="30"/>
  <c r="E61" i="30"/>
  <c r="H60" i="30"/>
  <c r="G60" i="30"/>
  <c r="F60" i="30"/>
  <c r="E60" i="30"/>
  <c r="H59" i="30"/>
  <c r="G59" i="30"/>
  <c r="F59" i="30"/>
  <c r="E59" i="30"/>
  <c r="H58" i="30"/>
  <c r="G58" i="30"/>
  <c r="F58" i="30"/>
  <c r="E58" i="30"/>
  <c r="H57" i="30"/>
  <c r="G57" i="30"/>
  <c r="F57" i="30"/>
  <c r="E57" i="30"/>
  <c r="H56" i="30"/>
  <c r="G56" i="30"/>
  <c r="F56" i="30"/>
  <c r="E56" i="30"/>
  <c r="H55" i="30"/>
  <c r="G55" i="30"/>
  <c r="F55" i="30"/>
  <c r="E55" i="30"/>
  <c r="H54" i="30"/>
  <c r="G54" i="30"/>
  <c r="F54" i="30"/>
  <c r="E54" i="30"/>
  <c r="H53" i="30"/>
  <c r="G53" i="30"/>
  <c r="F53" i="30"/>
  <c r="E53" i="30"/>
  <c r="H52" i="30"/>
  <c r="G52" i="30"/>
  <c r="F52" i="30"/>
  <c r="E52" i="30"/>
  <c r="H51" i="30"/>
  <c r="G51" i="30"/>
  <c r="F51" i="30"/>
  <c r="E51" i="30"/>
  <c r="H50" i="30"/>
  <c r="G50" i="30"/>
  <c r="F50" i="30"/>
  <c r="E50" i="30"/>
  <c r="H49" i="30"/>
  <c r="G49" i="30"/>
  <c r="F49" i="30"/>
  <c r="E49" i="30"/>
  <c r="H48" i="30"/>
  <c r="G48" i="30"/>
  <c r="F48" i="30"/>
  <c r="E48" i="30"/>
  <c r="H47" i="30"/>
  <c r="G47" i="30"/>
  <c r="F47" i="30"/>
  <c r="E47" i="30"/>
  <c r="H46" i="30"/>
  <c r="G46" i="30"/>
  <c r="F46" i="30"/>
  <c r="E46" i="30"/>
  <c r="H45" i="30"/>
  <c r="G45" i="30"/>
  <c r="F45" i="30"/>
  <c r="E45" i="30"/>
  <c r="H44" i="30"/>
  <c r="G44" i="30"/>
  <c r="F44" i="30"/>
  <c r="E44" i="30"/>
  <c r="H43" i="30"/>
  <c r="G43" i="30"/>
  <c r="F43" i="30"/>
  <c r="E43" i="30"/>
  <c r="H42" i="30"/>
  <c r="G42" i="30"/>
  <c r="F42" i="30"/>
  <c r="E42" i="30"/>
  <c r="H41" i="30"/>
  <c r="G41" i="30"/>
  <c r="F41" i="30"/>
  <c r="E41" i="30"/>
  <c r="H40" i="30"/>
  <c r="G40" i="30"/>
  <c r="F40" i="30"/>
  <c r="E40" i="30"/>
  <c r="H39" i="30"/>
  <c r="G39" i="30"/>
  <c r="F39" i="30"/>
  <c r="E39" i="30"/>
  <c r="H38" i="30"/>
  <c r="G38" i="30"/>
  <c r="F38" i="30"/>
  <c r="E38" i="30"/>
  <c r="H37" i="30"/>
  <c r="G37" i="30"/>
  <c r="F37" i="30"/>
  <c r="E37" i="30"/>
  <c r="H36" i="30"/>
  <c r="G36" i="30"/>
  <c r="F36" i="30"/>
  <c r="E36" i="30"/>
  <c r="H35" i="30"/>
  <c r="G35" i="30"/>
  <c r="F35" i="30"/>
  <c r="E35" i="30"/>
  <c r="H34" i="30"/>
  <c r="G34" i="30"/>
  <c r="F34" i="30"/>
  <c r="E34" i="30"/>
  <c r="H33" i="30"/>
  <c r="G33" i="30"/>
  <c r="F33" i="30"/>
  <c r="E33" i="30"/>
  <c r="H32" i="30"/>
  <c r="G32" i="30"/>
  <c r="F32" i="30"/>
  <c r="E32" i="30"/>
  <c r="H31" i="30"/>
  <c r="G31" i="30"/>
  <c r="F31" i="30"/>
  <c r="E31" i="30"/>
  <c r="H30" i="30"/>
  <c r="G30" i="30"/>
  <c r="F30" i="30"/>
  <c r="E30" i="30"/>
  <c r="H29" i="30"/>
  <c r="G29" i="30"/>
  <c r="F29" i="30"/>
  <c r="E29" i="30"/>
  <c r="H28" i="30"/>
  <c r="G28" i="30"/>
  <c r="F28" i="30"/>
  <c r="E28" i="30"/>
  <c r="H27" i="30"/>
  <c r="G27" i="30"/>
  <c r="F27" i="30"/>
  <c r="E27" i="30"/>
  <c r="H26" i="30"/>
  <c r="G26" i="30"/>
  <c r="F26" i="30"/>
  <c r="E26" i="30"/>
  <c r="H25" i="30"/>
  <c r="G25" i="30"/>
  <c r="F25" i="30"/>
  <c r="E25" i="30"/>
  <c r="H24" i="30"/>
  <c r="G24" i="30"/>
  <c r="F24" i="30"/>
  <c r="E24" i="30"/>
  <c r="H23" i="30"/>
  <c r="G23" i="30"/>
  <c r="F23" i="30"/>
  <c r="E23" i="30"/>
  <c r="H22" i="30"/>
  <c r="G22" i="30"/>
  <c r="F22" i="30"/>
  <c r="E22" i="30"/>
  <c r="H21" i="30"/>
  <c r="G21" i="30"/>
  <c r="F21" i="30"/>
  <c r="E21" i="30"/>
  <c r="H20" i="30"/>
  <c r="G20" i="30"/>
  <c r="F20" i="30"/>
  <c r="E20" i="30"/>
  <c r="H19" i="30"/>
  <c r="G19" i="30"/>
  <c r="F19" i="30"/>
  <c r="E19" i="30"/>
  <c r="H18" i="30"/>
  <c r="G18" i="30"/>
  <c r="F18" i="30"/>
  <c r="E18" i="30"/>
  <c r="H17" i="30"/>
  <c r="G17" i="30"/>
  <c r="F17" i="30"/>
  <c r="E17" i="30"/>
  <c r="H16" i="30"/>
  <c r="G16" i="30"/>
  <c r="F16" i="30"/>
  <c r="E16" i="30"/>
  <c r="H15" i="30"/>
  <c r="G15" i="30"/>
  <c r="F15" i="30"/>
  <c r="E15" i="30"/>
  <c r="H14" i="30"/>
  <c r="G14" i="30"/>
  <c r="F14" i="30"/>
  <c r="E14" i="30"/>
  <c r="H13" i="30"/>
  <c r="G13" i="30"/>
  <c r="F13" i="30"/>
  <c r="E13" i="30"/>
  <c r="H12" i="30"/>
  <c r="G12" i="30"/>
  <c r="F12" i="30"/>
  <c r="E12" i="30"/>
  <c r="H11" i="30"/>
  <c r="G11" i="30"/>
  <c r="F11" i="30"/>
  <c r="E11" i="30"/>
  <c r="H10" i="30"/>
  <c r="G10" i="30"/>
  <c r="F10" i="30"/>
  <c r="E10" i="30"/>
  <c r="H9" i="30"/>
  <c r="G9" i="30"/>
  <c r="F9" i="30"/>
  <c r="E9" i="30"/>
  <c r="H8" i="30"/>
  <c r="G8" i="30"/>
  <c r="F8" i="30"/>
  <c r="E8" i="30"/>
  <c r="H7" i="30"/>
  <c r="G7" i="30"/>
  <c r="F7" i="30"/>
  <c r="E7" i="30"/>
  <c r="H6" i="30"/>
  <c r="G6" i="30"/>
  <c r="F6" i="30"/>
  <c r="E6" i="30"/>
  <c r="H5" i="30"/>
  <c r="G5" i="30"/>
  <c r="F5" i="30"/>
  <c r="E5" i="30"/>
  <c r="BK35" i="29"/>
  <c r="BJ35" i="29"/>
  <c r="BI35" i="29"/>
  <c r="BH35" i="29"/>
  <c r="BK34" i="29"/>
  <c r="BJ34" i="29"/>
  <c r="BI34" i="29"/>
  <c r="BH34" i="29"/>
  <c r="BK33" i="29"/>
  <c r="BJ33" i="29"/>
  <c r="BI33" i="29"/>
  <c r="BH33" i="29"/>
  <c r="BK32" i="29"/>
  <c r="BJ32" i="29"/>
  <c r="BI32" i="29"/>
  <c r="BH32" i="29"/>
  <c r="BK31" i="29"/>
  <c r="BJ31" i="29"/>
  <c r="BI31" i="29"/>
  <c r="BH31" i="29"/>
  <c r="BK30" i="29"/>
  <c r="BJ30" i="29"/>
  <c r="BI30" i="29"/>
  <c r="BH30" i="29"/>
  <c r="BK29" i="29"/>
  <c r="BJ29" i="29"/>
  <c r="BI29" i="29"/>
  <c r="BH29" i="29"/>
  <c r="BK28" i="29"/>
  <c r="BJ28" i="29"/>
  <c r="BI28" i="29"/>
  <c r="BH28" i="29"/>
  <c r="BK27" i="29"/>
  <c r="BJ27" i="29"/>
  <c r="BI27" i="29"/>
  <c r="BH27" i="29"/>
  <c r="BK26" i="29"/>
  <c r="BJ26" i="29"/>
  <c r="BI26" i="29"/>
  <c r="BH26" i="29"/>
  <c r="BK25" i="29"/>
  <c r="BJ25" i="29"/>
  <c r="BI25" i="29"/>
  <c r="BH25" i="29"/>
  <c r="BK24" i="29"/>
  <c r="BJ24" i="29"/>
  <c r="BI24" i="29"/>
  <c r="BH24" i="29"/>
  <c r="BK23" i="29"/>
  <c r="BJ23" i="29"/>
  <c r="BI23" i="29"/>
  <c r="BH23" i="29"/>
  <c r="BK22" i="29"/>
  <c r="BJ22" i="29"/>
  <c r="BI22" i="29"/>
  <c r="BH22" i="29"/>
  <c r="BK21" i="29"/>
  <c r="BJ21" i="29"/>
  <c r="BI21" i="29"/>
  <c r="BH21" i="29"/>
  <c r="BK20" i="29"/>
  <c r="BJ20" i="29"/>
  <c r="BI20" i="29"/>
  <c r="BH20" i="29"/>
  <c r="BK19" i="29"/>
  <c r="BJ19" i="29"/>
  <c r="BI19" i="29"/>
  <c r="BH19" i="29"/>
  <c r="BK18" i="29"/>
  <c r="BJ18" i="29"/>
  <c r="BI18" i="29"/>
  <c r="BH18" i="29"/>
  <c r="BK17" i="29"/>
  <c r="BJ17" i="29"/>
  <c r="BI17" i="29"/>
  <c r="BH17" i="29"/>
  <c r="BK16" i="29"/>
  <c r="BJ16" i="29"/>
  <c r="BI16" i="29"/>
  <c r="BH16" i="29"/>
  <c r="BK15" i="29"/>
  <c r="BJ15" i="29"/>
  <c r="BI15" i="29"/>
  <c r="BH15" i="29"/>
  <c r="BK14" i="29"/>
  <c r="BJ14" i="29"/>
  <c r="BI14" i="29"/>
  <c r="BH14" i="29"/>
  <c r="BK13" i="29"/>
  <c r="BJ13" i="29"/>
  <c r="BI13" i="29"/>
  <c r="BH13" i="29"/>
  <c r="BK12" i="29"/>
  <c r="BJ12" i="29"/>
  <c r="BI12" i="29"/>
  <c r="BH12" i="29"/>
  <c r="BK11" i="29"/>
  <c r="BJ11" i="29"/>
  <c r="BI11" i="29"/>
  <c r="BH11" i="29"/>
  <c r="BK10" i="29"/>
  <c r="BJ10" i="29"/>
  <c r="BI10" i="29"/>
  <c r="BH10" i="29"/>
  <c r="BK9" i="29"/>
  <c r="BJ9" i="29"/>
  <c r="BI9" i="29"/>
  <c r="BH9" i="29"/>
  <c r="BK8" i="29"/>
  <c r="BJ8" i="29"/>
  <c r="BI8" i="29"/>
  <c r="BH8" i="29"/>
  <c r="BK7" i="29"/>
  <c r="BJ7" i="29"/>
  <c r="BI7" i="29"/>
  <c r="BH7" i="29"/>
  <c r="BK6" i="29"/>
  <c r="BJ6" i="29"/>
  <c r="BI6" i="29"/>
  <c r="BH6" i="29"/>
  <c r="BK5" i="29"/>
  <c r="BJ5" i="29"/>
  <c r="BI5" i="29"/>
  <c r="BH5" i="29"/>
  <c r="BF35" i="29"/>
  <c r="BE35" i="29"/>
  <c r="BD35" i="29"/>
  <c r="BC35" i="29"/>
  <c r="BF34" i="29"/>
  <c r="BE34" i="29"/>
  <c r="BD34" i="29"/>
  <c r="BC34" i="29"/>
  <c r="BF33" i="29"/>
  <c r="BE33" i="29"/>
  <c r="BD33" i="29"/>
  <c r="BC33" i="29"/>
  <c r="BF32" i="29"/>
  <c r="BE32" i="29"/>
  <c r="BD32" i="29"/>
  <c r="BC32" i="29"/>
  <c r="BF31" i="29"/>
  <c r="BE31" i="29"/>
  <c r="BD31" i="29"/>
  <c r="BC31" i="29"/>
  <c r="BF30" i="29"/>
  <c r="BE30" i="29"/>
  <c r="BD30" i="29"/>
  <c r="BC30" i="29"/>
  <c r="BF29" i="29"/>
  <c r="BE29" i="29"/>
  <c r="BD29" i="29"/>
  <c r="BC29" i="29"/>
  <c r="BF28" i="29"/>
  <c r="BE28" i="29"/>
  <c r="BD28" i="29"/>
  <c r="BC28" i="29"/>
  <c r="BF27" i="29"/>
  <c r="BE27" i="29"/>
  <c r="BD27" i="29"/>
  <c r="BC27" i="29"/>
  <c r="BF26" i="29"/>
  <c r="BE26" i="29"/>
  <c r="BD26" i="29"/>
  <c r="BC26" i="29"/>
  <c r="BF25" i="29"/>
  <c r="BE25" i="29"/>
  <c r="BD25" i="29"/>
  <c r="BC25" i="29"/>
  <c r="BF24" i="29"/>
  <c r="BE24" i="29"/>
  <c r="BD24" i="29"/>
  <c r="BC24" i="29"/>
  <c r="BF23" i="29"/>
  <c r="BE23" i="29"/>
  <c r="BD23" i="29"/>
  <c r="BC23" i="29"/>
  <c r="BF22" i="29"/>
  <c r="BE22" i="29"/>
  <c r="BD22" i="29"/>
  <c r="BC22" i="29"/>
  <c r="BF21" i="29"/>
  <c r="BE21" i="29"/>
  <c r="BD21" i="29"/>
  <c r="BC21" i="29"/>
  <c r="BF20" i="29"/>
  <c r="BE20" i="29"/>
  <c r="BD20" i="29"/>
  <c r="BC20" i="29"/>
  <c r="BF19" i="29"/>
  <c r="BE19" i="29"/>
  <c r="BD19" i="29"/>
  <c r="BC19" i="29"/>
  <c r="BF18" i="29"/>
  <c r="BE18" i="29"/>
  <c r="BD18" i="29"/>
  <c r="BC18" i="29"/>
  <c r="BF17" i="29"/>
  <c r="BE17" i="29"/>
  <c r="BD17" i="29"/>
  <c r="BC17" i="29"/>
  <c r="BF16" i="29"/>
  <c r="BE16" i="29"/>
  <c r="BD16" i="29"/>
  <c r="BC16" i="29"/>
  <c r="BF15" i="29"/>
  <c r="BE15" i="29"/>
  <c r="BD15" i="29"/>
  <c r="BC15" i="29"/>
  <c r="BF14" i="29"/>
  <c r="BE14" i="29"/>
  <c r="BD14" i="29"/>
  <c r="BC14" i="29"/>
  <c r="BF13" i="29"/>
  <c r="BE13" i="29"/>
  <c r="BD13" i="29"/>
  <c r="BC13" i="29"/>
  <c r="BF12" i="29"/>
  <c r="BE12" i="29"/>
  <c r="BD12" i="29"/>
  <c r="BC12" i="29"/>
  <c r="BF11" i="29"/>
  <c r="BE11" i="29"/>
  <c r="BD11" i="29"/>
  <c r="BC11" i="29"/>
  <c r="BF10" i="29"/>
  <c r="BE10" i="29"/>
  <c r="BD10" i="29"/>
  <c r="BC10" i="29"/>
  <c r="BF9" i="29"/>
  <c r="BE9" i="29"/>
  <c r="BD9" i="29"/>
  <c r="BC9" i="29"/>
  <c r="BF8" i="29"/>
  <c r="BE8" i="29"/>
  <c r="BD8" i="29"/>
  <c r="BC8" i="29"/>
  <c r="BF7" i="29"/>
  <c r="BE7" i="29"/>
  <c r="BD7" i="29"/>
  <c r="BC7" i="29"/>
  <c r="BF6" i="29"/>
  <c r="BE6" i="29"/>
  <c r="BD6" i="29"/>
  <c r="BC6" i="29"/>
  <c r="BF5" i="29"/>
  <c r="BE5" i="29"/>
  <c r="BD5" i="29"/>
  <c r="BC5" i="29"/>
  <c r="BA35" i="29"/>
  <c r="AZ35" i="29"/>
  <c r="AY35" i="29"/>
  <c r="AX35" i="29"/>
  <c r="BA34" i="29"/>
  <c r="AZ34" i="29"/>
  <c r="AY34" i="29"/>
  <c r="AX34" i="29"/>
  <c r="BA33" i="29"/>
  <c r="AZ33" i="29"/>
  <c r="AY33" i="29"/>
  <c r="AX33" i="29"/>
  <c r="BA32" i="29"/>
  <c r="AZ32" i="29"/>
  <c r="AY32" i="29"/>
  <c r="AX32" i="29"/>
  <c r="BA31" i="29"/>
  <c r="AZ31" i="29"/>
  <c r="AY31" i="29"/>
  <c r="AX31" i="29"/>
  <c r="BA30" i="29"/>
  <c r="AZ30" i="29"/>
  <c r="AY30" i="29"/>
  <c r="AX30" i="29"/>
  <c r="BA29" i="29"/>
  <c r="AZ29" i="29"/>
  <c r="AY29" i="29"/>
  <c r="AX29" i="29"/>
  <c r="BA28" i="29"/>
  <c r="AZ28" i="29"/>
  <c r="AY28" i="29"/>
  <c r="AX28" i="29"/>
  <c r="BA27" i="29"/>
  <c r="AZ27" i="29"/>
  <c r="AY27" i="29"/>
  <c r="AX27" i="29"/>
  <c r="BA26" i="29"/>
  <c r="AZ26" i="29"/>
  <c r="AY26" i="29"/>
  <c r="AX26" i="29"/>
  <c r="BA25" i="29"/>
  <c r="AZ25" i="29"/>
  <c r="AY25" i="29"/>
  <c r="AX25" i="29"/>
  <c r="BA24" i="29"/>
  <c r="AZ24" i="29"/>
  <c r="AY24" i="29"/>
  <c r="AX24" i="29"/>
  <c r="BA23" i="29"/>
  <c r="AZ23" i="29"/>
  <c r="AY23" i="29"/>
  <c r="AX23" i="29"/>
  <c r="BA22" i="29"/>
  <c r="AZ22" i="29"/>
  <c r="AY22" i="29"/>
  <c r="AX22" i="29"/>
  <c r="BA21" i="29"/>
  <c r="AZ21" i="29"/>
  <c r="AY21" i="29"/>
  <c r="AX21" i="29"/>
  <c r="BA20" i="29"/>
  <c r="AZ20" i="29"/>
  <c r="AY20" i="29"/>
  <c r="AX20" i="29"/>
  <c r="BA19" i="29"/>
  <c r="AZ19" i="29"/>
  <c r="AY19" i="29"/>
  <c r="AX19" i="29"/>
  <c r="BA18" i="29"/>
  <c r="AZ18" i="29"/>
  <c r="AY18" i="29"/>
  <c r="AX18" i="29"/>
  <c r="BA17" i="29"/>
  <c r="AZ17" i="29"/>
  <c r="AY17" i="29"/>
  <c r="AX17" i="29"/>
  <c r="BA16" i="29"/>
  <c r="AZ16" i="29"/>
  <c r="AY16" i="29"/>
  <c r="AX16" i="29"/>
  <c r="BA15" i="29"/>
  <c r="AZ15" i="29"/>
  <c r="AY15" i="29"/>
  <c r="AX15" i="29"/>
  <c r="BA14" i="29"/>
  <c r="AZ14" i="29"/>
  <c r="AY14" i="29"/>
  <c r="AX14" i="29"/>
  <c r="BA13" i="29"/>
  <c r="AZ13" i="29"/>
  <c r="AY13" i="29"/>
  <c r="AX13" i="29"/>
  <c r="BA12" i="29"/>
  <c r="AZ12" i="29"/>
  <c r="AY12" i="29"/>
  <c r="AX12" i="29"/>
  <c r="BA11" i="29"/>
  <c r="AZ11" i="29"/>
  <c r="AY11" i="29"/>
  <c r="AX11" i="29"/>
  <c r="BA10" i="29"/>
  <c r="AZ10" i="29"/>
  <c r="AY10" i="29"/>
  <c r="AX10" i="29"/>
  <c r="BA9" i="29"/>
  <c r="AZ9" i="29"/>
  <c r="AY9" i="29"/>
  <c r="AX9" i="29"/>
  <c r="BA8" i="29"/>
  <c r="AZ8" i="29"/>
  <c r="AY8" i="29"/>
  <c r="AX8" i="29"/>
  <c r="BA7" i="29"/>
  <c r="AZ7" i="29"/>
  <c r="AY7" i="29"/>
  <c r="AX7" i="29"/>
  <c r="BA6" i="29"/>
  <c r="AZ6" i="29"/>
  <c r="AY6" i="29"/>
  <c r="AX6" i="29"/>
  <c r="BA5" i="29"/>
  <c r="AZ5" i="29"/>
  <c r="AY5" i="29"/>
  <c r="AX5" i="29"/>
  <c r="AV35" i="29"/>
  <c r="AU35" i="29"/>
  <c r="AT35" i="29"/>
  <c r="AS35" i="29"/>
  <c r="AV34" i="29"/>
  <c r="AU34" i="29"/>
  <c r="AT34" i="29"/>
  <c r="AS34" i="29"/>
  <c r="AV33" i="29"/>
  <c r="AU33" i="29"/>
  <c r="AT33" i="29"/>
  <c r="AS33" i="29"/>
  <c r="AV32" i="29"/>
  <c r="AU32" i="29"/>
  <c r="AT32" i="29"/>
  <c r="AS32" i="29"/>
  <c r="AV31" i="29"/>
  <c r="AU31" i="29"/>
  <c r="AT31" i="29"/>
  <c r="AS31" i="29"/>
  <c r="AV30" i="29"/>
  <c r="AU30" i="29"/>
  <c r="AT30" i="29"/>
  <c r="AS30" i="29"/>
  <c r="AV29" i="29"/>
  <c r="AU29" i="29"/>
  <c r="AT29" i="29"/>
  <c r="AS29" i="29"/>
  <c r="AV28" i="29"/>
  <c r="AU28" i="29"/>
  <c r="AT28" i="29"/>
  <c r="AS28" i="29"/>
  <c r="AV27" i="29"/>
  <c r="AU27" i="29"/>
  <c r="AT27" i="29"/>
  <c r="AS27" i="29"/>
  <c r="AV26" i="29"/>
  <c r="AU26" i="29"/>
  <c r="AT26" i="29"/>
  <c r="AS26" i="29"/>
  <c r="AV25" i="29"/>
  <c r="AU25" i="29"/>
  <c r="AT25" i="29"/>
  <c r="AS25" i="29"/>
  <c r="AV24" i="29"/>
  <c r="AU24" i="29"/>
  <c r="AT24" i="29"/>
  <c r="AS24" i="29"/>
  <c r="AV23" i="29"/>
  <c r="AU23" i="29"/>
  <c r="AT23" i="29"/>
  <c r="AS23" i="29"/>
  <c r="AV22" i="29"/>
  <c r="AU22" i="29"/>
  <c r="AT22" i="29"/>
  <c r="AS22" i="29"/>
  <c r="AV21" i="29"/>
  <c r="AU21" i="29"/>
  <c r="AT21" i="29"/>
  <c r="AS21" i="29"/>
  <c r="AV20" i="29"/>
  <c r="AU20" i="29"/>
  <c r="AT20" i="29"/>
  <c r="AS20" i="29"/>
  <c r="AV19" i="29"/>
  <c r="AU19" i="29"/>
  <c r="AT19" i="29"/>
  <c r="AS19" i="29"/>
  <c r="AV18" i="29"/>
  <c r="AU18" i="29"/>
  <c r="AT18" i="29"/>
  <c r="AS18" i="29"/>
  <c r="AV17" i="29"/>
  <c r="AU17" i="29"/>
  <c r="AT17" i="29"/>
  <c r="AS17" i="29"/>
  <c r="AV16" i="29"/>
  <c r="AU16" i="29"/>
  <c r="AT16" i="29"/>
  <c r="AS16" i="29"/>
  <c r="AV15" i="29"/>
  <c r="AU15" i="29"/>
  <c r="AT15" i="29"/>
  <c r="AS15" i="29"/>
  <c r="AV14" i="29"/>
  <c r="AU14" i="29"/>
  <c r="AT14" i="29"/>
  <c r="AS14" i="29"/>
  <c r="AV13" i="29"/>
  <c r="AU13" i="29"/>
  <c r="AT13" i="29"/>
  <c r="AS13" i="29"/>
  <c r="AV12" i="29"/>
  <c r="AU12" i="29"/>
  <c r="AT12" i="29"/>
  <c r="AS12" i="29"/>
  <c r="AV11" i="29"/>
  <c r="AU11" i="29"/>
  <c r="AT11" i="29"/>
  <c r="AS11" i="29"/>
  <c r="AV10" i="29"/>
  <c r="AU10" i="29"/>
  <c r="AT10" i="29"/>
  <c r="AS10" i="29"/>
  <c r="AV9" i="29"/>
  <c r="AU9" i="29"/>
  <c r="AT9" i="29"/>
  <c r="AS9" i="29"/>
  <c r="AV8" i="29"/>
  <c r="AU8" i="29"/>
  <c r="AT8" i="29"/>
  <c r="AS8" i="29"/>
  <c r="AV7" i="29"/>
  <c r="AU7" i="29"/>
  <c r="AT7" i="29"/>
  <c r="AS7" i="29"/>
  <c r="AV6" i="29"/>
  <c r="AU6" i="29"/>
  <c r="AT6" i="29"/>
  <c r="AS6" i="29"/>
  <c r="AV5" i="29"/>
  <c r="AU5" i="29"/>
  <c r="AT5" i="29"/>
  <c r="AS5" i="29"/>
  <c r="AQ35" i="29"/>
  <c r="AP35" i="29"/>
  <c r="AO35" i="29"/>
  <c r="AN35" i="29"/>
  <c r="AQ34" i="29"/>
  <c r="AP34" i="29"/>
  <c r="AO34" i="29"/>
  <c r="AN34" i="29"/>
  <c r="AQ33" i="29"/>
  <c r="AP33" i="29"/>
  <c r="AO33" i="29"/>
  <c r="AN33" i="29"/>
  <c r="AQ32" i="29"/>
  <c r="AP32" i="29"/>
  <c r="AO32" i="29"/>
  <c r="AN32" i="29"/>
  <c r="AQ31" i="29"/>
  <c r="AP31" i="29"/>
  <c r="AO31" i="29"/>
  <c r="AN31" i="29"/>
  <c r="AQ30" i="29"/>
  <c r="AP30" i="29"/>
  <c r="AO30" i="29"/>
  <c r="AN30" i="29"/>
  <c r="AQ29" i="29"/>
  <c r="AP29" i="29"/>
  <c r="AO29" i="29"/>
  <c r="AN29" i="29"/>
  <c r="AQ28" i="29"/>
  <c r="AP28" i="29"/>
  <c r="AO28" i="29"/>
  <c r="AN28" i="29"/>
  <c r="AQ27" i="29"/>
  <c r="AP27" i="29"/>
  <c r="AO27" i="29"/>
  <c r="AN27" i="29"/>
  <c r="AQ26" i="29"/>
  <c r="AP26" i="29"/>
  <c r="AO26" i="29"/>
  <c r="AN26" i="29"/>
  <c r="AQ25" i="29"/>
  <c r="AP25" i="29"/>
  <c r="AO25" i="29"/>
  <c r="AN25" i="29"/>
  <c r="AQ24" i="29"/>
  <c r="AP24" i="29"/>
  <c r="AO24" i="29"/>
  <c r="AN24" i="29"/>
  <c r="AQ23" i="29"/>
  <c r="AP23" i="29"/>
  <c r="AO23" i="29"/>
  <c r="AN23" i="29"/>
  <c r="AQ22" i="29"/>
  <c r="AP22" i="29"/>
  <c r="AO22" i="29"/>
  <c r="AN22" i="29"/>
  <c r="AQ21" i="29"/>
  <c r="AP21" i="29"/>
  <c r="AO21" i="29"/>
  <c r="AN21" i="29"/>
  <c r="AQ20" i="29"/>
  <c r="AP20" i="29"/>
  <c r="AO20" i="29"/>
  <c r="AN20" i="29"/>
  <c r="AQ19" i="29"/>
  <c r="AP19" i="29"/>
  <c r="AO19" i="29"/>
  <c r="AN19" i="29"/>
  <c r="AQ18" i="29"/>
  <c r="AP18" i="29"/>
  <c r="AO18" i="29"/>
  <c r="AN18" i="29"/>
  <c r="AQ17" i="29"/>
  <c r="AP17" i="29"/>
  <c r="AO17" i="29"/>
  <c r="AN17" i="29"/>
  <c r="AQ16" i="29"/>
  <c r="AP16" i="29"/>
  <c r="AO16" i="29"/>
  <c r="AN16" i="29"/>
  <c r="AQ15" i="29"/>
  <c r="AP15" i="29"/>
  <c r="AO15" i="29"/>
  <c r="AN15" i="29"/>
  <c r="AQ14" i="29"/>
  <c r="AP14" i="29"/>
  <c r="AO14" i="29"/>
  <c r="AN14" i="29"/>
  <c r="AQ13" i="29"/>
  <c r="AP13" i="29"/>
  <c r="AO13" i="29"/>
  <c r="AN13" i="29"/>
  <c r="AQ12" i="29"/>
  <c r="AP12" i="29"/>
  <c r="AO12" i="29"/>
  <c r="AN12" i="29"/>
  <c r="AQ11" i="29"/>
  <c r="AP11" i="29"/>
  <c r="AO11" i="29"/>
  <c r="AN11" i="29"/>
  <c r="AQ10" i="29"/>
  <c r="AP10" i="29"/>
  <c r="AO10" i="29"/>
  <c r="AN10" i="29"/>
  <c r="AQ9" i="29"/>
  <c r="AP9" i="29"/>
  <c r="AO9" i="29"/>
  <c r="AN9" i="29"/>
  <c r="AQ8" i="29"/>
  <c r="AP8" i="29"/>
  <c r="AO8" i="29"/>
  <c r="AN8" i="29"/>
  <c r="AQ7" i="29"/>
  <c r="AP7" i="29"/>
  <c r="AO7" i="29"/>
  <c r="AN7" i="29"/>
  <c r="AQ6" i="29"/>
  <c r="AP6" i="29"/>
  <c r="AO6" i="29"/>
  <c r="AN6" i="29"/>
  <c r="AQ5" i="29"/>
  <c r="AP5" i="29"/>
  <c r="AO5" i="29"/>
  <c r="AN5" i="29"/>
  <c r="AL35" i="29"/>
  <c r="AK35" i="29"/>
  <c r="AJ35" i="29"/>
  <c r="AI35" i="29"/>
  <c r="AL34" i="29"/>
  <c r="AK34" i="29"/>
  <c r="AJ34" i="29"/>
  <c r="AI34" i="29"/>
  <c r="AL33" i="29"/>
  <c r="AK33" i="29"/>
  <c r="AJ33" i="29"/>
  <c r="AI33" i="29"/>
  <c r="AL32" i="29"/>
  <c r="AK32" i="29"/>
  <c r="AJ32" i="29"/>
  <c r="AI32" i="29"/>
  <c r="AL31" i="29"/>
  <c r="AK31" i="29"/>
  <c r="AJ31" i="29"/>
  <c r="AI31" i="29"/>
  <c r="AL30" i="29"/>
  <c r="AK30" i="29"/>
  <c r="AJ30" i="29"/>
  <c r="AI30" i="29"/>
  <c r="AL29" i="29"/>
  <c r="AK29" i="29"/>
  <c r="AJ29" i="29"/>
  <c r="AI29" i="29"/>
  <c r="AL28" i="29"/>
  <c r="AK28" i="29"/>
  <c r="AJ28" i="29"/>
  <c r="AI28" i="29"/>
  <c r="AL27" i="29"/>
  <c r="AK27" i="29"/>
  <c r="AJ27" i="29"/>
  <c r="AI27" i="29"/>
  <c r="AL26" i="29"/>
  <c r="AK26" i="29"/>
  <c r="AJ26" i="29"/>
  <c r="AI26" i="29"/>
  <c r="AL25" i="29"/>
  <c r="AK25" i="29"/>
  <c r="AJ25" i="29"/>
  <c r="AI25" i="29"/>
  <c r="AL24" i="29"/>
  <c r="AK24" i="29"/>
  <c r="AJ24" i="29"/>
  <c r="AI24" i="29"/>
  <c r="AL23" i="29"/>
  <c r="AK23" i="29"/>
  <c r="AJ23" i="29"/>
  <c r="AI23" i="29"/>
  <c r="AL22" i="29"/>
  <c r="AK22" i="29"/>
  <c r="AJ22" i="29"/>
  <c r="AI22" i="29"/>
  <c r="AL21" i="29"/>
  <c r="AK21" i="29"/>
  <c r="AJ21" i="29"/>
  <c r="AI21" i="29"/>
  <c r="AL20" i="29"/>
  <c r="AK20" i="29"/>
  <c r="AJ20" i="29"/>
  <c r="AI20" i="29"/>
  <c r="AL19" i="29"/>
  <c r="AK19" i="29"/>
  <c r="AJ19" i="29"/>
  <c r="AI19" i="29"/>
  <c r="AL18" i="29"/>
  <c r="AK18" i="29"/>
  <c r="AJ18" i="29"/>
  <c r="AI18" i="29"/>
  <c r="AL17" i="29"/>
  <c r="AK17" i="29"/>
  <c r="AJ17" i="29"/>
  <c r="AI17" i="29"/>
  <c r="AL16" i="29"/>
  <c r="AK16" i="29"/>
  <c r="AJ16" i="29"/>
  <c r="AI16" i="29"/>
  <c r="AL15" i="29"/>
  <c r="AK15" i="29"/>
  <c r="AJ15" i="29"/>
  <c r="AI15" i="29"/>
  <c r="AL14" i="29"/>
  <c r="AK14" i="29"/>
  <c r="AJ14" i="29"/>
  <c r="AI14" i="29"/>
  <c r="AL13" i="29"/>
  <c r="AK13" i="29"/>
  <c r="AJ13" i="29"/>
  <c r="AI13" i="29"/>
  <c r="AL12" i="29"/>
  <c r="AK12" i="29"/>
  <c r="AJ12" i="29"/>
  <c r="AI12" i="29"/>
  <c r="AL11" i="29"/>
  <c r="AK11" i="29"/>
  <c r="AJ11" i="29"/>
  <c r="AI11" i="29"/>
  <c r="AL10" i="29"/>
  <c r="AK10" i="29"/>
  <c r="AJ10" i="29"/>
  <c r="AI10" i="29"/>
  <c r="AL9" i="29"/>
  <c r="AK9" i="29"/>
  <c r="AJ9" i="29"/>
  <c r="AI9" i="29"/>
  <c r="AL8" i="29"/>
  <c r="AK8" i="29"/>
  <c r="AJ8" i="29"/>
  <c r="AI8" i="29"/>
  <c r="AL7" i="29"/>
  <c r="AK7" i="29"/>
  <c r="AJ7" i="29"/>
  <c r="AI7" i="29"/>
  <c r="AL6" i="29"/>
  <c r="AK6" i="29"/>
  <c r="AJ6" i="29"/>
  <c r="AI6" i="29"/>
  <c r="AL5" i="29"/>
  <c r="AK5" i="29"/>
  <c r="AJ5" i="29"/>
  <c r="AI5" i="29"/>
  <c r="AG35" i="29"/>
  <c r="AF35" i="29"/>
  <c r="AE35" i="29"/>
  <c r="AD35" i="29"/>
  <c r="AG34" i="29"/>
  <c r="AF34" i="29"/>
  <c r="AE34" i="29"/>
  <c r="AD34" i="29"/>
  <c r="AG33" i="29"/>
  <c r="AF33" i="29"/>
  <c r="AE33" i="29"/>
  <c r="AD33" i="29"/>
  <c r="AG32" i="29"/>
  <c r="AF32" i="29"/>
  <c r="AE32" i="29"/>
  <c r="AD32" i="29"/>
  <c r="AG31" i="29"/>
  <c r="AF31" i="29"/>
  <c r="AE31" i="29"/>
  <c r="AD31" i="29"/>
  <c r="AG30" i="29"/>
  <c r="AF30" i="29"/>
  <c r="AE30" i="29"/>
  <c r="AD30" i="29"/>
  <c r="AG29" i="29"/>
  <c r="AF29" i="29"/>
  <c r="AE29" i="29"/>
  <c r="AD29" i="29"/>
  <c r="AG28" i="29"/>
  <c r="AF28" i="29"/>
  <c r="AE28" i="29"/>
  <c r="AD28" i="29"/>
  <c r="AG27" i="29"/>
  <c r="AF27" i="29"/>
  <c r="AE27" i="29"/>
  <c r="AD27" i="29"/>
  <c r="AG26" i="29"/>
  <c r="AF26" i="29"/>
  <c r="AE26" i="29"/>
  <c r="AD26" i="29"/>
  <c r="AG25" i="29"/>
  <c r="AF25" i="29"/>
  <c r="AE25" i="29"/>
  <c r="AD25" i="29"/>
  <c r="AG24" i="29"/>
  <c r="AF24" i="29"/>
  <c r="AE24" i="29"/>
  <c r="AD24" i="29"/>
  <c r="AG23" i="29"/>
  <c r="AF23" i="29"/>
  <c r="AE23" i="29"/>
  <c r="AD23" i="29"/>
  <c r="AG22" i="29"/>
  <c r="AF22" i="29"/>
  <c r="AE22" i="29"/>
  <c r="AD22" i="29"/>
  <c r="AG21" i="29"/>
  <c r="AF21" i="29"/>
  <c r="AE21" i="29"/>
  <c r="AD21" i="29"/>
  <c r="AG20" i="29"/>
  <c r="AF20" i="29"/>
  <c r="AE20" i="29"/>
  <c r="AD20" i="29"/>
  <c r="AG19" i="29"/>
  <c r="AF19" i="29"/>
  <c r="AE19" i="29"/>
  <c r="AD19" i="29"/>
  <c r="AG18" i="29"/>
  <c r="AF18" i="29"/>
  <c r="AE18" i="29"/>
  <c r="AD18" i="29"/>
  <c r="AG17" i="29"/>
  <c r="AF17" i="29"/>
  <c r="AE17" i="29"/>
  <c r="AD17" i="29"/>
  <c r="AG16" i="29"/>
  <c r="AF16" i="29"/>
  <c r="AE16" i="29"/>
  <c r="AD16" i="29"/>
  <c r="AG15" i="29"/>
  <c r="AF15" i="29"/>
  <c r="AE15" i="29"/>
  <c r="AD15" i="29"/>
  <c r="AG14" i="29"/>
  <c r="AF14" i="29"/>
  <c r="AE14" i="29"/>
  <c r="AD14" i="29"/>
  <c r="AG13" i="29"/>
  <c r="AF13" i="29"/>
  <c r="AE13" i="29"/>
  <c r="AD13" i="29"/>
  <c r="AG12" i="29"/>
  <c r="AF12" i="29"/>
  <c r="AE12" i="29"/>
  <c r="AD12" i="29"/>
  <c r="AG11" i="29"/>
  <c r="AF11" i="29"/>
  <c r="AE11" i="29"/>
  <c r="AD11" i="29"/>
  <c r="AG10" i="29"/>
  <c r="AF10" i="29"/>
  <c r="AE10" i="29"/>
  <c r="AD10" i="29"/>
  <c r="AG9" i="29"/>
  <c r="AF9" i="29"/>
  <c r="AE9" i="29"/>
  <c r="AD9" i="29"/>
  <c r="AG8" i="29"/>
  <c r="AF8" i="29"/>
  <c r="AE8" i="29"/>
  <c r="AD8" i="29"/>
  <c r="AG7" i="29"/>
  <c r="AF7" i="29"/>
  <c r="AE7" i="29"/>
  <c r="AD7" i="29"/>
  <c r="AG6" i="29"/>
  <c r="AF6" i="29"/>
  <c r="AE6" i="29"/>
  <c r="AD6" i="29"/>
  <c r="AG5" i="29"/>
  <c r="AF5" i="29"/>
  <c r="AE5" i="29"/>
  <c r="AD5" i="29"/>
  <c r="AB35" i="29"/>
  <c r="AA35" i="29"/>
  <c r="Z35" i="29"/>
  <c r="Y35" i="29"/>
  <c r="AB34" i="29"/>
  <c r="AA34" i="29"/>
  <c r="Z34" i="29"/>
  <c r="Y34" i="29"/>
  <c r="AB33" i="29"/>
  <c r="AA33" i="29"/>
  <c r="Z33" i="29"/>
  <c r="Y33" i="29"/>
  <c r="AB32" i="29"/>
  <c r="AA32" i="29"/>
  <c r="Z32" i="29"/>
  <c r="Y32" i="29"/>
  <c r="AB31" i="29"/>
  <c r="AA31" i="29"/>
  <c r="Z31" i="29"/>
  <c r="Y31" i="29"/>
  <c r="AB30" i="29"/>
  <c r="AA30" i="29"/>
  <c r="Z30" i="29"/>
  <c r="Y30" i="29"/>
  <c r="AB29" i="29"/>
  <c r="AA29" i="29"/>
  <c r="Z29" i="29"/>
  <c r="Y29" i="29"/>
  <c r="AB28" i="29"/>
  <c r="AA28" i="29"/>
  <c r="Z28" i="29"/>
  <c r="Y28" i="29"/>
  <c r="AB27" i="29"/>
  <c r="AA27" i="29"/>
  <c r="Z27" i="29"/>
  <c r="Y27" i="29"/>
  <c r="AB26" i="29"/>
  <c r="AA26" i="29"/>
  <c r="Z26" i="29"/>
  <c r="Y26" i="29"/>
  <c r="AB25" i="29"/>
  <c r="AA25" i="29"/>
  <c r="Z25" i="29"/>
  <c r="Y25" i="29"/>
  <c r="AB24" i="29"/>
  <c r="AA24" i="29"/>
  <c r="Z24" i="29"/>
  <c r="Y24" i="29"/>
  <c r="AB23" i="29"/>
  <c r="AA23" i="29"/>
  <c r="Z23" i="29"/>
  <c r="Y23" i="29"/>
  <c r="AB22" i="29"/>
  <c r="AA22" i="29"/>
  <c r="Z22" i="29"/>
  <c r="Y22" i="29"/>
  <c r="AB21" i="29"/>
  <c r="AA21" i="29"/>
  <c r="Z21" i="29"/>
  <c r="Y21" i="29"/>
  <c r="AB20" i="29"/>
  <c r="AA20" i="29"/>
  <c r="Z20" i="29"/>
  <c r="Y20" i="29"/>
  <c r="AB19" i="29"/>
  <c r="AA19" i="29"/>
  <c r="Z19" i="29"/>
  <c r="Y19" i="29"/>
  <c r="AB18" i="29"/>
  <c r="AA18" i="29"/>
  <c r="Z18" i="29"/>
  <c r="Y18" i="29"/>
  <c r="AB17" i="29"/>
  <c r="AA17" i="29"/>
  <c r="Z17" i="29"/>
  <c r="Y17" i="29"/>
  <c r="AB16" i="29"/>
  <c r="AA16" i="29"/>
  <c r="Z16" i="29"/>
  <c r="Y16" i="29"/>
  <c r="AB15" i="29"/>
  <c r="AA15" i="29"/>
  <c r="Z15" i="29"/>
  <c r="Y15" i="29"/>
  <c r="AB14" i="29"/>
  <c r="AA14" i="29"/>
  <c r="Z14" i="29"/>
  <c r="Y14" i="29"/>
  <c r="AB13" i="29"/>
  <c r="AA13" i="29"/>
  <c r="Z13" i="29"/>
  <c r="Y13" i="29"/>
  <c r="AB12" i="29"/>
  <c r="AA12" i="29"/>
  <c r="Z12" i="29"/>
  <c r="Y12" i="29"/>
  <c r="AB11" i="29"/>
  <c r="AA11" i="29"/>
  <c r="Z11" i="29"/>
  <c r="Y11" i="29"/>
  <c r="AB10" i="29"/>
  <c r="AA10" i="29"/>
  <c r="Z10" i="29"/>
  <c r="Y10" i="29"/>
  <c r="AB9" i="29"/>
  <c r="AA9" i="29"/>
  <c r="Z9" i="29"/>
  <c r="Y9" i="29"/>
  <c r="AB8" i="29"/>
  <c r="AA8" i="29"/>
  <c r="Z8" i="29"/>
  <c r="Y8" i="29"/>
  <c r="AB7" i="29"/>
  <c r="AA7" i="29"/>
  <c r="Z7" i="29"/>
  <c r="Y7" i="29"/>
  <c r="AB6" i="29"/>
  <c r="AA6" i="29"/>
  <c r="Z6" i="29"/>
  <c r="Y6" i="29"/>
  <c r="AB5" i="29"/>
  <c r="AA5" i="29"/>
  <c r="Z5" i="29"/>
  <c r="Y5" i="29"/>
  <c r="BK2" i="29"/>
  <c r="BJ2" i="29"/>
  <c r="W35" i="29"/>
  <c r="V35" i="29"/>
  <c r="U35" i="29"/>
  <c r="T35" i="29"/>
  <c r="W34" i="29"/>
  <c r="V34" i="29"/>
  <c r="U34" i="29"/>
  <c r="T34" i="29"/>
  <c r="W33" i="29"/>
  <c r="V33" i="29"/>
  <c r="U33" i="29"/>
  <c r="T33" i="29"/>
  <c r="W32" i="29"/>
  <c r="V32" i="29"/>
  <c r="U32" i="29"/>
  <c r="T32" i="29"/>
  <c r="W31" i="29"/>
  <c r="V31" i="29"/>
  <c r="U31" i="29"/>
  <c r="T31" i="29"/>
  <c r="W30" i="29"/>
  <c r="V30" i="29"/>
  <c r="U30" i="29"/>
  <c r="T30" i="29"/>
  <c r="W29" i="29"/>
  <c r="V29" i="29"/>
  <c r="U29" i="29"/>
  <c r="T29" i="29"/>
  <c r="W28" i="29"/>
  <c r="V28" i="29"/>
  <c r="U28" i="29"/>
  <c r="T28" i="29"/>
  <c r="W27" i="29"/>
  <c r="V27" i="29"/>
  <c r="U27" i="29"/>
  <c r="T27" i="29"/>
  <c r="W26" i="29"/>
  <c r="V26" i="29"/>
  <c r="U26" i="29"/>
  <c r="T26" i="29"/>
  <c r="W25" i="29"/>
  <c r="V25" i="29"/>
  <c r="U25" i="29"/>
  <c r="T25" i="29"/>
  <c r="W24" i="29"/>
  <c r="V24" i="29"/>
  <c r="U24" i="29"/>
  <c r="T24" i="29"/>
  <c r="W23" i="29"/>
  <c r="V23" i="29"/>
  <c r="U23" i="29"/>
  <c r="T23" i="29"/>
  <c r="W22" i="29"/>
  <c r="V22" i="29"/>
  <c r="U22" i="29"/>
  <c r="T22" i="29"/>
  <c r="W21" i="29"/>
  <c r="V21" i="29"/>
  <c r="U21" i="29"/>
  <c r="T21" i="29"/>
  <c r="W20" i="29"/>
  <c r="V20" i="29"/>
  <c r="U20" i="29"/>
  <c r="T20" i="29"/>
  <c r="W19" i="29"/>
  <c r="V19" i="29"/>
  <c r="U19" i="29"/>
  <c r="T19" i="29"/>
  <c r="W18" i="29"/>
  <c r="V18" i="29"/>
  <c r="U18" i="29"/>
  <c r="T18" i="29"/>
  <c r="W17" i="29"/>
  <c r="V17" i="29"/>
  <c r="U17" i="29"/>
  <c r="T17" i="29"/>
  <c r="W16" i="29"/>
  <c r="V16" i="29"/>
  <c r="U16" i="29"/>
  <c r="T16" i="29"/>
  <c r="W15" i="29"/>
  <c r="V15" i="29"/>
  <c r="U15" i="29"/>
  <c r="T15" i="29"/>
  <c r="W14" i="29"/>
  <c r="V14" i="29"/>
  <c r="U14" i="29"/>
  <c r="T14" i="29"/>
  <c r="W13" i="29"/>
  <c r="V13" i="29"/>
  <c r="U13" i="29"/>
  <c r="T13" i="29"/>
  <c r="W12" i="29"/>
  <c r="V12" i="29"/>
  <c r="U12" i="29"/>
  <c r="T12" i="29"/>
  <c r="W11" i="29"/>
  <c r="V11" i="29"/>
  <c r="U11" i="29"/>
  <c r="T11" i="29"/>
  <c r="W10" i="29"/>
  <c r="V10" i="29"/>
  <c r="U10" i="29"/>
  <c r="T10" i="29"/>
  <c r="W9" i="29"/>
  <c r="V9" i="29"/>
  <c r="U9" i="29"/>
  <c r="T9" i="29"/>
  <c r="W8" i="29"/>
  <c r="V8" i="29"/>
  <c r="U8" i="29"/>
  <c r="T8" i="29"/>
  <c r="W7" i="29"/>
  <c r="V7" i="29"/>
  <c r="U7" i="29"/>
  <c r="T7" i="29"/>
  <c r="W6" i="29"/>
  <c r="V6" i="29"/>
  <c r="U6" i="29"/>
  <c r="T6" i="29"/>
  <c r="W5" i="29"/>
  <c r="V5" i="29"/>
  <c r="U5" i="29"/>
  <c r="T5" i="29"/>
  <c r="R35" i="29"/>
  <c r="Q35" i="29"/>
  <c r="P35" i="29"/>
  <c r="O35" i="29"/>
  <c r="R34" i="29"/>
  <c r="Q34" i="29"/>
  <c r="P34" i="29"/>
  <c r="O34" i="29"/>
  <c r="R33" i="29"/>
  <c r="Q33" i="29"/>
  <c r="P33" i="29"/>
  <c r="O33" i="29"/>
  <c r="R32" i="29"/>
  <c r="Q32" i="29"/>
  <c r="P32" i="29"/>
  <c r="O32" i="29"/>
  <c r="R31" i="29"/>
  <c r="Q31" i="29"/>
  <c r="P31" i="29"/>
  <c r="O31" i="29"/>
  <c r="R30" i="29"/>
  <c r="Q30" i="29"/>
  <c r="P30" i="29"/>
  <c r="O30" i="29"/>
  <c r="R29" i="29"/>
  <c r="Q29" i="29"/>
  <c r="P29" i="29"/>
  <c r="O29" i="29"/>
  <c r="R28" i="29"/>
  <c r="Q28" i="29"/>
  <c r="P28" i="29"/>
  <c r="O28" i="29"/>
  <c r="R27" i="29"/>
  <c r="Q27" i="29"/>
  <c r="P27" i="29"/>
  <c r="O27" i="29"/>
  <c r="R26" i="29"/>
  <c r="Q26" i="29"/>
  <c r="P26" i="29"/>
  <c r="O26" i="29"/>
  <c r="R25" i="29"/>
  <c r="Q25" i="29"/>
  <c r="P25" i="29"/>
  <c r="O25" i="29"/>
  <c r="R24" i="29"/>
  <c r="Q24" i="29"/>
  <c r="P24" i="29"/>
  <c r="O24" i="29"/>
  <c r="R23" i="29"/>
  <c r="Q23" i="29"/>
  <c r="P23" i="29"/>
  <c r="O23" i="29"/>
  <c r="R22" i="29"/>
  <c r="Q22" i="29"/>
  <c r="P22" i="29"/>
  <c r="O22" i="29"/>
  <c r="R21" i="29"/>
  <c r="Q21" i="29"/>
  <c r="P21" i="29"/>
  <c r="O21" i="29"/>
  <c r="R20" i="29"/>
  <c r="Q20" i="29"/>
  <c r="P20" i="29"/>
  <c r="O20" i="29"/>
  <c r="R19" i="29"/>
  <c r="Q19" i="29"/>
  <c r="P19" i="29"/>
  <c r="O19" i="29"/>
  <c r="R18" i="29"/>
  <c r="Q18" i="29"/>
  <c r="P18" i="29"/>
  <c r="O18" i="29"/>
  <c r="R17" i="29"/>
  <c r="Q17" i="29"/>
  <c r="P17" i="29"/>
  <c r="O17" i="29"/>
  <c r="R16" i="29"/>
  <c r="Q16" i="29"/>
  <c r="P16" i="29"/>
  <c r="O16" i="29"/>
  <c r="R15" i="29"/>
  <c r="Q15" i="29"/>
  <c r="P15" i="29"/>
  <c r="O15" i="29"/>
  <c r="R14" i="29"/>
  <c r="Q14" i="29"/>
  <c r="P14" i="29"/>
  <c r="O14" i="29"/>
  <c r="R13" i="29"/>
  <c r="Q13" i="29"/>
  <c r="P13" i="29"/>
  <c r="O13" i="29"/>
  <c r="R12" i="29"/>
  <c r="Q12" i="29"/>
  <c r="P12" i="29"/>
  <c r="O12" i="29"/>
  <c r="R11" i="29"/>
  <c r="Q11" i="29"/>
  <c r="P11" i="29"/>
  <c r="O11" i="29"/>
  <c r="R10" i="29"/>
  <c r="Q10" i="29"/>
  <c r="P10" i="29"/>
  <c r="O10" i="29"/>
  <c r="R9" i="29"/>
  <c r="Q9" i="29"/>
  <c r="P9" i="29"/>
  <c r="O9" i="29"/>
  <c r="R8" i="29"/>
  <c r="Q8" i="29"/>
  <c r="P8" i="29"/>
  <c r="O8" i="29"/>
  <c r="R7" i="29"/>
  <c r="Q7" i="29"/>
  <c r="P7" i="29"/>
  <c r="O7" i="29"/>
  <c r="R6" i="29"/>
  <c r="Q6" i="29"/>
  <c r="P6" i="29"/>
  <c r="O6" i="29"/>
  <c r="R5" i="29"/>
  <c r="Q5" i="29"/>
  <c r="P5" i="29"/>
  <c r="O5" i="29"/>
  <c r="M35" i="29"/>
  <c r="L35" i="29"/>
  <c r="K35" i="29"/>
  <c r="J35" i="29"/>
  <c r="M34" i="29"/>
  <c r="L34" i="29"/>
  <c r="K34" i="29"/>
  <c r="J34" i="29"/>
  <c r="M33" i="29"/>
  <c r="L33" i="29"/>
  <c r="K33" i="29"/>
  <c r="J33" i="29"/>
  <c r="M32" i="29"/>
  <c r="L32" i="29"/>
  <c r="K32" i="29"/>
  <c r="J32" i="29"/>
  <c r="M31" i="29"/>
  <c r="L31" i="29"/>
  <c r="K31" i="29"/>
  <c r="J31" i="29"/>
  <c r="M30" i="29"/>
  <c r="L30" i="29"/>
  <c r="K30" i="29"/>
  <c r="J30" i="29"/>
  <c r="M29" i="29"/>
  <c r="L29" i="29"/>
  <c r="K29" i="29"/>
  <c r="J29" i="29"/>
  <c r="M28" i="29"/>
  <c r="L28" i="29"/>
  <c r="K28" i="29"/>
  <c r="J28" i="29"/>
  <c r="M27" i="29"/>
  <c r="L27" i="29"/>
  <c r="K27" i="29"/>
  <c r="J27" i="29"/>
  <c r="M26" i="29"/>
  <c r="L26" i="29"/>
  <c r="K26" i="29"/>
  <c r="J26" i="29"/>
  <c r="M25" i="29"/>
  <c r="L25" i="29"/>
  <c r="K25" i="29"/>
  <c r="J25" i="29"/>
  <c r="M24" i="29"/>
  <c r="L24" i="29"/>
  <c r="K24" i="29"/>
  <c r="J24" i="29"/>
  <c r="M23" i="29"/>
  <c r="L23" i="29"/>
  <c r="K23" i="29"/>
  <c r="J23" i="29"/>
  <c r="M22" i="29"/>
  <c r="L22" i="29"/>
  <c r="K22" i="29"/>
  <c r="J22" i="29"/>
  <c r="M21" i="29"/>
  <c r="L21" i="29"/>
  <c r="K21" i="29"/>
  <c r="J21" i="29"/>
  <c r="M20" i="29"/>
  <c r="L20" i="29"/>
  <c r="K20" i="29"/>
  <c r="J20" i="29"/>
  <c r="M19" i="29"/>
  <c r="L19" i="29"/>
  <c r="K19" i="29"/>
  <c r="J19" i="29"/>
  <c r="M18" i="29"/>
  <c r="L18" i="29"/>
  <c r="K18" i="29"/>
  <c r="J18" i="29"/>
  <c r="M17" i="29"/>
  <c r="L17" i="29"/>
  <c r="K17" i="29"/>
  <c r="J17" i="29"/>
  <c r="M16" i="29"/>
  <c r="L16" i="29"/>
  <c r="K16" i="29"/>
  <c r="J16" i="29"/>
  <c r="M15" i="29"/>
  <c r="L15" i="29"/>
  <c r="K15" i="29"/>
  <c r="J15" i="29"/>
  <c r="M14" i="29"/>
  <c r="L14" i="29"/>
  <c r="K14" i="29"/>
  <c r="J14" i="29"/>
  <c r="M13" i="29"/>
  <c r="L13" i="29"/>
  <c r="K13" i="29"/>
  <c r="J13" i="29"/>
  <c r="M12" i="29"/>
  <c r="L12" i="29"/>
  <c r="K12" i="29"/>
  <c r="J12" i="29"/>
  <c r="M11" i="29"/>
  <c r="L11" i="29"/>
  <c r="K11" i="29"/>
  <c r="J11" i="29"/>
  <c r="M10" i="29"/>
  <c r="L10" i="29"/>
  <c r="K10" i="29"/>
  <c r="J10" i="29"/>
  <c r="M9" i="29"/>
  <c r="L9" i="29"/>
  <c r="K9" i="29"/>
  <c r="J9" i="29"/>
  <c r="M8" i="29"/>
  <c r="L8" i="29"/>
  <c r="K8" i="29"/>
  <c r="J8" i="29"/>
  <c r="M7" i="29"/>
  <c r="L7" i="29"/>
  <c r="K7" i="29"/>
  <c r="J7" i="29"/>
  <c r="M6" i="29"/>
  <c r="L6" i="29"/>
  <c r="K6" i="29"/>
  <c r="J6" i="29"/>
  <c r="M5" i="29"/>
  <c r="L5" i="29"/>
  <c r="K5" i="29"/>
  <c r="J5" i="29"/>
  <c r="H35" i="29"/>
  <c r="G35" i="29"/>
  <c r="BO35" i="29" s="1"/>
  <c r="F35" i="29"/>
  <c r="E35" i="29"/>
  <c r="H34" i="29"/>
  <c r="G34" i="29"/>
  <c r="BO34" i="29" s="1"/>
  <c r="F34" i="29"/>
  <c r="E34" i="29"/>
  <c r="H33" i="29"/>
  <c r="G33" i="29"/>
  <c r="BO33" i="29" s="1"/>
  <c r="F33" i="29"/>
  <c r="E33" i="29"/>
  <c r="H32" i="29"/>
  <c r="G32" i="29"/>
  <c r="BO32" i="29" s="1"/>
  <c r="F32" i="29"/>
  <c r="E32" i="29"/>
  <c r="H31" i="29"/>
  <c r="G31" i="29"/>
  <c r="BO31" i="29" s="1"/>
  <c r="F31" i="29"/>
  <c r="E31" i="29"/>
  <c r="H30" i="29"/>
  <c r="G30" i="29"/>
  <c r="BO30" i="29" s="1"/>
  <c r="F30" i="29"/>
  <c r="E30" i="29"/>
  <c r="H29" i="29"/>
  <c r="G29" i="29"/>
  <c r="BO29" i="29" s="1"/>
  <c r="F29" i="29"/>
  <c r="E29" i="29"/>
  <c r="H28" i="29"/>
  <c r="G28" i="29"/>
  <c r="BO28" i="29" s="1"/>
  <c r="F28" i="29"/>
  <c r="E28" i="29"/>
  <c r="H27" i="29"/>
  <c r="G27" i="29"/>
  <c r="BO27" i="29" s="1"/>
  <c r="F27" i="29"/>
  <c r="E27" i="29"/>
  <c r="H26" i="29"/>
  <c r="G26" i="29"/>
  <c r="BO26" i="29" s="1"/>
  <c r="F26" i="29"/>
  <c r="E26" i="29"/>
  <c r="H25" i="29"/>
  <c r="G25" i="29"/>
  <c r="BO25" i="29" s="1"/>
  <c r="F25" i="29"/>
  <c r="E25" i="29"/>
  <c r="H24" i="29"/>
  <c r="G24" i="29"/>
  <c r="BO24" i="29" s="1"/>
  <c r="F24" i="29"/>
  <c r="E24" i="29"/>
  <c r="H23" i="29"/>
  <c r="G23" i="29"/>
  <c r="BO23" i="29" s="1"/>
  <c r="F23" i="29"/>
  <c r="E23" i="29"/>
  <c r="H22" i="29"/>
  <c r="G22" i="29"/>
  <c r="BO22" i="29" s="1"/>
  <c r="F22" i="29"/>
  <c r="E22" i="29"/>
  <c r="H21" i="29"/>
  <c r="G21" i="29"/>
  <c r="BO21" i="29" s="1"/>
  <c r="F21" i="29"/>
  <c r="E21" i="29"/>
  <c r="H20" i="29"/>
  <c r="G20" i="29"/>
  <c r="BO20" i="29" s="1"/>
  <c r="F20" i="29"/>
  <c r="E20" i="29"/>
  <c r="H19" i="29"/>
  <c r="G19" i="29"/>
  <c r="BO19" i="29" s="1"/>
  <c r="F19" i="29"/>
  <c r="E19" i="29"/>
  <c r="H18" i="29"/>
  <c r="G18" i="29"/>
  <c r="BO18" i="29" s="1"/>
  <c r="F18" i="29"/>
  <c r="E18" i="29"/>
  <c r="H17" i="29"/>
  <c r="G17" i="29"/>
  <c r="BO17" i="29" s="1"/>
  <c r="F17" i="29"/>
  <c r="E17" i="29"/>
  <c r="H16" i="29"/>
  <c r="G16" i="29"/>
  <c r="BO16" i="29" s="1"/>
  <c r="F16" i="29"/>
  <c r="E16" i="29"/>
  <c r="H15" i="29"/>
  <c r="G15" i="29"/>
  <c r="BO15" i="29" s="1"/>
  <c r="F15" i="29"/>
  <c r="E15" i="29"/>
  <c r="H14" i="29"/>
  <c r="G14" i="29"/>
  <c r="BO14" i="29" s="1"/>
  <c r="F14" i="29"/>
  <c r="E14" i="29"/>
  <c r="H13" i="29"/>
  <c r="G13" i="29"/>
  <c r="BO13" i="29" s="1"/>
  <c r="F13" i="29"/>
  <c r="E13" i="29"/>
  <c r="H12" i="29"/>
  <c r="G12" i="29"/>
  <c r="BO12" i="29" s="1"/>
  <c r="F12" i="29"/>
  <c r="E12" i="29"/>
  <c r="H11" i="29"/>
  <c r="G11" i="29"/>
  <c r="BO11" i="29" s="1"/>
  <c r="F11" i="29"/>
  <c r="E11" i="29"/>
  <c r="H10" i="29"/>
  <c r="G10" i="29"/>
  <c r="BO10" i="29" s="1"/>
  <c r="F10" i="29"/>
  <c r="E10" i="29"/>
  <c r="H9" i="29"/>
  <c r="G9" i="29"/>
  <c r="BO9" i="29" s="1"/>
  <c r="F9" i="29"/>
  <c r="E9" i="29"/>
  <c r="H8" i="29"/>
  <c r="G8" i="29"/>
  <c r="BO8" i="29" s="1"/>
  <c r="F8" i="29"/>
  <c r="E8" i="29"/>
  <c r="H7" i="29"/>
  <c r="G7" i="29"/>
  <c r="BO7" i="29" s="1"/>
  <c r="F7" i="29"/>
  <c r="E7" i="29"/>
  <c r="H6" i="29"/>
  <c r="G6" i="29"/>
  <c r="BO6" i="29" s="1"/>
  <c r="F6" i="29"/>
  <c r="E6" i="29"/>
  <c r="H5" i="29"/>
  <c r="G5" i="29"/>
  <c r="BO5" i="29" s="1"/>
  <c r="BO2" i="29" s="1"/>
  <c r="F5" i="29"/>
  <c r="E5" i="29"/>
  <c r="AP2" i="29"/>
  <c r="AZ107" i="23" l="1"/>
  <c r="AA108" i="23"/>
  <c r="AY105" i="23"/>
  <c r="AY106" i="23"/>
  <c r="Z21" i="8"/>
  <c r="Z20" i="8"/>
  <c r="Z17" i="8"/>
  <c r="Z13" i="8"/>
  <c r="BG27" i="29"/>
  <c r="BM5" i="29"/>
  <c r="BM6" i="29"/>
  <c r="BM7" i="29"/>
  <c r="BM8" i="29"/>
  <c r="BM9" i="29"/>
  <c r="BM10" i="29"/>
  <c r="BM11" i="29"/>
  <c r="BM12" i="29"/>
  <c r="BM13" i="29"/>
  <c r="BM14" i="29"/>
  <c r="BM15" i="29"/>
  <c r="BM16" i="29"/>
  <c r="BM17" i="29"/>
  <c r="BM18" i="29"/>
  <c r="BM19" i="29"/>
  <c r="BM20" i="29"/>
  <c r="BM21" i="29"/>
  <c r="BM22" i="29"/>
  <c r="BM23" i="29"/>
  <c r="BM24" i="29"/>
  <c r="BM25" i="29"/>
  <c r="BM26" i="29"/>
  <c r="BM27" i="29"/>
  <c r="BM28" i="29"/>
  <c r="BM29" i="29"/>
  <c r="BM30" i="29"/>
  <c r="BM31" i="29"/>
  <c r="BM32" i="29"/>
  <c r="BM33" i="29"/>
  <c r="BM34" i="29"/>
  <c r="BM35" i="29"/>
  <c r="Z11" i="8"/>
  <c r="AA11" i="8" s="1"/>
  <c r="BM5" i="30"/>
  <c r="BO5" i="30"/>
  <c r="BM6" i="30"/>
  <c r="BO6" i="30"/>
  <c r="BM7" i="30"/>
  <c r="BO7" i="30"/>
  <c r="BM8" i="30"/>
  <c r="BO8" i="30"/>
  <c r="BM9" i="30"/>
  <c r="BO9" i="30"/>
  <c r="BM10" i="30"/>
  <c r="BO10" i="30"/>
  <c r="BM11" i="30"/>
  <c r="BO11" i="30"/>
  <c r="BM12" i="30"/>
  <c r="BO12" i="30"/>
  <c r="BM13" i="30"/>
  <c r="BO13" i="30"/>
  <c r="BM14" i="30"/>
  <c r="BO14" i="30"/>
  <c r="BM15" i="30"/>
  <c r="BO15" i="30"/>
  <c r="BM16" i="30"/>
  <c r="BO16" i="30"/>
  <c r="BM17" i="30"/>
  <c r="BO17" i="30"/>
  <c r="BM18" i="30"/>
  <c r="BO18" i="30"/>
  <c r="BM19" i="30"/>
  <c r="BO19" i="30"/>
  <c r="BM20" i="30"/>
  <c r="BO20" i="30"/>
  <c r="BM21" i="30"/>
  <c r="BO21" i="30"/>
  <c r="BM22" i="30"/>
  <c r="BO22" i="30"/>
  <c r="BM23" i="30"/>
  <c r="BO23" i="30"/>
  <c r="BM24" i="30"/>
  <c r="BO24" i="30"/>
  <c r="BM25" i="30"/>
  <c r="BO25" i="30"/>
  <c r="BM26" i="30"/>
  <c r="BO26" i="30"/>
  <c r="BM27" i="30"/>
  <c r="BO27" i="30"/>
  <c r="BM28" i="30"/>
  <c r="BO28" i="30"/>
  <c r="BM29" i="30"/>
  <c r="BO29" i="30"/>
  <c r="BM30" i="30"/>
  <c r="BO30" i="30"/>
  <c r="BM31" i="30"/>
  <c r="BO31" i="30"/>
  <c r="BM32" i="30"/>
  <c r="BO32" i="30"/>
  <c r="BM33" i="30"/>
  <c r="BO33" i="30"/>
  <c r="BM34" i="30"/>
  <c r="BO34" i="30"/>
  <c r="BM35" i="30"/>
  <c r="BO35" i="30"/>
  <c r="BM36" i="30"/>
  <c r="BO36" i="30"/>
  <c r="BM37" i="30"/>
  <c r="BO37" i="30"/>
  <c r="BM38" i="30"/>
  <c r="BO38" i="30"/>
  <c r="BM39" i="30"/>
  <c r="BO39" i="30"/>
  <c r="BM40" i="30"/>
  <c r="BO40" i="30"/>
  <c r="BM41" i="30"/>
  <c r="BO41" i="30"/>
  <c r="BM42" i="30"/>
  <c r="BO42" i="30"/>
  <c r="BM43" i="30"/>
  <c r="BO43" i="30"/>
  <c r="BM44" i="30"/>
  <c r="BO44" i="30"/>
  <c r="BM45" i="30"/>
  <c r="BO45" i="30"/>
  <c r="BM46" i="30"/>
  <c r="BO46" i="30"/>
  <c r="BM47" i="30"/>
  <c r="BO47" i="30"/>
  <c r="BM48" i="30"/>
  <c r="BO48" i="30"/>
  <c r="BM49" i="30"/>
  <c r="BO49" i="30"/>
  <c r="BM50" i="30"/>
  <c r="BO50" i="30"/>
  <c r="BM51" i="30"/>
  <c r="BO51" i="30"/>
  <c r="BM52" i="30"/>
  <c r="BO52" i="30"/>
  <c r="BM53" i="30"/>
  <c r="BO53" i="30"/>
  <c r="BM54" i="30"/>
  <c r="BO54" i="30"/>
  <c r="BM55" i="30"/>
  <c r="BO55" i="30"/>
  <c r="BM56" i="30"/>
  <c r="BO56" i="30"/>
  <c r="BM57" i="30"/>
  <c r="BO57" i="30"/>
  <c r="BM58" i="30"/>
  <c r="BO58" i="30"/>
  <c r="BM59" i="30"/>
  <c r="BO59" i="30"/>
  <c r="BM60" i="30"/>
  <c r="BO60" i="30"/>
  <c r="BM61" i="30"/>
  <c r="BO61" i="30"/>
  <c r="BM62" i="30"/>
  <c r="BO62" i="30"/>
  <c r="BM63" i="30"/>
  <c r="BO63" i="30"/>
  <c r="BM64" i="30"/>
  <c r="BO64" i="30"/>
  <c r="BM65" i="30"/>
  <c r="BO65" i="30"/>
  <c r="BM66" i="30"/>
  <c r="BO66" i="30"/>
  <c r="BM67" i="30"/>
  <c r="BO67" i="30"/>
  <c r="BM68" i="30"/>
  <c r="BO68" i="30"/>
  <c r="BM69" i="30"/>
  <c r="BO69" i="30"/>
  <c r="BM70" i="30"/>
  <c r="BO70" i="30"/>
  <c r="BM71" i="30"/>
  <c r="BO71" i="30"/>
  <c r="BM72" i="30"/>
  <c r="BO72" i="30"/>
  <c r="BM73" i="30"/>
  <c r="BO73" i="30"/>
  <c r="BM74" i="30"/>
  <c r="BO74" i="30"/>
  <c r="BM75" i="30"/>
  <c r="BO75" i="30"/>
  <c r="BM76" i="30"/>
  <c r="BO76" i="30"/>
  <c r="BM77" i="30"/>
  <c r="BO77" i="30"/>
  <c r="BM78" i="30"/>
  <c r="BO78" i="30"/>
  <c r="BM79" i="30"/>
  <c r="BO79" i="30"/>
  <c r="BM80" i="30"/>
  <c r="BO80" i="30"/>
  <c r="BM81" i="30"/>
  <c r="BO81" i="30"/>
  <c r="BM82" i="30"/>
  <c r="BO82" i="30"/>
  <c r="BM83" i="30"/>
  <c r="BO83" i="30"/>
  <c r="BM84" i="30"/>
  <c r="BO84" i="30"/>
  <c r="BM85" i="30"/>
  <c r="BO85" i="30"/>
  <c r="BM86" i="30"/>
  <c r="BO86" i="30"/>
  <c r="BM87" i="30"/>
  <c r="BO87" i="30"/>
  <c r="BM88" i="30"/>
  <c r="BO88" i="30"/>
  <c r="BM89" i="30"/>
  <c r="BM108" i="30"/>
  <c r="BO108" i="30"/>
  <c r="BM109" i="30"/>
  <c r="BO109" i="30"/>
  <c r="BM110" i="30"/>
  <c r="BO110" i="30"/>
  <c r="BM111" i="30"/>
  <c r="BO111" i="30"/>
  <c r="BM112" i="30"/>
  <c r="BO112" i="30"/>
  <c r="BM113" i="30"/>
  <c r="BO113" i="30"/>
  <c r="BM114" i="30"/>
  <c r="BO114" i="30"/>
  <c r="BM115" i="30"/>
  <c r="BO115" i="30"/>
  <c r="BM116" i="30"/>
  <c r="BO116" i="30"/>
  <c r="BM117" i="30"/>
  <c r="BO117" i="30"/>
  <c r="BM118" i="30"/>
  <c r="BO118" i="30"/>
  <c r="BM119" i="30"/>
  <c r="BO119" i="30"/>
  <c r="BM120" i="30"/>
  <c r="BO120" i="30"/>
  <c r="BM121" i="30"/>
  <c r="BO121" i="30"/>
  <c r="BM122" i="30"/>
  <c r="BO122" i="30"/>
  <c r="BM123" i="30"/>
  <c r="BO123" i="30"/>
  <c r="BM124" i="30"/>
  <c r="BO124" i="30"/>
  <c r="BM125" i="30"/>
  <c r="BO125" i="30"/>
  <c r="BM126" i="30"/>
  <c r="BO126" i="30"/>
  <c r="BM127" i="30"/>
  <c r="BO127" i="30"/>
  <c r="BM128" i="30"/>
  <c r="BO128" i="30"/>
  <c r="BM129" i="30"/>
  <c r="BO129" i="30"/>
  <c r="BM130" i="30"/>
  <c r="BO130" i="30"/>
  <c r="BM131" i="30"/>
  <c r="BO131" i="30"/>
  <c r="BM132" i="30"/>
  <c r="BO132" i="30"/>
  <c r="BM133" i="30"/>
  <c r="BO133" i="30"/>
  <c r="BM134" i="30"/>
  <c r="BO134" i="30"/>
  <c r="BM135" i="30"/>
  <c r="BO135" i="30"/>
  <c r="BM136" i="30"/>
  <c r="BO136" i="30"/>
  <c r="BM137" i="30"/>
  <c r="BO137" i="30"/>
  <c r="BM138" i="30"/>
  <c r="BO138" i="30"/>
  <c r="BM139" i="30"/>
  <c r="BO139" i="30"/>
  <c r="BM140" i="30"/>
  <c r="BO140" i="30"/>
  <c r="BM141" i="30"/>
  <c r="BO141" i="30"/>
  <c r="BM142" i="30"/>
  <c r="BO142" i="30"/>
  <c r="BM143" i="30"/>
  <c r="BO143" i="30"/>
  <c r="BM144" i="30"/>
  <c r="BO144" i="30"/>
  <c r="BM145" i="30"/>
  <c r="BO145" i="30"/>
  <c r="BM146" i="30"/>
  <c r="BO146" i="30"/>
  <c r="BM147" i="30"/>
  <c r="BO147" i="30"/>
  <c r="AB108" i="23"/>
  <c r="AZ106" i="23"/>
  <c r="C47" i="8"/>
  <c r="D47" i="8" s="1"/>
  <c r="O47" i="8" s="1"/>
  <c r="Z19" i="8"/>
  <c r="Z18" i="8"/>
  <c r="AG18" i="8" s="1"/>
  <c r="B16" i="8"/>
  <c r="Z16" i="8"/>
  <c r="AG16" i="8" s="1"/>
  <c r="Z14" i="8"/>
  <c r="C46" i="8"/>
  <c r="D46" i="8" s="1"/>
  <c r="O46" i="8" s="1"/>
  <c r="B15" i="8"/>
  <c r="Z15" i="8"/>
  <c r="Z12" i="8"/>
  <c r="U22" i="8"/>
  <c r="W22" i="8" s="1"/>
  <c r="AD44" i="23"/>
  <c r="BB40" i="23"/>
  <c r="AD107" i="23"/>
  <c r="BB43" i="23"/>
  <c r="AB110" i="23"/>
  <c r="AZ110" i="23" s="1"/>
  <c r="AZ44" i="23"/>
  <c r="AC110" i="23"/>
  <c r="BA110" i="23" s="1"/>
  <c r="BA44" i="23"/>
  <c r="AA110" i="23"/>
  <c r="AY110" i="23" s="1"/>
  <c r="AY44" i="23"/>
  <c r="BB41" i="23"/>
  <c r="AD105" i="23"/>
  <c r="BB42" i="23"/>
  <c r="AD106" i="23"/>
  <c r="E108" i="23"/>
  <c r="BA108" i="23" s="1"/>
  <c r="BA104" i="23"/>
  <c r="D108" i="23"/>
  <c r="AZ104" i="23"/>
  <c r="C108" i="23"/>
  <c r="AY108" i="23" s="1"/>
  <c r="AY104" i="23"/>
  <c r="F107" i="23"/>
  <c r="BB107" i="23" s="1"/>
  <c r="BB100" i="23"/>
  <c r="F106" i="23"/>
  <c r="BB99" i="23"/>
  <c r="F105" i="23"/>
  <c r="BB98" i="23"/>
  <c r="E111" i="23"/>
  <c r="BA101" i="23"/>
  <c r="D111" i="23"/>
  <c r="AZ101" i="23"/>
  <c r="C111" i="23"/>
  <c r="AY101" i="23"/>
  <c r="N5" i="30"/>
  <c r="BN5" i="29"/>
  <c r="BP5" i="29"/>
  <c r="BN6" i="29"/>
  <c r="BP6" i="29"/>
  <c r="BN7" i="29"/>
  <c r="BP7" i="29"/>
  <c r="BN8" i="29"/>
  <c r="BP8" i="29"/>
  <c r="BN9" i="29"/>
  <c r="BP9" i="29"/>
  <c r="BN10" i="29"/>
  <c r="BP10" i="29"/>
  <c r="BN11" i="29"/>
  <c r="BP11" i="29"/>
  <c r="BN12" i="29"/>
  <c r="BP12" i="29"/>
  <c r="BN13" i="29"/>
  <c r="BP13" i="29"/>
  <c r="BN14" i="29"/>
  <c r="BP14" i="29"/>
  <c r="BN15" i="29"/>
  <c r="BP15" i="29"/>
  <c r="BN16" i="29"/>
  <c r="BP16" i="29"/>
  <c r="BN17" i="29"/>
  <c r="BP17" i="29"/>
  <c r="BN18" i="29"/>
  <c r="BP18" i="29"/>
  <c r="BN19" i="29"/>
  <c r="BP19" i="29"/>
  <c r="BN20" i="29"/>
  <c r="BP20" i="29"/>
  <c r="BN21" i="29"/>
  <c r="BP21" i="29"/>
  <c r="BN22" i="29"/>
  <c r="BP22" i="29"/>
  <c r="BN23" i="29"/>
  <c r="BP23" i="29"/>
  <c r="BN24" i="29"/>
  <c r="BP24" i="29"/>
  <c r="BN25" i="29"/>
  <c r="BP25" i="29"/>
  <c r="BN26" i="29"/>
  <c r="BP26" i="29"/>
  <c r="BN27" i="29"/>
  <c r="BP27" i="29"/>
  <c r="BN28" i="29"/>
  <c r="BP28" i="29"/>
  <c r="BN29" i="29"/>
  <c r="BP29" i="29"/>
  <c r="BN30" i="29"/>
  <c r="BP30" i="29"/>
  <c r="BN31" i="29"/>
  <c r="BP31" i="29"/>
  <c r="BN32" i="29"/>
  <c r="BP32" i="29"/>
  <c r="BN33" i="29"/>
  <c r="BP33" i="29"/>
  <c r="BN34" i="29"/>
  <c r="BP34" i="29"/>
  <c r="BN35" i="29"/>
  <c r="BP35" i="29"/>
  <c r="R22" i="8"/>
  <c r="X22" i="8"/>
  <c r="AE10" i="8"/>
  <c r="AE22" i="8" s="1"/>
  <c r="AD11" i="8"/>
  <c r="Y22" i="8"/>
  <c r="L22" i="8"/>
  <c r="AF10" i="8"/>
  <c r="AF22" i="8" s="1"/>
  <c r="AD10" i="8"/>
  <c r="BN5" i="30"/>
  <c r="BP5" i="30"/>
  <c r="BN6" i="30"/>
  <c r="BP6" i="30"/>
  <c r="BN7" i="30"/>
  <c r="BP7" i="30"/>
  <c r="BN8" i="30"/>
  <c r="BP8" i="30"/>
  <c r="BN9" i="30"/>
  <c r="BP9" i="30"/>
  <c r="BN10" i="30"/>
  <c r="BP10" i="30"/>
  <c r="BN11" i="30"/>
  <c r="BP11" i="30"/>
  <c r="BN12" i="30"/>
  <c r="BP12" i="30"/>
  <c r="BN13" i="30"/>
  <c r="BP13" i="30"/>
  <c r="BN14" i="30"/>
  <c r="BP14" i="30"/>
  <c r="BN15" i="30"/>
  <c r="BP15" i="30"/>
  <c r="BN16" i="30"/>
  <c r="BP16" i="30"/>
  <c r="BN17" i="30"/>
  <c r="BP17" i="30"/>
  <c r="BN18" i="30"/>
  <c r="BP18" i="30"/>
  <c r="BN19" i="30"/>
  <c r="BP19" i="30"/>
  <c r="BN20" i="30"/>
  <c r="BP20" i="30"/>
  <c r="BN21" i="30"/>
  <c r="BP21" i="30"/>
  <c r="BN22" i="30"/>
  <c r="BP22" i="30"/>
  <c r="BN23" i="30"/>
  <c r="BP23" i="30"/>
  <c r="BN24" i="30"/>
  <c r="BP24" i="30"/>
  <c r="BN25" i="30"/>
  <c r="BP25" i="30"/>
  <c r="BN26" i="30"/>
  <c r="BP26" i="30"/>
  <c r="BN27" i="30"/>
  <c r="BP27" i="30"/>
  <c r="BN28" i="30"/>
  <c r="BP28" i="30"/>
  <c r="BN29" i="30"/>
  <c r="BP29" i="30"/>
  <c r="BN30" i="30"/>
  <c r="BP30" i="30"/>
  <c r="BN31" i="30"/>
  <c r="BP31" i="30"/>
  <c r="BN32" i="30"/>
  <c r="BP32" i="30"/>
  <c r="BN33" i="30"/>
  <c r="BP33" i="30"/>
  <c r="BN34" i="30"/>
  <c r="BP34" i="30"/>
  <c r="BN35" i="30"/>
  <c r="BP35" i="30"/>
  <c r="BN36" i="30"/>
  <c r="BP36" i="30"/>
  <c r="BN37" i="30"/>
  <c r="BP37" i="30"/>
  <c r="BN38" i="30"/>
  <c r="BP38" i="30"/>
  <c r="BN39" i="30"/>
  <c r="BP39" i="30"/>
  <c r="BN40" i="30"/>
  <c r="BP40" i="30"/>
  <c r="BN41" i="30"/>
  <c r="BP41" i="30"/>
  <c r="BN42" i="30"/>
  <c r="BP42" i="30"/>
  <c r="BN43" i="30"/>
  <c r="BP43" i="30"/>
  <c r="BN44" i="30"/>
  <c r="BP44" i="30"/>
  <c r="BN45" i="30"/>
  <c r="BP45" i="30"/>
  <c r="BN46" i="30"/>
  <c r="BP46" i="30"/>
  <c r="BN47" i="30"/>
  <c r="BP47" i="30"/>
  <c r="BN48" i="30"/>
  <c r="BP48" i="30"/>
  <c r="BN49" i="30"/>
  <c r="BP49" i="30"/>
  <c r="BN50" i="30"/>
  <c r="BP50" i="30"/>
  <c r="BN51" i="30"/>
  <c r="BP51" i="30"/>
  <c r="BN52" i="30"/>
  <c r="BP52" i="30"/>
  <c r="BN53" i="30"/>
  <c r="BP53" i="30"/>
  <c r="BN54" i="30"/>
  <c r="BP54" i="30"/>
  <c r="BN55" i="30"/>
  <c r="BP55" i="30"/>
  <c r="BN56" i="30"/>
  <c r="BP56" i="30"/>
  <c r="BN57" i="30"/>
  <c r="BP57" i="30"/>
  <c r="BN58" i="30"/>
  <c r="BP58" i="30"/>
  <c r="BN59" i="30"/>
  <c r="BP59" i="30"/>
  <c r="BN60" i="30"/>
  <c r="BP60" i="30"/>
  <c r="BN61" i="30"/>
  <c r="BP61" i="30"/>
  <c r="BN62" i="30"/>
  <c r="BP62" i="30"/>
  <c r="BN63" i="30"/>
  <c r="BP63" i="30"/>
  <c r="BN64" i="30"/>
  <c r="BP64" i="30"/>
  <c r="BN65" i="30"/>
  <c r="BP65" i="30"/>
  <c r="BN66" i="30"/>
  <c r="BP66" i="30"/>
  <c r="BN67" i="30"/>
  <c r="BP67" i="30"/>
  <c r="BN68" i="30"/>
  <c r="BP68" i="30"/>
  <c r="BN69" i="30"/>
  <c r="BP69" i="30"/>
  <c r="BN70" i="30"/>
  <c r="BP70" i="30"/>
  <c r="BN71" i="30"/>
  <c r="BP71" i="30"/>
  <c r="BN72" i="30"/>
  <c r="BP72" i="30"/>
  <c r="BN73" i="30"/>
  <c r="BP73" i="30"/>
  <c r="BN74" i="30"/>
  <c r="BP74" i="30"/>
  <c r="BN75" i="30"/>
  <c r="BP75" i="30"/>
  <c r="BN76" i="30"/>
  <c r="BP76" i="30"/>
  <c r="BN77" i="30"/>
  <c r="BP77" i="30"/>
  <c r="BN78" i="30"/>
  <c r="BP78" i="30"/>
  <c r="BN79" i="30"/>
  <c r="BP79" i="30"/>
  <c r="BN80" i="30"/>
  <c r="BP80" i="30"/>
  <c r="BN81" i="30"/>
  <c r="BP81" i="30"/>
  <c r="BN82" i="30"/>
  <c r="BP82" i="30"/>
  <c r="BN83" i="30"/>
  <c r="BP83" i="30"/>
  <c r="BN84" i="30"/>
  <c r="BP84" i="30"/>
  <c r="BN85" i="30"/>
  <c r="BP85" i="30"/>
  <c r="BN86" i="30"/>
  <c r="BP86" i="30"/>
  <c r="BN87" i="30"/>
  <c r="BP87" i="30"/>
  <c r="BN88" i="30"/>
  <c r="BP88" i="30"/>
  <c r="BN89" i="30"/>
  <c r="BP89" i="30"/>
  <c r="BN90" i="30"/>
  <c r="BP90" i="30"/>
  <c r="BN91" i="30"/>
  <c r="BP91" i="30"/>
  <c r="BN92" i="30"/>
  <c r="BP92" i="30"/>
  <c r="BN93" i="30"/>
  <c r="BP93" i="30"/>
  <c r="BN94" i="30"/>
  <c r="BP94" i="30"/>
  <c r="BN95" i="30"/>
  <c r="BP95" i="30"/>
  <c r="BN96" i="30"/>
  <c r="BP96" i="30"/>
  <c r="BN97" i="30"/>
  <c r="BP97" i="30"/>
  <c r="BN98" i="30"/>
  <c r="BP98" i="30"/>
  <c r="BN99" i="30"/>
  <c r="BP99" i="30"/>
  <c r="BN100" i="30"/>
  <c r="BP100" i="30"/>
  <c r="BN101" i="30"/>
  <c r="BP101" i="30"/>
  <c r="BN102" i="30"/>
  <c r="BP102" i="30"/>
  <c r="BN103" i="30"/>
  <c r="BP103" i="30"/>
  <c r="BN104" i="30"/>
  <c r="BP104" i="30"/>
  <c r="BN105" i="30"/>
  <c r="BP105" i="30"/>
  <c r="BN106" i="30"/>
  <c r="BP106" i="30"/>
  <c r="BN107" i="30"/>
  <c r="BP107" i="30"/>
  <c r="BN108" i="30"/>
  <c r="BP108" i="30"/>
  <c r="BN109" i="30"/>
  <c r="BP109" i="30"/>
  <c r="BN110" i="30"/>
  <c r="BP110" i="30"/>
  <c r="BN111" i="30"/>
  <c r="BP111" i="30"/>
  <c r="BN112" i="30"/>
  <c r="BP112" i="30"/>
  <c r="BN113" i="30"/>
  <c r="BP113" i="30"/>
  <c r="BN114" i="30"/>
  <c r="BP114" i="30"/>
  <c r="BN115" i="30"/>
  <c r="BP115" i="30"/>
  <c r="BN116" i="30"/>
  <c r="BP116" i="30"/>
  <c r="BN117" i="30"/>
  <c r="BP117" i="30"/>
  <c r="BN118" i="30"/>
  <c r="BP118" i="30"/>
  <c r="BN119" i="30"/>
  <c r="BP119" i="30"/>
  <c r="BN120" i="30"/>
  <c r="BP120" i="30"/>
  <c r="BN121" i="30"/>
  <c r="BP121" i="30"/>
  <c r="BN122" i="30"/>
  <c r="BP122" i="30"/>
  <c r="BN123" i="30"/>
  <c r="BP123" i="30"/>
  <c r="BN124" i="30"/>
  <c r="BP124" i="30"/>
  <c r="BN125" i="30"/>
  <c r="BP125" i="30"/>
  <c r="BN126" i="30"/>
  <c r="BP126" i="30"/>
  <c r="BN127" i="30"/>
  <c r="BP127" i="30"/>
  <c r="BN128" i="30"/>
  <c r="BP128" i="30"/>
  <c r="BN129" i="30"/>
  <c r="BP129" i="30"/>
  <c r="BN130" i="30"/>
  <c r="BP130" i="30"/>
  <c r="BN131" i="30"/>
  <c r="BP131" i="30"/>
  <c r="BN132" i="30"/>
  <c r="BP132" i="30"/>
  <c r="BN133" i="30"/>
  <c r="BP133" i="30"/>
  <c r="BN134" i="30"/>
  <c r="BP134" i="30"/>
  <c r="BN135" i="30"/>
  <c r="BP135" i="30"/>
  <c r="BN136" i="30"/>
  <c r="BP136" i="30"/>
  <c r="BN137" i="30"/>
  <c r="BP137" i="30"/>
  <c r="BN138" i="30"/>
  <c r="BP138" i="30"/>
  <c r="BN139" i="30"/>
  <c r="BP139" i="30"/>
  <c r="BN140" i="30"/>
  <c r="BP140" i="30"/>
  <c r="BN141" i="30"/>
  <c r="BP141" i="30"/>
  <c r="BN142" i="30"/>
  <c r="BP142" i="30"/>
  <c r="BN143" i="30"/>
  <c r="BP143" i="30"/>
  <c r="BN144" i="30"/>
  <c r="BP144" i="30"/>
  <c r="BN145" i="30"/>
  <c r="BP145" i="30"/>
  <c r="BN146" i="30"/>
  <c r="BP146" i="30"/>
  <c r="BN147" i="30"/>
  <c r="BP147" i="30"/>
  <c r="BO89" i="30"/>
  <c r="BM90" i="30"/>
  <c r="BO90" i="30"/>
  <c r="BM91" i="30"/>
  <c r="BO91" i="30"/>
  <c r="BM92" i="30"/>
  <c r="BO92" i="30"/>
  <c r="BM93" i="30"/>
  <c r="BO93" i="30"/>
  <c r="BM94" i="30"/>
  <c r="BO94" i="30"/>
  <c r="BM95" i="30"/>
  <c r="BO95" i="30"/>
  <c r="BM96" i="30"/>
  <c r="BO96" i="30"/>
  <c r="BM97" i="30"/>
  <c r="BO97" i="30"/>
  <c r="BM98" i="30"/>
  <c r="BO98" i="30"/>
  <c r="BM99" i="30"/>
  <c r="BO99" i="30"/>
  <c r="BM100" i="30"/>
  <c r="BO100" i="30"/>
  <c r="BM101" i="30"/>
  <c r="BO101" i="30"/>
  <c r="BM102" i="30"/>
  <c r="BO102" i="30"/>
  <c r="BM103" i="30"/>
  <c r="BO103" i="30"/>
  <c r="BM104" i="30"/>
  <c r="BO104" i="30"/>
  <c r="BM105" i="30"/>
  <c r="BO105" i="30"/>
  <c r="BM106" i="30"/>
  <c r="BO106" i="30"/>
  <c r="BM107" i="30"/>
  <c r="BO107" i="30"/>
  <c r="AD22" i="8"/>
  <c r="U41" i="8"/>
  <c r="BG86" i="30"/>
  <c r="AM39" i="30"/>
  <c r="AM103" i="30"/>
  <c r="AM135" i="30"/>
  <c r="AR29" i="30"/>
  <c r="AR61" i="30"/>
  <c r="AR93" i="30"/>
  <c r="AW98" i="30"/>
  <c r="BB31" i="30"/>
  <c r="BB103" i="30"/>
  <c r="N95" i="30"/>
  <c r="S24" i="30"/>
  <c r="S90" i="30"/>
  <c r="X60" i="30"/>
  <c r="AC107" i="30"/>
  <c r="AH80" i="30"/>
  <c r="AH116" i="30"/>
  <c r="AM71" i="30"/>
  <c r="I122" i="30"/>
  <c r="AW20" i="29"/>
  <c r="AR14" i="29"/>
  <c r="AR33" i="29"/>
  <c r="BB31" i="29"/>
  <c r="AM25" i="29"/>
  <c r="BB6" i="29"/>
  <c r="BB15" i="29"/>
  <c r="BE2" i="29"/>
  <c r="BF2" i="29"/>
  <c r="AM21" i="29"/>
  <c r="AM29" i="29"/>
  <c r="AM33" i="29"/>
  <c r="AR6" i="29"/>
  <c r="AR21" i="29"/>
  <c r="AR25" i="29"/>
  <c r="AR29" i="29"/>
  <c r="AW8" i="29"/>
  <c r="AW12" i="29"/>
  <c r="AW16" i="29"/>
  <c r="AW24" i="29"/>
  <c r="AW28" i="29"/>
  <c r="AW32" i="29"/>
  <c r="BB7" i="29"/>
  <c r="BB11" i="29"/>
  <c r="BB19" i="29"/>
  <c r="BB23" i="29"/>
  <c r="BB27" i="29"/>
  <c r="BB35" i="29"/>
  <c r="BG8" i="29"/>
  <c r="BG16" i="29"/>
  <c r="BG23" i="29"/>
  <c r="BG31" i="29"/>
  <c r="BG33" i="29"/>
  <c r="BG35" i="29"/>
  <c r="AM13" i="29"/>
  <c r="AM23" i="29"/>
  <c r="AM27" i="29"/>
  <c r="AM31" i="29"/>
  <c r="AM35" i="29"/>
  <c r="AR10" i="29"/>
  <c r="AR18" i="29"/>
  <c r="AR23" i="29"/>
  <c r="AR27" i="29"/>
  <c r="AR31" i="29"/>
  <c r="AR35" i="29"/>
  <c r="AW10" i="29"/>
  <c r="AW14" i="29"/>
  <c r="AW18" i="29"/>
  <c r="AW22" i="29"/>
  <c r="AW26" i="29"/>
  <c r="AW30" i="29"/>
  <c r="AW34" i="29"/>
  <c r="BB9" i="29"/>
  <c r="BB13" i="29"/>
  <c r="BB17" i="29"/>
  <c r="BB21" i="29"/>
  <c r="BB25" i="29"/>
  <c r="BB29" i="29"/>
  <c r="BB33" i="29"/>
  <c r="BG12" i="29"/>
  <c r="BG20" i="29"/>
  <c r="BG25" i="29"/>
  <c r="BG29" i="29"/>
  <c r="AT2" i="29"/>
  <c r="AH23" i="29"/>
  <c r="AC29" i="29"/>
  <c r="X12" i="29"/>
  <c r="N39" i="30"/>
  <c r="N63" i="30"/>
  <c r="N79" i="30"/>
  <c r="N111" i="30"/>
  <c r="N127" i="30"/>
  <c r="N142" i="30"/>
  <c r="S42" i="30"/>
  <c r="S58" i="30"/>
  <c r="S74" i="30"/>
  <c r="S106" i="30"/>
  <c r="S137" i="30"/>
  <c r="X28" i="30"/>
  <c r="X92" i="30"/>
  <c r="X124" i="30"/>
  <c r="AC43" i="30"/>
  <c r="AH48" i="30"/>
  <c r="AH100" i="30"/>
  <c r="AH132" i="30"/>
  <c r="AM23" i="30"/>
  <c r="AM55" i="30"/>
  <c r="AM87" i="30"/>
  <c r="AM119" i="30"/>
  <c r="AR9" i="30"/>
  <c r="AR45" i="30"/>
  <c r="AR77" i="30"/>
  <c r="AR109" i="30"/>
  <c r="AW66" i="30"/>
  <c r="AW130" i="30"/>
  <c r="BB71" i="30"/>
  <c r="BG18" i="30"/>
  <c r="I58" i="30"/>
  <c r="N18" i="30"/>
  <c r="N55" i="30"/>
  <c r="N71" i="30"/>
  <c r="N87" i="30"/>
  <c r="N103" i="30"/>
  <c r="N119" i="30"/>
  <c r="N135" i="30"/>
  <c r="S8" i="30"/>
  <c r="S34" i="30"/>
  <c r="S50" i="30"/>
  <c r="S66" i="30"/>
  <c r="S82" i="30"/>
  <c r="S98" i="30"/>
  <c r="S114" i="30"/>
  <c r="S122" i="30"/>
  <c r="S130" i="30"/>
  <c r="S145" i="30"/>
  <c r="X12" i="30"/>
  <c r="X20" i="30"/>
  <c r="X36" i="30"/>
  <c r="X44" i="30"/>
  <c r="X52" i="30"/>
  <c r="X68" i="30"/>
  <c r="X76" i="30"/>
  <c r="X84" i="30"/>
  <c r="X100" i="30"/>
  <c r="X108" i="30"/>
  <c r="X116" i="30"/>
  <c r="X132" i="30"/>
  <c r="X139" i="30"/>
  <c r="AC16" i="30"/>
  <c r="AC59" i="30"/>
  <c r="AC75" i="30"/>
  <c r="AC91" i="30"/>
  <c r="AC123" i="30"/>
  <c r="AC138" i="30"/>
  <c r="AH16" i="30"/>
  <c r="AH56" i="30"/>
  <c r="AH64" i="30"/>
  <c r="AH72" i="30"/>
  <c r="AH88" i="30"/>
  <c r="AH92" i="30"/>
  <c r="AH96" i="30"/>
  <c r="AH104" i="30"/>
  <c r="AH108" i="30"/>
  <c r="AH112" i="30"/>
  <c r="AH120" i="30"/>
  <c r="AH124" i="30"/>
  <c r="AH128" i="30"/>
  <c r="AH136" i="30"/>
  <c r="AH139" i="30"/>
  <c r="AH143" i="30"/>
  <c r="AM10" i="30"/>
  <c r="AM15" i="30"/>
  <c r="AM19" i="30"/>
  <c r="AM27" i="30"/>
  <c r="AM31" i="30"/>
  <c r="AM35" i="30"/>
  <c r="AM43" i="30"/>
  <c r="AM47" i="30"/>
  <c r="AM51" i="30"/>
  <c r="AM59" i="30"/>
  <c r="AM63" i="30"/>
  <c r="AM67" i="30"/>
  <c r="AM75" i="30"/>
  <c r="AM79" i="30"/>
  <c r="AM83" i="30"/>
  <c r="AM91" i="30"/>
  <c r="AM95" i="30"/>
  <c r="AM99" i="30"/>
  <c r="AM107" i="30"/>
  <c r="AM111" i="30"/>
  <c r="AM115" i="30"/>
  <c r="AM123" i="30"/>
  <c r="AM127" i="30"/>
  <c r="AM131" i="30"/>
  <c r="AM138" i="30"/>
  <c r="AM142" i="30"/>
  <c r="AM146" i="30"/>
  <c r="AR17" i="30"/>
  <c r="AR21" i="30"/>
  <c r="AR25" i="30"/>
  <c r="AR33" i="30"/>
  <c r="AR37" i="30"/>
  <c r="AR41" i="30"/>
  <c r="AR49" i="30"/>
  <c r="AR53" i="30"/>
  <c r="AR57" i="30"/>
  <c r="AR65" i="30"/>
  <c r="AR69" i="30"/>
  <c r="AR73" i="30"/>
  <c r="AR81" i="30"/>
  <c r="AR85" i="30"/>
  <c r="AR89" i="30"/>
  <c r="AR97" i="30"/>
  <c r="AR101" i="30"/>
  <c r="AR105" i="30"/>
  <c r="AR113" i="30"/>
  <c r="AR117" i="30"/>
  <c r="AR121" i="30"/>
  <c r="AR133" i="30"/>
  <c r="AR140" i="30"/>
  <c r="AW10" i="30"/>
  <c r="AW18" i="30"/>
  <c r="AW26" i="30"/>
  <c r="AW42" i="30"/>
  <c r="AW50" i="30"/>
  <c r="AW58" i="30"/>
  <c r="AW74" i="30"/>
  <c r="AW82" i="30"/>
  <c r="AW90" i="30"/>
  <c r="AW106" i="30"/>
  <c r="AW114" i="30"/>
  <c r="AW122" i="30"/>
  <c r="AW137" i="30"/>
  <c r="AW145" i="30"/>
  <c r="BB15" i="30"/>
  <c r="BB47" i="30"/>
  <c r="BB55" i="30"/>
  <c r="BB63" i="30"/>
  <c r="BB79" i="30"/>
  <c r="BB87" i="30"/>
  <c r="BB95" i="30"/>
  <c r="BB111" i="30"/>
  <c r="BB124" i="30"/>
  <c r="BB139" i="30"/>
  <c r="BG38" i="30"/>
  <c r="BG54" i="30"/>
  <c r="BG70" i="30"/>
  <c r="BG102" i="30"/>
  <c r="BG118" i="30"/>
  <c r="BG134" i="30"/>
  <c r="I26" i="30"/>
  <c r="I90" i="30"/>
  <c r="I145" i="30"/>
  <c r="N31" i="30"/>
  <c r="N47" i="30"/>
  <c r="I10" i="30"/>
  <c r="I42" i="30"/>
  <c r="I74" i="30"/>
  <c r="I106" i="30"/>
  <c r="I137" i="30"/>
  <c r="N10" i="30"/>
  <c r="N26" i="30"/>
  <c r="N35" i="30"/>
  <c r="N43" i="30"/>
  <c r="N51" i="30"/>
  <c r="N59" i="30"/>
  <c r="N67" i="30"/>
  <c r="N75" i="30"/>
  <c r="N83" i="30"/>
  <c r="N99" i="30"/>
  <c r="N107" i="30"/>
  <c r="N115" i="30"/>
  <c r="N123" i="30"/>
  <c r="N131" i="30"/>
  <c r="N138" i="30"/>
  <c r="N146" i="30"/>
  <c r="S16" i="30"/>
  <c r="S30" i="30"/>
  <c r="S38" i="30"/>
  <c r="S46" i="30"/>
  <c r="S54" i="30"/>
  <c r="S62" i="30"/>
  <c r="S70" i="30"/>
  <c r="S78" i="30"/>
  <c r="S86" i="30"/>
  <c r="S94" i="30"/>
  <c r="S102" i="30"/>
  <c r="S110" i="30"/>
  <c r="S118" i="30"/>
  <c r="S126" i="30"/>
  <c r="S134" i="30"/>
  <c r="S141" i="30"/>
  <c r="X5" i="30"/>
  <c r="X16" i="30"/>
  <c r="X24" i="30"/>
  <c r="X32" i="30"/>
  <c r="X40" i="30"/>
  <c r="X48" i="30"/>
  <c r="X56" i="30"/>
  <c r="X64" i="30"/>
  <c r="X72" i="30"/>
  <c r="X80" i="30"/>
  <c r="X88" i="30"/>
  <c r="X96" i="30"/>
  <c r="X104" i="30"/>
  <c r="X112" i="30"/>
  <c r="X120" i="30"/>
  <c r="X128" i="30"/>
  <c r="X136" i="30"/>
  <c r="X146" i="30"/>
  <c r="AC32" i="30"/>
  <c r="AC51" i="30"/>
  <c r="AC67" i="30"/>
  <c r="AC83" i="30"/>
  <c r="AC99" i="30"/>
  <c r="AC115" i="30"/>
  <c r="AC131" i="30"/>
  <c r="AC146" i="30"/>
  <c r="AH32" i="30"/>
  <c r="AH52" i="30"/>
  <c r="AH60" i="30"/>
  <c r="AH68" i="30"/>
  <c r="AH76" i="30"/>
  <c r="AH84" i="30"/>
  <c r="I11" i="29"/>
  <c r="N5" i="29"/>
  <c r="N6" i="29"/>
  <c r="N7" i="29"/>
  <c r="N8" i="29"/>
  <c r="N9" i="29"/>
  <c r="N10" i="29"/>
  <c r="N11" i="29"/>
  <c r="N12" i="29"/>
  <c r="N13" i="29"/>
  <c r="N14" i="29"/>
  <c r="N15" i="29"/>
  <c r="N16" i="29"/>
  <c r="N17" i="29"/>
  <c r="N18" i="29"/>
  <c r="N19" i="29"/>
  <c r="N20" i="29"/>
  <c r="N21" i="29"/>
  <c r="N22" i="29"/>
  <c r="N23" i="29"/>
  <c r="N24" i="29"/>
  <c r="N25" i="29"/>
  <c r="N26" i="29"/>
  <c r="N27" i="29"/>
  <c r="N28" i="29"/>
  <c r="N29" i="29"/>
  <c r="N30" i="29"/>
  <c r="N31" i="29"/>
  <c r="N32" i="29"/>
  <c r="N33" i="29"/>
  <c r="N34" i="29"/>
  <c r="N35" i="29"/>
  <c r="S7" i="29"/>
  <c r="S8" i="29"/>
  <c r="S11" i="29"/>
  <c r="S12" i="29"/>
  <c r="S15" i="29"/>
  <c r="S16" i="29"/>
  <c r="S19" i="29"/>
  <c r="S20" i="29"/>
  <c r="S23" i="29"/>
  <c r="S24" i="29"/>
  <c r="S27" i="29"/>
  <c r="S28" i="29"/>
  <c r="X28" i="29"/>
  <c r="AC13" i="29"/>
  <c r="AC21" i="29"/>
  <c r="AH6" i="29"/>
  <c r="AH15" i="29"/>
  <c r="AH19" i="29"/>
  <c r="AH27" i="29"/>
  <c r="AH31" i="29"/>
  <c r="AH35" i="29"/>
  <c r="AM17" i="29"/>
  <c r="AM19" i="29"/>
  <c r="AM20" i="29"/>
  <c r="AM22" i="29"/>
  <c r="AM24" i="29"/>
  <c r="AM26" i="29"/>
  <c r="AM28" i="29"/>
  <c r="AM30" i="29"/>
  <c r="AM32" i="29"/>
  <c r="AM34" i="29"/>
  <c r="AR8" i="29"/>
  <c r="AR12" i="29"/>
  <c r="AR16" i="29"/>
  <c r="AR20" i="29"/>
  <c r="AR22" i="29"/>
  <c r="AR24" i="29"/>
  <c r="AR26" i="29"/>
  <c r="AR28" i="29"/>
  <c r="AR30" i="29"/>
  <c r="AR32" i="29"/>
  <c r="AR34" i="29"/>
  <c r="AW7" i="29"/>
  <c r="AW9" i="29"/>
  <c r="AW11" i="29"/>
  <c r="AW13" i="29"/>
  <c r="AW15" i="29"/>
  <c r="AW17" i="29"/>
  <c r="AW19" i="29"/>
  <c r="AW21" i="29"/>
  <c r="AW23" i="29"/>
  <c r="AW25" i="29"/>
  <c r="AW27" i="29"/>
  <c r="AW29" i="29"/>
  <c r="AW31" i="29"/>
  <c r="AW33" i="29"/>
  <c r="AW35" i="29"/>
  <c r="BB8" i="29"/>
  <c r="BB10" i="29"/>
  <c r="BB12" i="29"/>
  <c r="BB14" i="29"/>
  <c r="BB16" i="29"/>
  <c r="BB18" i="29"/>
  <c r="BB20" i="29"/>
  <c r="BB22" i="29"/>
  <c r="BB24" i="29"/>
  <c r="BB26" i="29"/>
  <c r="BB28" i="29"/>
  <c r="BB30" i="29"/>
  <c r="BG22" i="29"/>
  <c r="BG26" i="29"/>
  <c r="BG28" i="29"/>
  <c r="BG30" i="29"/>
  <c r="BG32" i="29"/>
  <c r="BG34" i="29"/>
  <c r="BB32" i="29"/>
  <c r="BB34" i="29"/>
  <c r="BG10" i="29"/>
  <c r="BG14" i="29"/>
  <c r="BG18" i="29"/>
  <c r="BG24" i="29"/>
  <c r="D10" i="29"/>
  <c r="D18" i="29"/>
  <c r="D26" i="29"/>
  <c r="D35" i="29"/>
  <c r="AO2" i="29"/>
  <c r="AQ2" i="29"/>
  <c r="AV2" i="29"/>
  <c r="BI2" i="29"/>
  <c r="N91" i="30"/>
  <c r="I7" i="29"/>
  <c r="I10" i="29"/>
  <c r="I13" i="29"/>
  <c r="I16" i="29"/>
  <c r="I17" i="29"/>
  <c r="I20" i="29"/>
  <c r="I21" i="29"/>
  <c r="I24" i="29"/>
  <c r="I25" i="29"/>
  <c r="I29" i="29"/>
  <c r="I31" i="29"/>
  <c r="I32" i="29"/>
  <c r="I33" i="29"/>
  <c r="I34" i="29"/>
  <c r="I35" i="29"/>
  <c r="R104" i="23"/>
  <c r="R108" i="23" s="1"/>
  <c r="R101" i="23"/>
  <c r="R111" i="23" s="1"/>
  <c r="R112" i="23" s="1"/>
  <c r="Z104" i="23"/>
  <c r="Z108" i="23" s="1"/>
  <c r="Z101" i="23"/>
  <c r="Z111" i="23" s="1"/>
  <c r="Z112" i="23" s="1"/>
  <c r="J104" i="23"/>
  <c r="J108" i="23" s="1"/>
  <c r="J101" i="23"/>
  <c r="J111" i="23" s="1"/>
  <c r="J112" i="23" s="1"/>
  <c r="AD104" i="23"/>
  <c r="AD101" i="23"/>
  <c r="AD111" i="23" s="1"/>
  <c r="N104" i="23"/>
  <c r="N108" i="23" s="1"/>
  <c r="N101" i="23"/>
  <c r="N111" i="23" s="1"/>
  <c r="N112" i="23" s="1"/>
  <c r="V104" i="23"/>
  <c r="V108" i="23" s="1"/>
  <c r="V101" i="23"/>
  <c r="V111" i="23" s="1"/>
  <c r="V112" i="23" s="1"/>
  <c r="S29" i="29"/>
  <c r="AY2" i="29"/>
  <c r="BA2" i="29"/>
  <c r="X5" i="29"/>
  <c r="X20" i="29"/>
  <c r="D85" i="30"/>
  <c r="D89" i="30"/>
  <c r="BG21" i="30"/>
  <c r="BG22" i="30"/>
  <c r="BG23" i="30"/>
  <c r="BG24" i="30"/>
  <c r="BG25" i="30"/>
  <c r="BG26" i="30"/>
  <c r="BG27" i="30"/>
  <c r="BG28" i="30"/>
  <c r="BG29" i="30"/>
  <c r="BG30" i="30"/>
  <c r="BG31" i="30"/>
  <c r="BG32" i="30"/>
  <c r="BG33" i="30"/>
  <c r="BG34" i="30"/>
  <c r="BG35" i="30"/>
  <c r="BG36" i="30"/>
  <c r="BG37" i="30"/>
  <c r="BG39" i="30"/>
  <c r="BG40" i="30"/>
  <c r="BG41" i="30"/>
  <c r="BG42" i="30"/>
  <c r="BG43" i="30"/>
  <c r="BG44" i="30"/>
  <c r="BG45" i="30"/>
  <c r="BG46" i="30"/>
  <c r="BG47" i="30"/>
  <c r="BG48" i="30"/>
  <c r="BG49" i="30"/>
  <c r="BG50" i="30"/>
  <c r="BG51" i="30"/>
  <c r="BG52" i="30"/>
  <c r="BG53" i="30"/>
  <c r="BG55" i="30"/>
  <c r="BG56" i="30"/>
  <c r="BG57" i="30"/>
  <c r="BG58" i="30"/>
  <c r="BG59" i="30"/>
  <c r="BG60" i="30"/>
  <c r="BG61" i="30"/>
  <c r="BG62" i="30"/>
  <c r="BG63" i="30"/>
  <c r="BG64" i="30"/>
  <c r="BG65" i="30"/>
  <c r="BG66" i="30"/>
  <c r="BG67" i="30"/>
  <c r="BG68" i="30"/>
  <c r="BG69" i="30"/>
  <c r="BG71" i="30"/>
  <c r="BG72" i="30"/>
  <c r="BG73" i="30"/>
  <c r="BG74" i="30"/>
  <c r="BG75" i="30"/>
  <c r="BG76" i="30"/>
  <c r="BG77" i="30"/>
  <c r="BG78" i="30"/>
  <c r="BG79" i="30"/>
  <c r="BG80" i="30"/>
  <c r="BG81" i="30"/>
  <c r="BG82" i="30"/>
  <c r="BG83" i="30"/>
  <c r="BG84" i="30"/>
  <c r="BG85" i="30"/>
  <c r="BG87" i="30"/>
  <c r="BG88" i="30"/>
  <c r="BG89" i="30"/>
  <c r="BG90" i="30"/>
  <c r="BG91" i="30"/>
  <c r="BG92" i="30"/>
  <c r="BG93" i="30"/>
  <c r="BG94" i="30"/>
  <c r="BG95" i="30"/>
  <c r="BG96" i="30"/>
  <c r="BG97" i="30"/>
  <c r="BG98" i="30"/>
  <c r="BG99" i="30"/>
  <c r="BG100" i="30"/>
  <c r="BG101" i="30"/>
  <c r="BG103" i="30"/>
  <c r="BG104" i="30"/>
  <c r="BG105" i="30"/>
  <c r="BG106" i="30"/>
  <c r="BG107" i="30"/>
  <c r="BG108" i="30"/>
  <c r="BG109" i="30"/>
  <c r="BG110" i="30"/>
  <c r="BG111" i="30"/>
  <c r="BG112" i="30"/>
  <c r="BG113" i="30"/>
  <c r="BG114" i="30"/>
  <c r="BG115" i="30"/>
  <c r="BG116" i="30"/>
  <c r="BG117" i="30"/>
  <c r="BG119" i="30"/>
  <c r="BG120" i="30"/>
  <c r="BG121" i="30"/>
  <c r="BG122" i="30"/>
  <c r="BG123" i="30"/>
  <c r="BG124" i="30"/>
  <c r="BG125" i="30"/>
  <c r="BG126" i="30"/>
  <c r="BG127" i="30"/>
  <c r="BG128" i="30"/>
  <c r="BG129" i="30"/>
  <c r="BG130" i="30"/>
  <c r="BG131" i="30"/>
  <c r="BG132" i="30"/>
  <c r="BG133" i="30"/>
  <c r="BG135" i="30"/>
  <c r="BG136" i="30"/>
  <c r="BG137" i="30"/>
  <c r="BG138" i="30"/>
  <c r="BG139" i="30"/>
  <c r="BG140" i="30"/>
  <c r="BG141" i="30"/>
  <c r="BG142" i="30"/>
  <c r="BG143" i="30"/>
  <c r="BG144" i="30"/>
  <c r="BG145" i="30"/>
  <c r="BG146" i="30"/>
  <c r="BG147" i="30"/>
  <c r="F101" i="23"/>
  <c r="F104" i="23"/>
  <c r="I18" i="30"/>
  <c r="I34" i="30"/>
  <c r="I50" i="30"/>
  <c r="I66" i="30"/>
  <c r="I82" i="30"/>
  <c r="I98" i="30"/>
  <c r="I114" i="30"/>
  <c r="I130" i="30"/>
  <c r="I141" i="30"/>
  <c r="N6" i="30"/>
  <c r="N14" i="30"/>
  <c r="N22" i="30"/>
  <c r="N29" i="30"/>
  <c r="N33" i="30"/>
  <c r="N37" i="30"/>
  <c r="N41" i="30"/>
  <c r="N45" i="30"/>
  <c r="N49" i="30"/>
  <c r="N53" i="30"/>
  <c r="N57" i="30"/>
  <c r="N61" i="30"/>
  <c r="N65" i="30"/>
  <c r="N69" i="30"/>
  <c r="N73" i="30"/>
  <c r="N77" i="30"/>
  <c r="N81" i="30"/>
  <c r="N85" i="30"/>
  <c r="N89" i="30"/>
  <c r="N93" i="30"/>
  <c r="N97" i="30"/>
  <c r="N101" i="30"/>
  <c r="N105" i="30"/>
  <c r="N109" i="30"/>
  <c r="N113" i="30"/>
  <c r="N117" i="30"/>
  <c r="N121" i="30"/>
  <c r="N125" i="30"/>
  <c r="N129" i="30"/>
  <c r="N133" i="30"/>
  <c r="N140" i="30"/>
  <c r="N144" i="30"/>
  <c r="S12" i="30"/>
  <c r="S20" i="30"/>
  <c r="S28" i="30"/>
  <c r="S32" i="30"/>
  <c r="S36" i="30"/>
  <c r="S40" i="30"/>
  <c r="S44" i="30"/>
  <c r="S48" i="30"/>
  <c r="S52" i="30"/>
  <c r="S56" i="30"/>
  <c r="S60" i="30"/>
  <c r="S64" i="30"/>
  <c r="S68" i="30"/>
  <c r="S72" i="30"/>
  <c r="S76" i="30"/>
  <c r="S80" i="30"/>
  <c r="S84" i="30"/>
  <c r="S88" i="30"/>
  <c r="S92" i="30"/>
  <c r="S96" i="30"/>
  <c r="S100" i="30"/>
  <c r="S104" i="30"/>
  <c r="S108" i="30"/>
  <c r="S112" i="30"/>
  <c r="S116" i="30"/>
  <c r="S120" i="30"/>
  <c r="S124" i="30"/>
  <c r="S128" i="30"/>
  <c r="S132" i="30"/>
  <c r="S136" i="30"/>
  <c r="S139" i="30"/>
  <c r="S143" i="30"/>
  <c r="S147" i="30"/>
  <c r="X9" i="30"/>
  <c r="X14" i="30"/>
  <c r="X18" i="30"/>
  <c r="X22" i="30"/>
  <c r="X26" i="30"/>
  <c r="X30" i="30"/>
  <c r="X34" i="30"/>
  <c r="X38" i="30"/>
  <c r="X42" i="30"/>
  <c r="X46" i="30"/>
  <c r="X50" i="30"/>
  <c r="X54" i="30"/>
  <c r="X58" i="30"/>
  <c r="X62" i="30"/>
  <c r="X66" i="30"/>
  <c r="X70" i="30"/>
  <c r="X74" i="30"/>
  <c r="X78" i="30"/>
  <c r="X82" i="30"/>
  <c r="X86" i="30"/>
  <c r="X90" i="30"/>
  <c r="X94" i="30"/>
  <c r="X98" i="30"/>
  <c r="X102" i="30"/>
  <c r="X106" i="30"/>
  <c r="X110" i="30"/>
  <c r="X114" i="30"/>
  <c r="X118" i="30"/>
  <c r="X122" i="30"/>
  <c r="X126" i="30"/>
  <c r="X130" i="30"/>
  <c r="X134" i="30"/>
  <c r="X137" i="30"/>
  <c r="X142" i="30"/>
  <c r="AC8" i="30"/>
  <c r="AC24" i="30"/>
  <c r="AC39" i="30"/>
  <c r="AC47" i="30"/>
  <c r="AC55" i="30"/>
  <c r="AC63" i="30"/>
  <c r="AC71" i="30"/>
  <c r="AC79" i="30"/>
  <c r="AC87" i="30"/>
  <c r="AC95" i="30"/>
  <c r="AC103" i="30"/>
  <c r="AC111" i="30"/>
  <c r="AC119" i="30"/>
  <c r="AC127" i="30"/>
  <c r="AC135" i="30"/>
  <c r="AC142" i="30"/>
  <c r="AH8" i="30"/>
  <c r="AH24" i="30"/>
  <c r="AH40" i="30"/>
  <c r="S33" i="29"/>
  <c r="S35" i="29"/>
  <c r="X7" i="29"/>
  <c r="X8" i="29"/>
  <c r="X9" i="29"/>
  <c r="X10" i="29"/>
  <c r="X11" i="29"/>
  <c r="X13" i="29"/>
  <c r="X14" i="29"/>
  <c r="X15" i="29"/>
  <c r="X16" i="29"/>
  <c r="X17" i="29"/>
  <c r="X18" i="29"/>
  <c r="X19" i="29"/>
  <c r="X21" i="29"/>
  <c r="X22" i="29"/>
  <c r="X23" i="29"/>
  <c r="X24" i="29"/>
  <c r="X25" i="29"/>
  <c r="X26" i="29"/>
  <c r="X27" i="29"/>
  <c r="X29" i="29"/>
  <c r="X30" i="29"/>
  <c r="X31" i="29"/>
  <c r="X32" i="29"/>
  <c r="X33" i="29"/>
  <c r="X34" i="29"/>
  <c r="X35" i="29"/>
  <c r="AC6" i="29"/>
  <c r="AC7" i="29"/>
  <c r="AC8" i="29"/>
  <c r="AC9" i="29"/>
  <c r="AC10" i="29"/>
  <c r="AC11" i="29"/>
  <c r="AC12" i="29"/>
  <c r="AC14" i="29"/>
  <c r="AC15" i="29"/>
  <c r="AC16" i="29"/>
  <c r="AC17" i="29"/>
  <c r="AC18" i="29"/>
  <c r="AC19" i="29"/>
  <c r="AC20" i="29"/>
  <c r="AC22" i="29"/>
  <c r="AC23" i="29"/>
  <c r="AC24" i="29"/>
  <c r="AC25" i="29"/>
  <c r="AC26" i="29"/>
  <c r="AC27" i="29"/>
  <c r="AC28" i="29"/>
  <c r="AC30" i="29"/>
  <c r="AC31" i="29"/>
  <c r="AC32" i="29"/>
  <c r="AC33" i="29"/>
  <c r="AC34" i="29"/>
  <c r="AC35" i="29"/>
  <c r="AH8" i="29"/>
  <c r="AH9" i="29"/>
  <c r="AH10" i="29"/>
  <c r="AH11" i="29"/>
  <c r="AH12" i="29"/>
  <c r="AH13" i="29"/>
  <c r="AH14" i="29"/>
  <c r="AH16" i="29"/>
  <c r="AH17" i="29"/>
  <c r="AH18" i="29"/>
  <c r="AH20" i="29"/>
  <c r="AH21" i="29"/>
  <c r="AH22" i="29"/>
  <c r="AH24" i="29"/>
  <c r="AH25" i="29"/>
  <c r="AH26" i="29"/>
  <c r="AH28" i="29"/>
  <c r="AH29" i="29"/>
  <c r="AH30" i="29"/>
  <c r="AH32" i="29"/>
  <c r="AH33" i="29"/>
  <c r="AH34" i="29"/>
  <c r="AM7" i="29"/>
  <c r="AM9" i="29"/>
  <c r="AM11" i="29"/>
  <c r="AM15" i="29"/>
  <c r="BB5" i="29"/>
  <c r="N10" i="8"/>
  <c r="N15" i="8"/>
  <c r="H16" i="8"/>
  <c r="N12" i="8"/>
  <c r="T12" i="8" s="1"/>
  <c r="H11" i="8"/>
  <c r="T11" i="8" s="1"/>
  <c r="H20" i="8"/>
  <c r="N19" i="8"/>
  <c r="H19" i="8"/>
  <c r="I28" i="29"/>
  <c r="D8" i="29"/>
  <c r="D9" i="29"/>
  <c r="D14" i="29"/>
  <c r="D16" i="29"/>
  <c r="D17" i="29"/>
  <c r="D22" i="29"/>
  <c r="D24" i="29"/>
  <c r="D25" i="29"/>
  <c r="D30" i="29"/>
  <c r="D33" i="29"/>
  <c r="D34" i="29"/>
  <c r="S5" i="29"/>
  <c r="S9" i="29"/>
  <c r="S13" i="29"/>
  <c r="S17" i="29"/>
  <c r="S21" i="29"/>
  <c r="S25" i="29"/>
  <c r="S31" i="29"/>
  <c r="S32" i="29"/>
  <c r="D5" i="29"/>
  <c r="D12" i="29"/>
  <c r="D13" i="29"/>
  <c r="D20" i="29"/>
  <c r="D21" i="29"/>
  <c r="D28" i="29"/>
  <c r="D29" i="29"/>
  <c r="S6" i="29"/>
  <c r="S10" i="29"/>
  <c r="S14" i="29"/>
  <c r="S18" i="29"/>
  <c r="S22" i="29"/>
  <c r="S26" i="29"/>
  <c r="S30" i="29"/>
  <c r="S34" i="29"/>
  <c r="X6" i="29"/>
  <c r="AC5" i="29"/>
  <c r="AH5" i="29"/>
  <c r="AH7" i="29"/>
  <c r="AM5" i="29"/>
  <c r="AM6" i="29"/>
  <c r="AM8" i="29"/>
  <c r="AM10" i="29"/>
  <c r="AM12" i="29"/>
  <c r="AM14" i="29"/>
  <c r="AM16" i="29"/>
  <c r="AM18" i="29"/>
  <c r="AS2" i="29"/>
  <c r="AU2" i="29"/>
  <c r="AR7" i="29"/>
  <c r="AR9" i="29"/>
  <c r="AR11" i="29"/>
  <c r="AR13" i="29"/>
  <c r="AR15" i="29"/>
  <c r="AR17" i="29"/>
  <c r="AR19" i="29"/>
  <c r="AW5" i="29"/>
  <c r="AZ2" i="29"/>
  <c r="AW6" i="29"/>
  <c r="BG5" i="29"/>
  <c r="BG6" i="29"/>
  <c r="BG7" i="29"/>
  <c r="BG9" i="29"/>
  <c r="BG11" i="29"/>
  <c r="BG13" i="29"/>
  <c r="BG15" i="29"/>
  <c r="BG17" i="29"/>
  <c r="BG19" i="29"/>
  <c r="BG21" i="29"/>
  <c r="D5" i="30"/>
  <c r="D53" i="30"/>
  <c r="D57" i="30"/>
  <c r="D59" i="30"/>
  <c r="D61" i="30"/>
  <c r="D63" i="30"/>
  <c r="D65" i="30"/>
  <c r="D67" i="30"/>
  <c r="D69" i="30"/>
  <c r="D71" i="30"/>
  <c r="D73" i="30"/>
  <c r="D75" i="30"/>
  <c r="D77" i="30"/>
  <c r="D79" i="30"/>
  <c r="D81" i="30"/>
  <c r="D83" i="30"/>
  <c r="D87" i="30"/>
  <c r="D147" i="30"/>
  <c r="D52" i="30"/>
  <c r="D56" i="30"/>
  <c r="D91" i="30"/>
  <c r="D93" i="30"/>
  <c r="D95" i="30"/>
  <c r="D99" i="30"/>
  <c r="D101" i="30"/>
  <c r="D103" i="30"/>
  <c r="D105" i="30"/>
  <c r="D107" i="30"/>
  <c r="D109" i="30"/>
  <c r="D111" i="30"/>
  <c r="D113" i="30"/>
  <c r="D115" i="30"/>
  <c r="D117" i="30"/>
  <c r="D119" i="30"/>
  <c r="D121" i="30"/>
  <c r="D123" i="30"/>
  <c r="D125" i="30"/>
  <c r="D127" i="30"/>
  <c r="D129" i="30"/>
  <c r="D131" i="30"/>
  <c r="D133" i="30"/>
  <c r="D135" i="30"/>
  <c r="D138" i="30"/>
  <c r="D140" i="30"/>
  <c r="D142" i="30"/>
  <c r="D144" i="30"/>
  <c r="D8" i="30"/>
  <c r="D10" i="30"/>
  <c r="D12" i="30"/>
  <c r="D14" i="30"/>
  <c r="D16" i="30"/>
  <c r="D18" i="30"/>
  <c r="D20" i="30"/>
  <c r="D22" i="30"/>
  <c r="D24" i="30"/>
  <c r="D26" i="30"/>
  <c r="D28" i="30"/>
  <c r="D30" i="30"/>
  <c r="D32" i="30"/>
  <c r="D34" i="30"/>
  <c r="D36" i="30"/>
  <c r="D38" i="30"/>
  <c r="D40" i="30"/>
  <c r="D42" i="30"/>
  <c r="D44" i="30"/>
  <c r="D46" i="30"/>
  <c r="D48" i="30"/>
  <c r="D50" i="30"/>
  <c r="D54" i="30"/>
  <c r="D145" i="30"/>
  <c r="I5" i="30"/>
  <c r="I6" i="30"/>
  <c r="I7" i="30"/>
  <c r="I8" i="30"/>
  <c r="I9" i="30"/>
  <c r="I11" i="30"/>
  <c r="I12" i="30"/>
  <c r="I13" i="30"/>
  <c r="I14" i="30"/>
  <c r="I15" i="30"/>
  <c r="I16" i="30"/>
  <c r="I17" i="30"/>
  <c r="I19" i="30"/>
  <c r="I20" i="30"/>
  <c r="I21" i="30"/>
  <c r="I22" i="30"/>
  <c r="I23" i="30"/>
  <c r="I24" i="30"/>
  <c r="I25" i="30"/>
  <c r="I27" i="30"/>
  <c r="I28" i="30"/>
  <c r="I29" i="30"/>
  <c r="I30" i="30"/>
  <c r="I31" i="30"/>
  <c r="I32" i="30"/>
  <c r="I33" i="30"/>
  <c r="I35" i="30"/>
  <c r="I36" i="30"/>
  <c r="I37" i="30"/>
  <c r="I38" i="30"/>
  <c r="I39" i="30"/>
  <c r="I40" i="30"/>
  <c r="I41" i="30"/>
  <c r="I43" i="30"/>
  <c r="I44" i="30"/>
  <c r="I45" i="30"/>
  <c r="I46" i="30"/>
  <c r="I47" i="30"/>
  <c r="I48" i="30"/>
  <c r="I49" i="30"/>
  <c r="I51" i="30"/>
  <c r="I52" i="30"/>
  <c r="I53" i="30"/>
  <c r="I54" i="30"/>
  <c r="I55" i="30"/>
  <c r="I56" i="30"/>
  <c r="I57" i="30"/>
  <c r="I59" i="30"/>
  <c r="I60" i="30"/>
  <c r="I61" i="30"/>
  <c r="I62" i="30"/>
  <c r="I63" i="30"/>
  <c r="I64" i="30"/>
  <c r="I65" i="30"/>
  <c r="I67" i="30"/>
  <c r="I68" i="30"/>
  <c r="I69" i="30"/>
  <c r="I70" i="30"/>
  <c r="I71" i="30"/>
  <c r="I72" i="30"/>
  <c r="I73" i="30"/>
  <c r="I75" i="30"/>
  <c r="I76" i="30"/>
  <c r="I77" i="30"/>
  <c r="I78" i="30"/>
  <c r="I79" i="30"/>
  <c r="I80" i="30"/>
  <c r="I81" i="30"/>
  <c r="I83" i="30"/>
  <c r="I84" i="30"/>
  <c r="I85" i="30"/>
  <c r="I86" i="30"/>
  <c r="I87" i="30"/>
  <c r="I88" i="30"/>
  <c r="I89" i="30"/>
  <c r="I91" i="30"/>
  <c r="I92" i="30"/>
  <c r="I93" i="30"/>
  <c r="I94" i="30"/>
  <c r="I95" i="30"/>
  <c r="I96" i="30"/>
  <c r="I97" i="30"/>
  <c r="I99" i="30"/>
  <c r="I100" i="30"/>
  <c r="I101" i="30"/>
  <c r="I102" i="30"/>
  <c r="I103" i="30"/>
  <c r="I104" i="30"/>
  <c r="I105" i="30"/>
  <c r="I107" i="30"/>
  <c r="I108" i="30"/>
  <c r="I109" i="30"/>
  <c r="I110" i="30"/>
  <c r="I111" i="30"/>
  <c r="I112" i="30"/>
  <c r="I113" i="30"/>
  <c r="I115" i="30"/>
  <c r="I116" i="30"/>
  <c r="I117" i="30"/>
  <c r="I118" i="30"/>
  <c r="I119" i="30"/>
  <c r="I120" i="30"/>
  <c r="I121" i="30"/>
  <c r="I123" i="30"/>
  <c r="I124" i="30"/>
  <c r="I125" i="30"/>
  <c r="I126" i="30"/>
  <c r="I127" i="30"/>
  <c r="I128" i="30"/>
  <c r="I129" i="30"/>
  <c r="I131" i="30"/>
  <c r="I132" i="30"/>
  <c r="I133" i="30"/>
  <c r="I134" i="30"/>
  <c r="I135" i="30"/>
  <c r="I136" i="30"/>
  <c r="I138" i="30"/>
  <c r="I139" i="30"/>
  <c r="I140" i="30"/>
  <c r="I142" i="30"/>
  <c r="I143" i="30"/>
  <c r="I144" i="30"/>
  <c r="I146" i="30"/>
  <c r="I147" i="30"/>
  <c r="N7" i="30"/>
  <c r="N8" i="30"/>
  <c r="N9" i="30"/>
  <c r="N11" i="30"/>
  <c r="N12" i="30"/>
  <c r="N13" i="30"/>
  <c r="N15" i="30"/>
  <c r="N16" i="30"/>
  <c r="N17" i="30"/>
  <c r="N19" i="30"/>
  <c r="N20" i="30"/>
  <c r="N21" i="30"/>
  <c r="N23" i="30"/>
  <c r="N24" i="30"/>
  <c r="N25" i="30"/>
  <c r="N27" i="30"/>
  <c r="N28" i="30"/>
  <c r="N30" i="30"/>
  <c r="N32" i="30"/>
  <c r="N34" i="30"/>
  <c r="N36" i="30"/>
  <c r="N38" i="30"/>
  <c r="N40" i="30"/>
  <c r="N42" i="30"/>
  <c r="N44" i="30"/>
  <c r="N46" i="30"/>
  <c r="N48" i="30"/>
  <c r="N50" i="30"/>
  <c r="N52" i="30"/>
  <c r="N54" i="30"/>
  <c r="N56" i="30"/>
  <c r="N58" i="30"/>
  <c r="N60" i="30"/>
  <c r="N62" i="30"/>
  <c r="N64" i="30"/>
  <c r="N66" i="30"/>
  <c r="N68" i="30"/>
  <c r="N70" i="30"/>
  <c r="N72" i="30"/>
  <c r="N74" i="30"/>
  <c r="N76" i="30"/>
  <c r="N78" i="30"/>
  <c r="N80" i="30"/>
  <c r="N82" i="30"/>
  <c r="N84" i="30"/>
  <c r="N86" i="30"/>
  <c r="N88" i="30"/>
  <c r="N90" i="30"/>
  <c r="N92" i="30"/>
  <c r="N94" i="30"/>
  <c r="N96" i="30"/>
  <c r="N98" i="30"/>
  <c r="N100" i="30"/>
  <c r="N102" i="30"/>
  <c r="N104" i="30"/>
  <c r="N106" i="30"/>
  <c r="N108" i="30"/>
  <c r="N110" i="30"/>
  <c r="N112" i="30"/>
  <c r="N114" i="30"/>
  <c r="N116" i="30"/>
  <c r="N118" i="30"/>
  <c r="N120" i="30"/>
  <c r="N122" i="30"/>
  <c r="N124" i="30"/>
  <c r="N126" i="30"/>
  <c r="N128" i="30"/>
  <c r="N130" i="30"/>
  <c r="N132" i="30"/>
  <c r="N134" i="30"/>
  <c r="N136" i="30"/>
  <c r="N137" i="30"/>
  <c r="N139" i="30"/>
  <c r="N141" i="30"/>
  <c r="N143" i="30"/>
  <c r="N145" i="30"/>
  <c r="N147" i="30"/>
  <c r="S5" i="30"/>
  <c r="S6" i="30"/>
  <c r="S7" i="30"/>
  <c r="S9" i="30"/>
  <c r="S10" i="30"/>
  <c r="S11" i="30"/>
  <c r="S13" i="30"/>
  <c r="S14" i="30"/>
  <c r="S15" i="30"/>
  <c r="S17" i="30"/>
  <c r="S18" i="30"/>
  <c r="S19" i="30"/>
  <c r="S21" i="30"/>
  <c r="S22" i="30"/>
  <c r="S23" i="30"/>
  <c r="S25" i="30"/>
  <c r="S26" i="30"/>
  <c r="S27" i="30"/>
  <c r="S29" i="30"/>
  <c r="S31" i="30"/>
  <c r="S33" i="30"/>
  <c r="S35" i="30"/>
  <c r="S37" i="30"/>
  <c r="S39" i="30"/>
  <c r="S41" i="30"/>
  <c r="S43" i="30"/>
  <c r="S45" i="30"/>
  <c r="S47" i="30"/>
  <c r="S49" i="30"/>
  <c r="S51" i="30"/>
  <c r="S53" i="30"/>
  <c r="S55" i="30"/>
  <c r="S57" i="30"/>
  <c r="S59" i="30"/>
  <c r="S61" i="30"/>
  <c r="S63" i="30"/>
  <c r="S65" i="30"/>
  <c r="S67" i="30"/>
  <c r="S69" i="30"/>
  <c r="S71" i="30"/>
  <c r="S73" i="30"/>
  <c r="S75" i="30"/>
  <c r="S77" i="30"/>
  <c r="S79" i="30"/>
  <c r="S81" i="30"/>
  <c r="S83" i="30"/>
  <c r="S85" i="30"/>
  <c r="S87" i="30"/>
  <c r="S89" i="30"/>
  <c r="S91" i="30"/>
  <c r="S93" i="30"/>
  <c r="S95" i="30"/>
  <c r="S97" i="30"/>
  <c r="S99" i="30"/>
  <c r="S101" i="30"/>
  <c r="S103" i="30"/>
  <c r="S105" i="30"/>
  <c r="S107" i="30"/>
  <c r="S109" i="30"/>
  <c r="S111" i="30"/>
  <c r="S113" i="30"/>
  <c r="S115" i="30"/>
  <c r="S117" i="30"/>
  <c r="S119" i="30"/>
  <c r="S121" i="30"/>
  <c r="S123" i="30"/>
  <c r="S125" i="30"/>
  <c r="S127" i="30"/>
  <c r="S129" i="30"/>
  <c r="S131" i="30"/>
  <c r="S133" i="30"/>
  <c r="S135" i="30"/>
  <c r="S138" i="30"/>
  <c r="S140" i="30"/>
  <c r="S142" i="30"/>
  <c r="S144" i="30"/>
  <c r="S146" i="30"/>
  <c r="X6" i="30"/>
  <c r="X7" i="30"/>
  <c r="X8" i="30"/>
  <c r="X10" i="30"/>
  <c r="X11" i="30"/>
  <c r="X13" i="30"/>
  <c r="X15" i="30"/>
  <c r="X17" i="30"/>
  <c r="X19" i="30"/>
  <c r="X21" i="30"/>
  <c r="X23" i="30"/>
  <c r="X25" i="30"/>
  <c r="X27" i="30"/>
  <c r="X29" i="30"/>
  <c r="X31" i="30"/>
  <c r="X33" i="30"/>
  <c r="X35" i="30"/>
  <c r="X37" i="30"/>
  <c r="X39" i="30"/>
  <c r="X41" i="30"/>
  <c r="X43" i="30"/>
  <c r="X45" i="30"/>
  <c r="X47" i="30"/>
  <c r="X49" i="30"/>
  <c r="X51" i="30"/>
  <c r="X53" i="30"/>
  <c r="X55" i="30"/>
  <c r="X57" i="30"/>
  <c r="X59" i="30"/>
  <c r="X61" i="30"/>
  <c r="X63" i="30"/>
  <c r="X65" i="30"/>
  <c r="X67" i="30"/>
  <c r="X69" i="30"/>
  <c r="X71" i="30"/>
  <c r="X73" i="30"/>
  <c r="X75" i="30"/>
  <c r="X77" i="30"/>
  <c r="X79" i="30"/>
  <c r="X81" i="30"/>
  <c r="X83" i="30"/>
  <c r="X85" i="30"/>
  <c r="X87" i="30"/>
  <c r="X89" i="30"/>
  <c r="X91" i="30"/>
  <c r="X93" i="30"/>
  <c r="X95" i="30"/>
  <c r="X97" i="30"/>
  <c r="X99" i="30"/>
  <c r="X101" i="30"/>
  <c r="X103" i="30"/>
  <c r="X105" i="30"/>
  <c r="X107" i="30"/>
  <c r="X109" i="30"/>
  <c r="X111" i="30"/>
  <c r="X113" i="30"/>
  <c r="X115" i="30"/>
  <c r="X117" i="30"/>
  <c r="X119" i="30"/>
  <c r="X121" i="30"/>
  <c r="X123" i="30"/>
  <c r="X125" i="30"/>
  <c r="X127" i="30"/>
  <c r="X129" i="30"/>
  <c r="X131" i="30"/>
  <c r="X133" i="30"/>
  <c r="X135" i="30"/>
  <c r="X138" i="30"/>
  <c r="X140" i="30"/>
  <c r="X141" i="30"/>
  <c r="X143" i="30"/>
  <c r="X144" i="30"/>
  <c r="X145" i="30"/>
  <c r="X147" i="30"/>
  <c r="AC5" i="30"/>
  <c r="AC6" i="30"/>
  <c r="AC7" i="30"/>
  <c r="AC9" i="30"/>
  <c r="AC10" i="30"/>
  <c r="AC11" i="30"/>
  <c r="AC12" i="30"/>
  <c r="AC13" i="30"/>
  <c r="AC14" i="30"/>
  <c r="AC15" i="30"/>
  <c r="AC17" i="30"/>
  <c r="AC18" i="30"/>
  <c r="AC19" i="30"/>
  <c r="AC20" i="30"/>
  <c r="AC21" i="30"/>
  <c r="AC22" i="30"/>
  <c r="AC23" i="30"/>
  <c r="AC25" i="30"/>
  <c r="AC26" i="30"/>
  <c r="AC27" i="30"/>
  <c r="AC28" i="30"/>
  <c r="AC29" i="30"/>
  <c r="AC30" i="30"/>
  <c r="AC31" i="30"/>
  <c r="AC33" i="30"/>
  <c r="AC34" i="30"/>
  <c r="AC35" i="30"/>
  <c r="AC36" i="30"/>
  <c r="AC37" i="30"/>
  <c r="AC38" i="30"/>
  <c r="AC40" i="30"/>
  <c r="AC41" i="30"/>
  <c r="AC42" i="30"/>
  <c r="AC44" i="30"/>
  <c r="AC45" i="30"/>
  <c r="AC46" i="30"/>
  <c r="AC48" i="30"/>
  <c r="AC49" i="30"/>
  <c r="AC50" i="30"/>
  <c r="AC52" i="30"/>
  <c r="AC53" i="30"/>
  <c r="AC54" i="30"/>
  <c r="AC56" i="30"/>
  <c r="AC57" i="30"/>
  <c r="AC58" i="30"/>
  <c r="AC60" i="30"/>
  <c r="AC61" i="30"/>
  <c r="AC62" i="30"/>
  <c r="AC64" i="30"/>
  <c r="AC65" i="30"/>
  <c r="AC66" i="30"/>
  <c r="AC68" i="30"/>
  <c r="AC69" i="30"/>
  <c r="AC70" i="30"/>
  <c r="AC72" i="30"/>
  <c r="AC73" i="30"/>
  <c r="AC74" i="30"/>
  <c r="AC76" i="30"/>
  <c r="AC77" i="30"/>
  <c r="AC78" i="30"/>
  <c r="AC80" i="30"/>
  <c r="AC81" i="30"/>
  <c r="AC82" i="30"/>
  <c r="AC84" i="30"/>
  <c r="AC85" i="30"/>
  <c r="AC86" i="30"/>
  <c r="AC88" i="30"/>
  <c r="AC89" i="30"/>
  <c r="AC90" i="30"/>
  <c r="AC92" i="30"/>
  <c r="AC93" i="30"/>
  <c r="AC94" i="30"/>
  <c r="AC96" i="30"/>
  <c r="AC97" i="30"/>
  <c r="AC98" i="30"/>
  <c r="AC100" i="30"/>
  <c r="AC101" i="30"/>
  <c r="AC102" i="30"/>
  <c r="AC104" i="30"/>
  <c r="AC105" i="30"/>
  <c r="AC106" i="30"/>
  <c r="AC108" i="30"/>
  <c r="AC109" i="30"/>
  <c r="AC110" i="30"/>
  <c r="AC112" i="30"/>
  <c r="AC113" i="30"/>
  <c r="AC114" i="30"/>
  <c r="AC116" i="30"/>
  <c r="AC117" i="30"/>
  <c r="AC118" i="30"/>
  <c r="AC120" i="30"/>
  <c r="AC121" i="30"/>
  <c r="AC122" i="30"/>
  <c r="AC124" i="30"/>
  <c r="AC125" i="30"/>
  <c r="AC126" i="30"/>
  <c r="AC128" i="30"/>
  <c r="AC129" i="30"/>
  <c r="AC130" i="30"/>
  <c r="AC132" i="30"/>
  <c r="AC133" i="30"/>
  <c r="AC134" i="30"/>
  <c r="AC136" i="30"/>
  <c r="AC137" i="30"/>
  <c r="AC139" i="30"/>
  <c r="AC140" i="30"/>
  <c r="AC141" i="30"/>
  <c r="AC143" i="30"/>
  <c r="AC144" i="30"/>
  <c r="AC145" i="30"/>
  <c r="AC147" i="30"/>
  <c r="AH6" i="30"/>
  <c r="AH10" i="30"/>
  <c r="AH12" i="30"/>
  <c r="AH14" i="30"/>
  <c r="AH18" i="30"/>
  <c r="AH20" i="30"/>
  <c r="AH22" i="30"/>
  <c r="AH26" i="30"/>
  <c r="AH28" i="30"/>
  <c r="AH30" i="30"/>
  <c r="AH34" i="30"/>
  <c r="AH36" i="30"/>
  <c r="AH38" i="30"/>
  <c r="AH42" i="30"/>
  <c r="AH44" i="30"/>
  <c r="AH46" i="30"/>
  <c r="AH49" i="30"/>
  <c r="AH50" i="30"/>
  <c r="AH51" i="30"/>
  <c r="AH53" i="30"/>
  <c r="AH54" i="30"/>
  <c r="AH55" i="30"/>
  <c r="AH57" i="30"/>
  <c r="AH58" i="30"/>
  <c r="AH59" i="30"/>
  <c r="AH61" i="30"/>
  <c r="AH62" i="30"/>
  <c r="AH63" i="30"/>
  <c r="AH65" i="30"/>
  <c r="AH66" i="30"/>
  <c r="AH67" i="30"/>
  <c r="AH69" i="30"/>
  <c r="AH70" i="30"/>
  <c r="AH71" i="30"/>
  <c r="AH73" i="30"/>
  <c r="AH74" i="30"/>
  <c r="AH75" i="30"/>
  <c r="AH77" i="30"/>
  <c r="AH78" i="30"/>
  <c r="AH79" i="30"/>
  <c r="AH81" i="30"/>
  <c r="AH82" i="30"/>
  <c r="AH83" i="30"/>
  <c r="AH85" i="30"/>
  <c r="AH86" i="30"/>
  <c r="AH87" i="30"/>
  <c r="AH89" i="30"/>
  <c r="AH90" i="30"/>
  <c r="AH91" i="30"/>
  <c r="AH93" i="30"/>
  <c r="AH94" i="30"/>
  <c r="AH95" i="30"/>
  <c r="AH97" i="30"/>
  <c r="AH98" i="30"/>
  <c r="AH99" i="30"/>
  <c r="AH101" i="30"/>
  <c r="AH102" i="30"/>
  <c r="AH103" i="30"/>
  <c r="AH105" i="30"/>
  <c r="AH106" i="30"/>
  <c r="AH107" i="30"/>
  <c r="AH109" i="30"/>
  <c r="AH110" i="30"/>
  <c r="AH111" i="30"/>
  <c r="AH113" i="30"/>
  <c r="AH114" i="30"/>
  <c r="AH115" i="30"/>
  <c r="AH117" i="30"/>
  <c r="AH118" i="30"/>
  <c r="AH119" i="30"/>
  <c r="AH121" i="30"/>
  <c r="AH122" i="30"/>
  <c r="AH123" i="30"/>
  <c r="AH125" i="30"/>
  <c r="AH126" i="30"/>
  <c r="AH127" i="30"/>
  <c r="AH129" i="30"/>
  <c r="AH130" i="30"/>
  <c r="AH131" i="30"/>
  <c r="AH133" i="30"/>
  <c r="AH134" i="30"/>
  <c r="AH135" i="30"/>
  <c r="AH137" i="30"/>
  <c r="AH138" i="30"/>
  <c r="AH140" i="30"/>
  <c r="AH141" i="30"/>
  <c r="AH142" i="30"/>
  <c r="AH144" i="30"/>
  <c r="AH145" i="30"/>
  <c r="AH146" i="30"/>
  <c r="AM5" i="30"/>
  <c r="AM7" i="30"/>
  <c r="AM8" i="30"/>
  <c r="AM9" i="30"/>
  <c r="AM11" i="30"/>
  <c r="AM12" i="30"/>
  <c r="AM13" i="30"/>
  <c r="AM14" i="30"/>
  <c r="AM16" i="30"/>
  <c r="AM17" i="30"/>
  <c r="AM18" i="30"/>
  <c r="AM20" i="30"/>
  <c r="AM21" i="30"/>
  <c r="AM22" i="30"/>
  <c r="AM24" i="30"/>
  <c r="AM25" i="30"/>
  <c r="AM26" i="30"/>
  <c r="AM28" i="30"/>
  <c r="AM29" i="30"/>
  <c r="AM30" i="30"/>
  <c r="AM32" i="30"/>
  <c r="AM33" i="30"/>
  <c r="AM34" i="30"/>
  <c r="AM36" i="30"/>
  <c r="AM37" i="30"/>
  <c r="AM38" i="30"/>
  <c r="AM40" i="30"/>
  <c r="AM41" i="30"/>
  <c r="AM42" i="30"/>
  <c r="AM44" i="30"/>
  <c r="AM45" i="30"/>
  <c r="AM46" i="30"/>
  <c r="AM48" i="30"/>
  <c r="AM49" i="30"/>
  <c r="AM50" i="30"/>
  <c r="AM52" i="30"/>
  <c r="AM53" i="30"/>
  <c r="AM54" i="30"/>
  <c r="AM56" i="30"/>
  <c r="AM57" i="30"/>
  <c r="AM58" i="30"/>
  <c r="AM60" i="30"/>
  <c r="AM61" i="30"/>
  <c r="AM62" i="30"/>
  <c r="AM64" i="30"/>
  <c r="AM65" i="30"/>
  <c r="AM66" i="30"/>
  <c r="AM68" i="30"/>
  <c r="AM69" i="30"/>
  <c r="AM70" i="30"/>
  <c r="AM72" i="30"/>
  <c r="AM73" i="30"/>
  <c r="AM74" i="30"/>
  <c r="AM76" i="30"/>
  <c r="AM77" i="30"/>
  <c r="AM78" i="30"/>
  <c r="AM80" i="30"/>
  <c r="AM81" i="30"/>
  <c r="AM82" i="30"/>
  <c r="AM84" i="30"/>
  <c r="AM85" i="30"/>
  <c r="AM86" i="30"/>
  <c r="AM88" i="30"/>
  <c r="AM89" i="30"/>
  <c r="AM90" i="30"/>
  <c r="AM92" i="30"/>
  <c r="AM93" i="30"/>
  <c r="AM94" i="30"/>
  <c r="AM96" i="30"/>
  <c r="AM97" i="30"/>
  <c r="AM98" i="30"/>
  <c r="AM100" i="30"/>
  <c r="AM101" i="30"/>
  <c r="AM102" i="30"/>
  <c r="AM104" i="30"/>
  <c r="AM105" i="30"/>
  <c r="AM106" i="30"/>
  <c r="AM108" i="30"/>
  <c r="AM109" i="30"/>
  <c r="AM110" i="30"/>
  <c r="AM112" i="30"/>
  <c r="AM113" i="30"/>
  <c r="AM114" i="30"/>
  <c r="AM116" i="30"/>
  <c r="AM117" i="30"/>
  <c r="AM118" i="30"/>
  <c r="AM120" i="30"/>
  <c r="AM121" i="30"/>
  <c r="AM122" i="30"/>
  <c r="AM124" i="30"/>
  <c r="AM125" i="30"/>
  <c r="AM126" i="30"/>
  <c r="AM128" i="30"/>
  <c r="AM129" i="30"/>
  <c r="AM130" i="30"/>
  <c r="AM132" i="30"/>
  <c r="AM133" i="30"/>
  <c r="AM134" i="30"/>
  <c r="AM136" i="30"/>
  <c r="AM137" i="30"/>
  <c r="AM139" i="30"/>
  <c r="AM140" i="30"/>
  <c r="AM141" i="30"/>
  <c r="AM143" i="30"/>
  <c r="AM144" i="30"/>
  <c r="AM145" i="30"/>
  <c r="AM147" i="30"/>
  <c r="AR5" i="30"/>
  <c r="AR7" i="30"/>
  <c r="AR8" i="30"/>
  <c r="AR10" i="30"/>
  <c r="AR11" i="30"/>
  <c r="AR12" i="30"/>
  <c r="AR13" i="30"/>
  <c r="AR14" i="30"/>
  <c r="AR15" i="30"/>
  <c r="AR16" i="30"/>
  <c r="AR18" i="30"/>
  <c r="AR19" i="30"/>
  <c r="AR20" i="30"/>
  <c r="AR22" i="30"/>
  <c r="AR23" i="30"/>
  <c r="AR24" i="30"/>
  <c r="AR26" i="30"/>
  <c r="AR27" i="30"/>
  <c r="AR28" i="30"/>
  <c r="AR30" i="30"/>
  <c r="AR31" i="30"/>
  <c r="AR32" i="30"/>
  <c r="AR34" i="30"/>
  <c r="AR35" i="30"/>
  <c r="AR36" i="30"/>
  <c r="AR38" i="30"/>
  <c r="AR39" i="30"/>
  <c r="AR40" i="30"/>
  <c r="AR42" i="30"/>
  <c r="AR43" i="30"/>
  <c r="AR44" i="30"/>
  <c r="AR46" i="30"/>
  <c r="AR47" i="30"/>
  <c r="AR48" i="30"/>
  <c r="AR50" i="30"/>
  <c r="AR51" i="30"/>
  <c r="AR52" i="30"/>
  <c r="AR54" i="30"/>
  <c r="AR55" i="30"/>
  <c r="AR56" i="30"/>
  <c r="AR58" i="30"/>
  <c r="AR59" i="30"/>
  <c r="AR60" i="30"/>
  <c r="AR62" i="30"/>
  <c r="AR63" i="30"/>
  <c r="AR64" i="30"/>
  <c r="AR66" i="30"/>
  <c r="AR67" i="30"/>
  <c r="AR68" i="30"/>
  <c r="AR70" i="30"/>
  <c r="AR71" i="30"/>
  <c r="AR72" i="30"/>
  <c r="AR74" i="30"/>
  <c r="AR75" i="30"/>
  <c r="AR76" i="30"/>
  <c r="AR78" i="30"/>
  <c r="AR79" i="30"/>
  <c r="AR80" i="30"/>
  <c r="AR82" i="30"/>
  <c r="AR83" i="30"/>
  <c r="AR84" i="30"/>
  <c r="AR86" i="30"/>
  <c r="AR87" i="30"/>
  <c r="AR88" i="30"/>
  <c r="AR90" i="30"/>
  <c r="AR91" i="30"/>
  <c r="AR92" i="30"/>
  <c r="AR94" i="30"/>
  <c r="AR95" i="30"/>
  <c r="AR96" i="30"/>
  <c r="AR98" i="30"/>
  <c r="AR99" i="30"/>
  <c r="AR100" i="30"/>
  <c r="AR102" i="30"/>
  <c r="AR103" i="30"/>
  <c r="AR104" i="30"/>
  <c r="AR106" i="30"/>
  <c r="AR107" i="30"/>
  <c r="AR108" i="30"/>
  <c r="AR110" i="30"/>
  <c r="AR111" i="30"/>
  <c r="AR112" i="30"/>
  <c r="AR114" i="30"/>
  <c r="AR115" i="30"/>
  <c r="AR116" i="30"/>
  <c r="AR118" i="30"/>
  <c r="AR119" i="30"/>
  <c r="AR120" i="30"/>
  <c r="AR122" i="30"/>
  <c r="AR123" i="30"/>
  <c r="AR124" i="30"/>
  <c r="AR126" i="30"/>
  <c r="AR127" i="30"/>
  <c r="AR128" i="30"/>
  <c r="AR129" i="30"/>
  <c r="AR130" i="30"/>
  <c r="AR131" i="30"/>
  <c r="AR132" i="30"/>
  <c r="AR134" i="30"/>
  <c r="AR135" i="30"/>
  <c r="AR136" i="30"/>
  <c r="AR137" i="30"/>
  <c r="AR138" i="30"/>
  <c r="AR139" i="30"/>
  <c r="AR141" i="30"/>
  <c r="AR142" i="30"/>
  <c r="AR143" i="30"/>
  <c r="AR144" i="30"/>
  <c r="AR145" i="30"/>
  <c r="AR146" i="30"/>
  <c r="AR147" i="30"/>
  <c r="AW5" i="30"/>
  <c r="AW8" i="30"/>
  <c r="AW11" i="30"/>
  <c r="AW12" i="30"/>
  <c r="AW13" i="30"/>
  <c r="AW14" i="30"/>
  <c r="AW15" i="30"/>
  <c r="AW16" i="30"/>
  <c r="AW17" i="30"/>
  <c r="AW19" i="30"/>
  <c r="AW20" i="30"/>
  <c r="AW21" i="30"/>
  <c r="AW22" i="30"/>
  <c r="AW23" i="30"/>
  <c r="AW24" i="30"/>
  <c r="AW25" i="30"/>
  <c r="AW27" i="30"/>
  <c r="AW28" i="30"/>
  <c r="AW29" i="30"/>
  <c r="AW30" i="30"/>
  <c r="AW31" i="30"/>
  <c r="AW32" i="30"/>
  <c r="AW33" i="30"/>
  <c r="AW35" i="30"/>
  <c r="AW36" i="30"/>
  <c r="AW37" i="30"/>
  <c r="AW38" i="30"/>
  <c r="AW39" i="30"/>
  <c r="AW40" i="30"/>
  <c r="AW41" i="30"/>
  <c r="AW43" i="30"/>
  <c r="AW44" i="30"/>
  <c r="AW45" i="30"/>
  <c r="AW46" i="30"/>
  <c r="AW47" i="30"/>
  <c r="AW48" i="30"/>
  <c r="AW49" i="30"/>
  <c r="AW51" i="30"/>
  <c r="AW52" i="30"/>
  <c r="AW53" i="30"/>
  <c r="AW54" i="30"/>
  <c r="AW55" i="30"/>
  <c r="AW56" i="30"/>
  <c r="AW57" i="30"/>
  <c r="AW59" i="30"/>
  <c r="AW60" i="30"/>
  <c r="AW61" i="30"/>
  <c r="AW62" i="30"/>
  <c r="AW63" i="30"/>
  <c r="AW64" i="30"/>
  <c r="AW65" i="30"/>
  <c r="AW67" i="30"/>
  <c r="AW68" i="30"/>
  <c r="AW69" i="30"/>
  <c r="AW70" i="30"/>
  <c r="AW71" i="30"/>
  <c r="AW72" i="30"/>
  <c r="AW73" i="30"/>
  <c r="AW75" i="30"/>
  <c r="AW76" i="30"/>
  <c r="AW77" i="30"/>
  <c r="AW78" i="30"/>
  <c r="AW79" i="30"/>
  <c r="AW80" i="30"/>
  <c r="AW81" i="30"/>
  <c r="AW83" i="30"/>
  <c r="AW84" i="30"/>
  <c r="AW85" i="30"/>
  <c r="AW86" i="30"/>
  <c r="AW87" i="30"/>
  <c r="AW88" i="30"/>
  <c r="AW89" i="30"/>
  <c r="AW91" i="30"/>
  <c r="AW92" i="30"/>
  <c r="AW93" i="30"/>
  <c r="AW94" i="30"/>
  <c r="AW95" i="30"/>
  <c r="AW96" i="30"/>
  <c r="AW97" i="30"/>
  <c r="AW99" i="30"/>
  <c r="AW100" i="30"/>
  <c r="AW101" i="30"/>
  <c r="AW102" i="30"/>
  <c r="AW103" i="30"/>
  <c r="AW104" i="30"/>
  <c r="AW105" i="30"/>
  <c r="AW107" i="30"/>
  <c r="AW108" i="30"/>
  <c r="AW109" i="30"/>
  <c r="AW110" i="30"/>
  <c r="AW111" i="30"/>
  <c r="AW112" i="30"/>
  <c r="AW113" i="30"/>
  <c r="AW115" i="30"/>
  <c r="AW116" i="30"/>
  <c r="AW117" i="30"/>
  <c r="AW118" i="30"/>
  <c r="AW119" i="30"/>
  <c r="AW120" i="30"/>
  <c r="AW121" i="30"/>
  <c r="AW123" i="30"/>
  <c r="AW124" i="30"/>
  <c r="AW125" i="30"/>
  <c r="AW126" i="30"/>
  <c r="AW127" i="30"/>
  <c r="AW128" i="30"/>
  <c r="AW129" i="30"/>
  <c r="AW131" i="30"/>
  <c r="AW132" i="30"/>
  <c r="AW133" i="30"/>
  <c r="AW134" i="30"/>
  <c r="AW135" i="30"/>
  <c r="AW136" i="30"/>
  <c r="AW138" i="30"/>
  <c r="AW139" i="30"/>
  <c r="AW140" i="30"/>
  <c r="AW141" i="30"/>
  <c r="AW142" i="30"/>
  <c r="AW143" i="30"/>
  <c r="AW144" i="30"/>
  <c r="AW146" i="30"/>
  <c r="AW147" i="30"/>
  <c r="BB7" i="30"/>
  <c r="BB9" i="30"/>
  <c r="BB11" i="30"/>
  <c r="BB13" i="30"/>
  <c r="BB17" i="30"/>
  <c r="BB19" i="30"/>
  <c r="BB21" i="30"/>
  <c r="BB23" i="30"/>
  <c r="BB25" i="30"/>
  <c r="BB27" i="30"/>
  <c r="BB29" i="30"/>
  <c r="BB33" i="30"/>
  <c r="BB35" i="30"/>
  <c r="BB37" i="30"/>
  <c r="BB39" i="30"/>
  <c r="BB41" i="30"/>
  <c r="BB43" i="30"/>
  <c r="BB45" i="30"/>
  <c r="BB48" i="30"/>
  <c r="BB49" i="30"/>
  <c r="BB50" i="30"/>
  <c r="BB51" i="30"/>
  <c r="BB52" i="30"/>
  <c r="BB53" i="30"/>
  <c r="BB54" i="30"/>
  <c r="BB56" i="30"/>
  <c r="BB57" i="30"/>
  <c r="BB58" i="30"/>
  <c r="BB59" i="30"/>
  <c r="BB60" i="30"/>
  <c r="BB61" i="30"/>
  <c r="BB62" i="30"/>
  <c r="BB64" i="30"/>
  <c r="BB65" i="30"/>
  <c r="BB66" i="30"/>
  <c r="BB67" i="30"/>
  <c r="BB68" i="30"/>
  <c r="BB69" i="30"/>
  <c r="BB70" i="30"/>
  <c r="BB72" i="30"/>
  <c r="BB73" i="30"/>
  <c r="BB74" i="30"/>
  <c r="BB75" i="30"/>
  <c r="BB76" i="30"/>
  <c r="BB77" i="30"/>
  <c r="BB78" i="30"/>
  <c r="BB80" i="30"/>
  <c r="BB81" i="30"/>
  <c r="BB82" i="30"/>
  <c r="BB83" i="30"/>
  <c r="BB84" i="30"/>
  <c r="BB85" i="30"/>
  <c r="BB86" i="30"/>
  <c r="BB88" i="30"/>
  <c r="BB89" i="30"/>
  <c r="BB90" i="30"/>
  <c r="BB91" i="30"/>
  <c r="BB92" i="30"/>
  <c r="BB93" i="30"/>
  <c r="BB94" i="30"/>
  <c r="BB96" i="30"/>
  <c r="BB97" i="30"/>
  <c r="BB98" i="30"/>
  <c r="BB99" i="30"/>
  <c r="BB100" i="30"/>
  <c r="BB101" i="30"/>
  <c r="BB102" i="30"/>
  <c r="BB104" i="30"/>
  <c r="BB105" i="30"/>
  <c r="BB106" i="30"/>
  <c r="BB107" i="30"/>
  <c r="BB108" i="30"/>
  <c r="BB109" i="30"/>
  <c r="BB110" i="30"/>
  <c r="BB112" i="30"/>
  <c r="BB113" i="30"/>
  <c r="BB114" i="30"/>
  <c r="BB115" i="30"/>
  <c r="BB116" i="30"/>
  <c r="BB117" i="30"/>
  <c r="BB118" i="30"/>
  <c r="BB119" i="30"/>
  <c r="BB120" i="30"/>
  <c r="BB121" i="30"/>
  <c r="BB122" i="30"/>
  <c r="BB123" i="30"/>
  <c r="BB125" i="30"/>
  <c r="BB126" i="30"/>
  <c r="BB127" i="30"/>
  <c r="BB128" i="30"/>
  <c r="BB129" i="30"/>
  <c r="BB130" i="30"/>
  <c r="BB131" i="30"/>
  <c r="BB132" i="30"/>
  <c r="BB133" i="30"/>
  <c r="BB134" i="30"/>
  <c r="BB135" i="30"/>
  <c r="BB136" i="30"/>
  <c r="BB137" i="30"/>
  <c r="BB138" i="30"/>
  <c r="BB140" i="30"/>
  <c r="BB141" i="30"/>
  <c r="BB142" i="30"/>
  <c r="BB143" i="30"/>
  <c r="BB144" i="30"/>
  <c r="BB145" i="30"/>
  <c r="BB146" i="30"/>
  <c r="BB147" i="30"/>
  <c r="BG6" i="30"/>
  <c r="BG7" i="30"/>
  <c r="BG8" i="30"/>
  <c r="BG9" i="30"/>
  <c r="BG10" i="30"/>
  <c r="BG11" i="30"/>
  <c r="BG12" i="30"/>
  <c r="BG13" i="30"/>
  <c r="BG14" i="30"/>
  <c r="BG15" i="30"/>
  <c r="BG16" i="30"/>
  <c r="BG17" i="30"/>
  <c r="BG19" i="30"/>
  <c r="BG20" i="30"/>
  <c r="D97" i="30"/>
  <c r="D6" i="30"/>
  <c r="D7" i="30"/>
  <c r="D9" i="30"/>
  <c r="D11" i="30"/>
  <c r="D13" i="30"/>
  <c r="D15" i="30"/>
  <c r="D17" i="30"/>
  <c r="D19" i="30"/>
  <c r="D21" i="30"/>
  <c r="D23" i="30"/>
  <c r="D25" i="30"/>
  <c r="D27" i="30"/>
  <c r="D29" i="30"/>
  <c r="D31" i="30"/>
  <c r="D33" i="30"/>
  <c r="D35" i="30"/>
  <c r="D37" i="30"/>
  <c r="D39" i="30"/>
  <c r="D41" i="30"/>
  <c r="D43" i="30"/>
  <c r="D45" i="30"/>
  <c r="D47" i="30"/>
  <c r="D49" i="30"/>
  <c r="D51" i="30"/>
  <c r="D55" i="30"/>
  <c r="D58" i="30"/>
  <c r="D60" i="30"/>
  <c r="D62" i="30"/>
  <c r="D64" i="30"/>
  <c r="D66" i="30"/>
  <c r="D68" i="30"/>
  <c r="D70" i="30"/>
  <c r="D72" i="30"/>
  <c r="D74" i="30"/>
  <c r="D76" i="30"/>
  <c r="D78" i="30"/>
  <c r="D80" i="30"/>
  <c r="D82" i="30"/>
  <c r="D84" i="30"/>
  <c r="D86" i="30"/>
  <c r="D88" i="30"/>
  <c r="D90" i="30"/>
  <c r="D92" i="30"/>
  <c r="D94" i="30"/>
  <c r="D96" i="30"/>
  <c r="D98" i="30"/>
  <c r="D100" i="30"/>
  <c r="D102" i="30"/>
  <c r="D104" i="30"/>
  <c r="D106" i="30"/>
  <c r="D108" i="30"/>
  <c r="D110" i="30"/>
  <c r="D112" i="30"/>
  <c r="D114" i="30"/>
  <c r="D116" i="30"/>
  <c r="D118" i="30"/>
  <c r="D120" i="30"/>
  <c r="D122" i="30"/>
  <c r="D124" i="30"/>
  <c r="D126" i="30"/>
  <c r="D128" i="30"/>
  <c r="D130" i="30"/>
  <c r="D132" i="30"/>
  <c r="D134" i="30"/>
  <c r="D136" i="30"/>
  <c r="D137" i="30"/>
  <c r="D139" i="30"/>
  <c r="D141" i="30"/>
  <c r="D143" i="30"/>
  <c r="D146" i="30"/>
  <c r="AH5" i="30"/>
  <c r="AH7" i="30"/>
  <c r="AH9" i="30"/>
  <c r="AH11" i="30"/>
  <c r="AH13" i="30"/>
  <c r="AH15" i="30"/>
  <c r="AH17" i="30"/>
  <c r="AH19" i="30"/>
  <c r="AH21" i="30"/>
  <c r="AH23" i="30"/>
  <c r="AH25" i="30"/>
  <c r="AH27" i="30"/>
  <c r="AH29" i="30"/>
  <c r="AH31" i="30"/>
  <c r="AH33" i="30"/>
  <c r="AH35" i="30"/>
  <c r="AH37" i="30"/>
  <c r="AH39" i="30"/>
  <c r="AH41" i="30"/>
  <c r="AH43" i="30"/>
  <c r="AH45" i="30"/>
  <c r="AH47" i="30"/>
  <c r="AW7" i="30"/>
  <c r="AW9" i="30"/>
  <c r="BB6" i="30"/>
  <c r="BB10" i="30"/>
  <c r="BB12" i="30"/>
  <c r="BB14" i="30"/>
  <c r="BB16" i="30"/>
  <c r="BB18" i="30"/>
  <c r="BB20" i="30"/>
  <c r="BB22" i="30"/>
  <c r="BB24" i="30"/>
  <c r="BB26" i="30"/>
  <c r="BB28" i="30"/>
  <c r="BB30" i="30"/>
  <c r="BB32" i="30"/>
  <c r="BB34" i="30"/>
  <c r="BB36" i="30"/>
  <c r="BB38" i="30"/>
  <c r="BB40" i="30"/>
  <c r="BB42" i="30"/>
  <c r="BB44" i="30"/>
  <c r="BB46" i="30"/>
  <c r="H10" i="8"/>
  <c r="N17" i="8"/>
  <c r="N13" i="8"/>
  <c r="H18" i="8"/>
  <c r="H14" i="8"/>
  <c r="N18" i="8"/>
  <c r="N14" i="8"/>
  <c r="H17" i="8"/>
  <c r="H13" i="8"/>
  <c r="N21" i="8"/>
  <c r="H21" i="8"/>
  <c r="N20" i="8"/>
  <c r="AA12" i="8"/>
  <c r="AG21" i="8"/>
  <c r="AG20" i="8"/>
  <c r="AG15" i="8"/>
  <c r="AG14" i="8"/>
  <c r="AG13" i="8"/>
  <c r="B17" i="8"/>
  <c r="B13" i="8"/>
  <c r="B18" i="8"/>
  <c r="B14" i="8"/>
  <c r="AG19" i="8"/>
  <c r="B21" i="8"/>
  <c r="B19" i="8"/>
  <c r="B20" i="8"/>
  <c r="AS1" i="28"/>
  <c r="AL1" i="28"/>
  <c r="BA1" i="28"/>
  <c r="AW1" i="28"/>
  <c r="AN1" i="28"/>
  <c r="AX1" i="28"/>
  <c r="BC1" i="28"/>
  <c r="AM1" i="28"/>
  <c r="BG1" i="28"/>
  <c r="BB1" i="28"/>
  <c r="AU1" i="28"/>
  <c r="AR1" i="28"/>
  <c r="BG5" i="30"/>
  <c r="BH2" i="30"/>
  <c r="BB8" i="30"/>
  <c r="BB5" i="30"/>
  <c r="BC2" i="30"/>
  <c r="BE2" i="30"/>
  <c r="AX2" i="30"/>
  <c r="AW6" i="30"/>
  <c r="AR6" i="30"/>
  <c r="AS2" i="30"/>
  <c r="AN2" i="30"/>
  <c r="AM6" i="30"/>
  <c r="AX2" i="29"/>
  <c r="BH2" i="29"/>
  <c r="BD2" i="29"/>
  <c r="BC2" i="29"/>
  <c r="AR5" i="29"/>
  <c r="AN2" i="29"/>
  <c r="D6" i="29"/>
  <c r="D7" i="29"/>
  <c r="D11" i="29"/>
  <c r="D15" i="29"/>
  <c r="D19" i="29"/>
  <c r="D23" i="29"/>
  <c r="D27" i="29"/>
  <c r="D31" i="29"/>
  <c r="D32" i="29"/>
  <c r="I5" i="29"/>
  <c r="I6" i="29"/>
  <c r="I8" i="29"/>
  <c r="I9" i="29"/>
  <c r="I12" i="29"/>
  <c r="I14" i="29"/>
  <c r="I15" i="29"/>
  <c r="I18" i="29"/>
  <c r="I19" i="29"/>
  <c r="I22" i="29"/>
  <c r="I23" i="29"/>
  <c r="I26" i="29"/>
  <c r="I27" i="29"/>
  <c r="I30" i="29"/>
  <c r="N14" i="27"/>
  <c r="N5" i="27"/>
  <c r="BL32" i="29" l="1"/>
  <c r="BL11" i="29"/>
  <c r="BL29" i="29"/>
  <c r="BL33" i="29"/>
  <c r="AZ108" i="23"/>
  <c r="BM2" i="29"/>
  <c r="BL31" i="29"/>
  <c r="BL7" i="29"/>
  <c r="AD108" i="23"/>
  <c r="BB105" i="23"/>
  <c r="BB106" i="23"/>
  <c r="C55" i="8"/>
  <c r="D55" i="8" s="1"/>
  <c r="O55" i="8" s="1"/>
  <c r="T20" i="8"/>
  <c r="C49" i="8"/>
  <c r="D49" i="8" s="1"/>
  <c r="O49" i="8" s="1"/>
  <c r="T14" i="8"/>
  <c r="C48" i="8"/>
  <c r="D48" i="8" s="1"/>
  <c r="O48" i="8" s="1"/>
  <c r="T13" i="8"/>
  <c r="C54" i="8"/>
  <c r="D54" i="8" s="1"/>
  <c r="O54" i="8" s="1"/>
  <c r="T19" i="8"/>
  <c r="C53" i="8"/>
  <c r="D53" i="8" s="1"/>
  <c r="O53" i="8" s="1"/>
  <c r="T18" i="8"/>
  <c r="C52" i="8"/>
  <c r="D52" i="8" s="1"/>
  <c r="O52" i="8" s="1"/>
  <c r="T17" i="8"/>
  <c r="C50" i="8"/>
  <c r="D50" i="8" s="1"/>
  <c r="O50" i="8" s="1"/>
  <c r="T15" i="8"/>
  <c r="AC15" i="8" s="1"/>
  <c r="C56" i="8"/>
  <c r="D56" i="8" s="1"/>
  <c r="O56" i="8" s="1"/>
  <c r="T21" i="8"/>
  <c r="C51" i="8"/>
  <c r="D51" i="8" s="1"/>
  <c r="O51" i="8" s="1"/>
  <c r="T16" i="8"/>
  <c r="AA112" i="23"/>
  <c r="AC112" i="23"/>
  <c r="AD110" i="23"/>
  <c r="BB110" i="23" s="1"/>
  <c r="BB44" i="23"/>
  <c r="AB112" i="23"/>
  <c r="F111" i="23"/>
  <c r="BB101" i="23"/>
  <c r="F108" i="23"/>
  <c r="BB108" i="23" s="1"/>
  <c r="BB104" i="23"/>
  <c r="C112" i="23"/>
  <c r="AY111" i="23"/>
  <c r="D112" i="23"/>
  <c r="AZ111" i="23"/>
  <c r="E112" i="23"/>
  <c r="BA112" i="23" s="1"/>
  <c r="BA111" i="23"/>
  <c r="BM2" i="30"/>
  <c r="BO2" i="30"/>
  <c r="BL25" i="29"/>
  <c r="BL16" i="29"/>
  <c r="BP2" i="29"/>
  <c r="BN2" i="29"/>
  <c r="BL23" i="29"/>
  <c r="BL15" i="29"/>
  <c r="BL21" i="29"/>
  <c r="BL13" i="29"/>
  <c r="BL5" i="29"/>
  <c r="BL22" i="29"/>
  <c r="BL9" i="29"/>
  <c r="BL26" i="29"/>
  <c r="BL10" i="29"/>
  <c r="BL27" i="29"/>
  <c r="BL19" i="29"/>
  <c r="BL6" i="29"/>
  <c r="BL28" i="29"/>
  <c r="BL20" i="29"/>
  <c r="BL12" i="29"/>
  <c r="BL34" i="29"/>
  <c r="BL30" i="29"/>
  <c r="BL24" i="29"/>
  <c r="BL17" i="29"/>
  <c r="BL14" i="29"/>
  <c r="BL8" i="29"/>
  <c r="BL35" i="29"/>
  <c r="BL18" i="29"/>
  <c r="AA17" i="8"/>
  <c r="AH17" i="8" s="1"/>
  <c r="AG17" i="8"/>
  <c r="N22" i="8"/>
  <c r="H22" i="8"/>
  <c r="BP2" i="30"/>
  <c r="BN2" i="30"/>
  <c r="BL146" i="30"/>
  <c r="BL141" i="30"/>
  <c r="BL137" i="30"/>
  <c r="BL134" i="30"/>
  <c r="BL130" i="30"/>
  <c r="BL126" i="30"/>
  <c r="BL122" i="30"/>
  <c r="BL118" i="30"/>
  <c r="BL114" i="30"/>
  <c r="BL110" i="30"/>
  <c r="BL106" i="30"/>
  <c r="BL102" i="30"/>
  <c r="BL98" i="30"/>
  <c r="BL94" i="30"/>
  <c r="BL90" i="30"/>
  <c r="BL86" i="30"/>
  <c r="BL82" i="30"/>
  <c r="BL78" i="30"/>
  <c r="BL74" i="30"/>
  <c r="BL70" i="30"/>
  <c r="BL66" i="30"/>
  <c r="BL62" i="30"/>
  <c r="BL58" i="30"/>
  <c r="BL51" i="30"/>
  <c r="BL97" i="30"/>
  <c r="BL11" i="30"/>
  <c r="BL47" i="30"/>
  <c r="BL43" i="30"/>
  <c r="BL39" i="30"/>
  <c r="BL35" i="30"/>
  <c r="BL31" i="30"/>
  <c r="BL27" i="30"/>
  <c r="BL23" i="30"/>
  <c r="BL19" i="30"/>
  <c r="BL15" i="30"/>
  <c r="BL7" i="30"/>
  <c r="BL54" i="30"/>
  <c r="BL48" i="30"/>
  <c r="BL44" i="30"/>
  <c r="BL40" i="30"/>
  <c r="BL36" i="30"/>
  <c r="BL32" i="30"/>
  <c r="BL28" i="30"/>
  <c r="BL24" i="30"/>
  <c r="BL20" i="30"/>
  <c r="BL16" i="30"/>
  <c r="BL12" i="30"/>
  <c r="BL8" i="30"/>
  <c r="BL142" i="30"/>
  <c r="BL138" i="30"/>
  <c r="BL133" i="30"/>
  <c r="BL129" i="30"/>
  <c r="BL125" i="30"/>
  <c r="BL121" i="30"/>
  <c r="BL117" i="30"/>
  <c r="BL113" i="30"/>
  <c r="BL109" i="30"/>
  <c r="BL105" i="30"/>
  <c r="BL101" i="30"/>
  <c r="BL95" i="30"/>
  <c r="BL91" i="30"/>
  <c r="BL52" i="30"/>
  <c r="BL87" i="30"/>
  <c r="BL81" i="30"/>
  <c r="BL77" i="30"/>
  <c r="BL73" i="30"/>
  <c r="BL69" i="30"/>
  <c r="BL65" i="30"/>
  <c r="BL61" i="30"/>
  <c r="BL57" i="30"/>
  <c r="BL5" i="30"/>
  <c r="BL85" i="30"/>
  <c r="BL143" i="30"/>
  <c r="BL139" i="30"/>
  <c r="BL136" i="30"/>
  <c r="BL132" i="30"/>
  <c r="BL128" i="30"/>
  <c r="BL124" i="30"/>
  <c r="BL120" i="30"/>
  <c r="BL116" i="30"/>
  <c r="BL112" i="30"/>
  <c r="BL108" i="30"/>
  <c r="BL104" i="30"/>
  <c r="BL100" i="30"/>
  <c r="BL96" i="30"/>
  <c r="BL92" i="30"/>
  <c r="BL88" i="30"/>
  <c r="BL84" i="30"/>
  <c r="BL80" i="30"/>
  <c r="BL76" i="30"/>
  <c r="BL72" i="30"/>
  <c r="BL68" i="30"/>
  <c r="BL64" i="30"/>
  <c r="BL60" i="30"/>
  <c r="BL55" i="30"/>
  <c r="BL49" i="30"/>
  <c r="BL45" i="30"/>
  <c r="BL41" i="30"/>
  <c r="BL37" i="30"/>
  <c r="BL33" i="30"/>
  <c r="BL29" i="30"/>
  <c r="BL25" i="30"/>
  <c r="BL21" i="30"/>
  <c r="BL17" i="30"/>
  <c r="BL13" i="30"/>
  <c r="BL9" i="30"/>
  <c r="BL6" i="30"/>
  <c r="BL145" i="30"/>
  <c r="BL50" i="30"/>
  <c r="BL46" i="30"/>
  <c r="BL42" i="30"/>
  <c r="BL38" i="30"/>
  <c r="BL34" i="30"/>
  <c r="BL30" i="30"/>
  <c r="BL26" i="30"/>
  <c r="BL22" i="30"/>
  <c r="BL18" i="30"/>
  <c r="BL14" i="30"/>
  <c r="BL10" i="30"/>
  <c r="BL144" i="30"/>
  <c r="BL140" i="30"/>
  <c r="BL135" i="30"/>
  <c r="BL131" i="30"/>
  <c r="BL127" i="30"/>
  <c r="BL123" i="30"/>
  <c r="BL119" i="30"/>
  <c r="BL115" i="30"/>
  <c r="BL111" i="30"/>
  <c r="BL107" i="30"/>
  <c r="BL103" i="30"/>
  <c r="BL99" i="30"/>
  <c r="BL93" i="30"/>
  <c r="BL56" i="30"/>
  <c r="BL147" i="30"/>
  <c r="BL83" i="30"/>
  <c r="BL79" i="30"/>
  <c r="BL75" i="30"/>
  <c r="BL71" i="30"/>
  <c r="BL67" i="30"/>
  <c r="BL63" i="30"/>
  <c r="BL59" i="30"/>
  <c r="BL53" i="30"/>
  <c r="BL89" i="30"/>
  <c r="AR2" i="29"/>
  <c r="AR2" i="30"/>
  <c r="AM2" i="30"/>
  <c r="BG2" i="30"/>
  <c r="AW2" i="30"/>
  <c r="BG2" i="29"/>
  <c r="AW2" i="29"/>
  <c r="AA15" i="8"/>
  <c r="AH15" i="8" s="1"/>
  <c r="AC16" i="8"/>
  <c r="BB2" i="29"/>
  <c r="AA18" i="8"/>
  <c r="AH18" i="8" s="1"/>
  <c r="AA20" i="8"/>
  <c r="AH20" i="8" s="1"/>
  <c r="AM2" i="29"/>
  <c r="BB2" i="30"/>
  <c r="AC18" i="8"/>
  <c r="AA13" i="8"/>
  <c r="AH13" i="8" s="1"/>
  <c r="AA14" i="8"/>
  <c r="AH14" i="8" s="1"/>
  <c r="AA16" i="8"/>
  <c r="AH16" i="8" s="1"/>
  <c r="AC17" i="8"/>
  <c r="AC20" i="8"/>
  <c r="AC21" i="8"/>
  <c r="AC14" i="8"/>
  <c r="AC13" i="8"/>
  <c r="AC19" i="8"/>
  <c r="AA19" i="8"/>
  <c r="AH19" i="8" s="1"/>
  <c r="AA21" i="8"/>
  <c r="AH21" i="8" s="1"/>
  <c r="AV1" i="28"/>
  <c r="AQ1" i="28"/>
  <c r="BF1" i="28"/>
  <c r="BH1" i="28"/>
  <c r="AY112" i="23" l="1"/>
  <c r="AZ112" i="23"/>
  <c r="AD112" i="23"/>
  <c r="F112" i="23"/>
  <c r="BB111" i="23"/>
  <c r="BL2" i="29"/>
  <c r="BL2" i="30"/>
  <c r="BB112" i="23" l="1"/>
  <c r="N168" i="18"/>
  <c r="M168" i="18"/>
  <c r="L168" i="18"/>
  <c r="K168" i="18"/>
  <c r="J168" i="18"/>
  <c r="I168" i="18"/>
  <c r="H168" i="18"/>
  <c r="G168" i="18"/>
  <c r="F168" i="18"/>
  <c r="E168" i="18"/>
  <c r="D168" i="18"/>
  <c r="C168" i="18"/>
  <c r="N167" i="18"/>
  <c r="M167" i="18"/>
  <c r="L167" i="18"/>
  <c r="K167" i="18"/>
  <c r="J167" i="18"/>
  <c r="I167" i="18"/>
  <c r="H167" i="18"/>
  <c r="G167" i="18"/>
  <c r="F167" i="18"/>
  <c r="E167" i="18"/>
  <c r="D167" i="18"/>
  <c r="C167" i="18"/>
  <c r="N166" i="18"/>
  <c r="M166" i="18"/>
  <c r="L166" i="18"/>
  <c r="K166" i="18"/>
  <c r="J166" i="18"/>
  <c r="I166" i="18"/>
  <c r="H166" i="18"/>
  <c r="G166" i="18"/>
  <c r="F166" i="18"/>
  <c r="E166" i="18"/>
  <c r="D166" i="18"/>
  <c r="C166" i="18"/>
  <c r="N165" i="18"/>
  <c r="M165" i="18"/>
  <c r="L165" i="18"/>
  <c r="K165" i="18"/>
  <c r="J165" i="18"/>
  <c r="I165" i="18"/>
  <c r="H165" i="18"/>
  <c r="G165" i="18"/>
  <c r="F165" i="18"/>
  <c r="E165" i="18"/>
  <c r="D165" i="18"/>
  <c r="C165" i="18"/>
  <c r="N164" i="18"/>
  <c r="M164" i="18"/>
  <c r="L164" i="18"/>
  <c r="K164" i="18"/>
  <c r="K163" i="18" s="1"/>
  <c r="J164" i="18"/>
  <c r="J163" i="18" s="1"/>
  <c r="I164" i="18"/>
  <c r="I163" i="18" s="1"/>
  <c r="H164" i="18"/>
  <c r="H163" i="18" s="1"/>
  <c r="G164" i="18"/>
  <c r="G163" i="18" s="1"/>
  <c r="F164" i="18"/>
  <c r="F163" i="18" s="1"/>
  <c r="E164" i="18"/>
  <c r="E163" i="18" s="1"/>
  <c r="D164" i="18"/>
  <c r="D163" i="18" s="1"/>
  <c r="C164" i="18"/>
  <c r="N163" i="18"/>
  <c r="M163" i="18"/>
  <c r="N16" i="18"/>
  <c r="M16" i="18"/>
  <c r="L16" i="18"/>
  <c r="K16" i="18"/>
  <c r="J16" i="18"/>
  <c r="I16" i="18"/>
  <c r="H16" i="18"/>
  <c r="G16" i="18"/>
  <c r="F16" i="18"/>
  <c r="E16" i="18"/>
  <c r="D16" i="18"/>
  <c r="C16" i="18"/>
  <c r="N15" i="18"/>
  <c r="M15" i="18"/>
  <c r="L15" i="18"/>
  <c r="K15" i="18"/>
  <c r="J15" i="18"/>
  <c r="I15" i="18"/>
  <c r="H15" i="18"/>
  <c r="G15" i="18"/>
  <c r="F15" i="18"/>
  <c r="E15" i="18"/>
  <c r="D15" i="18"/>
  <c r="C15" i="18"/>
  <c r="N14" i="18"/>
  <c r="M14" i="18"/>
  <c r="L14" i="18"/>
  <c r="K14" i="18"/>
  <c r="J14" i="18"/>
  <c r="I14" i="18"/>
  <c r="H14" i="18"/>
  <c r="G14" i="18"/>
  <c r="F14" i="18"/>
  <c r="F13" i="18" s="1"/>
  <c r="E14" i="18"/>
  <c r="E13" i="18" s="1"/>
  <c r="D14" i="18"/>
  <c r="C14" i="18"/>
  <c r="N13" i="18"/>
  <c r="M13" i="18"/>
  <c r="L13" i="18"/>
  <c r="K13" i="18"/>
  <c r="J13" i="18"/>
  <c r="I13" i="18"/>
  <c r="H13" i="18"/>
  <c r="G13" i="18" l="1"/>
  <c r="O14" i="18"/>
  <c r="O15" i="18"/>
  <c r="O16" i="18"/>
  <c r="O164" i="18"/>
  <c r="O165" i="18"/>
  <c r="O166" i="18"/>
  <c r="O167" i="18"/>
  <c r="O168" i="18"/>
  <c r="C163" i="18"/>
  <c r="C13" i="18"/>
  <c r="D13" i="18"/>
  <c r="L163" i="18"/>
  <c r="AL2" i="30"/>
  <c r="AK2" i="30"/>
  <c r="AJ2" i="30"/>
  <c r="AI2" i="30"/>
  <c r="AH2" i="30"/>
  <c r="AG2" i="30"/>
  <c r="AF2" i="30"/>
  <c r="AE2" i="30"/>
  <c r="AD2" i="30"/>
  <c r="AC2" i="30"/>
  <c r="AB2" i="30"/>
  <c r="AA2" i="30"/>
  <c r="Z2" i="30"/>
  <c r="Y2" i="30"/>
  <c r="X2" i="30"/>
  <c r="W2" i="30"/>
  <c r="V2" i="30"/>
  <c r="U2" i="30"/>
  <c r="T2" i="30"/>
  <c r="S2" i="30"/>
  <c r="R2" i="30"/>
  <c r="Q2" i="30"/>
  <c r="P2" i="30"/>
  <c r="O2" i="30"/>
  <c r="N2" i="30"/>
  <c r="M2" i="30"/>
  <c r="L2" i="30"/>
  <c r="K2" i="30"/>
  <c r="J2" i="30"/>
  <c r="I2" i="30"/>
  <c r="H2" i="30"/>
  <c r="G2" i="30"/>
  <c r="F2" i="30"/>
  <c r="E2" i="30"/>
  <c r="D2" i="30"/>
  <c r="AL2" i="29"/>
  <c r="AK2" i="29"/>
  <c r="AJ2" i="29"/>
  <c r="AI2" i="29"/>
  <c r="AH2" i="29"/>
  <c r="AG2" i="29"/>
  <c r="AF2" i="29"/>
  <c r="AE2" i="29"/>
  <c r="AD2" i="29"/>
  <c r="AC2" i="29"/>
  <c r="AB2" i="29"/>
  <c r="AA2" i="29"/>
  <c r="Z2" i="29"/>
  <c r="Y2" i="29"/>
  <c r="X2" i="29"/>
  <c r="W2" i="29"/>
  <c r="V2" i="29"/>
  <c r="U2" i="29"/>
  <c r="T2" i="29"/>
  <c r="S2" i="29"/>
  <c r="R2" i="29"/>
  <c r="Q2" i="29"/>
  <c r="P2" i="29"/>
  <c r="O2" i="29"/>
  <c r="N2" i="29"/>
  <c r="M2" i="29"/>
  <c r="L2" i="29"/>
  <c r="K2" i="29"/>
  <c r="J2" i="29"/>
  <c r="I2" i="29"/>
  <c r="H2" i="29"/>
  <c r="G2" i="29"/>
  <c r="F2" i="29"/>
  <c r="E2" i="29"/>
  <c r="D2" i="29"/>
  <c r="AF1" i="28"/>
  <c r="Z1" i="28"/>
  <c r="AJ1" i="28"/>
  <c r="AE1" i="28"/>
  <c r="AA1" i="28"/>
  <c r="V1" i="28"/>
  <c r="O1" i="28"/>
  <c r="G1" i="28"/>
  <c r="E1" i="28"/>
  <c r="AK22" i="14"/>
  <c r="AJ22" i="14"/>
  <c r="AI22" i="14"/>
  <c r="AH22" i="14"/>
  <c r="AK21" i="14"/>
  <c r="AJ21" i="14"/>
  <c r="AI21" i="14"/>
  <c r="AH21" i="14"/>
  <c r="AK20" i="14"/>
  <c r="AJ20" i="14"/>
  <c r="AI20" i="14"/>
  <c r="AH20" i="14"/>
  <c r="AK19" i="14"/>
  <c r="AJ19" i="14"/>
  <c r="AI19" i="14"/>
  <c r="AH19" i="14"/>
  <c r="AK18" i="14"/>
  <c r="AJ18" i="14"/>
  <c r="AI18" i="14"/>
  <c r="AH18" i="14"/>
  <c r="AK17" i="14"/>
  <c r="AJ17" i="14"/>
  <c r="AI17" i="14"/>
  <c r="AH17" i="14"/>
  <c r="AK16" i="14"/>
  <c r="AJ16" i="14"/>
  <c r="AI16" i="14"/>
  <c r="AH16" i="14"/>
  <c r="AK15" i="14"/>
  <c r="AJ15" i="14"/>
  <c r="AI15" i="14"/>
  <c r="AH15" i="14"/>
  <c r="AK14" i="14"/>
  <c r="AJ14" i="14"/>
  <c r="AI14" i="14"/>
  <c r="AH14" i="14"/>
  <c r="AK13" i="14"/>
  <c r="AJ13" i="14"/>
  <c r="AI13" i="14"/>
  <c r="AH13" i="14"/>
  <c r="AK12" i="14"/>
  <c r="AJ12" i="14"/>
  <c r="AI12" i="14"/>
  <c r="AH12" i="14"/>
  <c r="AK11" i="14"/>
  <c r="AJ11" i="14"/>
  <c r="AI11" i="14"/>
  <c r="AH11" i="14"/>
  <c r="AK10" i="14"/>
  <c r="AJ10" i="14"/>
  <c r="AI10" i="14"/>
  <c r="AH10" i="14"/>
  <c r="AK9" i="14"/>
  <c r="AJ9" i="14"/>
  <c r="AI9" i="14"/>
  <c r="AH9" i="14"/>
  <c r="AK8" i="14"/>
  <c r="AJ8" i="14"/>
  <c r="AI8" i="14"/>
  <c r="AH8" i="14"/>
  <c r="AK7" i="14"/>
  <c r="AJ7" i="14"/>
  <c r="AI7" i="14"/>
  <c r="AH7" i="14"/>
  <c r="AK6" i="14"/>
  <c r="AJ6" i="14"/>
  <c r="AI6" i="14"/>
  <c r="AH6" i="14"/>
  <c r="AK5" i="14"/>
  <c r="AJ5" i="14"/>
  <c r="AI5" i="14"/>
  <c r="AH5" i="14"/>
  <c r="AK4" i="14"/>
  <c r="AJ4" i="14"/>
  <c r="AI4" i="14"/>
  <c r="AI1" i="14" s="1"/>
  <c r="I114" i="6" s="1"/>
  <c r="AH4" i="14"/>
  <c r="AF22" i="14"/>
  <c r="AE22" i="14"/>
  <c r="AD22" i="14"/>
  <c r="AC22" i="14"/>
  <c r="AF21" i="14"/>
  <c r="AE21" i="14"/>
  <c r="AD21" i="14"/>
  <c r="AC21" i="14"/>
  <c r="AF20" i="14"/>
  <c r="AE20" i="14"/>
  <c r="AD20" i="14"/>
  <c r="AC20" i="14"/>
  <c r="AF19" i="14"/>
  <c r="AE19" i="14"/>
  <c r="AD19" i="14"/>
  <c r="AC19" i="14"/>
  <c r="AF18" i="14"/>
  <c r="AE18" i="14"/>
  <c r="AD18" i="14"/>
  <c r="AC18" i="14"/>
  <c r="AF17" i="14"/>
  <c r="AE17" i="14"/>
  <c r="AD17" i="14"/>
  <c r="AC17" i="14"/>
  <c r="AF16" i="14"/>
  <c r="AE16" i="14"/>
  <c r="AD16" i="14"/>
  <c r="AC16" i="14"/>
  <c r="AF15" i="14"/>
  <c r="AE15" i="14"/>
  <c r="AD15" i="14"/>
  <c r="AC15" i="14"/>
  <c r="AF14" i="14"/>
  <c r="AE14" i="14"/>
  <c r="AD14" i="14"/>
  <c r="AC14" i="14"/>
  <c r="AF13" i="14"/>
  <c r="AE13" i="14"/>
  <c r="AD13" i="14"/>
  <c r="AC13" i="14"/>
  <c r="AF12" i="14"/>
  <c r="AE12" i="14"/>
  <c r="AD12" i="14"/>
  <c r="AC12" i="14"/>
  <c r="AF11" i="14"/>
  <c r="AE11" i="14"/>
  <c r="AD11" i="14"/>
  <c r="AC11" i="14"/>
  <c r="AF10" i="14"/>
  <c r="AE10" i="14"/>
  <c r="AD10" i="14"/>
  <c r="AC10" i="14"/>
  <c r="AF9" i="14"/>
  <c r="AE9" i="14"/>
  <c r="AD9" i="14"/>
  <c r="AC9" i="14"/>
  <c r="AF8" i="14"/>
  <c r="AE8" i="14"/>
  <c r="AD8" i="14"/>
  <c r="AC8" i="14"/>
  <c r="AF7" i="14"/>
  <c r="AE7" i="14"/>
  <c r="AD7" i="14"/>
  <c r="AC7" i="14"/>
  <c r="AF6" i="14"/>
  <c r="AE6" i="14"/>
  <c r="AD6" i="14"/>
  <c r="AC6" i="14"/>
  <c r="AF5" i="14"/>
  <c r="AE5" i="14"/>
  <c r="AD5" i="14"/>
  <c r="AC5" i="14"/>
  <c r="AF4" i="14"/>
  <c r="AE4" i="14"/>
  <c r="AD4" i="14"/>
  <c r="AC4" i="14"/>
  <c r="AA22" i="14"/>
  <c r="Z22" i="14"/>
  <c r="Y22" i="14"/>
  <c r="X22" i="14"/>
  <c r="AA21" i="14"/>
  <c r="Z21" i="14"/>
  <c r="Y21" i="14"/>
  <c r="X21" i="14"/>
  <c r="AA20" i="14"/>
  <c r="Z20" i="14"/>
  <c r="Y20" i="14"/>
  <c r="X20" i="14"/>
  <c r="AA19" i="14"/>
  <c r="Z19" i="14"/>
  <c r="Y19" i="14"/>
  <c r="X19" i="14"/>
  <c r="AA18" i="14"/>
  <c r="Z18" i="14"/>
  <c r="Y18" i="14"/>
  <c r="X18" i="14"/>
  <c r="AA17" i="14"/>
  <c r="Z17" i="14"/>
  <c r="Y17" i="14"/>
  <c r="X17" i="14"/>
  <c r="AA16" i="14"/>
  <c r="Z16" i="14"/>
  <c r="Y16" i="14"/>
  <c r="X16" i="14"/>
  <c r="AA15" i="14"/>
  <c r="Z15" i="14"/>
  <c r="Y15" i="14"/>
  <c r="X15" i="14"/>
  <c r="AA14" i="14"/>
  <c r="Z14" i="14"/>
  <c r="Y14" i="14"/>
  <c r="X14" i="14"/>
  <c r="AA13" i="14"/>
  <c r="Z13" i="14"/>
  <c r="Y13" i="14"/>
  <c r="X13" i="14"/>
  <c r="AA12" i="14"/>
  <c r="Z12" i="14"/>
  <c r="Y12" i="14"/>
  <c r="X12" i="14"/>
  <c r="AA11" i="14"/>
  <c r="Z11" i="14"/>
  <c r="Y11" i="14"/>
  <c r="X11" i="14"/>
  <c r="AA10" i="14"/>
  <c r="Z10" i="14"/>
  <c r="Y10" i="14"/>
  <c r="X10" i="14"/>
  <c r="AA9" i="14"/>
  <c r="Z9" i="14"/>
  <c r="Y9" i="14"/>
  <c r="X9" i="14"/>
  <c r="AA8" i="14"/>
  <c r="Z8" i="14"/>
  <c r="Y8" i="14"/>
  <c r="X8" i="14"/>
  <c r="AA7" i="14"/>
  <c r="Z7" i="14"/>
  <c r="Y7" i="14"/>
  <c r="X7" i="14"/>
  <c r="AA6" i="14"/>
  <c r="Z6" i="14"/>
  <c r="Y6" i="14"/>
  <c r="X6" i="14"/>
  <c r="AA5" i="14"/>
  <c r="Z5" i="14"/>
  <c r="Y5" i="14"/>
  <c r="X5" i="14"/>
  <c r="AA4" i="14"/>
  <c r="Z4" i="14"/>
  <c r="Y4" i="14"/>
  <c r="X4" i="14"/>
  <c r="V22" i="14"/>
  <c r="U22" i="14"/>
  <c r="T22" i="14"/>
  <c r="S22" i="14"/>
  <c r="V21" i="14"/>
  <c r="U21" i="14"/>
  <c r="T21" i="14"/>
  <c r="S21" i="14"/>
  <c r="V20" i="14"/>
  <c r="U20" i="14"/>
  <c r="T20" i="14"/>
  <c r="S20" i="14"/>
  <c r="V19" i="14"/>
  <c r="U19" i="14"/>
  <c r="T19" i="14"/>
  <c r="S19" i="14"/>
  <c r="V18" i="14"/>
  <c r="U18" i="14"/>
  <c r="T18" i="14"/>
  <c r="S18" i="14"/>
  <c r="V17" i="14"/>
  <c r="U17" i="14"/>
  <c r="T17" i="14"/>
  <c r="S17" i="14"/>
  <c r="V16" i="14"/>
  <c r="U16" i="14"/>
  <c r="T16" i="14"/>
  <c r="S16" i="14"/>
  <c r="V15" i="14"/>
  <c r="U15" i="14"/>
  <c r="T15" i="14"/>
  <c r="S15" i="14"/>
  <c r="V14" i="14"/>
  <c r="U14" i="14"/>
  <c r="T14" i="14"/>
  <c r="S14" i="14"/>
  <c r="V13" i="14"/>
  <c r="U13" i="14"/>
  <c r="T13" i="14"/>
  <c r="S13" i="14"/>
  <c r="V12" i="14"/>
  <c r="U12" i="14"/>
  <c r="T12" i="14"/>
  <c r="S12" i="14"/>
  <c r="V11" i="14"/>
  <c r="U11" i="14"/>
  <c r="T11" i="14"/>
  <c r="S11" i="14"/>
  <c r="V10" i="14"/>
  <c r="U10" i="14"/>
  <c r="T10" i="14"/>
  <c r="S10" i="14"/>
  <c r="V9" i="14"/>
  <c r="U9" i="14"/>
  <c r="T9" i="14"/>
  <c r="S9" i="14"/>
  <c r="V8" i="14"/>
  <c r="U8" i="14"/>
  <c r="T8" i="14"/>
  <c r="S8" i="14"/>
  <c r="V7" i="14"/>
  <c r="U7" i="14"/>
  <c r="T7" i="14"/>
  <c r="S7" i="14"/>
  <c r="V6" i="14"/>
  <c r="U6" i="14"/>
  <c r="T6" i="14"/>
  <c r="S6" i="14"/>
  <c r="V5" i="14"/>
  <c r="U5" i="14"/>
  <c r="T5" i="14"/>
  <c r="S5" i="14"/>
  <c r="V4" i="14"/>
  <c r="U4" i="14"/>
  <c r="U1" i="14" s="1"/>
  <c r="F115" i="6" s="1"/>
  <c r="F116" i="6" s="1"/>
  <c r="T4" i="14"/>
  <c r="S4" i="14"/>
  <c r="Q22" i="14"/>
  <c r="P22" i="14"/>
  <c r="O22" i="14"/>
  <c r="N22" i="14"/>
  <c r="Q21" i="14"/>
  <c r="P21" i="14"/>
  <c r="O21" i="14"/>
  <c r="N21" i="14"/>
  <c r="Q20" i="14"/>
  <c r="P20" i="14"/>
  <c r="O20" i="14"/>
  <c r="N20" i="14"/>
  <c r="Q19" i="14"/>
  <c r="P19" i="14"/>
  <c r="O19" i="14"/>
  <c r="N19" i="14"/>
  <c r="Q18" i="14"/>
  <c r="P18" i="14"/>
  <c r="O18" i="14"/>
  <c r="N18" i="14"/>
  <c r="Q17" i="14"/>
  <c r="P17" i="14"/>
  <c r="O17" i="14"/>
  <c r="N17" i="14"/>
  <c r="Q16" i="14"/>
  <c r="P16" i="14"/>
  <c r="O16" i="14"/>
  <c r="N16" i="14"/>
  <c r="Q15" i="14"/>
  <c r="P15" i="14"/>
  <c r="O15" i="14"/>
  <c r="N15" i="14"/>
  <c r="Q14" i="14"/>
  <c r="P14" i="14"/>
  <c r="O14" i="14"/>
  <c r="N14" i="14"/>
  <c r="Q13" i="14"/>
  <c r="P13" i="14"/>
  <c r="O13" i="14"/>
  <c r="N13" i="14"/>
  <c r="Q12" i="14"/>
  <c r="P12" i="14"/>
  <c r="O12" i="14"/>
  <c r="N12" i="14"/>
  <c r="Q11" i="14"/>
  <c r="P11" i="14"/>
  <c r="O11" i="14"/>
  <c r="N11" i="14"/>
  <c r="Q10" i="14"/>
  <c r="P10" i="14"/>
  <c r="O10" i="14"/>
  <c r="N10" i="14"/>
  <c r="Q9" i="14"/>
  <c r="P9" i="14"/>
  <c r="O9" i="14"/>
  <c r="N9" i="14"/>
  <c r="Q8" i="14"/>
  <c r="P8" i="14"/>
  <c r="O8" i="14"/>
  <c r="N8" i="14"/>
  <c r="Q7" i="14"/>
  <c r="P7" i="14"/>
  <c r="O7" i="14"/>
  <c r="N7" i="14"/>
  <c r="Q6" i="14"/>
  <c r="P6" i="14"/>
  <c r="O6" i="14"/>
  <c r="N6" i="14"/>
  <c r="Q5" i="14"/>
  <c r="P5" i="14"/>
  <c r="O5" i="14"/>
  <c r="N5" i="14"/>
  <c r="Q4" i="14"/>
  <c r="Q1" i="14" s="1"/>
  <c r="P4" i="14"/>
  <c r="P1" i="14" s="1"/>
  <c r="E115" i="6" s="1"/>
  <c r="E116" i="6" s="1"/>
  <c r="O4" i="14"/>
  <c r="N4" i="14"/>
  <c r="G22" i="14"/>
  <c r="BO22" i="14" s="1"/>
  <c r="F22" i="14"/>
  <c r="BN22" i="14" s="1"/>
  <c r="E22" i="14"/>
  <c r="BM22" i="14" s="1"/>
  <c r="D22" i="14"/>
  <c r="BL22" i="14" s="1"/>
  <c r="G21" i="14"/>
  <c r="BO21" i="14" s="1"/>
  <c r="F21" i="14"/>
  <c r="BN21" i="14" s="1"/>
  <c r="E21" i="14"/>
  <c r="BM21" i="14" s="1"/>
  <c r="D21" i="14"/>
  <c r="BL21" i="14" s="1"/>
  <c r="G20" i="14"/>
  <c r="BO20" i="14" s="1"/>
  <c r="F20" i="14"/>
  <c r="BN20" i="14" s="1"/>
  <c r="E20" i="14"/>
  <c r="BM20" i="14" s="1"/>
  <c r="D20" i="14"/>
  <c r="BL20" i="14" s="1"/>
  <c r="G19" i="14"/>
  <c r="BO19" i="14" s="1"/>
  <c r="F19" i="14"/>
  <c r="BN19" i="14" s="1"/>
  <c r="E19" i="14"/>
  <c r="BM19" i="14" s="1"/>
  <c r="D19" i="14"/>
  <c r="BL19" i="14" s="1"/>
  <c r="G18" i="14"/>
  <c r="BO18" i="14" s="1"/>
  <c r="F18" i="14"/>
  <c r="BN18" i="14" s="1"/>
  <c r="E18" i="14"/>
  <c r="BM18" i="14" s="1"/>
  <c r="D18" i="14"/>
  <c r="BL18" i="14" s="1"/>
  <c r="G17" i="14"/>
  <c r="BO17" i="14" s="1"/>
  <c r="F17" i="14"/>
  <c r="BN17" i="14" s="1"/>
  <c r="E17" i="14"/>
  <c r="BM17" i="14" s="1"/>
  <c r="D17" i="14"/>
  <c r="BL17" i="14" s="1"/>
  <c r="G16" i="14"/>
  <c r="BO16" i="14" s="1"/>
  <c r="F16" i="14"/>
  <c r="BN16" i="14" s="1"/>
  <c r="E16" i="14"/>
  <c r="BM16" i="14" s="1"/>
  <c r="D16" i="14"/>
  <c r="BL16" i="14" s="1"/>
  <c r="G15" i="14"/>
  <c r="BO15" i="14" s="1"/>
  <c r="F15" i="14"/>
  <c r="BN15" i="14" s="1"/>
  <c r="E15" i="14"/>
  <c r="BM15" i="14" s="1"/>
  <c r="D15" i="14"/>
  <c r="BL15" i="14" s="1"/>
  <c r="G14" i="14"/>
  <c r="BO14" i="14" s="1"/>
  <c r="F14" i="14"/>
  <c r="BN14" i="14" s="1"/>
  <c r="E14" i="14"/>
  <c r="BM14" i="14" s="1"/>
  <c r="D14" i="14"/>
  <c r="BL14" i="14" s="1"/>
  <c r="G13" i="14"/>
  <c r="BO13" i="14" s="1"/>
  <c r="F13" i="14"/>
  <c r="BN13" i="14" s="1"/>
  <c r="E13" i="14"/>
  <c r="BM13" i="14" s="1"/>
  <c r="D13" i="14"/>
  <c r="BL13" i="14" s="1"/>
  <c r="G12" i="14"/>
  <c r="BO12" i="14" s="1"/>
  <c r="F12" i="14"/>
  <c r="BN12" i="14" s="1"/>
  <c r="E12" i="14"/>
  <c r="BM12" i="14" s="1"/>
  <c r="D12" i="14"/>
  <c r="BL12" i="14" s="1"/>
  <c r="G11" i="14"/>
  <c r="BO11" i="14" s="1"/>
  <c r="F11" i="14"/>
  <c r="BN11" i="14" s="1"/>
  <c r="E11" i="14"/>
  <c r="BM11" i="14" s="1"/>
  <c r="D11" i="14"/>
  <c r="BL11" i="14" s="1"/>
  <c r="G10" i="14"/>
  <c r="BO10" i="14" s="1"/>
  <c r="F10" i="14"/>
  <c r="BN10" i="14" s="1"/>
  <c r="E10" i="14"/>
  <c r="BM10" i="14" s="1"/>
  <c r="D10" i="14"/>
  <c r="BL10" i="14" s="1"/>
  <c r="G9" i="14"/>
  <c r="BO9" i="14" s="1"/>
  <c r="F9" i="14"/>
  <c r="BN9" i="14" s="1"/>
  <c r="E9" i="14"/>
  <c r="BM9" i="14" s="1"/>
  <c r="D9" i="14"/>
  <c r="BL9" i="14" s="1"/>
  <c r="G8" i="14"/>
  <c r="BO8" i="14" s="1"/>
  <c r="F8" i="14"/>
  <c r="BN8" i="14" s="1"/>
  <c r="E8" i="14"/>
  <c r="BM8" i="14" s="1"/>
  <c r="D8" i="14"/>
  <c r="BL8" i="14" s="1"/>
  <c r="G7" i="14"/>
  <c r="BO7" i="14" s="1"/>
  <c r="F7" i="14"/>
  <c r="BN7" i="14" s="1"/>
  <c r="E7" i="14"/>
  <c r="BM7" i="14" s="1"/>
  <c r="D7" i="14"/>
  <c r="BL7" i="14" s="1"/>
  <c r="G6" i="14"/>
  <c r="BO6" i="14" s="1"/>
  <c r="F6" i="14"/>
  <c r="BN6" i="14" s="1"/>
  <c r="E6" i="14"/>
  <c r="BM6" i="14" s="1"/>
  <c r="D6" i="14"/>
  <c r="BL6" i="14" s="1"/>
  <c r="G5" i="14"/>
  <c r="BO5" i="14" s="1"/>
  <c r="F5" i="14"/>
  <c r="BN5" i="14" s="1"/>
  <c r="E5" i="14"/>
  <c r="BM5" i="14" s="1"/>
  <c r="D5" i="14"/>
  <c r="BL5" i="14" s="1"/>
  <c r="G4" i="14"/>
  <c r="BO4" i="14" s="1"/>
  <c r="BO1" i="14" s="1"/>
  <c r="F4" i="14"/>
  <c r="BN4" i="14" s="1"/>
  <c r="E4" i="14"/>
  <c r="BM4" i="14" s="1"/>
  <c r="BM1" i="14" s="1"/>
  <c r="D4" i="14"/>
  <c r="BL4" i="14" s="1"/>
  <c r="BL1" i="14" s="1"/>
  <c r="J1" i="14"/>
  <c r="D114" i="6" s="1"/>
  <c r="D35" i="18"/>
  <c r="E35" i="18"/>
  <c r="F35" i="18"/>
  <c r="G35" i="18"/>
  <c r="H35" i="18"/>
  <c r="I35" i="18"/>
  <c r="J35" i="18"/>
  <c r="K35" i="18"/>
  <c r="L35" i="18"/>
  <c r="M35" i="18"/>
  <c r="N35" i="18"/>
  <c r="D36" i="18"/>
  <c r="E36" i="18"/>
  <c r="F36" i="18"/>
  <c r="G36" i="18"/>
  <c r="H36" i="18"/>
  <c r="I36" i="18"/>
  <c r="J36" i="18"/>
  <c r="K36" i="18"/>
  <c r="L36" i="18"/>
  <c r="M36" i="18"/>
  <c r="N36" i="18"/>
  <c r="D37" i="18"/>
  <c r="E37" i="18"/>
  <c r="F37" i="18"/>
  <c r="G37" i="18"/>
  <c r="H37" i="18"/>
  <c r="I37" i="18"/>
  <c r="J37" i="18"/>
  <c r="K37" i="18"/>
  <c r="L37" i="18"/>
  <c r="M37" i="18"/>
  <c r="N37" i="18"/>
  <c r="D38" i="18"/>
  <c r="E38" i="18"/>
  <c r="F38" i="18"/>
  <c r="G38" i="18"/>
  <c r="H38" i="18"/>
  <c r="I38" i="18"/>
  <c r="J38" i="18"/>
  <c r="K38" i="18"/>
  <c r="L38" i="18"/>
  <c r="M38" i="18"/>
  <c r="N38" i="18"/>
  <c r="D39" i="18"/>
  <c r="E39" i="18"/>
  <c r="F39" i="18"/>
  <c r="G39" i="18"/>
  <c r="H39" i="18"/>
  <c r="I39" i="18"/>
  <c r="J39" i="18"/>
  <c r="K39" i="18"/>
  <c r="L39" i="18"/>
  <c r="M39" i="18"/>
  <c r="N39" i="18"/>
  <c r="D215" i="6"/>
  <c r="C159" i="13" s="1"/>
  <c r="E215" i="6"/>
  <c r="D159" i="13" s="1"/>
  <c r="F215" i="6"/>
  <c r="E159" i="13" s="1"/>
  <c r="G215" i="6"/>
  <c r="F159" i="13" s="1"/>
  <c r="H215" i="6"/>
  <c r="G159" i="13" s="1"/>
  <c r="I215" i="6"/>
  <c r="H159" i="13" s="1"/>
  <c r="J215" i="6"/>
  <c r="I159" i="13" s="1"/>
  <c r="K215" i="6"/>
  <c r="J159" i="13" s="1"/>
  <c r="L215" i="6"/>
  <c r="K159" i="13" s="1"/>
  <c r="M215" i="6"/>
  <c r="L159" i="13" s="1"/>
  <c r="N215" i="6"/>
  <c r="M159" i="13" s="1"/>
  <c r="D216" i="6"/>
  <c r="C160" i="13" s="1"/>
  <c r="E216" i="6"/>
  <c r="D160" i="13" s="1"/>
  <c r="F216" i="6"/>
  <c r="E160" i="13" s="1"/>
  <c r="G216" i="6"/>
  <c r="F160" i="13" s="1"/>
  <c r="H216" i="6"/>
  <c r="G160" i="13" s="1"/>
  <c r="I216" i="6"/>
  <c r="H160" i="13" s="1"/>
  <c r="J216" i="6"/>
  <c r="I160" i="13" s="1"/>
  <c r="K216" i="6"/>
  <c r="J160" i="13" s="1"/>
  <c r="L216" i="6"/>
  <c r="K160" i="13" s="1"/>
  <c r="M216" i="6"/>
  <c r="L160" i="13" s="1"/>
  <c r="N216" i="6"/>
  <c r="M160" i="13" s="1"/>
  <c r="D217" i="6"/>
  <c r="C161" i="13" s="1"/>
  <c r="C162" i="13" s="1"/>
  <c r="E217" i="6"/>
  <c r="D161" i="13" s="1"/>
  <c r="D162" i="13" s="1"/>
  <c r="F217" i="6"/>
  <c r="E161" i="13" s="1"/>
  <c r="E162" i="13" s="1"/>
  <c r="G217" i="6"/>
  <c r="F161" i="13" s="1"/>
  <c r="F162" i="13" s="1"/>
  <c r="H217" i="6"/>
  <c r="G161" i="13" s="1"/>
  <c r="G162" i="13" s="1"/>
  <c r="I217" i="6"/>
  <c r="H161" i="13" s="1"/>
  <c r="H162" i="13" s="1"/>
  <c r="J217" i="6"/>
  <c r="I161" i="13" s="1"/>
  <c r="I162" i="13" s="1"/>
  <c r="K217" i="6"/>
  <c r="J161" i="13" s="1"/>
  <c r="J162" i="13" s="1"/>
  <c r="L217" i="6"/>
  <c r="K161" i="13" s="1"/>
  <c r="K162" i="13" s="1"/>
  <c r="M217" i="6"/>
  <c r="L161" i="13" s="1"/>
  <c r="L162" i="13" s="1"/>
  <c r="N217" i="6"/>
  <c r="M161" i="13" s="1"/>
  <c r="M162" i="13" s="1"/>
  <c r="D218" i="6"/>
  <c r="E218" i="6"/>
  <c r="F218" i="6"/>
  <c r="G218" i="6"/>
  <c r="H218" i="6"/>
  <c r="I218" i="6"/>
  <c r="J218" i="6"/>
  <c r="K218" i="6"/>
  <c r="L218" i="6"/>
  <c r="M218" i="6"/>
  <c r="N218" i="6"/>
  <c r="D219" i="6"/>
  <c r="E219" i="6"/>
  <c r="F219" i="6"/>
  <c r="G219" i="6"/>
  <c r="H219" i="6"/>
  <c r="I219" i="6"/>
  <c r="J219" i="6"/>
  <c r="K219" i="6"/>
  <c r="L219" i="6"/>
  <c r="M219" i="6"/>
  <c r="N219" i="6"/>
  <c r="C219" i="6"/>
  <c r="C218" i="6"/>
  <c r="C217" i="6"/>
  <c r="B161" i="13" s="1"/>
  <c r="C216" i="6"/>
  <c r="B160" i="13" s="1"/>
  <c r="N160" i="13" s="1"/>
  <c r="C215" i="6"/>
  <c r="B159" i="13" s="1"/>
  <c r="N159" i="13" s="1"/>
  <c r="D57" i="6"/>
  <c r="E57" i="6"/>
  <c r="F57" i="6"/>
  <c r="G57" i="6"/>
  <c r="H57" i="6"/>
  <c r="I57" i="6"/>
  <c r="J57" i="6"/>
  <c r="K57" i="6"/>
  <c r="L57" i="6"/>
  <c r="M57" i="6"/>
  <c r="N57" i="6"/>
  <c r="D58" i="6"/>
  <c r="E58" i="6"/>
  <c r="F58" i="6"/>
  <c r="G58" i="6"/>
  <c r="H58" i="6"/>
  <c r="I58" i="6"/>
  <c r="J58" i="6"/>
  <c r="K58" i="6"/>
  <c r="L58" i="6"/>
  <c r="M58" i="6"/>
  <c r="N58" i="6"/>
  <c r="D59" i="6"/>
  <c r="E59" i="6"/>
  <c r="F59" i="6"/>
  <c r="G59" i="6"/>
  <c r="H59" i="6"/>
  <c r="I59" i="6"/>
  <c r="J59" i="6"/>
  <c r="K59" i="6"/>
  <c r="L59" i="6"/>
  <c r="M59" i="6"/>
  <c r="N59" i="6"/>
  <c r="D50" i="6"/>
  <c r="E50" i="6"/>
  <c r="F50" i="6"/>
  <c r="G50" i="6"/>
  <c r="H50" i="6"/>
  <c r="I50" i="6"/>
  <c r="J50" i="6"/>
  <c r="K50" i="6"/>
  <c r="L50" i="6"/>
  <c r="M50" i="6"/>
  <c r="N50" i="6"/>
  <c r="D51" i="6"/>
  <c r="E51" i="6"/>
  <c r="F51" i="6"/>
  <c r="G51" i="6"/>
  <c r="H51" i="6"/>
  <c r="I51" i="6"/>
  <c r="J51" i="6"/>
  <c r="K51" i="6"/>
  <c r="L51" i="6"/>
  <c r="M51" i="6"/>
  <c r="N51" i="6"/>
  <c r="D52" i="6"/>
  <c r="E52" i="6"/>
  <c r="F52" i="6"/>
  <c r="G52" i="6"/>
  <c r="H52" i="6"/>
  <c r="I52" i="6"/>
  <c r="J52" i="6"/>
  <c r="K52" i="6"/>
  <c r="L52" i="6"/>
  <c r="M52" i="6"/>
  <c r="N52" i="6"/>
  <c r="D32" i="6"/>
  <c r="C30" i="13" s="1"/>
  <c r="E32" i="6"/>
  <c r="D30" i="13" s="1"/>
  <c r="F32" i="6"/>
  <c r="E30" i="13" s="1"/>
  <c r="G32" i="6"/>
  <c r="F30" i="13" s="1"/>
  <c r="H32" i="6"/>
  <c r="G30" i="13" s="1"/>
  <c r="I32" i="6"/>
  <c r="J32" i="6"/>
  <c r="I30" i="13" s="1"/>
  <c r="K32" i="6"/>
  <c r="J30" i="13" s="1"/>
  <c r="L32" i="6"/>
  <c r="K30" i="13" s="1"/>
  <c r="M32" i="6"/>
  <c r="L30" i="13" s="1"/>
  <c r="N32" i="6"/>
  <c r="M30" i="13" s="1"/>
  <c r="D33" i="6"/>
  <c r="C31" i="13" s="1"/>
  <c r="E33" i="6"/>
  <c r="D31" i="13" s="1"/>
  <c r="F33" i="6"/>
  <c r="E31" i="13" s="1"/>
  <c r="G33" i="6"/>
  <c r="F31" i="13" s="1"/>
  <c r="H33" i="6"/>
  <c r="G31" i="13" s="1"/>
  <c r="I33" i="6"/>
  <c r="H31" i="13" s="1"/>
  <c r="J33" i="6"/>
  <c r="I31" i="13" s="1"/>
  <c r="K33" i="6"/>
  <c r="J31" i="13" s="1"/>
  <c r="L33" i="6"/>
  <c r="K31" i="13" s="1"/>
  <c r="M33" i="6"/>
  <c r="L31" i="13" s="1"/>
  <c r="N33" i="6"/>
  <c r="M31" i="13" s="1"/>
  <c r="D34" i="6"/>
  <c r="C32" i="13" s="1"/>
  <c r="E34" i="6"/>
  <c r="D32" i="13" s="1"/>
  <c r="F34" i="6"/>
  <c r="E32" i="13" s="1"/>
  <c r="G34" i="6"/>
  <c r="F32" i="13" s="1"/>
  <c r="H34" i="6"/>
  <c r="G32" i="13" s="1"/>
  <c r="I34" i="6"/>
  <c r="H32" i="13" s="1"/>
  <c r="J34" i="6"/>
  <c r="I32" i="13" s="1"/>
  <c r="K34" i="6"/>
  <c r="J32" i="13" s="1"/>
  <c r="L34" i="6"/>
  <c r="K32" i="13" s="1"/>
  <c r="M34" i="6"/>
  <c r="L32" i="13" s="1"/>
  <c r="N34" i="6"/>
  <c r="M32" i="13" s="1"/>
  <c r="D35" i="6"/>
  <c r="C33" i="13" s="1"/>
  <c r="E35" i="6"/>
  <c r="D33" i="13" s="1"/>
  <c r="F35" i="6"/>
  <c r="E33" i="13" s="1"/>
  <c r="G35" i="6"/>
  <c r="F33" i="13" s="1"/>
  <c r="H35" i="6"/>
  <c r="G33" i="13" s="1"/>
  <c r="I35" i="6"/>
  <c r="H33" i="13" s="1"/>
  <c r="J35" i="6"/>
  <c r="I33" i="13" s="1"/>
  <c r="K35" i="6"/>
  <c r="J33" i="13" s="1"/>
  <c r="L35" i="6"/>
  <c r="K33" i="13" s="1"/>
  <c r="M35" i="6"/>
  <c r="L33" i="13" s="1"/>
  <c r="N35" i="6"/>
  <c r="M33" i="13" s="1"/>
  <c r="D36" i="6"/>
  <c r="E36" i="6"/>
  <c r="F36" i="6"/>
  <c r="G36" i="6"/>
  <c r="H36" i="6"/>
  <c r="I36" i="6"/>
  <c r="J36" i="6"/>
  <c r="K36" i="6"/>
  <c r="L36" i="6"/>
  <c r="M36" i="6"/>
  <c r="N36" i="6"/>
  <c r="C33" i="6"/>
  <c r="D23" i="6"/>
  <c r="E23" i="6"/>
  <c r="F23" i="6"/>
  <c r="G23" i="6"/>
  <c r="H23" i="6"/>
  <c r="I23" i="6"/>
  <c r="J23" i="6"/>
  <c r="K23" i="6"/>
  <c r="L23" i="6"/>
  <c r="M23" i="6"/>
  <c r="N23" i="6"/>
  <c r="D24" i="6"/>
  <c r="E24" i="6"/>
  <c r="F24" i="6"/>
  <c r="G24" i="6"/>
  <c r="H24" i="6"/>
  <c r="I24" i="6"/>
  <c r="J24" i="6"/>
  <c r="K24" i="6"/>
  <c r="L24" i="6"/>
  <c r="M24" i="6"/>
  <c r="N24" i="6"/>
  <c r="D25" i="6"/>
  <c r="E25" i="6"/>
  <c r="F25" i="6"/>
  <c r="G25" i="6"/>
  <c r="H25" i="6"/>
  <c r="I25" i="6"/>
  <c r="J25" i="6"/>
  <c r="K25" i="6"/>
  <c r="L25" i="6"/>
  <c r="M25" i="6"/>
  <c r="N25" i="6"/>
  <c r="D26" i="6"/>
  <c r="C40" i="13" s="1"/>
  <c r="E26" i="6"/>
  <c r="D40" i="13" s="1"/>
  <c r="F26" i="6"/>
  <c r="E40" i="13" s="1"/>
  <c r="G26" i="6"/>
  <c r="F40" i="13" s="1"/>
  <c r="H26" i="6"/>
  <c r="G40" i="13" s="1"/>
  <c r="I26" i="6"/>
  <c r="H40" i="13" s="1"/>
  <c r="J26" i="6"/>
  <c r="I40" i="13" s="1"/>
  <c r="K26" i="6"/>
  <c r="J40" i="13" s="1"/>
  <c r="L26" i="6"/>
  <c r="K40" i="13" s="1"/>
  <c r="M26" i="6"/>
  <c r="L40" i="13" s="1"/>
  <c r="N26" i="6"/>
  <c r="M40" i="13" s="1"/>
  <c r="D27" i="6"/>
  <c r="E27" i="6"/>
  <c r="F27" i="6"/>
  <c r="G27" i="6"/>
  <c r="H27" i="6"/>
  <c r="I27" i="6"/>
  <c r="J27" i="6"/>
  <c r="K27" i="6"/>
  <c r="L27" i="6"/>
  <c r="M27" i="6"/>
  <c r="N27" i="6"/>
  <c r="C24" i="6"/>
  <c r="C23" i="6"/>
  <c r="B162" i="13" l="1"/>
  <c r="N162" i="13" s="1"/>
  <c r="N161" i="13"/>
  <c r="BN1" i="14"/>
  <c r="O13" i="18"/>
  <c r="O163" i="18"/>
  <c r="H30" i="13"/>
  <c r="O23" i="6"/>
  <c r="O216" i="6"/>
  <c r="O218" i="6"/>
  <c r="O24" i="6"/>
  <c r="L37" i="13"/>
  <c r="J37" i="13"/>
  <c r="H37" i="13"/>
  <c r="F37" i="13"/>
  <c r="D37" i="13"/>
  <c r="O33" i="6"/>
  <c r="O215" i="6"/>
  <c r="O217" i="6"/>
  <c r="O219" i="6"/>
  <c r="T1" i="14"/>
  <c r="F114" i="6" s="1"/>
  <c r="L39" i="13"/>
  <c r="J39" i="13"/>
  <c r="H39" i="13"/>
  <c r="F39" i="13"/>
  <c r="D39" i="13"/>
  <c r="M38" i="13"/>
  <c r="K38" i="13"/>
  <c r="I38" i="13"/>
  <c r="G38" i="13"/>
  <c r="E38" i="13"/>
  <c r="C38" i="13"/>
  <c r="M39" i="13"/>
  <c r="K39" i="13"/>
  <c r="I39" i="13"/>
  <c r="G39" i="13"/>
  <c r="E39" i="13"/>
  <c r="C39" i="13"/>
  <c r="L38" i="13"/>
  <c r="J38" i="13"/>
  <c r="H38" i="13"/>
  <c r="F38" i="13"/>
  <c r="D38" i="13"/>
  <c r="M37" i="13"/>
  <c r="K37" i="13"/>
  <c r="I37" i="13"/>
  <c r="G37" i="13"/>
  <c r="E37" i="13"/>
  <c r="C37" i="13"/>
  <c r="L1" i="28"/>
  <c r="M49" i="6"/>
  <c r="K49" i="6"/>
  <c r="I49" i="6"/>
  <c r="G49" i="6"/>
  <c r="E49" i="6"/>
  <c r="C14" i="14"/>
  <c r="C15" i="14"/>
  <c r="C17" i="14"/>
  <c r="C18" i="14"/>
  <c r="C19" i="14"/>
  <c r="C21" i="14"/>
  <c r="C22" i="14"/>
  <c r="N49" i="6"/>
  <c r="L49" i="6"/>
  <c r="J49" i="6"/>
  <c r="H49" i="6"/>
  <c r="F49" i="6"/>
  <c r="D49" i="6"/>
  <c r="M56" i="6"/>
  <c r="K56" i="6"/>
  <c r="I56" i="6"/>
  <c r="G56" i="6"/>
  <c r="E56" i="6"/>
  <c r="R21" i="14"/>
  <c r="N56" i="6"/>
  <c r="L56" i="6"/>
  <c r="J56" i="6"/>
  <c r="H56" i="6"/>
  <c r="F56" i="6"/>
  <c r="D56" i="6"/>
  <c r="W19" i="14"/>
  <c r="AB17" i="14"/>
  <c r="AB18" i="14"/>
  <c r="AB19" i="14"/>
  <c r="P1" i="28"/>
  <c r="D1" i="28"/>
  <c r="F1" i="28"/>
  <c r="K1" i="28"/>
  <c r="Q1" i="28"/>
  <c r="M1" i="28"/>
  <c r="R13" i="14"/>
  <c r="W11" i="14"/>
  <c r="C16" i="14"/>
  <c r="C20" i="14"/>
  <c r="AB8" i="14"/>
  <c r="AB20" i="14"/>
  <c r="AG14" i="14"/>
  <c r="AG22" i="14"/>
  <c r="R4" i="14"/>
  <c r="R6" i="14"/>
  <c r="AE1" i="14"/>
  <c r="H115" i="6" s="1"/>
  <c r="H116" i="6" s="1"/>
  <c r="M19" i="14"/>
  <c r="M20" i="14"/>
  <c r="M21" i="14"/>
  <c r="M22" i="14"/>
  <c r="R5" i="14"/>
  <c r="R7" i="14"/>
  <c r="R8" i="14"/>
  <c r="R9" i="14"/>
  <c r="R10" i="14"/>
  <c r="R11" i="14"/>
  <c r="R12" i="14"/>
  <c r="R22" i="14"/>
  <c r="W5" i="14"/>
  <c r="W6" i="14"/>
  <c r="W7" i="14"/>
  <c r="W8" i="14"/>
  <c r="W9" i="14"/>
  <c r="W10" i="14"/>
  <c r="W20" i="14"/>
  <c r="W21" i="14"/>
  <c r="W22" i="14"/>
  <c r="AB5" i="14"/>
  <c r="AB6" i="14"/>
  <c r="AB7" i="14"/>
  <c r="AG5" i="14"/>
  <c r="AG6" i="14"/>
  <c r="AG7" i="14"/>
  <c r="AG8" i="14"/>
  <c r="AG9" i="14"/>
  <c r="AG10" i="14"/>
  <c r="AG11" i="14"/>
  <c r="AG12" i="14"/>
  <c r="AG13" i="14"/>
  <c r="AK1" i="14"/>
  <c r="M5" i="14"/>
  <c r="M6" i="14"/>
  <c r="M7" i="14"/>
  <c r="M8" i="14"/>
  <c r="M9" i="14"/>
  <c r="M10" i="14"/>
  <c r="M11" i="14"/>
  <c r="M12" i="14"/>
  <c r="M13" i="14"/>
  <c r="M14" i="14"/>
  <c r="M15" i="14"/>
  <c r="M16" i="14"/>
  <c r="M17" i="14"/>
  <c r="M18" i="14"/>
  <c r="AB21" i="14"/>
  <c r="AB22" i="14"/>
  <c r="AG15" i="14"/>
  <c r="AG16" i="14"/>
  <c r="AG17" i="14"/>
  <c r="AG18" i="14"/>
  <c r="AG19" i="14"/>
  <c r="AG20" i="14"/>
  <c r="AG21" i="14"/>
  <c r="C4" i="14"/>
  <c r="C5" i="14"/>
  <c r="C7" i="14"/>
  <c r="C9" i="14"/>
  <c r="C11" i="14"/>
  <c r="C13" i="14"/>
  <c r="L1" i="14"/>
  <c r="V1" i="14"/>
  <c r="R14" i="14"/>
  <c r="R15" i="14"/>
  <c r="R16" i="14"/>
  <c r="R17" i="14"/>
  <c r="R18" i="14"/>
  <c r="R19" i="14"/>
  <c r="R20" i="14"/>
  <c r="AA1" i="14"/>
  <c r="W12" i="14"/>
  <c r="W13" i="14"/>
  <c r="W14" i="14"/>
  <c r="W15" i="14"/>
  <c r="W16" i="14"/>
  <c r="W17" i="14"/>
  <c r="W18" i="14"/>
  <c r="AF1" i="14"/>
  <c r="AB9" i="14"/>
  <c r="AB10" i="14"/>
  <c r="AB11" i="14"/>
  <c r="AB12" i="14"/>
  <c r="AB13" i="14"/>
  <c r="AB14" i="14"/>
  <c r="AB15" i="14"/>
  <c r="AB16" i="14"/>
  <c r="AJ1" i="14"/>
  <c r="I115" i="6" s="1"/>
  <c r="I116" i="6" s="1"/>
  <c r="N31" i="6"/>
  <c r="L31" i="6"/>
  <c r="J31" i="6"/>
  <c r="H31" i="6"/>
  <c r="F31" i="6"/>
  <c r="D31" i="6"/>
  <c r="C6" i="14"/>
  <c r="C8" i="14"/>
  <c r="C10" i="14"/>
  <c r="C12" i="14"/>
  <c r="K1" i="14"/>
  <c r="D115" i="6" s="1"/>
  <c r="Z1" i="14"/>
  <c r="G115" i="6" s="1"/>
  <c r="G116" i="6" s="1"/>
  <c r="M31" i="6"/>
  <c r="K31" i="6"/>
  <c r="I31" i="6"/>
  <c r="G31" i="6"/>
  <c r="E31" i="6"/>
  <c r="X1" i="14"/>
  <c r="G113" i="6" s="1"/>
  <c r="N214" i="6"/>
  <c r="L214" i="6"/>
  <c r="J214" i="6"/>
  <c r="H214" i="6"/>
  <c r="F214" i="6"/>
  <c r="D214" i="6"/>
  <c r="M214" i="6"/>
  <c r="K214" i="6"/>
  <c r="I214" i="6"/>
  <c r="G214" i="6"/>
  <c r="E214" i="6"/>
  <c r="M34" i="18"/>
  <c r="K34" i="18"/>
  <c r="I34" i="18"/>
  <c r="G34" i="18"/>
  <c r="E34" i="18"/>
  <c r="N34" i="18"/>
  <c r="L34" i="18"/>
  <c r="J34" i="18"/>
  <c r="H34" i="18"/>
  <c r="F34" i="18"/>
  <c r="D34" i="18"/>
  <c r="AH1" i="28"/>
  <c r="AK1" i="28"/>
  <c r="AC1" i="28"/>
  <c r="X1" i="28"/>
  <c r="S1" i="28"/>
  <c r="U1" i="28"/>
  <c r="N1" i="28"/>
  <c r="I1" i="28"/>
  <c r="H1" i="28"/>
  <c r="J1" i="28"/>
  <c r="AG4" i="14"/>
  <c r="AH1" i="14"/>
  <c r="I113" i="6" s="1"/>
  <c r="AB4" i="14"/>
  <c r="AD1" i="14"/>
  <c r="H114" i="6" s="1"/>
  <c r="AC1" i="14"/>
  <c r="H113" i="6" s="1"/>
  <c r="Y1" i="14"/>
  <c r="G114" i="6" s="1"/>
  <c r="W4" i="14"/>
  <c r="S1" i="14"/>
  <c r="F113" i="6" s="1"/>
  <c r="M4" i="14"/>
  <c r="O1" i="14"/>
  <c r="E114" i="6" s="1"/>
  <c r="N1" i="14"/>
  <c r="E113" i="6" s="1"/>
  <c r="I1" i="14"/>
  <c r="D113" i="6" s="1"/>
  <c r="C81" i="27" s="1"/>
  <c r="M22" i="6"/>
  <c r="K22" i="6"/>
  <c r="I22" i="6"/>
  <c r="G22" i="6"/>
  <c r="E22" i="6"/>
  <c r="N22" i="6"/>
  <c r="L22" i="6"/>
  <c r="J22" i="6"/>
  <c r="H22" i="6"/>
  <c r="F22" i="6"/>
  <c r="D22" i="6"/>
  <c r="BK12" i="14" l="1"/>
  <c r="BK8" i="14"/>
  <c r="BK7" i="14"/>
  <c r="BK10" i="14"/>
  <c r="BK6" i="14"/>
  <c r="BK5" i="14"/>
  <c r="BK11" i="14"/>
  <c r="BK4" i="14"/>
  <c r="BK16" i="14"/>
  <c r="BK21" i="14"/>
  <c r="BK18" i="14"/>
  <c r="BK15" i="14"/>
  <c r="BK13" i="14"/>
  <c r="BK9" i="14"/>
  <c r="BK20" i="14"/>
  <c r="BK22" i="14"/>
  <c r="BK19" i="14"/>
  <c r="BK17" i="14"/>
  <c r="BK14" i="14"/>
  <c r="F36" i="13"/>
  <c r="J36" i="13"/>
  <c r="D36" i="13"/>
  <c r="H36" i="13"/>
  <c r="L36" i="13"/>
  <c r="D29" i="13"/>
  <c r="H29" i="13"/>
  <c r="L29" i="13"/>
  <c r="E29" i="13"/>
  <c r="I29" i="13"/>
  <c r="M29" i="13"/>
  <c r="F29" i="13"/>
  <c r="J29" i="13"/>
  <c r="C29" i="13"/>
  <c r="G29" i="13"/>
  <c r="K29" i="13"/>
  <c r="D116" i="6"/>
  <c r="C84" i="27" s="1"/>
  <c r="C83" i="27"/>
  <c r="C36" i="13"/>
  <c r="G36" i="13"/>
  <c r="K36" i="13"/>
  <c r="E36" i="13"/>
  <c r="I36" i="13"/>
  <c r="M36" i="13"/>
  <c r="AB1" i="14"/>
  <c r="H112" i="6" s="1"/>
  <c r="R1" i="14"/>
  <c r="F112" i="6" s="1"/>
  <c r="M1" i="14"/>
  <c r="E112" i="6" s="1"/>
  <c r="AG1" i="14"/>
  <c r="I112" i="6" s="1"/>
  <c r="C1" i="28"/>
  <c r="H1" i="14"/>
  <c r="D112" i="6" s="1"/>
  <c r="C80" i="27" s="1"/>
  <c r="W1" i="14"/>
  <c r="G112" i="6" s="1"/>
  <c r="AD1" i="28"/>
  <c r="AI1" i="28"/>
  <c r="AG1" i="28"/>
  <c r="AB1" i="28"/>
  <c r="BK1" i="14" l="1"/>
  <c r="Y1" i="28"/>
  <c r="W1" i="28"/>
  <c r="R1" i="28"/>
  <c r="T1" i="28"/>
  <c r="C10" i="13" l="1"/>
  <c r="D10" i="13"/>
  <c r="E10" i="13"/>
  <c r="F10" i="13"/>
  <c r="G10" i="13"/>
  <c r="H10" i="13"/>
  <c r="I10" i="13"/>
  <c r="J10" i="13"/>
  <c r="K10" i="13"/>
  <c r="L10" i="13"/>
  <c r="M10" i="13"/>
  <c r="B10" i="13"/>
  <c r="D128" i="6"/>
  <c r="C96" i="27" s="1"/>
  <c r="E128" i="6"/>
  <c r="F128" i="6"/>
  <c r="E96" i="27" s="1"/>
  <c r="G128" i="6"/>
  <c r="H128" i="6"/>
  <c r="G96" i="27" s="1"/>
  <c r="I128" i="6"/>
  <c r="J128" i="6"/>
  <c r="I96" i="27" s="1"/>
  <c r="K128" i="6"/>
  <c r="L128" i="6"/>
  <c r="K96" i="27" s="1"/>
  <c r="M128" i="6"/>
  <c r="N128" i="6"/>
  <c r="M96" i="27" s="1"/>
  <c r="D129" i="6"/>
  <c r="C97" i="27" s="1"/>
  <c r="E129" i="6"/>
  <c r="D97" i="27" s="1"/>
  <c r="F129" i="6"/>
  <c r="G129" i="6"/>
  <c r="F97" i="27" s="1"/>
  <c r="H129" i="6"/>
  <c r="G97" i="27" s="1"/>
  <c r="I129" i="6"/>
  <c r="H97" i="27" s="1"/>
  <c r="J129" i="6"/>
  <c r="K129" i="6"/>
  <c r="J97" i="27" s="1"/>
  <c r="L129" i="6"/>
  <c r="K97" i="27" s="1"/>
  <c r="M129" i="6"/>
  <c r="L97" i="27" s="1"/>
  <c r="N129" i="6"/>
  <c r="M97" i="27" s="1"/>
  <c r="D130" i="6"/>
  <c r="C98" i="27" s="1"/>
  <c r="E130" i="6"/>
  <c r="D98" i="27" s="1"/>
  <c r="F130" i="6"/>
  <c r="E98" i="27" s="1"/>
  <c r="G130" i="6"/>
  <c r="F98" i="27" s="1"/>
  <c r="H130" i="6"/>
  <c r="G98" i="27" s="1"/>
  <c r="I130" i="6"/>
  <c r="H98" i="27" s="1"/>
  <c r="J130" i="6"/>
  <c r="I98" i="27" s="1"/>
  <c r="K130" i="6"/>
  <c r="J98" i="27" s="1"/>
  <c r="L130" i="6"/>
  <c r="K98" i="27" s="1"/>
  <c r="M130" i="6"/>
  <c r="L98" i="27" s="1"/>
  <c r="N130" i="6"/>
  <c r="M98" i="27" s="1"/>
  <c r="D131" i="6"/>
  <c r="C99" i="27" s="1"/>
  <c r="E131" i="6"/>
  <c r="D99" i="27" s="1"/>
  <c r="F131" i="6"/>
  <c r="E99" i="27" s="1"/>
  <c r="G131" i="6"/>
  <c r="F99" i="27" s="1"/>
  <c r="H131" i="6"/>
  <c r="G99" i="27" s="1"/>
  <c r="I131" i="6"/>
  <c r="H99" i="27" s="1"/>
  <c r="J131" i="6"/>
  <c r="I99" i="27" s="1"/>
  <c r="K131" i="6"/>
  <c r="J99" i="27" s="1"/>
  <c r="L131" i="6"/>
  <c r="K99" i="27" s="1"/>
  <c r="M131" i="6"/>
  <c r="L99" i="27" s="1"/>
  <c r="N131" i="6"/>
  <c r="M99" i="27" s="1"/>
  <c r="D132" i="6"/>
  <c r="C100" i="27" s="1"/>
  <c r="E132" i="6"/>
  <c r="D100" i="27" s="1"/>
  <c r="F132" i="6"/>
  <c r="E100" i="27" s="1"/>
  <c r="G132" i="6"/>
  <c r="F100" i="27" s="1"/>
  <c r="H132" i="6"/>
  <c r="G100" i="27" s="1"/>
  <c r="I132" i="6"/>
  <c r="H100" i="27" s="1"/>
  <c r="J132" i="6"/>
  <c r="I100" i="27" s="1"/>
  <c r="K132" i="6"/>
  <c r="J100" i="27" s="1"/>
  <c r="L132" i="6"/>
  <c r="K100" i="27" s="1"/>
  <c r="M132" i="6"/>
  <c r="L100" i="27" s="1"/>
  <c r="N132" i="6"/>
  <c r="M100" i="27" s="1"/>
  <c r="D96" i="27"/>
  <c r="F96" i="27"/>
  <c r="H96" i="27"/>
  <c r="J96" i="27"/>
  <c r="L96" i="27"/>
  <c r="E97" i="27"/>
  <c r="I97" i="27"/>
  <c r="D80" i="27"/>
  <c r="E80" i="27"/>
  <c r="F80" i="27"/>
  <c r="G80" i="27"/>
  <c r="H80" i="27"/>
  <c r="I80" i="27"/>
  <c r="J80" i="27"/>
  <c r="K80" i="27"/>
  <c r="L80" i="27"/>
  <c r="M80" i="27"/>
  <c r="D81" i="27"/>
  <c r="E81" i="27"/>
  <c r="F81" i="27"/>
  <c r="G81" i="27"/>
  <c r="H81" i="27"/>
  <c r="I81" i="27"/>
  <c r="J81" i="27"/>
  <c r="K81" i="27"/>
  <c r="L81" i="27"/>
  <c r="M81" i="27"/>
  <c r="C82" i="27"/>
  <c r="D82" i="27"/>
  <c r="E82" i="27"/>
  <c r="F82" i="27"/>
  <c r="G82" i="27"/>
  <c r="H82" i="27"/>
  <c r="I82" i="27"/>
  <c r="J82" i="27"/>
  <c r="K82" i="27"/>
  <c r="L82" i="27"/>
  <c r="M82" i="27"/>
  <c r="D83" i="27"/>
  <c r="E83" i="27"/>
  <c r="F83" i="27"/>
  <c r="G83" i="27"/>
  <c r="H83" i="27"/>
  <c r="I83" i="27"/>
  <c r="J83" i="27"/>
  <c r="K83" i="27"/>
  <c r="L83" i="27"/>
  <c r="M83" i="27"/>
  <c r="D84" i="27"/>
  <c r="E84" i="27"/>
  <c r="F84" i="27"/>
  <c r="G84" i="27"/>
  <c r="H84" i="27"/>
  <c r="I84" i="27"/>
  <c r="J84" i="27"/>
  <c r="K84" i="27"/>
  <c r="L84" i="27"/>
  <c r="M84" i="27"/>
  <c r="C85" i="27"/>
  <c r="D85" i="27"/>
  <c r="E85" i="27"/>
  <c r="F85" i="27"/>
  <c r="G85" i="27"/>
  <c r="H85" i="27"/>
  <c r="I85" i="27"/>
  <c r="J85" i="27"/>
  <c r="K85" i="27"/>
  <c r="L85" i="27"/>
  <c r="M85" i="27"/>
  <c r="B85" i="27"/>
  <c r="C57" i="27"/>
  <c r="D57" i="27"/>
  <c r="E57" i="27"/>
  <c r="F57" i="27"/>
  <c r="G57" i="27"/>
  <c r="H57" i="27"/>
  <c r="I57" i="27"/>
  <c r="J57" i="27"/>
  <c r="K57" i="27"/>
  <c r="L57" i="27"/>
  <c r="M57" i="27"/>
  <c r="C58" i="27"/>
  <c r="D58" i="27"/>
  <c r="E58" i="27"/>
  <c r="F58" i="27"/>
  <c r="G58" i="27"/>
  <c r="H58" i="27"/>
  <c r="I58" i="27"/>
  <c r="J58" i="27"/>
  <c r="K58" i="27"/>
  <c r="L58" i="27"/>
  <c r="M58" i="27"/>
  <c r="C44" i="27"/>
  <c r="D44" i="27"/>
  <c r="E44" i="27"/>
  <c r="F44" i="27"/>
  <c r="G44" i="27"/>
  <c r="H44" i="27"/>
  <c r="I44" i="27"/>
  <c r="J44" i="27"/>
  <c r="K44" i="27"/>
  <c r="L44" i="27"/>
  <c r="M44" i="27"/>
  <c r="C45" i="27"/>
  <c r="D45" i="27"/>
  <c r="E45" i="27"/>
  <c r="F45" i="27"/>
  <c r="G45" i="27"/>
  <c r="H45" i="27"/>
  <c r="I45" i="27"/>
  <c r="J45" i="27"/>
  <c r="K45" i="27"/>
  <c r="L45" i="27"/>
  <c r="M45" i="27"/>
  <c r="C46" i="27"/>
  <c r="D46" i="27"/>
  <c r="E46" i="27"/>
  <c r="F46" i="27"/>
  <c r="G46" i="27"/>
  <c r="H46" i="27"/>
  <c r="I46" i="27"/>
  <c r="J46" i="27"/>
  <c r="K46" i="27"/>
  <c r="L46" i="27"/>
  <c r="M46" i="27"/>
  <c r="C47" i="27"/>
  <c r="D47" i="27"/>
  <c r="E47" i="27"/>
  <c r="F47" i="27"/>
  <c r="G47" i="27"/>
  <c r="H47" i="27"/>
  <c r="I47" i="27"/>
  <c r="J47" i="27"/>
  <c r="K47" i="27"/>
  <c r="L47" i="27"/>
  <c r="M47" i="27"/>
  <c r="C48" i="27"/>
  <c r="D48" i="27"/>
  <c r="E48" i="27"/>
  <c r="F48" i="27"/>
  <c r="G48" i="27"/>
  <c r="H48" i="27"/>
  <c r="I48" i="27"/>
  <c r="J48" i="27"/>
  <c r="K48" i="27"/>
  <c r="L48" i="27"/>
  <c r="M48" i="27"/>
  <c r="C49" i="27"/>
  <c r="D49" i="27"/>
  <c r="E49" i="27"/>
  <c r="F49" i="27"/>
  <c r="G49" i="27"/>
  <c r="H49" i="27"/>
  <c r="I49" i="27"/>
  <c r="J49" i="27"/>
  <c r="K49" i="27"/>
  <c r="L49" i="27"/>
  <c r="M49" i="27"/>
  <c r="N300" i="18"/>
  <c r="N85" i="16" s="1"/>
  <c r="M300" i="18"/>
  <c r="M85" i="16" s="1"/>
  <c r="L300" i="18"/>
  <c r="L85" i="16" s="1"/>
  <c r="K300" i="18"/>
  <c r="K85" i="16" s="1"/>
  <c r="J300" i="18"/>
  <c r="J85" i="16" s="1"/>
  <c r="I300" i="18"/>
  <c r="I85" i="16" s="1"/>
  <c r="H300" i="18"/>
  <c r="H85" i="16" s="1"/>
  <c r="G300" i="18"/>
  <c r="G85" i="16" s="1"/>
  <c r="F300" i="18"/>
  <c r="F85" i="16" s="1"/>
  <c r="E300" i="18"/>
  <c r="E85" i="16" s="1"/>
  <c r="D300" i="18"/>
  <c r="D85" i="16" s="1"/>
  <c r="C300" i="18"/>
  <c r="N299" i="18"/>
  <c r="N84" i="16" s="1"/>
  <c r="M299" i="18"/>
  <c r="M84" i="16" s="1"/>
  <c r="L299" i="18"/>
  <c r="L84" i="16" s="1"/>
  <c r="K299" i="18"/>
  <c r="K84" i="16" s="1"/>
  <c r="J299" i="18"/>
  <c r="J84" i="16" s="1"/>
  <c r="I299" i="18"/>
  <c r="I84" i="16" s="1"/>
  <c r="H299" i="18"/>
  <c r="G299" i="18"/>
  <c r="G84" i="16" s="1"/>
  <c r="F299" i="18"/>
  <c r="F84" i="16" s="1"/>
  <c r="E299" i="18"/>
  <c r="E84" i="16" s="1"/>
  <c r="D299" i="18"/>
  <c r="D84" i="16" s="1"/>
  <c r="C299" i="18"/>
  <c r="N298" i="18"/>
  <c r="N83" i="16" s="1"/>
  <c r="M298" i="18"/>
  <c r="M83" i="16" s="1"/>
  <c r="L298" i="18"/>
  <c r="L83" i="16" s="1"/>
  <c r="K298" i="18"/>
  <c r="K83" i="16" s="1"/>
  <c r="J298" i="18"/>
  <c r="J83" i="16" s="1"/>
  <c r="I298" i="18"/>
  <c r="I83" i="16" s="1"/>
  <c r="H298" i="18"/>
  <c r="H83" i="16" s="1"/>
  <c r="G298" i="18"/>
  <c r="G83" i="16" s="1"/>
  <c r="F298" i="18"/>
  <c r="F83" i="16" s="1"/>
  <c r="E298" i="18"/>
  <c r="E83" i="16" s="1"/>
  <c r="D298" i="18"/>
  <c r="D83" i="16" s="1"/>
  <c r="C298" i="18"/>
  <c r="N297" i="18"/>
  <c r="N82" i="16" s="1"/>
  <c r="M297" i="18"/>
  <c r="M82" i="16" s="1"/>
  <c r="L297" i="18"/>
  <c r="L82" i="16" s="1"/>
  <c r="K297" i="18"/>
  <c r="K82" i="16" s="1"/>
  <c r="J297" i="18"/>
  <c r="J82" i="16" s="1"/>
  <c r="I297" i="18"/>
  <c r="I82" i="16" s="1"/>
  <c r="H297" i="18"/>
  <c r="H82" i="16" s="1"/>
  <c r="G297" i="18"/>
  <c r="G82" i="16" s="1"/>
  <c r="F297" i="18"/>
  <c r="F82" i="16" s="1"/>
  <c r="E297" i="18"/>
  <c r="E82" i="16" s="1"/>
  <c r="D297" i="18"/>
  <c r="D82" i="16" s="1"/>
  <c r="C297" i="18"/>
  <c r="N296" i="18"/>
  <c r="M296" i="18"/>
  <c r="L296" i="18"/>
  <c r="K296" i="18"/>
  <c r="J296" i="18"/>
  <c r="I296" i="18"/>
  <c r="H296" i="18"/>
  <c r="G296" i="18"/>
  <c r="G295" i="18" s="1"/>
  <c r="F296" i="18"/>
  <c r="E296" i="18"/>
  <c r="E295" i="18" s="1"/>
  <c r="D296" i="18"/>
  <c r="D295" i="18" s="1"/>
  <c r="C296" i="18"/>
  <c r="N295" i="18"/>
  <c r="M295" i="18"/>
  <c r="L295" i="18"/>
  <c r="K295" i="18"/>
  <c r="J295" i="18"/>
  <c r="I295" i="18"/>
  <c r="F295" i="18"/>
  <c r="D287" i="18"/>
  <c r="E287" i="18"/>
  <c r="F287" i="18"/>
  <c r="G287" i="18"/>
  <c r="H287" i="18"/>
  <c r="I287" i="18"/>
  <c r="J287" i="18"/>
  <c r="K287" i="18"/>
  <c r="L287" i="18"/>
  <c r="M287" i="18"/>
  <c r="N287" i="18"/>
  <c r="D288" i="18"/>
  <c r="D305" i="18" s="1"/>
  <c r="E288" i="18"/>
  <c r="F288" i="18"/>
  <c r="F305" i="18" s="1"/>
  <c r="G288" i="18"/>
  <c r="H288" i="18"/>
  <c r="H305" i="18" s="1"/>
  <c r="I288" i="18"/>
  <c r="J288" i="18"/>
  <c r="K288" i="18"/>
  <c r="L288" i="18"/>
  <c r="L305" i="18" s="1"/>
  <c r="M288" i="18"/>
  <c r="N288" i="18"/>
  <c r="N305" i="18" s="1"/>
  <c r="D289" i="18"/>
  <c r="E289" i="18"/>
  <c r="F289" i="18"/>
  <c r="G289" i="18"/>
  <c r="H289" i="18"/>
  <c r="I289" i="18"/>
  <c r="J289" i="18"/>
  <c r="K289" i="18"/>
  <c r="L289" i="18"/>
  <c r="M289" i="18"/>
  <c r="N289" i="18"/>
  <c r="D290" i="18"/>
  <c r="E290" i="18"/>
  <c r="F290" i="18"/>
  <c r="G290" i="18"/>
  <c r="H290" i="18"/>
  <c r="I290" i="18"/>
  <c r="J290" i="18"/>
  <c r="K290" i="18"/>
  <c r="L290" i="18"/>
  <c r="M290" i="18"/>
  <c r="N290" i="18"/>
  <c r="D291" i="18"/>
  <c r="E291" i="18"/>
  <c r="F291" i="18"/>
  <c r="G291" i="18"/>
  <c r="H291" i="18"/>
  <c r="I291" i="18"/>
  <c r="J291" i="18"/>
  <c r="K291" i="18"/>
  <c r="L291" i="18"/>
  <c r="M291" i="18"/>
  <c r="N291" i="18"/>
  <c r="C291" i="18"/>
  <c r="C290" i="18"/>
  <c r="C289" i="18"/>
  <c r="C288" i="18"/>
  <c r="C287" i="18"/>
  <c r="N248" i="18"/>
  <c r="N67" i="16" s="1"/>
  <c r="M248" i="18"/>
  <c r="M67" i="16" s="1"/>
  <c r="L248" i="18"/>
  <c r="L67" i="16" s="1"/>
  <c r="K248" i="18"/>
  <c r="K67" i="16" s="1"/>
  <c r="J248" i="18"/>
  <c r="J67" i="16" s="1"/>
  <c r="I248" i="18"/>
  <c r="I67" i="16" s="1"/>
  <c r="H248" i="18"/>
  <c r="H67" i="16" s="1"/>
  <c r="G248" i="18"/>
  <c r="G67" i="16" s="1"/>
  <c r="F248" i="18"/>
  <c r="F67" i="16" s="1"/>
  <c r="E248" i="18"/>
  <c r="E67" i="16" s="1"/>
  <c r="D248" i="18"/>
  <c r="D67" i="16" s="1"/>
  <c r="C248" i="18"/>
  <c r="N247" i="18"/>
  <c r="N66" i="16" s="1"/>
  <c r="M247" i="18"/>
  <c r="M66" i="16" s="1"/>
  <c r="L247" i="18"/>
  <c r="L66" i="16" s="1"/>
  <c r="K247" i="18"/>
  <c r="K66" i="16" s="1"/>
  <c r="J247" i="18"/>
  <c r="J66" i="16" s="1"/>
  <c r="I247" i="18"/>
  <c r="I66" i="16" s="1"/>
  <c r="H247" i="18"/>
  <c r="H66" i="16" s="1"/>
  <c r="G247" i="18"/>
  <c r="G66" i="16" s="1"/>
  <c r="F247" i="18"/>
  <c r="F66" i="16" s="1"/>
  <c r="E247" i="18"/>
  <c r="E66" i="16" s="1"/>
  <c r="D247" i="18"/>
  <c r="D66" i="16" s="1"/>
  <c r="C247" i="18"/>
  <c r="N246" i="18"/>
  <c r="N65" i="16" s="1"/>
  <c r="M246" i="18"/>
  <c r="M65" i="16" s="1"/>
  <c r="L246" i="18"/>
  <c r="L65" i="16" s="1"/>
  <c r="K246" i="18"/>
  <c r="K65" i="16" s="1"/>
  <c r="J246" i="18"/>
  <c r="J65" i="16" s="1"/>
  <c r="I246" i="18"/>
  <c r="I65" i="16" s="1"/>
  <c r="H246" i="18"/>
  <c r="H65" i="16" s="1"/>
  <c r="G246" i="18"/>
  <c r="G65" i="16" s="1"/>
  <c r="F246" i="18"/>
  <c r="F65" i="16" s="1"/>
  <c r="E246" i="18"/>
  <c r="E65" i="16" s="1"/>
  <c r="D246" i="18"/>
  <c r="D65" i="16" s="1"/>
  <c r="C246" i="18"/>
  <c r="N245" i="18"/>
  <c r="N64" i="16" s="1"/>
  <c r="M245" i="18"/>
  <c r="M64" i="16" s="1"/>
  <c r="L245" i="18"/>
  <c r="L64" i="16" s="1"/>
  <c r="K245" i="18"/>
  <c r="K64" i="16" s="1"/>
  <c r="J245" i="18"/>
  <c r="J64" i="16" s="1"/>
  <c r="I245" i="18"/>
  <c r="I64" i="16" s="1"/>
  <c r="H245" i="18"/>
  <c r="H64" i="16" s="1"/>
  <c r="G245" i="18"/>
  <c r="G64" i="16" s="1"/>
  <c r="F245" i="18"/>
  <c r="F64" i="16" s="1"/>
  <c r="E245" i="18"/>
  <c r="E64" i="16" s="1"/>
  <c r="D245" i="18"/>
  <c r="D64" i="16" s="1"/>
  <c r="C245" i="18"/>
  <c r="N244" i="18"/>
  <c r="M244" i="18"/>
  <c r="L244" i="18"/>
  <c r="K244" i="18"/>
  <c r="J244" i="18"/>
  <c r="J243" i="18" s="1"/>
  <c r="I244" i="18"/>
  <c r="I243" i="18" s="1"/>
  <c r="H244" i="18"/>
  <c r="H243" i="18" s="1"/>
  <c r="G244" i="18"/>
  <c r="G243" i="18" s="1"/>
  <c r="F244" i="18"/>
  <c r="E244" i="18"/>
  <c r="D244" i="18"/>
  <c r="D243" i="18" s="1"/>
  <c r="C244" i="18"/>
  <c r="N243" i="18"/>
  <c r="N239" i="18"/>
  <c r="M239" i="18"/>
  <c r="L239" i="18"/>
  <c r="K239" i="18"/>
  <c r="J239" i="18"/>
  <c r="I239" i="18"/>
  <c r="H239" i="18"/>
  <c r="G239" i="18"/>
  <c r="F239" i="18"/>
  <c r="E239" i="18"/>
  <c r="D239" i="18"/>
  <c r="C239" i="18"/>
  <c r="N238" i="18"/>
  <c r="M238" i="18"/>
  <c r="L238" i="18"/>
  <c r="K238" i="18"/>
  <c r="J238" i="18"/>
  <c r="I238" i="18"/>
  <c r="H238" i="18"/>
  <c r="G238" i="18"/>
  <c r="F238" i="18"/>
  <c r="E238" i="18"/>
  <c r="D238" i="18"/>
  <c r="C238" i="18"/>
  <c r="N237" i="18"/>
  <c r="M237" i="18"/>
  <c r="L237" i="18"/>
  <c r="K237" i="18"/>
  <c r="J237" i="18"/>
  <c r="I237" i="18"/>
  <c r="H237" i="18"/>
  <c r="G237" i="18"/>
  <c r="F237" i="18"/>
  <c r="E237" i="18"/>
  <c r="D237" i="18"/>
  <c r="C237" i="18"/>
  <c r="N236" i="18"/>
  <c r="M236" i="18"/>
  <c r="L236" i="18"/>
  <c r="K236" i="18"/>
  <c r="J236" i="18"/>
  <c r="I236" i="18"/>
  <c r="H236" i="18"/>
  <c r="G236" i="18"/>
  <c r="F236" i="18"/>
  <c r="E236" i="18"/>
  <c r="D236" i="18"/>
  <c r="C236" i="18"/>
  <c r="N235" i="18"/>
  <c r="M235" i="18"/>
  <c r="L235" i="18"/>
  <c r="K235" i="18"/>
  <c r="J235" i="18"/>
  <c r="I235" i="18"/>
  <c r="H235" i="18"/>
  <c r="G235" i="18"/>
  <c r="F235" i="18"/>
  <c r="E235" i="18"/>
  <c r="D235" i="18"/>
  <c r="C235" i="18"/>
  <c r="N234" i="18"/>
  <c r="M234" i="18"/>
  <c r="L234" i="18"/>
  <c r="K234" i="18"/>
  <c r="J234" i="18"/>
  <c r="I234" i="18"/>
  <c r="H234" i="18"/>
  <c r="G234" i="18"/>
  <c r="D226" i="18"/>
  <c r="E226" i="18"/>
  <c r="F226" i="18"/>
  <c r="G226" i="18"/>
  <c r="H226" i="18"/>
  <c r="I226" i="18"/>
  <c r="J226" i="18"/>
  <c r="K226" i="18"/>
  <c r="L226" i="18"/>
  <c r="M226" i="18"/>
  <c r="N226" i="18"/>
  <c r="D227" i="18"/>
  <c r="E227" i="18"/>
  <c r="F227" i="18"/>
  <c r="G227" i="18"/>
  <c r="H227" i="18"/>
  <c r="I227" i="18"/>
  <c r="J227" i="18"/>
  <c r="K227" i="18"/>
  <c r="L227" i="18"/>
  <c r="M227" i="18"/>
  <c r="N227" i="18"/>
  <c r="D228" i="18"/>
  <c r="E228" i="18"/>
  <c r="F228" i="18"/>
  <c r="G228" i="18"/>
  <c r="H228" i="18"/>
  <c r="I228" i="18"/>
  <c r="J228" i="18"/>
  <c r="K228" i="18"/>
  <c r="L228" i="18"/>
  <c r="M228" i="18"/>
  <c r="N228" i="18"/>
  <c r="D229" i="18"/>
  <c r="E229" i="18"/>
  <c r="F229" i="18"/>
  <c r="G229" i="18"/>
  <c r="H229" i="18"/>
  <c r="I229" i="18"/>
  <c r="J229" i="18"/>
  <c r="K229" i="18"/>
  <c r="L229" i="18"/>
  <c r="M229" i="18"/>
  <c r="N229" i="18"/>
  <c r="D230" i="18"/>
  <c r="E230" i="18"/>
  <c r="F230" i="18"/>
  <c r="G230" i="18"/>
  <c r="H230" i="18"/>
  <c r="I230" i="18"/>
  <c r="J230" i="18"/>
  <c r="K230" i="18"/>
  <c r="L230" i="18"/>
  <c r="M230" i="18"/>
  <c r="N230" i="18"/>
  <c r="C230" i="18"/>
  <c r="C229" i="18"/>
  <c r="C228" i="18"/>
  <c r="C227" i="18"/>
  <c r="C226" i="18"/>
  <c r="F243" i="18" l="1"/>
  <c r="N256" i="18"/>
  <c r="L256" i="18"/>
  <c r="J256" i="18"/>
  <c r="H256" i="18"/>
  <c r="F256" i="18"/>
  <c r="D256" i="18"/>
  <c r="M255" i="18"/>
  <c r="K255" i="18"/>
  <c r="I255" i="18"/>
  <c r="G255" i="18"/>
  <c r="E255" i="18"/>
  <c r="N254" i="18"/>
  <c r="L254" i="18"/>
  <c r="J254" i="18"/>
  <c r="H254" i="18"/>
  <c r="F254" i="18"/>
  <c r="D254" i="18"/>
  <c r="M253" i="18"/>
  <c r="K253" i="18"/>
  <c r="I253" i="18"/>
  <c r="G253" i="18"/>
  <c r="E253" i="18"/>
  <c r="N252" i="18"/>
  <c r="L252" i="18"/>
  <c r="J252" i="18"/>
  <c r="H252" i="18"/>
  <c r="F252" i="18"/>
  <c r="D252" i="18"/>
  <c r="M304" i="18"/>
  <c r="K304" i="18"/>
  <c r="I304" i="18"/>
  <c r="G304" i="18"/>
  <c r="E304" i="18"/>
  <c r="O226" i="18"/>
  <c r="O228" i="18"/>
  <c r="O236" i="18"/>
  <c r="O237" i="18"/>
  <c r="O238" i="18"/>
  <c r="O239" i="18"/>
  <c r="N304" i="18"/>
  <c r="L304" i="18"/>
  <c r="J304" i="18"/>
  <c r="H304" i="18"/>
  <c r="F304" i="18"/>
  <c r="D304" i="18"/>
  <c r="C255" i="18"/>
  <c r="O229" i="18"/>
  <c r="O230" i="18"/>
  <c r="C234" i="18"/>
  <c r="O235" i="18"/>
  <c r="C77" i="16"/>
  <c r="O288" i="18"/>
  <c r="C305" i="18"/>
  <c r="C79" i="16"/>
  <c r="O290" i="18"/>
  <c r="C307" i="18"/>
  <c r="N80" i="16"/>
  <c r="N308" i="18"/>
  <c r="L80" i="16"/>
  <c r="L308" i="18"/>
  <c r="J80" i="16"/>
  <c r="J308" i="18"/>
  <c r="H80" i="16"/>
  <c r="H308" i="18"/>
  <c r="F80" i="16"/>
  <c r="F308" i="18"/>
  <c r="D80" i="16"/>
  <c r="D308" i="18"/>
  <c r="M79" i="16"/>
  <c r="M307" i="18"/>
  <c r="K79" i="16"/>
  <c r="K307" i="18"/>
  <c r="I79" i="16"/>
  <c r="I307" i="18"/>
  <c r="G79" i="16"/>
  <c r="G307" i="18"/>
  <c r="E79" i="16"/>
  <c r="E307" i="18"/>
  <c r="N78" i="16"/>
  <c r="AJ18" i="35" s="1"/>
  <c r="AK18" i="35" s="1"/>
  <c r="N306" i="18"/>
  <c r="L78" i="16"/>
  <c r="AD18" i="35" s="1"/>
  <c r="AE18" i="35" s="1"/>
  <c r="L306" i="18"/>
  <c r="J78" i="16"/>
  <c r="X18" i="35" s="1"/>
  <c r="Y18" i="35" s="1"/>
  <c r="J306" i="18"/>
  <c r="H78" i="16"/>
  <c r="H306" i="18"/>
  <c r="F78" i="16"/>
  <c r="F306" i="18"/>
  <c r="D78" i="16"/>
  <c r="D306" i="18"/>
  <c r="M77" i="16"/>
  <c r="AF18" i="35" s="1"/>
  <c r="M305" i="18"/>
  <c r="K77" i="16"/>
  <c r="Z18" i="35" s="1"/>
  <c r="K305" i="18"/>
  <c r="I77" i="16"/>
  <c r="T18" i="35" s="1"/>
  <c r="I305" i="18"/>
  <c r="G77" i="16"/>
  <c r="G305" i="18"/>
  <c r="E77" i="16"/>
  <c r="E305" i="18"/>
  <c r="C295" i="18"/>
  <c r="O296" i="18"/>
  <c r="C82" i="16"/>
  <c r="O297" i="18"/>
  <c r="C83" i="16"/>
  <c r="O298" i="18"/>
  <c r="C84" i="16"/>
  <c r="O299" i="18"/>
  <c r="C85" i="16"/>
  <c r="O300" i="18"/>
  <c r="C253" i="18"/>
  <c r="O227" i="18"/>
  <c r="C243" i="18"/>
  <c r="O244" i="18"/>
  <c r="C64" i="16"/>
  <c r="O64" i="16" s="1"/>
  <c r="O245" i="18"/>
  <c r="C65" i="16"/>
  <c r="O246" i="18"/>
  <c r="C66" i="16"/>
  <c r="O66" i="16" s="1"/>
  <c r="O247" i="18"/>
  <c r="C67" i="16"/>
  <c r="O67" i="16" s="1"/>
  <c r="O248" i="18"/>
  <c r="O287" i="18"/>
  <c r="C304" i="18"/>
  <c r="O304" i="18" s="1"/>
  <c r="C78" i="16"/>
  <c r="O289" i="18"/>
  <c r="C306" i="18"/>
  <c r="C80" i="16"/>
  <c r="O291" i="18"/>
  <c r="C308" i="18"/>
  <c r="M80" i="16"/>
  <c r="M308" i="18"/>
  <c r="K80" i="16"/>
  <c r="K308" i="18"/>
  <c r="I80" i="16"/>
  <c r="I308" i="18"/>
  <c r="G80" i="16"/>
  <c r="G308" i="18"/>
  <c r="E80" i="16"/>
  <c r="E308" i="18"/>
  <c r="N79" i="16"/>
  <c r="N307" i="18"/>
  <c r="L79" i="16"/>
  <c r="L307" i="18"/>
  <c r="J79" i="16"/>
  <c r="J307" i="18"/>
  <c r="H79" i="16"/>
  <c r="H307" i="18"/>
  <c r="F79" i="16"/>
  <c r="F307" i="18"/>
  <c r="D79" i="16"/>
  <c r="D307" i="18"/>
  <c r="M78" i="16"/>
  <c r="AG18" i="35" s="1"/>
  <c r="AH18" i="35" s="1"/>
  <c r="M306" i="18"/>
  <c r="K78" i="16"/>
  <c r="AA18" i="35" s="1"/>
  <c r="AB18" i="35" s="1"/>
  <c r="K306" i="18"/>
  <c r="I78" i="16"/>
  <c r="U18" i="35" s="1"/>
  <c r="V18" i="35" s="1"/>
  <c r="I306" i="18"/>
  <c r="G78" i="16"/>
  <c r="G306" i="18"/>
  <c r="E78" i="16"/>
  <c r="I18" i="35" s="1"/>
  <c r="E306" i="18"/>
  <c r="J77" i="16"/>
  <c r="W18" i="35" s="1"/>
  <c r="J305" i="18"/>
  <c r="C252" i="18"/>
  <c r="C254" i="18"/>
  <c r="C256" i="18"/>
  <c r="M256" i="18"/>
  <c r="K256" i="18"/>
  <c r="I256" i="18"/>
  <c r="G256" i="18"/>
  <c r="E256" i="18"/>
  <c r="N255" i="18"/>
  <c r="L255" i="18"/>
  <c r="J255" i="18"/>
  <c r="H255" i="18"/>
  <c r="F255" i="18"/>
  <c r="D255" i="18"/>
  <c r="M254" i="18"/>
  <c r="K254" i="18"/>
  <c r="I254" i="18"/>
  <c r="G254" i="18"/>
  <c r="E254" i="18"/>
  <c r="N253" i="18"/>
  <c r="L253" i="18"/>
  <c r="J253" i="18"/>
  <c r="H253" i="18"/>
  <c r="F253" i="18"/>
  <c r="D253" i="18"/>
  <c r="M252" i="18"/>
  <c r="K252" i="18"/>
  <c r="I252" i="18"/>
  <c r="G252" i="18"/>
  <c r="E252" i="18"/>
  <c r="O65" i="16"/>
  <c r="O79" i="16"/>
  <c r="O82" i="16"/>
  <c r="O83" i="16"/>
  <c r="O85" i="16"/>
  <c r="O18" i="35"/>
  <c r="B18" i="35"/>
  <c r="F18" i="35"/>
  <c r="H18" i="35"/>
  <c r="O78" i="16"/>
  <c r="C18" i="35"/>
  <c r="L18" i="35"/>
  <c r="R18" i="35"/>
  <c r="N62" i="16"/>
  <c r="L62" i="16"/>
  <c r="J62" i="16"/>
  <c r="H62" i="16"/>
  <c r="F62" i="16"/>
  <c r="D62" i="16"/>
  <c r="N60" i="16"/>
  <c r="AJ17" i="35" s="1"/>
  <c r="L60" i="16"/>
  <c r="AD17" i="35" s="1"/>
  <c r="J60" i="16"/>
  <c r="X17" i="35" s="1"/>
  <c r="H60" i="16"/>
  <c r="F60" i="16"/>
  <c r="F17" i="35" s="1"/>
  <c r="G17" i="35" s="1"/>
  <c r="D60" i="16"/>
  <c r="E234" i="18"/>
  <c r="M243" i="18"/>
  <c r="C60" i="16"/>
  <c r="C17" i="35" s="1"/>
  <c r="D17" i="35" s="1"/>
  <c r="C62" i="16"/>
  <c r="M62" i="16"/>
  <c r="K62" i="16"/>
  <c r="I62" i="16"/>
  <c r="G62" i="16"/>
  <c r="E62" i="16"/>
  <c r="M60" i="16"/>
  <c r="AG17" i="35" s="1"/>
  <c r="K60" i="16"/>
  <c r="AA17" i="35" s="1"/>
  <c r="I60" i="16"/>
  <c r="U17" i="35" s="1"/>
  <c r="G60" i="16"/>
  <c r="O17" i="35" s="1"/>
  <c r="P17" i="35" s="1"/>
  <c r="E60" i="16"/>
  <c r="I17" i="35" s="1"/>
  <c r="J17" i="35" s="1"/>
  <c r="D234" i="18"/>
  <c r="E243" i="18"/>
  <c r="K243" i="18"/>
  <c r="F234" i="18"/>
  <c r="M127" i="6"/>
  <c r="L95" i="27" s="1"/>
  <c r="K127" i="6"/>
  <c r="J95" i="27" s="1"/>
  <c r="I127" i="6"/>
  <c r="H95" i="27" s="1"/>
  <c r="G127" i="6"/>
  <c r="F95" i="27" s="1"/>
  <c r="E127" i="6"/>
  <c r="D95" i="27" s="1"/>
  <c r="N127" i="6"/>
  <c r="M95" i="27" s="1"/>
  <c r="L127" i="6"/>
  <c r="K95" i="27" s="1"/>
  <c r="J127" i="6"/>
  <c r="I95" i="27" s="1"/>
  <c r="H127" i="6"/>
  <c r="G95" i="27" s="1"/>
  <c r="F127" i="6"/>
  <c r="E95" i="27" s="1"/>
  <c r="D127" i="6"/>
  <c r="C95" i="27" s="1"/>
  <c r="L243" i="18"/>
  <c r="C225" i="18"/>
  <c r="N61" i="16"/>
  <c r="L61" i="16"/>
  <c r="J61" i="16"/>
  <c r="H61" i="16"/>
  <c r="R17" i="35" s="1"/>
  <c r="S17" i="35" s="1"/>
  <c r="F61" i="16"/>
  <c r="L17" i="35" s="1"/>
  <c r="M17" i="35" s="1"/>
  <c r="D61" i="16"/>
  <c r="N59" i="16"/>
  <c r="L59" i="16"/>
  <c r="AC17" i="35" s="1"/>
  <c r="J59" i="16"/>
  <c r="H59" i="16"/>
  <c r="H141" i="16" s="1"/>
  <c r="F59" i="16"/>
  <c r="D59" i="16"/>
  <c r="D141" i="16" s="1"/>
  <c r="C286" i="18"/>
  <c r="C59" i="16"/>
  <c r="C61" i="16"/>
  <c r="M61" i="16"/>
  <c r="K61" i="16"/>
  <c r="I61" i="16"/>
  <c r="G61" i="16"/>
  <c r="E61" i="16"/>
  <c r="M59" i="16"/>
  <c r="K59" i="16"/>
  <c r="I59" i="16"/>
  <c r="T17" i="35" s="1"/>
  <c r="T19" i="35" s="1"/>
  <c r="G59" i="16"/>
  <c r="G141" i="16" s="1"/>
  <c r="E59" i="16"/>
  <c r="E141" i="16" s="1"/>
  <c r="N286" i="18"/>
  <c r="N303" i="18" s="1"/>
  <c r="L286" i="18"/>
  <c r="L303" i="18" s="1"/>
  <c r="L77" i="16"/>
  <c r="AC18" i="35" s="1"/>
  <c r="J286" i="18"/>
  <c r="J303" i="18" s="1"/>
  <c r="H286" i="18"/>
  <c r="H77" i="16"/>
  <c r="F286" i="18"/>
  <c r="F303" i="18" s="1"/>
  <c r="D286" i="18"/>
  <c r="D303" i="18" s="1"/>
  <c r="D77" i="16"/>
  <c r="M286" i="18"/>
  <c r="M303" i="18" s="1"/>
  <c r="K286" i="18"/>
  <c r="K303" i="18" s="1"/>
  <c r="I286" i="18"/>
  <c r="I303" i="18" s="1"/>
  <c r="G286" i="18"/>
  <c r="G303" i="18" s="1"/>
  <c r="E286" i="18"/>
  <c r="E303" i="18" s="1"/>
  <c r="H295" i="18"/>
  <c r="N77" i="16"/>
  <c r="AI18" i="35" s="1"/>
  <c r="F77" i="16"/>
  <c r="H84" i="16"/>
  <c r="O84" i="16" s="1"/>
  <c r="N225" i="18"/>
  <c r="N251" i="18" s="1"/>
  <c r="L225" i="18"/>
  <c r="L251" i="18" s="1"/>
  <c r="J225" i="18"/>
  <c r="J251" i="18" s="1"/>
  <c r="H225" i="18"/>
  <c r="H251" i="18" s="1"/>
  <c r="F225" i="18"/>
  <c r="D225" i="18"/>
  <c r="M225" i="18"/>
  <c r="K225" i="18"/>
  <c r="I225" i="18"/>
  <c r="I251" i="18" s="1"/>
  <c r="G225" i="18"/>
  <c r="G251" i="18" s="1"/>
  <c r="E225" i="18"/>
  <c r="E251" i="18" l="1"/>
  <c r="M251" i="18"/>
  <c r="F251" i="18"/>
  <c r="O286" i="18"/>
  <c r="C303" i="18"/>
  <c r="O256" i="18"/>
  <c r="O252" i="18"/>
  <c r="O306" i="18"/>
  <c r="O243" i="18"/>
  <c r="O253" i="18"/>
  <c r="O295" i="18"/>
  <c r="O305" i="18"/>
  <c r="O234" i="18"/>
  <c r="H303" i="18"/>
  <c r="C251" i="18"/>
  <c r="O225" i="18"/>
  <c r="O254" i="18"/>
  <c r="O308" i="18"/>
  <c r="O80" i="16"/>
  <c r="O307" i="18"/>
  <c r="O255" i="18"/>
  <c r="AC19" i="35"/>
  <c r="K251" i="18"/>
  <c r="D251" i="18"/>
  <c r="K141" i="16"/>
  <c r="Z17" i="35"/>
  <c r="Z19" i="35" s="1"/>
  <c r="AB17" i="35"/>
  <c r="AB19" i="35" s="1"/>
  <c r="AA19" i="35"/>
  <c r="Y17" i="35"/>
  <c r="Y19" i="35" s="1"/>
  <c r="X19" i="35"/>
  <c r="AK17" i="35"/>
  <c r="AK19" i="35" s="1"/>
  <c r="AJ19" i="35"/>
  <c r="M141" i="16"/>
  <c r="AF17" i="35"/>
  <c r="AF19" i="35" s="1"/>
  <c r="J141" i="16"/>
  <c r="W17" i="35"/>
  <c r="W19" i="35" s="1"/>
  <c r="N141" i="16"/>
  <c r="AI17" i="35"/>
  <c r="AI19" i="35" s="1"/>
  <c r="V17" i="35"/>
  <c r="V19" i="35" s="1"/>
  <c r="U19" i="35"/>
  <c r="AH17" i="35"/>
  <c r="AH19" i="35" s="1"/>
  <c r="AG19" i="35"/>
  <c r="AE17" i="35"/>
  <c r="AE19" i="35" s="1"/>
  <c r="AD19" i="35"/>
  <c r="B17" i="35"/>
  <c r="C141" i="16"/>
  <c r="K17" i="35"/>
  <c r="L141" i="16"/>
  <c r="H17" i="35"/>
  <c r="I141" i="16"/>
  <c r="E17" i="35"/>
  <c r="F141" i="16"/>
  <c r="M18" i="35"/>
  <c r="M19" i="35" s="1"/>
  <c r="L19" i="35"/>
  <c r="G18" i="35"/>
  <c r="G19" i="35" s="1"/>
  <c r="F19" i="35"/>
  <c r="J18" i="35"/>
  <c r="J19" i="35" s="1"/>
  <c r="I19" i="35"/>
  <c r="S18" i="35"/>
  <c r="S19" i="35" s="1"/>
  <c r="R19" i="35"/>
  <c r="D18" i="35"/>
  <c r="D19" i="35" s="1"/>
  <c r="C19" i="35"/>
  <c r="H19" i="35"/>
  <c r="B19" i="35"/>
  <c r="P18" i="35"/>
  <c r="P19" i="35" s="1"/>
  <c r="O19" i="35"/>
  <c r="E18" i="35"/>
  <c r="E19" i="35" s="1"/>
  <c r="K18" i="35"/>
  <c r="K19" i="35" s="1"/>
  <c r="O77" i="16"/>
  <c r="N18" i="35" s="1"/>
  <c r="O61" i="16"/>
  <c r="O62" i="16"/>
  <c r="O60" i="16"/>
  <c r="O59" i="16"/>
  <c r="N17" i="35" s="1"/>
  <c r="D200" i="18"/>
  <c r="E200" i="18"/>
  <c r="F200" i="18"/>
  <c r="G200" i="18"/>
  <c r="H200" i="18"/>
  <c r="I200" i="18"/>
  <c r="J200" i="18"/>
  <c r="K200" i="18"/>
  <c r="L200" i="18"/>
  <c r="M200" i="18"/>
  <c r="N200" i="18"/>
  <c r="D201" i="18"/>
  <c r="E201" i="18"/>
  <c r="F201" i="18"/>
  <c r="G201" i="18"/>
  <c r="H201" i="18"/>
  <c r="I201" i="18"/>
  <c r="J201" i="18"/>
  <c r="K201" i="18"/>
  <c r="L201" i="18"/>
  <c r="M201" i="18"/>
  <c r="N201" i="18"/>
  <c r="D202" i="18"/>
  <c r="E202" i="18"/>
  <c r="F202" i="18"/>
  <c r="G202" i="18"/>
  <c r="H202" i="18"/>
  <c r="I202" i="18"/>
  <c r="J202" i="18"/>
  <c r="K202" i="18"/>
  <c r="L202" i="18"/>
  <c r="M202" i="18"/>
  <c r="N202" i="18"/>
  <c r="D203" i="18"/>
  <c r="E203" i="18"/>
  <c r="F203" i="18"/>
  <c r="G203" i="18"/>
  <c r="H203" i="18"/>
  <c r="I203" i="18"/>
  <c r="J203" i="18"/>
  <c r="K203" i="18"/>
  <c r="L203" i="18"/>
  <c r="M203" i="18"/>
  <c r="N203" i="18"/>
  <c r="D204" i="18"/>
  <c r="E204" i="18"/>
  <c r="F204" i="18"/>
  <c r="G204" i="18"/>
  <c r="H204" i="18"/>
  <c r="I204" i="18"/>
  <c r="J204" i="18"/>
  <c r="K204" i="18"/>
  <c r="L204" i="18"/>
  <c r="M204" i="18"/>
  <c r="N204" i="18"/>
  <c r="C204" i="18"/>
  <c r="C203" i="18"/>
  <c r="C202" i="18"/>
  <c r="C201" i="18"/>
  <c r="C200" i="18"/>
  <c r="C186" i="18"/>
  <c r="O186" i="18" s="1"/>
  <c r="C185" i="18"/>
  <c r="O185" i="18" s="1"/>
  <c r="C184" i="18"/>
  <c r="O184" i="18" s="1"/>
  <c r="C183" i="18"/>
  <c r="O183" i="18" s="1"/>
  <c r="C182" i="18"/>
  <c r="O182" i="18" s="1"/>
  <c r="N177" i="18"/>
  <c r="M177" i="18"/>
  <c r="L177" i="18"/>
  <c r="K177" i="18"/>
  <c r="J177" i="18"/>
  <c r="I177" i="18"/>
  <c r="H177" i="18"/>
  <c r="G177" i="18"/>
  <c r="F177" i="18"/>
  <c r="E177" i="18"/>
  <c r="D177" i="18"/>
  <c r="C177" i="18"/>
  <c r="N176" i="18"/>
  <c r="M176" i="18"/>
  <c r="L176" i="18"/>
  <c r="K176" i="18"/>
  <c r="J176" i="18"/>
  <c r="I176" i="18"/>
  <c r="H176" i="18"/>
  <c r="G176" i="18"/>
  <c r="F176" i="18"/>
  <c r="E176" i="18"/>
  <c r="D176" i="18"/>
  <c r="C176" i="18"/>
  <c r="N175" i="18"/>
  <c r="M175" i="18"/>
  <c r="L175" i="18"/>
  <c r="K175" i="18"/>
  <c r="J175" i="18"/>
  <c r="I175" i="18"/>
  <c r="H175" i="18"/>
  <c r="G175" i="18"/>
  <c r="F175" i="18"/>
  <c r="E175" i="18"/>
  <c r="D175" i="18"/>
  <c r="C175" i="18"/>
  <c r="N174" i="18"/>
  <c r="M174" i="18"/>
  <c r="L174" i="18"/>
  <c r="K174" i="18"/>
  <c r="J174" i="18"/>
  <c r="I174" i="18"/>
  <c r="H174" i="18"/>
  <c r="G174" i="18"/>
  <c r="F174" i="18"/>
  <c r="E174" i="18"/>
  <c r="D174" i="18"/>
  <c r="C174" i="18"/>
  <c r="N173" i="18"/>
  <c r="M173" i="18"/>
  <c r="L173" i="18"/>
  <c r="L172" i="18" s="1"/>
  <c r="K173" i="18"/>
  <c r="K172" i="18" s="1"/>
  <c r="J173" i="18"/>
  <c r="J172" i="18" s="1"/>
  <c r="I173" i="18"/>
  <c r="I172" i="18" s="1"/>
  <c r="H173" i="18"/>
  <c r="H172" i="18" s="1"/>
  <c r="G173" i="18"/>
  <c r="G172" i="18" s="1"/>
  <c r="F173" i="18"/>
  <c r="F172" i="18" s="1"/>
  <c r="E173" i="18"/>
  <c r="E172" i="18" s="1"/>
  <c r="D173" i="18"/>
  <c r="D172" i="18" s="1"/>
  <c r="C173" i="18"/>
  <c r="N172" i="18"/>
  <c r="N159" i="18"/>
  <c r="M159" i="18"/>
  <c r="L159" i="18"/>
  <c r="K159" i="18"/>
  <c r="J159" i="18"/>
  <c r="I159" i="18"/>
  <c r="H159" i="18"/>
  <c r="G159" i="18"/>
  <c r="F159" i="18"/>
  <c r="E159" i="18"/>
  <c r="D159" i="18"/>
  <c r="C159" i="18"/>
  <c r="N158" i="18"/>
  <c r="M158" i="18"/>
  <c r="L158" i="18"/>
  <c r="K158" i="18"/>
  <c r="J158" i="18"/>
  <c r="I158" i="18"/>
  <c r="H158" i="18"/>
  <c r="G158" i="18"/>
  <c r="F158" i="18"/>
  <c r="E158" i="18"/>
  <c r="D158" i="18"/>
  <c r="C158" i="18"/>
  <c r="N157" i="18"/>
  <c r="M157" i="18"/>
  <c r="L157" i="18"/>
  <c r="K157" i="18"/>
  <c r="J157" i="18"/>
  <c r="I157" i="18"/>
  <c r="H157" i="18"/>
  <c r="G157" i="18"/>
  <c r="F157" i="18"/>
  <c r="E157" i="18"/>
  <c r="D157" i="18"/>
  <c r="C157" i="18"/>
  <c r="N156" i="18"/>
  <c r="M156" i="18"/>
  <c r="L156" i="18"/>
  <c r="K156" i="18"/>
  <c r="J156" i="18"/>
  <c r="I156" i="18"/>
  <c r="H156" i="18"/>
  <c r="G156" i="18"/>
  <c r="F156" i="18"/>
  <c r="E156" i="18"/>
  <c r="D156" i="18"/>
  <c r="C156" i="18"/>
  <c r="N155" i="18"/>
  <c r="M155" i="18"/>
  <c r="L155" i="18"/>
  <c r="K155" i="18"/>
  <c r="J155" i="18"/>
  <c r="I155" i="18"/>
  <c r="I154" i="18" s="1"/>
  <c r="H155" i="18"/>
  <c r="H154" i="18" s="1"/>
  <c r="G155" i="18"/>
  <c r="G154" i="18" s="1"/>
  <c r="F155" i="18"/>
  <c r="F154" i="18" s="1"/>
  <c r="E155" i="18"/>
  <c r="E154" i="18" s="1"/>
  <c r="D155" i="18"/>
  <c r="D154" i="18" s="1"/>
  <c r="C155" i="18"/>
  <c r="N154" i="18"/>
  <c r="M154" i="18"/>
  <c r="L154" i="18"/>
  <c r="K154" i="18"/>
  <c r="J154" i="18"/>
  <c r="C154" i="18"/>
  <c r="N150" i="18"/>
  <c r="M150" i="18"/>
  <c r="L150" i="18"/>
  <c r="K150" i="18"/>
  <c r="J150" i="18"/>
  <c r="I150" i="18"/>
  <c r="H150" i="18"/>
  <c r="G150" i="18"/>
  <c r="F150" i="18"/>
  <c r="E150" i="18"/>
  <c r="D150" i="18"/>
  <c r="C150" i="18"/>
  <c r="N149" i="18"/>
  <c r="M57" i="13" s="1"/>
  <c r="M149" i="18"/>
  <c r="L57" i="13" s="1"/>
  <c r="L149" i="18"/>
  <c r="K57" i="13" s="1"/>
  <c r="K149" i="18"/>
  <c r="J57" i="13" s="1"/>
  <c r="J149" i="18"/>
  <c r="I57" i="13" s="1"/>
  <c r="I149" i="18"/>
  <c r="H57" i="13" s="1"/>
  <c r="H149" i="18"/>
  <c r="G57" i="13" s="1"/>
  <c r="G149" i="18"/>
  <c r="F57" i="13" s="1"/>
  <c r="F149" i="18"/>
  <c r="E57" i="13" s="1"/>
  <c r="E149" i="18"/>
  <c r="D57" i="13" s="1"/>
  <c r="D149" i="18"/>
  <c r="C57" i="13" s="1"/>
  <c r="C149" i="18"/>
  <c r="N148" i="18"/>
  <c r="M56" i="13" s="1"/>
  <c r="M148" i="18"/>
  <c r="L56" i="13" s="1"/>
  <c r="L148" i="18"/>
  <c r="K56" i="13" s="1"/>
  <c r="K148" i="18"/>
  <c r="J56" i="13" s="1"/>
  <c r="J148" i="18"/>
  <c r="I56" i="13" s="1"/>
  <c r="I148" i="18"/>
  <c r="H56" i="13" s="1"/>
  <c r="H148" i="18"/>
  <c r="G56" i="13" s="1"/>
  <c r="G148" i="18"/>
  <c r="F56" i="13" s="1"/>
  <c r="F148" i="18"/>
  <c r="E56" i="13" s="1"/>
  <c r="E148" i="18"/>
  <c r="D56" i="13" s="1"/>
  <c r="D148" i="18"/>
  <c r="C56" i="13" s="1"/>
  <c r="C148" i="18"/>
  <c r="N147" i="18"/>
  <c r="M55" i="13" s="1"/>
  <c r="M147" i="18"/>
  <c r="L55" i="13" s="1"/>
  <c r="L147" i="18"/>
  <c r="K55" i="13" s="1"/>
  <c r="K147" i="18"/>
  <c r="J55" i="13" s="1"/>
  <c r="J147" i="18"/>
  <c r="I55" i="13" s="1"/>
  <c r="I147" i="18"/>
  <c r="H55" i="13" s="1"/>
  <c r="H147" i="18"/>
  <c r="G55" i="13" s="1"/>
  <c r="G147" i="18"/>
  <c r="F55" i="13" s="1"/>
  <c r="F147" i="18"/>
  <c r="E55" i="13" s="1"/>
  <c r="E147" i="18"/>
  <c r="D55" i="13" s="1"/>
  <c r="D147" i="18"/>
  <c r="C55" i="13" s="1"/>
  <c r="C147" i="18"/>
  <c r="N146" i="18"/>
  <c r="M54" i="13" s="1"/>
  <c r="M146" i="18"/>
  <c r="L54" i="13" s="1"/>
  <c r="L146" i="18"/>
  <c r="K54" i="13" s="1"/>
  <c r="K146" i="18"/>
  <c r="J54" i="13" s="1"/>
  <c r="J146" i="18"/>
  <c r="I54" i="13" s="1"/>
  <c r="I146" i="18"/>
  <c r="H54" i="13" s="1"/>
  <c r="H146" i="18"/>
  <c r="G54" i="13" s="1"/>
  <c r="G146" i="18"/>
  <c r="F54" i="13" s="1"/>
  <c r="F146" i="18"/>
  <c r="E54" i="13" s="1"/>
  <c r="E146" i="18"/>
  <c r="D146" i="18"/>
  <c r="C146" i="18"/>
  <c r="N145" i="18"/>
  <c r="M53" i="13" s="1"/>
  <c r="M145" i="18"/>
  <c r="L53" i="13" s="1"/>
  <c r="L145" i="18"/>
  <c r="K53" i="13" s="1"/>
  <c r="K145" i="18"/>
  <c r="J53" i="13" s="1"/>
  <c r="J145" i="18"/>
  <c r="I53" i="13" s="1"/>
  <c r="I145" i="18"/>
  <c r="H53" i="13" s="1"/>
  <c r="H145" i="18"/>
  <c r="G53" i="13" s="1"/>
  <c r="G145" i="18"/>
  <c r="F53" i="13" s="1"/>
  <c r="F145" i="18"/>
  <c r="E53" i="13" s="1"/>
  <c r="N141" i="18"/>
  <c r="M141" i="18"/>
  <c r="L141" i="18"/>
  <c r="K141" i="18"/>
  <c r="J141" i="18"/>
  <c r="I141" i="18"/>
  <c r="H141" i="18"/>
  <c r="G141" i="18"/>
  <c r="F141" i="18"/>
  <c r="E141" i="18"/>
  <c r="D141" i="18"/>
  <c r="C141" i="18"/>
  <c r="N140" i="18"/>
  <c r="M49" i="13" s="1"/>
  <c r="M140" i="18"/>
  <c r="L49" i="13" s="1"/>
  <c r="L140" i="18"/>
  <c r="K49" i="13" s="1"/>
  <c r="K140" i="18"/>
  <c r="J49" i="13" s="1"/>
  <c r="J140" i="18"/>
  <c r="I49" i="13" s="1"/>
  <c r="I140" i="18"/>
  <c r="H49" i="13" s="1"/>
  <c r="H140" i="18"/>
  <c r="G49" i="13" s="1"/>
  <c r="G140" i="18"/>
  <c r="F49" i="13" s="1"/>
  <c r="F140" i="18"/>
  <c r="E49" i="13" s="1"/>
  <c r="E140" i="18"/>
  <c r="D49" i="13" s="1"/>
  <c r="D140" i="18"/>
  <c r="C49" i="13" s="1"/>
  <c r="C140" i="18"/>
  <c r="N139" i="18"/>
  <c r="M48" i="13" s="1"/>
  <c r="M139" i="18"/>
  <c r="L48" i="13" s="1"/>
  <c r="L139" i="18"/>
  <c r="K48" i="13" s="1"/>
  <c r="K139" i="18"/>
  <c r="J48" i="13" s="1"/>
  <c r="J139" i="18"/>
  <c r="I48" i="13" s="1"/>
  <c r="I139" i="18"/>
  <c r="H48" i="13" s="1"/>
  <c r="H139" i="18"/>
  <c r="G48" i="13" s="1"/>
  <c r="G139" i="18"/>
  <c r="F48" i="13" s="1"/>
  <c r="F139" i="18"/>
  <c r="E48" i="13" s="1"/>
  <c r="E139" i="18"/>
  <c r="D48" i="13" s="1"/>
  <c r="D139" i="18"/>
  <c r="C48" i="13" s="1"/>
  <c r="C139" i="18"/>
  <c r="N138" i="18"/>
  <c r="M47" i="13" s="1"/>
  <c r="M138" i="18"/>
  <c r="L47" i="13" s="1"/>
  <c r="L138" i="18"/>
  <c r="K47" i="13" s="1"/>
  <c r="K138" i="18"/>
  <c r="J47" i="13" s="1"/>
  <c r="J138" i="18"/>
  <c r="I47" i="13" s="1"/>
  <c r="I138" i="18"/>
  <c r="H47" i="13" s="1"/>
  <c r="H138" i="18"/>
  <c r="G47" i="13" s="1"/>
  <c r="G138" i="18"/>
  <c r="F47" i="13" s="1"/>
  <c r="F138" i="18"/>
  <c r="E47" i="13" s="1"/>
  <c r="E138" i="18"/>
  <c r="D47" i="13" s="1"/>
  <c r="D138" i="18"/>
  <c r="C47" i="13" s="1"/>
  <c r="C138" i="18"/>
  <c r="N137" i="18"/>
  <c r="M46" i="13" s="1"/>
  <c r="M137" i="18"/>
  <c r="L46" i="13" s="1"/>
  <c r="L137" i="18"/>
  <c r="K46" i="13" s="1"/>
  <c r="K137" i="18"/>
  <c r="J137" i="18"/>
  <c r="I137" i="18"/>
  <c r="H46" i="13" s="1"/>
  <c r="H137" i="18"/>
  <c r="G137" i="18"/>
  <c r="F137" i="18"/>
  <c r="E137" i="18"/>
  <c r="D137" i="18"/>
  <c r="C137" i="18"/>
  <c r="N136" i="18"/>
  <c r="M45" i="13" s="1"/>
  <c r="M136" i="18"/>
  <c r="L45" i="13" s="1"/>
  <c r="L136" i="18"/>
  <c r="K45" i="13" s="1"/>
  <c r="I136" i="18"/>
  <c r="H45" i="13" s="1"/>
  <c r="N132" i="18"/>
  <c r="M132" i="18"/>
  <c r="L132" i="18"/>
  <c r="K132" i="18"/>
  <c r="J132" i="18"/>
  <c r="I132" i="18"/>
  <c r="H132" i="18"/>
  <c r="G132" i="18"/>
  <c r="F132" i="18"/>
  <c r="E132" i="18"/>
  <c r="D132" i="18"/>
  <c r="C132" i="18"/>
  <c r="N131" i="18"/>
  <c r="M131" i="18"/>
  <c r="L131" i="18"/>
  <c r="K131" i="18"/>
  <c r="J131" i="18"/>
  <c r="I131" i="18"/>
  <c r="H131" i="18"/>
  <c r="G131" i="18"/>
  <c r="F131" i="18"/>
  <c r="E131" i="18"/>
  <c r="D131" i="18"/>
  <c r="C131" i="18"/>
  <c r="N130" i="18"/>
  <c r="M130" i="18"/>
  <c r="L130" i="18"/>
  <c r="K130" i="18"/>
  <c r="J130" i="18"/>
  <c r="I130" i="18"/>
  <c r="H130" i="18"/>
  <c r="G130" i="18"/>
  <c r="F130" i="18"/>
  <c r="E130" i="18"/>
  <c r="D130" i="18"/>
  <c r="C130" i="18"/>
  <c r="N129" i="18"/>
  <c r="M129" i="18"/>
  <c r="L129" i="18"/>
  <c r="K129" i="18"/>
  <c r="J129" i="18"/>
  <c r="I129" i="18"/>
  <c r="H129" i="18"/>
  <c r="G129" i="18"/>
  <c r="F129" i="18"/>
  <c r="E129" i="18"/>
  <c r="D129" i="18"/>
  <c r="C129" i="18"/>
  <c r="N128" i="18"/>
  <c r="M128" i="18"/>
  <c r="M127" i="18" s="1"/>
  <c r="L128" i="18"/>
  <c r="L127" i="18" s="1"/>
  <c r="K128" i="18"/>
  <c r="J128" i="18"/>
  <c r="I128" i="18"/>
  <c r="I127" i="18" s="1"/>
  <c r="H128" i="18"/>
  <c r="H127" i="18" s="1"/>
  <c r="G128" i="18"/>
  <c r="G127" i="18" s="1"/>
  <c r="F128" i="18"/>
  <c r="E128" i="18"/>
  <c r="D128" i="18"/>
  <c r="D127" i="18" s="1"/>
  <c r="C128" i="18"/>
  <c r="N123" i="18"/>
  <c r="N91" i="16" s="1"/>
  <c r="M123" i="18"/>
  <c r="M91" i="16" s="1"/>
  <c r="L123" i="18"/>
  <c r="L91" i="16" s="1"/>
  <c r="K123" i="18"/>
  <c r="K91" i="16" s="1"/>
  <c r="J123" i="18"/>
  <c r="J91" i="16" s="1"/>
  <c r="I123" i="18"/>
  <c r="I91" i="16" s="1"/>
  <c r="H123" i="18"/>
  <c r="H91" i="16" s="1"/>
  <c r="G123" i="18"/>
  <c r="G91" i="16" s="1"/>
  <c r="F123" i="18"/>
  <c r="F91" i="16" s="1"/>
  <c r="E123" i="18"/>
  <c r="E91" i="16" s="1"/>
  <c r="D123" i="18"/>
  <c r="D91" i="16" s="1"/>
  <c r="C123" i="18"/>
  <c r="N118" i="18"/>
  <c r="M118" i="18"/>
  <c r="L118" i="18"/>
  <c r="K118" i="18"/>
  <c r="J118" i="18"/>
  <c r="I118" i="18"/>
  <c r="H118" i="18"/>
  <c r="G118" i="18"/>
  <c r="F118" i="18"/>
  <c r="E118" i="18"/>
  <c r="D118" i="18"/>
  <c r="C118" i="18"/>
  <c r="N113" i="18"/>
  <c r="N88" i="16" s="1"/>
  <c r="M113" i="18"/>
  <c r="M88" i="16" s="1"/>
  <c r="L113" i="18"/>
  <c r="L88" i="16" s="1"/>
  <c r="K113" i="18"/>
  <c r="K88" i="16" s="1"/>
  <c r="J113" i="18"/>
  <c r="J88" i="16" s="1"/>
  <c r="I113" i="18"/>
  <c r="I88" i="16" s="1"/>
  <c r="H113" i="18"/>
  <c r="H88" i="16" s="1"/>
  <c r="G113" i="18"/>
  <c r="G88" i="16" s="1"/>
  <c r="F113" i="18"/>
  <c r="F88" i="16" s="1"/>
  <c r="E113" i="18"/>
  <c r="E88" i="16" s="1"/>
  <c r="D113" i="18"/>
  <c r="D88" i="16" s="1"/>
  <c r="C113" i="18"/>
  <c r="D108" i="18"/>
  <c r="E108" i="18"/>
  <c r="F108" i="18"/>
  <c r="G108" i="18"/>
  <c r="H108" i="18"/>
  <c r="I108" i="18"/>
  <c r="J108" i="18"/>
  <c r="K108" i="18"/>
  <c r="L108" i="18"/>
  <c r="M108" i="18"/>
  <c r="N108" i="18"/>
  <c r="C108" i="18"/>
  <c r="N103" i="18"/>
  <c r="M103" i="18"/>
  <c r="L103" i="18"/>
  <c r="K103" i="18"/>
  <c r="J103" i="18"/>
  <c r="I103" i="18"/>
  <c r="H103" i="18"/>
  <c r="G103" i="18"/>
  <c r="F103" i="18"/>
  <c r="E103" i="18"/>
  <c r="D103" i="18"/>
  <c r="C103" i="18"/>
  <c r="D98" i="18"/>
  <c r="E98" i="18"/>
  <c r="F98" i="18"/>
  <c r="G98" i="18"/>
  <c r="H98" i="18"/>
  <c r="I98" i="18"/>
  <c r="J98" i="18"/>
  <c r="K98" i="18"/>
  <c r="L98" i="18"/>
  <c r="M98" i="18"/>
  <c r="N98" i="18"/>
  <c r="C98" i="18"/>
  <c r="N84" i="18"/>
  <c r="M84" i="18"/>
  <c r="L84" i="18"/>
  <c r="K84" i="18"/>
  <c r="J84" i="18"/>
  <c r="I84" i="18"/>
  <c r="H84" i="18"/>
  <c r="G84" i="18"/>
  <c r="F84" i="18"/>
  <c r="E84" i="18"/>
  <c r="D84" i="18"/>
  <c r="C84" i="18"/>
  <c r="N83" i="18"/>
  <c r="M83" i="18"/>
  <c r="L83" i="18"/>
  <c r="K83" i="18"/>
  <c r="J83" i="18"/>
  <c r="I83" i="18"/>
  <c r="H83" i="18"/>
  <c r="G83" i="18"/>
  <c r="F83" i="18"/>
  <c r="E83" i="18"/>
  <c r="D83" i="18"/>
  <c r="C83" i="18"/>
  <c r="N82" i="18"/>
  <c r="M82" i="18"/>
  <c r="L82" i="18"/>
  <c r="K82" i="18"/>
  <c r="J82" i="18"/>
  <c r="I82" i="18"/>
  <c r="H82" i="18"/>
  <c r="G82" i="18"/>
  <c r="F82" i="18"/>
  <c r="E82" i="18"/>
  <c r="D82" i="18"/>
  <c r="C82" i="18"/>
  <c r="N81" i="18"/>
  <c r="M81" i="18"/>
  <c r="L81" i="18"/>
  <c r="K81" i="18"/>
  <c r="J81" i="18"/>
  <c r="I81" i="18"/>
  <c r="H81" i="18"/>
  <c r="G81" i="18"/>
  <c r="F81" i="18"/>
  <c r="E81" i="18"/>
  <c r="D81" i="18"/>
  <c r="C81" i="18"/>
  <c r="N80" i="18"/>
  <c r="M80" i="18"/>
  <c r="L80" i="18"/>
  <c r="L79" i="18" s="1"/>
  <c r="K80" i="18"/>
  <c r="K79" i="18" s="1"/>
  <c r="J80" i="18"/>
  <c r="I80" i="18"/>
  <c r="I79" i="18" s="1"/>
  <c r="H80" i="18"/>
  <c r="H79" i="18" s="1"/>
  <c r="G80" i="18"/>
  <c r="G79" i="18" s="1"/>
  <c r="F80" i="18"/>
  <c r="F79" i="18" s="1"/>
  <c r="E80" i="18"/>
  <c r="E79" i="18" s="1"/>
  <c r="D80" i="18"/>
  <c r="D79" i="18" s="1"/>
  <c r="C80" i="18"/>
  <c r="N79" i="18"/>
  <c r="N75" i="18"/>
  <c r="M75" i="18"/>
  <c r="L75" i="18"/>
  <c r="K75" i="18"/>
  <c r="J75" i="18"/>
  <c r="I75" i="18"/>
  <c r="H75" i="18"/>
  <c r="G75" i="18"/>
  <c r="F75" i="18"/>
  <c r="E75" i="18"/>
  <c r="D75" i="18"/>
  <c r="C75" i="18"/>
  <c r="N74" i="18"/>
  <c r="M74" i="18"/>
  <c r="L74" i="18"/>
  <c r="K74" i="18"/>
  <c r="J74" i="18"/>
  <c r="I74" i="18"/>
  <c r="H74" i="18"/>
  <c r="G74" i="18"/>
  <c r="F74" i="18"/>
  <c r="E74" i="18"/>
  <c r="D74" i="18"/>
  <c r="C74" i="18"/>
  <c r="N73" i="18"/>
  <c r="M73" i="18"/>
  <c r="L73" i="18"/>
  <c r="K73" i="18"/>
  <c r="J73" i="18"/>
  <c r="I73" i="18"/>
  <c r="H73" i="18"/>
  <c r="G73" i="18"/>
  <c r="F73" i="18"/>
  <c r="E73" i="18"/>
  <c r="D73" i="18"/>
  <c r="C73" i="18"/>
  <c r="N72" i="18"/>
  <c r="M72" i="18"/>
  <c r="L72" i="18"/>
  <c r="K72" i="18"/>
  <c r="J72" i="18"/>
  <c r="I72" i="18"/>
  <c r="H72" i="18"/>
  <c r="G72" i="18"/>
  <c r="F72" i="18"/>
  <c r="E72" i="18"/>
  <c r="D72" i="18"/>
  <c r="C72" i="18"/>
  <c r="N71" i="18"/>
  <c r="M71" i="18"/>
  <c r="L71" i="18"/>
  <c r="L70" i="18" s="1"/>
  <c r="K71" i="18"/>
  <c r="K70" i="18" s="1"/>
  <c r="J71" i="18"/>
  <c r="I71" i="18"/>
  <c r="I70" i="18" s="1"/>
  <c r="H71" i="18"/>
  <c r="H70" i="18" s="1"/>
  <c r="G71" i="18"/>
  <c r="F71" i="18"/>
  <c r="F70" i="18" s="1"/>
  <c r="E71" i="18"/>
  <c r="E70" i="18" s="1"/>
  <c r="D71" i="18"/>
  <c r="D70" i="18" s="1"/>
  <c r="C71" i="18"/>
  <c r="N70" i="18"/>
  <c r="M70" i="18"/>
  <c r="J70" i="18"/>
  <c r="D62" i="18"/>
  <c r="E62" i="18"/>
  <c r="F62" i="18"/>
  <c r="G62" i="18"/>
  <c r="H62" i="18"/>
  <c r="I62" i="18"/>
  <c r="J62" i="18"/>
  <c r="K62" i="18"/>
  <c r="L62" i="18"/>
  <c r="M62" i="18"/>
  <c r="N62" i="18"/>
  <c r="D63" i="18"/>
  <c r="E63" i="18"/>
  <c r="F63" i="18"/>
  <c r="G63" i="18"/>
  <c r="H63" i="18"/>
  <c r="I63" i="18"/>
  <c r="J63" i="18"/>
  <c r="K63" i="18"/>
  <c r="L63" i="18"/>
  <c r="M63" i="18"/>
  <c r="N63" i="18"/>
  <c r="D64" i="18"/>
  <c r="E64" i="18"/>
  <c r="F64" i="18"/>
  <c r="G64" i="18"/>
  <c r="H64" i="18"/>
  <c r="I64" i="18"/>
  <c r="J64" i="18"/>
  <c r="K64" i="18"/>
  <c r="L64" i="18"/>
  <c r="M64" i="18"/>
  <c r="N64" i="18"/>
  <c r="D65" i="18"/>
  <c r="E65" i="18"/>
  <c r="F65" i="18"/>
  <c r="G65" i="18"/>
  <c r="H65" i="18"/>
  <c r="I65" i="18"/>
  <c r="J65" i="18"/>
  <c r="K65" i="18"/>
  <c r="L65" i="18"/>
  <c r="M65" i="18"/>
  <c r="N65" i="18"/>
  <c r="D66" i="18"/>
  <c r="E66" i="18"/>
  <c r="F66" i="18"/>
  <c r="G66" i="18"/>
  <c r="H66" i="18"/>
  <c r="I66" i="18"/>
  <c r="J66" i="18"/>
  <c r="K66" i="18"/>
  <c r="L66" i="18"/>
  <c r="M66" i="18"/>
  <c r="N66" i="18"/>
  <c r="C66" i="18"/>
  <c r="C65" i="18"/>
  <c r="C64" i="18"/>
  <c r="C63" i="18"/>
  <c r="C62" i="18"/>
  <c r="D44" i="18"/>
  <c r="E44" i="18"/>
  <c r="F44" i="18"/>
  <c r="G44" i="18"/>
  <c r="H44" i="18"/>
  <c r="I44" i="18"/>
  <c r="J44" i="18"/>
  <c r="K44" i="18"/>
  <c r="L44" i="18"/>
  <c r="M44" i="18"/>
  <c r="N44" i="18"/>
  <c r="D45" i="18"/>
  <c r="E45" i="18"/>
  <c r="F45" i="18"/>
  <c r="G45" i="18"/>
  <c r="H45" i="18"/>
  <c r="I45" i="18"/>
  <c r="J45" i="18"/>
  <c r="K45" i="18"/>
  <c r="L45" i="18"/>
  <c r="M45" i="18"/>
  <c r="N45" i="18"/>
  <c r="D46" i="18"/>
  <c r="E46" i="18"/>
  <c r="F46" i="18"/>
  <c r="G46" i="18"/>
  <c r="H46" i="18"/>
  <c r="I46" i="18"/>
  <c r="J46" i="18"/>
  <c r="K46" i="18"/>
  <c r="L46" i="18"/>
  <c r="M46" i="18"/>
  <c r="N46" i="18"/>
  <c r="D47" i="18"/>
  <c r="E47" i="18"/>
  <c r="F47" i="18"/>
  <c r="G47" i="18"/>
  <c r="H47" i="18"/>
  <c r="I47" i="18"/>
  <c r="J47" i="18"/>
  <c r="K47" i="18"/>
  <c r="L47" i="18"/>
  <c r="M47" i="18"/>
  <c r="N47" i="18"/>
  <c r="D48" i="18"/>
  <c r="E48" i="18"/>
  <c r="F48" i="18"/>
  <c r="G48" i="18"/>
  <c r="H48" i="18"/>
  <c r="I48" i="18"/>
  <c r="J48" i="18"/>
  <c r="K48" i="18"/>
  <c r="L48" i="18"/>
  <c r="M48" i="18"/>
  <c r="N48" i="18"/>
  <c r="C48" i="18"/>
  <c r="C47" i="18"/>
  <c r="C46" i="18"/>
  <c r="C45" i="18"/>
  <c r="C44" i="18"/>
  <c r="D41" i="16"/>
  <c r="E15" i="35" s="1"/>
  <c r="E41" i="16"/>
  <c r="F41" i="16"/>
  <c r="G41" i="16"/>
  <c r="H15" i="35" s="1"/>
  <c r="H41" i="16"/>
  <c r="I41" i="16"/>
  <c r="T15" i="35" s="1"/>
  <c r="J41" i="16"/>
  <c r="K41" i="16"/>
  <c r="Z15" i="35" s="1"/>
  <c r="L41" i="16"/>
  <c r="AC15" i="35" s="1"/>
  <c r="M41" i="16"/>
  <c r="N41" i="16"/>
  <c r="AI15" i="35" s="1"/>
  <c r="D42" i="16"/>
  <c r="E42" i="16"/>
  <c r="F42" i="16"/>
  <c r="L15" i="35" s="1"/>
  <c r="G42" i="16"/>
  <c r="O15" i="35" s="1"/>
  <c r="H42" i="16"/>
  <c r="R15" i="35" s="1"/>
  <c r="I42" i="16"/>
  <c r="U15" i="35" s="1"/>
  <c r="V15" i="35" s="1"/>
  <c r="J42" i="16"/>
  <c r="X15" i="35" s="1"/>
  <c r="Y15" i="35" s="1"/>
  <c r="K42" i="16"/>
  <c r="AA15" i="35" s="1"/>
  <c r="AB15" i="35" s="1"/>
  <c r="L42" i="16"/>
  <c r="AD15" i="35" s="1"/>
  <c r="AE15" i="35" s="1"/>
  <c r="M42" i="16"/>
  <c r="AG15" i="35" s="1"/>
  <c r="AH15" i="35" s="1"/>
  <c r="N42" i="16"/>
  <c r="AJ15" i="35" s="1"/>
  <c r="AK15" i="35" s="1"/>
  <c r="D43" i="16"/>
  <c r="E43" i="16"/>
  <c r="F43" i="16"/>
  <c r="G43" i="16"/>
  <c r="H43" i="16"/>
  <c r="I43" i="16"/>
  <c r="J43" i="16"/>
  <c r="K43" i="16"/>
  <c r="L43" i="16"/>
  <c r="M43" i="16"/>
  <c r="N43" i="16"/>
  <c r="D44" i="16"/>
  <c r="E44" i="16"/>
  <c r="F44" i="16"/>
  <c r="G44" i="16"/>
  <c r="H44" i="16"/>
  <c r="I44" i="16"/>
  <c r="J44" i="16"/>
  <c r="K44" i="16"/>
  <c r="L44" i="16"/>
  <c r="M44" i="16"/>
  <c r="N44" i="16"/>
  <c r="C39" i="18"/>
  <c r="O39" i="18" s="1"/>
  <c r="C38" i="18"/>
  <c r="O38" i="18" s="1"/>
  <c r="C37" i="18"/>
  <c r="O37" i="18" s="1"/>
  <c r="C36" i="18"/>
  <c r="O36" i="18" s="1"/>
  <c r="C35" i="18"/>
  <c r="O35" i="18" s="1"/>
  <c r="D21" i="18"/>
  <c r="C167" i="13" s="1"/>
  <c r="E21" i="18"/>
  <c r="D167" i="13" s="1"/>
  <c r="F21" i="18"/>
  <c r="E167" i="13" s="1"/>
  <c r="G21" i="18"/>
  <c r="F167" i="13" s="1"/>
  <c r="H21" i="18"/>
  <c r="G167" i="13" s="1"/>
  <c r="I21" i="18"/>
  <c r="H167" i="13" s="1"/>
  <c r="J21" i="18"/>
  <c r="I167" i="13" s="1"/>
  <c r="K21" i="18"/>
  <c r="J167" i="13" s="1"/>
  <c r="L21" i="18"/>
  <c r="K167" i="13" s="1"/>
  <c r="M21" i="18"/>
  <c r="L167" i="13" s="1"/>
  <c r="N21" i="18"/>
  <c r="M167" i="13" s="1"/>
  <c r="D22" i="18"/>
  <c r="E22" i="18"/>
  <c r="F22" i="18"/>
  <c r="G22" i="18"/>
  <c r="H22" i="18"/>
  <c r="I22" i="18"/>
  <c r="J22" i="18"/>
  <c r="K22" i="18"/>
  <c r="L22" i="18"/>
  <c r="M22" i="18"/>
  <c r="N22" i="18"/>
  <c r="D23" i="18"/>
  <c r="D39" i="16" s="1"/>
  <c r="E23" i="18"/>
  <c r="E39" i="16" s="1"/>
  <c r="F23" i="18"/>
  <c r="F39" i="16" s="1"/>
  <c r="G23" i="18"/>
  <c r="G39" i="16" s="1"/>
  <c r="H23" i="18"/>
  <c r="H39" i="16" s="1"/>
  <c r="I23" i="18"/>
  <c r="I39" i="16" s="1"/>
  <c r="J23" i="18"/>
  <c r="J39" i="16" s="1"/>
  <c r="K23" i="18"/>
  <c r="K39" i="16" s="1"/>
  <c r="L23" i="18"/>
  <c r="L39" i="16" s="1"/>
  <c r="M23" i="18"/>
  <c r="M39" i="16" s="1"/>
  <c r="N23" i="18"/>
  <c r="N39" i="16" s="1"/>
  <c r="C23" i="18"/>
  <c r="C22" i="18"/>
  <c r="B168" i="13" s="1"/>
  <c r="C21" i="18"/>
  <c r="B167" i="13" s="1"/>
  <c r="D7" i="18"/>
  <c r="E7" i="18"/>
  <c r="F7" i="18"/>
  <c r="G7" i="18"/>
  <c r="H7" i="18"/>
  <c r="I7" i="18"/>
  <c r="J7" i="18"/>
  <c r="K7" i="18"/>
  <c r="L7" i="18"/>
  <c r="M7" i="18"/>
  <c r="N7" i="18"/>
  <c r="D8" i="18"/>
  <c r="C176" i="13" s="1"/>
  <c r="E8" i="18"/>
  <c r="D176" i="13" s="1"/>
  <c r="F8" i="18"/>
  <c r="E176" i="13" s="1"/>
  <c r="G8" i="18"/>
  <c r="F176" i="13" s="1"/>
  <c r="H8" i="18"/>
  <c r="G176" i="13" s="1"/>
  <c r="I8" i="18"/>
  <c r="H176" i="13" s="1"/>
  <c r="J8" i="18"/>
  <c r="I176" i="13" s="1"/>
  <c r="K8" i="18"/>
  <c r="J176" i="13" s="1"/>
  <c r="L8" i="18"/>
  <c r="K176" i="13" s="1"/>
  <c r="M8" i="18"/>
  <c r="L176" i="13" s="1"/>
  <c r="N8" i="18"/>
  <c r="M176" i="13" s="1"/>
  <c r="D9" i="18"/>
  <c r="E9" i="18"/>
  <c r="F9" i="18"/>
  <c r="G9" i="18"/>
  <c r="H9" i="18"/>
  <c r="I9" i="18"/>
  <c r="J9" i="18"/>
  <c r="K9" i="18"/>
  <c r="L9" i="18"/>
  <c r="M9" i="18"/>
  <c r="N9" i="18"/>
  <c r="C9" i="18"/>
  <c r="C8" i="18"/>
  <c r="B176" i="13" s="1"/>
  <c r="C7" i="18"/>
  <c r="B175" i="13" s="1"/>
  <c r="D223" i="6"/>
  <c r="D222" i="6" s="1"/>
  <c r="E223" i="6"/>
  <c r="E222" i="6" s="1"/>
  <c r="F223" i="6"/>
  <c r="F222" i="6" s="1"/>
  <c r="G223" i="6"/>
  <c r="G222" i="6" s="1"/>
  <c r="H223" i="6"/>
  <c r="H222" i="6" s="1"/>
  <c r="I223" i="6"/>
  <c r="I222" i="6" s="1"/>
  <c r="J223" i="6"/>
  <c r="J222" i="6" s="1"/>
  <c r="K223" i="6"/>
  <c r="K222" i="6" s="1"/>
  <c r="L223" i="6"/>
  <c r="L222" i="6" s="1"/>
  <c r="M223" i="6"/>
  <c r="M222" i="6" s="1"/>
  <c r="N223" i="6"/>
  <c r="N222" i="6" s="1"/>
  <c r="D226" i="6"/>
  <c r="D225" i="6" s="1"/>
  <c r="E226" i="6"/>
  <c r="E225" i="6" s="1"/>
  <c r="F226" i="6"/>
  <c r="F225" i="6" s="1"/>
  <c r="G226" i="6"/>
  <c r="G225" i="6" s="1"/>
  <c r="H226" i="6"/>
  <c r="H225" i="6" s="1"/>
  <c r="I226" i="6"/>
  <c r="I225" i="6" s="1"/>
  <c r="J226" i="6"/>
  <c r="J225" i="6" s="1"/>
  <c r="K226" i="6"/>
  <c r="K225" i="6" s="1"/>
  <c r="L226" i="6"/>
  <c r="L225" i="6" s="1"/>
  <c r="M226" i="6"/>
  <c r="M225" i="6" s="1"/>
  <c r="N226" i="6"/>
  <c r="N225" i="6" s="1"/>
  <c r="D229" i="6"/>
  <c r="D228" i="6" s="1"/>
  <c r="E229" i="6"/>
  <c r="E228" i="6" s="1"/>
  <c r="F229" i="6"/>
  <c r="F228" i="6" s="1"/>
  <c r="G229" i="6"/>
  <c r="G228" i="6" s="1"/>
  <c r="H229" i="6"/>
  <c r="H228" i="6" s="1"/>
  <c r="I229" i="6"/>
  <c r="I228" i="6" s="1"/>
  <c r="J229" i="6"/>
  <c r="J228" i="6" s="1"/>
  <c r="K229" i="6"/>
  <c r="K228" i="6" s="1"/>
  <c r="L229" i="6"/>
  <c r="L228" i="6" s="1"/>
  <c r="M229" i="6"/>
  <c r="M228" i="6" s="1"/>
  <c r="N229" i="6"/>
  <c r="N228" i="6" s="1"/>
  <c r="C229" i="6"/>
  <c r="C226" i="6"/>
  <c r="C223" i="6"/>
  <c r="E18" i="16"/>
  <c r="G18" i="16"/>
  <c r="K18" i="16"/>
  <c r="M18" i="16"/>
  <c r="D19" i="16"/>
  <c r="D152" i="16" s="1"/>
  <c r="D154" i="16" s="1"/>
  <c r="E19" i="16"/>
  <c r="E152" i="16" s="1"/>
  <c r="E154" i="16" s="1"/>
  <c r="G19" i="16"/>
  <c r="G152" i="16" s="1"/>
  <c r="G154" i="16" s="1"/>
  <c r="H19" i="16"/>
  <c r="H152" i="16" s="1"/>
  <c r="H154" i="16" s="1"/>
  <c r="I19" i="16"/>
  <c r="J19" i="16"/>
  <c r="K19" i="16"/>
  <c r="L19" i="16"/>
  <c r="M19" i="16"/>
  <c r="D20" i="16"/>
  <c r="D157" i="16" s="1"/>
  <c r="D159" i="16" s="1"/>
  <c r="F20" i="16"/>
  <c r="G20" i="16"/>
  <c r="H20" i="16"/>
  <c r="I20" i="16"/>
  <c r="J20" i="16"/>
  <c r="K20" i="16"/>
  <c r="L20" i="16"/>
  <c r="M20" i="16"/>
  <c r="N20" i="16"/>
  <c r="D21" i="16"/>
  <c r="D162" i="16" s="1"/>
  <c r="D164" i="16" s="1"/>
  <c r="E21" i="16"/>
  <c r="E162" i="16" s="1"/>
  <c r="E164" i="16" s="1"/>
  <c r="F21" i="16"/>
  <c r="F162" i="16" s="1"/>
  <c r="F164" i="16" s="1"/>
  <c r="G21" i="16"/>
  <c r="G162" i="16" s="1"/>
  <c r="G164" i="16" s="1"/>
  <c r="I21" i="16"/>
  <c r="I162" i="16" s="1"/>
  <c r="I164" i="16" s="1"/>
  <c r="J21" i="16"/>
  <c r="J162" i="16" s="1"/>
  <c r="J164" i="16" s="1"/>
  <c r="K21" i="16"/>
  <c r="K162" i="16" s="1"/>
  <c r="K164" i="16" s="1"/>
  <c r="L21" i="16"/>
  <c r="L162" i="16" s="1"/>
  <c r="L164" i="16" s="1"/>
  <c r="M21" i="16"/>
  <c r="M162" i="16" s="1"/>
  <c r="M164" i="16" s="1"/>
  <c r="N21" i="16"/>
  <c r="D22" i="16"/>
  <c r="E22" i="16"/>
  <c r="F22" i="16"/>
  <c r="G22" i="16"/>
  <c r="H22" i="16"/>
  <c r="I22" i="16"/>
  <c r="J22" i="16"/>
  <c r="K22" i="16"/>
  <c r="L22" i="16"/>
  <c r="M22" i="16"/>
  <c r="N22" i="16"/>
  <c r="C22" i="16"/>
  <c r="H21" i="16"/>
  <c r="H162" i="16" s="1"/>
  <c r="H164" i="16" s="1"/>
  <c r="C21" i="16"/>
  <c r="C162" i="16" s="1"/>
  <c r="E20" i="16"/>
  <c r="C20" i="16"/>
  <c r="C157" i="16" s="1"/>
  <c r="N19" i="16"/>
  <c r="F19" i="16"/>
  <c r="F152" i="16" s="1"/>
  <c r="F154" i="16" s="1"/>
  <c r="C19" i="16"/>
  <c r="C152" i="16" s="1"/>
  <c r="I18" i="16"/>
  <c r="C18" i="16"/>
  <c r="D12" i="16"/>
  <c r="E12" i="16"/>
  <c r="F12" i="16"/>
  <c r="G12" i="16"/>
  <c r="H12" i="16"/>
  <c r="I12" i="16"/>
  <c r="J12" i="16"/>
  <c r="K12" i="16"/>
  <c r="L12" i="16"/>
  <c r="M12" i="16"/>
  <c r="N12" i="16"/>
  <c r="D13" i="16"/>
  <c r="E13" i="16"/>
  <c r="F13" i="16"/>
  <c r="G13" i="16"/>
  <c r="H13" i="16"/>
  <c r="I13" i="16"/>
  <c r="J13" i="16"/>
  <c r="K13" i="16"/>
  <c r="L13" i="16"/>
  <c r="M13" i="16"/>
  <c r="N13" i="16"/>
  <c r="C90" i="6"/>
  <c r="O90" i="6" s="1"/>
  <c r="C89" i="6"/>
  <c r="O89" i="6" s="1"/>
  <c r="O201" i="18" l="1"/>
  <c r="O203" i="18"/>
  <c r="M28" i="18"/>
  <c r="L175" i="13"/>
  <c r="I28" i="18"/>
  <c r="H175" i="13"/>
  <c r="E28" i="18"/>
  <c r="D175" i="13"/>
  <c r="N38" i="16"/>
  <c r="M168" i="13"/>
  <c r="L38" i="16"/>
  <c r="K168" i="13"/>
  <c r="J38" i="16"/>
  <c r="I168" i="13"/>
  <c r="H38" i="16"/>
  <c r="G168" i="13"/>
  <c r="F38" i="16"/>
  <c r="E168" i="13"/>
  <c r="D38" i="16"/>
  <c r="C168" i="13"/>
  <c r="N167" i="13"/>
  <c r="N176" i="13"/>
  <c r="N28" i="18"/>
  <c r="M175" i="13"/>
  <c r="L28" i="18"/>
  <c r="K175" i="13"/>
  <c r="J28" i="18"/>
  <c r="I175" i="13"/>
  <c r="H28" i="18"/>
  <c r="G175" i="13"/>
  <c r="F28" i="18"/>
  <c r="E175" i="13"/>
  <c r="D28" i="18"/>
  <c r="C175" i="13"/>
  <c r="M38" i="16"/>
  <c r="L168" i="13"/>
  <c r="K38" i="16"/>
  <c r="J168" i="13"/>
  <c r="I38" i="16"/>
  <c r="H168" i="13"/>
  <c r="G38" i="16"/>
  <c r="F168" i="13"/>
  <c r="E38" i="16"/>
  <c r="D168" i="13"/>
  <c r="N168" i="13" s="1"/>
  <c r="K28" i="18"/>
  <c r="J175" i="13"/>
  <c r="G28" i="18"/>
  <c r="F175" i="13"/>
  <c r="N56" i="18"/>
  <c r="N92" i="18" s="1"/>
  <c r="L56" i="18"/>
  <c r="L92" i="18" s="1"/>
  <c r="J56" i="18"/>
  <c r="J92" i="18" s="1"/>
  <c r="H56" i="18"/>
  <c r="H220" i="18" s="1"/>
  <c r="H315" i="18" s="1"/>
  <c r="O174" i="18"/>
  <c r="O175" i="18"/>
  <c r="O176" i="18"/>
  <c r="O177" i="18"/>
  <c r="J127" i="18"/>
  <c r="O80" i="18"/>
  <c r="O82" i="18"/>
  <c r="O83" i="18"/>
  <c r="O84" i="18"/>
  <c r="O98" i="18"/>
  <c r="O103" i="18"/>
  <c r="O21" i="18"/>
  <c r="O63" i="18"/>
  <c r="O108" i="18"/>
  <c r="O118" i="18"/>
  <c r="O129" i="18"/>
  <c r="O130" i="18"/>
  <c r="O131" i="18"/>
  <c r="O132" i="18"/>
  <c r="O137" i="18"/>
  <c r="O141" i="18"/>
  <c r="O9" i="18"/>
  <c r="O72" i="18"/>
  <c r="O73" i="18"/>
  <c r="O74" i="18"/>
  <c r="O75" i="18"/>
  <c r="M79" i="18"/>
  <c r="O81" i="18"/>
  <c r="O62" i="18"/>
  <c r="O200" i="18"/>
  <c r="O202" i="18"/>
  <c r="O204" i="18"/>
  <c r="C28" i="18"/>
  <c r="O28" i="18" s="1"/>
  <c r="O7" i="18"/>
  <c r="O8" i="18"/>
  <c r="C38" i="16"/>
  <c r="O22" i="18"/>
  <c r="O44" i="18"/>
  <c r="C47" i="16"/>
  <c r="O46" i="18"/>
  <c r="C49" i="16"/>
  <c r="O48" i="18"/>
  <c r="C55" i="18"/>
  <c r="O64" i="18"/>
  <c r="O66" i="18"/>
  <c r="O146" i="18"/>
  <c r="B55" i="13"/>
  <c r="N55" i="13" s="1"/>
  <c r="O147" i="18"/>
  <c r="B56" i="13"/>
  <c r="N56" i="13" s="1"/>
  <c r="O148" i="18"/>
  <c r="B57" i="13"/>
  <c r="N57" i="13" s="1"/>
  <c r="O149" i="18"/>
  <c r="O150" i="18"/>
  <c r="O154" i="18"/>
  <c r="O155" i="18"/>
  <c r="O156" i="18"/>
  <c r="O157" i="18"/>
  <c r="O158" i="18"/>
  <c r="O159" i="18"/>
  <c r="O251" i="18"/>
  <c r="O303" i="18"/>
  <c r="C39" i="16"/>
  <c r="O39" i="16" s="1"/>
  <c r="O23" i="18"/>
  <c r="C46" i="16"/>
  <c r="O45" i="18"/>
  <c r="C48" i="16"/>
  <c r="O47" i="18"/>
  <c r="C56" i="18"/>
  <c r="C92" i="18" s="1"/>
  <c r="O65" i="18"/>
  <c r="C70" i="18"/>
  <c r="O71" i="18"/>
  <c r="C88" i="16"/>
  <c r="O88" i="16" s="1"/>
  <c r="O113" i="18"/>
  <c r="C91" i="16"/>
  <c r="O91" i="16" s="1"/>
  <c r="O123" i="18"/>
  <c r="C127" i="18"/>
  <c r="O128" i="18"/>
  <c r="B47" i="13"/>
  <c r="O138" i="18"/>
  <c r="B48" i="13"/>
  <c r="O139" i="18"/>
  <c r="B49" i="13"/>
  <c r="O140" i="18"/>
  <c r="C172" i="18"/>
  <c r="O173" i="18"/>
  <c r="C222" i="6"/>
  <c r="O222" i="6" s="1"/>
  <c r="O223" i="6"/>
  <c r="C228" i="6"/>
  <c r="O228" i="6" s="1"/>
  <c r="O229" i="6"/>
  <c r="C28" i="16"/>
  <c r="O226" i="6"/>
  <c r="C159" i="16"/>
  <c r="C164" i="16"/>
  <c r="C154" i="16"/>
  <c r="O141" i="16"/>
  <c r="N152" i="16"/>
  <c r="N154" i="16" s="1"/>
  <c r="AI8" i="35"/>
  <c r="AI41" i="35" s="1"/>
  <c r="M157" i="16"/>
  <c r="M159" i="16" s="1"/>
  <c r="AG8" i="35"/>
  <c r="K157" i="16"/>
  <c r="K159" i="16" s="1"/>
  <c r="AA8" i="35"/>
  <c r="I157" i="16"/>
  <c r="I159" i="16" s="1"/>
  <c r="U8" i="35"/>
  <c r="L152" i="16"/>
  <c r="L154" i="16" s="1"/>
  <c r="AC8" i="35"/>
  <c r="AC41" i="35" s="1"/>
  <c r="J152" i="16"/>
  <c r="J154" i="16" s="1"/>
  <c r="W8" i="35"/>
  <c r="W41" i="35" s="1"/>
  <c r="N162" i="16"/>
  <c r="N164" i="16" s="1"/>
  <c r="AK8" i="35"/>
  <c r="AK41" i="35" s="1"/>
  <c r="N157" i="16"/>
  <c r="N159" i="16" s="1"/>
  <c r="AJ8" i="35"/>
  <c r="AJ41" i="35" s="1"/>
  <c r="L157" i="16"/>
  <c r="L159" i="16" s="1"/>
  <c r="AD8" i="35"/>
  <c r="J157" i="16"/>
  <c r="J159" i="16" s="1"/>
  <c r="X8" i="35"/>
  <c r="M152" i="16"/>
  <c r="M154" i="16" s="1"/>
  <c r="AF8" i="35"/>
  <c r="AF41" i="35" s="1"/>
  <c r="K152" i="16"/>
  <c r="K154" i="16" s="1"/>
  <c r="Z8" i="35"/>
  <c r="Z41" i="35" s="1"/>
  <c r="I152" i="16"/>
  <c r="I154" i="16" s="1"/>
  <c r="T8" i="35"/>
  <c r="T41" i="35" s="1"/>
  <c r="N15" i="35"/>
  <c r="AF15" i="35"/>
  <c r="K15" i="35"/>
  <c r="W15" i="35"/>
  <c r="K127" i="18"/>
  <c r="I8" i="35"/>
  <c r="J8" i="35" s="1"/>
  <c r="E157" i="16"/>
  <c r="E159" i="16" s="1"/>
  <c r="O8" i="35"/>
  <c r="G157" i="16"/>
  <c r="G159" i="16" s="1"/>
  <c r="R8" i="35"/>
  <c r="H157" i="16"/>
  <c r="H159" i="16" s="1"/>
  <c r="L8" i="35"/>
  <c r="M8" i="35" s="1"/>
  <c r="M41" i="35" s="1"/>
  <c r="F157" i="16"/>
  <c r="F159" i="16" s="1"/>
  <c r="O21" i="16"/>
  <c r="O22" i="16"/>
  <c r="P15" i="35"/>
  <c r="S15" i="35"/>
  <c r="M15" i="35"/>
  <c r="N19" i="35"/>
  <c r="C36" i="16"/>
  <c r="C30" i="18"/>
  <c r="K36" i="16"/>
  <c r="K30" i="18"/>
  <c r="G36" i="16"/>
  <c r="G30" i="18"/>
  <c r="N35" i="16"/>
  <c r="N29" i="18"/>
  <c r="J35" i="16"/>
  <c r="J29" i="18"/>
  <c r="F35" i="16"/>
  <c r="F29" i="18"/>
  <c r="N127" i="18"/>
  <c r="M36" i="16"/>
  <c r="M30" i="18"/>
  <c r="I36" i="16"/>
  <c r="I30" i="18"/>
  <c r="E36" i="16"/>
  <c r="E30" i="18"/>
  <c r="L35" i="16"/>
  <c r="L29" i="18"/>
  <c r="H35" i="16"/>
  <c r="H29" i="18"/>
  <c r="D35" i="16"/>
  <c r="D29" i="18"/>
  <c r="C35" i="16"/>
  <c r="C29" i="18"/>
  <c r="N36" i="16"/>
  <c r="N30" i="18"/>
  <c r="L36" i="16"/>
  <c r="L30" i="18"/>
  <c r="J36" i="16"/>
  <c r="J30" i="18"/>
  <c r="H36" i="16"/>
  <c r="H30" i="18"/>
  <c r="F36" i="16"/>
  <c r="F30" i="18"/>
  <c r="D36" i="16"/>
  <c r="D30" i="18"/>
  <c r="M35" i="16"/>
  <c r="M29" i="18"/>
  <c r="K35" i="16"/>
  <c r="K29" i="18"/>
  <c r="I35" i="16"/>
  <c r="I29" i="18"/>
  <c r="G35" i="16"/>
  <c r="G29" i="18"/>
  <c r="E35" i="16"/>
  <c r="E29" i="18"/>
  <c r="N49" i="16"/>
  <c r="J49" i="16"/>
  <c r="F49" i="16"/>
  <c r="M48" i="16"/>
  <c r="I48" i="16"/>
  <c r="E48" i="16"/>
  <c r="L47" i="16"/>
  <c r="H47" i="16"/>
  <c r="D47" i="16"/>
  <c r="K46" i="16"/>
  <c r="G46" i="16"/>
  <c r="E46" i="16"/>
  <c r="C42" i="16"/>
  <c r="C15" i="35" s="1"/>
  <c r="D15" i="35" s="1"/>
  <c r="C44" i="16"/>
  <c r="O44" i="16" s="1"/>
  <c r="L49" i="16"/>
  <c r="H49" i="16"/>
  <c r="D49" i="16"/>
  <c r="K48" i="16"/>
  <c r="G48" i="16"/>
  <c r="N47" i="16"/>
  <c r="J47" i="16"/>
  <c r="F47" i="16"/>
  <c r="M46" i="16"/>
  <c r="I46" i="16"/>
  <c r="C41" i="16"/>
  <c r="B15" i="35" s="1"/>
  <c r="C43" i="16"/>
  <c r="O43" i="16" s="1"/>
  <c r="M49" i="16"/>
  <c r="K49" i="16"/>
  <c r="I49" i="16"/>
  <c r="G49" i="16"/>
  <c r="E49" i="16"/>
  <c r="N48" i="16"/>
  <c r="L48" i="16"/>
  <c r="J48" i="16"/>
  <c r="H48" i="16"/>
  <c r="F48" i="16"/>
  <c r="D48" i="16"/>
  <c r="M47" i="16"/>
  <c r="K47" i="16"/>
  <c r="I47" i="16"/>
  <c r="G47" i="16"/>
  <c r="E47" i="16"/>
  <c r="N46" i="16"/>
  <c r="L46" i="16"/>
  <c r="J46" i="16"/>
  <c r="H46" i="16"/>
  <c r="F46" i="16"/>
  <c r="D46" i="16"/>
  <c r="N89" i="16"/>
  <c r="L89" i="16"/>
  <c r="J89" i="16"/>
  <c r="H89" i="16"/>
  <c r="F89" i="16"/>
  <c r="D89" i="16"/>
  <c r="N92" i="16"/>
  <c r="L92" i="16"/>
  <c r="J92" i="16"/>
  <c r="H92" i="16"/>
  <c r="F92" i="16"/>
  <c r="D92" i="16"/>
  <c r="C89" i="16"/>
  <c r="M89" i="16"/>
  <c r="K89" i="16"/>
  <c r="I89" i="16"/>
  <c r="G89" i="16"/>
  <c r="E89" i="16"/>
  <c r="C92" i="16"/>
  <c r="M92" i="16"/>
  <c r="K92" i="16"/>
  <c r="I92" i="16"/>
  <c r="G92" i="16"/>
  <c r="E92" i="16"/>
  <c r="O19" i="16"/>
  <c r="G18" i="26" s="1"/>
  <c r="F8" i="35"/>
  <c r="G8" i="35" s="1"/>
  <c r="C8" i="35"/>
  <c r="D8" i="35" s="1"/>
  <c r="O20" i="16"/>
  <c r="H18" i="26" s="1"/>
  <c r="I18" i="26" s="1"/>
  <c r="I15" i="35"/>
  <c r="F15" i="35"/>
  <c r="J53" i="16"/>
  <c r="J71" i="16" s="1"/>
  <c r="D136" i="18"/>
  <c r="C45" i="13" s="1"/>
  <c r="C46" i="13"/>
  <c r="F136" i="18"/>
  <c r="E45" i="13" s="1"/>
  <c r="E46" i="13"/>
  <c r="H136" i="18"/>
  <c r="G45" i="13" s="1"/>
  <c r="G46" i="13"/>
  <c r="J136" i="18"/>
  <c r="I45" i="13" s="1"/>
  <c r="I46" i="13"/>
  <c r="C145" i="18"/>
  <c r="B54" i="13"/>
  <c r="E145" i="18"/>
  <c r="D53" i="13" s="1"/>
  <c r="D54" i="13"/>
  <c r="C136" i="18"/>
  <c r="B46" i="13"/>
  <c r="E136" i="18"/>
  <c r="D45" i="13" s="1"/>
  <c r="D46" i="13"/>
  <c r="G136" i="18"/>
  <c r="F45" i="13" s="1"/>
  <c r="F46" i="13"/>
  <c r="K136" i="18"/>
  <c r="J45" i="13" s="1"/>
  <c r="J46" i="13"/>
  <c r="D145" i="18"/>
  <c r="C53" i="13" s="1"/>
  <c r="C54" i="13"/>
  <c r="F56" i="18"/>
  <c r="D56" i="18"/>
  <c r="N54" i="18"/>
  <c r="N218" i="18" s="1"/>
  <c r="N313" i="18" s="1"/>
  <c r="L54" i="18"/>
  <c r="L218" i="18" s="1"/>
  <c r="L313" i="18" s="1"/>
  <c r="J54" i="18"/>
  <c r="J218" i="18" s="1"/>
  <c r="J313" i="18" s="1"/>
  <c r="H54" i="18"/>
  <c r="H218" i="18" s="1"/>
  <c r="H313" i="18" s="1"/>
  <c r="F54" i="18"/>
  <c r="F218" i="18" s="1"/>
  <c r="F313" i="18" s="1"/>
  <c r="D54" i="18"/>
  <c r="D218" i="18" s="1"/>
  <c r="D313" i="18" s="1"/>
  <c r="F127" i="18"/>
  <c r="G70" i="18"/>
  <c r="C79" i="18"/>
  <c r="C225" i="6"/>
  <c r="O225" i="6" s="1"/>
  <c r="C13" i="16"/>
  <c r="O13" i="16" s="1"/>
  <c r="J14" i="26" s="1"/>
  <c r="B58" i="27"/>
  <c r="N58" i="27" s="1"/>
  <c r="C27" i="16"/>
  <c r="C29" i="16"/>
  <c r="M29" i="16"/>
  <c r="K29" i="16"/>
  <c r="I29" i="16"/>
  <c r="G29" i="16"/>
  <c r="E29" i="16"/>
  <c r="N28" i="16"/>
  <c r="L28" i="16"/>
  <c r="J28" i="16"/>
  <c r="H28" i="16"/>
  <c r="F28" i="16"/>
  <c r="D28" i="16"/>
  <c r="M27" i="16"/>
  <c r="K27" i="16"/>
  <c r="I27" i="16"/>
  <c r="G27" i="16"/>
  <c r="E27" i="16"/>
  <c r="C12" i="16"/>
  <c r="O12" i="16" s="1"/>
  <c r="G14" i="26" s="1"/>
  <c r="B57" i="27"/>
  <c r="N57" i="27" s="1"/>
  <c r="N29" i="16"/>
  <c r="L29" i="16"/>
  <c r="J29" i="16"/>
  <c r="H29" i="16"/>
  <c r="F29" i="16"/>
  <c r="D29" i="16"/>
  <c r="M28" i="16"/>
  <c r="K28" i="16"/>
  <c r="I28" i="16"/>
  <c r="G28" i="16"/>
  <c r="E28" i="16"/>
  <c r="N27" i="16"/>
  <c r="L27" i="16"/>
  <c r="J27" i="16"/>
  <c r="H27" i="16"/>
  <c r="F27" i="16"/>
  <c r="D27" i="16"/>
  <c r="C181" i="18"/>
  <c r="O181" i="18" s="1"/>
  <c r="C53" i="18"/>
  <c r="C91" i="18"/>
  <c r="C57" i="18"/>
  <c r="M57" i="18"/>
  <c r="K57" i="18"/>
  <c r="I57" i="18"/>
  <c r="G57" i="18"/>
  <c r="E57" i="18"/>
  <c r="M55" i="18"/>
  <c r="K55" i="18"/>
  <c r="I55" i="18"/>
  <c r="G55" i="18"/>
  <c r="E55" i="18"/>
  <c r="M53" i="18"/>
  <c r="M217" i="18" s="1"/>
  <c r="M312" i="18" s="1"/>
  <c r="K53" i="18"/>
  <c r="K217" i="18" s="1"/>
  <c r="K312" i="18" s="1"/>
  <c r="I53" i="18"/>
  <c r="I217" i="18" s="1"/>
  <c r="I312" i="18" s="1"/>
  <c r="G53" i="18"/>
  <c r="G217" i="18" s="1"/>
  <c r="G312" i="18" s="1"/>
  <c r="E53" i="18"/>
  <c r="E217" i="18" s="1"/>
  <c r="E312" i="18" s="1"/>
  <c r="C54" i="18"/>
  <c r="M56" i="18"/>
  <c r="K56" i="18"/>
  <c r="I56" i="18"/>
  <c r="G56" i="18"/>
  <c r="E56" i="18"/>
  <c r="M54" i="18"/>
  <c r="M218" i="18" s="1"/>
  <c r="M313" i="18" s="1"/>
  <c r="K54" i="18"/>
  <c r="K218" i="18" s="1"/>
  <c r="K313" i="18" s="1"/>
  <c r="I54" i="18"/>
  <c r="I218" i="18" s="1"/>
  <c r="I313" i="18" s="1"/>
  <c r="G54" i="18"/>
  <c r="G218" i="18" s="1"/>
  <c r="G313" i="18" s="1"/>
  <c r="E54" i="18"/>
  <c r="E218" i="18" s="1"/>
  <c r="E313" i="18" s="1"/>
  <c r="N57" i="18"/>
  <c r="L57" i="18"/>
  <c r="J57" i="18"/>
  <c r="H57" i="18"/>
  <c r="F57" i="18"/>
  <c r="D57" i="18"/>
  <c r="N55" i="18"/>
  <c r="L55" i="18"/>
  <c r="J55" i="18"/>
  <c r="H55" i="18"/>
  <c r="F55" i="18"/>
  <c r="D55" i="18"/>
  <c r="N53" i="18"/>
  <c r="N217" i="18" s="1"/>
  <c r="N312" i="18" s="1"/>
  <c r="L53" i="18"/>
  <c r="L217" i="18" s="1"/>
  <c r="L312" i="18" s="1"/>
  <c r="J53" i="18"/>
  <c r="J217" i="18" s="1"/>
  <c r="J312" i="18" s="1"/>
  <c r="H53" i="18"/>
  <c r="H217" i="18" s="1"/>
  <c r="H312" i="18" s="1"/>
  <c r="F53" i="18"/>
  <c r="F217" i="18" s="1"/>
  <c r="F312" i="18" s="1"/>
  <c r="D53" i="18"/>
  <c r="D217" i="18" s="1"/>
  <c r="D312" i="18" s="1"/>
  <c r="J79" i="18"/>
  <c r="E127" i="18"/>
  <c r="C199" i="18"/>
  <c r="N199" i="18"/>
  <c r="L199" i="18"/>
  <c r="J199" i="18"/>
  <c r="H199" i="18"/>
  <c r="F199" i="18"/>
  <c r="D199" i="18"/>
  <c r="M199" i="18"/>
  <c r="K199" i="18"/>
  <c r="I199" i="18"/>
  <c r="G199" i="18"/>
  <c r="E199" i="18"/>
  <c r="M172" i="18"/>
  <c r="C61" i="18"/>
  <c r="C6" i="18"/>
  <c r="C20" i="18"/>
  <c r="C34" i="18"/>
  <c r="O34" i="18" s="1"/>
  <c r="C43" i="18"/>
  <c r="M61" i="18"/>
  <c r="M52" i="18" s="1"/>
  <c r="K61" i="18"/>
  <c r="K52" i="18" s="1"/>
  <c r="I61" i="18"/>
  <c r="I52" i="18" s="1"/>
  <c r="G61" i="18"/>
  <c r="E61" i="18"/>
  <c r="E52" i="18" s="1"/>
  <c r="N61" i="18"/>
  <c r="N52" i="18" s="1"/>
  <c r="N216" i="18" s="1"/>
  <c r="N311" i="18" s="1"/>
  <c r="L61" i="18"/>
  <c r="L52" i="18" s="1"/>
  <c r="L216" i="18" s="1"/>
  <c r="L311" i="18" s="1"/>
  <c r="J61" i="18"/>
  <c r="H61" i="18"/>
  <c r="H52" i="18" s="1"/>
  <c r="H216" i="18" s="1"/>
  <c r="H311" i="18" s="1"/>
  <c r="F61" i="18"/>
  <c r="F52" i="18" s="1"/>
  <c r="F216" i="18" s="1"/>
  <c r="F311" i="18" s="1"/>
  <c r="D61" i="18"/>
  <c r="D52" i="18" s="1"/>
  <c r="D216" i="18" s="1"/>
  <c r="D311" i="18" s="1"/>
  <c r="M43" i="18"/>
  <c r="K43" i="18"/>
  <c r="I43" i="18"/>
  <c r="G43" i="18"/>
  <c r="E43" i="18"/>
  <c r="N43" i="18"/>
  <c r="L43" i="18"/>
  <c r="J43" i="18"/>
  <c r="H43" i="18"/>
  <c r="F43" i="18"/>
  <c r="D43" i="18"/>
  <c r="M20" i="18"/>
  <c r="K20" i="18"/>
  <c r="I20" i="18"/>
  <c r="G20" i="18"/>
  <c r="E20" i="18"/>
  <c r="N20" i="18"/>
  <c r="L20" i="18"/>
  <c r="J20" i="18"/>
  <c r="H20" i="18"/>
  <c r="F20" i="18"/>
  <c r="D20" i="18"/>
  <c r="N6" i="18"/>
  <c r="N27" i="18" s="1"/>
  <c r="N88" i="18" s="1"/>
  <c r="L6" i="18"/>
  <c r="L27" i="18" s="1"/>
  <c r="L88" i="18" s="1"/>
  <c r="J6" i="18"/>
  <c r="J27" i="18" s="1"/>
  <c r="H6" i="18"/>
  <c r="H27" i="18" s="1"/>
  <c r="H88" i="18" s="1"/>
  <c r="F6" i="18"/>
  <c r="F27" i="18" s="1"/>
  <c r="F88" i="18" s="1"/>
  <c r="D6" i="18"/>
  <c r="D27" i="18" s="1"/>
  <c r="D88" i="18" s="1"/>
  <c r="M6" i="18"/>
  <c r="K6" i="18"/>
  <c r="I6" i="18"/>
  <c r="G6" i="18"/>
  <c r="E6" i="18"/>
  <c r="C214" i="6"/>
  <c r="O214" i="6" s="1"/>
  <c r="D18" i="16"/>
  <c r="F18" i="16"/>
  <c r="H18" i="16"/>
  <c r="J18" i="16"/>
  <c r="L18" i="16"/>
  <c r="N18" i="16"/>
  <c r="S8" i="35" l="1"/>
  <c r="S41" i="35" s="1"/>
  <c r="R41" i="35"/>
  <c r="P8" i="35"/>
  <c r="P41" i="35" s="1"/>
  <c r="O41" i="35"/>
  <c r="Y8" i="35"/>
  <c r="Y41" i="35" s="1"/>
  <c r="X41" i="35"/>
  <c r="AE8" i="35"/>
  <c r="AE41" i="35" s="1"/>
  <c r="AD41" i="35"/>
  <c r="V8" i="35"/>
  <c r="V41" i="35" s="1"/>
  <c r="U41" i="35"/>
  <c r="AB8" i="35"/>
  <c r="AB41" i="35" s="1"/>
  <c r="AA41" i="35"/>
  <c r="AH8" i="35"/>
  <c r="AH41" i="35" s="1"/>
  <c r="AG41" i="35"/>
  <c r="J220" i="18"/>
  <c r="J315" i="18" s="1"/>
  <c r="G52" i="18"/>
  <c r="G216" i="18" s="1"/>
  <c r="G311" i="18" s="1"/>
  <c r="N53" i="16"/>
  <c r="N71" i="16" s="1"/>
  <c r="N220" i="18"/>
  <c r="N315" i="18" s="1"/>
  <c r="H92" i="18"/>
  <c r="L220" i="18"/>
  <c r="L315" i="18" s="1"/>
  <c r="H53" i="16"/>
  <c r="H71" i="16" s="1"/>
  <c r="L53" i="16"/>
  <c r="L71" i="16" s="1"/>
  <c r="K67" i="31" s="1"/>
  <c r="O38" i="16"/>
  <c r="N175" i="13"/>
  <c r="N46" i="13"/>
  <c r="N54" i="13"/>
  <c r="N49" i="13"/>
  <c r="N48" i="13"/>
  <c r="N47" i="13"/>
  <c r="E216" i="18"/>
  <c r="E311" i="18" s="1"/>
  <c r="I216" i="18"/>
  <c r="I311" i="18" s="1"/>
  <c r="M216" i="18"/>
  <c r="M311" i="18" s="1"/>
  <c r="K216" i="18"/>
  <c r="K311" i="18" s="1"/>
  <c r="O6" i="18"/>
  <c r="O199" i="18"/>
  <c r="F93" i="18"/>
  <c r="F221" i="18"/>
  <c r="F316" i="18" s="1"/>
  <c r="J93" i="18"/>
  <c r="J221" i="18"/>
  <c r="J316" i="18" s="1"/>
  <c r="N93" i="18"/>
  <c r="N221" i="18"/>
  <c r="N316" i="18" s="1"/>
  <c r="C218" i="18"/>
  <c r="O54" i="18"/>
  <c r="G93" i="18"/>
  <c r="G221" i="18"/>
  <c r="G316" i="18" s="1"/>
  <c r="K93" i="18"/>
  <c r="K221" i="18"/>
  <c r="K316" i="18" s="1"/>
  <c r="C93" i="18"/>
  <c r="O57" i="18"/>
  <c r="C221" i="18"/>
  <c r="O53" i="18"/>
  <c r="C217" i="18"/>
  <c r="O79" i="18"/>
  <c r="B45" i="13"/>
  <c r="O136" i="18"/>
  <c r="O30" i="18"/>
  <c r="O172" i="18"/>
  <c r="O127" i="18"/>
  <c r="O70" i="18"/>
  <c r="C220" i="18"/>
  <c r="O56" i="18"/>
  <c r="O43" i="18"/>
  <c r="O20" i="18"/>
  <c r="O61" i="18"/>
  <c r="D93" i="18"/>
  <c r="D221" i="18"/>
  <c r="D316" i="18" s="1"/>
  <c r="H93" i="18"/>
  <c r="H221" i="18"/>
  <c r="H316" i="18" s="1"/>
  <c r="L93" i="18"/>
  <c r="L221" i="18"/>
  <c r="L316" i="18" s="1"/>
  <c r="E93" i="18"/>
  <c r="E221" i="18"/>
  <c r="E316" i="18" s="1"/>
  <c r="I93" i="18"/>
  <c r="I221" i="18"/>
  <c r="I316" i="18" s="1"/>
  <c r="M93" i="18"/>
  <c r="M221" i="18"/>
  <c r="M316" i="18" s="1"/>
  <c r="B53" i="13"/>
  <c r="N53" i="13" s="1"/>
  <c r="O145" i="18"/>
  <c r="O29" i="18"/>
  <c r="C219" i="18"/>
  <c r="O55" i="18"/>
  <c r="O152" i="16"/>
  <c r="O162" i="16"/>
  <c r="O157" i="16"/>
  <c r="O154" i="16"/>
  <c r="O164" i="16"/>
  <c r="O159" i="16"/>
  <c r="G92" i="18"/>
  <c r="G220" i="18"/>
  <c r="G315" i="18" s="1"/>
  <c r="K92" i="18"/>
  <c r="K220" i="18"/>
  <c r="K315" i="18" s="1"/>
  <c r="D92" i="18"/>
  <c r="D220" i="18"/>
  <c r="D315" i="18" s="1"/>
  <c r="E92" i="18"/>
  <c r="E220" i="18"/>
  <c r="E315" i="18" s="1"/>
  <c r="I92" i="18"/>
  <c r="I220" i="18"/>
  <c r="I315" i="18" s="1"/>
  <c r="M92" i="18"/>
  <c r="M220" i="18"/>
  <c r="M315" i="18" s="1"/>
  <c r="F92" i="18"/>
  <c r="F220" i="18"/>
  <c r="F315" i="18" s="1"/>
  <c r="D91" i="18"/>
  <c r="D219" i="18"/>
  <c r="D314" i="18" s="1"/>
  <c r="H91" i="18"/>
  <c r="H219" i="18"/>
  <c r="H314" i="18" s="1"/>
  <c r="L91" i="18"/>
  <c r="L219" i="18"/>
  <c r="L314" i="18" s="1"/>
  <c r="G91" i="18"/>
  <c r="G219" i="18"/>
  <c r="G314" i="18" s="1"/>
  <c r="K91" i="18"/>
  <c r="K219" i="18"/>
  <c r="K314" i="18" s="1"/>
  <c r="F91" i="18"/>
  <c r="F219" i="18"/>
  <c r="F314" i="18" s="1"/>
  <c r="J91" i="18"/>
  <c r="J219" i="18"/>
  <c r="J314" i="18" s="1"/>
  <c r="N91" i="18"/>
  <c r="N219" i="18"/>
  <c r="N314" i="18" s="1"/>
  <c r="E91" i="18"/>
  <c r="E219" i="18"/>
  <c r="E314" i="18" s="1"/>
  <c r="I91" i="18"/>
  <c r="I219" i="18"/>
  <c r="I314" i="18" s="1"/>
  <c r="M91" i="18"/>
  <c r="M219" i="18"/>
  <c r="M314" i="18" s="1"/>
  <c r="E27" i="18"/>
  <c r="E88" i="18" s="1"/>
  <c r="I27" i="18"/>
  <c r="I88" i="18" s="1"/>
  <c r="M27" i="18"/>
  <c r="M88" i="18" s="1"/>
  <c r="G27" i="18"/>
  <c r="K27" i="18"/>
  <c r="K88" i="18" s="1"/>
  <c r="C27" i="18"/>
  <c r="N129" i="16"/>
  <c r="J129" i="16"/>
  <c r="O36" i="16"/>
  <c r="O35" i="16"/>
  <c r="O41" i="16"/>
  <c r="J15" i="35"/>
  <c r="G15" i="35"/>
  <c r="F89" i="18"/>
  <c r="J89" i="18"/>
  <c r="N89" i="18"/>
  <c r="K89" i="18"/>
  <c r="I89" i="18"/>
  <c r="F90" i="18"/>
  <c r="J90" i="18"/>
  <c r="N90" i="18"/>
  <c r="O48" i="16"/>
  <c r="D89" i="18"/>
  <c r="H89" i="18"/>
  <c r="L89" i="18"/>
  <c r="E90" i="18"/>
  <c r="G90" i="18"/>
  <c r="I90" i="18"/>
  <c r="K90" i="18"/>
  <c r="M90" i="18"/>
  <c r="C90" i="18"/>
  <c r="G89" i="18"/>
  <c r="D90" i="18"/>
  <c r="H90" i="18"/>
  <c r="L90" i="18"/>
  <c r="C89" i="18"/>
  <c r="E89" i="18"/>
  <c r="M89" i="18"/>
  <c r="O92" i="16"/>
  <c r="O46" i="16"/>
  <c r="O49" i="16"/>
  <c r="O47" i="16"/>
  <c r="O89" i="16"/>
  <c r="O42" i="16"/>
  <c r="O28" i="16"/>
  <c r="O18" i="16"/>
  <c r="E18" i="26" s="1"/>
  <c r="O29" i="16"/>
  <c r="O27" i="16"/>
  <c r="G67" i="31"/>
  <c r="I67" i="31"/>
  <c r="M67" i="31"/>
  <c r="F52" i="16"/>
  <c r="F70" i="16" s="1"/>
  <c r="J52" i="16"/>
  <c r="N52" i="16"/>
  <c r="F54" i="16"/>
  <c r="J54" i="16"/>
  <c r="N54" i="16"/>
  <c r="G51" i="16"/>
  <c r="G69" i="16" s="1"/>
  <c r="G117" i="16" s="1"/>
  <c r="K51" i="16"/>
  <c r="E53" i="16"/>
  <c r="E71" i="16" s="1"/>
  <c r="I53" i="16"/>
  <c r="I71" i="16" s="1"/>
  <c r="M53" i="16"/>
  <c r="M71" i="16" s="1"/>
  <c r="C51" i="16"/>
  <c r="C69" i="16" s="1"/>
  <c r="C117" i="16" s="1"/>
  <c r="E52" i="16"/>
  <c r="E70" i="16" s="1"/>
  <c r="I52" i="16"/>
  <c r="M52" i="16"/>
  <c r="G54" i="16"/>
  <c r="K54" i="16"/>
  <c r="C54" i="16"/>
  <c r="C72" i="16" s="1"/>
  <c r="F51" i="16"/>
  <c r="F69" i="16" s="1"/>
  <c r="F117" i="16" s="1"/>
  <c r="J51" i="16"/>
  <c r="N51" i="16"/>
  <c r="F53" i="16"/>
  <c r="F71" i="16" s="1"/>
  <c r="G73" i="31"/>
  <c r="I73" i="31"/>
  <c r="D52" i="16"/>
  <c r="D70" i="16" s="1"/>
  <c r="H52" i="16"/>
  <c r="H70" i="16" s="1"/>
  <c r="L52" i="16"/>
  <c r="D54" i="16"/>
  <c r="H54" i="16"/>
  <c r="L54" i="16"/>
  <c r="E51" i="16"/>
  <c r="E69" i="16" s="1"/>
  <c r="E117" i="16" s="1"/>
  <c r="I51" i="16"/>
  <c r="M51" i="16"/>
  <c r="G53" i="16"/>
  <c r="G71" i="16" s="1"/>
  <c r="K53" i="16"/>
  <c r="K71" i="16" s="1"/>
  <c r="C53" i="16"/>
  <c r="G52" i="16"/>
  <c r="G70" i="16" s="1"/>
  <c r="K52" i="16"/>
  <c r="E54" i="16"/>
  <c r="I54" i="16"/>
  <c r="M54" i="16"/>
  <c r="C52" i="16"/>
  <c r="C70" i="16" s="1"/>
  <c r="D51" i="16"/>
  <c r="D69" i="16" s="1"/>
  <c r="D117" i="16" s="1"/>
  <c r="H51" i="16"/>
  <c r="H69" i="16" s="1"/>
  <c r="H117" i="16" s="1"/>
  <c r="L51" i="16"/>
  <c r="D53" i="16"/>
  <c r="D71" i="16" s="1"/>
  <c r="C52" i="18"/>
  <c r="J52" i="18"/>
  <c r="J216" i="18" s="1"/>
  <c r="J311" i="18" s="1"/>
  <c r="C59" i="6"/>
  <c r="O59" i="6" s="1"/>
  <c r="C58" i="6"/>
  <c r="C57" i="6"/>
  <c r="O57" i="6" s="1"/>
  <c r="C52" i="6"/>
  <c r="O52" i="6" s="1"/>
  <c r="C51" i="6"/>
  <c r="C50" i="6"/>
  <c r="C27" i="6"/>
  <c r="O27" i="6" s="1"/>
  <c r="C26" i="6"/>
  <c r="C25" i="6"/>
  <c r="O25" i="6" s="1"/>
  <c r="H20" i="26" s="1"/>
  <c r="C36" i="6"/>
  <c r="O36" i="6" s="1"/>
  <c r="C35" i="6"/>
  <c r="C34" i="6"/>
  <c r="C32" i="6"/>
  <c r="M73" i="31" l="1"/>
  <c r="G88" i="18"/>
  <c r="L129" i="16"/>
  <c r="H129" i="16"/>
  <c r="O27" i="18"/>
  <c r="I20" i="26"/>
  <c r="K73" i="31"/>
  <c r="N45" i="13"/>
  <c r="O91" i="18"/>
  <c r="O92" i="18"/>
  <c r="O89" i="18"/>
  <c r="C216" i="18"/>
  <c r="O52" i="18"/>
  <c r="O90" i="18"/>
  <c r="C314" i="18"/>
  <c r="O314" i="18" s="1"/>
  <c r="O219" i="18"/>
  <c r="C315" i="18"/>
  <c r="O315" i="18" s="1"/>
  <c r="O220" i="18"/>
  <c r="O217" i="18"/>
  <c r="C312" i="18"/>
  <c r="O312" i="18" s="1"/>
  <c r="O221" i="18"/>
  <c r="C316" i="18"/>
  <c r="O316" i="18" s="1"/>
  <c r="O93" i="18"/>
  <c r="C313" i="18"/>
  <c r="O313" i="18" s="1"/>
  <c r="O218" i="18"/>
  <c r="B32" i="13"/>
  <c r="N32" i="13" s="1"/>
  <c r="O34" i="6"/>
  <c r="H21" i="26" s="1"/>
  <c r="I21" i="26" s="1"/>
  <c r="B40" i="13"/>
  <c r="N40" i="13" s="1"/>
  <c r="O26" i="6"/>
  <c r="B37" i="13"/>
  <c r="N37" i="13" s="1"/>
  <c r="O50" i="6"/>
  <c r="E20" i="26" s="1"/>
  <c r="B31" i="13"/>
  <c r="N31" i="13" s="1"/>
  <c r="O58" i="6"/>
  <c r="G21" i="26" s="1"/>
  <c r="B30" i="13"/>
  <c r="N30" i="13" s="1"/>
  <c r="O32" i="6"/>
  <c r="E21" i="26" s="1"/>
  <c r="B33" i="13"/>
  <c r="N33" i="13" s="1"/>
  <c r="O35" i="6"/>
  <c r="B38" i="13"/>
  <c r="N38" i="13" s="1"/>
  <c r="O51" i="6"/>
  <c r="G20" i="26" s="1"/>
  <c r="G24" i="26" s="1"/>
  <c r="L69" i="16"/>
  <c r="L117" i="16" s="1"/>
  <c r="AC14" i="35"/>
  <c r="AC16" i="35" s="1"/>
  <c r="AC20" i="35" s="1"/>
  <c r="K70" i="16"/>
  <c r="J66" i="31" s="1"/>
  <c r="AA14" i="35"/>
  <c r="M69" i="16"/>
  <c r="M117" i="16" s="1"/>
  <c r="AF14" i="35"/>
  <c r="AF16" i="35" s="1"/>
  <c r="AF20" i="35" s="1"/>
  <c r="I69" i="16"/>
  <c r="I117" i="16" s="1"/>
  <c r="T14" i="35"/>
  <c r="T16" i="35" s="1"/>
  <c r="T20" i="35" s="1"/>
  <c r="L70" i="16"/>
  <c r="K66" i="31" s="1"/>
  <c r="AD14" i="35"/>
  <c r="N69" i="16"/>
  <c r="N117" i="16" s="1"/>
  <c r="AI14" i="35"/>
  <c r="AI16" i="35" s="1"/>
  <c r="AI20" i="35" s="1"/>
  <c r="J69" i="16"/>
  <c r="J117" i="16" s="1"/>
  <c r="W14" i="35"/>
  <c r="W16" i="35" s="1"/>
  <c r="W20" i="35" s="1"/>
  <c r="M70" i="16"/>
  <c r="L66" i="31" s="1"/>
  <c r="AG14" i="35"/>
  <c r="I70" i="16"/>
  <c r="U14" i="35"/>
  <c r="K69" i="16"/>
  <c r="K117" i="16" s="1"/>
  <c r="Z14" i="35"/>
  <c r="Z16" i="35" s="1"/>
  <c r="Z20" i="35" s="1"/>
  <c r="N70" i="16"/>
  <c r="M66" i="31" s="1"/>
  <c r="AJ14" i="35"/>
  <c r="J70" i="16"/>
  <c r="I66" i="31" s="1"/>
  <c r="X14" i="35"/>
  <c r="B39" i="13"/>
  <c r="N39" i="13" s="1"/>
  <c r="C71" i="16"/>
  <c r="O71" i="16" s="1"/>
  <c r="C129" i="16"/>
  <c r="D129" i="16"/>
  <c r="M129" i="16"/>
  <c r="E129" i="16"/>
  <c r="K129" i="16"/>
  <c r="I129" i="16"/>
  <c r="F129" i="16"/>
  <c r="G129" i="16"/>
  <c r="J119" i="16"/>
  <c r="J122" i="16" s="1"/>
  <c r="L119" i="16"/>
  <c r="L122" i="16" s="1"/>
  <c r="C119" i="16"/>
  <c r="K119" i="16"/>
  <c r="K122" i="16" s="1"/>
  <c r="G119" i="16"/>
  <c r="G122" i="16" s="1"/>
  <c r="N119" i="16"/>
  <c r="N122" i="16" s="1"/>
  <c r="F119" i="16"/>
  <c r="F122" i="16" s="1"/>
  <c r="H119" i="16"/>
  <c r="H122" i="16" s="1"/>
  <c r="M119" i="16"/>
  <c r="M122" i="16" s="1"/>
  <c r="I119" i="16"/>
  <c r="I122" i="16" s="1"/>
  <c r="E119" i="16"/>
  <c r="E122" i="16" s="1"/>
  <c r="J88" i="18"/>
  <c r="C88" i="18"/>
  <c r="I72" i="16"/>
  <c r="K72" i="16"/>
  <c r="G72" i="16"/>
  <c r="M72" i="16"/>
  <c r="E72" i="16"/>
  <c r="L72" i="16"/>
  <c r="H72" i="16"/>
  <c r="D72" i="16"/>
  <c r="N72" i="16"/>
  <c r="J72" i="16"/>
  <c r="F72" i="16"/>
  <c r="C67" i="31"/>
  <c r="G65" i="31"/>
  <c r="Q14" i="35"/>
  <c r="Q16" i="35" s="1"/>
  <c r="Q20" i="35" s="1"/>
  <c r="O14" i="35"/>
  <c r="J67" i="31"/>
  <c r="E67" i="31"/>
  <c r="D66" i="31"/>
  <c r="I14" i="35"/>
  <c r="B14" i="35"/>
  <c r="L67" i="31"/>
  <c r="H67" i="31"/>
  <c r="D67" i="31"/>
  <c r="N14" i="35"/>
  <c r="N16" i="35" s="1"/>
  <c r="N20" i="35" s="1"/>
  <c r="L14" i="35"/>
  <c r="E14" i="35"/>
  <c r="E16" i="35" s="1"/>
  <c r="E20" i="35" s="1"/>
  <c r="O52" i="16"/>
  <c r="C14" i="35"/>
  <c r="F67" i="31"/>
  <c r="R14" i="35"/>
  <c r="F14" i="35"/>
  <c r="K14" i="35"/>
  <c r="K16" i="35" s="1"/>
  <c r="K20" i="35" s="1"/>
  <c r="B66" i="31"/>
  <c r="O53" i="16"/>
  <c r="C73" i="31"/>
  <c r="K71" i="31"/>
  <c r="G71" i="31"/>
  <c r="C71" i="31"/>
  <c r="B72" i="31"/>
  <c r="J72" i="31"/>
  <c r="F72" i="31"/>
  <c r="B73" i="31"/>
  <c r="J73" i="31"/>
  <c r="F73" i="31"/>
  <c r="L71" i="31"/>
  <c r="H71" i="31"/>
  <c r="D71" i="31"/>
  <c r="K72" i="31"/>
  <c r="G72" i="31"/>
  <c r="C72" i="31"/>
  <c r="E73" i="31"/>
  <c r="M71" i="31"/>
  <c r="I71" i="31"/>
  <c r="E71" i="31"/>
  <c r="L72" i="31"/>
  <c r="H72" i="31"/>
  <c r="D72" i="31"/>
  <c r="B71" i="31"/>
  <c r="L73" i="31"/>
  <c r="H73" i="31"/>
  <c r="D73" i="31"/>
  <c r="J71" i="31"/>
  <c r="F71" i="31"/>
  <c r="M72" i="31"/>
  <c r="I72" i="31"/>
  <c r="E72" i="31"/>
  <c r="F66" i="31"/>
  <c r="G66" i="31"/>
  <c r="O54" i="16"/>
  <c r="O51" i="16"/>
  <c r="E66" i="31"/>
  <c r="B65" i="31"/>
  <c r="C42" i="6"/>
  <c r="C44" i="6"/>
  <c r="C22" i="6"/>
  <c r="O22" i="6" s="1"/>
  <c r="C43" i="6"/>
  <c r="C45" i="6"/>
  <c r="C41" i="6"/>
  <c r="D192" i="6"/>
  <c r="C128" i="27" s="1"/>
  <c r="E192" i="6"/>
  <c r="D128" i="27" s="1"/>
  <c r="F192" i="6"/>
  <c r="E128" i="27" s="1"/>
  <c r="G192" i="6"/>
  <c r="F128" i="27" s="1"/>
  <c r="H192" i="6"/>
  <c r="G128" i="27" s="1"/>
  <c r="I192" i="6"/>
  <c r="H128" i="27" s="1"/>
  <c r="J192" i="6"/>
  <c r="I128" i="27" s="1"/>
  <c r="K192" i="6"/>
  <c r="J128" i="27" s="1"/>
  <c r="L192" i="6"/>
  <c r="K128" i="27" s="1"/>
  <c r="M192" i="6"/>
  <c r="L128" i="27" s="1"/>
  <c r="N192" i="6"/>
  <c r="M128" i="27" s="1"/>
  <c r="D193" i="6"/>
  <c r="C129" i="27" s="1"/>
  <c r="E193" i="6"/>
  <c r="D129" i="27" s="1"/>
  <c r="F193" i="6"/>
  <c r="E129" i="27" s="1"/>
  <c r="G193" i="6"/>
  <c r="F129" i="27" s="1"/>
  <c r="H193" i="6"/>
  <c r="G129" i="27" s="1"/>
  <c r="I193" i="6"/>
  <c r="H129" i="27" s="1"/>
  <c r="J193" i="6"/>
  <c r="I129" i="27" s="1"/>
  <c r="K193" i="6"/>
  <c r="J129" i="27" s="1"/>
  <c r="L193" i="6"/>
  <c r="K129" i="27" s="1"/>
  <c r="M193" i="6"/>
  <c r="L129" i="27" s="1"/>
  <c r="N193" i="6"/>
  <c r="M129" i="27" s="1"/>
  <c r="D198" i="6"/>
  <c r="C134" i="27" s="1"/>
  <c r="E198" i="6"/>
  <c r="D134" i="27" s="1"/>
  <c r="F198" i="6"/>
  <c r="E134" i="27" s="1"/>
  <c r="G198" i="6"/>
  <c r="F134" i="27" s="1"/>
  <c r="H198" i="6"/>
  <c r="G134" i="27" s="1"/>
  <c r="I198" i="6"/>
  <c r="H134" i="27" s="1"/>
  <c r="J198" i="6"/>
  <c r="I134" i="27" s="1"/>
  <c r="K198" i="6"/>
  <c r="J134" i="27" s="1"/>
  <c r="L198" i="6"/>
  <c r="K134" i="27" s="1"/>
  <c r="M198" i="6"/>
  <c r="L134" i="27" s="1"/>
  <c r="N198" i="6"/>
  <c r="M134" i="27" s="1"/>
  <c r="D199" i="6"/>
  <c r="C135" i="27" s="1"/>
  <c r="E199" i="6"/>
  <c r="D135" i="27" s="1"/>
  <c r="F199" i="6"/>
  <c r="E135" i="27" s="1"/>
  <c r="G199" i="6"/>
  <c r="F135" i="27" s="1"/>
  <c r="H199" i="6"/>
  <c r="G135" i="27" s="1"/>
  <c r="I199" i="6"/>
  <c r="H135" i="27" s="1"/>
  <c r="J199" i="6"/>
  <c r="I135" i="27" s="1"/>
  <c r="K199" i="6"/>
  <c r="J135" i="27" s="1"/>
  <c r="L199" i="6"/>
  <c r="K135" i="27" s="1"/>
  <c r="M199" i="6"/>
  <c r="L135" i="27" s="1"/>
  <c r="N199" i="6"/>
  <c r="M135" i="27" s="1"/>
  <c r="D200" i="6"/>
  <c r="C136" i="27" s="1"/>
  <c r="E200" i="6"/>
  <c r="D136" i="27" s="1"/>
  <c r="F200" i="6"/>
  <c r="E136" i="27" s="1"/>
  <c r="G200" i="6"/>
  <c r="F136" i="27" s="1"/>
  <c r="H200" i="6"/>
  <c r="G136" i="27" s="1"/>
  <c r="I200" i="6"/>
  <c r="H136" i="27" s="1"/>
  <c r="J200" i="6"/>
  <c r="I136" i="27" s="1"/>
  <c r="K200" i="6"/>
  <c r="J136" i="27" s="1"/>
  <c r="L200" i="6"/>
  <c r="K136" i="27" s="1"/>
  <c r="M200" i="6"/>
  <c r="L136" i="27" s="1"/>
  <c r="N200" i="6"/>
  <c r="M136" i="27" s="1"/>
  <c r="D201" i="6"/>
  <c r="C137" i="27" s="1"/>
  <c r="E201" i="6"/>
  <c r="D137" i="27" s="1"/>
  <c r="F201" i="6"/>
  <c r="E137" i="27" s="1"/>
  <c r="G201" i="6"/>
  <c r="F137" i="27" s="1"/>
  <c r="H201" i="6"/>
  <c r="G137" i="27" s="1"/>
  <c r="I201" i="6"/>
  <c r="H137" i="27" s="1"/>
  <c r="J201" i="6"/>
  <c r="I137" i="27" s="1"/>
  <c r="K201" i="6"/>
  <c r="J137" i="27" s="1"/>
  <c r="L201" i="6"/>
  <c r="K137" i="27" s="1"/>
  <c r="M201" i="6"/>
  <c r="L137" i="27" s="1"/>
  <c r="N201" i="6"/>
  <c r="M137" i="27" s="1"/>
  <c r="D202" i="6"/>
  <c r="C138" i="27" s="1"/>
  <c r="E202" i="6"/>
  <c r="D138" i="27" s="1"/>
  <c r="F202" i="6"/>
  <c r="E138" i="27" s="1"/>
  <c r="G202" i="6"/>
  <c r="F138" i="27" s="1"/>
  <c r="H202" i="6"/>
  <c r="G138" i="27" s="1"/>
  <c r="I202" i="6"/>
  <c r="H138" i="27" s="1"/>
  <c r="J202" i="6"/>
  <c r="I138" i="27" s="1"/>
  <c r="K202" i="6"/>
  <c r="J138" i="27" s="1"/>
  <c r="L202" i="6"/>
  <c r="K138" i="27" s="1"/>
  <c r="M202" i="6"/>
  <c r="L138" i="27" s="1"/>
  <c r="N202" i="6"/>
  <c r="M138" i="27" s="1"/>
  <c r="C202" i="6"/>
  <c r="C201" i="6"/>
  <c r="C200" i="6"/>
  <c r="C199" i="6"/>
  <c r="C198" i="6"/>
  <c r="C193" i="6"/>
  <c r="C192" i="6"/>
  <c r="D171" i="6"/>
  <c r="E171" i="6"/>
  <c r="F171" i="6"/>
  <c r="G171" i="6"/>
  <c r="H171" i="6"/>
  <c r="I171" i="6"/>
  <c r="J171" i="6"/>
  <c r="K171" i="6"/>
  <c r="L171" i="6"/>
  <c r="M171" i="6"/>
  <c r="N171" i="6"/>
  <c r="D172" i="6"/>
  <c r="E172" i="6"/>
  <c r="F172" i="6"/>
  <c r="G172" i="6"/>
  <c r="H172" i="6"/>
  <c r="I172" i="6"/>
  <c r="J172" i="6"/>
  <c r="K172" i="6"/>
  <c r="L172" i="6"/>
  <c r="M172" i="6"/>
  <c r="N172" i="6"/>
  <c r="D173" i="6"/>
  <c r="E173" i="6"/>
  <c r="F173" i="6"/>
  <c r="G173" i="6"/>
  <c r="H173" i="6"/>
  <c r="I173" i="6"/>
  <c r="J173" i="6"/>
  <c r="K173" i="6"/>
  <c r="L173" i="6"/>
  <c r="M173" i="6"/>
  <c r="N173" i="6"/>
  <c r="D178" i="6"/>
  <c r="E178" i="6"/>
  <c r="F178" i="6"/>
  <c r="G178" i="6"/>
  <c r="H178" i="6"/>
  <c r="I178" i="6"/>
  <c r="J178" i="6"/>
  <c r="K178" i="6"/>
  <c r="L178" i="6"/>
  <c r="M178" i="6"/>
  <c r="N178" i="6"/>
  <c r="D179" i="6"/>
  <c r="E179" i="6"/>
  <c r="F179" i="6"/>
  <c r="G179" i="6"/>
  <c r="H179" i="6"/>
  <c r="I179" i="6"/>
  <c r="J179" i="6"/>
  <c r="K179" i="6"/>
  <c r="L179" i="6"/>
  <c r="M179" i="6"/>
  <c r="N179" i="6"/>
  <c r="D180" i="6"/>
  <c r="E180" i="6"/>
  <c r="F180" i="6"/>
  <c r="G180" i="6"/>
  <c r="H180" i="6"/>
  <c r="I180" i="6"/>
  <c r="J180" i="6"/>
  <c r="K180" i="6"/>
  <c r="L180" i="6"/>
  <c r="M180" i="6"/>
  <c r="N180" i="6"/>
  <c r="C180" i="6"/>
  <c r="C179" i="6"/>
  <c r="C178" i="6"/>
  <c r="C173" i="6"/>
  <c r="C172" i="6"/>
  <c r="C171" i="6"/>
  <c r="D137" i="6"/>
  <c r="C105" i="27" s="1"/>
  <c r="E137" i="6"/>
  <c r="D105" i="27" s="1"/>
  <c r="F137" i="6"/>
  <c r="E105" i="27" s="1"/>
  <c r="G137" i="6"/>
  <c r="F105" i="27" s="1"/>
  <c r="H137" i="6"/>
  <c r="G105" i="27" s="1"/>
  <c r="I137" i="6"/>
  <c r="H105" i="27" s="1"/>
  <c r="J137" i="6"/>
  <c r="I105" i="27" s="1"/>
  <c r="K137" i="6"/>
  <c r="J105" i="27" s="1"/>
  <c r="L137" i="6"/>
  <c r="K105" i="27" s="1"/>
  <c r="M137" i="6"/>
  <c r="L105" i="27" s="1"/>
  <c r="N137" i="6"/>
  <c r="M105" i="27" s="1"/>
  <c r="D138" i="6"/>
  <c r="C106" i="27" s="1"/>
  <c r="E138" i="6"/>
  <c r="D106" i="27" s="1"/>
  <c r="F138" i="6"/>
  <c r="E106" i="27" s="1"/>
  <c r="G138" i="6"/>
  <c r="F106" i="27" s="1"/>
  <c r="H138" i="6"/>
  <c r="G106" i="27" s="1"/>
  <c r="I138" i="6"/>
  <c r="H106" i="27" s="1"/>
  <c r="J138" i="6"/>
  <c r="I106" i="27" s="1"/>
  <c r="K138" i="6"/>
  <c r="J106" i="27" s="1"/>
  <c r="L138" i="6"/>
  <c r="K106" i="27" s="1"/>
  <c r="M138" i="6"/>
  <c r="L106" i="27" s="1"/>
  <c r="N138" i="6"/>
  <c r="M106" i="27" s="1"/>
  <c r="D139" i="6"/>
  <c r="C107" i="27" s="1"/>
  <c r="E139" i="6"/>
  <c r="D107" i="27" s="1"/>
  <c r="F139" i="6"/>
  <c r="E107" i="27" s="1"/>
  <c r="G139" i="6"/>
  <c r="F107" i="27" s="1"/>
  <c r="H139" i="6"/>
  <c r="G107" i="27" s="1"/>
  <c r="I139" i="6"/>
  <c r="H107" i="27" s="1"/>
  <c r="J139" i="6"/>
  <c r="I107" i="27" s="1"/>
  <c r="K139" i="6"/>
  <c r="J107" i="27" s="1"/>
  <c r="L139" i="6"/>
  <c r="K107" i="27" s="1"/>
  <c r="M139" i="6"/>
  <c r="L107" i="27" s="1"/>
  <c r="N139" i="6"/>
  <c r="M107" i="27" s="1"/>
  <c r="C138" i="6"/>
  <c r="C137" i="6"/>
  <c r="D153" i="6"/>
  <c r="E153" i="6"/>
  <c r="F153" i="6"/>
  <c r="G153" i="6"/>
  <c r="H153" i="6"/>
  <c r="I153" i="6"/>
  <c r="J153" i="6"/>
  <c r="K153" i="6"/>
  <c r="L153" i="6"/>
  <c r="M153" i="6"/>
  <c r="N153" i="6"/>
  <c r="D154" i="6"/>
  <c r="E154" i="6"/>
  <c r="F154" i="6"/>
  <c r="G154" i="6"/>
  <c r="H154" i="6"/>
  <c r="I154" i="6"/>
  <c r="J154" i="6"/>
  <c r="K154" i="6"/>
  <c r="L154" i="6"/>
  <c r="M154" i="6"/>
  <c r="N154" i="6"/>
  <c r="D155" i="6"/>
  <c r="E155" i="6"/>
  <c r="F155" i="6"/>
  <c r="G155" i="6"/>
  <c r="H155" i="6"/>
  <c r="I155" i="6"/>
  <c r="J155" i="6"/>
  <c r="K155" i="6"/>
  <c r="L155" i="6"/>
  <c r="M155" i="6"/>
  <c r="N155" i="6"/>
  <c r="D156" i="6"/>
  <c r="E156" i="6"/>
  <c r="F156" i="6"/>
  <c r="G156" i="6"/>
  <c r="H156" i="6"/>
  <c r="I156" i="6"/>
  <c r="J156" i="6"/>
  <c r="K156" i="6"/>
  <c r="L156" i="6"/>
  <c r="M156" i="6"/>
  <c r="N156" i="6"/>
  <c r="D157" i="6"/>
  <c r="E157" i="6"/>
  <c r="F157" i="6"/>
  <c r="G157" i="6"/>
  <c r="H157" i="6"/>
  <c r="I157" i="6"/>
  <c r="J157" i="6"/>
  <c r="K157" i="6"/>
  <c r="L157" i="6"/>
  <c r="M157" i="6"/>
  <c r="N157" i="6"/>
  <c r="D144" i="6"/>
  <c r="E144" i="6"/>
  <c r="F144" i="6"/>
  <c r="G144" i="6"/>
  <c r="H144" i="6"/>
  <c r="I144" i="6"/>
  <c r="J144" i="6"/>
  <c r="K144" i="6"/>
  <c r="L144" i="6"/>
  <c r="M144" i="6"/>
  <c r="N144" i="6"/>
  <c r="D145" i="6"/>
  <c r="E145" i="6"/>
  <c r="F145" i="6"/>
  <c r="G145" i="6"/>
  <c r="H145" i="6"/>
  <c r="I145" i="6"/>
  <c r="J145" i="6"/>
  <c r="K145" i="6"/>
  <c r="L145" i="6"/>
  <c r="M145" i="6"/>
  <c r="N145" i="6"/>
  <c r="D146" i="6"/>
  <c r="E146" i="6"/>
  <c r="F146" i="6"/>
  <c r="G146" i="6"/>
  <c r="H146" i="6"/>
  <c r="I146" i="6"/>
  <c r="J146" i="6"/>
  <c r="K146" i="6"/>
  <c r="L146" i="6"/>
  <c r="M146" i="6"/>
  <c r="N146" i="6"/>
  <c r="D147" i="6"/>
  <c r="E147" i="6"/>
  <c r="F147" i="6"/>
  <c r="G147" i="6"/>
  <c r="H147" i="6"/>
  <c r="I147" i="6"/>
  <c r="J147" i="6"/>
  <c r="K147" i="6"/>
  <c r="L147" i="6"/>
  <c r="M147" i="6"/>
  <c r="N147" i="6"/>
  <c r="D148" i="6"/>
  <c r="E148" i="6"/>
  <c r="F148" i="6"/>
  <c r="G148" i="6"/>
  <c r="H148" i="6"/>
  <c r="I148" i="6"/>
  <c r="J148" i="6"/>
  <c r="K148" i="6"/>
  <c r="L148" i="6"/>
  <c r="M148" i="6"/>
  <c r="N148" i="6"/>
  <c r="C157" i="6"/>
  <c r="C156" i="6"/>
  <c r="C155" i="6"/>
  <c r="C154" i="6"/>
  <c r="C153" i="6"/>
  <c r="C148" i="6"/>
  <c r="C147" i="6"/>
  <c r="C146" i="6"/>
  <c r="C145" i="6"/>
  <c r="C144" i="6"/>
  <c r="C132" i="6"/>
  <c r="O132" i="6" s="1"/>
  <c r="C131" i="6"/>
  <c r="C130" i="6"/>
  <c r="C129" i="6"/>
  <c r="C128" i="6"/>
  <c r="D95" i="6"/>
  <c r="C63" i="27" s="1"/>
  <c r="E95" i="6"/>
  <c r="D63" i="27" s="1"/>
  <c r="F95" i="6"/>
  <c r="E63" i="27" s="1"/>
  <c r="G95" i="6"/>
  <c r="F63" i="27" s="1"/>
  <c r="H95" i="6"/>
  <c r="G63" i="27" s="1"/>
  <c r="I95" i="6"/>
  <c r="H63" i="27" s="1"/>
  <c r="J95" i="6"/>
  <c r="I63" i="27" s="1"/>
  <c r="K95" i="6"/>
  <c r="J63" i="27" s="1"/>
  <c r="L95" i="6"/>
  <c r="K63" i="27" s="1"/>
  <c r="M95" i="6"/>
  <c r="L63" i="27" s="1"/>
  <c r="N95" i="6"/>
  <c r="M63" i="27" s="1"/>
  <c r="D96" i="6"/>
  <c r="C64" i="27" s="1"/>
  <c r="E96" i="6"/>
  <c r="D64" i="27" s="1"/>
  <c r="F96" i="6"/>
  <c r="E64" i="27" s="1"/>
  <c r="G96" i="6"/>
  <c r="F64" i="27" s="1"/>
  <c r="H96" i="6"/>
  <c r="G64" i="27" s="1"/>
  <c r="I96" i="6"/>
  <c r="H64" i="27" s="1"/>
  <c r="J96" i="6"/>
  <c r="I64" i="27" s="1"/>
  <c r="K96" i="6"/>
  <c r="J64" i="27" s="1"/>
  <c r="L96" i="6"/>
  <c r="K64" i="27" s="1"/>
  <c r="M96" i="6"/>
  <c r="L64" i="27" s="1"/>
  <c r="N96" i="6"/>
  <c r="M64" i="27" s="1"/>
  <c r="D97" i="6"/>
  <c r="C65" i="27" s="1"/>
  <c r="E97" i="6"/>
  <c r="D65" i="27" s="1"/>
  <c r="F97" i="6"/>
  <c r="E65" i="27" s="1"/>
  <c r="G97" i="6"/>
  <c r="F65" i="27" s="1"/>
  <c r="H97" i="6"/>
  <c r="G65" i="27" s="1"/>
  <c r="I97" i="6"/>
  <c r="H65" i="27" s="1"/>
  <c r="J97" i="6"/>
  <c r="I65" i="27" s="1"/>
  <c r="K97" i="6"/>
  <c r="J65" i="27" s="1"/>
  <c r="L97" i="6"/>
  <c r="K65" i="27" s="1"/>
  <c r="M97" i="6"/>
  <c r="L65" i="27" s="1"/>
  <c r="N97" i="6"/>
  <c r="M65" i="27" s="1"/>
  <c r="D98" i="6"/>
  <c r="C66" i="27" s="1"/>
  <c r="E98" i="6"/>
  <c r="D66" i="27" s="1"/>
  <c r="F98" i="6"/>
  <c r="E66" i="27" s="1"/>
  <c r="G98" i="6"/>
  <c r="F66" i="27" s="1"/>
  <c r="H98" i="6"/>
  <c r="G66" i="27" s="1"/>
  <c r="I98" i="6"/>
  <c r="H66" i="27" s="1"/>
  <c r="J98" i="6"/>
  <c r="I66" i="27" s="1"/>
  <c r="K98" i="6"/>
  <c r="J66" i="27" s="1"/>
  <c r="L98" i="6"/>
  <c r="K66" i="27" s="1"/>
  <c r="M98" i="6"/>
  <c r="L66" i="27" s="1"/>
  <c r="N98" i="6"/>
  <c r="M66" i="27" s="1"/>
  <c r="D99" i="6"/>
  <c r="C67" i="27" s="1"/>
  <c r="E99" i="6"/>
  <c r="D67" i="27" s="1"/>
  <c r="F99" i="6"/>
  <c r="E67" i="27" s="1"/>
  <c r="G99" i="6"/>
  <c r="F67" i="27" s="1"/>
  <c r="H99" i="6"/>
  <c r="G67" i="27" s="1"/>
  <c r="I99" i="6"/>
  <c r="H67" i="27" s="1"/>
  <c r="J99" i="6"/>
  <c r="I67" i="27" s="1"/>
  <c r="K99" i="6"/>
  <c r="J67" i="27" s="1"/>
  <c r="L99" i="6"/>
  <c r="K67" i="27" s="1"/>
  <c r="M99" i="6"/>
  <c r="L67" i="27" s="1"/>
  <c r="N99" i="6"/>
  <c r="M67" i="27" s="1"/>
  <c r="D104" i="6"/>
  <c r="C72" i="27" s="1"/>
  <c r="E104" i="6"/>
  <c r="D72" i="27" s="1"/>
  <c r="F104" i="6"/>
  <c r="E72" i="27" s="1"/>
  <c r="G104" i="6"/>
  <c r="F72" i="27" s="1"/>
  <c r="H104" i="6"/>
  <c r="G72" i="27" s="1"/>
  <c r="I104" i="6"/>
  <c r="H72" i="27" s="1"/>
  <c r="J104" i="6"/>
  <c r="I72" i="27" s="1"/>
  <c r="K104" i="6"/>
  <c r="J72" i="27" s="1"/>
  <c r="L104" i="6"/>
  <c r="K72" i="27" s="1"/>
  <c r="M104" i="6"/>
  <c r="L72" i="27" s="1"/>
  <c r="N104" i="6"/>
  <c r="M72" i="27" s="1"/>
  <c r="D105" i="6"/>
  <c r="C73" i="27" s="1"/>
  <c r="E105" i="6"/>
  <c r="D73" i="27" s="1"/>
  <c r="F105" i="6"/>
  <c r="E73" i="27" s="1"/>
  <c r="G105" i="6"/>
  <c r="F73" i="27" s="1"/>
  <c r="H105" i="6"/>
  <c r="G73" i="27" s="1"/>
  <c r="I105" i="6"/>
  <c r="H73" i="27" s="1"/>
  <c r="J105" i="6"/>
  <c r="I73" i="27" s="1"/>
  <c r="K105" i="6"/>
  <c r="J73" i="27" s="1"/>
  <c r="L105" i="6"/>
  <c r="K73" i="27" s="1"/>
  <c r="M105" i="6"/>
  <c r="L73" i="27" s="1"/>
  <c r="N105" i="6"/>
  <c r="M73" i="27" s="1"/>
  <c r="D106" i="6"/>
  <c r="C74" i="27" s="1"/>
  <c r="E106" i="6"/>
  <c r="D74" i="27" s="1"/>
  <c r="F106" i="6"/>
  <c r="E74" i="27" s="1"/>
  <c r="G106" i="6"/>
  <c r="F74" i="27" s="1"/>
  <c r="H106" i="6"/>
  <c r="G74" i="27" s="1"/>
  <c r="I106" i="6"/>
  <c r="H74" i="27" s="1"/>
  <c r="J106" i="6"/>
  <c r="I74" i="27" s="1"/>
  <c r="K106" i="6"/>
  <c r="J74" i="27" s="1"/>
  <c r="L106" i="6"/>
  <c r="K74" i="27" s="1"/>
  <c r="M106" i="6"/>
  <c r="L74" i="27" s="1"/>
  <c r="N106" i="6"/>
  <c r="M74" i="27" s="1"/>
  <c r="D107" i="6"/>
  <c r="C75" i="27" s="1"/>
  <c r="E107" i="6"/>
  <c r="D75" i="27" s="1"/>
  <c r="F107" i="6"/>
  <c r="E75" i="27" s="1"/>
  <c r="G107" i="6"/>
  <c r="F75" i="27" s="1"/>
  <c r="H107" i="6"/>
  <c r="G75" i="27" s="1"/>
  <c r="I107" i="6"/>
  <c r="H75" i="27" s="1"/>
  <c r="J107" i="6"/>
  <c r="I75" i="27" s="1"/>
  <c r="K107" i="6"/>
  <c r="J75" i="27" s="1"/>
  <c r="L107" i="6"/>
  <c r="K75" i="27" s="1"/>
  <c r="M107" i="6"/>
  <c r="L75" i="27" s="1"/>
  <c r="N107" i="6"/>
  <c r="M75" i="27" s="1"/>
  <c r="D108" i="6"/>
  <c r="C76" i="27" s="1"/>
  <c r="E108" i="6"/>
  <c r="D76" i="27" s="1"/>
  <c r="F108" i="6"/>
  <c r="E76" i="27" s="1"/>
  <c r="G108" i="6"/>
  <c r="F76" i="27" s="1"/>
  <c r="H108" i="6"/>
  <c r="G76" i="27" s="1"/>
  <c r="I108" i="6"/>
  <c r="H76" i="27" s="1"/>
  <c r="J108" i="6"/>
  <c r="I76" i="27" s="1"/>
  <c r="K108" i="6"/>
  <c r="J76" i="27" s="1"/>
  <c r="L108" i="6"/>
  <c r="K76" i="27" s="1"/>
  <c r="M108" i="6"/>
  <c r="L76" i="27" s="1"/>
  <c r="N108" i="6"/>
  <c r="M76" i="27" s="1"/>
  <c r="C108" i="6"/>
  <c r="C107" i="6"/>
  <c r="C106" i="6"/>
  <c r="C105" i="6"/>
  <c r="C104" i="6"/>
  <c r="C99" i="6"/>
  <c r="C98" i="6"/>
  <c r="C97" i="6"/>
  <c r="C96" i="6"/>
  <c r="C95" i="6"/>
  <c r="D85" i="6"/>
  <c r="C53" i="27" s="1"/>
  <c r="E85" i="6"/>
  <c r="D53" i="27" s="1"/>
  <c r="F85" i="6"/>
  <c r="E53" i="27" s="1"/>
  <c r="G85" i="6"/>
  <c r="F53" i="27" s="1"/>
  <c r="H85" i="6"/>
  <c r="G53" i="27" s="1"/>
  <c r="I85" i="6"/>
  <c r="H53" i="27" s="1"/>
  <c r="J85" i="6"/>
  <c r="I53" i="27" s="1"/>
  <c r="K85" i="6"/>
  <c r="J53" i="27" s="1"/>
  <c r="L85" i="6"/>
  <c r="K53" i="27" s="1"/>
  <c r="M85" i="6"/>
  <c r="L53" i="27" s="1"/>
  <c r="N85" i="6"/>
  <c r="M53" i="27" s="1"/>
  <c r="D86" i="6"/>
  <c r="C54" i="27" s="1"/>
  <c r="E86" i="6"/>
  <c r="D54" i="27" s="1"/>
  <c r="F86" i="6"/>
  <c r="E54" i="27" s="1"/>
  <c r="G86" i="6"/>
  <c r="F54" i="27" s="1"/>
  <c r="H86" i="6"/>
  <c r="G54" i="27" s="1"/>
  <c r="I86" i="6"/>
  <c r="H54" i="27" s="1"/>
  <c r="J86" i="6"/>
  <c r="I54" i="27" s="1"/>
  <c r="K86" i="6"/>
  <c r="J54" i="27" s="1"/>
  <c r="L86" i="6"/>
  <c r="K54" i="27" s="1"/>
  <c r="M86" i="6"/>
  <c r="L54" i="27" s="1"/>
  <c r="N86" i="6"/>
  <c r="M54" i="27" s="1"/>
  <c r="D87" i="6"/>
  <c r="E87" i="6"/>
  <c r="F87" i="6"/>
  <c r="G87" i="6"/>
  <c r="H87" i="6"/>
  <c r="I87" i="6"/>
  <c r="J87" i="6"/>
  <c r="K87" i="6"/>
  <c r="L87" i="6"/>
  <c r="M87" i="6"/>
  <c r="N87" i="6"/>
  <c r="D88" i="6"/>
  <c r="E88" i="6"/>
  <c r="F88" i="6"/>
  <c r="G88" i="6"/>
  <c r="H88" i="6"/>
  <c r="I88" i="6"/>
  <c r="J88" i="6"/>
  <c r="K88" i="6"/>
  <c r="L88" i="6"/>
  <c r="M88" i="6"/>
  <c r="N88" i="6"/>
  <c r="C88" i="6"/>
  <c r="C87" i="6"/>
  <c r="C86" i="6"/>
  <c r="C85" i="6"/>
  <c r="D71" i="6"/>
  <c r="C39" i="27" s="1"/>
  <c r="E71" i="6"/>
  <c r="D39" i="27" s="1"/>
  <c r="F71" i="6"/>
  <c r="E39" i="27" s="1"/>
  <c r="G71" i="6"/>
  <c r="F39" i="27" s="1"/>
  <c r="H71" i="6"/>
  <c r="G39" i="27" s="1"/>
  <c r="I71" i="6"/>
  <c r="H39" i="27" s="1"/>
  <c r="J71" i="6"/>
  <c r="I39" i="27" s="1"/>
  <c r="K71" i="6"/>
  <c r="J39" i="27" s="1"/>
  <c r="L71" i="6"/>
  <c r="K39" i="27" s="1"/>
  <c r="M71" i="6"/>
  <c r="L39" i="27" s="1"/>
  <c r="N71" i="6"/>
  <c r="M39" i="27" s="1"/>
  <c r="D72" i="6"/>
  <c r="C40" i="27" s="1"/>
  <c r="E72" i="6"/>
  <c r="D40" i="27" s="1"/>
  <c r="F72" i="6"/>
  <c r="E40" i="27" s="1"/>
  <c r="G72" i="6"/>
  <c r="F40" i="27" s="1"/>
  <c r="H72" i="6"/>
  <c r="G40" i="27" s="1"/>
  <c r="I72" i="6"/>
  <c r="H40" i="27" s="1"/>
  <c r="J72" i="6"/>
  <c r="I40" i="27" s="1"/>
  <c r="K72" i="6"/>
  <c r="J40" i="27" s="1"/>
  <c r="L72" i="6"/>
  <c r="K40" i="27" s="1"/>
  <c r="M72" i="6"/>
  <c r="L40" i="27" s="1"/>
  <c r="N72" i="6"/>
  <c r="M40" i="27" s="1"/>
  <c r="C72" i="6"/>
  <c r="C71" i="6"/>
  <c r="C81" i="6"/>
  <c r="C80" i="6"/>
  <c r="C79" i="6"/>
  <c r="C78" i="6"/>
  <c r="C77" i="6"/>
  <c r="C64" i="6"/>
  <c r="I64" i="6"/>
  <c r="H32" i="27" s="1"/>
  <c r="D1" i="14"/>
  <c r="C113" i="6" s="1"/>
  <c r="E1" i="14"/>
  <c r="C114" i="6" s="1"/>
  <c r="F1" i="14"/>
  <c r="C115" i="6" s="1"/>
  <c r="O115" i="6" s="1"/>
  <c r="G1" i="14"/>
  <c r="C1" i="14"/>
  <c r="C112" i="6" s="1"/>
  <c r="I24" i="26" l="1"/>
  <c r="E24" i="26"/>
  <c r="H24" i="26"/>
  <c r="N71" i="31"/>
  <c r="N73" i="31"/>
  <c r="N72" i="31"/>
  <c r="O88" i="18"/>
  <c r="B74" i="31"/>
  <c r="B56" i="31" s="1"/>
  <c r="B82" i="31" s="1"/>
  <c r="O117" i="16"/>
  <c r="C311" i="18"/>
  <c r="O311" i="18" s="1"/>
  <c r="O216" i="18"/>
  <c r="O88" i="6"/>
  <c r="O144" i="6"/>
  <c r="O146" i="6"/>
  <c r="O148" i="6"/>
  <c r="O154" i="6"/>
  <c r="O156" i="6"/>
  <c r="O172" i="6"/>
  <c r="O178" i="6"/>
  <c r="O180" i="6"/>
  <c r="B82" i="27"/>
  <c r="N82" i="27" s="1"/>
  <c r="O114" i="6"/>
  <c r="B47" i="27"/>
  <c r="N47" i="27" s="1"/>
  <c r="O79" i="6"/>
  <c r="B40" i="27"/>
  <c r="N40" i="27" s="1"/>
  <c r="O72" i="6"/>
  <c r="B54" i="27"/>
  <c r="N54" i="27" s="1"/>
  <c r="O86" i="6"/>
  <c r="B66" i="27"/>
  <c r="N66" i="27" s="1"/>
  <c r="O98" i="6"/>
  <c r="B74" i="27"/>
  <c r="N74" i="27" s="1"/>
  <c r="O106" i="6"/>
  <c r="B97" i="27"/>
  <c r="N97" i="27" s="1"/>
  <c r="O129" i="6"/>
  <c r="B105" i="27"/>
  <c r="N105" i="27" s="1"/>
  <c r="O137" i="6"/>
  <c r="B45" i="27"/>
  <c r="N45" i="27" s="1"/>
  <c r="O77" i="6"/>
  <c r="B49" i="27"/>
  <c r="N49" i="27" s="1"/>
  <c r="O81" i="6"/>
  <c r="B64" i="27"/>
  <c r="N64" i="27" s="1"/>
  <c r="O96" i="6"/>
  <c r="B72" i="27"/>
  <c r="N72" i="27" s="1"/>
  <c r="O104" i="6"/>
  <c r="B76" i="27"/>
  <c r="N76" i="27" s="1"/>
  <c r="O108" i="6"/>
  <c r="B99" i="27"/>
  <c r="N99" i="27" s="1"/>
  <c r="O131" i="6"/>
  <c r="B129" i="27"/>
  <c r="N129" i="27" s="1"/>
  <c r="O193" i="6"/>
  <c r="B135" i="27"/>
  <c r="N135" i="27" s="1"/>
  <c r="O199" i="6"/>
  <c r="B137" i="27"/>
  <c r="N137" i="27" s="1"/>
  <c r="O201" i="6"/>
  <c r="B27" i="27"/>
  <c r="B24" i="27"/>
  <c r="B80" i="27"/>
  <c r="N80" i="27" s="1"/>
  <c r="O112" i="6"/>
  <c r="B81" i="27"/>
  <c r="N81" i="27" s="1"/>
  <c r="O113" i="6"/>
  <c r="B32" i="27"/>
  <c r="B46" i="27"/>
  <c r="N46" i="27" s="1"/>
  <c r="O78" i="6"/>
  <c r="B48" i="27"/>
  <c r="N48" i="27" s="1"/>
  <c r="O80" i="6"/>
  <c r="B39" i="27"/>
  <c r="N39" i="27" s="1"/>
  <c r="O71" i="6"/>
  <c r="B53" i="27"/>
  <c r="N53" i="27" s="1"/>
  <c r="O85" i="6"/>
  <c r="C24" i="16"/>
  <c r="O87" i="6"/>
  <c r="B63" i="27"/>
  <c r="N63" i="27" s="1"/>
  <c r="O95" i="6"/>
  <c r="B65" i="27"/>
  <c r="N65" i="27" s="1"/>
  <c r="O97" i="6"/>
  <c r="B67" i="27"/>
  <c r="N67" i="27" s="1"/>
  <c r="O99" i="6"/>
  <c r="B73" i="27"/>
  <c r="N73" i="27" s="1"/>
  <c r="O105" i="6"/>
  <c r="B75" i="27"/>
  <c r="N75" i="27" s="1"/>
  <c r="O107" i="6"/>
  <c r="B96" i="27"/>
  <c r="N96" i="27" s="1"/>
  <c r="O128" i="6"/>
  <c r="B98" i="27"/>
  <c r="N98" i="27" s="1"/>
  <c r="O130" i="6"/>
  <c r="O145" i="6"/>
  <c r="O147" i="6"/>
  <c r="O153" i="6"/>
  <c r="O155" i="6"/>
  <c r="O157" i="6"/>
  <c r="B106" i="27"/>
  <c r="N106" i="27" s="1"/>
  <c r="O138" i="6"/>
  <c r="O171" i="6"/>
  <c r="O173" i="6"/>
  <c r="O179" i="6"/>
  <c r="B128" i="27"/>
  <c r="N128" i="27" s="1"/>
  <c r="O192" i="6"/>
  <c r="B134" i="27"/>
  <c r="N134" i="27" s="1"/>
  <c r="O198" i="6"/>
  <c r="B136" i="27"/>
  <c r="N136" i="27" s="1"/>
  <c r="O200" i="6"/>
  <c r="B138" i="27"/>
  <c r="O202" i="6"/>
  <c r="B23" i="27"/>
  <c r="B25" i="27"/>
  <c r="B26" i="27"/>
  <c r="C122" i="16"/>
  <c r="O122" i="16" s="1"/>
  <c r="O119" i="16"/>
  <c r="O129" i="16"/>
  <c r="K65" i="31"/>
  <c r="K68" i="31" s="1"/>
  <c r="K55" i="31" s="1"/>
  <c r="J65" i="31"/>
  <c r="O70" i="16"/>
  <c r="H66" i="31"/>
  <c r="O69" i="16"/>
  <c r="Y14" i="35"/>
  <c r="Y16" i="35" s="1"/>
  <c r="Y20" i="35" s="1"/>
  <c r="X16" i="35"/>
  <c r="X20" i="35" s="1"/>
  <c r="AK14" i="35"/>
  <c r="AK16" i="35" s="1"/>
  <c r="AK20" i="35" s="1"/>
  <c r="AJ16" i="35"/>
  <c r="AJ20" i="35" s="1"/>
  <c r="V14" i="35"/>
  <c r="V16" i="35" s="1"/>
  <c r="V20" i="35" s="1"/>
  <c r="U16" i="35"/>
  <c r="U20" i="35" s="1"/>
  <c r="AH14" i="35"/>
  <c r="AH16" i="35" s="1"/>
  <c r="AH20" i="35" s="1"/>
  <c r="AG16" i="35"/>
  <c r="AG20" i="35" s="1"/>
  <c r="AE14" i="35"/>
  <c r="AE16" i="35" s="1"/>
  <c r="AE20" i="35" s="1"/>
  <c r="AD16" i="35"/>
  <c r="AD20" i="35" s="1"/>
  <c r="AB14" i="35"/>
  <c r="AB16" i="35" s="1"/>
  <c r="AB20" i="35" s="1"/>
  <c r="AA16" i="35"/>
  <c r="AA20" i="35" s="1"/>
  <c r="B83" i="27"/>
  <c r="N83" i="27" s="1"/>
  <c r="C116" i="6"/>
  <c r="J68" i="31"/>
  <c r="J55" i="31" s="1"/>
  <c r="J81" i="31" s="1"/>
  <c r="J86" i="31" s="1"/>
  <c r="C16" i="35"/>
  <c r="C20" i="35" s="1"/>
  <c r="C22" i="35" s="1"/>
  <c r="S14" i="35"/>
  <c r="S16" i="35" s="1"/>
  <c r="S20" i="35" s="1"/>
  <c r="R16" i="35"/>
  <c r="R20" i="35" s="1"/>
  <c r="M14" i="35"/>
  <c r="M16" i="35" s="1"/>
  <c r="M20" i="35" s="1"/>
  <c r="L16" i="35"/>
  <c r="L20" i="35" s="1"/>
  <c r="B16" i="35"/>
  <c r="B20" i="35" s="1"/>
  <c r="B22" i="35" s="1"/>
  <c r="P14" i="35"/>
  <c r="P16" i="35" s="1"/>
  <c r="P20" i="35" s="1"/>
  <c r="O16" i="35"/>
  <c r="O20" i="35" s="1"/>
  <c r="G14" i="35"/>
  <c r="G16" i="35" s="1"/>
  <c r="G20" i="35" s="1"/>
  <c r="F16" i="35"/>
  <c r="F20" i="35" s="1"/>
  <c r="J14" i="35"/>
  <c r="J16" i="35" s="1"/>
  <c r="J20" i="35" s="1"/>
  <c r="I16" i="35"/>
  <c r="I20" i="35" s="1"/>
  <c r="G68" i="31"/>
  <c r="G55" i="31" s="1"/>
  <c r="G60" i="31" s="1"/>
  <c r="O72" i="16"/>
  <c r="E65" i="31"/>
  <c r="E68" i="31" s="1"/>
  <c r="E55" i="31" s="1"/>
  <c r="D14" i="35"/>
  <c r="D16" i="35" s="1"/>
  <c r="C65" i="31"/>
  <c r="F65" i="31"/>
  <c r="H14" i="35"/>
  <c r="H16" i="35" s="1"/>
  <c r="H20" i="35" s="1"/>
  <c r="F68" i="31"/>
  <c r="F55" i="31" s="1"/>
  <c r="F81" i="31" s="1"/>
  <c r="F86" i="31" s="1"/>
  <c r="M65" i="31"/>
  <c r="M68" i="31" s="1"/>
  <c r="M55" i="31" s="1"/>
  <c r="C66" i="31"/>
  <c r="N66" i="31" s="1"/>
  <c r="H65" i="31"/>
  <c r="I65" i="31"/>
  <c r="I68" i="31" s="1"/>
  <c r="I55" i="31" s="1"/>
  <c r="D65" i="31"/>
  <c r="D68" i="31" s="1"/>
  <c r="D55" i="31" s="1"/>
  <c r="L65" i="31"/>
  <c r="L68" i="31" s="1"/>
  <c r="L55" i="31" s="1"/>
  <c r="G81" i="31"/>
  <c r="G86" i="31" s="1"/>
  <c r="F60" i="31"/>
  <c r="B67" i="31"/>
  <c r="D74" i="31"/>
  <c r="D56" i="31" s="1"/>
  <c r="H74" i="31"/>
  <c r="H56" i="31" s="1"/>
  <c r="L74" i="31"/>
  <c r="L56" i="31" s="1"/>
  <c r="E74" i="31"/>
  <c r="E56" i="31" s="1"/>
  <c r="I74" i="31"/>
  <c r="I56" i="31" s="1"/>
  <c r="M74" i="31"/>
  <c r="M56" i="31" s="1"/>
  <c r="F74" i="31"/>
  <c r="F56" i="31" s="1"/>
  <c r="J74" i="31"/>
  <c r="J56" i="31" s="1"/>
  <c r="C74" i="31"/>
  <c r="C56" i="31" s="1"/>
  <c r="G74" i="31"/>
  <c r="G56" i="31" s="1"/>
  <c r="K74" i="31"/>
  <c r="K56" i="31" s="1"/>
  <c r="H66" i="6"/>
  <c r="G34" i="27" s="1"/>
  <c r="F65" i="6"/>
  <c r="E33" i="27" s="1"/>
  <c r="B55" i="27"/>
  <c r="L11" i="16"/>
  <c r="K56" i="27"/>
  <c r="H11" i="16"/>
  <c r="G56" i="27"/>
  <c r="D11" i="16"/>
  <c r="C56" i="27"/>
  <c r="K24" i="16"/>
  <c r="J55" i="27"/>
  <c r="G24" i="16"/>
  <c r="F55" i="27"/>
  <c r="C139" i="6"/>
  <c r="B100" i="27"/>
  <c r="N100" i="27" s="1"/>
  <c r="N11" i="16"/>
  <c r="M56" i="27"/>
  <c r="J11" i="16"/>
  <c r="I56" i="27"/>
  <c r="F11" i="16"/>
  <c r="E56" i="27"/>
  <c r="M24" i="16"/>
  <c r="L55" i="27"/>
  <c r="I24" i="16"/>
  <c r="H55" i="27"/>
  <c r="E24" i="16"/>
  <c r="D55" i="27"/>
  <c r="C11" i="16"/>
  <c r="B56" i="27"/>
  <c r="M11" i="16"/>
  <c r="L56" i="27"/>
  <c r="K11" i="16"/>
  <c r="J56" i="27"/>
  <c r="I11" i="16"/>
  <c r="H56" i="27"/>
  <c r="G11" i="16"/>
  <c r="F56" i="27"/>
  <c r="E11" i="16"/>
  <c r="D56" i="27"/>
  <c r="N24" i="16"/>
  <c r="M55" i="27"/>
  <c r="L24" i="16"/>
  <c r="K55" i="27"/>
  <c r="J24" i="16"/>
  <c r="I55" i="27"/>
  <c r="H24" i="16"/>
  <c r="G55" i="27"/>
  <c r="F24" i="16"/>
  <c r="E55" i="27"/>
  <c r="D24" i="16"/>
  <c r="O24" i="16" s="1"/>
  <c r="C55" i="27"/>
  <c r="C16" i="16"/>
  <c r="M16" i="16"/>
  <c r="K16" i="16"/>
  <c r="I16" i="16"/>
  <c r="G16" i="16"/>
  <c r="E16" i="16"/>
  <c r="N16" i="16"/>
  <c r="L16" i="16"/>
  <c r="J16" i="16"/>
  <c r="H16" i="16"/>
  <c r="F16" i="16"/>
  <c r="D16" i="16"/>
  <c r="N45" i="6"/>
  <c r="L45" i="6"/>
  <c r="J45" i="6"/>
  <c r="H45" i="6"/>
  <c r="F45" i="6"/>
  <c r="D45" i="6"/>
  <c r="M44" i="6"/>
  <c r="K44" i="6"/>
  <c r="I44" i="6"/>
  <c r="G44" i="6"/>
  <c r="E44" i="6"/>
  <c r="N43" i="6"/>
  <c r="L43" i="6"/>
  <c r="J43" i="6"/>
  <c r="H43" i="6"/>
  <c r="F43" i="6"/>
  <c r="D43" i="6"/>
  <c r="M42" i="6"/>
  <c r="K42" i="6"/>
  <c r="I42" i="6"/>
  <c r="G42" i="6"/>
  <c r="E42" i="6"/>
  <c r="N41" i="6"/>
  <c r="L41" i="6"/>
  <c r="J41" i="6"/>
  <c r="H41" i="6"/>
  <c r="F41" i="6"/>
  <c r="D41" i="6"/>
  <c r="L65" i="6"/>
  <c r="K33" i="27" s="1"/>
  <c r="J65" i="6"/>
  <c r="I33" i="27" s="1"/>
  <c r="H65" i="6"/>
  <c r="G33" i="27" s="1"/>
  <c r="D65" i="6"/>
  <c r="C33" i="27" s="1"/>
  <c r="M64" i="6"/>
  <c r="L32" i="27" s="1"/>
  <c r="K64" i="6"/>
  <c r="J32" i="27" s="1"/>
  <c r="G64" i="6"/>
  <c r="F32" i="27" s="1"/>
  <c r="E64" i="6"/>
  <c r="D32" i="27" s="1"/>
  <c r="L187" i="6"/>
  <c r="K123" i="27" s="1"/>
  <c r="J187" i="6"/>
  <c r="I123" i="27" s="1"/>
  <c r="H187" i="6"/>
  <c r="G123" i="27" s="1"/>
  <c r="F187" i="6"/>
  <c r="E123" i="27" s="1"/>
  <c r="D187" i="6"/>
  <c r="C123" i="27" s="1"/>
  <c r="M186" i="6"/>
  <c r="L122" i="27" s="1"/>
  <c r="K186" i="6"/>
  <c r="J122" i="27" s="1"/>
  <c r="I186" i="6"/>
  <c r="H122" i="27" s="1"/>
  <c r="G186" i="6"/>
  <c r="F122" i="27" s="1"/>
  <c r="E186" i="6"/>
  <c r="D122" i="27" s="1"/>
  <c r="N185" i="6"/>
  <c r="M121" i="27" s="1"/>
  <c r="L185" i="6"/>
  <c r="K121" i="27" s="1"/>
  <c r="J185" i="6"/>
  <c r="I121" i="27" s="1"/>
  <c r="H185" i="6"/>
  <c r="G121" i="27" s="1"/>
  <c r="F185" i="6"/>
  <c r="E121" i="27" s="1"/>
  <c r="D185" i="6"/>
  <c r="C121" i="27" s="1"/>
  <c r="C191" i="6"/>
  <c r="M45" i="6"/>
  <c r="K45" i="6"/>
  <c r="I45" i="6"/>
  <c r="G45" i="6"/>
  <c r="E45" i="6"/>
  <c r="N44" i="6"/>
  <c r="L44" i="6"/>
  <c r="J44" i="6"/>
  <c r="H44" i="6"/>
  <c r="F44" i="6"/>
  <c r="D44" i="6"/>
  <c r="M43" i="6"/>
  <c r="K43" i="6"/>
  <c r="I43" i="6"/>
  <c r="G43" i="6"/>
  <c r="E43" i="6"/>
  <c r="N42" i="6"/>
  <c r="L42" i="6"/>
  <c r="J42" i="6"/>
  <c r="H42" i="6"/>
  <c r="F42" i="6"/>
  <c r="D42" i="6"/>
  <c r="M41" i="6"/>
  <c r="K41" i="6"/>
  <c r="I41" i="6"/>
  <c r="G41" i="6"/>
  <c r="E41" i="6"/>
  <c r="L66" i="6"/>
  <c r="K34" i="27" s="1"/>
  <c r="D66" i="6"/>
  <c r="C34" i="27" s="1"/>
  <c r="M65" i="6"/>
  <c r="L33" i="27" s="1"/>
  <c r="K65" i="6"/>
  <c r="J33" i="27" s="1"/>
  <c r="I65" i="6"/>
  <c r="H33" i="27" s="1"/>
  <c r="G65" i="6"/>
  <c r="F33" i="27" s="1"/>
  <c r="E65" i="6"/>
  <c r="D33" i="27" s="1"/>
  <c r="N64" i="6"/>
  <c r="M32" i="27" s="1"/>
  <c r="L64" i="6"/>
  <c r="K32" i="27" s="1"/>
  <c r="J64" i="6"/>
  <c r="I32" i="27" s="1"/>
  <c r="H64" i="6"/>
  <c r="G32" i="27" s="1"/>
  <c r="F64" i="6"/>
  <c r="E32" i="27" s="1"/>
  <c r="D64" i="6"/>
  <c r="C32" i="27" s="1"/>
  <c r="N65" i="6"/>
  <c r="M33" i="27" s="1"/>
  <c r="C170" i="6"/>
  <c r="C197" i="6"/>
  <c r="M197" i="6"/>
  <c r="L133" i="27" s="1"/>
  <c r="K197" i="6"/>
  <c r="J133" i="27" s="1"/>
  <c r="I197" i="6"/>
  <c r="H133" i="27" s="1"/>
  <c r="G197" i="6"/>
  <c r="F133" i="27" s="1"/>
  <c r="E197" i="6"/>
  <c r="D133" i="27" s="1"/>
  <c r="N197" i="6"/>
  <c r="M133" i="27" s="1"/>
  <c r="L197" i="6"/>
  <c r="K133" i="27" s="1"/>
  <c r="J197" i="6"/>
  <c r="I133" i="27" s="1"/>
  <c r="H197" i="6"/>
  <c r="G133" i="27" s="1"/>
  <c r="F197" i="6"/>
  <c r="E133" i="27" s="1"/>
  <c r="D197" i="6"/>
  <c r="C133" i="27" s="1"/>
  <c r="M191" i="6"/>
  <c r="L127" i="27" s="1"/>
  <c r="K191" i="6"/>
  <c r="J127" i="27" s="1"/>
  <c r="I191" i="6"/>
  <c r="H127" i="27" s="1"/>
  <c r="G191" i="6"/>
  <c r="F127" i="27" s="1"/>
  <c r="E191" i="6"/>
  <c r="D127" i="27" s="1"/>
  <c r="N191" i="6"/>
  <c r="M127" i="27" s="1"/>
  <c r="L191" i="6"/>
  <c r="K127" i="27" s="1"/>
  <c r="J191" i="6"/>
  <c r="I127" i="27" s="1"/>
  <c r="H191" i="6"/>
  <c r="G127" i="27" s="1"/>
  <c r="F191" i="6"/>
  <c r="E127" i="27" s="1"/>
  <c r="D191" i="6"/>
  <c r="C127" i="27" s="1"/>
  <c r="C56" i="6"/>
  <c r="O56" i="6" s="1"/>
  <c r="C162" i="6"/>
  <c r="C164" i="6"/>
  <c r="C166" i="6"/>
  <c r="C186" i="6"/>
  <c r="C185" i="6"/>
  <c r="C187" i="6"/>
  <c r="M187" i="6"/>
  <c r="L123" i="27" s="1"/>
  <c r="K187" i="6"/>
  <c r="J123" i="27" s="1"/>
  <c r="I187" i="6"/>
  <c r="H123" i="27" s="1"/>
  <c r="G187" i="6"/>
  <c r="F123" i="27" s="1"/>
  <c r="E187" i="6"/>
  <c r="D123" i="27" s="1"/>
  <c r="N186" i="6"/>
  <c r="M122" i="27" s="1"/>
  <c r="L186" i="6"/>
  <c r="K122" i="27" s="1"/>
  <c r="J186" i="6"/>
  <c r="I122" i="27" s="1"/>
  <c r="H186" i="6"/>
  <c r="G122" i="27" s="1"/>
  <c r="F186" i="6"/>
  <c r="E122" i="27" s="1"/>
  <c r="D186" i="6"/>
  <c r="C122" i="27" s="1"/>
  <c r="C177" i="6"/>
  <c r="M177" i="6"/>
  <c r="K177" i="6"/>
  <c r="I177" i="6"/>
  <c r="G177" i="6"/>
  <c r="E177" i="6"/>
  <c r="C163" i="6"/>
  <c r="C165" i="6"/>
  <c r="C152" i="6"/>
  <c r="M166" i="6"/>
  <c r="L116" i="27" s="1"/>
  <c r="K166" i="6"/>
  <c r="J116" i="27" s="1"/>
  <c r="I166" i="6"/>
  <c r="H116" i="27" s="1"/>
  <c r="G166" i="6"/>
  <c r="F116" i="27" s="1"/>
  <c r="E166" i="6"/>
  <c r="D116" i="27" s="1"/>
  <c r="N165" i="6"/>
  <c r="M115" i="27" s="1"/>
  <c r="L165" i="6"/>
  <c r="K115" i="27" s="1"/>
  <c r="J165" i="6"/>
  <c r="I115" i="27" s="1"/>
  <c r="H165" i="6"/>
  <c r="G115" i="27" s="1"/>
  <c r="F165" i="6"/>
  <c r="E115" i="27" s="1"/>
  <c r="D165" i="6"/>
  <c r="C115" i="27" s="1"/>
  <c r="M164" i="6"/>
  <c r="L114" i="27" s="1"/>
  <c r="M185" i="6"/>
  <c r="L121" i="27" s="1"/>
  <c r="K185" i="6"/>
  <c r="J121" i="27" s="1"/>
  <c r="I185" i="6"/>
  <c r="H121" i="27" s="1"/>
  <c r="G185" i="6"/>
  <c r="F121" i="27" s="1"/>
  <c r="E185" i="6"/>
  <c r="D121" i="27" s="1"/>
  <c r="N187" i="6"/>
  <c r="M123" i="27" s="1"/>
  <c r="N177" i="6"/>
  <c r="L177" i="6"/>
  <c r="J177" i="6"/>
  <c r="H177" i="6"/>
  <c r="F177" i="6"/>
  <c r="D177" i="6"/>
  <c r="N170" i="6"/>
  <c r="N184" i="6" s="1"/>
  <c r="M120" i="27" s="1"/>
  <c r="L170" i="6"/>
  <c r="L184" i="6" s="1"/>
  <c r="K120" i="27" s="1"/>
  <c r="J170" i="6"/>
  <c r="J184" i="6" s="1"/>
  <c r="I120" i="27" s="1"/>
  <c r="H170" i="6"/>
  <c r="H184" i="6" s="1"/>
  <c r="G120" i="27" s="1"/>
  <c r="F170" i="6"/>
  <c r="F184" i="6" s="1"/>
  <c r="E120" i="27" s="1"/>
  <c r="D170" i="6"/>
  <c r="D184" i="6" s="1"/>
  <c r="C120" i="27" s="1"/>
  <c r="M170" i="6"/>
  <c r="M184" i="6" s="1"/>
  <c r="L120" i="27" s="1"/>
  <c r="K170" i="6"/>
  <c r="K184" i="6" s="1"/>
  <c r="J120" i="27" s="1"/>
  <c r="I170" i="6"/>
  <c r="I184" i="6" s="1"/>
  <c r="H120" i="27" s="1"/>
  <c r="G170" i="6"/>
  <c r="G184" i="6" s="1"/>
  <c r="F120" i="27" s="1"/>
  <c r="E170" i="6"/>
  <c r="E184" i="6" s="1"/>
  <c r="D120" i="27" s="1"/>
  <c r="N166" i="6"/>
  <c r="M116" i="27" s="1"/>
  <c r="L166" i="6"/>
  <c r="K116" i="27" s="1"/>
  <c r="J166" i="6"/>
  <c r="I116" i="27" s="1"/>
  <c r="H166" i="6"/>
  <c r="G116" i="27" s="1"/>
  <c r="F166" i="6"/>
  <c r="E116" i="27" s="1"/>
  <c r="D166" i="6"/>
  <c r="C116" i="27" s="1"/>
  <c r="M165" i="6"/>
  <c r="L115" i="27" s="1"/>
  <c r="K165" i="6"/>
  <c r="J115" i="27" s="1"/>
  <c r="I165" i="6"/>
  <c r="H115" i="27" s="1"/>
  <c r="G165" i="6"/>
  <c r="F115" i="27" s="1"/>
  <c r="E165" i="6"/>
  <c r="D115" i="27" s="1"/>
  <c r="N164" i="6"/>
  <c r="M114" i="27" s="1"/>
  <c r="L164" i="6"/>
  <c r="K114" i="27" s="1"/>
  <c r="J164" i="6"/>
  <c r="I114" i="27" s="1"/>
  <c r="H164" i="6"/>
  <c r="G114" i="27" s="1"/>
  <c r="F164" i="6"/>
  <c r="E114" i="27" s="1"/>
  <c r="D164" i="6"/>
  <c r="C114" i="27" s="1"/>
  <c r="M163" i="6"/>
  <c r="L113" i="27" s="1"/>
  <c r="K163" i="6"/>
  <c r="J113" i="27" s="1"/>
  <c r="I163" i="6"/>
  <c r="H113" i="27" s="1"/>
  <c r="G163" i="6"/>
  <c r="F113" i="27" s="1"/>
  <c r="E163" i="6"/>
  <c r="D113" i="27" s="1"/>
  <c r="K164" i="6"/>
  <c r="J114" i="27" s="1"/>
  <c r="I164" i="6"/>
  <c r="H114" i="27" s="1"/>
  <c r="G164" i="6"/>
  <c r="F114" i="27" s="1"/>
  <c r="E164" i="6"/>
  <c r="D114" i="27" s="1"/>
  <c r="N163" i="6"/>
  <c r="M113" i="27" s="1"/>
  <c r="L163" i="6"/>
  <c r="K113" i="27" s="1"/>
  <c r="J163" i="6"/>
  <c r="I113" i="27" s="1"/>
  <c r="H163" i="6"/>
  <c r="G113" i="27" s="1"/>
  <c r="F163" i="6"/>
  <c r="E113" i="27" s="1"/>
  <c r="D163" i="6"/>
  <c r="C113" i="27" s="1"/>
  <c r="M136" i="6"/>
  <c r="L104" i="27" s="1"/>
  <c r="K136" i="6"/>
  <c r="J104" i="27" s="1"/>
  <c r="I136" i="6"/>
  <c r="H104" i="27" s="1"/>
  <c r="G136" i="6"/>
  <c r="F104" i="27" s="1"/>
  <c r="E136" i="6"/>
  <c r="D104" i="27" s="1"/>
  <c r="N143" i="6"/>
  <c r="L143" i="6"/>
  <c r="J143" i="6"/>
  <c r="H143" i="6"/>
  <c r="F143" i="6"/>
  <c r="D143" i="6"/>
  <c r="M152" i="6"/>
  <c r="K152" i="6"/>
  <c r="I152" i="6"/>
  <c r="G152" i="6"/>
  <c r="E152" i="6"/>
  <c r="N136" i="6"/>
  <c r="M104" i="27" s="1"/>
  <c r="L136" i="6"/>
  <c r="K104" i="27" s="1"/>
  <c r="J136" i="6"/>
  <c r="I104" i="27" s="1"/>
  <c r="H136" i="6"/>
  <c r="G104" i="27" s="1"/>
  <c r="F136" i="6"/>
  <c r="E104" i="27" s="1"/>
  <c r="D136" i="6"/>
  <c r="C104" i="27" s="1"/>
  <c r="M162" i="6"/>
  <c r="L112" i="27" s="1"/>
  <c r="K162" i="6"/>
  <c r="J112" i="27" s="1"/>
  <c r="I162" i="6"/>
  <c r="H112" i="27" s="1"/>
  <c r="G162" i="6"/>
  <c r="F112" i="27" s="1"/>
  <c r="E162" i="6"/>
  <c r="D112" i="27" s="1"/>
  <c r="M143" i="6"/>
  <c r="M161" i="6" s="1"/>
  <c r="L111" i="27" s="1"/>
  <c r="K143" i="6"/>
  <c r="K161" i="6" s="1"/>
  <c r="J111" i="27" s="1"/>
  <c r="I143" i="6"/>
  <c r="I161" i="6" s="1"/>
  <c r="H111" i="27" s="1"/>
  <c r="G143" i="6"/>
  <c r="G161" i="6" s="1"/>
  <c r="F111" i="27" s="1"/>
  <c r="E143" i="6"/>
  <c r="N152" i="6"/>
  <c r="L152" i="6"/>
  <c r="J152" i="6"/>
  <c r="H152" i="6"/>
  <c r="F152" i="6"/>
  <c r="D152" i="6"/>
  <c r="N162" i="6"/>
  <c r="M112" i="27" s="1"/>
  <c r="L162" i="6"/>
  <c r="K112" i="27" s="1"/>
  <c r="J162" i="6"/>
  <c r="I112" i="27" s="1"/>
  <c r="H162" i="6"/>
  <c r="G112" i="27" s="1"/>
  <c r="F162" i="6"/>
  <c r="E112" i="27" s="1"/>
  <c r="D162" i="6"/>
  <c r="C112" i="27" s="1"/>
  <c r="C65" i="6"/>
  <c r="J66" i="6"/>
  <c r="I34" i="27" s="1"/>
  <c r="F66" i="6"/>
  <c r="E34" i="27" s="1"/>
  <c r="C103" i="6"/>
  <c r="C143" i="6"/>
  <c r="N94" i="6"/>
  <c r="M62" i="27" s="1"/>
  <c r="L94" i="6"/>
  <c r="K62" i="27" s="1"/>
  <c r="J94" i="6"/>
  <c r="I62" i="27" s="1"/>
  <c r="H94" i="6"/>
  <c r="G62" i="27" s="1"/>
  <c r="F94" i="6"/>
  <c r="E62" i="27" s="1"/>
  <c r="D94" i="6"/>
  <c r="C62" i="27" s="1"/>
  <c r="M103" i="6"/>
  <c r="L71" i="27" s="1"/>
  <c r="K103" i="6"/>
  <c r="J71" i="27" s="1"/>
  <c r="I103" i="6"/>
  <c r="H71" i="27" s="1"/>
  <c r="G103" i="6"/>
  <c r="F71" i="27" s="1"/>
  <c r="E103" i="6"/>
  <c r="D71" i="27" s="1"/>
  <c r="N103" i="6"/>
  <c r="M71" i="27" s="1"/>
  <c r="L103" i="6"/>
  <c r="K71" i="27" s="1"/>
  <c r="J103" i="6"/>
  <c r="I71" i="27" s="1"/>
  <c r="H103" i="6"/>
  <c r="G71" i="27" s="1"/>
  <c r="F103" i="6"/>
  <c r="E71" i="27" s="1"/>
  <c r="D103" i="6"/>
  <c r="C71" i="27" s="1"/>
  <c r="M94" i="6"/>
  <c r="L62" i="27" s="1"/>
  <c r="K94" i="6"/>
  <c r="J62" i="27" s="1"/>
  <c r="I94" i="6"/>
  <c r="H62" i="27" s="1"/>
  <c r="G94" i="6"/>
  <c r="F62" i="27" s="1"/>
  <c r="E94" i="6"/>
  <c r="D62" i="27" s="1"/>
  <c r="C127" i="6"/>
  <c r="C94" i="6"/>
  <c r="M70" i="6"/>
  <c r="L38" i="27" s="1"/>
  <c r="K70" i="6"/>
  <c r="J38" i="27" s="1"/>
  <c r="I70" i="6"/>
  <c r="H38" i="27" s="1"/>
  <c r="G70" i="6"/>
  <c r="F38" i="27" s="1"/>
  <c r="E70" i="6"/>
  <c r="D38" i="27" s="1"/>
  <c r="N70" i="6"/>
  <c r="M38" i="27" s="1"/>
  <c r="L70" i="6"/>
  <c r="K38" i="27" s="1"/>
  <c r="J70" i="6"/>
  <c r="I38" i="27" s="1"/>
  <c r="H70" i="6"/>
  <c r="G38" i="27" s="1"/>
  <c r="F70" i="6"/>
  <c r="E38" i="27" s="1"/>
  <c r="D70" i="6"/>
  <c r="C38" i="27" s="1"/>
  <c r="C70" i="6"/>
  <c r="C76" i="6"/>
  <c r="N66" i="6"/>
  <c r="M34" i="27" s="1"/>
  <c r="C49" i="6"/>
  <c r="C31" i="6"/>
  <c r="O31" i="6" s="1"/>
  <c r="M40" i="6"/>
  <c r="G40" i="6"/>
  <c r="E40" i="6"/>
  <c r="J40" i="6"/>
  <c r="H40" i="6"/>
  <c r="M66" i="6"/>
  <c r="L34" i="27" s="1"/>
  <c r="K66" i="6"/>
  <c r="J34" i="27" s="1"/>
  <c r="I66" i="6"/>
  <c r="H34" i="27" s="1"/>
  <c r="G66" i="6"/>
  <c r="F34" i="27" s="1"/>
  <c r="E66" i="6"/>
  <c r="D34" i="27" s="1"/>
  <c r="B59" i="31" l="1"/>
  <c r="O143" i="6"/>
  <c r="O42" i="6"/>
  <c r="N56" i="27"/>
  <c r="N55" i="27"/>
  <c r="N32" i="27"/>
  <c r="N65" i="31"/>
  <c r="N74" i="31"/>
  <c r="B68" i="31"/>
  <c r="B55" i="31" s="1"/>
  <c r="B60" i="31" s="1"/>
  <c r="N67" i="31"/>
  <c r="O43" i="6"/>
  <c r="O44" i="6"/>
  <c r="O41" i="6"/>
  <c r="O45" i="6"/>
  <c r="B38" i="27"/>
  <c r="N38" i="27" s="1"/>
  <c r="O70" i="6"/>
  <c r="B36" i="13"/>
  <c r="N36" i="13" s="1"/>
  <c r="O49" i="6"/>
  <c r="B44" i="27"/>
  <c r="N44" i="27" s="1"/>
  <c r="O76" i="6"/>
  <c r="B95" i="27"/>
  <c r="N95" i="27" s="1"/>
  <c r="O127" i="6"/>
  <c r="B71" i="27"/>
  <c r="N71" i="27" s="1"/>
  <c r="O103" i="6"/>
  <c r="B115" i="27"/>
  <c r="N115" i="27" s="1"/>
  <c r="O165" i="6"/>
  <c r="B121" i="27"/>
  <c r="N121" i="27" s="1"/>
  <c r="O185" i="6"/>
  <c r="B116" i="27"/>
  <c r="N116" i="27" s="1"/>
  <c r="O166" i="6"/>
  <c r="B112" i="27"/>
  <c r="N112" i="27" s="1"/>
  <c r="O162" i="6"/>
  <c r="B133" i="27"/>
  <c r="N133" i="27" s="1"/>
  <c r="O197" i="6"/>
  <c r="B84" i="27"/>
  <c r="N84" i="27" s="1"/>
  <c r="O116" i="6"/>
  <c r="O64" i="6"/>
  <c r="B62" i="27"/>
  <c r="N62" i="27" s="1"/>
  <c r="O94" i="6"/>
  <c r="B33" i="27"/>
  <c r="N33" i="27" s="1"/>
  <c r="O65" i="6"/>
  <c r="O152" i="6"/>
  <c r="B113" i="27"/>
  <c r="N113" i="27" s="1"/>
  <c r="O163" i="6"/>
  <c r="O177" i="6"/>
  <c r="B123" i="27"/>
  <c r="N123" i="27" s="1"/>
  <c r="O187" i="6"/>
  <c r="B122" i="27"/>
  <c r="N122" i="27" s="1"/>
  <c r="O186" i="6"/>
  <c r="B114" i="27"/>
  <c r="N114" i="27" s="1"/>
  <c r="O164" i="6"/>
  <c r="O170" i="6"/>
  <c r="B107" i="27"/>
  <c r="N107" i="27" s="1"/>
  <c r="O139" i="6"/>
  <c r="B127" i="27"/>
  <c r="N127" i="27" s="1"/>
  <c r="O191" i="6"/>
  <c r="J60" i="31"/>
  <c r="H68" i="31"/>
  <c r="H55" i="31" s="1"/>
  <c r="H81" i="31" s="1"/>
  <c r="H86" i="31" s="1"/>
  <c r="K81" i="31"/>
  <c r="K86" i="31" s="1"/>
  <c r="K60" i="31"/>
  <c r="C40" i="6"/>
  <c r="B29" i="13"/>
  <c r="N29" i="13" s="1"/>
  <c r="D20" i="35"/>
  <c r="D22" i="35" s="1"/>
  <c r="E81" i="31"/>
  <c r="E86" i="31" s="1"/>
  <c r="E60" i="31"/>
  <c r="L81" i="31"/>
  <c r="L86" i="31" s="1"/>
  <c r="L60" i="31"/>
  <c r="I60" i="31"/>
  <c r="I81" i="31"/>
  <c r="I86" i="31" s="1"/>
  <c r="M60" i="31"/>
  <c r="M81" i="31"/>
  <c r="M86" i="31" s="1"/>
  <c r="O16" i="16"/>
  <c r="O11" i="16"/>
  <c r="E14" i="26" s="1"/>
  <c r="D81" i="31"/>
  <c r="D86" i="31" s="1"/>
  <c r="D60" i="31"/>
  <c r="H60" i="31"/>
  <c r="C68" i="31"/>
  <c r="C55" i="31" s="1"/>
  <c r="C58" i="31" s="1"/>
  <c r="K59" i="31"/>
  <c r="K82" i="31"/>
  <c r="K58" i="31"/>
  <c r="C59" i="31"/>
  <c r="C82" i="31"/>
  <c r="F59" i="31"/>
  <c r="F82" i="31"/>
  <c r="F58" i="31"/>
  <c r="I59" i="31"/>
  <c r="I82" i="31"/>
  <c r="I58" i="31"/>
  <c r="L59" i="31"/>
  <c r="L82" i="31"/>
  <c r="L58" i="31"/>
  <c r="D59" i="31"/>
  <c r="D82" i="31"/>
  <c r="D58" i="31"/>
  <c r="N56" i="31"/>
  <c r="N60" i="31" s="1"/>
  <c r="G59" i="31"/>
  <c r="G82" i="31"/>
  <c r="G58" i="31"/>
  <c r="J59" i="31"/>
  <c r="J82" i="31"/>
  <c r="J58" i="31"/>
  <c r="M59" i="31"/>
  <c r="M82" i="31"/>
  <c r="M58" i="31"/>
  <c r="E59" i="31"/>
  <c r="E82" i="31"/>
  <c r="E58" i="31"/>
  <c r="H59" i="31"/>
  <c r="H82" i="31"/>
  <c r="B85" i="31"/>
  <c r="I22" i="27"/>
  <c r="F22" i="27"/>
  <c r="D23" i="27"/>
  <c r="H23" i="27"/>
  <c r="L23" i="27"/>
  <c r="E24" i="27"/>
  <c r="I24" i="27"/>
  <c r="M24" i="27"/>
  <c r="F25" i="27"/>
  <c r="J25" i="27"/>
  <c r="C26" i="27"/>
  <c r="G26" i="27"/>
  <c r="K26" i="27"/>
  <c r="D27" i="27"/>
  <c r="H27" i="27"/>
  <c r="L27" i="27"/>
  <c r="C23" i="27"/>
  <c r="G23" i="27"/>
  <c r="K23" i="27"/>
  <c r="D24" i="27"/>
  <c r="H24" i="27"/>
  <c r="L24" i="27"/>
  <c r="E25" i="27"/>
  <c r="I25" i="27"/>
  <c r="M25" i="27"/>
  <c r="F26" i="27"/>
  <c r="J26" i="27"/>
  <c r="C27" i="27"/>
  <c r="G27" i="27"/>
  <c r="K27" i="27"/>
  <c r="G22" i="27"/>
  <c r="D22" i="27"/>
  <c r="L22" i="27"/>
  <c r="F23" i="27"/>
  <c r="J23" i="27"/>
  <c r="C24" i="27"/>
  <c r="G24" i="27"/>
  <c r="K24" i="27"/>
  <c r="D25" i="27"/>
  <c r="H25" i="27"/>
  <c r="L25" i="27"/>
  <c r="E26" i="27"/>
  <c r="I26" i="27"/>
  <c r="M26" i="27"/>
  <c r="F27" i="27"/>
  <c r="J27" i="27"/>
  <c r="E23" i="27"/>
  <c r="I23" i="27"/>
  <c r="M23" i="27"/>
  <c r="F24" i="27"/>
  <c r="J24" i="27"/>
  <c r="C25" i="27"/>
  <c r="G25" i="27"/>
  <c r="K25" i="27"/>
  <c r="D26" i="27"/>
  <c r="H26" i="27"/>
  <c r="L26" i="27"/>
  <c r="E27" i="27"/>
  <c r="I27" i="27"/>
  <c r="M27" i="27"/>
  <c r="C136" i="6"/>
  <c r="E161" i="6"/>
  <c r="D111" i="27" s="1"/>
  <c r="F40" i="6"/>
  <c r="N40" i="6"/>
  <c r="K40" i="6"/>
  <c r="D40" i="6"/>
  <c r="L40" i="6"/>
  <c r="I40" i="6"/>
  <c r="C184" i="6"/>
  <c r="C161" i="6"/>
  <c r="F161" i="6"/>
  <c r="E111" i="27" s="1"/>
  <c r="J161" i="6"/>
  <c r="I111" i="27" s="1"/>
  <c r="N161" i="6"/>
  <c r="M111" i="27" s="1"/>
  <c r="D161" i="6"/>
  <c r="C111" i="27" s="1"/>
  <c r="H161" i="6"/>
  <c r="G111" i="27" s="1"/>
  <c r="L161" i="6"/>
  <c r="K111" i="27" s="1"/>
  <c r="F63" i="6"/>
  <c r="E31" i="27" s="1"/>
  <c r="J63" i="6"/>
  <c r="I31" i="27" s="1"/>
  <c r="N63" i="6"/>
  <c r="M31" i="27" s="1"/>
  <c r="G63" i="6"/>
  <c r="F31" i="27" s="1"/>
  <c r="K63" i="6"/>
  <c r="J31" i="27" s="1"/>
  <c r="C63" i="6"/>
  <c r="D63" i="6"/>
  <c r="C31" i="27" s="1"/>
  <c r="H63" i="6"/>
  <c r="G31" i="27" s="1"/>
  <c r="L63" i="6"/>
  <c r="K31" i="27" s="1"/>
  <c r="E63" i="6"/>
  <c r="D31" i="27" s="1"/>
  <c r="I63" i="6"/>
  <c r="H31" i="27" s="1"/>
  <c r="M63" i="6"/>
  <c r="L31" i="27" s="1"/>
  <c r="B81" i="31" l="1"/>
  <c r="B58" i="31"/>
  <c r="N68" i="31"/>
  <c r="N82" i="31"/>
  <c r="N85" i="31" s="1"/>
  <c r="B86" i="31"/>
  <c r="B31" i="27"/>
  <c r="N31" i="27" s="1"/>
  <c r="O63" i="6"/>
  <c r="B111" i="27"/>
  <c r="N111" i="27" s="1"/>
  <c r="O161" i="6"/>
  <c r="B120" i="27"/>
  <c r="N120" i="27" s="1"/>
  <c r="O184" i="6"/>
  <c r="B104" i="27"/>
  <c r="N104" i="27" s="1"/>
  <c r="O136" i="6"/>
  <c r="B22" i="27"/>
  <c r="O40" i="6"/>
  <c r="H58" i="31"/>
  <c r="N55" i="31"/>
  <c r="N58" i="31" s="1"/>
  <c r="B84" i="31"/>
  <c r="C81" i="31"/>
  <c r="N81" i="31" s="1"/>
  <c r="C60" i="31"/>
  <c r="E85" i="31"/>
  <c r="E84" i="31"/>
  <c r="J85" i="31"/>
  <c r="J84" i="31"/>
  <c r="L85" i="31"/>
  <c r="L84" i="31"/>
  <c r="F85" i="31"/>
  <c r="F84" i="31"/>
  <c r="K85" i="31"/>
  <c r="K84" i="31"/>
  <c r="H85" i="31"/>
  <c r="H84" i="31"/>
  <c r="M85" i="31"/>
  <c r="M84" i="31"/>
  <c r="G85" i="31"/>
  <c r="G84" i="31"/>
  <c r="D85" i="31"/>
  <c r="D84" i="31"/>
  <c r="I85" i="31"/>
  <c r="I84" i="31"/>
  <c r="C85" i="31"/>
  <c r="N25" i="27"/>
  <c r="N24" i="27"/>
  <c r="N27" i="27"/>
  <c r="N23" i="27"/>
  <c r="N26" i="27"/>
  <c r="K22" i="27"/>
  <c r="J22" i="27"/>
  <c r="E22" i="27"/>
  <c r="H22" i="27"/>
  <c r="C22" i="27"/>
  <c r="M22" i="27"/>
  <c r="C66" i="6"/>
  <c r="C84" i="31" l="1"/>
  <c r="B34" i="27"/>
  <c r="N34" i="27" s="1"/>
  <c r="O66" i="6"/>
  <c r="C86" i="31"/>
  <c r="N22" i="27"/>
  <c r="D18" i="6"/>
  <c r="E18" i="6"/>
  <c r="F18" i="6"/>
  <c r="G18" i="6"/>
  <c r="H18" i="6"/>
  <c r="I18" i="6"/>
  <c r="J18" i="6"/>
  <c r="K18" i="6"/>
  <c r="L18" i="6"/>
  <c r="M18" i="6"/>
  <c r="N18" i="6"/>
  <c r="C18" i="6"/>
  <c r="D16" i="6"/>
  <c r="E16" i="6"/>
  <c r="F16" i="6"/>
  <c r="G16" i="6"/>
  <c r="H16" i="6"/>
  <c r="I16" i="6"/>
  <c r="J16" i="6"/>
  <c r="K16" i="6"/>
  <c r="L16" i="6"/>
  <c r="M16" i="6"/>
  <c r="N16" i="6"/>
  <c r="D17" i="6"/>
  <c r="E17" i="6"/>
  <c r="F17" i="6"/>
  <c r="G17" i="6"/>
  <c r="H17" i="6"/>
  <c r="I17" i="6"/>
  <c r="J17" i="6"/>
  <c r="K17" i="6"/>
  <c r="L17" i="6"/>
  <c r="M17" i="6"/>
  <c r="N17" i="6"/>
  <c r="C17" i="6"/>
  <c r="C16" i="6"/>
  <c r="D7" i="6"/>
  <c r="C7" i="27" s="1"/>
  <c r="E7" i="6"/>
  <c r="F7" i="6"/>
  <c r="G7" i="6"/>
  <c r="H7" i="6"/>
  <c r="I7" i="6"/>
  <c r="J7" i="6"/>
  <c r="K7" i="6"/>
  <c r="L7" i="6"/>
  <c r="M7" i="6"/>
  <c r="N7" i="6"/>
  <c r="D8" i="6"/>
  <c r="C21" i="47" s="1"/>
  <c r="E8" i="6"/>
  <c r="D21" i="47" s="1"/>
  <c r="F8" i="6"/>
  <c r="E21" i="47" s="1"/>
  <c r="G8" i="6"/>
  <c r="F21" i="47" s="1"/>
  <c r="H8" i="6"/>
  <c r="G21" i="47" s="1"/>
  <c r="I8" i="6"/>
  <c r="H21" i="47" s="1"/>
  <c r="J8" i="6"/>
  <c r="I21" i="47" s="1"/>
  <c r="K8" i="6"/>
  <c r="J21" i="47" s="1"/>
  <c r="L8" i="6"/>
  <c r="K21" i="47" s="1"/>
  <c r="M8" i="6"/>
  <c r="L21" i="47" s="1"/>
  <c r="N8" i="6"/>
  <c r="M21" i="47" s="1"/>
  <c r="D9" i="6"/>
  <c r="E9" i="6"/>
  <c r="D22" i="47" s="1"/>
  <c r="D23" i="47" s="1"/>
  <c r="F9" i="6"/>
  <c r="E22" i="47" s="1"/>
  <c r="E23" i="47" s="1"/>
  <c r="G9" i="6"/>
  <c r="F22" i="47" s="1"/>
  <c r="F23" i="47" s="1"/>
  <c r="H9" i="6"/>
  <c r="G22" i="47" s="1"/>
  <c r="G23" i="47" s="1"/>
  <c r="I9" i="6"/>
  <c r="H22" i="47" s="1"/>
  <c r="H23" i="47" s="1"/>
  <c r="J9" i="6"/>
  <c r="I22" i="47" s="1"/>
  <c r="I23" i="47" s="1"/>
  <c r="K9" i="6"/>
  <c r="J22" i="47" s="1"/>
  <c r="J23" i="47" s="1"/>
  <c r="L9" i="6"/>
  <c r="K22" i="47" s="1"/>
  <c r="K23" i="47" s="1"/>
  <c r="M9" i="6"/>
  <c r="L22" i="47" s="1"/>
  <c r="L23" i="47" s="1"/>
  <c r="N9" i="6"/>
  <c r="M22" i="47" s="1"/>
  <c r="M23" i="47" s="1"/>
  <c r="D10" i="6"/>
  <c r="C10" i="27" s="1"/>
  <c r="E10" i="6"/>
  <c r="F10" i="6"/>
  <c r="G10" i="6"/>
  <c r="H10" i="6"/>
  <c r="I10" i="6"/>
  <c r="J10" i="6"/>
  <c r="K10" i="6"/>
  <c r="L10" i="6"/>
  <c r="M10" i="6"/>
  <c r="N10" i="6"/>
  <c r="D11" i="6"/>
  <c r="E11" i="6"/>
  <c r="F11" i="6"/>
  <c r="G11" i="6"/>
  <c r="H11" i="6"/>
  <c r="I11" i="6"/>
  <c r="J11" i="6"/>
  <c r="K11" i="6"/>
  <c r="L11" i="6"/>
  <c r="M11" i="6"/>
  <c r="N11" i="6"/>
  <c r="C11" i="6"/>
  <c r="C10" i="6"/>
  <c r="C9" i="6"/>
  <c r="B22" i="47" s="1"/>
  <c r="B23" i="47" s="1"/>
  <c r="C8" i="6"/>
  <c r="B21" i="47" s="1"/>
  <c r="C7" i="6"/>
  <c r="L29" i="47" l="1"/>
  <c r="L30" i="47" s="1"/>
  <c r="L32" i="47" s="1"/>
  <c r="J29" i="47"/>
  <c r="J30" i="47" s="1"/>
  <c r="J32" i="47" s="1"/>
  <c r="H29" i="47"/>
  <c r="H30" i="47" s="1"/>
  <c r="H32" i="47" s="1"/>
  <c r="F29" i="47"/>
  <c r="F30" i="47" s="1"/>
  <c r="F32" i="47" s="1"/>
  <c r="D29" i="47"/>
  <c r="D30" i="47" s="1"/>
  <c r="D32" i="47" s="1"/>
  <c r="C9" i="27"/>
  <c r="C22" i="47"/>
  <c r="C23" i="47" s="1"/>
  <c r="B29" i="47"/>
  <c r="B30" i="47" s="1"/>
  <c r="B32" i="47" s="1"/>
  <c r="M29" i="47"/>
  <c r="M30" i="47" s="1"/>
  <c r="M32" i="47" s="1"/>
  <c r="K29" i="47"/>
  <c r="K30" i="47" s="1"/>
  <c r="K32" i="47" s="1"/>
  <c r="I29" i="47"/>
  <c r="I30" i="47" s="1"/>
  <c r="I32" i="47" s="1"/>
  <c r="G29" i="47"/>
  <c r="G30" i="47" s="1"/>
  <c r="G32" i="47" s="1"/>
  <c r="E29" i="47"/>
  <c r="E30" i="47" s="1"/>
  <c r="E32" i="47" s="1"/>
  <c r="C29" i="47"/>
  <c r="C30" i="47" s="1"/>
  <c r="C32" i="47" s="1"/>
  <c r="O17" i="6"/>
  <c r="O11" i="6"/>
  <c r="O16" i="6"/>
  <c r="O18" i="6"/>
  <c r="B9" i="27"/>
  <c r="O9" i="6"/>
  <c r="B8" i="27"/>
  <c r="O8" i="6"/>
  <c r="B10" i="27"/>
  <c r="B145" i="27" s="1"/>
  <c r="O10" i="6"/>
  <c r="B7" i="27"/>
  <c r="O7" i="6"/>
  <c r="N84" i="31"/>
  <c r="N86" i="31"/>
  <c r="M210" i="6"/>
  <c r="M9" i="16" s="1"/>
  <c r="K210" i="6"/>
  <c r="K9" i="16" s="1"/>
  <c r="I210" i="6"/>
  <c r="I9" i="16" s="1"/>
  <c r="G210" i="6"/>
  <c r="G9" i="16" s="1"/>
  <c r="E210" i="6"/>
  <c r="E9" i="16" s="1"/>
  <c r="N209" i="6"/>
  <c r="L209" i="6"/>
  <c r="J209" i="6"/>
  <c r="H209" i="6"/>
  <c r="F209" i="6"/>
  <c r="D209" i="6"/>
  <c r="M208" i="6"/>
  <c r="K208" i="6"/>
  <c r="I208" i="6"/>
  <c r="G208" i="6"/>
  <c r="E208" i="6"/>
  <c r="N207" i="6"/>
  <c r="L207" i="6"/>
  <c r="J207" i="6"/>
  <c r="H207" i="6"/>
  <c r="F207" i="6"/>
  <c r="D207" i="6"/>
  <c r="M206" i="6"/>
  <c r="K206" i="6"/>
  <c r="I206" i="6"/>
  <c r="G206" i="6"/>
  <c r="E206" i="6"/>
  <c r="N210" i="6"/>
  <c r="N9" i="16" s="1"/>
  <c r="L210" i="6"/>
  <c r="L9" i="16" s="1"/>
  <c r="J210" i="6"/>
  <c r="J9" i="16" s="1"/>
  <c r="H210" i="6"/>
  <c r="H9" i="16" s="1"/>
  <c r="F210" i="6"/>
  <c r="F9" i="16" s="1"/>
  <c r="D210" i="6"/>
  <c r="D9" i="16" s="1"/>
  <c r="M209" i="6"/>
  <c r="K209" i="6"/>
  <c r="I209" i="6"/>
  <c r="G209" i="6"/>
  <c r="E209" i="6"/>
  <c r="N208" i="6"/>
  <c r="L208" i="6"/>
  <c r="J208" i="6"/>
  <c r="H208" i="6"/>
  <c r="F208" i="6"/>
  <c r="D208" i="6"/>
  <c r="M207" i="6"/>
  <c r="K207" i="6"/>
  <c r="I207" i="6"/>
  <c r="G207" i="6"/>
  <c r="E207" i="6"/>
  <c r="N206" i="6"/>
  <c r="L206" i="6"/>
  <c r="J206" i="6"/>
  <c r="H206" i="6"/>
  <c r="F206" i="6"/>
  <c r="D206" i="6"/>
  <c r="C206" i="6"/>
  <c r="B14" i="13"/>
  <c r="C208" i="6"/>
  <c r="B16" i="13"/>
  <c r="C210" i="6"/>
  <c r="B18" i="13"/>
  <c r="B11" i="27"/>
  <c r="L18" i="13"/>
  <c r="L155" i="13" s="1"/>
  <c r="L255" i="13" s="1"/>
  <c r="L11" i="27"/>
  <c r="J18" i="13"/>
  <c r="J155" i="13" s="1"/>
  <c r="J255" i="13" s="1"/>
  <c r="J11" i="27"/>
  <c r="H18" i="13"/>
  <c r="H155" i="13" s="1"/>
  <c r="H255" i="13" s="1"/>
  <c r="H11" i="27"/>
  <c r="F18" i="13"/>
  <c r="F155" i="13" s="1"/>
  <c r="F255" i="13" s="1"/>
  <c r="F11" i="27"/>
  <c r="D18" i="13"/>
  <c r="D155" i="13" s="1"/>
  <c r="D255" i="13" s="1"/>
  <c r="D11" i="27"/>
  <c r="M17" i="13"/>
  <c r="M10" i="27"/>
  <c r="K17" i="13"/>
  <c r="K10" i="27"/>
  <c r="I17" i="13"/>
  <c r="I10" i="27"/>
  <c r="G17" i="13"/>
  <c r="G10" i="27"/>
  <c r="E17" i="13"/>
  <c r="E10" i="27"/>
  <c r="C17" i="13"/>
  <c r="L16" i="13"/>
  <c r="L9" i="27"/>
  <c r="J16" i="13"/>
  <c r="J9" i="27"/>
  <c r="H16" i="13"/>
  <c r="H9" i="27"/>
  <c r="F16" i="13"/>
  <c r="F9" i="27"/>
  <c r="D16" i="13"/>
  <c r="D9" i="27"/>
  <c r="M15" i="13"/>
  <c r="M8" i="27"/>
  <c r="K15" i="13"/>
  <c r="K8" i="27"/>
  <c r="I15" i="13"/>
  <c r="I8" i="27"/>
  <c r="G15" i="13"/>
  <c r="G8" i="27"/>
  <c r="E15" i="13"/>
  <c r="E8" i="27"/>
  <c r="C15" i="13"/>
  <c r="C8" i="27"/>
  <c r="L14" i="13"/>
  <c r="L7" i="27"/>
  <c r="J14" i="13"/>
  <c r="J7" i="27"/>
  <c r="H14" i="13"/>
  <c r="H7" i="27"/>
  <c r="F14" i="13"/>
  <c r="F7" i="27"/>
  <c r="D14" i="13"/>
  <c r="D7" i="27"/>
  <c r="B7" i="13"/>
  <c r="B16" i="27"/>
  <c r="M8" i="13"/>
  <c r="M17" i="27"/>
  <c r="K8" i="13"/>
  <c r="K17" i="27"/>
  <c r="I8" i="13"/>
  <c r="I17" i="27"/>
  <c r="G8" i="13"/>
  <c r="G17" i="27"/>
  <c r="E8" i="13"/>
  <c r="E17" i="27"/>
  <c r="C8" i="13"/>
  <c r="C17" i="27"/>
  <c r="L7" i="13"/>
  <c r="L16" i="27"/>
  <c r="J7" i="13"/>
  <c r="J16" i="27"/>
  <c r="H7" i="13"/>
  <c r="H16" i="27"/>
  <c r="F7" i="13"/>
  <c r="F16" i="27"/>
  <c r="D7" i="13"/>
  <c r="D16" i="27"/>
  <c r="B9" i="13"/>
  <c r="B18" i="27"/>
  <c r="L9" i="13"/>
  <c r="L18" i="27"/>
  <c r="J9" i="13"/>
  <c r="J18" i="27"/>
  <c r="H9" i="13"/>
  <c r="H18" i="27"/>
  <c r="F9" i="13"/>
  <c r="F18" i="27"/>
  <c r="D9" i="13"/>
  <c r="D18" i="27"/>
  <c r="C207" i="6"/>
  <c r="B15" i="13"/>
  <c r="C209" i="6"/>
  <c r="B17" i="13"/>
  <c r="M18" i="13"/>
  <c r="M155" i="13" s="1"/>
  <c r="M255" i="13" s="1"/>
  <c r="M11" i="27"/>
  <c r="K18" i="13"/>
  <c r="K155" i="13" s="1"/>
  <c r="K255" i="13" s="1"/>
  <c r="K11" i="27"/>
  <c r="I18" i="13"/>
  <c r="I155" i="13" s="1"/>
  <c r="I255" i="13" s="1"/>
  <c r="I11" i="27"/>
  <c r="G18" i="13"/>
  <c r="G155" i="13" s="1"/>
  <c r="G255" i="13" s="1"/>
  <c r="G11" i="27"/>
  <c r="E18" i="13"/>
  <c r="E155" i="13" s="1"/>
  <c r="E255" i="13" s="1"/>
  <c r="E11" i="27"/>
  <c r="C18" i="13"/>
  <c r="C155" i="13" s="1"/>
  <c r="C255" i="13" s="1"/>
  <c r="C11" i="27"/>
  <c r="L17" i="13"/>
  <c r="L10" i="27"/>
  <c r="J17" i="13"/>
  <c r="J10" i="27"/>
  <c r="H17" i="13"/>
  <c r="H10" i="27"/>
  <c r="F17" i="13"/>
  <c r="F10" i="27"/>
  <c r="D17" i="13"/>
  <c r="D10" i="27"/>
  <c r="M16" i="13"/>
  <c r="M9" i="27"/>
  <c r="K16" i="13"/>
  <c r="K9" i="27"/>
  <c r="I16" i="13"/>
  <c r="I9" i="27"/>
  <c r="G16" i="13"/>
  <c r="G9" i="27"/>
  <c r="E16" i="13"/>
  <c r="E9" i="27"/>
  <c r="C16" i="13"/>
  <c r="L15" i="13"/>
  <c r="L8" i="27"/>
  <c r="J15" i="13"/>
  <c r="J8" i="27"/>
  <c r="H15" i="13"/>
  <c r="H8" i="27"/>
  <c r="F15" i="13"/>
  <c r="F8" i="27"/>
  <c r="D15" i="13"/>
  <c r="D8" i="27"/>
  <c r="M14" i="13"/>
  <c r="M7" i="27"/>
  <c r="K14" i="13"/>
  <c r="K7" i="27"/>
  <c r="I14" i="13"/>
  <c r="I7" i="27"/>
  <c r="G14" i="13"/>
  <c r="G7" i="27"/>
  <c r="E14" i="13"/>
  <c r="E7" i="27"/>
  <c r="C14" i="13"/>
  <c r="B8" i="13"/>
  <c r="B17" i="27"/>
  <c r="L8" i="13"/>
  <c r="L153" i="13" s="1"/>
  <c r="L253" i="13" s="1"/>
  <c r="L17" i="27"/>
  <c r="J8" i="13"/>
  <c r="J153" i="13" s="1"/>
  <c r="J253" i="13" s="1"/>
  <c r="J17" i="27"/>
  <c r="H8" i="13"/>
  <c r="H153" i="13" s="1"/>
  <c r="H253" i="13" s="1"/>
  <c r="H17" i="27"/>
  <c r="F8" i="13"/>
  <c r="F153" i="13" s="1"/>
  <c r="F253" i="13" s="1"/>
  <c r="F17" i="27"/>
  <c r="D8" i="13"/>
  <c r="D153" i="13" s="1"/>
  <c r="D253" i="13" s="1"/>
  <c r="D17" i="27"/>
  <c r="M7" i="13"/>
  <c r="M152" i="13" s="1"/>
  <c r="M252" i="13" s="1"/>
  <c r="M16" i="27"/>
  <c r="K7" i="13"/>
  <c r="K152" i="13" s="1"/>
  <c r="K252" i="13" s="1"/>
  <c r="K16" i="27"/>
  <c r="I7" i="13"/>
  <c r="I152" i="13" s="1"/>
  <c r="I252" i="13" s="1"/>
  <c r="I16" i="27"/>
  <c r="G7" i="13"/>
  <c r="G152" i="13" s="1"/>
  <c r="G252" i="13" s="1"/>
  <c r="G16" i="27"/>
  <c r="E7" i="13"/>
  <c r="E152" i="13" s="1"/>
  <c r="E252" i="13" s="1"/>
  <c r="E16" i="27"/>
  <c r="C7" i="13"/>
  <c r="C152" i="13" s="1"/>
  <c r="C252" i="13" s="1"/>
  <c r="C16" i="27"/>
  <c r="M9" i="13"/>
  <c r="M154" i="13" s="1"/>
  <c r="M254" i="13" s="1"/>
  <c r="M18" i="27"/>
  <c r="K9" i="13"/>
  <c r="K154" i="13" s="1"/>
  <c r="K254" i="13" s="1"/>
  <c r="K18" i="27"/>
  <c r="I9" i="13"/>
  <c r="I154" i="13" s="1"/>
  <c r="I254" i="13" s="1"/>
  <c r="I18" i="27"/>
  <c r="G9" i="13"/>
  <c r="G154" i="13" s="1"/>
  <c r="G254" i="13" s="1"/>
  <c r="G18" i="27"/>
  <c r="E9" i="13"/>
  <c r="E154" i="13" s="1"/>
  <c r="E254" i="13" s="1"/>
  <c r="E18" i="27"/>
  <c r="C9" i="13"/>
  <c r="C154" i="13" s="1"/>
  <c r="C254" i="13" s="1"/>
  <c r="C18" i="27"/>
  <c r="C15" i="6"/>
  <c r="C6" i="6"/>
  <c r="N15" i="6"/>
  <c r="L15" i="6"/>
  <c r="J15" i="6"/>
  <c r="H15" i="6"/>
  <c r="F15" i="6"/>
  <c r="D15" i="6"/>
  <c r="M6" i="6"/>
  <c r="K6" i="6"/>
  <c r="I6" i="6"/>
  <c r="G6" i="6"/>
  <c r="E6" i="6"/>
  <c r="N6" i="6"/>
  <c r="L6" i="6"/>
  <c r="J6" i="6"/>
  <c r="H6" i="6"/>
  <c r="F6" i="6"/>
  <c r="D6" i="6"/>
  <c r="C6" i="27" s="1"/>
  <c r="M15" i="6"/>
  <c r="K15" i="6"/>
  <c r="I15" i="6"/>
  <c r="G15" i="6"/>
  <c r="E15" i="6"/>
  <c r="B38" i="31" l="1"/>
  <c r="B143" i="27"/>
  <c r="B144" i="27"/>
  <c r="B142" i="27"/>
  <c r="N8" i="13"/>
  <c r="B153" i="13"/>
  <c r="D154" i="13"/>
  <c r="D254" i="13" s="1"/>
  <c r="F154" i="13"/>
  <c r="F254" i="13" s="1"/>
  <c r="H154" i="13"/>
  <c r="H254" i="13" s="1"/>
  <c r="J154" i="13"/>
  <c r="J254" i="13" s="1"/>
  <c r="L154" i="13"/>
  <c r="L254" i="13" s="1"/>
  <c r="N9" i="13"/>
  <c r="B154" i="13"/>
  <c r="D152" i="13"/>
  <c r="D252" i="13" s="1"/>
  <c r="F152" i="13"/>
  <c r="F252" i="13" s="1"/>
  <c r="H152" i="13"/>
  <c r="H252" i="13" s="1"/>
  <c r="J152" i="13"/>
  <c r="J252" i="13" s="1"/>
  <c r="L152" i="13"/>
  <c r="L252" i="13" s="1"/>
  <c r="C153" i="13"/>
  <c r="C253" i="13" s="1"/>
  <c r="E153" i="13"/>
  <c r="E253" i="13" s="1"/>
  <c r="G153" i="13"/>
  <c r="G253" i="13" s="1"/>
  <c r="I153" i="13"/>
  <c r="I253" i="13" s="1"/>
  <c r="K153" i="13"/>
  <c r="K253" i="13" s="1"/>
  <c r="M153" i="13"/>
  <c r="M253" i="13" s="1"/>
  <c r="N7" i="13"/>
  <c r="B152" i="13"/>
  <c r="F205" i="6"/>
  <c r="J205" i="6"/>
  <c r="N205" i="6"/>
  <c r="N17" i="13"/>
  <c r="N15" i="13"/>
  <c r="N18" i="13"/>
  <c r="B155" i="13"/>
  <c r="N16" i="13"/>
  <c r="N14" i="13"/>
  <c r="B6" i="27"/>
  <c r="O6" i="6"/>
  <c r="D5" i="16"/>
  <c r="C4" i="31" s="1"/>
  <c r="C7" i="31" s="1"/>
  <c r="C5" i="31"/>
  <c r="H5" i="16"/>
  <c r="G4" i="31" s="1"/>
  <c r="G5" i="31"/>
  <c r="L5" i="16"/>
  <c r="K4" i="31" s="1"/>
  <c r="K5" i="31"/>
  <c r="E5" i="16"/>
  <c r="D4" i="31" s="1"/>
  <c r="D5" i="31"/>
  <c r="I5" i="16"/>
  <c r="H4" i="31" s="1"/>
  <c r="H7" i="31" s="1"/>
  <c r="H5" i="31"/>
  <c r="M5" i="16"/>
  <c r="L4" i="31" s="1"/>
  <c r="L5" i="31"/>
  <c r="O15" i="6"/>
  <c r="O209" i="6"/>
  <c r="B30" i="31"/>
  <c r="O207" i="6"/>
  <c r="C9" i="16"/>
  <c r="O210" i="6"/>
  <c r="B31" i="31"/>
  <c r="O208" i="6"/>
  <c r="O206" i="6"/>
  <c r="F5" i="16"/>
  <c r="E4" i="31" s="1"/>
  <c r="E5" i="31"/>
  <c r="J5" i="16"/>
  <c r="I4" i="31" s="1"/>
  <c r="I5" i="31"/>
  <c r="N5" i="16"/>
  <c r="M4" i="31" s="1"/>
  <c r="M5" i="31"/>
  <c r="G5" i="16"/>
  <c r="F4" i="31" s="1"/>
  <c r="F5" i="31"/>
  <c r="K5" i="16"/>
  <c r="J4" i="31" s="1"/>
  <c r="J5" i="31"/>
  <c r="J7" i="31" s="1"/>
  <c r="C8" i="16"/>
  <c r="C140" i="16" s="1"/>
  <c r="C142" i="16" s="1"/>
  <c r="B32" i="31"/>
  <c r="E6" i="16"/>
  <c r="E116" i="16" s="1"/>
  <c r="E118" i="16" s="1"/>
  <c r="D30" i="31"/>
  <c r="I6" i="16"/>
  <c r="T3" i="35" s="1"/>
  <c r="T35" i="35" s="1"/>
  <c r="H30" i="31"/>
  <c r="M6" i="16"/>
  <c r="AF3" i="35" s="1"/>
  <c r="L30" i="31"/>
  <c r="F7" i="16"/>
  <c r="F128" i="16" s="1"/>
  <c r="F130" i="16" s="1"/>
  <c r="E31" i="31"/>
  <c r="J7" i="16"/>
  <c r="X3" i="35" s="1"/>
  <c r="I31" i="31"/>
  <c r="N7" i="16"/>
  <c r="AJ3" i="35" s="1"/>
  <c r="M31" i="31"/>
  <c r="G8" i="16"/>
  <c r="G140" i="16" s="1"/>
  <c r="F32" i="31"/>
  <c r="K8" i="16"/>
  <c r="AB3" i="35" s="1"/>
  <c r="J32" i="31"/>
  <c r="F6" i="16"/>
  <c r="F116" i="16" s="1"/>
  <c r="F118" i="16" s="1"/>
  <c r="E30" i="31"/>
  <c r="J6" i="16"/>
  <c r="W3" i="35" s="1"/>
  <c r="I30" i="31"/>
  <c r="N6" i="16"/>
  <c r="AI3" i="35" s="1"/>
  <c r="M30" i="31"/>
  <c r="E7" i="16"/>
  <c r="E128" i="16" s="1"/>
  <c r="E130" i="16" s="1"/>
  <c r="D31" i="31"/>
  <c r="I7" i="16"/>
  <c r="U3" i="35" s="1"/>
  <c r="U35" i="35" s="1"/>
  <c r="H31" i="31"/>
  <c r="M7" i="16"/>
  <c r="AG3" i="35" s="1"/>
  <c r="L31" i="31"/>
  <c r="F8" i="16"/>
  <c r="F140" i="16" s="1"/>
  <c r="E32" i="31"/>
  <c r="J8" i="16"/>
  <c r="Y3" i="35" s="1"/>
  <c r="I32" i="31"/>
  <c r="N8" i="16"/>
  <c r="AK3" i="35" s="1"/>
  <c r="M32" i="31"/>
  <c r="C142" i="27"/>
  <c r="C6" i="31" s="1"/>
  <c r="E142" i="27"/>
  <c r="E6" i="31" s="1"/>
  <c r="G142" i="27"/>
  <c r="G6" i="31" s="1"/>
  <c r="I142" i="27"/>
  <c r="I6" i="31" s="1"/>
  <c r="K142" i="27"/>
  <c r="K6" i="31" s="1"/>
  <c r="M142" i="27"/>
  <c r="M6" i="31" s="1"/>
  <c r="D143" i="27"/>
  <c r="D36" i="31" s="1"/>
  <c r="F143" i="27"/>
  <c r="F36" i="31" s="1"/>
  <c r="H143" i="27"/>
  <c r="H36" i="31" s="1"/>
  <c r="J143" i="27"/>
  <c r="J36" i="31" s="1"/>
  <c r="L143" i="27"/>
  <c r="L36" i="31" s="1"/>
  <c r="C144" i="27"/>
  <c r="C37" i="31" s="1"/>
  <c r="E144" i="27"/>
  <c r="E37" i="31" s="1"/>
  <c r="G144" i="27"/>
  <c r="G37" i="31" s="1"/>
  <c r="I144" i="27"/>
  <c r="I37" i="31" s="1"/>
  <c r="K144" i="27"/>
  <c r="K37" i="31" s="1"/>
  <c r="M144" i="27"/>
  <c r="M37" i="31" s="1"/>
  <c r="D145" i="27"/>
  <c r="D38" i="31" s="1"/>
  <c r="F145" i="27"/>
  <c r="F38" i="31" s="1"/>
  <c r="H145" i="27"/>
  <c r="H38" i="31" s="1"/>
  <c r="J145" i="27"/>
  <c r="J38" i="31" s="1"/>
  <c r="L145" i="27"/>
  <c r="L38" i="31" s="1"/>
  <c r="D142" i="27"/>
  <c r="D6" i="31" s="1"/>
  <c r="F142" i="27"/>
  <c r="F6" i="31" s="1"/>
  <c r="F9" i="31" s="1"/>
  <c r="H142" i="27"/>
  <c r="H6" i="31" s="1"/>
  <c r="J142" i="27"/>
  <c r="J6" i="31" s="1"/>
  <c r="J9" i="31" s="1"/>
  <c r="L142" i="27"/>
  <c r="L6" i="31" s="1"/>
  <c r="C143" i="27"/>
  <c r="C36" i="31" s="1"/>
  <c r="E143" i="27"/>
  <c r="E36" i="31" s="1"/>
  <c r="G143" i="27"/>
  <c r="G36" i="31" s="1"/>
  <c r="I143" i="27"/>
  <c r="I36" i="31" s="1"/>
  <c r="K143" i="27"/>
  <c r="K36" i="31" s="1"/>
  <c r="M143" i="27"/>
  <c r="M36" i="31" s="1"/>
  <c r="D144" i="27"/>
  <c r="D37" i="31" s="1"/>
  <c r="F144" i="27"/>
  <c r="F37" i="31" s="1"/>
  <c r="H144" i="27"/>
  <c r="H37" i="31" s="1"/>
  <c r="J144" i="27"/>
  <c r="J37" i="31" s="1"/>
  <c r="L144" i="27"/>
  <c r="L37" i="31" s="1"/>
  <c r="C145" i="27"/>
  <c r="C38" i="31" s="1"/>
  <c r="E145" i="27"/>
  <c r="E38" i="31" s="1"/>
  <c r="G145" i="27"/>
  <c r="G38" i="31" s="1"/>
  <c r="I145" i="27"/>
  <c r="I38" i="31" s="1"/>
  <c r="K145" i="27"/>
  <c r="K38" i="31" s="1"/>
  <c r="M145" i="27"/>
  <c r="M38" i="31" s="1"/>
  <c r="C5" i="16"/>
  <c r="B4" i="31" s="1"/>
  <c r="N4" i="31" s="1"/>
  <c r="B5" i="31"/>
  <c r="G6" i="16"/>
  <c r="G116" i="16" s="1"/>
  <c r="G118" i="16" s="1"/>
  <c r="F30" i="31"/>
  <c r="K6" i="16"/>
  <c r="Z3" i="35" s="1"/>
  <c r="J30" i="31"/>
  <c r="D7" i="16"/>
  <c r="D128" i="16" s="1"/>
  <c r="D135" i="16" s="1"/>
  <c r="D137" i="16" s="1"/>
  <c r="C31" i="31"/>
  <c r="H7" i="16"/>
  <c r="H128" i="16" s="1"/>
  <c r="H130" i="16" s="1"/>
  <c r="G31" i="31"/>
  <c r="L7" i="16"/>
  <c r="AD3" i="35" s="1"/>
  <c r="K31" i="31"/>
  <c r="E8" i="16"/>
  <c r="E140" i="16" s="1"/>
  <c r="D32" i="31"/>
  <c r="I8" i="16"/>
  <c r="V3" i="35" s="1"/>
  <c r="V35" i="35" s="1"/>
  <c r="H32" i="31"/>
  <c r="M8" i="16"/>
  <c r="AH3" i="35" s="1"/>
  <c r="L32" i="31"/>
  <c r="D6" i="16"/>
  <c r="D116" i="16" s="1"/>
  <c r="D118" i="16" s="1"/>
  <c r="C30" i="31"/>
  <c r="H6" i="16"/>
  <c r="H116" i="16" s="1"/>
  <c r="H118" i="16" s="1"/>
  <c r="G30" i="31"/>
  <c r="L6" i="16"/>
  <c r="AC3" i="35" s="1"/>
  <c r="K30" i="31"/>
  <c r="G7" i="16"/>
  <c r="G128" i="16" s="1"/>
  <c r="G135" i="16" s="1"/>
  <c r="G137" i="16" s="1"/>
  <c r="F31" i="31"/>
  <c r="K7" i="16"/>
  <c r="AA3" i="35" s="1"/>
  <c r="J31" i="31"/>
  <c r="D8" i="16"/>
  <c r="C26" i="31" s="1"/>
  <c r="C32" i="31"/>
  <c r="H8" i="16"/>
  <c r="G26" i="31" s="1"/>
  <c r="G32" i="31"/>
  <c r="L8" i="16"/>
  <c r="AE3" i="35" s="1"/>
  <c r="K32" i="31"/>
  <c r="F135" i="16"/>
  <c r="F137" i="16" s="1"/>
  <c r="E135" i="16"/>
  <c r="E137" i="16" s="1"/>
  <c r="E123" i="16"/>
  <c r="E125" i="16" s="1"/>
  <c r="F123" i="16"/>
  <c r="F125" i="16" s="1"/>
  <c r="H24" i="31"/>
  <c r="L24" i="31"/>
  <c r="I25" i="31"/>
  <c r="M25" i="31"/>
  <c r="F26" i="31"/>
  <c r="J26" i="31"/>
  <c r="I24" i="31"/>
  <c r="M24" i="31"/>
  <c r="H25" i="31"/>
  <c r="L25" i="31"/>
  <c r="E26" i="31"/>
  <c r="I26" i="31"/>
  <c r="M26" i="31"/>
  <c r="M27" i="31" s="1"/>
  <c r="M14" i="31" s="1"/>
  <c r="O9" i="16"/>
  <c r="K7" i="31"/>
  <c r="D24" i="31"/>
  <c r="E25" i="31"/>
  <c r="K3" i="35"/>
  <c r="K35" i="35" s="1"/>
  <c r="I3" i="35"/>
  <c r="E9" i="31"/>
  <c r="I9" i="31"/>
  <c r="M9" i="31"/>
  <c r="F24" i="31"/>
  <c r="C6" i="16"/>
  <c r="C116" i="16" s="1"/>
  <c r="C7" i="16"/>
  <c r="C128" i="16" s="1"/>
  <c r="D205" i="6"/>
  <c r="H205" i="6"/>
  <c r="L205" i="6"/>
  <c r="E205" i="6"/>
  <c r="I205" i="6"/>
  <c r="M205" i="6"/>
  <c r="N8" i="27"/>
  <c r="G13" i="26" s="1"/>
  <c r="N9" i="27"/>
  <c r="H13" i="26" s="1"/>
  <c r="G205" i="6"/>
  <c r="K205" i="6"/>
  <c r="N17" i="27"/>
  <c r="G12" i="26" s="1"/>
  <c r="G19" i="26" s="1"/>
  <c r="G25" i="26" s="1"/>
  <c r="N10" i="27"/>
  <c r="N18" i="27"/>
  <c r="J12" i="26" s="1"/>
  <c r="J19" i="26" s="1"/>
  <c r="N16" i="27"/>
  <c r="E12" i="26" s="1"/>
  <c r="N11" i="27"/>
  <c r="N7" i="27"/>
  <c r="E13" i="26" s="1"/>
  <c r="G6" i="27"/>
  <c r="K6" i="27"/>
  <c r="D6" i="27"/>
  <c r="H6" i="27"/>
  <c r="L6" i="27"/>
  <c r="E6" i="27"/>
  <c r="I6" i="27"/>
  <c r="M6" i="27"/>
  <c r="F6" i="27"/>
  <c r="J6" i="27"/>
  <c r="D6" i="13"/>
  <c r="D151" i="13" s="1"/>
  <c r="D251" i="13" s="1"/>
  <c r="D15" i="27"/>
  <c r="H6" i="13"/>
  <c r="H151" i="13" s="1"/>
  <c r="H251" i="13" s="1"/>
  <c r="H15" i="27"/>
  <c r="L6" i="13"/>
  <c r="L151" i="13" s="1"/>
  <c r="L251" i="13" s="1"/>
  <c r="L15" i="27"/>
  <c r="C6" i="13"/>
  <c r="C151" i="13" s="1"/>
  <c r="C251" i="13" s="1"/>
  <c r="C15" i="27"/>
  <c r="G6" i="13"/>
  <c r="G151" i="13" s="1"/>
  <c r="G251" i="13" s="1"/>
  <c r="G15" i="27"/>
  <c r="K6" i="13"/>
  <c r="K151" i="13" s="1"/>
  <c r="K251" i="13" s="1"/>
  <c r="K15" i="27"/>
  <c r="F6" i="13"/>
  <c r="F151" i="13" s="1"/>
  <c r="F251" i="13" s="1"/>
  <c r="F15" i="27"/>
  <c r="J6" i="13"/>
  <c r="J151" i="13" s="1"/>
  <c r="J251" i="13" s="1"/>
  <c r="J15" i="27"/>
  <c r="E6" i="13"/>
  <c r="E151" i="13" s="1"/>
  <c r="E251" i="13" s="1"/>
  <c r="E15" i="27"/>
  <c r="I6" i="13"/>
  <c r="I151" i="13" s="1"/>
  <c r="I251" i="13" s="1"/>
  <c r="I15" i="27"/>
  <c r="M6" i="13"/>
  <c r="M151" i="13" s="1"/>
  <c r="M251" i="13" s="1"/>
  <c r="M15" i="27"/>
  <c r="B6" i="13"/>
  <c r="B15" i="27"/>
  <c r="N15" i="27" s="1"/>
  <c r="C205" i="6"/>
  <c r="O205" i="6" s="1"/>
  <c r="F29" i="8"/>
  <c r="F41" i="8" s="1"/>
  <c r="F10" i="8"/>
  <c r="Z10" i="8" s="1"/>
  <c r="AK7" i="35" l="1"/>
  <c r="AK9" i="35" s="1"/>
  <c r="AK11" i="35" s="1"/>
  <c r="AK35" i="35"/>
  <c r="Y7" i="35"/>
  <c r="Y9" i="35" s="1"/>
  <c r="Y11" i="35" s="1"/>
  <c r="Y35" i="35"/>
  <c r="AG7" i="35"/>
  <c r="AG9" i="35" s="1"/>
  <c r="AG11" i="35" s="1"/>
  <c r="AG35" i="35"/>
  <c r="AI7" i="35"/>
  <c r="AI9" i="35" s="1"/>
  <c r="AI11" i="35" s="1"/>
  <c r="AI35" i="35"/>
  <c r="W7" i="35"/>
  <c r="W9" i="35" s="1"/>
  <c r="W11" i="35" s="1"/>
  <c r="W35" i="35"/>
  <c r="AB7" i="35"/>
  <c r="AB9" i="35" s="1"/>
  <c r="AB11" i="35" s="1"/>
  <c r="AB35" i="35"/>
  <c r="AJ7" i="35"/>
  <c r="AJ9" i="35" s="1"/>
  <c r="AJ11" i="35" s="1"/>
  <c r="AJ35" i="35"/>
  <c r="X7" i="35"/>
  <c r="X9" i="35" s="1"/>
  <c r="X11" i="35" s="1"/>
  <c r="X35" i="35"/>
  <c r="AF7" i="35"/>
  <c r="AF9" i="35" s="1"/>
  <c r="AF11" i="35" s="1"/>
  <c r="AF35" i="35"/>
  <c r="J3" i="35"/>
  <c r="J35" i="35" s="1"/>
  <c r="I35" i="35"/>
  <c r="AE7" i="35"/>
  <c r="AE9" i="35" s="1"/>
  <c r="AE11" i="35" s="1"/>
  <c r="AE35" i="35"/>
  <c r="AA7" i="35"/>
  <c r="AA9" i="35" s="1"/>
  <c r="AA11" i="35" s="1"/>
  <c r="AA35" i="35"/>
  <c r="AC7" i="35"/>
  <c r="AC9" i="35" s="1"/>
  <c r="AC11" i="35" s="1"/>
  <c r="AC35" i="35"/>
  <c r="AH7" i="35"/>
  <c r="AH9" i="35" s="1"/>
  <c r="AH11" i="35" s="1"/>
  <c r="AH35" i="35"/>
  <c r="AD7" i="35"/>
  <c r="AD9" i="35" s="1"/>
  <c r="AD11" i="35" s="1"/>
  <c r="AD35" i="35"/>
  <c r="Z7" i="35"/>
  <c r="Z9" i="35" s="1"/>
  <c r="Z11" i="35" s="1"/>
  <c r="Z35" i="35"/>
  <c r="I27" i="31"/>
  <c r="I14" i="31" s="1"/>
  <c r="N38" i="31"/>
  <c r="N31" i="31"/>
  <c r="N30" i="31"/>
  <c r="B6" i="31"/>
  <c r="N142" i="27"/>
  <c r="B36" i="31"/>
  <c r="N143" i="27"/>
  <c r="D25" i="31"/>
  <c r="E24" i="31"/>
  <c r="L3" i="35"/>
  <c r="H3" i="35"/>
  <c r="H35" i="35" s="1"/>
  <c r="N140" i="16"/>
  <c r="J140" i="16"/>
  <c r="M128" i="16"/>
  <c r="I128" i="16"/>
  <c r="N116" i="16"/>
  <c r="J116" i="16"/>
  <c r="K140" i="16"/>
  <c r="N128" i="16"/>
  <c r="J128" i="16"/>
  <c r="M116" i="16"/>
  <c r="I116" i="16"/>
  <c r="O5" i="16"/>
  <c r="L9" i="31"/>
  <c r="H9" i="31"/>
  <c r="D9" i="31"/>
  <c r="K9" i="31"/>
  <c r="G9" i="31"/>
  <c r="C9" i="31"/>
  <c r="B33" i="31"/>
  <c r="B15" i="31" s="1"/>
  <c r="N32" i="31"/>
  <c r="F7" i="31"/>
  <c r="M7" i="31"/>
  <c r="I7" i="31"/>
  <c r="E7" i="31"/>
  <c r="L7" i="31"/>
  <c r="D7" i="31"/>
  <c r="G7" i="31"/>
  <c r="B37" i="31"/>
  <c r="N37" i="31" s="1"/>
  <c r="N144" i="27"/>
  <c r="N145" i="27"/>
  <c r="B8" i="31"/>
  <c r="N5" i="31"/>
  <c r="Z22" i="8"/>
  <c r="F22" i="8"/>
  <c r="C24" i="31"/>
  <c r="M41" i="31"/>
  <c r="I41" i="31"/>
  <c r="N24" i="13"/>
  <c r="N25" i="13"/>
  <c r="N23" i="13"/>
  <c r="N6" i="13"/>
  <c r="B151" i="13"/>
  <c r="B255" i="13"/>
  <c r="N255" i="13" s="1"/>
  <c r="N155" i="13"/>
  <c r="B252" i="13"/>
  <c r="N252" i="13" s="1"/>
  <c r="N152" i="13"/>
  <c r="B253" i="13"/>
  <c r="N253" i="13" s="1"/>
  <c r="N153" i="13"/>
  <c r="L26" i="31"/>
  <c r="L27" i="31" s="1"/>
  <c r="L14" i="31" s="1"/>
  <c r="L41" i="31" s="1"/>
  <c r="N26" i="13"/>
  <c r="B254" i="13"/>
  <c r="N254" i="13" s="1"/>
  <c r="N154" i="13"/>
  <c r="C147" i="16"/>
  <c r="E19" i="26"/>
  <c r="E25" i="26" s="1"/>
  <c r="H19" i="26"/>
  <c r="H25" i="26" s="1"/>
  <c r="I13" i="26"/>
  <c r="I19" i="26" s="1"/>
  <c r="I25" i="26" s="1"/>
  <c r="D26" i="31"/>
  <c r="H140" i="16"/>
  <c r="H142" i="16" s="1"/>
  <c r="K128" i="16"/>
  <c r="D123" i="16"/>
  <c r="D125" i="16" s="1"/>
  <c r="G24" i="31"/>
  <c r="G25" i="31"/>
  <c r="B26" i="31"/>
  <c r="L140" i="16"/>
  <c r="L142" i="16" s="1"/>
  <c r="D140" i="16"/>
  <c r="D142" i="16" s="1"/>
  <c r="K24" i="31"/>
  <c r="H26" i="31"/>
  <c r="H27" i="31" s="1"/>
  <c r="H14" i="31" s="1"/>
  <c r="H41" i="31" s="1"/>
  <c r="K116" i="16"/>
  <c r="K118" i="16" s="1"/>
  <c r="G123" i="16"/>
  <c r="G125" i="16" s="1"/>
  <c r="F25" i="31"/>
  <c r="Q3" i="35"/>
  <c r="Q35" i="35" s="1"/>
  <c r="E3" i="35"/>
  <c r="E35" i="35" s="1"/>
  <c r="C25" i="31"/>
  <c r="C27" i="31" s="1"/>
  <c r="C14" i="31" s="1"/>
  <c r="N3" i="35"/>
  <c r="N35" i="35" s="1"/>
  <c r="K26" i="31"/>
  <c r="L116" i="16"/>
  <c r="L118" i="16" s="1"/>
  <c r="M140" i="16"/>
  <c r="M142" i="16" s="1"/>
  <c r="I140" i="16"/>
  <c r="I147" i="16" s="1"/>
  <c r="I149" i="16" s="1"/>
  <c r="L128" i="16"/>
  <c r="L130" i="16" s="1"/>
  <c r="J24" i="31"/>
  <c r="H135" i="16"/>
  <c r="H137" i="16" s="1"/>
  <c r="O3" i="35"/>
  <c r="R3" i="35"/>
  <c r="F3" i="35"/>
  <c r="J25" i="31"/>
  <c r="K25" i="31"/>
  <c r="D130" i="16"/>
  <c r="H123" i="16"/>
  <c r="H125" i="16" s="1"/>
  <c r="G130" i="16"/>
  <c r="M141" i="27"/>
  <c r="L141" i="27"/>
  <c r="G141" i="27"/>
  <c r="K33" i="31"/>
  <c r="K15" i="31" s="1"/>
  <c r="C33" i="31"/>
  <c r="C15" i="31" s="1"/>
  <c r="F33" i="31"/>
  <c r="F15" i="31" s="1"/>
  <c r="I33" i="31"/>
  <c r="I15" i="31" s="1"/>
  <c r="I17" i="31" s="1"/>
  <c r="L33" i="31"/>
  <c r="L15" i="31" s="1"/>
  <c r="D33" i="31"/>
  <c r="D15" i="31" s="1"/>
  <c r="B42" i="31"/>
  <c r="J141" i="27"/>
  <c r="E141" i="27"/>
  <c r="D141" i="27"/>
  <c r="G33" i="31"/>
  <c r="G15" i="31" s="1"/>
  <c r="J33" i="31"/>
  <c r="J15" i="31" s="1"/>
  <c r="M33" i="31"/>
  <c r="M15" i="31" s="1"/>
  <c r="M17" i="31" s="1"/>
  <c r="E33" i="31"/>
  <c r="E15" i="31" s="1"/>
  <c r="H33" i="31"/>
  <c r="H15" i="31" s="1"/>
  <c r="F141" i="27"/>
  <c r="I141" i="27"/>
  <c r="C141" i="27"/>
  <c r="H141" i="27"/>
  <c r="K141" i="27"/>
  <c r="O8" i="16"/>
  <c r="M39" i="31"/>
  <c r="M16" i="31" s="1"/>
  <c r="M43" i="31" s="1"/>
  <c r="K39" i="31"/>
  <c r="K16" i="31" s="1"/>
  <c r="I39" i="31"/>
  <c r="I16" i="31" s="1"/>
  <c r="I43" i="31" s="1"/>
  <c r="G39" i="31"/>
  <c r="G16" i="31" s="1"/>
  <c r="G43" i="31" s="1"/>
  <c r="E39" i="31"/>
  <c r="E16" i="31" s="1"/>
  <c r="E43" i="31" s="1"/>
  <c r="C39" i="31"/>
  <c r="C16" i="31" s="1"/>
  <c r="C43" i="31" s="1"/>
  <c r="L8" i="31"/>
  <c r="J8" i="31"/>
  <c r="H8" i="31"/>
  <c r="F8" i="31"/>
  <c r="D8" i="31"/>
  <c r="L39" i="31"/>
  <c r="L16" i="31" s="1"/>
  <c r="L43" i="31" s="1"/>
  <c r="J39" i="31"/>
  <c r="J16" i="31" s="1"/>
  <c r="J43" i="31" s="1"/>
  <c r="H39" i="31"/>
  <c r="H16" i="31" s="1"/>
  <c r="H19" i="31" s="1"/>
  <c r="F39" i="31"/>
  <c r="F16" i="31" s="1"/>
  <c r="F43" i="31" s="1"/>
  <c r="D39" i="31"/>
  <c r="D16" i="31" s="1"/>
  <c r="D43" i="31" s="1"/>
  <c r="M8" i="31"/>
  <c r="K43" i="31"/>
  <c r="K8" i="31"/>
  <c r="I8" i="31"/>
  <c r="G8" i="31"/>
  <c r="E8" i="31"/>
  <c r="C8" i="31"/>
  <c r="B141" i="27"/>
  <c r="N141" i="27" s="1"/>
  <c r="L147" i="16"/>
  <c r="L149" i="16" s="1"/>
  <c r="H147" i="16"/>
  <c r="H149" i="16" s="1"/>
  <c r="D147" i="16"/>
  <c r="D149" i="16" s="1"/>
  <c r="M147" i="16"/>
  <c r="M149" i="16" s="1"/>
  <c r="I142" i="16"/>
  <c r="E147" i="16"/>
  <c r="E149" i="16" s="1"/>
  <c r="E142" i="16"/>
  <c r="N147" i="16"/>
  <c r="N149" i="16" s="1"/>
  <c r="N142" i="16"/>
  <c r="J147" i="16"/>
  <c r="J149" i="16" s="1"/>
  <c r="J142" i="16"/>
  <c r="F147" i="16"/>
  <c r="F149" i="16" s="1"/>
  <c r="F142" i="16"/>
  <c r="K147" i="16"/>
  <c r="K149" i="16" s="1"/>
  <c r="K142" i="16"/>
  <c r="G147" i="16"/>
  <c r="G149" i="16" s="1"/>
  <c r="G142" i="16"/>
  <c r="K135" i="16"/>
  <c r="K137" i="16" s="1"/>
  <c r="K130" i="16"/>
  <c r="L135" i="16"/>
  <c r="L137" i="16" s="1"/>
  <c r="M135" i="16"/>
  <c r="M137" i="16" s="1"/>
  <c r="M130" i="16"/>
  <c r="I135" i="16"/>
  <c r="I137" i="16" s="1"/>
  <c r="I130" i="16"/>
  <c r="N135" i="16"/>
  <c r="N137" i="16" s="1"/>
  <c r="N130" i="16"/>
  <c r="J135" i="16"/>
  <c r="J137" i="16" s="1"/>
  <c r="J130" i="16"/>
  <c r="C135" i="16"/>
  <c r="C130" i="16"/>
  <c r="C123" i="16"/>
  <c r="C118" i="16"/>
  <c r="L123" i="16"/>
  <c r="L125" i="16" s="1"/>
  <c r="K123" i="16"/>
  <c r="K125" i="16" s="1"/>
  <c r="N123" i="16"/>
  <c r="N125" i="16" s="1"/>
  <c r="N118" i="16"/>
  <c r="J123" i="16"/>
  <c r="J125" i="16" s="1"/>
  <c r="J118" i="16"/>
  <c r="M123" i="16"/>
  <c r="M125" i="16" s="1"/>
  <c r="M118" i="16"/>
  <c r="I123" i="16"/>
  <c r="I125" i="16" s="1"/>
  <c r="I118" i="16"/>
  <c r="E27" i="31"/>
  <c r="E14" i="31" s="1"/>
  <c r="E41" i="31" s="1"/>
  <c r="C3" i="35"/>
  <c r="B25" i="31"/>
  <c r="N25" i="31" s="1"/>
  <c r="O7" i="16"/>
  <c r="B3" i="35"/>
  <c r="B35" i="35" s="1"/>
  <c r="B24" i="31"/>
  <c r="N24" i="31" s="1"/>
  <c r="O6" i="16"/>
  <c r="F27" i="31"/>
  <c r="F14" i="31" s="1"/>
  <c r="B9" i="31"/>
  <c r="B7" i="31"/>
  <c r="D27" i="31"/>
  <c r="D14" i="31" s="1"/>
  <c r="N6" i="27"/>
  <c r="Z29" i="8"/>
  <c r="B29" i="8"/>
  <c r="Z31" i="8"/>
  <c r="AG12" i="8" s="1"/>
  <c r="B31" i="8"/>
  <c r="C63" i="8" s="1"/>
  <c r="D63" i="8" s="1"/>
  <c r="O63" i="8" s="1"/>
  <c r="Z30" i="8"/>
  <c r="AG11" i="8" s="1"/>
  <c r="B30" i="8"/>
  <c r="C62" i="8" s="1"/>
  <c r="D62" i="8" s="1"/>
  <c r="O62" i="8" s="1"/>
  <c r="AA10" i="8"/>
  <c r="AA22" i="8" s="1"/>
  <c r="B10" i="8"/>
  <c r="S3" i="35" l="1"/>
  <c r="S35" i="35" s="1"/>
  <c r="R35" i="35"/>
  <c r="G27" i="31"/>
  <c r="G14" i="31" s="1"/>
  <c r="G41" i="31" s="1"/>
  <c r="C5" i="35"/>
  <c r="C4" i="35" s="1"/>
  <c r="C36" i="35" s="1"/>
  <c r="C35" i="35"/>
  <c r="G3" i="35"/>
  <c r="G35" i="35" s="1"/>
  <c r="F35" i="35"/>
  <c r="P3" i="35"/>
  <c r="P35" i="35" s="1"/>
  <c r="O35" i="35"/>
  <c r="M3" i="35"/>
  <c r="M35" i="35" s="1"/>
  <c r="L35" i="35"/>
  <c r="B22" i="8"/>
  <c r="T10" i="8"/>
  <c r="B4" i="35"/>
  <c r="N36" i="31"/>
  <c r="N39" i="31" s="1"/>
  <c r="B39" i="31"/>
  <c r="B16" i="31" s="1"/>
  <c r="B18" i="31" s="1"/>
  <c r="N6" i="31"/>
  <c r="N9" i="31" s="1"/>
  <c r="B43" i="31"/>
  <c r="N26" i="31"/>
  <c r="N27" i="31" s="1"/>
  <c r="N8" i="31"/>
  <c r="N7" i="31"/>
  <c r="N33" i="31"/>
  <c r="B28" i="31"/>
  <c r="H17" i="31"/>
  <c r="L17" i="31"/>
  <c r="C61" i="8"/>
  <c r="C73" i="8" s="1"/>
  <c r="B41" i="8"/>
  <c r="Z41" i="8"/>
  <c r="AG10" i="8"/>
  <c r="AG22" i="8" s="1"/>
  <c r="N22" i="13"/>
  <c r="N151" i="13"/>
  <c r="B251" i="13"/>
  <c r="N251" i="13" s="1"/>
  <c r="O140" i="16"/>
  <c r="O128" i="16"/>
  <c r="C137" i="16"/>
  <c r="O137" i="16" s="1"/>
  <c r="O135" i="16"/>
  <c r="O142" i="16"/>
  <c r="C149" i="16"/>
  <c r="O149" i="16" s="1"/>
  <c r="O147" i="16"/>
  <c r="O116" i="16"/>
  <c r="O118" i="16"/>
  <c r="O130" i="16"/>
  <c r="C125" i="16"/>
  <c r="O125" i="16" s="1"/>
  <c r="O123" i="16"/>
  <c r="J27" i="31"/>
  <c r="J14" i="31" s="1"/>
  <c r="J19" i="31" s="1"/>
  <c r="K27" i="31"/>
  <c r="K14" i="31" s="1"/>
  <c r="K19" i="31" s="1"/>
  <c r="C19" i="31"/>
  <c r="K41" i="31"/>
  <c r="L19" i="31"/>
  <c r="I19" i="31"/>
  <c r="M19" i="31"/>
  <c r="N15" i="31"/>
  <c r="H43" i="31"/>
  <c r="N42" i="31"/>
  <c r="H42" i="31"/>
  <c r="H18" i="31"/>
  <c r="M18" i="31"/>
  <c r="M42" i="31"/>
  <c r="G18" i="31"/>
  <c r="G42" i="31"/>
  <c r="D42" i="31"/>
  <c r="D18" i="31"/>
  <c r="I18" i="31"/>
  <c r="I42" i="31"/>
  <c r="C18" i="31"/>
  <c r="C42" i="31"/>
  <c r="N16" i="31"/>
  <c r="N43" i="31" s="1"/>
  <c r="E18" i="31"/>
  <c r="E42" i="31"/>
  <c r="J42" i="31"/>
  <c r="J18" i="31"/>
  <c r="L42" i="31"/>
  <c r="L18" i="31"/>
  <c r="F42" i="31"/>
  <c r="F18" i="31"/>
  <c r="K18" i="31"/>
  <c r="K42" i="31"/>
  <c r="G17" i="31"/>
  <c r="C41" i="31"/>
  <c r="C17" i="31"/>
  <c r="E17" i="31"/>
  <c r="E19" i="31"/>
  <c r="G19" i="31"/>
  <c r="B27" i="31"/>
  <c r="B14" i="31" s="1"/>
  <c r="B41" i="31" s="1"/>
  <c r="D19" i="31"/>
  <c r="D17" i="31"/>
  <c r="D41" i="31"/>
  <c r="F19" i="31"/>
  <c r="F17" i="31"/>
  <c r="F41" i="31"/>
  <c r="D3" i="35"/>
  <c r="T22" i="8"/>
  <c r="C45" i="8"/>
  <c r="T31" i="8"/>
  <c r="AC12" i="8" s="1"/>
  <c r="T29" i="8"/>
  <c r="AA29" i="8"/>
  <c r="AH10" i="8" s="1"/>
  <c r="AA31" i="8"/>
  <c r="AH12" i="8" s="1"/>
  <c r="T30" i="8"/>
  <c r="AC11" i="8" s="1"/>
  <c r="AA30" i="8"/>
  <c r="AH11" i="8" s="1"/>
  <c r="B19" i="31" l="1"/>
  <c r="C37" i="35"/>
  <c r="D6" i="35"/>
  <c r="D4" i="35" s="1"/>
  <c r="D36" i="35" s="1"/>
  <c r="D35" i="35"/>
  <c r="B5" i="35"/>
  <c r="D61" i="8"/>
  <c r="D73" i="8" s="1"/>
  <c r="AH22" i="8"/>
  <c r="T41" i="8"/>
  <c r="AC10" i="8"/>
  <c r="AC22" i="8" s="1"/>
  <c r="K17" i="31"/>
  <c r="J41" i="31"/>
  <c r="J17" i="31"/>
  <c r="N18" i="31"/>
  <c r="N14" i="31"/>
  <c r="N17" i="31" s="1"/>
  <c r="B17" i="31"/>
  <c r="N41" i="31"/>
  <c r="D45" i="8"/>
  <c r="C57" i="8"/>
  <c r="AA41" i="8"/>
  <c r="O61" i="8" l="1"/>
  <c r="O73" i="8" s="1"/>
  <c r="B6" i="35"/>
  <c r="B36" i="35" s="1"/>
  <c r="B37" i="35" s="1"/>
  <c r="D37" i="35"/>
  <c r="F34" i="35"/>
  <c r="B71" i="48"/>
  <c r="N19" i="31"/>
  <c r="B23" i="35"/>
  <c r="B24" i="35" s="1"/>
  <c r="O45" i="8"/>
  <c r="O57" i="8" s="1"/>
  <c r="D57" i="8"/>
  <c r="E34" i="35" l="1"/>
  <c r="B70" i="48"/>
  <c r="G34" i="35"/>
  <c r="B72" i="48"/>
  <c r="B26" i="35"/>
  <c r="E21" i="35" s="1"/>
  <c r="E22" i="35" s="1"/>
  <c r="E4" i="35" s="1"/>
  <c r="B73" i="48" l="1"/>
  <c r="B7" i="35"/>
  <c r="B9" i="35" s="1"/>
  <c r="B11" i="35" l="1"/>
  <c r="B41" i="35"/>
  <c r="B43" i="35" s="1"/>
  <c r="D23" i="35"/>
  <c r="D24" i="35" s="1"/>
  <c r="D26" i="35" s="1"/>
  <c r="G21" i="35" s="1"/>
  <c r="G22" i="35" s="1"/>
  <c r="D7" i="35"/>
  <c r="D9" i="35" s="1"/>
  <c r="C23" i="35"/>
  <c r="C24" i="35" s="1"/>
  <c r="C26" i="35" s="1"/>
  <c r="F21" i="35" s="1"/>
  <c r="F22" i="35" s="1"/>
  <c r="C7" i="35"/>
  <c r="C9" i="35" s="1"/>
  <c r="C11" i="35" l="1"/>
  <c r="C41" i="35"/>
  <c r="C43" i="35" s="1"/>
  <c r="D11" i="35"/>
  <c r="D41" i="35"/>
  <c r="D43" i="35" s="1"/>
  <c r="B75" i="48"/>
  <c r="E40" i="35"/>
  <c r="E5" i="35"/>
  <c r="F5" i="35"/>
  <c r="F4" i="35" s="1"/>
  <c r="F36" i="35" s="1"/>
  <c r="F37" i="35" s="1"/>
  <c r="I34" i="35" s="1"/>
  <c r="G6" i="35"/>
  <c r="B77" i="48" l="1"/>
  <c r="G40" i="35"/>
  <c r="B76" i="48"/>
  <c r="F40" i="35"/>
  <c r="B78" i="48"/>
  <c r="B89" i="48" s="1"/>
  <c r="B102" i="48" s="1"/>
  <c r="B103" i="48" s="1"/>
  <c r="B197" i="48" s="1"/>
  <c r="G4" i="35"/>
  <c r="F23" i="35"/>
  <c r="F24" i="35" s="1"/>
  <c r="E23" i="35"/>
  <c r="F7" i="35"/>
  <c r="F9" i="35" s="1"/>
  <c r="F11" i="35" l="1"/>
  <c r="F41" i="35"/>
  <c r="F43" i="35" s="1"/>
  <c r="I40" i="35" s="1"/>
  <c r="G7" i="35"/>
  <c r="G9" i="35" s="1"/>
  <c r="G36" i="35"/>
  <c r="G37" i="35" s="1"/>
  <c r="J34" i="35" s="1"/>
  <c r="E6" i="35"/>
  <c r="E25" i="35"/>
  <c r="E24" i="35"/>
  <c r="G23" i="35" l="1"/>
  <c r="G24" i="35" s="1"/>
  <c r="G26" i="35" s="1"/>
  <c r="J21" i="35" s="1"/>
  <c r="J22" i="35" s="1"/>
  <c r="J6" i="35" s="1"/>
  <c r="E36" i="35"/>
  <c r="E37" i="35" s="1"/>
  <c r="H34" i="35" s="1"/>
  <c r="G11" i="35"/>
  <c r="G41" i="35"/>
  <c r="G43" i="35" s="1"/>
  <c r="J40" i="35" s="1"/>
  <c r="E7" i="35"/>
  <c r="E9" i="35" s="1"/>
  <c r="F25" i="35"/>
  <c r="F26" i="35" s="1"/>
  <c r="I21" i="35" s="1"/>
  <c r="I22" i="35" s="1"/>
  <c r="E26" i="35"/>
  <c r="H21" i="35" s="1"/>
  <c r="H22" i="35" s="1"/>
  <c r="E11" i="35" l="1"/>
  <c r="E41" i="35"/>
  <c r="E43" i="35" s="1"/>
  <c r="H40" i="35" s="1"/>
  <c r="I5" i="35"/>
  <c r="I4" i="35" s="1"/>
  <c r="I36" i="35" s="1"/>
  <c r="I37" i="35" s="1"/>
  <c r="L34" i="35" s="1"/>
  <c r="H4" i="35"/>
  <c r="I7" i="35" l="1"/>
  <c r="I9" i="35" s="1"/>
  <c r="J4" i="35"/>
  <c r="H5" i="35"/>
  <c r="I23" i="35" s="1"/>
  <c r="I24" i="35" s="1"/>
  <c r="I11" i="35" l="1"/>
  <c r="I41" i="35"/>
  <c r="I43" i="35" s="1"/>
  <c r="L40" i="35" s="1"/>
  <c r="J7" i="35"/>
  <c r="J9" i="35" s="1"/>
  <c r="J36" i="35"/>
  <c r="J37" i="35" s="1"/>
  <c r="M34" i="35" s="1"/>
  <c r="H23" i="35"/>
  <c r="H24" i="35" s="1"/>
  <c r="H6" i="35"/>
  <c r="J23" i="35" s="1"/>
  <c r="J24" i="35" s="1"/>
  <c r="J26" i="35" s="1"/>
  <c r="M21" i="35" s="1"/>
  <c r="M22" i="35" s="1"/>
  <c r="H25" i="35"/>
  <c r="H36" i="35" l="1"/>
  <c r="H37" i="35" s="1"/>
  <c r="K34" i="35" s="1"/>
  <c r="J11" i="35"/>
  <c r="J41" i="35"/>
  <c r="J43" i="35" s="1"/>
  <c r="M40" i="35" s="1"/>
  <c r="M43" i="35" s="1"/>
  <c r="P40" i="35" s="1"/>
  <c r="P43" i="35" s="1"/>
  <c r="S40" i="35" s="1"/>
  <c r="S43" i="35" s="1"/>
  <c r="V40" i="35" s="1"/>
  <c r="V43" i="35" s="1"/>
  <c r="Y40" i="35" s="1"/>
  <c r="Y43" i="35" s="1"/>
  <c r="AB40" i="35" s="1"/>
  <c r="AB43" i="35" s="1"/>
  <c r="AE40" i="35" s="1"/>
  <c r="AE43" i="35" s="1"/>
  <c r="AH40" i="35" s="1"/>
  <c r="AH43" i="35" s="1"/>
  <c r="AK40" i="35" s="1"/>
  <c r="AK43" i="35" s="1"/>
  <c r="H26" i="35"/>
  <c r="K21" i="35" s="1"/>
  <c r="K22" i="35" s="1"/>
  <c r="I25" i="35"/>
  <c r="I26" i="35" s="1"/>
  <c r="L21" i="35" s="1"/>
  <c r="L22" i="35" s="1"/>
  <c r="H7" i="35"/>
  <c r="H9" i="35" s="1"/>
  <c r="M6" i="35"/>
  <c r="H11" i="35" l="1"/>
  <c r="H41" i="35"/>
  <c r="H43" i="35" s="1"/>
  <c r="K40" i="35" s="1"/>
  <c r="L5" i="35"/>
  <c r="L4" i="35" s="1"/>
  <c r="K4" i="35"/>
  <c r="L7" i="35" l="1"/>
  <c r="L9" i="35" s="1"/>
  <c r="L36" i="35"/>
  <c r="L37" i="35" s="1"/>
  <c r="O34" i="35" s="1"/>
  <c r="K5" i="35"/>
  <c r="L23" i="35" s="1"/>
  <c r="L24" i="35" s="1"/>
  <c r="M4" i="35"/>
  <c r="M7" i="35" l="1"/>
  <c r="M9" i="35" s="1"/>
  <c r="M11" i="35" s="1"/>
  <c r="M36" i="35"/>
  <c r="M37" i="35" s="1"/>
  <c r="P34" i="35" s="1"/>
  <c r="L11" i="35"/>
  <c r="L41" i="35"/>
  <c r="L43" i="35" s="1"/>
  <c r="O40" i="35" s="1"/>
  <c r="O43" i="35" s="1"/>
  <c r="R40" i="35" s="1"/>
  <c r="R43" i="35" s="1"/>
  <c r="U40" i="35" s="1"/>
  <c r="U43" i="35" s="1"/>
  <c r="X40" i="35" s="1"/>
  <c r="X43" i="35" s="1"/>
  <c r="AA40" i="35" s="1"/>
  <c r="AA43" i="35" s="1"/>
  <c r="AD40" i="35" s="1"/>
  <c r="AD43" i="35" s="1"/>
  <c r="AG40" i="35" s="1"/>
  <c r="AG43" i="35" s="1"/>
  <c r="AJ40" i="35" s="1"/>
  <c r="AJ43" i="35" s="1"/>
  <c r="K6" i="35"/>
  <c r="M23" i="35" s="1"/>
  <c r="M24" i="35" s="1"/>
  <c r="M26" i="35" s="1"/>
  <c r="P21" i="35" s="1"/>
  <c r="P22" i="35" s="1"/>
  <c r="K23" i="35"/>
  <c r="K36" i="35" l="1"/>
  <c r="K37" i="35" s="1"/>
  <c r="N34" i="35" s="1"/>
  <c r="K25" i="35"/>
  <c r="K24" i="35"/>
  <c r="K7" i="35"/>
  <c r="K9" i="35" s="1"/>
  <c r="P6" i="35"/>
  <c r="K11" i="35" l="1"/>
  <c r="K41" i="35"/>
  <c r="K43" i="35" s="1"/>
  <c r="N40" i="35" s="1"/>
  <c r="N43" i="35" s="1"/>
  <c r="Q40" i="35" s="1"/>
  <c r="Q43" i="35" s="1"/>
  <c r="T40" i="35" s="1"/>
  <c r="T43" i="35" s="1"/>
  <c r="W40" i="35" s="1"/>
  <c r="W43" i="35" s="1"/>
  <c r="Z40" i="35" s="1"/>
  <c r="Z43" i="35" s="1"/>
  <c r="AC40" i="35" s="1"/>
  <c r="AC43" i="35" s="1"/>
  <c r="AF40" i="35" s="1"/>
  <c r="AF43" i="35" s="1"/>
  <c r="AI40" i="35" s="1"/>
  <c r="AI43" i="35" s="1"/>
  <c r="L25" i="35"/>
  <c r="L26" i="35" s="1"/>
  <c r="O21" i="35" s="1"/>
  <c r="O22" i="35" s="1"/>
  <c r="K26" i="35"/>
  <c r="N21" i="35" s="1"/>
  <c r="N22" i="35" s="1"/>
  <c r="O5" i="35" l="1"/>
  <c r="O4" i="35" s="1"/>
  <c r="O36" i="35" s="1"/>
  <c r="O37" i="35" s="1"/>
  <c r="R34" i="35" s="1"/>
  <c r="N4" i="35"/>
  <c r="O7" i="35" l="1"/>
  <c r="O9" i="35" s="1"/>
  <c r="O11" i="35" s="1"/>
  <c r="P4" i="35"/>
  <c r="N5" i="35"/>
  <c r="O23" i="35" s="1"/>
  <c r="O24" i="35" s="1"/>
  <c r="N23" i="35"/>
  <c r="P7" i="35" l="1"/>
  <c r="P9" i="35" s="1"/>
  <c r="P11" i="35" s="1"/>
  <c r="P36" i="35"/>
  <c r="P37" i="35" s="1"/>
  <c r="S34" i="35" s="1"/>
  <c r="N6" i="35"/>
  <c r="N36" i="35" s="1"/>
  <c r="N37" i="35" s="1"/>
  <c r="Q34" i="35" s="1"/>
  <c r="N25" i="35"/>
  <c r="N24" i="35"/>
  <c r="P23" i="35" l="1"/>
  <c r="P24" i="35" s="1"/>
  <c r="P26" i="35" s="1"/>
  <c r="S21" i="35" s="1"/>
  <c r="S22" i="35" s="1"/>
  <c r="S6" i="35" s="1"/>
  <c r="N7" i="35"/>
  <c r="N9" i="35" s="1"/>
  <c r="N11" i="35" s="1"/>
  <c r="N26" i="35"/>
  <c r="Q21" i="35" s="1"/>
  <c r="Q22" i="35" s="1"/>
  <c r="O25" i="35"/>
  <c r="O26" i="35" s="1"/>
  <c r="R21" i="35" s="1"/>
  <c r="R22" i="35" s="1"/>
  <c r="R5" i="35" l="1"/>
  <c r="R4" i="35" s="1"/>
  <c r="R36" i="35" s="1"/>
  <c r="R37" i="35" s="1"/>
  <c r="U34" i="35" s="1"/>
  <c r="Q4" i="35"/>
  <c r="R7" i="35" l="1"/>
  <c r="R9" i="35" s="1"/>
  <c r="R11" i="35" s="1"/>
  <c r="S4" i="35"/>
  <c r="Q5" i="35"/>
  <c r="R23" i="35" s="1"/>
  <c r="R24" i="35" s="1"/>
  <c r="S7" i="35" l="1"/>
  <c r="S9" i="35" s="1"/>
  <c r="S11" i="35" s="1"/>
  <c r="S36" i="35"/>
  <c r="S37" i="35" s="1"/>
  <c r="V34" i="35" s="1"/>
  <c r="Q23" i="35"/>
  <c r="Q6" i="35"/>
  <c r="S23" i="35" s="1"/>
  <c r="S24" i="35" s="1"/>
  <c r="S26" i="35" s="1"/>
  <c r="V21" i="35" s="1"/>
  <c r="V22" i="35" s="1"/>
  <c r="Q25" i="35"/>
  <c r="Q24" i="35"/>
  <c r="Q36" i="35" l="1"/>
  <c r="Q37" i="35" s="1"/>
  <c r="T34" i="35" s="1"/>
  <c r="V6" i="35"/>
  <c r="Q7" i="35"/>
  <c r="Q9" i="35" s="1"/>
  <c r="Q11" i="35" s="1"/>
  <c r="R25" i="35"/>
  <c r="R26" i="35" s="1"/>
  <c r="U21" i="35" s="1"/>
  <c r="U22" i="35" s="1"/>
  <c r="Q26" i="35"/>
  <c r="T21" i="35" s="1"/>
  <c r="T22" i="35" s="1"/>
  <c r="T4" i="35" s="1"/>
  <c r="T5" i="35" l="1"/>
  <c r="U5" i="35"/>
  <c r="U4" i="35" s="1"/>
  <c r="U36" i="35" s="1"/>
  <c r="U37" i="35" s="1"/>
  <c r="X34" i="35" s="1"/>
  <c r="X37" i="35" s="1"/>
  <c r="AA34" i="35" s="1"/>
  <c r="AA37" i="35" s="1"/>
  <c r="AD34" i="35" s="1"/>
  <c r="AD37" i="35" s="1"/>
  <c r="AG34" i="35" s="1"/>
  <c r="AG37" i="35" s="1"/>
  <c r="AJ34" i="35" s="1"/>
  <c r="AJ37" i="35" s="1"/>
  <c r="V4" i="35" l="1"/>
  <c r="T6" i="35" s="1"/>
  <c r="V23" i="35" s="1"/>
  <c r="V24" i="35" s="1"/>
  <c r="V26" i="35" s="1"/>
  <c r="Y21" i="35" s="1"/>
  <c r="Y22" i="35" s="1"/>
  <c r="Y24" i="35" s="1"/>
  <c r="Y26" i="35" s="1"/>
  <c r="AB21" i="35" s="1"/>
  <c r="AB22" i="35" s="1"/>
  <c r="AB24" i="35" s="1"/>
  <c r="AB26" i="35" s="1"/>
  <c r="AE21" i="35" s="1"/>
  <c r="AE22" i="35" s="1"/>
  <c r="AE24" i="35" s="1"/>
  <c r="AE26" i="35" s="1"/>
  <c r="AH21" i="35" s="1"/>
  <c r="AH22" i="35" s="1"/>
  <c r="AH24" i="35" s="1"/>
  <c r="AH26" i="35" s="1"/>
  <c r="AK21" i="35" s="1"/>
  <c r="AK22" i="35" s="1"/>
  <c r="AK24" i="35" s="1"/>
  <c r="AK26" i="35" s="1"/>
  <c r="U7" i="35"/>
  <c r="U9" i="35" s="1"/>
  <c r="U11" i="35" s="1"/>
  <c r="T23" i="35"/>
  <c r="U23" i="35"/>
  <c r="U24" i="35" s="1"/>
  <c r="V7" i="35" l="1"/>
  <c r="V9" i="35" s="1"/>
  <c r="V11" i="35" s="1"/>
  <c r="V36" i="35"/>
  <c r="V37" i="35" s="1"/>
  <c r="Y34" i="35" s="1"/>
  <c r="Y37" i="35" s="1"/>
  <c r="AB34" i="35" s="1"/>
  <c r="AB37" i="35" s="1"/>
  <c r="AE34" i="35" s="1"/>
  <c r="AE37" i="35" s="1"/>
  <c r="AH34" i="35" s="1"/>
  <c r="AH37" i="35" s="1"/>
  <c r="AK34" i="35" s="1"/>
  <c r="AK37" i="35" s="1"/>
  <c r="T36" i="35"/>
  <c r="T37" i="35" s="1"/>
  <c r="W34" i="35" s="1"/>
  <c r="W37" i="35" s="1"/>
  <c r="Z34" i="35" s="1"/>
  <c r="Z37" i="35" s="1"/>
  <c r="AC34" i="35" s="1"/>
  <c r="AC37" i="35" s="1"/>
  <c r="AF34" i="35" s="1"/>
  <c r="AF37" i="35" s="1"/>
  <c r="AI34" i="35" s="1"/>
  <c r="AI37" i="35" s="1"/>
  <c r="T25" i="35"/>
  <c r="T24" i="35"/>
  <c r="T7" i="35"/>
  <c r="T9" i="35" s="1"/>
  <c r="T11" i="35" s="1"/>
  <c r="U25" i="35" l="1"/>
  <c r="U26" i="35" s="1"/>
  <c r="X21" i="35" s="1"/>
  <c r="X22" i="35" s="1"/>
  <c r="X24" i="35" s="1"/>
  <c r="T26" i="35"/>
  <c r="W21" i="35" s="1"/>
  <c r="W22" i="35" s="1"/>
  <c r="W25" i="35" l="1"/>
  <c r="W24" i="35"/>
  <c r="W26" i="35" l="1"/>
  <c r="Z21" i="35" s="1"/>
  <c r="Z22" i="35" s="1"/>
  <c r="X25" i="35"/>
  <c r="X26" i="35" s="1"/>
  <c r="AA21" i="35" s="1"/>
  <c r="AA22" i="35" s="1"/>
  <c r="AA24" i="35" s="1"/>
  <c r="Z25" i="35" l="1"/>
  <c r="Z24" i="35"/>
  <c r="Z26" i="35" l="1"/>
  <c r="AC21" i="35" s="1"/>
  <c r="AC22" i="35" s="1"/>
  <c r="AA25" i="35"/>
  <c r="AA26" i="35" s="1"/>
  <c r="AD21" i="35" s="1"/>
  <c r="AD22" i="35" s="1"/>
  <c r="AD24" i="35" s="1"/>
  <c r="AC25" i="35" l="1"/>
  <c r="AC24" i="35"/>
  <c r="AD25" i="35" l="1"/>
  <c r="AD26" i="35" s="1"/>
  <c r="AG21" i="35" s="1"/>
  <c r="AG22" i="35" s="1"/>
  <c r="AG24" i="35" s="1"/>
  <c r="AC26" i="35"/>
  <c r="AF21" i="35" s="1"/>
  <c r="AF22" i="35" s="1"/>
  <c r="AF24" i="35" l="1"/>
  <c r="AF25" i="35"/>
  <c r="AF26" i="35" l="1"/>
  <c r="AI21" i="35" s="1"/>
  <c r="AI22" i="35" s="1"/>
  <c r="AG25" i="35"/>
  <c r="AG26" i="35" s="1"/>
  <c r="AJ21" i="35" s="1"/>
  <c r="AJ22" i="35" s="1"/>
  <c r="AJ24" i="35" s="1"/>
  <c r="AI24" i="35" l="1"/>
  <c r="AI25" i="35"/>
  <c r="AJ25" i="35" l="1"/>
  <c r="AJ26" i="35" s="1"/>
  <c r="AI26" i="35"/>
</calcChain>
</file>

<file path=xl/comments1.xml><?xml version="1.0" encoding="utf-8"?>
<comments xmlns="http://schemas.openxmlformats.org/spreadsheetml/2006/main">
  <authors>
    <author>Author</author>
  </authors>
  <commentList>
    <comment ref="B6" authorId="0" shapeId="0">
      <text>
        <r>
          <rPr>
            <b/>
            <sz val="9"/>
            <color indexed="81"/>
            <rFont val="Tahoma"/>
            <family val="2"/>
          </rPr>
          <t>Author:</t>
        </r>
        <r>
          <rPr>
            <sz val="9"/>
            <color indexed="81"/>
            <rFont val="Tahoma"/>
            <family val="2"/>
          </rPr>
          <t xml:space="preserve">
BJAJ BILL NO. 941920 19.04.19 NOT INCU IN GSTR-1
</t>
        </r>
      </text>
    </comment>
    <comment ref="C6" authorId="0" shapeId="0">
      <text>
        <r>
          <rPr>
            <b/>
            <sz val="9"/>
            <color indexed="81"/>
            <rFont val="Tahoma"/>
            <family val="2"/>
          </rPr>
          <t>Author:</t>
        </r>
        <r>
          <rPr>
            <sz val="9"/>
            <color indexed="81"/>
            <rFont val="Tahoma"/>
            <family val="2"/>
          </rPr>
          <t xml:space="preserve">
BILL FOR APRIL BOOK IN MAY-19</t>
        </r>
      </text>
    </comment>
    <comment ref="B10" authorId="0" shapeId="0">
      <text>
        <r>
          <rPr>
            <b/>
            <sz val="9"/>
            <color indexed="81"/>
            <rFont val="Tahoma"/>
            <family val="2"/>
          </rPr>
          <t>Author:</t>
        </r>
        <r>
          <rPr>
            <sz val="9"/>
            <color indexed="81"/>
            <rFont val="Tahoma"/>
            <family val="2"/>
          </rPr>
          <t xml:space="preserve">
BAJAJ BILL NO. 941920 19.04.19 NOT INCU IN GSTR-1
</t>
        </r>
      </text>
    </comment>
  </commentList>
</comments>
</file>

<file path=xl/comments2.xml><?xml version="1.0" encoding="utf-8"?>
<comments xmlns="http://schemas.openxmlformats.org/spreadsheetml/2006/main">
  <authors>
    <author>Author</author>
  </authors>
  <commentList>
    <comment ref="V12" authorId="0" shapeId="0">
      <text>
        <r>
          <rPr>
            <b/>
            <sz val="9"/>
            <color indexed="81"/>
            <rFont val="Tahoma"/>
            <family val="2"/>
          </rPr>
          <t>Author:</t>
        </r>
        <r>
          <rPr>
            <sz val="9"/>
            <color indexed="81"/>
            <rFont val="Tahoma"/>
            <family val="2"/>
          </rPr>
          <t xml:space="preserve">
DEBIT NOTE VARROC
NOT IN DEBIT NOTE
</t>
        </r>
      </text>
    </comment>
    <comment ref="V16" authorId="0" shapeId="0">
      <text>
        <r>
          <rPr>
            <b/>
            <sz val="9"/>
            <color indexed="81"/>
            <rFont val="Tahoma"/>
            <family val="2"/>
          </rPr>
          <t>Author:</t>
        </r>
        <r>
          <rPr>
            <sz val="9"/>
            <color indexed="81"/>
            <rFont val="Tahoma"/>
            <family val="2"/>
          </rPr>
          <t xml:space="preserve">
TECH FOR DEBIT
</t>
        </r>
      </text>
    </comment>
  </commentList>
</comments>
</file>

<file path=xl/sharedStrings.xml><?xml version="1.0" encoding="utf-8"?>
<sst xmlns="http://schemas.openxmlformats.org/spreadsheetml/2006/main" count="37900" uniqueCount="4594">
  <si>
    <t>3.1 Details of Outward Supplies and inward supplies liable to reverse charge B2B INVOICES</t>
  </si>
  <si>
    <t>(a) Outward Taxable  supplies  (other than zero rated, nil rated and exempted) (Include debit note &amp; Credit Note) ( Invoice Amended +  -)</t>
  </si>
  <si>
    <t>Month</t>
  </si>
  <si>
    <t>Sr No.</t>
  </si>
  <si>
    <t>Receiver Name</t>
  </si>
  <si>
    <t>GSTIN/UIN of
 Recipient</t>
  </si>
  <si>
    <t>Document</t>
  </si>
  <si>
    <t>Document Number</t>
  </si>
  <si>
    <t>Document Date</t>
  </si>
  <si>
    <t>HSN CODE</t>
  </si>
  <si>
    <t>Rate</t>
  </si>
  <si>
    <t>Taxable 
Value</t>
  </si>
  <si>
    <t>Tax Amt (In Rs.)</t>
  </si>
  <si>
    <t>Total Invoice
 Value</t>
  </si>
  <si>
    <t>Type of
 Supply</t>
  </si>
  <si>
    <t>Type</t>
  </si>
  <si>
    <t>IGST</t>
  </si>
  <si>
    <t>CGST</t>
  </si>
  <si>
    <t>SGST</t>
  </si>
  <si>
    <t>CESS</t>
  </si>
  <si>
    <t>VARROC POLYMERS PVT.LTD.</t>
  </si>
  <si>
    <t>27AABCM2508F1ZU</t>
  </si>
  <si>
    <t>INVOICE</t>
  </si>
  <si>
    <t>011920</t>
  </si>
  <si>
    <t>27-Maharashatra</t>
  </si>
  <si>
    <t>B2B</t>
  </si>
  <si>
    <t>Local</t>
  </si>
  <si>
    <t>021920</t>
  </si>
  <si>
    <t>MITTAL PRECISION AUTO COMPS PVT LTD,</t>
  </si>
  <si>
    <t>27AAECM8871A1ZF</t>
  </si>
  <si>
    <t>031920</t>
  </si>
  <si>
    <t>041920</t>
  </si>
  <si>
    <t>051920</t>
  </si>
  <si>
    <t>061920</t>
  </si>
  <si>
    <t>071920</t>
  </si>
  <si>
    <t>081920</t>
  </si>
  <si>
    <t>091920</t>
  </si>
  <si>
    <t>MANAS AUTOMOTIVE SYSTEMS LTD</t>
  </si>
  <si>
    <t>27AAGCM1258H1ZG</t>
  </si>
  <si>
    <t>101920</t>
  </si>
  <si>
    <t>TATA AUTOCOMP SYSTEMS LTD.(X1)</t>
  </si>
  <si>
    <t>27AAACT1848E1ZH</t>
  </si>
  <si>
    <t>111920</t>
  </si>
  <si>
    <t>121920</t>
  </si>
  <si>
    <t>131920</t>
  </si>
  <si>
    <t>LUMAX AUTO TECHNOLOGIES LTD.</t>
  </si>
  <si>
    <t>27AAACD4090Q1Z8</t>
  </si>
  <si>
    <t>141920</t>
  </si>
  <si>
    <t>151920</t>
  </si>
  <si>
    <t>JAPTECH INDUSTRIES</t>
  </si>
  <si>
    <t>27AABFJ4217F1ZP</t>
  </si>
  <si>
    <t>161920</t>
  </si>
  <si>
    <t>171920</t>
  </si>
  <si>
    <t>181920</t>
  </si>
  <si>
    <t>LUMAX ANCILLARY LIMITED</t>
  </si>
  <si>
    <t>27AAACD2571J1ZO</t>
  </si>
  <si>
    <t>191920</t>
  </si>
  <si>
    <t>201920</t>
  </si>
  <si>
    <t>211920</t>
  </si>
  <si>
    <t>221920</t>
  </si>
  <si>
    <t>231920</t>
  </si>
  <si>
    <t>241920</t>
  </si>
  <si>
    <t>251920</t>
  </si>
  <si>
    <t>261920</t>
  </si>
  <si>
    <t>271920</t>
  </si>
  <si>
    <t>SWASTIK ENGINEERING</t>
  </si>
  <si>
    <t>27BBVP5833N1ZP</t>
  </si>
  <si>
    <t>281920</t>
  </si>
  <si>
    <t>291920</t>
  </si>
  <si>
    <t>301920</t>
  </si>
  <si>
    <t>ALPHA FOAM LTD.</t>
  </si>
  <si>
    <t>27AACCA4196J1ZG</t>
  </si>
  <si>
    <t>311920</t>
  </si>
  <si>
    <t>MINDA RINDER INDIA PVT LTD.</t>
  </si>
  <si>
    <t>27AAACH4211R1ZF</t>
  </si>
  <si>
    <t>321920</t>
  </si>
  <si>
    <t>331920</t>
  </si>
  <si>
    <t>341920</t>
  </si>
  <si>
    <t>351920</t>
  </si>
  <si>
    <t>361920</t>
  </si>
  <si>
    <t>371920</t>
  </si>
  <si>
    <t>381920</t>
  </si>
  <si>
    <t>391920</t>
  </si>
  <si>
    <t>401920</t>
  </si>
  <si>
    <t>411920</t>
  </si>
  <si>
    <t>421920</t>
  </si>
  <si>
    <t>431920</t>
  </si>
  <si>
    <t>441920</t>
  </si>
  <si>
    <t>451920</t>
  </si>
  <si>
    <t>461920</t>
  </si>
  <si>
    <t>471920</t>
  </si>
  <si>
    <t>BAMBOO INDIA</t>
  </si>
  <si>
    <t>27BBVPS2447C1ZA</t>
  </si>
  <si>
    <t>481920</t>
  </si>
  <si>
    <t>491920</t>
  </si>
  <si>
    <t>501920</t>
  </si>
  <si>
    <t>511920</t>
  </si>
  <si>
    <t>521920</t>
  </si>
  <si>
    <t>531920</t>
  </si>
  <si>
    <t>541920</t>
  </si>
  <si>
    <t>551920</t>
  </si>
  <si>
    <t>561920</t>
  </si>
  <si>
    <t>VE COMMERCIAL VEHICLES LTD</t>
  </si>
  <si>
    <t>23AABCE9378F1ZK</t>
  </si>
  <si>
    <t>571920</t>
  </si>
  <si>
    <t>23-Madhya Pradesh</t>
  </si>
  <si>
    <t>Oms</t>
  </si>
  <si>
    <t>581920</t>
  </si>
  <si>
    <t>591920</t>
  </si>
  <si>
    <t>601920</t>
  </si>
  <si>
    <t>611920</t>
  </si>
  <si>
    <t>621920</t>
  </si>
  <si>
    <t>631920</t>
  </si>
  <si>
    <t>641920</t>
  </si>
  <si>
    <t>651920</t>
  </si>
  <si>
    <t>661920</t>
  </si>
  <si>
    <t>671920</t>
  </si>
  <si>
    <t>681920</t>
  </si>
  <si>
    <t>691920</t>
  </si>
  <si>
    <t>701920</t>
  </si>
  <si>
    <t>711920</t>
  </si>
  <si>
    <t>721920</t>
  </si>
  <si>
    <t>731920</t>
  </si>
  <si>
    <t>741920</t>
  </si>
  <si>
    <t>BAJAJ ELECTRICALS LIMITED (CHAKAN)</t>
  </si>
  <si>
    <t>27AAACB2484Q1Z8</t>
  </si>
  <si>
    <t>751920</t>
  </si>
  <si>
    <t>761920</t>
  </si>
  <si>
    <t>771920</t>
  </si>
  <si>
    <t>781920</t>
  </si>
  <si>
    <t>791920</t>
  </si>
  <si>
    <t>801920</t>
  </si>
  <si>
    <t>811920</t>
  </si>
  <si>
    <t>821920</t>
  </si>
  <si>
    <t>831920</t>
  </si>
  <si>
    <t>841920</t>
  </si>
  <si>
    <t>851920</t>
  </si>
  <si>
    <t>861920</t>
  </si>
  <si>
    <t>871920</t>
  </si>
  <si>
    <t>881920</t>
  </si>
  <si>
    <t>891920</t>
  </si>
  <si>
    <t>901920</t>
  </si>
  <si>
    <t>911920</t>
  </si>
  <si>
    <t>921920</t>
  </si>
  <si>
    <t>931920</t>
  </si>
  <si>
    <t>941920</t>
  </si>
  <si>
    <t>951920</t>
  </si>
  <si>
    <t>961920</t>
  </si>
  <si>
    <t>971920</t>
  </si>
  <si>
    <t>981920</t>
  </si>
  <si>
    <t>991920</t>
  </si>
  <si>
    <t>1001920</t>
  </si>
  <si>
    <t>1011920</t>
  </si>
  <si>
    <t>1021920</t>
  </si>
  <si>
    <t>1031920</t>
  </si>
  <si>
    <t>PROCOL LTD (FORMERLY PRICOL PUNE LTD)</t>
  </si>
  <si>
    <t>27AAGCP0139E1ZP</t>
  </si>
  <si>
    <t>1041920</t>
  </si>
  <si>
    <t>1051920</t>
  </si>
  <si>
    <t>1061920</t>
  </si>
  <si>
    <t>1071920</t>
  </si>
  <si>
    <t>1081920</t>
  </si>
  <si>
    <t>1091920</t>
  </si>
  <si>
    <t>1101920</t>
  </si>
  <si>
    <t>KINETIC GREEN ENERGYPOWER SOLUTION LTD</t>
  </si>
  <si>
    <t>27AAECK4013G1ZV</t>
  </si>
  <si>
    <t>1111920</t>
  </si>
  <si>
    <t>PUNE METAGRAPH</t>
  </si>
  <si>
    <t>27AABFP3834C1ZK</t>
  </si>
  <si>
    <t>1121920</t>
  </si>
  <si>
    <t>1131920</t>
  </si>
  <si>
    <t>1141920</t>
  </si>
  <si>
    <t>1151920</t>
  </si>
  <si>
    <t>1161920</t>
  </si>
  <si>
    <t>1171920</t>
  </si>
  <si>
    <t>1181920</t>
  </si>
  <si>
    <t>1191920</t>
  </si>
  <si>
    <t>1201920</t>
  </si>
  <si>
    <t>1211920</t>
  </si>
  <si>
    <t>1221920</t>
  </si>
  <si>
    <t>1231920</t>
  </si>
  <si>
    <t>1241920</t>
  </si>
  <si>
    <t>1251920</t>
  </si>
  <si>
    <t>1261920</t>
  </si>
  <si>
    <t>1271920</t>
  </si>
  <si>
    <t>1281920</t>
  </si>
  <si>
    <t>1291920</t>
  </si>
  <si>
    <t>1301920</t>
  </si>
  <si>
    <t>1311920</t>
  </si>
  <si>
    <t>1321920</t>
  </si>
  <si>
    <t>1331920</t>
  </si>
  <si>
    <t>1341920</t>
  </si>
  <si>
    <t>1351920</t>
  </si>
  <si>
    <t>1361920</t>
  </si>
  <si>
    <t>1371920</t>
  </si>
  <si>
    <t>1381920</t>
  </si>
  <si>
    <t>1391920</t>
  </si>
  <si>
    <t>1401920</t>
  </si>
  <si>
    <t>1411920</t>
  </si>
  <si>
    <t>1421920</t>
  </si>
  <si>
    <t>1431920</t>
  </si>
  <si>
    <t>1441920</t>
  </si>
  <si>
    <t>1451920</t>
  </si>
  <si>
    <t>1461920</t>
  </si>
  <si>
    <t>1471920</t>
  </si>
  <si>
    <t>1481920</t>
  </si>
  <si>
    <t>1491920</t>
  </si>
  <si>
    <t>1501920</t>
  </si>
  <si>
    <t>1511920</t>
  </si>
  <si>
    <t>1521920</t>
  </si>
  <si>
    <t>1531920</t>
  </si>
  <si>
    <t>1541920</t>
  </si>
  <si>
    <t>1551920</t>
  </si>
  <si>
    <t>1561920</t>
  </si>
  <si>
    <t>1571920</t>
  </si>
  <si>
    <t>1581920</t>
  </si>
  <si>
    <t>1591920</t>
  </si>
  <si>
    <t>1601920</t>
  </si>
  <si>
    <t>1611920</t>
  </si>
  <si>
    <t>1621920</t>
  </si>
  <si>
    <t>CREDIT NOTE</t>
  </si>
  <si>
    <t>M51931500164</t>
  </si>
  <si>
    <t>M51931500038</t>
  </si>
  <si>
    <t>M51931500179</t>
  </si>
  <si>
    <t>VARROC ENGINEERING PVT LTD</t>
  </si>
  <si>
    <t>27AAACV2420J1ZI</t>
  </si>
  <si>
    <t>AUDI AUTOMOBILES</t>
  </si>
  <si>
    <t>23AAACB7112P2ZQ</t>
  </si>
  <si>
    <t>DEBIT NOTE</t>
  </si>
  <si>
    <t>THE SUPREME INDUSTRIES LTD</t>
  </si>
  <si>
    <t>27AAACT1344F1ZO</t>
  </si>
  <si>
    <t>VARROC POLYMERS PVT.LTD.(CK)</t>
  </si>
  <si>
    <t>87141090/</t>
  </si>
  <si>
    <t>SALE MASTER PARTY LIST</t>
  </si>
  <si>
    <t>Supplier
Name</t>
  </si>
  <si>
    <t>GSTIN/UIN of
 Supplier</t>
  </si>
  <si>
    <t>Place Of 
Supply</t>
  </si>
  <si>
    <t>AUTOFINA</t>
  </si>
  <si>
    <t>27AASFA7303G1ZE</t>
  </si>
  <si>
    <t>HI-TECH SERVICES</t>
  </si>
  <si>
    <t>27AAQPW0710P1Z1</t>
  </si>
  <si>
    <t>MIGMA PACKTRON</t>
  </si>
  <si>
    <t>23AXLPP2030P1Z9</t>
  </si>
  <si>
    <t>PARMS DESING PVT LTD,</t>
  </si>
  <si>
    <t>27AAICP7006Q1ZU</t>
  </si>
  <si>
    <t>S M ROLLING WORKS</t>
  </si>
  <si>
    <t>27ABOFS4993B1ZQ</t>
  </si>
  <si>
    <t>SAIKRUPA ENTERPRISES</t>
  </si>
  <si>
    <t>27ACAFS4100K1ZC</t>
  </si>
  <si>
    <t>SHREE SAI COATERS</t>
  </si>
  <si>
    <t>27ACAFS7745J1ZP</t>
  </si>
  <si>
    <t>TATA FICOSA AUTOMOTVES LTD.</t>
  </si>
  <si>
    <t>27AAACT5755A1ZJ</t>
  </si>
  <si>
    <t>TATA MOTORS LTD</t>
  </si>
  <si>
    <t>27AAACT2727Q1ZW</t>
  </si>
  <si>
    <t>TECH-FORCE COMPOSITES PVT,LTD.,(INDORE)</t>
  </si>
  <si>
    <t>23AAACT6376M1ZZ</t>
  </si>
  <si>
    <t>TI METAL FORMING</t>
  </si>
  <si>
    <t>27AAACT1249H1ZG</t>
  </si>
  <si>
    <t>TRW SUN STEERING WHEELS PRIVATE LTD,</t>
  </si>
  <si>
    <t>27AAFCS3981E1Z7</t>
  </si>
  <si>
    <t>TUBE INVESTMENTS OF INDIA LTD</t>
  </si>
  <si>
    <t>27AADCT1398N1ZQ</t>
  </si>
  <si>
    <t>MASTER SALE HSN SUMMERY</t>
  </si>
  <si>
    <t>HSN CODE Desp.</t>
  </si>
  <si>
    <t>UNIT</t>
  </si>
  <si>
    <t>Parts &amp; Accessories Of Motor Vehicles Other</t>
  </si>
  <si>
    <t>NOS-NUMBERS</t>
  </si>
  <si>
    <t>Service</t>
  </si>
  <si>
    <t>Goods</t>
  </si>
  <si>
    <t>MISC CHEMICAL PRODUCTS THINNER</t>
  </si>
  <si>
    <t>KLR-KILOLITRE</t>
  </si>
  <si>
    <t>PETROLEUM RESINS (ACTIVATOR)</t>
  </si>
  <si>
    <t>Others ( Paint &amp; Varnishes)</t>
  </si>
  <si>
    <t>Name</t>
  </si>
  <si>
    <t>AUTOFINA AUTOPLAST PVT.LTD.</t>
  </si>
  <si>
    <t>GST NO.</t>
  </si>
  <si>
    <t>27AAQCA6836R1ZN</t>
  </si>
  <si>
    <t>B2B Invoices - 4A, 4B, 4C, 6B, 6C</t>
  </si>
  <si>
    <t>MONTH</t>
  </si>
  <si>
    <t>No. of Records</t>
  </si>
  <si>
    <t>Total Invoice value</t>
  </si>
  <si>
    <t>Total Taxable value</t>
  </si>
  <si>
    <t>Total Integrated Tax</t>
  </si>
  <si>
    <t>Total Central Tax</t>
  </si>
  <si>
    <t>Total State/UT Tax</t>
  </si>
  <si>
    <t>Total Cess</t>
  </si>
  <si>
    <t xml:space="preserve">B2C Invoices - 5A, 5B - B2C (Large) </t>
  </si>
  <si>
    <t xml:space="preserve">Credit/Debit Notes - 9B (Registered) </t>
  </si>
  <si>
    <t>Credit/Debit Notes - 9B (Unregistered)</t>
  </si>
  <si>
    <t xml:space="preserve">Exports Invoices - 6A </t>
  </si>
  <si>
    <t>B2C Invoices 7 - B2C (Others)</t>
  </si>
  <si>
    <t>8-Nil rated/exempted/non GST outward suppliers</t>
  </si>
  <si>
    <t>Total NIL Amount</t>
  </si>
  <si>
    <t>Total Exempted Amount</t>
  </si>
  <si>
    <t>Total Non GST Amount</t>
  </si>
  <si>
    <t>Tax Liability (Advances Received) - 11A(1), 11A(2)</t>
  </si>
  <si>
    <t>11B(1),11B(2) Adjustment of Advances</t>
  </si>
  <si>
    <t>12-HSN-WISE SUMMARY OF OUTWARD SUPPLIERS</t>
  </si>
  <si>
    <t>Documents Issued</t>
  </si>
  <si>
    <t>Documents Cancelled</t>
  </si>
  <si>
    <t>Net issued Documents</t>
  </si>
  <si>
    <t>Amended B2B Invoices - 9A</t>
  </si>
  <si>
    <t>Amended B2C (Large) Invoices - 9A</t>
  </si>
  <si>
    <t>Amended Credit/Debit Notes (Registered) - 9C</t>
  </si>
  <si>
    <t>Amended Credit/Debit Notes (Unregistered) - 9C</t>
  </si>
  <si>
    <t xml:space="preserve">Amended Exports Invoices - 9A </t>
  </si>
  <si>
    <t xml:space="preserve">Amended B2C (Others) - 10 </t>
  </si>
  <si>
    <t>GSTIN</t>
  </si>
  <si>
    <t>37ABCDE1234A17</t>
  </si>
  <si>
    <t>Demo Company Ltd.</t>
  </si>
  <si>
    <t>Financial Year</t>
  </si>
  <si>
    <t>2017-18</t>
  </si>
  <si>
    <t>GSTR-1 Summary calculated by GST Government Portal</t>
  </si>
  <si>
    <t>Description</t>
  </si>
  <si>
    <t>Taxable Value</t>
  </si>
  <si>
    <t>Cess</t>
  </si>
  <si>
    <t>-</t>
  </si>
  <si>
    <t>Nil rated Supply</t>
  </si>
  <si>
    <t>Exempt Supply</t>
  </si>
  <si>
    <t>Non GST Supply</t>
  </si>
  <si>
    <t>Adjustment of Advances</t>
  </si>
  <si>
    <t xml:space="preserve">Amended Tax Liability (Advance Received) - 11A </t>
  </si>
  <si>
    <t xml:space="preserve">Amendment of Adjustment of Advances - 11B </t>
  </si>
  <si>
    <t>GSTR-1 Summary calculated by AAPL</t>
  </si>
  <si>
    <t>GST Audit</t>
  </si>
  <si>
    <t>Date:- 10-09-2018</t>
  </si>
  <si>
    <t xml:space="preserve">Outward Supplies (sales ) as per books </t>
  </si>
  <si>
    <t>Credit Note</t>
  </si>
  <si>
    <t>Months</t>
  </si>
  <si>
    <t>Total Tax</t>
  </si>
  <si>
    <t xml:space="preserve">Total sales </t>
  </si>
  <si>
    <t>Net Total</t>
  </si>
  <si>
    <t>SALE</t>
  </si>
  <si>
    <t>CREDIT NOTE REG</t>
  </si>
  <si>
    <t xml:space="preserve">Credit Notes - 9B (Registered) </t>
  </si>
  <si>
    <t xml:space="preserve">Debit Notes - 9B (Registered) </t>
  </si>
  <si>
    <t xml:space="preserve">TOTAL Credit/Debit Notes - 9B (Registered) </t>
  </si>
  <si>
    <t>Credit Notes - 9B (Unregistered)</t>
  </si>
  <si>
    <t>Debit Notes - 9B (Unregistered)</t>
  </si>
  <si>
    <t>TOTAL Credit/Debit Notes - 9B (Unregistered)</t>
  </si>
  <si>
    <t>Amended Credit (Registered) - 9C</t>
  </si>
  <si>
    <t>Amended Debit Notes (Registered) - 9C</t>
  </si>
  <si>
    <t>TOTAL Amended Credit/Debit Notes (Registered) - 9C</t>
  </si>
  <si>
    <t>Amended Credit Notes (Unregistered) - 9C</t>
  </si>
  <si>
    <t>Amended Debit Notes (Unregistered) - 9C</t>
  </si>
  <si>
    <t>TOTAL Amended Credit/Debit Notes (Unregistered) - 9C</t>
  </si>
  <si>
    <t>TOTAL</t>
  </si>
  <si>
    <t>B2C LARGE</t>
  </si>
  <si>
    <t>1) 3A- Supplies made to consumers and un-registered persons (Net of debit / credit notes) (B2C)</t>
  </si>
  <si>
    <t>2) 3B- Supplies made to registered persons (other than those attracting reverse charge) (B2B)</t>
  </si>
  <si>
    <t>Recipient wise summary </t>
  </si>
  <si>
    <t>3) 3C- Exports with payment of tax (EXPWP)</t>
  </si>
  <si>
    <t>4) 3D- Exports without payment of tax (EXPWOP)</t>
  </si>
  <si>
    <t>5) 3E- Supplies to SEZ units/developers with payment of tax (SEZWP)</t>
  </si>
  <si>
    <t>6) 3F- Supplies to SEZ units/developers without payment of tax (SEZWOP)</t>
  </si>
  <si>
    <t>7) 3G- Deemed exports (including edit/amendment) (DE)</t>
  </si>
  <si>
    <t>8) Total outward supplies (1 to 7)</t>
  </si>
  <si>
    <t>9) 3H- Inward supplies attracting reverse charge (to be reported by the recipient, GSTIN wise for every supplier, net of debit/credit notes and advances paid, if any) (RCM)</t>
  </si>
  <si>
    <t>10) 3I- Import of services (net of debit/ credit notes and advances paid, if any) (IMPS)</t>
  </si>
  <si>
    <t>11) 3J- Import of goods(IMPG)</t>
  </si>
  <si>
    <t>12) 3K- Import of goods from SEZ units / developers on a Bill of Entry (IMPG SEZ)</t>
  </si>
  <si>
    <t>13) 3L- Missing documents on which credit has been claimed in T-2 /T-1 (for quarter) tax period and supplier has not reported the same till the filing of return for the current tax period</t>
  </si>
  <si>
    <t>14) 4- Details of the supplies made through e-commerce operators liable to collect tax under section 52 (out of any outward supplies declared in table 3)</t>
  </si>
  <si>
    <t>15) Total Net Liability (8+9+10)</t>
  </si>
  <si>
    <t>B2C</t>
  </si>
  <si>
    <t xml:space="preserve">DEBIT NOTE </t>
  </si>
  <si>
    <t>Assy</t>
  </si>
  <si>
    <t>HSN DESCRPTION</t>
  </si>
  <si>
    <t>ASSY.</t>
  </si>
  <si>
    <t>DEBIT NOTE UNREG</t>
  </si>
  <si>
    <t>EXPORT WPAY</t>
  </si>
  <si>
    <t>B2C SMALL</t>
  </si>
  <si>
    <t>EXPORT WOPAY</t>
  </si>
  <si>
    <t>B2C OTHER</t>
  </si>
  <si>
    <t>NIL</t>
  </si>
  <si>
    <t>ZERO</t>
  </si>
  <si>
    <t>EXEMPTED</t>
  </si>
  <si>
    <t>NON-GST</t>
  </si>
  <si>
    <t>SEZ WPAY</t>
  </si>
  <si>
    <t>SEZ WOPAY</t>
  </si>
  <si>
    <t>DEEM EXP.WREFUND</t>
  </si>
  <si>
    <t>DEEM EXP.WOREFUND</t>
  </si>
  <si>
    <t>E-COM</t>
  </si>
  <si>
    <t>AMD B2C</t>
  </si>
  <si>
    <t>AMD B2B</t>
  </si>
  <si>
    <t>AMD B2C LARGE</t>
  </si>
  <si>
    <t>AMD B2C SMALL</t>
  </si>
  <si>
    <t>AMD B2C OTHER</t>
  </si>
  <si>
    <t>SALE TYPE</t>
  </si>
  <si>
    <t>INVOICE TYPE</t>
  </si>
  <si>
    <t>DEBIT NOTE REG</t>
  </si>
  <si>
    <t>BILL OF ENTRY</t>
  </si>
  <si>
    <t>CREDIT NOTE UNREG</t>
  </si>
  <si>
    <t>CHALLAN</t>
  </si>
  <si>
    <t>ADVANCE RECD</t>
  </si>
  <si>
    <t>EXPORT</t>
  </si>
  <si>
    <t>ADVANCE ADJ</t>
  </si>
  <si>
    <t>AMD CREDIT NOTE REG</t>
  </si>
  <si>
    <t>AMD CREDIT NOTE UNREG</t>
  </si>
  <si>
    <t>AMD DEBIT NOTE REG</t>
  </si>
  <si>
    <t>AMD DEBIT NOTE UNREG</t>
  </si>
  <si>
    <t>AMD EXPORT</t>
  </si>
  <si>
    <t xml:space="preserve">CREDIT NOTE </t>
  </si>
  <si>
    <t>4(5) CHALLAN</t>
  </si>
  <si>
    <t>PURCHASE  TYPE</t>
  </si>
  <si>
    <t>IMPORT SERVICE</t>
  </si>
  <si>
    <t>IMPORT GOODS</t>
  </si>
  <si>
    <t>DEEM EXPORT WPAY</t>
  </si>
  <si>
    <t>DEEM EXPORT WOPAY</t>
  </si>
  <si>
    <t>INPUT</t>
  </si>
  <si>
    <t>INPUT SERVICE</t>
  </si>
  <si>
    <t>CAPITAL GOODS</t>
  </si>
  <si>
    <t>URD</t>
  </si>
  <si>
    <t>FREIGHT</t>
  </si>
  <si>
    <t>OTHER CUSTOM DUTY</t>
  </si>
  <si>
    <t>ROUND OFF</t>
  </si>
  <si>
    <t>RULE-42</t>
  </si>
  <si>
    <t>RULE-43</t>
  </si>
  <si>
    <t>OTHER</t>
  </si>
  <si>
    <t>SEC-17</t>
  </si>
  <si>
    <t>2019-20</t>
  </si>
  <si>
    <t>3.1 Details of Outward Supplies and inward supplies liable to reverse charge</t>
  </si>
  <si>
    <t xml:space="preserve">3.1 (a) Outward taxable supplies  (other than zero rated, nil rated and exempted) </t>
  </si>
  <si>
    <t>April</t>
  </si>
  <si>
    <t>May</t>
  </si>
  <si>
    <t>June</t>
  </si>
  <si>
    <t xml:space="preserve">3.1 (b) Outward taxable supplies  (zero rated) </t>
  </si>
  <si>
    <t>3.1 (c) Other outward supplies (Nil rated, exempted)</t>
  </si>
  <si>
    <t xml:space="preserve">3.1 (d) Inward supplies (liable to reverse charge) </t>
  </si>
  <si>
    <t>3.1 (e) Non-GST outward supplies</t>
  </si>
  <si>
    <t>Of the supplies shown in 3.1 (a) above, details of inter-state supplies made to unregistered persons, composition taxable persons and UIN holders</t>
  </si>
  <si>
    <t>Total Taxable Value</t>
  </si>
  <si>
    <t>Supplies made to Unregistered Persons</t>
  </si>
  <si>
    <t>Supplies made to Composition Taxable Persons</t>
  </si>
  <si>
    <t>Supplies made to UIN holders</t>
  </si>
  <si>
    <t>4. Eligible ITC</t>
  </si>
  <si>
    <t>(A) ITC Available (Whether in full or part)</t>
  </si>
  <si>
    <t xml:space="preserve">ITC Available (Whether in full or part)
</t>
  </si>
  <si>
    <t>4 (A) ITC Available - (1) Import of goods</t>
  </si>
  <si>
    <t xml:space="preserve">4 (A) ITC Available - (2) Import of services </t>
  </si>
  <si>
    <t xml:space="preserve">4 (A) ITC Available - (3) Inward supplies liable to reverse charge (other than 1 and 2) </t>
  </si>
  <si>
    <t>4 (A) ITC Available - (4) Inward supplies from ISD</t>
  </si>
  <si>
    <t>4 (A) ITC Available - (5) All other ITC</t>
  </si>
  <si>
    <t xml:space="preserve"> B ITC Reversed</t>
  </si>
  <si>
    <t>ITC Reversed</t>
  </si>
  <si>
    <t xml:space="preserve">4 (B) ITC Reversed - (1) As per rules 42 and 43 of CGST Rules </t>
  </si>
  <si>
    <t xml:space="preserve">4 (B) ITC Reversed - (2) Others </t>
  </si>
  <si>
    <t xml:space="preserve">4 (C) Net ITC Available 4(A) - 4(B) </t>
  </si>
  <si>
    <t xml:space="preserve"> D Ineligible ITC</t>
  </si>
  <si>
    <t>Ineligible ITC</t>
  </si>
  <si>
    <t>4 (D) Ineligible ITC - (1) As per section 17(5)</t>
  </si>
  <si>
    <t>4 (D) Ineligible ITC - (2) Others</t>
  </si>
  <si>
    <t>5. Values of exempt, Nil-rated and non-GST inward supplies</t>
  </si>
  <si>
    <t>Non-GST Supplies</t>
  </si>
  <si>
    <t>Interest</t>
  </si>
  <si>
    <t>Payment of Tax (Other than RCM)</t>
  </si>
  <si>
    <t>DIFFRANCE</t>
  </si>
  <si>
    <t>RCM INPUT</t>
  </si>
  <si>
    <t>UNREGISTRED</t>
  </si>
  <si>
    <t>COMPOSITION</t>
  </si>
  <si>
    <t>UNI HOLDERS</t>
  </si>
  <si>
    <t>INPUT ISD</t>
  </si>
  <si>
    <t>NON-GST OMS</t>
  </si>
  <si>
    <t>NON-GST LOCAL</t>
  </si>
  <si>
    <t>NIL OMS</t>
  </si>
  <si>
    <t>NIL LOCAL</t>
  </si>
  <si>
    <t>EXEMPTED OMS</t>
  </si>
  <si>
    <t>EXEMPTED LOCAL</t>
  </si>
  <si>
    <t>Invoice 
Number</t>
  </si>
  <si>
    <t>Invoice
 date</t>
  </si>
  <si>
    <t>Mittal Precision Auto Comps Private Limited</t>
  </si>
  <si>
    <t>Varroc Polymers Pvt.Ltd.</t>
  </si>
  <si>
    <t>Tata Autocomp Systems Ltd.(X1)</t>
  </si>
  <si>
    <t>SI2040001191</t>
  </si>
  <si>
    <t>SI2040001192</t>
  </si>
  <si>
    <t>Origa Lease Finance Pvt Ltd.</t>
  </si>
  <si>
    <t>27AABCO8467D1ZA</t>
  </si>
  <si>
    <t>OLFPL/19-20/002</t>
  </si>
  <si>
    <t>Chhatrapati Business Group</t>
  </si>
  <si>
    <t>27AAMFC2124K1ZG</t>
  </si>
  <si>
    <t>39199090/</t>
  </si>
  <si>
    <t>Atharva Polymer Pvt.Ltd.</t>
  </si>
  <si>
    <t>27AAHCA1363L1ZK</t>
  </si>
  <si>
    <t>AP/19-20/00259</t>
  </si>
  <si>
    <t>SI2040002288</t>
  </si>
  <si>
    <t>AP/19-20/00290</t>
  </si>
  <si>
    <t>Nutan Enterprises</t>
  </si>
  <si>
    <t>27AFJPK6177Q1ZJ</t>
  </si>
  <si>
    <t>Axalta Coating Systems India Private Limited.</t>
  </si>
  <si>
    <t>27AAECD2713N1ZK</t>
  </si>
  <si>
    <t>AP/19-20/00355</t>
  </si>
  <si>
    <t>SI2040003421</t>
  </si>
  <si>
    <t>Aditya Enterprises</t>
  </si>
  <si>
    <t>27AMMPB3648M1ZO</t>
  </si>
  <si>
    <t>Minda Rinder India Pvt.Ltd.</t>
  </si>
  <si>
    <t>M Traders</t>
  </si>
  <si>
    <t>27AACFM2940F1ZJ</t>
  </si>
  <si>
    <t>BH/0076</t>
  </si>
  <si>
    <t>Premier Sales Corporation</t>
  </si>
  <si>
    <t>27AAHFP1154B1ZN</t>
  </si>
  <si>
    <t>19-20/17665</t>
  </si>
  <si>
    <t>19-20/17667</t>
  </si>
  <si>
    <t>AP/19-20/00467</t>
  </si>
  <si>
    <t>SI2040005375</t>
  </si>
  <si>
    <t>SI2040005376</t>
  </si>
  <si>
    <t>Kansai Nerolac Paints Ltd.</t>
  </si>
  <si>
    <t>27AAACG1376N1ZC</t>
  </si>
  <si>
    <t>L271011171</t>
  </si>
  <si>
    <t>L271011172</t>
  </si>
  <si>
    <t>L271011173</t>
  </si>
  <si>
    <t>Aeroaids Corporation</t>
  </si>
  <si>
    <t>27AABFA1883E1ZQ</t>
  </si>
  <si>
    <t>APU/1920/210</t>
  </si>
  <si>
    <t>Axis Bank Ltd.</t>
  </si>
  <si>
    <t>27AAACU2414K1ZF</t>
  </si>
  <si>
    <t>FIN2104196448820</t>
  </si>
  <si>
    <t>Tech-Force Composites Pvt.Ltd.,( Indore Unit )</t>
  </si>
  <si>
    <t>Bharti Airtel Limied</t>
  </si>
  <si>
    <t>27AAACB2894G1ZN</t>
  </si>
  <si>
    <t>fm20271000789675</t>
  </si>
  <si>
    <t>Allwell Products</t>
  </si>
  <si>
    <t>27APHPD1073Q1ZM</t>
  </si>
  <si>
    <t>AWP/19-20/625</t>
  </si>
  <si>
    <t>441480/</t>
  </si>
  <si>
    <t>SI2040006771</t>
  </si>
  <si>
    <t>19-20/17666</t>
  </si>
  <si>
    <t>Mrf Corp Limited</t>
  </si>
  <si>
    <t>27AAACM2185R1ZX</t>
  </si>
  <si>
    <t>Basf India Limited.</t>
  </si>
  <si>
    <t>27AAACB4599E1ZL</t>
  </si>
  <si>
    <t>OS2719101821</t>
  </si>
  <si>
    <t>OS2719101822</t>
  </si>
  <si>
    <t>Deep Enterprises</t>
  </si>
  <si>
    <t>27AJAPG7696K1ZP</t>
  </si>
  <si>
    <t>PR/19-20/1</t>
  </si>
  <si>
    <t>AP/19-20/00704</t>
  </si>
  <si>
    <t>AP/19-20/00703</t>
  </si>
  <si>
    <t>Industrial Trading Company</t>
  </si>
  <si>
    <t>27AABFI6338L1Z3</t>
  </si>
  <si>
    <t>B0280</t>
  </si>
  <si>
    <t>Vnet Corporation</t>
  </si>
  <si>
    <t>27AYCPB9228K1ZA</t>
  </si>
  <si>
    <t>VNET/19-20/14</t>
  </si>
  <si>
    <t>998422</t>
  </si>
  <si>
    <t>SI2040009354</t>
  </si>
  <si>
    <t>The Colour Galaxy</t>
  </si>
  <si>
    <t>27AAFFT6563N1ZH</t>
  </si>
  <si>
    <t>19-20/471</t>
  </si>
  <si>
    <t>SI2040010614</t>
  </si>
  <si>
    <t>SI2040010615</t>
  </si>
  <si>
    <t>Sam Systems</t>
  </si>
  <si>
    <t>27AHVPG8951G1ZQ</t>
  </si>
  <si>
    <t>SS/19-20/0087</t>
  </si>
  <si>
    <t>Accurate Industries</t>
  </si>
  <si>
    <t>27AACFA1881H1ZL</t>
  </si>
  <si>
    <t>Shrujal Chem Private Limited</t>
  </si>
  <si>
    <t>27AAQCS7977M1Z3</t>
  </si>
  <si>
    <t>SCPL/0083</t>
  </si>
  <si>
    <t>SI2040011755</t>
  </si>
  <si>
    <t>SI2040011756</t>
  </si>
  <si>
    <t>M-Tech Enterprises</t>
  </si>
  <si>
    <t>27BUQPM7574N1ZH</t>
  </si>
  <si>
    <t>19-20/014</t>
  </si>
  <si>
    <t>APU/1920/490</t>
  </si>
  <si>
    <t>Yashodeep Enterprises</t>
  </si>
  <si>
    <t>27ADOPJ4418Q1ZV</t>
  </si>
  <si>
    <t>9603/</t>
  </si>
  <si>
    <t>3506</t>
  </si>
  <si>
    <t>3403/</t>
  </si>
  <si>
    <t>Swan Electricals</t>
  </si>
  <si>
    <t>27AAYPA0273F1ZQ</t>
  </si>
  <si>
    <t>0020/19-20</t>
  </si>
  <si>
    <t>85389000</t>
  </si>
  <si>
    <t>AWP/19-20/652</t>
  </si>
  <si>
    <t>SI2040013890</t>
  </si>
  <si>
    <t>SI2040013891</t>
  </si>
  <si>
    <t>1975</t>
  </si>
  <si>
    <t>19-20/17933</t>
  </si>
  <si>
    <t>19-20/17934</t>
  </si>
  <si>
    <t>19-20/17902</t>
  </si>
  <si>
    <t>19-20/17908</t>
  </si>
  <si>
    <t>B0481</t>
  </si>
  <si>
    <t>39174000</t>
  </si>
  <si>
    <t>B0482</t>
  </si>
  <si>
    <t>B0483</t>
  </si>
  <si>
    <t>B0484</t>
  </si>
  <si>
    <t>B0485</t>
  </si>
  <si>
    <t>9987</t>
  </si>
  <si>
    <t>Shriram Enterprises</t>
  </si>
  <si>
    <t>27CVNPK1560R1ZT</t>
  </si>
  <si>
    <t>Akzo Nobel India Limited.</t>
  </si>
  <si>
    <t>27AAACI6297A1ZN</t>
  </si>
  <si>
    <t>HP110305</t>
  </si>
  <si>
    <t>Sanjay Tools &amp; Accessories Pvt.Ltd.</t>
  </si>
  <si>
    <t>27AAHCS2420A1ZX</t>
  </si>
  <si>
    <t>FIN2404192322182</t>
  </si>
  <si>
    <t>FIN2604196209216</t>
  </si>
  <si>
    <t>FIN2604196211988</t>
  </si>
  <si>
    <t>FIN2604196904576</t>
  </si>
  <si>
    <t>Yash Transport</t>
  </si>
  <si>
    <t>Micro Plast</t>
  </si>
  <si>
    <t>27AAZFM6461A1ZY</t>
  </si>
  <si>
    <t>OLFPL/19-20/009</t>
  </si>
  <si>
    <t>SI2040015772</t>
  </si>
  <si>
    <t>SI2040015773</t>
  </si>
  <si>
    <t>Sai Traders</t>
  </si>
  <si>
    <t>27AJZPM2520M1ZL</t>
  </si>
  <si>
    <t>139/19-20</t>
  </si>
  <si>
    <t>Shubham Biz Facility Management (P) Ltd.</t>
  </si>
  <si>
    <t>27AASCS9231J1ZO</t>
  </si>
  <si>
    <t>G0062</t>
  </si>
  <si>
    <t>G0063</t>
  </si>
  <si>
    <t>Om Enterprises</t>
  </si>
  <si>
    <t>27ACFPY4813J1Z6</t>
  </si>
  <si>
    <t>VNET/19-20/198</t>
  </si>
  <si>
    <t>19-20/18064</t>
  </si>
  <si>
    <t>19-20/18066</t>
  </si>
  <si>
    <t>19-20/18065</t>
  </si>
  <si>
    <t>SCPL/0148</t>
  </si>
  <si>
    <t>B0690</t>
  </si>
  <si>
    <t>FIN1605197283422</t>
  </si>
  <si>
    <t>FIN1705198371225</t>
  </si>
  <si>
    <t>HP110445</t>
  </si>
  <si>
    <t>3814/</t>
  </si>
  <si>
    <t>Amin Engineers</t>
  </si>
  <si>
    <t>27AAPFA7196J1ZR</t>
  </si>
  <si>
    <t>GST/19-20/141</t>
  </si>
  <si>
    <t>L271035837</t>
  </si>
  <si>
    <t>Promise Pest Control System</t>
  </si>
  <si>
    <t>27AACPH4424P1ZJ</t>
  </si>
  <si>
    <t>FM20271002228659</t>
  </si>
  <si>
    <t>OLFPL/19-20/013</t>
  </si>
  <si>
    <t>Axalta Coating Systems India Private Limited. (55703418)</t>
  </si>
  <si>
    <t>Rajendra Enterprises</t>
  </si>
  <si>
    <t>27AVIPS7433C1ZF</t>
  </si>
  <si>
    <t>1920RE0225</t>
  </si>
  <si>
    <t>8539/</t>
  </si>
  <si>
    <t>B0894</t>
  </si>
  <si>
    <t>HP110532</t>
  </si>
  <si>
    <t>SKY Buildcon</t>
  </si>
  <si>
    <t>27ACMFS6707J1ZL</t>
  </si>
  <si>
    <t>19-20/00054</t>
  </si>
  <si>
    <t>OS2719105933</t>
  </si>
  <si>
    <t>OS2719105934</t>
  </si>
  <si>
    <t>SI2040024785</t>
  </si>
  <si>
    <t>L271042802</t>
  </si>
  <si>
    <t>L271042803</t>
  </si>
  <si>
    <t>L271042804</t>
  </si>
  <si>
    <t>19-20/18385</t>
  </si>
  <si>
    <t>SCPL/0189</t>
  </si>
  <si>
    <t>L271043335</t>
  </si>
  <si>
    <t>L271043336</t>
  </si>
  <si>
    <t>L271044672</t>
  </si>
  <si>
    <t>L271044673</t>
  </si>
  <si>
    <t>SS/19-20/00182</t>
  </si>
  <si>
    <t>SS/19-20/00188</t>
  </si>
  <si>
    <t>AWP/19-20/675</t>
  </si>
  <si>
    <t>SI2040027456</t>
  </si>
  <si>
    <t>Bajaj Automobiles</t>
  </si>
  <si>
    <t>27AAZPJ4136D1ZI</t>
  </si>
  <si>
    <t>BA/19-20/50</t>
  </si>
  <si>
    <t>SCPL/0217</t>
  </si>
  <si>
    <t>AWP/19-20/688</t>
  </si>
  <si>
    <t>HP110614</t>
  </si>
  <si>
    <t>HP110633</t>
  </si>
  <si>
    <t>Polyplastic Industries (I) Pvt.Ltd.</t>
  </si>
  <si>
    <t>27AAECP8535C1ZF</t>
  </si>
  <si>
    <t>DR1/19/6251</t>
  </si>
  <si>
    <t>DR1/19/6254</t>
  </si>
  <si>
    <t>S G SALES CORPORATION</t>
  </si>
  <si>
    <t>27ABDFS1863M1ZR</t>
  </si>
  <si>
    <t>CM02803</t>
  </si>
  <si>
    <t>Decker Logistics Pvt Ltd</t>
  </si>
  <si>
    <t>27AAFCD5233J1ZM</t>
  </si>
  <si>
    <t>A18030</t>
  </si>
  <si>
    <t>9965</t>
  </si>
  <si>
    <t>Machino Plastics Limited,Unit-II</t>
  </si>
  <si>
    <t>06AAACM6984G1Z9</t>
  </si>
  <si>
    <t>MPL2/19/12927</t>
  </si>
  <si>
    <t>SS/19-20/00206</t>
  </si>
  <si>
    <t>fin2005190753037</t>
  </si>
  <si>
    <t>INFINITI RETAIL LIMITED</t>
  </si>
  <si>
    <t>27AACCV17226H1ZE</t>
  </si>
  <si>
    <t>SLA117020078283</t>
  </si>
  <si>
    <t>DM00347</t>
  </si>
  <si>
    <t>Overseas Logistics &amp; Service</t>
  </si>
  <si>
    <t>23AAFFO4378L1ZX</t>
  </si>
  <si>
    <t>Yung Hang Tai Water Transfer Ltd</t>
  </si>
  <si>
    <t>19-20/18564</t>
  </si>
  <si>
    <t>19-20/18565</t>
  </si>
  <si>
    <t>HP110682</t>
  </si>
  <si>
    <t>SI2040030481</t>
  </si>
  <si>
    <t>SI2040030505</t>
  </si>
  <si>
    <t>SI2040030482</t>
  </si>
  <si>
    <t>Nature</t>
  </si>
  <si>
    <t>27CIDPP6150M1ZU</t>
  </si>
  <si>
    <t>AWP/19-20/698</t>
  </si>
  <si>
    <t>L271052400</t>
  </si>
  <si>
    <t>L271052401</t>
  </si>
  <si>
    <t>L271052402</t>
  </si>
  <si>
    <t>L271052404</t>
  </si>
  <si>
    <t>OLFPL/19-20/019</t>
  </si>
  <si>
    <t>997319</t>
  </si>
  <si>
    <t>AWP/19-20/703</t>
  </si>
  <si>
    <t>Master Pressing Works</t>
  </si>
  <si>
    <t>27AABFM8397H1ZT</t>
  </si>
  <si>
    <t>0784/19 20</t>
  </si>
  <si>
    <t>Axalta Coating Systems India Pvt Ltd,</t>
  </si>
  <si>
    <t>24AAECD2713N1ZQ</t>
  </si>
  <si>
    <t>Disha Fire Solutions</t>
  </si>
  <si>
    <t>27ATWPK5509M1ZV</t>
  </si>
  <si>
    <t>Permag Tradelink</t>
  </si>
  <si>
    <t>27AAIPN4131D1Z0</t>
  </si>
  <si>
    <t>238/19-20</t>
  </si>
  <si>
    <t>1920RE0319</t>
  </si>
  <si>
    <t>APU/1920/1328</t>
  </si>
  <si>
    <t>G0176</t>
  </si>
  <si>
    <t>G0177</t>
  </si>
  <si>
    <t>HP110736</t>
  </si>
  <si>
    <t>S G Sales Corporation</t>
  </si>
  <si>
    <t>CM03134</t>
  </si>
  <si>
    <t>Uptech Engineering</t>
  </si>
  <si>
    <t>27ANLPS2142M1ZJ</t>
  </si>
  <si>
    <t>SI/7250</t>
  </si>
  <si>
    <t>ss/19-20/00251</t>
  </si>
  <si>
    <t>SCPL/0251</t>
  </si>
  <si>
    <t>L271060139</t>
  </si>
  <si>
    <t>L271060140</t>
  </si>
  <si>
    <t>19-20/18759</t>
  </si>
  <si>
    <t>SI2040035976</t>
  </si>
  <si>
    <t>OLFPL/19-20/023</t>
  </si>
  <si>
    <t>997319/</t>
  </si>
  <si>
    <t>19-20/18793</t>
  </si>
  <si>
    <t>VNET/19-20/380</t>
  </si>
  <si>
    <t>FIN1906197179110</t>
  </si>
  <si>
    <t>FIN1906196984762</t>
  </si>
  <si>
    <t>FIN2006191205241</t>
  </si>
  <si>
    <t>SS/19-20/00271</t>
  </si>
  <si>
    <t>Maharashtra Enviro Power Ltd.</t>
  </si>
  <si>
    <t>27AAECM3522C1ZX</t>
  </si>
  <si>
    <t>Varroc Engineering Ltd.</t>
  </si>
  <si>
    <t>HP110872</t>
  </si>
  <si>
    <t>APU/1920/1575</t>
  </si>
  <si>
    <t>19-20/18904</t>
  </si>
  <si>
    <t>19-20/18909</t>
  </si>
  <si>
    <t>SI2040038758</t>
  </si>
  <si>
    <t>Sai Interprises</t>
  </si>
  <si>
    <t>27ACIPD7822K1ZF</t>
  </si>
  <si>
    <t>SI/19-20/23</t>
  </si>
  <si>
    <t>DR1/19/8491</t>
  </si>
  <si>
    <t>DR1/19/8492</t>
  </si>
  <si>
    <t>0965/19-20</t>
  </si>
  <si>
    <t>SS/19-20/00297</t>
  </si>
  <si>
    <t>SI2040040087</t>
  </si>
  <si>
    <t>SI/19-20/26</t>
  </si>
  <si>
    <t>SCPL/0336</t>
  </si>
  <si>
    <t>L271068020</t>
  </si>
  <si>
    <t>L271068021</t>
  </si>
  <si>
    <t>SS/19-20/00311</t>
  </si>
  <si>
    <t>BM2027I002115107</t>
  </si>
  <si>
    <t>Spire India</t>
  </si>
  <si>
    <t>27ACPPS1076B1ZI</t>
  </si>
  <si>
    <t>1679/19</t>
  </si>
  <si>
    <t>SS/19-20/00302</t>
  </si>
  <si>
    <t>SCPL/0349</t>
  </si>
  <si>
    <t>FIN1006193729414</t>
  </si>
  <si>
    <t>FIN2006191404964</t>
  </si>
  <si>
    <t>24.06.2019</t>
  </si>
  <si>
    <t>SI2040041931</t>
  </si>
  <si>
    <t>SI2040041932</t>
  </si>
  <si>
    <t>1011/19-20</t>
  </si>
  <si>
    <t>SS/19-20/00316</t>
  </si>
  <si>
    <t>19-20/19127</t>
  </si>
  <si>
    <t>19-20/19128</t>
  </si>
  <si>
    <t>L271073732</t>
  </si>
  <si>
    <t>L271073733</t>
  </si>
  <si>
    <t>L271073734</t>
  </si>
  <si>
    <t>VNET/19-20/556</t>
  </si>
  <si>
    <t>Zenith Engineering ( Conv)</t>
  </si>
  <si>
    <t>27ACKPT7340N1ZU</t>
  </si>
  <si>
    <t>40/19-20</t>
  </si>
  <si>
    <t>SI2040043339</t>
  </si>
  <si>
    <t>FIN0507192181179</t>
  </si>
  <si>
    <t>Tally (india) private Limited</t>
  </si>
  <si>
    <t>29AACCT3705E1ZJ</t>
  </si>
  <si>
    <t>I/0/034847/19-20</t>
  </si>
  <si>
    <t>398/19-20</t>
  </si>
  <si>
    <t>Goldline Engineering</t>
  </si>
  <si>
    <t>27AAAFG1674N1Z5</t>
  </si>
  <si>
    <t>19-20/24</t>
  </si>
  <si>
    <t>G0328</t>
  </si>
  <si>
    <t>SI2040043682</t>
  </si>
  <si>
    <t>G0336</t>
  </si>
  <si>
    <t>SI2040043887</t>
  </si>
  <si>
    <t>MPL2/19/21768</t>
  </si>
  <si>
    <t>SI2040044426</t>
  </si>
  <si>
    <t>OLFPL/19-20/029</t>
  </si>
  <si>
    <t>SI2040044425</t>
  </si>
  <si>
    <t>19-20/19271</t>
  </si>
  <si>
    <t>DR1/19/10263</t>
  </si>
  <si>
    <t>SI2040045452</t>
  </si>
  <si>
    <t>1143/19-20</t>
  </si>
  <si>
    <t>L271078902</t>
  </si>
  <si>
    <t>L271078903</t>
  </si>
  <si>
    <t>BM2027I003090025</t>
  </si>
  <si>
    <t>SI2040046552</t>
  </si>
  <si>
    <t>l749210064</t>
  </si>
  <si>
    <t>FIN23071978443956</t>
  </si>
  <si>
    <t>OLFPL/19-20/033</t>
  </si>
  <si>
    <t>SI2040047572</t>
  </si>
  <si>
    <t>SI2040047573</t>
  </si>
  <si>
    <t>19-20/19389</t>
  </si>
  <si>
    <t>SI/7348</t>
  </si>
  <si>
    <t>1920RE0548</t>
  </si>
  <si>
    <t>SI2040048532</t>
  </si>
  <si>
    <t>l749210099</t>
  </si>
  <si>
    <t>l749210116</t>
  </si>
  <si>
    <t>l749210117</t>
  </si>
  <si>
    <t>APU/1920/2255</t>
  </si>
  <si>
    <t>APU/1920/2256</t>
  </si>
  <si>
    <t>OS2719114737</t>
  </si>
  <si>
    <t>OS2719114738</t>
  </si>
  <si>
    <t>L271082664</t>
  </si>
  <si>
    <t>L271082665</t>
  </si>
  <si>
    <t>L271082666</t>
  </si>
  <si>
    <t>SI2040049534</t>
  </si>
  <si>
    <t>1253/19-20</t>
  </si>
  <si>
    <t>1257/19-20</t>
  </si>
  <si>
    <t>Raj Hardware &amp; Electricals</t>
  </si>
  <si>
    <t>27AATPC2316A1Z7</t>
  </si>
  <si>
    <t>SS/19-20/00399</t>
  </si>
  <si>
    <t>DR1/19/11670</t>
  </si>
  <si>
    <t>SI2040050166</t>
  </si>
  <si>
    <t>DR1/19/11668</t>
  </si>
  <si>
    <t>SS/19-20/00404</t>
  </si>
  <si>
    <t>l749210170</t>
  </si>
  <si>
    <t>Genesis Solutions (india)</t>
  </si>
  <si>
    <t>27ABXPK1220E1ZS</t>
  </si>
  <si>
    <t>SI2040050619</t>
  </si>
  <si>
    <t>SI2040050620</t>
  </si>
  <si>
    <t>SI2040051297</t>
  </si>
  <si>
    <t>SI2040051298</t>
  </si>
  <si>
    <t>L271087160</t>
  </si>
  <si>
    <t>L271087161</t>
  </si>
  <si>
    <t>Exergon Chemical (Mfg.) Company</t>
  </si>
  <si>
    <t>27AABFR5119A1ZO</t>
  </si>
  <si>
    <t>978/19-20</t>
  </si>
  <si>
    <t>SI2040052243</t>
  </si>
  <si>
    <t>SI2040052244</t>
  </si>
  <si>
    <t>Jay Kay Tools</t>
  </si>
  <si>
    <t>27ACOPJ2933M1Z5</t>
  </si>
  <si>
    <t>MC01220</t>
  </si>
  <si>
    <t>V K Electricals</t>
  </si>
  <si>
    <t>27AGXPK0223G1ZD</t>
  </si>
  <si>
    <t>SI/19-20/32</t>
  </si>
  <si>
    <t>OS2719116385</t>
  </si>
  <si>
    <t>ABS Certifictions</t>
  </si>
  <si>
    <t>27AECPD3419C1Z5</t>
  </si>
  <si>
    <t>l749210248</t>
  </si>
  <si>
    <t>SCPL/0474</t>
  </si>
  <si>
    <t>FIN0508199444550</t>
  </si>
  <si>
    <t>FIN3107197624589</t>
  </si>
  <si>
    <t>FIN0108198608852</t>
  </si>
  <si>
    <t>FIN0108198725412</t>
  </si>
  <si>
    <t>FIN0108198792586</t>
  </si>
  <si>
    <t>United India Insurance Company Limited.</t>
  </si>
  <si>
    <t>27AAACU5552C1ZJ</t>
  </si>
  <si>
    <t>1119I10571163</t>
  </si>
  <si>
    <t>SI20400512840</t>
  </si>
  <si>
    <t>SI20400512841</t>
  </si>
  <si>
    <t>19-20/19750</t>
  </si>
  <si>
    <t>19-20/19752</t>
  </si>
  <si>
    <t>19-20/19751</t>
  </si>
  <si>
    <t>L271092939</t>
  </si>
  <si>
    <t>L271092940</t>
  </si>
  <si>
    <t>L271092941</t>
  </si>
  <si>
    <t>G0482</t>
  </si>
  <si>
    <t>G0523</t>
  </si>
  <si>
    <t>SI2040053821</t>
  </si>
  <si>
    <t>SI2040053822</t>
  </si>
  <si>
    <t>S S Q A</t>
  </si>
  <si>
    <t>27AJIPP2958D1Z0</t>
  </si>
  <si>
    <t>AAQA-1920-021</t>
  </si>
  <si>
    <t>1398/19-20</t>
  </si>
  <si>
    <t>OLFPL/19-20/048</t>
  </si>
  <si>
    <t>VNET/19-20/742</t>
  </si>
  <si>
    <t>19-20/19761</t>
  </si>
  <si>
    <t>19-20/19885</t>
  </si>
  <si>
    <t>19-20/19888</t>
  </si>
  <si>
    <t>19-20/19905</t>
  </si>
  <si>
    <t>19-20/19906</t>
  </si>
  <si>
    <t>Tri-K Inc</t>
  </si>
  <si>
    <t>27ADTPJ2325F1ZJ</t>
  </si>
  <si>
    <t>TKI/19-20/150</t>
  </si>
  <si>
    <t>SI/19-20/37</t>
  </si>
  <si>
    <t>3F0602</t>
  </si>
  <si>
    <t>SI2040054788</t>
  </si>
  <si>
    <t>SI2040054789</t>
  </si>
  <si>
    <t>SI/19-20/40</t>
  </si>
  <si>
    <t>Rudra Enterprises</t>
  </si>
  <si>
    <t>27AIWPB0333K1Z6</t>
  </si>
  <si>
    <t>GST/604/19-20</t>
  </si>
  <si>
    <t>OLFPL/19-20/053</t>
  </si>
  <si>
    <t>PR/19-20/201</t>
  </si>
  <si>
    <t>545/19-20</t>
  </si>
  <si>
    <t>BM2027I004226177</t>
  </si>
  <si>
    <t>FIN2108198671284</t>
  </si>
  <si>
    <t>1920RE0755</t>
  </si>
  <si>
    <t>L271102518</t>
  </si>
  <si>
    <t>FIN1908194671824</t>
  </si>
  <si>
    <t>SI/19-20/44</t>
  </si>
  <si>
    <t>SI/19-20/42</t>
  </si>
  <si>
    <t>SCPL/0556</t>
  </si>
  <si>
    <t>Mayur Winding Works</t>
  </si>
  <si>
    <t>27CMDPM6271L1ZL</t>
  </si>
  <si>
    <t>1920RE0767</t>
  </si>
  <si>
    <t>SI2040056912</t>
  </si>
  <si>
    <t>SI/19-20/47</t>
  </si>
  <si>
    <t>Pooja Enterprises</t>
  </si>
  <si>
    <t>27AAOPJ7179F1Z8</t>
  </si>
  <si>
    <t>PE/1123/2019-20</t>
  </si>
  <si>
    <t>SI2040058217</t>
  </si>
  <si>
    <t>SI2040058218</t>
  </si>
  <si>
    <t>SI2040058491</t>
  </si>
  <si>
    <t>SI/19-20/51</t>
  </si>
  <si>
    <t>SI/19-20/52</t>
  </si>
  <si>
    <t>SI/19-20/54</t>
  </si>
  <si>
    <t>Marvel Abrasive Tools</t>
  </si>
  <si>
    <t>29ABWPL1735E1ZC</t>
  </si>
  <si>
    <t>IGST/19-20/1302</t>
  </si>
  <si>
    <t>SCPL/0582</t>
  </si>
  <si>
    <t>SI2040058625</t>
  </si>
  <si>
    <t>1920RE0800</t>
  </si>
  <si>
    <t>SI2040058825</t>
  </si>
  <si>
    <t>SCPL/0588</t>
  </si>
  <si>
    <t>L271112384</t>
  </si>
  <si>
    <t>L271112385</t>
  </si>
  <si>
    <t>19-20/153</t>
  </si>
  <si>
    <t>4491920</t>
  </si>
  <si>
    <t>4501920</t>
  </si>
  <si>
    <t>M51931500944</t>
  </si>
  <si>
    <t>M51931500982</t>
  </si>
  <si>
    <t>19-20/20271</t>
  </si>
  <si>
    <t>19-20/20274</t>
  </si>
  <si>
    <t>BA/19-20/148</t>
  </si>
  <si>
    <t>SI/19-20/55</t>
  </si>
  <si>
    <t>L271114284</t>
  </si>
  <si>
    <t>L271114285</t>
  </si>
  <si>
    <t>VNET/19-20/932</t>
  </si>
  <si>
    <t>APU/1920/3136</t>
  </si>
  <si>
    <t>G0662</t>
  </si>
  <si>
    <t>G0663</t>
  </si>
  <si>
    <t>19-20/20314</t>
  </si>
  <si>
    <t>19-20/20363</t>
  </si>
  <si>
    <t>19-20/20381</t>
  </si>
  <si>
    <t>SI2040059519</t>
  </si>
  <si>
    <t>SI2040059520</t>
  </si>
  <si>
    <t>OLFPL/19-20/066</t>
  </si>
  <si>
    <t>SS/19-20/00560</t>
  </si>
  <si>
    <t>l749210770</t>
  </si>
  <si>
    <t>SI/19-20/59</t>
  </si>
  <si>
    <t>SI2040060149</t>
  </si>
  <si>
    <t>Vision Telecom</t>
  </si>
  <si>
    <t>27AAKFV5974C1ZS</t>
  </si>
  <si>
    <t>VT/19-20/409</t>
  </si>
  <si>
    <t>BM2027I005247914</t>
  </si>
  <si>
    <t>SS/19-20/00573</t>
  </si>
  <si>
    <t>FIN1609196461708</t>
  </si>
  <si>
    <t>FIN1609196451639</t>
  </si>
  <si>
    <t>FIN1609196307843</t>
  </si>
  <si>
    <t>FIN1609196253663</t>
  </si>
  <si>
    <t>FIN1609196224858</t>
  </si>
  <si>
    <t>FIN1609196203839</t>
  </si>
  <si>
    <t>SI2040060959</t>
  </si>
  <si>
    <t>Sigma Air Filters</t>
  </si>
  <si>
    <t>27AAEFS2599G1ZU</t>
  </si>
  <si>
    <t>19-20/20409</t>
  </si>
  <si>
    <t>19-20/20445</t>
  </si>
  <si>
    <t>OLFPL/19-20/072</t>
  </si>
  <si>
    <t>FIN1609195089420</t>
  </si>
  <si>
    <t>SI/19-20/62</t>
  </si>
  <si>
    <t>L271122260</t>
  </si>
  <si>
    <t>SI/19-20/63</t>
  </si>
  <si>
    <t>SCPL/0655</t>
  </si>
  <si>
    <t>SI2040062418</t>
  </si>
  <si>
    <t>SI2040062419</t>
  </si>
  <si>
    <t>APU/1920/3451</t>
  </si>
  <si>
    <t>SI2040063303</t>
  </si>
  <si>
    <t>SI2040063304</t>
  </si>
  <si>
    <t>L271128652</t>
  </si>
  <si>
    <t>L271128653</t>
  </si>
  <si>
    <t>SI2040064431</t>
  </si>
  <si>
    <t>SCPL/0707</t>
  </si>
  <si>
    <t>FIN1609195556651</t>
  </si>
  <si>
    <t>FIN1609195716455</t>
  </si>
  <si>
    <t>SS/19-20/00619</t>
  </si>
  <si>
    <t>GST/765/19-20</t>
  </si>
  <si>
    <t>1920RE0937</t>
  </si>
  <si>
    <t>M S Electrical Services</t>
  </si>
  <si>
    <t>27AFVPY9844G1ZA</t>
  </si>
  <si>
    <t>Patpert Teknow Systems Pvt.Ltd</t>
  </si>
  <si>
    <t>27AAHCP2068D1ZI</t>
  </si>
  <si>
    <t>PTSPL/1920/17</t>
  </si>
  <si>
    <t>MA Verick Automation</t>
  </si>
  <si>
    <t>27ABMPW9227A1ZC</t>
  </si>
  <si>
    <t>GST/0489/19-20</t>
  </si>
  <si>
    <t>1920RE0948</t>
  </si>
  <si>
    <t>FIN1609192706250</t>
  </si>
  <si>
    <t>4481920</t>
  </si>
  <si>
    <t>M51931501158</t>
  </si>
  <si>
    <t>M51931501159</t>
  </si>
  <si>
    <t>M51931501160</t>
  </si>
  <si>
    <t>M51931501164</t>
  </si>
  <si>
    <t>M51931501183</t>
  </si>
  <si>
    <t>M51931501195</t>
  </si>
  <si>
    <t>M51931501221</t>
  </si>
  <si>
    <t>M51931501222</t>
  </si>
  <si>
    <t>AI0017</t>
  </si>
  <si>
    <t>FIN2309193837005</t>
  </si>
  <si>
    <t>FIN2309194077925</t>
  </si>
  <si>
    <t>FIN2309193580271</t>
  </si>
  <si>
    <t>S K Enterprises</t>
  </si>
  <si>
    <t>27ADQFS4201G1Z1</t>
  </si>
  <si>
    <t>Loptop Care</t>
  </si>
  <si>
    <t>27BATPB9743H1Z8</t>
  </si>
  <si>
    <t>DM001512</t>
  </si>
  <si>
    <t>PUNE-2006</t>
  </si>
  <si>
    <t>4 (A) ITC Available-INPUT</t>
  </si>
  <si>
    <t>4 (A) ITC Available-INPUT SERVICE</t>
  </si>
  <si>
    <t>4 (A) ITC Available-INPUT CAPITAL GOODS</t>
  </si>
  <si>
    <t>4. ELIGIBLE ITC.
4(B) :- ITC REVERSED ( Whether in full or part)</t>
  </si>
  <si>
    <t>( 1 &amp; 2) :- As per rules 42 &amp; 43 of CGST Rules &amp; Others</t>
  </si>
  <si>
    <t>Nature of
SALE</t>
  </si>
  <si>
    <t>1</t>
  </si>
  <si>
    <t>TAXABLE</t>
  </si>
  <si>
    <t>4. ELIGIBLE ITC.
4(D) :- Ineligible ITC ( Whether in full or part)</t>
  </si>
  <si>
    <t>( 1 &amp; 2) :- As per Section 17(5) &amp; Others</t>
  </si>
  <si>
    <t>OTHERS</t>
  </si>
  <si>
    <t>As per Sales Books</t>
  </si>
  <si>
    <t>Type of Sale</t>
  </si>
  <si>
    <t>Total</t>
  </si>
  <si>
    <t>Basic</t>
  </si>
  <si>
    <t>SALES</t>
  </si>
  <si>
    <t>Total - A</t>
  </si>
  <si>
    <t>Total - B</t>
  </si>
  <si>
    <t>Total - C</t>
  </si>
  <si>
    <t>NET</t>
  </si>
  <si>
    <t>Total (A+B+C )</t>
  </si>
  <si>
    <t>As per Purchase Books</t>
  </si>
  <si>
    <t>Type of PURCHSE</t>
  </si>
  <si>
    <t>PURCHASE</t>
  </si>
  <si>
    <t>LESS RULE 42 &amp; 43</t>
  </si>
  <si>
    <t>Total - D</t>
  </si>
  <si>
    <t>Total (A+B+C+D )</t>
  </si>
  <si>
    <t>TOTAL OUTPUT</t>
  </si>
  <si>
    <t>TOTAL INPUT</t>
  </si>
  <si>
    <t>BALANCE</t>
  </si>
  <si>
    <t>PURCHASE MASTER PARTY LIST</t>
  </si>
  <si>
    <t>Aaltis Lighting Solutions</t>
  </si>
  <si>
    <t>27ALMPJ2823M1ZR</t>
  </si>
  <si>
    <t>Abdulhusain Abdulally Hakim</t>
  </si>
  <si>
    <t>27AADFA5996L1ZV</t>
  </si>
  <si>
    <t>Accord Cooling System</t>
  </si>
  <si>
    <t>27DPWPS0981C1ZB</t>
  </si>
  <si>
    <t>Adm Engineering</t>
  </si>
  <si>
    <t>27AAJFA8391F1Z7</t>
  </si>
  <si>
    <t>Anuradha Enterprises</t>
  </si>
  <si>
    <t>27BAEPM8837J1Z6</t>
  </si>
  <si>
    <t>Autofina</t>
  </si>
  <si>
    <t>Bansilal Lalchand Verma</t>
  </si>
  <si>
    <t>27ADPPV7154C1Z4</t>
  </si>
  <si>
    <t>Chem-Tech Laboratories Pvt Ltd</t>
  </si>
  <si>
    <t>27AAECC3473E1ZT</t>
  </si>
  <si>
    <t>Coat-Tech Aesthetics Pvt Ltd</t>
  </si>
  <si>
    <t>27AAFCC5166M2Z8</t>
  </si>
  <si>
    <t>Dhl Express (India) Pvt.Ltd.</t>
  </si>
  <si>
    <t>07AABCD3611Q1ZK</t>
  </si>
  <si>
    <t>Dhumal Motor Glass</t>
  </si>
  <si>
    <t>27AJTPD5059N1ZI</t>
  </si>
  <si>
    <t>Fedex Express Tscs India Pvt.Ltd.</t>
  </si>
  <si>
    <t>27AABCF6516A1Z3</t>
  </si>
  <si>
    <t>Flameonn Engineering System</t>
  </si>
  <si>
    <t>27EWQPS3282A1Z6</t>
  </si>
  <si>
    <t>Galva Decoparts Pvt.Ltd.(Pune)</t>
  </si>
  <si>
    <t>27AACCG8994N1ZO</t>
  </si>
  <si>
    <t>Ganesh Total Gaz Distributor</t>
  </si>
  <si>
    <t>27AAMFG7702P1ZS</t>
  </si>
  <si>
    <t>Ganpati Ply Laminate and Hardware</t>
  </si>
  <si>
    <t>27AAGPO6738D1ZK</t>
  </si>
  <si>
    <t>Gawade Steel Traders</t>
  </si>
  <si>
    <t>27AAPFG4989F1ZR</t>
  </si>
  <si>
    <t>Gayatri Aqua Solutions</t>
  </si>
  <si>
    <t>27ABTPB8020D1ZV</t>
  </si>
  <si>
    <t>Green Chemicals</t>
  </si>
  <si>
    <t>27AAKFG2282L1Z1</t>
  </si>
  <si>
    <t>Hans Electric &amp; Gen.Stores</t>
  </si>
  <si>
    <t>27AAYPA0283H1ZK</t>
  </si>
  <si>
    <t>Hari Om Enterprises</t>
  </si>
  <si>
    <t>27AEZPB3304H1ZI</t>
  </si>
  <si>
    <t>Jay Kay Enterprises</t>
  </si>
  <si>
    <t>27AHDPM2083K1Z6</t>
  </si>
  <si>
    <t>Kansai Nerolac Paints Limited</t>
  </si>
  <si>
    <t>30AAACG1376N1ZP</t>
  </si>
  <si>
    <t>Krishna Hardware</t>
  </si>
  <si>
    <t>27CDLPS3021D1ZP</t>
  </si>
  <si>
    <t>Labtech Systems</t>
  </si>
  <si>
    <t>27AIWPM3023B1ZD</t>
  </si>
  <si>
    <t>Lotus Tapes (India) Pvt.Ltd.</t>
  </si>
  <si>
    <t>27AABCL0595K1Z9</t>
  </si>
  <si>
    <t>Maharashtra Paints &amp; Hardware Stores</t>
  </si>
  <si>
    <t>27AABFM8411A1ZS</t>
  </si>
  <si>
    <t>Maharashtra State Electricity Distribution Co Ltd.</t>
  </si>
  <si>
    <t>27AAECM2933K1ZB</t>
  </si>
  <si>
    <t>Mataji Hardware &amp; Electricals</t>
  </si>
  <si>
    <t>27AHUPC1514G1ZI</t>
  </si>
  <si>
    <t>Mauli Enterprises</t>
  </si>
  <si>
    <t>27DFZPM0605C1ZE</t>
  </si>
  <si>
    <t>Membrane Filters (India) Pvt.Ltd.</t>
  </si>
  <si>
    <t>27AADCM9750F1ZA</t>
  </si>
  <si>
    <t>Migma Packtron</t>
  </si>
  <si>
    <t>Mrf Corp. Ltd-Hub</t>
  </si>
  <si>
    <t>33AAACM2185R1Z4</t>
  </si>
  <si>
    <t>National Chemicals</t>
  </si>
  <si>
    <t>27ABXPV6045J1ZP</t>
  </si>
  <si>
    <t>New Radha Hardware</t>
  </si>
  <si>
    <t>27AGRPA3908N1Z0</t>
  </si>
  <si>
    <t>Om Logistics Ltd</t>
  </si>
  <si>
    <t>27AAACO4716C1ZT</t>
  </si>
  <si>
    <t>Ppg Asian Paints Pvt Ltd.</t>
  </si>
  <si>
    <t>27AAACA8832H1ZO</t>
  </si>
  <si>
    <t>Premier Seals (I) Pvt.Ltd.</t>
  </si>
  <si>
    <t>27AABCP6517B1ZQ</t>
  </si>
  <si>
    <t>PRICOL LTD (FORMERLY PRICOL PUNE LTD)</t>
  </si>
  <si>
    <t>Proton Power Control Pvt.Ltd.</t>
  </si>
  <si>
    <t>27AAFCP3402M1ZD</t>
  </si>
  <si>
    <t>Pune Polymers Pvt Ltd</t>
  </si>
  <si>
    <t>27AABCP0076H1ZK</t>
  </si>
  <si>
    <t>Rajdeep Electric Co.</t>
  </si>
  <si>
    <t>27AGOPA8563A1ZH</t>
  </si>
  <si>
    <t>Riddhi Traders</t>
  </si>
  <si>
    <t>27BSEPS5026B1ZX</t>
  </si>
  <si>
    <t>S R Enterprises</t>
  </si>
  <si>
    <t>27ABXFS0861P1Z5</t>
  </si>
  <si>
    <t>S&amp;P Electrocoating Pvt Ltd</t>
  </si>
  <si>
    <t>27AASCS0290B1ZC</t>
  </si>
  <si>
    <t>S.S.Industries</t>
  </si>
  <si>
    <t>27AFPPV3787B1ZV</t>
  </si>
  <si>
    <t>Sagar Enterprises</t>
  </si>
  <si>
    <t>27AAYFS6552R1ZU</t>
  </si>
  <si>
    <t>Sagar Sales Corporation</t>
  </si>
  <si>
    <t>27ADVPM5123E1ZE</t>
  </si>
  <si>
    <t>Sai Gentec Enterprises</t>
  </si>
  <si>
    <t>27AERPC3128G1ZL</t>
  </si>
  <si>
    <t>Sandbhor Stone Company</t>
  </si>
  <si>
    <t>27ABMFS1762N1ZI</t>
  </si>
  <si>
    <t>Shahid Sheet Fabrication</t>
  </si>
  <si>
    <t>27APUPP6829B2ZD</t>
  </si>
  <si>
    <t>Shalimar Electricals</t>
  </si>
  <si>
    <t>27ACNPS6908C1ZB</t>
  </si>
  <si>
    <t>Shree Mahalaxmi Automation</t>
  </si>
  <si>
    <t>27ACYFS2620L1ZH</t>
  </si>
  <si>
    <t>Shree Sai Coaters</t>
  </si>
  <si>
    <t>Star Enterprises</t>
  </si>
  <si>
    <t>27DMDPK7060N1ZL</t>
  </si>
  <si>
    <t>Tata Motors Limited</t>
  </si>
  <si>
    <t>TNT India Pvt Ltd.</t>
  </si>
  <si>
    <t>27AAACT6649K1ZV</t>
  </si>
  <si>
    <t>Unicorn Infosolitions Private Limited</t>
  </si>
  <si>
    <t>27AAACU6278M1ZP</t>
  </si>
  <si>
    <t>VE COMMERCIAL VEHICLES LIMITED</t>
  </si>
  <si>
    <t>23AABCE9378F3ZI</t>
  </si>
  <si>
    <t>VE COMMERCIAL VEHICLES LIMITED.</t>
  </si>
  <si>
    <t>Vijay Vallabh Traders</t>
  </si>
  <si>
    <t>27AEEPP4832R1ZT</t>
  </si>
  <si>
    <t>29-Karnataka</t>
  </si>
  <si>
    <t>MASTER PURCHASE HSN SUMMERY</t>
  </si>
  <si>
    <t>Sodium</t>
  </si>
  <si>
    <t>NOS</t>
  </si>
  <si>
    <t>Other clays</t>
  </si>
  <si>
    <t>Insecticides, Artificial Carbon &amp; Graphite</t>
  </si>
  <si>
    <t>pop</t>
  </si>
  <si>
    <t>KG</t>
  </si>
  <si>
    <t>Cement</t>
  </si>
  <si>
    <t>Mix Solvent</t>
  </si>
  <si>
    <t>LTR</t>
  </si>
  <si>
    <t>Misc Chemical Products Thinner</t>
  </si>
  <si>
    <t>Stainer</t>
  </si>
  <si>
    <t>Glaziers Putty</t>
  </si>
  <si>
    <t>Grease</t>
  </si>
  <si>
    <t xml:space="preserve">Polish </t>
  </si>
  <si>
    <t>Magnetic</t>
  </si>
  <si>
    <t>Liquid</t>
  </si>
  <si>
    <t>Fire Extinguishers</t>
  </si>
  <si>
    <t>Anti-Freezing Preparations</t>
  </si>
  <si>
    <t>chemical products and </t>
  </si>
  <si>
    <t>Tubes Pipes &amp; Hoses</t>
  </si>
  <si>
    <t>Bopp Tapes</t>
  </si>
  <si>
    <t>Other Plates, Sheets,</t>
  </si>
  <si>
    <t>Seat Tapes</t>
  </si>
  <si>
    <t>Water Tank</t>
  </si>
  <si>
    <t>Thermose</t>
  </si>
  <si>
    <t>handle</t>
  </si>
  <si>
    <t>Box Files</t>
  </si>
  <si>
    <t>Cloth Filter</t>
  </si>
  <si>
    <t>Mtr</t>
  </si>
  <si>
    <t>Cut Off Wheel</t>
  </si>
  <si>
    <t>Polish Paper</t>
  </si>
  <si>
    <t>Building blocks and bricks</t>
  </si>
  <si>
    <t>All Flat-Rolled Products of Iron Or Non-Alloy Steel</t>
  </si>
  <si>
    <t>Sink Coupling</t>
  </si>
  <si>
    <t>including spring washers</t>
  </si>
  <si>
    <t>Copper</t>
  </si>
  <si>
    <t>Hose Joint</t>
  </si>
  <si>
    <t>Other Articles of Aluminium</t>
  </si>
  <si>
    <t>Wood Cutter</t>
  </si>
  <si>
    <t>Comb Plier</t>
  </si>
  <si>
    <t>Lambi Patti</t>
  </si>
  <si>
    <t>tools for hand tools</t>
  </si>
  <si>
    <t>Cutter</t>
  </si>
  <si>
    <t>Aldrop</t>
  </si>
  <si>
    <t>set</t>
  </si>
  <si>
    <t>Wall Fan</t>
  </si>
  <si>
    <t>Filtering Or Purifying Machinery</t>
  </si>
  <si>
    <t>valves</t>
  </si>
  <si>
    <t>PU TEE</t>
  </si>
  <si>
    <t>Battery</t>
  </si>
  <si>
    <t>Welding Holder</t>
  </si>
  <si>
    <t>Telephone</t>
  </si>
  <si>
    <t>capacitors</t>
  </si>
  <si>
    <t>Earthing</t>
  </si>
  <si>
    <t>Solder gun</t>
  </si>
  <si>
    <t>SS COMB</t>
  </si>
  <si>
    <t>Zero Bulb</t>
  </si>
  <si>
    <t>Welding Cable</t>
  </si>
  <si>
    <t>Tape</t>
  </si>
  <si>
    <t>Automatic Regulating Or Controlling Instruments and Apparatus</t>
  </si>
  <si>
    <t>Brushes</t>
  </si>
  <si>
    <t>Pencil</t>
  </si>
  <si>
    <t>Courier Services</t>
  </si>
  <si>
    <t>Financial &amp; Related Services</t>
  </si>
  <si>
    <t>Services</t>
  </si>
  <si>
    <t>Telecommunications,Broadcasting &amp; Supply Services</t>
  </si>
  <si>
    <t>Other articles of vulcanised r</t>
  </si>
  <si>
    <t>Lease Rental Machinery</t>
  </si>
  <si>
    <t>Tools for working</t>
  </si>
  <si>
    <t>Technical testing and analysis services</t>
  </si>
  <si>
    <t>Manpower Recuritment Agency Se</t>
  </si>
  <si>
    <t>Maintenance and repair service</t>
  </si>
  <si>
    <t>New pneumatic tyres</t>
  </si>
  <si>
    <t>I Card</t>
  </si>
  <si>
    <t>Allwell Skid</t>
  </si>
  <si>
    <t>PISTEN</t>
  </si>
  <si>
    <t>Transmission shafts</t>
  </si>
  <si>
    <t>TONER</t>
  </si>
  <si>
    <t>Gypsum Powder</t>
  </si>
  <si>
    <t>PHYNOIL</t>
  </si>
  <si>
    <t>Fossil Fuels - Coal &amp; Petroleum</t>
  </si>
  <si>
    <t>Petroleum Gases &amp; Other</t>
  </si>
  <si>
    <t>Distilled Water</t>
  </si>
  <si>
    <t>Toluene</t>
  </si>
  <si>
    <t>Lizol</t>
  </si>
  <si>
    <t>IPA</t>
  </si>
  <si>
    <t>N C Thinner</t>
  </si>
  <si>
    <t>ltr</t>
  </si>
  <si>
    <t>Printing Ink, Writing Or Drawing Ink and Other Inks,</t>
  </si>
  <si>
    <t>Wheel Powder</t>
  </si>
  <si>
    <t>colin spray</t>
  </si>
  <si>
    <t>Degreasing</t>
  </si>
  <si>
    <t>Petroleum Oils Or of Oils Obtained</t>
  </si>
  <si>
    <t>Parts &amp; Accessories Of Other Cover</t>
  </si>
  <si>
    <t>Tubes, Pipes and Hoses, and Fittings</t>
  </si>
  <si>
    <t xml:space="preserve">Bubble </t>
  </si>
  <si>
    <t>Self-Adhesive Tape</t>
  </si>
  <si>
    <t>Hand Glove</t>
  </si>
  <si>
    <t>Nitrial Glove</t>
  </si>
  <si>
    <t>Finger</t>
  </si>
  <si>
    <t>Adapter</t>
  </si>
  <si>
    <t>LAMBSWOOD</t>
  </si>
  <si>
    <t>Uncoated Paper and Paperboard,</t>
  </si>
  <si>
    <t>LPG</t>
  </si>
  <si>
    <t>Lighting &amp; Fitting</t>
  </si>
  <si>
    <t>Paper Or Paperboard Labels</t>
  </si>
  <si>
    <t>Pre-Dispatch</t>
  </si>
  <si>
    <t>Tackrog</t>
  </si>
  <si>
    <t>Cloth Lint</t>
  </si>
  <si>
    <t>Cotton Gloves</t>
  </si>
  <si>
    <t>Apron</t>
  </si>
  <si>
    <t>White Napkin</t>
  </si>
  <si>
    <t>Mask</t>
  </si>
  <si>
    <t>Waterproof Footwear with Outer Soles and Uppers of Rubber</t>
  </si>
  <si>
    <t>Wiper</t>
  </si>
  <si>
    <t>CLIP</t>
  </si>
  <si>
    <t>tape</t>
  </si>
  <si>
    <t>gold sun</t>
  </si>
  <si>
    <t>MOUSE</t>
  </si>
  <si>
    <t>goli</t>
  </si>
  <si>
    <t>Sander</t>
  </si>
  <si>
    <t>Pepar</t>
  </si>
  <si>
    <t>Room Fre</t>
  </si>
  <si>
    <t>LED Light</t>
  </si>
  <si>
    <t>Audit Fee</t>
  </si>
  <si>
    <t>putty</t>
  </si>
  <si>
    <t>MOTAR</t>
  </si>
  <si>
    <t>Tie</t>
  </si>
  <si>
    <t>GAN</t>
  </si>
  <si>
    <t>KEY BOARD</t>
  </si>
  <si>
    <t>FILM</t>
  </si>
  <si>
    <t>Repairing</t>
  </si>
  <si>
    <t>SUPARI</t>
  </si>
  <si>
    <t>Belt</t>
  </si>
  <si>
    <t>Bering</t>
  </si>
  <si>
    <t>CLEAR</t>
  </si>
  <si>
    <t>hadner</t>
  </si>
  <si>
    <t>DIE CUTS</t>
  </si>
  <si>
    <t>TINNER</t>
  </si>
  <si>
    <t>PEN</t>
  </si>
  <si>
    <t>SLUDGE</t>
  </si>
  <si>
    <t>tintrs</t>
  </si>
  <si>
    <t>ACETONE</t>
  </si>
  <si>
    <t>PEST</t>
  </si>
  <si>
    <t>RMC</t>
  </si>
  <si>
    <t>COPPER</t>
  </si>
  <si>
    <t>JALI MS</t>
  </si>
  <si>
    <t>ODU</t>
  </si>
  <si>
    <t>GRACO TUBE</t>
  </si>
  <si>
    <t>MAKE BALL</t>
  </si>
  <si>
    <t>IWATE MAKE</t>
  </si>
  <si>
    <t>GRACO CONN</t>
  </si>
  <si>
    <t>Hocky Brush</t>
  </si>
  <si>
    <t>ELBOW</t>
  </si>
  <si>
    <t>HANDLE BALL</t>
  </si>
  <si>
    <t>REGULATOR</t>
  </si>
  <si>
    <t>Power driven pumps</t>
  </si>
  <si>
    <t>Parts of Air Or Vacuum Pumps and Compressors of Bicycle Pumps</t>
  </si>
  <si>
    <t>Centrifuges, Including Centrifugal Dryers;</t>
  </si>
  <si>
    <t>Filters</t>
  </si>
  <si>
    <t>Detol hand wash</t>
  </si>
  <si>
    <t>Calculator</t>
  </si>
  <si>
    <t>Automatic Data Processing</t>
  </si>
  <si>
    <t>stapler pin</t>
  </si>
  <si>
    <t>Parts and accessories</t>
  </si>
  <si>
    <t>SEAL</t>
  </si>
  <si>
    <t>Boards, Panels, Consoles, Desks, Cabinets and Other Bases,</t>
  </si>
  <si>
    <t>Parts Suitable for Use Solely Or Principally with the Apparatus of Heading</t>
  </si>
  <si>
    <t>Coaxial Cables;</t>
  </si>
  <si>
    <t>Cable</t>
  </si>
  <si>
    <t>OIL RESERVOR</t>
  </si>
  <si>
    <t>Painting Jigs</t>
  </si>
  <si>
    <t>LOPTAP</t>
  </si>
  <si>
    <t>Broom</t>
  </si>
  <si>
    <t>Pencil Apsara Glass</t>
  </si>
  <si>
    <t>34029092/</t>
  </si>
  <si>
    <t xml:space="preserve">Software </t>
  </si>
  <si>
    <t>Glues  Other Adhesives</t>
  </si>
  <si>
    <t>38140010/</t>
  </si>
  <si>
    <t>Whitener</t>
  </si>
  <si>
    <t>39172310</t>
  </si>
  <si>
    <t>Tubes pipes and hoses and fitt</t>
  </si>
  <si>
    <t>Tubes Pipes and Hoses and Fitt</t>
  </si>
  <si>
    <t>39239090</t>
  </si>
  <si>
    <t>Bubble Bag</t>
  </si>
  <si>
    <t>40119320/</t>
  </si>
  <si>
    <t>PUME</t>
  </si>
  <si>
    <t>40169320/</t>
  </si>
  <si>
    <t>85129000/</t>
  </si>
  <si>
    <t>Internet Charges</t>
  </si>
  <si>
    <t>Rental</t>
  </si>
  <si>
    <t>Commission Charges</t>
  </si>
  <si>
    <t>MCCB SPREADER</t>
  </si>
  <si>
    <t>MCCB</t>
  </si>
  <si>
    <t>MCCB RATAR</t>
  </si>
  <si>
    <t>round stircer</t>
  </si>
  <si>
    <t>JIGS</t>
  </si>
  <si>
    <t>FORM GSTR-9</t>
  </si>
  <si>
    <t>Pt. I</t>
  </si>
  <si>
    <t>Basic Details</t>
  </si>
  <si>
    <t>3A</t>
  </si>
  <si>
    <t>Legal Name</t>
  </si>
  <si>
    <t>3B</t>
  </si>
  <si>
    <t>Trade Name (if any)</t>
  </si>
  <si>
    <t>Pt. II</t>
  </si>
  <si>
    <t>Details of Outward and inward supplies declared during the financial year</t>
  </si>
  <si>
    <t>(Amount in ₹ in all tables)</t>
  </si>
  <si>
    <t>Nature of supplies</t>
  </si>
  <si>
    <t>Details of advances, inward and outward supplies on which tax is payable as declared in returns
filed during the financial year</t>
  </si>
  <si>
    <t>A</t>
  </si>
  <si>
    <t>Supplies made to un-registered persons (B2C)</t>
  </si>
  <si>
    <t>B</t>
  </si>
  <si>
    <t>Supplies made to registered persons (B2B)</t>
  </si>
  <si>
    <t>C</t>
  </si>
  <si>
    <t>Zero rated supply (Export) on payment of tax (except supplies to SEZs)</t>
  </si>
  <si>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</si>
  <si>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</si>
  <si>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</si>
  <si>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</si>
  <si>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</si>
  <si>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</si>
  <si>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</si>
  <si>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</si>
  <si>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</si>
  <si>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Sub-total (A to G above)</t>
  </si>
  <si>
    <t>I</t>
  </si>
  <si>
    <t>Credit Notes issued in respect of transactions specified in (B) to (E) above (-)</t>
  </si>
  <si>
    <t>J</t>
  </si>
  <si>
    <t>Debit Notes issued in respect of transactions specified in (B) to (E) above (+)</t>
  </si>
  <si>
    <t>K</t>
  </si>
  <si>
    <t>Supplies / tax declared through Amendments (+)</t>
  </si>
  <si>
    <t>L</t>
  </si>
  <si>
    <t>M</t>
  </si>
  <si>
    <t>Sub-total (I to L above)</t>
  </si>
  <si>
    <t>N</t>
  </si>
  <si>
    <t>Supplies and advances on which tax is to be paid (H + M) above</t>
  </si>
  <si>
    <t>Details of Outward supplies on which tax is not payable as declared in returns filed during the financial year</t>
  </si>
  <si>
    <t>Supplies on which tax is to be paid by the recipient on reverse charge basis</t>
  </si>
  <si>
    <t xml:space="preserve">Exempted </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</si>
  <si>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</si>
  <si>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</si>
  <si>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</si>
  <si>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</si>
  <si>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</si>
  <si>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</si>
  <si>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</si>
  <si>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Sub-Total (H to K above)</t>
  </si>
  <si>
    <t>Turnover on which tax is not to be paid (G + L above)</t>
  </si>
  <si>
    <t>Total Turnover (including advances) (4N + 5M - 4G above)</t>
  </si>
  <si>
    <t>Pt. III</t>
  </si>
  <si>
    <t>Details of ITC as declared in returns filed during the financial year</t>
  </si>
  <si>
    <t xml:space="preserve">Details of ITC availed as declared in returns filed during the financial year
</t>
  </si>
  <si>
    <t>Total amount of input tax credit availed through FORM GSTR-3B (sum total of Table 4A of FORM GSTR-3B)</t>
  </si>
  <si>
    <t>Inputs</t>
  </si>
  <si>
    <t>Capital Goods</t>
  </si>
  <si>
    <t>Input Services</t>
  </si>
  <si>
    <t>C &amp; D</t>
  </si>
  <si>
    <t>Inward supplies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</si>
  <si>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</si>
  <si>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</si>
  <si>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Difference (I - A above)</t>
  </si>
  <si>
    <t>Transition Credit through TRAN-I (including revisions if any)</t>
  </si>
  <si>
    <t>Sub-total (K to M above)</t>
  </si>
  <si>
    <t>O</t>
  </si>
  <si>
    <t>Total ITC availed (I + N above)</t>
  </si>
  <si>
    <t>As per Rule 39</t>
  </si>
  <si>
    <t xml:space="preserve">As per Rule 42
</t>
  </si>
  <si>
    <t>As per Rule 43</t>
  </si>
  <si>
    <t>As per section 17(5)</t>
  </si>
  <si>
    <t xml:space="preserve">Reversal of TRAN-I credit
</t>
  </si>
  <si>
    <t>Reversal of TRAN-II credit</t>
  </si>
  <si>
    <t xml:space="preserve">Other reversals (pl. specify)
</t>
  </si>
  <si>
    <t>Total ITC Reversed (A to H above)</t>
  </si>
  <si>
    <t>ITC as per GSTR-2A (Table 3 &amp; 5 thereof)</t>
  </si>
  <si>
    <t xml:space="preserve">ITC as per sum total of 6(B) and 6(H) above </t>
  </si>
  <si>
    <t>Difference [A-(B+C)]</t>
  </si>
  <si>
    <t>ITC available but not availed (out of D)</t>
  </si>
  <si>
    <t>IGST credit availed on import of goods (as per 6(E) above)</t>
  </si>
  <si>
    <t>Difference (G-H)</t>
  </si>
  <si>
    <t>ITC available but not availed on import of goods (Equal to I)</t>
  </si>
  <si>
    <t xml:space="preserve">Total ITC to be lapsed in current financial year (E + F + J) </t>
  </si>
  <si>
    <t>Pt. IV</t>
  </si>
  <si>
    <t>Details of tax paid as declared in returns filed during the financial year</t>
  </si>
  <si>
    <t>Tax Payable</t>
  </si>
  <si>
    <t>Paid through cash</t>
  </si>
  <si>
    <t>Paid through ITC</t>
  </si>
  <si>
    <t>Integrated Tax</t>
  </si>
  <si>
    <t>Cenrtal Tax</t>
  </si>
  <si>
    <t>State/UT Tax</t>
  </si>
  <si>
    <t>Late fee</t>
  </si>
  <si>
    <t>Penalty</t>
  </si>
  <si>
    <t>Other</t>
  </si>
  <si>
    <t>Pt. V</t>
  </si>
  <si>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</si>
  <si>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</si>
  <si>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</si>
  <si>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</si>
  <si>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</si>
  <si>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</si>
  <si>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Payable</t>
  </si>
  <si>
    <t>Paid</t>
  </si>
  <si>
    <t>Central Tax</t>
  </si>
  <si>
    <t>Pt. VI</t>
  </si>
  <si>
    <t>Other Information</t>
  </si>
  <si>
    <t>Particulars of Demands and Refunds</t>
  </si>
  <si>
    <t>Details</t>
  </si>
  <si>
    <t>Late Fee / Others</t>
  </si>
  <si>
    <t>Total Refund claimed</t>
  </si>
  <si>
    <t>Total Refund sanctioned</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</si>
  <si>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</si>
  <si>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</si>
  <si>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</si>
  <si>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</si>
  <si>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</si>
  <si>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</si>
  <si>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Supplies received from Composition taxpayers</t>
  </si>
  <si>
    <t>Deemed supply under Section 143</t>
  </si>
  <si>
    <t>Goods sent on approval basis but not returned</t>
  </si>
  <si>
    <t>HSN Wise Summary of outward supplies</t>
  </si>
  <si>
    <t>HSN Code</t>
  </si>
  <si>
    <t>UQC</t>
  </si>
  <si>
    <t>Total Quantity</t>
  </si>
  <si>
    <t>Rate of Tax</t>
  </si>
  <si>
    <t>HSN Wise Summary of Inward supplies</t>
  </si>
  <si>
    <t xml:space="preserve">Late fee payable and paid </t>
  </si>
  <si>
    <t>State Tax</t>
  </si>
  <si>
    <t>Sr.</t>
  </si>
  <si>
    <t>PARTY</t>
  </si>
  <si>
    <t>TIN</t>
  </si>
  <si>
    <t>No.</t>
  </si>
  <si>
    <t>Summary of GST Reconciliation as on 31-03-2019</t>
  </si>
  <si>
    <t>Summary of Sales Reconciliation</t>
  </si>
  <si>
    <t>Adjustment in 3B in the month of September 2018 related to FY 17-18</t>
  </si>
  <si>
    <t>Total Turnover As per GST Returns</t>
  </si>
  <si>
    <t>Remarks for Adjustment to be done in GST Returns</t>
  </si>
  <si>
    <t>Turnover as per Service Tax/Vat</t>
  </si>
  <si>
    <t>Total Turnover</t>
  </si>
  <si>
    <t>Sales as per  GSTR 3B</t>
  </si>
  <si>
    <t>Tax</t>
  </si>
  <si>
    <t>Sales as per Tally  Books</t>
  </si>
  <si>
    <t>Particulars</t>
  </si>
  <si>
    <t>Turnover</t>
  </si>
  <si>
    <t>Sales as per  GSTR 1</t>
  </si>
  <si>
    <t>Net decrease in turnover</t>
  </si>
  <si>
    <t>Diff b/w GSTR 3B and Tally {(excess)/short in 3B}</t>
  </si>
  <si>
    <t>*If Excess then Subtract / if Short then Add in 3B</t>
  </si>
  <si>
    <t>Net (decrease)/increase  in GST liability</t>
  </si>
  <si>
    <t>Diff b/w GSTR-1 and Tally {(excess)/short in GSTR-1}</t>
  </si>
  <si>
    <t>*If Excess then Subtract / if Short then Add in GSTR-1</t>
  </si>
  <si>
    <t>Other Incomes</t>
  </si>
  <si>
    <t>Difference b/w GSTR-3B and GSTR-1</t>
  </si>
  <si>
    <t>*Nothing to do in this matter</t>
  </si>
  <si>
    <t>Total for ITR</t>
  </si>
  <si>
    <t>Total Rs. (-)/+ (A)</t>
  </si>
  <si>
    <t>Required Adjustment to be done</t>
  </si>
  <si>
    <t>Remarks: Effect is to be given in 3B Only as payment is already made and these balances are appearing in electronic cash ledger as on 30/04/2018</t>
  </si>
  <si>
    <t>Summary of GST Output Reconciliation</t>
  </si>
  <si>
    <t>2. Purchase &amp; Input</t>
  </si>
  <si>
    <t>Sales Output as per 3B ( WORKING NOTE "A")</t>
  </si>
  <si>
    <t>Sales Output as per Tally ( WORKING NOTE "B")</t>
  </si>
  <si>
    <t>Purchases</t>
  </si>
  <si>
    <t>Sales Output as per GSTR-1 ( WORKING NOTE "C")</t>
  </si>
  <si>
    <t>Increase in the ITC</t>
  </si>
  <si>
    <t>Total Rs. (-)/+ (B)</t>
  </si>
  <si>
    <t>Net Changes (B-A) {ITC Available/(Liability payable)}</t>
  </si>
  <si>
    <t>WORKING NOTES</t>
  </si>
  <si>
    <t>Add :  Interest @ 18% p.a (If liabilit arise)</t>
  </si>
  <si>
    <t>Total : - {ITC available/ (Liability payable)}</t>
  </si>
  <si>
    <t>Net impact on ITC/Liability</t>
  </si>
  <si>
    <t>As per 3B ( WORKING NOTE "A")</t>
  </si>
  <si>
    <t>IGST Output</t>
  </si>
  <si>
    <t>CGST Output</t>
  </si>
  <si>
    <t>SGST Output</t>
  </si>
  <si>
    <t>As per Tally ( WORKING NOTE "B")</t>
  </si>
  <si>
    <t>As per GSTR-1 ( WORKING NOTE "C")</t>
  </si>
  <si>
    <t>Summary of Purchase Reconciliation</t>
  </si>
  <si>
    <t>Service Tax/Vat</t>
  </si>
  <si>
    <t>Purchase as per 3B</t>
  </si>
  <si>
    <t>Purchase as per Tally</t>
  </si>
  <si>
    <t>Purchase as per GSTR 2A</t>
  </si>
  <si>
    <t>Difference</t>
  </si>
  <si>
    <t>Changes at the end of seller (if positive impact)</t>
  </si>
  <si>
    <t>Summary of GST Input Reconciliation</t>
  </si>
  <si>
    <t>Purchase Input as per 3B  (W/N1)</t>
  </si>
  <si>
    <t>Purchase Input as per Tally (W/N 2)</t>
  </si>
  <si>
    <t>Purchase Input as per GSTR-2A ( W/N 3)</t>
  </si>
  <si>
    <t>Diff b/w GSTR-2A and Tally {(excess)/short in GSTR-2A}</t>
  </si>
  <si>
    <t>*If Excess then do as per the situation(like book the invoice and make the relevant enteries etc. / if Short then Add in GSTR-2A</t>
  </si>
  <si>
    <t>(Have to be added in 2A through seller only)</t>
  </si>
  <si>
    <t>Working Note for  Summary of GST Input Reconciliation</t>
  </si>
  <si>
    <t>As per 3B W/N 1</t>
  </si>
  <si>
    <t>IGST Input</t>
  </si>
  <si>
    <t>CGST Input</t>
  </si>
  <si>
    <t>SGST Input</t>
  </si>
  <si>
    <t>As per Tally W/N 2</t>
  </si>
  <si>
    <t>As per GSTR-2A W/N 3</t>
  </si>
  <si>
    <t>Credit Utilized: IGST</t>
  </si>
  <si>
    <t>Credit Utilized: CGST</t>
  </si>
  <si>
    <t>Credit Utilized: SGST</t>
  </si>
  <si>
    <t>1631920</t>
  </si>
  <si>
    <t>1641920</t>
  </si>
  <si>
    <t>1651920</t>
  </si>
  <si>
    <t>1661920</t>
  </si>
  <si>
    <t>1671920</t>
  </si>
  <si>
    <t>1681920</t>
  </si>
  <si>
    <t>1691920</t>
  </si>
  <si>
    <t>1701920</t>
  </si>
  <si>
    <t>1711920</t>
  </si>
  <si>
    <t>1721920</t>
  </si>
  <si>
    <t>1731920</t>
  </si>
  <si>
    <t>1741920</t>
  </si>
  <si>
    <t>1751920</t>
  </si>
  <si>
    <t>1761920</t>
  </si>
  <si>
    <t>1771920</t>
  </si>
  <si>
    <t>1781920</t>
  </si>
  <si>
    <t>1791920</t>
  </si>
  <si>
    <t>1801920</t>
  </si>
  <si>
    <t>1811920</t>
  </si>
  <si>
    <t>1821920</t>
  </si>
  <si>
    <t>1831920</t>
  </si>
  <si>
    <t>1841920</t>
  </si>
  <si>
    <t>1851920</t>
  </si>
  <si>
    <t>1861920</t>
  </si>
  <si>
    <t>1871920</t>
  </si>
  <si>
    <t>1881920</t>
  </si>
  <si>
    <t>1891920</t>
  </si>
  <si>
    <t>1901920</t>
  </si>
  <si>
    <t>1911920</t>
  </si>
  <si>
    <t>1921920</t>
  </si>
  <si>
    <t>1931920</t>
  </si>
  <si>
    <t>1941920</t>
  </si>
  <si>
    <t>1951920</t>
  </si>
  <si>
    <t>1961920</t>
  </si>
  <si>
    <t>1971920</t>
  </si>
  <si>
    <t>1981920</t>
  </si>
  <si>
    <t>1991920</t>
  </si>
  <si>
    <t>2001920</t>
  </si>
  <si>
    <t>2011920</t>
  </si>
  <si>
    <t>2021920</t>
  </si>
  <si>
    <t>2031920</t>
  </si>
  <si>
    <t>2041920</t>
  </si>
  <si>
    <t>2051920</t>
  </si>
  <si>
    <t>2061920</t>
  </si>
  <si>
    <t>2071920</t>
  </si>
  <si>
    <t>2081920</t>
  </si>
  <si>
    <t>2091920</t>
  </si>
  <si>
    <t>2101920</t>
  </si>
  <si>
    <t>2111920</t>
  </si>
  <si>
    <t>2121920</t>
  </si>
  <si>
    <t>2131920</t>
  </si>
  <si>
    <t>2141920</t>
  </si>
  <si>
    <t>2151920</t>
  </si>
  <si>
    <t>2161920</t>
  </si>
  <si>
    <t>2171920</t>
  </si>
  <si>
    <t>2181920</t>
  </si>
  <si>
    <t>2191920</t>
  </si>
  <si>
    <t>2201920</t>
  </si>
  <si>
    <t>2211920</t>
  </si>
  <si>
    <t>2221920</t>
  </si>
  <si>
    <t>2231920</t>
  </si>
  <si>
    <t>2241920</t>
  </si>
  <si>
    <t>2251920</t>
  </si>
  <si>
    <t>2261920</t>
  </si>
  <si>
    <t>2271920</t>
  </si>
  <si>
    <t>2281920</t>
  </si>
  <si>
    <t>2291920</t>
  </si>
  <si>
    <t>2301920</t>
  </si>
  <si>
    <t>2311920</t>
  </si>
  <si>
    <t>2321920</t>
  </si>
  <si>
    <t>2331920</t>
  </si>
  <si>
    <t>2341920</t>
  </si>
  <si>
    <t>2351920</t>
  </si>
  <si>
    <t>2361920</t>
  </si>
  <si>
    <t>2371920</t>
  </si>
  <si>
    <t>2381920</t>
  </si>
  <si>
    <t>2391920</t>
  </si>
  <si>
    <t>2401920</t>
  </si>
  <si>
    <t>2411920</t>
  </si>
  <si>
    <t>2421920</t>
  </si>
  <si>
    <t>2431920</t>
  </si>
  <si>
    <t>2441920</t>
  </si>
  <si>
    <t>2451920</t>
  </si>
  <si>
    <t>2461920</t>
  </si>
  <si>
    <t>2471920</t>
  </si>
  <si>
    <t>2481920</t>
  </si>
  <si>
    <t>2491950</t>
  </si>
  <si>
    <t>2501920</t>
  </si>
  <si>
    <t>2511920</t>
  </si>
  <si>
    <t>2521920</t>
  </si>
  <si>
    <t>2531920</t>
  </si>
  <si>
    <t>2541920</t>
  </si>
  <si>
    <t>2551920</t>
  </si>
  <si>
    <t>2561920</t>
  </si>
  <si>
    <t>2571920</t>
  </si>
  <si>
    <t>2581920</t>
  </si>
  <si>
    <t>2591920</t>
  </si>
  <si>
    <t>2601920</t>
  </si>
  <si>
    <t>2611920</t>
  </si>
  <si>
    <t>2621920</t>
  </si>
  <si>
    <t>2631920</t>
  </si>
  <si>
    <t>2641920</t>
  </si>
  <si>
    <t>2651920</t>
  </si>
  <si>
    <t>2661920</t>
  </si>
  <si>
    <t>2671920</t>
  </si>
  <si>
    <t>2681920</t>
  </si>
  <si>
    <t>2691920</t>
  </si>
  <si>
    <t>2701920</t>
  </si>
  <si>
    <t>2711920</t>
  </si>
  <si>
    <t>2721920</t>
  </si>
  <si>
    <t>2731920</t>
  </si>
  <si>
    <t>2741920</t>
  </si>
  <si>
    <t>2751920</t>
  </si>
  <si>
    <t>2761920</t>
  </si>
  <si>
    <t>2771920</t>
  </si>
  <si>
    <t>2781920</t>
  </si>
  <si>
    <t>2791920</t>
  </si>
  <si>
    <t>2801920</t>
  </si>
  <si>
    <t>2811920</t>
  </si>
  <si>
    <t>2821920</t>
  </si>
  <si>
    <t>2831920</t>
  </si>
  <si>
    <t>2841920</t>
  </si>
  <si>
    <t>2851920</t>
  </si>
  <si>
    <t>2861920</t>
  </si>
  <si>
    <t>2871920</t>
  </si>
  <si>
    <t>2881920</t>
  </si>
  <si>
    <t>2891920</t>
  </si>
  <si>
    <t>2901920</t>
  </si>
  <si>
    <t>2911920</t>
  </si>
  <si>
    <t>2921920</t>
  </si>
  <si>
    <t>2931920</t>
  </si>
  <si>
    <t>2941920</t>
  </si>
  <si>
    <t>2951920</t>
  </si>
  <si>
    <t>2961920</t>
  </si>
  <si>
    <t>2971920</t>
  </si>
  <si>
    <t>2981920</t>
  </si>
  <si>
    <t>2991920</t>
  </si>
  <si>
    <t>3001920</t>
  </si>
  <si>
    <t>3011920</t>
  </si>
  <si>
    <t>3021920</t>
  </si>
  <si>
    <t>3031920</t>
  </si>
  <si>
    <t>3041920</t>
  </si>
  <si>
    <t>3051920</t>
  </si>
  <si>
    <t>3061920</t>
  </si>
  <si>
    <t>3071920</t>
  </si>
  <si>
    <t>3081920</t>
  </si>
  <si>
    <t>3091920</t>
  </si>
  <si>
    <t>3101920</t>
  </si>
  <si>
    <t>3111920</t>
  </si>
  <si>
    <t>3121920</t>
  </si>
  <si>
    <t>3131920</t>
  </si>
  <si>
    <t>3141920</t>
  </si>
  <si>
    <t>3151920</t>
  </si>
  <si>
    <t>3161920</t>
  </si>
  <si>
    <t>3171920</t>
  </si>
  <si>
    <t>3181920</t>
  </si>
  <si>
    <t>3191920</t>
  </si>
  <si>
    <t>3201920</t>
  </si>
  <si>
    <t>3211920</t>
  </si>
  <si>
    <t>3221920</t>
  </si>
  <si>
    <t>3231920</t>
  </si>
  <si>
    <t>3241920</t>
  </si>
  <si>
    <t>3251920</t>
  </si>
  <si>
    <t>3261920</t>
  </si>
  <si>
    <t>3271920</t>
  </si>
  <si>
    <t>3281920</t>
  </si>
  <si>
    <t>3291920</t>
  </si>
  <si>
    <t>3301920</t>
  </si>
  <si>
    <t>3311920</t>
  </si>
  <si>
    <t>3321920</t>
  </si>
  <si>
    <t>3331920</t>
  </si>
  <si>
    <t>3341920</t>
  </si>
  <si>
    <t>3351920</t>
  </si>
  <si>
    <t>3361920</t>
  </si>
  <si>
    <t>3371920</t>
  </si>
  <si>
    <t>3381920</t>
  </si>
  <si>
    <t>3391920</t>
  </si>
  <si>
    <t>3401920</t>
  </si>
  <si>
    <t>3411920</t>
  </si>
  <si>
    <t>3421920</t>
  </si>
  <si>
    <t>3431920</t>
  </si>
  <si>
    <t>3441920</t>
  </si>
  <si>
    <t>3451920</t>
  </si>
  <si>
    <t>BB05000179</t>
  </si>
  <si>
    <t>3461920</t>
  </si>
  <si>
    <t>3471920</t>
  </si>
  <si>
    <t>3481920</t>
  </si>
  <si>
    <t>3491920</t>
  </si>
  <si>
    <t>3501920</t>
  </si>
  <si>
    <t>3511920</t>
  </si>
  <si>
    <t>3521920</t>
  </si>
  <si>
    <t>3531920</t>
  </si>
  <si>
    <t>3541920</t>
  </si>
  <si>
    <t>3551920</t>
  </si>
  <si>
    <t>3561920</t>
  </si>
  <si>
    <t>3571920</t>
  </si>
  <si>
    <t>3581920</t>
  </si>
  <si>
    <t>3591920</t>
  </si>
  <si>
    <t>3601920</t>
  </si>
  <si>
    <t>3611920</t>
  </si>
  <si>
    <t>3621920</t>
  </si>
  <si>
    <t>3631920</t>
  </si>
  <si>
    <t>3641920</t>
  </si>
  <si>
    <t>3651920</t>
  </si>
  <si>
    <t>3661920</t>
  </si>
  <si>
    <t>3671920</t>
  </si>
  <si>
    <t>3681920</t>
  </si>
  <si>
    <t>3691920</t>
  </si>
  <si>
    <t>3701920</t>
  </si>
  <si>
    <t>3711920</t>
  </si>
  <si>
    <t>3721920</t>
  </si>
  <si>
    <t>3731920</t>
  </si>
  <si>
    <t>3741920</t>
  </si>
  <si>
    <t>3751920</t>
  </si>
  <si>
    <t>3761920</t>
  </si>
  <si>
    <t>3771920</t>
  </si>
  <si>
    <t>3781920</t>
  </si>
  <si>
    <t>3791920</t>
  </si>
  <si>
    <t>3801920</t>
  </si>
  <si>
    <t>3811920</t>
  </si>
  <si>
    <t>3821920</t>
  </si>
  <si>
    <t>3831920</t>
  </si>
  <si>
    <t>3841920</t>
  </si>
  <si>
    <t>3851920</t>
  </si>
  <si>
    <t>3861920</t>
  </si>
  <si>
    <t>3871920</t>
  </si>
  <si>
    <t>3881920</t>
  </si>
  <si>
    <t>3891920</t>
  </si>
  <si>
    <t>3901920</t>
  </si>
  <si>
    <t>3911920</t>
  </si>
  <si>
    <t>3921920</t>
  </si>
  <si>
    <t>3931920</t>
  </si>
  <si>
    <t>3941920</t>
  </si>
  <si>
    <t>3951920</t>
  </si>
  <si>
    <t>3961920</t>
  </si>
  <si>
    <t>3971920</t>
  </si>
  <si>
    <t>3981920</t>
  </si>
  <si>
    <t>3991920</t>
  </si>
  <si>
    <t>4001920</t>
  </si>
  <si>
    <t>4011920</t>
  </si>
  <si>
    <t>4021920</t>
  </si>
  <si>
    <t>4031920</t>
  </si>
  <si>
    <t>4041920</t>
  </si>
  <si>
    <t>4051920</t>
  </si>
  <si>
    <t>4061920</t>
  </si>
  <si>
    <t>4071920</t>
  </si>
  <si>
    <t>4081920</t>
  </si>
  <si>
    <t>4091920</t>
  </si>
  <si>
    <t>4101920</t>
  </si>
  <si>
    <t>4111920</t>
  </si>
  <si>
    <t>4121920</t>
  </si>
  <si>
    <t>4131920</t>
  </si>
  <si>
    <t>4141920</t>
  </si>
  <si>
    <t>4151920</t>
  </si>
  <si>
    <t>4161920</t>
  </si>
  <si>
    <t>4171920</t>
  </si>
  <si>
    <t>4181920</t>
  </si>
  <si>
    <t>4191920</t>
  </si>
  <si>
    <t>4201920</t>
  </si>
  <si>
    <t>4211920</t>
  </si>
  <si>
    <t>4221920</t>
  </si>
  <si>
    <t>4231920</t>
  </si>
  <si>
    <t>4241920</t>
  </si>
  <si>
    <t>4251920</t>
  </si>
  <si>
    <t>4261920</t>
  </si>
  <si>
    <t>4271920</t>
  </si>
  <si>
    <t>4281920</t>
  </si>
  <si>
    <t>4291920</t>
  </si>
  <si>
    <t>4301920</t>
  </si>
  <si>
    <t>4311920</t>
  </si>
  <si>
    <t>4321920</t>
  </si>
  <si>
    <t>4331920</t>
  </si>
  <si>
    <t>4341920</t>
  </si>
  <si>
    <t>4351920</t>
  </si>
  <si>
    <t>4361920</t>
  </si>
  <si>
    <t>4371920</t>
  </si>
  <si>
    <t>4381920</t>
  </si>
  <si>
    <t>4391920</t>
  </si>
  <si>
    <t>4401920</t>
  </si>
  <si>
    <t>4411920</t>
  </si>
  <si>
    <t>4421920</t>
  </si>
  <si>
    <t>4431920</t>
  </si>
  <si>
    <t>4441920</t>
  </si>
  <si>
    <t>4451920</t>
  </si>
  <si>
    <t>4461920</t>
  </si>
  <si>
    <t>4471920</t>
  </si>
  <si>
    <t>4511920</t>
  </si>
  <si>
    <t>4521920</t>
  </si>
  <si>
    <t>4531920</t>
  </si>
  <si>
    <t>4541920</t>
  </si>
  <si>
    <t>4551920</t>
  </si>
  <si>
    <t>4561920</t>
  </si>
  <si>
    <t>4571920</t>
  </si>
  <si>
    <t>4581920</t>
  </si>
  <si>
    <t>4591920</t>
  </si>
  <si>
    <t>4601920</t>
  </si>
  <si>
    <t>4611920</t>
  </si>
  <si>
    <t>4621920</t>
  </si>
  <si>
    <t>4631920</t>
  </si>
  <si>
    <t>4641920</t>
  </si>
  <si>
    <t>4651920</t>
  </si>
  <si>
    <t>4661920</t>
  </si>
  <si>
    <t>4671920</t>
  </si>
  <si>
    <t>4681920</t>
  </si>
  <si>
    <t>4691920</t>
  </si>
  <si>
    <t>4701920</t>
  </si>
  <si>
    <t>4711920</t>
  </si>
  <si>
    <t>4721920</t>
  </si>
  <si>
    <t>4731920</t>
  </si>
  <si>
    <t>4741920</t>
  </si>
  <si>
    <t>4751920</t>
  </si>
  <si>
    <t>4761920</t>
  </si>
  <si>
    <t>4771920</t>
  </si>
  <si>
    <t>4781920</t>
  </si>
  <si>
    <t>4791920</t>
  </si>
  <si>
    <t>4801920</t>
  </si>
  <si>
    <t>4811920</t>
  </si>
  <si>
    <t>4821920</t>
  </si>
  <si>
    <t>4831920</t>
  </si>
  <si>
    <t>4841920</t>
  </si>
  <si>
    <t>4851920</t>
  </si>
  <si>
    <t>4861920</t>
  </si>
  <si>
    <t>4871920</t>
  </si>
  <si>
    <t>4881920</t>
  </si>
  <si>
    <t>4891920</t>
  </si>
  <si>
    <t>4901920</t>
  </si>
  <si>
    <t>4911920</t>
  </si>
  <si>
    <t>4921920</t>
  </si>
  <si>
    <t>4931920</t>
  </si>
  <si>
    <t>4941920</t>
  </si>
  <si>
    <t>4951920</t>
  </si>
  <si>
    <t>4961920</t>
  </si>
  <si>
    <t>4971920</t>
  </si>
  <si>
    <t>4981920</t>
  </si>
  <si>
    <t>4991920</t>
  </si>
  <si>
    <t>5001920</t>
  </si>
  <si>
    <t>5011920</t>
  </si>
  <si>
    <t>5021920</t>
  </si>
  <si>
    <t>5031920</t>
  </si>
  <si>
    <t>5041920</t>
  </si>
  <si>
    <t>5051920</t>
  </si>
  <si>
    <t>5061920</t>
  </si>
  <si>
    <t>5071920</t>
  </si>
  <si>
    <t>5081920</t>
  </si>
  <si>
    <t>5091920</t>
  </si>
  <si>
    <t>5101920</t>
  </si>
  <si>
    <t>5111920</t>
  </si>
  <si>
    <t>5121920</t>
  </si>
  <si>
    <t>5131920</t>
  </si>
  <si>
    <t>5141920</t>
  </si>
  <si>
    <t>5151920</t>
  </si>
  <si>
    <t>BB05000247</t>
  </si>
  <si>
    <t>BB05000257</t>
  </si>
  <si>
    <t>M51931500558</t>
  </si>
  <si>
    <t>BB05000328</t>
  </si>
  <si>
    <t>M51931500645</t>
  </si>
  <si>
    <t>M51931500646</t>
  </si>
  <si>
    <t>M51931500647</t>
  </si>
  <si>
    <t>M51931500649</t>
  </si>
  <si>
    <t>27.11.18</t>
  </si>
  <si>
    <t>5161920</t>
  </si>
  <si>
    <t>5171920</t>
  </si>
  <si>
    <t>5181920</t>
  </si>
  <si>
    <t>5191920</t>
  </si>
  <si>
    <t>5201920</t>
  </si>
  <si>
    <t>5211920</t>
  </si>
  <si>
    <t>5221920</t>
  </si>
  <si>
    <t>5231920</t>
  </si>
  <si>
    <t>5241920</t>
  </si>
  <si>
    <t>5251920</t>
  </si>
  <si>
    <t>5261920</t>
  </si>
  <si>
    <t>5271920</t>
  </si>
  <si>
    <t>5281920</t>
  </si>
  <si>
    <t>5291920</t>
  </si>
  <si>
    <t>5301920</t>
  </si>
  <si>
    <t>5311920</t>
  </si>
  <si>
    <t>5321920</t>
  </si>
  <si>
    <t>5331920</t>
  </si>
  <si>
    <t>5341920</t>
  </si>
  <si>
    <t>5351920</t>
  </si>
  <si>
    <t>5361920</t>
  </si>
  <si>
    <t>5371920</t>
  </si>
  <si>
    <t>5381920</t>
  </si>
  <si>
    <t>5391920</t>
  </si>
  <si>
    <t>5401920</t>
  </si>
  <si>
    <t>5411920</t>
  </si>
  <si>
    <t>5421920</t>
  </si>
  <si>
    <t>5431920</t>
  </si>
  <si>
    <t>5441920</t>
  </si>
  <si>
    <t>5451920</t>
  </si>
  <si>
    <t>5461920</t>
  </si>
  <si>
    <t>5471920</t>
  </si>
  <si>
    <t>5481920</t>
  </si>
  <si>
    <t>5491920</t>
  </si>
  <si>
    <t>5501920</t>
  </si>
  <si>
    <t>5511920</t>
  </si>
  <si>
    <t>5521920</t>
  </si>
  <si>
    <t>5531920</t>
  </si>
  <si>
    <t>5541920</t>
  </si>
  <si>
    <t>5551920</t>
  </si>
  <si>
    <t>5561920</t>
  </si>
  <si>
    <t>5571920</t>
  </si>
  <si>
    <t>5581920</t>
  </si>
  <si>
    <t>5591920</t>
  </si>
  <si>
    <t>5601920</t>
  </si>
  <si>
    <t>5611920</t>
  </si>
  <si>
    <t>5621920</t>
  </si>
  <si>
    <t>5631920</t>
  </si>
  <si>
    <t>5641920</t>
  </si>
  <si>
    <t>5651920</t>
  </si>
  <si>
    <t>5661920</t>
  </si>
  <si>
    <t>5671920</t>
  </si>
  <si>
    <t>5681920</t>
  </si>
  <si>
    <t>5691920</t>
  </si>
  <si>
    <t>5701920</t>
  </si>
  <si>
    <t>5711920</t>
  </si>
  <si>
    <t>5721920</t>
  </si>
  <si>
    <t>5731920</t>
  </si>
  <si>
    <t>5741920</t>
  </si>
  <si>
    <t>5751920</t>
  </si>
  <si>
    <t>5761920</t>
  </si>
  <si>
    <t>5771920</t>
  </si>
  <si>
    <t>5781920</t>
  </si>
  <si>
    <t>5791920</t>
  </si>
  <si>
    <t>5801920</t>
  </si>
  <si>
    <t>5811920</t>
  </si>
  <si>
    <t>5821920</t>
  </si>
  <si>
    <t>5831920</t>
  </si>
  <si>
    <t>5841920</t>
  </si>
  <si>
    <t>5851920</t>
  </si>
  <si>
    <t>5861920</t>
  </si>
  <si>
    <t>5871920</t>
  </si>
  <si>
    <t>5881920</t>
  </si>
  <si>
    <t>5891920</t>
  </si>
  <si>
    <t>5901920</t>
  </si>
  <si>
    <t>5911920</t>
  </si>
  <si>
    <t>5921920</t>
  </si>
  <si>
    <t>5931920</t>
  </si>
  <si>
    <t>5941920</t>
  </si>
  <si>
    <t>5951920</t>
  </si>
  <si>
    <t>5961920</t>
  </si>
  <si>
    <t>5971920</t>
  </si>
  <si>
    <t>5981920</t>
  </si>
  <si>
    <t>5991920</t>
  </si>
  <si>
    <t>6001920</t>
  </si>
  <si>
    <t>6011920</t>
  </si>
  <si>
    <t>6021920</t>
  </si>
  <si>
    <t>6031920</t>
  </si>
  <si>
    <t>6041920</t>
  </si>
  <si>
    <t>6051920</t>
  </si>
  <si>
    <t>6061920</t>
  </si>
  <si>
    <t>6071920</t>
  </si>
  <si>
    <t>6081920</t>
  </si>
  <si>
    <t>6091920</t>
  </si>
  <si>
    <t>6101920</t>
  </si>
  <si>
    <t>6111920</t>
  </si>
  <si>
    <t>6121920</t>
  </si>
  <si>
    <t>6131920</t>
  </si>
  <si>
    <t>6141920</t>
  </si>
  <si>
    <t>6151920</t>
  </si>
  <si>
    <t>6161920</t>
  </si>
  <si>
    <t>6171920</t>
  </si>
  <si>
    <t>6181920</t>
  </si>
  <si>
    <t>6191920</t>
  </si>
  <si>
    <t>6201920</t>
  </si>
  <si>
    <t>6211920</t>
  </si>
  <si>
    <t>6221920</t>
  </si>
  <si>
    <t>6231920</t>
  </si>
  <si>
    <t>6241920</t>
  </si>
  <si>
    <t>6251920</t>
  </si>
  <si>
    <t>6261920</t>
  </si>
  <si>
    <t>6271920</t>
  </si>
  <si>
    <t>6281920</t>
  </si>
  <si>
    <t>6291920</t>
  </si>
  <si>
    <t>6301920</t>
  </si>
  <si>
    <t>6311920</t>
  </si>
  <si>
    <t>6321920</t>
  </si>
  <si>
    <t>6331920</t>
  </si>
  <si>
    <t>6341920</t>
  </si>
  <si>
    <t>6351920</t>
  </si>
  <si>
    <t>6361920</t>
  </si>
  <si>
    <t>6371920</t>
  </si>
  <si>
    <t>6381920</t>
  </si>
  <si>
    <t>6391920</t>
  </si>
  <si>
    <t>6401920</t>
  </si>
  <si>
    <t>6411920</t>
  </si>
  <si>
    <t>6421920</t>
  </si>
  <si>
    <t>6431920</t>
  </si>
  <si>
    <t>6441920</t>
  </si>
  <si>
    <t>6451920</t>
  </si>
  <si>
    <t>6461920</t>
  </si>
  <si>
    <t>6471920</t>
  </si>
  <si>
    <t>6481920</t>
  </si>
  <si>
    <t>6491920</t>
  </si>
  <si>
    <t>6501920</t>
  </si>
  <si>
    <t>6511920</t>
  </si>
  <si>
    <t>6521920</t>
  </si>
  <si>
    <t>6531920</t>
  </si>
  <si>
    <t>6541920</t>
  </si>
  <si>
    <t>6551920</t>
  </si>
  <si>
    <t>6561920</t>
  </si>
  <si>
    <t>6571920</t>
  </si>
  <si>
    <t>6581920</t>
  </si>
  <si>
    <t>6591920</t>
  </si>
  <si>
    <t>6601920</t>
  </si>
  <si>
    <t>6611920</t>
  </si>
  <si>
    <t>6621920</t>
  </si>
  <si>
    <t>6631920</t>
  </si>
  <si>
    <t>6641920</t>
  </si>
  <si>
    <t>6651920</t>
  </si>
  <si>
    <t>6661920</t>
  </si>
  <si>
    <t>6671920</t>
  </si>
  <si>
    <t>6681920</t>
  </si>
  <si>
    <t>6691920</t>
  </si>
  <si>
    <t>6701920</t>
  </si>
  <si>
    <t>6711920</t>
  </si>
  <si>
    <t>6721920</t>
  </si>
  <si>
    <t>6731920</t>
  </si>
  <si>
    <t>6741920</t>
  </si>
  <si>
    <t>6751920</t>
  </si>
  <si>
    <t>6761920</t>
  </si>
  <si>
    <t>6771920</t>
  </si>
  <si>
    <t>6781920</t>
  </si>
  <si>
    <t>6791920</t>
  </si>
  <si>
    <t>6801920</t>
  </si>
  <si>
    <t>6811920</t>
  </si>
  <si>
    <t>6821920</t>
  </si>
  <si>
    <t>6831920</t>
  </si>
  <si>
    <t>6841920</t>
  </si>
  <si>
    <t>6851920</t>
  </si>
  <si>
    <t>6861920</t>
  </si>
  <si>
    <t>6871920</t>
  </si>
  <si>
    <t>6881920</t>
  </si>
  <si>
    <t>6891920</t>
  </si>
  <si>
    <t>6901920</t>
  </si>
  <si>
    <t>6911920</t>
  </si>
  <si>
    <t>BB05000434</t>
  </si>
  <si>
    <t>M51931500674</t>
  </si>
  <si>
    <t>M51931500792</t>
  </si>
  <si>
    <t>M51931500809</t>
  </si>
  <si>
    <t>BB05000506</t>
  </si>
  <si>
    <t>6921920</t>
  </si>
  <si>
    <t>6931920</t>
  </si>
  <si>
    <t>6941920</t>
  </si>
  <si>
    <t>6951920</t>
  </si>
  <si>
    <t>6961920</t>
  </si>
  <si>
    <t>6971920</t>
  </si>
  <si>
    <t>6981920</t>
  </si>
  <si>
    <t>6991920</t>
  </si>
  <si>
    <t>7001920</t>
  </si>
  <si>
    <t>7011920</t>
  </si>
  <si>
    <t>7021920</t>
  </si>
  <si>
    <t>7031920</t>
  </si>
  <si>
    <t>7041920</t>
  </si>
  <si>
    <t>7051920</t>
  </si>
  <si>
    <t>7061920</t>
  </si>
  <si>
    <t>7071920</t>
  </si>
  <si>
    <t>7081920</t>
  </si>
  <si>
    <t>7091920</t>
  </si>
  <si>
    <t>7101920</t>
  </si>
  <si>
    <t>7111920</t>
  </si>
  <si>
    <t>7121920</t>
  </si>
  <si>
    <t>7131920</t>
  </si>
  <si>
    <t>7141920</t>
  </si>
  <si>
    <t>7151920</t>
  </si>
  <si>
    <t>7161920</t>
  </si>
  <si>
    <t>7171920</t>
  </si>
  <si>
    <t>7181920</t>
  </si>
  <si>
    <t>7191920</t>
  </si>
  <si>
    <t>7201920</t>
  </si>
  <si>
    <t>7211920</t>
  </si>
  <si>
    <t>7221920</t>
  </si>
  <si>
    <t>7231920</t>
  </si>
  <si>
    <t>7241920</t>
  </si>
  <si>
    <t>7251920</t>
  </si>
  <si>
    <t>7261920</t>
  </si>
  <si>
    <t>7271920</t>
  </si>
  <si>
    <t>7281920</t>
  </si>
  <si>
    <t>7291920</t>
  </si>
  <si>
    <t>7301920</t>
  </si>
  <si>
    <t>7311920</t>
  </si>
  <si>
    <t>7321920</t>
  </si>
  <si>
    <t>7331920</t>
  </si>
  <si>
    <t>7341920</t>
  </si>
  <si>
    <t>7351920</t>
  </si>
  <si>
    <t>7361920</t>
  </si>
  <si>
    <t>7371920</t>
  </si>
  <si>
    <t>7381920</t>
  </si>
  <si>
    <t>7391920</t>
  </si>
  <si>
    <t>7401920</t>
  </si>
  <si>
    <t>7411920</t>
  </si>
  <si>
    <t>7421920</t>
  </si>
  <si>
    <t>7431920</t>
  </si>
  <si>
    <t>7441920</t>
  </si>
  <si>
    <t>7451920</t>
  </si>
  <si>
    <t>7461920</t>
  </si>
  <si>
    <t>7471920</t>
  </si>
  <si>
    <t>7481920</t>
  </si>
  <si>
    <t>7491920</t>
  </si>
  <si>
    <t>7501920</t>
  </si>
  <si>
    <t>7511920</t>
  </si>
  <si>
    <t>7521920</t>
  </si>
  <si>
    <t>7531920</t>
  </si>
  <si>
    <t>7541920</t>
  </si>
  <si>
    <t>7551920</t>
  </si>
  <si>
    <t>7561920</t>
  </si>
  <si>
    <t>7571920</t>
  </si>
  <si>
    <t>7581920</t>
  </si>
  <si>
    <t>7591920</t>
  </si>
  <si>
    <t>7601920</t>
  </si>
  <si>
    <t>7611920</t>
  </si>
  <si>
    <t>7621920</t>
  </si>
  <si>
    <t>7631920</t>
  </si>
  <si>
    <t>7641920</t>
  </si>
  <si>
    <t>7651920</t>
  </si>
  <si>
    <t>7661920</t>
  </si>
  <si>
    <t>7671920</t>
  </si>
  <si>
    <t>7681920</t>
  </si>
  <si>
    <t>7691920</t>
  </si>
  <si>
    <t>7701920</t>
  </si>
  <si>
    <t>7711920</t>
  </si>
  <si>
    <t>7721920</t>
  </si>
  <si>
    <t>7731920</t>
  </si>
  <si>
    <t>7741920</t>
  </si>
  <si>
    <t>7751920</t>
  </si>
  <si>
    <t>7761920</t>
  </si>
  <si>
    <t>7771920</t>
  </si>
  <si>
    <t>7781920</t>
  </si>
  <si>
    <t>7791920</t>
  </si>
  <si>
    <t>7801920</t>
  </si>
  <si>
    <t>7811920</t>
  </si>
  <si>
    <t>7821920</t>
  </si>
  <si>
    <t>7831920</t>
  </si>
  <si>
    <t>7841920</t>
  </si>
  <si>
    <t>7851920</t>
  </si>
  <si>
    <t>7861920</t>
  </si>
  <si>
    <t>7871920</t>
  </si>
  <si>
    <t>7881920</t>
  </si>
  <si>
    <t>7891920</t>
  </si>
  <si>
    <t>7901920</t>
  </si>
  <si>
    <t>7911920</t>
  </si>
  <si>
    <t>7921920</t>
  </si>
  <si>
    <t>7931920</t>
  </si>
  <si>
    <t>7941920</t>
  </si>
  <si>
    <t>7951920</t>
  </si>
  <si>
    <t>7961920</t>
  </si>
  <si>
    <t>7971920</t>
  </si>
  <si>
    <t>7981920</t>
  </si>
  <si>
    <t>7991920</t>
  </si>
  <si>
    <t>8001920</t>
  </si>
  <si>
    <t>8011920</t>
  </si>
  <si>
    <t>8021920</t>
  </si>
  <si>
    <t>8031920</t>
  </si>
  <si>
    <t>8041920</t>
  </si>
  <si>
    <t>8051920</t>
  </si>
  <si>
    <t>8061920</t>
  </si>
  <si>
    <t>8071920</t>
  </si>
  <si>
    <t>8081920</t>
  </si>
  <si>
    <t>8091920</t>
  </si>
  <si>
    <t>8101920</t>
  </si>
  <si>
    <t>8111920</t>
  </si>
  <si>
    <t>8121920</t>
  </si>
  <si>
    <t>8131920</t>
  </si>
  <si>
    <t>8141920</t>
  </si>
  <si>
    <t>8151920</t>
  </si>
  <si>
    <t>8161920</t>
  </si>
  <si>
    <t>8171920</t>
  </si>
  <si>
    <t>8181920</t>
  </si>
  <si>
    <t>8191920</t>
  </si>
  <si>
    <t>8201920</t>
  </si>
  <si>
    <t>8211920</t>
  </si>
  <si>
    <t>8221920</t>
  </si>
  <si>
    <t>8231920</t>
  </si>
  <si>
    <t>19200018</t>
  </si>
  <si>
    <t>19200019</t>
  </si>
  <si>
    <t>19200020</t>
  </si>
  <si>
    <t>19200021</t>
  </si>
  <si>
    <t>19200022</t>
  </si>
  <si>
    <t>19200023</t>
  </si>
  <si>
    <t>BB05000604</t>
  </si>
  <si>
    <t>8241920</t>
  </si>
  <si>
    <t>8251920</t>
  </si>
  <si>
    <t>8261920</t>
  </si>
  <si>
    <t>8271920</t>
  </si>
  <si>
    <t>8281920</t>
  </si>
  <si>
    <t>8291920</t>
  </si>
  <si>
    <t>8301920</t>
  </si>
  <si>
    <t>8311920</t>
  </si>
  <si>
    <t>8321920</t>
  </si>
  <si>
    <t>8331920</t>
  </si>
  <si>
    <t>8341920</t>
  </si>
  <si>
    <t>8351920</t>
  </si>
  <si>
    <t>8361920</t>
  </si>
  <si>
    <t>8371920</t>
  </si>
  <si>
    <t>8381920</t>
  </si>
  <si>
    <t>8391920</t>
  </si>
  <si>
    <t>8401920</t>
  </si>
  <si>
    <t>8411920</t>
  </si>
  <si>
    <t>8421920</t>
  </si>
  <si>
    <t>8431920</t>
  </si>
  <si>
    <t>8441920</t>
  </si>
  <si>
    <t>8451920</t>
  </si>
  <si>
    <t>8461920</t>
  </si>
  <si>
    <t>8471920</t>
  </si>
  <si>
    <t>8481920</t>
  </si>
  <si>
    <t>8491920</t>
  </si>
  <si>
    <t>8501920</t>
  </si>
  <si>
    <t>8511920</t>
  </si>
  <si>
    <t>8521920</t>
  </si>
  <si>
    <t>8531920</t>
  </si>
  <si>
    <t>8541920</t>
  </si>
  <si>
    <t>8551920</t>
  </si>
  <si>
    <t>8561920</t>
  </si>
  <si>
    <t>8571920</t>
  </si>
  <si>
    <t>8581920</t>
  </si>
  <si>
    <t>8591920</t>
  </si>
  <si>
    <t>8601920</t>
  </si>
  <si>
    <t>8611920</t>
  </si>
  <si>
    <t>8621920</t>
  </si>
  <si>
    <t>8631920</t>
  </si>
  <si>
    <t>8641920</t>
  </si>
  <si>
    <t>8651920</t>
  </si>
  <si>
    <t>8661920</t>
  </si>
  <si>
    <t>8671920</t>
  </si>
  <si>
    <t>8681920</t>
  </si>
  <si>
    <t>8691920</t>
  </si>
  <si>
    <t>8701920</t>
  </si>
  <si>
    <t>8711920</t>
  </si>
  <si>
    <t>8721920</t>
  </si>
  <si>
    <t>8731920</t>
  </si>
  <si>
    <t>8741920</t>
  </si>
  <si>
    <t>8751920</t>
  </si>
  <si>
    <t>8761920</t>
  </si>
  <si>
    <t>8771920</t>
  </si>
  <si>
    <t>8781920</t>
  </si>
  <si>
    <t>8791920</t>
  </si>
  <si>
    <t>8801920</t>
  </si>
  <si>
    <t>8811920</t>
  </si>
  <si>
    <t>8821920</t>
  </si>
  <si>
    <t>8831920</t>
  </si>
  <si>
    <t>8841920</t>
  </si>
  <si>
    <t>8851920</t>
  </si>
  <si>
    <t>8861920</t>
  </si>
  <si>
    <t>8871920</t>
  </si>
  <si>
    <t>8881920</t>
  </si>
  <si>
    <t>8891920</t>
  </si>
  <si>
    <t>8901920</t>
  </si>
  <si>
    <t>8911920</t>
  </si>
  <si>
    <t>8921920</t>
  </si>
  <si>
    <t>8931920</t>
  </si>
  <si>
    <t>8941920</t>
  </si>
  <si>
    <t>8951920</t>
  </si>
  <si>
    <t>8961920</t>
  </si>
  <si>
    <t>8971920</t>
  </si>
  <si>
    <t>8981920</t>
  </si>
  <si>
    <t>8991920</t>
  </si>
  <si>
    <t>9001920</t>
  </si>
  <si>
    <t>9011920</t>
  </si>
  <si>
    <t>9021920</t>
  </si>
  <si>
    <t>9031920</t>
  </si>
  <si>
    <t>9041920</t>
  </si>
  <si>
    <t>9051920</t>
  </si>
  <si>
    <t>9061920</t>
  </si>
  <si>
    <t>9071920</t>
  </si>
  <si>
    <t>9081920</t>
  </si>
  <si>
    <t>9091920</t>
  </si>
  <si>
    <t>9101920</t>
  </si>
  <si>
    <t>9111920</t>
  </si>
  <si>
    <t>9121920</t>
  </si>
  <si>
    <t>9131920</t>
  </si>
  <si>
    <t>9141920</t>
  </si>
  <si>
    <t>9151920</t>
  </si>
  <si>
    <t>9161920</t>
  </si>
  <si>
    <t>9171920</t>
  </si>
  <si>
    <t>9181920</t>
  </si>
  <si>
    <t>9191920</t>
  </si>
  <si>
    <t>9201920</t>
  </si>
  <si>
    <t>9211920</t>
  </si>
  <si>
    <t>9221920</t>
  </si>
  <si>
    <t>9231920</t>
  </si>
  <si>
    <t>9241920</t>
  </si>
  <si>
    <t>9251920</t>
  </si>
  <si>
    <t>9261920</t>
  </si>
  <si>
    <t>9271920</t>
  </si>
  <si>
    <t>9281920</t>
  </si>
  <si>
    <t>9291920</t>
  </si>
  <si>
    <t>9301920</t>
  </si>
  <si>
    <t>9311920</t>
  </si>
  <si>
    <t>9321920</t>
  </si>
  <si>
    <t>9331920</t>
  </si>
  <si>
    <t>9341920</t>
  </si>
  <si>
    <t>9351920</t>
  </si>
  <si>
    <t>9361920</t>
  </si>
  <si>
    <t>9371920</t>
  </si>
  <si>
    <t>0</t>
  </si>
  <si>
    <t>25519920</t>
  </si>
  <si>
    <t>9381920</t>
  </si>
  <si>
    <t>9391920</t>
  </si>
  <si>
    <t>9401920</t>
  </si>
  <si>
    <t>9411920</t>
  </si>
  <si>
    <t>9421920</t>
  </si>
  <si>
    <t>9431920</t>
  </si>
  <si>
    <t>9441920</t>
  </si>
  <si>
    <t>9451920</t>
  </si>
  <si>
    <t>9461920</t>
  </si>
  <si>
    <t>9471920</t>
  </si>
  <si>
    <t>9481920</t>
  </si>
  <si>
    <t>9491920</t>
  </si>
  <si>
    <t>9501920</t>
  </si>
  <si>
    <t>9511920</t>
  </si>
  <si>
    <t>9521920</t>
  </si>
  <si>
    <t>9531920</t>
  </si>
  <si>
    <t>9541920</t>
  </si>
  <si>
    <t>9551920</t>
  </si>
  <si>
    <t>9561920</t>
  </si>
  <si>
    <t>9571920</t>
  </si>
  <si>
    <t>9581920</t>
  </si>
  <si>
    <t>9591920</t>
  </si>
  <si>
    <t>9601920</t>
  </si>
  <si>
    <t>9611920</t>
  </si>
  <si>
    <t>9621920</t>
  </si>
  <si>
    <t>9631920</t>
  </si>
  <si>
    <t>9641920</t>
  </si>
  <si>
    <t>9651920</t>
  </si>
  <si>
    <t>9661920</t>
  </si>
  <si>
    <t>9671920</t>
  </si>
  <si>
    <t>9681920</t>
  </si>
  <si>
    <t>9691920</t>
  </si>
  <si>
    <t>9701920</t>
  </si>
  <si>
    <t>9711920</t>
  </si>
  <si>
    <t>9721920</t>
  </si>
  <si>
    <t>9731920</t>
  </si>
  <si>
    <t>9741920</t>
  </si>
  <si>
    <t>9751920</t>
  </si>
  <si>
    <t>9761920</t>
  </si>
  <si>
    <t>9771920</t>
  </si>
  <si>
    <t>9781920</t>
  </si>
  <si>
    <t>9791920</t>
  </si>
  <si>
    <t>9801920</t>
  </si>
  <si>
    <t>9811920</t>
  </si>
  <si>
    <t>9821920</t>
  </si>
  <si>
    <t>9831920</t>
  </si>
  <si>
    <t>9841920</t>
  </si>
  <si>
    <t>9851920</t>
  </si>
  <si>
    <t>9861920</t>
  </si>
  <si>
    <t>9871920</t>
  </si>
  <si>
    <t>9881920</t>
  </si>
  <si>
    <t>9891920</t>
  </si>
  <si>
    <t>9901920</t>
  </si>
  <si>
    <t>998898/</t>
  </si>
  <si>
    <t>SEZ WPAY INPUT</t>
  </si>
  <si>
    <t>SEZ WPAY CAPITAL</t>
  </si>
  <si>
    <t>IMPORT INPUT</t>
  </si>
  <si>
    <t>IMPORT CAPITAL GOODS</t>
  </si>
  <si>
    <t>SEZ WOPAY CAPITAL GOODS</t>
  </si>
  <si>
    <t>SEZ WPAY CAPITAL GOODS</t>
  </si>
  <si>
    <t>overses</t>
  </si>
  <si>
    <t>Debit Note</t>
  </si>
  <si>
    <t xml:space="preserve">Total sales After Debit note /credit note  </t>
  </si>
  <si>
    <t xml:space="preserve">Total sales before Debit Note/Credit Note </t>
  </si>
  <si>
    <t>Assy.Value</t>
  </si>
  <si>
    <t xml:space="preserve">PURCHASE </t>
  </si>
  <si>
    <t>Dhupar Brothers Trading Pvt Ltd</t>
  </si>
  <si>
    <t>27AACCD8583E1ZH</t>
  </si>
  <si>
    <t>Hygeeias Foodsz</t>
  </si>
  <si>
    <t>27AAJFH3516P1ZY</t>
  </si>
  <si>
    <t>SI2040065156</t>
  </si>
  <si>
    <t>SI2040065157</t>
  </si>
  <si>
    <t>L271135491</t>
  </si>
  <si>
    <t>19-20/20715</t>
  </si>
  <si>
    <t>19-20/20716</t>
  </si>
  <si>
    <t>19-20/20717</t>
  </si>
  <si>
    <t>19-20/20718</t>
  </si>
  <si>
    <t>19-20/20719</t>
  </si>
  <si>
    <t>19-20/20720</t>
  </si>
  <si>
    <t>SI2040065770</t>
  </si>
  <si>
    <t>SI2040065771</t>
  </si>
  <si>
    <t>G0812</t>
  </si>
  <si>
    <t>G0813</t>
  </si>
  <si>
    <t>OLFPL/19-20/0117</t>
  </si>
  <si>
    <t>SI/19-20/64</t>
  </si>
  <si>
    <t>731/19-20</t>
  </si>
  <si>
    <t>VNET/19-20/1115</t>
  </si>
  <si>
    <t>SI/19-20/65</t>
  </si>
  <si>
    <t>19-20/20883</t>
  </si>
  <si>
    <t>19-20/20865</t>
  </si>
  <si>
    <t>19-20/20864</t>
  </si>
  <si>
    <t>L271141399</t>
  </si>
  <si>
    <t>L271141400</t>
  </si>
  <si>
    <t>SI2040067459</t>
  </si>
  <si>
    <t>SI2040067460</t>
  </si>
  <si>
    <t>G0913</t>
  </si>
  <si>
    <t>MPL2/1944404</t>
  </si>
  <si>
    <t>BM2027I0056402672</t>
  </si>
  <si>
    <t>SI/19-20/68</t>
  </si>
  <si>
    <t>L271144752</t>
  </si>
  <si>
    <t>SI2040068532</t>
  </si>
  <si>
    <t>SI2040068533</t>
  </si>
  <si>
    <t>SI/19-20/70</t>
  </si>
  <si>
    <t>GST/850/19-20</t>
  </si>
  <si>
    <t>SI2040069958</t>
  </si>
  <si>
    <t>SS/19-20/00687</t>
  </si>
  <si>
    <t>1920RE1061</t>
  </si>
  <si>
    <t>SCPL/0824</t>
  </si>
  <si>
    <t>SI2040070386</t>
  </si>
  <si>
    <t>19-20/21106</t>
  </si>
  <si>
    <t>19-20/21110</t>
  </si>
  <si>
    <t>SI2040071043</t>
  </si>
  <si>
    <t>OLFPL/19-20/110</t>
  </si>
  <si>
    <t>L271151560</t>
  </si>
  <si>
    <t>L271151561</t>
  </si>
  <si>
    <t>L271151562</t>
  </si>
  <si>
    <t>P-INV-19-05186</t>
  </si>
  <si>
    <t>SI2040071526</t>
  </si>
  <si>
    <t>SI/19-20/72</t>
  </si>
  <si>
    <t>PR/19-20/276</t>
  </si>
  <si>
    <t>FIN0910195743430</t>
  </si>
  <si>
    <t>SI2040071952</t>
  </si>
  <si>
    <t>SI2040071975</t>
  </si>
  <si>
    <t>l749211274</t>
  </si>
  <si>
    <t>HF/5390/19-20</t>
  </si>
  <si>
    <t>SI2040072326</t>
  </si>
  <si>
    <t>PUN-2016 PUNE</t>
  </si>
  <si>
    <t>9911920</t>
  </si>
  <si>
    <t>9921920</t>
  </si>
  <si>
    <t>9931920</t>
  </si>
  <si>
    <t>9941920</t>
  </si>
  <si>
    <t>9951920</t>
  </si>
  <si>
    <t>9961920</t>
  </si>
  <si>
    <t>9971920</t>
  </si>
  <si>
    <t>9981920</t>
  </si>
  <si>
    <t>9991920</t>
  </si>
  <si>
    <t>10001920</t>
  </si>
  <si>
    <t>10011920</t>
  </si>
  <si>
    <t>10021920</t>
  </si>
  <si>
    <t>10031920</t>
  </si>
  <si>
    <t>10041920</t>
  </si>
  <si>
    <t>10051920</t>
  </si>
  <si>
    <t>10061920</t>
  </si>
  <si>
    <t>10071920</t>
  </si>
  <si>
    <t>10081920</t>
  </si>
  <si>
    <t>10091920</t>
  </si>
  <si>
    <t>10101920</t>
  </si>
  <si>
    <t>10111920</t>
  </si>
  <si>
    <t>10121920</t>
  </si>
  <si>
    <t>10131920</t>
  </si>
  <si>
    <t>10141920</t>
  </si>
  <si>
    <t>10151920</t>
  </si>
  <si>
    <t>10161920</t>
  </si>
  <si>
    <t>10171920</t>
  </si>
  <si>
    <t>10181920</t>
  </si>
  <si>
    <t>10191920</t>
  </si>
  <si>
    <t>10201920</t>
  </si>
  <si>
    <t>10211920</t>
  </si>
  <si>
    <t>10221920</t>
  </si>
  <si>
    <t>10231920</t>
  </si>
  <si>
    <t>10241920</t>
  </si>
  <si>
    <t>10251920</t>
  </si>
  <si>
    <t>10261920</t>
  </si>
  <si>
    <t>10271920</t>
  </si>
  <si>
    <t>10281920</t>
  </si>
  <si>
    <t>10291920</t>
  </si>
  <si>
    <t>SALE AS PER TALLY</t>
  </si>
  <si>
    <t>TALLY</t>
  </si>
  <si>
    <t>RECO</t>
  </si>
  <si>
    <t>PURCHSE AS PER TALLY</t>
  </si>
  <si>
    <t>IMP. DUTY DIFF</t>
  </si>
  <si>
    <t>EXMP.</t>
  </si>
  <si>
    <t>DIFF</t>
  </si>
  <si>
    <t>Reconcilation Statement Sale Purcahse</t>
  </si>
  <si>
    <t>From 1st April 2018 To 31st March 2020</t>
  </si>
  <si>
    <t xml:space="preserve">input Supplies (purchase ) as per books </t>
  </si>
  <si>
    <t>GST - 5%</t>
  </si>
  <si>
    <t>GST - 12%</t>
  </si>
  <si>
    <t>GST - 18%</t>
  </si>
  <si>
    <t>GST - 28%</t>
  </si>
  <si>
    <t>Total (D)</t>
  </si>
  <si>
    <t>Total - E</t>
  </si>
  <si>
    <t>Total (A+B+C+D+E)</t>
  </si>
  <si>
    <t>(i)</t>
  </si>
  <si>
    <t>(ii)</t>
  </si>
  <si>
    <t>(iii)</t>
  </si>
  <si>
    <t>(iv)</t>
  </si>
  <si>
    <t>(v)</t>
  </si>
  <si>
    <t>Inter-State supplies</t>
  </si>
  <si>
    <t>Intra-state supplies</t>
  </si>
  <si>
    <t>Interest payable</t>
  </si>
  <si>
    <t>Tax payable</t>
  </si>
  <si>
    <t>Late fee payable</t>
  </si>
  <si>
    <t>Difference b/w GSTR-3B and GSTR-2A</t>
  </si>
  <si>
    <t>SECTION 17</t>
  </si>
  <si>
    <t>GST Output</t>
  </si>
  <si>
    <t>Payable before RCM</t>
  </si>
  <si>
    <t>GST Payable</t>
  </si>
  <si>
    <t>Cash Paid</t>
  </si>
  <si>
    <t>Balance</t>
  </si>
  <si>
    <t>GST Input</t>
  </si>
  <si>
    <t>Opening Balance</t>
  </si>
  <si>
    <t>Input GST</t>
  </si>
  <si>
    <t>Available ITC</t>
  </si>
  <si>
    <t>Credit Utilized:</t>
  </si>
  <si>
    <t>Closing Balance</t>
  </si>
  <si>
    <t>Cash Ledger Balance</t>
  </si>
  <si>
    <t xml:space="preserve">Utilized </t>
  </si>
  <si>
    <t>Input RMC</t>
  </si>
  <si>
    <t>TOTAL ITC AVAILABLE</t>
  </si>
  <si>
    <t>TOTAL Sales as per  GSTR 3B</t>
  </si>
  <si>
    <t>TOTAL Sales as per Tally  Books</t>
  </si>
  <si>
    <t>TOTAL Sales as per  GSTR 1</t>
  </si>
  <si>
    <t>IGST paid using igst ITC</t>
  </si>
  <si>
    <t>IGST paid using Cgst ITC</t>
  </si>
  <si>
    <t>IGST paid using Sgst ITC</t>
  </si>
  <si>
    <t>Total Value</t>
  </si>
  <si>
    <t>Paid in cash</t>
  </si>
  <si>
    <t>IGST Tax payable</t>
  </si>
  <si>
    <t xml:space="preserve">PAYMENT IGST </t>
  </si>
  <si>
    <t xml:space="preserve">PAYMENT CGST </t>
  </si>
  <si>
    <t xml:space="preserve">PAYMENT SGST </t>
  </si>
  <si>
    <t>SGST Tax payable</t>
  </si>
  <si>
    <t>CGST Tax payable</t>
  </si>
  <si>
    <t>PAYMENT IGST RMC</t>
  </si>
  <si>
    <t>PAYMENT CGST RMC</t>
  </si>
  <si>
    <t>PAYMENT SGST RMC</t>
  </si>
  <si>
    <t>IGST ITC AVIABLE</t>
  </si>
  <si>
    <t>CGST ITC AVIABLE</t>
  </si>
  <si>
    <t>SGST ITC AVIABLE</t>
  </si>
  <si>
    <t>AS PER GSTR-2A Download</t>
  </si>
  <si>
    <t>GSTIN of supplier</t>
  </si>
  <si>
    <t>Trade/Legal name of the Supplier</t>
  </si>
  <si>
    <t>Invoice details</t>
  </si>
  <si>
    <t>Place of supply</t>
  </si>
  <si>
    <t>Supply Attract Reverse Charge</t>
  </si>
  <si>
    <t>Rate (%)</t>
  </si>
  <si>
    <t>Taxable Value (₹)</t>
  </si>
  <si>
    <t>Tax Amount</t>
  </si>
  <si>
    <t>Counter Party Return status</t>
  </si>
  <si>
    <t>Invoice number</t>
  </si>
  <si>
    <t>Invoice type</t>
  </si>
  <si>
    <t>Invoice Date</t>
  </si>
  <si>
    <t>Invoice Value (₹)</t>
  </si>
  <si>
    <t>Integrated Tax  (₹)</t>
  </si>
  <si>
    <t>Central Tax (₹)</t>
  </si>
  <si>
    <t>State/UT tax (₹)</t>
  </si>
  <si>
    <t>Cess  (₹)</t>
  </si>
  <si>
    <t>BASF INDIA LIMITED</t>
  </si>
  <si>
    <t>R</t>
  </si>
  <si>
    <t>17-04-2019</t>
  </si>
  <si>
    <t>Maharashtra</t>
  </si>
  <si>
    <t>Submitted</t>
  </si>
  <si>
    <t>ORIGA LEASE FINANCE PRIVATE LIMITED</t>
  </si>
  <si>
    <t>01-04-2019</t>
  </si>
  <si>
    <t>OLFPL/19-20/007</t>
  </si>
  <si>
    <t>15-04-2019</t>
  </si>
  <si>
    <t>M TRADERS</t>
  </si>
  <si>
    <t>10-04-2019</t>
  </si>
  <si>
    <t>ATHARVA POLYMERS PRIVATE LIMITED</t>
  </si>
  <si>
    <t>07-04-2019</t>
  </si>
  <si>
    <t>08-04-2019</t>
  </si>
  <si>
    <t>09-04-2019</t>
  </si>
  <si>
    <t>12-04-2019</t>
  </si>
  <si>
    <t>18-04-2019</t>
  </si>
  <si>
    <t>AKZO NOBEL INDIA LIMITED</t>
  </si>
  <si>
    <t>30-04-2019</t>
  </si>
  <si>
    <t>BHARTI AIRTEL LIMITED</t>
  </si>
  <si>
    <t>FM2027I000789675</t>
  </si>
  <si>
    <t>MRF CORP LIMITED</t>
  </si>
  <si>
    <t>9330003671</t>
  </si>
  <si>
    <t>TATA AUTOCOMP SYSTEMS LIMITED</t>
  </si>
  <si>
    <t>04-04-2019</t>
  </si>
  <si>
    <t>19-04-2019</t>
  </si>
  <si>
    <t>21-04-2019</t>
  </si>
  <si>
    <t>24-04-2019</t>
  </si>
  <si>
    <t>27-04-2019</t>
  </si>
  <si>
    <t>AEROAIDS CORPORATION</t>
  </si>
  <si>
    <t>11-04-2019</t>
  </si>
  <si>
    <t>25-04-2019</t>
  </si>
  <si>
    <t>MITTAL PRECISION AUTO COMPS PRIVATE LIMITED</t>
  </si>
  <si>
    <t>192000007</t>
  </si>
  <si>
    <t>192000008</t>
  </si>
  <si>
    <t>192000022</t>
  </si>
  <si>
    <t>192000028</t>
  </si>
  <si>
    <t>192000256</t>
  </si>
  <si>
    <t>192000257</t>
  </si>
  <si>
    <t>192000265</t>
  </si>
  <si>
    <t>192000266</t>
  </si>
  <si>
    <t>192000299</t>
  </si>
  <si>
    <t>192000300</t>
  </si>
  <si>
    <t>192000337</t>
  </si>
  <si>
    <t>192000338</t>
  </si>
  <si>
    <t>192000381</t>
  </si>
  <si>
    <t>192000389</t>
  </si>
  <si>
    <t>192000413</t>
  </si>
  <si>
    <t>13-04-2019</t>
  </si>
  <si>
    <t>192000414</t>
  </si>
  <si>
    <t>192000432</t>
  </si>
  <si>
    <t>192000433</t>
  </si>
  <si>
    <t>192000468</t>
  </si>
  <si>
    <t>16-04-2019</t>
  </si>
  <si>
    <t>192000469</t>
  </si>
  <si>
    <t>192000478</t>
  </si>
  <si>
    <t>192000599</t>
  </si>
  <si>
    <t>192000632</t>
  </si>
  <si>
    <t>20-04-2019</t>
  </si>
  <si>
    <t>192000639</t>
  </si>
  <si>
    <t>192000642</t>
  </si>
  <si>
    <t>192000659</t>
  </si>
  <si>
    <t>22-04-2019</t>
  </si>
  <si>
    <t>192000722</t>
  </si>
  <si>
    <t>23-04-2019</t>
  </si>
  <si>
    <t>192000729</t>
  </si>
  <si>
    <t>192000730</t>
  </si>
  <si>
    <t>192000782</t>
  </si>
  <si>
    <t>192000783</t>
  </si>
  <si>
    <t>192000837</t>
  </si>
  <si>
    <t>26-04-2019</t>
  </si>
  <si>
    <t>192000838</t>
  </si>
  <si>
    <t>192000885</t>
  </si>
  <si>
    <t>28-04-2019</t>
  </si>
  <si>
    <t>192000894</t>
  </si>
  <si>
    <t>192000895</t>
  </si>
  <si>
    <t>192000896</t>
  </si>
  <si>
    <t>192000898</t>
  </si>
  <si>
    <t>MINDA RINDER  PRIVATE LIMITED</t>
  </si>
  <si>
    <t>5510041932</t>
  </si>
  <si>
    <t>5510041933</t>
  </si>
  <si>
    <t>THE COLOUR GALAXY</t>
  </si>
  <si>
    <t>VASANTI JAGDISH KHATRI</t>
  </si>
  <si>
    <t>64</t>
  </si>
  <si>
    <t>INDUSTRIAL TRADING COMPANY</t>
  </si>
  <si>
    <t>B280</t>
  </si>
  <si>
    <t>B481</t>
  </si>
  <si>
    <t>B482</t>
  </si>
  <si>
    <t>B483</t>
  </si>
  <si>
    <t>B484</t>
  </si>
  <si>
    <t>B485</t>
  </si>
  <si>
    <t>TECH FORCE COMPOSITES P LTD</t>
  </si>
  <si>
    <t>19600826</t>
  </si>
  <si>
    <t>SANJAY TOOLS AND ACCESSORIES PVT LTD</t>
  </si>
  <si>
    <t>192000054</t>
  </si>
  <si>
    <t>PREMIER SALES CORPORATION</t>
  </si>
  <si>
    <t>VARROC POLYMERS PRIVATE LIMITED</t>
  </si>
  <si>
    <t>2041211093</t>
  </si>
  <si>
    <t>02-04-2019</t>
  </si>
  <si>
    <t>2041211094</t>
  </si>
  <si>
    <t>2041211095</t>
  </si>
  <si>
    <t>2041211413</t>
  </si>
  <si>
    <t>03-04-2019</t>
  </si>
  <si>
    <t>2041211414</t>
  </si>
  <si>
    <t>2041211984</t>
  </si>
  <si>
    <t>05-04-2019</t>
  </si>
  <si>
    <t>2041211985</t>
  </si>
  <si>
    <t>2041212224</t>
  </si>
  <si>
    <t>2041212225</t>
  </si>
  <si>
    <t>2041213179</t>
  </si>
  <si>
    <t>2041213180</t>
  </si>
  <si>
    <t>2041213946</t>
  </si>
  <si>
    <t>2041213947</t>
  </si>
  <si>
    <t>2041214291</t>
  </si>
  <si>
    <t>2041214292</t>
  </si>
  <si>
    <t>2041214540</t>
  </si>
  <si>
    <t>2041214541</t>
  </si>
  <si>
    <t>2041214653</t>
  </si>
  <si>
    <t>2041214654</t>
  </si>
  <si>
    <t>2041214697</t>
  </si>
  <si>
    <t>2041214698</t>
  </si>
  <si>
    <t>2041214699</t>
  </si>
  <si>
    <t>2041214700</t>
  </si>
  <si>
    <t>2041216299</t>
  </si>
  <si>
    <t>2041216300</t>
  </si>
  <si>
    <t>3205709515</t>
  </si>
  <si>
    <t>3205709528</t>
  </si>
  <si>
    <t>AXALTA COATING SYSTEMS INDIA PRIVATE LIMITED</t>
  </si>
  <si>
    <t>7887981164</t>
  </si>
  <si>
    <t>7887981645</t>
  </si>
  <si>
    <t>7887981646</t>
  </si>
  <si>
    <t>7887981884</t>
  </si>
  <si>
    <t>7887982162</t>
  </si>
  <si>
    <t>7887982163</t>
  </si>
  <si>
    <t>7887982239</t>
  </si>
  <si>
    <t>KANSAI NEROLAC PAINTS LIMITED</t>
  </si>
  <si>
    <t>SUDHAKAR DADASAHEB BHOSALE</t>
  </si>
  <si>
    <t>148</t>
  </si>
  <si>
    <t>204</t>
  </si>
  <si>
    <t>222</t>
  </si>
  <si>
    <t>490</t>
  </si>
  <si>
    <t>AXIS BANK LIMITED</t>
  </si>
  <si>
    <t>ACCURATE INDUSTRIES</t>
  </si>
  <si>
    <t>764</t>
  </si>
  <si>
    <t>902</t>
  </si>
  <si>
    <t>953</t>
  </si>
  <si>
    <t>CHHATRAPATI BUSINESS GROUP</t>
  </si>
  <si>
    <t>1009</t>
  </si>
  <si>
    <t>1038</t>
  </si>
  <si>
    <t>27AACCV1726H1ZE</t>
  </si>
  <si>
    <t>01-05-2019</t>
  </si>
  <si>
    <t>PHOOL RAMKUMAR YADAV</t>
  </si>
  <si>
    <t>19211</t>
  </si>
  <si>
    <t>07-05-2019</t>
  </si>
  <si>
    <t>AMIN ENGINEERS</t>
  </si>
  <si>
    <t>13-05-2019</t>
  </si>
  <si>
    <t>20-05-2019</t>
  </si>
  <si>
    <t>15-05-2019</t>
  </si>
  <si>
    <t>11-05-2019</t>
  </si>
  <si>
    <t>27-05-2019</t>
  </si>
  <si>
    <t>28-05-2019</t>
  </si>
  <si>
    <t>MICRO PLAST</t>
  </si>
  <si>
    <t>1045</t>
  </si>
  <si>
    <t>1130</t>
  </si>
  <si>
    <t>1282</t>
  </si>
  <si>
    <t>1283</t>
  </si>
  <si>
    <t>1309</t>
  </si>
  <si>
    <t>21-05-2019</t>
  </si>
  <si>
    <t>1310</t>
  </si>
  <si>
    <t>1367</t>
  </si>
  <si>
    <t>22-05-2019</t>
  </si>
  <si>
    <t>1458</t>
  </si>
  <si>
    <t>26-05-2019</t>
  </si>
  <si>
    <t>1459</t>
  </si>
  <si>
    <t>1466</t>
  </si>
  <si>
    <t>1496</t>
  </si>
  <si>
    <t>1542</t>
  </si>
  <si>
    <t>29-05-2019</t>
  </si>
  <si>
    <t>1543</t>
  </si>
  <si>
    <t>769</t>
  </si>
  <si>
    <t>02-05-2019</t>
  </si>
  <si>
    <t>770</t>
  </si>
  <si>
    <t>798</t>
  </si>
  <si>
    <t>03-05-2019</t>
  </si>
  <si>
    <t>799</t>
  </si>
  <si>
    <t>836</t>
  </si>
  <si>
    <t>05-05-2019</t>
  </si>
  <si>
    <t>837</t>
  </si>
  <si>
    <t>844</t>
  </si>
  <si>
    <t>872</t>
  </si>
  <si>
    <t>06-05-2019</t>
  </si>
  <si>
    <t>910</t>
  </si>
  <si>
    <t>08-05-2019</t>
  </si>
  <si>
    <t>972</t>
  </si>
  <si>
    <t>10-05-2019</t>
  </si>
  <si>
    <t>FM2027I002228659</t>
  </si>
  <si>
    <t>12-05-2019</t>
  </si>
  <si>
    <t>9330003845</t>
  </si>
  <si>
    <t>25-05-2019</t>
  </si>
  <si>
    <t>MAHARASHTRA ENVIRO POWER LIMITED</t>
  </si>
  <si>
    <t>271000230123</t>
  </si>
  <si>
    <t>05-09-2018</t>
  </si>
  <si>
    <t>MACHINO PLASTICS LTD</t>
  </si>
  <si>
    <t>MPL2/1819/12927</t>
  </si>
  <si>
    <t>POLYPLASTICS INDUSTRIES (INDIA) PRIVATE LIMITED</t>
  </si>
  <si>
    <t>192001039</t>
  </si>
  <si>
    <t>04-05-2019</t>
  </si>
  <si>
    <t>192001040</t>
  </si>
  <si>
    <t>192001047</t>
  </si>
  <si>
    <t>192001048</t>
  </si>
  <si>
    <t>192001080</t>
  </si>
  <si>
    <t>192001093</t>
  </si>
  <si>
    <t>192001122</t>
  </si>
  <si>
    <t>192001123</t>
  </si>
  <si>
    <t>192001205</t>
  </si>
  <si>
    <t>192001206</t>
  </si>
  <si>
    <t>192001245</t>
  </si>
  <si>
    <t>192001246</t>
  </si>
  <si>
    <t>192001263</t>
  </si>
  <si>
    <t>192001264</t>
  </si>
  <si>
    <t>192001297</t>
  </si>
  <si>
    <t>192001300</t>
  </si>
  <si>
    <t>192001312</t>
  </si>
  <si>
    <t>192001386</t>
  </si>
  <si>
    <t>14-05-2019</t>
  </si>
  <si>
    <t>192001388</t>
  </si>
  <si>
    <t>192001415</t>
  </si>
  <si>
    <t>192001416</t>
  </si>
  <si>
    <t>192001438</t>
  </si>
  <si>
    <t>192001439</t>
  </si>
  <si>
    <t>192001490</t>
  </si>
  <si>
    <t>16-05-2019</t>
  </si>
  <si>
    <t>192001491</t>
  </si>
  <si>
    <t>192001583</t>
  </si>
  <si>
    <t>18-05-2019</t>
  </si>
  <si>
    <t>192001586</t>
  </si>
  <si>
    <t>192001630</t>
  </si>
  <si>
    <t>192001631</t>
  </si>
  <si>
    <t>192001682</t>
  </si>
  <si>
    <t>192001689</t>
  </si>
  <si>
    <t>192001690</t>
  </si>
  <si>
    <t>192001691</t>
  </si>
  <si>
    <t>192001808</t>
  </si>
  <si>
    <t>24-05-2019</t>
  </si>
  <si>
    <t>192001809</t>
  </si>
  <si>
    <t>192001824</t>
  </si>
  <si>
    <t>192001825</t>
  </si>
  <si>
    <t>192001853</t>
  </si>
  <si>
    <t>192001854</t>
  </si>
  <si>
    <t>192001866</t>
  </si>
  <si>
    <t>192001867</t>
  </si>
  <si>
    <t>192001898</t>
  </si>
  <si>
    <t>192001932</t>
  </si>
  <si>
    <t>192001933</t>
  </si>
  <si>
    <t>192001968</t>
  </si>
  <si>
    <t>30-05-2019</t>
  </si>
  <si>
    <t>5510045378</t>
  </si>
  <si>
    <t>5510045586</t>
  </si>
  <si>
    <t>5510045698</t>
  </si>
  <si>
    <t>5510045999</t>
  </si>
  <si>
    <t>23-05-2019</t>
  </si>
  <si>
    <t>5510046442</t>
  </si>
  <si>
    <t>5510046539</t>
  </si>
  <si>
    <t>DECKER LOGISTICS PRIVATE LIMITED</t>
  </si>
  <si>
    <t>AI0003</t>
  </si>
  <si>
    <t>DM000347</t>
  </si>
  <si>
    <t>Y</t>
  </si>
  <si>
    <t>B690</t>
  </si>
  <si>
    <t>B894</t>
  </si>
  <si>
    <t>19603865</t>
  </si>
  <si>
    <t>19603866</t>
  </si>
  <si>
    <t>19605190</t>
  </si>
  <si>
    <t>19605297</t>
  </si>
  <si>
    <t>19605541</t>
  </si>
  <si>
    <t>31-05-2019</t>
  </si>
  <si>
    <t>SHASHIKANT NARAYANRAO MARANE DESHMUKH</t>
  </si>
  <si>
    <t>KAMLESH LALCHAND SOLANKI</t>
  </si>
  <si>
    <t>2041218955</t>
  </si>
  <si>
    <t>2041218960</t>
  </si>
  <si>
    <t>7887982494</t>
  </si>
  <si>
    <t>7887982520</t>
  </si>
  <si>
    <t>7887983123</t>
  </si>
  <si>
    <t>17-05-2019</t>
  </si>
  <si>
    <t>7887983227</t>
  </si>
  <si>
    <t>SHUBHAM BIZ FACILITY MANAGEMENT PRIVATE LIMITED</t>
  </si>
  <si>
    <t>575</t>
  </si>
  <si>
    <t>675</t>
  </si>
  <si>
    <t>688</t>
  </si>
  <si>
    <t>755</t>
  </si>
  <si>
    <t>849</t>
  </si>
  <si>
    <t>850</t>
  </si>
  <si>
    <t>975</t>
  </si>
  <si>
    <t>FIN2005190753037</t>
  </si>
  <si>
    <t>1419</t>
  </si>
  <si>
    <t>1481</t>
  </si>
  <si>
    <t>1573</t>
  </si>
  <si>
    <t>1683</t>
  </si>
  <si>
    <t>1703</t>
  </si>
  <si>
    <t>1771</t>
  </si>
  <si>
    <t>1881</t>
  </si>
  <si>
    <t>1957</t>
  </si>
  <si>
    <t>2007</t>
  </si>
  <si>
    <t>2035</t>
  </si>
  <si>
    <t>2094</t>
  </si>
  <si>
    <t>2135</t>
  </si>
  <si>
    <t>SANJAY EKNATH KINAGE</t>
  </si>
  <si>
    <t>668</t>
  </si>
  <si>
    <t>05-06-2019</t>
  </si>
  <si>
    <t>01-06-2019</t>
  </si>
  <si>
    <t>15-06-2019</t>
  </si>
  <si>
    <t>ARUNDHTI RAJESHWAR DESHMUKH</t>
  </si>
  <si>
    <t>21-06-2019</t>
  </si>
  <si>
    <t>26-06-2019</t>
  </si>
  <si>
    <t>YOHAN ANAND HALLI</t>
  </si>
  <si>
    <t>81</t>
  </si>
  <si>
    <t>MASTER PRESSING WORKS</t>
  </si>
  <si>
    <t>24-06-2019</t>
  </si>
  <si>
    <t>03-06-2019</t>
  </si>
  <si>
    <t>07-06-2019</t>
  </si>
  <si>
    <t>18-06-2019</t>
  </si>
  <si>
    <t>1602</t>
  </si>
  <si>
    <t>1603</t>
  </si>
  <si>
    <t>1616</t>
  </si>
  <si>
    <t>1634</t>
  </si>
  <si>
    <t>1635</t>
  </si>
  <si>
    <t>1698</t>
  </si>
  <si>
    <t>1699</t>
  </si>
  <si>
    <t>1715</t>
  </si>
  <si>
    <t>06-06-2019</t>
  </si>
  <si>
    <t>1801</t>
  </si>
  <si>
    <t>11-06-2019</t>
  </si>
  <si>
    <t>1802</t>
  </si>
  <si>
    <t>1883</t>
  </si>
  <si>
    <t>12-06-2019</t>
  </si>
  <si>
    <t>1891</t>
  </si>
  <si>
    <t>13-06-2019</t>
  </si>
  <si>
    <t>1999</t>
  </si>
  <si>
    <t>2000</t>
  </si>
  <si>
    <t>2205</t>
  </si>
  <si>
    <t>22-06-2019</t>
  </si>
  <si>
    <t>SK ENTERPRISES</t>
  </si>
  <si>
    <t>080</t>
  </si>
  <si>
    <t>SWAPNIL VANA MAHAJAN</t>
  </si>
  <si>
    <t>9330003913</t>
  </si>
  <si>
    <t>9330003918</t>
  </si>
  <si>
    <t>14-06-2019</t>
  </si>
  <si>
    <t>330219003574</t>
  </si>
  <si>
    <t>17-06-2019</t>
  </si>
  <si>
    <t>25-06-2019</t>
  </si>
  <si>
    <t>SANDESH BHARAT SHAH</t>
  </si>
  <si>
    <t>10-06-2019</t>
  </si>
  <si>
    <t>7888007473</t>
  </si>
  <si>
    <t>04-06-2019</t>
  </si>
  <si>
    <t>7888008096</t>
  </si>
  <si>
    <t>7888008265</t>
  </si>
  <si>
    <t>7888008462</t>
  </si>
  <si>
    <t>20-06-2019</t>
  </si>
  <si>
    <t>7888008632</t>
  </si>
  <si>
    <t>DATTATARYA JAGNNATH JAGTAP</t>
  </si>
  <si>
    <t>4635</t>
  </si>
  <si>
    <t>4666</t>
  </si>
  <si>
    <t>4723</t>
  </si>
  <si>
    <t>4766</t>
  </si>
  <si>
    <t>19-06-2019</t>
  </si>
  <si>
    <t>192002118</t>
  </si>
  <si>
    <t>192002119</t>
  </si>
  <si>
    <t>192002128</t>
  </si>
  <si>
    <t>192002129</t>
  </si>
  <si>
    <t>192002136</t>
  </si>
  <si>
    <t>192002146</t>
  </si>
  <si>
    <t>192002177</t>
  </si>
  <si>
    <t>192002178</t>
  </si>
  <si>
    <t>192002478</t>
  </si>
  <si>
    <t>192002479</t>
  </si>
  <si>
    <t>192002521</t>
  </si>
  <si>
    <t>192002522</t>
  </si>
  <si>
    <t>192002537</t>
  </si>
  <si>
    <t>192002538</t>
  </si>
  <si>
    <t>192002539</t>
  </si>
  <si>
    <t>192002627</t>
  </si>
  <si>
    <t>192002628</t>
  </si>
  <si>
    <t>192002650</t>
  </si>
  <si>
    <t>192002657</t>
  </si>
  <si>
    <t>192002692</t>
  </si>
  <si>
    <t>192002699</t>
  </si>
  <si>
    <t>192002816</t>
  </si>
  <si>
    <t>192002834</t>
  </si>
  <si>
    <t>192002894</t>
  </si>
  <si>
    <t>192002900</t>
  </si>
  <si>
    <t>192002925</t>
  </si>
  <si>
    <t>27-06-2019</t>
  </si>
  <si>
    <t>192002936</t>
  </si>
  <si>
    <t>192002988</t>
  </si>
  <si>
    <t>29-06-2019</t>
  </si>
  <si>
    <t>192003004</t>
  </si>
  <si>
    <t>5510047957</t>
  </si>
  <si>
    <t>5510048179</t>
  </si>
  <si>
    <t>5510048530</t>
  </si>
  <si>
    <t>5510048564</t>
  </si>
  <si>
    <t>5510048900</t>
  </si>
  <si>
    <t>5510049069</t>
  </si>
  <si>
    <t>5510049340</t>
  </si>
  <si>
    <t>5510049676</t>
  </si>
  <si>
    <t>5510049947</t>
  </si>
  <si>
    <t>28-06-2019</t>
  </si>
  <si>
    <t>5510050108</t>
  </si>
  <si>
    <t>PRICOL LIMITED</t>
  </si>
  <si>
    <t>2400000895</t>
  </si>
  <si>
    <t>2400001141</t>
  </si>
  <si>
    <t>ANAND RAJESHWAR DESHMUKH</t>
  </si>
  <si>
    <t>AWP/18-19/625</t>
  </si>
  <si>
    <t>27AAKCA7375F1ZE</t>
  </si>
  <si>
    <t>AXPRESS LOGISTICS INDIA PRIVATE LIMITED</t>
  </si>
  <si>
    <t>1927302346</t>
  </si>
  <si>
    <t>414</t>
  </si>
  <si>
    <t>JAYKUMAR MANGILAL NAGORI</t>
  </si>
  <si>
    <t>19606306</t>
  </si>
  <si>
    <t>19606798</t>
  </si>
  <si>
    <t>19606799</t>
  </si>
  <si>
    <t>19607357</t>
  </si>
  <si>
    <t>19608078</t>
  </si>
  <si>
    <t>7887983839</t>
  </si>
  <si>
    <t>7887983907</t>
  </si>
  <si>
    <t>7887983908</t>
  </si>
  <si>
    <t>7887984181</t>
  </si>
  <si>
    <t>7887984262</t>
  </si>
  <si>
    <t>08-06-2019</t>
  </si>
  <si>
    <t>7887984424</t>
  </si>
  <si>
    <t>7887984587</t>
  </si>
  <si>
    <t>7887984630</t>
  </si>
  <si>
    <t>7887984631</t>
  </si>
  <si>
    <t>7887984827</t>
  </si>
  <si>
    <t>7887984925</t>
  </si>
  <si>
    <t>7887984955</t>
  </si>
  <si>
    <t>7887985095</t>
  </si>
  <si>
    <t>DEEPAK KUNDLIK GADSING</t>
  </si>
  <si>
    <t>G0217</t>
  </si>
  <si>
    <t>MOHAN KISANLAL AGARWAL</t>
  </si>
  <si>
    <t>0020</t>
  </si>
  <si>
    <t>SHANKAR PANDHARINATH GHOLAP</t>
  </si>
  <si>
    <t>SS/19-20/00251</t>
  </si>
  <si>
    <t>1105</t>
  </si>
  <si>
    <t>1325</t>
  </si>
  <si>
    <t>1348</t>
  </si>
  <si>
    <t>16-06-2019</t>
  </si>
  <si>
    <t>1557</t>
  </si>
  <si>
    <t>1601</t>
  </si>
  <si>
    <t>FIN2006191453869</t>
  </si>
  <si>
    <t>VARROC ENGINEERING LIMITED</t>
  </si>
  <si>
    <t>2240087224</t>
  </si>
  <si>
    <t>2240087225</t>
  </si>
  <si>
    <t>MURLI JETHANAND JURIASINGHANI</t>
  </si>
  <si>
    <t>2190</t>
  </si>
  <si>
    <t>2217</t>
  </si>
  <si>
    <t>2245</t>
  </si>
  <si>
    <t>2279</t>
  </si>
  <si>
    <t>2280</t>
  </si>
  <si>
    <t>2294</t>
  </si>
  <si>
    <t>2326</t>
  </si>
  <si>
    <t>2335</t>
  </si>
  <si>
    <t>2351</t>
  </si>
  <si>
    <t>2393</t>
  </si>
  <si>
    <t>2413</t>
  </si>
  <si>
    <t>2454</t>
  </si>
  <si>
    <t>2471</t>
  </si>
  <si>
    <t>2522</t>
  </si>
  <si>
    <t>2555</t>
  </si>
  <si>
    <t>2570</t>
  </si>
  <si>
    <t>2586</t>
  </si>
  <si>
    <t>2593</t>
  </si>
  <si>
    <t>2616</t>
  </si>
  <si>
    <t>2627</t>
  </si>
  <si>
    <t>2642</t>
  </si>
  <si>
    <t>2655</t>
  </si>
  <si>
    <t>2676</t>
  </si>
  <si>
    <t>2699</t>
  </si>
  <si>
    <t>2737</t>
  </si>
  <si>
    <t>2757</t>
  </si>
  <si>
    <t>2783</t>
  </si>
  <si>
    <t>2805</t>
  </si>
  <si>
    <t>2817</t>
  </si>
  <si>
    <t>2837</t>
  </si>
  <si>
    <t>2854</t>
  </si>
  <si>
    <t>2870</t>
  </si>
  <si>
    <t>2898</t>
  </si>
  <si>
    <t>2912</t>
  </si>
  <si>
    <t>2920</t>
  </si>
  <si>
    <t>2926</t>
  </si>
  <si>
    <t>2960</t>
  </si>
  <si>
    <t>2969</t>
  </si>
  <si>
    <t>2983</t>
  </si>
  <si>
    <t>2994</t>
  </si>
  <si>
    <t>3008</t>
  </si>
  <si>
    <t>3024</t>
  </si>
  <si>
    <t>3033</t>
  </si>
  <si>
    <t>3067</t>
  </si>
  <si>
    <t>3109</t>
  </si>
  <si>
    <t>3135</t>
  </si>
  <si>
    <t>3150</t>
  </si>
  <si>
    <t>3184</t>
  </si>
  <si>
    <t>3207</t>
  </si>
  <si>
    <t>3221</t>
  </si>
  <si>
    <t>3222</t>
  </si>
  <si>
    <t>3238</t>
  </si>
  <si>
    <t>23-06-2019</t>
  </si>
  <si>
    <t>3268</t>
  </si>
  <si>
    <t>3309</t>
  </si>
  <si>
    <t>3370</t>
  </si>
  <si>
    <t>3410</t>
  </si>
  <si>
    <t>3438</t>
  </si>
  <si>
    <t>3445</t>
  </si>
  <si>
    <t>3494</t>
  </si>
  <si>
    <t>3495</t>
  </si>
  <si>
    <t>3499</t>
  </si>
  <si>
    <t>3554</t>
  </si>
  <si>
    <t>3555</t>
  </si>
  <si>
    <t>3597</t>
  </si>
  <si>
    <t>1111</t>
  </si>
  <si>
    <t>19618</t>
  </si>
  <si>
    <t>15-07-2019</t>
  </si>
  <si>
    <t>JOSSY  JOSE</t>
  </si>
  <si>
    <t>28-07-2019</t>
  </si>
  <si>
    <t>18-07-2019</t>
  </si>
  <si>
    <t>29-07-2019</t>
  </si>
  <si>
    <t>01-07-2019</t>
  </si>
  <si>
    <t>SANJAY VASANT KULKARNI</t>
  </si>
  <si>
    <t>20190299</t>
  </si>
  <si>
    <t>23-07-2019</t>
  </si>
  <si>
    <t>11-07-2019</t>
  </si>
  <si>
    <t>20-07-2019</t>
  </si>
  <si>
    <t>I749210064</t>
  </si>
  <si>
    <t>12-07-2019</t>
  </si>
  <si>
    <t>I749210099</t>
  </si>
  <si>
    <t>05-07-2019</t>
  </si>
  <si>
    <t>I749210116</t>
  </si>
  <si>
    <t>17-07-2019</t>
  </si>
  <si>
    <t>I749210117</t>
  </si>
  <si>
    <t>I749210170</t>
  </si>
  <si>
    <t>22-07-2019</t>
  </si>
  <si>
    <t>I749210248</t>
  </si>
  <si>
    <t>27-07-2019</t>
  </si>
  <si>
    <t>2443</t>
  </si>
  <si>
    <t>2444</t>
  </si>
  <si>
    <t>2476</t>
  </si>
  <si>
    <t>02-07-2019</t>
  </si>
  <si>
    <t>2506</t>
  </si>
  <si>
    <t>03-07-2019</t>
  </si>
  <si>
    <t>2623</t>
  </si>
  <si>
    <t>08-07-2019</t>
  </si>
  <si>
    <t>2624</t>
  </si>
  <si>
    <t>2646</t>
  </si>
  <si>
    <t>09-07-2019</t>
  </si>
  <si>
    <t>2647</t>
  </si>
  <si>
    <t>2688</t>
  </si>
  <si>
    <t>10-07-2019</t>
  </si>
  <si>
    <t>2738</t>
  </si>
  <si>
    <t>2891</t>
  </si>
  <si>
    <t>2892</t>
  </si>
  <si>
    <t>3005</t>
  </si>
  <si>
    <t>3143</t>
  </si>
  <si>
    <t>26-07-2019</t>
  </si>
  <si>
    <t>9330003981</t>
  </si>
  <si>
    <t>9330004011</t>
  </si>
  <si>
    <t>13-07-2019</t>
  </si>
  <si>
    <t>9330004013</t>
  </si>
  <si>
    <t>04-07-2019</t>
  </si>
  <si>
    <t>19-07-2019</t>
  </si>
  <si>
    <t>24-07-2019</t>
  </si>
  <si>
    <t>UNITED INDIA INSURANCE COMPANY LIMITED</t>
  </si>
  <si>
    <t>1119I105171163</t>
  </si>
  <si>
    <t>MPL2/19-20/21768</t>
  </si>
  <si>
    <t>192003070</t>
  </si>
  <si>
    <t>192003071</t>
  </si>
  <si>
    <t>192003074</t>
  </si>
  <si>
    <t>192003095</t>
  </si>
  <si>
    <t>192003228</t>
  </si>
  <si>
    <t>192003248</t>
  </si>
  <si>
    <t>192003339</t>
  </si>
  <si>
    <t>192003342</t>
  </si>
  <si>
    <t>192003423</t>
  </si>
  <si>
    <t>192003431</t>
  </si>
  <si>
    <t>192003475</t>
  </si>
  <si>
    <t>192003483</t>
  </si>
  <si>
    <t>192003516</t>
  </si>
  <si>
    <t>192003521</t>
  </si>
  <si>
    <t>192003561</t>
  </si>
  <si>
    <t>192003562</t>
  </si>
  <si>
    <t>192003604</t>
  </si>
  <si>
    <t>192003609</t>
  </si>
  <si>
    <t>192003656</t>
  </si>
  <si>
    <t>16-07-2019</t>
  </si>
  <si>
    <t>192003657</t>
  </si>
  <si>
    <t>192003723</t>
  </si>
  <si>
    <t>192003724</t>
  </si>
  <si>
    <t>192003731</t>
  </si>
  <si>
    <t>192003821</t>
  </si>
  <si>
    <t>192003822</t>
  </si>
  <si>
    <t>192003867</t>
  </si>
  <si>
    <t>192003879</t>
  </si>
  <si>
    <t>192003935</t>
  </si>
  <si>
    <t>192003936</t>
  </si>
  <si>
    <t>192003945</t>
  </si>
  <si>
    <t>192003998</t>
  </si>
  <si>
    <t>192004008</t>
  </si>
  <si>
    <t>192004011</t>
  </si>
  <si>
    <t>192004047</t>
  </si>
  <si>
    <t>192004048</t>
  </si>
  <si>
    <t>192004075</t>
  </si>
  <si>
    <t>192004084</t>
  </si>
  <si>
    <t>192004130</t>
  </si>
  <si>
    <t>30-07-2019</t>
  </si>
  <si>
    <t>192004133</t>
  </si>
  <si>
    <t>192004135</t>
  </si>
  <si>
    <t>5510050272</t>
  </si>
  <si>
    <t>5510050623</t>
  </si>
  <si>
    <t>5510050742</t>
  </si>
  <si>
    <t>5510050883</t>
  </si>
  <si>
    <t>06-07-2019</t>
  </si>
  <si>
    <t>5510050976</t>
  </si>
  <si>
    <t>5510051227</t>
  </si>
  <si>
    <t>5510051400</t>
  </si>
  <si>
    <t>5510051510</t>
  </si>
  <si>
    <t>5510051662</t>
  </si>
  <si>
    <t>5510051791</t>
  </si>
  <si>
    <t>5510052123</t>
  </si>
  <si>
    <t>5510052433</t>
  </si>
  <si>
    <t>5510052777</t>
  </si>
  <si>
    <t>5510053030</t>
  </si>
  <si>
    <t>5510053236</t>
  </si>
  <si>
    <t>31-07-2019</t>
  </si>
  <si>
    <t>BK05000184</t>
  </si>
  <si>
    <t>BK05000185</t>
  </si>
  <si>
    <t>BK05000210</t>
  </si>
  <si>
    <t>BK05000286</t>
  </si>
  <si>
    <t>VINOD PANDURANG KHOCHARE</t>
  </si>
  <si>
    <t>1927303644</t>
  </si>
  <si>
    <t>Not Submitted</t>
  </si>
  <si>
    <t>19608702</t>
  </si>
  <si>
    <t>19612307</t>
  </si>
  <si>
    <t>7887985414</t>
  </si>
  <si>
    <t>7887985415</t>
  </si>
  <si>
    <t>7887985416</t>
  </si>
  <si>
    <t>7887985472</t>
  </si>
  <si>
    <t>7887985722</t>
  </si>
  <si>
    <t>7887985820</t>
  </si>
  <si>
    <t>7887985906</t>
  </si>
  <si>
    <t>7887985907</t>
  </si>
  <si>
    <t>7887985942</t>
  </si>
  <si>
    <t>7887986510</t>
  </si>
  <si>
    <t>7887986512</t>
  </si>
  <si>
    <t>7887986513</t>
  </si>
  <si>
    <t>7887986552</t>
  </si>
  <si>
    <t>7887986596</t>
  </si>
  <si>
    <t>25-07-2019</t>
  </si>
  <si>
    <t>EXERGON CHEMICAL (MFG) COMPANY</t>
  </si>
  <si>
    <t>TALLY (INDIA) PRIVATE LIMITED</t>
  </si>
  <si>
    <t>I/O/034847/19-20</t>
  </si>
  <si>
    <t>1671</t>
  </si>
  <si>
    <t>1686</t>
  </si>
  <si>
    <t>1716</t>
  </si>
  <si>
    <t>1797</t>
  </si>
  <si>
    <t>07-07-2019</t>
  </si>
  <si>
    <t>1798</t>
  </si>
  <si>
    <t>1849</t>
  </si>
  <si>
    <t>1923</t>
  </si>
  <si>
    <t>1934</t>
  </si>
  <si>
    <t>14-07-2019</t>
  </si>
  <si>
    <t>2028</t>
  </si>
  <si>
    <t>FIN2307197843956</t>
  </si>
  <si>
    <t>2240094439</t>
  </si>
  <si>
    <t>2240094440</t>
  </si>
  <si>
    <t>GOLD LINE ENGINEERING</t>
  </si>
  <si>
    <t>10033</t>
  </si>
  <si>
    <t>10074</t>
  </si>
  <si>
    <t>10102</t>
  </si>
  <si>
    <t>10108</t>
  </si>
  <si>
    <t>3633</t>
  </si>
  <si>
    <t>3655</t>
  </si>
  <si>
    <t>3681</t>
  </si>
  <si>
    <t>3682</t>
  </si>
  <si>
    <t>3719</t>
  </si>
  <si>
    <t>3745</t>
  </si>
  <si>
    <t>3770</t>
  </si>
  <si>
    <t>3804</t>
  </si>
  <si>
    <t>3875</t>
  </si>
  <si>
    <t>3911</t>
  </si>
  <si>
    <t>3974</t>
  </si>
  <si>
    <t>4007</t>
  </si>
  <si>
    <t>4042</t>
  </si>
  <si>
    <t>4103</t>
  </si>
  <si>
    <t>4116</t>
  </si>
  <si>
    <t>4186</t>
  </si>
  <si>
    <t>4230</t>
  </si>
  <si>
    <t>4254</t>
  </si>
  <si>
    <t>4301</t>
  </si>
  <si>
    <t>4330</t>
  </si>
  <si>
    <t>4371</t>
  </si>
  <si>
    <t>4417</t>
  </si>
  <si>
    <t>4445</t>
  </si>
  <si>
    <t>4489</t>
  </si>
  <si>
    <t>4510</t>
  </si>
  <si>
    <t>4559</t>
  </si>
  <si>
    <t>4573</t>
  </si>
  <si>
    <t>4597</t>
  </si>
  <si>
    <t>4613</t>
  </si>
  <si>
    <t>4678</t>
  </si>
  <si>
    <t>4693</t>
  </si>
  <si>
    <t>4731</t>
  </si>
  <si>
    <t>4735</t>
  </si>
  <si>
    <t>4762</t>
  </si>
  <si>
    <t>4812</t>
  </si>
  <si>
    <t>4866</t>
  </si>
  <si>
    <t>4919</t>
  </si>
  <si>
    <t>4961</t>
  </si>
  <si>
    <t>4979</t>
  </si>
  <si>
    <t>5040A</t>
  </si>
  <si>
    <t>5070A</t>
  </si>
  <si>
    <t>10301920</t>
  </si>
  <si>
    <t>10311920</t>
  </si>
  <si>
    <t>M51931501383</t>
  </si>
  <si>
    <t>M51931501386</t>
  </si>
  <si>
    <t>Type of inward supply</t>
  </si>
  <si>
    <t>Document Type</t>
  </si>
  <si>
    <t>Place of
 Supply</t>
  </si>
  <si>
    <t>Differential % of Tax Rate*</t>
  </si>
  <si>
    <t>Supply Covered Under Sec 7 of IGST Act*</t>
  </si>
  <si>
    <t>Type OF Supply</t>
  </si>
  <si>
    <t>No</t>
  </si>
  <si>
    <t>Inter-State</t>
  </si>
  <si>
    <t>Intra-State</t>
  </si>
  <si>
    <t>SHOE</t>
  </si>
  <si>
    <t>LINT FREE</t>
  </si>
  <si>
    <t>RCB</t>
  </si>
  <si>
    <t>PASS</t>
  </si>
  <si>
    <t>GIFT BOX</t>
  </si>
  <si>
    <t>XEROX PEPAR</t>
  </si>
  <si>
    <t>RCM Output</t>
  </si>
  <si>
    <t>Rule 42 &amp;43</t>
  </si>
  <si>
    <t>Section-17</t>
  </si>
  <si>
    <t>Credit Utilized In IGST</t>
  </si>
  <si>
    <t>Total sales /purchase diffrance</t>
  </si>
  <si>
    <t xml:space="preserve">Total Purchase After Debit note /credit note  </t>
  </si>
  <si>
    <t xml:space="preserve">Total purchase before Debit/Credit Note </t>
  </si>
  <si>
    <t>DEEM EXP. WREFUND</t>
  </si>
  <si>
    <t>DEEM EXP. WOREFUND</t>
  </si>
  <si>
    <t>Your Reconciliation is Ready</t>
  </si>
  <si>
    <t>Differece between Govt Portal Data and Client (Our) Data</t>
  </si>
  <si>
    <t>S.NO.</t>
  </si>
  <si>
    <t>Name of Supplier</t>
  </si>
  <si>
    <t>GSTN NO.</t>
  </si>
  <si>
    <t>As per Client Records</t>
  </si>
  <si>
    <t>As per Government Portal</t>
  </si>
  <si>
    <t>Remarks</t>
  </si>
  <si>
    <t>VIDYA AMIT NAREGALKAR</t>
  </si>
  <si>
    <t>27AHYPN4375L1ZB</t>
  </si>
  <si>
    <t>SS/19-20/00710</t>
  </si>
  <si>
    <t>L271114196</t>
  </si>
  <si>
    <t>L271114198</t>
  </si>
  <si>
    <t>L271126534</t>
  </si>
  <si>
    <t>SHRUJAL CHEM PRIVATE LIMITED</t>
  </si>
  <si>
    <t>000083</t>
  </si>
  <si>
    <t>000148</t>
  </si>
  <si>
    <t>09-05-2019</t>
  </si>
  <si>
    <t>000189</t>
  </si>
  <si>
    <t>000217</t>
  </si>
  <si>
    <t>SHRIDHAR MARUTI KAMBLE</t>
  </si>
  <si>
    <t>10</t>
  </si>
  <si>
    <t>9</t>
  </si>
  <si>
    <t>000251</t>
  </si>
  <si>
    <t>000336</t>
  </si>
  <si>
    <t>000349</t>
  </si>
  <si>
    <t>ROHIT VILAS BHAVSAR</t>
  </si>
  <si>
    <t>PANKAJ KISHOR SHAH</t>
  </si>
  <si>
    <t>1678/19</t>
  </si>
  <si>
    <t>19-08-2019</t>
  </si>
  <si>
    <t>SAGAR JANARDAN DESHPANDE</t>
  </si>
  <si>
    <t>12-08-2019</t>
  </si>
  <si>
    <t>01-08-2019</t>
  </si>
  <si>
    <t>15-08-2019</t>
  </si>
  <si>
    <t>BK05000497</t>
  </si>
  <si>
    <t>30-08-2019</t>
  </si>
  <si>
    <t>RESHMA RAJESH JAIN</t>
  </si>
  <si>
    <t>17-08-2019</t>
  </si>
  <si>
    <t>19614537</t>
  </si>
  <si>
    <t>10-08-2019</t>
  </si>
  <si>
    <t>19615596</t>
  </si>
  <si>
    <t>28-08-2019</t>
  </si>
  <si>
    <t>19615597</t>
  </si>
  <si>
    <t>07-08-2019</t>
  </si>
  <si>
    <t>09-08-2019</t>
  </si>
  <si>
    <t>18-08-2019</t>
  </si>
  <si>
    <t>20-08-2019</t>
  </si>
  <si>
    <t>3378</t>
  </si>
  <si>
    <t>05-08-2019</t>
  </si>
  <si>
    <t>3379</t>
  </si>
  <si>
    <t>3403</t>
  </si>
  <si>
    <t>06-08-2019</t>
  </si>
  <si>
    <t>3534</t>
  </si>
  <si>
    <t>3535</t>
  </si>
  <si>
    <t>3630</t>
  </si>
  <si>
    <t>16-08-2019</t>
  </si>
  <si>
    <t>7887986921</t>
  </si>
  <si>
    <t>02-08-2019</t>
  </si>
  <si>
    <t>7887986922</t>
  </si>
  <si>
    <t>7887987024</t>
  </si>
  <si>
    <t>7887987194</t>
  </si>
  <si>
    <t>08-08-2019</t>
  </si>
  <si>
    <t>7887987202</t>
  </si>
  <si>
    <t>7887987203</t>
  </si>
  <si>
    <t>7887987272</t>
  </si>
  <si>
    <t>7887987274</t>
  </si>
  <si>
    <t>7887987825</t>
  </si>
  <si>
    <t>VINAYAK MADHUKAR THAKAR</t>
  </si>
  <si>
    <t>59/19-20</t>
  </si>
  <si>
    <t>SI2040052840</t>
  </si>
  <si>
    <t>SI2040052841</t>
  </si>
  <si>
    <t>13-08-2019</t>
  </si>
  <si>
    <t>21-08-2019</t>
  </si>
  <si>
    <t>26-08-2019</t>
  </si>
  <si>
    <t>27-08-2019</t>
  </si>
  <si>
    <t>KISHORE MOHANDAS JHANGYANI</t>
  </si>
  <si>
    <t>23-08-2019</t>
  </si>
  <si>
    <t>KEDAR BALASAHEB JADHAV</t>
  </si>
  <si>
    <t>31-08-2019</t>
  </si>
  <si>
    <t>2345</t>
  </si>
  <si>
    <t>2432</t>
  </si>
  <si>
    <t>14-08-2019</t>
  </si>
  <si>
    <t>2481</t>
  </si>
  <si>
    <t>2482</t>
  </si>
  <si>
    <t>FIN2008196842511</t>
  </si>
  <si>
    <t>192004302</t>
  </si>
  <si>
    <t>03-08-2019</t>
  </si>
  <si>
    <t>192004303</t>
  </si>
  <si>
    <t>192004304</t>
  </si>
  <si>
    <t>192004305</t>
  </si>
  <si>
    <t>192004325</t>
  </si>
  <si>
    <t>192004326</t>
  </si>
  <si>
    <t>192004348</t>
  </si>
  <si>
    <t>192004349</t>
  </si>
  <si>
    <t>192004372</t>
  </si>
  <si>
    <t>192004373</t>
  </si>
  <si>
    <t>192004424</t>
  </si>
  <si>
    <t>192004425</t>
  </si>
  <si>
    <t>192004478</t>
  </si>
  <si>
    <t>192004510</t>
  </si>
  <si>
    <t>192004568</t>
  </si>
  <si>
    <t>192004569</t>
  </si>
  <si>
    <t>192004584</t>
  </si>
  <si>
    <t>192004598</t>
  </si>
  <si>
    <t>192004694</t>
  </si>
  <si>
    <t>192004710</t>
  </si>
  <si>
    <t>192004763</t>
  </si>
  <si>
    <t>22-08-2019</t>
  </si>
  <si>
    <t>192004764</t>
  </si>
  <si>
    <t>192004831</t>
  </si>
  <si>
    <t>24-08-2019</t>
  </si>
  <si>
    <t>192004896</t>
  </si>
  <si>
    <t>192004897</t>
  </si>
  <si>
    <t>192004925</t>
  </si>
  <si>
    <t>29-08-2019</t>
  </si>
  <si>
    <t>192004944</t>
  </si>
  <si>
    <t>192004977</t>
  </si>
  <si>
    <t>192004980</t>
  </si>
  <si>
    <t>5510053426</t>
  </si>
  <si>
    <t>5510053571</t>
  </si>
  <si>
    <t>5510053896</t>
  </si>
  <si>
    <t>5510054124</t>
  </si>
  <si>
    <t>5510054414</t>
  </si>
  <si>
    <t>5510054545</t>
  </si>
  <si>
    <t>5510055946</t>
  </si>
  <si>
    <t>10152</t>
  </si>
  <si>
    <t>10193</t>
  </si>
  <si>
    <t>10254</t>
  </si>
  <si>
    <t>10270</t>
  </si>
  <si>
    <t>10383</t>
  </si>
  <si>
    <t>10451</t>
  </si>
  <si>
    <t>10541</t>
  </si>
  <si>
    <t>10565</t>
  </si>
  <si>
    <t>10608</t>
  </si>
  <si>
    <t>10652</t>
  </si>
  <si>
    <t>10709</t>
  </si>
  <si>
    <t>10752</t>
  </si>
  <si>
    <t>10795</t>
  </si>
  <si>
    <t>10844</t>
  </si>
  <si>
    <t>10847</t>
  </si>
  <si>
    <t>10896</t>
  </si>
  <si>
    <t>10944</t>
  </si>
  <si>
    <t>10970</t>
  </si>
  <si>
    <t>11017</t>
  </si>
  <si>
    <t>11071</t>
  </si>
  <si>
    <t>11116</t>
  </si>
  <si>
    <t>11130</t>
  </si>
  <si>
    <t>11170</t>
  </si>
  <si>
    <t>11211</t>
  </si>
  <si>
    <t>11229</t>
  </si>
  <si>
    <t>11274</t>
  </si>
  <si>
    <t>11318</t>
  </si>
  <si>
    <t>11334</t>
  </si>
  <si>
    <t>11413</t>
  </si>
  <si>
    <t>11470</t>
  </si>
  <si>
    <t>SIGMA AIR FILTERS</t>
  </si>
  <si>
    <t>186</t>
  </si>
  <si>
    <t>14-09-2019</t>
  </si>
  <si>
    <t>PATPERT TEKNOW SYSTEMS PRIVATE LIMITED</t>
  </si>
  <si>
    <t>PTSPL/1920/017</t>
  </si>
  <si>
    <t>24-09-2019</t>
  </si>
  <si>
    <t>27BUYPS7254K1ZG</t>
  </si>
  <si>
    <t>DASTGIR AKBAR SHIKALGAR</t>
  </si>
  <si>
    <t>80</t>
  </si>
  <si>
    <t>01-09-2019</t>
  </si>
  <si>
    <t>15-09-2019</t>
  </si>
  <si>
    <t>475</t>
  </si>
  <si>
    <t>23-09-2019</t>
  </si>
  <si>
    <t>SWAPNIL BHASKAR BAGUL</t>
  </si>
  <si>
    <t>604</t>
  </si>
  <si>
    <t>765</t>
  </si>
  <si>
    <t>27-09-2019</t>
  </si>
  <si>
    <t>I749210770</t>
  </si>
  <si>
    <t>10-09-2019</t>
  </si>
  <si>
    <t>3933</t>
  </si>
  <si>
    <t>03-09-2019</t>
  </si>
  <si>
    <t>3946</t>
  </si>
  <si>
    <t>04-09-2019</t>
  </si>
  <si>
    <t>3947</t>
  </si>
  <si>
    <t>4037</t>
  </si>
  <si>
    <t>09-09-2019</t>
  </si>
  <si>
    <t>4038</t>
  </si>
  <si>
    <t>4080</t>
  </si>
  <si>
    <t>4081</t>
  </si>
  <si>
    <t>4110</t>
  </si>
  <si>
    <t>12-09-2019</t>
  </si>
  <si>
    <t>4211</t>
  </si>
  <si>
    <t>18-09-2019</t>
  </si>
  <si>
    <t>4341</t>
  </si>
  <si>
    <t>4342</t>
  </si>
  <si>
    <t>9330004249</t>
  </si>
  <si>
    <t>20-09-2019</t>
  </si>
  <si>
    <t>11-09-2019</t>
  </si>
  <si>
    <t>13-09-2019</t>
  </si>
  <si>
    <t>19-09-2019</t>
  </si>
  <si>
    <t>26-09-2019</t>
  </si>
  <si>
    <t>PRATIBHA SHIVANAND PATIL</t>
  </si>
  <si>
    <t>SSQA-1920-021</t>
  </si>
  <si>
    <t>CR-4922</t>
  </si>
  <si>
    <t>CR-5066</t>
  </si>
  <si>
    <t>21-09-2019</t>
  </si>
  <si>
    <t>192005039</t>
  </si>
  <si>
    <t>192005044</t>
  </si>
  <si>
    <t>192005218</t>
  </si>
  <si>
    <t>192005223</t>
  </si>
  <si>
    <t>192005357</t>
  </si>
  <si>
    <t>17-09-2019</t>
  </si>
  <si>
    <t>192005358</t>
  </si>
  <si>
    <t>192005549</t>
  </si>
  <si>
    <t>192005570</t>
  </si>
  <si>
    <t>192005603</t>
  </si>
  <si>
    <t>25-09-2019</t>
  </si>
  <si>
    <t>192005638</t>
  </si>
  <si>
    <t>5510057272</t>
  </si>
  <si>
    <t>5510057326</t>
  </si>
  <si>
    <t>5510057379</t>
  </si>
  <si>
    <t>5510058092</t>
  </si>
  <si>
    <t>5510058228</t>
  </si>
  <si>
    <t>28-09-2019</t>
  </si>
  <si>
    <t>AI0016</t>
  </si>
  <si>
    <t>30-09-2019</t>
  </si>
  <si>
    <t>ASLAM JAFFAR BAIG</t>
  </si>
  <si>
    <t>374</t>
  </si>
  <si>
    <t>19616017</t>
  </si>
  <si>
    <t>19616379</t>
  </si>
  <si>
    <t>07-09-2019</t>
  </si>
  <si>
    <t>19616380</t>
  </si>
  <si>
    <t>19616829</t>
  </si>
  <si>
    <t>19616987</t>
  </si>
  <si>
    <t>16-09-2019</t>
  </si>
  <si>
    <t>19617131</t>
  </si>
  <si>
    <t>19617191</t>
  </si>
  <si>
    <t>19617464</t>
  </si>
  <si>
    <t>19618907</t>
  </si>
  <si>
    <t>19618908</t>
  </si>
  <si>
    <t>7887988066</t>
  </si>
  <si>
    <t>7887988068</t>
  </si>
  <si>
    <t>7887988077</t>
  </si>
  <si>
    <t>7887988253</t>
  </si>
  <si>
    <t>7887988327</t>
  </si>
  <si>
    <t>7887988420</t>
  </si>
  <si>
    <t>7887988435</t>
  </si>
  <si>
    <t>7887988608</t>
  </si>
  <si>
    <t>7887988665</t>
  </si>
  <si>
    <t>7887988738</t>
  </si>
  <si>
    <t>7887989175</t>
  </si>
  <si>
    <t>201</t>
  </si>
  <si>
    <t>VISION TELECOM</t>
  </si>
  <si>
    <t>409</t>
  </si>
  <si>
    <t>06-09-2019</t>
  </si>
  <si>
    <t>MAYUR AJAY MADIWAL</t>
  </si>
  <si>
    <t>235</t>
  </si>
  <si>
    <t>SS/19-20/00561</t>
  </si>
  <si>
    <t>SS/19-20/00574</t>
  </si>
  <si>
    <t>2728</t>
  </si>
  <si>
    <t>05-09-2019</t>
  </si>
  <si>
    <t>2811</t>
  </si>
  <si>
    <t>2950</t>
  </si>
  <si>
    <t>2953</t>
  </si>
  <si>
    <t>2968</t>
  </si>
  <si>
    <t>FIN1209195556651</t>
  </si>
  <si>
    <t>FIN1209195716455</t>
  </si>
  <si>
    <t>FIN2309192706250</t>
  </si>
  <si>
    <t>FIN2309195089420</t>
  </si>
  <si>
    <t>2240102681</t>
  </si>
  <si>
    <t>2240102682</t>
  </si>
  <si>
    <t>11531</t>
  </si>
  <si>
    <t>11716</t>
  </si>
  <si>
    <t>11758</t>
  </si>
  <si>
    <t>11811</t>
  </si>
  <si>
    <t>11815</t>
  </si>
  <si>
    <t>11861</t>
  </si>
  <si>
    <t>11971</t>
  </si>
  <si>
    <t>12213</t>
  </si>
  <si>
    <t>12236</t>
  </si>
  <si>
    <t>12345</t>
  </si>
  <si>
    <t>12422</t>
  </si>
  <si>
    <t>12443</t>
  </si>
  <si>
    <t>21-10-2019</t>
  </si>
  <si>
    <t>BM2027I006402672</t>
  </si>
  <si>
    <t>12-10-2019</t>
  </si>
  <si>
    <t>01-10-2019</t>
  </si>
  <si>
    <t>03-10-2019</t>
  </si>
  <si>
    <t>10-10-2019</t>
  </si>
  <si>
    <t>14-10-2019</t>
  </si>
  <si>
    <t>17-10-2019</t>
  </si>
  <si>
    <t>18-10-2019</t>
  </si>
  <si>
    <t>20-10-2019</t>
  </si>
  <si>
    <t>22-10-2019</t>
  </si>
  <si>
    <t>23-10-2019</t>
  </si>
  <si>
    <t>24-10-2019</t>
  </si>
  <si>
    <t>27AAKCM9201G1ZF</t>
  </si>
  <si>
    <t>MUMBAI CARGO SERVICE CENTER AIRPORT PRIVATE LIMITED</t>
  </si>
  <si>
    <t>I192000402384</t>
  </si>
  <si>
    <t>15-10-2019</t>
  </si>
  <si>
    <t>3171</t>
  </si>
  <si>
    <t>05-10-2019</t>
  </si>
  <si>
    <t>3197</t>
  </si>
  <si>
    <t>06-10-2019</t>
  </si>
  <si>
    <t>3306</t>
  </si>
  <si>
    <t>3333</t>
  </si>
  <si>
    <t>16-10-2019</t>
  </si>
  <si>
    <t>3462</t>
  </si>
  <si>
    <t>FIN1910199651188</t>
  </si>
  <si>
    <t>DHUPAR BROTHERS TRADING PRIVATE LIMITED</t>
  </si>
  <si>
    <t>5510059794</t>
  </si>
  <si>
    <t>07-10-2019</t>
  </si>
  <si>
    <t>5510060314</t>
  </si>
  <si>
    <t>5510060446</t>
  </si>
  <si>
    <t>5510060630</t>
  </si>
  <si>
    <t>5510061109</t>
  </si>
  <si>
    <t>19-10-2019</t>
  </si>
  <si>
    <t>5510061348</t>
  </si>
  <si>
    <t>Total as per PR</t>
  </si>
  <si>
    <t>Total As per 2A</t>
  </si>
  <si>
    <t>Diff</t>
  </si>
  <si>
    <t>As per Rule 37</t>
  </si>
  <si>
    <t>ITC on inward supplies (other than imports and inward supplies liable to reverse charge but includes services received from SEZs) received during 2017-18 but availed during April to September, 2018</t>
  </si>
  <si>
    <t>ITC available but ineligible (out of D)</t>
  </si>
  <si>
    <t>IGST paid on import of goods (including supplies from SEZ)</t>
  </si>
  <si>
    <t>Import of services (excluding inward supplies from SEZs)</t>
  </si>
  <si>
    <t>Input Tax credit received from ISD</t>
  </si>
  <si>
    <t>Amount of ITC reclaimed (other than B above) under the provisions of the Act</t>
  </si>
  <si>
    <t>Sub-total (B to H above)</t>
  </si>
  <si>
    <t>Transition Credit through TRAN-II</t>
  </si>
  <si>
    <t>Any other ITC availed but not specified above</t>
  </si>
  <si>
    <t>Net ITC Available for Utilization (6O - 7I)</t>
  </si>
  <si>
    <t>Inward supplies (other than imports and inward supplies liable to reverse charge but includes services received from SEZs)</t>
  </si>
  <si>
    <t>Inward supplies received from unregistered persons liable to reverse charge (other than B above) on which tax is paid &amp; ITC availed</t>
  </si>
  <si>
    <t>Details of ITC Reversed and Ineligible ITC as declared in returns filed during the financial year</t>
  </si>
  <si>
    <t>Other ITC related information</t>
  </si>
  <si>
    <t>Supply to SEZs without payment of tax</t>
  </si>
  <si>
    <t>Zero rated supply (Export) without payment of tax</t>
  </si>
  <si>
    <t xml:space="preserve">      Supplies / tax reduced through Amendments (-)</t>
  </si>
  <si>
    <t>RULE-37</t>
  </si>
  <si>
    <t>RULE-39</t>
  </si>
  <si>
    <t>Rule</t>
  </si>
  <si>
    <t>Section</t>
  </si>
  <si>
    <t>TOTAL Rule 37 &amp; 39</t>
  </si>
  <si>
    <t>TOTAL Section 17</t>
  </si>
  <si>
    <t>TOTAL Rule 42 &amp; 43</t>
  </si>
  <si>
    <t>Number</t>
  </si>
  <si>
    <t>Date</t>
  </si>
  <si>
    <t>Value</t>
  </si>
  <si>
    <t>Sale</t>
  </si>
  <si>
    <t>Type of</t>
  </si>
  <si>
    <t>Supply</t>
  </si>
  <si>
    <t>Invoice</t>
  </si>
  <si>
    <t>Code</t>
  </si>
  <si>
    <t>HSN</t>
  </si>
  <si>
    <t>Taxable</t>
  </si>
  <si>
    <t>Qty</t>
  </si>
  <si>
    <t>Inward</t>
  </si>
  <si>
    <t xml:space="preserve">Receiver </t>
  </si>
  <si>
    <t xml:space="preserve">GSTIN/UIN </t>
  </si>
  <si>
    <t xml:space="preserve"> Recipient</t>
  </si>
  <si>
    <t>4 (A) ITC Available - (1) Import of goods Capital</t>
  </si>
  <si>
    <t>4 (A) ITC Available -Import</t>
  </si>
  <si>
    <t>10321920</t>
  </si>
  <si>
    <t>10331920</t>
  </si>
  <si>
    <t>10341920</t>
  </si>
  <si>
    <t>10351920</t>
  </si>
  <si>
    <t>10361920</t>
  </si>
  <si>
    <t>10371920</t>
  </si>
  <si>
    <t>10381920</t>
  </si>
  <si>
    <t>10391920</t>
  </si>
  <si>
    <t>10401920</t>
  </si>
  <si>
    <t>10411920</t>
  </si>
  <si>
    <t>10421920</t>
  </si>
  <si>
    <t>10431920</t>
  </si>
  <si>
    <t>10441920</t>
  </si>
  <si>
    <t>10451920</t>
  </si>
  <si>
    <t>10461920</t>
  </si>
  <si>
    <t>10471920</t>
  </si>
  <si>
    <t>10481920</t>
  </si>
  <si>
    <t>10491920</t>
  </si>
  <si>
    <t>10501920</t>
  </si>
  <si>
    <t>10511920</t>
  </si>
  <si>
    <t>10521920</t>
  </si>
  <si>
    <t>10531920</t>
  </si>
  <si>
    <t>10541920</t>
  </si>
  <si>
    <t>10551920</t>
  </si>
  <si>
    <t>10561920</t>
  </si>
  <si>
    <t>10571920</t>
  </si>
  <si>
    <t>10581920</t>
  </si>
  <si>
    <t>10591920</t>
  </si>
  <si>
    <t>NON GST</t>
  </si>
  <si>
    <t>AS PER TALLY</t>
  </si>
  <si>
    <t xml:space="preserve">Inv </t>
  </si>
  <si>
    <t>Inv Total</t>
  </si>
  <si>
    <t>Opening Stock</t>
  </si>
  <si>
    <t>Indirect Expenses</t>
  </si>
  <si>
    <t>Duties &amp; Taxes</t>
  </si>
  <si>
    <t>Closing Stock</t>
  </si>
  <si>
    <t>Name :- Autofina</t>
  </si>
  <si>
    <t>Address :- Gat no.680,686,688,Kudalwadi-chikhali Road,chikhali,Pune-412114</t>
  </si>
  <si>
    <t>Sr.No. 347/ A/1 A/3, F.P.193,Pune - 411001.</t>
  </si>
  <si>
    <t>Due Date</t>
  </si>
  <si>
    <t>17.10.2017</t>
  </si>
  <si>
    <t>Status :-  Resident - Firm</t>
  </si>
  <si>
    <t>Ward</t>
  </si>
  <si>
    <t>2(3) Pune</t>
  </si>
  <si>
    <t>Permant  Account  Number :-  AASFA7303G</t>
  </si>
  <si>
    <t>Date of Birth</t>
  </si>
  <si>
    <t>21.06.2010</t>
  </si>
  <si>
    <t>Assessment Year :-  2017 - 2018</t>
  </si>
  <si>
    <t>Method of A/c</t>
  </si>
  <si>
    <t>Mercantile</t>
  </si>
  <si>
    <t>Previous Year :-  2016 - 2017</t>
  </si>
  <si>
    <t>Method of Business</t>
  </si>
  <si>
    <t>Mfg.Automobile Parts</t>
  </si>
  <si>
    <t>Computation of Total Income</t>
  </si>
  <si>
    <t>Amount (Rs.)</t>
  </si>
  <si>
    <t>PROFITS &amp; GAINS FROM BUSINESS / PROFESSION</t>
  </si>
  <si>
    <t>Profit as per Profit and Loss Accounts of</t>
  </si>
  <si>
    <t>Add:-</t>
  </si>
  <si>
    <t>Disallowed / Income considered under other heads of income or exempt</t>
  </si>
  <si>
    <t xml:space="preserve">1. Depreciation and amoritisation debited to profit and loss account </t>
  </si>
  <si>
    <t>2. Donations Not Related to business u/s 36</t>
  </si>
  <si>
    <t>3. Payment w/o TDS Deduction Thermotech Engineers 40(a)(ia)</t>
  </si>
  <si>
    <t>4. Unpaid Vat  43B(a)</t>
  </si>
  <si>
    <t>5. Unpaid LBT  43B(a)</t>
  </si>
  <si>
    <t>6. Unpaid PT  43B(a)</t>
  </si>
  <si>
    <t>7. Unpaid PF  43(b)(b)</t>
  </si>
  <si>
    <t>8. Interest on TDS Late Payment 40(a)(ii)</t>
  </si>
  <si>
    <t>9. Interest on Income Tax 40(a)(ii)</t>
  </si>
  <si>
    <t>10. Ramuneration or Interesr u/s 40(b)</t>
  </si>
  <si>
    <t xml:space="preserve">11. Cash Payment abve 20000 by otherwise than A/c Payee </t>
  </si>
  <si>
    <t xml:space="preserve">      Cheque or draft 40A(3)(a)\ Ace Aquatreat Engineers</t>
  </si>
  <si>
    <t>12.Partners salary</t>
  </si>
  <si>
    <t>Less: -</t>
  </si>
  <si>
    <t>Allowed /Expenses considered under other heads of income ot exempt</t>
  </si>
  <si>
    <t>1. Depreciation allowable under section 32</t>
  </si>
  <si>
    <t>2. Interest on Income Tax refund</t>
  </si>
  <si>
    <t>PROFITS &amp; GAINS FROM BUSINESS OR PROFESSION</t>
  </si>
  <si>
    <t>Less :-Partner's salary as deduction</t>
  </si>
  <si>
    <t>TOTAL PGBP INCOME</t>
  </si>
  <si>
    <t>INCOME CAPITAL GAINS / ( LOSS )</t>
  </si>
  <si>
    <t xml:space="preserve">Short term Capital Loss with security transaction tax paid as per schedule attached  </t>
  </si>
  <si>
    <t>Add : Dividend Earned as case of Dividend Stripping</t>
  </si>
  <si>
    <t>INCOME FROM HOUSE PROPERTY</t>
  </si>
  <si>
    <t>Rent Received (GAV)</t>
  </si>
  <si>
    <t>Less : - Corporation Tax</t>
  </si>
  <si>
    <t>Net Annual Value</t>
  </si>
  <si>
    <t>Less: - u/s 24(a) 30% Repairs</t>
  </si>
  <si>
    <t xml:space="preserve"> </t>
  </si>
  <si>
    <t>INCOME FROM OTHER SOURCES</t>
  </si>
  <si>
    <t>Debenture Interest Received</t>
  </si>
  <si>
    <t>Interest Received from Banks on Investment</t>
  </si>
  <si>
    <t>Others</t>
  </si>
  <si>
    <t>GROSS TOTAL INCOME</t>
  </si>
  <si>
    <t>DEDUCTION UNDER CHAPTER VIA</t>
  </si>
  <si>
    <t>i.Life Insurance Premium</t>
  </si>
  <si>
    <t>ii.Tution Fees</t>
  </si>
  <si>
    <t>iii. Repayment of housing loan</t>
  </si>
  <si>
    <t>Deductions u/s 80D</t>
  </si>
  <si>
    <t>i. Mediclaim</t>
  </si>
  <si>
    <t>TOTAL INCOME</t>
  </si>
  <si>
    <t>Loss B/ F From Previous Years Adjusted Agst PY.s Total Income</t>
  </si>
  <si>
    <t>AY 2014-15                   Ran 431730611291114 29.11.2014</t>
  </si>
  <si>
    <t>AY 2015-16                   Ran 911868961211215  21.012.2015</t>
  </si>
  <si>
    <t>INCOME TAXABLE AT SPECIAL RATE</t>
  </si>
  <si>
    <t>INCOME TAXABLE AT NORMAL RATE</t>
  </si>
  <si>
    <t>Tax on Total Income at special rate</t>
  </si>
  <si>
    <t>Tax on Total Income at normal rate</t>
  </si>
  <si>
    <t>Total Tax Payable</t>
  </si>
  <si>
    <t>Add : - Surcharge @ 10%</t>
  </si>
  <si>
    <t>Add : - Education Cess @ 3%</t>
  </si>
  <si>
    <t>TOTAL TAX PAYABLE</t>
  </si>
  <si>
    <t>Less : - Tax Deducted at Source</t>
  </si>
  <si>
    <t>As per Annexure Attached for Autofina</t>
  </si>
  <si>
    <t>As per Annexure Attached for Indiviual Investments</t>
  </si>
  <si>
    <t xml:space="preserve">Less : - Advance Tax </t>
  </si>
  <si>
    <t xml:space="preserve"> 1. Paid on 15.09.2008 HDFC BOAT CLUB 0510308 CHALLAN : 57671</t>
  </si>
  <si>
    <t xml:space="preserve"> 2. Paid on 15.12.2008 HDFC BOAT CLUB 0510308 CHALLAN : 65807</t>
  </si>
  <si>
    <t xml:space="preserve"> 2. Paid on 14.03.2009 HDFC BOAT CLUB 0510308 CHALLAN : 63196</t>
  </si>
  <si>
    <t>Add : - Interest</t>
  </si>
  <si>
    <t xml:space="preserve"> 1. U/s 234 B</t>
  </si>
  <si>
    <t xml:space="preserve"> 2. U/s 234 C</t>
  </si>
  <si>
    <t xml:space="preserve">Balance Payable </t>
  </si>
  <si>
    <t>Less : - Self Assessment Tax Paid</t>
  </si>
  <si>
    <t>TAX PAYABLE / ( REFUNDABLE )</t>
  </si>
  <si>
    <t>EXEMPT INCOME :</t>
  </si>
  <si>
    <t>DIVIDEND</t>
  </si>
  <si>
    <t>CALCULATION OF INTEREST :-</t>
  </si>
  <si>
    <t>PARTICULAR</t>
  </si>
  <si>
    <t>TAX DUE</t>
  </si>
  <si>
    <t>ADV.TAX PAID</t>
  </si>
  <si>
    <t>INTEREST</t>
  </si>
  <si>
    <t>INTEREST  U/S. 234B</t>
  </si>
  <si>
    <t>INTEREST U/S. 234C</t>
  </si>
  <si>
    <t>UP TO 15.09.2008 @ 30% OF TAX DUE</t>
  </si>
  <si>
    <t>UP TO 15.12.2008 @ 60% OF TAX DUE</t>
  </si>
  <si>
    <t>UP TO 15.03.2009 @ 100% OF TAX DUE</t>
  </si>
  <si>
    <t>M/S AUTOFINA AUTOPLAST PVT.LTD.</t>
  </si>
  <si>
    <t>Trading &amp; Profit And loss A/c for year ended 31 March 2019</t>
  </si>
  <si>
    <t>Add:- unrecorded sale</t>
  </si>
  <si>
    <t>Less:-Sales Return</t>
  </si>
  <si>
    <t>Add:-output Excise duty drawback/MODVAT claim</t>
  </si>
  <si>
    <t>Add:-output Sales tax set-off</t>
  </si>
  <si>
    <t>Scrap / Wastage Sales</t>
  </si>
  <si>
    <t>Partners Drawing (Goods Sale)</t>
  </si>
  <si>
    <t>Goods Distributed as free sample</t>
  </si>
  <si>
    <t>Goods lost by fire</t>
  </si>
  <si>
    <t>Direct incomes</t>
  </si>
  <si>
    <t>indirect incomes</t>
  </si>
  <si>
    <t>Interest received</t>
  </si>
  <si>
    <t>Discount received</t>
  </si>
  <si>
    <t>Commission received</t>
  </si>
  <si>
    <t>Rent received</t>
  </si>
  <si>
    <t>Dividend received</t>
  </si>
  <si>
    <t>Sundry Income</t>
  </si>
  <si>
    <t>Bad Debts recovered</t>
  </si>
  <si>
    <t>old R.D.D.</t>
  </si>
  <si>
    <t>Old Bad Debts</t>
  </si>
  <si>
    <t>New Bad Debts</t>
  </si>
  <si>
    <t>New R.D.D.</t>
  </si>
  <si>
    <t>Profit on sale of Assets</t>
  </si>
  <si>
    <t>Profit Forex Gain</t>
  </si>
  <si>
    <t>Interest on Drawings</t>
  </si>
  <si>
    <t>Add:- unrecorded purchase</t>
  </si>
  <si>
    <t>Less:-Purchase Return</t>
  </si>
  <si>
    <t>Gross Profit c/d</t>
  </si>
  <si>
    <t>Interest on Partner's loan</t>
  </si>
  <si>
    <t>Testing &amp; certification charges</t>
  </si>
  <si>
    <t>water Charges</t>
  </si>
  <si>
    <t>Carriage Outward</t>
  </si>
  <si>
    <t>Net Profit C/D</t>
  </si>
  <si>
    <t>Interest On Partner's Capital</t>
  </si>
  <si>
    <t>Salaries to Partner</t>
  </si>
  <si>
    <t>Commission to Partner</t>
  </si>
  <si>
    <t>Net Profit t/f to Capital/Current A/c of Partners</t>
  </si>
  <si>
    <t>PARTNER'S  CAPITAL</t>
  </si>
  <si>
    <t>Mr.Rushikesh Gadsing</t>
  </si>
  <si>
    <t>Mr.Sharad Gadsing</t>
  </si>
  <si>
    <t>( As Per annexure)</t>
  </si>
  <si>
    <t>RESERVES AND SURPLUS</t>
  </si>
  <si>
    <t>Opening Balance Difference Account</t>
  </si>
  <si>
    <t>General  Reserves</t>
  </si>
  <si>
    <t>SECURED LOANS</t>
  </si>
  <si>
    <t>Term loan Against Machinery</t>
  </si>
  <si>
    <t>Term loan on premises</t>
  </si>
  <si>
    <t>Term loan on equipment</t>
  </si>
  <si>
    <t>Working Capital Loan</t>
  </si>
  <si>
    <t>Loan Against FDR/investment</t>
  </si>
  <si>
    <t>Hypothecation/Pledge a/c</t>
  </si>
  <si>
    <t>LOANS RECEIVED</t>
  </si>
  <si>
    <t>Family Member-1 Loan a/c</t>
  </si>
  <si>
    <t>Family Member-2 Loan a/c</t>
  </si>
  <si>
    <t>Mr.ABC - Loan a/c</t>
  </si>
  <si>
    <t>Interest Accrued and Due</t>
  </si>
  <si>
    <t>Mr.XYZ - Loan a/c</t>
  </si>
  <si>
    <t>UNSECURED LOANS</t>
  </si>
  <si>
    <t>ADVANCES FROM CUSTOMERS</t>
  </si>
  <si>
    <t>Advance from Customer-A</t>
  </si>
  <si>
    <t>Advance from Customer-B</t>
  </si>
  <si>
    <t>DEPOSITS RECEIVED</t>
  </si>
  <si>
    <t>Deposits Received From Mr. A</t>
  </si>
  <si>
    <t>CURRENT LIABILITIES</t>
  </si>
  <si>
    <t>PROVISIONS</t>
  </si>
  <si>
    <t>Gratuity Provisions</t>
  </si>
  <si>
    <t>Income Tax Provisions</t>
  </si>
  <si>
    <t>Salaries/Wages/Bonus payable</t>
  </si>
  <si>
    <t>SUNDRY CREDITORS</t>
  </si>
  <si>
    <t>Supplier-1</t>
  </si>
  <si>
    <t>Supplier-2</t>
  </si>
  <si>
    <t>Add:- unrecorded Purchase</t>
  </si>
  <si>
    <t>EXPENSES / OUTSTANDINGS PAYABLE</t>
  </si>
  <si>
    <t>Expenses payable</t>
  </si>
  <si>
    <t>Outstandings payable</t>
  </si>
  <si>
    <t>Tax payable on salaries/interests</t>
  </si>
  <si>
    <t>Service tax collections/payable</t>
  </si>
  <si>
    <t>wct tax collections/payable</t>
  </si>
  <si>
    <t>Outstandings Audit Fee</t>
  </si>
  <si>
    <t>Outstandings lbt</t>
  </si>
  <si>
    <t>Outstandings I.t.TDS</t>
  </si>
  <si>
    <t>Outstandings wages</t>
  </si>
  <si>
    <t>Outstandings provident fund</t>
  </si>
  <si>
    <t>Outstandings pro.tax</t>
  </si>
  <si>
    <t>Outstandings rent</t>
  </si>
  <si>
    <t>BANK / CASH CREDIT ACCOUNTS</t>
  </si>
  <si>
    <t>Bank- Overdraft a/c</t>
  </si>
  <si>
    <t>Bank- Bill Discounting a/c</t>
  </si>
  <si>
    <t>unadjusted forex gain &amp; loss</t>
  </si>
  <si>
    <t>PROFIT &amp; LOSS A/C</t>
  </si>
  <si>
    <t>Asset</t>
  </si>
  <si>
    <t>FIXED ASSETS</t>
  </si>
  <si>
    <t>INVESTMENTS</t>
  </si>
  <si>
    <t>SECURITIES</t>
  </si>
  <si>
    <t>FDR/BOND investments</t>
  </si>
  <si>
    <t>SHARES / DEBENTURES</t>
  </si>
  <si>
    <t>Shares of Company-1</t>
  </si>
  <si>
    <t>Shares of Company-2</t>
  </si>
  <si>
    <t>CURRENT ASSETS</t>
  </si>
  <si>
    <t>LOANS AND ADVANCES</t>
  </si>
  <si>
    <t>LOANS GIVEN</t>
  </si>
  <si>
    <t>Loan to employee - scheme-1</t>
  </si>
  <si>
    <t>Loan to employee - Festival</t>
  </si>
  <si>
    <t>Loan to Mr.Paresh parekh</t>
  </si>
  <si>
    <t>ADVANCES GIVEN</t>
  </si>
  <si>
    <t>Advance against salary to Staff-1</t>
  </si>
  <si>
    <t>Advance paid for expenses</t>
  </si>
  <si>
    <t>Advance paid to Suppliers</t>
  </si>
  <si>
    <t>ADVANCES GIVEN TO SUPPLIERS</t>
  </si>
  <si>
    <t>Prepaid insurance</t>
  </si>
  <si>
    <t>Prepaid Advertisement</t>
  </si>
  <si>
    <t>REFUNDS / CLAIMS RECEIVABLES</t>
  </si>
  <si>
    <t>Sales tax refunds receivable</t>
  </si>
  <si>
    <t>Excise/Modvat claim receivable</t>
  </si>
  <si>
    <t>Claims/Insurance/Refunds receivable</t>
  </si>
  <si>
    <t>Income tax Tds claim receivable</t>
  </si>
  <si>
    <t>Wct tax Tds claim receivable</t>
  </si>
  <si>
    <t>INCOME TAX ADVANCES</t>
  </si>
  <si>
    <t>Income Tax advance-Year ending 199</t>
  </si>
  <si>
    <t>Tax deducted at Source</t>
  </si>
  <si>
    <t>Wct tax Tds receivable</t>
  </si>
  <si>
    <t>DEPOSITS</t>
  </si>
  <si>
    <t>Fixed deposits in Bank-1</t>
  </si>
  <si>
    <t>Deposits with Electricity Board</t>
  </si>
  <si>
    <t>Deposits with Telephone Dept.</t>
  </si>
  <si>
    <t>Deposits with municipality</t>
  </si>
  <si>
    <t>Deposits for rent</t>
  </si>
  <si>
    <t>Deposits with Sales tax dept.</t>
  </si>
  <si>
    <t>Tenders/Earnest money deposits</t>
  </si>
  <si>
    <t>STOCK ON HAND</t>
  </si>
  <si>
    <t>SUNDRY DEBTORS</t>
  </si>
  <si>
    <t>CASH &amp; BANK BALANCES</t>
  </si>
  <si>
    <t>CASH BALANCES</t>
  </si>
  <si>
    <t>Cash on hand</t>
  </si>
  <si>
    <t>Factory petty cash</t>
  </si>
  <si>
    <t>Office petty cash</t>
  </si>
  <si>
    <t>BANK BALANCES</t>
  </si>
  <si>
    <t>Bank-1 current a/c axis</t>
  </si>
  <si>
    <t>Bank-1 union</t>
  </si>
  <si>
    <t>Gat no :- 686 , Kudalwadi Chikhli Road , Kudalwadi,  Pune 412014 , Maharashtra</t>
  </si>
  <si>
    <t>Annexure Of Partner's Capital Account for year 2018-19</t>
  </si>
  <si>
    <t>DR</t>
  </si>
  <si>
    <t>CR</t>
  </si>
  <si>
    <t>OPENING</t>
  </si>
  <si>
    <t>Partners Rushikesh Gadsing Capital A/c</t>
  </si>
  <si>
    <t>Partners Anagha Gadsing Capital A/c</t>
  </si>
  <si>
    <t>Partners Rushikesh Gadsing share Capital A/c</t>
  </si>
  <si>
    <t>Partners Anagha Gadsing share Capital A/c</t>
  </si>
  <si>
    <t>PL A/C</t>
  </si>
  <si>
    <t>Partners Rushikesh Gadsing TOTAL Capital A/c</t>
  </si>
  <si>
    <t>Partners Anagha Gadsing share TOTAL Capital A/c</t>
  </si>
  <si>
    <t>CAPITAL</t>
  </si>
  <si>
    <t>Liabilites (cr)</t>
  </si>
  <si>
    <t>car loan skoda</t>
  </si>
  <si>
    <t>Partners Rushikesh Gadsing loan  A/c</t>
  </si>
  <si>
    <t>Partners Anagha Gadsing loan A/c</t>
  </si>
  <si>
    <t>loan a/c</t>
  </si>
  <si>
    <t>Sgst Payable</t>
  </si>
  <si>
    <t>Cgst Payable</t>
  </si>
  <si>
    <t>Igst Payable</t>
  </si>
  <si>
    <t>opening</t>
  </si>
  <si>
    <t>currant</t>
  </si>
  <si>
    <t>utlized</t>
  </si>
  <si>
    <t>GST RMC Payable</t>
  </si>
  <si>
    <t>GST payment</t>
  </si>
  <si>
    <t>GST RMC payment</t>
  </si>
  <si>
    <t>TDS-Income Tax Deduction Staff(92B)</t>
  </si>
  <si>
    <t>TDS-Payment to Contractor(194C)</t>
  </si>
  <si>
    <t>TDS-Professional/Technical Services (194J)</t>
  </si>
  <si>
    <t>TDS-Rent Plant/Machinery/Equipment (194I)</t>
  </si>
  <si>
    <t>Salary A/c</t>
  </si>
  <si>
    <t>Bonus Payment (Staff)</t>
  </si>
  <si>
    <t>Employer's Epf Contribution@3.67%</t>
  </si>
  <si>
    <t>Employer's Eps Contribution@8.33%</t>
  </si>
  <si>
    <t>Round Off</t>
  </si>
  <si>
    <t>Staff Admin Charges A/c</t>
  </si>
  <si>
    <t>FINISH GOODS STOCK</t>
  </si>
  <si>
    <t>FRESH MOULDING STOCK</t>
  </si>
  <si>
    <t>MFG GOODS STOCK</t>
  </si>
  <si>
    <t>RAW MATERIAL CUBIC FILM STOCK</t>
  </si>
  <si>
    <t>RAW MATERIAL PAINT  STOCK</t>
  </si>
  <si>
    <t>PURCHASE LOCAL 4(5) LABOUR ONLY</t>
  </si>
  <si>
    <t>NET LOSS/PROFIT</t>
  </si>
  <si>
    <t>Igst</t>
  </si>
  <si>
    <t>Cgst</t>
  </si>
  <si>
    <t>Sgst</t>
  </si>
  <si>
    <t>SALE AS PER SALE REGISTER</t>
  </si>
  <si>
    <t>NET SALE</t>
  </si>
  <si>
    <t>TOTAL SALE+STOCK</t>
  </si>
  <si>
    <t>SALE AS PER PURCHASE REGISTER</t>
  </si>
  <si>
    <t>Direct Expenses Taxable</t>
  </si>
  <si>
    <t>Direct Expenses non Taxable</t>
  </si>
  <si>
    <t xml:space="preserve">RULE 42 internet charges </t>
  </si>
  <si>
    <t>NAME OF THE ASSETS</t>
  </si>
  <si>
    <t>Date of</t>
  </si>
  <si>
    <t xml:space="preserve">OPENING </t>
  </si>
  <si>
    <t>ADDITION</t>
  </si>
  <si>
    <t>DEPRECIATION ALLOWABLE</t>
  </si>
  <si>
    <t xml:space="preserve">  NET BLOCK</t>
  </si>
  <si>
    <t>RATE  OF</t>
  </si>
  <si>
    <t>Purchase</t>
  </si>
  <si>
    <t>WDV</t>
  </si>
  <si>
    <t>&gt;180 DAYS</t>
  </si>
  <si>
    <t>&lt;180 DAYS</t>
  </si>
  <si>
    <t>OPENING &amp;</t>
  </si>
  <si>
    <t>Deprication</t>
  </si>
  <si>
    <t xml:space="preserve"> ON 31.03.19</t>
  </si>
  <si>
    <t>DEPRE.</t>
  </si>
  <si>
    <t>Profit/loss</t>
  </si>
  <si>
    <t>ADDITION WITH</t>
  </si>
  <si>
    <t>AS ON 01.04.2018</t>
  </si>
  <si>
    <t>DEDUCTIONS</t>
  </si>
  <si>
    <t>&gt; 180 DAYS</t>
  </si>
  <si>
    <t>&lt; 180 DAYS</t>
  </si>
  <si>
    <t>F/A COMPUTER 60%</t>
  </si>
  <si>
    <t>F/A COMPUTER  A/C 60% GST 18.00%</t>
  </si>
  <si>
    <t>F/A FURNITURE &amp; FIXTURE  10.00%</t>
  </si>
  <si>
    <t>F/A FURNITURE &amp; FIXTURE A/C 10% GST 18.00%</t>
  </si>
  <si>
    <t>F/ A JIGS &amp; FIXTURE A/C GST 18%</t>
  </si>
  <si>
    <t>F/A OFFICE EQUIPMENT 15%</t>
  </si>
  <si>
    <t>F/A OFFICE EQUIPMENTS A/C 15% GST 12.00%</t>
  </si>
  <si>
    <t>F/A OFFICE EQUIPMENTS A/C 15% GST 18.00%</t>
  </si>
  <si>
    <t>F/A PLANT &amp; MACHINERY 15%</t>
  </si>
  <si>
    <t>F/A COMPRESSOR A/C</t>
  </si>
  <si>
    <t>F/A DM WATER PLANT</t>
  </si>
  <si>
    <t>F/A GENERATOR 250 KVA  17.11.18</t>
  </si>
  <si>
    <t>F/A MOULDING SHOP NEW</t>
  </si>
  <si>
    <t>F/A PAINT BOOTH NO.</t>
  </si>
  <si>
    <t>F/A TESTING EQUIPMENTS</t>
  </si>
  <si>
    <t>F/A 125 KVA ELE.GENERATING SET  20.11.18</t>
  </si>
  <si>
    <t>F/A CUBIC MACHINE A/C</t>
  </si>
  <si>
    <t>F/A FACTORY SHAD A/C</t>
  </si>
  <si>
    <t>F/A GUNS &amp; POLISEH A/C</t>
  </si>
  <si>
    <t>F/A OFFICE EQUIPMENTS A/C NON  GST</t>
  </si>
  <si>
    <t>F/A PAINT BOOTH /CONVYOUR A/C</t>
  </si>
  <si>
    <t>F/A PAINT BOOTH /CONVYOUR A/C 12%</t>
  </si>
  <si>
    <t>F/A Plant &amp; Machinery A/c GST @ 18.00%</t>
  </si>
  <si>
    <t>F/A VEHICAL  15%</t>
  </si>
  <si>
    <t>F/A MOTOR VEHICLE &amp; MAINT</t>
  </si>
  <si>
    <t xml:space="preserve">      TOTAL</t>
  </si>
  <si>
    <t>SALE LEDGER TALLY</t>
  </si>
  <si>
    <t>PURCHASE  LEDGER TALLY</t>
  </si>
  <si>
    <t>Sales Ledger Tally</t>
  </si>
  <si>
    <t>Purchase Ledger Tally</t>
  </si>
  <si>
    <t>SALES LABOUR CHARGES ONLY</t>
  </si>
  <si>
    <t>SALES LOCAL (GOODS)-TAXABLE</t>
  </si>
  <si>
    <t>SALES LOCAL JOBWORK 4(5)</t>
  </si>
  <si>
    <t>SALES LOCAL (SERVICES)-TAXABLE</t>
  </si>
  <si>
    <t>SALES OMS (GOODS)-TAXABLE</t>
  </si>
  <si>
    <t>SALES RATE DIFF LOCAL (GOODS)-TAXABLE</t>
  </si>
  <si>
    <t>SALES RATE DIFF OMS (GOODS)-TAXABLE</t>
  </si>
  <si>
    <t>SALES RETURN LOCAL (GOODS)- NON TAXABLE</t>
  </si>
  <si>
    <t>SALES RETURN LOCAL (GOODS)-TAXABLE</t>
  </si>
  <si>
    <t>SALES RETURN OMS (GOODS)-NON TAXABLE</t>
  </si>
  <si>
    <t>SALES RETURN OMS GST (GOODS)-TAXABLE</t>
  </si>
  <si>
    <t>SALES SHORT SUPPLY LOCAL (SERVICE) TAXABLE</t>
  </si>
  <si>
    <t>PURCHASE IMPORT CUSTOM DUTY FILM TAXABLE A/C</t>
  </si>
  <si>
    <t>PURCHASE IMPORT (GOODS)-TAXABLE A/C</t>
  </si>
  <si>
    <t>PURCHASE IMPORT SOCIAL WELFAR SURCHRGE TAXABLE A/C</t>
  </si>
  <si>
    <t>PURCHASE LOCAL (GOODS)  EXEMPTED A/C</t>
  </si>
  <si>
    <t>PURCHASE LOCAL (GOODS)-TAXABLE A/C</t>
  </si>
  <si>
    <t>PURCHASE OMS (GOODS)-TAXABLE A/C</t>
  </si>
  <si>
    <t>PURCHASE OMS (SERVICES)-TAXABLE A/C</t>
  </si>
  <si>
    <t>PURCHASE  RATE DIFF LOCAL ( GOODS)-TAXABLE A/C</t>
  </si>
  <si>
    <t>PURCHASE  RETURN LOCAL (GOODS) -TAXABLE A/C</t>
  </si>
  <si>
    <t>Bonus (Workers) (Purchase ) Taxable A/c</t>
  </si>
  <si>
    <t>Freight &amp; Transport  Chages Non Taxb A/c GTA Exempt</t>
  </si>
  <si>
    <t>Freight &amp; Transport Charges (Purchase) Taxabl A/c</t>
  </si>
  <si>
    <t>Handling Charges (Film) (Purchase) Taxable  A/c</t>
  </si>
  <si>
    <t>Labour Contractor Charges(Worker) (Purc)Taxable A/c</t>
  </si>
  <si>
    <t>Packing &amp; Forwardig Charges Non Taxable A/c</t>
  </si>
  <si>
    <t>Packing &amp; Forwardig Charges (Purchase) Taxable A/c</t>
  </si>
  <si>
    <t>Power and Fuel Exp Non Taxable A/c</t>
  </si>
  <si>
    <t>Power and Fuel Exp (Purchase) Taxable A/c</t>
  </si>
  <si>
    <t>Repair &amp; Maint.Factory Non Taxable A/c</t>
  </si>
  <si>
    <t>Repair &amp; Maint.Factory (Purchase)Taxable A/c</t>
  </si>
  <si>
    <t>Repair &amp; Maint.Machinery (Purchase) Taxable A/c</t>
  </si>
  <si>
    <t>Security Charges (Purchase) Taxable A/c</t>
  </si>
  <si>
    <t>Water Charges Non Taxable A/c</t>
  </si>
  <si>
    <t>Audit Fee ( Auditor) Non Taxable A/c</t>
  </si>
  <si>
    <t>Audit fee Management Services (purchase)Taxable a/c</t>
  </si>
  <si>
    <t>Bank  Charges NEFT/RTGS (Purchase)Taxable A/c</t>
  </si>
  <si>
    <t>Commission Charges (Purchase) Taxable A/c</t>
  </si>
  <si>
    <t>Commission on Remittance Film (Purchase) Taxabl A/c</t>
  </si>
  <si>
    <t>Consolidated Charges (Purchase)Taxable A/c</t>
  </si>
  <si>
    <t>Consumable Non Taxable A/c</t>
  </si>
  <si>
    <t>Consumable (Purchase)Taxable A/c</t>
  </si>
  <si>
    <t>Conveyance &amp; Traveling  Non Taxable A/c</t>
  </si>
  <si>
    <t>Diesel Rushi Sir Non Taxable A/c</t>
  </si>
  <si>
    <t>Donation and Charity Expense Non Taxable</t>
  </si>
  <si>
    <t>Eici Charges Non Taxable A/c</t>
  </si>
  <si>
    <t>Freight &amp; Transport Charges18.00% (Purc)Taxable A/c</t>
  </si>
  <si>
    <t>Gfid on Remittance Film (Purchase)Taxable A/c</t>
  </si>
  <si>
    <t>Insurance Factory (Purchase)Taxable A/c</t>
  </si>
  <si>
    <t>Insurance Staff  Non Taxable A/c</t>
  </si>
  <si>
    <t>Interest on Axis Bank Cc Loan Non Taxable A/c</t>
  </si>
  <si>
    <t>Internet  Charges A/c  (Purchase)Taxable A/c</t>
  </si>
  <si>
    <t>Late Fee Non Taxable A/c (Expenses)</t>
  </si>
  <si>
    <t>Loading &amp; Unloading - others/ Hamali NonTaxable A/c</t>
  </si>
  <si>
    <t>Medical Exp.Non Taxable A/c</t>
  </si>
  <si>
    <t>Office Exp. Non Taxable A/c</t>
  </si>
  <si>
    <t>Petrol A/c Non Taxable A/c</t>
  </si>
  <si>
    <t>Postage and Courier Charges Non Taxable A/c</t>
  </si>
  <si>
    <t>Printing &amp; Stationery Non Taxale A/c</t>
  </si>
  <si>
    <t>Printing &amp; Stationery (Purchase) Taxable A/c</t>
  </si>
  <si>
    <t>Processing Charges Bank (Purchase) Taxable A/c</t>
  </si>
  <si>
    <t>Rent on Machinery 18%- (Purchase)Taxable A/c</t>
  </si>
  <si>
    <t>Rent on Machinery (Purchase) Taxable A/c</t>
  </si>
  <si>
    <t>Repair &amp; Maint.Machinery Non Taxable A/c</t>
  </si>
  <si>
    <t>Repair &amp; Maint. Office Exp. (Purchase)Taxable A/c</t>
  </si>
  <si>
    <t>Repair &amp; Maint.Vehical Non Taxable A/c</t>
  </si>
  <si>
    <t>Staff &amp; Welfare A/c Non Taxable A/c</t>
  </si>
  <si>
    <t>Stamp Duty Origaa(Annx-2 Pd Booth) Non Taxable A/c</t>
  </si>
  <si>
    <t>Stamp Paper Charges Bank Non Taxable</t>
  </si>
  <si>
    <t>Swift on Remittance Film A/c (Purchase) Taxable A/c</t>
  </si>
  <si>
    <t>Telephone Exp.(Purchase) Taxable A/c</t>
  </si>
  <si>
    <t>Testing Clibrt &amp; Crtif of Eqp.(Purchase)Taxable A/c</t>
  </si>
  <si>
    <t>Tod Processing Fee (Purchase) Taxable A/c</t>
  </si>
  <si>
    <t>SALES RETURN OMS (GOODS)-TAXABLE</t>
  </si>
  <si>
    <t>RAW MATERIAL CONSUMABLE STOCK</t>
  </si>
  <si>
    <t>RAW MATERIAL OTHER (PAINT) STOCK</t>
  </si>
  <si>
    <t>RAW MATERIAL (PACKING &amp; ASSY) STOCK</t>
  </si>
  <si>
    <t>SALES LOCAL  (GOODS) FIXED ASSET-TAXABLE</t>
  </si>
  <si>
    <t>PURCHASE OMS (GOODS) NON TAXABLE</t>
  </si>
  <si>
    <t>PURCHASE  OMS RATE DIFF (GOODS)-TAXABLE A/C</t>
  </si>
  <si>
    <t>Freight &amp; Transport Charges Local Rmc GTA-Taxable</t>
  </si>
  <si>
    <t>Bank  Charges NEFT/RTGS A/c Non Gst A/c</t>
  </si>
  <si>
    <t>Brocken Interest 18% (Purchase)Taxable A/c</t>
  </si>
  <si>
    <t>Car Loan A/c 0250675100012254 Idbi Skoda</t>
  </si>
  <si>
    <t>Film Currency Conversion Charges A/c</t>
  </si>
  <si>
    <t>F/A BUILDING A/C</t>
  </si>
  <si>
    <t>F/A COMPRESSOR KEASER A/C</t>
  </si>
  <si>
    <t>F/A COMPUTER &amp; PRINTER A/C 60%</t>
  </si>
  <si>
    <t>F/A FURNITURE &amp; FIXTURE A/C 10%</t>
  </si>
  <si>
    <t>F/A OFFICE EQUIPMENTS A/C 15%</t>
  </si>
  <si>
    <t>F/A PLANT &amp; MACHINERY A/C 15%</t>
  </si>
  <si>
    <t>F/A SOFTWARES A/C</t>
  </si>
  <si>
    <t>F/A VEHICAL A/C 15%</t>
  </si>
  <si>
    <t>PURCHASE LOCAL (CAPITAL GOODS)-TAXABLE A/C</t>
  </si>
  <si>
    <t>Indirect Expenses Taxable</t>
  </si>
  <si>
    <t>Indirect Expenses Non Taxable</t>
  </si>
  <si>
    <t>Direct Expenses Non Taxable</t>
  </si>
  <si>
    <t>Sales Taxable</t>
  </si>
  <si>
    <t>Sales non Taxable</t>
  </si>
  <si>
    <t>TOTAL SALE</t>
  </si>
  <si>
    <t>Less:-Sales Return Taxable</t>
  </si>
  <si>
    <t>Less:-Sales Return nonTaxable</t>
  </si>
  <si>
    <t>Purchases Taxable</t>
  </si>
  <si>
    <t>Purchases non Taxable</t>
  </si>
  <si>
    <t>TOTAL PURCHASE</t>
  </si>
  <si>
    <t>NET PURCHASE</t>
  </si>
  <si>
    <t>FIXED ASSET PURCHASE TAXABLE</t>
  </si>
  <si>
    <t>CAPITAL A/C</t>
  </si>
  <si>
    <t>LOANS (LIABILITY</t>
  </si>
  <si>
    <t>CURRANT LIABILITY</t>
  </si>
  <si>
    <t>TOTAL Duties &amp; Taxes</t>
  </si>
  <si>
    <t>PF Payable</t>
  </si>
  <si>
    <t>PT Payable</t>
  </si>
  <si>
    <t>opening Salaries/Wages/Bonus payable</t>
  </si>
  <si>
    <t>opening PF Payable</t>
  </si>
  <si>
    <t>opening PT Payable</t>
  </si>
  <si>
    <t>PF Admin charges</t>
  </si>
  <si>
    <t>F/A SOFTWARE  15%</t>
  </si>
  <si>
    <t>F/A BILLING SOFTWARE</t>
  </si>
  <si>
    <t>F/A BUILDING 15%</t>
  </si>
  <si>
    <t>CALCULATION OF DEPRECIATION  2019-2020</t>
  </si>
  <si>
    <t>F/A LAND A/C</t>
  </si>
  <si>
    <t>Deposits with MPCB</t>
  </si>
  <si>
    <t>GST CREDIT LEDGER</t>
  </si>
  <si>
    <t>Gst credit ledger</t>
  </si>
  <si>
    <t>Gst cash ledger</t>
  </si>
  <si>
    <t>defered tax asset</t>
  </si>
  <si>
    <t>Prepaid mpcb</t>
  </si>
  <si>
    <t>RMC u/s 93 Transport</t>
  </si>
  <si>
    <t>TOTAL LIABILITY</t>
  </si>
  <si>
    <t>FIXED ASSETS TOTAL</t>
  </si>
  <si>
    <t>CLOSING STOCK TOTAL</t>
  </si>
  <si>
    <t>DEPOSIT TOTAL</t>
  </si>
  <si>
    <t>ADVANCE TOTAL</t>
  </si>
  <si>
    <t>REFUND TOTAL</t>
  </si>
  <si>
    <t>GST CREDIT TOTAL</t>
  </si>
  <si>
    <t>LOAN TOTAL</t>
  </si>
  <si>
    <t>CASH TOTAL</t>
  </si>
  <si>
    <t>BANK TOTAL</t>
  </si>
  <si>
    <t>DEBTORS TOTAL</t>
  </si>
  <si>
    <t>INVESTMEN T TOTAL</t>
  </si>
  <si>
    <t>TOTAL CURRANT ASSET</t>
  </si>
  <si>
    <t>TOTAL ASSET</t>
  </si>
  <si>
    <t>GST TOTAL</t>
  </si>
  <si>
    <t>GST paid &amp; set off</t>
  </si>
  <si>
    <t>DIRECT EXP TOTAL</t>
  </si>
  <si>
    <t>FIXED ASSET PURCHASE TOTAL</t>
  </si>
  <si>
    <t>ROBOTIC</t>
  </si>
  <si>
    <t>GENERATING</t>
  </si>
  <si>
    <t>LASER MAEKER</t>
  </si>
  <si>
    <t>87142090/</t>
  </si>
  <si>
    <t>Accurate Powertech India pvt Ltd</t>
  </si>
  <si>
    <t>27AAICA4815C1ZZ</t>
  </si>
  <si>
    <t>Kaeser Compressors (India) Pvt Ltd</t>
  </si>
  <si>
    <t>27AABCK6945N1ZY</t>
  </si>
  <si>
    <t>Keyence India Private Limited</t>
  </si>
  <si>
    <t>33AAECK4385P1ZO</t>
  </si>
  <si>
    <t>33-Tamil Nadu</t>
  </si>
  <si>
    <t>Onkar Diesel Works (India) Pvt Ltd</t>
  </si>
  <si>
    <t>27AACCO5851C1ZL</t>
  </si>
  <si>
    <t>Plantag Coatings India Pvt Ltd</t>
  </si>
  <si>
    <t>27AAECP3909L1Z4</t>
  </si>
  <si>
    <t>Trimatics Engineers</t>
  </si>
  <si>
    <t>27AHDPP2081Q1ZT</t>
  </si>
  <si>
    <t>Softgrip Enterprises</t>
  </si>
  <si>
    <t>27ACSPM5726H1Z4</t>
  </si>
  <si>
    <t>Summit Engineers &amp; Consultants Pvt Ltd</t>
  </si>
  <si>
    <t>27AADCS2608A1ZV</t>
  </si>
  <si>
    <t>Sunshine Techologies</t>
  </si>
  <si>
    <t>27AILPK7358Q1Z9</t>
  </si>
  <si>
    <t>Yushai Systems</t>
  </si>
  <si>
    <t>27AACFY4120F1ZF</t>
  </si>
  <si>
    <t>2501/</t>
  </si>
  <si>
    <t>salt</t>
  </si>
  <si>
    <t>3214/</t>
  </si>
  <si>
    <t>COILA</t>
  </si>
  <si>
    <t>Sticker</t>
  </si>
  <si>
    <t>HOOK</t>
  </si>
  <si>
    <t>PIPE</t>
  </si>
  <si>
    <t>Laser</t>
  </si>
  <si>
    <t>indo</t>
  </si>
  <si>
    <t>GANG BOX</t>
  </si>
  <si>
    <t>Guage</t>
  </si>
  <si>
    <t>Curgo</t>
  </si>
  <si>
    <t>996511/</t>
  </si>
  <si>
    <t>OIL</t>
  </si>
  <si>
    <t>34039900/</t>
  </si>
  <si>
    <t>oil</t>
  </si>
  <si>
    <t>39269099/</t>
  </si>
  <si>
    <t>MCB</t>
  </si>
  <si>
    <t>PATTI</t>
  </si>
  <si>
    <t>TRAY</t>
  </si>
  <si>
    <t>AIR</t>
  </si>
  <si>
    <t>ECO DRAIN</t>
  </si>
  <si>
    <t>STAINER</t>
  </si>
  <si>
    <t>84149019/</t>
  </si>
  <si>
    <t>Conveyor</t>
  </si>
  <si>
    <t>COMPRESSOR</t>
  </si>
  <si>
    <t>Robatic</t>
  </si>
  <si>
    <t>Genset</t>
  </si>
  <si>
    <t>Reparing</t>
  </si>
  <si>
    <t>quartz</t>
  </si>
  <si>
    <t>Stabilizer</t>
  </si>
  <si>
    <t>cap</t>
  </si>
  <si>
    <t>10601920</t>
  </si>
  <si>
    <t>10611920</t>
  </si>
  <si>
    <t>10621920</t>
  </si>
  <si>
    <t>10631920</t>
  </si>
  <si>
    <t>10641920</t>
  </si>
  <si>
    <t>10651920</t>
  </si>
  <si>
    <t>10661920</t>
  </si>
  <si>
    <t>10671920</t>
  </si>
  <si>
    <t>10681920</t>
  </si>
  <si>
    <t>10691920</t>
  </si>
  <si>
    <t>10701920</t>
  </si>
  <si>
    <t>10711920</t>
  </si>
  <si>
    <t>10721920</t>
  </si>
  <si>
    <t>10731920</t>
  </si>
  <si>
    <t>10741920</t>
  </si>
  <si>
    <t>10751920</t>
  </si>
  <si>
    <t>10761920</t>
  </si>
  <si>
    <t>10771920</t>
  </si>
  <si>
    <t>10781920</t>
  </si>
  <si>
    <t>10791920</t>
  </si>
  <si>
    <t>10801920</t>
  </si>
  <si>
    <t>10811920</t>
  </si>
  <si>
    <t>10821920</t>
  </si>
  <si>
    <t>10831920</t>
  </si>
  <si>
    <t>10841920</t>
  </si>
  <si>
    <t>10851920</t>
  </si>
  <si>
    <t>10861920</t>
  </si>
  <si>
    <t>10871920</t>
  </si>
  <si>
    <t>10881920</t>
  </si>
  <si>
    <t>10891920</t>
  </si>
  <si>
    <t>10901920</t>
  </si>
  <si>
    <t>10911920</t>
  </si>
  <si>
    <t>10921920</t>
  </si>
  <si>
    <t>10931920</t>
  </si>
  <si>
    <t>10941920</t>
  </si>
  <si>
    <t>10951920</t>
  </si>
  <si>
    <t>10961920</t>
  </si>
  <si>
    <t>10971920</t>
  </si>
  <si>
    <t>10981920</t>
  </si>
  <si>
    <t>10991920</t>
  </si>
  <si>
    <t>11001920</t>
  </si>
  <si>
    <t>11011920</t>
  </si>
  <si>
    <t>11021920</t>
  </si>
  <si>
    <t>11031920</t>
  </si>
  <si>
    <t>11041920</t>
  </si>
  <si>
    <t>11051920</t>
  </si>
  <si>
    <t>11061920</t>
  </si>
  <si>
    <t>11071920</t>
  </si>
  <si>
    <t>11081920</t>
  </si>
  <si>
    <t>11091920</t>
  </si>
  <si>
    <t>11101920</t>
  </si>
  <si>
    <t>11111920</t>
  </si>
  <si>
    <t>11121920</t>
  </si>
  <si>
    <t>11131920</t>
  </si>
  <si>
    <t>11141920</t>
  </si>
  <si>
    <t>11151920</t>
  </si>
  <si>
    <t>11161920</t>
  </si>
  <si>
    <t>11171920</t>
  </si>
  <si>
    <t>11181920</t>
  </si>
  <si>
    <t>11191920</t>
  </si>
  <si>
    <t>11201920</t>
  </si>
  <si>
    <t>11211920</t>
  </si>
  <si>
    <t>11221920</t>
  </si>
  <si>
    <t>11231920</t>
  </si>
  <si>
    <t>11241920</t>
  </si>
  <si>
    <t>11251920</t>
  </si>
  <si>
    <t>11261920</t>
  </si>
  <si>
    <t>11271920</t>
  </si>
  <si>
    <t>11281920</t>
  </si>
  <si>
    <t>11291920</t>
  </si>
  <si>
    <t>11301920</t>
  </si>
  <si>
    <t>11311920</t>
  </si>
  <si>
    <t>11321920</t>
  </si>
  <si>
    <t>11331920</t>
  </si>
  <si>
    <t>11341920</t>
  </si>
  <si>
    <t>11351920</t>
  </si>
  <si>
    <t>11361920</t>
  </si>
  <si>
    <t>11371920</t>
  </si>
  <si>
    <t>11381920</t>
  </si>
  <si>
    <t>11391920</t>
  </si>
  <si>
    <t>11401920</t>
  </si>
  <si>
    <t>11411920</t>
  </si>
  <si>
    <t>11421920</t>
  </si>
  <si>
    <t>11431920</t>
  </si>
  <si>
    <t>11441920</t>
  </si>
  <si>
    <t>11451920</t>
  </si>
  <si>
    <t>11461920</t>
  </si>
  <si>
    <t>11471920</t>
  </si>
  <si>
    <t>11481920</t>
  </si>
  <si>
    <t>11491920</t>
  </si>
  <si>
    <t>11501920</t>
  </si>
  <si>
    <t>11511920</t>
  </si>
  <si>
    <t>11521920</t>
  </si>
  <si>
    <t>11531920</t>
  </si>
  <si>
    <t>11541920</t>
  </si>
  <si>
    <t>11551920</t>
  </si>
  <si>
    <t>11561920</t>
  </si>
  <si>
    <t>11571920</t>
  </si>
  <si>
    <t>11581920</t>
  </si>
  <si>
    <t>11591920</t>
  </si>
  <si>
    <t>11601920</t>
  </si>
  <si>
    <t>11611920</t>
  </si>
  <si>
    <t>11621920</t>
  </si>
  <si>
    <t>11631920</t>
  </si>
  <si>
    <t>11641920</t>
  </si>
  <si>
    <t>11651920</t>
  </si>
  <si>
    <t>11661920</t>
  </si>
  <si>
    <t>11671920</t>
  </si>
  <si>
    <t>11681920</t>
  </si>
  <si>
    <t>11691920</t>
  </si>
  <si>
    <t>11701920</t>
  </si>
  <si>
    <t>11711920</t>
  </si>
  <si>
    <t>11721920</t>
  </si>
  <si>
    <t>11731920</t>
  </si>
  <si>
    <t>11741920</t>
  </si>
  <si>
    <t>11751920</t>
  </si>
  <si>
    <t>11761920</t>
  </si>
  <si>
    <t>11771920</t>
  </si>
  <si>
    <t>11781920</t>
  </si>
  <si>
    <t>11791920</t>
  </si>
  <si>
    <t>11801920</t>
  </si>
  <si>
    <t>11811920</t>
  </si>
  <si>
    <t>11821920</t>
  </si>
  <si>
    <t>11831920</t>
  </si>
  <si>
    <t>11841920</t>
  </si>
  <si>
    <t>11851920</t>
  </si>
  <si>
    <t>11861920</t>
  </si>
  <si>
    <t>11871920</t>
  </si>
  <si>
    <t>11881920</t>
  </si>
  <si>
    <t>11891920</t>
  </si>
  <si>
    <t>11901920</t>
  </si>
  <si>
    <t>11911920</t>
  </si>
  <si>
    <t>VNET/19-20/1292</t>
  </si>
  <si>
    <t>19-20/21211</t>
  </si>
  <si>
    <t>19-20/21212</t>
  </si>
  <si>
    <t>19-20/21213</t>
  </si>
  <si>
    <t>OLFPL/19-20/0140</t>
  </si>
  <si>
    <t>SI2040073222</t>
  </si>
  <si>
    <t>SI2040073223</t>
  </si>
  <si>
    <t>G1015</t>
  </si>
  <si>
    <t>G1016</t>
  </si>
  <si>
    <t>SI2040073893</t>
  </si>
  <si>
    <t>SS/19-20/00730</t>
  </si>
  <si>
    <t>l749211420</t>
  </si>
  <si>
    <t>GST/19-20/667</t>
  </si>
  <si>
    <t>FIN1311192178445</t>
  </si>
  <si>
    <t>SI2040074826</t>
  </si>
  <si>
    <t>SS/19-20/00749</t>
  </si>
  <si>
    <t>L271164355</t>
  </si>
  <si>
    <t>BM2027I007596520</t>
  </si>
  <si>
    <t>SI2040075547</t>
  </si>
  <si>
    <t>SI2040075548</t>
  </si>
  <si>
    <t>19-20/21405</t>
  </si>
  <si>
    <t>1920RE1150</t>
  </si>
  <si>
    <t>PR/19-20/311</t>
  </si>
  <si>
    <t>APU/1920/4474</t>
  </si>
  <si>
    <t>SCPL/0931</t>
  </si>
  <si>
    <t>1920RE1152</t>
  </si>
  <si>
    <t>L271167490</t>
  </si>
  <si>
    <t>FIN1911194126742</t>
  </si>
  <si>
    <t>SI2040077048</t>
  </si>
  <si>
    <t>OLFPL/19-20/154</t>
  </si>
  <si>
    <t>MPL2/19/51723</t>
  </si>
  <si>
    <t>SI2040077743</t>
  </si>
  <si>
    <t>SI2040077744</t>
  </si>
  <si>
    <t>L271169744</t>
  </si>
  <si>
    <t>L271169745</t>
  </si>
  <si>
    <t>2019-20/250</t>
  </si>
  <si>
    <t>1920RE1140</t>
  </si>
  <si>
    <t>FIN2111195117381</t>
  </si>
  <si>
    <t>19-20/21592</t>
  </si>
  <si>
    <t>19-20/21593</t>
  </si>
  <si>
    <t>SI2040079539</t>
  </si>
  <si>
    <t>1920RE1191</t>
  </si>
  <si>
    <t>SI2040080161</t>
  </si>
  <si>
    <t>SI2040080576</t>
  </si>
  <si>
    <t>L271175086</t>
  </si>
  <si>
    <t>L271175087</t>
  </si>
  <si>
    <t>VT/19-20/568</t>
  </si>
  <si>
    <t>FIN0212194457848</t>
  </si>
  <si>
    <t>19-20/233</t>
  </si>
  <si>
    <t>19-20/21652</t>
  </si>
  <si>
    <t>M51931501574</t>
  </si>
  <si>
    <t>M51931501575</t>
  </si>
  <si>
    <t>OLFPL/19-20/0184</t>
  </si>
  <si>
    <t>VNET/19-20/1479</t>
  </si>
  <si>
    <t>1920RE1239</t>
  </si>
  <si>
    <t>S420359022002447</t>
  </si>
  <si>
    <t>19-20/21748</t>
  </si>
  <si>
    <t>CM/0087/19-20</t>
  </si>
  <si>
    <t>0467/19-20</t>
  </si>
  <si>
    <t>105/19-20</t>
  </si>
  <si>
    <t>G1134</t>
  </si>
  <si>
    <t>G1135</t>
  </si>
  <si>
    <t>SI20400805164</t>
  </si>
  <si>
    <t>APU/1920/5102</t>
  </si>
  <si>
    <t>BM2027I008975346</t>
  </si>
  <si>
    <t>0476/19-20</t>
  </si>
  <si>
    <t>SI2040087315</t>
  </si>
  <si>
    <t>SI2040087316</t>
  </si>
  <si>
    <t>L271188631</t>
  </si>
  <si>
    <t>L271188632</t>
  </si>
  <si>
    <t>0479/19-20</t>
  </si>
  <si>
    <t>G-217</t>
  </si>
  <si>
    <t>OLFPL/19-20/199</t>
  </si>
  <si>
    <t>GS57</t>
  </si>
  <si>
    <t>V312/19-20</t>
  </si>
  <si>
    <t>0482/19-20</t>
  </si>
  <si>
    <t>SS/19-20/00867</t>
  </si>
  <si>
    <t>SI2040088012</t>
  </si>
  <si>
    <t>SI2040088013</t>
  </si>
  <si>
    <t>OLFPL/19-20/214</t>
  </si>
  <si>
    <t>0489/19-20</t>
  </si>
  <si>
    <t>TI10021640</t>
  </si>
  <si>
    <t>GST/19-20/342</t>
  </si>
  <si>
    <t>GST/19-20/343</t>
  </si>
  <si>
    <t>PE/1926/2019-20</t>
  </si>
  <si>
    <t>SS/19-20/00875</t>
  </si>
  <si>
    <t>IN20191212</t>
  </si>
  <si>
    <t>BB05001215</t>
  </si>
  <si>
    <t>BA/19-20/240</t>
  </si>
  <si>
    <t>MPL2/19/60639</t>
  </si>
  <si>
    <t>DR1/19/25609</t>
  </si>
  <si>
    <t>0505/19-20</t>
  </si>
  <si>
    <t>DR1/19/25722</t>
  </si>
  <si>
    <t>DR1/19/25723</t>
  </si>
  <si>
    <t>DR1/19/25724</t>
  </si>
  <si>
    <t>2690/19-20</t>
  </si>
  <si>
    <t>0511/19-20</t>
  </si>
  <si>
    <t>APIPL/0746</t>
  </si>
  <si>
    <t>1920RE1358</t>
  </si>
  <si>
    <t>SI2040091996</t>
  </si>
  <si>
    <t>0516/19-20</t>
  </si>
  <si>
    <t>AI0023</t>
  </si>
  <si>
    <t>0513/19-20</t>
  </si>
  <si>
    <t>OLFPL/19-20/215</t>
  </si>
  <si>
    <t>BB05001326</t>
  </si>
  <si>
    <t>VNET/19-20/1676</t>
  </si>
  <si>
    <t>19-20/22199</t>
  </si>
  <si>
    <t>19-20/22200</t>
  </si>
  <si>
    <t>19-20/22201</t>
  </si>
  <si>
    <t>19-20/22202</t>
  </si>
  <si>
    <t>0522/19-20</t>
  </si>
  <si>
    <t>SI2040093225</t>
  </si>
  <si>
    <t>SI2040093224</t>
  </si>
  <si>
    <t>19-20/22203</t>
  </si>
  <si>
    <t>YS/19-20/01/101</t>
  </si>
  <si>
    <t>OLFPL/19-20/0229</t>
  </si>
  <si>
    <t>L271205557</t>
  </si>
  <si>
    <t>L271205558</t>
  </si>
  <si>
    <t>L271206761</t>
  </si>
  <si>
    <t>DR1/19/26675</t>
  </si>
  <si>
    <t>SS/19-20/00942</t>
  </si>
  <si>
    <t>FIN0901200626534</t>
  </si>
  <si>
    <t>MPL2/19/62734</t>
  </si>
  <si>
    <t>2852/19-20</t>
  </si>
  <si>
    <t>G1403</t>
  </si>
  <si>
    <t>G1404</t>
  </si>
  <si>
    <t>BM2027I010436697</t>
  </si>
  <si>
    <t>Rohit Transport Services</t>
  </si>
  <si>
    <t>Bajarangbali Tempo Service</t>
  </si>
  <si>
    <t>Jethabhai Doongarshi Transport Co</t>
  </si>
  <si>
    <t>27AAFFJ0769G1ZA</t>
  </si>
  <si>
    <t>Axpresss Logistics India Pvt Ltd</t>
  </si>
  <si>
    <t>FIN0612197085956</t>
  </si>
  <si>
    <t>FIN0912197282617</t>
  </si>
  <si>
    <t>FIN0912197447855</t>
  </si>
  <si>
    <t>FIN0912197476929</t>
  </si>
  <si>
    <t>FIN0912197758329</t>
  </si>
  <si>
    <t>FIN1012198850704</t>
  </si>
  <si>
    <t>105/1920</t>
  </si>
  <si>
    <t>FIN1812195058249</t>
  </si>
  <si>
    <t>OMS</t>
  </si>
  <si>
    <t>INPUT GOODS</t>
  </si>
  <si>
    <t>INPUT CAPITAL GOODS</t>
  </si>
  <si>
    <t>SEZ WPAY INPUT GOODS</t>
  </si>
  <si>
    <t>SEZ WOPAY INPUT GOODS</t>
  </si>
  <si>
    <t>AMD CREDIT NOTE RD</t>
  </si>
  <si>
    <t>AMD CREDIT NOTE URD</t>
  </si>
  <si>
    <t>AMD DEBIT NOTE RD</t>
  </si>
  <si>
    <t>AMD DEBIT NOTE URD</t>
  </si>
  <si>
    <t>CREDIT NOTE RD</t>
  </si>
  <si>
    <t>DEBIT NOTE RD</t>
  </si>
  <si>
    <t>DEBIT NOTE URD</t>
  </si>
  <si>
    <t>CREDIT NOTE URD</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</si>
</sst>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3" formatCode="_ * #,##0.00_ ;_ * \-#,##0.00_ ;_ * &quot;-&quot;??_ ;_ @_ "/>
    <numFmt numFmtId="164" formatCode="&quot;&quot;0.00"/>
    <numFmt numFmtId="165" formatCode="_(* #,##0.00_);_(* \(#,##0.00\);_(* &quot;-&quot;??_);_(@_)"/>
    <numFmt numFmtId="166" formatCode="_ * #,##0_ ;_ * \-#,##0_ ;_ * &quot;-&quot;??_ ;_ @_ "/>
    <numFmt numFmtId="167" formatCode="dd\-mm\-yyyy"/>
    <numFmt numFmtId="168" formatCode="_(* #,##0_);_(* \(#,##0\);_(* &quot;-&quot;??_);_(@_)"/>
    <numFmt numFmtId="169" formatCode="_ * #,##0.00_ ;_ * \-#,##0.00_ ;_ * \-??_ ;_ @_ "/>
    <numFmt numFmtId="170" formatCode="_ &quot;₹ &quot;* #,##0.00_ ;_ &quot;₹ &quot;* \-#,##0.00_ ;_ &quot;₹ &quot;* \-??_ ;_ @_ "/>
    <numFmt numFmtId="171" formatCode="[$-409]d\-mmm\-yy;@"/>
    <numFmt numFmtId="172" formatCode="&quot;&quot;0.00&quot; Dr&quot;"/>
    <numFmt numFmtId="173" formatCode="&quot;&quot;0"/>
    <numFmt numFmtId="174" formatCode="0.0"/>
  </numFmts>
  <fonts count="50" x14ac:knownFonts="1">
    <font>
      <sz val="11"/>
      <color theme="1"/>
      <name val="Calibri"/>
      <family val="2"/>
      <scheme val="minor"/>
    </font>
    <font>
      <sz val="11"/>
      <color theme="1"/>
      <name val="Calibri"/>
      <family val="2"/>
      <scheme val="minor"/>
    </font>
    <font>
      <sz val="10"/>
      <color rgb="FF000000"/>
      <name val="Arial"/>
      <family val="2"/>
    </font>
    <font>
      <u/>
      <sz val="11"/>
      <color theme="10"/>
      <name val="Calibri"/>
      <family val="2"/>
      <scheme val="minor"/>
    </font>
    <font>
      <sz val="9"/>
      <color indexed="81"/>
      <name val="Tahoma"/>
      <family val="2"/>
    </font>
    <font>
      <b/>
      <sz val="9"/>
      <color indexed="81"/>
      <name val="Tahoma"/>
      <family val="2"/>
    </font>
    <font>
      <sz val="8"/>
      <color rgb="FF212121"/>
      <name val="Verdana"/>
      <family val="2"/>
    </font>
    <font>
      <sz val="8"/>
      <color theme="1"/>
      <name val="Verdana"/>
      <family val="2"/>
    </font>
    <font>
      <b/>
      <sz val="8"/>
      <color theme="1"/>
      <name val="Verdana"/>
      <family val="2"/>
    </font>
    <font>
      <sz val="9"/>
      <color theme="1"/>
      <name val="Verdana"/>
      <family val="2"/>
    </font>
    <font>
      <sz val="8"/>
      <name val="Verdana"/>
      <family val="2"/>
    </font>
    <font>
      <b/>
      <u/>
      <sz val="8"/>
      <color rgb="FF7030A0"/>
      <name val="Verdana"/>
      <family val="2"/>
    </font>
    <font>
      <b/>
      <sz val="8"/>
      <name val="Verdana"/>
      <family val="2"/>
    </font>
    <font>
      <b/>
      <u/>
      <sz val="8"/>
      <name val="Verdana"/>
      <family val="2"/>
    </font>
    <font>
      <b/>
      <sz val="8"/>
      <color rgb="FF7030A0"/>
      <name val="Verdana"/>
      <family val="2"/>
    </font>
    <font>
      <b/>
      <sz val="8"/>
      <color rgb="FFFF0000"/>
      <name val="Verdana"/>
      <family val="2"/>
    </font>
    <font>
      <i/>
      <sz val="8"/>
      <color theme="1"/>
      <name val="Verdana"/>
      <family val="2"/>
    </font>
    <font>
      <sz val="8"/>
      <color rgb="FFFF0000"/>
      <name val="Verdana"/>
      <family val="2"/>
    </font>
    <font>
      <b/>
      <sz val="9"/>
      <color rgb="FF000000"/>
      <name val="Verdana"/>
      <family val="2"/>
    </font>
    <font>
      <b/>
      <sz val="8"/>
      <color rgb="FF000000"/>
      <name val="Verdana"/>
      <family val="2"/>
    </font>
    <font>
      <sz val="8"/>
      <color rgb="FF000000"/>
      <name val="Verdana"/>
      <family val="2"/>
    </font>
    <font>
      <b/>
      <u/>
      <sz val="8"/>
      <color theme="1"/>
      <name val="Verdana"/>
      <family val="2"/>
    </font>
    <font>
      <u/>
      <sz val="8"/>
      <color theme="10"/>
      <name val="Verdana"/>
      <family val="2"/>
    </font>
    <font>
      <b/>
      <sz val="8"/>
      <color theme="0"/>
      <name val="Verdana"/>
      <family val="2"/>
    </font>
    <font>
      <sz val="8"/>
      <color rgb="FF333333"/>
      <name val="Verdana"/>
      <family val="2"/>
    </font>
    <font>
      <b/>
      <sz val="11"/>
      <color theme="1"/>
      <name val="Calibri"/>
      <family val="2"/>
      <scheme val="minor"/>
    </font>
    <font>
      <b/>
      <i/>
      <sz val="9"/>
      <color theme="1"/>
      <name val="Arial"/>
      <family val="2"/>
    </font>
    <font>
      <b/>
      <sz val="10"/>
      <color theme="1"/>
      <name val="Arial"/>
      <family val="2"/>
    </font>
    <font>
      <i/>
      <sz val="9"/>
      <color theme="1"/>
      <name val="Arial"/>
      <family val="2"/>
    </font>
    <font>
      <sz val="9"/>
      <color theme="1"/>
      <name val="Arial"/>
      <family val="2"/>
    </font>
    <font>
      <sz val="9"/>
      <name val="Arial"/>
      <family val="2"/>
    </font>
    <font>
      <b/>
      <sz val="9"/>
      <name val="Arial"/>
      <family val="2"/>
    </font>
    <font>
      <b/>
      <i/>
      <u/>
      <sz val="9"/>
      <name val="Arial"/>
      <family val="2"/>
    </font>
    <font>
      <sz val="9"/>
      <color theme="1"/>
      <name val="Microsoft Sans Serif"/>
      <family val="2"/>
    </font>
    <font>
      <sz val="9"/>
      <name val="Bookman Old Style"/>
      <family val="1"/>
    </font>
    <font>
      <b/>
      <sz val="11"/>
      <color theme="1"/>
      <name val="Microsoft Sans Serif"/>
      <family val="2"/>
    </font>
    <font>
      <sz val="11"/>
      <color theme="1"/>
      <name val="Microsoft Sans Serif"/>
      <family val="2"/>
    </font>
    <font>
      <sz val="8"/>
      <color theme="1"/>
      <name val="Microsoft Sans Serif"/>
      <family val="2"/>
    </font>
    <font>
      <b/>
      <sz val="12"/>
      <name val="Arial"/>
      <family val="2"/>
    </font>
    <font>
      <b/>
      <sz val="14"/>
      <name val="Arial"/>
      <family val="2"/>
    </font>
    <font>
      <b/>
      <sz val="10"/>
      <name val="Arial"/>
      <family val="2"/>
    </font>
    <font>
      <sz val="10"/>
      <name val="Arial"/>
      <family val="2"/>
    </font>
    <font>
      <sz val="10"/>
      <color indexed="8"/>
      <name val="Arial"/>
      <family val="2"/>
    </font>
    <font>
      <sz val="9.1999999999999993"/>
      <color indexed="8"/>
      <name val="Arial"/>
      <family val="2"/>
    </font>
    <font>
      <b/>
      <sz val="9.1999999999999993"/>
      <color indexed="8"/>
      <name val="Arial"/>
      <family val="2"/>
    </font>
    <font>
      <b/>
      <sz val="8"/>
      <color indexed="8"/>
      <name val="Arial"/>
      <family val="2"/>
    </font>
    <font>
      <b/>
      <sz val="14"/>
      <name val="Comic Sans MS"/>
      <family val="4"/>
    </font>
    <font>
      <sz val="12"/>
      <color theme="1"/>
      <name val="Calibri"/>
      <family val="2"/>
      <scheme val="minor"/>
    </font>
    <font>
      <b/>
      <sz val="12"/>
      <color theme="1"/>
      <name val="Calibri"/>
      <family val="2"/>
      <scheme val="minor"/>
    </font>
    <font>
      <b/>
      <sz val="10"/>
      <color indexed="8"/>
      <name val="Arial"/>
      <family val="2"/>
    </font>
  </fonts>
  <fills count="59">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00B0F0"/>
        <bgColor indexed="64"/>
      </patternFill>
    </fill>
    <fill>
      <patternFill patternType="solid">
        <fgColor rgb="FF00C1FC"/>
        <bgColor rgb="FF33CCCC"/>
      </patternFill>
    </fill>
    <fill>
      <patternFill patternType="solid">
        <fgColor rgb="FFB2ECFE"/>
        <bgColor rgb="FFC6D9F1"/>
      </patternFill>
    </fill>
    <fill>
      <patternFill patternType="solid">
        <fgColor rgb="FFFAC090"/>
        <bgColor rgb="FFF4B083"/>
      </patternFill>
    </fill>
    <fill>
      <patternFill patternType="solid">
        <fgColor rgb="FFFDEADA"/>
        <bgColor rgb="FFDCE6F2"/>
      </patternFill>
    </fill>
    <fill>
      <patternFill patternType="solid">
        <fgColor theme="5" tint="-0.249977111117893"/>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6699FF"/>
        <bgColor indexed="64"/>
      </patternFill>
    </fill>
    <fill>
      <patternFill patternType="solid">
        <fgColor theme="6" tint="-0.249977111117893"/>
        <bgColor indexed="64"/>
      </patternFill>
    </fill>
    <fill>
      <patternFill patternType="solid">
        <fgColor theme="3" tint="0.59999389629810485"/>
        <bgColor indexed="64"/>
      </patternFill>
    </fill>
    <fill>
      <patternFill patternType="solid">
        <fgColor rgb="FF800080"/>
        <bgColor indexed="64"/>
      </patternFill>
    </fill>
    <fill>
      <patternFill patternType="solid">
        <fgColor theme="9" tint="0.79998168889431442"/>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rgb="FFFFFF00"/>
        <bgColor theme="4" tint="0.79998168889431442"/>
      </patternFill>
    </fill>
    <fill>
      <patternFill patternType="solid">
        <fgColor rgb="FF558ED5"/>
        <bgColor rgb="FF7F7F7F"/>
      </patternFill>
    </fill>
    <fill>
      <patternFill patternType="solid">
        <fgColor rgb="FFDCE6F2"/>
        <bgColor rgb="FFD9D9D9"/>
      </patternFill>
    </fill>
    <fill>
      <patternFill patternType="solid">
        <fgColor rgb="FFDDD9C3"/>
        <bgColor rgb="FFD9D9D9"/>
      </patternFill>
    </fill>
    <fill>
      <patternFill patternType="solid">
        <fgColor rgb="FFFFFFFF"/>
        <bgColor rgb="FFFDEADA"/>
      </patternFill>
    </fill>
    <fill>
      <patternFill patternType="solid">
        <fgColor rgb="FF7F7F7F"/>
        <bgColor rgb="FF969696"/>
      </patternFill>
    </fill>
    <fill>
      <patternFill patternType="solid">
        <fgColor rgb="FFD99694"/>
        <bgColor rgb="FFF4B083"/>
      </patternFill>
    </fill>
    <fill>
      <patternFill patternType="solid">
        <fgColor rgb="FFE6B9B8"/>
        <bgColor rgb="FFFAC090"/>
      </patternFill>
    </fill>
    <fill>
      <patternFill patternType="solid">
        <fgColor rgb="FFCCC1DA"/>
        <bgColor rgb="FFE6B9B8"/>
      </patternFill>
    </fill>
    <fill>
      <patternFill patternType="solid">
        <fgColor rgb="FFC6D9F1"/>
        <bgColor rgb="FFD9D9D9"/>
      </patternFill>
    </fill>
    <fill>
      <patternFill patternType="solid">
        <fgColor rgb="FF8EB4E3"/>
        <bgColor rgb="FF9999FF"/>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bgColor indexed="64"/>
      </patternFill>
    </fill>
    <fill>
      <patternFill patternType="solid">
        <fgColor theme="9" tint="-0.249977111117893"/>
        <bgColor indexed="64"/>
      </patternFill>
    </fill>
    <fill>
      <patternFill patternType="solid">
        <fgColor rgb="FFFFFFFF"/>
        <bgColor rgb="FFFFFFFF"/>
      </patternFill>
    </fill>
    <fill>
      <patternFill patternType="solid">
        <fgColor rgb="FF002060"/>
        <bgColor indexed="34"/>
      </patternFill>
    </fill>
    <fill>
      <patternFill patternType="solid">
        <fgColor theme="9" tint="0.39997558519241921"/>
        <bgColor indexed="34"/>
      </patternFill>
    </fill>
    <fill>
      <patternFill patternType="solid">
        <fgColor theme="4" tint="-0.249977111117893"/>
        <bgColor indexed="64"/>
      </patternFill>
    </fill>
    <fill>
      <patternFill patternType="solid">
        <fgColor theme="1" tint="0.14996795556505021"/>
        <bgColor indexed="64"/>
      </patternFill>
    </fill>
    <fill>
      <patternFill patternType="solid">
        <fgColor rgb="FF0070C0"/>
        <bgColor indexed="64"/>
      </patternFill>
    </fill>
    <fill>
      <patternFill patternType="solid">
        <fgColor theme="0" tint="-0.34998626667073579"/>
        <bgColor indexed="64"/>
      </patternFill>
    </fill>
  </fills>
  <borders count="102">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auto="1"/>
      </left>
      <right style="thin">
        <color indexed="64"/>
      </right>
      <top/>
      <bottom/>
      <diagonal/>
    </border>
    <border>
      <left style="thin">
        <color indexed="64"/>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auto="1"/>
      </left>
      <right style="medium">
        <color auto="1"/>
      </right>
      <top style="medium">
        <color auto="1"/>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rgb="FFD9D9D9"/>
      </right>
      <top/>
      <bottom/>
      <diagonal/>
    </border>
    <border>
      <left/>
      <right/>
      <top/>
      <bottom style="thin">
        <color rgb="FFD9D9D9"/>
      </bottom>
      <diagonal/>
    </border>
    <border>
      <left/>
      <right style="thin">
        <color rgb="FFD9D9D9"/>
      </right>
      <top style="thin">
        <color rgb="FFD9D9D9"/>
      </top>
      <bottom style="thin">
        <color rgb="FFD9D9D9"/>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double">
        <color auto="1"/>
      </right>
      <top/>
      <bottom/>
      <diagonal/>
    </border>
    <border>
      <left style="double">
        <color indexed="64"/>
      </left>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bottom style="medium">
        <color indexed="64"/>
      </bottom>
      <diagonal/>
    </border>
    <border>
      <left style="thin">
        <color rgb="FFD9D9D9"/>
      </left>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cellStyleXfs>
  <cellXfs count="1490">
    <xf numFmtId="0" fontId="0" fillId="0" borderId="0" xfId="0"/>
    <xf numFmtId="17" fontId="7" fillId="0" borderId="35" xfId="0" applyNumberFormat="1" applyFont="1" applyBorder="1"/>
    <xf numFmtId="0" fontId="8" fillId="2" borderId="35" xfId="0" applyFont="1" applyFill="1" applyBorder="1" applyAlignment="1">
      <alignment vertical="center"/>
    </xf>
    <xf numFmtId="0" fontId="8" fillId="2" borderId="36" xfId="0" applyFont="1" applyFill="1" applyBorder="1" applyAlignment="1">
      <alignment vertical="center"/>
    </xf>
    <xf numFmtId="0" fontId="7" fillId="0" borderId="36" xfId="0" applyFont="1" applyBorder="1"/>
    <xf numFmtId="15" fontId="8" fillId="2" borderId="36" xfId="0" applyNumberFormat="1" applyFont="1" applyFill="1" applyBorder="1" applyAlignment="1">
      <alignment vertical="center"/>
    </xf>
    <xf numFmtId="0" fontId="8" fillId="0" borderId="3" xfId="0" applyFont="1" applyFill="1" applyBorder="1" applyAlignment="1">
      <alignment vertical="center"/>
    </xf>
    <xf numFmtId="2" fontId="8" fillId="3" borderId="3" xfId="0" applyNumberFormat="1" applyFont="1" applyFill="1" applyBorder="1"/>
    <xf numFmtId="0" fontId="8" fillId="2" borderId="37" xfId="0" applyFont="1" applyFill="1" applyBorder="1" applyAlignment="1">
      <alignment vertical="center"/>
    </xf>
    <xf numFmtId="2" fontId="8" fillId="3" borderId="37" xfId="0" applyNumberFormat="1" applyFont="1" applyFill="1" applyBorder="1"/>
    <xf numFmtId="0" fontId="7" fillId="0" borderId="37" xfId="0" applyFont="1" applyBorder="1"/>
    <xf numFmtId="0" fontId="7" fillId="0" borderId="0" xfId="0" applyFont="1"/>
    <xf numFmtId="0" fontId="8" fillId="6" borderId="5" xfId="0" applyFont="1" applyFill="1" applyBorder="1" applyAlignment="1">
      <alignment vertical="center"/>
    </xf>
    <xf numFmtId="0" fontId="8" fillId="6" borderId="5" xfId="0" applyFont="1" applyFill="1" applyBorder="1" applyAlignment="1">
      <alignment horizontal="center" vertical="center"/>
    </xf>
    <xf numFmtId="0" fontId="8" fillId="6" borderId="5" xfId="0" applyFont="1" applyFill="1" applyBorder="1" applyAlignment="1">
      <alignment vertical="center" wrapText="1"/>
    </xf>
    <xf numFmtId="2" fontId="8" fillId="6" borderId="5" xfId="0" applyNumberFormat="1" applyFont="1" applyFill="1" applyBorder="1" applyAlignment="1">
      <alignment vertical="center" wrapText="1"/>
    </xf>
    <xf numFmtId="0" fontId="8" fillId="6" borderId="6" xfId="0" applyFont="1" applyFill="1" applyBorder="1" applyAlignment="1">
      <alignment vertical="center"/>
    </xf>
    <xf numFmtId="0" fontId="8" fillId="6" borderId="6"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3" xfId="0" applyFont="1" applyFill="1" applyBorder="1" applyAlignment="1">
      <alignment vertical="center"/>
    </xf>
    <xf numFmtId="2" fontId="8" fillId="6" borderId="6" xfId="0" applyNumberFormat="1" applyFont="1" applyFill="1" applyBorder="1" applyAlignment="1">
      <alignment vertical="center"/>
    </xf>
    <xf numFmtId="2" fontId="8" fillId="6" borderId="3" xfId="0" applyNumberFormat="1" applyFont="1" applyFill="1" applyBorder="1" applyAlignment="1">
      <alignment vertical="center"/>
    </xf>
    <xf numFmtId="0" fontId="8" fillId="6" borderId="3" xfId="0" applyFont="1" applyFill="1" applyBorder="1" applyAlignment="1">
      <alignment vertical="center" wrapText="1"/>
    </xf>
    <xf numFmtId="17" fontId="7" fillId="0" borderId="5" xfId="0" applyNumberFormat="1" applyFont="1" applyBorder="1"/>
    <xf numFmtId="0" fontId="7" fillId="0" borderId="5" xfId="0" applyFont="1" applyBorder="1"/>
    <xf numFmtId="49" fontId="7" fillId="0" borderId="5" xfId="0" applyNumberFormat="1" applyFont="1" applyBorder="1" applyAlignment="1">
      <alignment vertical="top"/>
    </xf>
    <xf numFmtId="49" fontId="7" fillId="3" borderId="5" xfId="0" applyNumberFormat="1" applyFont="1" applyFill="1" applyBorder="1" applyAlignment="1"/>
    <xf numFmtId="15" fontId="7" fillId="3" borderId="5" xfId="0" applyNumberFormat="1" applyFont="1" applyFill="1" applyBorder="1" applyAlignment="1"/>
    <xf numFmtId="0" fontId="7" fillId="3" borderId="5" xfId="0" applyFont="1" applyFill="1" applyBorder="1"/>
    <xf numFmtId="2" fontId="7" fillId="0" borderId="5" xfId="0" applyNumberFormat="1" applyFont="1" applyBorder="1"/>
    <xf numFmtId="2" fontId="7" fillId="3" borderId="5" xfId="0" applyNumberFormat="1" applyFont="1" applyFill="1" applyBorder="1" applyAlignment="1"/>
    <xf numFmtId="2" fontId="7" fillId="0" borderId="5" xfId="0" applyNumberFormat="1" applyFont="1" applyBorder="1" applyAlignment="1">
      <alignment horizontal="right" vertical="top"/>
    </xf>
    <xf numFmtId="2" fontId="7" fillId="0" borderId="5" xfId="0" applyNumberFormat="1" applyFont="1" applyBorder="1" applyAlignment="1"/>
    <xf numFmtId="17" fontId="7" fillId="0" borderId="7" xfId="0" applyNumberFormat="1" applyFont="1" applyBorder="1"/>
    <xf numFmtId="0" fontId="7" fillId="0" borderId="7" xfId="0" applyFont="1" applyBorder="1"/>
    <xf numFmtId="49" fontId="7" fillId="0" borderId="7" xfId="0" applyNumberFormat="1" applyFont="1" applyBorder="1" applyAlignment="1">
      <alignment vertical="top"/>
    </xf>
    <xf numFmtId="49" fontId="7" fillId="3" borderId="7" xfId="0" applyNumberFormat="1" applyFont="1" applyFill="1" applyBorder="1" applyAlignment="1"/>
    <xf numFmtId="15" fontId="7" fillId="3" borderId="7" xfId="0" applyNumberFormat="1" applyFont="1" applyFill="1" applyBorder="1" applyAlignment="1"/>
    <xf numFmtId="0" fontId="7" fillId="3" borderId="7" xfId="0" applyFont="1" applyFill="1" applyBorder="1"/>
    <xf numFmtId="2" fontId="7" fillId="0" borderId="7" xfId="0" applyNumberFormat="1" applyFont="1" applyBorder="1"/>
    <xf numFmtId="2" fontId="7" fillId="3" borderId="7" xfId="0" applyNumberFormat="1" applyFont="1" applyFill="1" applyBorder="1" applyAlignment="1"/>
    <xf numFmtId="2" fontId="7" fillId="0" borderId="7" xfId="0" applyNumberFormat="1" applyFont="1" applyBorder="1" applyAlignment="1">
      <alignment horizontal="right" vertical="top"/>
    </xf>
    <xf numFmtId="2" fontId="7" fillId="0" borderId="7" xfId="0" applyNumberFormat="1" applyFont="1" applyBorder="1" applyAlignment="1"/>
    <xf numFmtId="0" fontId="7" fillId="0" borderId="7" xfId="0" applyFont="1" applyFill="1" applyBorder="1"/>
    <xf numFmtId="15" fontId="7" fillId="0" borderId="7" xfId="0" applyNumberFormat="1" applyFont="1" applyBorder="1"/>
    <xf numFmtId="17" fontId="7" fillId="4" borderId="7" xfId="0" applyNumberFormat="1" applyFont="1" applyFill="1" applyBorder="1"/>
    <xf numFmtId="0" fontId="7" fillId="4" borderId="7" xfId="0" applyFont="1" applyFill="1" applyBorder="1"/>
    <xf numFmtId="15" fontId="7" fillId="4" borderId="7" xfId="0" applyNumberFormat="1" applyFont="1" applyFill="1" applyBorder="1"/>
    <xf numFmtId="2" fontId="7" fillId="4" borderId="7" xfId="0" applyNumberFormat="1" applyFont="1" applyFill="1" applyBorder="1" applyAlignment="1"/>
    <xf numFmtId="2" fontId="7" fillId="4" borderId="7" xfId="0" applyNumberFormat="1" applyFont="1" applyFill="1" applyBorder="1" applyAlignment="1">
      <alignment horizontal="right" vertical="top"/>
    </xf>
    <xf numFmtId="2" fontId="7" fillId="0" borderId="7" xfId="0" applyNumberFormat="1" applyFont="1" applyBorder="1" applyAlignment="1">
      <alignment horizontal="right"/>
    </xf>
    <xf numFmtId="17" fontId="7" fillId="0" borderId="7" xfId="0" applyNumberFormat="1" applyFont="1" applyBorder="1" applyAlignment="1">
      <alignment horizontal="center"/>
    </xf>
    <xf numFmtId="17" fontId="7" fillId="0" borderId="0" xfId="0" applyNumberFormat="1" applyFont="1"/>
    <xf numFmtId="15" fontId="7" fillId="0" borderId="0" xfId="0" applyNumberFormat="1" applyFont="1"/>
    <xf numFmtId="2" fontId="7" fillId="0" borderId="0" xfId="0" applyNumberFormat="1" applyFont="1"/>
    <xf numFmtId="0" fontId="8" fillId="0" borderId="16" xfId="0" applyFont="1" applyBorder="1"/>
    <xf numFmtId="0" fontId="8" fillId="0" borderId="17" xfId="0" applyFont="1" applyBorder="1"/>
    <xf numFmtId="0" fontId="7" fillId="0" borderId="17" xfId="0" applyFont="1" applyBorder="1"/>
    <xf numFmtId="0" fontId="7" fillId="0" borderId="18" xfId="0" applyFont="1" applyBorder="1"/>
    <xf numFmtId="0" fontId="7" fillId="0" borderId="49" xfId="0" applyFont="1" applyBorder="1"/>
    <xf numFmtId="0" fontId="7" fillId="0" borderId="0" xfId="0" applyFont="1" applyBorder="1"/>
    <xf numFmtId="17" fontId="7" fillId="0" borderId="0" xfId="0" applyNumberFormat="1" applyFont="1" applyBorder="1" applyAlignment="1">
      <alignment horizontal="center"/>
    </xf>
    <xf numFmtId="17" fontId="7" fillId="0" borderId="50" xfId="0" applyNumberFormat="1" applyFont="1" applyBorder="1" applyAlignment="1">
      <alignment horizontal="center"/>
    </xf>
    <xf numFmtId="0" fontId="7" fillId="0" borderId="6" xfId="0" applyFont="1" applyBorder="1"/>
    <xf numFmtId="17" fontId="7" fillId="0" borderId="6" xfId="0" applyNumberFormat="1" applyFont="1" applyBorder="1" applyAlignment="1">
      <alignment horizontal="center"/>
    </xf>
    <xf numFmtId="17" fontId="7" fillId="0" borderId="89" xfId="0" applyNumberFormat="1" applyFont="1" applyBorder="1" applyAlignment="1">
      <alignment horizontal="center"/>
    </xf>
    <xf numFmtId="0" fontId="7" fillId="0" borderId="3" xfId="0" applyFont="1" applyBorder="1"/>
    <xf numFmtId="0" fontId="7" fillId="8" borderId="7" xfId="0" applyFont="1" applyFill="1" applyBorder="1"/>
    <xf numFmtId="43" fontId="7" fillId="8" borderId="7" xfId="0" applyNumberFormat="1" applyFont="1" applyFill="1" applyBorder="1"/>
    <xf numFmtId="43" fontId="7" fillId="9" borderId="7" xfId="0" applyNumberFormat="1" applyFont="1" applyFill="1" applyBorder="1"/>
    <xf numFmtId="43" fontId="7" fillId="8" borderId="72" xfId="0" applyNumberFormat="1" applyFont="1" applyFill="1" applyBorder="1"/>
    <xf numFmtId="43" fontId="7" fillId="0" borderId="7" xfId="0" applyNumberFormat="1" applyFont="1" applyBorder="1"/>
    <xf numFmtId="43" fontId="7" fillId="0" borderId="0" xfId="0" applyNumberFormat="1" applyFont="1"/>
    <xf numFmtId="43" fontId="7" fillId="0" borderId="72" xfId="0" applyNumberFormat="1" applyFont="1" applyBorder="1"/>
    <xf numFmtId="0" fontId="7" fillId="0" borderId="72" xfId="0" applyFont="1" applyBorder="1"/>
    <xf numFmtId="41" fontId="7" fillId="0" borderId="7" xfId="0" applyNumberFormat="1" applyFont="1" applyBorder="1"/>
    <xf numFmtId="41" fontId="7" fillId="0" borderId="72" xfId="0" applyNumberFormat="1" applyFont="1" applyBorder="1"/>
    <xf numFmtId="0" fontId="8" fillId="0" borderId="3" xfId="0" applyFont="1" applyBorder="1"/>
    <xf numFmtId="41" fontId="8" fillId="0" borderId="3" xfId="0" applyNumberFormat="1" applyFont="1" applyBorder="1"/>
    <xf numFmtId="41" fontId="8" fillId="0" borderId="35" xfId="0" applyNumberFormat="1" applyFont="1" applyBorder="1"/>
    <xf numFmtId="0" fontId="8" fillId="0" borderId="5" xfId="0" applyFont="1" applyBorder="1"/>
    <xf numFmtId="41" fontId="8" fillId="0" borderId="5" xfId="0" applyNumberFormat="1" applyFont="1" applyBorder="1"/>
    <xf numFmtId="41" fontId="8" fillId="0" borderId="1" xfId="0" applyNumberFormat="1" applyFont="1" applyBorder="1"/>
    <xf numFmtId="43" fontId="7" fillId="8" borderId="5" xfId="0" applyNumberFormat="1" applyFont="1" applyFill="1" applyBorder="1"/>
    <xf numFmtId="43" fontId="7" fillId="0" borderId="5" xfId="0" applyNumberFormat="1" applyFont="1" applyBorder="1"/>
    <xf numFmtId="43" fontId="7" fillId="8" borderId="6" xfId="0" applyNumberFormat="1" applyFont="1" applyFill="1" applyBorder="1"/>
    <xf numFmtId="43" fontId="7" fillId="0" borderId="6" xfId="0" applyNumberFormat="1" applyFont="1" applyBorder="1"/>
    <xf numFmtId="0" fontId="7" fillId="0" borderId="1" xfId="0" applyFont="1" applyBorder="1"/>
    <xf numFmtId="43" fontId="7" fillId="8" borderId="89" xfId="0" applyNumberFormat="1" applyFont="1" applyFill="1" applyBorder="1"/>
    <xf numFmtId="0" fontId="7" fillId="0" borderId="19" xfId="0" applyFont="1" applyBorder="1"/>
    <xf numFmtId="17" fontId="7" fillId="0" borderId="20" xfId="0" applyNumberFormat="1" applyFont="1" applyBorder="1" applyAlignment="1">
      <alignment horizontal="center"/>
    </xf>
    <xf numFmtId="0" fontId="7" fillId="0" borderId="21" xfId="0" applyFont="1" applyBorder="1"/>
    <xf numFmtId="41" fontId="7" fillId="0" borderId="5" xfId="0" applyNumberFormat="1" applyFont="1" applyBorder="1"/>
    <xf numFmtId="41" fontId="7" fillId="0" borderId="1" xfId="0" applyNumberFormat="1" applyFont="1" applyBorder="1"/>
    <xf numFmtId="0" fontId="7" fillId="8" borderId="6" xfId="0" applyFont="1" applyFill="1" applyBorder="1"/>
    <xf numFmtId="43" fontId="7" fillId="0" borderId="89" xfId="0" applyNumberFormat="1" applyFont="1" applyBorder="1"/>
    <xf numFmtId="0" fontId="8" fillId="0" borderId="0" xfId="0" applyFont="1" applyBorder="1"/>
    <xf numFmtId="41" fontId="7" fillId="0" borderId="0" xfId="0" applyNumberFormat="1" applyFont="1" applyBorder="1"/>
    <xf numFmtId="17" fontId="7" fillId="0" borderId="3" xfId="0" applyNumberFormat="1" applyFont="1" applyBorder="1" applyAlignment="1">
      <alignment horizontal="center"/>
    </xf>
    <xf numFmtId="17" fontId="7" fillId="0" borderId="35" xfId="0" applyNumberFormat="1" applyFont="1" applyBorder="1" applyAlignment="1">
      <alignment horizontal="center"/>
    </xf>
    <xf numFmtId="43" fontId="7" fillId="4" borderId="7" xfId="0" applyNumberFormat="1" applyFont="1" applyFill="1" applyBorder="1"/>
    <xf numFmtId="43" fontId="7" fillId="4" borderId="72" xfId="0" applyNumberFormat="1" applyFont="1" applyFill="1" applyBorder="1"/>
    <xf numFmtId="43" fontId="7" fillId="0" borderId="7" xfId="0" applyNumberFormat="1" applyFont="1" applyBorder="1" applyAlignment="1">
      <alignment horizontal="center"/>
    </xf>
    <xf numFmtId="43" fontId="7" fillId="0" borderId="72" xfId="0" applyNumberFormat="1" applyFont="1" applyBorder="1" applyAlignment="1">
      <alignment horizontal="center"/>
    </xf>
    <xf numFmtId="43" fontId="7" fillId="4" borderId="7" xfId="0" applyNumberFormat="1" applyFont="1" applyFill="1" applyBorder="1" applyAlignment="1">
      <alignment horizontal="center"/>
    </xf>
    <xf numFmtId="43" fontId="7" fillId="4" borderId="72" xfId="0" applyNumberFormat="1" applyFont="1" applyFill="1" applyBorder="1" applyAlignment="1">
      <alignment horizontal="center"/>
    </xf>
    <xf numFmtId="41" fontId="7" fillId="0" borderId="34" xfId="0" applyNumberFormat="1" applyFont="1" applyBorder="1"/>
    <xf numFmtId="41" fontId="7" fillId="0" borderId="93" xfId="0" applyNumberFormat="1" applyFont="1" applyBorder="1"/>
    <xf numFmtId="0" fontId="7" fillId="8" borderId="5" xfId="0" applyFont="1" applyFill="1" applyBorder="1"/>
    <xf numFmtId="0" fontId="7" fillId="8" borderId="34" xfId="0" applyFont="1" applyFill="1" applyBorder="1"/>
    <xf numFmtId="17" fontId="7" fillId="0" borderId="5" xfId="0" applyNumberFormat="1" applyFont="1" applyBorder="1" applyAlignment="1">
      <alignment horizontal="center"/>
    </xf>
    <xf numFmtId="17" fontId="7" fillId="0" borderId="1" xfId="0" applyNumberFormat="1" applyFont="1" applyBorder="1" applyAlignment="1">
      <alignment horizontal="center"/>
    </xf>
    <xf numFmtId="0" fontId="9" fillId="0" borderId="0" xfId="0" applyFont="1"/>
    <xf numFmtId="0" fontId="9" fillId="0" borderId="0" xfId="0" applyFont="1" applyBorder="1"/>
    <xf numFmtId="0" fontId="8" fillId="3" borderId="0" xfId="0" applyFont="1" applyFill="1" applyBorder="1" applyAlignment="1">
      <alignment vertical="center"/>
    </xf>
    <xf numFmtId="2" fontId="7" fillId="3" borderId="5" xfId="0" applyNumberFormat="1" applyFont="1" applyFill="1" applyBorder="1"/>
    <xf numFmtId="0" fontId="7" fillId="0" borderId="4" xfId="0" applyFont="1" applyBorder="1"/>
    <xf numFmtId="164" fontId="7" fillId="0" borderId="5" xfId="0" applyNumberFormat="1" applyFont="1" applyBorder="1" applyAlignment="1">
      <alignment horizontal="right" vertical="top"/>
    </xf>
    <xf numFmtId="164" fontId="7" fillId="0" borderId="7" xfId="0" applyNumberFormat="1" applyFont="1" applyBorder="1" applyAlignment="1">
      <alignment horizontal="right" vertical="top"/>
    </xf>
    <xf numFmtId="17" fontId="7" fillId="0" borderId="3" xfId="0" applyNumberFormat="1" applyFont="1" applyBorder="1"/>
    <xf numFmtId="0" fontId="8" fillId="2" borderId="3" xfId="0" applyFont="1" applyFill="1" applyBorder="1" applyAlignment="1">
      <alignment vertical="center"/>
    </xf>
    <xf numFmtId="0" fontId="7" fillId="3" borderId="3" xfId="0" applyFont="1" applyFill="1" applyBorder="1"/>
    <xf numFmtId="0" fontId="8" fillId="0" borderId="7" xfId="0" applyFont="1" applyFill="1" applyBorder="1" applyAlignment="1">
      <alignment horizontal="center" vertical="center"/>
    </xf>
    <xf numFmtId="2" fontId="8" fillId="0" borderId="7" xfId="0" applyNumberFormat="1" applyFont="1" applyFill="1" applyBorder="1" applyAlignment="1">
      <alignment horizontal="center" vertical="center"/>
    </xf>
    <xf numFmtId="0" fontId="7" fillId="34" borderId="7" xfId="0" applyNumberFormat="1" applyFont="1" applyFill="1" applyBorder="1"/>
    <xf numFmtId="2" fontId="7" fillId="34" borderId="7" xfId="0" applyNumberFormat="1" applyFont="1" applyFill="1" applyBorder="1" applyAlignment="1"/>
    <xf numFmtId="2" fontId="7" fillId="3" borderId="7" xfId="0" applyNumberFormat="1" applyFont="1" applyFill="1" applyBorder="1"/>
    <xf numFmtId="164" fontId="7" fillId="0" borderId="7" xfId="0" applyNumberFormat="1" applyFont="1" applyBorder="1" applyAlignment="1"/>
    <xf numFmtId="0" fontId="8" fillId="6" borderId="6" xfId="0" applyFont="1" applyFill="1" applyBorder="1" applyAlignment="1">
      <alignment horizontal="center" vertical="center"/>
    </xf>
    <xf numFmtId="0" fontId="7" fillId="0" borderId="0" xfId="0" applyFont="1" applyFill="1" applyBorder="1"/>
    <xf numFmtId="0" fontId="7" fillId="0" borderId="5" xfId="0" applyFont="1" applyFill="1" applyBorder="1" applyProtection="1">
      <protection locked="0"/>
    </xf>
    <xf numFmtId="0" fontId="7" fillId="3" borderId="5" xfId="0" applyNumberFormat="1" applyFont="1" applyFill="1" applyBorder="1" applyAlignment="1">
      <alignment horizontal="right" vertical="top"/>
    </xf>
    <xf numFmtId="167" fontId="7" fillId="3" borderId="5" xfId="0" applyNumberFormat="1" applyFont="1" applyFill="1" applyBorder="1" applyAlignment="1">
      <alignment horizontal="right" vertical="top"/>
    </xf>
    <xf numFmtId="0" fontId="7" fillId="0" borderId="7" xfId="0" applyFont="1" applyFill="1" applyBorder="1" applyProtection="1">
      <protection locked="0"/>
    </xf>
    <xf numFmtId="0" fontId="7" fillId="3" borderId="7" xfId="0" applyNumberFormat="1" applyFont="1" applyFill="1" applyBorder="1" applyAlignment="1">
      <alignment horizontal="right" vertical="top"/>
    </xf>
    <xf numFmtId="167" fontId="7" fillId="3" borderId="7" xfId="0" applyNumberFormat="1" applyFont="1" applyFill="1" applyBorder="1" applyAlignment="1">
      <alignment horizontal="right" vertical="top"/>
    </xf>
    <xf numFmtId="1" fontId="7" fillId="3" borderId="7" xfId="0" applyNumberFormat="1" applyFont="1" applyFill="1" applyBorder="1" applyAlignment="1">
      <alignment horizontal="right" vertical="top"/>
    </xf>
    <xf numFmtId="0" fontId="8" fillId="0" borderId="0" xfId="0" applyFont="1" applyProtection="1"/>
    <xf numFmtId="0" fontId="7" fillId="0" borderId="0" xfId="0" applyFont="1" applyProtection="1"/>
    <xf numFmtId="0" fontId="8" fillId="35" borderId="76" xfId="0" applyFont="1" applyFill="1" applyBorder="1" applyAlignment="1" applyProtection="1">
      <alignment horizontal="center" vertical="center"/>
    </xf>
    <xf numFmtId="0" fontId="8" fillId="35" borderId="3" xfId="0" applyFont="1" applyFill="1" applyBorder="1" applyAlignment="1" applyProtection="1">
      <alignment horizontal="center" vertical="center"/>
    </xf>
    <xf numFmtId="0" fontId="8" fillId="35" borderId="77" xfId="0" applyFont="1" applyFill="1" applyBorder="1" applyAlignment="1" applyProtection="1">
      <alignment horizontal="center" vertical="center"/>
    </xf>
    <xf numFmtId="0" fontId="8" fillId="35" borderId="35" xfId="0" applyFont="1" applyFill="1" applyBorder="1" applyAlignment="1" applyProtection="1">
      <alignment horizontal="center" vertical="center"/>
    </xf>
    <xf numFmtId="0" fontId="8" fillId="35" borderId="39" xfId="0" applyFont="1" applyFill="1" applyBorder="1" applyAlignment="1" applyProtection="1">
      <alignment horizontal="center" vertical="center"/>
    </xf>
    <xf numFmtId="0" fontId="8" fillId="35" borderId="5" xfId="0" applyFont="1" applyFill="1" applyBorder="1" applyAlignment="1" applyProtection="1">
      <alignment horizontal="center" vertical="center"/>
    </xf>
    <xf numFmtId="0" fontId="8" fillId="35" borderId="84" xfId="0" applyFont="1" applyFill="1" applyBorder="1" applyAlignment="1" applyProtection="1">
      <alignment horizontal="center" vertical="center"/>
    </xf>
    <xf numFmtId="0" fontId="8" fillId="0" borderId="48" xfId="0" applyFont="1" applyBorder="1" applyProtection="1"/>
    <xf numFmtId="168" fontId="7" fillId="0" borderId="39" xfId="1" applyNumberFormat="1" applyFont="1" applyBorder="1" applyProtection="1"/>
    <xf numFmtId="168" fontId="7" fillId="0" borderId="5" xfId="1" applyNumberFormat="1" applyFont="1" applyBorder="1" applyProtection="1"/>
    <xf numFmtId="168" fontId="7" fillId="0" borderId="84" xfId="1" applyNumberFormat="1" applyFont="1" applyBorder="1" applyProtection="1"/>
    <xf numFmtId="168" fontId="7" fillId="0" borderId="40" xfId="1" applyNumberFormat="1" applyFont="1" applyBorder="1" applyProtection="1"/>
    <xf numFmtId="168" fontId="7" fillId="0" borderId="7" xfId="1" applyNumberFormat="1" applyFont="1" applyBorder="1" applyProtection="1"/>
    <xf numFmtId="168" fontId="7" fillId="0" borderId="81" xfId="1" applyNumberFormat="1" applyFont="1" applyBorder="1" applyProtection="1"/>
    <xf numFmtId="168" fontId="7" fillId="0" borderId="72" xfId="1" applyNumberFormat="1" applyFont="1" applyBorder="1" applyProtection="1"/>
    <xf numFmtId="168" fontId="7" fillId="0" borderId="0" xfId="1" applyNumberFormat="1" applyFont="1" applyProtection="1"/>
    <xf numFmtId="0" fontId="7" fillId="0" borderId="48" xfId="0" applyFont="1" applyBorder="1" applyProtection="1"/>
    <xf numFmtId="0" fontId="7" fillId="0" borderId="49" xfId="0" applyFont="1" applyBorder="1" applyProtection="1"/>
    <xf numFmtId="0" fontId="8" fillId="0" borderId="26" xfId="0" applyFont="1" applyBorder="1" applyProtection="1"/>
    <xf numFmtId="0" fontId="8" fillId="0" borderId="51" xfId="0" applyFont="1" applyBorder="1" applyProtection="1"/>
    <xf numFmtId="168" fontId="7" fillId="0" borderId="76" xfId="1" applyNumberFormat="1" applyFont="1" applyBorder="1" applyProtection="1"/>
    <xf numFmtId="168" fontId="7" fillId="0" borderId="3" xfId="1" applyNumberFormat="1" applyFont="1" applyBorder="1" applyProtection="1"/>
    <xf numFmtId="168" fontId="7" fillId="0" borderId="77" xfId="1" applyNumberFormat="1" applyFont="1" applyBorder="1" applyProtection="1"/>
    <xf numFmtId="168" fontId="7" fillId="0" borderId="35" xfId="1" applyNumberFormat="1" applyFont="1" applyBorder="1" applyProtection="1"/>
    <xf numFmtId="0" fontId="8" fillId="14" borderId="48" xfId="0" applyFont="1" applyFill="1" applyBorder="1" applyProtection="1"/>
    <xf numFmtId="168" fontId="7" fillId="14" borderId="40" xfId="1" applyNumberFormat="1" applyFont="1" applyFill="1" applyBorder="1" applyProtection="1"/>
    <xf numFmtId="168" fontId="7" fillId="14" borderId="7" xfId="1" applyNumberFormat="1" applyFont="1" applyFill="1" applyBorder="1" applyProtection="1"/>
    <xf numFmtId="168" fontId="7" fillId="14" borderId="81" xfId="1" applyNumberFormat="1" applyFont="1" applyFill="1" applyBorder="1" applyProtection="1"/>
    <xf numFmtId="0" fontId="8" fillId="0" borderId="52" xfId="0" applyFont="1" applyBorder="1" applyProtection="1"/>
    <xf numFmtId="0" fontId="8" fillId="0" borderId="49" xfId="0" applyFont="1" applyBorder="1" applyProtection="1"/>
    <xf numFmtId="0" fontId="8" fillId="14" borderId="49" xfId="0" applyFont="1" applyFill="1" applyBorder="1" applyProtection="1"/>
    <xf numFmtId="0" fontId="8" fillId="3" borderId="35" xfId="0" applyFont="1" applyFill="1" applyBorder="1" applyProtection="1"/>
    <xf numFmtId="0" fontId="8" fillId="0" borderId="35" xfId="0" applyFont="1" applyBorder="1" applyProtection="1"/>
    <xf numFmtId="0" fontId="7" fillId="0" borderId="40" xfId="0" applyFont="1" applyBorder="1" applyProtection="1"/>
    <xf numFmtId="0" fontId="7" fillId="0" borderId="7" xfId="0" applyFont="1" applyBorder="1" applyProtection="1"/>
    <xf numFmtId="0" fontId="7" fillId="0" borderId="81" xfId="0" applyFont="1" applyBorder="1" applyProtection="1"/>
    <xf numFmtId="0" fontId="8" fillId="35" borderId="95" xfId="0" applyFont="1" applyFill="1" applyBorder="1" applyAlignment="1" applyProtection="1">
      <alignment horizontal="center" vertical="center"/>
    </xf>
    <xf numFmtId="0" fontId="8" fillId="35" borderId="15" xfId="0" applyFont="1" applyFill="1" applyBorder="1" applyAlignment="1" applyProtection="1">
      <alignment horizontal="center" vertical="center"/>
    </xf>
    <xf numFmtId="0" fontId="8" fillId="35" borderId="96" xfId="0" applyFont="1" applyFill="1" applyBorder="1" applyAlignment="1" applyProtection="1">
      <alignment horizontal="center" vertical="center"/>
    </xf>
    <xf numFmtId="168" fontId="7" fillId="0" borderId="87" xfId="1" applyNumberFormat="1" applyFont="1" applyBorder="1" applyProtection="1"/>
    <xf numFmtId="168" fontId="7" fillId="0" borderId="28" xfId="1" applyNumberFormat="1" applyFont="1" applyBorder="1" applyProtection="1"/>
    <xf numFmtId="168" fontId="7" fillId="0" borderId="88" xfId="1" applyNumberFormat="1" applyFont="1" applyBorder="1" applyProtection="1"/>
    <xf numFmtId="0" fontId="8" fillId="14" borderId="52" xfId="0" applyFont="1" applyFill="1" applyBorder="1" applyProtection="1"/>
    <xf numFmtId="0" fontId="8" fillId="14" borderId="51" xfId="0" applyFont="1" applyFill="1" applyBorder="1" applyProtection="1"/>
    <xf numFmtId="168" fontId="7" fillId="14" borderId="76" xfId="1" applyNumberFormat="1" applyFont="1" applyFill="1" applyBorder="1" applyProtection="1"/>
    <xf numFmtId="168" fontId="7" fillId="14" borderId="3" xfId="1" applyNumberFormat="1" applyFont="1" applyFill="1" applyBorder="1" applyProtection="1"/>
    <xf numFmtId="168" fontId="7" fillId="14" borderId="77" xfId="1" applyNumberFormat="1" applyFont="1" applyFill="1" applyBorder="1" applyProtection="1"/>
    <xf numFmtId="168" fontId="7" fillId="0" borderId="40" xfId="0" applyNumberFormat="1" applyFont="1" applyBorder="1" applyProtection="1"/>
    <xf numFmtId="168" fontId="7" fillId="0" borderId="7" xfId="0" applyNumberFormat="1" applyFont="1" applyBorder="1" applyProtection="1"/>
    <xf numFmtId="168" fontId="7" fillId="0" borderId="81" xfId="0" applyNumberFormat="1" applyFont="1" applyBorder="1" applyProtection="1"/>
    <xf numFmtId="0" fontId="8" fillId="0" borderId="36" xfId="0" applyFont="1" applyBorder="1" applyProtection="1"/>
    <xf numFmtId="0" fontId="8" fillId="14" borderId="26" xfId="0" applyFont="1" applyFill="1" applyBorder="1" applyProtection="1"/>
    <xf numFmtId="0" fontId="7" fillId="0" borderId="36" xfId="0" applyFont="1" applyBorder="1" applyProtection="1"/>
    <xf numFmtId="168" fontId="7" fillId="0" borderId="87" xfId="0" applyNumberFormat="1" applyFont="1" applyBorder="1" applyProtection="1"/>
    <xf numFmtId="168" fontId="7" fillId="0" borderId="28" xfId="0" applyNumberFormat="1" applyFont="1" applyBorder="1" applyProtection="1"/>
    <xf numFmtId="168" fontId="7" fillId="0" borderId="88" xfId="0" applyNumberFormat="1" applyFont="1" applyBorder="1" applyProtection="1"/>
    <xf numFmtId="168" fontId="7" fillId="0" borderId="76" xfId="0" applyNumberFormat="1" applyFont="1" applyBorder="1" applyProtection="1"/>
    <xf numFmtId="168" fontId="7" fillId="0" borderId="3" xfId="0" applyNumberFormat="1" applyFont="1" applyBorder="1" applyProtection="1"/>
    <xf numFmtId="168" fontId="7" fillId="0" borderId="77" xfId="0" applyNumberFormat="1" applyFont="1" applyBorder="1" applyProtection="1"/>
    <xf numFmtId="168" fontId="7" fillId="0" borderId="0" xfId="0" applyNumberFormat="1" applyFont="1" applyProtection="1"/>
    <xf numFmtId="0" fontId="7" fillId="0" borderId="0" xfId="0" applyFont="1" applyFill="1" applyBorder="1" applyAlignment="1">
      <alignment horizontal="center"/>
    </xf>
    <xf numFmtId="2" fontId="8" fillId="0" borderId="0" xfId="0" applyNumberFormat="1" applyFont="1" applyAlignment="1">
      <alignment horizontal="center"/>
    </xf>
    <xf numFmtId="0" fontId="8" fillId="0" borderId="0" xfId="0" applyFont="1"/>
    <xf numFmtId="0" fontId="14" fillId="0" borderId="0" xfId="0" applyFont="1" applyAlignment="1">
      <alignment horizontal="center"/>
    </xf>
    <xf numFmtId="0" fontId="12" fillId="0" borderId="0" xfId="0" applyFont="1" applyAlignment="1">
      <alignment horizontal="center"/>
    </xf>
    <xf numFmtId="0" fontId="8" fillId="0" borderId="0" xfId="0" applyFont="1" applyAlignment="1">
      <alignment horizontal="center"/>
    </xf>
    <xf numFmtId="0" fontId="15" fillId="0" borderId="0" xfId="0" applyFont="1" applyAlignment="1">
      <alignment horizontal="center"/>
    </xf>
    <xf numFmtId="0" fontId="12" fillId="0" borderId="3" xfId="0" applyFont="1" applyBorder="1"/>
    <xf numFmtId="0" fontId="12" fillId="0" borderId="0" xfId="0" applyFont="1"/>
    <xf numFmtId="17" fontId="8" fillId="0" borderId="3" xfId="0" applyNumberFormat="1" applyFont="1" applyBorder="1"/>
    <xf numFmtId="2" fontId="8" fillId="0" borderId="3" xfId="0" applyNumberFormat="1" applyFont="1" applyBorder="1"/>
    <xf numFmtId="2" fontId="7" fillId="0" borderId="3" xfId="0" applyNumberFormat="1" applyFont="1" applyBorder="1"/>
    <xf numFmtId="0" fontId="7" fillId="0" borderId="0" xfId="0" applyNumberFormat="1" applyFont="1"/>
    <xf numFmtId="2" fontId="8" fillId="4" borderId="3" xfId="0" applyNumberFormat="1" applyFont="1" applyFill="1" applyBorder="1"/>
    <xf numFmtId="2" fontId="7" fillId="4" borderId="3" xfId="0" applyNumberFormat="1" applyFont="1" applyFill="1" applyBorder="1"/>
    <xf numFmtId="17" fontId="8" fillId="0" borderId="0" xfId="0" applyNumberFormat="1" applyFont="1" applyFill="1" applyBorder="1"/>
    <xf numFmtId="0" fontId="8" fillId="0" borderId="3" xfId="0" applyFont="1" applyFill="1" applyBorder="1"/>
    <xf numFmtId="164" fontId="16" fillId="0" borderId="2" xfId="0" applyNumberFormat="1" applyFont="1" applyBorder="1" applyAlignment="1">
      <alignment horizontal="right" vertical="top"/>
    </xf>
    <xf numFmtId="2" fontId="17" fillId="0" borderId="3" xfId="0" applyNumberFormat="1" applyFont="1" applyBorder="1"/>
    <xf numFmtId="0" fontId="7" fillId="0" borderId="5" xfId="0" applyFont="1" applyFill="1" applyBorder="1"/>
    <xf numFmtId="2" fontId="7" fillId="0" borderId="5" xfId="0" applyNumberFormat="1" applyFont="1" applyFill="1" applyBorder="1"/>
    <xf numFmtId="2" fontId="7" fillId="0" borderId="5" xfId="0" applyNumberFormat="1" applyFont="1" applyFill="1" applyBorder="1" applyAlignment="1"/>
    <xf numFmtId="2" fontId="7" fillId="0" borderId="7" xfId="0" applyNumberFormat="1" applyFont="1" applyFill="1" applyBorder="1"/>
    <xf numFmtId="2" fontId="7" fillId="0" borderId="7" xfId="0" applyNumberFormat="1" applyFont="1" applyFill="1" applyBorder="1" applyAlignment="1"/>
    <xf numFmtId="0" fontId="8" fillId="2" borderId="37" xfId="0" applyFont="1" applyFill="1" applyBorder="1" applyAlignment="1">
      <alignment horizontal="center" vertical="center"/>
    </xf>
    <xf numFmtId="0" fontId="8" fillId="3" borderId="37" xfId="0" applyFont="1" applyFill="1" applyBorder="1" applyAlignment="1">
      <alignment vertical="center"/>
    </xf>
    <xf numFmtId="0" fontId="8" fillId="3" borderId="3" xfId="0" applyFont="1" applyFill="1" applyBorder="1"/>
    <xf numFmtId="0" fontId="8" fillId="0" borderId="5" xfId="0" applyFont="1" applyBorder="1" applyAlignment="1"/>
    <xf numFmtId="49" fontId="7" fillId="0" borderId="5" xfId="0" applyNumberFormat="1" applyFont="1" applyBorder="1" applyAlignment="1">
      <alignment horizontal="right" vertical="top"/>
    </xf>
    <xf numFmtId="167" fontId="7" fillId="0" borderId="5" xfId="0" applyNumberFormat="1" applyFont="1" applyBorder="1" applyAlignment="1">
      <alignment horizontal="right" vertical="top"/>
    </xf>
    <xf numFmtId="0" fontId="8" fillId="0" borderId="7" xfId="0" applyFont="1" applyBorder="1" applyAlignment="1"/>
    <xf numFmtId="49" fontId="7" fillId="0" borderId="7" xfId="0" applyNumberFormat="1" applyFont="1" applyBorder="1" applyAlignment="1">
      <alignment horizontal="right" vertical="top"/>
    </xf>
    <xf numFmtId="167" fontId="7" fillId="0" borderId="7" xfId="0" applyNumberFormat="1" applyFont="1" applyBorder="1" applyAlignment="1">
      <alignment horizontal="right" vertical="top"/>
    </xf>
    <xf numFmtId="0" fontId="9" fillId="0" borderId="3" xfId="0" applyFont="1" applyBorder="1"/>
    <xf numFmtId="0" fontId="8" fillId="0" borderId="7" xfId="0" applyFont="1" applyBorder="1"/>
    <xf numFmtId="0" fontId="8" fillId="0" borderId="16" xfId="0" applyFont="1" applyFill="1" applyBorder="1"/>
    <xf numFmtId="0" fontId="7" fillId="0" borderId="17" xfId="0" applyFont="1" applyFill="1" applyBorder="1"/>
    <xf numFmtId="0" fontId="8" fillId="0" borderId="17" xfId="0" applyFont="1" applyFill="1" applyBorder="1"/>
    <xf numFmtId="0" fontId="7" fillId="0" borderId="18" xfId="0" applyFont="1" applyFill="1" applyBorder="1"/>
    <xf numFmtId="0" fontId="7" fillId="0" borderId="19" xfId="0" applyFont="1" applyFill="1" applyBorder="1"/>
    <xf numFmtId="17" fontId="7" fillId="0" borderId="20" xfId="0" applyNumberFormat="1" applyFont="1" applyFill="1" applyBorder="1" applyAlignment="1">
      <alignment horizontal="center"/>
    </xf>
    <xf numFmtId="17" fontId="7" fillId="0" borderId="21" xfId="0" applyNumberFormat="1" applyFont="1" applyFill="1" applyBorder="1" applyAlignment="1">
      <alignment horizontal="center"/>
    </xf>
    <xf numFmtId="0" fontId="7" fillId="0" borderId="21" xfId="0" applyFont="1" applyFill="1" applyBorder="1"/>
    <xf numFmtId="41" fontId="7" fillId="0" borderId="3" xfId="0" applyNumberFormat="1" applyFont="1" applyBorder="1"/>
    <xf numFmtId="0" fontId="7" fillId="0" borderId="31" xfId="0" applyFont="1" applyBorder="1"/>
    <xf numFmtId="0" fontId="8" fillId="0" borderId="31" xfId="0" applyFont="1" applyFill="1" applyBorder="1"/>
    <xf numFmtId="0" fontId="7" fillId="0" borderId="41" xfId="0" applyFont="1" applyFill="1" applyBorder="1"/>
    <xf numFmtId="0" fontId="8" fillId="0" borderId="41" xfId="0" applyFont="1" applyFill="1" applyBorder="1"/>
    <xf numFmtId="0" fontId="10" fillId="52" borderId="7" xfId="2" applyFont="1" applyFill="1" applyBorder="1" applyAlignment="1">
      <alignment horizontal="left" vertical="top"/>
    </xf>
    <xf numFmtId="166" fontId="7" fillId="0" borderId="7" xfId="0" applyNumberFormat="1" applyFont="1" applyBorder="1"/>
    <xf numFmtId="0" fontId="10" fillId="52" borderId="6" xfId="2" applyFont="1" applyFill="1" applyBorder="1" applyAlignment="1">
      <alignment horizontal="left" vertical="top"/>
    </xf>
    <xf numFmtId="166" fontId="7" fillId="0" borderId="6" xfId="0" applyNumberFormat="1" applyFont="1" applyBorder="1"/>
    <xf numFmtId="0" fontId="10" fillId="52" borderId="90" xfId="2" applyFont="1" applyFill="1" applyBorder="1" applyAlignment="1">
      <alignment horizontal="left" vertical="top"/>
    </xf>
    <xf numFmtId="166" fontId="7" fillId="0" borderId="90" xfId="0" applyNumberFormat="1" applyFont="1" applyBorder="1"/>
    <xf numFmtId="0" fontId="10" fillId="52" borderId="92" xfId="2" applyFont="1" applyFill="1" applyBorder="1" applyAlignment="1">
      <alignment horizontal="left" vertical="top"/>
    </xf>
    <xf numFmtId="166" fontId="7" fillId="0" borderId="92" xfId="0" applyNumberFormat="1" applyFont="1" applyBorder="1"/>
    <xf numFmtId="0" fontId="10" fillId="52" borderId="91" xfId="2" applyFont="1" applyFill="1" applyBorder="1" applyAlignment="1">
      <alignment horizontal="left" vertical="top"/>
    </xf>
    <xf numFmtId="166" fontId="7" fillId="0" borderId="91" xfId="0" applyNumberFormat="1" applyFont="1" applyBorder="1"/>
    <xf numFmtId="166" fontId="7" fillId="0" borderId="5" xfId="0" applyNumberFormat="1" applyFont="1" applyBorder="1"/>
    <xf numFmtId="0" fontId="10" fillId="0" borderId="90" xfId="2" applyFont="1" applyFill="1" applyBorder="1" applyAlignment="1">
      <alignment horizontal="left" vertical="top"/>
    </xf>
    <xf numFmtId="43" fontId="7" fillId="0" borderId="90" xfId="0" applyNumberFormat="1" applyFont="1" applyFill="1" applyBorder="1"/>
    <xf numFmtId="166" fontId="7" fillId="0" borderId="90" xfId="0" applyNumberFormat="1" applyFont="1" applyFill="1" applyBorder="1"/>
    <xf numFmtId="0" fontId="10" fillId="0" borderId="92" xfId="2" applyFont="1" applyFill="1" applyBorder="1" applyAlignment="1">
      <alignment horizontal="left" vertical="top"/>
    </xf>
    <xf numFmtId="43" fontId="7" fillId="0" borderId="92" xfId="0" applyNumberFormat="1" applyFont="1" applyFill="1" applyBorder="1"/>
    <xf numFmtId="166" fontId="7" fillId="0" borderId="92" xfId="0" applyNumberFormat="1" applyFont="1" applyFill="1" applyBorder="1"/>
    <xf numFmtId="0" fontId="10" fillId="0" borderId="91" xfId="2" applyFont="1" applyFill="1" applyBorder="1" applyAlignment="1">
      <alignment horizontal="left" vertical="top"/>
    </xf>
    <xf numFmtId="43" fontId="7" fillId="0" borderId="91" xfId="0" applyNumberFormat="1" applyFont="1" applyFill="1" applyBorder="1"/>
    <xf numFmtId="166" fontId="7" fillId="0" borderId="91" xfId="0" applyNumberFormat="1" applyFont="1" applyFill="1" applyBorder="1"/>
    <xf numFmtId="166" fontId="7" fillId="0" borderId="3" xfId="0" applyNumberFormat="1" applyFont="1" applyBorder="1"/>
    <xf numFmtId="43" fontId="7" fillId="0" borderId="5" xfId="0" applyNumberFormat="1" applyFont="1" applyFill="1" applyBorder="1"/>
    <xf numFmtId="166" fontId="7" fillId="0" borderId="5" xfId="0" applyNumberFormat="1" applyFont="1" applyFill="1" applyBorder="1"/>
    <xf numFmtId="43" fontId="7" fillId="0" borderId="7" xfId="0" applyNumberFormat="1" applyFont="1" applyFill="1" applyBorder="1"/>
    <xf numFmtId="166" fontId="7" fillId="0" borderId="7" xfId="0" applyNumberFormat="1" applyFont="1" applyFill="1" applyBorder="1"/>
    <xf numFmtId="0" fontId="7" fillId="0" borderId="6" xfId="0" applyFont="1" applyFill="1" applyBorder="1"/>
    <xf numFmtId="43" fontId="7" fillId="0" borderId="6" xfId="0" applyNumberFormat="1" applyFont="1" applyFill="1" applyBorder="1"/>
    <xf numFmtId="166" fontId="7" fillId="0" borderId="6" xfId="0" applyNumberFormat="1" applyFont="1" applyFill="1" applyBorder="1"/>
    <xf numFmtId="43" fontId="7" fillId="0" borderId="90" xfId="0" applyNumberFormat="1" applyFont="1" applyBorder="1" applyAlignment="1" applyProtection="1">
      <alignment horizontal="center" wrapText="1"/>
      <protection hidden="1"/>
    </xf>
    <xf numFmtId="43" fontId="7" fillId="0" borderId="91" xfId="0" applyNumberFormat="1" applyFont="1" applyBorder="1" applyAlignment="1" applyProtection="1">
      <alignment horizontal="center" wrapText="1"/>
      <protection hidden="1"/>
    </xf>
    <xf numFmtId="43" fontId="8" fillId="0" borderId="90" xfId="0" applyNumberFormat="1" applyFont="1" applyFill="1" applyBorder="1" applyAlignment="1" applyProtection="1">
      <alignment horizontal="center" wrapText="1"/>
      <protection hidden="1"/>
    </xf>
    <xf numFmtId="43" fontId="8" fillId="0" borderId="91" xfId="0" applyNumberFormat="1" applyFont="1" applyFill="1" applyBorder="1" applyAlignment="1" applyProtection="1">
      <alignment horizontal="center" wrapText="1"/>
      <protection hidden="1"/>
    </xf>
    <xf numFmtId="43" fontId="7" fillId="0" borderId="90" xfId="0" applyNumberFormat="1" applyFont="1" applyFill="1" applyBorder="1" applyAlignment="1" applyProtection="1">
      <alignment horizontal="center" wrapText="1"/>
      <protection hidden="1"/>
    </xf>
    <xf numFmtId="0" fontId="7" fillId="0" borderId="0" xfId="0" applyFont="1" applyFill="1"/>
    <xf numFmtId="43" fontId="7" fillId="0" borderId="92" xfId="0" applyNumberFormat="1" applyFont="1" applyFill="1" applyBorder="1" applyAlignment="1" applyProtection="1">
      <alignment horizontal="center" wrapText="1"/>
      <protection hidden="1"/>
    </xf>
    <xf numFmtId="43" fontId="7" fillId="0" borderId="91" xfId="0" applyNumberFormat="1" applyFont="1" applyFill="1" applyBorder="1" applyAlignment="1" applyProtection="1">
      <alignment horizontal="center" wrapText="1"/>
      <protection hidden="1"/>
    </xf>
    <xf numFmtId="0" fontId="20" fillId="0" borderId="90" xfId="2" applyFont="1" applyBorder="1"/>
    <xf numFmtId="0" fontId="20" fillId="0" borderId="91" xfId="2" applyFont="1" applyBorder="1"/>
    <xf numFmtId="166" fontId="8" fillId="0" borderId="90" xfId="0" applyNumberFormat="1" applyFont="1" applyFill="1" applyBorder="1" applyAlignment="1">
      <alignment horizontal="center"/>
    </xf>
    <xf numFmtId="0" fontId="7" fillId="0" borderId="92" xfId="0" applyFont="1" applyFill="1" applyBorder="1"/>
    <xf numFmtId="0" fontId="7" fillId="0" borderId="91" xfId="0" applyFont="1" applyFill="1" applyBorder="1"/>
    <xf numFmtId="0" fontId="7" fillId="0" borderId="92" xfId="0" applyFont="1" applyBorder="1"/>
    <xf numFmtId="0" fontId="7" fillId="0" borderId="91" xfId="0" applyFont="1" applyBorder="1"/>
    <xf numFmtId="0" fontId="10" fillId="0" borderId="5" xfId="2" applyFont="1" applyFill="1" applyBorder="1" applyAlignment="1">
      <alignment horizontal="left" vertical="top"/>
    </xf>
    <xf numFmtId="166" fontId="8" fillId="0" borderId="5" xfId="0" applyNumberFormat="1" applyFont="1" applyFill="1" applyBorder="1" applyAlignment="1">
      <alignment horizontal="center"/>
    </xf>
    <xf numFmtId="0" fontId="10" fillId="0" borderId="7" xfId="2" applyFont="1" applyFill="1" applyBorder="1" applyAlignment="1">
      <alignment horizontal="left" vertical="top"/>
    </xf>
    <xf numFmtId="166" fontId="8" fillId="0" borderId="7" xfId="0" applyNumberFormat="1" applyFont="1" applyFill="1" applyBorder="1" applyAlignment="1">
      <alignment horizontal="center"/>
    </xf>
    <xf numFmtId="0" fontId="8" fillId="0" borderId="7" xfId="0" applyFont="1" applyFill="1" applyBorder="1"/>
    <xf numFmtId="0" fontId="10" fillId="0" borderId="3" xfId="2" applyFont="1" applyFill="1" applyBorder="1" applyAlignment="1">
      <alignment horizontal="left" vertical="top"/>
    </xf>
    <xf numFmtId="166" fontId="8" fillId="0" borderId="3" xfId="0" applyNumberFormat="1" applyFont="1" applyFill="1" applyBorder="1"/>
    <xf numFmtId="166" fontId="7" fillId="0" borderId="3" xfId="0" applyNumberFormat="1" applyFont="1" applyFill="1" applyBorder="1"/>
    <xf numFmtId="0" fontId="7" fillId="0" borderId="3" xfId="0" applyFont="1" applyFill="1" applyBorder="1"/>
    <xf numFmtId="0" fontId="10" fillId="52" borderId="5" xfId="2" applyFont="1" applyFill="1" applyBorder="1" applyAlignment="1">
      <alignment horizontal="left" vertical="top"/>
    </xf>
    <xf numFmtId="166" fontId="8" fillId="8" borderId="5" xfId="0" applyNumberFormat="1" applyFont="1" applyFill="1" applyBorder="1" applyAlignment="1">
      <alignment horizontal="center"/>
    </xf>
    <xf numFmtId="166" fontId="8" fillId="8" borderId="7" xfId="0" applyNumberFormat="1" applyFont="1" applyFill="1" applyBorder="1" applyAlignment="1">
      <alignment horizontal="center"/>
    </xf>
    <xf numFmtId="0" fontId="10" fillId="52" borderId="3" xfId="2" applyFont="1" applyFill="1" applyBorder="1" applyAlignment="1">
      <alignment horizontal="left" vertical="top"/>
    </xf>
    <xf numFmtId="166" fontId="8" fillId="0" borderId="3" xfId="0" applyNumberFormat="1" applyFont="1" applyBorder="1"/>
    <xf numFmtId="0" fontId="7" fillId="0" borderId="3" xfId="0" applyFont="1" applyBorder="1" applyAlignment="1" applyProtection="1">
      <alignment horizontal="left" vertical="center"/>
    </xf>
    <xf numFmtId="0" fontId="7" fillId="0" borderId="0" xfId="0" applyFont="1" applyBorder="1" applyAlignment="1" applyProtection="1">
      <alignment vertical="center"/>
    </xf>
    <xf numFmtId="0" fontId="7" fillId="35" borderId="3" xfId="0" applyFont="1" applyFill="1" applyBorder="1" applyAlignment="1" applyProtection="1">
      <alignment horizontal="left" vertical="center"/>
    </xf>
    <xf numFmtId="0" fontId="7" fillId="35" borderId="3" xfId="0" applyFont="1" applyFill="1" applyBorder="1" applyAlignment="1" applyProtection="1">
      <alignment horizontal="center" vertical="center"/>
    </xf>
    <xf numFmtId="41" fontId="7" fillId="3" borderId="3" xfId="1" applyNumberFormat="1" applyFont="1" applyFill="1" applyBorder="1" applyAlignment="1" applyProtection="1">
      <alignment vertical="center"/>
    </xf>
    <xf numFmtId="168" fontId="7" fillId="3" borderId="3" xfId="1" applyNumberFormat="1" applyFont="1" applyFill="1" applyBorder="1" applyAlignment="1" applyProtection="1">
      <alignment vertical="center"/>
    </xf>
    <xf numFmtId="0" fontId="7" fillId="0" borderId="7" xfId="0" applyFont="1" applyBorder="1" applyAlignment="1" applyProtection="1">
      <alignment horizontal="left" vertical="center"/>
    </xf>
    <xf numFmtId="168" fontId="7" fillId="0" borderId="7" xfId="1" applyNumberFormat="1" applyFont="1" applyFill="1" applyBorder="1" applyAlignment="1" applyProtection="1">
      <alignment vertical="center"/>
    </xf>
    <xf numFmtId="41" fontId="7" fillId="12" borderId="7" xfId="1" applyNumberFormat="1" applyFont="1" applyFill="1" applyBorder="1" applyAlignment="1" applyProtection="1">
      <alignment vertical="center"/>
    </xf>
    <xf numFmtId="168" fontId="7" fillId="12" borderId="7" xfId="1" applyNumberFormat="1" applyFont="1" applyFill="1" applyBorder="1" applyAlignment="1" applyProtection="1">
      <alignment vertical="center"/>
    </xf>
    <xf numFmtId="0" fontId="7" fillId="19" borderId="3" xfId="0" applyFont="1" applyFill="1" applyBorder="1" applyAlignment="1" applyProtection="1">
      <alignment horizontal="left" vertical="center"/>
    </xf>
    <xf numFmtId="41" fontId="7" fillId="19" borderId="3" xfId="1" applyNumberFormat="1" applyFont="1" applyFill="1" applyBorder="1" applyAlignment="1" applyProtection="1">
      <alignment vertical="center"/>
    </xf>
    <xf numFmtId="168" fontId="7" fillId="19" borderId="3" xfId="1" applyNumberFormat="1" applyFont="1" applyFill="1" applyBorder="1" applyAlignment="1" applyProtection="1">
      <alignment vertical="center"/>
    </xf>
    <xf numFmtId="0" fontId="7" fillId="0" borderId="0" xfId="0" applyFont="1" applyFill="1" applyBorder="1" applyAlignment="1" applyProtection="1">
      <alignment vertical="center"/>
    </xf>
    <xf numFmtId="41" fontId="7" fillId="3" borderId="7" xfId="1" applyNumberFormat="1" applyFont="1" applyFill="1" applyBorder="1" applyAlignment="1" applyProtection="1">
      <alignment vertical="center"/>
    </xf>
    <xf numFmtId="168" fontId="7" fillId="3" borderId="7" xfId="1" applyNumberFormat="1" applyFont="1" applyFill="1" applyBorder="1" applyAlignment="1" applyProtection="1">
      <alignment vertical="center"/>
    </xf>
    <xf numFmtId="41" fontId="7" fillId="0" borderId="7" xfId="1" applyNumberFormat="1" applyFont="1" applyBorder="1" applyAlignment="1" applyProtection="1">
      <alignment vertical="center"/>
    </xf>
    <xf numFmtId="168" fontId="7" fillId="0" borderId="7" xfId="1" applyNumberFormat="1" applyFont="1" applyBorder="1" applyAlignment="1" applyProtection="1">
      <alignment vertical="center"/>
    </xf>
    <xf numFmtId="0" fontId="8" fillId="4" borderId="3" xfId="0" applyFont="1" applyFill="1" applyBorder="1" applyAlignment="1" applyProtection="1">
      <alignment horizontal="left" vertical="center"/>
    </xf>
    <xf numFmtId="41" fontId="8" fillId="4" borderId="3" xfId="1" applyNumberFormat="1" applyFont="1" applyFill="1" applyBorder="1" applyAlignment="1" applyProtection="1">
      <alignment vertical="center"/>
    </xf>
    <xf numFmtId="168" fontId="8" fillId="4" borderId="3" xfId="1" applyNumberFormat="1" applyFont="1" applyFill="1" applyBorder="1" applyAlignment="1" applyProtection="1">
      <alignment vertical="center"/>
    </xf>
    <xf numFmtId="0" fontId="7" fillId="0" borderId="3" xfId="0" applyFont="1" applyFill="1" applyBorder="1" applyAlignment="1" applyProtection="1">
      <alignment horizontal="left" vertical="center"/>
    </xf>
    <xf numFmtId="41" fontId="7" fillId="0" borderId="3" xfId="1" applyNumberFormat="1" applyFont="1" applyFill="1" applyBorder="1" applyAlignment="1" applyProtection="1">
      <alignment vertical="center"/>
    </xf>
    <xf numFmtId="168" fontId="7" fillId="0" borderId="3" xfId="1" applyNumberFormat="1" applyFont="1" applyFill="1" applyBorder="1" applyAlignment="1" applyProtection="1">
      <alignment vertical="center"/>
    </xf>
    <xf numFmtId="0" fontId="7" fillId="0" borderId="7" xfId="0" applyFont="1" applyFill="1" applyBorder="1" applyAlignment="1" applyProtection="1">
      <alignment horizontal="left" vertical="center"/>
    </xf>
    <xf numFmtId="41" fontId="7" fillId="0" borderId="7" xfId="1" applyNumberFormat="1" applyFont="1" applyFill="1" applyBorder="1" applyAlignment="1" applyProtection="1">
      <alignment vertical="center"/>
    </xf>
    <xf numFmtId="41" fontId="7" fillId="0" borderId="7" xfId="0" applyNumberFormat="1" applyFont="1" applyFill="1" applyBorder="1" applyAlignment="1" applyProtection="1">
      <alignment vertical="center"/>
    </xf>
    <xf numFmtId="0" fontId="8" fillId="0" borderId="3" xfId="0" applyFont="1" applyFill="1" applyBorder="1" applyAlignment="1" applyProtection="1">
      <alignment horizontal="left" vertical="center"/>
    </xf>
    <xf numFmtId="41" fontId="8" fillId="0" borderId="3" xfId="0" applyNumberFormat="1" applyFont="1" applyFill="1" applyBorder="1" applyAlignment="1" applyProtection="1">
      <alignment vertical="center"/>
    </xf>
    <xf numFmtId="41" fontId="7" fillId="0" borderId="3" xfId="0" applyNumberFormat="1" applyFont="1" applyFill="1" applyBorder="1" applyAlignment="1" applyProtection="1">
      <alignment vertical="center"/>
    </xf>
    <xf numFmtId="0" fontId="8" fillId="34" borderId="3" xfId="0" applyFont="1" applyFill="1" applyBorder="1" applyAlignment="1" applyProtection="1">
      <alignment horizontal="left" vertical="center"/>
    </xf>
    <xf numFmtId="41" fontId="8" fillId="34" borderId="3" xfId="1" applyNumberFormat="1" applyFont="1" applyFill="1" applyBorder="1" applyAlignment="1" applyProtection="1">
      <alignment vertical="center"/>
    </xf>
    <xf numFmtId="168" fontId="8" fillId="34" borderId="3" xfId="1" applyNumberFormat="1" applyFont="1" applyFill="1" applyBorder="1" applyAlignment="1" applyProtection="1">
      <alignment vertical="center"/>
    </xf>
    <xf numFmtId="41" fontId="8" fillId="0" borderId="3" xfId="1" applyNumberFormat="1" applyFont="1" applyFill="1" applyBorder="1" applyAlignment="1" applyProtection="1">
      <alignment vertical="center"/>
    </xf>
    <xf numFmtId="41" fontId="7" fillId="0" borderId="7" xfId="0" applyNumberFormat="1" applyFont="1" applyFill="1" applyBorder="1"/>
    <xf numFmtId="168" fontId="17" fillId="0" borderId="7" xfId="1" applyNumberFormat="1" applyFont="1" applyBorder="1" applyAlignment="1" applyProtection="1">
      <alignment vertical="center"/>
    </xf>
    <xf numFmtId="0" fontId="8" fillId="0" borderId="3" xfId="0" applyFont="1" applyBorder="1" applyAlignment="1" applyProtection="1">
      <alignment horizontal="left" vertical="center"/>
    </xf>
    <xf numFmtId="41" fontId="8" fillId="0" borderId="3" xfId="1" applyNumberFormat="1" applyFont="1" applyBorder="1" applyAlignment="1" applyProtection="1">
      <alignment vertical="center"/>
    </xf>
    <xf numFmtId="168" fontId="8" fillId="0" borderId="3" xfId="1" applyNumberFormat="1" applyFont="1" applyBorder="1" applyAlignment="1" applyProtection="1">
      <alignment vertical="center"/>
    </xf>
    <xf numFmtId="0" fontId="7" fillId="0" borderId="0" xfId="0" applyFont="1" applyBorder="1" applyAlignment="1" applyProtection="1">
      <alignment horizontal="left" vertical="center"/>
    </xf>
    <xf numFmtId="41" fontId="7" fillId="0" borderId="0" xfId="1" applyNumberFormat="1" applyFont="1" applyBorder="1" applyAlignment="1" applyProtection="1">
      <alignment vertical="center"/>
    </xf>
    <xf numFmtId="168" fontId="7" fillId="0" borderId="0" xfId="1" applyNumberFormat="1" applyFont="1" applyBorder="1" applyAlignment="1" applyProtection="1">
      <alignment vertical="center"/>
    </xf>
    <xf numFmtId="41" fontId="7" fillId="0" borderId="0" xfId="0" applyNumberFormat="1" applyFont="1" applyBorder="1" applyAlignment="1" applyProtection="1">
      <alignment vertical="center"/>
    </xf>
    <xf numFmtId="0" fontId="8" fillId="18" borderId="54" xfId="0" applyFont="1" applyFill="1" applyBorder="1" applyAlignment="1">
      <alignment horizontal="center"/>
    </xf>
    <xf numFmtId="17" fontId="12" fillId="18" borderId="64" xfId="0" applyNumberFormat="1" applyFont="1" applyFill="1" applyBorder="1" applyAlignment="1" applyProtection="1">
      <alignment horizontal="center"/>
      <protection locked="0"/>
    </xf>
    <xf numFmtId="0" fontId="8" fillId="18" borderId="54" xfId="0" applyFont="1" applyFill="1" applyBorder="1" applyAlignment="1" applyProtection="1">
      <alignment horizontal="center" vertical="justify"/>
      <protection locked="0"/>
    </xf>
    <xf numFmtId="0" fontId="8" fillId="0" borderId="54" xfId="0" applyFont="1" applyFill="1" applyBorder="1" applyAlignment="1" applyProtection="1">
      <alignment horizontal="center" vertical="justify"/>
      <protection locked="0"/>
    </xf>
    <xf numFmtId="0" fontId="8" fillId="18" borderId="54" xfId="0" applyFont="1" applyFill="1" applyBorder="1" applyAlignment="1">
      <alignment horizontal="center" vertical="justify"/>
    </xf>
    <xf numFmtId="0" fontId="7" fillId="4" borderId="0" xfId="0" applyFont="1" applyFill="1"/>
    <xf numFmtId="0" fontId="7" fillId="0" borderId="50" xfId="0" applyFont="1" applyBorder="1" applyProtection="1">
      <protection locked="0"/>
    </xf>
    <xf numFmtId="0" fontId="8" fillId="0" borderId="65" xfId="0" applyFont="1" applyBorder="1"/>
    <xf numFmtId="168" fontId="7" fillId="3" borderId="63" xfId="1" applyNumberFormat="1" applyFont="1" applyFill="1" applyBorder="1" applyProtection="1">
      <protection locked="0"/>
    </xf>
    <xf numFmtId="168" fontId="8" fillId="0" borderId="46" xfId="1" applyNumberFormat="1" applyFont="1" applyFill="1" applyBorder="1" applyProtection="1">
      <protection hidden="1"/>
    </xf>
    <xf numFmtId="0" fontId="7" fillId="0" borderId="0" xfId="0" applyFont="1" applyProtection="1">
      <protection locked="0"/>
    </xf>
    <xf numFmtId="168" fontId="8" fillId="0" borderId="66" xfId="1" applyNumberFormat="1" applyFont="1" applyBorder="1" applyProtection="1">
      <protection locked="0"/>
    </xf>
    <xf numFmtId="168" fontId="8" fillId="0" borderId="65" xfId="1" applyNumberFormat="1" applyFont="1" applyBorder="1"/>
    <xf numFmtId="0" fontId="8" fillId="0" borderId="47" xfId="0" applyFont="1" applyBorder="1"/>
    <xf numFmtId="0" fontId="8" fillId="0" borderId="50" xfId="0" applyFont="1" applyBorder="1" applyProtection="1">
      <protection locked="0"/>
    </xf>
    <xf numFmtId="0" fontId="8" fillId="0" borderId="66" xfId="0" applyFont="1" applyBorder="1" applyProtection="1">
      <protection locked="0"/>
    </xf>
    <xf numFmtId="168" fontId="8" fillId="0" borderId="66" xfId="1" applyNumberFormat="1" applyFont="1" applyFill="1" applyBorder="1" applyProtection="1">
      <protection locked="0"/>
    </xf>
    <xf numFmtId="0" fontId="8" fillId="16" borderId="47" xfId="0" applyFont="1" applyFill="1" applyBorder="1"/>
    <xf numFmtId="0" fontId="8" fillId="16" borderId="3" xfId="0" applyFont="1" applyFill="1" applyBorder="1"/>
    <xf numFmtId="0" fontId="8" fillId="16" borderId="3" xfId="0" applyFont="1" applyFill="1" applyBorder="1" applyAlignment="1">
      <alignment horizontal="center"/>
    </xf>
    <xf numFmtId="0" fontId="8" fillId="0" borderId="67" xfId="0" applyFont="1" applyBorder="1"/>
    <xf numFmtId="168" fontId="8" fillId="0" borderId="66" xfId="1" applyNumberFormat="1" applyFont="1" applyBorder="1"/>
    <xf numFmtId="0" fontId="7" fillId="0" borderId="47" xfId="0" applyFont="1" applyBorder="1"/>
    <xf numFmtId="0" fontId="7" fillId="0" borderId="3" xfId="0" applyFont="1" applyBorder="1" applyProtection="1">
      <protection locked="0"/>
    </xf>
    <xf numFmtId="168" fontId="7" fillId="0" borderId="3" xfId="1" applyNumberFormat="1" applyFont="1" applyBorder="1"/>
    <xf numFmtId="0" fontId="15" fillId="33" borderId="54" xfId="0" applyFont="1" applyFill="1" applyBorder="1" applyAlignment="1">
      <alignment horizontal="center"/>
    </xf>
    <xf numFmtId="168" fontId="15" fillId="33" borderId="64" xfId="1" applyNumberFormat="1" applyFont="1" applyFill="1" applyBorder="1" applyProtection="1">
      <protection hidden="1"/>
    </xf>
    <xf numFmtId="168" fontId="8" fillId="18" borderId="60" xfId="1" applyNumberFormat="1" applyFont="1" applyFill="1" applyBorder="1"/>
    <xf numFmtId="168" fontId="8" fillId="18" borderId="42" xfId="1" applyNumberFormat="1" applyFont="1" applyFill="1" applyBorder="1"/>
    <xf numFmtId="168" fontId="15" fillId="33" borderId="61" xfId="1" applyNumberFormat="1" applyFont="1" applyFill="1" applyBorder="1" applyProtection="1">
      <protection hidden="1"/>
    </xf>
    <xf numFmtId="168" fontId="8" fillId="18" borderId="62" xfId="1" applyNumberFormat="1" applyFont="1" applyFill="1" applyBorder="1" applyProtection="1">
      <protection locked="0"/>
    </xf>
    <xf numFmtId="0" fontId="15" fillId="33" borderId="31" xfId="0" applyFont="1" applyFill="1" applyBorder="1" applyAlignment="1">
      <alignment horizontal="center"/>
    </xf>
    <xf numFmtId="0" fontId="7" fillId="0" borderId="20" xfId="0" applyFont="1" applyBorder="1"/>
    <xf numFmtId="168" fontId="8" fillId="18" borderId="62" xfId="1" applyNumberFormat="1" applyFont="1" applyFill="1" applyBorder="1"/>
    <xf numFmtId="0" fontId="8" fillId="0" borderId="47" xfId="0" applyFont="1" applyFill="1" applyBorder="1"/>
    <xf numFmtId="0" fontId="8" fillId="0" borderId="3" xfId="0" applyFont="1" applyFill="1" applyBorder="1" applyAlignment="1" applyProtection="1">
      <alignment horizontal="center"/>
      <protection locked="0"/>
    </xf>
    <xf numFmtId="168" fontId="8" fillId="0" borderId="3" xfId="1" applyNumberFormat="1" applyFont="1" applyBorder="1"/>
    <xf numFmtId="0" fontId="8" fillId="0" borderId="50" xfId="0" applyFont="1" applyBorder="1"/>
    <xf numFmtId="0" fontId="8" fillId="0" borderId="49" xfId="0" applyFont="1" applyBorder="1" applyAlignment="1">
      <alignment horizontal="center"/>
    </xf>
    <xf numFmtId="168" fontId="8" fillId="0" borderId="0" xfId="1" applyNumberFormat="1" applyFont="1" applyBorder="1"/>
    <xf numFmtId="168" fontId="8" fillId="0" borderId="0" xfId="1" applyNumberFormat="1" applyFont="1" applyFill="1" applyBorder="1"/>
    <xf numFmtId="0" fontId="8" fillId="0" borderId="49" xfId="0" applyFont="1" applyFill="1" applyBorder="1" applyProtection="1">
      <protection locked="0"/>
    </xf>
    <xf numFmtId="0" fontId="8" fillId="0" borderId="0" xfId="0" applyFont="1" applyFill="1" applyBorder="1" applyProtection="1">
      <protection locked="0"/>
    </xf>
    <xf numFmtId="168" fontId="8" fillId="0" borderId="0" xfId="1" applyNumberFormat="1" applyFont="1" applyBorder="1" applyProtection="1">
      <protection locked="0"/>
    </xf>
    <xf numFmtId="0" fontId="7" fillId="0" borderId="49" xfId="0" applyFont="1" applyBorder="1" applyProtection="1">
      <protection locked="0"/>
    </xf>
    <xf numFmtId="0" fontId="7" fillId="0" borderId="0" xfId="0" applyFont="1" applyBorder="1" applyProtection="1">
      <protection locked="0"/>
    </xf>
    <xf numFmtId="0" fontId="7" fillId="0" borderId="50" xfId="0" applyFont="1" applyBorder="1"/>
    <xf numFmtId="0" fontId="8" fillId="0" borderId="49" xfId="0" applyFont="1" applyBorder="1"/>
    <xf numFmtId="0" fontId="8" fillId="0" borderId="0" xfId="0" applyFont="1" applyFill="1" applyBorder="1" applyAlignment="1" applyProtection="1">
      <alignment horizontal="center"/>
      <protection locked="0"/>
    </xf>
    <xf numFmtId="0" fontId="15" fillId="19" borderId="65" xfId="0" applyFont="1" applyFill="1" applyBorder="1"/>
    <xf numFmtId="168" fontId="17" fillId="35" borderId="63" xfId="1" applyNumberFormat="1" applyFont="1" applyFill="1" applyBorder="1" applyProtection="1">
      <protection hidden="1"/>
    </xf>
    <xf numFmtId="168" fontId="15" fillId="35" borderId="46" xfId="1" applyNumberFormat="1" applyFont="1" applyFill="1" applyBorder="1" applyProtection="1">
      <protection hidden="1"/>
    </xf>
    <xf numFmtId="168" fontId="8" fillId="0" borderId="0" xfId="1" applyNumberFormat="1" applyFont="1" applyFill="1" applyBorder="1" applyProtection="1">
      <protection locked="0"/>
    </xf>
    <xf numFmtId="0" fontId="15" fillId="19" borderId="66" xfId="0" applyFont="1" applyFill="1" applyBorder="1" applyProtection="1">
      <protection locked="0"/>
    </xf>
    <xf numFmtId="168" fontId="17" fillId="35" borderId="4" xfId="1" applyNumberFormat="1" applyFont="1" applyFill="1" applyBorder="1" applyProtection="1">
      <protection hidden="1"/>
    </xf>
    <xf numFmtId="0" fontId="15" fillId="19" borderId="67" xfId="0" applyFont="1" applyFill="1" applyBorder="1"/>
    <xf numFmtId="168" fontId="8" fillId="0" borderId="3" xfId="1" applyNumberFormat="1" applyFont="1" applyBorder="1" applyProtection="1"/>
    <xf numFmtId="0" fontId="8" fillId="0" borderId="49" xfId="0" applyFont="1" applyFill="1" applyBorder="1" applyAlignment="1" applyProtection="1">
      <alignment horizontal="center"/>
      <protection locked="0"/>
    </xf>
    <xf numFmtId="168" fontId="8" fillId="0" borderId="0" xfId="1" applyNumberFormat="1" applyFont="1" applyFill="1" applyBorder="1" applyAlignment="1" applyProtection="1">
      <alignment horizontal="center"/>
      <protection locked="0"/>
    </xf>
    <xf numFmtId="0" fontId="8" fillId="0" borderId="49" xfId="0" applyFont="1" applyBorder="1" applyProtection="1">
      <protection locked="0"/>
    </xf>
    <xf numFmtId="168" fontId="7" fillId="0" borderId="0" xfId="1" applyNumberFormat="1" applyFont="1" applyBorder="1" applyProtection="1"/>
    <xf numFmtId="43" fontId="7" fillId="0" borderId="0" xfId="1" applyFont="1" applyBorder="1" applyProtection="1"/>
    <xf numFmtId="168" fontId="7" fillId="0" borderId="0" xfId="1" applyNumberFormat="1" applyFont="1" applyBorder="1"/>
    <xf numFmtId="168" fontId="7" fillId="0" borderId="0" xfId="1" applyNumberFormat="1" applyFont="1" applyFill="1" applyBorder="1"/>
    <xf numFmtId="0" fontId="8" fillId="0" borderId="19" xfId="0" applyFont="1" applyBorder="1" applyProtection="1">
      <protection locked="0"/>
    </xf>
    <xf numFmtId="0" fontId="7" fillId="0" borderId="20" xfId="0" applyFont="1" applyBorder="1" applyProtection="1">
      <protection locked="0"/>
    </xf>
    <xf numFmtId="168" fontId="8" fillId="0" borderId="53" xfId="1" applyNumberFormat="1" applyFont="1" applyBorder="1" applyProtection="1"/>
    <xf numFmtId="0" fontId="8" fillId="0" borderId="21" xfId="0" applyFont="1" applyBorder="1"/>
    <xf numFmtId="0" fontId="8" fillId="19" borderId="54" xfId="0" applyFont="1" applyFill="1" applyBorder="1"/>
    <xf numFmtId="0" fontId="8" fillId="0" borderId="46" xfId="0" applyFont="1" applyBorder="1"/>
    <xf numFmtId="168" fontId="7" fillId="3" borderId="37" xfId="1" applyNumberFormat="1" applyFont="1" applyFill="1" applyBorder="1" applyProtection="1">
      <protection locked="0"/>
    </xf>
    <xf numFmtId="0" fontId="7" fillId="0" borderId="0" xfId="0" applyFont="1" applyFill="1" applyProtection="1">
      <protection locked="0"/>
    </xf>
    <xf numFmtId="168" fontId="7" fillId="0" borderId="0" xfId="0" applyNumberFormat="1" applyFont="1" applyBorder="1" applyProtection="1">
      <protection locked="0"/>
    </xf>
    <xf numFmtId="0" fontId="8" fillId="0" borderId="52" xfId="0" applyFont="1" applyBorder="1"/>
    <xf numFmtId="0" fontId="8" fillId="0" borderId="66" xfId="0" applyFont="1" applyBorder="1"/>
    <xf numFmtId="168" fontId="8" fillId="3" borderId="64" xfId="1" applyNumberFormat="1" applyFont="1" applyFill="1" applyBorder="1" applyAlignment="1" applyProtection="1">
      <alignment horizontal="center"/>
      <protection hidden="1"/>
    </xf>
    <xf numFmtId="168" fontId="8" fillId="18" borderId="54" xfId="1" applyNumberFormat="1" applyFont="1" applyFill="1" applyBorder="1" applyProtection="1">
      <protection hidden="1"/>
    </xf>
    <xf numFmtId="168" fontId="8" fillId="0" borderId="20" xfId="1" applyNumberFormat="1" applyFont="1" applyBorder="1"/>
    <xf numFmtId="0" fontId="7" fillId="0" borderId="0" xfId="0" applyFont="1" applyFill="1" applyBorder="1" applyProtection="1">
      <protection locked="0"/>
    </xf>
    <xf numFmtId="0" fontId="8" fillId="0" borderId="19" xfId="0" applyFont="1" applyBorder="1" applyAlignment="1">
      <alignment horizontal="center"/>
    </xf>
    <xf numFmtId="168" fontId="8" fillId="0" borderId="20" xfId="1" applyNumberFormat="1" applyFont="1" applyFill="1" applyBorder="1"/>
    <xf numFmtId="0" fontId="7" fillId="0" borderId="21" xfId="0" applyFont="1" applyBorder="1" applyProtection="1">
      <protection locked="0"/>
    </xf>
    <xf numFmtId="0" fontId="8" fillId="18" borderId="54" xfId="0" applyFont="1" applyFill="1" applyBorder="1" applyAlignment="1" applyProtection="1">
      <alignment horizontal="center"/>
      <protection locked="0"/>
    </xf>
    <xf numFmtId="0" fontId="8" fillId="18" borderId="18" xfId="0" applyFont="1" applyFill="1" applyBorder="1" applyAlignment="1" applyProtection="1">
      <alignment horizontal="center"/>
      <protection locked="0"/>
    </xf>
    <xf numFmtId="168" fontId="7" fillId="0" borderId="63" xfId="1" applyNumberFormat="1" applyFont="1" applyBorder="1" applyProtection="1">
      <protection locked="0"/>
    </xf>
    <xf numFmtId="168" fontId="7" fillId="0" borderId="6" xfId="1" applyNumberFormat="1" applyFont="1" applyBorder="1" applyProtection="1">
      <protection locked="0"/>
    </xf>
    <xf numFmtId="0" fontId="7" fillId="0" borderId="65" xfId="0" applyFont="1" applyBorder="1" applyProtection="1">
      <protection locked="0"/>
    </xf>
    <xf numFmtId="168" fontId="8" fillId="0" borderId="33" xfId="0" applyNumberFormat="1" applyFont="1" applyBorder="1" applyProtection="1">
      <protection locked="0"/>
    </xf>
    <xf numFmtId="168" fontId="7" fillId="0" borderId="4" xfId="1" applyNumberFormat="1" applyFont="1" applyBorder="1" applyProtection="1">
      <protection locked="0"/>
    </xf>
    <xf numFmtId="0" fontId="7" fillId="0" borderId="67" xfId="0" applyFont="1" applyBorder="1" applyProtection="1">
      <protection locked="0"/>
    </xf>
    <xf numFmtId="168" fontId="8" fillId="0" borderId="54" xfId="0" applyNumberFormat="1" applyFont="1" applyBorder="1" applyProtection="1">
      <protection locked="0"/>
    </xf>
    <xf numFmtId="168" fontId="8" fillId="18" borderId="64" xfId="1" applyNumberFormat="1" applyFont="1" applyFill="1" applyBorder="1" applyProtection="1">
      <protection hidden="1"/>
    </xf>
    <xf numFmtId="168" fontId="7" fillId="0" borderId="50" xfId="1" applyNumberFormat="1" applyFont="1" applyBorder="1"/>
    <xf numFmtId="0" fontId="15" fillId="18" borderId="54" xfId="0" applyFont="1" applyFill="1" applyBorder="1" applyAlignment="1">
      <alignment horizontal="center"/>
    </xf>
    <xf numFmtId="0" fontId="15" fillId="19" borderId="52" xfId="0" applyFont="1" applyFill="1" applyBorder="1"/>
    <xf numFmtId="168" fontId="17" fillId="35" borderId="37" xfId="1" applyNumberFormat="1" applyFont="1" applyFill="1" applyBorder="1" applyProtection="1">
      <protection hidden="1"/>
    </xf>
    <xf numFmtId="168" fontId="17" fillId="35" borderId="44" xfId="1" applyNumberFormat="1" applyFont="1" applyFill="1" applyBorder="1" applyProtection="1">
      <protection hidden="1"/>
    </xf>
    <xf numFmtId="0" fontId="7" fillId="0" borderId="0" xfId="0" applyFont="1" applyBorder="1" applyAlignment="1" applyProtection="1">
      <alignment horizontal="left"/>
      <protection locked="0"/>
    </xf>
    <xf numFmtId="168" fontId="15" fillId="18" borderId="64" xfId="1" applyNumberFormat="1" applyFont="1" applyFill="1" applyBorder="1" applyProtection="1">
      <protection hidden="1"/>
    </xf>
    <xf numFmtId="0" fontId="7" fillId="0" borderId="0" xfId="0" applyFont="1" applyBorder="1" applyProtection="1"/>
    <xf numFmtId="168" fontId="15" fillId="18" borderId="64" xfId="1" applyNumberFormat="1" applyFont="1" applyFill="1" applyBorder="1" applyProtection="1">
      <protection locked="0"/>
    </xf>
    <xf numFmtId="0" fontId="7" fillId="0" borderId="0" xfId="0" applyFont="1" applyBorder="1" applyAlignment="1" applyProtection="1">
      <alignment horizontal="center" vertical="justify"/>
    </xf>
    <xf numFmtId="168" fontId="7" fillId="0" borderId="0" xfId="1" applyNumberFormat="1" applyFont="1" applyBorder="1" applyAlignment="1" applyProtection="1">
      <alignment horizontal="center"/>
      <protection locked="0"/>
    </xf>
    <xf numFmtId="168" fontId="7" fillId="0" borderId="50" xfId="1" applyNumberFormat="1" applyFont="1" applyBorder="1" applyAlignment="1" applyProtection="1">
      <alignment horizontal="center"/>
      <protection locked="0"/>
    </xf>
    <xf numFmtId="168" fontId="8" fillId="0" borderId="46" xfId="1" applyNumberFormat="1" applyFont="1" applyBorder="1" applyProtection="1">
      <protection hidden="1"/>
    </xf>
    <xf numFmtId="0" fontId="7" fillId="0" borderId="0" xfId="0" applyFont="1" applyAlignment="1" applyProtection="1">
      <alignment horizontal="left"/>
      <protection locked="0"/>
    </xf>
    <xf numFmtId="168" fontId="7" fillId="3" borderId="3" xfId="1" applyNumberFormat="1" applyFont="1" applyFill="1" applyBorder="1" applyProtection="1">
      <protection locked="0"/>
    </xf>
    <xf numFmtId="168" fontId="8" fillId="0" borderId="0" xfId="1" applyNumberFormat="1" applyFont="1" applyFill="1" applyBorder="1" applyAlignment="1">
      <alignment horizontal="center"/>
    </xf>
    <xf numFmtId="168" fontId="8" fillId="0" borderId="50" xfId="1" applyNumberFormat="1" applyFont="1" applyBorder="1"/>
    <xf numFmtId="168" fontId="7" fillId="0" borderId="0" xfId="0" applyNumberFormat="1" applyFont="1" applyProtection="1">
      <protection locked="0"/>
    </xf>
    <xf numFmtId="0" fontId="8" fillId="0" borderId="54" xfId="0" applyFont="1" applyBorder="1"/>
    <xf numFmtId="168" fontId="7" fillId="0" borderId="54" xfId="0" applyNumberFormat="1" applyFont="1" applyBorder="1"/>
    <xf numFmtId="0" fontId="22" fillId="0" borderId="0" xfId="3" applyFont="1"/>
    <xf numFmtId="0" fontId="23" fillId="53" borderId="3" xfId="0" applyFont="1" applyFill="1" applyBorder="1" applyAlignment="1" applyProtection="1">
      <alignment vertical="center" wrapText="1"/>
    </xf>
    <xf numFmtId="49" fontId="23" fillId="53" borderId="3" xfId="0" applyNumberFormat="1" applyFont="1" applyFill="1" applyBorder="1" applyAlignment="1" applyProtection="1">
      <alignment vertical="center" wrapText="1"/>
    </xf>
    <xf numFmtId="43" fontId="23" fillId="53" borderId="3" xfId="0" applyNumberFormat="1" applyFont="1" applyFill="1" applyBorder="1" applyAlignment="1" applyProtection="1">
      <alignment vertical="center" wrapText="1"/>
    </xf>
    <xf numFmtId="0" fontId="8" fillId="0" borderId="14" xfId="0" applyFont="1" applyBorder="1"/>
    <xf numFmtId="0" fontId="8" fillId="6" borderId="5" xfId="0" applyFont="1" applyFill="1" applyBorder="1"/>
    <xf numFmtId="0" fontId="8" fillId="6" borderId="6" xfId="0" applyFont="1" applyFill="1" applyBorder="1"/>
    <xf numFmtId="0" fontId="8" fillId="6" borderId="14" xfId="0" applyFont="1" applyFill="1" applyBorder="1" applyAlignment="1">
      <alignment vertical="center"/>
    </xf>
    <xf numFmtId="0" fontId="7" fillId="0" borderId="8" xfId="0" applyFont="1" applyBorder="1"/>
    <xf numFmtId="0" fontId="8" fillId="0" borderId="8" xfId="0" applyFont="1" applyBorder="1" applyAlignment="1"/>
    <xf numFmtId="0" fontId="8" fillId="36" borderId="8" xfId="0" applyFont="1" applyFill="1" applyBorder="1" applyAlignment="1"/>
    <xf numFmtId="0" fontId="7" fillId="0" borderId="73" xfId="0" applyFont="1" applyBorder="1"/>
    <xf numFmtId="0" fontId="7" fillId="0" borderId="74" xfId="0" applyFont="1" applyBorder="1"/>
    <xf numFmtId="0" fontId="7" fillId="0" borderId="75" xfId="0" applyFont="1" applyBorder="1"/>
    <xf numFmtId="0" fontId="7" fillId="0" borderId="38" xfId="0" applyFont="1" applyBorder="1"/>
    <xf numFmtId="0" fontId="7" fillId="0" borderId="68" xfId="0" applyFont="1" applyBorder="1"/>
    <xf numFmtId="49" fontId="8" fillId="0" borderId="8" xfId="0" applyNumberFormat="1" applyFont="1" applyBorder="1" applyAlignment="1">
      <alignment vertical="top"/>
    </xf>
    <xf numFmtId="0" fontId="8" fillId="3" borderId="8" xfId="0" applyFont="1" applyFill="1" applyBorder="1" applyAlignment="1"/>
    <xf numFmtId="0" fontId="8" fillId="37" borderId="8" xfId="0" applyFont="1" applyFill="1" applyBorder="1" applyAlignment="1"/>
    <xf numFmtId="49" fontId="8" fillId="3" borderId="8" xfId="0" applyNumberFormat="1" applyFont="1" applyFill="1" applyBorder="1" applyAlignment="1">
      <alignment vertical="top"/>
    </xf>
    <xf numFmtId="0" fontId="8" fillId="0" borderId="8" xfId="0" applyFont="1" applyBorder="1"/>
    <xf numFmtId="0" fontId="7" fillId="0" borderId="0" xfId="0" applyFont="1" applyFill="1" applyBorder="1" applyAlignment="1"/>
    <xf numFmtId="0" fontId="8" fillId="36" borderId="0" xfId="0" applyFont="1" applyFill="1" applyBorder="1" applyAlignment="1"/>
    <xf numFmtId="43" fontId="8" fillId="0" borderId="14" xfId="0" applyNumberFormat="1" applyFont="1" applyBorder="1"/>
    <xf numFmtId="43" fontId="7" fillId="0" borderId="73" xfId="0" applyNumberFormat="1" applyFont="1" applyBorder="1"/>
    <xf numFmtId="43" fontId="7" fillId="0" borderId="74" xfId="0" applyNumberFormat="1" applyFont="1" applyBorder="1"/>
    <xf numFmtId="43" fontId="7" fillId="0" borderId="75" xfId="0" applyNumberFormat="1" applyFont="1" applyBorder="1"/>
    <xf numFmtId="43" fontId="7" fillId="0" borderId="38" xfId="0" applyNumberFormat="1" applyFont="1" applyBorder="1"/>
    <xf numFmtId="43" fontId="7" fillId="0" borderId="0" xfId="0" applyNumberFormat="1" applyFont="1" applyBorder="1"/>
    <xf numFmtId="43" fontId="7" fillId="0" borderId="68" xfId="0" applyNumberFormat="1" applyFont="1" applyBorder="1"/>
    <xf numFmtId="166" fontId="7" fillId="0" borderId="0" xfId="1" applyNumberFormat="1" applyFont="1"/>
    <xf numFmtId="0" fontId="12" fillId="16" borderId="5" xfId="0" applyFont="1" applyFill="1" applyBorder="1"/>
    <xf numFmtId="0" fontId="12" fillId="16" borderId="1" xfId="0" applyFont="1" applyFill="1" applyBorder="1"/>
    <xf numFmtId="164" fontId="8" fillId="16" borderId="3" xfId="0" applyNumberFormat="1" applyFont="1" applyFill="1" applyBorder="1" applyAlignment="1" applyProtection="1">
      <alignment horizontal="center" vertical="top"/>
      <protection hidden="1"/>
    </xf>
    <xf numFmtId="0" fontId="12" fillId="16" borderId="3" xfId="0" applyFont="1" applyFill="1" applyBorder="1" applyAlignment="1">
      <alignment horizontal="center" vertical="top" wrapText="1"/>
    </xf>
    <xf numFmtId="166" fontId="12" fillId="16" borderId="3" xfId="1" applyNumberFormat="1" applyFont="1" applyFill="1" applyBorder="1" applyAlignment="1">
      <alignment horizontal="center" vertical="top" wrapText="1"/>
    </xf>
    <xf numFmtId="166" fontId="23" fillId="57" borderId="3" xfId="1" applyNumberFormat="1" applyFont="1" applyFill="1" applyBorder="1" applyAlignment="1">
      <alignment horizontal="center" vertical="top" wrapText="1"/>
    </xf>
    <xf numFmtId="0" fontId="7" fillId="0" borderId="0" xfId="0" applyFont="1" applyAlignment="1">
      <alignment horizontal="center" vertical="top" wrapText="1"/>
    </xf>
    <xf numFmtId="0" fontId="7" fillId="0" borderId="0" xfId="0" applyFont="1" applyBorder="1" applyAlignment="1"/>
    <xf numFmtId="0" fontId="7" fillId="0" borderId="35" xfId="0" applyFont="1" applyBorder="1"/>
    <xf numFmtId="0" fontId="7" fillId="0" borderId="8" xfId="0" applyFont="1" applyFill="1" applyBorder="1"/>
    <xf numFmtId="49" fontId="7" fillId="0" borderId="8" xfId="0" applyNumberFormat="1" applyFont="1" applyBorder="1" applyAlignment="1">
      <alignment vertical="top"/>
    </xf>
    <xf numFmtId="0" fontId="7" fillId="0" borderId="8" xfId="0" applyFont="1" applyBorder="1" applyAlignment="1"/>
    <xf numFmtId="2" fontId="7" fillId="0" borderId="8" xfId="0" applyNumberFormat="1" applyFont="1" applyFill="1" applyBorder="1"/>
    <xf numFmtId="0" fontId="7" fillId="0" borderId="8" xfId="0" applyFont="1" applyFill="1" applyBorder="1" applyAlignment="1"/>
    <xf numFmtId="2" fontId="7" fillId="0" borderId="8" xfId="0" applyNumberFormat="1" applyFont="1" applyBorder="1"/>
    <xf numFmtId="0" fontId="7" fillId="0" borderId="9" xfId="0" applyFont="1" applyBorder="1"/>
    <xf numFmtId="0" fontId="7" fillId="0" borderId="11" xfId="0" applyFont="1" applyBorder="1"/>
    <xf numFmtId="0" fontId="7" fillId="0" borderId="69" xfId="0" applyFont="1" applyBorder="1"/>
    <xf numFmtId="0" fontId="7" fillId="0" borderId="70" xfId="0" applyFont="1" applyBorder="1"/>
    <xf numFmtId="0" fontId="7" fillId="0" borderId="8" xfId="0" applyFont="1" applyFill="1" applyBorder="1" applyAlignment="1">
      <alignment horizontal="right"/>
    </xf>
    <xf numFmtId="43" fontId="7" fillId="0" borderId="40" xfId="0" applyNumberFormat="1" applyFont="1" applyBorder="1"/>
    <xf numFmtId="0" fontId="7" fillId="0" borderId="8" xfId="0" applyFont="1" applyBorder="1" applyAlignment="1">
      <alignment horizontal="right"/>
    </xf>
    <xf numFmtId="43" fontId="7" fillId="0" borderId="39" xfId="0" applyNumberFormat="1" applyFont="1" applyBorder="1"/>
    <xf numFmtId="0" fontId="24" fillId="0" borderId="8" xfId="0" applyFont="1" applyBorder="1"/>
    <xf numFmtId="43" fontId="10" fillId="0" borderId="8" xfId="1" applyFont="1" applyFill="1" applyBorder="1" applyAlignment="1">
      <alignment horizontal="left" wrapText="1"/>
    </xf>
    <xf numFmtId="0" fontId="7" fillId="0" borderId="8" xfId="0" applyNumberFormat="1" applyFont="1" applyBorder="1" applyAlignment="1">
      <alignment horizontal="right" vertical="top"/>
    </xf>
    <xf numFmtId="49" fontId="7" fillId="0" borderId="8" xfId="0" applyNumberFormat="1" applyFont="1" applyBorder="1" applyAlignment="1">
      <alignment horizontal="right" vertical="top"/>
    </xf>
    <xf numFmtId="0" fontId="7" fillId="0" borderId="0" xfId="0" applyFont="1" applyBorder="1" applyAlignment="1">
      <alignment horizontal="right"/>
    </xf>
    <xf numFmtId="0" fontId="7" fillId="0" borderId="7" xfId="0" applyNumberFormat="1" applyFont="1" applyBorder="1"/>
    <xf numFmtId="0" fontId="7" fillId="0" borderId="68" xfId="0" applyFont="1" applyFill="1" applyBorder="1"/>
    <xf numFmtId="0" fontId="19" fillId="0" borderId="0" xfId="0" applyFont="1" applyBorder="1" applyAlignment="1">
      <alignment horizontal="center"/>
    </xf>
    <xf numFmtId="0" fontId="19" fillId="0" borderId="0" xfId="0" applyFont="1" applyBorder="1"/>
    <xf numFmtId="0" fontId="19" fillId="0" borderId="0" xfId="0" applyFont="1" applyBorder="1" applyAlignment="1">
      <alignment horizontal="center" vertical="center"/>
    </xf>
    <xf numFmtId="14" fontId="7" fillId="0" borderId="0" xfId="0" applyNumberFormat="1" applyFont="1" applyBorder="1"/>
    <xf numFmtId="0" fontId="19" fillId="20" borderId="16" xfId="0" applyFont="1" applyFill="1" applyBorder="1" applyAlignment="1">
      <alignment horizontal="center" vertical="center" wrapText="1"/>
    </xf>
    <xf numFmtId="0" fontId="19" fillId="20" borderId="17" xfId="0" applyFont="1" applyFill="1" applyBorder="1" applyAlignment="1">
      <alignment horizontal="center" vertical="center" wrapText="1"/>
    </xf>
    <xf numFmtId="0" fontId="19" fillId="20" borderId="18" xfId="0" applyFont="1" applyFill="1" applyBorder="1" applyAlignment="1">
      <alignment horizontal="center" vertical="center" wrapText="1"/>
    </xf>
    <xf numFmtId="0" fontId="19" fillId="21" borderId="22" xfId="0" applyFont="1" applyFill="1" applyBorder="1"/>
    <xf numFmtId="4" fontId="7" fillId="0" borderId="23" xfId="0" applyNumberFormat="1" applyFont="1" applyBorder="1"/>
    <xf numFmtId="4" fontId="7" fillId="0" borderId="24" xfId="0" applyNumberFormat="1" applyFont="1" applyBorder="1"/>
    <xf numFmtId="0" fontId="19" fillId="21" borderId="25" xfId="0" applyFont="1" applyFill="1" applyBorder="1"/>
    <xf numFmtId="4" fontId="7" fillId="0" borderId="3" xfId="0" applyNumberFormat="1" applyFont="1" applyBorder="1"/>
    <xf numFmtId="0" fontId="7" fillId="0" borderId="3" xfId="0" applyFont="1" applyBorder="1" applyAlignment="1">
      <alignment horizontal="center"/>
    </xf>
    <xf numFmtId="4" fontId="7" fillId="0" borderId="26" xfId="0" applyNumberFormat="1" applyFont="1" applyBorder="1"/>
    <xf numFmtId="0" fontId="7" fillId="0" borderId="26" xfId="0" applyFont="1" applyBorder="1" applyAlignment="1">
      <alignment horizontal="center"/>
    </xf>
    <xf numFmtId="0" fontId="19" fillId="21" borderId="27" xfId="0" applyFont="1" applyFill="1" applyBorder="1"/>
    <xf numFmtId="4" fontId="7" fillId="0" borderId="28" xfId="0" applyNumberFormat="1" applyFont="1" applyBorder="1"/>
    <xf numFmtId="4" fontId="7" fillId="0" borderId="29" xfId="0" applyNumberFormat="1" applyFont="1" applyBorder="1"/>
    <xf numFmtId="0" fontId="19" fillId="22" borderId="16" xfId="0" applyFont="1" applyFill="1" applyBorder="1" applyAlignment="1">
      <alignment horizontal="center" vertical="center" wrapText="1"/>
    </xf>
    <xf numFmtId="0" fontId="19" fillId="22" borderId="17" xfId="0" applyFont="1" applyFill="1" applyBorder="1" applyAlignment="1">
      <alignment horizontal="center" vertical="center" wrapText="1"/>
    </xf>
    <xf numFmtId="0" fontId="19" fillId="22" borderId="18" xfId="0" applyFont="1" applyFill="1" applyBorder="1" applyAlignment="1">
      <alignment horizontal="center" vertical="center" wrapText="1"/>
    </xf>
    <xf numFmtId="0" fontId="19" fillId="23" borderId="22" xfId="0" applyFont="1" applyFill="1" applyBorder="1"/>
    <xf numFmtId="0" fontId="19" fillId="23" borderId="25" xfId="0" applyFont="1" applyFill="1" applyBorder="1"/>
    <xf numFmtId="0" fontId="19" fillId="23" borderId="27" xfId="0" applyFont="1" applyFill="1" applyBorder="1"/>
    <xf numFmtId="0" fontId="7" fillId="0" borderId="3" xfId="0" applyFont="1" applyBorder="1" applyProtection="1"/>
    <xf numFmtId="0" fontId="8" fillId="6" borderId="12"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2"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7" fillId="0" borderId="12" xfId="0" applyFont="1" applyBorder="1"/>
    <xf numFmtId="49" fontId="7" fillId="0" borderId="12" xfId="0" applyNumberFormat="1" applyFont="1" applyBorder="1" applyAlignment="1">
      <alignment vertical="top"/>
    </xf>
    <xf numFmtId="0" fontId="20" fillId="0" borderId="12" xfId="0" applyFont="1" applyBorder="1" applyAlignment="1">
      <alignment vertical="center"/>
    </xf>
    <xf numFmtId="165" fontId="7" fillId="3" borderId="12" xfId="0" applyNumberFormat="1" applyFont="1" applyFill="1" applyBorder="1" applyAlignment="1">
      <alignment horizontal="right"/>
    </xf>
    <xf numFmtId="0" fontId="20" fillId="0" borderId="8" xfId="0" applyFont="1" applyBorder="1" applyAlignment="1">
      <alignment vertical="center"/>
    </xf>
    <xf numFmtId="165" fontId="7" fillId="3" borderId="8" xfId="0" applyNumberFormat="1" applyFont="1" applyFill="1" applyBorder="1" applyAlignment="1">
      <alignment horizontal="right"/>
    </xf>
    <xf numFmtId="49" fontId="16" fillId="0" borderId="8" xfId="0" applyNumberFormat="1" applyFont="1" applyBorder="1" applyAlignment="1">
      <alignment vertical="top"/>
    </xf>
    <xf numFmtId="0" fontId="7" fillId="0" borderId="13" xfId="0" applyFont="1" applyBorder="1"/>
    <xf numFmtId="0" fontId="7" fillId="3" borderId="8" xfId="0" applyFont="1" applyFill="1" applyBorder="1"/>
    <xf numFmtId="0" fontId="15" fillId="3" borderId="8" xfId="0" applyFont="1" applyFill="1" applyBorder="1" applyAlignment="1"/>
    <xf numFmtId="0" fontId="17" fillId="3" borderId="8" xfId="0" applyFont="1" applyFill="1" applyBorder="1"/>
    <xf numFmtId="2" fontId="10" fillId="0" borderId="8" xfId="0" applyNumberFormat="1" applyFont="1" applyBorder="1"/>
    <xf numFmtId="165" fontId="7" fillId="3" borderId="8" xfId="0" applyNumberFormat="1" applyFont="1" applyFill="1" applyBorder="1"/>
    <xf numFmtId="0" fontId="7" fillId="3" borderId="0" xfId="0" applyFont="1" applyFill="1"/>
    <xf numFmtId="49" fontId="7" fillId="0" borderId="44" xfId="0" applyNumberFormat="1" applyFont="1" applyBorder="1" applyAlignment="1">
      <alignment vertical="top"/>
    </xf>
    <xf numFmtId="0" fontId="18" fillId="38" borderId="7" xfId="0" applyFont="1" applyFill="1" applyBorder="1" applyAlignment="1">
      <alignment horizontal="center"/>
    </xf>
    <xf numFmtId="0" fontId="9" fillId="39" borderId="7" xfId="0" applyFont="1" applyFill="1" applyBorder="1" applyAlignment="1">
      <alignment horizontal="center" vertical="center"/>
    </xf>
    <xf numFmtId="0" fontId="9" fillId="0" borderId="3" xfId="0" applyFont="1" applyBorder="1" applyAlignment="1">
      <alignment horizontal="center"/>
    </xf>
    <xf numFmtId="0" fontId="9" fillId="0" borderId="6" xfId="0" applyFont="1" applyBorder="1" applyAlignment="1">
      <alignment horizontal="center" vertical="center"/>
    </xf>
    <xf numFmtId="0" fontId="18" fillId="38" borderId="3" xfId="0" applyFont="1" applyFill="1" applyBorder="1" applyAlignment="1">
      <alignment horizontal="center"/>
    </xf>
    <xf numFmtId="0" fontId="9" fillId="39" borderId="3" xfId="0" applyFont="1" applyFill="1" applyBorder="1" applyAlignment="1">
      <alignment horizontal="center" vertical="center"/>
    </xf>
    <xf numFmtId="43" fontId="9" fillId="0" borderId="3" xfId="1" applyFont="1" applyBorder="1" applyAlignment="1">
      <alignment horizontal="right"/>
    </xf>
    <xf numFmtId="43" fontId="9" fillId="41" borderId="3" xfId="1" applyFont="1" applyFill="1" applyBorder="1" applyAlignment="1">
      <alignment horizontal="right"/>
    </xf>
    <xf numFmtId="43" fontId="9" fillId="42" borderId="3" xfId="1" applyFont="1" applyFill="1" applyBorder="1" applyAlignment="1">
      <alignment horizontal="right"/>
    </xf>
    <xf numFmtId="43" fontId="9" fillId="44" borderId="3" xfId="1" applyFont="1" applyFill="1" applyBorder="1" applyAlignment="1">
      <alignment horizontal="right"/>
    </xf>
    <xf numFmtId="169" fontId="9" fillId="44" borderId="3" xfId="0" applyNumberFormat="1" applyFont="1" applyFill="1" applyBorder="1"/>
    <xf numFmtId="0" fontId="9" fillId="42" borderId="3" xfId="0" applyFont="1" applyFill="1" applyBorder="1"/>
    <xf numFmtId="43" fontId="9" fillId="44" borderId="3" xfId="1" applyFont="1" applyFill="1" applyBorder="1"/>
    <xf numFmtId="0" fontId="9" fillId="0" borderId="3" xfId="0" applyFont="1" applyBorder="1" applyAlignment="1">
      <alignment horizontal="center" vertical="center"/>
    </xf>
    <xf numFmtId="0" fontId="18" fillId="38" borderId="0" xfId="0" applyFont="1" applyFill="1" applyAlignment="1">
      <alignment horizontal="center"/>
    </xf>
    <xf numFmtId="43" fontId="9" fillId="41" borderId="3" xfId="1" applyFont="1" applyFill="1" applyBorder="1" applyAlignment="1">
      <alignment horizontal="center"/>
    </xf>
    <xf numFmtId="170" fontId="9" fillId="0" borderId="3" xfId="1" applyNumberFormat="1" applyFont="1" applyBorder="1" applyAlignment="1">
      <alignment horizontal="right"/>
    </xf>
    <xf numFmtId="43" fontId="9" fillId="41" borderId="3" xfId="1" applyFont="1" applyFill="1" applyBorder="1"/>
    <xf numFmtId="170" fontId="9" fillId="42" borderId="3" xfId="0" applyNumberFormat="1" applyFont="1" applyFill="1" applyBorder="1" applyAlignment="1">
      <alignment horizontal="right"/>
    </xf>
    <xf numFmtId="0" fontId="9" fillId="41" borderId="3" xfId="0" applyFont="1" applyFill="1" applyBorder="1"/>
    <xf numFmtId="170" fontId="9" fillId="41" borderId="3" xfId="0" applyNumberFormat="1" applyFont="1" applyFill="1" applyBorder="1" applyAlignment="1">
      <alignment horizontal="right"/>
    </xf>
    <xf numFmtId="0" fontId="9" fillId="0" borderId="59" xfId="0" applyFont="1" applyBorder="1"/>
    <xf numFmtId="170" fontId="9" fillId="0" borderId="3" xfId="0" applyNumberFormat="1" applyFont="1" applyBorder="1" applyAlignment="1">
      <alignment horizontal="right"/>
    </xf>
    <xf numFmtId="0" fontId="9" fillId="0" borderId="58" xfId="0" applyFont="1" applyBorder="1"/>
    <xf numFmtId="2" fontId="9" fillId="42" borderId="3" xfId="0" applyNumberFormat="1" applyFont="1" applyFill="1" applyBorder="1" applyAlignment="1">
      <alignment horizontal="right"/>
    </xf>
    <xf numFmtId="0" fontId="9" fillId="40" borderId="35" xfId="0" applyFont="1" applyFill="1" applyBorder="1" applyAlignment="1">
      <alignment horizontal="left"/>
    </xf>
    <xf numFmtId="0" fontId="9" fillId="40" borderId="36" xfId="0" applyFont="1" applyFill="1" applyBorder="1" applyAlignment="1">
      <alignment horizontal="left"/>
    </xf>
    <xf numFmtId="0" fontId="9" fillId="40" borderId="37" xfId="0" applyFont="1" applyFill="1" applyBorder="1" applyAlignment="1">
      <alignment horizontal="left"/>
    </xf>
    <xf numFmtId="0" fontId="9" fillId="43" borderId="35" xfId="0" applyFont="1" applyFill="1" applyBorder="1" applyAlignment="1">
      <alignment horizontal="left"/>
    </xf>
    <xf numFmtId="0" fontId="9" fillId="43" borderId="36" xfId="0" applyFont="1" applyFill="1" applyBorder="1" applyAlignment="1">
      <alignment horizontal="left"/>
    </xf>
    <xf numFmtId="0" fontId="9" fillId="43" borderId="37" xfId="0" applyFont="1" applyFill="1" applyBorder="1" applyAlignment="1">
      <alignment horizontal="left"/>
    </xf>
    <xf numFmtId="169" fontId="9" fillId="41" borderId="3" xfId="0" applyNumberFormat="1" applyFont="1" applyFill="1" applyBorder="1" applyAlignment="1">
      <alignment horizontal="center"/>
    </xf>
    <xf numFmtId="0" fontId="9" fillId="40" borderId="35" xfId="0" applyFont="1" applyFill="1" applyBorder="1" applyAlignment="1">
      <alignment wrapText="1"/>
    </xf>
    <xf numFmtId="0" fontId="9" fillId="40" borderId="36" xfId="0" applyFont="1" applyFill="1" applyBorder="1" applyAlignment="1">
      <alignment wrapText="1"/>
    </xf>
    <xf numFmtId="0" fontId="9" fillId="40" borderId="37" xfId="0" applyFont="1" applyFill="1" applyBorder="1" applyAlignment="1">
      <alignment wrapText="1"/>
    </xf>
    <xf numFmtId="43" fontId="9" fillId="42" borderId="3" xfId="1" applyFont="1" applyFill="1" applyBorder="1"/>
    <xf numFmtId="0" fontId="9" fillId="43" borderId="35" xfId="0" applyFont="1" applyFill="1" applyBorder="1" applyAlignment="1">
      <alignment wrapText="1"/>
    </xf>
    <xf numFmtId="0" fontId="9" fillId="43" borderId="36" xfId="0" applyFont="1" applyFill="1" applyBorder="1" applyAlignment="1">
      <alignment wrapText="1"/>
    </xf>
    <xf numFmtId="0" fontId="9" fillId="43" borderId="37" xfId="0" applyFont="1" applyFill="1" applyBorder="1" applyAlignment="1">
      <alignment wrapText="1"/>
    </xf>
    <xf numFmtId="0" fontId="18" fillId="38" borderId="3" xfId="0" applyFont="1" applyFill="1" applyBorder="1" applyAlignment="1">
      <alignment horizontal="center" vertical="center"/>
    </xf>
    <xf numFmtId="0" fontId="18" fillId="39" borderId="3" xfId="0" applyFont="1" applyFill="1" applyBorder="1" applyAlignment="1">
      <alignment horizontal="center" vertical="center"/>
    </xf>
    <xf numFmtId="0" fontId="9" fillId="0" borderId="3" xfId="0" applyFont="1" applyBorder="1" applyAlignment="1">
      <alignment horizontal="center" vertical="top"/>
    </xf>
    <xf numFmtId="0" fontId="9" fillId="0" borderId="3" xfId="0" applyFont="1" applyBorder="1" applyAlignment="1">
      <alignment horizontal="center" vertical="top" wrapText="1"/>
    </xf>
    <xf numFmtId="0" fontId="9" fillId="46" borderId="3" xfId="0" applyFont="1" applyFill="1" applyBorder="1" applyAlignment="1">
      <alignment horizontal="center"/>
    </xf>
    <xf numFmtId="0" fontId="9" fillId="41" borderId="3" xfId="0" applyFont="1" applyFill="1" applyBorder="1" applyAlignment="1">
      <alignment horizontal="center" vertical="center"/>
    </xf>
    <xf numFmtId="0" fontId="9" fillId="0" borderId="3" xfId="0" applyFont="1" applyBorder="1" applyAlignment="1">
      <alignment horizontal="left"/>
    </xf>
    <xf numFmtId="2" fontId="9" fillId="0" borderId="3" xfId="0" applyNumberFormat="1" applyFont="1" applyBorder="1" applyAlignment="1">
      <alignment horizontal="center"/>
    </xf>
    <xf numFmtId="0" fontId="9" fillId="46" borderId="57" xfId="0" applyFont="1" applyFill="1" applyBorder="1" applyAlignment="1">
      <alignment horizontal="center"/>
    </xf>
    <xf numFmtId="17" fontId="7" fillId="0" borderId="1" xfId="0" applyNumberFormat="1" applyFont="1" applyBorder="1"/>
    <xf numFmtId="0" fontId="8" fillId="2" borderId="1" xfId="0" applyFont="1" applyFill="1" applyBorder="1" applyAlignment="1">
      <alignment vertical="center"/>
    </xf>
    <xf numFmtId="0" fontId="8" fillId="2" borderId="2" xfId="0" applyFont="1" applyFill="1" applyBorder="1" applyAlignment="1">
      <alignment vertical="center"/>
    </xf>
    <xf numFmtId="0" fontId="7" fillId="0" borderId="2" xfId="0" applyFont="1" applyBorder="1"/>
    <xf numFmtId="0" fontId="8" fillId="2" borderId="4" xfId="0" applyFont="1" applyFill="1" applyBorder="1" applyAlignment="1">
      <alignment vertical="center"/>
    </xf>
    <xf numFmtId="2" fontId="8" fillId="3" borderId="4" xfId="0" applyNumberFormat="1" applyFont="1" applyFill="1" applyBorder="1"/>
    <xf numFmtId="164" fontId="7" fillId="0" borderId="5" xfId="0" applyNumberFormat="1" applyFont="1" applyFill="1" applyBorder="1" applyAlignment="1">
      <alignment horizontal="right" vertical="top"/>
    </xf>
    <xf numFmtId="164" fontId="7" fillId="0" borderId="7" xfId="0" applyNumberFormat="1" applyFont="1" applyFill="1" applyBorder="1" applyAlignment="1">
      <alignment horizontal="right" vertical="top"/>
    </xf>
    <xf numFmtId="167" fontId="17" fillId="3" borderId="7" xfId="0" applyNumberFormat="1" applyFont="1" applyFill="1" applyBorder="1" applyAlignment="1">
      <alignment horizontal="right" vertical="top"/>
    </xf>
    <xf numFmtId="49" fontId="7" fillId="3" borderId="7" xfId="0" applyNumberFormat="1" applyFont="1" applyFill="1" applyBorder="1" applyAlignment="1">
      <alignment horizontal="right" vertical="top"/>
    </xf>
    <xf numFmtId="1" fontId="7" fillId="0" borderId="7" xfId="0" applyNumberFormat="1" applyFont="1" applyBorder="1"/>
    <xf numFmtId="0" fontId="8" fillId="0" borderId="7" xfId="0" applyFont="1" applyFill="1" applyBorder="1" applyAlignment="1">
      <alignment horizontal="center" vertical="center" wrapText="1"/>
    </xf>
    <xf numFmtId="1" fontId="8" fillId="0" borderId="7" xfId="0" applyNumberFormat="1" applyFont="1" applyFill="1" applyBorder="1" applyAlignment="1">
      <alignment horizontal="center" vertical="center"/>
    </xf>
    <xf numFmtId="1" fontId="7" fillId="0" borderId="7" xfId="0" applyNumberFormat="1" applyFont="1" applyBorder="1" applyAlignment="1">
      <alignment horizontal="right" vertical="top"/>
    </xf>
    <xf numFmtId="0" fontId="7" fillId="0" borderId="7" xfId="0" applyNumberFormat="1" applyFont="1" applyBorder="1" applyAlignment="1">
      <alignment horizontal="right" vertical="top"/>
    </xf>
    <xf numFmtId="49" fontId="7" fillId="0" borderId="7" xfId="0" applyNumberFormat="1" applyFont="1" applyFill="1" applyBorder="1" applyAlignment="1">
      <alignment vertical="top"/>
    </xf>
    <xf numFmtId="17" fontId="7" fillId="34" borderId="7" xfId="0" applyNumberFormat="1" applyFont="1" applyFill="1" applyBorder="1"/>
    <xf numFmtId="0" fontId="7" fillId="34" borderId="7" xfId="0" applyFont="1" applyFill="1" applyBorder="1"/>
    <xf numFmtId="0" fontId="7" fillId="0" borderId="7" xfId="0" applyFont="1" applyBorder="1" applyAlignment="1"/>
    <xf numFmtId="0" fontId="7" fillId="0" borderId="7" xfId="0" applyFont="1" applyFill="1" applyBorder="1" applyAlignment="1"/>
    <xf numFmtId="49" fontId="7" fillId="3" borderId="7" xfId="0" applyNumberFormat="1" applyFont="1" applyFill="1" applyBorder="1" applyAlignment="1">
      <alignment horizontal="right"/>
    </xf>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17" fontId="7" fillId="0" borderId="5" xfId="0" applyNumberFormat="1" applyFont="1" applyFill="1" applyBorder="1"/>
    <xf numFmtId="17" fontId="7" fillId="0" borderId="7" xfId="0" applyNumberFormat="1" applyFont="1" applyFill="1" applyBorder="1"/>
    <xf numFmtId="171" fontId="7" fillId="3" borderId="5" xfId="0" applyNumberFormat="1" applyFont="1" applyFill="1" applyBorder="1" applyAlignment="1">
      <alignment horizontal="right" vertical="top"/>
    </xf>
    <xf numFmtId="2" fontId="7" fillId="0" borderId="44" xfId="0" quotePrefix="1" applyNumberFormat="1" applyFont="1" applyFill="1" applyBorder="1" applyProtection="1"/>
    <xf numFmtId="2" fontId="7" fillId="0" borderId="44" xfId="0" applyNumberFormat="1" applyFont="1" applyBorder="1" applyAlignment="1">
      <alignment horizontal="right" vertical="top"/>
    </xf>
    <xf numFmtId="171" fontId="7" fillId="3" borderId="7" xfId="0" applyNumberFormat="1" applyFont="1" applyFill="1" applyBorder="1" applyAlignment="1">
      <alignment horizontal="right" vertical="top"/>
    </xf>
    <xf numFmtId="171" fontId="7" fillId="0" borderId="7" xfId="0" applyNumberFormat="1" applyFont="1" applyBorder="1"/>
    <xf numFmtId="0" fontId="8" fillId="5" borderId="7" xfId="0" applyFont="1" applyFill="1" applyBorder="1" applyAlignment="1">
      <alignment horizontal="center" vertical="center"/>
    </xf>
    <xf numFmtId="0" fontId="7" fillId="5" borderId="0" xfId="0" applyFont="1" applyFill="1"/>
    <xf numFmtId="0" fontId="7" fillId="5" borderId="7" xfId="0" applyFont="1" applyFill="1" applyBorder="1"/>
    <xf numFmtId="171" fontId="7" fillId="5" borderId="7" xfId="0" applyNumberFormat="1" applyFont="1" applyFill="1" applyBorder="1"/>
    <xf numFmtId="2" fontId="7" fillId="5" borderId="7" xfId="0" applyNumberFormat="1" applyFont="1" applyFill="1" applyBorder="1"/>
    <xf numFmtId="2" fontId="7" fillId="5" borderId="0" xfId="0" applyNumberFormat="1" applyFont="1" applyFill="1"/>
    <xf numFmtId="171" fontId="7" fillId="3" borderId="7" xfId="0" applyNumberFormat="1" applyFont="1" applyFill="1" applyBorder="1"/>
    <xf numFmtId="17" fontId="7" fillId="5" borderId="7" xfId="0" applyNumberFormat="1" applyFont="1" applyFill="1" applyBorder="1"/>
    <xf numFmtId="49" fontId="27" fillId="0" borderId="3" xfId="0" applyNumberFormat="1" applyFont="1" applyBorder="1" applyAlignment="1">
      <alignment horizontal="left" vertical="top" indent="3"/>
    </xf>
    <xf numFmtId="43" fontId="26" fillId="0" borderId="3" xfId="0" applyNumberFormat="1" applyFont="1" applyBorder="1" applyAlignment="1">
      <alignment horizontal="right" vertical="top"/>
    </xf>
    <xf numFmtId="43" fontId="28" fillId="0" borderId="7" xfId="0" applyNumberFormat="1" applyFont="1" applyBorder="1" applyAlignment="1">
      <alignment horizontal="right" vertical="top"/>
    </xf>
    <xf numFmtId="43" fontId="0" fillId="0" borderId="7" xfId="0" applyNumberFormat="1" applyBorder="1"/>
    <xf numFmtId="43" fontId="29" fillId="0" borderId="7" xfId="0" applyNumberFormat="1" applyFont="1" applyBorder="1" applyAlignment="1">
      <alignment horizontal="right" vertical="top"/>
    </xf>
    <xf numFmtId="0" fontId="0" fillId="0" borderId="0" xfId="0" applyAlignment="1">
      <alignment horizontal="left"/>
    </xf>
    <xf numFmtId="0" fontId="0" fillId="0" borderId="5" xfId="0" applyBorder="1"/>
    <xf numFmtId="164" fontId="28" fillId="0" borderId="7" xfId="0" applyNumberFormat="1" applyFont="1" applyBorder="1" applyAlignment="1">
      <alignment horizontal="right" vertical="top"/>
    </xf>
    <xf numFmtId="0" fontId="0" fillId="0" borderId="7" xfId="0" applyBorder="1"/>
    <xf numFmtId="0" fontId="30" fillId="0" borderId="0" xfId="0" applyFont="1"/>
    <xf numFmtId="165" fontId="30" fillId="0" borderId="0" xfId="0" applyNumberFormat="1" applyFont="1"/>
    <xf numFmtId="1" fontId="30" fillId="0" borderId="0" xfId="0" applyNumberFormat="1" applyFont="1"/>
    <xf numFmtId="3" fontId="30" fillId="0" borderId="73" xfId="0" applyNumberFormat="1" applyFont="1" applyFill="1" applyBorder="1" applyAlignment="1"/>
    <xf numFmtId="3" fontId="30" fillId="0" borderId="74" xfId="0" applyNumberFormat="1" applyFont="1" applyFill="1" applyBorder="1" applyAlignment="1"/>
    <xf numFmtId="3" fontId="30" fillId="0" borderId="75" xfId="0" applyNumberFormat="1" applyFont="1" applyFill="1" applyBorder="1" applyAlignment="1"/>
    <xf numFmtId="3" fontId="31" fillId="0" borderId="12" xfId="0" applyNumberFormat="1" applyFont="1" applyFill="1" applyBorder="1" applyAlignment="1"/>
    <xf numFmtId="3" fontId="31" fillId="0" borderId="38" xfId="0" applyNumberFormat="1" applyFont="1" applyFill="1" applyBorder="1" applyAlignment="1">
      <alignment horizontal="left"/>
    </xf>
    <xf numFmtId="3" fontId="31" fillId="0" borderId="0" xfId="0" applyNumberFormat="1" applyFont="1" applyFill="1" applyBorder="1" applyAlignment="1">
      <alignment horizontal="left"/>
    </xf>
    <xf numFmtId="3" fontId="31" fillId="0" borderId="68" xfId="0" applyNumberFormat="1" applyFont="1" applyFill="1" applyBorder="1" applyAlignment="1">
      <alignment horizontal="left"/>
    </xf>
    <xf numFmtId="165" fontId="31" fillId="0" borderId="8" xfId="0" applyNumberFormat="1" applyFont="1" applyFill="1" applyBorder="1" applyAlignment="1">
      <alignment horizontal="left"/>
    </xf>
    <xf numFmtId="3" fontId="30" fillId="0" borderId="38" xfId="0" applyNumberFormat="1" applyFont="1" applyBorder="1" applyAlignment="1"/>
    <xf numFmtId="3" fontId="30" fillId="0" borderId="0" xfId="0" applyNumberFormat="1" applyFont="1" applyBorder="1" applyAlignment="1"/>
    <xf numFmtId="3" fontId="30" fillId="0" borderId="68" xfId="0" applyNumberFormat="1" applyFont="1" applyBorder="1" applyAlignment="1"/>
    <xf numFmtId="3" fontId="30" fillId="0" borderId="8" xfId="0" applyNumberFormat="1" applyFont="1" applyBorder="1" applyAlignment="1"/>
    <xf numFmtId="3" fontId="31" fillId="0" borderId="8" xfId="0" applyNumberFormat="1" applyFont="1" applyBorder="1" applyAlignment="1"/>
    <xf numFmtId="3" fontId="30" fillId="0" borderId="97" xfId="0" applyNumberFormat="1" applyFont="1" applyBorder="1" applyAlignment="1"/>
    <xf numFmtId="3" fontId="30" fillId="0" borderId="98" xfId="0" applyNumberFormat="1" applyFont="1" applyBorder="1" applyAlignment="1"/>
    <xf numFmtId="3" fontId="30" fillId="0" borderId="99" xfId="0" applyNumberFormat="1" applyFont="1" applyBorder="1" applyAlignment="1"/>
    <xf numFmtId="3" fontId="31" fillId="0" borderId="13" xfId="0" applyNumberFormat="1" applyFont="1" applyBorder="1" applyAlignment="1"/>
    <xf numFmtId="0" fontId="31" fillId="0" borderId="9" xfId="0" applyFont="1" applyBorder="1" applyAlignment="1">
      <alignment horizontal="center"/>
    </xf>
    <xf numFmtId="0" fontId="31" fillId="0" borderId="10" xfId="0" applyFont="1" applyBorder="1" applyAlignment="1">
      <alignment horizontal="center"/>
    </xf>
    <xf numFmtId="0" fontId="31" fillId="0" borderId="11" xfId="0" applyFont="1" applyBorder="1" applyAlignment="1">
      <alignment horizontal="center"/>
    </xf>
    <xf numFmtId="165" fontId="31" fillId="0" borderId="14" xfId="0" applyNumberFormat="1" applyFont="1" applyBorder="1" applyAlignment="1">
      <alignment horizontal="center"/>
    </xf>
    <xf numFmtId="0" fontId="31" fillId="0" borderId="73" xfId="0" applyFont="1" applyBorder="1" applyAlignment="1">
      <alignment horizontal="center" wrapText="1"/>
    </xf>
    <xf numFmtId="0" fontId="31" fillId="0" borderId="74" xfId="0" applyFont="1" applyBorder="1" applyAlignment="1">
      <alignment horizontal="center" wrapText="1"/>
    </xf>
    <xf numFmtId="0" fontId="31" fillId="0" borderId="75" xfId="0" applyFont="1" applyBorder="1" applyAlignment="1">
      <alignment horizontal="center" wrapText="1"/>
    </xf>
    <xf numFmtId="165" fontId="31" fillId="0" borderId="8" xfId="0" applyNumberFormat="1" applyFont="1" applyBorder="1" applyAlignment="1">
      <alignment horizontal="center"/>
    </xf>
    <xf numFmtId="0" fontId="32" fillId="0" borderId="38" xfId="0" applyFont="1" applyBorder="1" applyAlignment="1">
      <alignment wrapText="1"/>
    </xf>
    <xf numFmtId="0" fontId="32" fillId="0" borderId="0" xfId="0" applyFont="1" applyBorder="1" applyAlignment="1">
      <alignment wrapText="1"/>
    </xf>
    <xf numFmtId="0" fontId="32" fillId="0" borderId="68" xfId="0" applyFont="1" applyBorder="1" applyAlignment="1">
      <alignment wrapText="1"/>
    </xf>
    <xf numFmtId="165" fontId="30" fillId="0" borderId="8" xfId="0" applyNumberFormat="1" applyFont="1" applyBorder="1"/>
    <xf numFmtId="0" fontId="30" fillId="0" borderId="0" xfId="0" applyFont="1" applyBorder="1"/>
    <xf numFmtId="0" fontId="30" fillId="0" borderId="38" xfId="0" applyFont="1" applyBorder="1" applyAlignment="1">
      <alignment wrapText="1"/>
    </xf>
    <xf numFmtId="0" fontId="30" fillId="0" borderId="0" xfId="0" applyFont="1" applyBorder="1" applyAlignment="1">
      <alignment wrapText="1"/>
    </xf>
    <xf numFmtId="0" fontId="30" fillId="0" borderId="68" xfId="0" applyFont="1" applyBorder="1" applyAlignment="1">
      <alignment wrapText="1"/>
    </xf>
    <xf numFmtId="165" fontId="30" fillId="0" borderId="8" xfId="0" applyNumberFormat="1" applyFont="1" applyBorder="1" applyAlignment="1"/>
    <xf numFmtId="1" fontId="30" fillId="0" borderId="0" xfId="0" applyNumberFormat="1" applyFont="1" applyBorder="1"/>
    <xf numFmtId="0" fontId="30" fillId="0" borderId="38" xfId="0" applyFont="1" applyFill="1" applyBorder="1" applyAlignment="1">
      <alignment wrapText="1"/>
    </xf>
    <xf numFmtId="0" fontId="30" fillId="0" borderId="0" xfId="0" applyFont="1" applyFill="1" applyBorder="1" applyAlignment="1">
      <alignment wrapText="1"/>
    </xf>
    <xf numFmtId="0" fontId="30" fillId="0" borderId="68" xfId="0" applyFont="1" applyFill="1" applyBorder="1" applyAlignment="1">
      <alignment wrapText="1"/>
    </xf>
    <xf numFmtId="0" fontId="33" fillId="0" borderId="38" xfId="0" applyFont="1" applyBorder="1"/>
    <xf numFmtId="0" fontId="33" fillId="0" borderId="0" xfId="0" applyFont="1" applyBorder="1"/>
    <xf numFmtId="0" fontId="33" fillId="0" borderId="68" xfId="0" applyFont="1" applyBorder="1"/>
    <xf numFmtId="166" fontId="33" fillId="0" borderId="8" xfId="1" applyNumberFormat="1" applyFont="1" applyBorder="1"/>
    <xf numFmtId="0" fontId="33" fillId="0" borderId="38" xfId="0" applyFont="1" applyBorder="1" applyAlignment="1">
      <alignment horizontal="left"/>
    </xf>
    <xf numFmtId="0" fontId="33" fillId="0" borderId="0" xfId="0" applyFont="1" applyBorder="1" applyAlignment="1">
      <alignment horizontal="left"/>
    </xf>
    <xf numFmtId="0" fontId="33" fillId="0" borderId="68" xfId="0" applyFont="1" applyBorder="1" applyAlignment="1">
      <alignment horizontal="left"/>
    </xf>
    <xf numFmtId="0" fontId="33" fillId="0" borderId="38" xfId="0" applyFont="1" applyBorder="1" applyAlignment="1">
      <alignment horizontal="left" indent="2"/>
    </xf>
    <xf numFmtId="0" fontId="33" fillId="0" borderId="0" xfId="0" applyFont="1" applyBorder="1" applyAlignment="1">
      <alignment horizontal="left" indent="2"/>
    </xf>
    <xf numFmtId="0" fontId="33" fillId="0" borderId="68" xfId="0" applyFont="1" applyBorder="1" applyAlignment="1">
      <alignment horizontal="left" indent="2"/>
    </xf>
    <xf numFmtId="0" fontId="34" fillId="0" borderId="38" xfId="0" applyFont="1" applyBorder="1"/>
    <xf numFmtId="0" fontId="34" fillId="0" borderId="0" xfId="0" applyFont="1" applyBorder="1"/>
    <xf numFmtId="0" fontId="34" fillId="0" borderId="68" xfId="0" applyFont="1" applyBorder="1"/>
    <xf numFmtId="0" fontId="34" fillId="0" borderId="97" xfId="0" applyFont="1" applyBorder="1"/>
    <xf numFmtId="0" fontId="34" fillId="0" borderId="98" xfId="0" applyFont="1" applyBorder="1"/>
    <xf numFmtId="0" fontId="34" fillId="0" borderId="99" xfId="0" applyFont="1" applyBorder="1"/>
    <xf numFmtId="0" fontId="31" fillId="0" borderId="9" xfId="0" applyFont="1" applyFill="1" applyBorder="1" applyAlignment="1">
      <alignment horizontal="center" wrapText="1"/>
    </xf>
    <xf numFmtId="0" fontId="31" fillId="0" borderId="10" xfId="0" applyFont="1" applyFill="1" applyBorder="1" applyAlignment="1">
      <alignment horizontal="center" wrapText="1"/>
    </xf>
    <xf numFmtId="0" fontId="31" fillId="0" borderId="11" xfId="0" applyFont="1" applyFill="1" applyBorder="1" applyAlignment="1">
      <alignment horizontal="center" wrapText="1"/>
    </xf>
    <xf numFmtId="165" fontId="30" fillId="0" borderId="14" xfId="0" applyNumberFormat="1" applyFont="1" applyBorder="1" applyAlignment="1"/>
    <xf numFmtId="165" fontId="31" fillId="0" borderId="14" xfId="0" applyNumberFormat="1" applyFont="1" applyBorder="1" applyAlignment="1"/>
    <xf numFmtId="0" fontId="31" fillId="0" borderId="73" xfId="0" applyFont="1" applyBorder="1" applyAlignment="1">
      <alignment wrapText="1"/>
    </xf>
    <xf numFmtId="0" fontId="31" fillId="0" borderId="74" xfId="0" applyFont="1" applyBorder="1" applyAlignment="1">
      <alignment wrapText="1"/>
    </xf>
    <xf numFmtId="0" fontId="31" fillId="0" borderId="75" xfId="0" applyFont="1" applyBorder="1" applyAlignment="1">
      <alignment wrapText="1"/>
    </xf>
    <xf numFmtId="165" fontId="30" fillId="0" borderId="8" xfId="1" applyNumberFormat="1" applyFont="1" applyBorder="1" applyAlignment="1"/>
    <xf numFmtId="37" fontId="30" fillId="0" borderId="0" xfId="0" applyNumberFormat="1" applyFont="1" applyBorder="1"/>
    <xf numFmtId="0" fontId="31" fillId="0" borderId="38" xfId="0" applyFont="1" applyBorder="1" applyAlignment="1">
      <alignment horizontal="center" wrapText="1"/>
    </xf>
    <xf numFmtId="0" fontId="31" fillId="0" borderId="0" xfId="0" applyFont="1" applyBorder="1" applyAlignment="1">
      <alignment horizontal="center" wrapText="1"/>
    </xf>
    <xf numFmtId="0" fontId="31" fillId="0" borderId="68" xfId="0" applyFont="1" applyBorder="1" applyAlignment="1">
      <alignment horizontal="center" wrapText="1"/>
    </xf>
    <xf numFmtId="0" fontId="30" fillId="0" borderId="97" xfId="0" applyFont="1" applyBorder="1" applyAlignment="1">
      <alignment wrapText="1"/>
    </xf>
    <xf numFmtId="0" fontId="30" fillId="0" borderId="98" xfId="0" applyFont="1" applyBorder="1" applyAlignment="1">
      <alignment wrapText="1"/>
    </xf>
    <xf numFmtId="0" fontId="30" fillId="0" borderId="99" xfId="0" applyFont="1" applyBorder="1" applyAlignment="1">
      <alignment wrapText="1"/>
    </xf>
    <xf numFmtId="0" fontId="31" fillId="0" borderId="9" xfId="0" applyFont="1" applyBorder="1" applyAlignment="1">
      <alignment wrapText="1"/>
    </xf>
    <xf numFmtId="0" fontId="31" fillId="0" borderId="10" xfId="0" applyFont="1" applyBorder="1" applyAlignment="1">
      <alignment wrapText="1"/>
    </xf>
    <xf numFmtId="0" fontId="31" fillId="0" borderId="11" xfId="0" applyFont="1" applyBorder="1" applyAlignment="1">
      <alignment wrapText="1"/>
    </xf>
    <xf numFmtId="0" fontId="35" fillId="0" borderId="73" xfId="0" applyFont="1" applyBorder="1" applyAlignment="1">
      <alignment horizontal="left" indent="7"/>
    </xf>
    <xf numFmtId="0" fontId="35" fillId="0" borderId="74" xfId="0" applyFont="1" applyBorder="1" applyAlignment="1">
      <alignment horizontal="left" indent="7"/>
    </xf>
    <xf numFmtId="0" fontId="35" fillId="0" borderId="75" xfId="0" applyFont="1" applyBorder="1" applyAlignment="1">
      <alignment horizontal="left" indent="7"/>
    </xf>
    <xf numFmtId="165" fontId="31" fillId="0" borderId="8" xfId="0" applyNumberFormat="1" applyFont="1" applyBorder="1" applyAlignment="1"/>
    <xf numFmtId="0" fontId="36" fillId="0" borderId="38" xfId="0" applyFont="1" applyBorder="1" applyAlignment="1"/>
    <xf numFmtId="0" fontId="36" fillId="0" borderId="0" xfId="0" applyFont="1" applyBorder="1" applyAlignment="1"/>
    <xf numFmtId="0" fontId="36" fillId="0" borderId="68" xfId="0" applyFont="1" applyBorder="1" applyAlignment="1"/>
    <xf numFmtId="0" fontId="30" fillId="0" borderId="97" xfId="0" applyFont="1" applyFill="1" applyBorder="1" applyAlignment="1">
      <alignment wrapText="1"/>
    </xf>
    <xf numFmtId="0" fontId="30" fillId="0" borderId="98" xfId="0" applyFont="1" applyFill="1" applyBorder="1" applyAlignment="1">
      <alignment wrapText="1"/>
    </xf>
    <xf numFmtId="0" fontId="30" fillId="0" borderId="99" xfId="0" applyFont="1" applyFill="1" applyBorder="1" applyAlignment="1">
      <alignment wrapText="1"/>
    </xf>
    <xf numFmtId="37" fontId="30" fillId="0" borderId="0" xfId="0" applyNumberFormat="1" applyFont="1"/>
    <xf numFmtId="165" fontId="31" fillId="0" borderId="14" xfId="0" applyNumberFormat="1" applyFont="1" applyBorder="1"/>
    <xf numFmtId="0" fontId="33" fillId="0" borderId="73" xfId="0" applyFont="1" applyBorder="1"/>
    <xf numFmtId="0" fontId="33" fillId="0" borderId="74" xfId="0" applyFont="1" applyBorder="1"/>
    <xf numFmtId="0" fontId="33" fillId="0" borderId="75" xfId="0" applyFont="1" applyBorder="1"/>
    <xf numFmtId="165" fontId="31" fillId="0" borderId="8" xfId="0" applyNumberFormat="1" applyFont="1" applyBorder="1"/>
    <xf numFmtId="0" fontId="37" fillId="0" borderId="8" xfId="0" applyFont="1" applyBorder="1"/>
    <xf numFmtId="0" fontId="31" fillId="0" borderId="38" xfId="0" applyFont="1" applyBorder="1" applyAlignment="1">
      <alignment wrapText="1"/>
    </xf>
    <xf numFmtId="0" fontId="31" fillId="0" borderId="0" xfId="0" applyFont="1" applyBorder="1" applyAlignment="1">
      <alignment wrapText="1"/>
    </xf>
    <xf numFmtId="0" fontId="31" fillId="0" borderId="68" xfId="0" applyFont="1" applyBorder="1" applyAlignment="1">
      <alignment wrapText="1"/>
    </xf>
    <xf numFmtId="0" fontId="31" fillId="0" borderId="9" xfId="0" applyFont="1" applyFill="1" applyBorder="1" applyAlignment="1">
      <alignment wrapText="1"/>
    </xf>
    <xf numFmtId="0" fontId="31" fillId="0" borderId="10" xfId="0" applyFont="1" applyFill="1" applyBorder="1" applyAlignment="1">
      <alignment wrapText="1"/>
    </xf>
    <xf numFmtId="0" fontId="31" fillId="0" borderId="11" xfId="0" applyFont="1" applyFill="1" applyBorder="1" applyAlignment="1">
      <alignment wrapText="1"/>
    </xf>
    <xf numFmtId="0" fontId="30" fillId="0" borderId="73" xfId="0" applyFont="1" applyFill="1" applyBorder="1" applyAlignment="1">
      <alignment wrapText="1"/>
    </xf>
    <xf numFmtId="0" fontId="30" fillId="0" borderId="74" xfId="0" applyFont="1" applyFill="1" applyBorder="1" applyAlignment="1">
      <alignment wrapText="1"/>
    </xf>
    <xf numFmtId="0" fontId="30" fillId="0" borderId="75" xfId="0" applyFont="1" applyFill="1" applyBorder="1" applyAlignment="1">
      <alignment wrapText="1"/>
    </xf>
    <xf numFmtId="0" fontId="30" fillId="0" borderId="38" xfId="0" applyFont="1" applyFill="1" applyBorder="1" applyAlignment="1">
      <alignment horizontal="center" wrapText="1"/>
    </xf>
    <xf numFmtId="0" fontId="30" fillId="0" borderId="0" xfId="0" applyFont="1" applyFill="1" applyBorder="1" applyAlignment="1">
      <alignment horizontal="center" wrapText="1"/>
    </xf>
    <xf numFmtId="0" fontId="30" fillId="0" borderId="68" xfId="0" applyFont="1" applyFill="1" applyBorder="1" applyAlignment="1">
      <alignment horizontal="center" wrapText="1"/>
    </xf>
    <xf numFmtId="0" fontId="30" fillId="0" borderId="9" xfId="0" applyFont="1" applyFill="1" applyBorder="1" applyAlignment="1">
      <alignment wrapText="1"/>
    </xf>
    <xf numFmtId="0" fontId="30" fillId="0" borderId="10" xfId="0" applyFont="1" applyFill="1" applyBorder="1" applyAlignment="1">
      <alignment wrapText="1"/>
    </xf>
    <xf numFmtId="0" fontId="30" fillId="0" borderId="11" xfId="0" applyFont="1" applyFill="1" applyBorder="1" applyAlignment="1">
      <alignment wrapText="1"/>
    </xf>
    <xf numFmtId="165" fontId="30" fillId="0" borderId="8" xfId="0" applyNumberFormat="1" applyFont="1" applyFill="1" applyBorder="1" applyAlignment="1"/>
    <xf numFmtId="37" fontId="30" fillId="0" borderId="0" xfId="0" applyNumberFormat="1" applyFont="1" applyBorder="1" applyAlignment="1"/>
    <xf numFmtId="0" fontId="31" fillId="0" borderId="9" xfId="0" applyFont="1" applyFill="1" applyBorder="1" applyAlignment="1">
      <alignment horizontal="center" vertical="top" wrapText="1"/>
    </xf>
    <xf numFmtId="0" fontId="31" fillId="0" borderId="10" xfId="0" applyFont="1" applyFill="1" applyBorder="1" applyAlignment="1">
      <alignment horizontal="center" vertical="top" wrapText="1"/>
    </xf>
    <xf numFmtId="0" fontId="31" fillId="0" borderId="11" xfId="0" applyFont="1" applyFill="1" applyBorder="1" applyAlignment="1">
      <alignment horizontal="center" vertical="top" wrapText="1"/>
    </xf>
    <xf numFmtId="165" fontId="31" fillId="0" borderId="14" xfId="1" applyNumberFormat="1" applyFont="1" applyBorder="1" applyAlignment="1">
      <alignment horizontal="center"/>
    </xf>
    <xf numFmtId="0" fontId="31" fillId="0" borderId="38" xfId="0" applyFont="1" applyBorder="1" applyAlignment="1"/>
    <xf numFmtId="0" fontId="31" fillId="0" borderId="0" xfId="0" applyFont="1" applyBorder="1" applyAlignment="1"/>
    <xf numFmtId="0" fontId="31" fillId="0" borderId="68" xfId="0" applyFont="1" applyBorder="1" applyAlignment="1"/>
    <xf numFmtId="0" fontId="31" fillId="0" borderId="97" xfId="0" applyFont="1" applyBorder="1" applyAlignment="1"/>
    <xf numFmtId="0" fontId="31" fillId="0" borderId="98" xfId="0" applyFont="1" applyBorder="1" applyAlignment="1"/>
    <xf numFmtId="0" fontId="31" fillId="0" borderId="99" xfId="0" applyFont="1" applyBorder="1" applyAlignment="1"/>
    <xf numFmtId="0" fontId="31" fillId="0" borderId="14" xfId="0" applyFont="1" applyBorder="1" applyAlignment="1">
      <alignment horizontal="center"/>
    </xf>
    <xf numFmtId="0" fontId="31" fillId="0" borderId="14" xfId="0" applyFont="1" applyBorder="1"/>
    <xf numFmtId="1" fontId="31" fillId="0" borderId="14" xfId="0" applyNumberFormat="1" applyFont="1" applyBorder="1"/>
    <xf numFmtId="0" fontId="31" fillId="0" borderId="8" xfId="0" applyFont="1" applyFill="1" applyBorder="1" applyAlignment="1">
      <alignment horizontal="center"/>
    </xf>
    <xf numFmtId="0" fontId="30" fillId="0" borderId="12" xfId="0" applyFont="1" applyBorder="1"/>
    <xf numFmtId="1" fontId="30" fillId="0" borderId="12" xfId="0" applyNumberFormat="1" applyFont="1" applyBorder="1"/>
    <xf numFmtId="0" fontId="30" fillId="0" borderId="8" xfId="0" applyFont="1" applyBorder="1" applyAlignment="1"/>
    <xf numFmtId="0" fontId="31" fillId="0" borderId="14" xfId="0" applyFont="1" applyFill="1" applyBorder="1" applyAlignment="1">
      <alignment horizontal="center"/>
    </xf>
    <xf numFmtId="165" fontId="30" fillId="0" borderId="14" xfId="0" applyNumberFormat="1" applyFont="1" applyBorder="1"/>
    <xf numFmtId="0" fontId="31" fillId="0" borderId="8" xfId="0" applyFont="1" applyBorder="1" applyAlignment="1">
      <alignment horizontal="center"/>
    </xf>
    <xf numFmtId="0" fontId="30" fillId="0" borderId="8" xfId="0" applyFont="1" applyFill="1" applyBorder="1" applyAlignment="1"/>
    <xf numFmtId="0" fontId="30" fillId="0" borderId="8" xfId="0" applyFont="1" applyBorder="1"/>
    <xf numFmtId="1" fontId="30" fillId="0" borderId="8" xfId="0" applyNumberFormat="1" applyFont="1" applyBorder="1"/>
    <xf numFmtId="0" fontId="30" fillId="0" borderId="14" xfId="0" applyFont="1" applyBorder="1"/>
    <xf numFmtId="43" fontId="31" fillId="0" borderId="14" xfId="1" applyFont="1" applyBorder="1"/>
    <xf numFmtId="0" fontId="30" fillId="0" borderId="0" xfId="0" applyFont="1" applyBorder="1" applyAlignment="1"/>
    <xf numFmtId="165" fontId="30" fillId="0" borderId="0" xfId="0" applyNumberFormat="1" applyFont="1" applyBorder="1" applyAlignment="1"/>
    <xf numFmtId="0" fontId="40" fillId="3" borderId="5" xfId="0" applyFont="1" applyFill="1" applyBorder="1"/>
    <xf numFmtId="0" fontId="41" fillId="0" borderId="7" xfId="0" applyFont="1" applyBorder="1"/>
    <xf numFmtId="0" fontId="40" fillId="0" borderId="7" xfId="0" applyFont="1" applyBorder="1"/>
    <xf numFmtId="43" fontId="43" fillId="0" borderId="7" xfId="1" applyFont="1" applyBorder="1"/>
    <xf numFmtId="0" fontId="40" fillId="3" borderId="7" xfId="0" applyFont="1" applyFill="1" applyBorder="1"/>
    <xf numFmtId="0" fontId="0" fillId="0" borderId="6" xfId="0" applyBorder="1"/>
    <xf numFmtId="0" fontId="40" fillId="0" borderId="3" xfId="0" applyFont="1" applyBorder="1"/>
    <xf numFmtId="0" fontId="44" fillId="3" borderId="7" xfId="0" applyFont="1" applyFill="1" applyBorder="1"/>
    <xf numFmtId="0" fontId="44" fillId="0" borderId="7" xfId="0" applyFont="1" applyBorder="1"/>
    <xf numFmtId="43" fontId="0" fillId="0" borderId="0" xfId="1" applyFont="1"/>
    <xf numFmtId="0" fontId="43" fillId="0" borderId="7" xfId="0" applyFont="1" applyBorder="1"/>
    <xf numFmtId="0" fontId="43" fillId="0" borderId="7" xfId="0" applyFont="1" applyFill="1" applyBorder="1"/>
    <xf numFmtId="0" fontId="45" fillId="3" borderId="7" xfId="0" applyFont="1" applyFill="1" applyBorder="1"/>
    <xf numFmtId="0" fontId="0" fillId="0" borderId="0" xfId="0" applyBorder="1"/>
    <xf numFmtId="43" fontId="44" fillId="0" borderId="7" xfId="1" applyFont="1" applyBorder="1"/>
    <xf numFmtId="43" fontId="44" fillId="3" borderId="7" xfId="1" applyFont="1" applyFill="1" applyBorder="1"/>
    <xf numFmtId="43" fontId="31" fillId="3" borderId="0" xfId="1" applyFont="1" applyFill="1"/>
    <xf numFmtId="43" fontId="43" fillId="0" borderId="7" xfId="1" applyFont="1" applyFill="1" applyBorder="1"/>
    <xf numFmtId="43" fontId="43" fillId="0" borderId="72" xfId="1" applyFont="1" applyBorder="1"/>
    <xf numFmtId="43" fontId="43" fillId="0" borderId="0" xfId="1" applyFont="1" applyBorder="1"/>
    <xf numFmtId="0" fontId="0" fillId="0" borderId="73" xfId="0" applyBorder="1"/>
    <xf numFmtId="0" fontId="0" fillId="0" borderId="74" xfId="0" applyBorder="1"/>
    <xf numFmtId="0" fontId="0" fillId="0" borderId="75" xfId="0" applyBorder="1"/>
    <xf numFmtId="0" fontId="0" fillId="0" borderId="35" xfId="0" applyBorder="1"/>
    <xf numFmtId="0" fontId="0" fillId="0" borderId="36" xfId="0" applyBorder="1"/>
    <xf numFmtId="0" fontId="0" fillId="0" borderId="31" xfId="0" applyBorder="1"/>
    <xf numFmtId="17" fontId="0" fillId="0" borderId="41" xfId="0" applyNumberFormat="1" applyBorder="1"/>
    <xf numFmtId="17" fontId="0" fillId="0" borderId="42" xfId="0" applyNumberFormat="1" applyBorder="1"/>
    <xf numFmtId="2" fontId="0" fillId="0" borderId="0" xfId="0" applyNumberFormat="1"/>
    <xf numFmtId="0" fontId="25" fillId="0" borderId="31" xfId="0" applyFont="1" applyBorder="1"/>
    <xf numFmtId="0" fontId="25" fillId="0" borderId="41" xfId="0" applyFont="1" applyBorder="1"/>
    <xf numFmtId="0" fontId="44" fillId="3" borderId="72" xfId="0" applyFont="1" applyFill="1" applyBorder="1"/>
    <xf numFmtId="0" fontId="43" fillId="0" borderId="72" xfId="0" applyFont="1" applyBorder="1"/>
    <xf numFmtId="0" fontId="44" fillId="0" borderId="72" xfId="0" applyFont="1" applyBorder="1"/>
    <xf numFmtId="17" fontId="0" fillId="0" borderId="35" xfId="0" applyNumberFormat="1" applyBorder="1" applyAlignment="1">
      <alignment horizontal="center"/>
    </xf>
    <xf numFmtId="168" fontId="7" fillId="0" borderId="0" xfId="0" applyNumberFormat="1" applyFont="1" applyBorder="1" applyAlignment="1" applyProtection="1">
      <alignment vertical="center"/>
    </xf>
    <xf numFmtId="49" fontId="29" fillId="0" borderId="0" xfId="0" applyNumberFormat="1" applyFont="1" applyAlignment="1">
      <alignment vertical="top"/>
    </xf>
    <xf numFmtId="49" fontId="26" fillId="0" borderId="3" xfId="0" applyNumberFormat="1" applyFont="1" applyBorder="1" applyAlignment="1">
      <alignment vertical="top"/>
    </xf>
    <xf numFmtId="43" fontId="40" fillId="0" borderId="7" xfId="0" applyNumberFormat="1" applyFont="1" applyBorder="1"/>
    <xf numFmtId="43" fontId="41" fillId="0" borderId="7" xfId="0" applyNumberFormat="1" applyFont="1" applyBorder="1"/>
    <xf numFmtId="17" fontId="0" fillId="0" borderId="3" xfId="0" applyNumberFormat="1" applyBorder="1" applyAlignment="1"/>
    <xf numFmtId="0" fontId="42" fillId="0" borderId="7" xfId="0" applyFont="1" applyBorder="1"/>
    <xf numFmtId="0" fontId="0" fillId="0" borderId="7" xfId="0" applyFill="1" applyBorder="1"/>
    <xf numFmtId="0" fontId="41" fillId="0" borderId="3" xfId="0" applyFont="1" applyBorder="1"/>
    <xf numFmtId="43" fontId="41" fillId="0" borderId="3" xfId="0" applyNumberFormat="1" applyFont="1" applyBorder="1"/>
    <xf numFmtId="43" fontId="40" fillId="0" borderId="3" xfId="0" applyNumberFormat="1" applyFont="1" applyBorder="1"/>
    <xf numFmtId="0" fontId="40" fillId="0" borderId="5" xfId="0" applyFont="1" applyBorder="1"/>
    <xf numFmtId="43" fontId="40" fillId="3" borderId="5" xfId="0" applyNumberFormat="1" applyFont="1" applyFill="1" applyBorder="1"/>
    <xf numFmtId="43" fontId="0" fillId="0" borderId="7" xfId="1" applyNumberFormat="1" applyFont="1" applyBorder="1"/>
    <xf numFmtId="43" fontId="42" fillId="0" borderId="7" xfId="0" applyNumberFormat="1" applyFont="1" applyBorder="1"/>
    <xf numFmtId="43" fontId="40" fillId="3" borderId="7" xfId="0" applyNumberFormat="1" applyFont="1" applyFill="1" applyBorder="1"/>
    <xf numFmtId="43" fontId="28" fillId="0" borderId="6" xfId="0" applyNumberFormat="1" applyFont="1" applyBorder="1" applyAlignment="1">
      <alignment horizontal="right" vertical="top"/>
    </xf>
    <xf numFmtId="43" fontId="0" fillId="0" borderId="5" xfId="0" applyNumberFormat="1" applyBorder="1"/>
    <xf numFmtId="43" fontId="40" fillId="0" borderId="7" xfId="0" applyNumberFormat="1" applyFont="1" applyFill="1" applyBorder="1"/>
    <xf numFmtId="43" fontId="0" fillId="0" borderId="7" xfId="0" applyNumberFormat="1" applyFill="1" applyBorder="1"/>
    <xf numFmtId="43" fontId="40" fillId="0" borderId="5" xfId="0" applyNumberFormat="1" applyFont="1" applyBorder="1"/>
    <xf numFmtId="43" fontId="0" fillId="0" borderId="6" xfId="0" applyNumberFormat="1" applyBorder="1"/>
    <xf numFmtId="49" fontId="26" fillId="0" borderId="5" xfId="0" applyNumberFormat="1" applyFont="1" applyBorder="1" applyAlignment="1">
      <alignment vertical="top"/>
    </xf>
    <xf numFmtId="43" fontId="26" fillId="0" borderId="5" xfId="0" applyNumberFormat="1" applyFont="1" applyBorder="1" applyAlignment="1">
      <alignment horizontal="right" vertical="top"/>
    </xf>
    <xf numFmtId="0" fontId="25" fillId="0" borderId="61" xfId="0" applyFont="1" applyBorder="1"/>
    <xf numFmtId="43" fontId="25" fillId="0" borderId="61" xfId="0" applyNumberFormat="1" applyFont="1" applyBorder="1"/>
    <xf numFmtId="43" fontId="0" fillId="0" borderId="3" xfId="0" applyNumberFormat="1" applyFill="1" applyBorder="1"/>
    <xf numFmtId="0" fontId="0" fillId="0" borderId="3" xfId="0" applyFill="1" applyBorder="1"/>
    <xf numFmtId="43" fontId="0" fillId="3" borderId="7" xfId="0" applyNumberFormat="1" applyFill="1" applyBorder="1"/>
    <xf numFmtId="0" fontId="25" fillId="0" borderId="3" xfId="0" applyFont="1" applyBorder="1"/>
    <xf numFmtId="0" fontId="41" fillId="0" borderId="0" xfId="0" applyFont="1" applyFill="1"/>
    <xf numFmtId="0" fontId="41" fillId="0" borderId="0" xfId="0" applyFont="1" applyFill="1" applyAlignment="1">
      <alignment horizontal="left" vertical="top"/>
    </xf>
    <xf numFmtId="43" fontId="41" fillId="0" borderId="0" xfId="1" applyFont="1" applyFill="1"/>
    <xf numFmtId="10" fontId="41" fillId="0" borderId="0" xfId="0" applyNumberFormat="1" applyFont="1" applyFill="1"/>
    <xf numFmtId="39" fontId="31" fillId="0" borderId="45" xfId="0" applyNumberFormat="1" applyFont="1" applyFill="1" applyBorder="1" applyAlignment="1" applyProtection="1">
      <alignment horizontal="left" vertical="top"/>
    </xf>
    <xf numFmtId="39" fontId="31" fillId="0" borderId="45" xfId="0" applyNumberFormat="1" applyFont="1" applyFill="1" applyBorder="1" applyAlignment="1" applyProtection="1">
      <alignment horizontal="center"/>
    </xf>
    <xf numFmtId="43" fontId="31" fillId="0" borderId="45" xfId="1" applyFont="1" applyFill="1" applyBorder="1" applyAlignment="1" applyProtection="1">
      <alignment horizontal="center"/>
    </xf>
    <xf numFmtId="43" fontId="30" fillId="0" borderId="45" xfId="1" applyFont="1" applyFill="1" applyBorder="1"/>
    <xf numFmtId="10" fontId="31" fillId="0" borderId="45" xfId="0" applyNumberFormat="1" applyFont="1" applyFill="1" applyBorder="1" applyAlignment="1">
      <alignment horizontal="center"/>
    </xf>
    <xf numFmtId="0" fontId="30" fillId="0" borderId="45" xfId="0" applyFont="1" applyFill="1" applyBorder="1" applyAlignment="1">
      <alignment horizontal="left" vertical="top"/>
    </xf>
    <xf numFmtId="0" fontId="30" fillId="0" borderId="45" xfId="0" applyFont="1" applyFill="1" applyBorder="1"/>
    <xf numFmtId="43" fontId="31" fillId="0" borderId="48" xfId="1" applyFont="1" applyFill="1" applyBorder="1" applyAlignment="1" applyProtection="1">
      <alignment horizontal="center"/>
    </xf>
    <xf numFmtId="43" fontId="30" fillId="0" borderId="0" xfId="1" applyFont="1" applyFill="1" applyBorder="1"/>
    <xf numFmtId="43" fontId="31" fillId="0" borderId="66" xfId="1" applyFont="1" applyFill="1" applyBorder="1" applyAlignment="1" applyProtection="1">
      <alignment horizontal="center"/>
    </xf>
    <xf numFmtId="10" fontId="31" fillId="0" borderId="48" xfId="0" applyNumberFormat="1" applyFont="1" applyFill="1" applyBorder="1" applyAlignment="1">
      <alignment horizontal="center"/>
    </xf>
    <xf numFmtId="0" fontId="30" fillId="0" borderId="48" xfId="0" applyFont="1" applyFill="1" applyBorder="1" applyAlignment="1">
      <alignment horizontal="left" vertical="top"/>
    </xf>
    <xf numFmtId="0" fontId="30" fillId="0" borderId="48" xfId="0" applyFont="1" applyFill="1" applyBorder="1"/>
    <xf numFmtId="43" fontId="31" fillId="0" borderId="48" xfId="1" applyFont="1" applyFill="1" applyBorder="1" applyAlignment="1" applyProtection="1">
      <alignment horizontal="right"/>
    </xf>
    <xf numFmtId="0" fontId="41" fillId="0" borderId="48" xfId="0" applyFont="1" applyFill="1" applyBorder="1" applyAlignment="1">
      <alignment wrapText="1"/>
    </xf>
    <xf numFmtId="43" fontId="31" fillId="0" borderId="66" xfId="1" applyFont="1" applyFill="1" applyBorder="1" applyAlignment="1">
      <alignment horizontal="center"/>
    </xf>
    <xf numFmtId="0" fontId="30" fillId="0" borderId="100" xfId="0" applyFont="1" applyFill="1" applyBorder="1" applyAlignment="1">
      <alignment horizontal="left" vertical="top"/>
    </xf>
    <xf numFmtId="0" fontId="30" fillId="0" borderId="100" xfId="0" applyFont="1" applyFill="1" applyBorder="1"/>
    <xf numFmtId="43" fontId="31" fillId="0" borderId="100" xfId="1" applyFont="1" applyFill="1" applyBorder="1" applyAlignment="1" applyProtection="1">
      <alignment horizontal="left"/>
    </xf>
    <xf numFmtId="43" fontId="31" fillId="0" borderId="54" xfId="1" applyFont="1" applyFill="1" applyBorder="1" applyAlignment="1" applyProtection="1">
      <alignment wrapText="1"/>
    </xf>
    <xf numFmtId="43" fontId="30" fillId="0" borderId="100" xfId="1" applyFont="1" applyFill="1" applyBorder="1"/>
    <xf numFmtId="43" fontId="31" fillId="0" borderId="100" xfId="1" applyFont="1" applyFill="1" applyBorder="1" applyAlignment="1">
      <alignment horizontal="center"/>
    </xf>
    <xf numFmtId="43" fontId="30" fillId="0" borderId="100" xfId="1" applyFont="1" applyFill="1" applyBorder="1" applyAlignment="1" applyProtection="1">
      <alignment horizontal="left"/>
    </xf>
    <xf numFmtId="10" fontId="31" fillId="0" borderId="100" xfId="0" applyNumberFormat="1" applyFont="1" applyFill="1" applyBorder="1"/>
    <xf numFmtId="0" fontId="31" fillId="0" borderId="54" xfId="0" applyFont="1" applyFill="1" applyBorder="1" applyAlignment="1">
      <alignment vertical="top"/>
    </xf>
    <xf numFmtId="49" fontId="28" fillId="0" borderId="48" xfId="0" applyNumberFormat="1" applyFont="1" applyBorder="1" applyAlignment="1">
      <alignment vertical="top"/>
    </xf>
    <xf numFmtId="39" fontId="30" fillId="0" borderId="50" xfId="0" applyNumberFormat="1" applyFont="1" applyFill="1" applyBorder="1" applyAlignment="1" applyProtection="1">
      <alignment horizontal="left"/>
    </xf>
    <xf numFmtId="172" fontId="28" fillId="0" borderId="48" xfId="0" applyNumberFormat="1" applyFont="1" applyBorder="1" applyAlignment="1">
      <alignment horizontal="right" vertical="top"/>
    </xf>
    <xf numFmtId="43" fontId="30" fillId="0" borderId="50" xfId="1" applyFont="1" applyFill="1" applyBorder="1"/>
    <xf numFmtId="43" fontId="30" fillId="0" borderId="50" xfId="1" applyFont="1" applyFill="1" applyBorder="1" applyProtection="1"/>
    <xf numFmtId="43" fontId="30" fillId="0" borderId="50" xfId="1" applyFont="1" applyFill="1" applyBorder="1" applyAlignment="1" applyProtection="1">
      <alignment horizontal="right"/>
    </xf>
    <xf numFmtId="10" fontId="31" fillId="0" borderId="50" xfId="0" applyNumberFormat="1" applyFont="1" applyFill="1" applyBorder="1" applyAlignment="1">
      <alignment horizontal="center"/>
    </xf>
    <xf numFmtId="39" fontId="30" fillId="0" borderId="48" xfId="0" applyNumberFormat="1" applyFont="1" applyFill="1" applyBorder="1" applyAlignment="1" applyProtection="1">
      <alignment vertical="top"/>
    </xf>
    <xf numFmtId="43" fontId="30" fillId="0" borderId="48" xfId="1" applyFont="1" applyFill="1" applyBorder="1" applyAlignment="1" applyProtection="1">
      <alignment horizontal="right"/>
    </xf>
    <xf numFmtId="39" fontId="31" fillId="0" borderId="54" xfId="0" applyNumberFormat="1" applyFont="1" applyFill="1" applyBorder="1" applyAlignment="1" applyProtection="1">
      <alignment vertical="top"/>
    </xf>
    <xf numFmtId="49" fontId="29" fillId="0" borderId="48" xfId="0" applyNumberFormat="1" applyFont="1" applyBorder="1" applyAlignment="1">
      <alignment vertical="top"/>
    </xf>
    <xf numFmtId="172" fontId="29" fillId="0" borderId="48" xfId="0" applyNumberFormat="1" applyFont="1" applyBorder="1" applyAlignment="1">
      <alignment horizontal="right" vertical="top"/>
    </xf>
    <xf numFmtId="43" fontId="30" fillId="3" borderId="50" xfId="1" applyFont="1" applyFill="1" applyBorder="1"/>
    <xf numFmtId="173" fontId="29" fillId="0" borderId="48" xfId="0" applyNumberFormat="1" applyFont="1" applyBorder="1" applyAlignment="1">
      <alignment horizontal="right" vertical="top"/>
    </xf>
    <xf numFmtId="43" fontId="30" fillId="34" borderId="48" xfId="1" applyFont="1" applyFill="1" applyBorder="1" applyAlignment="1" applyProtection="1">
      <alignment horizontal="right"/>
    </xf>
    <xf numFmtId="43" fontId="30" fillId="34" borderId="100" xfId="1" applyFont="1" applyFill="1" applyBorder="1" applyAlignment="1" applyProtection="1">
      <alignment horizontal="right"/>
    </xf>
    <xf numFmtId="0" fontId="40" fillId="0" borderId="0" xfId="0" applyFont="1" applyFill="1"/>
    <xf numFmtId="0" fontId="31" fillId="0" borderId="54" xfId="0" applyFont="1" applyFill="1" applyBorder="1" applyAlignment="1">
      <alignment horizontal="left" vertical="top"/>
    </xf>
    <xf numFmtId="0" fontId="31" fillId="0" borderId="42" xfId="0" applyFont="1" applyFill="1" applyBorder="1"/>
    <xf numFmtId="43" fontId="31" fillId="0" borderId="54" xfId="1" applyFont="1" applyFill="1" applyBorder="1" applyAlignment="1">
      <alignment horizontal="right"/>
    </xf>
    <xf numFmtId="10" fontId="31" fillId="0" borderId="54" xfId="0" applyNumberFormat="1" applyFont="1" applyFill="1" applyBorder="1"/>
    <xf numFmtId="49" fontId="28" fillId="0" borderId="72" xfId="0" applyNumberFormat="1" applyFont="1" applyBorder="1" applyAlignment="1">
      <alignment vertical="top"/>
    </xf>
    <xf numFmtId="0" fontId="7" fillId="0" borderId="0" xfId="0" applyFont="1" applyAlignment="1"/>
    <xf numFmtId="0" fontId="8" fillId="0" borderId="3" xfId="0" applyFont="1" applyBorder="1" applyAlignment="1"/>
    <xf numFmtId="49" fontId="28" fillId="0" borderId="0" xfId="0" applyNumberFormat="1" applyFont="1" applyAlignment="1">
      <alignment vertical="top"/>
    </xf>
    <xf numFmtId="43" fontId="28" fillId="0" borderId="0" xfId="0" applyNumberFormat="1" applyFont="1" applyBorder="1" applyAlignment="1">
      <alignment horizontal="right" vertical="top"/>
    </xf>
    <xf numFmtId="49" fontId="29" fillId="0" borderId="72" xfId="0" applyNumberFormat="1" applyFont="1" applyBorder="1" applyAlignment="1">
      <alignment vertical="top"/>
    </xf>
    <xf numFmtId="49" fontId="28" fillId="0" borderId="0" xfId="0" applyNumberFormat="1" applyFont="1" applyFill="1" applyAlignment="1">
      <alignment vertical="top"/>
    </xf>
    <xf numFmtId="49" fontId="29" fillId="0" borderId="0" xfId="0" applyNumberFormat="1" applyFont="1" applyFill="1" applyAlignment="1">
      <alignment vertical="top"/>
    </xf>
    <xf numFmtId="49" fontId="26" fillId="0" borderId="7" xfId="0" applyNumberFormat="1" applyFont="1" applyBorder="1" applyAlignment="1">
      <alignment vertical="top"/>
    </xf>
    <xf numFmtId="43" fontId="26" fillId="0" borderId="7" xfId="0" applyNumberFormat="1" applyFont="1" applyBorder="1" applyAlignment="1">
      <alignment horizontal="right" vertical="top"/>
    </xf>
    <xf numFmtId="0" fontId="40" fillId="0" borderId="7" xfId="0" applyFont="1" applyFill="1" applyBorder="1"/>
    <xf numFmtId="0" fontId="40" fillId="0" borderId="3" xfId="0" applyFont="1" applyFill="1" applyBorder="1"/>
    <xf numFmtId="43" fontId="40" fillId="0" borderId="3" xfId="0" applyNumberFormat="1" applyFont="1" applyFill="1" applyBorder="1"/>
    <xf numFmtId="43" fontId="0" fillId="0" borderId="3" xfId="0" applyNumberFormat="1" applyBorder="1"/>
    <xf numFmtId="43" fontId="28" fillId="0" borderId="3" xfId="0" applyNumberFormat="1" applyFont="1" applyBorder="1" applyAlignment="1">
      <alignment horizontal="right" vertical="top"/>
    </xf>
    <xf numFmtId="43" fontId="29" fillId="0" borderId="3" xfId="0" applyNumberFormat="1" applyFont="1" applyBorder="1" applyAlignment="1">
      <alignment horizontal="right" vertical="top"/>
    </xf>
    <xf numFmtId="0" fontId="25" fillId="3" borderId="7" xfId="0" applyFont="1" applyFill="1" applyBorder="1"/>
    <xf numFmtId="0" fontId="0" fillId="3" borderId="7" xfId="0" applyFill="1" applyBorder="1"/>
    <xf numFmtId="0" fontId="0" fillId="0" borderId="3" xfId="0" applyBorder="1"/>
    <xf numFmtId="0" fontId="25" fillId="0" borderId="35" xfId="0" applyFont="1" applyBorder="1"/>
    <xf numFmtId="0" fontId="43" fillId="0" borderId="72" xfId="0" applyFont="1" applyFill="1" applyBorder="1"/>
    <xf numFmtId="0" fontId="45" fillId="3" borderId="72" xfId="0" applyFont="1" applyFill="1" applyBorder="1"/>
    <xf numFmtId="0" fontId="0" fillId="0" borderId="72" xfId="0" applyBorder="1"/>
    <xf numFmtId="43" fontId="44" fillId="0" borderId="72" xfId="1" applyFont="1" applyBorder="1"/>
    <xf numFmtId="43" fontId="40" fillId="0" borderId="35" xfId="1" applyFont="1" applyBorder="1"/>
    <xf numFmtId="43" fontId="44" fillId="3" borderId="72" xfId="1" applyFont="1" applyFill="1" applyBorder="1"/>
    <xf numFmtId="43" fontId="43" fillId="0" borderId="72" xfId="1" applyFont="1" applyFill="1" applyBorder="1"/>
    <xf numFmtId="0" fontId="44" fillId="3" borderId="5" xfId="0" applyFont="1" applyFill="1" applyBorder="1"/>
    <xf numFmtId="41" fontId="43" fillId="0" borderId="7" xfId="0" applyNumberFormat="1" applyFont="1" applyBorder="1"/>
    <xf numFmtId="164" fontId="44" fillId="0" borderId="7" xfId="0" applyNumberFormat="1" applyFont="1" applyBorder="1"/>
    <xf numFmtId="164" fontId="29" fillId="0" borderId="7" xfId="0" applyNumberFormat="1" applyFont="1" applyBorder="1" applyAlignment="1">
      <alignment horizontal="right" vertical="top"/>
    </xf>
    <xf numFmtId="43" fontId="40" fillId="0" borderId="7" xfId="1" applyFont="1" applyBorder="1"/>
    <xf numFmtId="43" fontId="0" fillId="0" borderId="7" xfId="1" applyFont="1" applyBorder="1"/>
    <xf numFmtId="43" fontId="31" fillId="3" borderId="7" xfId="1" applyFont="1" applyFill="1" applyBorder="1"/>
    <xf numFmtId="164" fontId="25" fillId="0" borderId="3" xfId="0" applyNumberFormat="1" applyFont="1" applyBorder="1"/>
    <xf numFmtId="164" fontId="0" fillId="0" borderId="0" xfId="0" applyNumberFormat="1"/>
    <xf numFmtId="0" fontId="49" fillId="3" borderId="72" xfId="0" applyFont="1" applyFill="1" applyBorder="1"/>
    <xf numFmtId="2" fontId="43" fillId="3" borderId="7" xfId="0" applyNumberFormat="1" applyFont="1" applyFill="1" applyBorder="1"/>
    <xf numFmtId="0" fontId="49" fillId="3" borderId="3" xfId="0" applyFont="1" applyFill="1" applyBorder="1"/>
    <xf numFmtId="39" fontId="31" fillId="0" borderId="42" xfId="0" applyNumberFormat="1" applyFont="1" applyFill="1" applyBorder="1" applyAlignment="1" applyProtection="1">
      <alignment horizontal="left"/>
    </xf>
    <xf numFmtId="43" fontId="31" fillId="0" borderId="54" xfId="1" applyFont="1" applyFill="1" applyBorder="1" applyAlignment="1" applyProtection="1">
      <alignment horizontal="right"/>
    </xf>
    <xf numFmtId="43" fontId="31" fillId="0" borderId="42" xfId="1" applyFont="1" applyFill="1" applyBorder="1" applyProtection="1"/>
    <xf numFmtId="43" fontId="31" fillId="0" borderId="42" xfId="1" applyFont="1" applyFill="1" applyBorder="1"/>
    <xf numFmtId="0" fontId="48" fillId="34" borderId="35" xfId="0" applyFont="1" applyFill="1" applyBorder="1"/>
    <xf numFmtId="0" fontId="48" fillId="34" borderId="3" xfId="0" applyFont="1" applyFill="1" applyBorder="1"/>
    <xf numFmtId="0" fontId="47" fillId="34" borderId="3" xfId="0" applyFont="1" applyFill="1" applyBorder="1"/>
    <xf numFmtId="164" fontId="25" fillId="19" borderId="3" xfId="0" applyNumberFormat="1" applyFont="1" applyFill="1" applyBorder="1"/>
    <xf numFmtId="2" fontId="48" fillId="34" borderId="3" xfId="0" applyNumberFormat="1" applyFont="1" applyFill="1" applyBorder="1"/>
    <xf numFmtId="0" fontId="25" fillId="6" borderId="101" xfId="0" applyFont="1" applyFill="1" applyBorder="1"/>
    <xf numFmtId="2" fontId="25" fillId="6" borderId="101" xfId="0" applyNumberFormat="1" applyFont="1" applyFill="1" applyBorder="1"/>
    <xf numFmtId="2" fontId="25" fillId="34" borderId="101" xfId="0" applyNumberFormat="1" applyFont="1" applyFill="1" applyBorder="1"/>
    <xf numFmtId="174" fontId="25" fillId="6" borderId="101" xfId="0" applyNumberFormat="1" applyFont="1" applyFill="1" applyBorder="1"/>
    <xf numFmtId="43" fontId="0" fillId="0" borderId="15" xfId="1" applyFont="1" applyBorder="1"/>
    <xf numFmtId="0" fontId="0" fillId="0" borderId="15" xfId="0" applyBorder="1"/>
    <xf numFmtId="49" fontId="26" fillId="34" borderId="3" xfId="0" applyNumberFormat="1" applyFont="1" applyFill="1" applyBorder="1" applyAlignment="1">
      <alignment vertical="top"/>
    </xf>
    <xf numFmtId="43" fontId="26" fillId="34" borderId="3" xfId="0" applyNumberFormat="1" applyFont="1" applyFill="1" applyBorder="1" applyAlignment="1">
      <alignment horizontal="right" vertical="top"/>
    </xf>
    <xf numFmtId="43" fontId="25" fillId="0" borderId="7" xfId="0" applyNumberFormat="1" applyFont="1" applyBorder="1"/>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17" fontId="7" fillId="0" borderId="7" xfId="0" applyNumberFormat="1" applyFont="1" applyFill="1" applyBorder="1" applyAlignment="1">
      <alignment horizontal="center"/>
    </xf>
    <xf numFmtId="0" fontId="8" fillId="0" borderId="8" xfId="0" applyFont="1" applyFill="1" applyBorder="1" applyAlignment="1"/>
    <xf numFmtId="49" fontId="8" fillId="0" borderId="8" xfId="0" applyNumberFormat="1" applyFont="1" applyFill="1" applyBorder="1" applyAlignment="1">
      <alignment vertical="top"/>
    </xf>
    <xf numFmtId="0" fontId="8" fillId="0" borderId="8" xfId="0" applyFont="1" applyFill="1" applyBorder="1"/>
    <xf numFmtId="0" fontId="15" fillId="0" borderId="8" xfId="0" applyFont="1" applyFill="1" applyBorder="1" applyAlignment="1"/>
    <xf numFmtId="0" fontId="7" fillId="0" borderId="8" xfId="0" applyNumberFormat="1" applyFont="1" applyBorder="1"/>
    <xf numFmtId="0" fontId="7" fillId="0" borderId="7" xfId="0" applyFont="1" applyBorder="1" applyAlignment="1">
      <alignment horizontal="right"/>
    </xf>
    <xf numFmtId="0" fontId="7" fillId="0" borderId="68" xfId="0" applyFont="1" applyBorder="1" applyAlignment="1">
      <alignment horizontal="right"/>
    </xf>
    <xf numFmtId="17" fontId="7" fillId="0" borderId="44" xfId="0" applyNumberFormat="1" applyFont="1" applyBorder="1"/>
    <xf numFmtId="0" fontId="7" fillId="0" borderId="44" xfId="0" applyFont="1" applyBorder="1"/>
    <xf numFmtId="1" fontId="7" fillId="0" borderId="7" xfId="0" applyNumberFormat="1" applyFont="1" applyFill="1" applyBorder="1" applyAlignment="1">
      <alignment horizontal="right" vertical="center"/>
    </xf>
    <xf numFmtId="0" fontId="7" fillId="0" borderId="44" xfId="0" applyFont="1" applyFill="1" applyBorder="1"/>
    <xf numFmtId="17" fontId="7" fillId="0" borderId="7" xfId="0" applyNumberFormat="1" applyFont="1" applyBorder="1" applyAlignment="1">
      <alignment horizontal="right"/>
    </xf>
    <xf numFmtId="0" fontId="7" fillId="0" borderId="14" xfId="0" applyFont="1" applyBorder="1"/>
    <xf numFmtId="0" fontId="7" fillId="0" borderId="78" xfId="0" applyFont="1" applyBorder="1"/>
    <xf numFmtId="0" fontId="7" fillId="0" borderId="79" xfId="0" applyFont="1" applyBorder="1"/>
    <xf numFmtId="0" fontId="7" fillId="0" borderId="80" xfId="0" applyFont="1" applyBorder="1"/>
    <xf numFmtId="0" fontId="7" fillId="0" borderId="40" xfId="0" applyFont="1" applyBorder="1"/>
    <xf numFmtId="0" fontId="7" fillId="0" borderId="81" xfId="0" applyFont="1" applyBorder="1"/>
    <xf numFmtId="2" fontId="8" fillId="6" borderId="3" xfId="0" applyNumberFormat="1"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3"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4" xfId="0" applyFont="1" applyFill="1" applyBorder="1" applyAlignment="1">
      <alignment horizontal="center" vertical="center"/>
    </xf>
    <xf numFmtId="0" fontId="8" fillId="4" borderId="35" xfId="0" applyFont="1" applyFill="1" applyBorder="1" applyAlignment="1">
      <alignment horizontal="center"/>
    </xf>
    <xf numFmtId="0" fontId="8" fillId="4" borderId="36" xfId="0" applyFont="1" applyFill="1" applyBorder="1" applyAlignment="1">
      <alignment horizontal="center"/>
    </xf>
    <xf numFmtId="0" fontId="8" fillId="4" borderId="37" xfId="0" applyFont="1" applyFill="1" applyBorder="1" applyAlignment="1">
      <alignment horizontal="center"/>
    </xf>
    <xf numFmtId="0" fontId="8" fillId="5" borderId="35" xfId="0" applyFont="1" applyFill="1" applyBorder="1" applyAlignment="1">
      <alignment horizontal="center"/>
    </xf>
    <xf numFmtId="0" fontId="8" fillId="5" borderId="36" xfId="0" applyFont="1" applyFill="1" applyBorder="1" applyAlignment="1">
      <alignment horizontal="center"/>
    </xf>
    <xf numFmtId="0" fontId="8" fillId="5" borderId="37" xfId="0" applyFont="1" applyFill="1" applyBorder="1" applyAlignment="1">
      <alignment horizontal="center"/>
    </xf>
    <xf numFmtId="17" fontId="8" fillId="6" borderId="5" xfId="0" applyNumberFormat="1" applyFont="1" applyFill="1" applyBorder="1" applyAlignment="1">
      <alignment horizontal="center" vertical="center" wrapText="1"/>
    </xf>
    <xf numFmtId="17" fontId="8" fillId="6" borderId="6" xfId="0" applyNumberFormat="1" applyFont="1" applyFill="1" applyBorder="1" applyAlignment="1">
      <alignment horizontal="center" vertical="center" wrapText="1"/>
    </xf>
    <xf numFmtId="0" fontId="8" fillId="9" borderId="35" xfId="0" applyFont="1" applyFill="1" applyBorder="1" applyAlignment="1">
      <alignment horizontal="center"/>
    </xf>
    <xf numFmtId="0" fontId="8" fillId="9" borderId="36" xfId="0" applyFont="1" applyFill="1" applyBorder="1" applyAlignment="1">
      <alignment horizontal="center"/>
    </xf>
    <xf numFmtId="0" fontId="8" fillId="9" borderId="37" xfId="0" applyFont="1" applyFill="1" applyBorder="1" applyAlignment="1">
      <alignment horizontal="center"/>
    </xf>
    <xf numFmtId="0" fontId="8" fillId="11" borderId="35" xfId="0" applyFont="1" applyFill="1" applyBorder="1" applyAlignment="1">
      <alignment horizontal="center" wrapText="1" shrinkToFit="1"/>
    </xf>
    <xf numFmtId="0" fontId="8" fillId="11" borderId="36" xfId="0" applyFont="1" applyFill="1" applyBorder="1" applyAlignment="1">
      <alignment horizontal="center" wrapText="1" shrinkToFit="1"/>
    </xf>
    <xf numFmtId="0" fontId="8" fillId="11" borderId="37" xfId="0" applyFont="1" applyFill="1" applyBorder="1" applyAlignment="1">
      <alignment horizontal="center" wrapText="1" shrinkToFit="1"/>
    </xf>
    <xf numFmtId="0" fontId="8" fillId="34" borderId="35" xfId="0" applyFont="1" applyFill="1" applyBorder="1" applyAlignment="1">
      <alignment horizontal="center" wrapText="1" shrinkToFit="1"/>
    </xf>
    <xf numFmtId="0" fontId="8" fillId="34" borderId="36" xfId="0" applyFont="1" applyFill="1" applyBorder="1" applyAlignment="1">
      <alignment horizontal="center" wrapText="1" shrinkToFit="1"/>
    </xf>
    <xf numFmtId="0" fontId="8" fillId="34" borderId="37" xfId="0" applyFont="1" applyFill="1" applyBorder="1" applyAlignment="1">
      <alignment horizontal="center" wrapText="1" shrinkToFit="1"/>
    </xf>
    <xf numFmtId="0" fontId="8" fillId="12" borderId="35" xfId="0" applyFont="1" applyFill="1" applyBorder="1" applyAlignment="1">
      <alignment horizontal="center" wrapText="1" shrinkToFit="1"/>
    </xf>
    <xf numFmtId="0" fontId="8" fillId="12" borderId="36" xfId="0" applyFont="1" applyFill="1" applyBorder="1" applyAlignment="1">
      <alignment horizontal="center" wrapText="1" shrinkToFit="1"/>
    </xf>
    <xf numFmtId="0" fontId="8" fillId="12" borderId="37" xfId="0" applyFont="1" applyFill="1" applyBorder="1" applyAlignment="1">
      <alignment horizontal="center" wrapText="1" shrinkToFit="1"/>
    </xf>
    <xf numFmtId="0" fontId="8" fillId="13" borderId="35" xfId="0" applyFont="1" applyFill="1" applyBorder="1" applyAlignment="1">
      <alignment horizontal="center"/>
    </xf>
    <xf numFmtId="0" fontId="8" fillId="13" borderId="36" xfId="0" applyFont="1" applyFill="1" applyBorder="1" applyAlignment="1">
      <alignment horizontal="center"/>
    </xf>
    <xf numFmtId="0" fontId="8" fillId="13" borderId="37" xfId="0" applyFont="1" applyFill="1" applyBorder="1" applyAlignment="1">
      <alignment horizontal="center"/>
    </xf>
    <xf numFmtId="0" fontId="8" fillId="14" borderId="35" xfId="0" applyFont="1" applyFill="1" applyBorder="1" applyAlignment="1">
      <alignment horizontal="center"/>
    </xf>
    <xf numFmtId="0" fontId="8" fillId="14" borderId="36" xfId="0" applyFont="1" applyFill="1" applyBorder="1" applyAlignment="1">
      <alignment horizontal="center"/>
    </xf>
    <xf numFmtId="0" fontId="8" fillId="14" borderId="37" xfId="0" applyFont="1" applyFill="1" applyBorder="1" applyAlignment="1">
      <alignment horizontal="center"/>
    </xf>
    <xf numFmtId="0" fontId="8" fillId="15" borderId="35" xfId="0" applyFont="1" applyFill="1" applyBorder="1" applyAlignment="1">
      <alignment horizontal="center" wrapText="1" shrinkToFit="1"/>
    </xf>
    <xf numFmtId="0" fontId="8" fillId="15" borderId="36" xfId="0" applyFont="1" applyFill="1" applyBorder="1" applyAlignment="1">
      <alignment horizontal="center" wrapText="1" shrinkToFit="1"/>
    </xf>
    <xf numFmtId="0" fontId="8" fillId="15" borderId="37" xfId="0" applyFont="1" applyFill="1" applyBorder="1" applyAlignment="1">
      <alignment horizontal="center" wrapText="1" shrinkToFit="1"/>
    </xf>
    <xf numFmtId="0" fontId="8" fillId="10" borderId="35" xfId="0" applyFont="1" applyFill="1" applyBorder="1" applyAlignment="1">
      <alignment horizontal="center" wrapText="1" shrinkToFit="1"/>
    </xf>
    <xf numFmtId="0" fontId="8" fillId="10" borderId="36" xfId="0" applyFont="1" applyFill="1" applyBorder="1" applyAlignment="1">
      <alignment horizontal="center" wrapText="1" shrinkToFit="1"/>
    </xf>
    <xf numFmtId="0" fontId="8" fillId="10" borderId="37" xfId="0" applyFont="1" applyFill="1" applyBorder="1" applyAlignment="1">
      <alignment horizontal="center" wrapText="1" shrinkToFit="1"/>
    </xf>
    <xf numFmtId="0" fontId="8" fillId="16" borderId="35" xfId="0" applyFont="1" applyFill="1" applyBorder="1" applyAlignment="1">
      <alignment horizontal="center" wrapText="1" shrinkToFit="1"/>
    </xf>
    <xf numFmtId="0" fontId="8" fillId="16" borderId="36" xfId="0" applyFont="1" applyFill="1" applyBorder="1" applyAlignment="1">
      <alignment horizontal="center" wrapText="1" shrinkToFit="1"/>
    </xf>
    <xf numFmtId="0" fontId="8" fillId="16" borderId="37" xfId="0" applyFont="1" applyFill="1" applyBorder="1" applyAlignment="1">
      <alignment horizontal="center" wrapText="1" shrinkToFit="1"/>
    </xf>
    <xf numFmtId="0" fontId="8" fillId="17" borderId="35" xfId="0" applyFont="1" applyFill="1" applyBorder="1" applyAlignment="1">
      <alignment horizontal="center"/>
    </xf>
    <xf numFmtId="0" fontId="8" fillId="17" borderId="36" xfId="0" applyFont="1" applyFill="1" applyBorder="1" applyAlignment="1">
      <alignment horizontal="center"/>
    </xf>
    <xf numFmtId="0" fontId="8" fillId="17" borderId="37" xfId="0" applyFont="1" applyFill="1" applyBorder="1" applyAlignment="1">
      <alignment horizontal="center"/>
    </xf>
    <xf numFmtId="0" fontId="8" fillId="11" borderId="35" xfId="0" applyFont="1" applyFill="1" applyBorder="1" applyAlignment="1">
      <alignment horizontal="center"/>
    </xf>
    <xf numFmtId="0" fontId="8" fillId="11" borderId="36" xfId="0" applyFont="1" applyFill="1" applyBorder="1" applyAlignment="1">
      <alignment horizontal="center"/>
    </xf>
    <xf numFmtId="0" fontId="8" fillId="11" borderId="37" xfId="0" applyFont="1" applyFill="1" applyBorder="1" applyAlignment="1">
      <alignment horizontal="center"/>
    </xf>
    <xf numFmtId="0" fontId="8" fillId="0" borderId="17" xfId="0" applyFont="1" applyBorder="1" applyAlignment="1">
      <alignment horizontal="center"/>
    </xf>
    <xf numFmtId="0" fontId="8" fillId="8" borderId="35" xfId="0" applyFont="1" applyFill="1" applyBorder="1" applyAlignment="1">
      <alignment horizontal="center" vertical="top" wrapText="1" shrinkToFit="1"/>
    </xf>
    <xf numFmtId="0" fontId="8" fillId="8" borderId="36" xfId="0" applyFont="1" applyFill="1" applyBorder="1" applyAlignment="1">
      <alignment horizontal="center" vertical="top" wrapText="1" shrinkToFit="1"/>
    </xf>
    <xf numFmtId="0" fontId="8" fillId="8" borderId="37" xfId="0" applyFont="1" applyFill="1" applyBorder="1" applyAlignment="1">
      <alignment horizontal="center" vertical="top" wrapText="1" shrinkToFit="1"/>
    </xf>
    <xf numFmtId="0" fontId="8" fillId="10" borderId="35" xfId="0" applyFont="1" applyFill="1" applyBorder="1" applyAlignment="1">
      <alignment horizontal="center"/>
    </xf>
    <xf numFmtId="0" fontId="8" fillId="10" borderId="36" xfId="0" applyFont="1" applyFill="1" applyBorder="1" applyAlignment="1">
      <alignment horizontal="center"/>
    </xf>
    <xf numFmtId="0" fontId="8" fillId="10" borderId="37" xfId="0" applyFont="1" applyFill="1" applyBorder="1" applyAlignment="1">
      <alignment horizontal="center"/>
    </xf>
    <xf numFmtId="0" fontId="8" fillId="18" borderId="35" xfId="0" applyFont="1" applyFill="1" applyBorder="1" applyAlignment="1">
      <alignment horizontal="center" wrapText="1" shrinkToFit="1"/>
    </xf>
    <xf numFmtId="0" fontId="8" fillId="18" borderId="36" xfId="0" applyFont="1" applyFill="1" applyBorder="1" applyAlignment="1">
      <alignment horizontal="center" wrapText="1" shrinkToFit="1"/>
    </xf>
    <xf numFmtId="0" fontId="8" fillId="18" borderId="37" xfId="0" applyFont="1" applyFill="1" applyBorder="1" applyAlignment="1">
      <alignment horizontal="center" wrapText="1" shrinkToFit="1"/>
    </xf>
    <xf numFmtId="0" fontId="8" fillId="15" borderId="35" xfId="0" applyFont="1" applyFill="1" applyBorder="1" applyAlignment="1">
      <alignment horizontal="center"/>
    </xf>
    <xf numFmtId="0" fontId="8" fillId="15" borderId="36" xfId="0" applyFont="1" applyFill="1" applyBorder="1" applyAlignment="1">
      <alignment horizontal="center"/>
    </xf>
    <xf numFmtId="0" fontId="8" fillId="15" borderId="37" xfId="0" applyFont="1" applyFill="1" applyBorder="1" applyAlignment="1">
      <alignment horizontal="center"/>
    </xf>
    <xf numFmtId="0" fontId="8" fillId="19" borderId="35" xfId="0" applyFont="1" applyFill="1" applyBorder="1" applyAlignment="1">
      <alignment horizontal="center"/>
    </xf>
    <xf numFmtId="0" fontId="8" fillId="19" borderId="36" xfId="0" applyFont="1" applyFill="1" applyBorder="1" applyAlignment="1">
      <alignment horizontal="center"/>
    </xf>
    <xf numFmtId="0" fontId="8" fillId="19" borderId="37" xfId="0" applyFont="1" applyFill="1" applyBorder="1" applyAlignment="1">
      <alignment horizontal="center"/>
    </xf>
    <xf numFmtId="0" fontId="8" fillId="7" borderId="35" xfId="0" applyFont="1" applyFill="1" applyBorder="1" applyAlignment="1">
      <alignment horizontal="center"/>
    </xf>
    <xf numFmtId="0" fontId="8" fillId="7" borderId="36" xfId="0" applyFont="1" applyFill="1" applyBorder="1" applyAlignment="1">
      <alignment horizontal="center"/>
    </xf>
    <xf numFmtId="0" fontId="8" fillId="7" borderId="37" xfId="0" applyFont="1" applyFill="1" applyBorder="1" applyAlignment="1">
      <alignment horizontal="center"/>
    </xf>
    <xf numFmtId="0" fontId="9" fillId="40" borderId="35" xfId="0" applyFont="1" applyFill="1" applyBorder="1" applyAlignment="1">
      <alignment horizontal="left" indent="2"/>
    </xf>
    <xf numFmtId="0" fontId="9" fillId="40" borderId="36" xfId="0" applyFont="1" applyFill="1" applyBorder="1" applyAlignment="1">
      <alignment horizontal="left" indent="2"/>
    </xf>
    <xf numFmtId="0" fontId="9" fillId="40" borderId="37" xfId="0" applyFont="1" applyFill="1" applyBorder="1" applyAlignment="1">
      <alignment horizontal="left" indent="2"/>
    </xf>
    <xf numFmtId="43" fontId="9" fillId="0" borderId="35" xfId="1" applyFont="1" applyBorder="1" applyAlignment="1">
      <alignment horizontal="right"/>
    </xf>
    <xf numFmtId="43" fontId="9" fillId="0" borderId="37" xfId="1" applyFont="1" applyBorder="1" applyAlignment="1">
      <alignment horizontal="right"/>
    </xf>
    <xf numFmtId="0" fontId="9" fillId="40" borderId="94" xfId="0" applyFont="1" applyFill="1" applyBorder="1" applyAlignment="1">
      <alignment horizontal="left" indent="2"/>
    </xf>
    <xf numFmtId="0" fontId="9" fillId="40" borderId="2" xfId="0" applyFont="1" applyFill="1" applyBorder="1" applyAlignment="1">
      <alignment horizontal="left" indent="2"/>
    </xf>
    <xf numFmtId="43" fontId="9" fillId="0" borderId="2" xfId="1" applyFont="1" applyBorder="1" applyAlignment="1">
      <alignment horizontal="right"/>
    </xf>
    <xf numFmtId="0" fontId="18" fillId="20" borderId="35" xfId="0" applyFont="1" applyFill="1" applyBorder="1" applyAlignment="1">
      <alignment horizontal="center" wrapText="1"/>
    </xf>
    <xf numFmtId="0" fontId="18" fillId="20" borderId="36" xfId="0" applyFont="1" applyFill="1" applyBorder="1" applyAlignment="1">
      <alignment horizontal="center" wrapText="1"/>
    </xf>
    <xf numFmtId="0" fontId="18" fillId="20" borderId="37" xfId="0" applyFont="1" applyFill="1" applyBorder="1" applyAlignment="1">
      <alignment horizontal="center" wrapText="1"/>
    </xf>
    <xf numFmtId="0" fontId="9" fillId="0" borderId="3" xfId="0" applyFont="1" applyBorder="1"/>
    <xf numFmtId="0" fontId="9" fillId="0" borderId="35" xfId="0" applyFont="1" applyBorder="1" applyAlignment="1">
      <alignment horizontal="center"/>
    </xf>
    <xf numFmtId="0" fontId="9" fillId="0" borderId="36" xfId="0" applyFont="1" applyBorder="1" applyAlignment="1">
      <alignment horizontal="center"/>
    </xf>
    <xf numFmtId="0" fontId="9" fillId="0" borderId="37" xfId="0" applyFont="1" applyBorder="1" applyAlignment="1">
      <alignment horizontal="center"/>
    </xf>
    <xf numFmtId="0" fontId="9" fillId="47" borderId="35" xfId="0" applyFont="1" applyFill="1" applyBorder="1" applyAlignment="1">
      <alignment horizontal="left" indent="2"/>
    </xf>
    <xf numFmtId="0" fontId="9" fillId="47" borderId="36" xfId="0" applyFont="1" applyFill="1" applyBorder="1" applyAlignment="1">
      <alignment horizontal="left" indent="2"/>
    </xf>
    <xf numFmtId="0" fontId="9" fillId="47" borderId="37" xfId="0" applyFont="1" applyFill="1" applyBorder="1" applyAlignment="1">
      <alignment horizontal="left" indent="2"/>
    </xf>
    <xf numFmtId="0" fontId="9" fillId="47" borderId="35" xfId="0" applyFont="1" applyFill="1" applyBorder="1" applyAlignment="1">
      <alignment horizontal="left" wrapText="1" indent="2"/>
    </xf>
    <xf numFmtId="0" fontId="9" fillId="47" borderId="36" xfId="0" applyFont="1" applyFill="1" applyBorder="1" applyAlignment="1">
      <alignment horizontal="left" wrapText="1" indent="2"/>
    </xf>
    <xf numFmtId="0" fontId="9" fillId="47" borderId="37" xfId="0" applyFont="1" applyFill="1" applyBorder="1" applyAlignment="1">
      <alignment horizontal="left" wrapText="1" indent="2"/>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40" borderId="35" xfId="0" applyFont="1" applyFill="1" applyBorder="1" applyAlignment="1">
      <alignment horizontal="left" wrapText="1" indent="2"/>
    </xf>
    <xf numFmtId="0" fontId="9" fillId="40" borderId="37" xfId="0" applyFont="1" applyFill="1" applyBorder="1" applyAlignment="1">
      <alignment horizontal="left" wrapText="1" indent="2"/>
    </xf>
    <xf numFmtId="0" fontId="18" fillId="20" borderId="35" xfId="0" applyFont="1" applyFill="1" applyBorder="1" applyAlignment="1">
      <alignment horizontal="left" wrapText="1"/>
    </xf>
    <xf numFmtId="0" fontId="18" fillId="20" borderId="36" xfId="0" applyFont="1" applyFill="1" applyBorder="1" applyAlignment="1">
      <alignment horizontal="left" wrapText="1"/>
    </xf>
    <xf numFmtId="0" fontId="18" fillId="20" borderId="37" xfId="0" applyFont="1" applyFill="1" applyBorder="1" applyAlignment="1">
      <alignment horizontal="left" wrapText="1"/>
    </xf>
    <xf numFmtId="0" fontId="18" fillId="20" borderId="35" xfId="0" applyFont="1" applyFill="1" applyBorder="1" applyAlignment="1">
      <alignment horizontal="center"/>
    </xf>
    <xf numFmtId="0" fontId="18" fillId="20" borderId="36" xfId="0" applyFont="1" applyFill="1" applyBorder="1" applyAlignment="1">
      <alignment horizontal="center"/>
    </xf>
    <xf numFmtId="0" fontId="18" fillId="20" borderId="37" xfId="0" applyFont="1" applyFill="1" applyBorder="1" applyAlignment="1">
      <alignment horizontal="center"/>
    </xf>
    <xf numFmtId="0" fontId="9" fillId="0" borderId="35" xfId="0" applyFont="1" applyBorder="1" applyAlignment="1">
      <alignment horizontal="center" vertical="top"/>
    </xf>
    <xf numFmtId="0" fontId="9" fillId="0" borderId="37" xfId="0" applyFont="1" applyBorder="1" applyAlignment="1">
      <alignment horizontal="center" vertical="top"/>
    </xf>
    <xf numFmtId="0" fontId="9" fillId="40" borderId="35" xfId="0" applyFont="1" applyFill="1" applyBorder="1" applyAlignment="1">
      <alignment horizontal="left" vertical="center" indent="2"/>
    </xf>
    <xf numFmtId="0" fontId="9" fillId="40" borderId="36" xfId="0" applyFont="1" applyFill="1" applyBorder="1" applyAlignment="1">
      <alignment horizontal="left" vertical="center" indent="2"/>
    </xf>
    <xf numFmtId="0" fontId="9" fillId="40" borderId="37" xfId="0" applyFont="1" applyFill="1" applyBorder="1" applyAlignment="1">
      <alignment horizontal="left" vertical="center" indent="2"/>
    </xf>
    <xf numFmtId="0" fontId="9" fillId="39" borderId="3" xfId="0" applyFont="1" applyFill="1" applyBorder="1"/>
    <xf numFmtId="0" fontId="9" fillId="40" borderId="36" xfId="0" applyFont="1" applyFill="1" applyBorder="1" applyAlignment="1">
      <alignment horizontal="left" wrapText="1" indent="2"/>
    </xf>
    <xf numFmtId="43" fontId="9" fillId="45" borderId="35" xfId="1" applyFont="1" applyFill="1" applyBorder="1" applyAlignment="1">
      <alignment horizontal="right" indent="2"/>
    </xf>
    <xf numFmtId="43" fontId="9" fillId="45" borderId="37" xfId="1" applyFont="1" applyFill="1" applyBorder="1" applyAlignment="1">
      <alignment horizontal="right" indent="2"/>
    </xf>
    <xf numFmtId="43" fontId="9" fillId="41" borderId="35" xfId="1" applyFont="1" applyFill="1" applyBorder="1" applyAlignment="1">
      <alignment horizontal="right" indent="2"/>
    </xf>
    <xf numFmtId="43" fontId="9" fillId="41" borderId="37" xfId="1" applyFont="1" applyFill="1" applyBorder="1" applyAlignment="1">
      <alignment horizontal="right" indent="2"/>
    </xf>
    <xf numFmtId="0" fontId="9" fillId="0" borderId="3" xfId="0" applyFont="1" applyBorder="1" applyAlignment="1">
      <alignment horizont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9" fillId="0" borderId="89" xfId="0" applyFont="1" applyBorder="1" applyAlignment="1">
      <alignment horizontal="center" vertical="center"/>
    </xf>
    <xf numFmtId="0" fontId="9" fillId="0" borderId="6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43" borderId="35" xfId="0" applyFont="1" applyFill="1" applyBorder="1" applyAlignment="1">
      <alignment horizontal="left" wrapText="1" indent="2"/>
    </xf>
    <xf numFmtId="0" fontId="9" fillId="43" borderId="36" xfId="0" applyFont="1" applyFill="1" applyBorder="1" applyAlignment="1">
      <alignment horizontal="left" wrapText="1" indent="2"/>
    </xf>
    <xf numFmtId="0" fontId="9" fillId="43" borderId="37" xfId="0" applyFont="1" applyFill="1" applyBorder="1" applyAlignment="1">
      <alignment horizontal="left" wrapText="1" indent="2"/>
    </xf>
    <xf numFmtId="0" fontId="18" fillId="20" borderId="35"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37" xfId="0" applyFont="1" applyFill="1" applyBorder="1" applyAlignment="1">
      <alignment horizontal="center" vertical="center" wrapText="1"/>
    </xf>
    <xf numFmtId="0" fontId="9" fillId="40" borderId="35" xfId="0" applyFont="1" applyFill="1" applyBorder="1" applyAlignment="1">
      <alignment horizontal="left" wrapText="1"/>
    </xf>
    <xf numFmtId="0" fontId="9" fillId="40" borderId="36" xfId="0" applyFont="1" applyFill="1" applyBorder="1" applyAlignment="1">
      <alignment horizontal="left" wrapText="1"/>
    </xf>
    <xf numFmtId="0" fontId="9" fillId="40" borderId="37" xfId="0" applyFont="1" applyFill="1" applyBorder="1" applyAlignment="1">
      <alignment horizontal="left" wrapText="1"/>
    </xf>
    <xf numFmtId="0" fontId="9" fillId="40" borderId="35" xfId="0" applyFont="1" applyFill="1" applyBorder="1" applyAlignment="1">
      <alignment wrapText="1"/>
    </xf>
    <xf numFmtId="0" fontId="9" fillId="0" borderId="36" xfId="0" applyFont="1" applyBorder="1" applyAlignment="1">
      <alignment wrapText="1"/>
    </xf>
    <xf numFmtId="0" fontId="9" fillId="0" borderId="37" xfId="0" applyFont="1" applyBorder="1" applyAlignment="1">
      <alignment wrapText="1"/>
    </xf>
    <xf numFmtId="0" fontId="9" fillId="43" borderId="35" xfId="0" applyFont="1" applyFill="1" applyBorder="1" applyAlignment="1">
      <alignment horizontal="left" wrapText="1"/>
    </xf>
    <xf numFmtId="0" fontId="9" fillId="43" borderId="36" xfId="0" applyFont="1" applyFill="1" applyBorder="1" applyAlignment="1">
      <alignment horizontal="left" wrapText="1"/>
    </xf>
    <xf numFmtId="0" fontId="9" fillId="43" borderId="37" xfId="0" applyFont="1" applyFill="1" applyBorder="1" applyAlignment="1">
      <alignment horizontal="left" wrapText="1"/>
    </xf>
    <xf numFmtId="0" fontId="9" fillId="40" borderId="36" xfId="0" applyFont="1" applyFill="1" applyBorder="1" applyAlignment="1">
      <alignment wrapText="1"/>
    </xf>
    <xf numFmtId="0" fontId="9" fillId="40" borderId="37" xfId="0" applyFont="1" applyFill="1" applyBorder="1" applyAlignment="1">
      <alignment wrapText="1"/>
    </xf>
    <xf numFmtId="0" fontId="9" fillId="40" borderId="35" xfId="0" applyFont="1" applyFill="1" applyBorder="1" applyAlignment="1">
      <alignment horizontal="left" vertical="top" wrapText="1" indent="2"/>
    </xf>
    <xf numFmtId="0" fontId="9" fillId="40" borderId="36" xfId="0" applyFont="1" applyFill="1" applyBorder="1" applyAlignment="1">
      <alignment horizontal="left" vertical="top" wrapText="1" indent="2"/>
    </xf>
    <xf numFmtId="0" fontId="9" fillId="40" borderId="37" xfId="0" applyFont="1" applyFill="1" applyBorder="1" applyAlignment="1">
      <alignment horizontal="left" vertical="top" wrapText="1" indent="2"/>
    </xf>
    <xf numFmtId="0" fontId="9" fillId="39" borderId="3" xfId="0" applyFont="1" applyFill="1" applyBorder="1" applyAlignment="1">
      <alignment horizontal="center" vertical="center"/>
    </xf>
    <xf numFmtId="0" fontId="9" fillId="40" borderId="1" xfId="0" applyFont="1" applyFill="1" applyBorder="1" applyAlignment="1">
      <alignment horizontal="left" vertical="center" indent="2"/>
    </xf>
    <xf numFmtId="0" fontId="9" fillId="40" borderId="2" xfId="0" applyFont="1" applyFill="1" applyBorder="1" applyAlignment="1">
      <alignment horizontal="left" vertical="center" indent="2"/>
    </xf>
    <xf numFmtId="0" fontId="9" fillId="40" borderId="4" xfId="0" applyFont="1" applyFill="1" applyBorder="1" applyAlignment="1">
      <alignment horizontal="left" vertical="center" indent="2"/>
    </xf>
    <xf numFmtId="0" fontId="9" fillId="39" borderId="72" xfId="0" applyFont="1" applyFill="1" applyBorder="1" applyAlignment="1">
      <alignment horizontal="center" vertical="center"/>
    </xf>
    <xf numFmtId="0" fontId="9" fillId="40" borderId="0" xfId="0" applyFont="1" applyFill="1" applyBorder="1" applyAlignment="1">
      <alignment horizontal="left" vertical="center" indent="2"/>
    </xf>
    <xf numFmtId="0" fontId="9" fillId="40" borderId="44" xfId="0" applyFont="1" applyFill="1" applyBorder="1" applyAlignment="1">
      <alignment horizontal="left" vertical="center" indent="2"/>
    </xf>
    <xf numFmtId="0" fontId="9" fillId="39" borderId="89" xfId="0" applyFont="1" applyFill="1" applyBorder="1" applyAlignment="1">
      <alignment horizontal="center" vertical="center"/>
    </xf>
    <xf numFmtId="0" fontId="9" fillId="40" borderId="43" xfId="0" applyFont="1" applyFill="1" applyBorder="1" applyAlignment="1">
      <alignment horizontal="left" vertical="center" indent="2"/>
    </xf>
    <xf numFmtId="0" fontId="9" fillId="40" borderId="63" xfId="0" applyFont="1" applyFill="1" applyBorder="1" applyAlignment="1">
      <alignment horizontal="left" vertical="center" indent="2"/>
    </xf>
    <xf numFmtId="0" fontId="9" fillId="40" borderId="1" xfId="0" applyFont="1" applyFill="1" applyBorder="1" applyAlignment="1">
      <alignment horizontal="left" vertical="top" wrapText="1" indent="2"/>
    </xf>
    <xf numFmtId="0" fontId="9" fillId="40" borderId="2" xfId="0" applyFont="1" applyFill="1" applyBorder="1" applyAlignment="1">
      <alignment horizontal="left" vertical="top" wrapText="1" indent="2"/>
    </xf>
    <xf numFmtId="0" fontId="9" fillId="40" borderId="4" xfId="0" applyFont="1" applyFill="1" applyBorder="1" applyAlignment="1">
      <alignment horizontal="left" vertical="top" wrapText="1" indent="2"/>
    </xf>
    <xf numFmtId="0" fontId="9" fillId="40" borderId="0" xfId="0" applyFont="1" applyFill="1" applyBorder="1" applyAlignment="1">
      <alignment horizontal="left" vertical="top" wrapText="1" indent="2"/>
    </xf>
    <xf numFmtId="0" fontId="9" fillId="40" borderId="44" xfId="0" applyFont="1" applyFill="1" applyBorder="1" applyAlignment="1">
      <alignment horizontal="left" vertical="top" wrapText="1" indent="2"/>
    </xf>
    <xf numFmtId="0" fontId="9" fillId="40" borderId="43" xfId="0" applyFont="1" applyFill="1" applyBorder="1" applyAlignment="1">
      <alignment horizontal="left" vertical="top" wrapText="1" indent="2"/>
    </xf>
    <xf numFmtId="0" fontId="9" fillId="40" borderId="63" xfId="0" applyFont="1" applyFill="1" applyBorder="1" applyAlignment="1">
      <alignment horizontal="left" vertical="top" wrapText="1" indent="2"/>
    </xf>
    <xf numFmtId="0" fontId="9" fillId="40" borderId="3" xfId="0" applyFont="1" applyFill="1" applyBorder="1" applyAlignment="1">
      <alignment horizontal="left" vertical="top" wrapText="1" indent="2"/>
    </xf>
    <xf numFmtId="0" fontId="9" fillId="40" borderId="3" xfId="0" applyFont="1" applyFill="1" applyBorder="1" applyAlignment="1">
      <alignment horizontal="left" vertical="center" indent="2"/>
    </xf>
    <xf numFmtId="0" fontId="18" fillId="20" borderId="0" xfId="0" applyFont="1" applyFill="1" applyBorder="1" applyAlignment="1">
      <alignment horizontal="center" vertical="center" wrapText="1"/>
    </xf>
    <xf numFmtId="0" fontId="9" fillId="40" borderId="3" xfId="0" applyFont="1" applyFill="1" applyBorder="1" applyAlignment="1">
      <alignment horizontal="left" indent="2"/>
    </xf>
    <xf numFmtId="0" fontId="9" fillId="43" borderId="3" xfId="0" applyFont="1" applyFill="1" applyBorder="1" applyAlignment="1">
      <alignment horizontal="left" indent="2"/>
    </xf>
    <xf numFmtId="43" fontId="9" fillId="44" borderId="3" xfId="1" applyFont="1" applyFill="1" applyBorder="1" applyAlignment="1">
      <alignment horizontal="right"/>
    </xf>
    <xf numFmtId="0" fontId="9" fillId="43" borderId="3" xfId="0" applyFont="1" applyFill="1" applyBorder="1" applyAlignment="1">
      <alignment horizontal="left" wrapText="1" indent="2"/>
    </xf>
    <xf numFmtId="0" fontId="18" fillId="20" borderId="3" xfId="0" applyFont="1" applyFill="1" applyBorder="1" applyAlignment="1">
      <alignment horizontal="center" wrapText="1"/>
    </xf>
    <xf numFmtId="43" fontId="9" fillId="0" borderId="3" xfId="1" applyFont="1" applyBorder="1" applyAlignment="1">
      <alignment horizontal="right"/>
    </xf>
    <xf numFmtId="0" fontId="9" fillId="40" borderId="3" xfId="0" applyFont="1" applyFill="1" applyBorder="1" applyAlignment="1">
      <alignment horizontal="left" wrapText="1" indent="2"/>
    </xf>
    <xf numFmtId="0" fontId="18" fillId="20" borderId="3" xfId="0" applyFont="1" applyFill="1" applyBorder="1" applyAlignment="1">
      <alignment horizontal="left" wrapText="1"/>
    </xf>
    <xf numFmtId="0" fontId="9" fillId="40" borderId="3" xfId="0" applyFont="1" applyFill="1" applyBorder="1" applyAlignment="1">
      <alignment horizontal="left" wrapText="1"/>
    </xf>
    <xf numFmtId="169" fontId="9" fillId="44" borderId="3" xfId="0" applyNumberFormat="1" applyFont="1" applyFill="1" applyBorder="1"/>
    <xf numFmtId="0" fontId="9" fillId="40" borderId="3" xfId="0" applyFont="1" applyFill="1" applyBorder="1" applyAlignment="1">
      <alignment horizontal="left" vertical="center" wrapText="1" indent="2"/>
    </xf>
    <xf numFmtId="0" fontId="9" fillId="40" borderId="7" xfId="0" applyFont="1" applyFill="1" applyBorder="1" applyAlignment="1">
      <alignment horizontal="left" vertical="center" indent="2"/>
    </xf>
    <xf numFmtId="0" fontId="9" fillId="39" borderId="7" xfId="0" applyFont="1" applyFill="1" applyBorder="1" applyAlignment="1">
      <alignment horizontal="center"/>
    </xf>
    <xf numFmtId="0" fontId="18" fillId="20" borderId="7" xfId="0" applyFont="1" applyFill="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xf>
    <xf numFmtId="0" fontId="18" fillId="0" borderId="5" xfId="0" applyFont="1" applyBorder="1" applyAlignment="1">
      <alignment horizontal="center"/>
    </xf>
    <xf numFmtId="0" fontId="6" fillId="24" borderId="49" xfId="0" applyFont="1" applyFill="1" applyBorder="1" applyAlignment="1">
      <alignment horizontal="center" vertical="top" wrapText="1"/>
    </xf>
    <xf numFmtId="0" fontId="6" fillId="24" borderId="0" xfId="0" applyFont="1" applyFill="1" applyBorder="1" applyAlignment="1">
      <alignment horizontal="center" vertical="top" wrapText="1"/>
    </xf>
    <xf numFmtId="0" fontId="6" fillId="24" borderId="44" xfId="0" applyFont="1" applyFill="1" applyBorder="1" applyAlignment="1">
      <alignment horizontal="center" vertical="top" wrapText="1"/>
    </xf>
    <xf numFmtId="0" fontId="6" fillId="24" borderId="31" xfId="0" applyFont="1" applyFill="1" applyBorder="1" applyAlignment="1">
      <alignment horizontal="center" vertical="top" wrapText="1"/>
    </xf>
    <xf numFmtId="0" fontId="6" fillId="24" borderId="41" xfId="0" applyFont="1" applyFill="1" applyBorder="1" applyAlignment="1">
      <alignment horizontal="center" vertical="top" wrapText="1"/>
    </xf>
    <xf numFmtId="0" fontId="6" fillId="24" borderId="42" xfId="0" applyFont="1" applyFill="1" applyBorder="1" applyAlignment="1">
      <alignment horizontal="center" vertical="top" wrapText="1"/>
    </xf>
    <xf numFmtId="0" fontId="6" fillId="24" borderId="71" xfId="0" applyFont="1" applyFill="1" applyBorder="1" applyAlignment="1">
      <alignment horizontal="center" vertical="top" wrapText="1"/>
    </xf>
    <xf numFmtId="0" fontId="6" fillId="24" borderId="43" xfId="0" applyFont="1" applyFill="1" applyBorder="1" applyAlignment="1">
      <alignment horizontal="center" vertical="top" wrapText="1"/>
    </xf>
    <xf numFmtId="0" fontId="6" fillId="24" borderId="63" xfId="0" applyFont="1" applyFill="1" applyBorder="1" applyAlignment="1">
      <alignment horizontal="center" vertical="top" wrapText="1"/>
    </xf>
    <xf numFmtId="0" fontId="8" fillId="0" borderId="35" xfId="0" applyFont="1" applyBorder="1" applyAlignment="1" applyProtection="1">
      <alignment horizontal="center"/>
    </xf>
    <xf numFmtId="0" fontId="8" fillId="0" borderId="36" xfId="0" applyFont="1" applyBorder="1" applyAlignment="1" applyProtection="1">
      <alignment horizontal="center"/>
    </xf>
    <xf numFmtId="0" fontId="8" fillId="0" borderId="37" xfId="0" applyFont="1" applyBorder="1" applyAlignment="1" applyProtection="1">
      <alignment horizontal="center"/>
    </xf>
    <xf numFmtId="0" fontId="8" fillId="0" borderId="35" xfId="0" applyFont="1" applyBorder="1" applyAlignment="1">
      <alignment horizontal="center"/>
    </xf>
    <xf numFmtId="0" fontId="8" fillId="0" borderId="36" xfId="0" applyFont="1" applyBorder="1" applyAlignment="1">
      <alignment horizontal="center"/>
    </xf>
    <xf numFmtId="0" fontId="8" fillId="0" borderId="37" xfId="0" applyFont="1" applyBorder="1" applyAlignment="1">
      <alignment horizontal="center"/>
    </xf>
    <xf numFmtId="0" fontId="6" fillId="24" borderId="89" xfId="0" applyFont="1" applyFill="1" applyBorder="1" applyAlignment="1">
      <alignment horizontal="center" vertical="top" wrapText="1"/>
    </xf>
    <xf numFmtId="0" fontId="8" fillId="0" borderId="17" xfId="0" applyFont="1" applyFill="1" applyBorder="1" applyAlignment="1">
      <alignment horizontal="center"/>
    </xf>
    <xf numFmtId="0" fontId="8" fillId="8" borderId="89" xfId="0" applyFont="1" applyFill="1" applyBorder="1" applyAlignment="1">
      <alignment horizontal="center" vertical="top" wrapText="1" shrinkToFit="1"/>
    </xf>
    <xf numFmtId="0" fontId="8" fillId="8" borderId="43" xfId="0" applyFont="1" applyFill="1" applyBorder="1" applyAlignment="1">
      <alignment horizontal="center" vertical="top" wrapText="1" shrinkToFit="1"/>
    </xf>
    <xf numFmtId="0" fontId="8" fillId="8" borderId="63" xfId="0" applyFont="1" applyFill="1" applyBorder="1" applyAlignment="1">
      <alignment horizontal="center" vertical="top" wrapText="1" shrinkToFit="1"/>
    </xf>
    <xf numFmtId="17" fontId="7" fillId="26" borderId="38" xfId="0" applyNumberFormat="1" applyFont="1" applyFill="1" applyBorder="1" applyAlignment="1">
      <alignment horizontal="center"/>
    </xf>
    <xf numFmtId="17" fontId="7" fillId="26" borderId="0" xfId="0" applyNumberFormat="1" applyFont="1" applyFill="1" applyBorder="1" applyAlignment="1">
      <alignment horizontal="center"/>
    </xf>
    <xf numFmtId="17" fontId="7" fillId="26" borderId="68" xfId="0" applyNumberFormat="1" applyFont="1" applyFill="1" applyBorder="1" applyAlignment="1">
      <alignment horizontal="center"/>
    </xf>
    <xf numFmtId="17" fontId="7" fillId="55" borderId="9" xfId="0" applyNumberFormat="1" applyFont="1" applyFill="1" applyBorder="1" applyAlignment="1">
      <alignment horizontal="center"/>
    </xf>
    <xf numFmtId="17" fontId="7" fillId="55" borderId="10" xfId="0" applyNumberFormat="1" applyFont="1" applyFill="1" applyBorder="1" applyAlignment="1">
      <alignment horizontal="center"/>
    </xf>
    <xf numFmtId="17" fontId="7" fillId="55" borderId="11" xfId="0" applyNumberFormat="1" applyFont="1" applyFill="1" applyBorder="1" applyAlignment="1">
      <alignment horizontal="center"/>
    </xf>
    <xf numFmtId="17" fontId="7" fillId="26" borderId="14" xfId="0" applyNumberFormat="1" applyFont="1" applyFill="1" applyBorder="1" applyAlignment="1">
      <alignment horizontal="center"/>
    </xf>
    <xf numFmtId="17" fontId="7" fillId="51" borderId="14" xfId="0" applyNumberFormat="1" applyFont="1" applyFill="1" applyBorder="1" applyAlignment="1">
      <alignment horizontal="center"/>
    </xf>
    <xf numFmtId="17" fontId="7" fillId="3" borderId="14" xfId="0" applyNumberFormat="1" applyFont="1" applyFill="1" applyBorder="1" applyAlignment="1">
      <alignment horizontal="center"/>
    </xf>
    <xf numFmtId="17" fontId="7" fillId="34" borderId="14" xfId="0" applyNumberFormat="1" applyFont="1" applyFill="1" applyBorder="1" applyAlignment="1">
      <alignment horizontal="center"/>
    </xf>
    <xf numFmtId="17" fontId="7" fillId="13" borderId="14" xfId="0" applyNumberFormat="1" applyFont="1" applyFill="1" applyBorder="1" applyAlignment="1">
      <alignment horizontal="center"/>
    </xf>
    <xf numFmtId="17" fontId="7" fillId="16" borderId="14" xfId="0" applyNumberFormat="1" applyFont="1" applyFill="1" applyBorder="1" applyAlignment="1">
      <alignment horizontal="center"/>
    </xf>
    <xf numFmtId="17" fontId="7" fillId="15" borderId="9" xfId="0" applyNumberFormat="1" applyFont="1" applyFill="1" applyBorder="1" applyAlignment="1">
      <alignment horizontal="center"/>
    </xf>
    <xf numFmtId="17" fontId="7" fillId="15" borderId="10" xfId="0" applyNumberFormat="1" applyFont="1" applyFill="1" applyBorder="1" applyAlignment="1">
      <alignment horizontal="center"/>
    </xf>
    <xf numFmtId="17" fontId="7" fillId="15" borderId="11" xfId="0" applyNumberFormat="1" applyFont="1" applyFill="1" applyBorder="1" applyAlignment="1">
      <alignment horizontal="center"/>
    </xf>
    <xf numFmtId="17" fontId="7" fillId="27" borderId="9" xfId="0" applyNumberFormat="1" applyFont="1" applyFill="1" applyBorder="1" applyAlignment="1">
      <alignment horizontal="center"/>
    </xf>
    <xf numFmtId="17" fontId="7" fillId="27" borderId="10" xfId="0" applyNumberFormat="1" applyFont="1" applyFill="1" applyBorder="1" applyAlignment="1">
      <alignment horizontal="center"/>
    </xf>
    <xf numFmtId="17" fontId="7" fillId="27" borderId="11" xfId="0" applyNumberFormat="1" applyFont="1" applyFill="1" applyBorder="1" applyAlignment="1">
      <alignment horizontal="center"/>
    </xf>
    <xf numFmtId="17" fontId="7" fillId="28" borderId="9" xfId="0" applyNumberFormat="1" applyFont="1" applyFill="1" applyBorder="1" applyAlignment="1">
      <alignment horizontal="center"/>
    </xf>
    <xf numFmtId="17" fontId="7" fillId="28" borderId="10" xfId="0" applyNumberFormat="1" applyFont="1" applyFill="1" applyBorder="1" applyAlignment="1">
      <alignment horizontal="center"/>
    </xf>
    <xf numFmtId="17" fontId="7" fillId="28" borderId="11" xfId="0" applyNumberFormat="1" applyFont="1" applyFill="1" applyBorder="1" applyAlignment="1">
      <alignment horizontal="center"/>
    </xf>
    <xf numFmtId="17" fontId="7" fillId="19" borderId="9" xfId="0" applyNumberFormat="1" applyFont="1" applyFill="1" applyBorder="1" applyAlignment="1">
      <alignment horizontal="center"/>
    </xf>
    <xf numFmtId="17" fontId="7" fillId="19" borderId="10" xfId="0" applyNumberFormat="1" applyFont="1" applyFill="1" applyBorder="1" applyAlignment="1">
      <alignment horizontal="center"/>
    </xf>
    <xf numFmtId="17" fontId="7" fillId="19" borderId="11" xfId="0" applyNumberFormat="1" applyFont="1" applyFill="1" applyBorder="1" applyAlignment="1">
      <alignment horizontal="center"/>
    </xf>
    <xf numFmtId="0" fontId="8" fillId="4" borderId="72" xfId="0" applyFont="1" applyFill="1" applyBorder="1" applyAlignment="1">
      <alignment horizontal="center"/>
    </xf>
    <xf numFmtId="0" fontId="8" fillId="4" borderId="0" xfId="0" applyFont="1" applyFill="1" applyBorder="1" applyAlignment="1">
      <alignment horizontal="center"/>
    </xf>
    <xf numFmtId="0" fontId="8" fillId="4" borderId="44" xfId="0" applyFont="1" applyFill="1" applyBorder="1" applyAlignment="1">
      <alignment horizontal="center"/>
    </xf>
    <xf numFmtId="0" fontId="8" fillId="5" borderId="89" xfId="0" applyFont="1" applyFill="1" applyBorder="1" applyAlignment="1">
      <alignment horizontal="center"/>
    </xf>
    <xf numFmtId="0" fontId="8" fillId="5" borderId="43" xfId="0" applyFont="1" applyFill="1" applyBorder="1" applyAlignment="1">
      <alignment horizontal="center"/>
    </xf>
    <xf numFmtId="0" fontId="8" fillId="5" borderId="63" xfId="0" applyFont="1" applyFill="1" applyBorder="1" applyAlignment="1">
      <alignment horizontal="center"/>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6" fillId="24" borderId="32" xfId="0" applyFont="1" applyFill="1" applyBorder="1" applyAlignment="1">
      <alignment horizontal="center" vertical="top" wrapText="1"/>
    </xf>
    <xf numFmtId="0" fontId="6" fillId="24" borderId="30" xfId="0" applyFont="1" applyFill="1" applyBorder="1" applyAlignment="1">
      <alignment horizontal="center" vertical="top" wrapText="1"/>
    </xf>
    <xf numFmtId="0" fontId="7" fillId="0" borderId="6" xfId="0" applyFont="1" applyBorder="1" applyAlignment="1">
      <alignment horizontal="center" vertical="center" wrapText="1"/>
    </xf>
    <xf numFmtId="0" fontId="10" fillId="54" borderId="5" xfId="0" applyFont="1" applyFill="1" applyBorder="1" applyAlignment="1" applyProtection="1">
      <alignment horizontal="left" vertical="top" wrapText="1"/>
      <protection hidden="1"/>
    </xf>
    <xf numFmtId="0" fontId="7" fillId="6" borderId="6" xfId="0" applyFont="1" applyFill="1" applyBorder="1" applyAlignment="1">
      <alignment wrapText="1"/>
    </xf>
    <xf numFmtId="171" fontId="8" fillId="6" borderId="6" xfId="0" applyNumberFormat="1" applyFont="1" applyFill="1" applyBorder="1" applyAlignment="1">
      <alignment horizontal="center" vertical="center" wrapText="1"/>
    </xf>
    <xf numFmtId="171" fontId="8" fillId="6" borderId="3" xfId="0" applyNumberFormat="1" applyFont="1" applyFill="1" applyBorder="1" applyAlignment="1">
      <alignment horizontal="center" vertical="center"/>
    </xf>
    <xf numFmtId="0" fontId="8" fillId="6" borderId="63" xfId="0" applyFont="1" applyFill="1" applyBorder="1" applyAlignment="1">
      <alignment horizontal="center" vertical="center" wrapText="1"/>
    </xf>
    <xf numFmtId="0" fontId="8" fillId="6" borderId="6" xfId="0" applyFont="1" applyFill="1" applyBorder="1" applyAlignment="1">
      <alignment horizontal="center" vertical="center"/>
    </xf>
    <xf numFmtId="0" fontId="8" fillId="6" borderId="89" xfId="0" applyFont="1" applyFill="1" applyBorder="1" applyAlignment="1">
      <alignment horizontal="center" vertical="center" wrapText="1"/>
    </xf>
    <xf numFmtId="0" fontId="8" fillId="6" borderId="35" xfId="0" applyFont="1" applyFill="1" applyBorder="1" applyAlignment="1">
      <alignment horizontal="center" vertical="center"/>
    </xf>
    <xf numFmtId="0" fontId="8" fillId="6" borderId="7" xfId="0" applyFont="1" applyFill="1" applyBorder="1" applyAlignment="1">
      <alignment horizontal="center" vertical="center" wrapText="1"/>
    </xf>
    <xf numFmtId="3" fontId="30" fillId="0" borderId="14" xfId="0" applyNumberFormat="1" applyFont="1" applyBorder="1" applyAlignment="1">
      <alignment horizontal="left"/>
    </xf>
    <xf numFmtId="3" fontId="31" fillId="0" borderId="14" xfId="0" applyNumberFormat="1" applyFont="1" applyBorder="1" applyAlignment="1">
      <alignment horizontal="left"/>
    </xf>
    <xf numFmtId="3" fontId="31" fillId="0" borderId="8" xfId="0" applyNumberFormat="1" applyFont="1" applyBorder="1" applyAlignment="1">
      <alignment horizontal="center"/>
    </xf>
    <xf numFmtId="0" fontId="38" fillId="0" borderId="72" xfId="0" applyFont="1" applyBorder="1" applyAlignment="1">
      <alignment horizontal="center"/>
    </xf>
    <xf numFmtId="0" fontId="38" fillId="0" borderId="0" xfId="0" applyFont="1" applyBorder="1" applyAlignment="1">
      <alignment horizontal="center"/>
    </xf>
    <xf numFmtId="0" fontId="39" fillId="0" borderId="72" xfId="0" applyFont="1" applyBorder="1" applyAlignment="1">
      <alignment horizontal="center"/>
    </xf>
    <xf numFmtId="0" fontId="39" fillId="0" borderId="0" xfId="0" applyFont="1" applyBorder="1" applyAlignment="1">
      <alignment horizontal="center"/>
    </xf>
    <xf numFmtId="0" fontId="39" fillId="0" borderId="31" xfId="0" applyFont="1" applyFill="1" applyBorder="1" applyAlignment="1">
      <alignment horizontal="center"/>
    </xf>
    <xf numFmtId="0" fontId="39" fillId="0" borderId="41" xfId="0" applyFont="1" applyFill="1" applyBorder="1" applyAlignment="1">
      <alignment horizontal="center"/>
    </xf>
    <xf numFmtId="0" fontId="39" fillId="0" borderId="42" xfId="0" applyFont="1" applyFill="1" applyBorder="1" applyAlignment="1">
      <alignment horizontal="center"/>
    </xf>
    <xf numFmtId="0" fontId="46" fillId="0" borderId="38" xfId="0" applyFont="1" applyBorder="1" applyAlignment="1">
      <alignment horizontal="center" wrapText="1"/>
    </xf>
    <xf numFmtId="0" fontId="46" fillId="0" borderId="0" xfId="0" applyFont="1" applyBorder="1" applyAlignment="1">
      <alignment horizontal="center" wrapText="1"/>
    </xf>
    <xf numFmtId="0" fontId="39" fillId="0" borderId="38" xfId="0" applyFont="1" applyFill="1" applyBorder="1" applyAlignment="1">
      <alignment horizontal="center"/>
    </xf>
    <xf numFmtId="0" fontId="39" fillId="0" borderId="0" xfId="0" applyFont="1" applyFill="1" applyBorder="1" applyAlignment="1">
      <alignment horizontal="center"/>
    </xf>
    <xf numFmtId="0" fontId="31" fillId="0" borderId="31" xfId="0" applyFont="1" applyFill="1" applyBorder="1" applyAlignment="1">
      <alignment horizontal="center"/>
    </xf>
    <xf numFmtId="0" fontId="31" fillId="0" borderId="41" xfId="0" applyFont="1" applyFill="1" applyBorder="1" applyAlignment="1">
      <alignment horizontal="center"/>
    </xf>
    <xf numFmtId="0" fontId="31" fillId="0" borderId="42" xfId="0" applyFont="1" applyFill="1" applyBorder="1" applyAlignment="1">
      <alignment horizontal="center"/>
    </xf>
    <xf numFmtId="43" fontId="31" fillId="0" borderId="45" xfId="1" applyFont="1" applyFill="1" applyBorder="1" applyAlignment="1" applyProtection="1">
      <alignment horizontal="center" wrapText="1"/>
    </xf>
    <xf numFmtId="43" fontId="31" fillId="0" borderId="48" xfId="1" applyFont="1" applyFill="1" applyBorder="1" applyAlignment="1" applyProtection="1">
      <alignment horizontal="center" wrapText="1"/>
    </xf>
    <xf numFmtId="43" fontId="31" fillId="0" borderId="32" xfId="1" applyFont="1" applyFill="1" applyBorder="1" applyAlignment="1">
      <alignment horizontal="center"/>
    </xf>
    <xf numFmtId="43" fontId="31" fillId="0" borderId="30" xfId="1" applyFont="1" applyFill="1" applyBorder="1" applyAlignment="1">
      <alignment horizontal="center"/>
    </xf>
    <xf numFmtId="43" fontId="31" fillId="0" borderId="33" xfId="1" applyFont="1" applyFill="1" applyBorder="1" applyAlignment="1">
      <alignment horizontal="center"/>
    </xf>
    <xf numFmtId="43" fontId="31" fillId="0" borderId="19" xfId="1" applyFont="1" applyFill="1" applyBorder="1" applyAlignment="1">
      <alignment horizontal="center"/>
    </xf>
    <xf numFmtId="43" fontId="31" fillId="0" borderId="21" xfId="1" applyFont="1" applyFill="1" applyBorder="1" applyAlignment="1">
      <alignment horizontal="center"/>
    </xf>
    <xf numFmtId="17" fontId="8" fillId="0" borderId="85" xfId="0" applyNumberFormat="1" applyFont="1" applyBorder="1" applyAlignment="1" applyProtection="1">
      <alignment horizontal="center" vertical="center"/>
    </xf>
    <xf numFmtId="17" fontId="8" fillId="0" borderId="23" xfId="0" applyNumberFormat="1" applyFont="1" applyBorder="1" applyAlignment="1" applyProtection="1">
      <alignment horizontal="center" vertical="center"/>
    </xf>
    <xf numFmtId="17" fontId="8" fillId="0" borderId="86" xfId="0" applyNumberFormat="1" applyFont="1" applyBorder="1" applyAlignment="1" applyProtection="1">
      <alignment horizontal="center" vertical="center"/>
    </xf>
    <xf numFmtId="0" fontId="8" fillId="0" borderId="95" xfId="0" applyFont="1" applyBorder="1" applyAlignment="1" applyProtection="1">
      <alignment horizontal="center" vertical="center"/>
    </xf>
    <xf numFmtId="0" fontId="8" fillId="0" borderId="15" xfId="0" applyFont="1" applyBorder="1" applyAlignment="1" applyProtection="1">
      <alignment horizontal="center" vertical="center"/>
    </xf>
    <xf numFmtId="0" fontId="8" fillId="0" borderId="96" xfId="0" applyFont="1" applyBorder="1" applyAlignment="1" applyProtection="1">
      <alignment horizontal="center" vertical="center"/>
    </xf>
    <xf numFmtId="17" fontId="8" fillId="13" borderId="32" xfId="0" applyNumberFormat="1" applyFont="1" applyFill="1" applyBorder="1" applyAlignment="1" applyProtection="1">
      <alignment horizontal="center" vertical="center"/>
    </xf>
    <xf numFmtId="17" fontId="8" fillId="13" borderId="30" xfId="0" applyNumberFormat="1" applyFont="1" applyFill="1" applyBorder="1" applyAlignment="1" applyProtection="1">
      <alignment horizontal="center" vertical="center"/>
    </xf>
    <xf numFmtId="17" fontId="8" fillId="13" borderId="33" xfId="0" applyNumberFormat="1" applyFont="1" applyFill="1" applyBorder="1" applyAlignment="1" applyProtection="1">
      <alignment horizontal="center" vertical="center"/>
    </xf>
    <xf numFmtId="17" fontId="8" fillId="12" borderId="32" xfId="0" applyNumberFormat="1" applyFont="1" applyFill="1" applyBorder="1" applyAlignment="1" applyProtection="1">
      <alignment horizontal="center" vertical="center"/>
    </xf>
    <xf numFmtId="17" fontId="8" fillId="12" borderId="30" xfId="0" applyNumberFormat="1" applyFont="1" applyFill="1" applyBorder="1" applyAlignment="1" applyProtection="1">
      <alignment horizontal="center" vertical="center"/>
    </xf>
    <xf numFmtId="17" fontId="8" fillId="12" borderId="33" xfId="0" applyNumberFormat="1" applyFont="1" applyFill="1" applyBorder="1" applyAlignment="1" applyProtection="1">
      <alignment horizontal="center" vertical="center"/>
    </xf>
    <xf numFmtId="0" fontId="8" fillId="0" borderId="30" xfId="0" applyFont="1" applyBorder="1" applyAlignment="1" applyProtection="1">
      <alignment horizontal="center" vertical="center"/>
    </xf>
    <xf numFmtId="0" fontId="8" fillId="0" borderId="33" xfId="0" applyFont="1" applyBorder="1" applyAlignment="1" applyProtection="1">
      <alignment horizontal="center" vertical="center"/>
    </xf>
    <xf numFmtId="0" fontId="8" fillId="35" borderId="45" xfId="0" applyFont="1" applyFill="1" applyBorder="1" applyAlignment="1" applyProtection="1">
      <alignment horizontal="center" vertical="center"/>
    </xf>
    <xf numFmtId="0" fontId="8" fillId="35" borderId="46" xfId="0" applyFont="1" applyFill="1" applyBorder="1" applyAlignment="1" applyProtection="1">
      <alignment horizontal="center" vertical="center"/>
    </xf>
    <xf numFmtId="0" fontId="8" fillId="35" borderId="16" xfId="0" applyFont="1" applyFill="1" applyBorder="1" applyAlignment="1" applyProtection="1">
      <alignment horizontal="center" vertical="center"/>
    </xf>
    <xf numFmtId="0" fontId="8" fillId="35" borderId="71" xfId="0" applyFont="1" applyFill="1" applyBorder="1" applyAlignment="1" applyProtection="1">
      <alignment horizontal="center" vertical="center"/>
    </xf>
    <xf numFmtId="17" fontId="8" fillId="0" borderId="32" xfId="0" applyNumberFormat="1" applyFont="1" applyBorder="1" applyAlignment="1" applyProtection="1">
      <alignment horizontal="center" vertical="center"/>
    </xf>
    <xf numFmtId="17" fontId="8" fillId="0" borderId="30" xfId="0" applyNumberFormat="1" applyFont="1" applyBorder="1" applyAlignment="1" applyProtection="1">
      <alignment horizontal="center" vertical="center"/>
    </xf>
    <xf numFmtId="17" fontId="8" fillId="0" borderId="33" xfId="0" applyNumberFormat="1" applyFont="1" applyBorder="1" applyAlignment="1" applyProtection="1">
      <alignment horizontal="center" vertical="center"/>
    </xf>
    <xf numFmtId="17" fontId="8" fillId="11" borderId="32" xfId="0" applyNumberFormat="1" applyFont="1" applyFill="1" applyBorder="1" applyAlignment="1" applyProtection="1">
      <alignment horizontal="center" vertical="center"/>
    </xf>
    <xf numFmtId="17" fontId="8" fillId="11" borderId="30" xfId="0" applyNumberFormat="1" applyFont="1" applyFill="1" applyBorder="1" applyAlignment="1" applyProtection="1">
      <alignment horizontal="center" vertical="center"/>
    </xf>
    <xf numFmtId="17" fontId="8" fillId="11" borderId="33" xfId="0" applyNumberFormat="1" applyFont="1" applyFill="1" applyBorder="1" applyAlignment="1" applyProtection="1">
      <alignment horizontal="center" vertical="center"/>
    </xf>
    <xf numFmtId="17" fontId="8" fillId="8" borderId="32" xfId="0" applyNumberFormat="1" applyFont="1" applyFill="1" applyBorder="1" applyAlignment="1" applyProtection="1">
      <alignment horizontal="center" vertical="center"/>
    </xf>
    <xf numFmtId="17" fontId="8" fillId="8" borderId="30" xfId="0" applyNumberFormat="1" applyFont="1" applyFill="1" applyBorder="1" applyAlignment="1" applyProtection="1">
      <alignment horizontal="center" vertical="center"/>
    </xf>
    <xf numFmtId="17" fontId="8" fillId="8" borderId="33" xfId="0" applyNumberFormat="1" applyFont="1" applyFill="1" applyBorder="1" applyAlignment="1" applyProtection="1">
      <alignment horizontal="center" vertical="center"/>
    </xf>
    <xf numFmtId="17" fontId="8" fillId="6" borderId="32" xfId="0" applyNumberFormat="1" applyFont="1" applyFill="1" applyBorder="1" applyAlignment="1" applyProtection="1">
      <alignment horizontal="center" vertical="center"/>
    </xf>
    <xf numFmtId="17" fontId="8" fillId="6" borderId="30" xfId="0" applyNumberFormat="1" applyFont="1" applyFill="1" applyBorder="1" applyAlignment="1" applyProtection="1">
      <alignment horizontal="center" vertical="center"/>
    </xf>
    <xf numFmtId="17" fontId="8" fillId="6" borderId="33" xfId="0" applyNumberFormat="1" applyFont="1" applyFill="1" applyBorder="1" applyAlignment="1" applyProtection="1">
      <alignment horizontal="center" vertical="center"/>
    </xf>
    <xf numFmtId="17" fontId="8" fillId="15" borderId="32" xfId="0" applyNumberFormat="1" applyFont="1" applyFill="1" applyBorder="1" applyAlignment="1" applyProtection="1">
      <alignment horizontal="center" vertical="center"/>
    </xf>
    <xf numFmtId="17" fontId="8" fillId="15" borderId="30" xfId="0" applyNumberFormat="1" applyFont="1" applyFill="1" applyBorder="1" applyAlignment="1" applyProtection="1">
      <alignment horizontal="center" vertical="center"/>
    </xf>
    <xf numFmtId="17" fontId="8" fillId="15" borderId="33" xfId="0" applyNumberFormat="1" applyFont="1" applyFill="1" applyBorder="1" applyAlignment="1" applyProtection="1">
      <alignment horizontal="center" vertical="center"/>
    </xf>
    <xf numFmtId="17" fontId="8" fillId="58" borderId="32" xfId="0" applyNumberFormat="1" applyFont="1" applyFill="1" applyBorder="1" applyAlignment="1" applyProtection="1">
      <alignment horizontal="center" vertical="center"/>
    </xf>
    <xf numFmtId="17" fontId="8" fillId="58" borderId="30" xfId="0" applyNumberFormat="1" applyFont="1" applyFill="1" applyBorder="1" applyAlignment="1" applyProtection="1">
      <alignment horizontal="center" vertical="center"/>
    </xf>
    <xf numFmtId="17" fontId="8" fillId="58" borderId="33" xfId="0" applyNumberFormat="1" applyFont="1" applyFill="1" applyBorder="1" applyAlignment="1" applyProtection="1">
      <alignment horizontal="center" vertical="center"/>
    </xf>
    <xf numFmtId="17" fontId="8" fillId="5" borderId="32" xfId="0" applyNumberFormat="1" applyFont="1" applyFill="1" applyBorder="1" applyAlignment="1" applyProtection="1">
      <alignment horizontal="center" vertical="center"/>
    </xf>
    <xf numFmtId="17" fontId="8" fillId="5" borderId="30" xfId="0" applyNumberFormat="1" applyFont="1" applyFill="1" applyBorder="1" applyAlignment="1" applyProtection="1">
      <alignment horizontal="center" vertical="center"/>
    </xf>
    <xf numFmtId="17" fontId="8" fillId="5" borderId="33" xfId="0" applyNumberFormat="1" applyFont="1" applyFill="1" applyBorder="1" applyAlignment="1" applyProtection="1">
      <alignment horizontal="center" vertical="center"/>
    </xf>
    <xf numFmtId="17" fontId="8" fillId="3" borderId="82" xfId="0" applyNumberFormat="1" applyFont="1" applyFill="1" applyBorder="1" applyAlignment="1" applyProtection="1">
      <alignment horizontal="center" vertical="center"/>
    </xf>
    <xf numFmtId="17" fontId="8" fillId="3" borderId="30" xfId="0" applyNumberFormat="1" applyFont="1" applyFill="1" applyBorder="1" applyAlignment="1" applyProtection="1">
      <alignment horizontal="center" vertical="center"/>
    </xf>
    <xf numFmtId="17" fontId="8" fillId="3" borderId="83" xfId="0" applyNumberFormat="1" applyFont="1" applyFill="1" applyBorder="1" applyAlignment="1" applyProtection="1">
      <alignment horizontal="center" vertical="center"/>
    </xf>
    <xf numFmtId="17" fontId="8" fillId="19" borderId="30" xfId="0" applyNumberFormat="1" applyFont="1" applyFill="1" applyBorder="1" applyAlignment="1" applyProtection="1">
      <alignment horizontal="center" vertical="center"/>
    </xf>
    <xf numFmtId="17" fontId="8" fillId="19" borderId="33" xfId="0" applyNumberFormat="1" applyFont="1" applyFill="1" applyBorder="1" applyAlignment="1" applyProtection="1">
      <alignment horizontal="center" vertical="center"/>
    </xf>
    <xf numFmtId="17" fontId="8" fillId="10" borderId="32" xfId="0" applyNumberFormat="1" applyFont="1" applyFill="1" applyBorder="1" applyAlignment="1" applyProtection="1">
      <alignment horizontal="center" vertical="center"/>
    </xf>
    <xf numFmtId="17" fontId="8" fillId="10" borderId="30" xfId="0" applyNumberFormat="1" applyFont="1" applyFill="1" applyBorder="1" applyAlignment="1" applyProtection="1">
      <alignment horizontal="center" vertical="center"/>
    </xf>
    <xf numFmtId="17" fontId="8" fillId="10" borderId="33" xfId="0" applyNumberFormat="1" applyFont="1" applyFill="1" applyBorder="1" applyAlignment="1" applyProtection="1">
      <alignment horizontal="center" vertical="center"/>
    </xf>
    <xf numFmtId="0" fontId="12" fillId="0" borderId="0" xfId="0" applyFont="1" applyAlignment="1">
      <alignment horizontal="center"/>
    </xf>
    <xf numFmtId="0" fontId="8" fillId="0" borderId="0" xfId="0" applyFont="1" applyAlignment="1">
      <alignment horizontal="center"/>
    </xf>
    <xf numFmtId="0" fontId="7" fillId="51" borderId="31" xfId="0" applyFont="1" applyFill="1" applyBorder="1" applyAlignment="1">
      <alignment horizontal="center"/>
    </xf>
    <xf numFmtId="0" fontId="7" fillId="51" borderId="41" xfId="0" applyFont="1" applyFill="1" applyBorder="1" applyAlignment="1">
      <alignment horizontal="center"/>
    </xf>
    <xf numFmtId="0" fontId="7" fillId="51" borderId="42" xfId="0" applyFont="1" applyFill="1" applyBorder="1" applyAlignment="1">
      <alignment horizontal="center"/>
    </xf>
    <xf numFmtId="0" fontId="7" fillId="5" borderId="31" xfId="0" applyFont="1" applyFill="1" applyBorder="1" applyAlignment="1">
      <alignment horizontal="center"/>
    </xf>
    <xf numFmtId="0" fontId="7" fillId="5" borderId="41" xfId="0" applyFont="1" applyFill="1" applyBorder="1" applyAlignment="1">
      <alignment horizontal="center"/>
    </xf>
    <xf numFmtId="0" fontId="7" fillId="5" borderId="42" xfId="0" applyFont="1" applyFill="1" applyBorder="1" applyAlignment="1">
      <alignment horizontal="center"/>
    </xf>
    <xf numFmtId="0" fontId="7" fillId="3" borderId="31" xfId="0" applyFont="1" applyFill="1" applyBorder="1" applyAlignment="1">
      <alignment horizontal="center"/>
    </xf>
    <xf numFmtId="0" fontId="7" fillId="3" borderId="41" xfId="0" applyFont="1" applyFill="1" applyBorder="1" applyAlignment="1">
      <alignment horizontal="center"/>
    </xf>
    <xf numFmtId="0" fontId="7" fillId="3" borderId="42" xfId="0" applyFont="1" applyFill="1" applyBorder="1" applyAlignment="1">
      <alignment horizontal="center"/>
    </xf>
    <xf numFmtId="0" fontId="7" fillId="16" borderId="31" xfId="0" applyFont="1" applyFill="1" applyBorder="1" applyAlignment="1">
      <alignment horizontal="center"/>
    </xf>
    <xf numFmtId="0" fontId="7" fillId="16" borderId="41" xfId="0" applyFont="1" applyFill="1" applyBorder="1" applyAlignment="1">
      <alignment horizontal="center"/>
    </xf>
    <xf numFmtId="0" fontId="7" fillId="16" borderId="42" xfId="0" applyFont="1" applyFill="1" applyBorder="1" applyAlignment="1">
      <alignment horizontal="center"/>
    </xf>
    <xf numFmtId="0" fontId="7" fillId="2" borderId="31" xfId="0" applyFont="1" applyFill="1" applyBorder="1" applyAlignment="1">
      <alignment horizontal="center"/>
    </xf>
    <xf numFmtId="0" fontId="7" fillId="2" borderId="41" xfId="0" applyFont="1" applyFill="1" applyBorder="1" applyAlignment="1">
      <alignment horizontal="center"/>
    </xf>
    <xf numFmtId="0" fontId="7" fillId="2" borderId="42" xfId="0" applyFont="1" applyFill="1" applyBorder="1" applyAlignment="1">
      <alignment horizontal="center"/>
    </xf>
    <xf numFmtId="0" fontId="8" fillId="0" borderId="31" xfId="0" applyFont="1" applyBorder="1" applyAlignment="1">
      <alignment horizontal="center"/>
    </xf>
    <xf numFmtId="0" fontId="8" fillId="0" borderId="41" xfId="0" applyFont="1" applyBorder="1" applyAlignment="1">
      <alignment horizontal="center"/>
    </xf>
    <xf numFmtId="0" fontId="8" fillId="0" borderId="42" xfId="0" applyFont="1" applyBorder="1" applyAlignment="1">
      <alignment horizontal="center"/>
    </xf>
    <xf numFmtId="0" fontId="11" fillId="0" borderId="0" xfId="0" applyFont="1" applyAlignment="1">
      <alignment horizontal="center"/>
    </xf>
    <xf numFmtId="0" fontId="13" fillId="0" borderId="0" xfId="0" applyFont="1" applyAlignment="1">
      <alignment horizontal="center"/>
    </xf>
    <xf numFmtId="0" fontId="8" fillId="5" borderId="3" xfId="0" applyFont="1" applyFill="1" applyBorder="1" applyAlignment="1">
      <alignment horizontal="center"/>
    </xf>
    <xf numFmtId="0" fontId="8" fillId="4" borderId="3" xfId="0" applyFont="1" applyFill="1" applyBorder="1" applyAlignment="1">
      <alignment horizontal="center"/>
    </xf>
    <xf numFmtId="0" fontId="8" fillId="2" borderId="3" xfId="0" applyFont="1" applyFill="1" applyBorder="1" applyAlignment="1">
      <alignment horizontal="center" vertical="center"/>
    </xf>
    <xf numFmtId="0" fontId="8" fillId="4" borderId="43" xfId="0" applyFont="1" applyFill="1" applyBorder="1" applyAlignment="1">
      <alignment horizontal="center" wrapText="1"/>
    </xf>
    <xf numFmtId="0" fontId="8" fillId="4" borderId="43" xfId="0" applyFont="1" applyFill="1" applyBorder="1" applyAlignment="1">
      <alignment horizontal="center"/>
    </xf>
    <xf numFmtId="0" fontId="7" fillId="13" borderId="35" xfId="0" applyFont="1" applyFill="1" applyBorder="1" applyAlignment="1" applyProtection="1">
      <alignment horizontal="center" wrapText="1"/>
      <protection hidden="1"/>
    </xf>
    <xf numFmtId="0" fontId="7" fillId="13" borderId="36" xfId="0" applyFont="1" applyFill="1" applyBorder="1" applyAlignment="1" applyProtection="1">
      <alignment horizontal="center" wrapText="1"/>
      <protection hidden="1"/>
    </xf>
    <xf numFmtId="0" fontId="7" fillId="13" borderId="37" xfId="0" applyFont="1" applyFill="1" applyBorder="1" applyAlignment="1" applyProtection="1">
      <alignment horizontal="center" wrapText="1"/>
      <protection hidden="1"/>
    </xf>
    <xf numFmtId="0" fontId="7" fillId="34" borderId="35" xfId="0" applyFont="1" applyFill="1" applyBorder="1" applyAlignment="1" applyProtection="1">
      <alignment horizontal="center" wrapText="1"/>
      <protection hidden="1"/>
    </xf>
    <xf numFmtId="0" fontId="7" fillId="34" borderId="36" xfId="0" applyFont="1" applyFill="1" applyBorder="1" applyAlignment="1" applyProtection="1">
      <alignment horizontal="center" wrapText="1"/>
      <protection hidden="1"/>
    </xf>
    <xf numFmtId="0" fontId="7" fillId="34" borderId="37" xfId="0" applyFont="1" applyFill="1" applyBorder="1" applyAlignment="1" applyProtection="1">
      <alignment horizontal="center" wrapText="1"/>
      <protection hidden="1"/>
    </xf>
    <xf numFmtId="0" fontId="7" fillId="27" borderId="35" xfId="0" applyFont="1" applyFill="1" applyBorder="1" applyAlignment="1" applyProtection="1">
      <alignment horizontal="center" wrapText="1"/>
      <protection hidden="1"/>
    </xf>
    <xf numFmtId="0" fontId="7" fillId="27" borderId="36" xfId="0" applyFont="1" applyFill="1" applyBorder="1" applyAlignment="1" applyProtection="1">
      <alignment horizontal="center" wrapText="1"/>
      <protection hidden="1"/>
    </xf>
    <xf numFmtId="0" fontId="7" fillId="27" borderId="37" xfId="0" applyFont="1" applyFill="1" applyBorder="1" applyAlignment="1" applyProtection="1">
      <alignment horizontal="center" wrapText="1"/>
      <protection hidden="1"/>
    </xf>
    <xf numFmtId="0" fontId="7" fillId="29" borderId="35" xfId="0" applyFont="1" applyFill="1" applyBorder="1" applyAlignment="1" applyProtection="1">
      <alignment horizontal="center" wrapText="1"/>
      <protection hidden="1"/>
    </xf>
    <xf numFmtId="0" fontId="7" fillId="29" borderId="36" xfId="0" applyFont="1" applyFill="1" applyBorder="1" applyAlignment="1" applyProtection="1">
      <alignment horizontal="center" wrapText="1"/>
      <protection hidden="1"/>
    </xf>
    <xf numFmtId="0" fontId="7" fillId="29" borderId="37" xfId="0" applyFont="1" applyFill="1" applyBorder="1" applyAlignment="1" applyProtection="1">
      <alignment horizontal="center" wrapText="1"/>
      <protection hidden="1"/>
    </xf>
    <xf numFmtId="0" fontId="7" fillId="6" borderId="35" xfId="0" applyFont="1" applyFill="1" applyBorder="1" applyAlignment="1" applyProtection="1">
      <alignment horizontal="center" wrapText="1"/>
      <protection hidden="1"/>
    </xf>
    <xf numFmtId="0" fontId="7" fillId="6" borderId="36" xfId="0" applyFont="1" applyFill="1" applyBorder="1" applyAlignment="1" applyProtection="1">
      <alignment horizontal="center" wrapText="1"/>
      <protection hidden="1"/>
    </xf>
    <xf numFmtId="0" fontId="7" fillId="6" borderId="37" xfId="0" applyFont="1" applyFill="1" applyBorder="1" applyAlignment="1" applyProtection="1">
      <alignment horizontal="center" wrapText="1"/>
      <protection hidden="1"/>
    </xf>
    <xf numFmtId="0" fontId="8" fillId="3" borderId="89" xfId="0" applyFont="1" applyFill="1" applyBorder="1" applyAlignment="1" applyProtection="1">
      <alignment horizontal="center" wrapText="1"/>
      <protection hidden="1"/>
    </xf>
    <xf numFmtId="0" fontId="8" fillId="3" borderId="43" xfId="0" applyFont="1" applyFill="1" applyBorder="1" applyAlignment="1" applyProtection="1">
      <alignment horizontal="center" wrapText="1"/>
      <protection hidden="1"/>
    </xf>
    <xf numFmtId="0" fontId="8" fillId="3" borderId="63" xfId="0" applyFont="1" applyFill="1" applyBorder="1" applyAlignment="1" applyProtection="1">
      <alignment horizontal="center" wrapText="1"/>
      <protection hidden="1"/>
    </xf>
    <xf numFmtId="0" fontId="19" fillId="0" borderId="35" xfId="2" applyFont="1" applyBorder="1" applyAlignment="1">
      <alignment horizontal="center"/>
    </xf>
    <xf numFmtId="0" fontId="19" fillId="0" borderId="36" xfId="2" applyFont="1" applyBorder="1" applyAlignment="1">
      <alignment horizontal="center"/>
    </xf>
    <xf numFmtId="0" fontId="19" fillId="0" borderId="37" xfId="2" applyFont="1" applyBorder="1" applyAlignment="1">
      <alignment horizontal="center"/>
    </xf>
    <xf numFmtId="0" fontId="8" fillId="0" borderId="41" xfId="0" applyFont="1" applyFill="1" applyBorder="1" applyAlignment="1">
      <alignment horizontal="center"/>
    </xf>
    <xf numFmtId="0" fontId="19" fillId="0" borderId="35" xfId="2" applyFont="1" applyBorder="1" applyAlignment="1">
      <alignment horizontal="center" wrapText="1"/>
    </xf>
    <xf numFmtId="0" fontId="19" fillId="0" borderId="36" xfId="2" applyFont="1" applyBorder="1" applyAlignment="1">
      <alignment horizontal="center" wrapText="1"/>
    </xf>
    <xf numFmtId="0" fontId="19" fillId="0" borderId="37" xfId="2" applyFont="1" applyBorder="1" applyAlignment="1">
      <alignment horizontal="center" wrapText="1"/>
    </xf>
    <xf numFmtId="0" fontId="7" fillId="6" borderId="72" xfId="0" applyFont="1" applyFill="1" applyBorder="1" applyAlignment="1" applyProtection="1">
      <alignment horizontal="center" wrapText="1"/>
      <protection hidden="1"/>
    </xf>
    <xf numFmtId="0" fontId="7" fillId="6" borderId="0" xfId="0" applyFont="1" applyFill="1" applyBorder="1" applyAlignment="1" applyProtection="1">
      <alignment horizontal="center" wrapText="1"/>
      <protection hidden="1"/>
    </xf>
    <xf numFmtId="0" fontId="7" fillId="6" borderId="44" xfId="0" applyFont="1" applyFill="1" applyBorder="1" applyAlignment="1" applyProtection="1">
      <alignment horizontal="center" wrapText="1"/>
      <protection hidden="1"/>
    </xf>
    <xf numFmtId="0" fontId="7" fillId="27" borderId="72" xfId="0" applyFont="1" applyFill="1" applyBorder="1" applyAlignment="1" applyProtection="1">
      <alignment horizontal="center" wrapText="1"/>
      <protection hidden="1"/>
    </xf>
    <xf numFmtId="0" fontId="7" fillId="27" borderId="0" xfId="0" applyFont="1" applyFill="1" applyBorder="1" applyAlignment="1" applyProtection="1">
      <alignment horizontal="center" wrapText="1"/>
      <protection hidden="1"/>
    </xf>
    <xf numFmtId="0" fontId="7" fillId="27" borderId="44" xfId="0" applyFont="1" applyFill="1" applyBorder="1" applyAlignment="1" applyProtection="1">
      <alignment horizontal="center" wrapText="1"/>
      <protection hidden="1"/>
    </xf>
    <xf numFmtId="0" fontId="7" fillId="29" borderId="72" xfId="0" applyFont="1" applyFill="1" applyBorder="1" applyAlignment="1" applyProtection="1">
      <alignment horizontal="center" wrapText="1"/>
      <protection hidden="1"/>
    </xf>
    <xf numFmtId="0" fontId="7" fillId="29" borderId="0" xfId="0" applyFont="1" applyFill="1" applyBorder="1" applyAlignment="1" applyProtection="1">
      <alignment horizontal="center" wrapText="1"/>
      <protection hidden="1"/>
    </xf>
    <xf numFmtId="0" fontId="7" fillId="29" borderId="44" xfId="0" applyFont="1" applyFill="1" applyBorder="1" applyAlignment="1" applyProtection="1">
      <alignment horizontal="center" wrapText="1"/>
      <protection hidden="1"/>
    </xf>
    <xf numFmtId="0" fontId="7" fillId="13" borderId="72" xfId="0" applyFont="1" applyFill="1" applyBorder="1" applyAlignment="1" applyProtection="1">
      <alignment horizontal="center" wrapText="1"/>
      <protection hidden="1"/>
    </xf>
    <xf numFmtId="0" fontId="7" fillId="13" borderId="0" xfId="0" applyFont="1" applyFill="1" applyBorder="1" applyAlignment="1" applyProtection="1">
      <alignment horizontal="center" wrapText="1"/>
      <protection hidden="1"/>
    </xf>
    <xf numFmtId="0" fontId="7" fillId="13" borderId="44" xfId="0" applyFont="1" applyFill="1" applyBorder="1" applyAlignment="1" applyProtection="1">
      <alignment horizontal="center" wrapText="1"/>
      <protection hidden="1"/>
    </xf>
    <xf numFmtId="0" fontId="8" fillId="30" borderId="89" xfId="0" applyFont="1" applyFill="1" applyBorder="1" applyAlignment="1">
      <alignment horizontal="center" wrapText="1" shrinkToFit="1"/>
    </xf>
    <xf numFmtId="0" fontId="8" fillId="30" borderId="43" xfId="0" applyFont="1" applyFill="1" applyBorder="1" applyAlignment="1">
      <alignment horizontal="center" wrapText="1" shrinkToFit="1"/>
    </xf>
    <xf numFmtId="0" fontId="8" fillId="30" borderId="63" xfId="0" applyFont="1" applyFill="1" applyBorder="1" applyAlignment="1">
      <alignment horizontal="center" wrapText="1" shrinkToFit="1"/>
    </xf>
    <xf numFmtId="0" fontId="7" fillId="31" borderId="72" xfId="0" applyFont="1" applyFill="1" applyBorder="1" applyAlignment="1" applyProtection="1">
      <alignment horizontal="center" wrapText="1"/>
      <protection hidden="1"/>
    </xf>
    <xf numFmtId="0" fontId="7" fillId="31" borderId="0" xfId="0" applyFont="1" applyFill="1" applyBorder="1" applyAlignment="1" applyProtection="1">
      <alignment horizontal="center" wrapText="1"/>
      <protection hidden="1"/>
    </xf>
    <xf numFmtId="0" fontId="7" fillId="31" borderId="44" xfId="0" applyFont="1" applyFill="1" applyBorder="1" applyAlignment="1" applyProtection="1">
      <alignment horizontal="center" wrapText="1"/>
      <protection hidden="1"/>
    </xf>
    <xf numFmtId="0" fontId="8" fillId="14" borderId="89" xfId="0" applyFont="1" applyFill="1" applyBorder="1" applyAlignment="1">
      <alignment horizontal="center"/>
    </xf>
    <xf numFmtId="0" fontId="8" fillId="14" borderId="43" xfId="0" applyFont="1" applyFill="1" applyBorder="1" applyAlignment="1">
      <alignment horizontal="center"/>
    </xf>
    <xf numFmtId="0" fontId="8" fillId="14" borderId="63" xfId="0" applyFont="1" applyFill="1" applyBorder="1" applyAlignment="1">
      <alignment horizontal="center"/>
    </xf>
    <xf numFmtId="0" fontId="8" fillId="34" borderId="89" xfId="0" applyFont="1" applyFill="1" applyBorder="1" applyAlignment="1">
      <alignment horizontal="center" wrapText="1" shrinkToFit="1"/>
    </xf>
    <xf numFmtId="0" fontId="8" fillId="34" borderId="43" xfId="0" applyFont="1" applyFill="1" applyBorder="1" applyAlignment="1">
      <alignment horizontal="center" wrapText="1" shrinkToFit="1"/>
    </xf>
    <xf numFmtId="0" fontId="8" fillId="34" borderId="63" xfId="0" applyFont="1" applyFill="1" applyBorder="1" applyAlignment="1">
      <alignment horizontal="center" wrapText="1" shrinkToFit="1"/>
    </xf>
    <xf numFmtId="0" fontId="8" fillId="6" borderId="89" xfId="0" applyFont="1" applyFill="1" applyBorder="1" applyAlignment="1" applyProtection="1">
      <alignment horizontal="center" wrapText="1"/>
      <protection hidden="1"/>
    </xf>
    <xf numFmtId="0" fontId="8" fillId="6" borderId="43" xfId="0" applyFont="1" applyFill="1" applyBorder="1" applyAlignment="1" applyProtection="1">
      <alignment horizontal="center" wrapText="1"/>
      <protection hidden="1"/>
    </xf>
    <xf numFmtId="0" fontId="8" fillId="6" borderId="63" xfId="0" applyFont="1" applyFill="1" applyBorder="1" applyAlignment="1" applyProtection="1">
      <alignment horizontal="center" wrapText="1"/>
      <protection hidden="1"/>
    </xf>
    <xf numFmtId="0" fontId="8" fillId="33" borderId="72" xfId="0" applyFont="1" applyFill="1" applyBorder="1" applyAlignment="1">
      <alignment horizontal="center"/>
    </xf>
    <xf numFmtId="0" fontId="8" fillId="33" borderId="0" xfId="0" applyFont="1" applyFill="1" applyBorder="1" applyAlignment="1">
      <alignment horizontal="center"/>
    </xf>
    <xf numFmtId="0" fontId="8" fillId="33" borderId="44" xfId="0" applyFont="1" applyFill="1" applyBorder="1" applyAlignment="1">
      <alignment horizontal="center"/>
    </xf>
    <xf numFmtId="0" fontId="19" fillId="0" borderId="3" xfId="2" applyFont="1" applyBorder="1" applyAlignment="1">
      <alignment horizontal="center"/>
    </xf>
    <xf numFmtId="0" fontId="8" fillId="32" borderId="72" xfId="0" applyFont="1" applyFill="1" applyBorder="1" applyAlignment="1" applyProtection="1">
      <alignment horizontal="center" wrapText="1"/>
      <protection hidden="1"/>
    </xf>
    <xf numFmtId="0" fontId="8" fillId="32" borderId="0" xfId="0" applyFont="1" applyFill="1" applyBorder="1" applyAlignment="1" applyProtection="1">
      <alignment horizontal="center" wrapText="1"/>
      <protection hidden="1"/>
    </xf>
    <xf numFmtId="0" fontId="8" fillId="32" borderId="44" xfId="0" applyFont="1" applyFill="1" applyBorder="1" applyAlignment="1" applyProtection="1">
      <alignment horizontal="center" wrapText="1"/>
      <protection hidden="1"/>
    </xf>
    <xf numFmtId="0" fontId="8" fillId="6" borderId="1" xfId="0" applyFont="1" applyFill="1" applyBorder="1" applyAlignment="1">
      <alignment horizontal="center" wrapText="1" shrinkToFit="1"/>
    </xf>
    <xf numFmtId="0" fontId="8" fillId="6" borderId="2" xfId="0" applyFont="1" applyFill="1" applyBorder="1" applyAlignment="1">
      <alignment horizontal="center" wrapText="1" shrinkToFit="1"/>
    </xf>
    <xf numFmtId="0" fontId="8" fillId="6" borderId="4" xfId="0" applyFont="1" applyFill="1" applyBorder="1" applyAlignment="1">
      <alignment horizontal="center" wrapText="1" shrinkToFit="1"/>
    </xf>
    <xf numFmtId="0" fontId="8" fillId="12" borderId="89" xfId="0" applyFont="1" applyFill="1" applyBorder="1" applyAlignment="1">
      <alignment horizontal="center" wrapText="1" shrinkToFit="1"/>
    </xf>
    <xf numFmtId="0" fontId="8" fillId="12" borderId="43" xfId="0" applyFont="1" applyFill="1" applyBorder="1" applyAlignment="1">
      <alignment horizontal="center" wrapText="1" shrinkToFit="1"/>
    </xf>
    <xf numFmtId="0" fontId="8" fillId="12" borderId="63" xfId="0" applyFont="1" applyFill="1" applyBorder="1" applyAlignment="1">
      <alignment horizontal="center" wrapText="1" shrinkToFit="1"/>
    </xf>
    <xf numFmtId="0" fontId="8" fillId="25" borderId="1" xfId="0" applyFont="1" applyFill="1" applyBorder="1" applyAlignment="1">
      <alignment horizontal="center" wrapText="1" shrinkToFit="1"/>
    </xf>
    <xf numFmtId="0" fontId="8" fillId="25" borderId="2" xfId="0" applyFont="1" applyFill="1" applyBorder="1" applyAlignment="1">
      <alignment horizontal="center" wrapText="1" shrinkToFit="1"/>
    </xf>
    <xf numFmtId="0" fontId="8" fillId="25" borderId="4" xfId="0" applyFont="1" applyFill="1" applyBorder="1" applyAlignment="1">
      <alignment horizontal="center" wrapText="1" shrinkToFit="1"/>
    </xf>
    <xf numFmtId="0" fontId="8" fillId="26" borderId="89" xfId="0" applyFont="1" applyFill="1" applyBorder="1" applyAlignment="1">
      <alignment horizontal="center" wrapText="1" shrinkToFit="1"/>
    </xf>
    <xf numFmtId="0" fontId="8" fillId="26" borderId="43" xfId="0" applyFont="1" applyFill="1" applyBorder="1" applyAlignment="1">
      <alignment horizontal="center" wrapText="1" shrinkToFit="1"/>
    </xf>
    <xf numFmtId="0" fontId="8" fillId="26" borderId="63" xfId="0" applyFont="1" applyFill="1" applyBorder="1" applyAlignment="1">
      <alignment horizontal="center" wrapText="1" shrinkToFit="1"/>
    </xf>
    <xf numFmtId="0" fontId="8" fillId="27" borderId="35" xfId="0" applyFont="1" applyFill="1" applyBorder="1" applyAlignment="1">
      <alignment horizontal="center" wrapText="1" shrinkToFit="1"/>
    </xf>
    <xf numFmtId="0" fontId="8" fillId="27" borderId="36" xfId="0" applyFont="1" applyFill="1" applyBorder="1" applyAlignment="1">
      <alignment horizontal="center" wrapText="1" shrinkToFit="1"/>
    </xf>
    <xf numFmtId="0" fontId="8" fillId="27" borderId="37" xfId="0" applyFont="1" applyFill="1" applyBorder="1" applyAlignment="1">
      <alignment horizontal="center" wrapText="1" shrinkToFit="1"/>
    </xf>
    <xf numFmtId="0" fontId="8" fillId="28" borderId="35" xfId="0" applyFont="1" applyFill="1" applyBorder="1" applyAlignment="1" applyProtection="1">
      <alignment horizontal="center" wrapText="1"/>
      <protection hidden="1"/>
    </xf>
    <xf numFmtId="0" fontId="8" fillId="28" borderId="36" xfId="0" applyFont="1" applyFill="1" applyBorder="1" applyAlignment="1" applyProtection="1">
      <alignment horizontal="center" wrapText="1"/>
      <protection hidden="1"/>
    </xf>
    <xf numFmtId="0" fontId="8" fillId="28" borderId="37" xfId="0" applyFont="1" applyFill="1" applyBorder="1" applyAlignment="1" applyProtection="1">
      <alignment horizontal="center" wrapText="1"/>
      <protection hidden="1"/>
    </xf>
    <xf numFmtId="0" fontId="8" fillId="16" borderId="35" xfId="0" applyFont="1" applyFill="1" applyBorder="1" applyAlignment="1" applyProtection="1">
      <alignment horizontal="center" wrapText="1"/>
      <protection hidden="1"/>
    </xf>
    <xf numFmtId="0" fontId="8" fillId="16" borderId="36" xfId="0" applyFont="1" applyFill="1" applyBorder="1" applyAlignment="1" applyProtection="1">
      <alignment horizontal="center" wrapText="1"/>
      <protection hidden="1"/>
    </xf>
    <xf numFmtId="0" fontId="8" fillId="16" borderId="37" xfId="0" applyFont="1" applyFill="1" applyBorder="1" applyAlignment="1" applyProtection="1">
      <alignment horizontal="center" wrapText="1"/>
      <protection hidden="1"/>
    </xf>
    <xf numFmtId="0" fontId="19" fillId="0" borderId="35" xfId="2" applyFont="1" applyFill="1" applyBorder="1" applyAlignment="1">
      <alignment horizontal="center"/>
    </xf>
    <xf numFmtId="0" fontId="19" fillId="0" borderId="36" xfId="2" applyFont="1" applyFill="1" applyBorder="1" applyAlignment="1">
      <alignment horizontal="center"/>
    </xf>
    <xf numFmtId="0" fontId="19" fillId="0" borderId="37" xfId="2" applyFont="1" applyFill="1" applyBorder="1" applyAlignment="1">
      <alignment horizontal="center"/>
    </xf>
    <xf numFmtId="0" fontId="8" fillId="16" borderId="89" xfId="0" applyFont="1" applyFill="1" applyBorder="1" applyAlignment="1">
      <alignment horizontal="center" wrapText="1" shrinkToFit="1"/>
    </xf>
    <xf numFmtId="0" fontId="8" fillId="16" borderId="43" xfId="0" applyFont="1" applyFill="1" applyBorder="1" applyAlignment="1">
      <alignment horizontal="center" wrapText="1" shrinkToFit="1"/>
    </xf>
    <xf numFmtId="0" fontId="8" fillId="16" borderId="63" xfId="0" applyFont="1" applyFill="1" applyBorder="1" applyAlignment="1">
      <alignment horizontal="center" wrapText="1" shrinkToFit="1"/>
    </xf>
    <xf numFmtId="17" fontId="7" fillId="51" borderId="3" xfId="0" applyNumberFormat="1" applyFont="1" applyFill="1" applyBorder="1" applyAlignment="1" applyProtection="1">
      <alignment horizontal="center" vertical="center"/>
    </xf>
    <xf numFmtId="17" fontId="7" fillId="17" borderId="3" xfId="0" applyNumberFormat="1" applyFont="1" applyFill="1" applyBorder="1" applyAlignment="1" applyProtection="1">
      <alignment horizontal="center" vertical="center"/>
    </xf>
    <xf numFmtId="17" fontId="7" fillId="10" borderId="3" xfId="0" applyNumberFormat="1" applyFont="1" applyFill="1" applyBorder="1" applyAlignment="1" applyProtection="1">
      <alignment horizontal="center" vertical="center"/>
    </xf>
    <xf numFmtId="17" fontId="7" fillId="18" borderId="3" xfId="0" applyNumberFormat="1" applyFont="1" applyFill="1" applyBorder="1" applyAlignment="1" applyProtection="1">
      <alignment horizontal="center" vertical="center"/>
    </xf>
    <xf numFmtId="0" fontId="8" fillId="50" borderId="49" xfId="0" applyFont="1" applyFill="1" applyBorder="1" applyAlignment="1">
      <alignment horizontal="center"/>
    </xf>
    <xf numFmtId="0" fontId="8" fillId="50" borderId="0" xfId="0" applyFont="1" applyFill="1" applyBorder="1" applyAlignment="1">
      <alignment horizontal="center"/>
    </xf>
    <xf numFmtId="0" fontId="8" fillId="48" borderId="31" xfId="0" applyFont="1" applyFill="1" applyBorder="1" applyAlignment="1">
      <alignment horizontal="center"/>
    </xf>
    <xf numFmtId="0" fontId="8" fillId="48" borderId="41" xfId="0" applyFont="1" applyFill="1" applyBorder="1" applyAlignment="1">
      <alignment horizontal="center"/>
    </xf>
    <xf numFmtId="0" fontId="8" fillId="48" borderId="42" xfId="0" applyFont="1" applyFill="1" applyBorder="1" applyAlignment="1">
      <alignment horizontal="center"/>
    </xf>
    <xf numFmtId="0" fontId="8" fillId="3" borderId="49" xfId="0" applyFont="1" applyFill="1" applyBorder="1" applyAlignment="1" applyProtection="1">
      <alignment horizontal="center"/>
      <protection locked="0"/>
    </xf>
    <xf numFmtId="0" fontId="8" fillId="3" borderId="0" xfId="0" applyFont="1" applyFill="1" applyBorder="1" applyAlignment="1" applyProtection="1">
      <alignment horizontal="center"/>
      <protection locked="0"/>
    </xf>
    <xf numFmtId="0" fontId="8" fillId="3" borderId="50" xfId="0" applyFont="1" applyFill="1" applyBorder="1" applyAlignment="1" applyProtection="1">
      <alignment horizontal="center"/>
      <protection locked="0"/>
    </xf>
    <xf numFmtId="0" fontId="21" fillId="0" borderId="0" xfId="0" applyFont="1" applyBorder="1" applyAlignment="1" applyProtection="1">
      <alignment horizontal="center"/>
      <protection locked="0"/>
    </xf>
    <xf numFmtId="0" fontId="8" fillId="48" borderId="31" xfId="0" applyFont="1" applyFill="1" applyBorder="1" applyAlignment="1" applyProtection="1">
      <alignment horizontal="center"/>
      <protection locked="0"/>
    </xf>
    <xf numFmtId="0" fontId="8" fillId="48" borderId="41" xfId="0" applyFont="1" applyFill="1" applyBorder="1" applyAlignment="1" applyProtection="1">
      <alignment horizontal="center"/>
      <protection locked="0"/>
    </xf>
    <xf numFmtId="0" fontId="8" fillId="48" borderId="42" xfId="0" applyFont="1" applyFill="1" applyBorder="1" applyAlignment="1" applyProtection="1">
      <alignment horizontal="center"/>
      <protection locked="0"/>
    </xf>
    <xf numFmtId="0" fontId="8" fillId="49" borderId="31" xfId="0" applyFont="1" applyFill="1" applyBorder="1" applyAlignment="1" applyProtection="1">
      <alignment horizontal="center"/>
      <protection locked="0"/>
    </xf>
    <xf numFmtId="0" fontId="8" fillId="49" borderId="41" xfId="0" applyFont="1" applyFill="1" applyBorder="1" applyAlignment="1" applyProtection="1">
      <alignment horizontal="center"/>
      <protection locked="0"/>
    </xf>
    <xf numFmtId="0" fontId="8" fillId="49" borderId="42" xfId="0" applyFont="1" applyFill="1" applyBorder="1" applyAlignment="1" applyProtection="1">
      <alignment horizontal="center"/>
      <protection locked="0"/>
    </xf>
    <xf numFmtId="0" fontId="8" fillId="16" borderId="35" xfId="0" applyFont="1" applyFill="1" applyBorder="1" applyAlignment="1">
      <alignment horizontal="center"/>
    </xf>
    <xf numFmtId="0" fontId="8" fillId="16" borderId="36" xfId="0" applyFont="1" applyFill="1" applyBorder="1" applyAlignment="1">
      <alignment horizontal="center"/>
    </xf>
    <xf numFmtId="0" fontId="8" fillId="16" borderId="37" xfId="0" applyFont="1" applyFill="1" applyBorder="1" applyAlignment="1">
      <alignment horizontal="center"/>
    </xf>
    <xf numFmtId="0" fontId="8" fillId="16" borderId="3" xfId="0" applyFont="1" applyFill="1" applyBorder="1" applyAlignment="1">
      <alignment horizontal="center"/>
    </xf>
    <xf numFmtId="0" fontId="8" fillId="3" borderId="31" xfId="0" applyFont="1" applyFill="1" applyBorder="1" applyAlignment="1">
      <alignment horizontal="center"/>
    </xf>
    <xf numFmtId="0" fontId="8" fillId="3" borderId="41" xfId="0" applyFont="1" applyFill="1" applyBorder="1" applyAlignment="1">
      <alignment horizontal="center"/>
    </xf>
    <xf numFmtId="0" fontId="8" fillId="3" borderId="42" xfId="0" applyFont="1" applyFill="1" applyBorder="1" applyAlignment="1">
      <alignment horizontal="center"/>
    </xf>
    <xf numFmtId="0" fontId="23" fillId="53" borderId="5" xfId="0" applyFont="1" applyFill="1" applyBorder="1" applyAlignment="1" applyProtection="1">
      <alignment horizontal="center" vertical="center" wrapText="1"/>
    </xf>
    <xf numFmtId="0" fontId="23" fillId="53" borderId="6" xfId="0" applyFont="1" applyFill="1" applyBorder="1" applyAlignment="1" applyProtection="1">
      <alignment horizontal="center" vertical="center" wrapText="1"/>
    </xf>
    <xf numFmtId="0" fontId="7" fillId="51" borderId="35" xfId="0" applyFont="1" applyFill="1" applyBorder="1" applyAlignment="1">
      <alignment horizontal="center"/>
    </xf>
    <xf numFmtId="0" fontId="7" fillId="51" borderId="36" xfId="0" applyFont="1" applyFill="1" applyBorder="1" applyAlignment="1">
      <alignment horizontal="center"/>
    </xf>
    <xf numFmtId="0" fontId="7" fillId="51" borderId="37" xfId="0" applyFont="1" applyFill="1" applyBorder="1" applyAlignment="1">
      <alignment horizontal="center"/>
    </xf>
    <xf numFmtId="0" fontId="23" fillId="53" borderId="3" xfId="0" applyFont="1" applyFill="1" applyBorder="1" applyAlignment="1" applyProtection="1">
      <alignment horizontal="center" vertical="center" wrapText="1"/>
    </xf>
    <xf numFmtId="2" fontId="23" fillId="53" borderId="5" xfId="0" applyNumberFormat="1" applyFont="1" applyFill="1" applyBorder="1" applyAlignment="1" applyProtection="1">
      <alignment horizontal="center" vertical="center" wrapText="1"/>
    </xf>
    <xf numFmtId="2" fontId="23" fillId="53" borderId="6" xfId="0" applyNumberFormat="1" applyFont="1" applyFill="1" applyBorder="1" applyAlignment="1" applyProtection="1">
      <alignment horizontal="center" vertical="center" wrapText="1"/>
    </xf>
    <xf numFmtId="49" fontId="23" fillId="53" borderId="5" xfId="0" applyNumberFormat="1" applyFont="1" applyFill="1" applyBorder="1" applyAlignment="1" applyProtection="1">
      <alignment horizontal="center" vertical="center" wrapText="1"/>
    </xf>
    <xf numFmtId="49" fontId="23" fillId="53" borderId="6" xfId="0" applyNumberFormat="1" applyFont="1" applyFill="1" applyBorder="1" applyAlignment="1" applyProtection="1">
      <alignment horizontal="center" vertical="center" wrapText="1"/>
    </xf>
    <xf numFmtId="43" fontId="23" fillId="53" borderId="5" xfId="0" applyNumberFormat="1" applyFont="1" applyFill="1" applyBorder="1" applyAlignment="1" applyProtection="1">
      <alignment horizontal="center" vertical="center" wrapText="1"/>
    </xf>
    <xf numFmtId="43" fontId="23" fillId="53" borderId="6" xfId="0" applyNumberFormat="1" applyFont="1" applyFill="1" applyBorder="1" applyAlignment="1" applyProtection="1">
      <alignment horizontal="center" vertical="center" wrapText="1"/>
    </xf>
    <xf numFmtId="43" fontId="23" fillId="53" borderId="3" xfId="0" applyNumberFormat="1" applyFont="1" applyFill="1" applyBorder="1" applyAlignment="1" applyProtection="1">
      <alignment horizontal="center" vertical="center" wrapText="1"/>
    </xf>
    <xf numFmtId="17" fontId="7" fillId="51" borderId="38" xfId="0" applyNumberFormat="1" applyFont="1" applyFill="1" applyBorder="1" applyAlignment="1">
      <alignment horizontal="center"/>
    </xf>
    <xf numFmtId="17" fontId="7" fillId="51" borderId="0" xfId="0" applyNumberFormat="1" applyFont="1" applyFill="1" applyBorder="1" applyAlignment="1">
      <alignment horizontal="center"/>
    </xf>
    <xf numFmtId="17" fontId="7" fillId="51" borderId="68" xfId="0" applyNumberFormat="1" applyFont="1" applyFill="1" applyBorder="1" applyAlignment="1">
      <alignment horizontal="center"/>
    </xf>
    <xf numFmtId="17" fontId="7" fillId="3" borderId="8" xfId="0" applyNumberFormat="1" applyFont="1" applyFill="1" applyBorder="1" applyAlignment="1">
      <alignment horizontal="center"/>
    </xf>
    <xf numFmtId="17" fontId="7" fillId="3" borderId="38" xfId="0" applyNumberFormat="1" applyFont="1" applyFill="1" applyBorder="1" applyAlignment="1">
      <alignment horizontal="center"/>
    </xf>
    <xf numFmtId="17" fontId="7" fillId="34" borderId="38" xfId="0" applyNumberFormat="1" applyFont="1" applyFill="1" applyBorder="1" applyAlignment="1">
      <alignment horizontal="center"/>
    </xf>
    <xf numFmtId="17" fontId="7" fillId="34" borderId="0" xfId="0" applyNumberFormat="1" applyFont="1" applyFill="1" applyBorder="1" applyAlignment="1">
      <alignment horizontal="center"/>
    </xf>
    <xf numFmtId="17" fontId="7" fillId="34" borderId="68" xfId="0" applyNumberFormat="1" applyFont="1" applyFill="1" applyBorder="1" applyAlignment="1">
      <alignment horizontal="center"/>
    </xf>
    <xf numFmtId="17" fontId="7" fillId="13" borderId="38" xfId="0" applyNumberFormat="1" applyFont="1" applyFill="1" applyBorder="1" applyAlignment="1">
      <alignment horizontal="center"/>
    </xf>
    <xf numFmtId="17" fontId="7" fillId="13" borderId="0" xfId="0" applyNumberFormat="1" applyFont="1" applyFill="1" applyBorder="1" applyAlignment="1">
      <alignment horizontal="center"/>
    </xf>
    <xf numFmtId="17" fontId="7" fillId="13" borderId="68" xfId="0" applyNumberFormat="1" applyFont="1" applyFill="1" applyBorder="1" applyAlignment="1">
      <alignment horizontal="center"/>
    </xf>
    <xf numFmtId="17" fontId="7" fillId="3" borderId="0" xfId="0" applyNumberFormat="1" applyFont="1" applyFill="1" applyBorder="1" applyAlignment="1">
      <alignment horizontal="center"/>
    </xf>
    <xf numFmtId="17" fontId="7" fillId="3" borderId="68" xfId="0" applyNumberFormat="1" applyFont="1" applyFill="1" applyBorder="1" applyAlignment="1">
      <alignment horizontal="center"/>
    </xf>
    <xf numFmtId="17" fontId="7" fillId="16" borderId="38" xfId="0" applyNumberFormat="1" applyFont="1" applyFill="1" applyBorder="1" applyAlignment="1">
      <alignment horizontal="center"/>
    </xf>
    <xf numFmtId="17" fontId="7" fillId="16" borderId="0" xfId="0" applyNumberFormat="1" applyFont="1" applyFill="1" applyBorder="1" applyAlignment="1">
      <alignment horizontal="center"/>
    </xf>
    <xf numFmtId="17" fontId="7" fillId="16" borderId="68" xfId="0" applyNumberFormat="1" applyFont="1" applyFill="1" applyBorder="1" applyAlignment="1">
      <alignment horizontal="center"/>
    </xf>
    <xf numFmtId="0" fontId="23" fillId="56" borderId="0" xfId="0" applyFont="1" applyFill="1" applyAlignment="1">
      <alignment horizontal="center"/>
    </xf>
    <xf numFmtId="166" fontId="12" fillId="16" borderId="5" xfId="1" applyNumberFormat="1" applyFont="1" applyFill="1" applyBorder="1" applyAlignment="1">
      <alignment horizontal="center"/>
    </xf>
    <xf numFmtId="0" fontId="23" fillId="57" borderId="5" xfId="0" applyFont="1" applyFill="1" applyBorder="1" applyAlignment="1">
      <alignment horizontal="center"/>
    </xf>
    <xf numFmtId="0" fontId="8" fillId="7" borderId="14" xfId="0" applyFont="1" applyFill="1" applyBorder="1" applyAlignment="1">
      <alignment horizontal="center"/>
    </xf>
    <xf numFmtId="0" fontId="19" fillId="0" borderId="9" xfId="0" applyFont="1" applyFill="1" applyBorder="1" applyAlignment="1" applyProtection="1">
      <alignment horizontal="center"/>
      <protection hidden="1"/>
    </xf>
    <xf numFmtId="0" fontId="19" fillId="0" borderId="10" xfId="0" applyFont="1" applyFill="1" applyBorder="1" applyAlignment="1" applyProtection="1">
      <alignment horizontal="center"/>
      <protection hidden="1"/>
    </xf>
    <xf numFmtId="0" fontId="19" fillId="0" borderId="11" xfId="0" applyFont="1" applyFill="1" applyBorder="1" applyAlignment="1" applyProtection="1">
      <alignment horizontal="center"/>
      <protection hidden="1"/>
    </xf>
    <xf numFmtId="0" fontId="8" fillId="6" borderId="12" xfId="0" applyFont="1" applyFill="1" applyBorder="1" applyAlignment="1">
      <alignment horizontal="center" vertical="center" wrapText="1" shrinkToFit="1"/>
    </xf>
    <xf numFmtId="0" fontId="8" fillId="6" borderId="13" xfId="0" applyFont="1" applyFill="1" applyBorder="1" applyAlignment="1">
      <alignment horizontal="center" vertical="center" wrapText="1" shrinkToFi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3" xfId="0" applyFont="1" applyFill="1" applyBorder="1" applyAlignment="1">
      <alignment horizontal="center" vertical="center"/>
    </xf>
    <xf numFmtId="0" fontId="8" fillId="6" borderId="55" xfId="0" applyFont="1" applyFill="1" applyBorder="1" applyAlignment="1">
      <alignment horizontal="center" vertical="center" wrapText="1" shrinkToFit="1"/>
    </xf>
    <xf numFmtId="0" fontId="8" fillId="6" borderId="56" xfId="0" applyFont="1" applyFill="1" applyBorder="1" applyAlignment="1">
      <alignment horizontal="center" vertical="center" wrapText="1" shrinkToFit="1"/>
    </xf>
    <xf numFmtId="0" fontId="8" fillId="6" borderId="55" xfId="0" applyFont="1" applyFill="1" applyBorder="1" applyAlignment="1">
      <alignment horizontal="center" vertical="center" wrapText="1"/>
    </xf>
    <xf numFmtId="0" fontId="8" fillId="6" borderId="56" xfId="0" applyFont="1" applyFill="1" applyBorder="1" applyAlignment="1">
      <alignment horizontal="center" vertical="center"/>
    </xf>
    <xf numFmtId="0" fontId="7" fillId="3" borderId="9" xfId="0" applyFont="1" applyFill="1" applyBorder="1" applyAlignment="1">
      <alignment horizontal="center"/>
    </xf>
    <xf numFmtId="0" fontId="7" fillId="3" borderId="10" xfId="0" applyFont="1" applyFill="1" applyBorder="1" applyAlignment="1">
      <alignment horizontal="center"/>
    </xf>
    <xf numFmtId="0" fontId="7" fillId="3" borderId="11" xfId="0" applyFont="1" applyFill="1" applyBorder="1" applyAlignment="1">
      <alignment horizontal="center"/>
    </xf>
  </cellXfs>
  <cellStyles count="4">
    <cellStyle name="Comma" xfId="1" builtinId="3"/>
    <cellStyle name="Hyperlink" xfId="3" builtinId="8"/>
    <cellStyle name="Normal" xfId="0" builtinId="0"/>
    <cellStyle name="Normal 3" xfId="2"/>
  </cellStyles>
  <dxfs count="8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B51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ankar\Desktop\GSTR-RETURN%20YEARLY%201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hankar\Desktop\SHANKAR%20GST%20FORMA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hankar\Desktop\GSTR-1%20&amp;%20GSTR-3B%20APRIL%2019%20FINA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TR-1 "/>
      <sheetName val="GSTR-3B "/>
      <sheetName val="RMC"/>
      <sheetName val="GST PAYMENT"/>
      <sheetName val="GST RECO"/>
      <sheetName val="SALES SUMMERY"/>
      <sheetName val="SALE HSN SUM"/>
      <sheetName val="PURCHASE SUMMERY"/>
      <sheetName val="SALE SUM PARTYWISE"/>
      <sheetName val="SALE SUM DN PARTY"/>
      <sheetName val="SALE SUM PARTY CN"/>
      <sheetName val="SALE NET PARTY SUM"/>
      <sheetName val="3.1(A)SALE"/>
      <sheetName val="3.1(A)SALE DN"/>
      <sheetName val="3.1(A)SALE CN"/>
      <sheetName val="3.1(A)SALE ADV"/>
      <sheetName val="3.1(A)SALE AMD+-"/>
      <sheetName val="3.1(D) SALE RMC"/>
      <sheetName val="4(A)(5)PUR "/>
      <sheetName val="4(A)(5)PUR DN "/>
      <sheetName val="4(A)(5) PUR CN "/>
      <sheetName val="4(A)(5) PUR AMD+-"/>
      <sheetName val="PUR SUM PARTY"/>
      <sheetName val="PUR SUM DN PARTY"/>
      <sheetName val="PUR SUM CN PARTY "/>
      <sheetName val="PUR SUM NET PARTY"/>
      <sheetName val="RATEWISE"/>
      <sheetName val="4(B)(1&amp;2) RULE 42&amp;43"/>
      <sheetName val="4(D)(1&amp;2)SEC 17(5)"/>
      <sheetName val="RECO 3B&amp; 2A"/>
      <sheetName val="MASTER SALE PARTY &amp; HSN "/>
      <sheetName val="PUR HSN SUM"/>
      <sheetName val="MASTER PURCHASE PARTY &amp; HSN "/>
      <sheetName val="SALE PARTY 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
      <sheetName val="SALE WORKING"/>
      <sheetName val="RET-GSTR-9"/>
      <sheetName val="RET-GSTR-1 NEW"/>
      <sheetName val="SALE HSN SUMMERY"/>
      <sheetName val="SALE-RMC"/>
      <sheetName val="SALE MISSING DOC"/>
      <sheetName val="PURCHASE"/>
      <sheetName val="PURCHASE ANNEX-2"/>
      <sheetName val="RATEWISE SALE &amp; PURCHASE"/>
      <sheetName val="CONSOLATED SALE &amp; PURCHASE"/>
      <sheetName val="PURCHASE-RMC"/>
      <sheetName val="RULE 37,39,42&amp;43"/>
      <sheetName val="SEC (17)"/>
      <sheetName val="PURCHASE WORKING"/>
      <sheetName val="RET-GSTR-1 OLD"/>
      <sheetName val="RET-GSTR-3B"/>
      <sheetName val="PAYMENT GST &amp;RMC"/>
      <sheetName val="RECO-GST-1,3B,2A"/>
      <sheetName val="GSTR-2A"/>
      <sheetName val="PUR-PARTYWISE"/>
      <sheetName val="2A-PARTYWISE"/>
      <sheetName val="SUMMERY PUR &amp; 2A"/>
      <sheetName val="SALE PARTYWISE"/>
      <sheetName val="PUR-HSN SUMMERY"/>
      <sheetName val="GSTR-1 SUMMERY"/>
      <sheetName val="MASTER SALE PUR TYPE"/>
      <sheetName val="SALE HSN MASTER"/>
      <sheetName val="SALE PARTY MASTER"/>
      <sheetName val="PUR-PARTY MASTER"/>
      <sheetName val="PUR-HSN 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B4" t="str">
            <v>JAPTECH INDUSTRIES</v>
          </cell>
          <cell r="C4" t="str">
            <v>27AABFJ4217F1ZP</v>
          </cell>
          <cell r="D4" t="str">
            <v>27-Maharashatra</v>
          </cell>
          <cell r="E4" t="str">
            <v>Local</v>
          </cell>
        </row>
        <row r="5">
          <cell r="B5" t="str">
            <v>ALPHA FOAM LTD.</v>
          </cell>
          <cell r="C5" t="str">
            <v>27AACCA4196J1ZG</v>
          </cell>
          <cell r="D5" t="str">
            <v>27-Maharashatra</v>
          </cell>
          <cell r="E5" t="str">
            <v>Local</v>
          </cell>
        </row>
        <row r="6">
          <cell r="B6" t="str">
            <v>AUTOFINA</v>
          </cell>
          <cell r="C6" t="str">
            <v>27AASFA7303G1ZE</v>
          </cell>
          <cell r="D6" t="str">
            <v>27-Maharashatra</v>
          </cell>
          <cell r="E6" t="str">
            <v>Local</v>
          </cell>
        </row>
        <row r="7">
          <cell r="B7" t="str">
            <v>BAMBOO INDIA</v>
          </cell>
          <cell r="C7" t="str">
            <v>27BBVPS2447C1ZA</v>
          </cell>
          <cell r="D7" t="str">
            <v>27-Maharashatra</v>
          </cell>
          <cell r="E7" t="str">
            <v>Local</v>
          </cell>
        </row>
        <row r="8">
          <cell r="B8" t="str">
            <v>BAJAJ ELECTRICALS LIMITED (CHAKAN)</v>
          </cell>
          <cell r="C8" t="str">
            <v>27AAACB2484Q1Z8</v>
          </cell>
          <cell r="D8" t="str">
            <v>27-Maharashatra</v>
          </cell>
          <cell r="E8" t="str">
            <v>Local</v>
          </cell>
        </row>
        <row r="9">
          <cell r="B9" t="str">
            <v>HI-TECH SERVICES</v>
          </cell>
          <cell r="C9" t="str">
            <v>27AAQPW0710P1Z1</v>
          </cell>
          <cell r="D9" t="str">
            <v>27-Maharashatra</v>
          </cell>
          <cell r="E9" t="str">
            <v>Local</v>
          </cell>
        </row>
        <row r="10">
          <cell r="B10" t="str">
            <v>LUMAX ANCILLARY LIMITED</v>
          </cell>
          <cell r="C10" t="str">
            <v>27AAACD2571J1ZO</v>
          </cell>
          <cell r="D10" t="str">
            <v>27-Maharashatra</v>
          </cell>
          <cell r="E10" t="str">
            <v>Local</v>
          </cell>
        </row>
        <row r="11">
          <cell r="B11" t="str">
            <v>LUMAX AUTO TECHNOLOGIES LTD.</v>
          </cell>
          <cell r="C11" t="str">
            <v>27AAACD4090Q1Z8</v>
          </cell>
          <cell r="D11" t="str">
            <v>27-Maharashatra</v>
          </cell>
          <cell r="E11" t="str">
            <v>Local</v>
          </cell>
        </row>
        <row r="12">
          <cell r="B12" t="str">
            <v>MIGMA PACKTRON</v>
          </cell>
          <cell r="C12" t="str">
            <v>23AXLPP2030P1Z9</v>
          </cell>
          <cell r="D12" t="str">
            <v>23-Madhya Pradesh</v>
          </cell>
          <cell r="E12" t="str">
            <v>Oms</v>
          </cell>
        </row>
        <row r="13">
          <cell r="B13" t="str">
            <v>MITTAL PRECISION AUTO COMPS PVT LTD,</v>
          </cell>
          <cell r="C13" t="str">
            <v>27AAECM8871A1ZF</v>
          </cell>
          <cell r="D13" t="str">
            <v>27-Maharashatra</v>
          </cell>
          <cell r="E13" t="str">
            <v>Local</v>
          </cell>
        </row>
        <row r="14">
          <cell r="B14" t="str">
            <v>PARMS DESING PVT LTD,</v>
          </cell>
          <cell r="C14" t="str">
            <v>27AAICP7006Q1ZU</v>
          </cell>
          <cell r="D14" t="str">
            <v>27-Maharashatra</v>
          </cell>
          <cell r="E14" t="str">
            <v>Local</v>
          </cell>
        </row>
        <row r="15">
          <cell r="B15" t="str">
            <v>PROCOL LTD (FORMERLY PRICOL PUNE LTD)</v>
          </cell>
          <cell r="C15" t="str">
            <v>27AAGCP0139E1ZP</v>
          </cell>
          <cell r="D15" t="str">
            <v>27-Maharashatra</v>
          </cell>
          <cell r="E15" t="str">
            <v>Local</v>
          </cell>
        </row>
        <row r="16">
          <cell r="B16" t="str">
            <v>MINDA RINDER INDIA PVT LTD.</v>
          </cell>
          <cell r="C16" t="str">
            <v>27AAACH4211R1ZF</v>
          </cell>
          <cell r="D16" t="str">
            <v>27-Maharashatra</v>
          </cell>
          <cell r="E16" t="str">
            <v>Local</v>
          </cell>
        </row>
        <row r="17">
          <cell r="B17" t="str">
            <v>S M ROLLING WORKS</v>
          </cell>
          <cell r="C17" t="str">
            <v>27ABOFS4993B1ZQ</v>
          </cell>
          <cell r="D17" t="str">
            <v>27-Maharashatra</v>
          </cell>
          <cell r="E17" t="str">
            <v>Local</v>
          </cell>
        </row>
        <row r="18">
          <cell r="B18" t="str">
            <v>SAIKRUPA ENTERPRISES</v>
          </cell>
          <cell r="C18" t="str">
            <v>27ACAFS4100K1ZC</v>
          </cell>
          <cell r="D18" t="str">
            <v>27-Maharashatra</v>
          </cell>
          <cell r="E18" t="str">
            <v>Local</v>
          </cell>
        </row>
        <row r="19">
          <cell r="B19" t="str">
            <v>SHREE SAI COATERS</v>
          </cell>
          <cell r="C19" t="str">
            <v>27ACAFS7745J1ZP</v>
          </cell>
          <cell r="D19" t="str">
            <v>27-Maharashatra</v>
          </cell>
          <cell r="E19" t="str">
            <v>Local</v>
          </cell>
        </row>
        <row r="20">
          <cell r="B20" t="str">
            <v>SWASTIK ENGINEERING</v>
          </cell>
          <cell r="C20" t="str">
            <v>27BBVP5833N1ZP</v>
          </cell>
          <cell r="D20" t="str">
            <v>27-Maharashatra</v>
          </cell>
          <cell r="E20" t="str">
            <v>Local</v>
          </cell>
        </row>
        <row r="21">
          <cell r="B21" t="str">
            <v>TATA AUTOCOMP SYSTEMS LTD.(X1)</v>
          </cell>
          <cell r="C21" t="str">
            <v>27AAACT1848E1ZH</v>
          </cell>
          <cell r="D21" t="str">
            <v>27-Maharashatra</v>
          </cell>
          <cell r="E21" t="str">
            <v>Local</v>
          </cell>
        </row>
        <row r="22">
          <cell r="B22" t="str">
            <v>TATA FICOSA AUTOMOTVES LTD.</v>
          </cell>
          <cell r="C22" t="str">
            <v>27AAACT5755A1ZJ</v>
          </cell>
          <cell r="D22" t="str">
            <v>27-Maharashatra</v>
          </cell>
          <cell r="E22" t="str">
            <v>Local</v>
          </cell>
        </row>
        <row r="23">
          <cell r="B23" t="str">
            <v>TATA MOTORS LTD</v>
          </cell>
          <cell r="C23" t="str">
            <v>27AAACT2727Q1ZW</v>
          </cell>
          <cell r="D23" t="str">
            <v>27-Maharashatra</v>
          </cell>
          <cell r="E23" t="str">
            <v>Local</v>
          </cell>
        </row>
        <row r="24">
          <cell r="B24" t="str">
            <v>TECH-FORCE COMPOSITES PVT,LTD.,(INDORE)</v>
          </cell>
          <cell r="C24" t="str">
            <v>23AAACT6376M1ZZ</v>
          </cell>
          <cell r="D24" t="str">
            <v>23-Madhya Pradesh</v>
          </cell>
          <cell r="E24" t="str">
            <v>Oms</v>
          </cell>
        </row>
        <row r="25">
          <cell r="B25" t="str">
            <v>THE SUPREME INDUSTRIES LTD</v>
          </cell>
          <cell r="C25" t="str">
            <v>27AAACT1344F1ZO</v>
          </cell>
          <cell r="D25" t="str">
            <v>27-Maharashatra</v>
          </cell>
          <cell r="E25" t="str">
            <v>Local</v>
          </cell>
        </row>
        <row r="26">
          <cell r="B26" t="str">
            <v>TI METAL FORMING</v>
          </cell>
          <cell r="C26" t="str">
            <v>27AAACT1249H1ZG</v>
          </cell>
          <cell r="D26" t="str">
            <v>27-Maharashatra</v>
          </cell>
          <cell r="E26" t="str">
            <v>Local</v>
          </cell>
        </row>
        <row r="27">
          <cell r="B27" t="str">
            <v>TRW SUN STEERING WHEELS PRIVATE LTD,</v>
          </cell>
          <cell r="C27" t="str">
            <v>27AAFCS3981E1Z7</v>
          </cell>
          <cell r="D27" t="str">
            <v>27-Maharashatra</v>
          </cell>
          <cell r="E27" t="str">
            <v>Local</v>
          </cell>
        </row>
        <row r="28">
          <cell r="B28" t="str">
            <v>TUBE INVESTMENTS OF INDIA LTD</v>
          </cell>
          <cell r="C28" t="str">
            <v>27AADCT1398N1ZQ</v>
          </cell>
          <cell r="D28" t="str">
            <v>27-Maharashatra</v>
          </cell>
          <cell r="E28" t="str">
            <v>Local</v>
          </cell>
        </row>
        <row r="29">
          <cell r="B29" t="str">
            <v>VARROC ENGINEERING PVT LTD</v>
          </cell>
          <cell r="C29" t="str">
            <v>27AAACV2420J1ZI</v>
          </cell>
          <cell r="D29" t="str">
            <v>27-Maharashatra</v>
          </cell>
          <cell r="E29" t="str">
            <v>Local</v>
          </cell>
        </row>
        <row r="30">
          <cell r="B30" t="str">
            <v>VARROC ENGINEERING PVT LTD-VI</v>
          </cell>
          <cell r="C30" t="str">
            <v>27AAACV2420J1ZI</v>
          </cell>
          <cell r="D30" t="str">
            <v>27-Maharashatra</v>
          </cell>
          <cell r="E30" t="str">
            <v>Local</v>
          </cell>
        </row>
        <row r="31">
          <cell r="B31" t="str">
            <v>VARROC POLYMERS PVT.LTD.</v>
          </cell>
          <cell r="C31" t="str">
            <v>27AABCM2508F1ZU</v>
          </cell>
          <cell r="D31" t="str">
            <v>27-Maharashatra</v>
          </cell>
          <cell r="E31" t="str">
            <v>Local</v>
          </cell>
        </row>
        <row r="32">
          <cell r="B32" t="str">
            <v>VARROC POLYMERS PVT.LTD.(CK)</v>
          </cell>
          <cell r="C32" t="str">
            <v>27AABCM2508F1ZU</v>
          </cell>
          <cell r="D32" t="str">
            <v>27-Maharashatra</v>
          </cell>
          <cell r="E32" t="str">
            <v>Local</v>
          </cell>
        </row>
        <row r="33">
          <cell r="B33" t="str">
            <v>MANAS AUTOMOTIVE SYSTEMS LTD</v>
          </cell>
          <cell r="C33" t="str">
            <v>27AAGCM1258H1ZG</v>
          </cell>
          <cell r="D33" t="str">
            <v>27-Maharashatra</v>
          </cell>
          <cell r="E33" t="str">
            <v>Local</v>
          </cell>
        </row>
        <row r="34">
          <cell r="B34" t="str">
            <v>KINETIC GREEN ENERGYPOWER SOLUTION LTD</v>
          </cell>
          <cell r="C34" t="str">
            <v>27AAECK4013G1ZV</v>
          </cell>
          <cell r="D34" t="str">
            <v>27-Maharashatra</v>
          </cell>
          <cell r="E34" t="str">
            <v>Local</v>
          </cell>
        </row>
        <row r="35">
          <cell r="B35" t="str">
            <v>PUNE METAGRAPH</v>
          </cell>
          <cell r="C35" t="str">
            <v>27AABFP3834C1ZK</v>
          </cell>
          <cell r="D35" t="str">
            <v>27-Maharashatra</v>
          </cell>
          <cell r="E35" t="str">
            <v>Local</v>
          </cell>
        </row>
        <row r="36">
          <cell r="B36" t="str">
            <v>VE COMMERCIAL VEHICLES LTD</v>
          </cell>
          <cell r="C36" t="str">
            <v>23AABCE9378F1ZK</v>
          </cell>
          <cell r="D36" t="str">
            <v>23-Madhya Pradesh</v>
          </cell>
          <cell r="E36" t="str">
            <v>Oms</v>
          </cell>
        </row>
        <row r="37">
          <cell r="B37" t="str">
            <v>AUDI AUTOMOBILES</v>
          </cell>
          <cell r="C37" t="str">
            <v>23AAACB7112P2ZQ</v>
          </cell>
          <cell r="D37" t="str">
            <v>23-Madhya Pradesh</v>
          </cell>
          <cell r="E37" t="str">
            <v>Oms</v>
          </cell>
        </row>
        <row r="38">
          <cell r="B38" t="str">
            <v>Origa Lease Finance Pvt Ltd.</v>
          </cell>
          <cell r="C38" t="str">
            <v>27AABCO8467D1ZA</v>
          </cell>
          <cell r="D38" t="str">
            <v>27-Maharashatra</v>
          </cell>
          <cell r="E38" t="str">
            <v>Local</v>
          </cell>
        </row>
      </sheetData>
      <sheetData sheetId="29">
        <row r="4">
          <cell r="B4" t="str">
            <v>Aaltis Lighting Solutions</v>
          </cell>
          <cell r="C4" t="str">
            <v>27ALMPJ2823M1ZR</v>
          </cell>
          <cell r="D4" t="str">
            <v>27-Maharashatra</v>
          </cell>
          <cell r="E4" t="str">
            <v>Local</v>
          </cell>
        </row>
        <row r="5">
          <cell r="B5" t="str">
            <v>Abdulhusain Abdulally Hakim</v>
          </cell>
          <cell r="C5" t="str">
            <v>27AADFA5996L1ZV</v>
          </cell>
          <cell r="D5" t="str">
            <v>27-Maharashatra</v>
          </cell>
          <cell r="E5" t="str">
            <v>Local</v>
          </cell>
        </row>
        <row r="6">
          <cell r="B6" t="str">
            <v>ABS Certifictions</v>
          </cell>
          <cell r="C6" t="str">
            <v>27AECPD3419C1Z5</v>
          </cell>
          <cell r="D6" t="str">
            <v>27-Maharashatra</v>
          </cell>
          <cell r="E6" t="str">
            <v>Local</v>
          </cell>
        </row>
        <row r="7">
          <cell r="B7" t="str">
            <v>Accord Cooling System</v>
          </cell>
          <cell r="C7" t="str">
            <v>27DPWPS0981C1ZB</v>
          </cell>
          <cell r="D7" t="str">
            <v>27-Maharashatra</v>
          </cell>
          <cell r="E7" t="str">
            <v>Local</v>
          </cell>
        </row>
        <row r="8">
          <cell r="B8" t="str">
            <v>Accurate Powertech India pvt Ltd</v>
          </cell>
          <cell r="C8" t="str">
            <v>27AAICA4815C1ZZ</v>
          </cell>
          <cell r="D8" t="str">
            <v>27-Maharashatra</v>
          </cell>
          <cell r="E8" t="str">
            <v>Local</v>
          </cell>
        </row>
        <row r="9">
          <cell r="B9" t="str">
            <v>Aditya Enterprises</v>
          </cell>
          <cell r="C9" t="str">
            <v>27AMMPB3648M1ZO</v>
          </cell>
          <cell r="D9" t="str">
            <v>27-Maharashatra</v>
          </cell>
          <cell r="E9" t="str">
            <v>Local</v>
          </cell>
        </row>
        <row r="10">
          <cell r="B10" t="str">
            <v>Adm Engineering</v>
          </cell>
          <cell r="C10" t="str">
            <v>27AAJFA8391F1Z7</v>
          </cell>
          <cell r="D10" t="str">
            <v>27-Maharashatra</v>
          </cell>
          <cell r="E10" t="str">
            <v>Local</v>
          </cell>
        </row>
        <row r="11">
          <cell r="B11" t="str">
            <v>Aeroaids Corporation</v>
          </cell>
          <cell r="C11" t="str">
            <v>27AABFA1883E1ZQ</v>
          </cell>
          <cell r="D11" t="str">
            <v>27-Maharashatra</v>
          </cell>
          <cell r="E11" t="str">
            <v>Local</v>
          </cell>
        </row>
        <row r="12">
          <cell r="B12" t="str">
            <v>Akzo Nobel India Limited.</v>
          </cell>
          <cell r="C12" t="str">
            <v>27AAACI6297A1ZN</v>
          </cell>
          <cell r="D12" t="str">
            <v>27-Maharashatra</v>
          </cell>
          <cell r="E12" t="str">
            <v>Local</v>
          </cell>
        </row>
        <row r="13">
          <cell r="B13" t="str">
            <v>Allwell Products</v>
          </cell>
          <cell r="C13" t="str">
            <v>27APHPD1073Q1ZM</v>
          </cell>
          <cell r="D13" t="str">
            <v>27-Maharashatra</v>
          </cell>
          <cell r="E13" t="str">
            <v>Local</v>
          </cell>
        </row>
        <row r="14">
          <cell r="B14" t="str">
            <v>Anuradha Enterprises</v>
          </cell>
          <cell r="C14" t="str">
            <v>27BAEPM8837J1Z6</v>
          </cell>
          <cell r="D14" t="str">
            <v>27-Maharashatra</v>
          </cell>
          <cell r="E14" t="str">
            <v>Local</v>
          </cell>
        </row>
        <row r="15">
          <cell r="B15" t="str">
            <v>Atharva Polymer Pvt.Ltd.</v>
          </cell>
          <cell r="C15" t="str">
            <v>27AAHCA1363L1ZK</v>
          </cell>
          <cell r="D15" t="str">
            <v>27-Maharashatra</v>
          </cell>
          <cell r="E15" t="str">
            <v>Local</v>
          </cell>
        </row>
        <row r="16">
          <cell r="B16" t="str">
            <v>Autofina</v>
          </cell>
          <cell r="C16" t="str">
            <v>27AASFA7303G1ZE</v>
          </cell>
          <cell r="D16" t="str">
            <v>27-Maharashatra</v>
          </cell>
          <cell r="E16" t="str">
            <v>Local</v>
          </cell>
        </row>
        <row r="17">
          <cell r="B17" t="str">
            <v>Axalta Coating Systems India Private Limited.</v>
          </cell>
          <cell r="C17" t="str">
            <v>27AAECD2713N1ZK</v>
          </cell>
          <cell r="D17" t="str">
            <v>27-Maharashatra</v>
          </cell>
          <cell r="E17" t="str">
            <v>Local</v>
          </cell>
        </row>
        <row r="18">
          <cell r="B18" t="str">
            <v>Axis Bank Ltd.</v>
          </cell>
          <cell r="C18" t="str">
            <v>27AAACU2414K1ZF</v>
          </cell>
          <cell r="D18" t="str">
            <v>27-Maharashatra</v>
          </cell>
          <cell r="E18" t="str">
            <v>Local</v>
          </cell>
        </row>
        <row r="19">
          <cell r="B19" t="str">
            <v>Bajaj Automobiles</v>
          </cell>
          <cell r="C19" t="str">
            <v>27AAZPJ4136D1ZI</v>
          </cell>
          <cell r="D19" t="str">
            <v>27-Maharashatra</v>
          </cell>
          <cell r="E19" t="str">
            <v>Local</v>
          </cell>
        </row>
        <row r="20">
          <cell r="B20" t="str">
            <v>Bansilal Lalchand Verma</v>
          </cell>
          <cell r="C20" t="str">
            <v>27ADPPV7154C1Z4</v>
          </cell>
          <cell r="D20" t="str">
            <v>27-Maharashatra</v>
          </cell>
          <cell r="E20" t="str">
            <v>Local</v>
          </cell>
        </row>
        <row r="21">
          <cell r="B21" t="str">
            <v>Basf India Limited.</v>
          </cell>
          <cell r="C21" t="str">
            <v>27AAACB4599E1ZL</v>
          </cell>
          <cell r="D21" t="str">
            <v>27-Maharashatra</v>
          </cell>
          <cell r="E21" t="str">
            <v>Local</v>
          </cell>
        </row>
        <row r="22">
          <cell r="B22" t="str">
            <v>Bharti Airtel Limied</v>
          </cell>
          <cell r="C22" t="str">
            <v>27AAACB2894G1ZN</v>
          </cell>
          <cell r="D22" t="str">
            <v>27-Maharashatra</v>
          </cell>
          <cell r="E22" t="str">
            <v>Local</v>
          </cell>
        </row>
        <row r="23">
          <cell r="B23" t="str">
            <v>Chem-Tech Laboratories Pvt Ltd</v>
          </cell>
          <cell r="C23" t="str">
            <v>27AAECC3473E1ZT</v>
          </cell>
          <cell r="D23" t="str">
            <v>27-Maharashatra</v>
          </cell>
          <cell r="E23" t="str">
            <v>Local</v>
          </cell>
        </row>
        <row r="24">
          <cell r="B24" t="str">
            <v>Chhatrapati Business Group</v>
          </cell>
          <cell r="C24" t="str">
            <v>27AAMFC2124K1ZG</v>
          </cell>
          <cell r="D24" t="str">
            <v>27-Maharashatra</v>
          </cell>
          <cell r="E24" t="str">
            <v>Local</v>
          </cell>
        </row>
        <row r="25">
          <cell r="B25" t="str">
            <v>Coat-Tech Aesthetics Pvt Ltd</v>
          </cell>
          <cell r="C25" t="str">
            <v>27AAFCC5166M2Z8</v>
          </cell>
          <cell r="D25" t="str">
            <v>27-Maharashatra</v>
          </cell>
          <cell r="E25" t="str">
            <v>Local</v>
          </cell>
        </row>
        <row r="26">
          <cell r="B26" t="str">
            <v>Deep Enterprises</v>
          </cell>
          <cell r="C26" t="str">
            <v>27AJAPG7696K1ZP</v>
          </cell>
          <cell r="D26" t="str">
            <v>27-Maharashatra</v>
          </cell>
          <cell r="E26" t="str">
            <v>Local</v>
          </cell>
        </row>
        <row r="27">
          <cell r="B27" t="str">
            <v>Dhl Express (India) Pvt.Ltd.</v>
          </cell>
          <cell r="C27" t="str">
            <v>07AABCD3611Q1ZK</v>
          </cell>
          <cell r="D27" t="str">
            <v>27-Maharashatra</v>
          </cell>
          <cell r="E27" t="str">
            <v>Oms</v>
          </cell>
        </row>
        <row r="28">
          <cell r="B28" t="str">
            <v>Dhumal Motor Glass</v>
          </cell>
          <cell r="C28" t="str">
            <v>27AJTPD5059N1ZI</v>
          </cell>
          <cell r="D28" t="str">
            <v>27-Maharashatra</v>
          </cell>
          <cell r="E28" t="str">
            <v>Local</v>
          </cell>
        </row>
        <row r="29">
          <cell r="B29" t="str">
            <v>Disha Fire Solutions</v>
          </cell>
          <cell r="C29" t="str">
            <v>27ATWPK5509M1ZV</v>
          </cell>
          <cell r="D29" t="str">
            <v>27-Maharashatra</v>
          </cell>
          <cell r="E29" t="str">
            <v>Local</v>
          </cell>
        </row>
        <row r="30">
          <cell r="B30" t="str">
            <v>Exergon Chemical (Mfg.) Company</v>
          </cell>
          <cell r="C30" t="str">
            <v>27AABFR5119A1ZO</v>
          </cell>
          <cell r="D30" t="str">
            <v>27-Maharashatra</v>
          </cell>
          <cell r="E30" t="str">
            <v>Local</v>
          </cell>
        </row>
        <row r="31">
          <cell r="B31" t="str">
            <v>Fedex Express Tscs India Pvt.Ltd.</v>
          </cell>
          <cell r="C31" t="str">
            <v>27AABCF6516A1Z3</v>
          </cell>
          <cell r="D31" t="str">
            <v>27-Maharashatra</v>
          </cell>
          <cell r="E31" t="str">
            <v>Local</v>
          </cell>
        </row>
        <row r="32">
          <cell r="B32" t="str">
            <v>Flameonn Engineering System</v>
          </cell>
          <cell r="C32" t="str">
            <v>27EWQPS3282A1Z6</v>
          </cell>
          <cell r="D32" t="str">
            <v>27-Maharashatra</v>
          </cell>
          <cell r="E32" t="str">
            <v>Local</v>
          </cell>
        </row>
        <row r="33">
          <cell r="B33" t="str">
            <v>Galva Decoparts Pvt.Ltd.(Pune)</v>
          </cell>
          <cell r="C33" t="str">
            <v>27AACCG8994N1ZO</v>
          </cell>
          <cell r="D33" t="str">
            <v>27-Maharashatra</v>
          </cell>
          <cell r="E33" t="str">
            <v>Local</v>
          </cell>
        </row>
        <row r="34">
          <cell r="B34" t="str">
            <v>Ganesh Total Gaz Distributor</v>
          </cell>
          <cell r="C34" t="str">
            <v>27AAMFG7702P1ZS</v>
          </cell>
          <cell r="D34" t="str">
            <v>27-Maharashatra</v>
          </cell>
          <cell r="E34" t="str">
            <v>Local</v>
          </cell>
        </row>
        <row r="35">
          <cell r="B35" t="str">
            <v>Ganpati Ply Laminate and Hardware</v>
          </cell>
          <cell r="C35" t="str">
            <v>27AAGPO6738D1ZK</v>
          </cell>
          <cell r="D35" t="str">
            <v>27-Maharashatra</v>
          </cell>
          <cell r="E35" t="str">
            <v>Local</v>
          </cell>
        </row>
        <row r="36">
          <cell r="B36" t="str">
            <v>Gawade Steel Traders</v>
          </cell>
          <cell r="C36" t="str">
            <v>27AAPFG4989F1ZR</v>
          </cell>
          <cell r="D36" t="str">
            <v>27-Maharashatra</v>
          </cell>
          <cell r="E36" t="str">
            <v>Local</v>
          </cell>
        </row>
        <row r="37">
          <cell r="B37" t="str">
            <v>Gayatri Aqua Solutions</v>
          </cell>
          <cell r="C37" t="str">
            <v>27ABTPB8020D1ZV</v>
          </cell>
          <cell r="D37" t="str">
            <v>27-Maharashatra</v>
          </cell>
          <cell r="E37" t="str">
            <v>Local</v>
          </cell>
        </row>
        <row r="38">
          <cell r="B38" t="str">
            <v>Green Chemicals</v>
          </cell>
          <cell r="C38" t="str">
            <v>27AAKFG2282L1Z1</v>
          </cell>
          <cell r="D38" t="str">
            <v>27-Maharashatra</v>
          </cell>
          <cell r="E38" t="str">
            <v>Local</v>
          </cell>
        </row>
        <row r="39">
          <cell r="B39" t="str">
            <v>Hans Electric &amp; Gen.Stores</v>
          </cell>
          <cell r="C39" t="str">
            <v>27AAYPA0283H1ZK</v>
          </cell>
          <cell r="D39" t="str">
            <v>27-Maharashatra</v>
          </cell>
          <cell r="E39" t="str">
            <v>Local</v>
          </cell>
        </row>
        <row r="40">
          <cell r="B40" t="str">
            <v>Hari Om Enterprises</v>
          </cell>
          <cell r="C40" t="str">
            <v>27AEZPB3304H1ZI</v>
          </cell>
          <cell r="D40" t="str">
            <v>27-Maharashatra</v>
          </cell>
          <cell r="E40" t="str">
            <v>Local</v>
          </cell>
        </row>
        <row r="41">
          <cell r="B41" t="str">
            <v>Industrial Trading Company</v>
          </cell>
          <cell r="C41" t="str">
            <v>27AABFI6338L1Z3</v>
          </cell>
          <cell r="D41" t="str">
            <v>27-Maharashatra</v>
          </cell>
          <cell r="E41" t="str">
            <v>Local</v>
          </cell>
        </row>
        <row r="42">
          <cell r="B42" t="str">
            <v>Jay Kay Enterprises</v>
          </cell>
          <cell r="C42" t="str">
            <v>27AHDPM2083K1Z6</v>
          </cell>
          <cell r="D42" t="str">
            <v>27-Maharashatra</v>
          </cell>
          <cell r="E42" t="str">
            <v>Local</v>
          </cell>
        </row>
        <row r="43">
          <cell r="B43" t="str">
            <v>Kansai Nerolac Paints Limited</v>
          </cell>
          <cell r="C43" t="str">
            <v>30AAACG1376N1ZP</v>
          </cell>
          <cell r="D43" t="str">
            <v>27-Maharashatra</v>
          </cell>
          <cell r="E43" t="str">
            <v>Oms</v>
          </cell>
        </row>
        <row r="44">
          <cell r="B44" t="str">
            <v>Kansai Nerolac Paints Ltd.</v>
          </cell>
          <cell r="C44" t="str">
            <v>27AAACG1376N1ZC</v>
          </cell>
          <cell r="D44" t="str">
            <v>27-Maharashatra</v>
          </cell>
          <cell r="E44" t="str">
            <v>Local</v>
          </cell>
        </row>
        <row r="45">
          <cell r="B45" t="str">
            <v>Krishna Hardware</v>
          </cell>
          <cell r="C45" t="str">
            <v>27CDLPS3021D1ZP</v>
          </cell>
          <cell r="D45" t="str">
            <v>27-Maharashatra</v>
          </cell>
          <cell r="E45" t="str">
            <v>Local</v>
          </cell>
        </row>
        <row r="46">
          <cell r="B46" t="str">
            <v>Kaeser Compressors (India) Pvt Ltd</v>
          </cell>
          <cell r="C46" t="str">
            <v>27AABCK6945N1ZY</v>
          </cell>
          <cell r="D46" t="str">
            <v>27-Maharashatra</v>
          </cell>
          <cell r="E46" t="str">
            <v>Local</v>
          </cell>
        </row>
        <row r="47">
          <cell r="B47" t="str">
            <v>Keyence India Private Limited</v>
          </cell>
          <cell r="C47" t="str">
            <v>33AAECK4385P1ZO</v>
          </cell>
          <cell r="D47" t="str">
            <v>33-Tamil Nadu</v>
          </cell>
          <cell r="E47" t="str">
            <v>Oms</v>
          </cell>
        </row>
        <row r="48">
          <cell r="B48" t="str">
            <v>Labtech Systems</v>
          </cell>
          <cell r="C48" t="str">
            <v>27AIWPM3023B1ZD</v>
          </cell>
          <cell r="D48" t="str">
            <v>27-Maharashatra</v>
          </cell>
          <cell r="E48" t="str">
            <v>Local</v>
          </cell>
        </row>
        <row r="49">
          <cell r="B49" t="str">
            <v>Lotus Tapes (India) Pvt.Ltd.</v>
          </cell>
          <cell r="C49" t="str">
            <v>27AABCL0595K1Z9</v>
          </cell>
          <cell r="D49" t="str">
            <v>27-Maharashatra</v>
          </cell>
          <cell r="E49" t="str">
            <v>Local</v>
          </cell>
        </row>
        <row r="50">
          <cell r="B50" t="str">
            <v>LUMAX ANCILLARY LIMITED</v>
          </cell>
          <cell r="C50" t="str">
            <v>27AAACD2571J1ZO</v>
          </cell>
          <cell r="D50" t="str">
            <v>27-Maharashatra</v>
          </cell>
          <cell r="E50" t="str">
            <v>Local</v>
          </cell>
        </row>
        <row r="51">
          <cell r="B51" t="str">
            <v>LUMAX AUTO TECHNOLOGIES LTD.</v>
          </cell>
          <cell r="C51" t="str">
            <v>27AAACD4090Q1Z8</v>
          </cell>
          <cell r="D51" t="str">
            <v>27-Maharashatra</v>
          </cell>
          <cell r="E51" t="str">
            <v>Local</v>
          </cell>
        </row>
        <row r="52">
          <cell r="B52" t="str">
            <v>M Traders</v>
          </cell>
          <cell r="C52" t="str">
            <v>27AACFM2940F1ZJ</v>
          </cell>
          <cell r="D52" t="str">
            <v>27-Maharashatra</v>
          </cell>
          <cell r="E52" t="str">
            <v>Local</v>
          </cell>
        </row>
        <row r="53">
          <cell r="B53" t="str">
            <v>Machino Plastics Limited,Unit-II</v>
          </cell>
          <cell r="C53" t="str">
            <v>06AAACM6984G1Z9</v>
          </cell>
          <cell r="D53" t="str">
            <v>27-Maharashatra</v>
          </cell>
          <cell r="E53" t="str">
            <v>Oms</v>
          </cell>
        </row>
        <row r="54">
          <cell r="B54" t="str">
            <v>Maharashtra Enviro Power Ltd.</v>
          </cell>
          <cell r="C54" t="str">
            <v>27AAECM3522C1ZX</v>
          </cell>
          <cell r="D54" t="str">
            <v>27-Maharashatra</v>
          </cell>
          <cell r="E54" t="str">
            <v>Local</v>
          </cell>
        </row>
        <row r="55">
          <cell r="B55" t="str">
            <v>Maharashtra Paints &amp; Hardware Stores</v>
          </cell>
          <cell r="C55" t="str">
            <v>27AABFM8411A1ZS</v>
          </cell>
          <cell r="D55" t="str">
            <v>27-Maharashatra</v>
          </cell>
          <cell r="E55" t="str">
            <v>Local</v>
          </cell>
        </row>
        <row r="56">
          <cell r="B56" t="str">
            <v>Maharashtra State Electricity Distribution Co Ltd.</v>
          </cell>
          <cell r="C56" t="str">
            <v>27AAECM2933K1ZB</v>
          </cell>
          <cell r="D56" t="str">
            <v>27-Maharashatra</v>
          </cell>
          <cell r="E56" t="str">
            <v>Local</v>
          </cell>
        </row>
        <row r="57">
          <cell r="B57" t="str">
            <v>Master Pressing Works</v>
          </cell>
          <cell r="C57" t="str">
            <v>27AABFM8397H1ZT</v>
          </cell>
          <cell r="D57" t="str">
            <v>27-Maharashatra</v>
          </cell>
          <cell r="E57" t="str">
            <v>Local</v>
          </cell>
        </row>
        <row r="58">
          <cell r="B58" t="str">
            <v>Mataji Hardware &amp; Electricals</v>
          </cell>
          <cell r="C58" t="str">
            <v>27AHUPC1514G1ZI</v>
          </cell>
          <cell r="D58" t="str">
            <v>27-Maharashatra</v>
          </cell>
          <cell r="E58" t="str">
            <v>Local</v>
          </cell>
        </row>
        <row r="59">
          <cell r="B59" t="str">
            <v>Mauli Enterprises</v>
          </cell>
          <cell r="C59" t="str">
            <v>27DFZPM0605C1ZE</v>
          </cell>
          <cell r="D59" t="str">
            <v>27-Maharashatra</v>
          </cell>
          <cell r="E59" t="str">
            <v>Local</v>
          </cell>
        </row>
        <row r="60">
          <cell r="B60" t="str">
            <v>Membrane Filters (India) Pvt.Ltd.</v>
          </cell>
          <cell r="C60" t="str">
            <v>27AADCM9750F1ZA</v>
          </cell>
          <cell r="D60" t="str">
            <v>27-Maharashatra</v>
          </cell>
          <cell r="E60" t="str">
            <v>Local</v>
          </cell>
        </row>
        <row r="61">
          <cell r="B61" t="str">
            <v>Micro Plast</v>
          </cell>
          <cell r="C61" t="str">
            <v>27AAZFM6461A1ZY</v>
          </cell>
          <cell r="D61" t="str">
            <v>27-Maharashatra</v>
          </cell>
          <cell r="E61" t="str">
            <v>Local</v>
          </cell>
        </row>
        <row r="62">
          <cell r="B62" t="str">
            <v>Migma Packtron</v>
          </cell>
          <cell r="C62" t="str">
            <v>23AXLPP2030P1Z9</v>
          </cell>
          <cell r="D62" t="str">
            <v>27-Maharashatra</v>
          </cell>
          <cell r="E62" t="str">
            <v>Oms</v>
          </cell>
        </row>
        <row r="63">
          <cell r="B63" t="str">
            <v>Mittal Precision Auto Comps Private Limited</v>
          </cell>
          <cell r="C63" t="str">
            <v>27AAECM8871A1ZF</v>
          </cell>
          <cell r="D63" t="str">
            <v>27-Maharashatra</v>
          </cell>
          <cell r="E63" t="str">
            <v>Local</v>
          </cell>
        </row>
        <row r="64">
          <cell r="B64" t="str">
            <v>Mrf Corp Limited</v>
          </cell>
          <cell r="C64" t="str">
            <v>27AAACM2185R1ZX</v>
          </cell>
          <cell r="D64" t="str">
            <v>27-Maharashatra</v>
          </cell>
          <cell r="E64" t="str">
            <v>Local</v>
          </cell>
        </row>
        <row r="65">
          <cell r="B65" t="str">
            <v>Mrf Corp. Ltd-Hub</v>
          </cell>
          <cell r="C65" t="str">
            <v>33AAACM2185R1Z4</v>
          </cell>
          <cell r="D65" t="str">
            <v>27-Maharashatra</v>
          </cell>
          <cell r="E65" t="str">
            <v>Oms</v>
          </cell>
        </row>
        <row r="66">
          <cell r="B66" t="str">
            <v>M-Tech Enterprises</v>
          </cell>
          <cell r="C66" t="str">
            <v>27BUQPM7574N1ZH</v>
          </cell>
          <cell r="D66" t="str">
            <v>27-Maharashatra</v>
          </cell>
          <cell r="E66" t="str">
            <v>Local</v>
          </cell>
        </row>
        <row r="67">
          <cell r="B67" t="str">
            <v>National Chemicals</v>
          </cell>
          <cell r="C67" t="str">
            <v>27ABXPV6045J1ZP</v>
          </cell>
          <cell r="D67" t="str">
            <v>27-Maharashatra</v>
          </cell>
          <cell r="E67" t="str">
            <v>Local</v>
          </cell>
        </row>
        <row r="68">
          <cell r="B68" t="str">
            <v>New Radha Hardware</v>
          </cell>
          <cell r="C68" t="str">
            <v>27AGRPA3908N1Z0</v>
          </cell>
          <cell r="D68" t="str">
            <v>27-Maharashatra</v>
          </cell>
          <cell r="E68" t="str">
            <v>Local</v>
          </cell>
        </row>
        <row r="69">
          <cell r="B69" t="str">
            <v>Nutan Enterprises</v>
          </cell>
          <cell r="C69" t="str">
            <v>27AFJPK6177Q1ZJ</v>
          </cell>
          <cell r="D69" t="str">
            <v>27-Maharashatra</v>
          </cell>
          <cell r="E69" t="str">
            <v>Local</v>
          </cell>
        </row>
        <row r="70">
          <cell r="B70" t="str">
            <v>Om Enterprises</v>
          </cell>
          <cell r="C70" t="str">
            <v>27ACFPY4813J1Z6</v>
          </cell>
          <cell r="D70" t="str">
            <v>27-Maharashatra</v>
          </cell>
          <cell r="E70" t="str">
            <v>Local</v>
          </cell>
        </row>
        <row r="71">
          <cell r="B71" t="str">
            <v>Om Logistics Ltd</v>
          </cell>
          <cell r="C71" t="str">
            <v>27AAACO4716C1ZT</v>
          </cell>
          <cell r="D71" t="str">
            <v>27-Maharashatra</v>
          </cell>
          <cell r="E71" t="str">
            <v>Local</v>
          </cell>
        </row>
        <row r="72">
          <cell r="B72" t="str">
            <v>Onkar Diesel Works (India) Pvt Ltd</v>
          </cell>
          <cell r="C72" t="str">
            <v>27AACCO5851C1ZL</v>
          </cell>
          <cell r="D72" t="str">
            <v>27-Maharashatra</v>
          </cell>
          <cell r="E72" t="str">
            <v>Local</v>
          </cell>
        </row>
        <row r="73">
          <cell r="B73" t="str">
            <v>Accurate Industries</v>
          </cell>
          <cell r="C73" t="str">
            <v>27AACFA1881H1ZL</v>
          </cell>
          <cell r="D73" t="str">
            <v>27-Maharashatra</v>
          </cell>
          <cell r="E73" t="str">
            <v>Local</v>
          </cell>
        </row>
        <row r="74">
          <cell r="B74" t="str">
            <v>Overseas Logistics &amp; Service</v>
          </cell>
          <cell r="C74" t="str">
            <v>23AAFFO4378L1ZX</v>
          </cell>
          <cell r="D74" t="str">
            <v>27-Maharashatra</v>
          </cell>
          <cell r="E74" t="str">
            <v>Oms</v>
          </cell>
        </row>
        <row r="75">
          <cell r="B75" t="str">
            <v>Origa Lease Finance Pvt Ltd.</v>
          </cell>
          <cell r="C75" t="str">
            <v>27AABCO8467D1ZA</v>
          </cell>
          <cell r="D75" t="str">
            <v>27-Maharashatra</v>
          </cell>
          <cell r="E75" t="str">
            <v>Local</v>
          </cell>
        </row>
        <row r="76">
          <cell r="B76" t="str">
            <v>Polyplastic Industries (I) Pvt.Ltd.</v>
          </cell>
          <cell r="C76" t="str">
            <v>27AAECP8535C1ZF</v>
          </cell>
          <cell r="D76" t="str">
            <v>27-Maharashatra</v>
          </cell>
          <cell r="E76" t="str">
            <v>Local</v>
          </cell>
        </row>
        <row r="77">
          <cell r="B77" t="str">
            <v>Shriram Enterprises</v>
          </cell>
          <cell r="C77" t="str">
            <v>27CVNPK1560R1ZT</v>
          </cell>
          <cell r="D77" t="str">
            <v>27-Maharashatra</v>
          </cell>
          <cell r="E77" t="str">
            <v>Local</v>
          </cell>
        </row>
        <row r="78">
          <cell r="B78" t="str">
            <v>Pooja Enterprises</v>
          </cell>
          <cell r="C78" t="str">
            <v>27AAOPJ7179F1Z8</v>
          </cell>
          <cell r="D78" t="str">
            <v>27-Maharashatra</v>
          </cell>
          <cell r="E78" t="str">
            <v>Local</v>
          </cell>
        </row>
        <row r="79">
          <cell r="B79" t="str">
            <v>Amin Engineers</v>
          </cell>
          <cell r="C79" t="str">
            <v>27AAPFA7196J1ZR</v>
          </cell>
          <cell r="D79" t="str">
            <v>27-Maharashatra</v>
          </cell>
          <cell r="E79" t="str">
            <v>Local</v>
          </cell>
        </row>
        <row r="80">
          <cell r="B80" t="str">
            <v>Ppg Asian Paints Pvt Ltd.</v>
          </cell>
          <cell r="C80" t="str">
            <v>27AAACA8832H1ZO</v>
          </cell>
          <cell r="D80" t="str">
            <v>27-Maharashatra</v>
          </cell>
          <cell r="E80" t="str">
            <v>Local</v>
          </cell>
        </row>
        <row r="81">
          <cell r="B81" t="str">
            <v>Premier Sales Corporation</v>
          </cell>
          <cell r="C81" t="str">
            <v>27AAHFP1154B1ZN</v>
          </cell>
          <cell r="D81" t="str">
            <v>27-Maharashatra</v>
          </cell>
          <cell r="E81" t="str">
            <v>Local</v>
          </cell>
        </row>
        <row r="82">
          <cell r="B82" t="str">
            <v>SKY Buildcon</v>
          </cell>
          <cell r="C82" t="str">
            <v>27ACMFS6707J1ZL</v>
          </cell>
          <cell r="D82" t="str">
            <v>27-Maharashatra</v>
          </cell>
          <cell r="E82" t="str">
            <v>Local</v>
          </cell>
        </row>
        <row r="83">
          <cell r="B83" t="str">
            <v>Premier Seals (I) Pvt.Ltd.</v>
          </cell>
          <cell r="C83" t="str">
            <v>27AABCP6517B1ZQ</v>
          </cell>
          <cell r="D83" t="str">
            <v>27-Maharashatra</v>
          </cell>
          <cell r="E83" t="str">
            <v>Local</v>
          </cell>
        </row>
        <row r="84">
          <cell r="B84" t="str">
            <v>S G Sales Corporation</v>
          </cell>
          <cell r="C84" t="str">
            <v>27ABDFS1863M1ZR</v>
          </cell>
          <cell r="D84" t="str">
            <v>27-Maharashatra</v>
          </cell>
          <cell r="E84" t="str">
            <v>Local</v>
          </cell>
        </row>
        <row r="85">
          <cell r="B85" t="str">
            <v>PRICOL LTD (FORMERLY PRICOL PUNE LTD)</v>
          </cell>
          <cell r="C85" t="str">
            <v>27AAGCP0139E1ZP</v>
          </cell>
          <cell r="D85" t="str">
            <v>27-Maharashatra</v>
          </cell>
          <cell r="E85" t="str">
            <v>Local</v>
          </cell>
        </row>
        <row r="86">
          <cell r="B86" t="str">
            <v>Decker Logistics Pvt Ltd</v>
          </cell>
          <cell r="C86" t="str">
            <v>27AAFCD5233J1ZM</v>
          </cell>
          <cell r="D86" t="str">
            <v>27-Maharashatra</v>
          </cell>
          <cell r="E86" t="str">
            <v>Local</v>
          </cell>
        </row>
        <row r="87">
          <cell r="B87" t="str">
            <v>Promise Pest Control System</v>
          </cell>
          <cell r="C87" t="str">
            <v>27AACPH4424P1ZJ</v>
          </cell>
          <cell r="D87" t="str">
            <v>27-Maharashatra</v>
          </cell>
          <cell r="E87" t="str">
            <v>Local</v>
          </cell>
        </row>
        <row r="88">
          <cell r="B88" t="str">
            <v>Nature</v>
          </cell>
          <cell r="C88" t="str">
            <v>27CIDPP6150M1ZU</v>
          </cell>
          <cell r="D88" t="str">
            <v>27-Maharashatra</v>
          </cell>
          <cell r="E88" t="str">
            <v>Local</v>
          </cell>
        </row>
        <row r="89">
          <cell r="B89" t="str">
            <v>Plantag Coatings India Pvt Ltd</v>
          </cell>
          <cell r="C89" t="str">
            <v>27AAECP3909L1Z4</v>
          </cell>
          <cell r="D89" t="str">
            <v>27-Maharashatra</v>
          </cell>
          <cell r="E89" t="str">
            <v>Local</v>
          </cell>
        </row>
        <row r="90">
          <cell r="B90" t="str">
            <v>Proton Power Control Pvt.Ltd.</v>
          </cell>
          <cell r="C90" t="str">
            <v>27AAFCP3402M1ZD</v>
          </cell>
          <cell r="D90" t="str">
            <v>27-Maharashatra</v>
          </cell>
          <cell r="E90" t="str">
            <v>Local</v>
          </cell>
        </row>
        <row r="91">
          <cell r="B91" t="str">
            <v>Permag Tradelink</v>
          </cell>
          <cell r="C91" t="str">
            <v>27AAIPN4131D1Z0</v>
          </cell>
          <cell r="D91" t="str">
            <v>27-Maharashatra</v>
          </cell>
          <cell r="E91" t="str">
            <v>Local</v>
          </cell>
        </row>
        <row r="92">
          <cell r="B92" t="str">
            <v>Pune Polymers Pvt Ltd</v>
          </cell>
          <cell r="C92" t="str">
            <v>27AABCP0076H1ZK</v>
          </cell>
          <cell r="D92" t="str">
            <v>27-Maharashatra</v>
          </cell>
          <cell r="E92" t="str">
            <v>Local</v>
          </cell>
        </row>
        <row r="93">
          <cell r="B93" t="str">
            <v>Trimatics Engineers</v>
          </cell>
          <cell r="C93" t="str">
            <v>27AHDPP2081Q1ZT</v>
          </cell>
          <cell r="D93" t="str">
            <v>27-Maharashatra</v>
          </cell>
          <cell r="E93" t="str">
            <v>Local</v>
          </cell>
        </row>
        <row r="94">
          <cell r="B94" t="str">
            <v>Axalta Coating Systems India Pvt Ltd,</v>
          </cell>
          <cell r="C94" t="str">
            <v>24AAECD2713N1ZQ</v>
          </cell>
          <cell r="D94" t="str">
            <v>27-Maharashatra</v>
          </cell>
          <cell r="E94" t="str">
            <v>Oms</v>
          </cell>
        </row>
        <row r="95">
          <cell r="B95" t="str">
            <v>Raj Hardware &amp; Electricals</v>
          </cell>
          <cell r="C95" t="str">
            <v>27AATPC2316A1Z7</v>
          </cell>
          <cell r="D95" t="str">
            <v>27-Maharashatra</v>
          </cell>
          <cell r="E95" t="str">
            <v>Local</v>
          </cell>
        </row>
        <row r="96">
          <cell r="B96" t="str">
            <v>Uptech Engineering</v>
          </cell>
          <cell r="C96" t="str">
            <v>27ANLPS2142M1ZJ</v>
          </cell>
          <cell r="D96" t="str">
            <v>27-Maharashatra</v>
          </cell>
          <cell r="E96" t="str">
            <v>Local</v>
          </cell>
        </row>
        <row r="97">
          <cell r="B97" t="str">
            <v>Rajdeep Electric Co.</v>
          </cell>
          <cell r="C97" t="str">
            <v>27AGOPA8563A1ZH</v>
          </cell>
          <cell r="D97" t="str">
            <v>27-Maharashatra</v>
          </cell>
          <cell r="E97" t="str">
            <v>Local</v>
          </cell>
        </row>
        <row r="98">
          <cell r="B98" t="str">
            <v>Softgrip Enterprises</v>
          </cell>
          <cell r="C98" t="str">
            <v>27ACSPM5726H1Z4</v>
          </cell>
          <cell r="D98" t="str">
            <v>27-Maharashatra</v>
          </cell>
          <cell r="E98" t="str">
            <v>Local</v>
          </cell>
        </row>
        <row r="99">
          <cell r="B99" t="str">
            <v>Sai Interprises</v>
          </cell>
          <cell r="C99" t="str">
            <v>27ACIPD7822K1ZF</v>
          </cell>
          <cell r="D99" t="str">
            <v>27-Maharashatra</v>
          </cell>
          <cell r="E99" t="str">
            <v>Local</v>
          </cell>
        </row>
        <row r="100">
          <cell r="B100" t="str">
            <v>Rajendra Enterprises</v>
          </cell>
          <cell r="C100" t="str">
            <v>27AVIPS7433C1ZF</v>
          </cell>
          <cell r="D100" t="str">
            <v>27-Maharashatra</v>
          </cell>
          <cell r="E100" t="str">
            <v>Local</v>
          </cell>
        </row>
        <row r="101">
          <cell r="B101" t="str">
            <v>Riddhi Traders</v>
          </cell>
          <cell r="C101" t="str">
            <v>27BSEPS5026B1ZX</v>
          </cell>
          <cell r="D101" t="str">
            <v>27-Maharashatra</v>
          </cell>
          <cell r="E101" t="str">
            <v>Local</v>
          </cell>
        </row>
        <row r="102">
          <cell r="B102" t="str">
            <v>Minda Rinder India Pvt.Ltd.</v>
          </cell>
          <cell r="C102" t="str">
            <v>27AAACH4211R1ZF</v>
          </cell>
          <cell r="D102" t="str">
            <v>27-Maharashatra</v>
          </cell>
          <cell r="E102" t="str">
            <v>Local</v>
          </cell>
        </row>
        <row r="103">
          <cell r="B103" t="str">
            <v>S R Enterprises</v>
          </cell>
          <cell r="C103" t="str">
            <v>27ABXFS0861P1Z5</v>
          </cell>
          <cell r="D103" t="str">
            <v>27-Maharashatra</v>
          </cell>
          <cell r="E103" t="str">
            <v>Local</v>
          </cell>
        </row>
        <row r="104">
          <cell r="B104" t="str">
            <v>S K Enterprises</v>
          </cell>
          <cell r="C104" t="str">
            <v>27ADQFS4201G1Z1</v>
          </cell>
          <cell r="D104" t="str">
            <v>27-Maharashatra</v>
          </cell>
          <cell r="E104" t="str">
            <v>Local</v>
          </cell>
        </row>
        <row r="105">
          <cell r="B105" t="str">
            <v>S S Q A</v>
          </cell>
          <cell r="C105" t="str">
            <v>27AJIPP2958D1Z0</v>
          </cell>
          <cell r="D105" t="str">
            <v>27-Maharashatra</v>
          </cell>
          <cell r="E105" t="str">
            <v>Local</v>
          </cell>
        </row>
        <row r="106">
          <cell r="B106" t="str">
            <v>S&amp;P Electrocoating Pvt Ltd</v>
          </cell>
          <cell r="C106" t="str">
            <v>27AASCS0290B1ZC</v>
          </cell>
          <cell r="D106" t="str">
            <v>27-Maharashatra</v>
          </cell>
          <cell r="E106" t="str">
            <v>Local</v>
          </cell>
        </row>
        <row r="107">
          <cell r="B107" t="str">
            <v>S.S.Industries</v>
          </cell>
          <cell r="C107" t="str">
            <v>27AFPPV3787B1ZV</v>
          </cell>
          <cell r="D107" t="str">
            <v>27-Maharashatra</v>
          </cell>
          <cell r="E107" t="str">
            <v>Local</v>
          </cell>
        </row>
        <row r="108">
          <cell r="B108" t="str">
            <v>Sagar Enterprises</v>
          </cell>
          <cell r="C108" t="str">
            <v>27AAYFS6552R1ZU</v>
          </cell>
          <cell r="D108" t="str">
            <v>27-Maharashatra</v>
          </cell>
          <cell r="E108" t="str">
            <v>Local</v>
          </cell>
        </row>
        <row r="109">
          <cell r="B109" t="str">
            <v>Sagar Sales Corporation</v>
          </cell>
          <cell r="C109" t="str">
            <v>27ADVPM5123E1ZE</v>
          </cell>
          <cell r="D109" t="str">
            <v>27-Maharashatra</v>
          </cell>
          <cell r="E109" t="str">
            <v>Local</v>
          </cell>
        </row>
        <row r="110">
          <cell r="B110" t="str">
            <v>Sai Gentec Enterprises</v>
          </cell>
          <cell r="C110" t="str">
            <v>27AERPC3128G1ZL</v>
          </cell>
          <cell r="D110" t="str">
            <v>27-Maharashatra</v>
          </cell>
          <cell r="E110" t="str">
            <v>Local</v>
          </cell>
        </row>
        <row r="111">
          <cell r="B111" t="str">
            <v>Sai Traders</v>
          </cell>
          <cell r="C111" t="str">
            <v>27AJZPM2520M1ZL</v>
          </cell>
          <cell r="D111" t="str">
            <v>27-Maharashatra</v>
          </cell>
          <cell r="E111" t="str">
            <v>Local</v>
          </cell>
        </row>
        <row r="112">
          <cell r="B112" t="str">
            <v>Sam Systems</v>
          </cell>
          <cell r="C112" t="str">
            <v>27AHVPG8951G1ZQ</v>
          </cell>
          <cell r="D112" t="str">
            <v>27-Maharashatra</v>
          </cell>
          <cell r="E112" t="str">
            <v>Local</v>
          </cell>
        </row>
        <row r="113">
          <cell r="B113" t="str">
            <v>Summit Engineers &amp; Consultants Pvt Ltd</v>
          </cell>
          <cell r="C113" t="str">
            <v>27AADCS2608A1ZV</v>
          </cell>
          <cell r="D113" t="str">
            <v>27-Maharashatra</v>
          </cell>
          <cell r="E113" t="str">
            <v>Local</v>
          </cell>
        </row>
        <row r="114">
          <cell r="B114" t="str">
            <v>Sunshine Techologies</v>
          </cell>
          <cell r="C114" t="str">
            <v>27AILPK7358Q1Z9</v>
          </cell>
          <cell r="D114" t="str">
            <v>27-Maharashatra</v>
          </cell>
          <cell r="E114" t="str">
            <v>Local</v>
          </cell>
        </row>
        <row r="115">
          <cell r="B115" t="str">
            <v>Sandbhor Stone Company</v>
          </cell>
          <cell r="C115" t="str">
            <v>27ABMFS1762N1ZI</v>
          </cell>
          <cell r="D115" t="str">
            <v>27-Maharashatra</v>
          </cell>
          <cell r="E115" t="str">
            <v>Local</v>
          </cell>
        </row>
        <row r="116">
          <cell r="B116" t="str">
            <v>Sanjay Tools &amp; Accessories Pvt.Ltd.</v>
          </cell>
          <cell r="C116" t="str">
            <v>27AAHCS2420A1ZX</v>
          </cell>
          <cell r="D116" t="str">
            <v>27-Maharashatra</v>
          </cell>
          <cell r="E116" t="str">
            <v>Local</v>
          </cell>
        </row>
        <row r="117">
          <cell r="B117" t="str">
            <v>Shahid Sheet Fabrication</v>
          </cell>
          <cell r="C117" t="str">
            <v>27APUPP6829B2ZD</v>
          </cell>
          <cell r="D117" t="str">
            <v>27-Maharashatra</v>
          </cell>
          <cell r="E117" t="str">
            <v>Local</v>
          </cell>
        </row>
        <row r="118">
          <cell r="B118" t="str">
            <v>Shalimar Electricals</v>
          </cell>
          <cell r="C118" t="str">
            <v>27ACNPS6908C1ZB</v>
          </cell>
          <cell r="D118" t="str">
            <v>27-Maharashatra</v>
          </cell>
          <cell r="E118" t="str">
            <v>Local</v>
          </cell>
        </row>
        <row r="119">
          <cell r="B119" t="str">
            <v>Shree Mahalaxmi Automation</v>
          </cell>
          <cell r="C119" t="str">
            <v>27ACYFS2620L1ZH</v>
          </cell>
          <cell r="D119" t="str">
            <v>27-Maharashatra</v>
          </cell>
          <cell r="E119" t="str">
            <v>Local</v>
          </cell>
        </row>
        <row r="120">
          <cell r="B120" t="str">
            <v>Shree Sai Coaters</v>
          </cell>
          <cell r="C120" t="str">
            <v>27ACAFS7745J1ZP</v>
          </cell>
          <cell r="D120" t="str">
            <v>27-Maharashatra</v>
          </cell>
          <cell r="E120" t="str">
            <v>Local</v>
          </cell>
        </row>
        <row r="121">
          <cell r="B121" t="str">
            <v>Shrujal Chem Private Limited</v>
          </cell>
          <cell r="C121" t="str">
            <v>27AAQCS7977M1Z3</v>
          </cell>
          <cell r="D121" t="str">
            <v>27-Maharashatra</v>
          </cell>
          <cell r="E121" t="str">
            <v>Local</v>
          </cell>
        </row>
        <row r="122">
          <cell r="B122" t="str">
            <v>Shubham Biz Facility Management (P) Ltd.</v>
          </cell>
          <cell r="C122" t="str">
            <v>27AASCS9231J1ZO</v>
          </cell>
          <cell r="D122" t="str">
            <v>27-Maharashatra</v>
          </cell>
          <cell r="E122" t="str">
            <v>Local</v>
          </cell>
        </row>
        <row r="123">
          <cell r="B123" t="str">
            <v>Sigma Air Filters</v>
          </cell>
          <cell r="C123" t="str">
            <v>27AAEFS2599G1ZU</v>
          </cell>
          <cell r="D123" t="str">
            <v>27-Maharashatra</v>
          </cell>
          <cell r="E123" t="str">
            <v>Local</v>
          </cell>
        </row>
        <row r="124">
          <cell r="B124" t="str">
            <v>Spire India</v>
          </cell>
          <cell r="C124" t="str">
            <v>27ACPPS1076B1ZI</v>
          </cell>
          <cell r="D124" t="str">
            <v>27-Maharashatra</v>
          </cell>
          <cell r="E124" t="str">
            <v>Local</v>
          </cell>
        </row>
        <row r="125">
          <cell r="B125" t="str">
            <v>Star Enterprises</v>
          </cell>
          <cell r="C125" t="str">
            <v>27DMDPK7060N1ZL</v>
          </cell>
          <cell r="D125" t="str">
            <v>27-Maharashatra</v>
          </cell>
          <cell r="E125" t="str">
            <v>Local</v>
          </cell>
        </row>
        <row r="126">
          <cell r="B126" t="str">
            <v>Swan Electricals</v>
          </cell>
          <cell r="C126" t="str">
            <v>27AAYPA0273F1ZQ</v>
          </cell>
          <cell r="D126" t="str">
            <v>27-Maharashatra</v>
          </cell>
          <cell r="E126" t="str">
            <v>Local</v>
          </cell>
        </row>
        <row r="127">
          <cell r="B127" t="str">
            <v>Tata Autocomp Systems Ltd.(X1)</v>
          </cell>
          <cell r="C127" t="str">
            <v>27AAACT1848E1ZH</v>
          </cell>
          <cell r="D127" t="str">
            <v>27-Maharashatra</v>
          </cell>
          <cell r="E127" t="str">
            <v>Local</v>
          </cell>
        </row>
        <row r="128">
          <cell r="B128" t="str">
            <v>Tata Motors Limited</v>
          </cell>
          <cell r="C128" t="str">
            <v>27AAACT2727Q1ZW</v>
          </cell>
          <cell r="D128" t="str">
            <v>27-Maharashatra</v>
          </cell>
          <cell r="E128" t="str">
            <v>Local</v>
          </cell>
        </row>
        <row r="129">
          <cell r="B129" t="str">
            <v>Tech-Force Composites Pvt.Ltd.,( Indore Unit )</v>
          </cell>
          <cell r="C129" t="str">
            <v>23AAACT6376M1ZZ</v>
          </cell>
          <cell r="E129" t="str">
            <v>Oms</v>
          </cell>
        </row>
        <row r="130">
          <cell r="B130" t="str">
            <v>TNT India Pvt Ltd.</v>
          </cell>
          <cell r="C130" t="str">
            <v>27AAACT6649K1ZV</v>
          </cell>
          <cell r="E130" t="str">
            <v>Local</v>
          </cell>
        </row>
        <row r="131">
          <cell r="B131" t="str">
            <v>Tri-K Inc</v>
          </cell>
          <cell r="C131" t="str">
            <v>27ADTPJ2325F1ZJ</v>
          </cell>
          <cell r="D131" t="str">
            <v>27-Maharashatra</v>
          </cell>
          <cell r="E131" t="str">
            <v>Local</v>
          </cell>
        </row>
        <row r="132">
          <cell r="B132" t="str">
            <v>Unicorn Infosolitions Private Limited</v>
          </cell>
          <cell r="C132" t="str">
            <v>27AAACU6278M1ZP</v>
          </cell>
          <cell r="D132" t="str">
            <v>27-Maharashatra</v>
          </cell>
          <cell r="E132" t="str">
            <v>Local</v>
          </cell>
        </row>
        <row r="133">
          <cell r="B133" t="str">
            <v>United India Insurance Company Limited.</v>
          </cell>
          <cell r="C133" t="str">
            <v>27AAACU5552C1ZJ</v>
          </cell>
          <cell r="D133" t="str">
            <v>27-Maharashatra</v>
          </cell>
          <cell r="E133" t="str">
            <v>Local</v>
          </cell>
        </row>
        <row r="134">
          <cell r="B134" t="str">
            <v>V K Electricals</v>
          </cell>
          <cell r="C134" t="str">
            <v>27AGXPK0223G1ZD</v>
          </cell>
          <cell r="D134" t="str">
            <v>27-Maharashatra</v>
          </cell>
          <cell r="E134" t="str">
            <v>Local</v>
          </cell>
        </row>
        <row r="135">
          <cell r="B135" t="str">
            <v>Varroc Engineering Ltd.</v>
          </cell>
          <cell r="C135" t="str">
            <v>27AAACV2420J1ZI</v>
          </cell>
          <cell r="D135" t="str">
            <v>27-Maharashatra</v>
          </cell>
          <cell r="E135" t="str">
            <v>Local</v>
          </cell>
        </row>
        <row r="136">
          <cell r="B136" t="str">
            <v>Varroc Polymers Pvt.Ltd.</v>
          </cell>
          <cell r="C136" t="str">
            <v>27AABCM2508F1ZU</v>
          </cell>
          <cell r="D136" t="str">
            <v>27-Maharashatra</v>
          </cell>
          <cell r="E136" t="str">
            <v>Local</v>
          </cell>
        </row>
        <row r="137">
          <cell r="B137" t="str">
            <v>VE COMMERCIAL VEHICLES LIMITED</v>
          </cell>
          <cell r="C137" t="str">
            <v>23AABCE9378F3ZI</v>
          </cell>
          <cell r="D137" t="str">
            <v>27-Maharashatra</v>
          </cell>
          <cell r="E137" t="str">
            <v>Oms</v>
          </cell>
        </row>
        <row r="138">
          <cell r="B138" t="str">
            <v>VE COMMERCIAL VEHICLES LIMITED.</v>
          </cell>
          <cell r="C138" t="str">
            <v>23AABCE9378F1ZK</v>
          </cell>
          <cell r="D138" t="str">
            <v>27-Maharashatra</v>
          </cell>
          <cell r="E138" t="str">
            <v>Oms</v>
          </cell>
        </row>
        <row r="139">
          <cell r="B139" t="str">
            <v>Vijay Vallabh Traders</v>
          </cell>
          <cell r="C139" t="str">
            <v>27AEEPP4832R1ZT</v>
          </cell>
          <cell r="D139" t="str">
            <v>27-Maharashatra</v>
          </cell>
          <cell r="E139" t="str">
            <v>Local</v>
          </cell>
        </row>
        <row r="140">
          <cell r="B140" t="str">
            <v>Vision Telecom</v>
          </cell>
          <cell r="C140" t="str">
            <v>27AAKFV5974C1ZS</v>
          </cell>
          <cell r="D140" t="str">
            <v>27-Maharashatra</v>
          </cell>
          <cell r="E140" t="str">
            <v>Local</v>
          </cell>
        </row>
        <row r="141">
          <cell r="B141" t="str">
            <v>Vnet Corporation</v>
          </cell>
          <cell r="C141" t="str">
            <v>27AYCPB9228K1ZA</v>
          </cell>
          <cell r="D141" t="str">
            <v>27-Maharashatra</v>
          </cell>
          <cell r="E141" t="str">
            <v>Local</v>
          </cell>
        </row>
        <row r="142">
          <cell r="B142" t="str">
            <v>Yashodeep Enterprises</v>
          </cell>
          <cell r="C142" t="str">
            <v>27ADOPJ4418Q1ZV</v>
          </cell>
          <cell r="D142" t="str">
            <v>27-Maharashatra</v>
          </cell>
          <cell r="E142" t="str">
            <v>Local</v>
          </cell>
        </row>
        <row r="143">
          <cell r="B143" t="str">
            <v>Zenith Engineering ( Conv)</v>
          </cell>
          <cell r="C143" t="str">
            <v>27ACKPT7340N1ZU</v>
          </cell>
          <cell r="D143" t="str">
            <v>27-Maharashatra</v>
          </cell>
          <cell r="E143" t="str">
            <v>Local</v>
          </cell>
        </row>
        <row r="144">
          <cell r="B144" t="str">
            <v>The Colour Galaxy</v>
          </cell>
          <cell r="C144" t="str">
            <v>27AAFFT6563N1ZH</v>
          </cell>
          <cell r="D144" t="str">
            <v>27-Maharashatra</v>
          </cell>
          <cell r="E144" t="str">
            <v>Local</v>
          </cell>
        </row>
        <row r="145">
          <cell r="B145" t="str">
            <v>Axalta Coating Systems India Private Limited. (55703418)</v>
          </cell>
          <cell r="C145" t="str">
            <v>27AAECD2713N1ZK</v>
          </cell>
          <cell r="D145" t="str">
            <v>27-Maharashatra</v>
          </cell>
          <cell r="E145" t="str">
            <v>Local</v>
          </cell>
        </row>
        <row r="146">
          <cell r="B146" t="str">
            <v>VE COMMERCIAL VEHICLES LTD</v>
          </cell>
          <cell r="C146" t="str">
            <v>23AABCE9378F1ZK</v>
          </cell>
          <cell r="D146" t="str">
            <v>23-Madhya Pradesh</v>
          </cell>
          <cell r="E146" t="str">
            <v>Oms</v>
          </cell>
        </row>
        <row r="147">
          <cell r="B147" t="str">
            <v>INFINITI RETAIL LIMITED</v>
          </cell>
          <cell r="C147" t="str">
            <v>27AACCV17226H1ZE</v>
          </cell>
          <cell r="D147" t="str">
            <v>27-Maharashatra</v>
          </cell>
          <cell r="E147" t="str">
            <v>Local</v>
          </cell>
        </row>
        <row r="148">
          <cell r="B148" t="str">
            <v>Marvel Abrasive Tools</v>
          </cell>
          <cell r="C148" t="str">
            <v>29ABWPL1735E1ZC</v>
          </cell>
          <cell r="D148" t="str">
            <v>29-Karnataka</v>
          </cell>
          <cell r="E148" t="str">
            <v>Oms</v>
          </cell>
        </row>
        <row r="149">
          <cell r="B149" t="str">
            <v>Tally (india) private Limited</v>
          </cell>
          <cell r="C149" t="str">
            <v>29AACCT3705E1ZJ</v>
          </cell>
          <cell r="D149" t="str">
            <v>27-Maharashatra</v>
          </cell>
          <cell r="E149" t="str">
            <v>Oms</v>
          </cell>
        </row>
        <row r="150">
          <cell r="B150" t="str">
            <v>M S Electrical Services</v>
          </cell>
          <cell r="C150" t="str">
            <v>27AFVPY9844G1ZA</v>
          </cell>
          <cell r="D150" t="str">
            <v>27-Maharashatra</v>
          </cell>
          <cell r="E150" t="str">
            <v>Local</v>
          </cell>
        </row>
        <row r="151">
          <cell r="B151" t="str">
            <v>Patpert Teknow Systems Pvt.Ltd</v>
          </cell>
          <cell r="C151" t="str">
            <v>27AAHCP2068D1ZI</v>
          </cell>
          <cell r="D151" t="str">
            <v>27-Maharashatra</v>
          </cell>
          <cell r="E151" t="str">
            <v>Local</v>
          </cell>
        </row>
        <row r="152">
          <cell r="B152" t="str">
            <v>MA Verick Automation</v>
          </cell>
          <cell r="C152" t="str">
            <v>27ABMPW9227A1ZC</v>
          </cell>
          <cell r="D152" t="str">
            <v>27-Maharashatra</v>
          </cell>
          <cell r="E152" t="str">
            <v>Local</v>
          </cell>
        </row>
        <row r="153">
          <cell r="B153" t="str">
            <v>Goldline Engineering</v>
          </cell>
          <cell r="C153" t="str">
            <v>27AAAFG1674N1Z5</v>
          </cell>
          <cell r="D153" t="str">
            <v>27-Maharashatra</v>
          </cell>
          <cell r="E153" t="str">
            <v>Local</v>
          </cell>
        </row>
        <row r="154">
          <cell r="B154" t="str">
            <v>Genesis Solutions (india)</v>
          </cell>
          <cell r="C154" t="str">
            <v>27ABXPK1220E1ZS</v>
          </cell>
          <cell r="D154" t="str">
            <v>27-Maharashatra</v>
          </cell>
          <cell r="E154" t="str">
            <v>Local</v>
          </cell>
        </row>
        <row r="155">
          <cell r="B155" t="str">
            <v>Jay Kay Tools</v>
          </cell>
          <cell r="C155" t="str">
            <v>27ACOPJ2933M1Z5</v>
          </cell>
          <cell r="D155" t="str">
            <v>27-Maharashatra</v>
          </cell>
          <cell r="E155" t="str">
            <v>Local</v>
          </cell>
        </row>
        <row r="156">
          <cell r="B156" t="str">
            <v>Rudra Enterprises</v>
          </cell>
          <cell r="C156" t="str">
            <v>27AIWPB0333K1Z6</v>
          </cell>
          <cell r="D156" t="str">
            <v>27-Maharashatra</v>
          </cell>
          <cell r="E156" t="str">
            <v>Local</v>
          </cell>
        </row>
        <row r="157">
          <cell r="B157" t="str">
            <v>Mayur Winding Works</v>
          </cell>
          <cell r="C157" t="str">
            <v>27CMDPM6271L1ZL</v>
          </cell>
          <cell r="D157" t="str">
            <v>27-Maharashatra</v>
          </cell>
          <cell r="E157" t="str">
            <v>Local</v>
          </cell>
        </row>
        <row r="158">
          <cell r="B158" t="str">
            <v>Loptop Care</v>
          </cell>
          <cell r="C158" t="str">
            <v>27BATPB9743H1Z8</v>
          </cell>
          <cell r="D158" t="str">
            <v>27-Maharashatra</v>
          </cell>
          <cell r="E158" t="str">
            <v>Local</v>
          </cell>
        </row>
        <row r="159">
          <cell r="B159" t="str">
            <v>Dhupar Brothers Trading Pvt Ltd</v>
          </cell>
          <cell r="C159" t="str">
            <v>27AACCD8583E1ZH</v>
          </cell>
          <cell r="D159" t="str">
            <v>27-Maharashatra</v>
          </cell>
          <cell r="E159" t="str">
            <v>Local</v>
          </cell>
        </row>
        <row r="160">
          <cell r="B160" t="str">
            <v>Hygeeias Foodsz</v>
          </cell>
          <cell r="C160" t="str">
            <v>27AAJFH3516P1ZY</v>
          </cell>
          <cell r="D160" t="str">
            <v>27-Maharashatra</v>
          </cell>
          <cell r="E160" t="str">
            <v>Local</v>
          </cell>
        </row>
        <row r="161">
          <cell r="B161" t="str">
            <v>Yung Hang Tai Water Transfer Ltd</v>
          </cell>
          <cell r="C161">
            <v>1</v>
          </cell>
          <cell r="D161" t="str">
            <v>23-Madhya Pradesh</v>
          </cell>
          <cell r="E161" t="str">
            <v>Oms</v>
          </cell>
        </row>
        <row r="162">
          <cell r="B162" t="str">
            <v>Yash Transport</v>
          </cell>
          <cell r="C162">
            <v>2</v>
          </cell>
          <cell r="D162" t="str">
            <v>27-Maharashatra</v>
          </cell>
          <cell r="E162" t="str">
            <v>Local</v>
          </cell>
        </row>
        <row r="163">
          <cell r="B163" t="str">
            <v>Yushai Systems</v>
          </cell>
          <cell r="C163" t="str">
            <v>27AACFY4120F1ZF</v>
          </cell>
          <cell r="D163" t="str">
            <v>27-Maharashatra</v>
          </cell>
          <cell r="E163" t="str">
            <v>Local</v>
          </cell>
        </row>
      </sheetData>
      <sheetData sheetId="30">
        <row r="4">
          <cell r="A4">
            <v>2501</v>
          </cell>
          <cell r="B4" t="str">
            <v>Sodium</v>
          </cell>
          <cell r="C4" t="str">
            <v>NOS</v>
          </cell>
          <cell r="D4" t="str">
            <v>Goods</v>
          </cell>
          <cell r="E4">
            <v>18</v>
          </cell>
        </row>
        <row r="5">
          <cell r="A5" t="str">
            <v>2501/</v>
          </cell>
          <cell r="B5" t="str">
            <v>salt</v>
          </cell>
          <cell r="C5" t="str">
            <v>NOS</v>
          </cell>
          <cell r="D5" t="str">
            <v>Goods</v>
          </cell>
          <cell r="E5">
            <v>0</v>
          </cell>
        </row>
        <row r="6">
          <cell r="A6">
            <v>2508</v>
          </cell>
          <cell r="B6" t="str">
            <v>Other clays</v>
          </cell>
          <cell r="C6" t="str">
            <v>NOS</v>
          </cell>
          <cell r="D6" t="str">
            <v>Goods</v>
          </cell>
          <cell r="E6">
            <v>5</v>
          </cell>
        </row>
        <row r="7">
          <cell r="A7">
            <v>2509</v>
          </cell>
          <cell r="B7" t="str">
            <v>Insecticides, Artificial Carbon &amp; Graphite</v>
          </cell>
          <cell r="C7" t="str">
            <v>NOS</v>
          </cell>
          <cell r="D7" t="str">
            <v>Goods</v>
          </cell>
          <cell r="E7">
            <v>5</v>
          </cell>
        </row>
        <row r="8">
          <cell r="A8">
            <v>2520</v>
          </cell>
          <cell r="B8" t="str">
            <v>pop</v>
          </cell>
          <cell r="C8" t="str">
            <v>KG</v>
          </cell>
          <cell r="D8" t="str">
            <v>Goods</v>
          </cell>
          <cell r="E8">
            <v>5</v>
          </cell>
        </row>
        <row r="9">
          <cell r="A9">
            <v>2523</v>
          </cell>
          <cell r="B9" t="str">
            <v>Cement</v>
          </cell>
          <cell r="C9" t="str">
            <v>KG</v>
          </cell>
          <cell r="D9" t="str">
            <v>Goods</v>
          </cell>
          <cell r="E9">
            <v>28</v>
          </cell>
        </row>
        <row r="10">
          <cell r="A10">
            <v>2710</v>
          </cell>
          <cell r="B10" t="str">
            <v>Mix Solvent</v>
          </cell>
          <cell r="C10" t="str">
            <v>LTR</v>
          </cell>
          <cell r="D10" t="str">
            <v>Goods</v>
          </cell>
          <cell r="E10">
            <v>18</v>
          </cell>
        </row>
        <row r="11">
          <cell r="A11">
            <v>3208</v>
          </cell>
          <cell r="B11" t="str">
            <v>Misc Chemical Products Thinner</v>
          </cell>
          <cell r="C11" t="str">
            <v>NOS</v>
          </cell>
          <cell r="D11" t="str">
            <v>Goods</v>
          </cell>
          <cell r="E11">
            <v>18</v>
          </cell>
        </row>
        <row r="12">
          <cell r="A12">
            <v>3209</v>
          </cell>
          <cell r="B12" t="str">
            <v>Stainer</v>
          </cell>
          <cell r="C12" t="str">
            <v>LTR</v>
          </cell>
          <cell r="D12" t="str">
            <v>Goods</v>
          </cell>
          <cell r="E12">
            <v>18</v>
          </cell>
        </row>
        <row r="13">
          <cell r="A13">
            <v>3213</v>
          </cell>
          <cell r="B13" t="str">
            <v>Stainer</v>
          </cell>
          <cell r="C13" t="str">
            <v>NOS</v>
          </cell>
          <cell r="D13" t="str">
            <v>Goods</v>
          </cell>
          <cell r="E13">
            <v>18</v>
          </cell>
        </row>
        <row r="14">
          <cell r="A14">
            <v>3214</v>
          </cell>
          <cell r="B14" t="str">
            <v>Glaziers Putty</v>
          </cell>
          <cell r="C14" t="str">
            <v>NOS</v>
          </cell>
          <cell r="D14" t="str">
            <v>Goods</v>
          </cell>
          <cell r="E14">
            <v>28</v>
          </cell>
        </row>
        <row r="15">
          <cell r="A15" t="str">
            <v>3214/</v>
          </cell>
          <cell r="B15" t="str">
            <v>Glaziers Putty</v>
          </cell>
          <cell r="C15" t="str">
            <v>NOS</v>
          </cell>
          <cell r="D15" t="str">
            <v>Goods</v>
          </cell>
          <cell r="E15">
            <v>18</v>
          </cell>
        </row>
        <row r="16">
          <cell r="A16">
            <v>3403</v>
          </cell>
          <cell r="B16" t="str">
            <v>Grease</v>
          </cell>
          <cell r="C16" t="str">
            <v>NOS</v>
          </cell>
          <cell r="D16" t="str">
            <v>Goods</v>
          </cell>
          <cell r="E16">
            <v>28</v>
          </cell>
        </row>
        <row r="17">
          <cell r="A17">
            <v>3405</v>
          </cell>
          <cell r="B17" t="str">
            <v xml:space="preserve">Polish </v>
          </cell>
          <cell r="C17" t="str">
            <v>NOS</v>
          </cell>
          <cell r="D17" t="str">
            <v>Goods</v>
          </cell>
          <cell r="E17">
            <v>18</v>
          </cell>
        </row>
        <row r="18">
          <cell r="A18">
            <v>3506</v>
          </cell>
          <cell r="B18" t="str">
            <v>Glues  Other Adhesives</v>
          </cell>
          <cell r="C18" t="str">
            <v>NOS</v>
          </cell>
          <cell r="D18" t="str">
            <v>Goods</v>
          </cell>
          <cell r="E18">
            <v>18</v>
          </cell>
        </row>
        <row r="19">
          <cell r="A19">
            <v>3808</v>
          </cell>
          <cell r="B19" t="str">
            <v>Liquid</v>
          </cell>
          <cell r="C19" t="str">
            <v>NOS</v>
          </cell>
          <cell r="D19" t="str">
            <v>Goods</v>
          </cell>
          <cell r="E19">
            <v>18</v>
          </cell>
        </row>
        <row r="20">
          <cell r="A20">
            <v>3813</v>
          </cell>
          <cell r="B20" t="str">
            <v>Fire Extinguishers</v>
          </cell>
          <cell r="C20" t="str">
            <v>NOS</v>
          </cell>
          <cell r="D20" t="str">
            <v>Goods</v>
          </cell>
          <cell r="E20">
            <v>18</v>
          </cell>
        </row>
        <row r="21">
          <cell r="A21">
            <v>3814</v>
          </cell>
          <cell r="B21" t="str">
            <v>Misc Chemical Products Thinner</v>
          </cell>
          <cell r="C21" t="str">
            <v>NOS</v>
          </cell>
          <cell r="D21" t="str">
            <v>Goods</v>
          </cell>
          <cell r="E21">
            <v>28</v>
          </cell>
        </row>
        <row r="22">
          <cell r="A22">
            <v>3820</v>
          </cell>
          <cell r="B22" t="str">
            <v>Anti-Freezing Preparations</v>
          </cell>
          <cell r="C22" t="str">
            <v>NOS</v>
          </cell>
          <cell r="D22" t="str">
            <v>Goods</v>
          </cell>
          <cell r="E22">
            <v>28</v>
          </cell>
        </row>
        <row r="23">
          <cell r="A23">
            <v>3824</v>
          </cell>
          <cell r="B23" t="str">
            <v>chemical products and </v>
          </cell>
          <cell r="C23" t="str">
            <v>NOS</v>
          </cell>
          <cell r="D23" t="str">
            <v>Goods</v>
          </cell>
          <cell r="E23">
            <v>18</v>
          </cell>
        </row>
        <row r="24">
          <cell r="A24">
            <v>3907</v>
          </cell>
          <cell r="B24" t="str">
            <v>Others ( Paint &amp; Varnishes)</v>
          </cell>
          <cell r="C24" t="str">
            <v>NOS</v>
          </cell>
          <cell r="D24" t="str">
            <v>Goods</v>
          </cell>
          <cell r="E24">
            <v>18</v>
          </cell>
        </row>
        <row r="25">
          <cell r="A25">
            <v>3917</v>
          </cell>
          <cell r="B25" t="str">
            <v>Tubes Pipes &amp; Hoses</v>
          </cell>
          <cell r="C25" t="str">
            <v>NOS</v>
          </cell>
          <cell r="D25" t="str">
            <v>Goods</v>
          </cell>
          <cell r="E25">
            <v>18</v>
          </cell>
        </row>
        <row r="26">
          <cell r="A26">
            <v>3919</v>
          </cell>
          <cell r="B26" t="str">
            <v>Bopp Tapes</v>
          </cell>
          <cell r="C26" t="str">
            <v>NOS</v>
          </cell>
          <cell r="D26" t="str">
            <v>Goods</v>
          </cell>
          <cell r="E26">
            <v>18</v>
          </cell>
        </row>
        <row r="27">
          <cell r="A27">
            <v>3920</v>
          </cell>
          <cell r="B27" t="str">
            <v>Other Plates, Sheets,</v>
          </cell>
          <cell r="C27" t="str">
            <v>NOS</v>
          </cell>
          <cell r="D27" t="str">
            <v>Goods</v>
          </cell>
          <cell r="E27">
            <v>18</v>
          </cell>
        </row>
        <row r="28">
          <cell r="A28">
            <v>3923</v>
          </cell>
          <cell r="B28" t="str">
            <v>Tie</v>
          </cell>
          <cell r="C28" t="str">
            <v>NOS</v>
          </cell>
          <cell r="D28" t="str">
            <v>Goods</v>
          </cell>
          <cell r="E28">
            <v>18</v>
          </cell>
        </row>
        <row r="29">
          <cell r="A29">
            <v>3924</v>
          </cell>
          <cell r="B29" t="str">
            <v>Seat Tapes</v>
          </cell>
          <cell r="C29" t="str">
            <v>NOS</v>
          </cell>
          <cell r="D29" t="str">
            <v>Goods</v>
          </cell>
          <cell r="E29">
            <v>18</v>
          </cell>
        </row>
        <row r="30">
          <cell r="A30">
            <v>3925</v>
          </cell>
          <cell r="B30" t="str">
            <v>Water Tank</v>
          </cell>
          <cell r="C30" t="str">
            <v>NOS</v>
          </cell>
          <cell r="D30" t="str">
            <v>Goods</v>
          </cell>
          <cell r="E30">
            <v>18</v>
          </cell>
        </row>
        <row r="31">
          <cell r="A31">
            <v>3926</v>
          </cell>
          <cell r="B31" t="str">
            <v>Thermose</v>
          </cell>
          <cell r="C31" t="str">
            <v>NOS</v>
          </cell>
          <cell r="D31" t="str">
            <v>Goods</v>
          </cell>
          <cell r="E31">
            <v>18</v>
          </cell>
        </row>
        <row r="32">
          <cell r="A32">
            <v>4010</v>
          </cell>
          <cell r="B32" t="str">
            <v>Belt</v>
          </cell>
          <cell r="C32" t="str">
            <v>NOS</v>
          </cell>
          <cell r="D32" t="str">
            <v>Goods</v>
          </cell>
          <cell r="E32">
            <v>18</v>
          </cell>
        </row>
        <row r="33">
          <cell r="A33">
            <v>4016</v>
          </cell>
          <cell r="B33" t="str">
            <v>Other articles of vulcanised r</v>
          </cell>
          <cell r="C33" t="str">
            <v>NOS</v>
          </cell>
          <cell r="D33" t="str">
            <v>Goods</v>
          </cell>
          <cell r="E33">
            <v>18</v>
          </cell>
        </row>
        <row r="34">
          <cell r="A34">
            <v>4417</v>
          </cell>
          <cell r="B34" t="str">
            <v>handle</v>
          </cell>
          <cell r="C34" t="str">
            <v>NOS</v>
          </cell>
          <cell r="D34" t="str">
            <v>Goods</v>
          </cell>
          <cell r="E34">
            <v>12</v>
          </cell>
        </row>
        <row r="35">
          <cell r="A35">
            <v>4402</v>
          </cell>
          <cell r="B35" t="str">
            <v>COILA</v>
          </cell>
          <cell r="C35" t="str">
            <v>NOS</v>
          </cell>
          <cell r="D35" t="str">
            <v>Goods</v>
          </cell>
          <cell r="E35">
            <v>0</v>
          </cell>
        </row>
        <row r="36">
          <cell r="A36">
            <v>4811</v>
          </cell>
          <cell r="B36" t="str">
            <v>DIE CUTS</v>
          </cell>
          <cell r="C36" t="str">
            <v>NOS</v>
          </cell>
          <cell r="D36" t="str">
            <v>Goods</v>
          </cell>
          <cell r="E36">
            <v>18</v>
          </cell>
        </row>
        <row r="37">
          <cell r="A37">
            <v>4820</v>
          </cell>
          <cell r="B37" t="str">
            <v>Box Files</v>
          </cell>
          <cell r="C37" t="str">
            <v>NOS</v>
          </cell>
          <cell r="D37" t="str">
            <v>Goods</v>
          </cell>
          <cell r="E37">
            <v>18</v>
          </cell>
        </row>
        <row r="38">
          <cell r="A38">
            <v>4821</v>
          </cell>
          <cell r="B38" t="str">
            <v>Sticker</v>
          </cell>
          <cell r="C38" t="str">
            <v>NOS</v>
          </cell>
          <cell r="D38" t="str">
            <v>Goods</v>
          </cell>
          <cell r="E38">
            <v>18</v>
          </cell>
        </row>
        <row r="39">
          <cell r="A39">
            <v>5407</v>
          </cell>
          <cell r="B39" t="str">
            <v>Cloth Filter</v>
          </cell>
          <cell r="C39" t="str">
            <v>Mtr</v>
          </cell>
          <cell r="D39" t="str">
            <v>Goods</v>
          </cell>
          <cell r="E39">
            <v>5</v>
          </cell>
        </row>
        <row r="40">
          <cell r="A40">
            <v>6116</v>
          </cell>
          <cell r="B40" t="str">
            <v>Cotton Gloves</v>
          </cell>
          <cell r="C40" t="str">
            <v>NOS</v>
          </cell>
          <cell r="D40" t="str">
            <v>Goods</v>
          </cell>
          <cell r="E40">
            <v>5</v>
          </cell>
        </row>
        <row r="41">
          <cell r="A41">
            <v>6403</v>
          </cell>
          <cell r="B41" t="str">
            <v>SHOE</v>
          </cell>
          <cell r="C41" t="str">
            <v>NOS</v>
          </cell>
          <cell r="D41" t="str">
            <v>Goods</v>
          </cell>
          <cell r="E41">
            <v>5</v>
          </cell>
        </row>
        <row r="42">
          <cell r="A42">
            <v>6804</v>
          </cell>
          <cell r="B42" t="str">
            <v>Cut Off Wheel</v>
          </cell>
          <cell r="C42" t="str">
            <v>NOS</v>
          </cell>
          <cell r="D42" t="str">
            <v>Goods</v>
          </cell>
          <cell r="E42">
            <v>18</v>
          </cell>
        </row>
        <row r="43">
          <cell r="A43">
            <v>6805</v>
          </cell>
          <cell r="B43" t="str">
            <v>Polish Paper</v>
          </cell>
          <cell r="C43" t="str">
            <v>NOS</v>
          </cell>
          <cell r="D43" t="str">
            <v>Goods</v>
          </cell>
          <cell r="E43">
            <v>18</v>
          </cell>
        </row>
        <row r="44">
          <cell r="A44">
            <v>6810</v>
          </cell>
          <cell r="B44" t="str">
            <v>Building blocks and bricks</v>
          </cell>
          <cell r="C44" t="str">
            <v>NOS</v>
          </cell>
          <cell r="D44" t="str">
            <v>Goods</v>
          </cell>
          <cell r="E44">
            <v>28</v>
          </cell>
        </row>
        <row r="45">
          <cell r="A45">
            <v>7210</v>
          </cell>
          <cell r="B45" t="str">
            <v>All Flat-Rolled Products of Iron Or Non-Alloy Steel</v>
          </cell>
          <cell r="C45" t="str">
            <v>NOS</v>
          </cell>
          <cell r="D45" t="str">
            <v>Goods</v>
          </cell>
          <cell r="E45">
            <v>18</v>
          </cell>
        </row>
        <row r="46">
          <cell r="A46">
            <v>7216</v>
          </cell>
          <cell r="B46" t="str">
            <v>HOOK</v>
          </cell>
          <cell r="C46" t="str">
            <v>NOS</v>
          </cell>
          <cell r="D46" t="str">
            <v>Goods</v>
          </cell>
          <cell r="E46">
            <v>18</v>
          </cell>
        </row>
        <row r="47">
          <cell r="A47">
            <v>7301</v>
          </cell>
          <cell r="B47" t="str">
            <v>ODU</v>
          </cell>
          <cell r="C47" t="str">
            <v>NOS</v>
          </cell>
          <cell r="D47" t="str">
            <v>Goods</v>
          </cell>
          <cell r="E47">
            <v>18</v>
          </cell>
        </row>
        <row r="48">
          <cell r="A48">
            <v>7306</v>
          </cell>
          <cell r="B48" t="str">
            <v>PIPE</v>
          </cell>
          <cell r="C48" t="str">
            <v>NOS</v>
          </cell>
          <cell r="D48" t="str">
            <v>Goods</v>
          </cell>
          <cell r="E48">
            <v>18</v>
          </cell>
        </row>
        <row r="49">
          <cell r="A49">
            <v>7307</v>
          </cell>
          <cell r="B49" t="str">
            <v>Sink Coupling</v>
          </cell>
          <cell r="C49" t="str">
            <v>NOS</v>
          </cell>
          <cell r="D49" t="str">
            <v>Goods</v>
          </cell>
          <cell r="E49">
            <v>18</v>
          </cell>
        </row>
        <row r="50">
          <cell r="A50">
            <v>7314</v>
          </cell>
          <cell r="B50" t="str">
            <v>JALI MS</v>
          </cell>
          <cell r="C50" t="str">
            <v>NOS</v>
          </cell>
          <cell r="D50" t="str">
            <v>Goods</v>
          </cell>
          <cell r="E50">
            <v>18</v>
          </cell>
        </row>
        <row r="51">
          <cell r="A51">
            <v>7317</v>
          </cell>
          <cell r="B51" t="str">
            <v>Sink Coupling</v>
          </cell>
          <cell r="C51" t="str">
            <v>NOS</v>
          </cell>
          <cell r="D51" t="str">
            <v>Goods</v>
          </cell>
          <cell r="E51">
            <v>18</v>
          </cell>
        </row>
        <row r="52">
          <cell r="A52">
            <v>7318</v>
          </cell>
          <cell r="B52" t="str">
            <v>including spring washers</v>
          </cell>
          <cell r="C52" t="str">
            <v>NOS</v>
          </cell>
          <cell r="D52" t="str">
            <v>Goods</v>
          </cell>
          <cell r="E52">
            <v>18</v>
          </cell>
        </row>
        <row r="53">
          <cell r="A53">
            <v>7324</v>
          </cell>
          <cell r="B53" t="str">
            <v>Sink Coupling</v>
          </cell>
          <cell r="C53" t="str">
            <v>NOS</v>
          </cell>
          <cell r="D53" t="str">
            <v>Goods</v>
          </cell>
          <cell r="E53">
            <v>18</v>
          </cell>
        </row>
        <row r="54">
          <cell r="A54">
            <v>7409</v>
          </cell>
          <cell r="B54" t="str">
            <v>Copper</v>
          </cell>
          <cell r="C54" t="str">
            <v>KG</v>
          </cell>
          <cell r="D54" t="str">
            <v>Goods</v>
          </cell>
          <cell r="E54">
            <v>18</v>
          </cell>
        </row>
        <row r="55">
          <cell r="A55">
            <v>7411</v>
          </cell>
          <cell r="B55" t="str">
            <v>COPPER</v>
          </cell>
          <cell r="C55" t="str">
            <v>NOS</v>
          </cell>
          <cell r="D55" t="str">
            <v>Goods</v>
          </cell>
          <cell r="E55">
            <v>18</v>
          </cell>
        </row>
        <row r="56">
          <cell r="A56">
            <v>7412</v>
          </cell>
          <cell r="B56" t="str">
            <v>Hose Joint</v>
          </cell>
          <cell r="C56" t="str">
            <v>NOS</v>
          </cell>
          <cell r="D56" t="str">
            <v>Goods</v>
          </cell>
          <cell r="E56">
            <v>18</v>
          </cell>
        </row>
        <row r="57">
          <cell r="A57">
            <v>7616</v>
          </cell>
          <cell r="B57" t="str">
            <v>Other Articles of Aluminium</v>
          </cell>
          <cell r="C57" t="str">
            <v>NOS</v>
          </cell>
          <cell r="D57" t="str">
            <v>Goods</v>
          </cell>
          <cell r="E57">
            <v>18</v>
          </cell>
        </row>
        <row r="58">
          <cell r="A58">
            <v>8202</v>
          </cell>
          <cell r="B58" t="str">
            <v>Wood Cutter</v>
          </cell>
          <cell r="C58" t="str">
            <v>NOS</v>
          </cell>
          <cell r="D58" t="str">
            <v>Goods</v>
          </cell>
          <cell r="E58">
            <v>18</v>
          </cell>
        </row>
        <row r="59">
          <cell r="A59">
            <v>8203</v>
          </cell>
          <cell r="B59" t="str">
            <v>Comb Plier</v>
          </cell>
          <cell r="C59" t="str">
            <v>NOS</v>
          </cell>
          <cell r="D59" t="str">
            <v>Goods</v>
          </cell>
          <cell r="E59">
            <v>18</v>
          </cell>
        </row>
        <row r="60">
          <cell r="A60">
            <v>8204</v>
          </cell>
          <cell r="B60" t="str">
            <v>Comb Plier</v>
          </cell>
          <cell r="C60" t="str">
            <v>NOS</v>
          </cell>
          <cell r="D60" t="str">
            <v>Goods</v>
          </cell>
          <cell r="E60">
            <v>18</v>
          </cell>
        </row>
        <row r="61">
          <cell r="A61">
            <v>8205</v>
          </cell>
          <cell r="B61" t="str">
            <v>Lambi Patti</v>
          </cell>
          <cell r="C61" t="str">
            <v>NOS</v>
          </cell>
          <cell r="D61" t="str">
            <v>Goods</v>
          </cell>
          <cell r="E61">
            <v>18</v>
          </cell>
        </row>
        <row r="62">
          <cell r="A62">
            <v>8207</v>
          </cell>
          <cell r="B62" t="str">
            <v>tools for hand tools</v>
          </cell>
          <cell r="C62" t="str">
            <v>NOS</v>
          </cell>
          <cell r="D62" t="str">
            <v>Goods</v>
          </cell>
          <cell r="E62">
            <v>18</v>
          </cell>
        </row>
        <row r="63">
          <cell r="A63">
            <v>8211</v>
          </cell>
          <cell r="B63" t="str">
            <v>Cutter</v>
          </cell>
          <cell r="C63" t="str">
            <v>NOS</v>
          </cell>
          <cell r="D63" t="str">
            <v>Goods</v>
          </cell>
          <cell r="E63">
            <v>18</v>
          </cell>
        </row>
        <row r="64">
          <cell r="A64">
            <v>8301</v>
          </cell>
          <cell r="B64" t="str">
            <v>Aldrop</v>
          </cell>
          <cell r="C64" t="str">
            <v>NOS</v>
          </cell>
          <cell r="D64" t="str">
            <v>Goods</v>
          </cell>
          <cell r="E64">
            <v>18</v>
          </cell>
        </row>
        <row r="65">
          <cell r="A65">
            <v>8302</v>
          </cell>
          <cell r="B65" t="str">
            <v>Aldrop</v>
          </cell>
          <cell r="C65" t="str">
            <v>set</v>
          </cell>
          <cell r="D65" t="str">
            <v>Goods</v>
          </cell>
          <cell r="E65">
            <v>18</v>
          </cell>
        </row>
        <row r="66">
          <cell r="A66">
            <v>8409</v>
          </cell>
          <cell r="B66" t="str">
            <v>Anti-Freezing Preparations</v>
          </cell>
          <cell r="C66" t="str">
            <v>NOS</v>
          </cell>
          <cell r="D66" t="str">
            <v>Goods</v>
          </cell>
          <cell r="E66">
            <v>28</v>
          </cell>
        </row>
        <row r="67">
          <cell r="A67">
            <v>8414</v>
          </cell>
          <cell r="B67" t="str">
            <v>Wall Fan</v>
          </cell>
          <cell r="C67" t="str">
            <v>NOS</v>
          </cell>
          <cell r="D67" t="str">
            <v>Goods</v>
          </cell>
          <cell r="E67">
            <v>18</v>
          </cell>
        </row>
        <row r="68">
          <cell r="A68">
            <v>8415</v>
          </cell>
          <cell r="B68" t="str">
            <v>Zero Bulb</v>
          </cell>
          <cell r="C68" t="str">
            <v>NOS</v>
          </cell>
          <cell r="D68" t="str">
            <v>Goods</v>
          </cell>
          <cell r="E68">
            <v>28</v>
          </cell>
        </row>
        <row r="69">
          <cell r="A69">
            <v>8416</v>
          </cell>
          <cell r="B69" t="str">
            <v>Power driven pumps</v>
          </cell>
          <cell r="C69" t="str">
            <v>NOS</v>
          </cell>
          <cell r="D69" t="str">
            <v>Goods</v>
          </cell>
          <cell r="E69">
            <v>18</v>
          </cell>
        </row>
        <row r="70">
          <cell r="A70">
            <v>8421</v>
          </cell>
          <cell r="B70" t="str">
            <v>Filtering Or Purifying Machinery</v>
          </cell>
          <cell r="C70" t="str">
            <v>NOS</v>
          </cell>
          <cell r="D70" t="str">
            <v>Goods</v>
          </cell>
          <cell r="E70">
            <v>18</v>
          </cell>
        </row>
        <row r="71">
          <cell r="A71">
            <v>8424</v>
          </cell>
          <cell r="B71" t="str">
            <v>GRACO TUBE</v>
          </cell>
          <cell r="C71" t="str">
            <v>NOS</v>
          </cell>
          <cell r="D71" t="str">
            <v>Goods</v>
          </cell>
          <cell r="E71">
            <v>18</v>
          </cell>
        </row>
        <row r="72">
          <cell r="A72">
            <v>8456</v>
          </cell>
          <cell r="B72" t="str">
            <v>Laser</v>
          </cell>
          <cell r="C72" t="str">
            <v>NOS</v>
          </cell>
          <cell r="D72" t="str">
            <v>Goods</v>
          </cell>
          <cell r="E72">
            <v>18</v>
          </cell>
        </row>
        <row r="73">
          <cell r="A73">
            <v>8428</v>
          </cell>
          <cell r="B73" t="str">
            <v>GRACO TUBE</v>
          </cell>
          <cell r="C73" t="str">
            <v>NOS</v>
          </cell>
          <cell r="D73" t="str">
            <v>Goods</v>
          </cell>
          <cell r="E73">
            <v>18</v>
          </cell>
        </row>
        <row r="74">
          <cell r="A74">
            <v>8443</v>
          </cell>
          <cell r="B74" t="str">
            <v>TONER</v>
          </cell>
          <cell r="C74" t="str">
            <v>NOS</v>
          </cell>
          <cell r="D74" t="str">
            <v>Goods</v>
          </cell>
          <cell r="E74">
            <v>18</v>
          </cell>
        </row>
        <row r="75">
          <cell r="A75">
            <v>8467</v>
          </cell>
          <cell r="B75" t="str">
            <v>valves</v>
          </cell>
          <cell r="C75" t="str">
            <v>NOS</v>
          </cell>
          <cell r="D75" t="str">
            <v>Goods</v>
          </cell>
          <cell r="E75">
            <v>18</v>
          </cell>
        </row>
        <row r="76">
          <cell r="A76">
            <v>8471</v>
          </cell>
          <cell r="B76" t="str">
            <v>LOPTAP</v>
          </cell>
          <cell r="C76" t="str">
            <v>NOS</v>
          </cell>
          <cell r="D76" t="str">
            <v>Goods</v>
          </cell>
          <cell r="E76">
            <v>18</v>
          </cell>
        </row>
        <row r="77">
          <cell r="A77">
            <v>8481</v>
          </cell>
          <cell r="B77" t="str">
            <v>valves</v>
          </cell>
          <cell r="C77" t="str">
            <v>NOS</v>
          </cell>
          <cell r="D77" t="str">
            <v>Goods</v>
          </cell>
          <cell r="E77">
            <v>18</v>
          </cell>
        </row>
        <row r="78">
          <cell r="A78">
            <v>8482</v>
          </cell>
          <cell r="B78" t="str">
            <v>Bering</v>
          </cell>
          <cell r="C78" t="str">
            <v>NOS</v>
          </cell>
          <cell r="D78" t="str">
            <v>Goods</v>
          </cell>
          <cell r="E78">
            <v>18</v>
          </cell>
        </row>
        <row r="79">
          <cell r="A79">
            <v>8487</v>
          </cell>
          <cell r="B79" t="str">
            <v>PU TEE</v>
          </cell>
          <cell r="C79" t="str">
            <v>NOS</v>
          </cell>
          <cell r="D79" t="str">
            <v>Goods</v>
          </cell>
          <cell r="E79">
            <v>18</v>
          </cell>
        </row>
        <row r="80">
          <cell r="A80">
            <v>8503</v>
          </cell>
          <cell r="B80" t="str">
            <v>PUME</v>
          </cell>
          <cell r="C80" t="str">
            <v>NOS</v>
          </cell>
          <cell r="D80" t="str">
            <v>Goods</v>
          </cell>
          <cell r="E80">
            <v>18</v>
          </cell>
        </row>
        <row r="81">
          <cell r="A81">
            <v>8504</v>
          </cell>
          <cell r="B81" t="str">
            <v>Battery</v>
          </cell>
          <cell r="C81" t="str">
            <v>NOS</v>
          </cell>
          <cell r="D81" t="str">
            <v>Goods</v>
          </cell>
          <cell r="E81">
            <v>18</v>
          </cell>
        </row>
        <row r="82">
          <cell r="A82">
            <v>8506</v>
          </cell>
          <cell r="B82" t="str">
            <v>Battery</v>
          </cell>
          <cell r="C82" t="str">
            <v>NOS</v>
          </cell>
          <cell r="D82" t="str">
            <v>Goods</v>
          </cell>
          <cell r="E82">
            <v>18</v>
          </cell>
        </row>
        <row r="83">
          <cell r="A83">
            <v>8515</v>
          </cell>
          <cell r="B83" t="str">
            <v>Welding Holder</v>
          </cell>
          <cell r="C83" t="str">
            <v>NOS</v>
          </cell>
          <cell r="D83" t="str">
            <v>Goods</v>
          </cell>
          <cell r="E83">
            <v>18</v>
          </cell>
        </row>
        <row r="84">
          <cell r="A84">
            <v>8517</v>
          </cell>
          <cell r="B84" t="str">
            <v>Telephone</v>
          </cell>
          <cell r="C84" t="str">
            <v>NOS</v>
          </cell>
          <cell r="D84" t="str">
            <v>Goods</v>
          </cell>
          <cell r="E84">
            <v>18</v>
          </cell>
        </row>
        <row r="85">
          <cell r="A85">
            <v>8530</v>
          </cell>
          <cell r="B85" t="str">
            <v>indo</v>
          </cell>
          <cell r="C85" t="str">
            <v>NOS</v>
          </cell>
          <cell r="D85" t="str">
            <v>Goods</v>
          </cell>
          <cell r="E85">
            <v>18</v>
          </cell>
        </row>
        <row r="86">
          <cell r="A86">
            <v>8532</v>
          </cell>
          <cell r="B86" t="str">
            <v>capacitors</v>
          </cell>
          <cell r="C86" t="str">
            <v>NOS</v>
          </cell>
          <cell r="D86" t="str">
            <v>Goods</v>
          </cell>
          <cell r="E86">
            <v>18</v>
          </cell>
        </row>
        <row r="87">
          <cell r="A87">
            <v>8535</v>
          </cell>
          <cell r="B87" t="str">
            <v>Earthing</v>
          </cell>
          <cell r="C87" t="str">
            <v>NOS</v>
          </cell>
          <cell r="D87" t="str">
            <v>Goods</v>
          </cell>
          <cell r="E87">
            <v>18</v>
          </cell>
        </row>
        <row r="88">
          <cell r="A88">
            <v>8536</v>
          </cell>
          <cell r="B88" t="str">
            <v>Solder gun</v>
          </cell>
          <cell r="C88" t="str">
            <v>NOS</v>
          </cell>
          <cell r="D88" t="str">
            <v>Goods</v>
          </cell>
          <cell r="E88">
            <v>18</v>
          </cell>
        </row>
        <row r="89">
          <cell r="A89">
            <v>8537</v>
          </cell>
          <cell r="B89" t="str">
            <v>GANG BOX</v>
          </cell>
          <cell r="C89" t="str">
            <v>NOS</v>
          </cell>
          <cell r="D89" t="str">
            <v>Goods</v>
          </cell>
          <cell r="E89">
            <v>18</v>
          </cell>
        </row>
        <row r="90">
          <cell r="A90">
            <v>8538</v>
          </cell>
          <cell r="B90" t="str">
            <v>SS COMB</v>
          </cell>
          <cell r="C90" t="str">
            <v>NOS</v>
          </cell>
          <cell r="D90" t="str">
            <v>Goods</v>
          </cell>
          <cell r="E90">
            <v>18</v>
          </cell>
        </row>
        <row r="91">
          <cell r="A91">
            <v>8539</v>
          </cell>
          <cell r="B91" t="str">
            <v>Zero Bulb</v>
          </cell>
          <cell r="C91" t="str">
            <v>NOS</v>
          </cell>
          <cell r="D91" t="str">
            <v>Goods</v>
          </cell>
          <cell r="E91">
            <v>28</v>
          </cell>
        </row>
        <row r="92">
          <cell r="A92" t="str">
            <v>8539/</v>
          </cell>
          <cell r="B92" t="str">
            <v>Zero Bulb</v>
          </cell>
          <cell r="C92" t="str">
            <v>NOS</v>
          </cell>
          <cell r="D92" t="str">
            <v>Goods</v>
          </cell>
          <cell r="E92">
            <v>18</v>
          </cell>
        </row>
        <row r="93">
          <cell r="A93">
            <v>8544</v>
          </cell>
          <cell r="B93" t="str">
            <v>Welding Cable</v>
          </cell>
          <cell r="C93" t="str">
            <v>NOS</v>
          </cell>
          <cell r="D93" t="str">
            <v>Goods</v>
          </cell>
          <cell r="E93">
            <v>18</v>
          </cell>
        </row>
        <row r="94">
          <cell r="A94">
            <v>8546</v>
          </cell>
          <cell r="B94" t="str">
            <v>Tape</v>
          </cell>
          <cell r="C94" t="str">
            <v>NOS</v>
          </cell>
          <cell r="D94" t="str">
            <v>Goods</v>
          </cell>
          <cell r="E94">
            <v>18</v>
          </cell>
        </row>
        <row r="95">
          <cell r="A95">
            <v>8708</v>
          </cell>
          <cell r="B95" t="str">
            <v>Parts &amp; Accessories Of Motor Vehicles Other</v>
          </cell>
          <cell r="C95" t="str">
            <v>NOS</v>
          </cell>
          <cell r="D95" t="str">
            <v>Goods</v>
          </cell>
          <cell r="E95">
            <v>28</v>
          </cell>
        </row>
        <row r="96">
          <cell r="A96">
            <v>9004</v>
          </cell>
          <cell r="B96" t="str">
            <v>gold sun</v>
          </cell>
          <cell r="C96" t="str">
            <v>NOS</v>
          </cell>
          <cell r="D96" t="str">
            <v>Goods</v>
          </cell>
          <cell r="E96">
            <v>18</v>
          </cell>
        </row>
        <row r="97">
          <cell r="A97">
            <v>9017</v>
          </cell>
          <cell r="B97" t="str">
            <v>tape</v>
          </cell>
          <cell r="C97" t="str">
            <v>NOS</v>
          </cell>
          <cell r="D97" t="str">
            <v>Goods</v>
          </cell>
          <cell r="E97">
            <v>18</v>
          </cell>
        </row>
        <row r="98">
          <cell r="A98">
            <v>9026</v>
          </cell>
          <cell r="B98" t="str">
            <v>Guage</v>
          </cell>
          <cell r="C98" t="str">
            <v>NOS</v>
          </cell>
          <cell r="D98" t="str">
            <v>Goods</v>
          </cell>
          <cell r="E98">
            <v>18</v>
          </cell>
        </row>
        <row r="99">
          <cell r="A99">
            <v>9032</v>
          </cell>
          <cell r="B99" t="str">
            <v>Automatic Regulating Or Controlling Instruments and Apparatus</v>
          </cell>
          <cell r="C99" t="str">
            <v>NOS</v>
          </cell>
          <cell r="D99" t="str">
            <v>Goods</v>
          </cell>
          <cell r="E99">
            <v>18</v>
          </cell>
        </row>
        <row r="100">
          <cell r="A100">
            <v>9405</v>
          </cell>
          <cell r="B100" t="str">
            <v>LED Light</v>
          </cell>
          <cell r="C100" t="str">
            <v>NOS</v>
          </cell>
          <cell r="D100" t="str">
            <v>Goods</v>
          </cell>
          <cell r="E100">
            <v>12</v>
          </cell>
        </row>
        <row r="101">
          <cell r="A101">
            <v>9603</v>
          </cell>
          <cell r="B101" t="str">
            <v>Brushes</v>
          </cell>
          <cell r="C101" t="str">
            <v>NOS</v>
          </cell>
          <cell r="D101" t="str">
            <v>Goods</v>
          </cell>
          <cell r="E101">
            <v>18</v>
          </cell>
        </row>
        <row r="102">
          <cell r="A102">
            <v>9967</v>
          </cell>
          <cell r="B102" t="str">
            <v>Curgo</v>
          </cell>
          <cell r="C102" t="str">
            <v>NOS</v>
          </cell>
          <cell r="D102" t="str">
            <v>Services</v>
          </cell>
          <cell r="E102">
            <v>18</v>
          </cell>
        </row>
        <row r="103">
          <cell r="A103">
            <v>9608</v>
          </cell>
          <cell r="B103" t="str">
            <v>Pencil</v>
          </cell>
          <cell r="C103" t="str">
            <v>NOS</v>
          </cell>
          <cell r="D103" t="str">
            <v>Goods</v>
          </cell>
          <cell r="E103">
            <v>18</v>
          </cell>
        </row>
        <row r="104">
          <cell r="A104" t="str">
            <v>9965</v>
          </cell>
          <cell r="B104" t="str">
            <v>Commission Charges</v>
          </cell>
          <cell r="C104" t="str">
            <v>NOS</v>
          </cell>
          <cell r="D104" t="str">
            <v>Services</v>
          </cell>
          <cell r="E104">
            <v>18</v>
          </cell>
        </row>
        <row r="105">
          <cell r="A105">
            <v>9968</v>
          </cell>
          <cell r="B105" t="str">
            <v>Courier Services</v>
          </cell>
          <cell r="C105" t="str">
            <v>NOS</v>
          </cell>
          <cell r="D105" t="str">
            <v>Goods</v>
          </cell>
          <cell r="E105">
            <v>18</v>
          </cell>
        </row>
        <row r="106">
          <cell r="A106">
            <v>9971</v>
          </cell>
          <cell r="B106" t="str">
            <v>Financial &amp; Related Services</v>
          </cell>
          <cell r="C106" t="str">
            <v>NOS</v>
          </cell>
          <cell r="D106" t="str">
            <v>Services</v>
          </cell>
          <cell r="E106">
            <v>18</v>
          </cell>
        </row>
        <row r="107">
          <cell r="A107">
            <v>9984</v>
          </cell>
          <cell r="B107" t="str">
            <v>Telecommunications,Broadcasting &amp; Supply Services</v>
          </cell>
          <cell r="C107" t="str">
            <v>NOS</v>
          </cell>
          <cell r="D107" t="str">
            <v>Services</v>
          </cell>
          <cell r="E107">
            <v>18</v>
          </cell>
        </row>
        <row r="108">
          <cell r="A108">
            <v>9965</v>
          </cell>
          <cell r="B108" t="str">
            <v>Commission Charges</v>
          </cell>
          <cell r="C108" t="str">
            <v>NOS</v>
          </cell>
          <cell r="D108" t="str">
            <v>Services</v>
          </cell>
          <cell r="E108">
            <v>18</v>
          </cell>
        </row>
        <row r="109">
          <cell r="A109">
            <v>9985</v>
          </cell>
          <cell r="B109" t="str">
            <v>Pepar</v>
          </cell>
          <cell r="C109" t="str">
            <v>NOS</v>
          </cell>
          <cell r="D109" t="str">
            <v>Goods</v>
          </cell>
          <cell r="E109">
            <v>18</v>
          </cell>
        </row>
        <row r="110">
          <cell r="A110">
            <v>9987</v>
          </cell>
          <cell r="B110" t="str">
            <v>Commission Charges</v>
          </cell>
          <cell r="C110" t="str">
            <v>NOS</v>
          </cell>
          <cell r="D110" t="str">
            <v>Services</v>
          </cell>
          <cell r="E110">
            <v>18</v>
          </cell>
        </row>
        <row r="111">
          <cell r="A111">
            <v>14976</v>
          </cell>
          <cell r="B111" t="str">
            <v>Misc Chemical Products Thinner</v>
          </cell>
          <cell r="C111" t="str">
            <v>NOS</v>
          </cell>
          <cell r="D111" t="str">
            <v>Goods</v>
          </cell>
          <cell r="E111">
            <v>28</v>
          </cell>
        </row>
        <row r="112">
          <cell r="A112">
            <v>401693</v>
          </cell>
          <cell r="B112" t="str">
            <v>Other articles of vulcanised r</v>
          </cell>
          <cell r="C112" t="str">
            <v>NOS</v>
          </cell>
          <cell r="D112" t="str">
            <v>Goods</v>
          </cell>
          <cell r="E112">
            <v>28</v>
          </cell>
        </row>
        <row r="113">
          <cell r="A113">
            <v>441480</v>
          </cell>
          <cell r="B113" t="str">
            <v>Lease Rental Machinery</v>
          </cell>
          <cell r="C113" t="str">
            <v>NOS</v>
          </cell>
          <cell r="D113" t="str">
            <v>Services</v>
          </cell>
          <cell r="E113">
            <v>28</v>
          </cell>
        </row>
        <row r="114">
          <cell r="A114">
            <v>846799</v>
          </cell>
          <cell r="B114" t="str">
            <v>Tools for working</v>
          </cell>
          <cell r="C114" t="str">
            <v>NOS</v>
          </cell>
          <cell r="D114" t="str">
            <v>Goods</v>
          </cell>
          <cell r="E114">
            <v>18</v>
          </cell>
        </row>
        <row r="115">
          <cell r="A115">
            <v>996511</v>
          </cell>
          <cell r="B115" t="str">
            <v>Transmission shafts</v>
          </cell>
          <cell r="C115" t="str">
            <v>NOS</v>
          </cell>
          <cell r="D115" t="str">
            <v>Services</v>
          </cell>
          <cell r="E115">
            <v>12</v>
          </cell>
        </row>
        <row r="116">
          <cell r="A116" t="str">
            <v>996511/</v>
          </cell>
          <cell r="B116" t="str">
            <v>Transmission shafts</v>
          </cell>
          <cell r="C116" t="str">
            <v>NOS</v>
          </cell>
          <cell r="D116" t="str">
            <v>Services</v>
          </cell>
          <cell r="E116">
            <v>18</v>
          </cell>
        </row>
        <row r="117">
          <cell r="A117" t="str">
            <v>997319</v>
          </cell>
          <cell r="B117" t="str">
            <v>Rental</v>
          </cell>
          <cell r="C117" t="str">
            <v>NOS</v>
          </cell>
          <cell r="D117" t="str">
            <v>Services</v>
          </cell>
          <cell r="E117">
            <v>28</v>
          </cell>
        </row>
        <row r="118">
          <cell r="A118">
            <v>998311</v>
          </cell>
          <cell r="B118" t="str">
            <v>Audit Fee</v>
          </cell>
          <cell r="C118" t="str">
            <v>NOS</v>
          </cell>
          <cell r="D118" t="str">
            <v>Goods</v>
          </cell>
          <cell r="E118">
            <v>18</v>
          </cell>
        </row>
        <row r="119">
          <cell r="A119">
            <v>998313</v>
          </cell>
          <cell r="B119" t="str">
            <v xml:space="preserve">Software </v>
          </cell>
          <cell r="C119" t="str">
            <v>NOS</v>
          </cell>
          <cell r="D119" t="str">
            <v>Services</v>
          </cell>
          <cell r="E119">
            <v>18</v>
          </cell>
        </row>
        <row r="120">
          <cell r="A120">
            <v>998346</v>
          </cell>
          <cell r="B120" t="str">
            <v>Technical testing and analysis services</v>
          </cell>
          <cell r="C120" t="str">
            <v>NOS</v>
          </cell>
          <cell r="D120" t="str">
            <v>Services</v>
          </cell>
          <cell r="E120">
            <v>18</v>
          </cell>
        </row>
        <row r="121">
          <cell r="A121" t="str">
            <v>998422</v>
          </cell>
          <cell r="B121" t="str">
            <v>Internet Charges</v>
          </cell>
          <cell r="C121" t="str">
            <v>NOS</v>
          </cell>
          <cell r="D121" t="str">
            <v>Services</v>
          </cell>
          <cell r="E121">
            <v>18</v>
          </cell>
        </row>
        <row r="122">
          <cell r="A122">
            <v>998422</v>
          </cell>
          <cell r="B122" t="str">
            <v>round stircer</v>
          </cell>
          <cell r="C122" t="str">
            <v>NOS</v>
          </cell>
          <cell r="D122" t="str">
            <v>Goods</v>
          </cell>
          <cell r="E122">
            <v>18</v>
          </cell>
        </row>
        <row r="123">
          <cell r="A123">
            <v>998519</v>
          </cell>
          <cell r="B123" t="str">
            <v>Manpower Recuritment Agency Se</v>
          </cell>
          <cell r="C123" t="str">
            <v>NOS</v>
          </cell>
          <cell r="D123" t="str">
            <v>Services</v>
          </cell>
          <cell r="E123">
            <v>18</v>
          </cell>
        </row>
        <row r="124">
          <cell r="A124">
            <v>998531</v>
          </cell>
          <cell r="B124" t="str">
            <v>PEST</v>
          </cell>
          <cell r="C124" t="str">
            <v>NOS</v>
          </cell>
          <cell r="D124" t="str">
            <v>Services</v>
          </cell>
          <cell r="E124">
            <v>18</v>
          </cell>
        </row>
        <row r="125">
          <cell r="A125">
            <v>998716</v>
          </cell>
          <cell r="B125" t="str">
            <v>Repairing</v>
          </cell>
          <cell r="C125" t="str">
            <v>NOS</v>
          </cell>
          <cell r="D125" t="str">
            <v>Services</v>
          </cell>
          <cell r="E125">
            <v>18</v>
          </cell>
        </row>
        <row r="126">
          <cell r="A126">
            <v>998717</v>
          </cell>
          <cell r="B126" t="str">
            <v>Repairing</v>
          </cell>
          <cell r="C126" t="str">
            <v>NOS</v>
          </cell>
          <cell r="D126" t="str">
            <v>Services</v>
          </cell>
          <cell r="E126">
            <v>18</v>
          </cell>
        </row>
        <row r="127">
          <cell r="A127">
            <v>998719</v>
          </cell>
          <cell r="B127" t="str">
            <v>Maintenance and repair service</v>
          </cell>
          <cell r="C127" t="str">
            <v>NOS</v>
          </cell>
          <cell r="D127" t="str">
            <v>Goods</v>
          </cell>
          <cell r="E127">
            <v>18</v>
          </cell>
        </row>
        <row r="128">
          <cell r="A128">
            <v>998873</v>
          </cell>
          <cell r="B128" t="str">
            <v>round stircer</v>
          </cell>
          <cell r="C128" t="str">
            <v>NOS</v>
          </cell>
          <cell r="D128" t="str">
            <v>Goods</v>
          </cell>
          <cell r="E128">
            <v>18</v>
          </cell>
        </row>
        <row r="129">
          <cell r="A129">
            <v>999432</v>
          </cell>
          <cell r="B129" t="str">
            <v>SLUDGE</v>
          </cell>
          <cell r="C129" t="str">
            <v>NOS</v>
          </cell>
          <cell r="D129" t="str">
            <v>Goods</v>
          </cell>
          <cell r="E129">
            <v>18</v>
          </cell>
        </row>
        <row r="130">
          <cell r="A130">
            <v>4016932</v>
          </cell>
          <cell r="B130" t="str">
            <v>New pneumatic tyres</v>
          </cell>
          <cell r="C130" t="str">
            <v>NOS</v>
          </cell>
          <cell r="D130" t="str">
            <v>Goods</v>
          </cell>
          <cell r="E130">
            <v>28</v>
          </cell>
        </row>
        <row r="131">
          <cell r="A131">
            <v>4016999</v>
          </cell>
          <cell r="B131" t="str">
            <v>Other articles of vulcanised r</v>
          </cell>
          <cell r="C131" t="str">
            <v>NOS</v>
          </cell>
          <cell r="D131" t="str">
            <v>Goods</v>
          </cell>
          <cell r="E131">
            <v>28</v>
          </cell>
        </row>
        <row r="132">
          <cell r="A132">
            <v>4817200</v>
          </cell>
          <cell r="B132" t="str">
            <v>I Card</v>
          </cell>
          <cell r="C132" t="str">
            <v>NOS</v>
          </cell>
          <cell r="D132" t="str">
            <v>Goods</v>
          </cell>
          <cell r="E132">
            <v>18</v>
          </cell>
        </row>
        <row r="133">
          <cell r="A133">
            <v>8466300</v>
          </cell>
          <cell r="B133" t="str">
            <v>Allwell Skid</v>
          </cell>
          <cell r="C133" t="str">
            <v>NOS</v>
          </cell>
          <cell r="D133" t="str">
            <v>Goods</v>
          </cell>
          <cell r="E133">
            <v>18</v>
          </cell>
        </row>
        <row r="134">
          <cell r="A134">
            <v>8467299</v>
          </cell>
          <cell r="B134" t="str">
            <v>PISTEN</v>
          </cell>
          <cell r="C134" t="str">
            <v>NOS</v>
          </cell>
          <cell r="D134" t="str">
            <v>Goods</v>
          </cell>
          <cell r="E134">
            <v>18</v>
          </cell>
        </row>
        <row r="135">
          <cell r="A135">
            <v>8483300</v>
          </cell>
          <cell r="B135" t="str">
            <v>Transmission shafts</v>
          </cell>
          <cell r="C135" t="str">
            <v>NOS</v>
          </cell>
          <cell r="D135" t="str">
            <v>Goods</v>
          </cell>
          <cell r="E135">
            <v>28</v>
          </cell>
        </row>
        <row r="136">
          <cell r="A136">
            <v>8532299</v>
          </cell>
          <cell r="B136" t="str">
            <v>capacitors</v>
          </cell>
          <cell r="C136" t="str">
            <v>NOS</v>
          </cell>
          <cell r="D136" t="str">
            <v>Goods</v>
          </cell>
          <cell r="E136">
            <v>18</v>
          </cell>
        </row>
        <row r="137">
          <cell r="A137">
            <v>21069030</v>
          </cell>
          <cell r="B137" t="str">
            <v>SUPARI</v>
          </cell>
          <cell r="C137" t="str">
            <v>NOS</v>
          </cell>
          <cell r="D137" t="str">
            <v>Goods</v>
          </cell>
          <cell r="E137">
            <v>18</v>
          </cell>
        </row>
        <row r="138">
          <cell r="A138">
            <v>21069099</v>
          </cell>
          <cell r="B138" t="str">
            <v>GIFT BOX</v>
          </cell>
          <cell r="C138" t="str">
            <v>NOS</v>
          </cell>
          <cell r="D138" t="str">
            <v>Goods</v>
          </cell>
          <cell r="E138">
            <v>12</v>
          </cell>
        </row>
        <row r="139">
          <cell r="A139">
            <v>25202090</v>
          </cell>
          <cell r="B139" t="str">
            <v>Gypsum Powder</v>
          </cell>
          <cell r="C139" t="str">
            <v>NOS</v>
          </cell>
          <cell r="D139" t="str">
            <v>Goods</v>
          </cell>
          <cell r="E139">
            <v>28</v>
          </cell>
        </row>
        <row r="140">
          <cell r="A140">
            <v>25232910</v>
          </cell>
          <cell r="B140" t="str">
            <v>Cement</v>
          </cell>
          <cell r="C140" t="str">
            <v>NOS</v>
          </cell>
          <cell r="D140" t="str">
            <v>Goods</v>
          </cell>
          <cell r="E140">
            <v>28</v>
          </cell>
        </row>
        <row r="141">
          <cell r="A141">
            <v>27076000</v>
          </cell>
          <cell r="B141" t="str">
            <v>PHYNOIL</v>
          </cell>
          <cell r="C141" t="str">
            <v>NOS</v>
          </cell>
          <cell r="D141" t="str">
            <v>Goods</v>
          </cell>
          <cell r="E141">
            <v>18</v>
          </cell>
        </row>
        <row r="142">
          <cell r="A142">
            <v>27101980</v>
          </cell>
          <cell r="B142" t="str">
            <v>OIL</v>
          </cell>
          <cell r="C142" t="str">
            <v>LTR</v>
          </cell>
          <cell r="D142" t="str">
            <v>Goods</v>
          </cell>
          <cell r="E142">
            <v>18</v>
          </cell>
        </row>
        <row r="143">
          <cell r="A143">
            <v>27101990</v>
          </cell>
          <cell r="B143" t="str">
            <v>Fossil Fuels - Coal &amp; Petroleum</v>
          </cell>
          <cell r="C143" t="str">
            <v>KG</v>
          </cell>
          <cell r="D143" t="str">
            <v>Goods</v>
          </cell>
          <cell r="E143">
            <v>18</v>
          </cell>
        </row>
        <row r="144">
          <cell r="A144">
            <v>27111900</v>
          </cell>
          <cell r="B144" t="str">
            <v>Petroleum Gases &amp; Other</v>
          </cell>
          <cell r="C144" t="str">
            <v>NOS</v>
          </cell>
          <cell r="D144" t="str">
            <v>Goods</v>
          </cell>
          <cell r="E144">
            <v>18</v>
          </cell>
        </row>
        <row r="145">
          <cell r="A145">
            <v>28530010</v>
          </cell>
          <cell r="B145" t="str">
            <v>Distilled Water</v>
          </cell>
          <cell r="C145" t="str">
            <v>NOS</v>
          </cell>
          <cell r="D145" t="str">
            <v>Goods</v>
          </cell>
          <cell r="E145">
            <v>18</v>
          </cell>
        </row>
        <row r="146">
          <cell r="A146">
            <v>29023000</v>
          </cell>
          <cell r="B146" t="str">
            <v>Toluene</v>
          </cell>
          <cell r="C146" t="str">
            <v>NOS</v>
          </cell>
          <cell r="D146" t="str">
            <v>Goods</v>
          </cell>
          <cell r="E146">
            <v>18</v>
          </cell>
        </row>
        <row r="147">
          <cell r="A147">
            <v>29029090</v>
          </cell>
          <cell r="B147" t="str">
            <v>Lizol</v>
          </cell>
          <cell r="C147" t="str">
            <v>NOS</v>
          </cell>
          <cell r="D147" t="str">
            <v>Goods</v>
          </cell>
          <cell r="E147">
            <v>18</v>
          </cell>
        </row>
        <row r="148">
          <cell r="A148">
            <v>29041030</v>
          </cell>
          <cell r="B148" t="str">
            <v>goli</v>
          </cell>
          <cell r="C148" t="str">
            <v>NOS</v>
          </cell>
          <cell r="D148" t="str">
            <v>Goods</v>
          </cell>
          <cell r="E148">
            <v>18</v>
          </cell>
        </row>
        <row r="149">
          <cell r="A149">
            <v>29051220</v>
          </cell>
          <cell r="B149" t="str">
            <v>IPA</v>
          </cell>
          <cell r="C149" t="str">
            <v>LTR</v>
          </cell>
          <cell r="D149" t="str">
            <v>Goods</v>
          </cell>
          <cell r="E149">
            <v>18</v>
          </cell>
        </row>
        <row r="150">
          <cell r="A150">
            <v>29141100</v>
          </cell>
          <cell r="B150" t="str">
            <v>ACETONE</v>
          </cell>
          <cell r="C150" t="str">
            <v>NOS</v>
          </cell>
          <cell r="D150" t="str">
            <v>Goods</v>
          </cell>
          <cell r="E150">
            <v>18</v>
          </cell>
        </row>
        <row r="151">
          <cell r="A151">
            <v>29153100</v>
          </cell>
          <cell r="B151" t="str">
            <v>IPA</v>
          </cell>
          <cell r="C151" t="str">
            <v>NOS</v>
          </cell>
          <cell r="D151" t="str">
            <v>Goods</v>
          </cell>
          <cell r="E151">
            <v>18</v>
          </cell>
        </row>
        <row r="152">
          <cell r="A152">
            <v>29163200</v>
          </cell>
          <cell r="B152" t="str">
            <v>Others ( Paint &amp; Varnishes)</v>
          </cell>
          <cell r="C152" t="str">
            <v>NOS</v>
          </cell>
          <cell r="D152" t="str">
            <v>Goods</v>
          </cell>
          <cell r="E152">
            <v>18</v>
          </cell>
        </row>
        <row r="153">
          <cell r="A153">
            <v>29214990</v>
          </cell>
          <cell r="B153" t="str">
            <v>N C Thinner</v>
          </cell>
          <cell r="C153" t="str">
            <v>ltr</v>
          </cell>
          <cell r="D153" t="str">
            <v>Goods</v>
          </cell>
          <cell r="E153">
            <v>18</v>
          </cell>
        </row>
        <row r="154">
          <cell r="A154">
            <v>29420090</v>
          </cell>
          <cell r="B154" t="str">
            <v>IPA</v>
          </cell>
          <cell r="C154" t="str">
            <v>NOS</v>
          </cell>
          <cell r="D154" t="str">
            <v>Goods</v>
          </cell>
          <cell r="E154">
            <v>18</v>
          </cell>
        </row>
        <row r="155">
          <cell r="A155">
            <v>32041700</v>
          </cell>
          <cell r="B155" t="str">
            <v>Others ( Paint &amp; Varnishes)</v>
          </cell>
          <cell r="C155" t="str">
            <v>LTR</v>
          </cell>
          <cell r="D155" t="str">
            <v>Goods</v>
          </cell>
          <cell r="E155">
            <v>18</v>
          </cell>
        </row>
        <row r="156">
          <cell r="A156">
            <v>32081090</v>
          </cell>
          <cell r="B156" t="str">
            <v>Others ( Paint &amp; Varnishes)</v>
          </cell>
          <cell r="C156" t="str">
            <v>LTR</v>
          </cell>
          <cell r="D156" t="str">
            <v>Goods</v>
          </cell>
          <cell r="E156">
            <v>18</v>
          </cell>
        </row>
        <row r="157">
          <cell r="A157">
            <v>32082020</v>
          </cell>
          <cell r="B157" t="str">
            <v>CLEAR</v>
          </cell>
          <cell r="C157" t="str">
            <v>NOS</v>
          </cell>
          <cell r="D157" t="str">
            <v>Goods</v>
          </cell>
          <cell r="E157">
            <v>18</v>
          </cell>
        </row>
        <row r="158">
          <cell r="A158">
            <v>32082090</v>
          </cell>
          <cell r="B158" t="str">
            <v>Others ( Paint &amp; Varnishes)</v>
          </cell>
          <cell r="C158" t="str">
            <v>LTR</v>
          </cell>
          <cell r="D158" t="str">
            <v>Goods</v>
          </cell>
          <cell r="E158">
            <v>18</v>
          </cell>
        </row>
        <row r="159">
          <cell r="A159">
            <v>32089022</v>
          </cell>
          <cell r="B159" t="str">
            <v>Others ( Paint &amp; Varnishes)</v>
          </cell>
          <cell r="C159" t="str">
            <v>NOS</v>
          </cell>
          <cell r="D159" t="str">
            <v>Goods</v>
          </cell>
          <cell r="E159">
            <v>28</v>
          </cell>
        </row>
        <row r="160">
          <cell r="A160">
            <v>32089029</v>
          </cell>
          <cell r="B160" t="str">
            <v>CLEAR</v>
          </cell>
          <cell r="C160" t="str">
            <v>NOS</v>
          </cell>
          <cell r="D160" t="str">
            <v>Goods</v>
          </cell>
          <cell r="E160">
            <v>18</v>
          </cell>
        </row>
        <row r="161">
          <cell r="A161">
            <v>32089090</v>
          </cell>
          <cell r="B161" t="str">
            <v>Others ( Paint &amp; Varnishes)</v>
          </cell>
          <cell r="C161" t="str">
            <v>NOS</v>
          </cell>
          <cell r="D161" t="str">
            <v>Goods</v>
          </cell>
          <cell r="E161">
            <v>18</v>
          </cell>
        </row>
        <row r="162">
          <cell r="A162">
            <v>32129090</v>
          </cell>
          <cell r="B162" t="str">
            <v>tintrs</v>
          </cell>
          <cell r="C162" t="str">
            <v>LTR</v>
          </cell>
          <cell r="D162" t="str">
            <v>Goods</v>
          </cell>
          <cell r="E162">
            <v>18</v>
          </cell>
        </row>
        <row r="163">
          <cell r="A163">
            <v>32149090</v>
          </cell>
          <cell r="B163" t="str">
            <v>putty</v>
          </cell>
          <cell r="C163" t="str">
            <v>NOS</v>
          </cell>
          <cell r="D163" t="str">
            <v>Goods</v>
          </cell>
          <cell r="E163">
            <v>18</v>
          </cell>
        </row>
        <row r="164">
          <cell r="A164">
            <v>32159090</v>
          </cell>
          <cell r="B164" t="str">
            <v>Printing Ink, Writing Or Drawing Ink and Other Inks,</v>
          </cell>
          <cell r="C164" t="str">
            <v>NOS</v>
          </cell>
          <cell r="D164" t="str">
            <v>Goods</v>
          </cell>
          <cell r="E164">
            <v>12</v>
          </cell>
        </row>
        <row r="165">
          <cell r="A165">
            <v>33074900</v>
          </cell>
          <cell r="B165" t="str">
            <v>Room Fre</v>
          </cell>
          <cell r="C165" t="str">
            <v>NOS</v>
          </cell>
          <cell r="D165" t="str">
            <v>Goods</v>
          </cell>
          <cell r="E165">
            <v>18</v>
          </cell>
        </row>
        <row r="166">
          <cell r="A166">
            <v>34011190</v>
          </cell>
          <cell r="B166" t="str">
            <v>Detol hand wash</v>
          </cell>
          <cell r="C166" t="str">
            <v>NOS</v>
          </cell>
          <cell r="D166" t="str">
            <v>Goods</v>
          </cell>
          <cell r="E166">
            <v>18</v>
          </cell>
        </row>
        <row r="167">
          <cell r="A167">
            <v>34012000</v>
          </cell>
          <cell r="B167" t="str">
            <v>Wheel Powder</v>
          </cell>
          <cell r="C167" t="str">
            <v>NOS</v>
          </cell>
          <cell r="D167" t="str">
            <v>Goods</v>
          </cell>
          <cell r="E167">
            <v>18</v>
          </cell>
        </row>
        <row r="168">
          <cell r="A168">
            <v>34022090</v>
          </cell>
          <cell r="B168" t="str">
            <v>colin spray</v>
          </cell>
          <cell r="C168" t="str">
            <v>NOS</v>
          </cell>
          <cell r="D168" t="str">
            <v>Goods</v>
          </cell>
          <cell r="E168">
            <v>18</v>
          </cell>
        </row>
        <row r="169">
          <cell r="A169">
            <v>34029092</v>
          </cell>
          <cell r="B169" t="str">
            <v>Degreasing</v>
          </cell>
          <cell r="C169" t="str">
            <v>KG</v>
          </cell>
          <cell r="D169" t="str">
            <v>Goods</v>
          </cell>
          <cell r="E169">
            <v>18</v>
          </cell>
        </row>
        <row r="170">
          <cell r="A170">
            <v>34029099</v>
          </cell>
          <cell r="B170" t="str">
            <v>Degreasing</v>
          </cell>
          <cell r="C170" t="str">
            <v>KG</v>
          </cell>
          <cell r="D170" t="str">
            <v>Goods</v>
          </cell>
          <cell r="E170">
            <v>18</v>
          </cell>
        </row>
        <row r="171">
          <cell r="A171">
            <v>34039900</v>
          </cell>
          <cell r="B171" t="str">
            <v>Petroleum Oils Or of Oils Obtained</v>
          </cell>
          <cell r="C171" t="str">
            <v>NOS</v>
          </cell>
          <cell r="D171" t="str">
            <v>Goods</v>
          </cell>
          <cell r="E171">
            <v>28</v>
          </cell>
        </row>
        <row r="172">
          <cell r="A172" t="str">
            <v>34039900/</v>
          </cell>
          <cell r="B172" t="str">
            <v>Petroleum Oils Or of Oils Obtained</v>
          </cell>
          <cell r="C172" t="str">
            <v>NOS</v>
          </cell>
          <cell r="D172" t="str">
            <v>Goods</v>
          </cell>
          <cell r="E172">
            <v>18</v>
          </cell>
        </row>
        <row r="173">
          <cell r="A173">
            <v>37079090</v>
          </cell>
          <cell r="B173" t="str">
            <v>Parts &amp; Accessories Of Other Cover</v>
          </cell>
          <cell r="C173" t="str">
            <v>NOS</v>
          </cell>
          <cell r="D173" t="str">
            <v>Goods</v>
          </cell>
          <cell r="E173">
            <v>18</v>
          </cell>
        </row>
        <row r="174">
          <cell r="A174">
            <v>38089191</v>
          </cell>
          <cell r="B174" t="str">
            <v>Insecticides, Artificial Carbon &amp; Graphite</v>
          </cell>
          <cell r="C174" t="str">
            <v>NOS</v>
          </cell>
          <cell r="D174" t="str">
            <v>Goods</v>
          </cell>
          <cell r="E174">
            <v>5</v>
          </cell>
        </row>
        <row r="175">
          <cell r="A175">
            <v>38089199</v>
          </cell>
          <cell r="B175" t="str">
            <v>Liquid</v>
          </cell>
          <cell r="C175" t="str">
            <v>NOS</v>
          </cell>
          <cell r="D175" t="str">
            <v>Goods</v>
          </cell>
          <cell r="E175">
            <v>28</v>
          </cell>
        </row>
        <row r="176">
          <cell r="A176">
            <v>38119000</v>
          </cell>
          <cell r="B176" t="str">
            <v>Liquid</v>
          </cell>
          <cell r="C176" t="str">
            <v>NOS</v>
          </cell>
          <cell r="D176" t="str">
            <v>Goods</v>
          </cell>
          <cell r="E176">
            <v>18</v>
          </cell>
        </row>
        <row r="177">
          <cell r="A177">
            <v>38140010</v>
          </cell>
          <cell r="B177" t="str">
            <v>Misc Chemical Products Thinner</v>
          </cell>
          <cell r="C177" t="str">
            <v>LTR</v>
          </cell>
          <cell r="D177" t="str">
            <v>Goods</v>
          </cell>
          <cell r="E177">
            <v>18</v>
          </cell>
        </row>
        <row r="178">
          <cell r="A178">
            <v>38140020</v>
          </cell>
          <cell r="B178" t="str">
            <v>TINNER</v>
          </cell>
          <cell r="C178" t="str">
            <v>LTR</v>
          </cell>
          <cell r="D178" t="str">
            <v>Goods</v>
          </cell>
          <cell r="E178">
            <v>18</v>
          </cell>
        </row>
        <row r="179">
          <cell r="A179">
            <v>38240000</v>
          </cell>
          <cell r="B179" t="str">
            <v>oil</v>
          </cell>
          <cell r="C179" t="str">
            <v>LTR</v>
          </cell>
          <cell r="D179" t="str">
            <v>Goods</v>
          </cell>
          <cell r="E179">
            <v>18</v>
          </cell>
        </row>
        <row r="180">
          <cell r="A180">
            <v>38245010</v>
          </cell>
          <cell r="B180" t="str">
            <v>RMC</v>
          </cell>
          <cell r="C180" t="str">
            <v>NOS</v>
          </cell>
          <cell r="D180" t="str">
            <v>Goods</v>
          </cell>
          <cell r="E180">
            <v>18</v>
          </cell>
        </row>
        <row r="181">
          <cell r="A181">
            <v>38249024</v>
          </cell>
          <cell r="B181" t="str">
            <v>Whitener</v>
          </cell>
          <cell r="C181" t="str">
            <v>NOS</v>
          </cell>
          <cell r="D181" t="str">
            <v>Goods</v>
          </cell>
          <cell r="E181">
            <v>12</v>
          </cell>
        </row>
        <row r="182">
          <cell r="A182">
            <v>38249090</v>
          </cell>
          <cell r="B182" t="str">
            <v>hadner</v>
          </cell>
          <cell r="C182" t="str">
            <v>LTR</v>
          </cell>
          <cell r="D182" t="str">
            <v>Goods</v>
          </cell>
          <cell r="E182">
            <v>18</v>
          </cell>
        </row>
        <row r="183">
          <cell r="A183">
            <v>38249990</v>
          </cell>
          <cell r="B183" t="str">
            <v>Others ( Paint &amp; Varnishes)</v>
          </cell>
          <cell r="C183" t="str">
            <v>LTR</v>
          </cell>
          <cell r="D183" t="str">
            <v>Goods</v>
          </cell>
          <cell r="E183">
            <v>18</v>
          </cell>
        </row>
        <row r="184">
          <cell r="A184">
            <v>39073090</v>
          </cell>
          <cell r="B184" t="str">
            <v>Others ( Paint &amp; Varnishes)</v>
          </cell>
          <cell r="C184" t="str">
            <v>LTR</v>
          </cell>
          <cell r="D184" t="str">
            <v>Goods</v>
          </cell>
          <cell r="E184">
            <v>18</v>
          </cell>
        </row>
        <row r="185">
          <cell r="A185">
            <v>39119090</v>
          </cell>
          <cell r="B185" t="str">
            <v>Others ( Paint &amp; Varnishes)</v>
          </cell>
          <cell r="C185" t="str">
            <v>LTR</v>
          </cell>
          <cell r="D185" t="str">
            <v>Goods</v>
          </cell>
          <cell r="E185">
            <v>18</v>
          </cell>
        </row>
        <row r="186">
          <cell r="A186">
            <v>39173100</v>
          </cell>
          <cell r="B186" t="str">
            <v>Tubes, Pipes and Hoses, and Fittings</v>
          </cell>
          <cell r="C186" t="str">
            <v>NOS</v>
          </cell>
          <cell r="D186" t="str">
            <v>Goods</v>
          </cell>
          <cell r="E186">
            <v>18</v>
          </cell>
        </row>
        <row r="187">
          <cell r="A187">
            <v>39172310</v>
          </cell>
          <cell r="B187" t="str">
            <v>Tubes, Pipes and Hoses, and Fittings</v>
          </cell>
          <cell r="C187" t="str">
            <v>NOS</v>
          </cell>
          <cell r="D187" t="str">
            <v>Goods</v>
          </cell>
          <cell r="E187">
            <v>18</v>
          </cell>
        </row>
        <row r="188">
          <cell r="A188">
            <v>39172190</v>
          </cell>
          <cell r="B188" t="str">
            <v>Tubes, Pipes and Hoses, and Fittings</v>
          </cell>
          <cell r="C188" t="str">
            <v>NOS</v>
          </cell>
          <cell r="D188" t="str">
            <v>Goods</v>
          </cell>
          <cell r="E188">
            <v>18</v>
          </cell>
        </row>
        <row r="189">
          <cell r="A189">
            <v>39174000</v>
          </cell>
          <cell r="B189" t="str">
            <v>Tubes, Pipes and Hoses, and Fittings</v>
          </cell>
          <cell r="C189" t="str">
            <v>NOS</v>
          </cell>
          <cell r="D189" t="str">
            <v>Goods</v>
          </cell>
          <cell r="E189">
            <v>18</v>
          </cell>
        </row>
        <row r="190">
          <cell r="A190">
            <v>39199010</v>
          </cell>
          <cell r="B190" t="str">
            <v>Seat Tapes</v>
          </cell>
          <cell r="C190" t="str">
            <v>NOS</v>
          </cell>
          <cell r="D190" t="str">
            <v>Goods</v>
          </cell>
          <cell r="E190">
            <v>18</v>
          </cell>
        </row>
        <row r="191">
          <cell r="A191">
            <v>39199090</v>
          </cell>
          <cell r="B191" t="str">
            <v>Parts &amp; Accessories Of Motor Vehicles Other</v>
          </cell>
          <cell r="C191" t="str">
            <v>NOS</v>
          </cell>
          <cell r="D191" t="str">
            <v>Goods</v>
          </cell>
          <cell r="E191">
            <v>18</v>
          </cell>
        </row>
        <row r="192">
          <cell r="A192">
            <v>39199099</v>
          </cell>
          <cell r="B192" t="str">
            <v>Bopp Tapes</v>
          </cell>
          <cell r="C192" t="str">
            <v>NOS</v>
          </cell>
          <cell r="D192" t="str">
            <v>Goods</v>
          </cell>
          <cell r="E192">
            <v>18</v>
          </cell>
        </row>
        <row r="193">
          <cell r="A193">
            <v>39201091</v>
          </cell>
          <cell r="B193" t="str">
            <v xml:space="preserve">Bubble </v>
          </cell>
          <cell r="C193" t="str">
            <v>NOS</v>
          </cell>
          <cell r="D193" t="str">
            <v>Goods</v>
          </cell>
          <cell r="E193">
            <v>18</v>
          </cell>
        </row>
        <row r="194">
          <cell r="A194">
            <v>39206290</v>
          </cell>
          <cell r="B194" t="str">
            <v>FILM</v>
          </cell>
          <cell r="C194" t="str">
            <v>NOS</v>
          </cell>
          <cell r="D194" t="str">
            <v>Goods</v>
          </cell>
          <cell r="E194">
            <v>18</v>
          </cell>
        </row>
        <row r="195">
          <cell r="A195">
            <v>39209949</v>
          </cell>
          <cell r="B195" t="str">
            <v>Tools for working</v>
          </cell>
          <cell r="C195" t="str">
            <v>NOS</v>
          </cell>
          <cell r="D195" t="str">
            <v>Goods</v>
          </cell>
          <cell r="E195">
            <v>18</v>
          </cell>
        </row>
        <row r="196">
          <cell r="A196">
            <v>39232100</v>
          </cell>
          <cell r="B196" t="str">
            <v>Self-Adhesive Tape</v>
          </cell>
          <cell r="C196" t="str">
            <v>NOS</v>
          </cell>
          <cell r="D196" t="str">
            <v>Goods</v>
          </cell>
          <cell r="E196">
            <v>28</v>
          </cell>
        </row>
        <row r="197">
          <cell r="A197" t="str">
            <v>39239090</v>
          </cell>
          <cell r="B197" t="str">
            <v>Bubble Bag</v>
          </cell>
          <cell r="C197" t="str">
            <v>NOS</v>
          </cell>
          <cell r="D197" t="str">
            <v>Goods</v>
          </cell>
          <cell r="E197">
            <v>18</v>
          </cell>
        </row>
        <row r="198">
          <cell r="A198">
            <v>39269099</v>
          </cell>
          <cell r="B198" t="str">
            <v>Parts &amp; Accessories Of Motor Vehicles Other</v>
          </cell>
          <cell r="C198" t="str">
            <v>NOS</v>
          </cell>
          <cell r="D198" t="str">
            <v>Goods</v>
          </cell>
          <cell r="E198">
            <v>28</v>
          </cell>
        </row>
        <row r="199">
          <cell r="A199" t="str">
            <v>39269099/</v>
          </cell>
          <cell r="B199" t="str">
            <v>Parts &amp; Accessories Of Motor Vehicles Other</v>
          </cell>
          <cell r="C199" t="str">
            <v>NOS</v>
          </cell>
          <cell r="D199" t="str">
            <v>Goods</v>
          </cell>
          <cell r="E199">
            <v>18</v>
          </cell>
        </row>
        <row r="200">
          <cell r="A200">
            <v>40119320</v>
          </cell>
          <cell r="B200" t="str">
            <v>New pneumatic tyres</v>
          </cell>
          <cell r="C200" t="str">
            <v>NOS</v>
          </cell>
          <cell r="D200" t="str">
            <v>Goods</v>
          </cell>
          <cell r="E200">
            <v>28</v>
          </cell>
        </row>
        <row r="201">
          <cell r="A201">
            <v>40151100</v>
          </cell>
          <cell r="B201" t="str">
            <v>Hand Glove</v>
          </cell>
          <cell r="C201" t="str">
            <v>NOS</v>
          </cell>
          <cell r="D201" t="str">
            <v>Goods</v>
          </cell>
          <cell r="E201">
            <v>12</v>
          </cell>
        </row>
        <row r="202">
          <cell r="A202">
            <v>40151900</v>
          </cell>
          <cell r="B202" t="str">
            <v>Nitrial Glove</v>
          </cell>
          <cell r="C202" t="str">
            <v>NOS</v>
          </cell>
          <cell r="D202" t="str">
            <v>Goods</v>
          </cell>
          <cell r="E202">
            <v>28</v>
          </cell>
        </row>
        <row r="203">
          <cell r="A203">
            <v>40159030</v>
          </cell>
          <cell r="B203" t="str">
            <v>Finger</v>
          </cell>
          <cell r="C203" t="str">
            <v>NOS</v>
          </cell>
          <cell r="D203" t="str">
            <v>Goods</v>
          </cell>
          <cell r="E203">
            <v>18</v>
          </cell>
        </row>
        <row r="204">
          <cell r="A204">
            <v>40169320</v>
          </cell>
          <cell r="B204" t="str">
            <v>Adapter</v>
          </cell>
          <cell r="C204" t="str">
            <v>NOS</v>
          </cell>
          <cell r="D204" t="str">
            <v>Goods</v>
          </cell>
          <cell r="E204">
            <v>18</v>
          </cell>
        </row>
        <row r="205">
          <cell r="A205">
            <v>40169330</v>
          </cell>
          <cell r="B205" t="str">
            <v>SEAL</v>
          </cell>
          <cell r="C205" t="str">
            <v>NOS</v>
          </cell>
          <cell r="D205" t="str">
            <v>Goods</v>
          </cell>
          <cell r="E205">
            <v>18</v>
          </cell>
        </row>
        <row r="206">
          <cell r="A206">
            <v>40169990</v>
          </cell>
          <cell r="B206" t="str">
            <v>IWATE MAKE</v>
          </cell>
          <cell r="C206" t="str">
            <v>NOS</v>
          </cell>
          <cell r="D206" t="str">
            <v>Goods</v>
          </cell>
          <cell r="E206">
            <v>18</v>
          </cell>
        </row>
        <row r="207">
          <cell r="A207">
            <v>42034010</v>
          </cell>
          <cell r="B207" t="str">
            <v>Apron</v>
          </cell>
          <cell r="C207" t="str">
            <v>NOS</v>
          </cell>
          <cell r="D207" t="str">
            <v>Goods</v>
          </cell>
          <cell r="E207">
            <v>5</v>
          </cell>
        </row>
        <row r="208">
          <cell r="A208">
            <v>43039000</v>
          </cell>
          <cell r="B208" t="str">
            <v>LAMBSWOOD</v>
          </cell>
          <cell r="C208" t="str">
            <v>NOS</v>
          </cell>
          <cell r="D208" t="str">
            <v>Goods</v>
          </cell>
          <cell r="E208">
            <v>18</v>
          </cell>
        </row>
        <row r="209">
          <cell r="A209">
            <v>48021010</v>
          </cell>
          <cell r="B209" t="str">
            <v>XEROX PEPAR</v>
          </cell>
          <cell r="C209" t="str">
            <v>NOS</v>
          </cell>
          <cell r="D209" t="str">
            <v>Goods</v>
          </cell>
          <cell r="E209">
            <v>12</v>
          </cell>
        </row>
        <row r="210">
          <cell r="A210">
            <v>48025690</v>
          </cell>
          <cell r="B210" t="str">
            <v>Uncoated Paper and Paperboard,</v>
          </cell>
          <cell r="C210" t="str">
            <v>NOS</v>
          </cell>
          <cell r="D210" t="str">
            <v>Goods</v>
          </cell>
          <cell r="E210">
            <v>12</v>
          </cell>
        </row>
        <row r="211">
          <cell r="A211">
            <v>48114100</v>
          </cell>
          <cell r="B211" t="str">
            <v>Self-Adhesive Tape</v>
          </cell>
          <cell r="C211" t="str">
            <v>NOS</v>
          </cell>
          <cell r="D211" t="str">
            <v>Goods</v>
          </cell>
          <cell r="E211">
            <v>18</v>
          </cell>
        </row>
        <row r="212">
          <cell r="A212">
            <v>48171000</v>
          </cell>
          <cell r="B212" t="str">
            <v>Lighting &amp; Fitting</v>
          </cell>
          <cell r="C212" t="str">
            <v>NOS</v>
          </cell>
          <cell r="D212" t="str">
            <v>Goods</v>
          </cell>
          <cell r="E212">
            <v>28</v>
          </cell>
        </row>
        <row r="213">
          <cell r="A213">
            <v>48196000</v>
          </cell>
          <cell r="B213" t="str">
            <v>Box Files</v>
          </cell>
          <cell r="C213" t="str">
            <v>NOS</v>
          </cell>
          <cell r="D213" t="str">
            <v>Goods</v>
          </cell>
          <cell r="E213">
            <v>18</v>
          </cell>
        </row>
        <row r="214">
          <cell r="A214">
            <v>48201010</v>
          </cell>
          <cell r="B214" t="str">
            <v>round stircer</v>
          </cell>
          <cell r="C214" t="str">
            <v>NOS</v>
          </cell>
          <cell r="D214" t="str">
            <v>Goods</v>
          </cell>
          <cell r="E214">
            <v>18</v>
          </cell>
        </row>
        <row r="215">
          <cell r="A215">
            <v>48209090</v>
          </cell>
          <cell r="B215" t="str">
            <v>PASS</v>
          </cell>
          <cell r="C215" t="str">
            <v>NOS</v>
          </cell>
          <cell r="D215" t="str">
            <v>Goods</v>
          </cell>
          <cell r="E215">
            <v>18</v>
          </cell>
        </row>
        <row r="216">
          <cell r="A216">
            <v>48211020</v>
          </cell>
          <cell r="B216" t="str">
            <v>Paper Or Paperboard Labels</v>
          </cell>
          <cell r="C216" t="str">
            <v>NOS</v>
          </cell>
          <cell r="D216" t="str">
            <v>Goods</v>
          </cell>
          <cell r="E216">
            <v>18</v>
          </cell>
        </row>
        <row r="217">
          <cell r="A217">
            <v>48211090</v>
          </cell>
          <cell r="B217" t="str">
            <v>Pre-Dispatch</v>
          </cell>
          <cell r="C217" t="str">
            <v>NOS</v>
          </cell>
          <cell r="D217" t="str">
            <v>Goods</v>
          </cell>
          <cell r="E217">
            <v>18</v>
          </cell>
        </row>
        <row r="218">
          <cell r="A218">
            <v>59111000</v>
          </cell>
          <cell r="B218" t="str">
            <v>Tackrog</v>
          </cell>
          <cell r="C218" t="str">
            <v>NOS</v>
          </cell>
          <cell r="D218" t="str">
            <v>Goods</v>
          </cell>
          <cell r="E218">
            <v>12</v>
          </cell>
        </row>
        <row r="219">
          <cell r="A219">
            <v>59114000</v>
          </cell>
          <cell r="B219" t="str">
            <v>Tackrog</v>
          </cell>
          <cell r="C219" t="str">
            <v>NOS</v>
          </cell>
          <cell r="D219" t="str">
            <v>Goods</v>
          </cell>
          <cell r="E219">
            <v>18</v>
          </cell>
        </row>
        <row r="220">
          <cell r="A220">
            <v>60060000</v>
          </cell>
          <cell r="B220" t="str">
            <v>Cloth Lint</v>
          </cell>
          <cell r="C220" t="str">
            <v>Mtr</v>
          </cell>
          <cell r="D220" t="str">
            <v>Goods</v>
          </cell>
          <cell r="E220">
            <v>5</v>
          </cell>
        </row>
        <row r="221">
          <cell r="A221">
            <v>85389000</v>
          </cell>
          <cell r="B221" t="str">
            <v>MCB</v>
          </cell>
          <cell r="C221" t="str">
            <v>NOS</v>
          </cell>
          <cell r="D221" t="str">
            <v>Goods</v>
          </cell>
          <cell r="E221">
            <v>18</v>
          </cell>
        </row>
        <row r="222">
          <cell r="A222">
            <v>60060000</v>
          </cell>
          <cell r="B222" t="str">
            <v>LINT FREE</v>
          </cell>
          <cell r="C222" t="str">
            <v>NOS</v>
          </cell>
          <cell r="D222" t="str">
            <v>Goods</v>
          </cell>
          <cell r="E222">
            <v>5</v>
          </cell>
        </row>
        <row r="223">
          <cell r="A223">
            <v>61169200</v>
          </cell>
          <cell r="B223" t="str">
            <v>Cotton Gloves</v>
          </cell>
          <cell r="C223" t="str">
            <v>NOS</v>
          </cell>
          <cell r="D223" t="str">
            <v>Goods</v>
          </cell>
          <cell r="E223">
            <v>5</v>
          </cell>
        </row>
        <row r="224">
          <cell r="A224">
            <v>62160010</v>
          </cell>
          <cell r="B224" t="str">
            <v>Cotton Gloves</v>
          </cell>
          <cell r="C224" t="str">
            <v>NOS</v>
          </cell>
          <cell r="D224" t="str">
            <v>Goods</v>
          </cell>
          <cell r="E224">
            <v>5</v>
          </cell>
        </row>
        <row r="225">
          <cell r="A225">
            <v>63071030</v>
          </cell>
          <cell r="B225" t="str">
            <v>Apron</v>
          </cell>
          <cell r="C225" t="str">
            <v>NOS</v>
          </cell>
          <cell r="D225" t="str">
            <v>Goods</v>
          </cell>
          <cell r="E225">
            <v>5</v>
          </cell>
        </row>
        <row r="226">
          <cell r="A226">
            <v>63071090</v>
          </cell>
          <cell r="B226" t="str">
            <v>White Napkin</v>
          </cell>
          <cell r="C226" t="str">
            <v>NOS</v>
          </cell>
          <cell r="D226" t="str">
            <v>Goods</v>
          </cell>
          <cell r="E226">
            <v>18</v>
          </cell>
        </row>
        <row r="227">
          <cell r="A227">
            <v>63079090</v>
          </cell>
          <cell r="B227" t="str">
            <v>Mask</v>
          </cell>
          <cell r="C227" t="str">
            <v>NOS</v>
          </cell>
          <cell r="D227" t="str">
            <v>Goods</v>
          </cell>
          <cell r="E227">
            <v>5</v>
          </cell>
        </row>
        <row r="228">
          <cell r="A228">
            <v>64011090</v>
          </cell>
          <cell r="B228" t="str">
            <v>Waterproof Footwear with Outer Soles and Uppers of Rubber</v>
          </cell>
          <cell r="D228" t="str">
            <v>Goods</v>
          </cell>
          <cell r="E228">
            <v>5</v>
          </cell>
        </row>
        <row r="229">
          <cell r="A229">
            <v>68052090</v>
          </cell>
          <cell r="B229" t="str">
            <v>Polish Paper</v>
          </cell>
          <cell r="C229" t="str">
            <v>NOS</v>
          </cell>
          <cell r="D229" t="str">
            <v>Goods</v>
          </cell>
          <cell r="E229">
            <v>18</v>
          </cell>
        </row>
        <row r="230">
          <cell r="A230">
            <v>68053050</v>
          </cell>
          <cell r="B230" t="str">
            <v>Wiper</v>
          </cell>
          <cell r="C230" t="str">
            <v>NOS</v>
          </cell>
          <cell r="D230" t="str">
            <v>Goods</v>
          </cell>
          <cell r="E230">
            <v>18</v>
          </cell>
        </row>
        <row r="231">
          <cell r="A231">
            <v>68129922</v>
          </cell>
          <cell r="B231" t="str">
            <v>Tools for working</v>
          </cell>
          <cell r="C231" t="str">
            <v>NOS</v>
          </cell>
          <cell r="D231" t="str">
            <v>Goods</v>
          </cell>
          <cell r="E231">
            <v>18</v>
          </cell>
        </row>
        <row r="232">
          <cell r="A232">
            <v>72122090</v>
          </cell>
          <cell r="B232" t="str">
            <v>PATTI</v>
          </cell>
          <cell r="C232" t="str">
            <v>NOS</v>
          </cell>
          <cell r="D232" t="str">
            <v>Goods</v>
          </cell>
          <cell r="E232">
            <v>18</v>
          </cell>
        </row>
        <row r="233">
          <cell r="A233">
            <v>73089090</v>
          </cell>
          <cell r="B233" t="str">
            <v>TRAY</v>
          </cell>
          <cell r="C233" t="str">
            <v>NOS</v>
          </cell>
          <cell r="D233" t="str">
            <v>Goods</v>
          </cell>
          <cell r="E233">
            <v>18</v>
          </cell>
        </row>
        <row r="234">
          <cell r="A234">
            <v>73110090</v>
          </cell>
          <cell r="B234" t="str">
            <v>AIR</v>
          </cell>
          <cell r="C234" t="str">
            <v>NOS</v>
          </cell>
          <cell r="D234" t="str">
            <v>Goods</v>
          </cell>
          <cell r="E234">
            <v>18</v>
          </cell>
        </row>
        <row r="235">
          <cell r="A235">
            <v>73110010</v>
          </cell>
          <cell r="B235" t="str">
            <v>LPG</v>
          </cell>
          <cell r="C235" t="str">
            <v>NOS</v>
          </cell>
          <cell r="D235" t="str">
            <v>Goods</v>
          </cell>
          <cell r="E235">
            <v>18</v>
          </cell>
        </row>
        <row r="236">
          <cell r="A236">
            <v>73182100</v>
          </cell>
          <cell r="B236" t="str">
            <v>CLIP</v>
          </cell>
          <cell r="C236" t="str">
            <v>NOS</v>
          </cell>
          <cell r="D236" t="str">
            <v>Goods</v>
          </cell>
          <cell r="E236">
            <v>18</v>
          </cell>
        </row>
        <row r="237">
          <cell r="A237">
            <v>73072200</v>
          </cell>
          <cell r="B237" t="str">
            <v>including spring washers</v>
          </cell>
          <cell r="C237" t="str">
            <v>NOS</v>
          </cell>
          <cell r="D237" t="str">
            <v>Goods</v>
          </cell>
          <cell r="E237">
            <v>18</v>
          </cell>
        </row>
        <row r="238">
          <cell r="A238">
            <v>73182200</v>
          </cell>
          <cell r="B238" t="str">
            <v>including spring washers</v>
          </cell>
          <cell r="C238" t="str">
            <v>NOS</v>
          </cell>
          <cell r="D238" t="str">
            <v>Goods</v>
          </cell>
          <cell r="E238">
            <v>18</v>
          </cell>
        </row>
        <row r="239">
          <cell r="A239">
            <v>73181500</v>
          </cell>
          <cell r="B239" t="str">
            <v>including spring washers</v>
          </cell>
          <cell r="C239" t="str">
            <v>NOS</v>
          </cell>
          <cell r="D239" t="str">
            <v>Goods</v>
          </cell>
          <cell r="E239">
            <v>18</v>
          </cell>
        </row>
        <row r="240">
          <cell r="A240">
            <v>73259999</v>
          </cell>
          <cell r="B240" t="str">
            <v>MAKE BALL</v>
          </cell>
          <cell r="C240" t="str">
            <v>NOS</v>
          </cell>
          <cell r="D240" t="str">
            <v>Goods</v>
          </cell>
          <cell r="E240">
            <v>18</v>
          </cell>
        </row>
        <row r="241">
          <cell r="A241">
            <v>74122012</v>
          </cell>
          <cell r="B241" t="str">
            <v>ELBOW</v>
          </cell>
          <cell r="C241" t="str">
            <v>NOS</v>
          </cell>
          <cell r="D241" t="str">
            <v>Goods</v>
          </cell>
          <cell r="E241">
            <v>18</v>
          </cell>
        </row>
        <row r="242">
          <cell r="A242">
            <v>76071994</v>
          </cell>
          <cell r="B242" t="str">
            <v>DIE CUTS</v>
          </cell>
          <cell r="C242" t="str">
            <v>NOS</v>
          </cell>
          <cell r="D242" t="str">
            <v>Goods</v>
          </cell>
          <cell r="E242">
            <v>18</v>
          </cell>
        </row>
        <row r="243">
          <cell r="A243">
            <v>82055990</v>
          </cell>
          <cell r="B243" t="str">
            <v>Lambi Patti</v>
          </cell>
          <cell r="C243" t="str">
            <v>NOS</v>
          </cell>
          <cell r="D243" t="str">
            <v>Goods</v>
          </cell>
          <cell r="E243">
            <v>18</v>
          </cell>
        </row>
        <row r="244">
          <cell r="A244">
            <v>84211100</v>
          </cell>
          <cell r="B244" t="str">
            <v>ECO DRAIN</v>
          </cell>
          <cell r="C244" t="str">
            <v>NOS</v>
          </cell>
          <cell r="D244" t="str">
            <v>Goods</v>
          </cell>
          <cell r="E244">
            <v>18</v>
          </cell>
        </row>
        <row r="245">
          <cell r="A245">
            <v>84818010</v>
          </cell>
          <cell r="B245" t="str">
            <v>STAINER</v>
          </cell>
          <cell r="C245" t="str">
            <v>NOS</v>
          </cell>
          <cell r="D245" t="str">
            <v>Goods</v>
          </cell>
          <cell r="E245">
            <v>18</v>
          </cell>
        </row>
        <row r="246">
          <cell r="A246">
            <v>84137010</v>
          </cell>
          <cell r="B246" t="str">
            <v>Power driven pumps</v>
          </cell>
          <cell r="C246" t="str">
            <v>NOS</v>
          </cell>
          <cell r="D246" t="str">
            <v>Goods</v>
          </cell>
          <cell r="E246">
            <v>12</v>
          </cell>
        </row>
        <row r="247">
          <cell r="A247">
            <v>84149019</v>
          </cell>
          <cell r="B247" t="str">
            <v>Parts of Air Or Vacuum Pumps and Compressors of Bicycle Pumps</v>
          </cell>
          <cell r="C247" t="str">
            <v>NOS</v>
          </cell>
          <cell r="D247" t="str">
            <v>Goods</v>
          </cell>
          <cell r="E247">
            <v>28</v>
          </cell>
        </row>
        <row r="248">
          <cell r="A248">
            <v>84145120</v>
          </cell>
          <cell r="B248" t="str">
            <v>Centrifuges, Including Centrifugal Dryers;</v>
          </cell>
          <cell r="C248" t="str">
            <v>NOS</v>
          </cell>
          <cell r="D248" t="str">
            <v>Goods</v>
          </cell>
          <cell r="E248">
            <v>18</v>
          </cell>
        </row>
        <row r="249">
          <cell r="A249" t="str">
            <v>84149019/</v>
          </cell>
          <cell r="B249" t="str">
            <v>Parts of Air Or Vacuum Pumps and Compressors of Bicycle Pumps</v>
          </cell>
          <cell r="C249" t="str">
            <v>NOS</v>
          </cell>
          <cell r="D249" t="str">
            <v>Goods</v>
          </cell>
          <cell r="E249">
            <v>18</v>
          </cell>
        </row>
        <row r="250">
          <cell r="A250">
            <v>84212900</v>
          </cell>
          <cell r="B250" t="str">
            <v>Centrifuges, Including Centrifugal Dryers;</v>
          </cell>
          <cell r="C250" t="str">
            <v>NOS</v>
          </cell>
          <cell r="D250" t="str">
            <v>Goods</v>
          </cell>
          <cell r="E250">
            <v>18</v>
          </cell>
        </row>
        <row r="251">
          <cell r="A251">
            <v>84213920</v>
          </cell>
          <cell r="B251" t="str">
            <v>Filters</v>
          </cell>
          <cell r="C251" t="str">
            <v>NOS</v>
          </cell>
          <cell r="D251" t="str">
            <v>Goods</v>
          </cell>
          <cell r="E251">
            <v>18</v>
          </cell>
        </row>
        <row r="252">
          <cell r="A252">
            <v>84219100</v>
          </cell>
          <cell r="B252" t="str">
            <v>REGULATOR</v>
          </cell>
          <cell r="C252" t="str">
            <v>NOS</v>
          </cell>
          <cell r="D252" t="str">
            <v>Goods</v>
          </cell>
          <cell r="E252">
            <v>18</v>
          </cell>
        </row>
        <row r="253">
          <cell r="A253">
            <v>84224000</v>
          </cell>
          <cell r="B253" t="str">
            <v>Conveyor</v>
          </cell>
          <cell r="C253" t="str">
            <v>NOS</v>
          </cell>
          <cell r="D253" t="str">
            <v>Goods</v>
          </cell>
          <cell r="E253">
            <v>18</v>
          </cell>
        </row>
        <row r="254">
          <cell r="A254">
            <v>84242000</v>
          </cell>
          <cell r="B254" t="str">
            <v>Parts &amp; Accessories Of Motor Vehicles Other</v>
          </cell>
          <cell r="C254" t="str">
            <v>NOS</v>
          </cell>
          <cell r="D254" t="str">
            <v>Goods</v>
          </cell>
          <cell r="E254">
            <v>18</v>
          </cell>
        </row>
        <row r="255">
          <cell r="A255">
            <v>84248910</v>
          </cell>
          <cell r="B255" t="str">
            <v>GAN</v>
          </cell>
          <cell r="C255" t="str">
            <v>NOS</v>
          </cell>
          <cell r="D255" t="str">
            <v>Goods</v>
          </cell>
          <cell r="E255">
            <v>18</v>
          </cell>
        </row>
        <row r="256">
          <cell r="A256">
            <v>84249000</v>
          </cell>
          <cell r="B256" t="str">
            <v>GRACO CONN</v>
          </cell>
          <cell r="C256" t="str">
            <v>NOS</v>
          </cell>
          <cell r="D256" t="str">
            <v>Goods</v>
          </cell>
          <cell r="E256">
            <v>18</v>
          </cell>
        </row>
        <row r="257">
          <cell r="A257">
            <v>84411090</v>
          </cell>
          <cell r="B257" t="str">
            <v>Cutter</v>
          </cell>
          <cell r="C257" t="str">
            <v>NOS</v>
          </cell>
          <cell r="D257" t="str">
            <v>Goods</v>
          </cell>
          <cell r="E257">
            <v>18</v>
          </cell>
        </row>
        <row r="258">
          <cell r="A258">
            <v>84439959</v>
          </cell>
          <cell r="B258" t="str">
            <v>Magnetic</v>
          </cell>
          <cell r="C258" t="str">
            <v>NOS</v>
          </cell>
          <cell r="D258" t="str">
            <v>Goods</v>
          </cell>
          <cell r="E258">
            <v>18</v>
          </cell>
        </row>
        <row r="259">
          <cell r="A259">
            <v>84663020</v>
          </cell>
          <cell r="B259" t="str">
            <v>JIGS</v>
          </cell>
          <cell r="C259" t="str">
            <v>NOS</v>
          </cell>
          <cell r="D259" t="str">
            <v>Goods</v>
          </cell>
          <cell r="E259">
            <v>18</v>
          </cell>
        </row>
        <row r="260">
          <cell r="A260">
            <v>84671190</v>
          </cell>
          <cell r="B260" t="str">
            <v>Sander</v>
          </cell>
          <cell r="C260" t="str">
            <v>NOS</v>
          </cell>
          <cell r="D260" t="str">
            <v>Goods</v>
          </cell>
          <cell r="E260">
            <v>18</v>
          </cell>
        </row>
        <row r="261">
          <cell r="A261">
            <v>84679900</v>
          </cell>
          <cell r="B261" t="str">
            <v>Tools for working</v>
          </cell>
          <cell r="C261" t="str">
            <v>NOS</v>
          </cell>
          <cell r="D261" t="str">
            <v>Goods</v>
          </cell>
          <cell r="E261">
            <v>18</v>
          </cell>
        </row>
        <row r="262">
          <cell r="A262">
            <v>84689900</v>
          </cell>
          <cell r="B262" t="str">
            <v>OIL RESERVOR</v>
          </cell>
          <cell r="C262" t="str">
            <v>NOS</v>
          </cell>
          <cell r="D262" t="str">
            <v>Goods</v>
          </cell>
          <cell r="E262">
            <v>18</v>
          </cell>
        </row>
        <row r="263">
          <cell r="A263">
            <v>84701000</v>
          </cell>
          <cell r="B263" t="str">
            <v>Calculator</v>
          </cell>
          <cell r="C263" t="str">
            <v>NOS</v>
          </cell>
          <cell r="D263" t="str">
            <v>Goods</v>
          </cell>
          <cell r="E263">
            <v>18</v>
          </cell>
        </row>
        <row r="264">
          <cell r="A264">
            <v>84148090</v>
          </cell>
          <cell r="B264" t="str">
            <v>COMPRESSOR</v>
          </cell>
          <cell r="C264" t="str">
            <v>NOS</v>
          </cell>
          <cell r="D264" t="str">
            <v>Goods</v>
          </cell>
          <cell r="E264">
            <v>18</v>
          </cell>
        </row>
        <row r="265">
          <cell r="A265">
            <v>84716040</v>
          </cell>
          <cell r="B265" t="str">
            <v>KEY BOARD</v>
          </cell>
          <cell r="C265" t="str">
            <v>NOS</v>
          </cell>
          <cell r="D265" t="str">
            <v>Goods</v>
          </cell>
          <cell r="E265">
            <v>18</v>
          </cell>
        </row>
        <row r="266">
          <cell r="A266">
            <v>84716060</v>
          </cell>
          <cell r="B266" t="str">
            <v>MOUSE</v>
          </cell>
          <cell r="C266" t="str">
            <v>NOS</v>
          </cell>
          <cell r="D266" t="str">
            <v>Goods</v>
          </cell>
          <cell r="E266">
            <v>18</v>
          </cell>
        </row>
        <row r="267">
          <cell r="A267">
            <v>84716090</v>
          </cell>
          <cell r="B267" t="str">
            <v>Parts &amp; Accessories Of Other Cover</v>
          </cell>
          <cell r="C267" t="str">
            <v>NOS</v>
          </cell>
          <cell r="D267" t="str">
            <v>Goods</v>
          </cell>
          <cell r="E267">
            <v>18</v>
          </cell>
        </row>
        <row r="268">
          <cell r="A268">
            <v>84717020</v>
          </cell>
          <cell r="B268" t="str">
            <v>Automatic Data Processing</v>
          </cell>
          <cell r="C268" t="str">
            <v>NOS</v>
          </cell>
          <cell r="D268" t="str">
            <v>Goods</v>
          </cell>
          <cell r="E268">
            <v>28</v>
          </cell>
        </row>
        <row r="269">
          <cell r="A269">
            <v>84729010</v>
          </cell>
          <cell r="B269" t="str">
            <v>stapler pin</v>
          </cell>
          <cell r="C269" t="str">
            <v>NOS</v>
          </cell>
          <cell r="D269" t="str">
            <v>Goods</v>
          </cell>
          <cell r="E269">
            <v>18</v>
          </cell>
        </row>
        <row r="270">
          <cell r="A270">
            <v>84733030</v>
          </cell>
          <cell r="B270" t="str">
            <v>Parts and accessories</v>
          </cell>
          <cell r="C270" t="str">
            <v>NOS</v>
          </cell>
          <cell r="D270" t="str">
            <v>Goods</v>
          </cell>
          <cell r="E270">
            <v>18</v>
          </cell>
        </row>
        <row r="271">
          <cell r="A271">
            <v>84733099</v>
          </cell>
          <cell r="B271" t="str">
            <v>Parts &amp; Accessories Of Other Cover</v>
          </cell>
          <cell r="C271" t="str">
            <v>NOS</v>
          </cell>
          <cell r="D271" t="str">
            <v>Goods</v>
          </cell>
          <cell r="E271">
            <v>28</v>
          </cell>
        </row>
        <row r="272">
          <cell r="A272">
            <v>84795000</v>
          </cell>
          <cell r="B272" t="str">
            <v>Robatic</v>
          </cell>
          <cell r="C272" t="str">
            <v>NOS</v>
          </cell>
          <cell r="D272" t="str">
            <v>Goods</v>
          </cell>
          <cell r="E272">
            <v>18</v>
          </cell>
        </row>
        <row r="273">
          <cell r="A273">
            <v>84778090</v>
          </cell>
          <cell r="B273" t="str">
            <v>Painting Jigs</v>
          </cell>
          <cell r="C273" t="str">
            <v>NOS</v>
          </cell>
          <cell r="D273" t="str">
            <v>Goods</v>
          </cell>
          <cell r="E273">
            <v>18</v>
          </cell>
        </row>
        <row r="274">
          <cell r="A274">
            <v>84818030</v>
          </cell>
          <cell r="B274" t="str">
            <v>HANDLE BALL</v>
          </cell>
          <cell r="C274" t="str">
            <v>NOS</v>
          </cell>
          <cell r="D274" t="str">
            <v>Goods</v>
          </cell>
          <cell r="E274">
            <v>18</v>
          </cell>
        </row>
        <row r="275">
          <cell r="A275">
            <v>84818090</v>
          </cell>
          <cell r="B275" t="str">
            <v>valves</v>
          </cell>
          <cell r="C275" t="str">
            <v>NOS</v>
          </cell>
          <cell r="D275" t="str">
            <v>Goods</v>
          </cell>
          <cell r="E275">
            <v>18</v>
          </cell>
        </row>
        <row r="276">
          <cell r="A276">
            <v>85015210</v>
          </cell>
          <cell r="B276" t="str">
            <v>MOTAR</v>
          </cell>
          <cell r="C276" t="str">
            <v>NOS</v>
          </cell>
          <cell r="D276" t="str">
            <v>Goods</v>
          </cell>
          <cell r="E276">
            <v>18</v>
          </cell>
        </row>
        <row r="277">
          <cell r="A277">
            <v>85051110</v>
          </cell>
          <cell r="B277" t="str">
            <v>Magnetic</v>
          </cell>
          <cell r="C277" t="str">
            <v>NOS</v>
          </cell>
          <cell r="D277" t="str">
            <v>Goods</v>
          </cell>
          <cell r="E277">
            <v>18</v>
          </cell>
        </row>
        <row r="278">
          <cell r="A278">
            <v>85051900</v>
          </cell>
          <cell r="B278" t="str">
            <v>Magnetic</v>
          </cell>
          <cell r="C278" t="str">
            <v>NOS</v>
          </cell>
          <cell r="D278" t="str">
            <v>Goods</v>
          </cell>
          <cell r="E278">
            <v>18</v>
          </cell>
        </row>
        <row r="279">
          <cell r="A279">
            <v>85061000</v>
          </cell>
          <cell r="B279" t="str">
            <v>Battery</v>
          </cell>
          <cell r="C279" t="str">
            <v>NOS</v>
          </cell>
          <cell r="D279" t="str">
            <v>Goods</v>
          </cell>
          <cell r="E279">
            <v>28</v>
          </cell>
        </row>
        <row r="280">
          <cell r="A280">
            <v>85068090</v>
          </cell>
          <cell r="B280" t="str">
            <v>Battery</v>
          </cell>
          <cell r="C280" t="str">
            <v>NOS</v>
          </cell>
          <cell r="D280" t="str">
            <v>Goods</v>
          </cell>
          <cell r="E280">
            <v>18</v>
          </cell>
        </row>
        <row r="281">
          <cell r="A281">
            <v>85122020</v>
          </cell>
          <cell r="B281" t="str">
            <v>Lighting &amp; Fitting</v>
          </cell>
          <cell r="C281" t="str">
            <v>NOS</v>
          </cell>
          <cell r="D281" t="str">
            <v>Goods</v>
          </cell>
          <cell r="E281">
            <v>18</v>
          </cell>
        </row>
        <row r="282">
          <cell r="A282">
            <v>85122010</v>
          </cell>
          <cell r="B282" t="str">
            <v>Lighting &amp; Fitting</v>
          </cell>
          <cell r="C282" t="str">
            <v>NOS</v>
          </cell>
          <cell r="D282" t="str">
            <v>Goods</v>
          </cell>
          <cell r="E282">
            <v>18</v>
          </cell>
        </row>
        <row r="283">
          <cell r="A283">
            <v>85129000</v>
          </cell>
          <cell r="B283" t="str">
            <v>Lighting &amp; Fitting</v>
          </cell>
          <cell r="C283" t="str">
            <v>NOS</v>
          </cell>
          <cell r="D283" t="str">
            <v>Goods</v>
          </cell>
          <cell r="E283">
            <v>18</v>
          </cell>
        </row>
        <row r="284">
          <cell r="A284">
            <v>85131090</v>
          </cell>
          <cell r="B284" t="str">
            <v>LED Light</v>
          </cell>
          <cell r="C284" t="str">
            <v>NOS</v>
          </cell>
          <cell r="D284" t="str">
            <v>Goods</v>
          </cell>
          <cell r="E284">
            <v>18</v>
          </cell>
        </row>
        <row r="285">
          <cell r="A285">
            <v>85198990</v>
          </cell>
          <cell r="B285" t="str">
            <v>MOUSE</v>
          </cell>
          <cell r="C285" t="str">
            <v>NOS</v>
          </cell>
          <cell r="D285" t="str">
            <v>Goods</v>
          </cell>
          <cell r="E285">
            <v>18</v>
          </cell>
        </row>
        <row r="286">
          <cell r="A286">
            <v>85021200</v>
          </cell>
          <cell r="B286" t="str">
            <v>Genset</v>
          </cell>
          <cell r="C286" t="str">
            <v>NOS</v>
          </cell>
          <cell r="D286" t="str">
            <v>Goods</v>
          </cell>
          <cell r="E286">
            <v>18</v>
          </cell>
        </row>
        <row r="287">
          <cell r="A287">
            <v>85362020</v>
          </cell>
          <cell r="B287" t="str">
            <v>MCCB RATAR</v>
          </cell>
          <cell r="C287" t="str">
            <v>NOS</v>
          </cell>
          <cell r="D287" t="str">
            <v>Goods</v>
          </cell>
          <cell r="E287">
            <v>18</v>
          </cell>
        </row>
        <row r="288">
          <cell r="A288">
            <v>85362030</v>
          </cell>
          <cell r="B288" t="str">
            <v>MCCB RATAR</v>
          </cell>
          <cell r="C288" t="str">
            <v>NOS</v>
          </cell>
          <cell r="D288" t="str">
            <v>Goods</v>
          </cell>
          <cell r="E288">
            <v>18</v>
          </cell>
        </row>
        <row r="289">
          <cell r="A289">
            <v>85362090</v>
          </cell>
          <cell r="B289" t="str">
            <v>RCB</v>
          </cell>
          <cell r="C289" t="str">
            <v>NOS</v>
          </cell>
          <cell r="D289" t="str">
            <v>Goods</v>
          </cell>
          <cell r="E289">
            <v>18</v>
          </cell>
        </row>
        <row r="290">
          <cell r="A290">
            <v>85371000</v>
          </cell>
          <cell r="B290" t="str">
            <v>RCB</v>
          </cell>
          <cell r="C290" t="str">
            <v>NOS</v>
          </cell>
          <cell r="D290" t="str">
            <v>Goods</v>
          </cell>
          <cell r="E290">
            <v>18</v>
          </cell>
        </row>
        <row r="291">
          <cell r="A291" t="str">
            <v>85389000</v>
          </cell>
          <cell r="B291" t="str">
            <v>MCCB</v>
          </cell>
          <cell r="C291" t="str">
            <v>NOS</v>
          </cell>
          <cell r="D291" t="str">
            <v>Goods</v>
          </cell>
          <cell r="E291">
            <v>18</v>
          </cell>
        </row>
        <row r="292">
          <cell r="A292">
            <v>85381010</v>
          </cell>
          <cell r="B292" t="str">
            <v>MCCB</v>
          </cell>
          <cell r="C292" t="str">
            <v>NOS</v>
          </cell>
          <cell r="D292" t="str">
            <v>Goods</v>
          </cell>
          <cell r="E292">
            <v>18</v>
          </cell>
        </row>
        <row r="293">
          <cell r="A293">
            <v>85381090</v>
          </cell>
          <cell r="B293" t="str">
            <v>Parts Suitable for Use Solely Or Principally with the Apparatus of Heading</v>
          </cell>
          <cell r="C293" t="str">
            <v>NOS</v>
          </cell>
          <cell r="D293" t="str">
            <v>Goods</v>
          </cell>
          <cell r="E293">
            <v>18</v>
          </cell>
        </row>
        <row r="294">
          <cell r="A294">
            <v>85395000</v>
          </cell>
          <cell r="B294" t="str">
            <v>Lighting &amp; Fitting</v>
          </cell>
          <cell r="C294" t="str">
            <v>NOS</v>
          </cell>
          <cell r="D294" t="str">
            <v>Goods</v>
          </cell>
          <cell r="E294">
            <v>12</v>
          </cell>
        </row>
        <row r="295">
          <cell r="A295">
            <v>85414020</v>
          </cell>
          <cell r="B295" t="str">
            <v>Lighting &amp; Fitting</v>
          </cell>
          <cell r="C295" t="str">
            <v>NOS</v>
          </cell>
          <cell r="D295" t="str">
            <v>Goods</v>
          </cell>
          <cell r="E295">
            <v>18</v>
          </cell>
        </row>
        <row r="296">
          <cell r="A296">
            <v>85444992</v>
          </cell>
          <cell r="B296" t="str">
            <v>Coaxial Cables;</v>
          </cell>
          <cell r="C296" t="str">
            <v>NOS</v>
          </cell>
          <cell r="D296" t="str">
            <v>Goods</v>
          </cell>
          <cell r="E296">
            <v>18</v>
          </cell>
        </row>
        <row r="297">
          <cell r="A297">
            <v>85444999</v>
          </cell>
          <cell r="B297" t="str">
            <v>Cable</v>
          </cell>
          <cell r="C297" t="str">
            <v>Mtr</v>
          </cell>
          <cell r="D297" t="str">
            <v>Goods</v>
          </cell>
          <cell r="E297">
            <v>18</v>
          </cell>
        </row>
        <row r="298">
          <cell r="A298">
            <v>85446090</v>
          </cell>
          <cell r="B298" t="str">
            <v>Cable</v>
          </cell>
          <cell r="C298" t="str">
            <v>Mtr</v>
          </cell>
          <cell r="D298" t="str">
            <v>Goods</v>
          </cell>
          <cell r="E298">
            <v>18</v>
          </cell>
        </row>
        <row r="299">
          <cell r="A299">
            <v>87081090</v>
          </cell>
          <cell r="B299" t="str">
            <v>Parts &amp; Accessories Of Motor Vehicles Other</v>
          </cell>
          <cell r="C299" t="str">
            <v>NOS</v>
          </cell>
          <cell r="D299" t="str">
            <v>Goods</v>
          </cell>
          <cell r="E299">
            <v>28</v>
          </cell>
        </row>
        <row r="300">
          <cell r="A300">
            <v>87082900</v>
          </cell>
          <cell r="B300" t="str">
            <v>Parts &amp; Accessories Of Motor Vehicles Other</v>
          </cell>
          <cell r="C300" t="str">
            <v>NOS</v>
          </cell>
          <cell r="D300" t="str">
            <v>Goods</v>
          </cell>
          <cell r="E300">
            <v>28</v>
          </cell>
        </row>
        <row r="301">
          <cell r="A301">
            <v>87089900</v>
          </cell>
          <cell r="B301" t="str">
            <v>Parts &amp; Accessories Of Motor Vehicles Other</v>
          </cell>
          <cell r="C301" t="str">
            <v>NOS</v>
          </cell>
          <cell r="D301" t="str">
            <v>Goods</v>
          </cell>
          <cell r="E301">
            <v>28</v>
          </cell>
        </row>
        <row r="302">
          <cell r="A302">
            <v>87141090</v>
          </cell>
          <cell r="B302" t="str">
            <v>Parts &amp; Accessories Of Motor Vehicles Other</v>
          </cell>
          <cell r="C302" t="str">
            <v>NOS</v>
          </cell>
          <cell r="D302" t="str">
            <v>Goods</v>
          </cell>
          <cell r="E302">
            <v>28</v>
          </cell>
        </row>
        <row r="303">
          <cell r="A303">
            <v>87141900</v>
          </cell>
          <cell r="B303" t="str">
            <v>Parts &amp; Accessories Of Motor Vehicles Other</v>
          </cell>
          <cell r="C303" t="str">
            <v>NOS</v>
          </cell>
          <cell r="D303" t="str">
            <v>Goods</v>
          </cell>
          <cell r="E303">
            <v>28</v>
          </cell>
        </row>
        <row r="304">
          <cell r="A304">
            <v>87142090</v>
          </cell>
          <cell r="B304" t="str">
            <v>Parts &amp; Accessories Of Motor Vehicles Other</v>
          </cell>
          <cell r="C304" t="str">
            <v>NOS</v>
          </cell>
          <cell r="D304" t="str">
            <v>Goods</v>
          </cell>
          <cell r="E304">
            <v>28</v>
          </cell>
        </row>
        <row r="305">
          <cell r="A305">
            <v>9031</v>
          </cell>
          <cell r="B305" t="str">
            <v>Pencil Apsara Glass</v>
          </cell>
          <cell r="C305" t="str">
            <v>NOS</v>
          </cell>
          <cell r="D305" t="str">
            <v>Goods</v>
          </cell>
          <cell r="E305">
            <v>18</v>
          </cell>
        </row>
        <row r="306">
          <cell r="A306">
            <v>995469</v>
          </cell>
          <cell r="B306" t="str">
            <v>Reparing</v>
          </cell>
          <cell r="C306" t="str">
            <v>NOS</v>
          </cell>
          <cell r="D306" t="str">
            <v>Services</v>
          </cell>
          <cell r="E306">
            <v>18</v>
          </cell>
        </row>
        <row r="307">
          <cell r="A307">
            <v>94054090</v>
          </cell>
          <cell r="B307" t="str">
            <v>quartz</v>
          </cell>
          <cell r="C307" t="str">
            <v>NOS</v>
          </cell>
          <cell r="D307" t="str">
            <v>Goods</v>
          </cell>
          <cell r="E307">
            <v>12</v>
          </cell>
        </row>
        <row r="308">
          <cell r="A308">
            <v>96031000</v>
          </cell>
          <cell r="B308" t="str">
            <v>Broom</v>
          </cell>
          <cell r="C308" t="str">
            <v>NOS</v>
          </cell>
          <cell r="D308" t="str">
            <v>Goods</v>
          </cell>
          <cell r="E308">
            <v>0</v>
          </cell>
        </row>
        <row r="309">
          <cell r="A309">
            <v>90321090</v>
          </cell>
          <cell r="B309" t="str">
            <v>Stabilizer</v>
          </cell>
          <cell r="C309" t="str">
            <v>NOS</v>
          </cell>
          <cell r="D309" t="str">
            <v>Goods</v>
          </cell>
          <cell r="E309">
            <v>18</v>
          </cell>
        </row>
        <row r="310">
          <cell r="A310">
            <v>96039000</v>
          </cell>
          <cell r="B310" t="str">
            <v>Hocky Brush</v>
          </cell>
          <cell r="C310" t="str">
            <v>NOS</v>
          </cell>
          <cell r="D310" t="str">
            <v>Goods</v>
          </cell>
          <cell r="E310">
            <v>18</v>
          </cell>
        </row>
        <row r="311">
          <cell r="A311">
            <v>96039090</v>
          </cell>
          <cell r="B311" t="str">
            <v>Brushes</v>
          </cell>
          <cell r="C311" t="str">
            <v>NOS</v>
          </cell>
          <cell r="D311" t="str">
            <v>Goods</v>
          </cell>
          <cell r="E311">
            <v>18</v>
          </cell>
        </row>
        <row r="312">
          <cell r="A312">
            <v>96081019</v>
          </cell>
          <cell r="B312" t="str">
            <v>PEN</v>
          </cell>
          <cell r="C312" t="str">
            <v>NOS</v>
          </cell>
          <cell r="D312" t="str">
            <v>Goods</v>
          </cell>
          <cell r="E312">
            <v>12</v>
          </cell>
        </row>
        <row r="313">
          <cell r="A313">
            <v>96082000</v>
          </cell>
          <cell r="B313" t="str">
            <v>Pencil</v>
          </cell>
          <cell r="C313" t="str">
            <v>NOS</v>
          </cell>
          <cell r="D313" t="str">
            <v>Goods</v>
          </cell>
          <cell r="E313">
            <v>12</v>
          </cell>
        </row>
        <row r="314">
          <cell r="A314">
            <v>67042020</v>
          </cell>
          <cell r="B314" t="str">
            <v>cap</v>
          </cell>
          <cell r="C314" t="str">
            <v>NOS</v>
          </cell>
          <cell r="D314" t="str">
            <v>Goods</v>
          </cell>
          <cell r="E314">
            <v>5</v>
          </cell>
        </row>
        <row r="315">
          <cell r="A315">
            <v>96089990</v>
          </cell>
          <cell r="B315" t="str">
            <v>PEN</v>
          </cell>
          <cell r="C315" t="str">
            <v>NOS</v>
          </cell>
          <cell r="D315" t="str">
            <v>Goods</v>
          </cell>
          <cell r="E315">
            <v>12</v>
          </cell>
        </row>
        <row r="316">
          <cell r="A316">
            <v>96091000</v>
          </cell>
          <cell r="B316" t="str">
            <v>Pencil Apsara Glass</v>
          </cell>
          <cell r="C316" t="str">
            <v>NOS</v>
          </cell>
          <cell r="D316" t="str">
            <v>Goods</v>
          </cell>
          <cell r="E316">
            <v>12</v>
          </cell>
        </row>
        <row r="317">
          <cell r="A317">
            <v>4016932003</v>
          </cell>
          <cell r="B317" t="str">
            <v>Other articles of vulcanised r</v>
          </cell>
          <cell r="C317" t="str">
            <v>NOS</v>
          </cell>
          <cell r="D317" t="str">
            <v>Goods</v>
          </cell>
          <cell r="E317">
            <v>28</v>
          </cell>
        </row>
        <row r="318">
          <cell r="A318" t="str">
            <v>34029092/</v>
          </cell>
          <cell r="B318" t="str">
            <v>Degreasing</v>
          </cell>
          <cell r="C318" t="str">
            <v>KG</v>
          </cell>
          <cell r="D318" t="str">
            <v>Goods</v>
          </cell>
          <cell r="E318">
            <v>18</v>
          </cell>
        </row>
        <row r="319">
          <cell r="A319" t="str">
            <v>3403/</v>
          </cell>
          <cell r="B319" t="str">
            <v>Grease</v>
          </cell>
          <cell r="C319" t="str">
            <v>NOS</v>
          </cell>
          <cell r="D319" t="str">
            <v>Goods</v>
          </cell>
          <cell r="E319">
            <v>18</v>
          </cell>
        </row>
        <row r="320">
          <cell r="A320" t="str">
            <v>3814/</v>
          </cell>
          <cell r="B320" t="str">
            <v>Misc Chemical Products Thinner</v>
          </cell>
          <cell r="C320" t="str">
            <v>NOS</v>
          </cell>
          <cell r="D320" t="str">
            <v>Goods</v>
          </cell>
          <cell r="E320">
            <v>18</v>
          </cell>
        </row>
        <row r="321">
          <cell r="A321" t="str">
            <v>38140010/</v>
          </cell>
          <cell r="B321" t="str">
            <v>Misc Chemical Products Thinner</v>
          </cell>
          <cell r="C321" t="str">
            <v>LTR</v>
          </cell>
          <cell r="D321" t="str">
            <v>Goods</v>
          </cell>
          <cell r="E321">
            <v>18</v>
          </cell>
        </row>
        <row r="322">
          <cell r="A322" t="str">
            <v>39199090/</v>
          </cell>
          <cell r="B322" t="str">
            <v>Parts &amp; Accessories Of Motor Vehicles Other</v>
          </cell>
          <cell r="C322" t="str">
            <v>NOS</v>
          </cell>
          <cell r="D322" t="str">
            <v>Goods</v>
          </cell>
          <cell r="E322">
            <v>18</v>
          </cell>
        </row>
        <row r="323">
          <cell r="A323" t="str">
            <v>40119320/</v>
          </cell>
          <cell r="B323" t="str">
            <v>New pneumatic tyres</v>
          </cell>
          <cell r="C323" t="str">
            <v>NOS</v>
          </cell>
          <cell r="D323" t="str">
            <v>Goods</v>
          </cell>
          <cell r="E323">
            <v>18</v>
          </cell>
        </row>
        <row r="324">
          <cell r="A324" t="str">
            <v>40169320/</v>
          </cell>
          <cell r="B324" t="str">
            <v>Adapter</v>
          </cell>
          <cell r="C324" t="str">
            <v>NOS</v>
          </cell>
          <cell r="D324" t="str">
            <v>Goods</v>
          </cell>
          <cell r="E324">
            <v>28</v>
          </cell>
        </row>
        <row r="325">
          <cell r="A325" t="str">
            <v>441480/</v>
          </cell>
          <cell r="B325" t="str">
            <v>Lease Rental Machinery</v>
          </cell>
          <cell r="C325" t="str">
            <v>NOS</v>
          </cell>
          <cell r="D325" t="str">
            <v>Services</v>
          </cell>
          <cell r="E325">
            <v>18</v>
          </cell>
        </row>
        <row r="326">
          <cell r="A326" t="str">
            <v>85129000/</v>
          </cell>
          <cell r="B326" t="str">
            <v>Lighting &amp; Fitting</v>
          </cell>
          <cell r="C326" t="str">
            <v>NOS</v>
          </cell>
          <cell r="D326" t="str">
            <v>Goods</v>
          </cell>
          <cell r="E326">
            <v>18</v>
          </cell>
        </row>
        <row r="327">
          <cell r="A327" t="str">
            <v>8539/</v>
          </cell>
          <cell r="B327" t="str">
            <v>Zero Bulb</v>
          </cell>
          <cell r="C327" t="str">
            <v>NOS</v>
          </cell>
          <cell r="D327" t="str">
            <v>Goods</v>
          </cell>
          <cell r="E327">
            <v>18</v>
          </cell>
        </row>
        <row r="328">
          <cell r="A328" t="str">
            <v>9603/</v>
          </cell>
          <cell r="B328" t="str">
            <v>Brushes</v>
          </cell>
          <cell r="C328" t="str">
            <v>NOS</v>
          </cell>
          <cell r="D328" t="str">
            <v>Goods</v>
          </cell>
          <cell r="E328">
            <v>18</v>
          </cell>
        </row>
        <row r="330">
          <cell r="A330" t="str">
            <v>997319/</v>
          </cell>
          <cell r="B330" t="str">
            <v>Rental</v>
          </cell>
          <cell r="C330" t="str">
            <v>NOS</v>
          </cell>
          <cell r="D330" t="str">
            <v>Services</v>
          </cell>
          <cell r="E330">
            <v>18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TR-1"/>
      <sheetName val="GSTR-3B"/>
      <sheetName val="3.1(A)"/>
      <sheetName val="3.1(A) AMD+-"/>
      <sheetName val="3.1(B)"/>
      <sheetName val="3.1(c) &amp; 3.1(E)"/>
      <sheetName val="3.1(d)"/>
      <sheetName val="4 (A) (1) (2)"/>
      <sheetName val="4(A)(5)"/>
      <sheetName val="4 (B) (1 &amp;2)"/>
      <sheetName val="4 (d) (1 &amp;2)"/>
      <sheetName val="5"/>
      <sheetName val="6.1"/>
      <sheetName val="SALE PARTY &amp; HSN MASTER"/>
      <sheetName val="PURCHSE PAR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80"/>
  <sheetViews>
    <sheetView workbookViewId="0"/>
  </sheetViews>
  <sheetFormatPr defaultColWidth="9.109375" defaultRowHeight="10.199999999999999" x14ac:dyDescent="0.2"/>
  <cols>
    <col min="1" max="1" width="6.5546875" style="52" bestFit="1" customWidth="1"/>
    <col min="2" max="2" width="3.88671875" style="11" customWidth="1"/>
    <col min="3" max="3" width="27" style="11" customWidth="1"/>
    <col min="4" max="4" width="16.6640625" style="11" customWidth="1"/>
    <col min="5" max="5" width="12" style="11" customWidth="1"/>
    <col min="6" max="6" width="7.88671875" style="11" customWidth="1"/>
    <col min="7" max="7" width="9.44140625" style="53" customWidth="1"/>
    <col min="8" max="8" width="8.109375" style="11" customWidth="1"/>
    <col min="9" max="9" width="5.33203125" style="11" customWidth="1"/>
    <col min="10" max="10" width="4.88671875" style="11" customWidth="1"/>
    <col min="11" max="11" width="11.5546875" style="54" bestFit="1" customWidth="1"/>
    <col min="12" max="12" width="9.33203125" style="54" customWidth="1"/>
    <col min="13" max="14" width="10.5546875" style="54" bestFit="1" customWidth="1"/>
    <col min="15" max="15" width="5.21875" style="54" bestFit="1" customWidth="1"/>
    <col min="16" max="16" width="12.109375" style="54" customWidth="1"/>
    <col min="17" max="17" width="11.33203125" style="11" customWidth="1"/>
    <col min="18" max="18" width="6.33203125" style="11" bestFit="1" customWidth="1"/>
    <col min="19" max="19" width="38.33203125" style="11" customWidth="1"/>
    <col min="20" max="16384" width="9.109375" style="11"/>
  </cols>
  <sheetData>
    <row r="1" spans="1:19" x14ac:dyDescent="0.2">
      <c r="A1" s="1"/>
      <c r="B1" s="2"/>
      <c r="C1" s="3"/>
      <c r="D1" s="3"/>
      <c r="E1" s="4"/>
      <c r="F1" s="3"/>
      <c r="G1" s="5" t="s">
        <v>347</v>
      </c>
      <c r="H1" s="6"/>
      <c r="I1" s="7"/>
      <c r="J1" s="8"/>
      <c r="K1" s="7">
        <v>19307453.953999996</v>
      </c>
      <c r="L1" s="7">
        <v>307957.54920000007</v>
      </c>
      <c r="M1" s="7">
        <v>2200357.6619599937</v>
      </c>
      <c r="N1" s="7">
        <v>2200357.6619599937</v>
      </c>
      <c r="O1" s="7">
        <v>0</v>
      </c>
      <c r="P1" s="7">
        <v>24016127.767120034</v>
      </c>
      <c r="Q1" s="9"/>
      <c r="R1" s="10"/>
    </row>
    <row r="2" spans="1:19" ht="12" customHeight="1" x14ac:dyDescent="0.2">
      <c r="A2" s="998" t="s">
        <v>0</v>
      </c>
      <c r="B2" s="999"/>
      <c r="C2" s="999"/>
      <c r="D2" s="999"/>
      <c r="E2" s="999"/>
      <c r="F2" s="999"/>
      <c r="G2" s="999"/>
      <c r="H2" s="999"/>
      <c r="I2" s="999"/>
      <c r="J2" s="999"/>
      <c r="K2" s="999"/>
      <c r="L2" s="999"/>
      <c r="M2" s="999"/>
      <c r="N2" s="999"/>
      <c r="O2" s="999"/>
      <c r="P2" s="999"/>
      <c r="Q2" s="999"/>
      <c r="R2" s="1000"/>
    </row>
    <row r="3" spans="1:19" ht="14.4" customHeight="1" x14ac:dyDescent="0.2">
      <c r="A3" s="1001" t="s">
        <v>1</v>
      </c>
      <c r="B3" s="1002"/>
      <c r="C3" s="1002"/>
      <c r="D3" s="1002"/>
      <c r="E3" s="1002"/>
      <c r="F3" s="1002"/>
      <c r="G3" s="1002"/>
      <c r="H3" s="1002"/>
      <c r="I3" s="1002"/>
      <c r="J3" s="1002"/>
      <c r="K3" s="1002"/>
      <c r="L3" s="1002"/>
      <c r="M3" s="1002"/>
      <c r="N3" s="1002"/>
      <c r="O3" s="1002"/>
      <c r="P3" s="1002"/>
      <c r="Q3" s="1002"/>
      <c r="R3" s="1003"/>
    </row>
    <row r="4" spans="1:19" ht="15.75" customHeight="1" x14ac:dyDescent="0.2">
      <c r="A4" s="1004" t="s">
        <v>2</v>
      </c>
      <c r="B4" s="12" t="s">
        <v>1503</v>
      </c>
      <c r="C4" s="13" t="s">
        <v>3718</v>
      </c>
      <c r="D4" s="14" t="s">
        <v>3719</v>
      </c>
      <c r="E4" s="995" t="s">
        <v>6</v>
      </c>
      <c r="F4" s="996"/>
      <c r="G4" s="997"/>
      <c r="H4" s="14" t="s">
        <v>3714</v>
      </c>
      <c r="I4" s="994" t="s">
        <v>10</v>
      </c>
      <c r="J4" s="14" t="s">
        <v>3716</v>
      </c>
      <c r="K4" s="15" t="s">
        <v>3715</v>
      </c>
      <c r="L4" s="991" t="s">
        <v>12</v>
      </c>
      <c r="M4" s="991"/>
      <c r="N4" s="991"/>
      <c r="O4" s="991"/>
      <c r="P4" s="15" t="s">
        <v>3712</v>
      </c>
      <c r="Q4" s="992" t="s">
        <v>3710</v>
      </c>
      <c r="R4" s="993"/>
      <c r="S4" s="11" t="s">
        <v>4102</v>
      </c>
    </row>
    <row r="5" spans="1:19" ht="14.25" customHeight="1" x14ac:dyDescent="0.2">
      <c r="A5" s="1005"/>
      <c r="B5" s="16" t="s">
        <v>1506</v>
      </c>
      <c r="C5" s="17" t="s">
        <v>274</v>
      </c>
      <c r="D5" s="16" t="s">
        <v>3720</v>
      </c>
      <c r="E5" s="18" t="s">
        <v>15</v>
      </c>
      <c r="F5" s="19" t="s">
        <v>3706</v>
      </c>
      <c r="G5" s="19" t="s">
        <v>3707</v>
      </c>
      <c r="H5" s="16" t="s">
        <v>3713</v>
      </c>
      <c r="I5" s="994"/>
      <c r="J5" s="16" t="s">
        <v>3717</v>
      </c>
      <c r="K5" s="20" t="s">
        <v>3708</v>
      </c>
      <c r="L5" s="21" t="s">
        <v>16</v>
      </c>
      <c r="M5" s="21" t="s">
        <v>17</v>
      </c>
      <c r="N5" s="21" t="s">
        <v>18</v>
      </c>
      <c r="O5" s="21" t="s">
        <v>19</v>
      </c>
      <c r="P5" s="20" t="s">
        <v>3708</v>
      </c>
      <c r="Q5" s="19" t="s">
        <v>3709</v>
      </c>
      <c r="R5" s="22" t="s">
        <v>3711</v>
      </c>
    </row>
    <row r="6" spans="1:19" x14ac:dyDescent="0.2">
      <c r="A6" s="23">
        <v>43556</v>
      </c>
      <c r="B6" s="24">
        <v>1</v>
      </c>
      <c r="C6" s="25" t="s">
        <v>20</v>
      </c>
      <c r="D6" s="24" t="str">
        <f>VLOOKUP(C6,'SALE PARTY MASTER'!$B$4:$E$500,2,FALSE)</f>
        <v>27AABCM2508F1ZU</v>
      </c>
      <c r="E6" s="24" t="s">
        <v>22</v>
      </c>
      <c r="F6" s="26" t="s">
        <v>23</v>
      </c>
      <c r="G6" s="27">
        <v>43557</v>
      </c>
      <c r="H6" s="28">
        <v>87081090</v>
      </c>
      <c r="I6" s="29">
        <v>28</v>
      </c>
      <c r="J6" s="28">
        <v>0</v>
      </c>
      <c r="K6" s="30">
        <v>35711.279999999999</v>
      </c>
      <c r="L6" s="31">
        <v>0</v>
      </c>
      <c r="M6" s="31">
        <v>4999.5792000000001</v>
      </c>
      <c r="N6" s="31">
        <v>4999.5792000000001</v>
      </c>
      <c r="O6" s="31">
        <v>0</v>
      </c>
      <c r="P6" s="32">
        <v>45710.438399999999</v>
      </c>
      <c r="Q6" s="24" t="s">
        <v>25</v>
      </c>
      <c r="R6" s="24" t="s">
        <v>26</v>
      </c>
      <c r="S6" s="11" t="s">
        <v>4105</v>
      </c>
    </row>
    <row r="7" spans="1:19" x14ac:dyDescent="0.2">
      <c r="A7" s="33">
        <v>43556</v>
      </c>
      <c r="B7" s="34">
        <v>2</v>
      </c>
      <c r="C7" s="35" t="s">
        <v>20</v>
      </c>
      <c r="D7" s="34" t="str">
        <f>VLOOKUP(C7,'SALE PARTY MASTER'!$B$4:$E$500,2,FALSE)</f>
        <v>27AABCM2508F1ZU</v>
      </c>
      <c r="E7" s="34" t="s">
        <v>22</v>
      </c>
      <c r="F7" s="36" t="s">
        <v>27</v>
      </c>
      <c r="G7" s="37">
        <v>43557</v>
      </c>
      <c r="H7" s="38">
        <v>87141090</v>
      </c>
      <c r="I7" s="39">
        <v>28</v>
      </c>
      <c r="J7" s="38">
        <v>1030</v>
      </c>
      <c r="K7" s="40">
        <v>43507.5</v>
      </c>
      <c r="L7" s="41">
        <v>0</v>
      </c>
      <c r="M7" s="41">
        <v>6091.05</v>
      </c>
      <c r="N7" s="41">
        <v>6091.05</v>
      </c>
      <c r="O7" s="41">
        <v>0</v>
      </c>
      <c r="P7" s="42">
        <v>55689.600000000006</v>
      </c>
      <c r="Q7" s="34" t="s">
        <v>25</v>
      </c>
      <c r="R7" s="34" t="s">
        <v>26</v>
      </c>
      <c r="S7" s="11" t="s">
        <v>4105</v>
      </c>
    </row>
    <row r="8" spans="1:19" x14ac:dyDescent="0.2">
      <c r="A8" s="33">
        <v>43556</v>
      </c>
      <c r="B8" s="34">
        <v>3</v>
      </c>
      <c r="C8" s="35" t="s">
        <v>28</v>
      </c>
      <c r="D8" s="34" t="str">
        <f>VLOOKUP(C8,'SALE PARTY MASTER'!$B$4:$E$500,2,FALSE)</f>
        <v>27AAECM8871A1ZF</v>
      </c>
      <c r="E8" s="34" t="s">
        <v>22</v>
      </c>
      <c r="F8" s="36" t="s">
        <v>30</v>
      </c>
      <c r="G8" s="37">
        <v>43557</v>
      </c>
      <c r="H8" s="38">
        <v>87089900</v>
      </c>
      <c r="I8" s="39">
        <v>28</v>
      </c>
      <c r="J8" s="38">
        <v>12</v>
      </c>
      <c r="K8" s="40">
        <v>23255.759999999998</v>
      </c>
      <c r="L8" s="41">
        <v>0</v>
      </c>
      <c r="M8" s="41">
        <v>3255.8063999999995</v>
      </c>
      <c r="N8" s="41">
        <v>3255.8063999999995</v>
      </c>
      <c r="O8" s="41">
        <v>0</v>
      </c>
      <c r="P8" s="42">
        <v>29767.382799999996</v>
      </c>
      <c r="Q8" s="34" t="s">
        <v>25</v>
      </c>
      <c r="R8" s="34" t="s">
        <v>26</v>
      </c>
      <c r="S8" s="11" t="s">
        <v>4105</v>
      </c>
    </row>
    <row r="9" spans="1:19" x14ac:dyDescent="0.2">
      <c r="A9" s="33">
        <v>43556</v>
      </c>
      <c r="B9" s="34">
        <v>4</v>
      </c>
      <c r="C9" s="35" t="s">
        <v>28</v>
      </c>
      <c r="D9" s="34" t="str">
        <f>VLOOKUP(C9,'SALE PARTY MASTER'!$B$4:$E$500,2,FALSE)</f>
        <v>27AAECM8871A1ZF</v>
      </c>
      <c r="E9" s="34" t="s">
        <v>22</v>
      </c>
      <c r="F9" s="36" t="s">
        <v>31</v>
      </c>
      <c r="G9" s="37">
        <v>43557</v>
      </c>
      <c r="H9" s="38">
        <v>87089900</v>
      </c>
      <c r="I9" s="39">
        <v>28</v>
      </c>
      <c r="J9" s="38">
        <v>12</v>
      </c>
      <c r="K9" s="40">
        <v>23255.759999999998</v>
      </c>
      <c r="L9" s="41">
        <v>0</v>
      </c>
      <c r="M9" s="41">
        <v>3255.8063999999995</v>
      </c>
      <c r="N9" s="41">
        <v>3255.8063999999995</v>
      </c>
      <c r="O9" s="41">
        <v>0</v>
      </c>
      <c r="P9" s="42">
        <v>29767.382799999996</v>
      </c>
      <c r="Q9" s="34" t="s">
        <v>25</v>
      </c>
      <c r="R9" s="34" t="s">
        <v>26</v>
      </c>
      <c r="S9" s="11" t="s">
        <v>4105</v>
      </c>
    </row>
    <row r="10" spans="1:19" x14ac:dyDescent="0.2">
      <c r="A10" s="33">
        <v>43556</v>
      </c>
      <c r="B10" s="34">
        <v>5</v>
      </c>
      <c r="C10" s="35" t="s">
        <v>20</v>
      </c>
      <c r="D10" s="34" t="str">
        <f>VLOOKUP(C10,'SALE PARTY MASTER'!$B$4:$E$500,2,FALSE)</f>
        <v>27AABCM2508F1ZU</v>
      </c>
      <c r="E10" s="34" t="s">
        <v>22</v>
      </c>
      <c r="F10" s="36" t="s">
        <v>32</v>
      </c>
      <c r="G10" s="37">
        <v>43557</v>
      </c>
      <c r="H10" s="38">
        <v>87081090</v>
      </c>
      <c r="I10" s="39">
        <v>28</v>
      </c>
      <c r="J10" s="38">
        <v>600</v>
      </c>
      <c r="K10" s="40">
        <v>49599</v>
      </c>
      <c r="L10" s="41">
        <v>0</v>
      </c>
      <c r="M10" s="41">
        <v>6943.8600000000006</v>
      </c>
      <c r="N10" s="41">
        <v>6943.8600000000006</v>
      </c>
      <c r="O10" s="41">
        <v>0</v>
      </c>
      <c r="P10" s="42">
        <v>63486.720000000001</v>
      </c>
      <c r="Q10" s="34" t="s">
        <v>25</v>
      </c>
      <c r="R10" s="34" t="s">
        <v>26</v>
      </c>
      <c r="S10" s="11" t="s">
        <v>4105</v>
      </c>
    </row>
    <row r="11" spans="1:19" x14ac:dyDescent="0.2">
      <c r="A11" s="33">
        <v>43556</v>
      </c>
      <c r="B11" s="34">
        <v>6</v>
      </c>
      <c r="C11" s="35" t="s">
        <v>20</v>
      </c>
      <c r="D11" s="34" t="str">
        <f>VLOOKUP(C11,'SALE PARTY MASTER'!$B$4:$E$500,2,FALSE)</f>
        <v>27AABCM2508F1ZU</v>
      </c>
      <c r="E11" s="34" t="s">
        <v>22</v>
      </c>
      <c r="F11" s="36" t="s">
        <v>33</v>
      </c>
      <c r="G11" s="37">
        <v>43557</v>
      </c>
      <c r="H11" s="38">
        <v>87141090</v>
      </c>
      <c r="I11" s="39">
        <v>28</v>
      </c>
      <c r="J11" s="38">
        <v>150</v>
      </c>
      <c r="K11" s="40">
        <v>5287.5</v>
      </c>
      <c r="L11" s="41">
        <v>0</v>
      </c>
      <c r="M11" s="41">
        <v>740.25</v>
      </c>
      <c r="N11" s="41">
        <v>740.25</v>
      </c>
      <c r="O11" s="41">
        <v>0</v>
      </c>
      <c r="P11" s="42">
        <v>6768</v>
      </c>
      <c r="Q11" s="34" t="s">
        <v>25</v>
      </c>
      <c r="R11" s="34" t="s">
        <v>26</v>
      </c>
      <c r="S11" s="11" t="s">
        <v>4105</v>
      </c>
    </row>
    <row r="12" spans="1:19" x14ac:dyDescent="0.2">
      <c r="A12" s="33">
        <v>43556</v>
      </c>
      <c r="B12" s="34">
        <v>7</v>
      </c>
      <c r="C12" s="35" t="s">
        <v>28</v>
      </c>
      <c r="D12" s="34" t="str">
        <f>VLOOKUP(C12,'SALE PARTY MASTER'!$B$4:$E$500,2,FALSE)</f>
        <v>27AAECM8871A1ZF</v>
      </c>
      <c r="E12" s="34" t="s">
        <v>22</v>
      </c>
      <c r="F12" s="36" t="s">
        <v>34</v>
      </c>
      <c r="G12" s="37">
        <v>43557</v>
      </c>
      <c r="H12" s="38">
        <v>87089900</v>
      </c>
      <c r="I12" s="39">
        <v>28</v>
      </c>
      <c r="J12" s="38">
        <v>12</v>
      </c>
      <c r="K12" s="40">
        <v>23255.759999999998</v>
      </c>
      <c r="L12" s="41">
        <v>0</v>
      </c>
      <c r="M12" s="41">
        <v>3255.8063999999995</v>
      </c>
      <c r="N12" s="41">
        <v>3255.8063999999995</v>
      </c>
      <c r="O12" s="41">
        <v>0</v>
      </c>
      <c r="P12" s="42">
        <v>29767.382799999996</v>
      </c>
      <c r="Q12" s="34" t="s">
        <v>25</v>
      </c>
      <c r="R12" s="34" t="s">
        <v>26</v>
      </c>
      <c r="S12" s="11" t="s">
        <v>4105</v>
      </c>
    </row>
    <row r="13" spans="1:19" x14ac:dyDescent="0.2">
      <c r="A13" s="33">
        <v>43556</v>
      </c>
      <c r="B13" s="34">
        <v>8</v>
      </c>
      <c r="C13" s="35" t="s">
        <v>20</v>
      </c>
      <c r="D13" s="34" t="str">
        <f>VLOOKUP(C13,'SALE PARTY MASTER'!$B$4:$E$500,2,FALSE)</f>
        <v>27AABCM2508F1ZU</v>
      </c>
      <c r="E13" s="34" t="s">
        <v>22</v>
      </c>
      <c r="F13" s="36" t="s">
        <v>35</v>
      </c>
      <c r="G13" s="37">
        <v>43558</v>
      </c>
      <c r="H13" s="38">
        <v>87081090</v>
      </c>
      <c r="I13" s="39">
        <v>28</v>
      </c>
      <c r="J13" s="38">
        <v>480</v>
      </c>
      <c r="K13" s="40">
        <v>39679.199999999997</v>
      </c>
      <c r="L13" s="41">
        <v>0</v>
      </c>
      <c r="M13" s="41">
        <v>5555.0879999999997</v>
      </c>
      <c r="N13" s="41">
        <v>5555.0879999999997</v>
      </c>
      <c r="O13" s="41">
        <v>0</v>
      </c>
      <c r="P13" s="42">
        <v>50789.376000000004</v>
      </c>
      <c r="Q13" s="34" t="s">
        <v>25</v>
      </c>
      <c r="R13" s="34" t="s">
        <v>26</v>
      </c>
      <c r="S13" s="11" t="s">
        <v>4105</v>
      </c>
    </row>
    <row r="14" spans="1:19" x14ac:dyDescent="0.2">
      <c r="A14" s="33">
        <v>43556</v>
      </c>
      <c r="B14" s="34">
        <v>9</v>
      </c>
      <c r="C14" s="35" t="s">
        <v>20</v>
      </c>
      <c r="D14" s="34" t="str">
        <f>VLOOKUP(C14,'SALE PARTY MASTER'!$B$4:$E$500,2,FALSE)</f>
        <v>27AABCM2508F1ZU</v>
      </c>
      <c r="E14" s="34" t="s">
        <v>22</v>
      </c>
      <c r="F14" s="36" t="s">
        <v>36</v>
      </c>
      <c r="G14" s="37">
        <v>43558</v>
      </c>
      <c r="H14" s="38">
        <v>87141090</v>
      </c>
      <c r="I14" s="39">
        <v>28</v>
      </c>
      <c r="J14" s="38">
        <v>80</v>
      </c>
      <c r="K14" s="40">
        <v>6020</v>
      </c>
      <c r="L14" s="41">
        <v>0</v>
      </c>
      <c r="M14" s="41">
        <v>842.80000000000007</v>
      </c>
      <c r="N14" s="41">
        <v>842.80000000000007</v>
      </c>
      <c r="O14" s="41">
        <v>0</v>
      </c>
      <c r="P14" s="42">
        <v>7705.6</v>
      </c>
      <c r="Q14" s="34" t="s">
        <v>25</v>
      </c>
      <c r="R14" s="34" t="s">
        <v>26</v>
      </c>
      <c r="S14" s="11" t="s">
        <v>4105</v>
      </c>
    </row>
    <row r="15" spans="1:19" x14ac:dyDescent="0.2">
      <c r="A15" s="33">
        <v>43556</v>
      </c>
      <c r="B15" s="34">
        <v>10</v>
      </c>
      <c r="C15" s="35" t="s">
        <v>37</v>
      </c>
      <c r="D15" s="34" t="str">
        <f>VLOOKUP(C15,'SALE PARTY MASTER'!$B$4:$E$500,2,FALSE)</f>
        <v>27AAGCM1258H1ZG</v>
      </c>
      <c r="E15" s="34" t="s">
        <v>22</v>
      </c>
      <c r="F15" s="36" t="s">
        <v>39</v>
      </c>
      <c r="G15" s="37">
        <v>43558</v>
      </c>
      <c r="H15" s="38">
        <v>998898</v>
      </c>
      <c r="I15" s="39">
        <v>18</v>
      </c>
      <c r="J15" s="38">
        <v>80</v>
      </c>
      <c r="K15" s="40">
        <v>15200</v>
      </c>
      <c r="L15" s="41">
        <v>0</v>
      </c>
      <c r="M15" s="41">
        <v>1368</v>
      </c>
      <c r="N15" s="41">
        <v>1368</v>
      </c>
      <c r="O15" s="41">
        <v>0</v>
      </c>
      <c r="P15" s="42">
        <v>17936</v>
      </c>
      <c r="Q15" s="34" t="s">
        <v>25</v>
      </c>
      <c r="R15" s="34" t="s">
        <v>26</v>
      </c>
      <c r="S15" s="11" t="s">
        <v>4107</v>
      </c>
    </row>
    <row r="16" spans="1:19" x14ac:dyDescent="0.2">
      <c r="A16" s="33">
        <v>43556</v>
      </c>
      <c r="B16" s="34">
        <v>11</v>
      </c>
      <c r="C16" s="35" t="s">
        <v>40</v>
      </c>
      <c r="D16" s="34" t="str">
        <f>VLOOKUP(C16,'SALE PARTY MASTER'!$B$4:$E$500,2,FALSE)</f>
        <v>27AAACT1848E1ZH</v>
      </c>
      <c r="E16" s="34" t="s">
        <v>22</v>
      </c>
      <c r="F16" s="36" t="s">
        <v>42</v>
      </c>
      <c r="G16" s="37">
        <v>43559</v>
      </c>
      <c r="H16" s="38">
        <v>87089900</v>
      </c>
      <c r="I16" s="39">
        <v>28</v>
      </c>
      <c r="J16" s="38">
        <v>48</v>
      </c>
      <c r="K16" s="40">
        <v>25622.16</v>
      </c>
      <c r="L16" s="41">
        <v>0</v>
      </c>
      <c r="M16" s="41">
        <v>3587.1024000000002</v>
      </c>
      <c r="N16" s="41">
        <v>3587.1024000000002</v>
      </c>
      <c r="O16" s="41">
        <v>0</v>
      </c>
      <c r="P16" s="42">
        <v>32796.364800000003</v>
      </c>
      <c r="Q16" s="34" t="s">
        <v>25</v>
      </c>
      <c r="R16" s="34" t="s">
        <v>26</v>
      </c>
      <c r="S16" s="11" t="s">
        <v>4105</v>
      </c>
    </row>
    <row r="17" spans="1:19" x14ac:dyDescent="0.2">
      <c r="A17" s="33">
        <v>43556</v>
      </c>
      <c r="B17" s="34">
        <v>12</v>
      </c>
      <c r="C17" s="35" t="s">
        <v>20</v>
      </c>
      <c r="D17" s="34" t="str">
        <f>VLOOKUP(C17,'SALE PARTY MASTER'!$B$4:$E$500,2,FALSE)</f>
        <v>27AABCM2508F1ZU</v>
      </c>
      <c r="E17" s="34" t="s">
        <v>22</v>
      </c>
      <c r="F17" s="36" t="s">
        <v>43</v>
      </c>
      <c r="G17" s="37">
        <v>43559</v>
      </c>
      <c r="H17" s="38">
        <v>87081090</v>
      </c>
      <c r="I17" s="39">
        <v>28</v>
      </c>
      <c r="J17" s="38">
        <v>260</v>
      </c>
      <c r="K17" s="40">
        <v>21492.9</v>
      </c>
      <c r="L17" s="41">
        <v>0</v>
      </c>
      <c r="M17" s="41">
        <v>3009.0059999999999</v>
      </c>
      <c r="N17" s="41">
        <v>3009.0059999999999</v>
      </c>
      <c r="O17" s="41">
        <v>0</v>
      </c>
      <c r="P17" s="42">
        <v>27510.902000000006</v>
      </c>
      <c r="Q17" s="34" t="s">
        <v>25</v>
      </c>
      <c r="R17" s="34" t="s">
        <v>26</v>
      </c>
      <c r="S17" s="11" t="s">
        <v>4105</v>
      </c>
    </row>
    <row r="18" spans="1:19" x14ac:dyDescent="0.2">
      <c r="A18" s="33">
        <v>43556</v>
      </c>
      <c r="B18" s="34">
        <v>13</v>
      </c>
      <c r="C18" s="35" t="s">
        <v>20</v>
      </c>
      <c r="D18" s="34" t="str">
        <f>VLOOKUP(C18,'SALE PARTY MASTER'!$B$4:$E$500,2,FALSE)</f>
        <v>27AABCM2508F1ZU</v>
      </c>
      <c r="E18" s="34" t="s">
        <v>22</v>
      </c>
      <c r="F18" s="36" t="s">
        <v>44</v>
      </c>
      <c r="G18" s="37">
        <v>43559</v>
      </c>
      <c r="H18" s="38">
        <v>87141090</v>
      </c>
      <c r="I18" s="39">
        <v>28</v>
      </c>
      <c r="J18" s="38">
        <v>120</v>
      </c>
      <c r="K18" s="40">
        <v>9030</v>
      </c>
      <c r="L18" s="41">
        <v>0</v>
      </c>
      <c r="M18" s="41">
        <v>1264.2</v>
      </c>
      <c r="N18" s="41">
        <v>1264.2</v>
      </c>
      <c r="O18" s="41">
        <v>0</v>
      </c>
      <c r="P18" s="42">
        <v>11558.400000000001</v>
      </c>
      <c r="Q18" s="34" t="s">
        <v>25</v>
      </c>
      <c r="R18" s="34" t="s">
        <v>26</v>
      </c>
      <c r="S18" s="11" t="s">
        <v>4105</v>
      </c>
    </row>
    <row r="19" spans="1:19" x14ac:dyDescent="0.2">
      <c r="A19" s="33">
        <v>43556</v>
      </c>
      <c r="B19" s="34">
        <v>14</v>
      </c>
      <c r="C19" s="35" t="s">
        <v>45</v>
      </c>
      <c r="D19" s="34" t="str">
        <f>VLOOKUP(C19,'SALE PARTY MASTER'!$B$4:$E$500,2,FALSE)</f>
        <v>27AAACD4090Q1Z8</v>
      </c>
      <c r="E19" s="34" t="s">
        <v>22</v>
      </c>
      <c r="F19" s="36" t="s">
        <v>47</v>
      </c>
      <c r="G19" s="37">
        <v>43559</v>
      </c>
      <c r="H19" s="38">
        <v>85129000</v>
      </c>
      <c r="I19" s="39">
        <v>18</v>
      </c>
      <c r="J19" s="38">
        <v>391</v>
      </c>
      <c r="K19" s="40">
        <v>47705.91</v>
      </c>
      <c r="L19" s="41">
        <v>0</v>
      </c>
      <c r="M19" s="41">
        <v>4293.5319000000009</v>
      </c>
      <c r="N19" s="41">
        <v>4293.5319000000009</v>
      </c>
      <c r="O19" s="41">
        <v>0</v>
      </c>
      <c r="P19" s="42">
        <v>56292.973800000007</v>
      </c>
      <c r="Q19" s="34" t="s">
        <v>25</v>
      </c>
      <c r="R19" s="34" t="s">
        <v>26</v>
      </c>
      <c r="S19" s="11" t="s">
        <v>4105</v>
      </c>
    </row>
    <row r="20" spans="1:19" x14ac:dyDescent="0.2">
      <c r="A20" s="33">
        <v>43556</v>
      </c>
      <c r="B20" s="34">
        <v>15</v>
      </c>
      <c r="C20" s="35" t="s">
        <v>20</v>
      </c>
      <c r="D20" s="34" t="str">
        <f>VLOOKUP(C20,'SALE PARTY MASTER'!$B$4:$E$500,2,FALSE)</f>
        <v>27AABCM2508F1ZU</v>
      </c>
      <c r="E20" s="34" t="s">
        <v>22</v>
      </c>
      <c r="F20" s="36" t="s">
        <v>48</v>
      </c>
      <c r="G20" s="37">
        <v>43559</v>
      </c>
      <c r="H20" s="38">
        <v>87081090</v>
      </c>
      <c r="I20" s="39">
        <v>28</v>
      </c>
      <c r="J20" s="38">
        <v>320</v>
      </c>
      <c r="K20" s="40">
        <v>26376</v>
      </c>
      <c r="L20" s="41">
        <v>0</v>
      </c>
      <c r="M20" s="41">
        <v>3692.64</v>
      </c>
      <c r="N20" s="41">
        <v>3692.64</v>
      </c>
      <c r="O20" s="41">
        <v>0</v>
      </c>
      <c r="P20" s="42">
        <v>33761.279999999999</v>
      </c>
      <c r="Q20" s="34" t="s">
        <v>25</v>
      </c>
      <c r="R20" s="34" t="s">
        <v>26</v>
      </c>
      <c r="S20" s="11" t="s">
        <v>4105</v>
      </c>
    </row>
    <row r="21" spans="1:19" x14ac:dyDescent="0.2">
      <c r="A21" s="33">
        <v>43556</v>
      </c>
      <c r="B21" s="34">
        <v>16</v>
      </c>
      <c r="C21" s="35" t="s">
        <v>49</v>
      </c>
      <c r="D21" s="34" t="str">
        <f>VLOOKUP(C21,'SALE PARTY MASTER'!$B$4:$E$500,2,FALSE)</f>
        <v>27AABFJ4217F1ZP</v>
      </c>
      <c r="E21" s="34" t="s">
        <v>22</v>
      </c>
      <c r="F21" s="36" t="s">
        <v>51</v>
      </c>
      <c r="G21" s="37">
        <v>43560</v>
      </c>
      <c r="H21" s="38">
        <v>998898</v>
      </c>
      <c r="I21" s="39">
        <v>18</v>
      </c>
      <c r="J21" s="38">
        <v>30</v>
      </c>
      <c r="K21" s="40">
        <v>8524.2000000000007</v>
      </c>
      <c r="L21" s="41">
        <v>0</v>
      </c>
      <c r="M21" s="41">
        <v>767.178</v>
      </c>
      <c r="N21" s="41">
        <v>767.178</v>
      </c>
      <c r="O21" s="41">
        <v>0</v>
      </c>
      <c r="P21" s="42">
        <v>10058.556</v>
      </c>
      <c r="Q21" s="34" t="s">
        <v>25</v>
      </c>
      <c r="R21" s="34" t="s">
        <v>26</v>
      </c>
      <c r="S21" s="11" t="s">
        <v>4107</v>
      </c>
    </row>
    <row r="22" spans="1:19" x14ac:dyDescent="0.2">
      <c r="A22" s="33">
        <v>43556</v>
      </c>
      <c r="B22" s="34">
        <v>17</v>
      </c>
      <c r="C22" s="35" t="s">
        <v>20</v>
      </c>
      <c r="D22" s="34" t="str">
        <f>VLOOKUP(C22,'SALE PARTY MASTER'!$B$4:$E$500,2,FALSE)</f>
        <v>27AABCM2508F1ZU</v>
      </c>
      <c r="E22" s="34" t="s">
        <v>22</v>
      </c>
      <c r="F22" s="36" t="s">
        <v>52</v>
      </c>
      <c r="G22" s="37">
        <v>43560</v>
      </c>
      <c r="H22" s="38">
        <v>87081090</v>
      </c>
      <c r="I22" s="39">
        <v>28</v>
      </c>
      <c r="J22" s="38">
        <v>572</v>
      </c>
      <c r="K22" s="40">
        <v>47207.58</v>
      </c>
      <c r="L22" s="41">
        <v>0</v>
      </c>
      <c r="M22" s="41">
        <v>6609.0612000000001</v>
      </c>
      <c r="N22" s="41">
        <v>6609.0612000000001</v>
      </c>
      <c r="O22" s="41">
        <v>0</v>
      </c>
      <c r="P22" s="42">
        <v>60425.702399999995</v>
      </c>
      <c r="Q22" s="34" t="s">
        <v>25</v>
      </c>
      <c r="R22" s="34" t="s">
        <v>26</v>
      </c>
      <c r="S22" s="11" t="s">
        <v>4105</v>
      </c>
    </row>
    <row r="23" spans="1:19" x14ac:dyDescent="0.2">
      <c r="A23" s="33">
        <v>43556</v>
      </c>
      <c r="B23" s="34">
        <v>18</v>
      </c>
      <c r="C23" s="35" t="s">
        <v>20</v>
      </c>
      <c r="D23" s="34" t="str">
        <f>VLOOKUP(C23,'SALE PARTY MASTER'!$B$4:$E$500,2,FALSE)</f>
        <v>27AABCM2508F1ZU</v>
      </c>
      <c r="E23" s="34" t="s">
        <v>22</v>
      </c>
      <c r="F23" s="36" t="s">
        <v>53</v>
      </c>
      <c r="G23" s="37">
        <v>43560</v>
      </c>
      <c r="H23" s="38">
        <v>87141090</v>
      </c>
      <c r="I23" s="39">
        <v>28</v>
      </c>
      <c r="J23" s="38">
        <v>168</v>
      </c>
      <c r="K23" s="40">
        <v>12642</v>
      </c>
      <c r="L23" s="41">
        <v>0</v>
      </c>
      <c r="M23" s="41">
        <v>1769.88</v>
      </c>
      <c r="N23" s="41">
        <v>1769.88</v>
      </c>
      <c r="O23" s="41">
        <v>0</v>
      </c>
      <c r="P23" s="42">
        <v>16181.760000000002</v>
      </c>
      <c r="Q23" s="34" t="s">
        <v>25</v>
      </c>
      <c r="R23" s="34" t="s">
        <v>26</v>
      </c>
      <c r="S23" s="11" t="s">
        <v>4105</v>
      </c>
    </row>
    <row r="24" spans="1:19" x14ac:dyDescent="0.2">
      <c r="A24" s="33">
        <v>43556</v>
      </c>
      <c r="B24" s="34">
        <v>19</v>
      </c>
      <c r="C24" s="35" t="s">
        <v>54</v>
      </c>
      <c r="D24" s="34" t="str">
        <f>VLOOKUP(C24,'SALE PARTY MASTER'!$B$4:$E$500,2,FALSE)</f>
        <v>27AAACD2571J1ZO</v>
      </c>
      <c r="E24" s="34" t="s">
        <v>22</v>
      </c>
      <c r="F24" s="36" t="s">
        <v>56</v>
      </c>
      <c r="G24" s="37">
        <v>43560</v>
      </c>
      <c r="H24" s="38">
        <v>87141090</v>
      </c>
      <c r="I24" s="39">
        <v>28</v>
      </c>
      <c r="J24" s="38">
        <v>0</v>
      </c>
      <c r="K24" s="40">
        <v>0</v>
      </c>
      <c r="L24" s="41">
        <v>0</v>
      </c>
      <c r="M24" s="41">
        <v>0</v>
      </c>
      <c r="N24" s="41">
        <v>0</v>
      </c>
      <c r="O24" s="41">
        <v>0</v>
      </c>
      <c r="P24" s="42">
        <v>0</v>
      </c>
      <c r="Q24" s="34" t="s">
        <v>25</v>
      </c>
      <c r="R24" s="34" t="s">
        <v>26</v>
      </c>
      <c r="S24" s="11" t="s">
        <v>4105</v>
      </c>
    </row>
    <row r="25" spans="1:19" x14ac:dyDescent="0.2">
      <c r="A25" s="33">
        <v>43556</v>
      </c>
      <c r="B25" s="34">
        <v>20</v>
      </c>
      <c r="C25" s="35" t="s">
        <v>20</v>
      </c>
      <c r="D25" s="34" t="str">
        <f>VLOOKUP(C25,'SALE PARTY MASTER'!$B$4:$E$500,2,FALSE)</f>
        <v>27AABCM2508F1ZU</v>
      </c>
      <c r="E25" s="34" t="s">
        <v>22</v>
      </c>
      <c r="F25" s="36" t="s">
        <v>57</v>
      </c>
      <c r="G25" s="37">
        <v>43560</v>
      </c>
      <c r="H25" s="38">
        <v>87081090</v>
      </c>
      <c r="I25" s="39">
        <v>28</v>
      </c>
      <c r="J25" s="38">
        <v>384</v>
      </c>
      <c r="K25" s="40">
        <v>31743.360000000001</v>
      </c>
      <c r="L25" s="41">
        <v>0</v>
      </c>
      <c r="M25" s="41">
        <v>4444.0704000000005</v>
      </c>
      <c r="N25" s="41">
        <v>4444.0704000000005</v>
      </c>
      <c r="O25" s="41">
        <v>0</v>
      </c>
      <c r="P25" s="42">
        <v>40631.500799999994</v>
      </c>
      <c r="Q25" s="34" t="s">
        <v>25</v>
      </c>
      <c r="R25" s="34" t="s">
        <v>26</v>
      </c>
      <c r="S25" s="11" t="s">
        <v>4105</v>
      </c>
    </row>
    <row r="26" spans="1:19" x14ac:dyDescent="0.2">
      <c r="A26" s="33">
        <v>43556</v>
      </c>
      <c r="B26" s="34">
        <v>21</v>
      </c>
      <c r="C26" s="35" t="s">
        <v>40</v>
      </c>
      <c r="D26" s="34" t="str">
        <f>VLOOKUP(C26,'SALE PARTY MASTER'!$B$4:$E$500,2,FALSE)</f>
        <v>27AAACT1848E1ZH</v>
      </c>
      <c r="E26" s="34" t="s">
        <v>22</v>
      </c>
      <c r="F26" s="36" t="s">
        <v>58</v>
      </c>
      <c r="G26" s="37">
        <v>43562</v>
      </c>
      <c r="H26" s="38">
        <v>87089900</v>
      </c>
      <c r="I26" s="39">
        <v>28</v>
      </c>
      <c r="J26" s="38">
        <v>64</v>
      </c>
      <c r="K26" s="40">
        <v>35454.879999999997</v>
      </c>
      <c r="L26" s="41">
        <v>0</v>
      </c>
      <c r="M26" s="41">
        <v>4963.6831999999995</v>
      </c>
      <c r="N26" s="41">
        <v>4963.6831999999995</v>
      </c>
      <c r="O26" s="41">
        <v>0</v>
      </c>
      <c r="P26" s="42">
        <v>45382.236399999994</v>
      </c>
      <c r="Q26" s="34" t="s">
        <v>25</v>
      </c>
      <c r="R26" s="34" t="s">
        <v>26</v>
      </c>
      <c r="S26" s="11" t="s">
        <v>4105</v>
      </c>
    </row>
    <row r="27" spans="1:19" x14ac:dyDescent="0.2">
      <c r="A27" s="33">
        <v>43556</v>
      </c>
      <c r="B27" s="34">
        <v>22</v>
      </c>
      <c r="C27" s="35" t="s">
        <v>20</v>
      </c>
      <c r="D27" s="34" t="str">
        <f>VLOOKUP(C27,'SALE PARTY MASTER'!$B$4:$E$500,2,FALSE)</f>
        <v>27AABCM2508F1ZU</v>
      </c>
      <c r="E27" s="34" t="s">
        <v>22</v>
      </c>
      <c r="F27" s="36" t="s">
        <v>59</v>
      </c>
      <c r="G27" s="37">
        <v>43562</v>
      </c>
      <c r="H27" s="38">
        <v>87081090</v>
      </c>
      <c r="I27" s="39">
        <v>28</v>
      </c>
      <c r="J27" s="38">
        <v>228</v>
      </c>
      <c r="K27" s="40">
        <v>18792.900000000001</v>
      </c>
      <c r="L27" s="41">
        <v>0</v>
      </c>
      <c r="M27" s="41">
        <v>2631.0059999999999</v>
      </c>
      <c r="N27" s="41">
        <v>2631.0059999999999</v>
      </c>
      <c r="O27" s="41">
        <v>0</v>
      </c>
      <c r="P27" s="42">
        <v>24054.922000000002</v>
      </c>
      <c r="Q27" s="34" t="s">
        <v>25</v>
      </c>
      <c r="R27" s="34" t="s">
        <v>26</v>
      </c>
      <c r="S27" s="11" t="s">
        <v>4105</v>
      </c>
    </row>
    <row r="28" spans="1:19" x14ac:dyDescent="0.2">
      <c r="A28" s="33">
        <v>43556</v>
      </c>
      <c r="B28" s="34">
        <v>23</v>
      </c>
      <c r="C28" s="35" t="s">
        <v>20</v>
      </c>
      <c r="D28" s="34" t="str">
        <f>VLOOKUP(C28,'SALE PARTY MASTER'!$B$4:$E$500,2,FALSE)</f>
        <v>27AABCM2508F1ZU</v>
      </c>
      <c r="E28" s="34" t="s">
        <v>22</v>
      </c>
      <c r="F28" s="36" t="s">
        <v>60</v>
      </c>
      <c r="G28" s="37">
        <v>43562</v>
      </c>
      <c r="H28" s="38">
        <v>87141090</v>
      </c>
      <c r="I28" s="39">
        <v>28</v>
      </c>
      <c r="J28" s="38">
        <v>312</v>
      </c>
      <c r="K28" s="40">
        <v>10998</v>
      </c>
      <c r="L28" s="41">
        <v>0</v>
      </c>
      <c r="M28" s="41">
        <v>1539.72</v>
      </c>
      <c r="N28" s="41">
        <v>1539.72</v>
      </c>
      <c r="O28" s="41">
        <v>0</v>
      </c>
      <c r="P28" s="42">
        <v>14077.439999999999</v>
      </c>
      <c r="Q28" s="34" t="s">
        <v>25</v>
      </c>
      <c r="R28" s="34" t="s">
        <v>26</v>
      </c>
      <c r="S28" s="11" t="s">
        <v>4105</v>
      </c>
    </row>
    <row r="29" spans="1:19" x14ac:dyDescent="0.2">
      <c r="A29" s="33">
        <v>43556</v>
      </c>
      <c r="B29" s="34">
        <v>24</v>
      </c>
      <c r="C29" s="35" t="s">
        <v>28</v>
      </c>
      <c r="D29" s="34" t="str">
        <f>VLOOKUP(C29,'SALE PARTY MASTER'!$B$4:$E$500,2,FALSE)</f>
        <v>27AAECM8871A1ZF</v>
      </c>
      <c r="E29" s="34" t="s">
        <v>22</v>
      </c>
      <c r="F29" s="36" t="s">
        <v>61</v>
      </c>
      <c r="G29" s="37">
        <v>43562</v>
      </c>
      <c r="H29" s="38">
        <v>87089900</v>
      </c>
      <c r="I29" s="39">
        <v>28</v>
      </c>
      <c r="J29" s="38">
        <v>12</v>
      </c>
      <c r="K29" s="40">
        <v>23255.759999999998</v>
      </c>
      <c r="L29" s="41">
        <v>0</v>
      </c>
      <c r="M29" s="41">
        <v>3255.8063999999995</v>
      </c>
      <c r="N29" s="41">
        <v>3255.8063999999995</v>
      </c>
      <c r="O29" s="41">
        <v>0</v>
      </c>
      <c r="P29" s="42">
        <v>29767.382799999996</v>
      </c>
      <c r="Q29" s="34" t="s">
        <v>25</v>
      </c>
      <c r="R29" s="34" t="s">
        <v>26</v>
      </c>
      <c r="S29" s="11" t="s">
        <v>4105</v>
      </c>
    </row>
    <row r="30" spans="1:19" x14ac:dyDescent="0.2">
      <c r="A30" s="33">
        <v>43556</v>
      </c>
      <c r="B30" s="34">
        <v>25</v>
      </c>
      <c r="C30" s="35" t="s">
        <v>20</v>
      </c>
      <c r="D30" s="34" t="str">
        <f>VLOOKUP(C30,'SALE PARTY MASTER'!$B$4:$E$500,2,FALSE)</f>
        <v>27AABCM2508F1ZU</v>
      </c>
      <c r="E30" s="34" t="s">
        <v>22</v>
      </c>
      <c r="F30" s="36" t="s">
        <v>62</v>
      </c>
      <c r="G30" s="37">
        <v>43562</v>
      </c>
      <c r="H30" s="38">
        <v>87081090</v>
      </c>
      <c r="I30" s="39">
        <v>28</v>
      </c>
      <c r="J30" s="38">
        <v>576</v>
      </c>
      <c r="K30" s="40">
        <v>47615.040000000001</v>
      </c>
      <c r="L30" s="41">
        <v>0</v>
      </c>
      <c r="M30" s="41">
        <v>6666.1055999999999</v>
      </c>
      <c r="N30" s="41">
        <v>6666.1055999999999</v>
      </c>
      <c r="O30" s="41">
        <v>0</v>
      </c>
      <c r="P30" s="42">
        <v>60947.241200000004</v>
      </c>
      <c r="Q30" s="34" t="s">
        <v>25</v>
      </c>
      <c r="R30" s="34" t="s">
        <v>26</v>
      </c>
      <c r="S30" s="11" t="s">
        <v>4105</v>
      </c>
    </row>
    <row r="31" spans="1:19" x14ac:dyDescent="0.2">
      <c r="A31" s="33">
        <v>43556</v>
      </c>
      <c r="B31" s="34">
        <v>26</v>
      </c>
      <c r="C31" s="35" t="s">
        <v>49</v>
      </c>
      <c r="D31" s="34" t="str">
        <f>VLOOKUP(C31,'SALE PARTY MASTER'!$B$4:$E$500,2,FALSE)</f>
        <v>27AABFJ4217F1ZP</v>
      </c>
      <c r="E31" s="34" t="s">
        <v>22</v>
      </c>
      <c r="F31" s="36" t="s">
        <v>63</v>
      </c>
      <c r="G31" s="37">
        <v>43563</v>
      </c>
      <c r="H31" s="38">
        <v>998898</v>
      </c>
      <c r="I31" s="39">
        <v>18</v>
      </c>
      <c r="J31" s="38">
        <v>30</v>
      </c>
      <c r="K31" s="40">
        <v>8524.2000000000007</v>
      </c>
      <c r="L31" s="41">
        <v>0</v>
      </c>
      <c r="M31" s="41">
        <v>767.178</v>
      </c>
      <c r="N31" s="41">
        <v>767.178</v>
      </c>
      <c r="O31" s="41">
        <v>0</v>
      </c>
      <c r="P31" s="42">
        <v>10058.556</v>
      </c>
      <c r="Q31" s="34" t="s">
        <v>25</v>
      </c>
      <c r="R31" s="34" t="s">
        <v>26</v>
      </c>
      <c r="S31" s="11" t="s">
        <v>4107</v>
      </c>
    </row>
    <row r="32" spans="1:19" x14ac:dyDescent="0.2">
      <c r="A32" s="33">
        <v>43556</v>
      </c>
      <c r="B32" s="34">
        <v>27</v>
      </c>
      <c r="C32" s="35" t="s">
        <v>20</v>
      </c>
      <c r="D32" s="34" t="str">
        <f>VLOOKUP(C32,'SALE PARTY MASTER'!$B$4:$E$500,2,FALSE)</f>
        <v>27AABCM2508F1ZU</v>
      </c>
      <c r="E32" s="34" t="s">
        <v>22</v>
      </c>
      <c r="F32" s="36" t="s">
        <v>64</v>
      </c>
      <c r="G32" s="37">
        <v>43563</v>
      </c>
      <c r="H32" s="38">
        <v>87081090</v>
      </c>
      <c r="I32" s="39">
        <v>28</v>
      </c>
      <c r="J32" s="38">
        <v>228</v>
      </c>
      <c r="K32" s="40">
        <v>18847.62</v>
      </c>
      <c r="L32" s="41">
        <v>0</v>
      </c>
      <c r="M32" s="41">
        <v>2638.6667999999995</v>
      </c>
      <c r="N32" s="41">
        <v>2638.6667999999995</v>
      </c>
      <c r="O32" s="41">
        <v>0</v>
      </c>
      <c r="P32" s="42">
        <v>24124.963599999995</v>
      </c>
      <c r="Q32" s="34" t="s">
        <v>25</v>
      </c>
      <c r="R32" s="34" t="s">
        <v>26</v>
      </c>
      <c r="S32" s="11" t="s">
        <v>4105</v>
      </c>
    </row>
    <row r="33" spans="1:19" x14ac:dyDescent="0.2">
      <c r="A33" s="33">
        <v>43556</v>
      </c>
      <c r="B33" s="34">
        <v>28</v>
      </c>
      <c r="C33" s="35" t="s">
        <v>65</v>
      </c>
      <c r="D33" s="34" t="str">
        <f>VLOOKUP(C33,'SALE PARTY MASTER'!$B$4:$E$500,2,FALSE)</f>
        <v>27BBVP5833N1ZP</v>
      </c>
      <c r="E33" s="34" t="s">
        <v>22</v>
      </c>
      <c r="F33" s="36" t="s">
        <v>67</v>
      </c>
      <c r="G33" s="37">
        <v>43563</v>
      </c>
      <c r="H33" s="38">
        <v>998898</v>
      </c>
      <c r="I33" s="39">
        <v>18</v>
      </c>
      <c r="J33" s="38">
        <v>15</v>
      </c>
      <c r="K33" s="40">
        <v>10018.64</v>
      </c>
      <c r="L33" s="41">
        <v>0</v>
      </c>
      <c r="M33" s="41">
        <v>901.67759999999998</v>
      </c>
      <c r="N33" s="41">
        <v>901.67759999999998</v>
      </c>
      <c r="O33" s="41">
        <v>0</v>
      </c>
      <c r="P33" s="42">
        <v>11821.995199999998</v>
      </c>
      <c r="Q33" s="34" t="s">
        <v>25</v>
      </c>
      <c r="R33" s="34" t="s">
        <v>26</v>
      </c>
      <c r="S33" s="11" t="s">
        <v>4107</v>
      </c>
    </row>
    <row r="34" spans="1:19" x14ac:dyDescent="0.2">
      <c r="A34" s="33">
        <v>43556</v>
      </c>
      <c r="B34" s="34">
        <v>29</v>
      </c>
      <c r="C34" s="35" t="s">
        <v>20</v>
      </c>
      <c r="D34" s="34" t="str">
        <f>VLOOKUP(C34,'SALE PARTY MASTER'!$B$4:$E$500,2,FALSE)</f>
        <v>27AABCM2508F1ZU</v>
      </c>
      <c r="E34" s="34" t="s">
        <v>22</v>
      </c>
      <c r="F34" s="36" t="s">
        <v>68</v>
      </c>
      <c r="G34" s="37">
        <v>43563</v>
      </c>
      <c r="H34" s="38">
        <v>87081090</v>
      </c>
      <c r="I34" s="39">
        <v>28</v>
      </c>
      <c r="J34" s="38">
        <v>632</v>
      </c>
      <c r="K34" s="40">
        <v>52244.28</v>
      </c>
      <c r="L34" s="41">
        <v>0</v>
      </c>
      <c r="M34" s="41">
        <v>7314.1992000000009</v>
      </c>
      <c r="N34" s="41">
        <v>7314.1992000000009</v>
      </c>
      <c r="O34" s="41">
        <v>0</v>
      </c>
      <c r="P34" s="42">
        <v>66872.678400000004</v>
      </c>
      <c r="Q34" s="34" t="s">
        <v>25</v>
      </c>
      <c r="R34" s="34" t="s">
        <v>26</v>
      </c>
      <c r="S34" s="11" t="s">
        <v>4105</v>
      </c>
    </row>
    <row r="35" spans="1:19" x14ac:dyDescent="0.2">
      <c r="A35" s="33">
        <v>43556</v>
      </c>
      <c r="B35" s="34">
        <v>30</v>
      </c>
      <c r="C35" s="35" t="s">
        <v>40</v>
      </c>
      <c r="D35" s="34" t="str">
        <f>VLOOKUP(C35,'SALE PARTY MASTER'!$B$4:$E$500,2,FALSE)</f>
        <v>27AAACT1848E1ZH</v>
      </c>
      <c r="E35" s="34" t="s">
        <v>22</v>
      </c>
      <c r="F35" s="36" t="s">
        <v>69</v>
      </c>
      <c r="G35" s="37">
        <v>43564</v>
      </c>
      <c r="H35" s="38">
        <v>87089900</v>
      </c>
      <c r="I35" s="39">
        <v>28</v>
      </c>
      <c r="J35" s="38">
        <v>256</v>
      </c>
      <c r="K35" s="40">
        <v>39323.56</v>
      </c>
      <c r="L35" s="41">
        <v>0</v>
      </c>
      <c r="M35" s="41">
        <v>5505.2983999999997</v>
      </c>
      <c r="N35" s="41">
        <v>5505.2983999999997</v>
      </c>
      <c r="O35" s="41">
        <v>0</v>
      </c>
      <c r="P35" s="42">
        <v>50334.156799999997</v>
      </c>
      <c r="Q35" s="34" t="s">
        <v>25</v>
      </c>
      <c r="R35" s="34" t="s">
        <v>26</v>
      </c>
      <c r="S35" s="11" t="s">
        <v>4105</v>
      </c>
    </row>
    <row r="36" spans="1:19" x14ac:dyDescent="0.2">
      <c r="A36" s="33">
        <v>43556</v>
      </c>
      <c r="B36" s="34">
        <v>31</v>
      </c>
      <c r="C36" s="35" t="s">
        <v>70</v>
      </c>
      <c r="D36" s="34" t="str">
        <f>VLOOKUP(C36,'SALE PARTY MASTER'!$B$4:$E$500,2,FALSE)</f>
        <v>27AACCA4196J1ZG</v>
      </c>
      <c r="E36" s="34" t="s">
        <v>22</v>
      </c>
      <c r="F36" s="36" t="s">
        <v>72</v>
      </c>
      <c r="G36" s="37">
        <v>43564</v>
      </c>
      <c r="H36" s="38">
        <v>998898</v>
      </c>
      <c r="I36" s="39">
        <v>18</v>
      </c>
      <c r="J36" s="38">
        <v>960</v>
      </c>
      <c r="K36" s="40">
        <v>7891.2</v>
      </c>
      <c r="L36" s="41">
        <v>0</v>
      </c>
      <c r="M36" s="41">
        <v>710.20799999999997</v>
      </c>
      <c r="N36" s="41">
        <v>710.20799999999997</v>
      </c>
      <c r="O36" s="41">
        <v>0</v>
      </c>
      <c r="P36" s="42">
        <v>9311.616</v>
      </c>
      <c r="Q36" s="34" t="s">
        <v>25</v>
      </c>
      <c r="R36" s="34" t="s">
        <v>26</v>
      </c>
      <c r="S36" s="11" t="s">
        <v>4107</v>
      </c>
    </row>
    <row r="37" spans="1:19" x14ac:dyDescent="0.2">
      <c r="A37" s="33">
        <v>43556</v>
      </c>
      <c r="B37" s="34">
        <v>32</v>
      </c>
      <c r="C37" s="43" t="s">
        <v>73</v>
      </c>
      <c r="D37" s="34" t="str">
        <f>VLOOKUP(C37,'SALE PARTY MASTER'!$B$4:$E$500,2,FALSE)</f>
        <v>27AAACH4211R1ZF</v>
      </c>
      <c r="E37" s="34" t="s">
        <v>22</v>
      </c>
      <c r="F37" s="36" t="s">
        <v>75</v>
      </c>
      <c r="G37" s="37">
        <v>43564</v>
      </c>
      <c r="H37" s="38">
        <v>85129000</v>
      </c>
      <c r="I37" s="39">
        <v>18</v>
      </c>
      <c r="J37" s="38">
        <v>1200</v>
      </c>
      <c r="K37" s="40">
        <v>30000</v>
      </c>
      <c r="L37" s="41">
        <v>0</v>
      </c>
      <c r="M37" s="41">
        <v>2700</v>
      </c>
      <c r="N37" s="41">
        <v>2700</v>
      </c>
      <c r="O37" s="41">
        <v>0</v>
      </c>
      <c r="P37" s="42">
        <v>35400</v>
      </c>
      <c r="Q37" s="34" t="s">
        <v>25</v>
      </c>
      <c r="R37" s="34" t="s">
        <v>26</v>
      </c>
      <c r="S37" s="11" t="s">
        <v>4105</v>
      </c>
    </row>
    <row r="38" spans="1:19" x14ac:dyDescent="0.2">
      <c r="A38" s="33">
        <v>43556</v>
      </c>
      <c r="B38" s="34">
        <v>33</v>
      </c>
      <c r="C38" s="43" t="s">
        <v>73</v>
      </c>
      <c r="D38" s="34" t="str">
        <f>VLOOKUP(C38,'SALE PARTY MASTER'!$B$4:$E$500,2,FALSE)</f>
        <v>27AAACH4211R1ZF</v>
      </c>
      <c r="E38" s="34" t="s">
        <v>22</v>
      </c>
      <c r="F38" s="36" t="s">
        <v>76</v>
      </c>
      <c r="G38" s="37">
        <v>43564</v>
      </c>
      <c r="H38" s="38">
        <v>85129000</v>
      </c>
      <c r="I38" s="39">
        <v>18</v>
      </c>
      <c r="J38" s="38">
        <v>1200</v>
      </c>
      <c r="K38" s="40">
        <v>30000</v>
      </c>
      <c r="L38" s="41">
        <v>0</v>
      </c>
      <c r="M38" s="41">
        <v>2700</v>
      </c>
      <c r="N38" s="41">
        <v>2700</v>
      </c>
      <c r="O38" s="41">
        <v>0</v>
      </c>
      <c r="P38" s="42">
        <v>35400</v>
      </c>
      <c r="Q38" s="34" t="s">
        <v>25</v>
      </c>
      <c r="R38" s="34" t="s">
        <v>26</v>
      </c>
      <c r="S38" s="11" t="s">
        <v>4105</v>
      </c>
    </row>
    <row r="39" spans="1:19" x14ac:dyDescent="0.2">
      <c r="A39" s="33">
        <v>43556</v>
      </c>
      <c r="B39" s="34">
        <v>34</v>
      </c>
      <c r="C39" s="35" t="s">
        <v>28</v>
      </c>
      <c r="D39" s="34" t="str">
        <f>VLOOKUP(C39,'SALE PARTY MASTER'!$B$4:$E$500,2,FALSE)</f>
        <v>27AAECM8871A1ZF</v>
      </c>
      <c r="E39" s="34" t="s">
        <v>22</v>
      </c>
      <c r="F39" s="36" t="s">
        <v>77</v>
      </c>
      <c r="G39" s="37">
        <v>43564</v>
      </c>
      <c r="H39" s="38">
        <v>87089900</v>
      </c>
      <c r="I39" s="39">
        <v>28</v>
      </c>
      <c r="J39" s="38">
        <v>12</v>
      </c>
      <c r="K39" s="40">
        <v>23255.759999999998</v>
      </c>
      <c r="L39" s="41">
        <v>0</v>
      </c>
      <c r="M39" s="41">
        <v>3255.8063999999995</v>
      </c>
      <c r="N39" s="41">
        <v>3255.8063999999995</v>
      </c>
      <c r="O39" s="41">
        <v>0</v>
      </c>
      <c r="P39" s="42">
        <v>29767.382799999996</v>
      </c>
      <c r="Q39" s="34" t="s">
        <v>25</v>
      </c>
      <c r="R39" s="34" t="s">
        <v>26</v>
      </c>
      <c r="S39" s="11" t="s">
        <v>4105</v>
      </c>
    </row>
    <row r="40" spans="1:19" x14ac:dyDescent="0.2">
      <c r="A40" s="33">
        <v>43556</v>
      </c>
      <c r="B40" s="34">
        <v>35</v>
      </c>
      <c r="C40" s="35" t="s">
        <v>20</v>
      </c>
      <c r="D40" s="34" t="str">
        <f>VLOOKUP(C40,'SALE PARTY MASTER'!$B$4:$E$500,2,FALSE)</f>
        <v>27AABCM2508F1ZU</v>
      </c>
      <c r="E40" s="34" t="s">
        <v>22</v>
      </c>
      <c r="F40" s="36" t="s">
        <v>78</v>
      </c>
      <c r="G40" s="37">
        <v>43564</v>
      </c>
      <c r="H40" s="38">
        <v>87081090</v>
      </c>
      <c r="I40" s="39">
        <v>28</v>
      </c>
      <c r="J40" s="38">
        <v>240</v>
      </c>
      <c r="K40" s="40">
        <v>19839.599999999999</v>
      </c>
      <c r="L40" s="41">
        <v>0</v>
      </c>
      <c r="M40" s="41">
        <v>2777.5439999999999</v>
      </c>
      <c r="N40" s="41">
        <v>2777.5439999999999</v>
      </c>
      <c r="O40" s="41">
        <v>0</v>
      </c>
      <c r="P40" s="42">
        <v>25394.678000000004</v>
      </c>
      <c r="Q40" s="34" t="s">
        <v>25</v>
      </c>
      <c r="R40" s="34" t="s">
        <v>26</v>
      </c>
      <c r="S40" s="11" t="s">
        <v>4105</v>
      </c>
    </row>
    <row r="41" spans="1:19" x14ac:dyDescent="0.2">
      <c r="A41" s="33">
        <v>43556</v>
      </c>
      <c r="B41" s="34">
        <v>36</v>
      </c>
      <c r="C41" s="35" t="s">
        <v>28</v>
      </c>
      <c r="D41" s="34" t="str">
        <f>VLOOKUP(C41,'SALE PARTY MASTER'!$B$4:$E$500,2,FALSE)</f>
        <v>27AAECM8871A1ZF</v>
      </c>
      <c r="E41" s="34" t="s">
        <v>22</v>
      </c>
      <c r="F41" s="36" t="s">
        <v>79</v>
      </c>
      <c r="G41" s="37">
        <v>43564</v>
      </c>
      <c r="H41" s="38">
        <v>87089900</v>
      </c>
      <c r="I41" s="39">
        <v>28</v>
      </c>
      <c r="J41" s="38">
        <v>10</v>
      </c>
      <c r="K41" s="40">
        <v>19379.8</v>
      </c>
      <c r="L41" s="41">
        <v>0</v>
      </c>
      <c r="M41" s="41">
        <v>2713.172</v>
      </c>
      <c r="N41" s="41">
        <v>2713.172</v>
      </c>
      <c r="O41" s="41">
        <v>0</v>
      </c>
      <c r="P41" s="42">
        <v>24806.143999999997</v>
      </c>
      <c r="Q41" s="34" t="s">
        <v>25</v>
      </c>
      <c r="R41" s="34" t="s">
        <v>26</v>
      </c>
      <c r="S41" s="11" t="s">
        <v>4105</v>
      </c>
    </row>
    <row r="42" spans="1:19" x14ac:dyDescent="0.2">
      <c r="A42" s="33">
        <v>43556</v>
      </c>
      <c r="B42" s="34">
        <v>37</v>
      </c>
      <c r="C42" s="35" t="s">
        <v>20</v>
      </c>
      <c r="D42" s="34" t="str">
        <f>VLOOKUP(C42,'SALE PARTY MASTER'!$B$4:$E$500,2,FALSE)</f>
        <v>27AABCM2508F1ZU</v>
      </c>
      <c r="E42" s="34" t="s">
        <v>22</v>
      </c>
      <c r="F42" s="36" t="s">
        <v>80</v>
      </c>
      <c r="G42" s="37">
        <v>43564</v>
      </c>
      <c r="H42" s="38">
        <v>87081090</v>
      </c>
      <c r="I42" s="39">
        <v>28</v>
      </c>
      <c r="J42" s="38">
        <v>180</v>
      </c>
      <c r="K42" s="40">
        <v>14879.7</v>
      </c>
      <c r="L42" s="41">
        <v>0</v>
      </c>
      <c r="M42" s="41">
        <v>2083.1579999999999</v>
      </c>
      <c r="N42" s="41">
        <v>2083.1579999999999</v>
      </c>
      <c r="O42" s="41">
        <v>0</v>
      </c>
      <c r="P42" s="42">
        <v>19046.016</v>
      </c>
      <c r="Q42" s="34" t="s">
        <v>25</v>
      </c>
      <c r="R42" s="34" t="s">
        <v>26</v>
      </c>
      <c r="S42" s="11" t="s">
        <v>4105</v>
      </c>
    </row>
    <row r="43" spans="1:19" x14ac:dyDescent="0.2">
      <c r="A43" s="33">
        <v>43556</v>
      </c>
      <c r="B43" s="34">
        <v>38</v>
      </c>
      <c r="C43" s="35" t="s">
        <v>28</v>
      </c>
      <c r="D43" s="34" t="str">
        <f>VLOOKUP(C43,'SALE PARTY MASTER'!$B$4:$E$500,2,FALSE)</f>
        <v>27AAECM8871A1ZF</v>
      </c>
      <c r="E43" s="34" t="s">
        <v>22</v>
      </c>
      <c r="F43" s="36" t="s">
        <v>81</v>
      </c>
      <c r="G43" s="37">
        <v>43565</v>
      </c>
      <c r="H43" s="38">
        <v>87089900</v>
      </c>
      <c r="I43" s="39">
        <v>28</v>
      </c>
      <c r="J43" s="38">
        <v>12</v>
      </c>
      <c r="K43" s="40">
        <v>23255.759999999998</v>
      </c>
      <c r="L43" s="41">
        <v>0</v>
      </c>
      <c r="M43" s="41">
        <v>3255.8063999999995</v>
      </c>
      <c r="N43" s="41">
        <v>3255.8063999999995</v>
      </c>
      <c r="O43" s="41">
        <v>0</v>
      </c>
      <c r="P43" s="42">
        <v>29767.382799999996</v>
      </c>
      <c r="Q43" s="34" t="s">
        <v>25</v>
      </c>
      <c r="R43" s="34" t="s">
        <v>26</v>
      </c>
      <c r="S43" s="11" t="s">
        <v>4105</v>
      </c>
    </row>
    <row r="44" spans="1:19" x14ac:dyDescent="0.2">
      <c r="A44" s="33">
        <v>43556</v>
      </c>
      <c r="B44" s="34">
        <v>39</v>
      </c>
      <c r="C44" s="35" t="s">
        <v>20</v>
      </c>
      <c r="D44" s="34" t="str">
        <f>VLOOKUP(C44,'SALE PARTY MASTER'!$B$4:$E$500,2,FALSE)</f>
        <v>27AABCM2508F1ZU</v>
      </c>
      <c r="E44" s="34" t="s">
        <v>22</v>
      </c>
      <c r="F44" s="36" t="s">
        <v>82</v>
      </c>
      <c r="G44" s="37">
        <v>43565</v>
      </c>
      <c r="H44" s="38">
        <v>87081090</v>
      </c>
      <c r="I44" s="39">
        <v>28</v>
      </c>
      <c r="J44" s="38">
        <v>20</v>
      </c>
      <c r="K44" s="40">
        <v>1653.3</v>
      </c>
      <c r="L44" s="41">
        <v>0</v>
      </c>
      <c r="M44" s="41">
        <v>231.46200000000002</v>
      </c>
      <c r="N44" s="41">
        <v>231.46200000000002</v>
      </c>
      <c r="O44" s="41">
        <v>0</v>
      </c>
      <c r="P44" s="42">
        <v>2116.2240000000002</v>
      </c>
      <c r="Q44" s="34" t="s">
        <v>25</v>
      </c>
      <c r="R44" s="34" t="s">
        <v>26</v>
      </c>
      <c r="S44" s="11" t="s">
        <v>4105</v>
      </c>
    </row>
    <row r="45" spans="1:19" x14ac:dyDescent="0.2">
      <c r="A45" s="33">
        <v>43556</v>
      </c>
      <c r="B45" s="34">
        <v>40</v>
      </c>
      <c r="C45" s="35" t="s">
        <v>20</v>
      </c>
      <c r="D45" s="34" t="str">
        <f>VLOOKUP(C45,'SALE PARTY MASTER'!$B$4:$E$500,2,FALSE)</f>
        <v>27AABCM2508F1ZU</v>
      </c>
      <c r="E45" s="34" t="s">
        <v>22</v>
      </c>
      <c r="F45" s="36" t="s">
        <v>83</v>
      </c>
      <c r="G45" s="37">
        <v>43565</v>
      </c>
      <c r="H45" s="38">
        <v>87081090</v>
      </c>
      <c r="I45" s="39">
        <v>28</v>
      </c>
      <c r="J45" s="38">
        <v>348</v>
      </c>
      <c r="K45" s="40">
        <v>28767.42</v>
      </c>
      <c r="L45" s="41">
        <v>0</v>
      </c>
      <c r="M45" s="41">
        <v>4027.4387999999999</v>
      </c>
      <c r="N45" s="41">
        <v>4027.4387999999999</v>
      </c>
      <c r="O45" s="41">
        <v>0</v>
      </c>
      <c r="P45" s="42">
        <v>36822.297600000005</v>
      </c>
      <c r="Q45" s="34" t="s">
        <v>25</v>
      </c>
      <c r="R45" s="34" t="s">
        <v>26</v>
      </c>
      <c r="S45" s="11" t="s">
        <v>4105</v>
      </c>
    </row>
    <row r="46" spans="1:19" x14ac:dyDescent="0.2">
      <c r="A46" s="33">
        <v>43556</v>
      </c>
      <c r="B46" s="34">
        <v>41</v>
      </c>
      <c r="C46" s="35" t="s">
        <v>20</v>
      </c>
      <c r="D46" s="34" t="str">
        <f>VLOOKUP(C46,'SALE PARTY MASTER'!$B$4:$E$500,2,FALSE)</f>
        <v>27AABCM2508F1ZU</v>
      </c>
      <c r="E46" s="34" t="s">
        <v>22</v>
      </c>
      <c r="F46" s="36" t="s">
        <v>84</v>
      </c>
      <c r="G46" s="37">
        <v>43565</v>
      </c>
      <c r="H46" s="38">
        <v>87081090</v>
      </c>
      <c r="I46" s="39">
        <v>28</v>
      </c>
      <c r="J46" s="38">
        <v>372</v>
      </c>
      <c r="K46" s="40">
        <v>30751.38</v>
      </c>
      <c r="L46" s="41">
        <v>0</v>
      </c>
      <c r="M46" s="41">
        <v>4305.1931999999997</v>
      </c>
      <c r="N46" s="41">
        <v>4305.1931999999997</v>
      </c>
      <c r="O46" s="41">
        <v>0</v>
      </c>
      <c r="P46" s="42">
        <v>39361.756399999998</v>
      </c>
      <c r="Q46" s="34" t="s">
        <v>25</v>
      </c>
      <c r="R46" s="34" t="s">
        <v>26</v>
      </c>
      <c r="S46" s="11" t="s">
        <v>4105</v>
      </c>
    </row>
    <row r="47" spans="1:19" x14ac:dyDescent="0.2">
      <c r="A47" s="33">
        <v>43556</v>
      </c>
      <c r="B47" s="34">
        <v>42</v>
      </c>
      <c r="C47" s="35" t="s">
        <v>28</v>
      </c>
      <c r="D47" s="34" t="str">
        <f>VLOOKUP(C47,'SALE PARTY MASTER'!$B$4:$E$500,2,FALSE)</f>
        <v>27AAECM8871A1ZF</v>
      </c>
      <c r="E47" s="34" t="s">
        <v>22</v>
      </c>
      <c r="F47" s="36" t="s">
        <v>85</v>
      </c>
      <c r="G47" s="37">
        <v>43565</v>
      </c>
      <c r="H47" s="38">
        <v>87089900</v>
      </c>
      <c r="I47" s="39">
        <v>28</v>
      </c>
      <c r="J47" s="38">
        <v>12</v>
      </c>
      <c r="K47" s="40">
        <v>23255.759999999998</v>
      </c>
      <c r="L47" s="41">
        <v>0</v>
      </c>
      <c r="M47" s="41">
        <v>3255.8063999999995</v>
      </c>
      <c r="N47" s="41">
        <v>3255.8063999999995</v>
      </c>
      <c r="O47" s="41">
        <v>0</v>
      </c>
      <c r="P47" s="42">
        <v>29767.382799999996</v>
      </c>
      <c r="Q47" s="34" t="s">
        <v>25</v>
      </c>
      <c r="R47" s="34" t="s">
        <v>26</v>
      </c>
      <c r="S47" s="11" t="s">
        <v>4105</v>
      </c>
    </row>
    <row r="48" spans="1:19" x14ac:dyDescent="0.2">
      <c r="A48" s="33">
        <v>43556</v>
      </c>
      <c r="B48" s="34">
        <v>43</v>
      </c>
      <c r="C48" s="35" t="s">
        <v>28</v>
      </c>
      <c r="D48" s="34" t="str">
        <f>VLOOKUP(C48,'SALE PARTY MASTER'!$B$4:$E$500,2,FALSE)</f>
        <v>27AAECM8871A1ZF</v>
      </c>
      <c r="E48" s="34" t="s">
        <v>22</v>
      </c>
      <c r="F48" s="36" t="s">
        <v>86</v>
      </c>
      <c r="G48" s="37">
        <v>43565</v>
      </c>
      <c r="H48" s="38">
        <v>87089900</v>
      </c>
      <c r="I48" s="39">
        <v>28</v>
      </c>
      <c r="J48" s="38">
        <v>12</v>
      </c>
      <c r="K48" s="40">
        <v>23255.759999999998</v>
      </c>
      <c r="L48" s="41">
        <v>0</v>
      </c>
      <c r="M48" s="41">
        <v>3255.8063999999995</v>
      </c>
      <c r="N48" s="41">
        <v>3255.8063999999995</v>
      </c>
      <c r="O48" s="41">
        <v>0</v>
      </c>
      <c r="P48" s="42">
        <v>29767.382799999996</v>
      </c>
      <c r="Q48" s="34" t="s">
        <v>25</v>
      </c>
      <c r="R48" s="34" t="s">
        <v>26</v>
      </c>
      <c r="S48" s="11" t="s">
        <v>4105</v>
      </c>
    </row>
    <row r="49" spans="1:19" x14ac:dyDescent="0.2">
      <c r="A49" s="33">
        <v>43556</v>
      </c>
      <c r="B49" s="34">
        <v>44</v>
      </c>
      <c r="C49" s="35" t="s">
        <v>20</v>
      </c>
      <c r="D49" s="34" t="str">
        <f>VLOOKUP(C49,'SALE PARTY MASTER'!$B$4:$E$500,2,FALSE)</f>
        <v>27AABCM2508F1ZU</v>
      </c>
      <c r="E49" s="34" t="s">
        <v>22</v>
      </c>
      <c r="F49" s="36" t="s">
        <v>87</v>
      </c>
      <c r="G49" s="37">
        <v>43565</v>
      </c>
      <c r="H49" s="38">
        <v>87081090</v>
      </c>
      <c r="I49" s="39">
        <v>28</v>
      </c>
      <c r="J49" s="38">
        <v>372</v>
      </c>
      <c r="K49" s="40">
        <v>30751.38</v>
      </c>
      <c r="L49" s="41">
        <v>0</v>
      </c>
      <c r="M49" s="41">
        <v>4305.1931999999997</v>
      </c>
      <c r="N49" s="41">
        <v>4305.1931999999997</v>
      </c>
      <c r="O49" s="41">
        <v>0</v>
      </c>
      <c r="P49" s="42">
        <v>39361.756399999998</v>
      </c>
      <c r="Q49" s="34" t="s">
        <v>25</v>
      </c>
      <c r="R49" s="34" t="s">
        <v>26</v>
      </c>
      <c r="S49" s="11" t="s">
        <v>4105</v>
      </c>
    </row>
    <row r="50" spans="1:19" x14ac:dyDescent="0.2">
      <c r="A50" s="33">
        <v>43556</v>
      </c>
      <c r="B50" s="34">
        <v>45</v>
      </c>
      <c r="C50" s="35" t="s">
        <v>20</v>
      </c>
      <c r="D50" s="34" t="str">
        <f>VLOOKUP(C50,'SALE PARTY MASTER'!$B$4:$E$500,2,FALSE)</f>
        <v>27AABCM2508F1ZU</v>
      </c>
      <c r="E50" s="34" t="s">
        <v>22</v>
      </c>
      <c r="F50" s="36" t="s">
        <v>88</v>
      </c>
      <c r="G50" s="37">
        <v>43565</v>
      </c>
      <c r="H50" s="38">
        <v>87141090</v>
      </c>
      <c r="I50" s="39">
        <v>28</v>
      </c>
      <c r="J50" s="38">
        <v>144</v>
      </c>
      <c r="K50" s="40">
        <v>10836</v>
      </c>
      <c r="L50" s="41">
        <v>0</v>
      </c>
      <c r="M50" s="41">
        <v>1517.04</v>
      </c>
      <c r="N50" s="41">
        <v>1517.04</v>
      </c>
      <c r="O50" s="41">
        <v>0</v>
      </c>
      <c r="P50" s="42">
        <v>13870.080000000002</v>
      </c>
      <c r="Q50" s="34" t="s">
        <v>25</v>
      </c>
      <c r="R50" s="34" t="s">
        <v>26</v>
      </c>
      <c r="S50" s="11" t="s">
        <v>4105</v>
      </c>
    </row>
    <row r="51" spans="1:19" x14ac:dyDescent="0.2">
      <c r="A51" s="33">
        <v>43556</v>
      </c>
      <c r="B51" s="34">
        <v>46</v>
      </c>
      <c r="C51" s="35" t="s">
        <v>20</v>
      </c>
      <c r="D51" s="34" t="str">
        <f>VLOOKUP(C51,'SALE PARTY MASTER'!$B$4:$E$500,2,FALSE)</f>
        <v>27AABCM2508F1ZU</v>
      </c>
      <c r="E51" s="34" t="s">
        <v>22</v>
      </c>
      <c r="F51" s="36" t="s">
        <v>89</v>
      </c>
      <c r="G51" s="37">
        <v>43566</v>
      </c>
      <c r="H51" s="38">
        <v>87081090</v>
      </c>
      <c r="I51" s="39">
        <v>28</v>
      </c>
      <c r="J51" s="38">
        <v>192</v>
      </c>
      <c r="K51" s="40">
        <v>15871.68</v>
      </c>
      <c r="L51" s="41">
        <v>0</v>
      </c>
      <c r="M51" s="41">
        <v>2222.0352000000003</v>
      </c>
      <c r="N51" s="41">
        <v>2222.0352000000003</v>
      </c>
      <c r="O51" s="41">
        <v>0</v>
      </c>
      <c r="P51" s="42">
        <v>20315.760399999996</v>
      </c>
      <c r="Q51" s="34" t="s">
        <v>25</v>
      </c>
      <c r="R51" s="34" t="s">
        <v>26</v>
      </c>
      <c r="S51" s="11" t="s">
        <v>4105</v>
      </c>
    </row>
    <row r="52" spans="1:19" x14ac:dyDescent="0.2">
      <c r="A52" s="33">
        <v>43556</v>
      </c>
      <c r="B52" s="34">
        <v>47</v>
      </c>
      <c r="C52" s="35" t="s">
        <v>28</v>
      </c>
      <c r="D52" s="34" t="str">
        <f>VLOOKUP(C52,'SALE PARTY MASTER'!$B$4:$E$500,2,FALSE)</f>
        <v>27AAECM8871A1ZF</v>
      </c>
      <c r="E52" s="34" t="s">
        <v>22</v>
      </c>
      <c r="F52" s="36" t="s">
        <v>90</v>
      </c>
      <c r="G52" s="37">
        <v>43566</v>
      </c>
      <c r="H52" s="38">
        <v>87089900</v>
      </c>
      <c r="I52" s="39">
        <v>28</v>
      </c>
      <c r="J52" s="38">
        <v>12</v>
      </c>
      <c r="K52" s="40">
        <v>23255.759999999998</v>
      </c>
      <c r="L52" s="41">
        <v>0</v>
      </c>
      <c r="M52" s="41">
        <v>3255.8063999999995</v>
      </c>
      <c r="N52" s="41">
        <v>3255.8063999999995</v>
      </c>
      <c r="O52" s="41">
        <v>0</v>
      </c>
      <c r="P52" s="42">
        <v>29767.382799999996</v>
      </c>
      <c r="Q52" s="34" t="s">
        <v>25</v>
      </c>
      <c r="R52" s="34" t="s">
        <v>26</v>
      </c>
      <c r="S52" s="11" t="s">
        <v>4105</v>
      </c>
    </row>
    <row r="53" spans="1:19" x14ac:dyDescent="0.2">
      <c r="A53" s="33">
        <v>43556</v>
      </c>
      <c r="B53" s="34">
        <v>48</v>
      </c>
      <c r="C53" s="35" t="s">
        <v>91</v>
      </c>
      <c r="D53" s="34" t="str">
        <f>VLOOKUP(C53,'SALE PARTY MASTER'!$B$4:$E$500,2,FALSE)</f>
        <v>27BBVPS2447C1ZA</v>
      </c>
      <c r="E53" s="34" t="s">
        <v>22</v>
      </c>
      <c r="F53" s="36" t="s">
        <v>93</v>
      </c>
      <c r="G53" s="37">
        <v>43566</v>
      </c>
      <c r="H53" s="38">
        <v>998898</v>
      </c>
      <c r="I53" s="39">
        <v>18</v>
      </c>
      <c r="J53" s="38">
        <v>300</v>
      </c>
      <c r="K53" s="40">
        <v>4500</v>
      </c>
      <c r="L53" s="41">
        <v>0</v>
      </c>
      <c r="M53" s="41">
        <v>405</v>
      </c>
      <c r="N53" s="41">
        <v>405</v>
      </c>
      <c r="O53" s="41">
        <v>0</v>
      </c>
      <c r="P53" s="42">
        <v>5310</v>
      </c>
      <c r="Q53" s="34" t="s">
        <v>25</v>
      </c>
      <c r="R53" s="34" t="s">
        <v>26</v>
      </c>
      <c r="S53" s="11" t="s">
        <v>4107</v>
      </c>
    </row>
    <row r="54" spans="1:19" x14ac:dyDescent="0.2">
      <c r="A54" s="33">
        <v>43556</v>
      </c>
      <c r="B54" s="34">
        <v>49</v>
      </c>
      <c r="C54" s="35" t="s">
        <v>20</v>
      </c>
      <c r="D54" s="34" t="str">
        <f>VLOOKUP(C54,'SALE PARTY MASTER'!$B$4:$E$500,2,FALSE)</f>
        <v>27AABCM2508F1ZU</v>
      </c>
      <c r="E54" s="34" t="s">
        <v>22</v>
      </c>
      <c r="F54" s="36" t="s">
        <v>94</v>
      </c>
      <c r="G54" s="37">
        <v>43566</v>
      </c>
      <c r="H54" s="38">
        <v>87081090</v>
      </c>
      <c r="I54" s="39">
        <v>28</v>
      </c>
      <c r="J54" s="38">
        <v>288</v>
      </c>
      <c r="K54" s="40">
        <v>23749.919999999998</v>
      </c>
      <c r="L54" s="41">
        <v>0</v>
      </c>
      <c r="M54" s="41">
        <v>3324.9887999999996</v>
      </c>
      <c r="N54" s="41">
        <v>3324.9887999999996</v>
      </c>
      <c r="O54" s="41">
        <v>0</v>
      </c>
      <c r="P54" s="42">
        <v>30399.897599999997</v>
      </c>
      <c r="Q54" s="34" t="s">
        <v>25</v>
      </c>
      <c r="R54" s="34" t="s">
        <v>26</v>
      </c>
      <c r="S54" s="11" t="s">
        <v>4105</v>
      </c>
    </row>
    <row r="55" spans="1:19" x14ac:dyDescent="0.2">
      <c r="A55" s="33">
        <v>43556</v>
      </c>
      <c r="B55" s="34">
        <v>50</v>
      </c>
      <c r="C55" s="35" t="s">
        <v>40</v>
      </c>
      <c r="D55" s="34" t="str">
        <f>VLOOKUP(C55,'SALE PARTY MASTER'!$B$4:$E$500,2,FALSE)</f>
        <v>27AAACT1848E1ZH</v>
      </c>
      <c r="E55" s="34" t="s">
        <v>22</v>
      </c>
      <c r="F55" s="36" t="s">
        <v>95</v>
      </c>
      <c r="G55" s="37">
        <v>43567</v>
      </c>
      <c r="H55" s="38">
        <v>87089900</v>
      </c>
      <c r="I55" s="39">
        <v>28</v>
      </c>
      <c r="J55" s="38">
        <v>64</v>
      </c>
      <c r="K55" s="40">
        <v>33329.040000000001</v>
      </c>
      <c r="L55" s="41">
        <v>0</v>
      </c>
      <c r="M55" s="41">
        <v>4666.0656000000008</v>
      </c>
      <c r="N55" s="41">
        <v>4666.0656000000008</v>
      </c>
      <c r="O55" s="41">
        <v>0</v>
      </c>
      <c r="P55" s="42">
        <v>42661.181200000006</v>
      </c>
      <c r="Q55" s="34" t="s">
        <v>25</v>
      </c>
      <c r="R55" s="34" t="s">
        <v>26</v>
      </c>
      <c r="S55" s="11" t="s">
        <v>4105</v>
      </c>
    </row>
    <row r="56" spans="1:19" x14ac:dyDescent="0.2">
      <c r="A56" s="33">
        <v>43556</v>
      </c>
      <c r="B56" s="34">
        <v>51</v>
      </c>
      <c r="C56" s="35" t="s">
        <v>28</v>
      </c>
      <c r="D56" s="34" t="str">
        <f>VLOOKUP(C56,'SALE PARTY MASTER'!$B$4:$E$500,2,FALSE)</f>
        <v>27AAECM8871A1ZF</v>
      </c>
      <c r="E56" s="34" t="s">
        <v>22</v>
      </c>
      <c r="F56" s="36" t="s">
        <v>96</v>
      </c>
      <c r="G56" s="37">
        <v>43567</v>
      </c>
      <c r="H56" s="38">
        <v>87089900</v>
      </c>
      <c r="I56" s="39">
        <v>28</v>
      </c>
      <c r="J56" s="38">
        <v>12</v>
      </c>
      <c r="K56" s="40">
        <v>23255.759999999998</v>
      </c>
      <c r="L56" s="41">
        <v>0</v>
      </c>
      <c r="M56" s="41">
        <v>3255.8063999999995</v>
      </c>
      <c r="N56" s="41">
        <v>3255.8063999999995</v>
      </c>
      <c r="O56" s="41">
        <v>0</v>
      </c>
      <c r="P56" s="42">
        <v>29767.382799999996</v>
      </c>
      <c r="Q56" s="34" t="s">
        <v>25</v>
      </c>
      <c r="R56" s="34" t="s">
        <v>26</v>
      </c>
      <c r="S56" s="11" t="s">
        <v>4105</v>
      </c>
    </row>
    <row r="57" spans="1:19" x14ac:dyDescent="0.2">
      <c r="A57" s="33">
        <v>43556</v>
      </c>
      <c r="B57" s="34">
        <v>52</v>
      </c>
      <c r="C57" s="35" t="s">
        <v>28</v>
      </c>
      <c r="D57" s="34" t="str">
        <f>VLOOKUP(C57,'SALE PARTY MASTER'!$B$4:$E$500,2,FALSE)</f>
        <v>27AAECM8871A1ZF</v>
      </c>
      <c r="E57" s="34" t="s">
        <v>22</v>
      </c>
      <c r="F57" s="36" t="s">
        <v>97</v>
      </c>
      <c r="G57" s="37">
        <v>43567</v>
      </c>
      <c r="H57" s="38">
        <v>87089900</v>
      </c>
      <c r="I57" s="39">
        <v>28</v>
      </c>
      <c r="J57" s="38">
        <v>12</v>
      </c>
      <c r="K57" s="40">
        <v>23255.759999999998</v>
      </c>
      <c r="L57" s="41">
        <v>0</v>
      </c>
      <c r="M57" s="41">
        <v>3255.8063999999995</v>
      </c>
      <c r="N57" s="41">
        <v>3255.8063999999995</v>
      </c>
      <c r="O57" s="41">
        <v>0</v>
      </c>
      <c r="P57" s="42">
        <v>29767.382799999996</v>
      </c>
      <c r="Q57" s="34" t="s">
        <v>25</v>
      </c>
      <c r="R57" s="34" t="s">
        <v>26</v>
      </c>
      <c r="S57" s="11" t="s">
        <v>4105</v>
      </c>
    </row>
    <row r="58" spans="1:19" x14ac:dyDescent="0.2">
      <c r="A58" s="33">
        <v>43556</v>
      </c>
      <c r="B58" s="34">
        <v>53</v>
      </c>
      <c r="C58" s="35" t="s">
        <v>20</v>
      </c>
      <c r="D58" s="34" t="str">
        <f>VLOOKUP(C58,'SALE PARTY MASTER'!$B$4:$E$500,2,FALSE)</f>
        <v>27AABCM2508F1ZU</v>
      </c>
      <c r="E58" s="34" t="s">
        <v>22</v>
      </c>
      <c r="F58" s="36" t="s">
        <v>98</v>
      </c>
      <c r="G58" s="37">
        <v>43567</v>
      </c>
      <c r="H58" s="38">
        <v>87081090</v>
      </c>
      <c r="I58" s="39">
        <v>28</v>
      </c>
      <c r="J58" s="38">
        <v>408</v>
      </c>
      <c r="K58" s="40">
        <v>33727.32</v>
      </c>
      <c r="L58" s="41">
        <v>0</v>
      </c>
      <c r="M58" s="41">
        <v>4721.8247999999994</v>
      </c>
      <c r="N58" s="41">
        <v>4721.8247999999994</v>
      </c>
      <c r="O58" s="41">
        <v>0</v>
      </c>
      <c r="P58" s="42">
        <v>43170.959600000002</v>
      </c>
      <c r="Q58" s="34" t="s">
        <v>25</v>
      </c>
      <c r="R58" s="34" t="s">
        <v>26</v>
      </c>
      <c r="S58" s="11" t="s">
        <v>4105</v>
      </c>
    </row>
    <row r="59" spans="1:19" x14ac:dyDescent="0.2">
      <c r="A59" s="33">
        <v>43556</v>
      </c>
      <c r="B59" s="34">
        <v>54</v>
      </c>
      <c r="C59" s="35" t="s">
        <v>20</v>
      </c>
      <c r="D59" s="34" t="str">
        <f>VLOOKUP(C59,'SALE PARTY MASTER'!$B$4:$E$500,2,FALSE)</f>
        <v>27AABCM2508F1ZU</v>
      </c>
      <c r="E59" s="34" t="s">
        <v>22</v>
      </c>
      <c r="F59" s="36" t="s">
        <v>99</v>
      </c>
      <c r="G59" s="37">
        <v>43567</v>
      </c>
      <c r="H59" s="38">
        <v>87081090</v>
      </c>
      <c r="I59" s="39">
        <v>28</v>
      </c>
      <c r="J59" s="38">
        <v>120</v>
      </c>
      <c r="K59" s="40">
        <v>9891</v>
      </c>
      <c r="L59" s="41">
        <v>0</v>
      </c>
      <c r="M59" s="41">
        <v>1384.74</v>
      </c>
      <c r="N59" s="41">
        <v>1384.74</v>
      </c>
      <c r="O59" s="41">
        <v>0</v>
      </c>
      <c r="P59" s="42">
        <v>12660.48</v>
      </c>
      <c r="Q59" s="34" t="s">
        <v>25</v>
      </c>
      <c r="R59" s="34" t="s">
        <v>26</v>
      </c>
      <c r="S59" s="11" t="s">
        <v>4105</v>
      </c>
    </row>
    <row r="60" spans="1:19" x14ac:dyDescent="0.2">
      <c r="A60" s="33">
        <v>43556</v>
      </c>
      <c r="B60" s="34">
        <v>55</v>
      </c>
      <c r="C60" s="35" t="s">
        <v>20</v>
      </c>
      <c r="D60" s="34" t="str">
        <f>VLOOKUP(C60,'SALE PARTY MASTER'!$B$4:$E$500,2,FALSE)</f>
        <v>27AABCM2508F1ZU</v>
      </c>
      <c r="E60" s="34" t="s">
        <v>22</v>
      </c>
      <c r="F60" s="36" t="s">
        <v>100</v>
      </c>
      <c r="G60" s="37">
        <v>43567</v>
      </c>
      <c r="H60" s="38">
        <v>87081090</v>
      </c>
      <c r="I60" s="39">
        <v>28</v>
      </c>
      <c r="J60" s="38">
        <v>120</v>
      </c>
      <c r="K60" s="40">
        <v>9919.7999999999993</v>
      </c>
      <c r="L60" s="41">
        <v>0</v>
      </c>
      <c r="M60" s="41">
        <v>1388.7719999999999</v>
      </c>
      <c r="N60" s="41">
        <v>1388.7719999999999</v>
      </c>
      <c r="O60" s="41">
        <v>0</v>
      </c>
      <c r="P60" s="42">
        <v>12697.344000000001</v>
      </c>
      <c r="Q60" s="34" t="s">
        <v>25</v>
      </c>
      <c r="R60" s="34" t="s">
        <v>26</v>
      </c>
      <c r="S60" s="11" t="s">
        <v>4105</v>
      </c>
    </row>
    <row r="61" spans="1:19" x14ac:dyDescent="0.2">
      <c r="A61" s="33">
        <v>43556</v>
      </c>
      <c r="B61" s="34">
        <v>56</v>
      </c>
      <c r="C61" s="35" t="s">
        <v>28</v>
      </c>
      <c r="D61" s="34" t="str">
        <f>VLOOKUP(C61,'SALE PARTY MASTER'!$B$4:$E$500,2,FALSE)</f>
        <v>27AAECM8871A1ZF</v>
      </c>
      <c r="E61" s="34" t="s">
        <v>22</v>
      </c>
      <c r="F61" s="36" t="s">
        <v>101</v>
      </c>
      <c r="G61" s="37">
        <v>43567</v>
      </c>
      <c r="H61" s="38">
        <v>87089900</v>
      </c>
      <c r="I61" s="39">
        <v>28</v>
      </c>
      <c r="J61" s="38">
        <v>12</v>
      </c>
      <c r="K61" s="40">
        <v>23255.759999999998</v>
      </c>
      <c r="L61" s="41">
        <v>0</v>
      </c>
      <c r="M61" s="41">
        <v>3255.8063999999995</v>
      </c>
      <c r="N61" s="41">
        <v>3255.8063999999995</v>
      </c>
      <c r="O61" s="41">
        <v>0</v>
      </c>
      <c r="P61" s="42">
        <v>29767.382799999996</v>
      </c>
      <c r="Q61" s="34" t="s">
        <v>25</v>
      </c>
      <c r="R61" s="34" t="s">
        <v>26</v>
      </c>
      <c r="S61" s="11" t="s">
        <v>4105</v>
      </c>
    </row>
    <row r="62" spans="1:19" x14ac:dyDescent="0.2">
      <c r="A62" s="33">
        <v>43556</v>
      </c>
      <c r="B62" s="34">
        <v>57</v>
      </c>
      <c r="C62" s="35" t="s">
        <v>102</v>
      </c>
      <c r="D62" s="34" t="str">
        <f>VLOOKUP(C62,'SALE PARTY MASTER'!$B$4:$E$500,2,FALSE)</f>
        <v>23AABCE9378F1ZK</v>
      </c>
      <c r="E62" s="34" t="s">
        <v>22</v>
      </c>
      <c r="F62" s="36" t="s">
        <v>104</v>
      </c>
      <c r="G62" s="37">
        <v>43567</v>
      </c>
      <c r="H62" s="38">
        <v>87081090</v>
      </c>
      <c r="I62" s="39">
        <v>28</v>
      </c>
      <c r="J62" s="38">
        <v>38</v>
      </c>
      <c r="K62" s="40">
        <v>35675.160000000003</v>
      </c>
      <c r="L62" s="41">
        <v>9989.0448000000015</v>
      </c>
      <c r="M62" s="41">
        <v>0</v>
      </c>
      <c r="N62" s="41">
        <v>0</v>
      </c>
      <c r="O62" s="41">
        <v>0</v>
      </c>
      <c r="P62" s="42">
        <v>45664.214800000009</v>
      </c>
      <c r="Q62" s="34" t="s">
        <v>25</v>
      </c>
      <c r="R62" s="34" t="s">
        <v>106</v>
      </c>
      <c r="S62" s="11" t="s">
        <v>4108</v>
      </c>
    </row>
    <row r="63" spans="1:19" x14ac:dyDescent="0.2">
      <c r="A63" s="33">
        <v>43556</v>
      </c>
      <c r="B63" s="34">
        <v>58</v>
      </c>
      <c r="C63" s="35" t="s">
        <v>102</v>
      </c>
      <c r="D63" s="34" t="str">
        <f>VLOOKUP(C63,'SALE PARTY MASTER'!$B$4:$E$500,2,FALSE)</f>
        <v>23AABCE9378F1ZK</v>
      </c>
      <c r="E63" s="34" t="s">
        <v>22</v>
      </c>
      <c r="F63" s="36" t="s">
        <v>107</v>
      </c>
      <c r="G63" s="37">
        <v>43567</v>
      </c>
      <c r="H63" s="38">
        <v>87081090</v>
      </c>
      <c r="I63" s="39">
        <v>28</v>
      </c>
      <c r="J63" s="38">
        <v>6</v>
      </c>
      <c r="K63" s="40">
        <v>8368.3799999999992</v>
      </c>
      <c r="L63" s="41">
        <v>2343.1463999999996</v>
      </c>
      <c r="M63" s="41">
        <v>0</v>
      </c>
      <c r="N63" s="41">
        <v>0</v>
      </c>
      <c r="O63" s="41">
        <v>0</v>
      </c>
      <c r="P63" s="42">
        <v>10711.536399999999</v>
      </c>
      <c r="Q63" s="34" t="s">
        <v>25</v>
      </c>
      <c r="R63" s="34" t="s">
        <v>106</v>
      </c>
      <c r="S63" s="11" t="s">
        <v>4108</v>
      </c>
    </row>
    <row r="64" spans="1:19" x14ac:dyDescent="0.2">
      <c r="A64" s="33">
        <v>43556</v>
      </c>
      <c r="B64" s="34">
        <v>59</v>
      </c>
      <c r="C64" s="35" t="s">
        <v>102</v>
      </c>
      <c r="D64" s="34" t="str">
        <f>VLOOKUP(C64,'SALE PARTY MASTER'!$B$4:$E$500,2,FALSE)</f>
        <v>23AABCE9378F1ZK</v>
      </c>
      <c r="E64" s="34" t="s">
        <v>22</v>
      </c>
      <c r="F64" s="36" t="s">
        <v>108</v>
      </c>
      <c r="G64" s="37">
        <v>43567</v>
      </c>
      <c r="H64" s="38">
        <v>87081090</v>
      </c>
      <c r="I64" s="39">
        <v>28</v>
      </c>
      <c r="J64" s="38">
        <v>3</v>
      </c>
      <c r="K64" s="40">
        <v>2524.41</v>
      </c>
      <c r="L64" s="41">
        <v>706.83479999999997</v>
      </c>
      <c r="M64" s="41">
        <v>0</v>
      </c>
      <c r="N64" s="41">
        <v>0</v>
      </c>
      <c r="O64" s="41">
        <v>0</v>
      </c>
      <c r="P64" s="42">
        <v>3231.2548000000002</v>
      </c>
      <c r="Q64" s="34" t="s">
        <v>25</v>
      </c>
      <c r="R64" s="34" t="s">
        <v>106</v>
      </c>
      <c r="S64" s="11" t="s">
        <v>4108</v>
      </c>
    </row>
    <row r="65" spans="1:19" x14ac:dyDescent="0.2">
      <c r="A65" s="33">
        <v>43556</v>
      </c>
      <c r="B65" s="34">
        <v>60</v>
      </c>
      <c r="C65" s="35" t="s">
        <v>20</v>
      </c>
      <c r="D65" s="34" t="str">
        <f>VLOOKUP(C65,'SALE PARTY MASTER'!$B$4:$E$500,2,FALSE)</f>
        <v>27AABCM2508F1ZU</v>
      </c>
      <c r="E65" s="34" t="s">
        <v>22</v>
      </c>
      <c r="F65" s="36" t="s">
        <v>109</v>
      </c>
      <c r="G65" s="37">
        <v>43567</v>
      </c>
      <c r="H65" s="38">
        <v>87081090</v>
      </c>
      <c r="I65" s="39">
        <v>28</v>
      </c>
      <c r="J65" s="38">
        <v>96</v>
      </c>
      <c r="K65" s="40">
        <v>7935.84</v>
      </c>
      <c r="L65" s="41">
        <v>0</v>
      </c>
      <c r="M65" s="41">
        <v>1111.0176000000001</v>
      </c>
      <c r="N65" s="41">
        <v>1111.0176000000001</v>
      </c>
      <c r="O65" s="41">
        <v>0</v>
      </c>
      <c r="P65" s="42">
        <v>10157.875199999999</v>
      </c>
      <c r="Q65" s="34" t="s">
        <v>25</v>
      </c>
      <c r="R65" s="34" t="s">
        <v>26</v>
      </c>
      <c r="S65" s="11" t="s">
        <v>4105</v>
      </c>
    </row>
    <row r="66" spans="1:19" x14ac:dyDescent="0.2">
      <c r="A66" s="33">
        <v>43556</v>
      </c>
      <c r="B66" s="34">
        <v>61</v>
      </c>
      <c r="C66" s="35" t="s">
        <v>20</v>
      </c>
      <c r="D66" s="34" t="str">
        <f>VLOOKUP(C66,'SALE PARTY MASTER'!$B$4:$E$500,2,FALSE)</f>
        <v>27AABCM2508F1ZU</v>
      </c>
      <c r="E66" s="34" t="s">
        <v>22</v>
      </c>
      <c r="F66" s="36" t="s">
        <v>110</v>
      </c>
      <c r="G66" s="37">
        <v>43567</v>
      </c>
      <c r="H66" s="38">
        <v>87081090</v>
      </c>
      <c r="I66" s="39">
        <v>28</v>
      </c>
      <c r="J66" s="38">
        <v>204</v>
      </c>
      <c r="K66" s="40">
        <v>16814.7</v>
      </c>
      <c r="L66" s="41">
        <v>0</v>
      </c>
      <c r="M66" s="41">
        <v>2354.0580000000004</v>
      </c>
      <c r="N66" s="41">
        <v>2354.0580000000004</v>
      </c>
      <c r="O66" s="41">
        <v>0</v>
      </c>
      <c r="P66" s="42">
        <v>21522.816000000003</v>
      </c>
      <c r="Q66" s="34" t="s">
        <v>25</v>
      </c>
      <c r="R66" s="34" t="s">
        <v>26</v>
      </c>
      <c r="S66" s="11" t="s">
        <v>4105</v>
      </c>
    </row>
    <row r="67" spans="1:19" x14ac:dyDescent="0.2">
      <c r="A67" s="33">
        <v>43556</v>
      </c>
      <c r="B67" s="34">
        <v>62</v>
      </c>
      <c r="C67" s="35" t="s">
        <v>28</v>
      </c>
      <c r="D67" s="34" t="str">
        <f>VLOOKUP(C67,'SALE PARTY MASTER'!$B$4:$E$500,2,FALSE)</f>
        <v>27AAECM8871A1ZF</v>
      </c>
      <c r="E67" s="34" t="s">
        <v>22</v>
      </c>
      <c r="F67" s="36" t="s">
        <v>111</v>
      </c>
      <c r="G67" s="37">
        <v>43568</v>
      </c>
      <c r="H67" s="38">
        <v>87089900</v>
      </c>
      <c r="I67" s="39">
        <v>28</v>
      </c>
      <c r="J67" s="38">
        <v>12</v>
      </c>
      <c r="K67" s="40">
        <v>23255.759999999998</v>
      </c>
      <c r="L67" s="41">
        <v>0</v>
      </c>
      <c r="M67" s="41">
        <v>3255.8063999999995</v>
      </c>
      <c r="N67" s="41">
        <v>3255.8063999999995</v>
      </c>
      <c r="O67" s="41">
        <v>0</v>
      </c>
      <c r="P67" s="42">
        <v>29767.382799999996</v>
      </c>
      <c r="Q67" s="34" t="s">
        <v>25</v>
      </c>
      <c r="R67" s="34" t="s">
        <v>26</v>
      </c>
      <c r="S67" s="11" t="s">
        <v>4105</v>
      </c>
    </row>
    <row r="68" spans="1:19" x14ac:dyDescent="0.2">
      <c r="A68" s="33">
        <v>43556</v>
      </c>
      <c r="B68" s="34">
        <v>63</v>
      </c>
      <c r="C68" s="43" t="s">
        <v>73</v>
      </c>
      <c r="D68" s="34" t="str">
        <f>VLOOKUP(C68,'SALE PARTY MASTER'!$B$4:$E$500,2,FALSE)</f>
        <v>27AAACH4211R1ZF</v>
      </c>
      <c r="E68" s="34" t="s">
        <v>22</v>
      </c>
      <c r="F68" s="36" t="s">
        <v>112</v>
      </c>
      <c r="G68" s="37">
        <v>43568</v>
      </c>
      <c r="H68" s="38">
        <v>85129000</v>
      </c>
      <c r="I68" s="39">
        <v>18</v>
      </c>
      <c r="J68" s="38">
        <v>3360</v>
      </c>
      <c r="K68" s="40">
        <v>84000</v>
      </c>
      <c r="L68" s="41">
        <v>0</v>
      </c>
      <c r="M68" s="41">
        <v>7560</v>
      </c>
      <c r="N68" s="41">
        <v>7560</v>
      </c>
      <c r="O68" s="41">
        <v>0</v>
      </c>
      <c r="P68" s="42">
        <v>99120.01</v>
      </c>
      <c r="Q68" s="34" t="s">
        <v>25</v>
      </c>
      <c r="R68" s="34" t="s">
        <v>26</v>
      </c>
      <c r="S68" s="11" t="s">
        <v>4105</v>
      </c>
    </row>
    <row r="69" spans="1:19" x14ac:dyDescent="0.2">
      <c r="A69" s="33">
        <v>43556</v>
      </c>
      <c r="B69" s="34">
        <v>64</v>
      </c>
      <c r="C69" s="35" t="s">
        <v>20</v>
      </c>
      <c r="D69" s="34" t="str">
        <f>VLOOKUP(C69,'SALE PARTY MASTER'!$B$4:$E$500,2,FALSE)</f>
        <v>27AABCM2508F1ZU</v>
      </c>
      <c r="E69" s="34" t="s">
        <v>22</v>
      </c>
      <c r="F69" s="36" t="s">
        <v>113</v>
      </c>
      <c r="G69" s="37">
        <v>43568</v>
      </c>
      <c r="H69" s="38">
        <v>87081090</v>
      </c>
      <c r="I69" s="39">
        <v>28</v>
      </c>
      <c r="J69" s="38">
        <v>300</v>
      </c>
      <c r="K69" s="40">
        <v>24727.5</v>
      </c>
      <c r="L69" s="41">
        <v>0</v>
      </c>
      <c r="M69" s="41">
        <v>3461.85</v>
      </c>
      <c r="N69" s="41">
        <v>3461.85</v>
      </c>
      <c r="O69" s="41">
        <v>0</v>
      </c>
      <c r="P69" s="42">
        <v>31651.199999999997</v>
      </c>
      <c r="Q69" s="34" t="s">
        <v>25</v>
      </c>
      <c r="R69" s="34" t="s">
        <v>26</v>
      </c>
      <c r="S69" s="11" t="s">
        <v>4105</v>
      </c>
    </row>
    <row r="70" spans="1:19" x14ac:dyDescent="0.2">
      <c r="A70" s="33">
        <v>43556</v>
      </c>
      <c r="B70" s="34">
        <v>65</v>
      </c>
      <c r="C70" s="35" t="s">
        <v>40</v>
      </c>
      <c r="D70" s="34" t="str">
        <f>VLOOKUP(C70,'SALE PARTY MASTER'!$B$4:$E$500,2,FALSE)</f>
        <v>27AAACT1848E1ZH</v>
      </c>
      <c r="E70" s="34" t="s">
        <v>22</v>
      </c>
      <c r="F70" s="36" t="s">
        <v>114</v>
      </c>
      <c r="G70" s="37">
        <v>43570</v>
      </c>
      <c r="H70" s="38">
        <v>87089900</v>
      </c>
      <c r="I70" s="39">
        <v>28</v>
      </c>
      <c r="J70" s="38">
        <v>56</v>
      </c>
      <c r="K70" s="40">
        <v>26835.84</v>
      </c>
      <c r="L70" s="41">
        <v>0</v>
      </c>
      <c r="M70" s="41">
        <v>3757.0176000000001</v>
      </c>
      <c r="N70" s="41">
        <v>3757.0176000000001</v>
      </c>
      <c r="O70" s="41">
        <v>0</v>
      </c>
      <c r="P70" s="42">
        <v>34349.885200000004</v>
      </c>
      <c r="Q70" s="34" t="s">
        <v>25</v>
      </c>
      <c r="R70" s="34" t="s">
        <v>26</v>
      </c>
      <c r="S70" s="11" t="s">
        <v>4105</v>
      </c>
    </row>
    <row r="71" spans="1:19" x14ac:dyDescent="0.2">
      <c r="A71" s="33">
        <v>43556</v>
      </c>
      <c r="B71" s="34">
        <v>66</v>
      </c>
      <c r="C71" s="35" t="s">
        <v>28</v>
      </c>
      <c r="D71" s="34" t="str">
        <f>VLOOKUP(C71,'SALE PARTY MASTER'!$B$4:$E$500,2,FALSE)</f>
        <v>27AAECM8871A1ZF</v>
      </c>
      <c r="E71" s="34" t="s">
        <v>22</v>
      </c>
      <c r="F71" s="36" t="s">
        <v>115</v>
      </c>
      <c r="G71" s="37">
        <v>43570</v>
      </c>
      <c r="H71" s="38">
        <v>87089900</v>
      </c>
      <c r="I71" s="39">
        <v>28</v>
      </c>
      <c r="J71" s="38">
        <v>12</v>
      </c>
      <c r="K71" s="40">
        <v>23255.759999999998</v>
      </c>
      <c r="L71" s="41">
        <v>0</v>
      </c>
      <c r="M71" s="41">
        <v>3255.8063999999995</v>
      </c>
      <c r="N71" s="41">
        <v>3255.8063999999995</v>
      </c>
      <c r="O71" s="41">
        <v>0</v>
      </c>
      <c r="P71" s="42">
        <v>29767.382799999996</v>
      </c>
      <c r="Q71" s="34" t="s">
        <v>25</v>
      </c>
      <c r="R71" s="34" t="s">
        <v>26</v>
      </c>
      <c r="S71" s="11" t="s">
        <v>4105</v>
      </c>
    </row>
    <row r="72" spans="1:19" x14ac:dyDescent="0.2">
      <c r="A72" s="33">
        <v>43556</v>
      </c>
      <c r="B72" s="34">
        <v>67</v>
      </c>
      <c r="C72" s="35" t="s">
        <v>28</v>
      </c>
      <c r="D72" s="34" t="str">
        <f>VLOOKUP(C72,'SALE PARTY MASTER'!$B$4:$E$500,2,FALSE)</f>
        <v>27AAECM8871A1ZF</v>
      </c>
      <c r="E72" s="34" t="s">
        <v>22</v>
      </c>
      <c r="F72" s="36" t="s">
        <v>116</v>
      </c>
      <c r="G72" s="37">
        <v>43570</v>
      </c>
      <c r="H72" s="38">
        <v>87089900</v>
      </c>
      <c r="I72" s="39">
        <v>28</v>
      </c>
      <c r="J72" s="38">
        <v>12</v>
      </c>
      <c r="K72" s="40">
        <v>23255.759999999998</v>
      </c>
      <c r="L72" s="41">
        <v>0</v>
      </c>
      <c r="M72" s="41">
        <v>3255.8063999999995</v>
      </c>
      <c r="N72" s="41">
        <v>3255.8063999999995</v>
      </c>
      <c r="O72" s="41">
        <v>0</v>
      </c>
      <c r="P72" s="42">
        <v>29767.382799999996</v>
      </c>
      <c r="Q72" s="34" t="s">
        <v>25</v>
      </c>
      <c r="R72" s="34" t="s">
        <v>26</v>
      </c>
      <c r="S72" s="11" t="s">
        <v>4105</v>
      </c>
    </row>
    <row r="73" spans="1:19" x14ac:dyDescent="0.2">
      <c r="A73" s="33">
        <v>43556</v>
      </c>
      <c r="B73" s="34">
        <v>68</v>
      </c>
      <c r="C73" s="35" t="s">
        <v>20</v>
      </c>
      <c r="D73" s="34" t="str">
        <f>VLOOKUP(C73,'SALE PARTY MASTER'!$B$4:$E$500,2,FALSE)</f>
        <v>27AABCM2508F1ZU</v>
      </c>
      <c r="E73" s="34" t="s">
        <v>22</v>
      </c>
      <c r="F73" s="36" t="s">
        <v>117</v>
      </c>
      <c r="G73" s="37">
        <v>43570</v>
      </c>
      <c r="H73" s="38">
        <v>87081090</v>
      </c>
      <c r="I73" s="39">
        <v>28</v>
      </c>
      <c r="J73" s="38">
        <v>94</v>
      </c>
      <c r="K73" s="40">
        <v>7747.95</v>
      </c>
      <c r="L73" s="41">
        <v>0</v>
      </c>
      <c r="M73" s="41">
        <v>1084.713</v>
      </c>
      <c r="N73" s="41">
        <v>1084.713</v>
      </c>
      <c r="O73" s="41">
        <v>0</v>
      </c>
      <c r="P73" s="42">
        <v>9917.3760000000002</v>
      </c>
      <c r="Q73" s="34" t="s">
        <v>25</v>
      </c>
      <c r="R73" s="34" t="s">
        <v>26</v>
      </c>
      <c r="S73" s="11" t="s">
        <v>4105</v>
      </c>
    </row>
    <row r="74" spans="1:19" x14ac:dyDescent="0.2">
      <c r="A74" s="33">
        <v>43556</v>
      </c>
      <c r="B74" s="34">
        <v>69</v>
      </c>
      <c r="C74" s="35" t="s">
        <v>20</v>
      </c>
      <c r="D74" s="34" t="str">
        <f>VLOOKUP(C74,'SALE PARTY MASTER'!$B$4:$E$500,2,FALSE)</f>
        <v>27AABCM2508F1ZU</v>
      </c>
      <c r="E74" s="34" t="s">
        <v>22</v>
      </c>
      <c r="F74" s="36" t="s">
        <v>118</v>
      </c>
      <c r="G74" s="37">
        <v>43570</v>
      </c>
      <c r="H74" s="38">
        <v>87141090</v>
      </c>
      <c r="I74" s="39">
        <v>28</v>
      </c>
      <c r="J74" s="38">
        <v>184</v>
      </c>
      <c r="K74" s="40">
        <v>13846</v>
      </c>
      <c r="L74" s="41">
        <v>0</v>
      </c>
      <c r="M74" s="41">
        <v>1938.44</v>
      </c>
      <c r="N74" s="41">
        <v>1938.44</v>
      </c>
      <c r="O74" s="41">
        <v>0</v>
      </c>
      <c r="P74" s="42">
        <v>17722.88</v>
      </c>
      <c r="Q74" s="34" t="s">
        <v>25</v>
      </c>
      <c r="R74" s="34" t="s">
        <v>26</v>
      </c>
      <c r="S74" s="11" t="s">
        <v>4105</v>
      </c>
    </row>
    <row r="75" spans="1:19" x14ac:dyDescent="0.2">
      <c r="A75" s="33">
        <v>43556</v>
      </c>
      <c r="B75" s="34">
        <v>70</v>
      </c>
      <c r="C75" s="35" t="s">
        <v>28</v>
      </c>
      <c r="D75" s="34" t="str">
        <f>VLOOKUP(C75,'SALE PARTY MASTER'!$B$4:$E$500,2,FALSE)</f>
        <v>27AAECM8871A1ZF</v>
      </c>
      <c r="E75" s="34" t="s">
        <v>22</v>
      </c>
      <c r="F75" s="36" t="s">
        <v>119</v>
      </c>
      <c r="G75" s="37">
        <v>43571</v>
      </c>
      <c r="H75" s="38">
        <v>87089900</v>
      </c>
      <c r="I75" s="39">
        <v>28</v>
      </c>
      <c r="J75" s="38">
        <v>12</v>
      </c>
      <c r="K75" s="40">
        <v>27131.72</v>
      </c>
      <c r="L75" s="41">
        <v>0</v>
      </c>
      <c r="M75" s="41">
        <v>3798.4408000000003</v>
      </c>
      <c r="N75" s="41">
        <v>3798.4408000000003</v>
      </c>
      <c r="O75" s="41">
        <v>0</v>
      </c>
      <c r="P75" s="42">
        <v>34728.601600000002</v>
      </c>
      <c r="Q75" s="34" t="s">
        <v>25</v>
      </c>
      <c r="R75" s="34" t="s">
        <v>26</v>
      </c>
      <c r="S75" s="11" t="s">
        <v>4105</v>
      </c>
    </row>
    <row r="76" spans="1:19" x14ac:dyDescent="0.2">
      <c r="A76" s="33">
        <v>43556</v>
      </c>
      <c r="B76" s="34">
        <v>71</v>
      </c>
      <c r="C76" s="35" t="s">
        <v>20</v>
      </c>
      <c r="D76" s="34" t="str">
        <f>VLOOKUP(C76,'SALE PARTY MASTER'!$B$4:$E$500,2,FALSE)</f>
        <v>27AABCM2508F1ZU</v>
      </c>
      <c r="E76" s="34" t="s">
        <v>22</v>
      </c>
      <c r="F76" s="36" t="s">
        <v>120</v>
      </c>
      <c r="G76" s="37">
        <v>43571</v>
      </c>
      <c r="H76" s="38">
        <v>87081090</v>
      </c>
      <c r="I76" s="39">
        <v>28</v>
      </c>
      <c r="J76" s="38">
        <v>384</v>
      </c>
      <c r="K76" s="40">
        <v>31708.799999999999</v>
      </c>
      <c r="L76" s="41">
        <v>0</v>
      </c>
      <c r="M76" s="41">
        <v>4439.232</v>
      </c>
      <c r="N76" s="41">
        <v>4439.232</v>
      </c>
      <c r="O76" s="41">
        <v>0</v>
      </c>
      <c r="P76" s="42">
        <v>40587.263999999996</v>
      </c>
      <c r="Q76" s="34" t="s">
        <v>25</v>
      </c>
      <c r="R76" s="34" t="s">
        <v>26</v>
      </c>
      <c r="S76" s="11" t="s">
        <v>4105</v>
      </c>
    </row>
    <row r="77" spans="1:19" x14ac:dyDescent="0.2">
      <c r="A77" s="33">
        <v>43556</v>
      </c>
      <c r="B77" s="34">
        <v>72</v>
      </c>
      <c r="C77" s="35" t="s">
        <v>28</v>
      </c>
      <c r="D77" s="34" t="str">
        <f>VLOOKUP(C77,'SALE PARTY MASTER'!$B$4:$E$500,2,FALSE)</f>
        <v>27AAECM8871A1ZF</v>
      </c>
      <c r="E77" s="34" t="s">
        <v>22</v>
      </c>
      <c r="F77" s="36" t="s">
        <v>121</v>
      </c>
      <c r="G77" s="37">
        <v>43571</v>
      </c>
      <c r="H77" s="38">
        <v>87089900</v>
      </c>
      <c r="I77" s="39">
        <v>28</v>
      </c>
      <c r="J77" s="38">
        <v>12</v>
      </c>
      <c r="K77" s="40">
        <v>23255.759999999998</v>
      </c>
      <c r="L77" s="41">
        <v>0</v>
      </c>
      <c r="M77" s="41">
        <v>3255.8063999999995</v>
      </c>
      <c r="N77" s="41">
        <v>3255.8063999999995</v>
      </c>
      <c r="O77" s="41">
        <v>0</v>
      </c>
      <c r="P77" s="42">
        <v>29767.382799999996</v>
      </c>
      <c r="Q77" s="34" t="s">
        <v>25</v>
      </c>
      <c r="R77" s="34" t="s">
        <v>26</v>
      </c>
      <c r="S77" s="11" t="s">
        <v>4105</v>
      </c>
    </row>
    <row r="78" spans="1:19" x14ac:dyDescent="0.2">
      <c r="A78" s="33">
        <v>43556</v>
      </c>
      <c r="B78" s="34">
        <v>73</v>
      </c>
      <c r="C78" s="35" t="s">
        <v>20</v>
      </c>
      <c r="D78" s="34" t="str">
        <f>VLOOKUP(C78,'SALE PARTY MASTER'!$B$4:$E$500,2,FALSE)</f>
        <v>27AABCM2508F1ZU</v>
      </c>
      <c r="E78" s="34" t="s">
        <v>22</v>
      </c>
      <c r="F78" s="36" t="s">
        <v>122</v>
      </c>
      <c r="G78" s="37">
        <v>43571</v>
      </c>
      <c r="H78" s="38">
        <v>87081090</v>
      </c>
      <c r="I78" s="39">
        <v>28</v>
      </c>
      <c r="J78" s="38">
        <v>156</v>
      </c>
      <c r="K78" s="40">
        <v>12858.3</v>
      </c>
      <c r="L78" s="41">
        <v>0</v>
      </c>
      <c r="M78" s="41">
        <v>1800.162</v>
      </c>
      <c r="N78" s="41">
        <v>1800.162</v>
      </c>
      <c r="O78" s="41">
        <v>0</v>
      </c>
      <c r="P78" s="42">
        <v>16458.624</v>
      </c>
      <c r="Q78" s="34" t="s">
        <v>25</v>
      </c>
      <c r="R78" s="34" t="s">
        <v>26</v>
      </c>
      <c r="S78" s="11" t="s">
        <v>4105</v>
      </c>
    </row>
    <row r="79" spans="1:19" x14ac:dyDescent="0.2">
      <c r="A79" s="33">
        <v>43556</v>
      </c>
      <c r="B79" s="34">
        <v>74</v>
      </c>
      <c r="C79" s="35" t="s">
        <v>20</v>
      </c>
      <c r="D79" s="34" t="str">
        <f>VLOOKUP(C79,'SALE PARTY MASTER'!$B$4:$E$500,2,FALSE)</f>
        <v>27AABCM2508F1ZU</v>
      </c>
      <c r="E79" s="34" t="s">
        <v>22</v>
      </c>
      <c r="F79" s="36" t="s">
        <v>123</v>
      </c>
      <c r="G79" s="37">
        <v>43571</v>
      </c>
      <c r="H79" s="38">
        <v>87141090</v>
      </c>
      <c r="I79" s="39">
        <v>28</v>
      </c>
      <c r="J79" s="38">
        <v>108</v>
      </c>
      <c r="K79" s="40">
        <v>8127</v>
      </c>
      <c r="L79" s="41">
        <v>0</v>
      </c>
      <c r="M79" s="41">
        <v>1137.78</v>
      </c>
      <c r="N79" s="41">
        <v>1137.78</v>
      </c>
      <c r="O79" s="41">
        <v>0</v>
      </c>
      <c r="P79" s="42">
        <v>10402.560000000001</v>
      </c>
      <c r="Q79" s="34" t="s">
        <v>25</v>
      </c>
      <c r="R79" s="34" t="s">
        <v>26</v>
      </c>
      <c r="S79" s="11" t="s">
        <v>4105</v>
      </c>
    </row>
    <row r="80" spans="1:19" x14ac:dyDescent="0.2">
      <c r="A80" s="33">
        <v>43556</v>
      </c>
      <c r="B80" s="34">
        <v>75</v>
      </c>
      <c r="C80" s="35" t="s">
        <v>124</v>
      </c>
      <c r="D80" s="34" t="str">
        <f>VLOOKUP(C80,'SALE PARTY MASTER'!$B$4:$E$500,2,FALSE)</f>
        <v>27AAACB2484Q1Z8</v>
      </c>
      <c r="E80" s="34" t="s">
        <v>22</v>
      </c>
      <c r="F80" s="36" t="s">
        <v>126</v>
      </c>
      <c r="G80" s="37">
        <v>43571</v>
      </c>
      <c r="H80" s="38">
        <v>998898</v>
      </c>
      <c r="I80" s="39">
        <v>18</v>
      </c>
      <c r="J80" s="38">
        <v>2758</v>
      </c>
      <c r="K80" s="40">
        <v>12635</v>
      </c>
      <c r="L80" s="41">
        <v>0</v>
      </c>
      <c r="M80" s="41">
        <v>1137.1499999999999</v>
      </c>
      <c r="N80" s="41">
        <v>1137.1499999999999</v>
      </c>
      <c r="O80" s="41">
        <v>0</v>
      </c>
      <c r="P80" s="42">
        <v>14909.3</v>
      </c>
      <c r="Q80" s="34" t="s">
        <v>25</v>
      </c>
      <c r="R80" s="34" t="s">
        <v>26</v>
      </c>
      <c r="S80" s="11" t="s">
        <v>4107</v>
      </c>
    </row>
    <row r="81" spans="1:19" x14ac:dyDescent="0.2">
      <c r="A81" s="33">
        <v>43556</v>
      </c>
      <c r="B81" s="34">
        <v>76</v>
      </c>
      <c r="C81" s="35" t="s">
        <v>49</v>
      </c>
      <c r="D81" s="34" t="str">
        <f>VLOOKUP(C81,'SALE PARTY MASTER'!$B$4:$E$500,2,FALSE)</f>
        <v>27AABFJ4217F1ZP</v>
      </c>
      <c r="E81" s="34" t="s">
        <v>22</v>
      </c>
      <c r="F81" s="36" t="s">
        <v>127</v>
      </c>
      <c r="G81" s="37">
        <v>43572</v>
      </c>
      <c r="H81" s="38">
        <v>998898</v>
      </c>
      <c r="I81" s="39">
        <v>18</v>
      </c>
      <c r="J81" s="38">
        <v>35</v>
      </c>
      <c r="K81" s="40">
        <v>9944.9</v>
      </c>
      <c r="L81" s="41">
        <v>0</v>
      </c>
      <c r="M81" s="41">
        <v>895.04099999999994</v>
      </c>
      <c r="N81" s="41">
        <v>895.04099999999994</v>
      </c>
      <c r="O81" s="41">
        <v>0</v>
      </c>
      <c r="P81" s="42">
        <v>11734.981999999998</v>
      </c>
      <c r="Q81" s="34" t="s">
        <v>25</v>
      </c>
      <c r="R81" s="34" t="s">
        <v>26</v>
      </c>
      <c r="S81" s="11" t="s">
        <v>4107</v>
      </c>
    </row>
    <row r="82" spans="1:19" x14ac:dyDescent="0.2">
      <c r="A82" s="33">
        <v>43556</v>
      </c>
      <c r="B82" s="34">
        <v>77</v>
      </c>
      <c r="C82" s="35" t="s">
        <v>20</v>
      </c>
      <c r="D82" s="34" t="str">
        <f>VLOOKUP(C82,'SALE PARTY MASTER'!$B$4:$E$500,2,FALSE)</f>
        <v>27AABCM2508F1ZU</v>
      </c>
      <c r="E82" s="34" t="s">
        <v>22</v>
      </c>
      <c r="F82" s="36" t="s">
        <v>128</v>
      </c>
      <c r="G82" s="37">
        <v>43572</v>
      </c>
      <c r="H82" s="38">
        <v>87081090</v>
      </c>
      <c r="I82" s="39">
        <v>28</v>
      </c>
      <c r="J82" s="38">
        <v>384</v>
      </c>
      <c r="K82" s="40">
        <v>31743.360000000001</v>
      </c>
      <c r="L82" s="41">
        <v>0</v>
      </c>
      <c r="M82" s="41">
        <v>4444.0704000000005</v>
      </c>
      <c r="N82" s="41">
        <v>4444.0704000000005</v>
      </c>
      <c r="O82" s="41">
        <v>0</v>
      </c>
      <c r="P82" s="42">
        <v>40631.500799999994</v>
      </c>
      <c r="Q82" s="34" t="s">
        <v>25</v>
      </c>
      <c r="R82" s="34" t="s">
        <v>26</v>
      </c>
      <c r="S82" s="11" t="s">
        <v>4105</v>
      </c>
    </row>
    <row r="83" spans="1:19" x14ac:dyDescent="0.2">
      <c r="A83" s="33">
        <v>43556</v>
      </c>
      <c r="B83" s="34">
        <v>78</v>
      </c>
      <c r="C83" s="35" t="s">
        <v>28</v>
      </c>
      <c r="D83" s="34" t="str">
        <f>VLOOKUP(C83,'SALE PARTY MASTER'!$B$4:$E$500,2,FALSE)</f>
        <v>27AAECM8871A1ZF</v>
      </c>
      <c r="E83" s="34" t="s">
        <v>22</v>
      </c>
      <c r="F83" s="36" t="s">
        <v>129</v>
      </c>
      <c r="G83" s="37">
        <v>43572</v>
      </c>
      <c r="H83" s="38">
        <v>87089900</v>
      </c>
      <c r="I83" s="39">
        <v>28</v>
      </c>
      <c r="J83" s="38">
        <v>12</v>
      </c>
      <c r="K83" s="40">
        <v>23255.759999999998</v>
      </c>
      <c r="L83" s="41">
        <v>0</v>
      </c>
      <c r="M83" s="41">
        <v>3255.8063999999995</v>
      </c>
      <c r="N83" s="41">
        <v>3255.8063999999995</v>
      </c>
      <c r="O83" s="41">
        <v>0</v>
      </c>
      <c r="P83" s="42">
        <v>29767.382799999996</v>
      </c>
      <c r="Q83" s="34" t="s">
        <v>25</v>
      </c>
      <c r="R83" s="34" t="s">
        <v>26</v>
      </c>
      <c r="S83" s="11" t="s">
        <v>4105</v>
      </c>
    </row>
    <row r="84" spans="1:19" x14ac:dyDescent="0.2">
      <c r="A84" s="33">
        <v>43556</v>
      </c>
      <c r="B84" s="34">
        <v>79</v>
      </c>
      <c r="C84" s="35" t="s">
        <v>28</v>
      </c>
      <c r="D84" s="34" t="str">
        <f>VLOOKUP(C84,'SALE PARTY MASTER'!$B$4:$E$500,2,FALSE)</f>
        <v>27AAECM8871A1ZF</v>
      </c>
      <c r="E84" s="34" t="s">
        <v>22</v>
      </c>
      <c r="F84" s="36" t="s">
        <v>130</v>
      </c>
      <c r="G84" s="37">
        <v>43572</v>
      </c>
      <c r="H84" s="38">
        <v>87089900</v>
      </c>
      <c r="I84" s="39">
        <v>28</v>
      </c>
      <c r="J84" s="38">
        <v>12</v>
      </c>
      <c r="K84" s="40">
        <v>23255.759999999998</v>
      </c>
      <c r="L84" s="41">
        <v>0</v>
      </c>
      <c r="M84" s="41">
        <v>3255.8063999999995</v>
      </c>
      <c r="N84" s="41">
        <v>3255.8063999999995</v>
      </c>
      <c r="O84" s="41">
        <v>0</v>
      </c>
      <c r="P84" s="42">
        <v>29767.382799999996</v>
      </c>
      <c r="Q84" s="34" t="s">
        <v>25</v>
      </c>
      <c r="R84" s="34" t="s">
        <v>26</v>
      </c>
      <c r="S84" s="11" t="s">
        <v>4105</v>
      </c>
    </row>
    <row r="85" spans="1:19" x14ac:dyDescent="0.2">
      <c r="A85" s="33">
        <v>43556</v>
      </c>
      <c r="B85" s="34">
        <v>80</v>
      </c>
      <c r="C85" s="35" t="s">
        <v>102</v>
      </c>
      <c r="D85" s="34" t="str">
        <f>VLOOKUP(C85,'SALE PARTY MASTER'!$B$4:$E$500,2,FALSE)</f>
        <v>23AABCE9378F1ZK</v>
      </c>
      <c r="E85" s="34" t="s">
        <v>22</v>
      </c>
      <c r="F85" s="36" t="s">
        <v>131</v>
      </c>
      <c r="G85" s="37">
        <v>43572</v>
      </c>
      <c r="H85" s="38">
        <v>87081090</v>
      </c>
      <c r="I85" s="39">
        <v>28</v>
      </c>
      <c r="J85" s="38">
        <v>100</v>
      </c>
      <c r="K85" s="40">
        <v>32571</v>
      </c>
      <c r="L85" s="41">
        <v>9119.8799999999992</v>
      </c>
      <c r="M85" s="41">
        <v>0</v>
      </c>
      <c r="N85" s="41">
        <v>0</v>
      </c>
      <c r="O85" s="41">
        <v>0</v>
      </c>
      <c r="P85" s="42">
        <v>41690.89</v>
      </c>
      <c r="Q85" s="34" t="s">
        <v>25</v>
      </c>
      <c r="R85" s="34" t="s">
        <v>106</v>
      </c>
      <c r="S85" s="11" t="s">
        <v>4108</v>
      </c>
    </row>
    <row r="86" spans="1:19" x14ac:dyDescent="0.2">
      <c r="A86" s="33">
        <v>43556</v>
      </c>
      <c r="B86" s="34">
        <v>81</v>
      </c>
      <c r="C86" s="35" t="s">
        <v>102</v>
      </c>
      <c r="D86" s="34" t="str">
        <f>VLOOKUP(C86,'SALE PARTY MASTER'!$B$4:$E$500,2,FALSE)</f>
        <v>23AABCE9378F1ZK</v>
      </c>
      <c r="E86" s="34" t="s">
        <v>22</v>
      </c>
      <c r="F86" s="36" t="s">
        <v>132</v>
      </c>
      <c r="G86" s="37">
        <v>43572</v>
      </c>
      <c r="H86" s="38">
        <v>87081090</v>
      </c>
      <c r="I86" s="39">
        <v>28</v>
      </c>
      <c r="J86" s="38">
        <v>30</v>
      </c>
      <c r="K86" s="40">
        <v>28164.6</v>
      </c>
      <c r="L86" s="41">
        <v>7886.0879999999988</v>
      </c>
      <c r="M86" s="41">
        <v>0</v>
      </c>
      <c r="N86" s="41">
        <v>0</v>
      </c>
      <c r="O86" s="41">
        <v>0</v>
      </c>
      <c r="P86" s="42">
        <v>36050.697999999997</v>
      </c>
      <c r="Q86" s="34" t="s">
        <v>25</v>
      </c>
      <c r="R86" s="34" t="s">
        <v>106</v>
      </c>
      <c r="S86" s="11" t="s">
        <v>4108</v>
      </c>
    </row>
    <row r="87" spans="1:19" x14ac:dyDescent="0.2">
      <c r="A87" s="33">
        <v>43556</v>
      </c>
      <c r="B87" s="34">
        <v>82</v>
      </c>
      <c r="C87" s="35" t="s">
        <v>102</v>
      </c>
      <c r="D87" s="34" t="str">
        <f>VLOOKUP(C87,'SALE PARTY MASTER'!$B$4:$E$500,2,FALSE)</f>
        <v>23AABCE9378F1ZK</v>
      </c>
      <c r="E87" s="34" t="s">
        <v>22</v>
      </c>
      <c r="F87" s="36" t="s">
        <v>133</v>
      </c>
      <c r="G87" s="37">
        <v>43572</v>
      </c>
      <c r="H87" s="38">
        <v>87081090</v>
      </c>
      <c r="I87" s="39">
        <v>28</v>
      </c>
      <c r="J87" s="38">
        <v>4</v>
      </c>
      <c r="K87" s="40">
        <v>5578.92</v>
      </c>
      <c r="L87" s="41">
        <v>1562.0976000000001</v>
      </c>
      <c r="M87" s="41">
        <v>0</v>
      </c>
      <c r="N87" s="41">
        <v>0</v>
      </c>
      <c r="O87" s="41">
        <v>0</v>
      </c>
      <c r="P87" s="42">
        <v>7141.0276000000003</v>
      </c>
      <c r="Q87" s="34" t="s">
        <v>25</v>
      </c>
      <c r="R87" s="34" t="s">
        <v>106</v>
      </c>
      <c r="S87" s="11" t="s">
        <v>4108</v>
      </c>
    </row>
    <row r="88" spans="1:19" x14ac:dyDescent="0.2">
      <c r="A88" s="33">
        <v>43556</v>
      </c>
      <c r="B88" s="34">
        <v>83</v>
      </c>
      <c r="C88" s="35" t="s">
        <v>102</v>
      </c>
      <c r="D88" s="34" t="str">
        <f>VLOOKUP(C88,'SALE PARTY MASTER'!$B$4:$E$500,2,FALSE)</f>
        <v>23AABCE9378F1ZK</v>
      </c>
      <c r="E88" s="34" t="s">
        <v>22</v>
      </c>
      <c r="F88" s="36" t="s">
        <v>134</v>
      </c>
      <c r="G88" s="37">
        <v>43572</v>
      </c>
      <c r="H88" s="38">
        <v>87081090</v>
      </c>
      <c r="I88" s="39">
        <v>28</v>
      </c>
      <c r="J88" s="38">
        <v>9</v>
      </c>
      <c r="K88" s="40">
        <v>7573.23</v>
      </c>
      <c r="L88" s="41">
        <v>2120.5043999999998</v>
      </c>
      <c r="M88" s="41">
        <v>0</v>
      </c>
      <c r="N88" s="41">
        <v>0</v>
      </c>
      <c r="O88" s="41">
        <v>0</v>
      </c>
      <c r="P88" s="42">
        <v>9693.7443999999996</v>
      </c>
      <c r="Q88" s="34" t="s">
        <v>25</v>
      </c>
      <c r="R88" s="34" t="s">
        <v>106</v>
      </c>
      <c r="S88" s="11" t="s">
        <v>4108</v>
      </c>
    </row>
    <row r="89" spans="1:19" x14ac:dyDescent="0.2">
      <c r="A89" s="33">
        <v>43556</v>
      </c>
      <c r="B89" s="34">
        <v>84</v>
      </c>
      <c r="C89" s="35" t="s">
        <v>102</v>
      </c>
      <c r="D89" s="34" t="str">
        <f>VLOOKUP(C89,'SALE PARTY MASTER'!$B$4:$E$500,2,FALSE)</f>
        <v>23AABCE9378F1ZK</v>
      </c>
      <c r="E89" s="34" t="s">
        <v>22</v>
      </c>
      <c r="F89" s="36" t="s">
        <v>135</v>
      </c>
      <c r="G89" s="37">
        <v>43572</v>
      </c>
      <c r="H89" s="38">
        <v>87081090</v>
      </c>
      <c r="I89" s="39">
        <v>28</v>
      </c>
      <c r="J89" s="38">
        <v>7</v>
      </c>
      <c r="K89" s="40">
        <v>2301.6</v>
      </c>
      <c r="L89" s="41">
        <v>644.44799999999998</v>
      </c>
      <c r="M89" s="41">
        <v>0</v>
      </c>
      <c r="N89" s="41">
        <v>0</v>
      </c>
      <c r="O89" s="41">
        <v>0</v>
      </c>
      <c r="P89" s="42">
        <v>2946.058</v>
      </c>
      <c r="Q89" s="34" t="s">
        <v>25</v>
      </c>
      <c r="R89" s="34" t="s">
        <v>106</v>
      </c>
      <c r="S89" s="11" t="s">
        <v>4108</v>
      </c>
    </row>
    <row r="90" spans="1:19" x14ac:dyDescent="0.2">
      <c r="A90" s="33">
        <v>43556</v>
      </c>
      <c r="B90" s="34">
        <v>85</v>
      </c>
      <c r="C90" s="35" t="s">
        <v>102</v>
      </c>
      <c r="D90" s="34" t="str">
        <f>VLOOKUP(C90,'SALE PARTY MASTER'!$B$4:$E$500,2,FALSE)</f>
        <v>23AABCE9378F1ZK</v>
      </c>
      <c r="E90" s="34" t="s">
        <v>22</v>
      </c>
      <c r="F90" s="36" t="s">
        <v>136</v>
      </c>
      <c r="G90" s="37">
        <v>43572</v>
      </c>
      <c r="H90" s="38">
        <v>87081090</v>
      </c>
      <c r="I90" s="39">
        <v>28</v>
      </c>
      <c r="J90" s="38">
        <v>4</v>
      </c>
      <c r="K90" s="40">
        <v>8123.48</v>
      </c>
      <c r="L90" s="41">
        <v>2274.5744</v>
      </c>
      <c r="M90" s="41">
        <v>0</v>
      </c>
      <c r="N90" s="41">
        <v>0</v>
      </c>
      <c r="O90" s="41">
        <v>0</v>
      </c>
      <c r="P90" s="42">
        <v>10398.064399999999</v>
      </c>
      <c r="Q90" s="34" t="s">
        <v>25</v>
      </c>
      <c r="R90" s="34" t="s">
        <v>106</v>
      </c>
      <c r="S90" s="11" t="s">
        <v>4108</v>
      </c>
    </row>
    <row r="91" spans="1:19" x14ac:dyDescent="0.2">
      <c r="A91" s="33">
        <v>43556</v>
      </c>
      <c r="B91" s="34">
        <v>86</v>
      </c>
      <c r="C91" s="35" t="s">
        <v>20</v>
      </c>
      <c r="D91" s="34" t="str">
        <f>VLOOKUP(C91,'SALE PARTY MASTER'!$B$4:$E$500,2,FALSE)</f>
        <v>27AABCM2508F1ZU</v>
      </c>
      <c r="E91" s="34" t="s">
        <v>22</v>
      </c>
      <c r="F91" s="36" t="s">
        <v>137</v>
      </c>
      <c r="G91" s="37">
        <v>43572</v>
      </c>
      <c r="H91" s="38">
        <v>87141090</v>
      </c>
      <c r="I91" s="39">
        <v>28</v>
      </c>
      <c r="J91" s="38">
        <v>204</v>
      </c>
      <c r="K91" s="40">
        <v>15351</v>
      </c>
      <c r="L91" s="41">
        <v>0</v>
      </c>
      <c r="M91" s="41">
        <v>2149.14</v>
      </c>
      <c r="N91" s="41">
        <v>2149.14</v>
      </c>
      <c r="O91" s="41">
        <v>0</v>
      </c>
      <c r="P91" s="42">
        <v>19649.28</v>
      </c>
      <c r="Q91" s="34" t="s">
        <v>25</v>
      </c>
      <c r="R91" s="34" t="s">
        <v>26</v>
      </c>
      <c r="S91" s="11" t="s">
        <v>4105</v>
      </c>
    </row>
    <row r="92" spans="1:19" x14ac:dyDescent="0.2">
      <c r="A92" s="33">
        <v>43556</v>
      </c>
      <c r="B92" s="34">
        <v>87</v>
      </c>
      <c r="C92" s="35" t="s">
        <v>124</v>
      </c>
      <c r="D92" s="34" t="str">
        <f>VLOOKUP(C92,'SALE PARTY MASTER'!$B$4:$E$500,2,FALSE)</f>
        <v>27AAACB2484Q1Z8</v>
      </c>
      <c r="E92" s="34" t="s">
        <v>22</v>
      </c>
      <c r="F92" s="36" t="s">
        <v>138</v>
      </c>
      <c r="G92" s="37">
        <v>43572</v>
      </c>
      <c r="H92" s="38">
        <v>998898</v>
      </c>
      <c r="I92" s="39">
        <v>18</v>
      </c>
      <c r="J92" s="38">
        <v>2670</v>
      </c>
      <c r="K92" s="40">
        <v>11340</v>
      </c>
      <c r="L92" s="41">
        <v>0</v>
      </c>
      <c r="M92" s="41">
        <v>1020.6</v>
      </c>
      <c r="N92" s="41">
        <v>1020.6</v>
      </c>
      <c r="O92" s="41">
        <v>0</v>
      </c>
      <c r="P92" s="42">
        <v>13381.2</v>
      </c>
      <c r="Q92" s="34" t="s">
        <v>25</v>
      </c>
      <c r="R92" s="34" t="s">
        <v>26</v>
      </c>
      <c r="S92" s="11" t="s">
        <v>4107</v>
      </c>
    </row>
    <row r="93" spans="1:19" x14ac:dyDescent="0.2">
      <c r="A93" s="33">
        <v>43556</v>
      </c>
      <c r="B93" s="34">
        <v>88</v>
      </c>
      <c r="C93" s="35" t="s">
        <v>28</v>
      </c>
      <c r="D93" s="34" t="str">
        <f>VLOOKUP(C93,'SALE PARTY MASTER'!$B$4:$E$500,2,FALSE)</f>
        <v>27AAECM8871A1ZF</v>
      </c>
      <c r="E93" s="34" t="s">
        <v>22</v>
      </c>
      <c r="F93" s="36" t="s">
        <v>139</v>
      </c>
      <c r="G93" s="37">
        <v>43573</v>
      </c>
      <c r="H93" s="38">
        <v>87089900</v>
      </c>
      <c r="I93" s="39">
        <v>28</v>
      </c>
      <c r="J93" s="38">
        <v>10</v>
      </c>
      <c r="K93" s="40">
        <v>19379.8</v>
      </c>
      <c r="L93" s="41">
        <v>0</v>
      </c>
      <c r="M93" s="41">
        <v>2713.172</v>
      </c>
      <c r="N93" s="41">
        <v>2713.172</v>
      </c>
      <c r="O93" s="41">
        <v>0</v>
      </c>
      <c r="P93" s="42">
        <v>24806.143999999997</v>
      </c>
      <c r="Q93" s="34" t="s">
        <v>25</v>
      </c>
      <c r="R93" s="34" t="s">
        <v>26</v>
      </c>
      <c r="S93" s="11" t="s">
        <v>4105</v>
      </c>
    </row>
    <row r="94" spans="1:19" x14ac:dyDescent="0.2">
      <c r="A94" s="33">
        <v>43556</v>
      </c>
      <c r="B94" s="34">
        <v>89</v>
      </c>
      <c r="C94" s="35" t="s">
        <v>124</v>
      </c>
      <c r="D94" s="34" t="str">
        <f>VLOOKUP(C94,'SALE PARTY MASTER'!$B$4:$E$500,2,FALSE)</f>
        <v>27AAACB2484Q1Z8</v>
      </c>
      <c r="E94" s="34" t="s">
        <v>22</v>
      </c>
      <c r="F94" s="36" t="s">
        <v>140</v>
      </c>
      <c r="G94" s="37">
        <v>43573</v>
      </c>
      <c r="H94" s="38">
        <v>998898</v>
      </c>
      <c r="I94" s="39">
        <v>18</v>
      </c>
      <c r="J94" s="38">
        <v>450</v>
      </c>
      <c r="K94" s="40">
        <v>3105</v>
      </c>
      <c r="L94" s="41">
        <v>0</v>
      </c>
      <c r="M94" s="41">
        <v>279.45</v>
      </c>
      <c r="N94" s="41">
        <v>279.45</v>
      </c>
      <c r="O94" s="41">
        <v>0</v>
      </c>
      <c r="P94" s="42">
        <v>3663.8999999999996</v>
      </c>
      <c r="Q94" s="34" t="s">
        <v>25</v>
      </c>
      <c r="R94" s="34" t="s">
        <v>26</v>
      </c>
      <c r="S94" s="11" t="s">
        <v>4107</v>
      </c>
    </row>
    <row r="95" spans="1:19" x14ac:dyDescent="0.2">
      <c r="A95" s="33">
        <v>43556</v>
      </c>
      <c r="B95" s="34">
        <v>90</v>
      </c>
      <c r="C95" s="35" t="s">
        <v>124</v>
      </c>
      <c r="D95" s="34" t="str">
        <f>VLOOKUP(C95,'SALE PARTY MASTER'!$B$4:$E$500,2,FALSE)</f>
        <v>27AAACB2484Q1Z8</v>
      </c>
      <c r="E95" s="34" t="s">
        <v>22</v>
      </c>
      <c r="F95" s="36" t="s">
        <v>141</v>
      </c>
      <c r="G95" s="37">
        <v>43573</v>
      </c>
      <c r="H95" s="38">
        <v>998898</v>
      </c>
      <c r="I95" s="39">
        <v>18</v>
      </c>
      <c r="J95" s="38">
        <v>1003</v>
      </c>
      <c r="K95" s="40">
        <v>5525</v>
      </c>
      <c r="L95" s="41">
        <v>0</v>
      </c>
      <c r="M95" s="41">
        <v>497.25</v>
      </c>
      <c r="N95" s="41">
        <v>497.25</v>
      </c>
      <c r="O95" s="41">
        <v>0</v>
      </c>
      <c r="P95" s="42">
        <v>6519.5</v>
      </c>
      <c r="Q95" s="34" t="s">
        <v>25</v>
      </c>
      <c r="R95" s="34" t="s">
        <v>26</v>
      </c>
      <c r="S95" s="11" t="s">
        <v>4107</v>
      </c>
    </row>
    <row r="96" spans="1:19" x14ac:dyDescent="0.2">
      <c r="A96" s="33">
        <v>43556</v>
      </c>
      <c r="B96" s="34">
        <v>91</v>
      </c>
      <c r="C96" s="35" t="s">
        <v>54</v>
      </c>
      <c r="D96" s="34" t="str">
        <f>VLOOKUP(C96,'SALE PARTY MASTER'!$B$4:$E$500,2,FALSE)</f>
        <v>27AAACD2571J1ZO</v>
      </c>
      <c r="E96" s="34" t="s">
        <v>22</v>
      </c>
      <c r="F96" s="36" t="s">
        <v>142</v>
      </c>
      <c r="G96" s="37">
        <v>43574</v>
      </c>
      <c r="H96" s="38">
        <v>85441920</v>
      </c>
      <c r="I96" s="39">
        <v>18</v>
      </c>
      <c r="J96" s="38">
        <v>840</v>
      </c>
      <c r="K96" s="40">
        <v>19782</v>
      </c>
      <c r="L96" s="41">
        <v>0</v>
      </c>
      <c r="M96" s="41">
        <v>1780.3799999999999</v>
      </c>
      <c r="N96" s="41">
        <v>1780.3799999999999</v>
      </c>
      <c r="O96" s="41">
        <v>0</v>
      </c>
      <c r="P96" s="42">
        <v>23342.760000000002</v>
      </c>
      <c r="Q96" s="34" t="s">
        <v>25</v>
      </c>
      <c r="R96" s="34" t="s">
        <v>26</v>
      </c>
      <c r="S96" s="11" t="s">
        <v>4105</v>
      </c>
    </row>
    <row r="97" spans="1:19" x14ac:dyDescent="0.2">
      <c r="A97" s="33">
        <v>43556</v>
      </c>
      <c r="B97" s="34">
        <v>92</v>
      </c>
      <c r="C97" s="35" t="s">
        <v>20</v>
      </c>
      <c r="D97" s="34" t="str">
        <f>VLOOKUP(C97,'SALE PARTY MASTER'!$B$4:$E$500,2,FALSE)</f>
        <v>27AABCM2508F1ZU</v>
      </c>
      <c r="E97" s="34" t="s">
        <v>22</v>
      </c>
      <c r="F97" s="36" t="s">
        <v>143</v>
      </c>
      <c r="G97" s="37">
        <v>43574</v>
      </c>
      <c r="H97" s="38">
        <v>87141090</v>
      </c>
      <c r="I97" s="39">
        <v>28</v>
      </c>
      <c r="J97" s="38">
        <v>456</v>
      </c>
      <c r="K97" s="40">
        <v>22314</v>
      </c>
      <c r="L97" s="41">
        <v>0</v>
      </c>
      <c r="M97" s="41">
        <v>3123.96</v>
      </c>
      <c r="N97" s="41">
        <v>3123.96</v>
      </c>
      <c r="O97" s="41">
        <v>0</v>
      </c>
      <c r="P97" s="42">
        <v>28561.919999999998</v>
      </c>
      <c r="Q97" s="34" t="s">
        <v>25</v>
      </c>
      <c r="R97" s="34" t="s">
        <v>26</v>
      </c>
      <c r="S97" s="11" t="s">
        <v>4105</v>
      </c>
    </row>
    <row r="98" spans="1:19" x14ac:dyDescent="0.2">
      <c r="A98" s="33">
        <v>43556</v>
      </c>
      <c r="B98" s="34">
        <v>93</v>
      </c>
      <c r="C98" s="35" t="s">
        <v>20</v>
      </c>
      <c r="D98" s="34" t="str">
        <f>VLOOKUP(C98,'SALE PARTY MASTER'!$B$4:$E$500,2,FALSE)</f>
        <v>27AABCM2508F1ZU</v>
      </c>
      <c r="E98" s="34" t="s">
        <v>22</v>
      </c>
      <c r="F98" s="36" t="s">
        <v>144</v>
      </c>
      <c r="G98" s="37">
        <v>43574</v>
      </c>
      <c r="H98" s="38">
        <v>87081090</v>
      </c>
      <c r="I98" s="39">
        <v>28</v>
      </c>
      <c r="J98" s="38">
        <v>408</v>
      </c>
      <c r="K98" s="40">
        <v>33727.32</v>
      </c>
      <c r="L98" s="41">
        <v>0</v>
      </c>
      <c r="M98" s="41">
        <v>4721.8247999999994</v>
      </c>
      <c r="N98" s="41">
        <v>4721.8247999999994</v>
      </c>
      <c r="O98" s="41">
        <v>0</v>
      </c>
      <c r="P98" s="42">
        <v>43170.969600000004</v>
      </c>
      <c r="Q98" s="34" t="s">
        <v>25</v>
      </c>
      <c r="R98" s="34" t="s">
        <v>26</v>
      </c>
      <c r="S98" s="11" t="s">
        <v>4105</v>
      </c>
    </row>
    <row r="99" spans="1:19" x14ac:dyDescent="0.2">
      <c r="A99" s="33">
        <v>43556</v>
      </c>
      <c r="B99" s="34">
        <v>94</v>
      </c>
      <c r="C99" s="35" t="s">
        <v>124</v>
      </c>
      <c r="D99" s="34" t="str">
        <f>VLOOKUP(C99,'SALE PARTY MASTER'!$B$4:$E$500,2,FALSE)</f>
        <v>27AAACB2484Q1Z8</v>
      </c>
      <c r="E99" s="34" t="s">
        <v>22</v>
      </c>
      <c r="F99" s="36" t="s">
        <v>145</v>
      </c>
      <c r="G99" s="37">
        <v>43574</v>
      </c>
      <c r="H99" s="38">
        <v>998898</v>
      </c>
      <c r="I99" s="39">
        <v>18</v>
      </c>
      <c r="J99" s="38">
        <v>1960</v>
      </c>
      <c r="K99" s="40">
        <v>9065</v>
      </c>
      <c r="L99" s="41">
        <v>0</v>
      </c>
      <c r="M99" s="41">
        <v>815.85</v>
      </c>
      <c r="N99" s="41">
        <v>815.85</v>
      </c>
      <c r="O99" s="41">
        <v>0</v>
      </c>
      <c r="P99" s="42">
        <v>10696.7</v>
      </c>
      <c r="Q99" s="34" t="s">
        <v>25</v>
      </c>
      <c r="R99" s="34" t="s">
        <v>26</v>
      </c>
      <c r="S99" s="11" t="s">
        <v>4107</v>
      </c>
    </row>
    <row r="100" spans="1:19" x14ac:dyDescent="0.2">
      <c r="A100" s="33">
        <v>43556</v>
      </c>
      <c r="B100" s="34">
        <v>95</v>
      </c>
      <c r="C100" s="35" t="s">
        <v>28</v>
      </c>
      <c r="D100" s="34" t="str">
        <f>VLOOKUP(C100,'SALE PARTY MASTER'!$B$4:$E$500,2,FALSE)</f>
        <v>27AAECM8871A1ZF</v>
      </c>
      <c r="E100" s="34" t="s">
        <v>22</v>
      </c>
      <c r="F100" s="36" t="s">
        <v>146</v>
      </c>
      <c r="G100" s="37">
        <v>43575</v>
      </c>
      <c r="H100" s="38">
        <v>87089900</v>
      </c>
      <c r="I100" s="39">
        <v>28</v>
      </c>
      <c r="J100" s="38">
        <v>12</v>
      </c>
      <c r="K100" s="40">
        <v>23255.759999999998</v>
      </c>
      <c r="L100" s="41">
        <v>0</v>
      </c>
      <c r="M100" s="41">
        <v>3255.8063999999995</v>
      </c>
      <c r="N100" s="41">
        <v>3255.8063999999995</v>
      </c>
      <c r="O100" s="41">
        <v>0</v>
      </c>
      <c r="P100" s="42">
        <v>29767.382799999996</v>
      </c>
      <c r="Q100" s="34" t="s">
        <v>25</v>
      </c>
      <c r="R100" s="34" t="s">
        <v>26</v>
      </c>
      <c r="S100" s="11" t="s">
        <v>4105</v>
      </c>
    </row>
    <row r="101" spans="1:19" x14ac:dyDescent="0.2">
      <c r="A101" s="33">
        <v>43556</v>
      </c>
      <c r="B101" s="34">
        <v>96</v>
      </c>
      <c r="C101" s="35" t="s">
        <v>28</v>
      </c>
      <c r="D101" s="34" t="str">
        <f>VLOOKUP(C101,'SALE PARTY MASTER'!$B$4:$E$500,2,FALSE)</f>
        <v>27AAECM8871A1ZF</v>
      </c>
      <c r="E101" s="34" t="s">
        <v>22</v>
      </c>
      <c r="F101" s="36" t="s">
        <v>147</v>
      </c>
      <c r="G101" s="37">
        <v>43575</v>
      </c>
      <c r="H101" s="38">
        <v>87089900</v>
      </c>
      <c r="I101" s="39">
        <v>28</v>
      </c>
      <c r="J101" s="38">
        <v>12</v>
      </c>
      <c r="K101" s="40">
        <v>23255.759999999998</v>
      </c>
      <c r="L101" s="41">
        <v>0</v>
      </c>
      <c r="M101" s="41">
        <v>3255.8063999999995</v>
      </c>
      <c r="N101" s="41">
        <v>3255.8063999999995</v>
      </c>
      <c r="O101" s="41">
        <v>0</v>
      </c>
      <c r="P101" s="42">
        <v>29767.382799999996</v>
      </c>
      <c r="Q101" s="34" t="s">
        <v>25</v>
      </c>
      <c r="R101" s="34" t="s">
        <v>26</v>
      </c>
      <c r="S101" s="11" t="s">
        <v>4105</v>
      </c>
    </row>
    <row r="102" spans="1:19" x14ac:dyDescent="0.2">
      <c r="A102" s="33">
        <v>43556</v>
      </c>
      <c r="B102" s="34">
        <v>97</v>
      </c>
      <c r="C102" s="35" t="s">
        <v>20</v>
      </c>
      <c r="D102" s="34" t="str">
        <f>VLOOKUP(C102,'SALE PARTY MASTER'!$B$4:$E$500,2,FALSE)</f>
        <v>27AABCM2508F1ZU</v>
      </c>
      <c r="E102" s="34" t="s">
        <v>22</v>
      </c>
      <c r="F102" s="36" t="s">
        <v>148</v>
      </c>
      <c r="G102" s="37">
        <v>43575</v>
      </c>
      <c r="H102" s="38">
        <v>87081090</v>
      </c>
      <c r="I102" s="39">
        <v>28</v>
      </c>
      <c r="J102" s="38">
        <v>660</v>
      </c>
      <c r="K102" s="40">
        <v>54558.9</v>
      </c>
      <c r="L102" s="41">
        <v>0</v>
      </c>
      <c r="M102" s="41">
        <v>7638.246000000001</v>
      </c>
      <c r="N102" s="41">
        <v>7638.246000000001</v>
      </c>
      <c r="O102" s="41">
        <v>0</v>
      </c>
      <c r="P102" s="42">
        <v>69835.402000000002</v>
      </c>
      <c r="Q102" s="34" t="s">
        <v>25</v>
      </c>
      <c r="R102" s="34" t="s">
        <v>26</v>
      </c>
      <c r="S102" s="11" t="s">
        <v>4105</v>
      </c>
    </row>
    <row r="103" spans="1:19" x14ac:dyDescent="0.2">
      <c r="A103" s="33">
        <v>43556</v>
      </c>
      <c r="B103" s="34">
        <v>98</v>
      </c>
      <c r="C103" s="35" t="s">
        <v>124</v>
      </c>
      <c r="D103" s="34" t="str">
        <f>VLOOKUP(C103,'SALE PARTY MASTER'!$B$4:$E$500,2,FALSE)</f>
        <v>27AAACB2484Q1Z8</v>
      </c>
      <c r="E103" s="34" t="s">
        <v>22</v>
      </c>
      <c r="F103" s="36" t="s">
        <v>149</v>
      </c>
      <c r="G103" s="37">
        <v>43575</v>
      </c>
      <c r="H103" s="38">
        <v>998898</v>
      </c>
      <c r="I103" s="39">
        <v>18</v>
      </c>
      <c r="J103" s="38">
        <v>2252</v>
      </c>
      <c r="K103" s="40">
        <v>10450</v>
      </c>
      <c r="L103" s="41">
        <v>0</v>
      </c>
      <c r="M103" s="41">
        <v>940.5</v>
      </c>
      <c r="N103" s="41">
        <v>940.5</v>
      </c>
      <c r="O103" s="41">
        <v>0</v>
      </c>
      <c r="P103" s="42">
        <v>12331</v>
      </c>
      <c r="Q103" s="34" t="s">
        <v>25</v>
      </c>
      <c r="R103" s="34" t="s">
        <v>26</v>
      </c>
      <c r="S103" s="11" t="s">
        <v>4107</v>
      </c>
    </row>
    <row r="104" spans="1:19" x14ac:dyDescent="0.2">
      <c r="A104" s="33">
        <v>43556</v>
      </c>
      <c r="B104" s="34">
        <v>99</v>
      </c>
      <c r="C104" s="35" t="s">
        <v>40</v>
      </c>
      <c r="D104" s="34" t="str">
        <f>VLOOKUP(C104,'SALE PARTY MASTER'!$B$4:$E$500,2,FALSE)</f>
        <v>27AAACT1848E1ZH</v>
      </c>
      <c r="E104" s="34" t="s">
        <v>22</v>
      </c>
      <c r="F104" s="36" t="s">
        <v>150</v>
      </c>
      <c r="G104" s="37">
        <v>43576</v>
      </c>
      <c r="H104" s="38">
        <v>87089900</v>
      </c>
      <c r="I104" s="39">
        <v>28</v>
      </c>
      <c r="J104" s="38">
        <v>544</v>
      </c>
      <c r="K104" s="40">
        <v>40770.879999999997</v>
      </c>
      <c r="L104" s="41">
        <v>0</v>
      </c>
      <c r="M104" s="41">
        <v>5707.9232000000002</v>
      </c>
      <c r="N104" s="41">
        <v>5707.9232000000002</v>
      </c>
      <c r="O104" s="41">
        <v>0</v>
      </c>
      <c r="P104" s="42">
        <v>52186.71639999999</v>
      </c>
      <c r="Q104" s="34" t="s">
        <v>25</v>
      </c>
      <c r="R104" s="34" t="s">
        <v>26</v>
      </c>
      <c r="S104" s="11" t="s">
        <v>4105</v>
      </c>
    </row>
    <row r="105" spans="1:19" x14ac:dyDescent="0.2">
      <c r="A105" s="33">
        <v>43556</v>
      </c>
      <c r="B105" s="34">
        <v>100</v>
      </c>
      <c r="C105" s="35" t="s">
        <v>28</v>
      </c>
      <c r="D105" s="34" t="str">
        <f>VLOOKUP(C105,'SALE PARTY MASTER'!$B$4:$E$500,2,FALSE)</f>
        <v>27AAECM8871A1ZF</v>
      </c>
      <c r="E105" s="34" t="s">
        <v>22</v>
      </c>
      <c r="F105" s="36" t="s">
        <v>151</v>
      </c>
      <c r="G105" s="37">
        <v>43576</v>
      </c>
      <c r="H105" s="38">
        <v>87089900</v>
      </c>
      <c r="I105" s="39">
        <v>28</v>
      </c>
      <c r="J105" s="38">
        <v>12</v>
      </c>
      <c r="K105" s="40">
        <v>23255.759999999998</v>
      </c>
      <c r="L105" s="41">
        <v>0</v>
      </c>
      <c r="M105" s="41">
        <v>3255.8063999999995</v>
      </c>
      <c r="N105" s="41">
        <v>3255.8063999999995</v>
      </c>
      <c r="O105" s="41">
        <v>0</v>
      </c>
      <c r="P105" s="42">
        <v>29767.382799999996</v>
      </c>
      <c r="Q105" s="34" t="s">
        <v>25</v>
      </c>
      <c r="R105" s="34" t="s">
        <v>26</v>
      </c>
      <c r="S105" s="11" t="s">
        <v>4105</v>
      </c>
    </row>
    <row r="106" spans="1:19" x14ac:dyDescent="0.2">
      <c r="A106" s="33">
        <v>43556</v>
      </c>
      <c r="B106" s="34">
        <v>101</v>
      </c>
      <c r="C106" s="35" t="s">
        <v>49</v>
      </c>
      <c r="D106" s="34" t="str">
        <f>VLOOKUP(C106,'SALE PARTY MASTER'!$B$4:$E$500,2,FALSE)</f>
        <v>27AABFJ4217F1ZP</v>
      </c>
      <c r="E106" s="34" t="s">
        <v>22</v>
      </c>
      <c r="F106" s="36" t="s">
        <v>152</v>
      </c>
      <c r="G106" s="37">
        <v>43577</v>
      </c>
      <c r="H106" s="38">
        <v>998898</v>
      </c>
      <c r="I106" s="39">
        <v>18</v>
      </c>
      <c r="J106" s="38">
        <v>35</v>
      </c>
      <c r="K106" s="40">
        <v>9944.9</v>
      </c>
      <c r="L106" s="41">
        <v>0</v>
      </c>
      <c r="M106" s="41">
        <v>895.04099999999994</v>
      </c>
      <c r="N106" s="41">
        <v>895.04099999999994</v>
      </c>
      <c r="O106" s="41">
        <v>0</v>
      </c>
      <c r="P106" s="42">
        <v>11734.981999999998</v>
      </c>
      <c r="Q106" s="34" t="s">
        <v>25</v>
      </c>
      <c r="R106" s="34" t="s">
        <v>26</v>
      </c>
      <c r="S106" s="11" t="s">
        <v>4107</v>
      </c>
    </row>
    <row r="107" spans="1:19" x14ac:dyDescent="0.2">
      <c r="A107" s="33">
        <v>43556</v>
      </c>
      <c r="B107" s="34">
        <v>102</v>
      </c>
      <c r="C107" s="35" t="s">
        <v>91</v>
      </c>
      <c r="D107" s="34" t="str">
        <f>VLOOKUP(C107,'SALE PARTY MASTER'!$B$4:$E$500,2,FALSE)</f>
        <v>27BBVPS2447C1ZA</v>
      </c>
      <c r="E107" s="34" t="s">
        <v>22</v>
      </c>
      <c r="F107" s="36" t="s">
        <v>153</v>
      </c>
      <c r="G107" s="37">
        <v>43577</v>
      </c>
      <c r="H107" s="38">
        <v>998898</v>
      </c>
      <c r="I107" s="39">
        <v>18</v>
      </c>
      <c r="J107" s="38">
        <v>500</v>
      </c>
      <c r="K107" s="40">
        <v>7500</v>
      </c>
      <c r="L107" s="41">
        <v>0</v>
      </c>
      <c r="M107" s="41">
        <v>675</v>
      </c>
      <c r="N107" s="41">
        <v>675</v>
      </c>
      <c r="O107" s="41">
        <v>0</v>
      </c>
      <c r="P107" s="42">
        <v>8850</v>
      </c>
      <c r="Q107" s="34" t="s">
        <v>25</v>
      </c>
      <c r="R107" s="34" t="s">
        <v>26</v>
      </c>
      <c r="S107" s="11" t="s">
        <v>4107</v>
      </c>
    </row>
    <row r="108" spans="1:19" x14ac:dyDescent="0.2">
      <c r="A108" s="33">
        <v>43556</v>
      </c>
      <c r="B108" s="34">
        <v>103</v>
      </c>
      <c r="C108" s="35" t="s">
        <v>28</v>
      </c>
      <c r="D108" s="34" t="str">
        <f>VLOOKUP(C108,'SALE PARTY MASTER'!$B$4:$E$500,2,FALSE)</f>
        <v>27AAECM8871A1ZF</v>
      </c>
      <c r="E108" s="34" t="s">
        <v>22</v>
      </c>
      <c r="F108" s="36" t="s">
        <v>154</v>
      </c>
      <c r="G108" s="37">
        <v>43577</v>
      </c>
      <c r="H108" s="38">
        <v>87089900</v>
      </c>
      <c r="I108" s="39">
        <v>28</v>
      </c>
      <c r="J108" s="38">
        <v>12</v>
      </c>
      <c r="K108" s="40">
        <v>23255.759999999998</v>
      </c>
      <c r="L108" s="41">
        <v>0</v>
      </c>
      <c r="M108" s="41">
        <v>3255.8063999999995</v>
      </c>
      <c r="N108" s="41">
        <v>3255.8063999999995</v>
      </c>
      <c r="O108" s="41">
        <v>0</v>
      </c>
      <c r="P108" s="42">
        <v>29767.382799999996</v>
      </c>
      <c r="Q108" s="34" t="s">
        <v>25</v>
      </c>
      <c r="R108" s="34" t="s">
        <v>26</v>
      </c>
      <c r="S108" s="11" t="s">
        <v>4105</v>
      </c>
    </row>
    <row r="109" spans="1:19" x14ac:dyDescent="0.2">
      <c r="A109" s="33">
        <v>43556</v>
      </c>
      <c r="B109" s="34">
        <v>104</v>
      </c>
      <c r="C109" s="35" t="s">
        <v>155</v>
      </c>
      <c r="D109" s="34" t="str">
        <f>VLOOKUP(C109,'SALE PARTY MASTER'!$B$4:$E$500,2,FALSE)</f>
        <v>27AAGCP0139E1ZP</v>
      </c>
      <c r="E109" s="34" t="s">
        <v>22</v>
      </c>
      <c r="F109" s="36" t="s">
        <v>157</v>
      </c>
      <c r="G109" s="37">
        <v>43577</v>
      </c>
      <c r="H109" s="38">
        <v>87141090</v>
      </c>
      <c r="I109" s="39">
        <v>28</v>
      </c>
      <c r="J109" s="38">
        <v>1080</v>
      </c>
      <c r="K109" s="40">
        <v>50792.4</v>
      </c>
      <c r="L109" s="41">
        <v>0</v>
      </c>
      <c r="M109" s="41">
        <v>7110.9360000000006</v>
      </c>
      <c r="N109" s="41">
        <v>7110.9360000000006</v>
      </c>
      <c r="O109" s="41">
        <v>0</v>
      </c>
      <c r="P109" s="42">
        <v>65014.282000000007</v>
      </c>
      <c r="Q109" s="34" t="s">
        <v>25</v>
      </c>
      <c r="R109" s="34" t="s">
        <v>26</v>
      </c>
      <c r="S109" s="11" t="s">
        <v>4105</v>
      </c>
    </row>
    <row r="110" spans="1:19" x14ac:dyDescent="0.2">
      <c r="A110" s="33">
        <v>43556</v>
      </c>
      <c r="B110" s="34">
        <v>105</v>
      </c>
      <c r="C110" s="35" t="s">
        <v>124</v>
      </c>
      <c r="D110" s="34" t="str">
        <f>VLOOKUP(C110,'SALE PARTY MASTER'!$B$4:$E$500,2,FALSE)</f>
        <v>27AAACB2484Q1Z8</v>
      </c>
      <c r="E110" s="34" t="s">
        <v>22</v>
      </c>
      <c r="F110" s="36" t="s">
        <v>158</v>
      </c>
      <c r="G110" s="37">
        <v>43577</v>
      </c>
      <c r="H110" s="38">
        <v>998898</v>
      </c>
      <c r="I110" s="39">
        <v>18</v>
      </c>
      <c r="J110" s="38">
        <v>2664</v>
      </c>
      <c r="K110" s="40">
        <v>13455</v>
      </c>
      <c r="L110" s="41">
        <v>0</v>
      </c>
      <c r="M110" s="41">
        <v>1210.95</v>
      </c>
      <c r="N110" s="41">
        <v>1210.95</v>
      </c>
      <c r="O110" s="41">
        <v>0</v>
      </c>
      <c r="P110" s="42">
        <v>15876.900000000001</v>
      </c>
      <c r="Q110" s="34" t="s">
        <v>25</v>
      </c>
      <c r="R110" s="34" t="s">
        <v>26</v>
      </c>
      <c r="S110" s="11" t="s">
        <v>4107</v>
      </c>
    </row>
    <row r="111" spans="1:19" x14ac:dyDescent="0.2">
      <c r="A111" s="33">
        <v>43556</v>
      </c>
      <c r="B111" s="34">
        <v>106</v>
      </c>
      <c r="C111" s="35" t="s">
        <v>70</v>
      </c>
      <c r="D111" s="34" t="str">
        <f>VLOOKUP(C111,'SALE PARTY MASTER'!$B$4:$E$500,2,FALSE)</f>
        <v>27AACCA4196J1ZG</v>
      </c>
      <c r="E111" s="34" t="s">
        <v>22</v>
      </c>
      <c r="F111" s="36" t="s">
        <v>159</v>
      </c>
      <c r="G111" s="37">
        <v>43577</v>
      </c>
      <c r="H111" s="38">
        <v>998898</v>
      </c>
      <c r="I111" s="39">
        <v>18</v>
      </c>
      <c r="J111" s="38">
        <v>150</v>
      </c>
      <c r="K111" s="40">
        <v>3623</v>
      </c>
      <c r="L111" s="41">
        <v>0</v>
      </c>
      <c r="M111" s="41">
        <v>326.07</v>
      </c>
      <c r="N111" s="41">
        <v>326.07</v>
      </c>
      <c r="O111" s="41">
        <v>0</v>
      </c>
      <c r="P111" s="42">
        <v>4275.1400000000003</v>
      </c>
      <c r="Q111" s="34" t="s">
        <v>25</v>
      </c>
      <c r="R111" s="34" t="s">
        <v>26</v>
      </c>
      <c r="S111" s="11" t="s">
        <v>4107</v>
      </c>
    </row>
    <row r="112" spans="1:19" x14ac:dyDescent="0.2">
      <c r="A112" s="33">
        <v>43556</v>
      </c>
      <c r="B112" s="34">
        <v>107</v>
      </c>
      <c r="C112" s="35" t="s">
        <v>20</v>
      </c>
      <c r="D112" s="34" t="str">
        <f>VLOOKUP(C112,'SALE PARTY MASTER'!$B$4:$E$500,2,FALSE)</f>
        <v>27AABCM2508F1ZU</v>
      </c>
      <c r="E112" s="34" t="s">
        <v>22</v>
      </c>
      <c r="F112" s="36" t="s">
        <v>160</v>
      </c>
      <c r="G112" s="37">
        <v>43577</v>
      </c>
      <c r="H112" s="38">
        <v>87081090</v>
      </c>
      <c r="I112" s="39">
        <v>28</v>
      </c>
      <c r="J112" s="38">
        <v>588</v>
      </c>
      <c r="K112" s="40">
        <v>48607.02</v>
      </c>
      <c r="L112" s="41">
        <v>0</v>
      </c>
      <c r="M112" s="41">
        <v>6804.9827999999989</v>
      </c>
      <c r="N112" s="41">
        <v>6804.9827999999989</v>
      </c>
      <c r="O112" s="41">
        <v>0</v>
      </c>
      <c r="P112" s="42">
        <v>62216.975599999991</v>
      </c>
      <c r="Q112" s="34" t="s">
        <v>25</v>
      </c>
      <c r="R112" s="34" t="s">
        <v>26</v>
      </c>
      <c r="S112" s="11" t="s">
        <v>4105</v>
      </c>
    </row>
    <row r="113" spans="1:19" x14ac:dyDescent="0.2">
      <c r="A113" s="33">
        <v>43556</v>
      </c>
      <c r="B113" s="34">
        <v>108</v>
      </c>
      <c r="C113" s="35" t="s">
        <v>28</v>
      </c>
      <c r="D113" s="34" t="str">
        <f>VLOOKUP(C113,'SALE PARTY MASTER'!$B$4:$E$500,2,FALSE)</f>
        <v>27AAECM8871A1ZF</v>
      </c>
      <c r="E113" s="34" t="s">
        <v>22</v>
      </c>
      <c r="F113" s="36" t="s">
        <v>161</v>
      </c>
      <c r="G113" s="37">
        <v>43578</v>
      </c>
      <c r="H113" s="38">
        <v>87089900</v>
      </c>
      <c r="I113" s="39">
        <v>28</v>
      </c>
      <c r="J113" s="38">
        <v>12</v>
      </c>
      <c r="K113" s="40">
        <v>23255.759999999998</v>
      </c>
      <c r="L113" s="41">
        <v>0</v>
      </c>
      <c r="M113" s="41">
        <v>3255.8063999999995</v>
      </c>
      <c r="N113" s="41">
        <v>3255.8063999999995</v>
      </c>
      <c r="O113" s="41">
        <v>0</v>
      </c>
      <c r="P113" s="42">
        <v>29767.382799999996</v>
      </c>
      <c r="Q113" s="34" t="s">
        <v>25</v>
      </c>
      <c r="R113" s="34" t="s">
        <v>26</v>
      </c>
      <c r="S113" s="11" t="s">
        <v>4105</v>
      </c>
    </row>
    <row r="114" spans="1:19" x14ac:dyDescent="0.2">
      <c r="A114" s="33">
        <v>43556</v>
      </c>
      <c r="B114" s="34">
        <v>109</v>
      </c>
      <c r="C114" s="35" t="s">
        <v>20</v>
      </c>
      <c r="D114" s="34" t="str">
        <f>VLOOKUP(C114,'SALE PARTY MASTER'!$B$4:$E$500,2,FALSE)</f>
        <v>27AABCM2508F1ZU</v>
      </c>
      <c r="E114" s="34" t="s">
        <v>22</v>
      </c>
      <c r="F114" s="36" t="s">
        <v>162</v>
      </c>
      <c r="G114" s="37">
        <v>43578</v>
      </c>
      <c r="H114" s="38">
        <v>87081090</v>
      </c>
      <c r="I114" s="39">
        <v>28</v>
      </c>
      <c r="J114" s="38">
        <v>204</v>
      </c>
      <c r="K114" s="40">
        <v>16863.66</v>
      </c>
      <c r="L114" s="41">
        <v>0</v>
      </c>
      <c r="M114" s="41">
        <v>2360.9123999999997</v>
      </c>
      <c r="N114" s="41">
        <v>2360.9123999999997</v>
      </c>
      <c r="O114" s="41">
        <v>0</v>
      </c>
      <c r="P114" s="42">
        <v>21585.484800000002</v>
      </c>
      <c r="Q114" s="34" t="s">
        <v>25</v>
      </c>
      <c r="R114" s="34" t="s">
        <v>26</v>
      </c>
      <c r="S114" s="11" t="s">
        <v>4105</v>
      </c>
    </row>
    <row r="115" spans="1:19" x14ac:dyDescent="0.2">
      <c r="A115" s="33">
        <v>43556</v>
      </c>
      <c r="B115" s="34">
        <v>110</v>
      </c>
      <c r="C115" s="35" t="s">
        <v>20</v>
      </c>
      <c r="D115" s="34" t="str">
        <f>VLOOKUP(C115,'SALE PARTY MASTER'!$B$4:$E$500,2,FALSE)</f>
        <v>27AABCM2508F1ZU</v>
      </c>
      <c r="E115" s="34" t="s">
        <v>22</v>
      </c>
      <c r="F115" s="36" t="s">
        <v>163</v>
      </c>
      <c r="G115" s="37">
        <v>43578</v>
      </c>
      <c r="H115" s="38">
        <v>87141090</v>
      </c>
      <c r="I115" s="39">
        <v>28</v>
      </c>
      <c r="J115" s="38">
        <v>304</v>
      </c>
      <c r="K115" s="40">
        <v>13276</v>
      </c>
      <c r="L115" s="41">
        <v>0</v>
      </c>
      <c r="M115" s="41">
        <v>1858.6399999999999</v>
      </c>
      <c r="N115" s="41">
        <v>1858.6399999999999</v>
      </c>
      <c r="O115" s="41">
        <v>0</v>
      </c>
      <c r="P115" s="42">
        <v>16993.28</v>
      </c>
      <c r="Q115" s="34" t="s">
        <v>25</v>
      </c>
      <c r="R115" s="34" t="s">
        <v>26</v>
      </c>
      <c r="S115" s="11" t="s">
        <v>4105</v>
      </c>
    </row>
    <row r="116" spans="1:19" x14ac:dyDescent="0.2">
      <c r="A116" s="33">
        <v>43556</v>
      </c>
      <c r="B116" s="34">
        <v>111</v>
      </c>
      <c r="C116" s="35" t="s">
        <v>164</v>
      </c>
      <c r="D116" s="34" t="str">
        <f>VLOOKUP(C116,'SALE PARTY MASTER'!$B$4:$E$500,2,FALSE)</f>
        <v>27AAECK4013G1ZV</v>
      </c>
      <c r="E116" s="34" t="s">
        <v>22</v>
      </c>
      <c r="F116" s="36" t="s">
        <v>166</v>
      </c>
      <c r="G116" s="37">
        <v>43578</v>
      </c>
      <c r="H116" s="38">
        <v>998898</v>
      </c>
      <c r="I116" s="39">
        <v>18</v>
      </c>
      <c r="J116" s="38">
        <v>6</v>
      </c>
      <c r="K116" s="40">
        <v>3500</v>
      </c>
      <c r="L116" s="41">
        <v>0</v>
      </c>
      <c r="M116" s="41">
        <v>315</v>
      </c>
      <c r="N116" s="41">
        <v>315</v>
      </c>
      <c r="O116" s="41">
        <v>0</v>
      </c>
      <c r="P116" s="42">
        <v>4130</v>
      </c>
      <c r="Q116" s="34" t="s">
        <v>25</v>
      </c>
      <c r="R116" s="34" t="s">
        <v>26</v>
      </c>
      <c r="S116" s="11" t="s">
        <v>4107</v>
      </c>
    </row>
    <row r="117" spans="1:19" x14ac:dyDescent="0.2">
      <c r="A117" s="33">
        <v>43556</v>
      </c>
      <c r="B117" s="34">
        <v>112</v>
      </c>
      <c r="C117" s="35" t="s">
        <v>167</v>
      </c>
      <c r="D117" s="34" t="str">
        <f>VLOOKUP(C117,'SALE PARTY MASTER'!$B$4:$E$500,2,FALSE)</f>
        <v>27AABFP3834C1ZK</v>
      </c>
      <c r="E117" s="34" t="s">
        <v>22</v>
      </c>
      <c r="F117" s="36" t="s">
        <v>169</v>
      </c>
      <c r="G117" s="37">
        <v>43578</v>
      </c>
      <c r="H117" s="38">
        <v>87141900</v>
      </c>
      <c r="I117" s="39">
        <v>28</v>
      </c>
      <c r="J117" s="38">
        <v>408</v>
      </c>
      <c r="K117" s="40">
        <v>5087.76</v>
      </c>
      <c r="L117" s="41">
        <v>0</v>
      </c>
      <c r="M117" s="41">
        <v>712.28639999999996</v>
      </c>
      <c r="N117" s="41">
        <v>712.28639999999996</v>
      </c>
      <c r="O117" s="41">
        <v>0</v>
      </c>
      <c r="P117" s="42">
        <v>6512.3428000000004</v>
      </c>
      <c r="Q117" s="34" t="s">
        <v>25</v>
      </c>
      <c r="R117" s="34" t="s">
        <v>26</v>
      </c>
      <c r="S117" s="11" t="s">
        <v>4105</v>
      </c>
    </row>
    <row r="118" spans="1:19" x14ac:dyDescent="0.2">
      <c r="A118" s="33">
        <v>43556</v>
      </c>
      <c r="B118" s="34">
        <v>113</v>
      </c>
      <c r="C118" s="35" t="s">
        <v>45</v>
      </c>
      <c r="D118" s="34" t="str">
        <f>VLOOKUP(C118,'SALE PARTY MASTER'!$B$4:$E$500,2,FALSE)</f>
        <v>27AAACD4090Q1Z8</v>
      </c>
      <c r="E118" s="34" t="s">
        <v>22</v>
      </c>
      <c r="F118" s="36" t="s">
        <v>170</v>
      </c>
      <c r="G118" s="37">
        <v>43578</v>
      </c>
      <c r="H118" s="38">
        <v>85129000</v>
      </c>
      <c r="I118" s="39">
        <v>18</v>
      </c>
      <c r="J118" s="38">
        <v>1080</v>
      </c>
      <c r="K118" s="40">
        <v>69724.800000000003</v>
      </c>
      <c r="L118" s="41">
        <v>0</v>
      </c>
      <c r="M118" s="41">
        <v>6275.232</v>
      </c>
      <c r="N118" s="41">
        <v>6275.232</v>
      </c>
      <c r="O118" s="41">
        <v>0</v>
      </c>
      <c r="P118" s="42">
        <v>82275.26400000001</v>
      </c>
      <c r="Q118" s="34" t="s">
        <v>25</v>
      </c>
      <c r="R118" s="34" t="s">
        <v>26</v>
      </c>
      <c r="S118" s="11" t="s">
        <v>4105</v>
      </c>
    </row>
    <row r="119" spans="1:19" x14ac:dyDescent="0.2">
      <c r="A119" s="33">
        <v>43556</v>
      </c>
      <c r="B119" s="34">
        <v>114</v>
      </c>
      <c r="C119" s="35" t="s">
        <v>124</v>
      </c>
      <c r="D119" s="34" t="str">
        <f>VLOOKUP(C119,'SALE PARTY MASTER'!$B$4:$E$500,2,FALSE)</f>
        <v>27AAACB2484Q1Z8</v>
      </c>
      <c r="E119" s="34" t="s">
        <v>22</v>
      </c>
      <c r="F119" s="36" t="s">
        <v>171</v>
      </c>
      <c r="G119" s="37">
        <v>43578</v>
      </c>
      <c r="H119" s="38">
        <v>998898</v>
      </c>
      <c r="I119" s="39">
        <v>18</v>
      </c>
      <c r="J119" s="38">
        <v>953</v>
      </c>
      <c r="K119" s="40">
        <v>4765</v>
      </c>
      <c r="L119" s="41">
        <v>0</v>
      </c>
      <c r="M119" s="41">
        <v>428.84999999999997</v>
      </c>
      <c r="N119" s="41">
        <v>428.84999999999997</v>
      </c>
      <c r="O119" s="41">
        <v>0</v>
      </c>
      <c r="P119" s="42">
        <v>5622.7000000000007</v>
      </c>
      <c r="Q119" s="34" t="s">
        <v>25</v>
      </c>
      <c r="R119" s="34" t="s">
        <v>26</v>
      </c>
      <c r="S119" s="11" t="s">
        <v>4107</v>
      </c>
    </row>
    <row r="120" spans="1:19" x14ac:dyDescent="0.2">
      <c r="A120" s="33">
        <v>43556</v>
      </c>
      <c r="B120" s="34">
        <v>115</v>
      </c>
      <c r="C120" s="35" t="s">
        <v>20</v>
      </c>
      <c r="D120" s="34" t="str">
        <f>VLOOKUP(C120,'SALE PARTY MASTER'!$B$4:$E$500,2,FALSE)</f>
        <v>27AABCM2508F1ZU</v>
      </c>
      <c r="E120" s="34" t="s">
        <v>22</v>
      </c>
      <c r="F120" s="36" t="s">
        <v>172</v>
      </c>
      <c r="G120" s="37">
        <v>43578</v>
      </c>
      <c r="H120" s="38">
        <v>87081090</v>
      </c>
      <c r="I120" s="39">
        <v>28</v>
      </c>
      <c r="J120" s="38">
        <v>300</v>
      </c>
      <c r="K120" s="40">
        <v>24799.5</v>
      </c>
      <c r="L120" s="41">
        <v>0</v>
      </c>
      <c r="M120" s="41">
        <v>3471.9300000000003</v>
      </c>
      <c r="N120" s="41">
        <v>3471.9300000000003</v>
      </c>
      <c r="O120" s="41">
        <v>0</v>
      </c>
      <c r="P120" s="42">
        <v>31743.360000000001</v>
      </c>
      <c r="Q120" s="34" t="s">
        <v>25</v>
      </c>
      <c r="R120" s="34" t="s">
        <v>26</v>
      </c>
      <c r="S120" s="11" t="s">
        <v>4105</v>
      </c>
    </row>
    <row r="121" spans="1:19" x14ac:dyDescent="0.2">
      <c r="A121" s="33">
        <v>43556</v>
      </c>
      <c r="B121" s="34">
        <v>116</v>
      </c>
      <c r="C121" s="35" t="s">
        <v>20</v>
      </c>
      <c r="D121" s="34" t="str">
        <f>VLOOKUP(C121,'SALE PARTY MASTER'!$B$4:$E$500,2,FALSE)</f>
        <v>27AABCM2508F1ZU</v>
      </c>
      <c r="E121" s="34" t="s">
        <v>22</v>
      </c>
      <c r="F121" s="36" t="s">
        <v>173</v>
      </c>
      <c r="G121" s="37">
        <v>43578</v>
      </c>
      <c r="H121" s="38">
        <v>87141090</v>
      </c>
      <c r="I121" s="39">
        <v>28</v>
      </c>
      <c r="J121" s="38">
        <v>600</v>
      </c>
      <c r="K121" s="40">
        <v>27390</v>
      </c>
      <c r="L121" s="41">
        <v>0</v>
      </c>
      <c r="M121" s="41">
        <v>3834.5999999999995</v>
      </c>
      <c r="N121" s="41">
        <v>3834.5999999999995</v>
      </c>
      <c r="O121" s="41">
        <v>0</v>
      </c>
      <c r="P121" s="42">
        <v>35059.199999999997</v>
      </c>
      <c r="Q121" s="34" t="s">
        <v>25</v>
      </c>
      <c r="R121" s="34" t="s">
        <v>26</v>
      </c>
      <c r="S121" s="11" t="s">
        <v>4105</v>
      </c>
    </row>
    <row r="122" spans="1:19" x14ac:dyDescent="0.2">
      <c r="A122" s="33">
        <v>43556</v>
      </c>
      <c r="B122" s="34">
        <v>117</v>
      </c>
      <c r="C122" s="35" t="s">
        <v>28</v>
      </c>
      <c r="D122" s="34" t="str">
        <f>VLOOKUP(C122,'SALE PARTY MASTER'!$B$4:$E$500,2,FALSE)</f>
        <v>27AAECM8871A1ZF</v>
      </c>
      <c r="E122" s="34" t="s">
        <v>22</v>
      </c>
      <c r="F122" s="36" t="s">
        <v>174</v>
      </c>
      <c r="G122" s="37">
        <v>43578</v>
      </c>
      <c r="H122" s="38">
        <v>87089900</v>
      </c>
      <c r="I122" s="39">
        <v>28</v>
      </c>
      <c r="J122" s="38">
        <v>12</v>
      </c>
      <c r="K122" s="40">
        <v>23255.759999999998</v>
      </c>
      <c r="L122" s="41">
        <v>0</v>
      </c>
      <c r="M122" s="41">
        <v>3255.8063999999995</v>
      </c>
      <c r="N122" s="41">
        <v>3255.8063999999995</v>
      </c>
      <c r="O122" s="41">
        <v>0</v>
      </c>
      <c r="P122" s="42">
        <v>29767.382799999996</v>
      </c>
      <c r="Q122" s="34" t="s">
        <v>25</v>
      </c>
      <c r="R122" s="34" t="s">
        <v>26</v>
      </c>
      <c r="S122" s="11" t="s">
        <v>4105</v>
      </c>
    </row>
    <row r="123" spans="1:19" x14ac:dyDescent="0.2">
      <c r="A123" s="33">
        <v>43556</v>
      </c>
      <c r="B123" s="34">
        <v>118</v>
      </c>
      <c r="C123" s="35" t="s">
        <v>28</v>
      </c>
      <c r="D123" s="34" t="str">
        <f>VLOOKUP(C123,'SALE PARTY MASTER'!$B$4:$E$500,2,FALSE)</f>
        <v>27AAECM8871A1ZF</v>
      </c>
      <c r="E123" s="34" t="s">
        <v>22</v>
      </c>
      <c r="F123" s="36" t="s">
        <v>175</v>
      </c>
      <c r="G123" s="37">
        <v>43578</v>
      </c>
      <c r="H123" s="38">
        <v>87089900</v>
      </c>
      <c r="I123" s="39">
        <v>28</v>
      </c>
      <c r="J123" s="38">
        <v>12</v>
      </c>
      <c r="K123" s="40">
        <v>23255.759999999998</v>
      </c>
      <c r="L123" s="41">
        <v>0</v>
      </c>
      <c r="M123" s="41">
        <v>3255.8063999999995</v>
      </c>
      <c r="N123" s="41">
        <v>3255.8063999999995</v>
      </c>
      <c r="O123" s="41">
        <v>0</v>
      </c>
      <c r="P123" s="42">
        <v>29767.382799999996</v>
      </c>
      <c r="Q123" s="34" t="s">
        <v>25</v>
      </c>
      <c r="R123" s="34" t="s">
        <v>26</v>
      </c>
      <c r="S123" s="11" t="s">
        <v>4105</v>
      </c>
    </row>
    <row r="124" spans="1:19" x14ac:dyDescent="0.2">
      <c r="A124" s="33">
        <v>43556</v>
      </c>
      <c r="B124" s="34">
        <v>119</v>
      </c>
      <c r="C124" s="35" t="s">
        <v>40</v>
      </c>
      <c r="D124" s="34" t="str">
        <f>VLOOKUP(C124,'SALE PARTY MASTER'!$B$4:$E$500,2,FALSE)</f>
        <v>27AAACT1848E1ZH</v>
      </c>
      <c r="E124" s="34" t="s">
        <v>22</v>
      </c>
      <c r="F124" s="36" t="s">
        <v>176</v>
      </c>
      <c r="G124" s="37">
        <v>43579</v>
      </c>
      <c r="H124" s="38">
        <v>87089900</v>
      </c>
      <c r="I124" s="39">
        <v>28</v>
      </c>
      <c r="J124" s="38">
        <v>56</v>
      </c>
      <c r="K124" s="40">
        <v>26835.84</v>
      </c>
      <c r="L124" s="41">
        <v>0</v>
      </c>
      <c r="M124" s="41">
        <v>3757.0176000000001</v>
      </c>
      <c r="N124" s="41">
        <v>3757.0176000000001</v>
      </c>
      <c r="O124" s="41">
        <v>0</v>
      </c>
      <c r="P124" s="42">
        <v>34349.875200000002</v>
      </c>
      <c r="Q124" s="34" t="s">
        <v>25</v>
      </c>
      <c r="R124" s="34" t="s">
        <v>26</v>
      </c>
      <c r="S124" s="11" t="s">
        <v>4105</v>
      </c>
    </row>
    <row r="125" spans="1:19" x14ac:dyDescent="0.2">
      <c r="A125" s="33">
        <v>43556</v>
      </c>
      <c r="B125" s="34">
        <v>120</v>
      </c>
      <c r="C125" s="35" t="s">
        <v>124</v>
      </c>
      <c r="D125" s="34" t="str">
        <f>VLOOKUP(C125,'SALE PARTY MASTER'!$B$4:$E$500,2,FALSE)</f>
        <v>27AAACB2484Q1Z8</v>
      </c>
      <c r="E125" s="34" t="s">
        <v>22</v>
      </c>
      <c r="F125" s="36" t="s">
        <v>177</v>
      </c>
      <c r="G125" s="37">
        <v>43579</v>
      </c>
      <c r="H125" s="38">
        <v>998898</v>
      </c>
      <c r="I125" s="39">
        <v>18</v>
      </c>
      <c r="J125" s="38">
        <v>296</v>
      </c>
      <c r="K125" s="40">
        <v>1480</v>
      </c>
      <c r="L125" s="41">
        <v>0</v>
      </c>
      <c r="M125" s="41">
        <v>133.20000000000002</v>
      </c>
      <c r="N125" s="41">
        <v>133.20000000000002</v>
      </c>
      <c r="O125" s="41">
        <v>0</v>
      </c>
      <c r="P125" s="42">
        <v>1746.4</v>
      </c>
      <c r="Q125" s="34" t="s">
        <v>25</v>
      </c>
      <c r="R125" s="34" t="s">
        <v>26</v>
      </c>
      <c r="S125" s="11" t="s">
        <v>4107</v>
      </c>
    </row>
    <row r="126" spans="1:19" x14ac:dyDescent="0.2">
      <c r="A126" s="33">
        <v>43556</v>
      </c>
      <c r="B126" s="34">
        <v>121</v>
      </c>
      <c r="C126" s="35" t="s">
        <v>124</v>
      </c>
      <c r="D126" s="34" t="str">
        <f>VLOOKUP(C126,'SALE PARTY MASTER'!$B$4:$E$500,2,FALSE)</f>
        <v>27AAACB2484Q1Z8</v>
      </c>
      <c r="E126" s="34" t="s">
        <v>22</v>
      </c>
      <c r="F126" s="36" t="s">
        <v>178</v>
      </c>
      <c r="G126" s="37">
        <v>43579</v>
      </c>
      <c r="H126" s="38">
        <v>998898</v>
      </c>
      <c r="I126" s="39">
        <v>18</v>
      </c>
      <c r="J126" s="38">
        <v>450</v>
      </c>
      <c r="K126" s="40">
        <v>2407.5</v>
      </c>
      <c r="L126" s="41">
        <v>0</v>
      </c>
      <c r="M126" s="41">
        <v>216.67499999999998</v>
      </c>
      <c r="N126" s="41">
        <v>216.67499999999998</v>
      </c>
      <c r="O126" s="41">
        <v>0</v>
      </c>
      <c r="P126" s="42">
        <v>2840.8600000000006</v>
      </c>
      <c r="Q126" s="34" t="s">
        <v>25</v>
      </c>
      <c r="R126" s="34" t="s">
        <v>26</v>
      </c>
      <c r="S126" s="11" t="s">
        <v>4107</v>
      </c>
    </row>
    <row r="127" spans="1:19" x14ac:dyDescent="0.2">
      <c r="A127" s="33">
        <v>43556</v>
      </c>
      <c r="B127" s="34">
        <v>122</v>
      </c>
      <c r="C127" s="35" t="s">
        <v>167</v>
      </c>
      <c r="D127" s="34" t="str">
        <f>VLOOKUP(C127,'SALE PARTY MASTER'!$B$4:$E$500,2,FALSE)</f>
        <v>27AABFP3834C1ZK</v>
      </c>
      <c r="E127" s="34" t="s">
        <v>22</v>
      </c>
      <c r="F127" s="36" t="s">
        <v>179</v>
      </c>
      <c r="G127" s="37">
        <v>43579</v>
      </c>
      <c r="H127" s="38">
        <v>87141900</v>
      </c>
      <c r="I127" s="39">
        <v>28</v>
      </c>
      <c r="J127" s="38">
        <v>240</v>
      </c>
      <c r="K127" s="40">
        <v>2992.8</v>
      </c>
      <c r="L127" s="41">
        <v>0</v>
      </c>
      <c r="M127" s="41">
        <v>418.99200000000002</v>
      </c>
      <c r="N127" s="41">
        <v>418.99200000000002</v>
      </c>
      <c r="O127" s="41">
        <v>0</v>
      </c>
      <c r="P127" s="42">
        <v>3830.7840000000006</v>
      </c>
      <c r="Q127" s="34" t="s">
        <v>25</v>
      </c>
      <c r="R127" s="34" t="s">
        <v>26</v>
      </c>
      <c r="S127" s="11" t="s">
        <v>4105</v>
      </c>
    </row>
    <row r="128" spans="1:19" x14ac:dyDescent="0.2">
      <c r="A128" s="33">
        <v>43556</v>
      </c>
      <c r="B128" s="34">
        <v>123</v>
      </c>
      <c r="C128" s="35" t="s">
        <v>28</v>
      </c>
      <c r="D128" s="34" t="str">
        <f>VLOOKUP(C128,'SALE PARTY MASTER'!$B$4:$E$500,2,FALSE)</f>
        <v>27AAECM8871A1ZF</v>
      </c>
      <c r="E128" s="34" t="s">
        <v>22</v>
      </c>
      <c r="F128" s="36" t="s">
        <v>180</v>
      </c>
      <c r="G128" s="37">
        <v>43579</v>
      </c>
      <c r="H128" s="38">
        <v>87089900</v>
      </c>
      <c r="I128" s="39">
        <v>28</v>
      </c>
      <c r="J128" s="38">
        <v>12</v>
      </c>
      <c r="K128" s="40">
        <v>23255.759999999998</v>
      </c>
      <c r="L128" s="41">
        <v>0</v>
      </c>
      <c r="M128" s="41">
        <v>3255.8063999999995</v>
      </c>
      <c r="N128" s="41">
        <v>3255.8063999999995</v>
      </c>
      <c r="O128" s="41">
        <v>0</v>
      </c>
      <c r="P128" s="42">
        <v>29767.382799999996</v>
      </c>
      <c r="Q128" s="34" t="s">
        <v>25</v>
      </c>
      <c r="R128" s="34" t="s">
        <v>26</v>
      </c>
      <c r="S128" s="11" t="s">
        <v>4105</v>
      </c>
    </row>
    <row r="129" spans="1:19" x14ac:dyDescent="0.2">
      <c r="A129" s="33">
        <v>43556</v>
      </c>
      <c r="B129" s="34">
        <v>124</v>
      </c>
      <c r="C129" s="35" t="s">
        <v>124</v>
      </c>
      <c r="D129" s="34" t="str">
        <f>VLOOKUP(C129,'SALE PARTY MASTER'!$B$4:$E$500,2,FALSE)</f>
        <v>27AAACB2484Q1Z8</v>
      </c>
      <c r="E129" s="34" t="s">
        <v>22</v>
      </c>
      <c r="F129" s="36" t="s">
        <v>181</v>
      </c>
      <c r="G129" s="37">
        <v>43579</v>
      </c>
      <c r="H129" s="38">
        <v>998898</v>
      </c>
      <c r="I129" s="39">
        <v>18</v>
      </c>
      <c r="J129" s="38">
        <v>510</v>
      </c>
      <c r="K129" s="40">
        <v>2728.5</v>
      </c>
      <c r="L129" s="41">
        <v>0</v>
      </c>
      <c r="M129" s="41">
        <v>245.565</v>
      </c>
      <c r="N129" s="41">
        <v>245.565</v>
      </c>
      <c r="O129" s="41">
        <v>0</v>
      </c>
      <c r="P129" s="42">
        <v>3219.6400000000003</v>
      </c>
      <c r="Q129" s="34" t="s">
        <v>25</v>
      </c>
      <c r="R129" s="34" t="s">
        <v>26</v>
      </c>
      <c r="S129" s="11" t="s">
        <v>4107</v>
      </c>
    </row>
    <row r="130" spans="1:19" x14ac:dyDescent="0.2">
      <c r="A130" s="33">
        <v>43556</v>
      </c>
      <c r="B130" s="34">
        <v>125</v>
      </c>
      <c r="C130" s="35" t="s">
        <v>20</v>
      </c>
      <c r="D130" s="34" t="str">
        <f>VLOOKUP(C130,'SALE PARTY MASTER'!$B$4:$E$500,2,FALSE)</f>
        <v>27AABCM2508F1ZU</v>
      </c>
      <c r="E130" s="34" t="s">
        <v>22</v>
      </c>
      <c r="F130" s="36" t="s">
        <v>182</v>
      </c>
      <c r="G130" s="37">
        <v>43579</v>
      </c>
      <c r="H130" s="38">
        <v>87081090</v>
      </c>
      <c r="I130" s="39">
        <v>28</v>
      </c>
      <c r="J130" s="38">
        <v>132</v>
      </c>
      <c r="K130" s="40">
        <v>10911.78</v>
      </c>
      <c r="L130" s="41">
        <v>0</v>
      </c>
      <c r="M130" s="41">
        <v>1527.6492000000001</v>
      </c>
      <c r="N130" s="41">
        <v>1527.6492000000001</v>
      </c>
      <c r="O130" s="41">
        <v>0</v>
      </c>
      <c r="P130" s="42">
        <v>13967.0784</v>
      </c>
      <c r="Q130" s="34" t="s">
        <v>25</v>
      </c>
      <c r="R130" s="34" t="s">
        <v>26</v>
      </c>
      <c r="S130" s="11" t="s">
        <v>4105</v>
      </c>
    </row>
    <row r="131" spans="1:19" x14ac:dyDescent="0.2">
      <c r="A131" s="33">
        <v>43556</v>
      </c>
      <c r="B131" s="34">
        <v>126</v>
      </c>
      <c r="C131" s="35" t="s">
        <v>20</v>
      </c>
      <c r="D131" s="34" t="str">
        <f>VLOOKUP(C131,'SALE PARTY MASTER'!$B$4:$E$500,2,FALSE)</f>
        <v>27AABCM2508F1ZU</v>
      </c>
      <c r="E131" s="34" t="s">
        <v>22</v>
      </c>
      <c r="F131" s="36" t="s">
        <v>183</v>
      </c>
      <c r="G131" s="37">
        <v>43579</v>
      </c>
      <c r="H131" s="38">
        <v>87141090</v>
      </c>
      <c r="I131" s="39">
        <v>28</v>
      </c>
      <c r="J131" s="38">
        <v>596</v>
      </c>
      <c r="K131" s="40">
        <v>29169</v>
      </c>
      <c r="L131" s="41">
        <v>0</v>
      </c>
      <c r="M131" s="41">
        <v>4083.66</v>
      </c>
      <c r="N131" s="41">
        <v>4083.66</v>
      </c>
      <c r="O131" s="41">
        <v>0</v>
      </c>
      <c r="P131" s="42">
        <v>37336.320000000007</v>
      </c>
      <c r="Q131" s="34" t="s">
        <v>25</v>
      </c>
      <c r="R131" s="34" t="s">
        <v>26</v>
      </c>
      <c r="S131" s="11" t="s">
        <v>4105</v>
      </c>
    </row>
    <row r="132" spans="1:19" x14ac:dyDescent="0.2">
      <c r="A132" s="33">
        <v>43556</v>
      </c>
      <c r="B132" s="34">
        <v>127</v>
      </c>
      <c r="C132" s="35" t="s">
        <v>20</v>
      </c>
      <c r="D132" s="34" t="str">
        <f>VLOOKUP(C132,'SALE PARTY MASTER'!$B$4:$E$500,2,FALSE)</f>
        <v>27AABCM2508F1ZU</v>
      </c>
      <c r="E132" s="34" t="s">
        <v>22</v>
      </c>
      <c r="F132" s="36" t="s">
        <v>184</v>
      </c>
      <c r="G132" s="37">
        <v>43579</v>
      </c>
      <c r="H132" s="38">
        <v>87141090</v>
      </c>
      <c r="I132" s="39">
        <v>28</v>
      </c>
      <c r="J132" s="38">
        <v>64</v>
      </c>
      <c r="K132" s="40">
        <v>5322.88</v>
      </c>
      <c r="L132" s="41">
        <v>0</v>
      </c>
      <c r="M132" s="41">
        <v>745.20320000000004</v>
      </c>
      <c r="N132" s="41">
        <v>745.20320000000004</v>
      </c>
      <c r="O132" s="41">
        <v>0</v>
      </c>
      <c r="P132" s="42">
        <v>6813.2864</v>
      </c>
      <c r="Q132" s="34" t="s">
        <v>25</v>
      </c>
      <c r="R132" s="34" t="s">
        <v>26</v>
      </c>
      <c r="S132" s="11" t="s">
        <v>4105</v>
      </c>
    </row>
    <row r="133" spans="1:19" x14ac:dyDescent="0.2">
      <c r="A133" s="33">
        <v>43556</v>
      </c>
      <c r="B133" s="34">
        <v>128</v>
      </c>
      <c r="C133" s="35" t="s">
        <v>124</v>
      </c>
      <c r="D133" s="34" t="str">
        <f>VLOOKUP(C133,'SALE PARTY MASTER'!$B$4:$E$500,2,FALSE)</f>
        <v>27AAACB2484Q1Z8</v>
      </c>
      <c r="E133" s="34" t="s">
        <v>22</v>
      </c>
      <c r="F133" s="36" t="s">
        <v>185</v>
      </c>
      <c r="G133" s="37">
        <v>43580</v>
      </c>
      <c r="H133" s="38">
        <v>998898</v>
      </c>
      <c r="I133" s="39">
        <v>18</v>
      </c>
      <c r="J133" s="38">
        <v>450</v>
      </c>
      <c r="K133" s="40">
        <v>2407.5</v>
      </c>
      <c r="L133" s="41">
        <v>0</v>
      </c>
      <c r="M133" s="41">
        <v>216.67499999999998</v>
      </c>
      <c r="N133" s="41">
        <v>216.67499999999998</v>
      </c>
      <c r="O133" s="41">
        <v>0</v>
      </c>
      <c r="P133" s="42">
        <v>2840.8600000000006</v>
      </c>
      <c r="Q133" s="34" t="s">
        <v>25</v>
      </c>
      <c r="R133" s="34" t="s">
        <v>26</v>
      </c>
      <c r="S133" s="11" t="s">
        <v>4107</v>
      </c>
    </row>
    <row r="134" spans="1:19" x14ac:dyDescent="0.2">
      <c r="A134" s="33">
        <v>43556</v>
      </c>
      <c r="B134" s="34">
        <v>129</v>
      </c>
      <c r="C134" s="35" t="s">
        <v>124</v>
      </c>
      <c r="D134" s="34" t="str">
        <f>VLOOKUP(C134,'SALE PARTY MASTER'!$B$4:$E$500,2,FALSE)</f>
        <v>27AAACB2484Q1Z8</v>
      </c>
      <c r="E134" s="34" t="s">
        <v>22</v>
      </c>
      <c r="F134" s="36" t="s">
        <v>186</v>
      </c>
      <c r="G134" s="37">
        <v>43580</v>
      </c>
      <c r="H134" s="38">
        <v>998898</v>
      </c>
      <c r="I134" s="39">
        <v>18</v>
      </c>
      <c r="J134" s="38">
        <v>150</v>
      </c>
      <c r="K134" s="40">
        <v>802.5</v>
      </c>
      <c r="L134" s="41">
        <v>0</v>
      </c>
      <c r="M134" s="41">
        <v>72.225000000000009</v>
      </c>
      <c r="N134" s="41">
        <v>72.225000000000009</v>
      </c>
      <c r="O134" s="41">
        <v>0</v>
      </c>
      <c r="P134" s="42">
        <v>946.96</v>
      </c>
      <c r="Q134" s="34" t="s">
        <v>25</v>
      </c>
      <c r="R134" s="34" t="s">
        <v>26</v>
      </c>
      <c r="S134" s="11" t="s">
        <v>4107</v>
      </c>
    </row>
    <row r="135" spans="1:19" x14ac:dyDescent="0.2">
      <c r="A135" s="33">
        <v>43556</v>
      </c>
      <c r="B135" s="34">
        <v>130</v>
      </c>
      <c r="C135" s="35" t="s">
        <v>124</v>
      </c>
      <c r="D135" s="34" t="str">
        <f>VLOOKUP(C135,'SALE PARTY MASTER'!$B$4:$E$500,2,FALSE)</f>
        <v>27AAACB2484Q1Z8</v>
      </c>
      <c r="E135" s="34" t="s">
        <v>22</v>
      </c>
      <c r="F135" s="36" t="s">
        <v>187</v>
      </c>
      <c r="G135" s="37">
        <v>43580</v>
      </c>
      <c r="H135" s="38">
        <v>998898</v>
      </c>
      <c r="I135" s="39">
        <v>18</v>
      </c>
      <c r="J135" s="38">
        <v>801</v>
      </c>
      <c r="K135" s="40">
        <v>4140.1000000000004</v>
      </c>
      <c r="L135" s="41">
        <v>0</v>
      </c>
      <c r="M135" s="41">
        <v>372.60900000000004</v>
      </c>
      <c r="N135" s="41">
        <v>372.60900000000004</v>
      </c>
      <c r="O135" s="41">
        <v>0</v>
      </c>
      <c r="P135" s="42">
        <v>4885.3180000000011</v>
      </c>
      <c r="Q135" s="34" t="s">
        <v>25</v>
      </c>
      <c r="R135" s="34" t="s">
        <v>26</v>
      </c>
      <c r="S135" s="11" t="s">
        <v>4107</v>
      </c>
    </row>
    <row r="136" spans="1:19" x14ac:dyDescent="0.2">
      <c r="A136" s="33">
        <v>43556</v>
      </c>
      <c r="B136" s="34">
        <v>131</v>
      </c>
      <c r="C136" s="35" t="s">
        <v>124</v>
      </c>
      <c r="D136" s="34" t="str">
        <f>VLOOKUP(C136,'SALE PARTY MASTER'!$B$4:$E$500,2,FALSE)</f>
        <v>27AAACB2484Q1Z8</v>
      </c>
      <c r="E136" s="34" t="s">
        <v>22</v>
      </c>
      <c r="F136" s="36" t="s">
        <v>188</v>
      </c>
      <c r="G136" s="37">
        <v>43580</v>
      </c>
      <c r="H136" s="38">
        <v>998898</v>
      </c>
      <c r="I136" s="39">
        <v>18</v>
      </c>
      <c r="J136" s="38">
        <v>0</v>
      </c>
      <c r="K136" s="40">
        <v>0</v>
      </c>
      <c r="L136" s="41">
        <v>0</v>
      </c>
      <c r="M136" s="41">
        <v>0</v>
      </c>
      <c r="N136" s="41">
        <v>0</v>
      </c>
      <c r="O136" s="41">
        <v>0</v>
      </c>
      <c r="P136" s="42">
        <v>0.01</v>
      </c>
      <c r="Q136" s="34" t="s">
        <v>25</v>
      </c>
      <c r="R136" s="34" t="s">
        <v>26</v>
      </c>
      <c r="S136" s="11" t="s">
        <v>4107</v>
      </c>
    </row>
    <row r="137" spans="1:19" x14ac:dyDescent="0.2">
      <c r="A137" s="33">
        <v>43556</v>
      </c>
      <c r="B137" s="34">
        <v>132</v>
      </c>
      <c r="C137" s="35" t="s">
        <v>40</v>
      </c>
      <c r="D137" s="34" t="str">
        <f>VLOOKUP(C137,'SALE PARTY MASTER'!$B$4:$E$500,2,FALSE)</f>
        <v>27AAACT1848E1ZH</v>
      </c>
      <c r="E137" s="34" t="s">
        <v>22</v>
      </c>
      <c r="F137" s="36" t="s">
        <v>189</v>
      </c>
      <c r="G137" s="37">
        <v>43581</v>
      </c>
      <c r="H137" s="38">
        <v>87089900</v>
      </c>
      <c r="I137" s="39">
        <v>28</v>
      </c>
      <c r="J137" s="38">
        <v>120</v>
      </c>
      <c r="K137" s="40">
        <v>86304</v>
      </c>
      <c r="L137" s="41">
        <v>0</v>
      </c>
      <c r="M137" s="41">
        <v>12082.56</v>
      </c>
      <c r="N137" s="41">
        <v>12082.56</v>
      </c>
      <c r="O137" s="41">
        <v>0</v>
      </c>
      <c r="P137" s="42">
        <v>110469.12</v>
      </c>
      <c r="Q137" s="34" t="s">
        <v>25</v>
      </c>
      <c r="R137" s="34" t="s">
        <v>26</v>
      </c>
      <c r="S137" s="11" t="s">
        <v>4105</v>
      </c>
    </row>
    <row r="138" spans="1:19" x14ac:dyDescent="0.2">
      <c r="A138" s="33">
        <v>43556</v>
      </c>
      <c r="B138" s="34">
        <v>133</v>
      </c>
      <c r="C138" s="35" t="s">
        <v>28</v>
      </c>
      <c r="D138" s="34" t="str">
        <f>VLOOKUP(C138,'SALE PARTY MASTER'!$B$4:$E$500,2,FALSE)</f>
        <v>27AAECM8871A1ZF</v>
      </c>
      <c r="E138" s="34" t="s">
        <v>22</v>
      </c>
      <c r="F138" s="36" t="s">
        <v>190</v>
      </c>
      <c r="G138" s="37">
        <v>43581</v>
      </c>
      <c r="H138" s="38">
        <v>87089900</v>
      </c>
      <c r="I138" s="39">
        <v>28</v>
      </c>
      <c r="J138" s="38">
        <v>12</v>
      </c>
      <c r="K138" s="40">
        <v>23255.759999999998</v>
      </c>
      <c r="L138" s="41">
        <v>0</v>
      </c>
      <c r="M138" s="41">
        <v>3255.8063999999995</v>
      </c>
      <c r="N138" s="41">
        <v>3255.8063999999995</v>
      </c>
      <c r="O138" s="41">
        <v>0</v>
      </c>
      <c r="P138" s="42">
        <v>29767.382799999996</v>
      </c>
      <c r="Q138" s="34" t="s">
        <v>25</v>
      </c>
      <c r="R138" s="34" t="s">
        <v>26</v>
      </c>
      <c r="S138" s="11" t="s">
        <v>4105</v>
      </c>
    </row>
    <row r="139" spans="1:19" x14ac:dyDescent="0.2">
      <c r="A139" s="33">
        <v>43556</v>
      </c>
      <c r="B139" s="34">
        <v>134</v>
      </c>
      <c r="C139" s="35" t="s">
        <v>28</v>
      </c>
      <c r="D139" s="34" t="str">
        <f>VLOOKUP(C139,'SALE PARTY MASTER'!$B$4:$E$500,2,FALSE)</f>
        <v>27AAECM8871A1ZF</v>
      </c>
      <c r="E139" s="34" t="s">
        <v>22</v>
      </c>
      <c r="F139" s="36" t="s">
        <v>191</v>
      </c>
      <c r="G139" s="37">
        <v>43581</v>
      </c>
      <c r="H139" s="38">
        <v>87089900</v>
      </c>
      <c r="I139" s="39">
        <v>28</v>
      </c>
      <c r="J139" s="38">
        <v>12</v>
      </c>
      <c r="K139" s="40">
        <v>23255.759999999998</v>
      </c>
      <c r="L139" s="41">
        <v>0</v>
      </c>
      <c r="M139" s="41">
        <v>3255.8063999999995</v>
      </c>
      <c r="N139" s="41">
        <v>3255.8063999999995</v>
      </c>
      <c r="O139" s="41">
        <v>0</v>
      </c>
      <c r="P139" s="42">
        <v>29767.382799999996</v>
      </c>
      <c r="Q139" s="34" t="s">
        <v>25</v>
      </c>
      <c r="R139" s="34" t="s">
        <v>26</v>
      </c>
      <c r="S139" s="11" t="s">
        <v>4105</v>
      </c>
    </row>
    <row r="140" spans="1:19" x14ac:dyDescent="0.2">
      <c r="A140" s="33">
        <v>43556</v>
      </c>
      <c r="B140" s="34">
        <v>135</v>
      </c>
      <c r="C140" s="35" t="s">
        <v>124</v>
      </c>
      <c r="D140" s="34" t="str">
        <f>VLOOKUP(C140,'SALE PARTY MASTER'!$B$4:$E$500,2,FALSE)</f>
        <v>27AAACB2484Q1Z8</v>
      </c>
      <c r="E140" s="34" t="s">
        <v>22</v>
      </c>
      <c r="F140" s="36" t="s">
        <v>192</v>
      </c>
      <c r="G140" s="37">
        <v>43581</v>
      </c>
      <c r="H140" s="38">
        <v>998898</v>
      </c>
      <c r="I140" s="39">
        <v>18</v>
      </c>
      <c r="J140" s="38">
        <v>450</v>
      </c>
      <c r="K140" s="40">
        <v>2407.5</v>
      </c>
      <c r="L140" s="41">
        <v>0</v>
      </c>
      <c r="M140" s="41">
        <v>216.67499999999998</v>
      </c>
      <c r="N140" s="41">
        <v>216.67499999999998</v>
      </c>
      <c r="O140" s="41">
        <v>0</v>
      </c>
      <c r="P140" s="42">
        <v>2840.8500000000004</v>
      </c>
      <c r="Q140" s="34" t="s">
        <v>25</v>
      </c>
      <c r="R140" s="34" t="s">
        <v>26</v>
      </c>
      <c r="S140" s="11" t="s">
        <v>4107</v>
      </c>
    </row>
    <row r="141" spans="1:19" x14ac:dyDescent="0.2">
      <c r="A141" s="33">
        <v>43556</v>
      </c>
      <c r="B141" s="34">
        <v>136</v>
      </c>
      <c r="C141" s="35" t="s">
        <v>124</v>
      </c>
      <c r="D141" s="34" t="str">
        <f>VLOOKUP(C141,'SALE PARTY MASTER'!$B$4:$E$500,2,FALSE)</f>
        <v>27AAACB2484Q1Z8</v>
      </c>
      <c r="E141" s="34" t="s">
        <v>22</v>
      </c>
      <c r="F141" s="36" t="s">
        <v>193</v>
      </c>
      <c r="G141" s="37">
        <v>43581</v>
      </c>
      <c r="H141" s="38">
        <v>998898</v>
      </c>
      <c r="I141" s="39">
        <v>18</v>
      </c>
      <c r="J141" s="38">
        <v>820</v>
      </c>
      <c r="K141" s="40">
        <v>4275</v>
      </c>
      <c r="L141" s="41">
        <v>0</v>
      </c>
      <c r="M141" s="41">
        <v>384.75</v>
      </c>
      <c r="N141" s="41">
        <v>384.75</v>
      </c>
      <c r="O141" s="41">
        <v>0</v>
      </c>
      <c r="P141" s="42">
        <v>5044.5</v>
      </c>
      <c r="Q141" s="34" t="s">
        <v>25</v>
      </c>
      <c r="R141" s="34" t="s">
        <v>26</v>
      </c>
      <c r="S141" s="11" t="s">
        <v>4107</v>
      </c>
    </row>
    <row r="142" spans="1:19" x14ac:dyDescent="0.2">
      <c r="A142" s="33">
        <v>43556</v>
      </c>
      <c r="B142" s="34">
        <v>137</v>
      </c>
      <c r="C142" s="35" t="s">
        <v>20</v>
      </c>
      <c r="D142" s="34" t="str">
        <f>VLOOKUP(C142,'SALE PARTY MASTER'!$B$4:$E$500,2,FALSE)</f>
        <v>27AABCM2508F1ZU</v>
      </c>
      <c r="E142" s="34" t="s">
        <v>22</v>
      </c>
      <c r="F142" s="36" t="s">
        <v>194</v>
      </c>
      <c r="G142" s="37">
        <v>43581</v>
      </c>
      <c r="H142" s="38">
        <v>87081090</v>
      </c>
      <c r="I142" s="39">
        <v>28</v>
      </c>
      <c r="J142" s="38">
        <v>432</v>
      </c>
      <c r="K142" s="40">
        <v>35607.599999999999</v>
      </c>
      <c r="L142" s="41">
        <v>0</v>
      </c>
      <c r="M142" s="41">
        <v>4985.0639999999994</v>
      </c>
      <c r="N142" s="41">
        <v>4985.0639999999994</v>
      </c>
      <c r="O142" s="41">
        <v>0</v>
      </c>
      <c r="P142" s="42">
        <v>45577.717999999993</v>
      </c>
      <c r="Q142" s="34" t="s">
        <v>25</v>
      </c>
      <c r="R142" s="34" t="s">
        <v>26</v>
      </c>
      <c r="S142" s="11" t="s">
        <v>4105</v>
      </c>
    </row>
    <row r="143" spans="1:19" x14ac:dyDescent="0.2">
      <c r="A143" s="33">
        <v>43556</v>
      </c>
      <c r="B143" s="34">
        <v>138</v>
      </c>
      <c r="C143" s="35" t="s">
        <v>20</v>
      </c>
      <c r="D143" s="34" t="str">
        <f>VLOOKUP(C143,'SALE PARTY MASTER'!$B$4:$E$500,2,FALSE)</f>
        <v>27AABCM2508F1ZU</v>
      </c>
      <c r="E143" s="34" t="s">
        <v>22</v>
      </c>
      <c r="F143" s="36" t="s">
        <v>195</v>
      </c>
      <c r="G143" s="37">
        <v>43581</v>
      </c>
      <c r="H143" s="38">
        <v>87141090</v>
      </c>
      <c r="I143" s="39">
        <v>28</v>
      </c>
      <c r="J143" s="38">
        <v>96</v>
      </c>
      <c r="K143" s="40">
        <v>7224</v>
      </c>
      <c r="L143" s="41">
        <v>0</v>
      </c>
      <c r="M143" s="41">
        <v>1011.3599999999999</v>
      </c>
      <c r="N143" s="41">
        <v>1011.3599999999999</v>
      </c>
      <c r="O143" s="41">
        <v>0</v>
      </c>
      <c r="P143" s="42">
        <v>9246.7200000000012</v>
      </c>
      <c r="Q143" s="34" t="s">
        <v>25</v>
      </c>
      <c r="R143" s="34" t="s">
        <v>26</v>
      </c>
      <c r="S143" s="11" t="s">
        <v>4105</v>
      </c>
    </row>
    <row r="144" spans="1:19" x14ac:dyDescent="0.2">
      <c r="A144" s="33">
        <v>43556</v>
      </c>
      <c r="B144" s="34">
        <v>139</v>
      </c>
      <c r="C144" s="35" t="s">
        <v>124</v>
      </c>
      <c r="D144" s="34" t="str">
        <f>VLOOKUP(C144,'SALE PARTY MASTER'!$B$4:$E$500,2,FALSE)</f>
        <v>27AAACB2484Q1Z8</v>
      </c>
      <c r="E144" s="34" t="s">
        <v>22</v>
      </c>
      <c r="F144" s="36" t="s">
        <v>196</v>
      </c>
      <c r="G144" s="37">
        <v>43581</v>
      </c>
      <c r="H144" s="38">
        <v>998898</v>
      </c>
      <c r="I144" s="39">
        <v>18</v>
      </c>
      <c r="J144" s="38">
        <v>500</v>
      </c>
      <c r="K144" s="40">
        <v>2675</v>
      </c>
      <c r="L144" s="41">
        <v>0</v>
      </c>
      <c r="M144" s="41">
        <v>240.75</v>
      </c>
      <c r="N144" s="41">
        <v>240.75</v>
      </c>
      <c r="O144" s="41">
        <v>0</v>
      </c>
      <c r="P144" s="42">
        <v>3156.5</v>
      </c>
      <c r="Q144" s="34" t="s">
        <v>25</v>
      </c>
      <c r="R144" s="34" t="s">
        <v>26</v>
      </c>
      <c r="S144" s="11" t="s">
        <v>4107</v>
      </c>
    </row>
    <row r="145" spans="1:19" x14ac:dyDescent="0.2">
      <c r="A145" s="33">
        <v>43556</v>
      </c>
      <c r="B145" s="34">
        <v>140</v>
      </c>
      <c r="C145" s="35" t="s">
        <v>124</v>
      </c>
      <c r="D145" s="34" t="str">
        <f>VLOOKUP(C145,'SALE PARTY MASTER'!$B$4:$E$500,2,FALSE)</f>
        <v>27AAACB2484Q1Z8</v>
      </c>
      <c r="E145" s="34" t="s">
        <v>22</v>
      </c>
      <c r="F145" s="36" t="s">
        <v>197</v>
      </c>
      <c r="G145" s="37">
        <v>43581</v>
      </c>
      <c r="H145" s="38">
        <v>998898</v>
      </c>
      <c r="I145" s="39">
        <v>18</v>
      </c>
      <c r="J145" s="38">
        <v>900</v>
      </c>
      <c r="K145" s="40">
        <v>5850</v>
      </c>
      <c r="L145" s="41">
        <v>0</v>
      </c>
      <c r="M145" s="41">
        <v>526.5</v>
      </c>
      <c r="N145" s="41">
        <v>526.5</v>
      </c>
      <c r="O145" s="41">
        <v>0</v>
      </c>
      <c r="P145" s="42">
        <v>6903</v>
      </c>
      <c r="Q145" s="34" t="s">
        <v>25</v>
      </c>
      <c r="R145" s="34" t="s">
        <v>26</v>
      </c>
      <c r="S145" s="11" t="s">
        <v>4107</v>
      </c>
    </row>
    <row r="146" spans="1:19" x14ac:dyDescent="0.2">
      <c r="A146" s="33">
        <v>43556</v>
      </c>
      <c r="B146" s="34">
        <v>141</v>
      </c>
      <c r="C146" s="35" t="s">
        <v>40</v>
      </c>
      <c r="D146" s="34" t="str">
        <f>VLOOKUP(C146,'SALE PARTY MASTER'!$B$4:$E$500,2,FALSE)</f>
        <v>27AAACT1848E1ZH</v>
      </c>
      <c r="E146" s="34" t="s">
        <v>22</v>
      </c>
      <c r="F146" s="36" t="s">
        <v>198</v>
      </c>
      <c r="G146" s="37">
        <v>43582</v>
      </c>
      <c r="H146" s="38">
        <v>87089900</v>
      </c>
      <c r="I146" s="39">
        <v>28</v>
      </c>
      <c r="J146" s="38">
        <v>72</v>
      </c>
      <c r="K146" s="40">
        <v>34450.559999999998</v>
      </c>
      <c r="L146" s="41">
        <v>0</v>
      </c>
      <c r="M146" s="41">
        <v>4823.0783999999994</v>
      </c>
      <c r="N146" s="41">
        <v>4823.0783999999994</v>
      </c>
      <c r="O146" s="41">
        <v>0</v>
      </c>
      <c r="P146" s="42">
        <v>44096.716799999995</v>
      </c>
      <c r="Q146" s="34" t="s">
        <v>25</v>
      </c>
      <c r="R146" s="34" t="s">
        <v>26</v>
      </c>
      <c r="S146" s="11" t="s">
        <v>4105</v>
      </c>
    </row>
    <row r="147" spans="1:19" x14ac:dyDescent="0.2">
      <c r="A147" s="33">
        <v>43556</v>
      </c>
      <c r="B147" s="34">
        <v>142</v>
      </c>
      <c r="C147" s="35" t="s">
        <v>28</v>
      </c>
      <c r="D147" s="34" t="str">
        <f>VLOOKUP(C147,'SALE PARTY MASTER'!$B$4:$E$500,2,FALSE)</f>
        <v>27AAECM8871A1ZF</v>
      </c>
      <c r="E147" s="34" t="s">
        <v>22</v>
      </c>
      <c r="F147" s="36" t="s">
        <v>199</v>
      </c>
      <c r="G147" s="37">
        <v>43582</v>
      </c>
      <c r="H147" s="38">
        <v>87089900</v>
      </c>
      <c r="I147" s="39">
        <v>28</v>
      </c>
      <c r="J147" s="38">
        <v>12</v>
      </c>
      <c r="K147" s="40">
        <v>23255.759999999998</v>
      </c>
      <c r="L147" s="41">
        <v>0</v>
      </c>
      <c r="M147" s="41">
        <v>3255.8063999999995</v>
      </c>
      <c r="N147" s="41">
        <v>3255.8063999999995</v>
      </c>
      <c r="O147" s="41">
        <v>0</v>
      </c>
      <c r="P147" s="42">
        <v>29767.382799999996</v>
      </c>
      <c r="Q147" s="34" t="s">
        <v>25</v>
      </c>
      <c r="R147" s="34" t="s">
        <v>26</v>
      </c>
      <c r="S147" s="11" t="s">
        <v>4105</v>
      </c>
    </row>
    <row r="148" spans="1:19" x14ac:dyDescent="0.2">
      <c r="A148" s="33">
        <v>43556</v>
      </c>
      <c r="B148" s="34">
        <v>143</v>
      </c>
      <c r="C148" s="35" t="s">
        <v>167</v>
      </c>
      <c r="D148" s="34" t="str">
        <f>VLOOKUP(C148,'SALE PARTY MASTER'!$B$4:$E$500,2,FALSE)</f>
        <v>27AABFP3834C1ZK</v>
      </c>
      <c r="E148" s="34" t="s">
        <v>22</v>
      </c>
      <c r="F148" s="36" t="s">
        <v>200</v>
      </c>
      <c r="G148" s="37">
        <v>43582</v>
      </c>
      <c r="H148" s="38">
        <v>87141900</v>
      </c>
      <c r="I148" s="39">
        <v>28</v>
      </c>
      <c r="J148" s="38">
        <v>920</v>
      </c>
      <c r="K148" s="40">
        <v>11472.4</v>
      </c>
      <c r="L148" s="41">
        <v>0</v>
      </c>
      <c r="M148" s="41">
        <v>1606.136</v>
      </c>
      <c r="N148" s="41">
        <v>1606.136</v>
      </c>
      <c r="O148" s="41">
        <v>0</v>
      </c>
      <c r="P148" s="42">
        <v>14684.682000000001</v>
      </c>
      <c r="Q148" s="34" t="s">
        <v>25</v>
      </c>
      <c r="R148" s="34" t="s">
        <v>26</v>
      </c>
      <c r="S148" s="11" t="s">
        <v>4105</v>
      </c>
    </row>
    <row r="149" spans="1:19" x14ac:dyDescent="0.2">
      <c r="A149" s="33">
        <v>43556</v>
      </c>
      <c r="B149" s="34">
        <v>144</v>
      </c>
      <c r="C149" s="35" t="s">
        <v>124</v>
      </c>
      <c r="D149" s="34" t="str">
        <f>VLOOKUP(C149,'SALE PARTY MASTER'!$B$4:$E$500,2,FALSE)</f>
        <v>27AAACB2484Q1Z8</v>
      </c>
      <c r="E149" s="34" t="s">
        <v>22</v>
      </c>
      <c r="F149" s="36" t="s">
        <v>201</v>
      </c>
      <c r="G149" s="37">
        <v>43582</v>
      </c>
      <c r="H149" s="38">
        <v>998898</v>
      </c>
      <c r="I149" s="39">
        <v>18</v>
      </c>
      <c r="J149" s="38">
        <v>1430</v>
      </c>
      <c r="K149" s="40">
        <v>5065</v>
      </c>
      <c r="L149" s="41">
        <v>0</v>
      </c>
      <c r="M149" s="41">
        <v>455.84999999999997</v>
      </c>
      <c r="N149" s="41">
        <v>455.84999999999997</v>
      </c>
      <c r="O149" s="41">
        <v>0</v>
      </c>
      <c r="P149" s="42">
        <v>5976.7000000000007</v>
      </c>
      <c r="Q149" s="34" t="s">
        <v>25</v>
      </c>
      <c r="R149" s="34" t="s">
        <v>26</v>
      </c>
      <c r="S149" s="11" t="s">
        <v>4107</v>
      </c>
    </row>
    <row r="150" spans="1:19" x14ac:dyDescent="0.2">
      <c r="A150" s="33">
        <v>43556</v>
      </c>
      <c r="B150" s="34">
        <v>145</v>
      </c>
      <c r="C150" s="35" t="s">
        <v>45</v>
      </c>
      <c r="D150" s="34" t="str">
        <f>VLOOKUP(C150,'SALE PARTY MASTER'!$B$4:$E$500,2,FALSE)</f>
        <v>27AAACD4090Q1Z8</v>
      </c>
      <c r="E150" s="34" t="s">
        <v>22</v>
      </c>
      <c r="F150" s="36" t="s">
        <v>202</v>
      </c>
      <c r="G150" s="37">
        <v>43582</v>
      </c>
      <c r="H150" s="38">
        <v>85129000</v>
      </c>
      <c r="I150" s="39">
        <v>18</v>
      </c>
      <c r="J150" s="38">
        <v>216</v>
      </c>
      <c r="K150" s="40">
        <v>26354.16</v>
      </c>
      <c r="L150" s="41">
        <v>0</v>
      </c>
      <c r="M150" s="41">
        <v>2371.8744000000002</v>
      </c>
      <c r="N150" s="41">
        <v>2371.8744000000002</v>
      </c>
      <c r="O150" s="41">
        <v>0</v>
      </c>
      <c r="P150" s="42">
        <v>31097.898800000003</v>
      </c>
      <c r="Q150" s="34" t="s">
        <v>25</v>
      </c>
      <c r="R150" s="34" t="s">
        <v>26</v>
      </c>
      <c r="S150" s="11" t="s">
        <v>4105</v>
      </c>
    </row>
    <row r="151" spans="1:19" x14ac:dyDescent="0.2">
      <c r="A151" s="33">
        <v>43556</v>
      </c>
      <c r="B151" s="34">
        <v>146</v>
      </c>
      <c r="C151" s="35" t="s">
        <v>28</v>
      </c>
      <c r="D151" s="34" t="str">
        <f>VLOOKUP(C151,'SALE PARTY MASTER'!$B$4:$E$500,2,FALSE)</f>
        <v>27AAECM8871A1ZF</v>
      </c>
      <c r="E151" s="34" t="s">
        <v>22</v>
      </c>
      <c r="F151" s="36" t="s">
        <v>203</v>
      </c>
      <c r="G151" s="37">
        <v>43583</v>
      </c>
      <c r="H151" s="38">
        <v>87089900</v>
      </c>
      <c r="I151" s="39">
        <v>28</v>
      </c>
      <c r="J151" s="38">
        <v>12</v>
      </c>
      <c r="K151" s="40">
        <v>23255.759999999998</v>
      </c>
      <c r="L151" s="41">
        <v>0</v>
      </c>
      <c r="M151" s="41">
        <v>3255.8063999999995</v>
      </c>
      <c r="N151" s="41">
        <v>3255.8063999999995</v>
      </c>
      <c r="O151" s="41">
        <v>0</v>
      </c>
      <c r="P151" s="42">
        <v>29767.382799999996</v>
      </c>
      <c r="Q151" s="34" t="s">
        <v>25</v>
      </c>
      <c r="R151" s="34" t="s">
        <v>26</v>
      </c>
      <c r="S151" s="11" t="s">
        <v>4105</v>
      </c>
    </row>
    <row r="152" spans="1:19" x14ac:dyDescent="0.2">
      <c r="A152" s="33">
        <v>43556</v>
      </c>
      <c r="B152" s="34">
        <v>147</v>
      </c>
      <c r="C152" s="35" t="s">
        <v>45</v>
      </c>
      <c r="D152" s="34" t="str">
        <f>VLOOKUP(C152,'SALE PARTY MASTER'!$B$4:$E$500,2,FALSE)</f>
        <v>27AAACD4090Q1Z8</v>
      </c>
      <c r="E152" s="34" t="s">
        <v>22</v>
      </c>
      <c r="F152" s="36" t="s">
        <v>204</v>
      </c>
      <c r="G152" s="37">
        <v>43583</v>
      </c>
      <c r="H152" s="38">
        <v>85129000</v>
      </c>
      <c r="I152" s="39">
        <v>18</v>
      </c>
      <c r="J152" s="38">
        <v>405</v>
      </c>
      <c r="K152" s="40">
        <v>49414.05</v>
      </c>
      <c r="L152" s="41">
        <v>0</v>
      </c>
      <c r="M152" s="41">
        <v>4447.2645000000002</v>
      </c>
      <c r="N152" s="41">
        <v>4447.2645000000002</v>
      </c>
      <c r="O152" s="41">
        <v>0</v>
      </c>
      <c r="P152" s="42">
        <v>58308.568999999996</v>
      </c>
      <c r="Q152" s="34" t="s">
        <v>25</v>
      </c>
      <c r="R152" s="34" t="s">
        <v>26</v>
      </c>
      <c r="S152" s="11" t="s">
        <v>4105</v>
      </c>
    </row>
    <row r="153" spans="1:19" x14ac:dyDescent="0.2">
      <c r="A153" s="33">
        <v>43556</v>
      </c>
      <c r="B153" s="34">
        <v>148</v>
      </c>
      <c r="C153" s="35" t="s">
        <v>124</v>
      </c>
      <c r="D153" s="34" t="str">
        <f>VLOOKUP(C153,'SALE PARTY MASTER'!$B$4:$E$500,2,FALSE)</f>
        <v>27AAACB2484Q1Z8</v>
      </c>
      <c r="E153" s="34" t="s">
        <v>22</v>
      </c>
      <c r="F153" s="36" t="s">
        <v>205</v>
      </c>
      <c r="G153" s="37">
        <v>43583</v>
      </c>
      <c r="H153" s="38">
        <v>998898</v>
      </c>
      <c r="I153" s="39">
        <v>18</v>
      </c>
      <c r="J153" s="38">
        <v>540</v>
      </c>
      <c r="K153" s="40">
        <v>3726</v>
      </c>
      <c r="L153" s="41">
        <v>0</v>
      </c>
      <c r="M153" s="41">
        <v>335.34</v>
      </c>
      <c r="N153" s="41">
        <v>335.34</v>
      </c>
      <c r="O153" s="41">
        <v>0</v>
      </c>
      <c r="P153" s="42">
        <v>4396.68</v>
      </c>
      <c r="Q153" s="34" t="s">
        <v>25</v>
      </c>
      <c r="R153" s="34" t="s">
        <v>26</v>
      </c>
      <c r="S153" s="11" t="s">
        <v>4107</v>
      </c>
    </row>
    <row r="154" spans="1:19" x14ac:dyDescent="0.2">
      <c r="A154" s="33">
        <v>43556</v>
      </c>
      <c r="B154" s="34">
        <v>149</v>
      </c>
      <c r="C154" s="35" t="s">
        <v>124</v>
      </c>
      <c r="D154" s="34" t="str">
        <f>VLOOKUP(C154,'SALE PARTY MASTER'!$B$4:$E$500,2,FALSE)</f>
        <v>27AAACB2484Q1Z8</v>
      </c>
      <c r="E154" s="34" t="s">
        <v>22</v>
      </c>
      <c r="F154" s="36" t="s">
        <v>206</v>
      </c>
      <c r="G154" s="37">
        <v>43583</v>
      </c>
      <c r="H154" s="38">
        <v>998898</v>
      </c>
      <c r="I154" s="39">
        <v>18</v>
      </c>
      <c r="J154" s="38">
        <v>632</v>
      </c>
      <c r="K154" s="40">
        <v>3230</v>
      </c>
      <c r="L154" s="41">
        <v>0</v>
      </c>
      <c r="M154" s="41">
        <v>290.7</v>
      </c>
      <c r="N154" s="41">
        <v>290.7</v>
      </c>
      <c r="O154" s="41">
        <v>0</v>
      </c>
      <c r="P154" s="42">
        <v>3811.3999999999996</v>
      </c>
      <c r="Q154" s="34" t="s">
        <v>25</v>
      </c>
      <c r="R154" s="34" t="s">
        <v>26</v>
      </c>
      <c r="S154" s="11" t="s">
        <v>4107</v>
      </c>
    </row>
    <row r="155" spans="1:19" x14ac:dyDescent="0.2">
      <c r="A155" s="33">
        <v>43556</v>
      </c>
      <c r="B155" s="34">
        <v>150</v>
      </c>
      <c r="C155" s="35" t="s">
        <v>124</v>
      </c>
      <c r="D155" s="34" t="str">
        <f>VLOOKUP(C155,'SALE PARTY MASTER'!$B$4:$E$500,2,FALSE)</f>
        <v>27AAACB2484Q1Z8</v>
      </c>
      <c r="E155" s="34" t="s">
        <v>22</v>
      </c>
      <c r="F155" s="36" t="s">
        <v>207</v>
      </c>
      <c r="G155" s="37">
        <v>43583</v>
      </c>
      <c r="H155" s="38">
        <v>998898</v>
      </c>
      <c r="I155" s="39">
        <v>18</v>
      </c>
      <c r="J155" s="38">
        <v>319</v>
      </c>
      <c r="K155" s="40">
        <v>1652.05</v>
      </c>
      <c r="L155" s="41">
        <v>0</v>
      </c>
      <c r="M155" s="41">
        <v>148.68449999999999</v>
      </c>
      <c r="N155" s="41">
        <v>148.68449999999999</v>
      </c>
      <c r="O155" s="41">
        <v>0</v>
      </c>
      <c r="P155" s="42">
        <v>1949.4190000000001</v>
      </c>
      <c r="Q155" s="34" t="s">
        <v>25</v>
      </c>
      <c r="R155" s="34" t="s">
        <v>26</v>
      </c>
      <c r="S155" s="11" t="s">
        <v>4107</v>
      </c>
    </row>
    <row r="156" spans="1:19" x14ac:dyDescent="0.2">
      <c r="A156" s="33">
        <v>43556</v>
      </c>
      <c r="B156" s="34">
        <v>151</v>
      </c>
      <c r="C156" s="35" t="s">
        <v>124</v>
      </c>
      <c r="D156" s="34" t="str">
        <f>VLOOKUP(C156,'SALE PARTY MASTER'!$B$4:$E$500,2,FALSE)</f>
        <v>27AAACB2484Q1Z8</v>
      </c>
      <c r="E156" s="34" t="s">
        <v>22</v>
      </c>
      <c r="F156" s="36" t="s">
        <v>208</v>
      </c>
      <c r="G156" s="37">
        <v>43583</v>
      </c>
      <c r="H156" s="38">
        <v>998898</v>
      </c>
      <c r="I156" s="39">
        <v>18</v>
      </c>
      <c r="J156" s="38">
        <v>540</v>
      </c>
      <c r="K156" s="40">
        <v>3510</v>
      </c>
      <c r="L156" s="41">
        <v>0</v>
      </c>
      <c r="M156" s="41">
        <v>315.90000000000003</v>
      </c>
      <c r="N156" s="41">
        <v>315.90000000000003</v>
      </c>
      <c r="O156" s="41">
        <v>0</v>
      </c>
      <c r="P156" s="42">
        <v>4141.8</v>
      </c>
      <c r="Q156" s="34" t="s">
        <v>25</v>
      </c>
      <c r="R156" s="34" t="s">
        <v>26</v>
      </c>
      <c r="S156" s="11" t="s">
        <v>4107</v>
      </c>
    </row>
    <row r="157" spans="1:19" x14ac:dyDescent="0.2">
      <c r="A157" s="33">
        <v>43556</v>
      </c>
      <c r="B157" s="34">
        <v>152</v>
      </c>
      <c r="C157" s="35" t="s">
        <v>124</v>
      </c>
      <c r="D157" s="34" t="str">
        <f>VLOOKUP(C157,'SALE PARTY MASTER'!$B$4:$E$500,2,FALSE)</f>
        <v>27AAACB2484Q1Z8</v>
      </c>
      <c r="E157" s="34" t="s">
        <v>22</v>
      </c>
      <c r="F157" s="36" t="s">
        <v>209</v>
      </c>
      <c r="G157" s="37">
        <v>43583</v>
      </c>
      <c r="H157" s="38">
        <v>998898</v>
      </c>
      <c r="I157" s="39">
        <v>18</v>
      </c>
      <c r="J157" s="38">
        <v>300</v>
      </c>
      <c r="K157" s="40">
        <v>2070</v>
      </c>
      <c r="L157" s="41">
        <v>0</v>
      </c>
      <c r="M157" s="41">
        <v>186.29999999999998</v>
      </c>
      <c r="N157" s="41">
        <v>186.29999999999998</v>
      </c>
      <c r="O157" s="41">
        <v>0</v>
      </c>
      <c r="P157" s="42">
        <v>2442.6000000000004</v>
      </c>
      <c r="Q157" s="34" t="s">
        <v>25</v>
      </c>
      <c r="R157" s="34" t="s">
        <v>26</v>
      </c>
      <c r="S157" s="11" t="s">
        <v>4107</v>
      </c>
    </row>
    <row r="158" spans="1:19" x14ac:dyDescent="0.2">
      <c r="A158" s="33">
        <v>43556</v>
      </c>
      <c r="B158" s="34">
        <v>153</v>
      </c>
      <c r="C158" s="35" t="s">
        <v>155</v>
      </c>
      <c r="D158" s="34" t="str">
        <f>VLOOKUP(C158,'SALE PARTY MASTER'!$B$4:$E$500,2,FALSE)</f>
        <v>27AAGCP0139E1ZP</v>
      </c>
      <c r="E158" s="34" t="s">
        <v>22</v>
      </c>
      <c r="F158" s="36" t="s">
        <v>210</v>
      </c>
      <c r="G158" s="37">
        <v>43584</v>
      </c>
      <c r="H158" s="38">
        <v>87141090</v>
      </c>
      <c r="I158" s="39">
        <v>28</v>
      </c>
      <c r="J158" s="38">
        <v>800</v>
      </c>
      <c r="K158" s="40">
        <v>60296</v>
      </c>
      <c r="L158" s="41">
        <v>0</v>
      </c>
      <c r="M158" s="41">
        <v>8441.44</v>
      </c>
      <c r="N158" s="41">
        <v>8441.44</v>
      </c>
      <c r="O158" s="41">
        <v>0</v>
      </c>
      <c r="P158" s="42">
        <v>77178.880000000005</v>
      </c>
      <c r="Q158" s="34" t="s">
        <v>25</v>
      </c>
      <c r="R158" s="34" t="s">
        <v>26</v>
      </c>
      <c r="S158" s="11" t="s">
        <v>4105</v>
      </c>
    </row>
    <row r="159" spans="1:19" x14ac:dyDescent="0.2">
      <c r="A159" s="33">
        <v>43556</v>
      </c>
      <c r="B159" s="34">
        <v>154</v>
      </c>
      <c r="C159" s="35" t="s">
        <v>45</v>
      </c>
      <c r="D159" s="34" t="str">
        <f>VLOOKUP(C159,'SALE PARTY MASTER'!$B$4:$E$500,2,FALSE)</f>
        <v>27AAACD4090Q1Z8</v>
      </c>
      <c r="E159" s="34" t="s">
        <v>22</v>
      </c>
      <c r="F159" s="36" t="s">
        <v>211</v>
      </c>
      <c r="G159" s="37">
        <v>43584</v>
      </c>
      <c r="H159" s="38">
        <v>85129000</v>
      </c>
      <c r="I159" s="39">
        <v>18</v>
      </c>
      <c r="J159" s="38">
        <v>270</v>
      </c>
      <c r="K159" s="40">
        <v>32942.699999999997</v>
      </c>
      <c r="L159" s="41">
        <v>0</v>
      </c>
      <c r="M159" s="41">
        <v>2964.8429999999998</v>
      </c>
      <c r="N159" s="41">
        <v>2964.8429999999998</v>
      </c>
      <c r="O159" s="41">
        <v>0</v>
      </c>
      <c r="P159" s="42">
        <v>38872.375999999997</v>
      </c>
      <c r="Q159" s="34" t="s">
        <v>25</v>
      </c>
      <c r="R159" s="34" t="s">
        <v>26</v>
      </c>
      <c r="S159" s="11" t="s">
        <v>4105</v>
      </c>
    </row>
    <row r="160" spans="1:19" x14ac:dyDescent="0.2">
      <c r="A160" s="33">
        <v>43556</v>
      </c>
      <c r="B160" s="34">
        <v>155</v>
      </c>
      <c r="C160" s="35" t="s">
        <v>70</v>
      </c>
      <c r="D160" s="34" t="str">
        <f>VLOOKUP(C160,'SALE PARTY MASTER'!$B$4:$E$500,2,FALSE)</f>
        <v>27AACCA4196J1ZG</v>
      </c>
      <c r="E160" s="34" t="s">
        <v>22</v>
      </c>
      <c r="F160" s="36" t="s">
        <v>212</v>
      </c>
      <c r="G160" s="37">
        <v>43585</v>
      </c>
      <c r="H160" s="38">
        <v>998898</v>
      </c>
      <c r="I160" s="39">
        <v>18</v>
      </c>
      <c r="J160" s="38">
        <v>400</v>
      </c>
      <c r="K160" s="40">
        <v>3288</v>
      </c>
      <c r="L160" s="41">
        <v>0</v>
      </c>
      <c r="M160" s="41">
        <v>295.92</v>
      </c>
      <c r="N160" s="41">
        <v>295.92</v>
      </c>
      <c r="O160" s="41">
        <v>0</v>
      </c>
      <c r="P160" s="42">
        <v>3879.84</v>
      </c>
      <c r="Q160" s="34" t="s">
        <v>25</v>
      </c>
      <c r="R160" s="34" t="s">
        <v>26</v>
      </c>
      <c r="S160" s="11" t="s">
        <v>4107</v>
      </c>
    </row>
    <row r="161" spans="1:19" x14ac:dyDescent="0.2">
      <c r="A161" s="33">
        <v>43556</v>
      </c>
      <c r="B161" s="34">
        <v>156</v>
      </c>
      <c r="C161" s="35" t="s">
        <v>28</v>
      </c>
      <c r="D161" s="34" t="str">
        <f>VLOOKUP(C161,'SALE PARTY MASTER'!$B$4:$E$500,2,FALSE)</f>
        <v>27AAECM8871A1ZF</v>
      </c>
      <c r="E161" s="34" t="s">
        <v>22</v>
      </c>
      <c r="F161" s="36" t="s">
        <v>213</v>
      </c>
      <c r="G161" s="37">
        <v>43585</v>
      </c>
      <c r="H161" s="38">
        <v>87089900</v>
      </c>
      <c r="I161" s="39">
        <v>28</v>
      </c>
      <c r="J161" s="38">
        <v>12</v>
      </c>
      <c r="K161" s="40">
        <v>23255.759999999998</v>
      </c>
      <c r="L161" s="41">
        <v>0</v>
      </c>
      <c r="M161" s="41">
        <v>3255.8063999999995</v>
      </c>
      <c r="N161" s="41">
        <v>3255.8063999999995</v>
      </c>
      <c r="O161" s="41">
        <v>0</v>
      </c>
      <c r="P161" s="42">
        <v>29767.382799999996</v>
      </c>
      <c r="Q161" s="34" t="s">
        <v>25</v>
      </c>
      <c r="R161" s="34" t="s">
        <v>26</v>
      </c>
      <c r="S161" s="11" t="s">
        <v>4105</v>
      </c>
    </row>
    <row r="162" spans="1:19" x14ac:dyDescent="0.2">
      <c r="A162" s="33">
        <v>43556</v>
      </c>
      <c r="B162" s="34">
        <v>157</v>
      </c>
      <c r="C162" s="35" t="s">
        <v>155</v>
      </c>
      <c r="D162" s="34" t="str">
        <f>VLOOKUP(C162,'SALE PARTY MASTER'!$B$4:$E$500,2,FALSE)</f>
        <v>27AAGCP0139E1ZP</v>
      </c>
      <c r="E162" s="34" t="s">
        <v>22</v>
      </c>
      <c r="F162" s="36" t="s">
        <v>214</v>
      </c>
      <c r="G162" s="37">
        <v>43585</v>
      </c>
      <c r="H162" s="38">
        <v>87141090</v>
      </c>
      <c r="I162" s="39">
        <v>28</v>
      </c>
      <c r="J162" s="38">
        <v>280</v>
      </c>
      <c r="K162" s="40">
        <v>21103.599999999999</v>
      </c>
      <c r="L162" s="41">
        <v>0</v>
      </c>
      <c r="M162" s="41">
        <v>2954.5039999999995</v>
      </c>
      <c r="N162" s="41">
        <v>2954.5039999999995</v>
      </c>
      <c r="O162" s="41">
        <v>0</v>
      </c>
      <c r="P162" s="42">
        <v>27012.598000000002</v>
      </c>
      <c r="Q162" s="34" t="s">
        <v>25</v>
      </c>
      <c r="R162" s="34" t="s">
        <v>26</v>
      </c>
      <c r="S162" s="11" t="s">
        <v>4105</v>
      </c>
    </row>
    <row r="163" spans="1:19" x14ac:dyDescent="0.2">
      <c r="A163" s="33">
        <v>43556</v>
      </c>
      <c r="B163" s="34">
        <v>158</v>
      </c>
      <c r="C163" s="35" t="s">
        <v>28</v>
      </c>
      <c r="D163" s="34" t="str">
        <f>VLOOKUP(C163,'SALE PARTY MASTER'!$B$4:$E$500,2,FALSE)</f>
        <v>27AAECM8871A1ZF</v>
      </c>
      <c r="E163" s="34" t="s">
        <v>22</v>
      </c>
      <c r="F163" s="36" t="s">
        <v>215</v>
      </c>
      <c r="G163" s="37">
        <v>43585</v>
      </c>
      <c r="H163" s="38">
        <v>87089900</v>
      </c>
      <c r="I163" s="39">
        <v>28</v>
      </c>
      <c r="J163" s="38">
        <v>12</v>
      </c>
      <c r="K163" s="40">
        <v>23255.759999999998</v>
      </c>
      <c r="L163" s="41">
        <v>0</v>
      </c>
      <c r="M163" s="41">
        <v>3255.8063999999995</v>
      </c>
      <c r="N163" s="41">
        <v>3255.8063999999995</v>
      </c>
      <c r="O163" s="41">
        <v>0</v>
      </c>
      <c r="P163" s="42">
        <v>29767.382799999996</v>
      </c>
      <c r="Q163" s="34" t="s">
        <v>25</v>
      </c>
      <c r="R163" s="34" t="s">
        <v>26</v>
      </c>
      <c r="S163" s="11" t="s">
        <v>4105</v>
      </c>
    </row>
    <row r="164" spans="1:19" x14ac:dyDescent="0.2">
      <c r="A164" s="33">
        <v>43556</v>
      </c>
      <c r="B164" s="34">
        <v>159</v>
      </c>
      <c r="C164" s="35" t="s">
        <v>28</v>
      </c>
      <c r="D164" s="34" t="str">
        <f>VLOOKUP(C164,'SALE PARTY MASTER'!$B$4:$E$500,2,FALSE)</f>
        <v>27AAECM8871A1ZF</v>
      </c>
      <c r="E164" s="34" t="s">
        <v>22</v>
      </c>
      <c r="F164" s="36" t="s">
        <v>216</v>
      </c>
      <c r="G164" s="37">
        <v>43585</v>
      </c>
      <c r="H164" s="38">
        <v>87089900</v>
      </c>
      <c r="I164" s="39">
        <v>28</v>
      </c>
      <c r="J164" s="38">
        <v>12</v>
      </c>
      <c r="K164" s="40">
        <v>23255.759999999998</v>
      </c>
      <c r="L164" s="41">
        <v>0</v>
      </c>
      <c r="M164" s="41">
        <v>3255.8063999999995</v>
      </c>
      <c r="N164" s="41">
        <v>3255.8063999999995</v>
      </c>
      <c r="O164" s="41">
        <v>0</v>
      </c>
      <c r="P164" s="42">
        <v>29767.382799999996</v>
      </c>
      <c r="Q164" s="34" t="s">
        <v>25</v>
      </c>
      <c r="R164" s="34" t="s">
        <v>26</v>
      </c>
      <c r="S164" s="11" t="s">
        <v>4105</v>
      </c>
    </row>
    <row r="165" spans="1:19" x14ac:dyDescent="0.2">
      <c r="A165" s="33">
        <v>43556</v>
      </c>
      <c r="B165" s="34">
        <v>160</v>
      </c>
      <c r="C165" s="35" t="s">
        <v>124</v>
      </c>
      <c r="D165" s="34" t="str">
        <f>VLOOKUP(C165,'SALE PARTY MASTER'!$B$4:$E$500,2,FALSE)</f>
        <v>27AAACB2484Q1Z8</v>
      </c>
      <c r="E165" s="34" t="s">
        <v>22</v>
      </c>
      <c r="F165" s="36" t="s">
        <v>217</v>
      </c>
      <c r="G165" s="37">
        <v>43585</v>
      </c>
      <c r="H165" s="38">
        <v>998898</v>
      </c>
      <c r="I165" s="39">
        <v>18</v>
      </c>
      <c r="J165" s="38">
        <v>1380</v>
      </c>
      <c r="K165" s="40">
        <v>8970</v>
      </c>
      <c r="L165" s="41">
        <v>0</v>
      </c>
      <c r="M165" s="41">
        <v>807.30000000000007</v>
      </c>
      <c r="N165" s="41">
        <v>807.30000000000007</v>
      </c>
      <c r="O165" s="41">
        <v>0</v>
      </c>
      <c r="P165" s="42">
        <v>10584.599999999999</v>
      </c>
      <c r="Q165" s="34" t="s">
        <v>25</v>
      </c>
      <c r="R165" s="34" t="s">
        <v>26</v>
      </c>
      <c r="S165" s="11" t="s">
        <v>4107</v>
      </c>
    </row>
    <row r="166" spans="1:19" x14ac:dyDescent="0.2">
      <c r="A166" s="33">
        <v>43556</v>
      </c>
      <c r="B166" s="34">
        <v>161</v>
      </c>
      <c r="C166" s="35" t="s">
        <v>124</v>
      </c>
      <c r="D166" s="34" t="str">
        <f>VLOOKUP(C166,'SALE PARTY MASTER'!$B$4:$E$500,2,FALSE)</f>
        <v>27AAACB2484Q1Z8</v>
      </c>
      <c r="E166" s="34" t="s">
        <v>22</v>
      </c>
      <c r="F166" s="36" t="s">
        <v>218</v>
      </c>
      <c r="G166" s="37">
        <v>43585</v>
      </c>
      <c r="H166" s="38">
        <v>998898</v>
      </c>
      <c r="I166" s="39">
        <v>18</v>
      </c>
      <c r="J166" s="38">
        <v>1380</v>
      </c>
      <c r="K166" s="40">
        <v>5820</v>
      </c>
      <c r="L166" s="41">
        <v>0</v>
      </c>
      <c r="M166" s="41">
        <v>523.80000000000007</v>
      </c>
      <c r="N166" s="41">
        <v>523.80000000000007</v>
      </c>
      <c r="O166" s="41">
        <v>0</v>
      </c>
      <c r="P166" s="42">
        <v>6867.6</v>
      </c>
      <c r="Q166" s="34" t="s">
        <v>25</v>
      </c>
      <c r="R166" s="34" t="s">
        <v>26</v>
      </c>
      <c r="S166" s="11" t="s">
        <v>4107</v>
      </c>
    </row>
    <row r="167" spans="1:19" x14ac:dyDescent="0.2">
      <c r="A167" s="33">
        <v>43556</v>
      </c>
      <c r="B167" s="34">
        <v>162</v>
      </c>
      <c r="C167" s="35" t="s">
        <v>45</v>
      </c>
      <c r="D167" s="34" t="str">
        <f>VLOOKUP(C167,'SALE PARTY MASTER'!$B$4:$E$500,2,FALSE)</f>
        <v>27AAACD4090Q1Z8</v>
      </c>
      <c r="E167" s="34" t="s">
        <v>22</v>
      </c>
      <c r="F167" s="36" t="s">
        <v>219</v>
      </c>
      <c r="G167" s="37">
        <v>43585</v>
      </c>
      <c r="H167" s="38">
        <v>85129000</v>
      </c>
      <c r="I167" s="39">
        <v>18</v>
      </c>
      <c r="J167" s="38">
        <v>540</v>
      </c>
      <c r="K167" s="40">
        <v>65885.399999999994</v>
      </c>
      <c r="L167" s="41">
        <v>0</v>
      </c>
      <c r="M167" s="41">
        <v>5929.6859999999997</v>
      </c>
      <c r="N167" s="41">
        <v>5929.6859999999997</v>
      </c>
      <c r="O167" s="41">
        <v>0</v>
      </c>
      <c r="P167" s="42">
        <v>77744.781999999992</v>
      </c>
      <c r="Q167" s="34" t="s">
        <v>25</v>
      </c>
      <c r="R167" s="34" t="s">
        <v>26</v>
      </c>
      <c r="S167" s="11" t="s">
        <v>4105</v>
      </c>
    </row>
    <row r="168" spans="1:19" x14ac:dyDescent="0.2">
      <c r="A168" s="33">
        <v>43556</v>
      </c>
      <c r="B168" s="34"/>
      <c r="C168" s="35" t="s">
        <v>102</v>
      </c>
      <c r="D168" s="34" t="str">
        <f>VLOOKUP(C168,'SALE PARTY MASTER'!$B$4:$E$500,2,FALSE)</f>
        <v>23AABCE9378F1ZK</v>
      </c>
      <c r="E168" s="34" t="s">
        <v>220</v>
      </c>
      <c r="F168" s="36" t="s">
        <v>221</v>
      </c>
      <c r="G168" s="37">
        <v>43580</v>
      </c>
      <c r="H168" s="38">
        <v>87081090</v>
      </c>
      <c r="I168" s="39">
        <v>28</v>
      </c>
      <c r="J168" s="38"/>
      <c r="K168" s="40">
        <v>-2030.87</v>
      </c>
      <c r="L168" s="41">
        <v>-568.64359999999999</v>
      </c>
      <c r="M168" s="41">
        <v>0</v>
      </c>
      <c r="N168" s="41">
        <v>0</v>
      </c>
      <c r="O168" s="41">
        <v>0</v>
      </c>
      <c r="P168" s="42">
        <v>-2599.5135999999998</v>
      </c>
      <c r="Q168" s="34" t="s">
        <v>334</v>
      </c>
      <c r="R168" s="34" t="s">
        <v>106</v>
      </c>
      <c r="S168" s="11" t="s">
        <v>4114</v>
      </c>
    </row>
    <row r="169" spans="1:19" x14ac:dyDescent="0.2">
      <c r="A169" s="33">
        <v>43556</v>
      </c>
      <c r="B169" s="34"/>
      <c r="C169" s="35" t="s">
        <v>102</v>
      </c>
      <c r="D169" s="34" t="str">
        <f>VLOOKUP(C169,'SALE PARTY MASTER'!$B$4:$E$500,2,FALSE)</f>
        <v>23AABCE9378F1ZK</v>
      </c>
      <c r="E169" s="34" t="s">
        <v>220</v>
      </c>
      <c r="F169" s="36" t="s">
        <v>222</v>
      </c>
      <c r="G169" s="37">
        <v>43566</v>
      </c>
      <c r="H169" s="38">
        <v>87081090</v>
      </c>
      <c r="I169" s="39">
        <v>28</v>
      </c>
      <c r="J169" s="38"/>
      <c r="K169" s="40">
        <v>-2030.87</v>
      </c>
      <c r="L169" s="41">
        <v>-568.64359999999999</v>
      </c>
      <c r="M169" s="41">
        <v>0</v>
      </c>
      <c r="N169" s="41">
        <v>0</v>
      </c>
      <c r="O169" s="41">
        <v>0</v>
      </c>
      <c r="P169" s="42">
        <v>-2599.5135999999998</v>
      </c>
      <c r="Q169" s="34" t="s">
        <v>334</v>
      </c>
      <c r="R169" s="34" t="s">
        <v>106</v>
      </c>
      <c r="S169" s="11" t="s">
        <v>4114</v>
      </c>
    </row>
    <row r="170" spans="1:19" x14ac:dyDescent="0.2">
      <c r="A170" s="33">
        <v>43556</v>
      </c>
      <c r="B170" s="34"/>
      <c r="C170" s="35" t="s">
        <v>102</v>
      </c>
      <c r="D170" s="34" t="str">
        <f>VLOOKUP(C170,'SALE PARTY MASTER'!$B$4:$E$500,2,FALSE)</f>
        <v>23AABCE9378F1ZK</v>
      </c>
      <c r="E170" s="34" t="s">
        <v>220</v>
      </c>
      <c r="F170" s="36" t="s">
        <v>223</v>
      </c>
      <c r="G170" s="37">
        <v>43579</v>
      </c>
      <c r="H170" s="38">
        <v>87081090</v>
      </c>
      <c r="I170" s="39">
        <v>28</v>
      </c>
      <c r="J170" s="38"/>
      <c r="K170" s="40">
        <v>-2030.87</v>
      </c>
      <c r="L170" s="41">
        <v>-568.64359999999999</v>
      </c>
      <c r="M170" s="41">
        <v>0</v>
      </c>
      <c r="N170" s="41">
        <v>0</v>
      </c>
      <c r="O170" s="41">
        <v>0</v>
      </c>
      <c r="P170" s="42">
        <v>-2599.5135999999998</v>
      </c>
      <c r="Q170" s="34" t="s">
        <v>334</v>
      </c>
      <c r="R170" s="34" t="s">
        <v>106</v>
      </c>
      <c r="S170" s="11" t="s">
        <v>4114</v>
      </c>
    </row>
    <row r="171" spans="1:19" x14ac:dyDescent="0.2">
      <c r="A171" s="33"/>
      <c r="B171" s="34"/>
      <c r="C171" s="34"/>
      <c r="D171" s="34" t="e">
        <f>VLOOKUP(C171,'SALE PARTY MASTER'!$B$4:$E$500,2,FALSE)</f>
        <v>#N/A</v>
      </c>
      <c r="E171" s="34"/>
      <c r="F171" s="34"/>
      <c r="G171" s="44"/>
      <c r="H171" s="34"/>
      <c r="I171" s="34"/>
      <c r="J171" s="38"/>
      <c r="K171" s="40"/>
      <c r="L171" s="41"/>
      <c r="M171" s="41"/>
      <c r="N171" s="41"/>
      <c r="O171" s="41"/>
      <c r="P171" s="42"/>
      <c r="Q171" s="34" t="s">
        <v>25</v>
      </c>
      <c r="R171" s="34"/>
      <c r="S171" s="11" t="s">
        <v>4105</v>
      </c>
    </row>
    <row r="172" spans="1:19" x14ac:dyDescent="0.2">
      <c r="A172" s="33"/>
      <c r="B172" s="34"/>
      <c r="C172" s="34"/>
      <c r="D172" s="34" t="e">
        <f>VLOOKUP(C172,'SALE PARTY MASTER'!$B$4:$E$500,2,FALSE)</f>
        <v>#N/A</v>
      </c>
      <c r="E172" s="34"/>
      <c r="F172" s="34"/>
      <c r="G172" s="44"/>
      <c r="H172" s="34"/>
      <c r="I172" s="34"/>
      <c r="J172" s="38"/>
      <c r="K172" s="40"/>
      <c r="L172" s="41"/>
      <c r="M172" s="41"/>
      <c r="N172" s="41"/>
      <c r="O172" s="41"/>
      <c r="P172" s="42"/>
      <c r="Q172" s="34" t="s">
        <v>25</v>
      </c>
      <c r="R172" s="34"/>
      <c r="S172" s="11" t="s">
        <v>4105</v>
      </c>
    </row>
    <row r="173" spans="1:19" x14ac:dyDescent="0.2">
      <c r="A173" s="33"/>
      <c r="B173" s="34"/>
      <c r="C173" s="34"/>
      <c r="D173" s="34" t="e">
        <f>VLOOKUP(C173,'SALE PARTY MASTER'!$B$4:$E$500,2,FALSE)</f>
        <v>#N/A</v>
      </c>
      <c r="E173" s="34"/>
      <c r="F173" s="34"/>
      <c r="G173" s="44"/>
      <c r="H173" s="34"/>
      <c r="I173" s="34"/>
      <c r="J173" s="38"/>
      <c r="K173" s="40"/>
      <c r="L173" s="41"/>
      <c r="M173" s="41"/>
      <c r="N173" s="41"/>
      <c r="O173" s="41"/>
      <c r="P173" s="42"/>
      <c r="Q173" s="34" t="s">
        <v>25</v>
      </c>
      <c r="R173" s="34"/>
      <c r="S173" s="11" t="s">
        <v>4105</v>
      </c>
    </row>
    <row r="174" spans="1:19" x14ac:dyDescent="0.2">
      <c r="A174" s="33">
        <v>43586</v>
      </c>
      <c r="B174" s="34">
        <v>1</v>
      </c>
      <c r="C174" s="34" t="s">
        <v>40</v>
      </c>
      <c r="D174" s="34" t="str">
        <f>VLOOKUP(C174,'SALE PARTY MASTER'!$B$4:$E$500,2,FALSE)</f>
        <v>27AAACT1848E1ZH</v>
      </c>
      <c r="E174" s="34" t="s">
        <v>22</v>
      </c>
      <c r="F174" s="34" t="s">
        <v>1576</v>
      </c>
      <c r="G174" s="37">
        <v>43587</v>
      </c>
      <c r="H174" s="34">
        <v>87089900</v>
      </c>
      <c r="I174" s="34">
        <v>28</v>
      </c>
      <c r="J174" s="28">
        <v>85</v>
      </c>
      <c r="K174" s="30">
        <v>61132</v>
      </c>
      <c r="L174" s="41">
        <v>0</v>
      </c>
      <c r="M174" s="41">
        <v>8558.4800000000014</v>
      </c>
      <c r="N174" s="41">
        <v>8558.4800000000014</v>
      </c>
      <c r="O174" s="41">
        <v>0</v>
      </c>
      <c r="P174" s="42">
        <v>78248.959999999992</v>
      </c>
      <c r="Q174" s="34" t="s">
        <v>25</v>
      </c>
      <c r="R174" s="34" t="s">
        <v>26</v>
      </c>
      <c r="S174" s="11" t="s">
        <v>4105</v>
      </c>
    </row>
    <row r="175" spans="1:19" x14ac:dyDescent="0.2">
      <c r="A175" s="33">
        <v>43586</v>
      </c>
      <c r="B175" s="34">
        <v>2</v>
      </c>
      <c r="C175" s="34" t="s">
        <v>102</v>
      </c>
      <c r="D175" s="34" t="str">
        <f>VLOOKUP(C175,'SALE PARTY MASTER'!$B$4:$E$500,2,FALSE)</f>
        <v>23AABCE9378F1ZK</v>
      </c>
      <c r="E175" s="34" t="s">
        <v>22</v>
      </c>
      <c r="F175" s="34" t="s">
        <v>1577</v>
      </c>
      <c r="G175" s="44">
        <v>43587</v>
      </c>
      <c r="H175" s="34">
        <v>87081090</v>
      </c>
      <c r="I175" s="34">
        <v>28</v>
      </c>
      <c r="J175" s="38">
        <v>140</v>
      </c>
      <c r="K175" s="40">
        <v>45599.4</v>
      </c>
      <c r="L175" s="41">
        <v>12767.832</v>
      </c>
      <c r="M175" s="41">
        <v>0</v>
      </c>
      <c r="N175" s="41">
        <v>0</v>
      </c>
      <c r="O175" s="41">
        <v>0</v>
      </c>
      <c r="P175" s="42">
        <v>58367.232000000004</v>
      </c>
      <c r="Q175" s="34" t="s">
        <v>25</v>
      </c>
      <c r="R175" s="34" t="s">
        <v>106</v>
      </c>
      <c r="S175" s="11" t="s">
        <v>4105</v>
      </c>
    </row>
    <row r="176" spans="1:19" x14ac:dyDescent="0.2">
      <c r="A176" s="33">
        <v>43586</v>
      </c>
      <c r="B176" s="34">
        <v>3</v>
      </c>
      <c r="C176" s="34" t="s">
        <v>102</v>
      </c>
      <c r="D176" s="34" t="str">
        <f>VLOOKUP(C176,'SALE PARTY MASTER'!$B$4:$E$500,2,FALSE)</f>
        <v>23AABCE9378F1ZK</v>
      </c>
      <c r="E176" s="34" t="s">
        <v>22</v>
      </c>
      <c r="F176" s="34" t="s">
        <v>1578</v>
      </c>
      <c r="G176" s="44">
        <v>43587</v>
      </c>
      <c r="H176" s="34">
        <v>87081090</v>
      </c>
      <c r="I176" s="34">
        <v>28</v>
      </c>
      <c r="J176" s="38">
        <v>23</v>
      </c>
      <c r="K176" s="40">
        <v>21592.86</v>
      </c>
      <c r="L176" s="41">
        <v>6046.0008000000007</v>
      </c>
      <c r="M176" s="41">
        <v>0</v>
      </c>
      <c r="N176" s="41">
        <v>0</v>
      </c>
      <c r="O176" s="41">
        <v>0</v>
      </c>
      <c r="P176" s="42">
        <v>27638.860800000002</v>
      </c>
      <c r="Q176" s="34" t="s">
        <v>25</v>
      </c>
      <c r="R176" s="34" t="s">
        <v>106</v>
      </c>
      <c r="S176" s="11" t="s">
        <v>4105</v>
      </c>
    </row>
    <row r="177" spans="1:19" x14ac:dyDescent="0.2">
      <c r="A177" s="33">
        <v>43586</v>
      </c>
      <c r="B177" s="34">
        <v>4</v>
      </c>
      <c r="C177" s="34" t="s">
        <v>45</v>
      </c>
      <c r="D177" s="34" t="str">
        <f>VLOOKUP(C177,'SALE PARTY MASTER'!$B$4:$E$500,2,FALSE)</f>
        <v>27AAACD4090Q1Z8</v>
      </c>
      <c r="E177" s="34" t="s">
        <v>22</v>
      </c>
      <c r="F177" s="34" t="s">
        <v>1579</v>
      </c>
      <c r="G177" s="44">
        <v>43587</v>
      </c>
      <c r="H177" s="34">
        <v>85129000</v>
      </c>
      <c r="I177" s="34">
        <v>18</v>
      </c>
      <c r="J177" s="38">
        <v>504</v>
      </c>
      <c r="K177" s="40">
        <v>61493.04</v>
      </c>
      <c r="L177" s="41">
        <v>0</v>
      </c>
      <c r="M177" s="41">
        <v>5534.3735999999999</v>
      </c>
      <c r="N177" s="41">
        <v>5534.3735999999999</v>
      </c>
      <c r="O177" s="41">
        <v>0</v>
      </c>
      <c r="P177" s="42">
        <v>72561.787200000006</v>
      </c>
      <c r="Q177" s="34" t="s">
        <v>25</v>
      </c>
      <c r="R177" s="34" t="s">
        <v>26</v>
      </c>
      <c r="S177" s="11" t="s">
        <v>4105</v>
      </c>
    </row>
    <row r="178" spans="1:19" x14ac:dyDescent="0.2">
      <c r="A178" s="33">
        <v>43586</v>
      </c>
      <c r="B178" s="34">
        <v>5</v>
      </c>
      <c r="C178" s="34" t="s">
        <v>167</v>
      </c>
      <c r="D178" s="34" t="str">
        <f>VLOOKUP(C178,'SALE PARTY MASTER'!$B$4:$E$500,2,FALSE)</f>
        <v>27AABFP3834C1ZK</v>
      </c>
      <c r="E178" s="34" t="s">
        <v>22</v>
      </c>
      <c r="F178" s="34" t="s">
        <v>1580</v>
      </c>
      <c r="G178" s="44">
        <v>43587</v>
      </c>
      <c r="H178" s="34">
        <v>87141900</v>
      </c>
      <c r="I178" s="34">
        <v>28</v>
      </c>
      <c r="J178" s="38">
        <v>1040</v>
      </c>
      <c r="K178" s="40">
        <v>12968.8</v>
      </c>
      <c r="L178" s="41">
        <v>0</v>
      </c>
      <c r="M178" s="41">
        <v>1815.6319999999998</v>
      </c>
      <c r="N178" s="41">
        <v>1815.6319999999998</v>
      </c>
      <c r="O178" s="41">
        <v>0</v>
      </c>
      <c r="P178" s="42">
        <v>16600.063999999998</v>
      </c>
      <c r="Q178" s="34" t="s">
        <v>25</v>
      </c>
      <c r="R178" s="34" t="s">
        <v>26</v>
      </c>
      <c r="S178" s="11" t="s">
        <v>4105</v>
      </c>
    </row>
    <row r="179" spans="1:19" x14ac:dyDescent="0.2">
      <c r="A179" s="33">
        <v>43586</v>
      </c>
      <c r="B179" s="34">
        <v>6</v>
      </c>
      <c r="C179" s="34" t="s">
        <v>124</v>
      </c>
      <c r="D179" s="34" t="str">
        <f>VLOOKUP(C179,'SALE PARTY MASTER'!$B$4:$E$500,2,FALSE)</f>
        <v>27AAACB2484Q1Z8</v>
      </c>
      <c r="E179" s="34" t="s">
        <v>22</v>
      </c>
      <c r="F179" s="34" t="s">
        <v>1581</v>
      </c>
      <c r="G179" s="44">
        <v>43587</v>
      </c>
      <c r="H179" s="34">
        <v>998898</v>
      </c>
      <c r="I179" s="34">
        <v>18</v>
      </c>
      <c r="J179" s="38">
        <v>1200</v>
      </c>
      <c r="K179" s="40">
        <v>7800</v>
      </c>
      <c r="L179" s="41">
        <v>0</v>
      </c>
      <c r="M179" s="41">
        <v>702</v>
      </c>
      <c r="N179" s="41">
        <v>702</v>
      </c>
      <c r="O179" s="41">
        <v>0</v>
      </c>
      <c r="P179" s="42">
        <v>9204</v>
      </c>
      <c r="Q179" s="34" t="s">
        <v>25</v>
      </c>
      <c r="R179" s="34" t="s">
        <v>26</v>
      </c>
      <c r="S179" s="11" t="s">
        <v>4105</v>
      </c>
    </row>
    <row r="180" spans="1:19" x14ac:dyDescent="0.2">
      <c r="A180" s="33">
        <v>43586</v>
      </c>
      <c r="B180" s="34">
        <v>7</v>
      </c>
      <c r="C180" s="34" t="s">
        <v>40</v>
      </c>
      <c r="D180" s="34" t="str">
        <f>VLOOKUP(C180,'SALE PARTY MASTER'!$B$4:$E$500,2,FALSE)</f>
        <v>27AAACT1848E1ZH</v>
      </c>
      <c r="E180" s="34" t="s">
        <v>22</v>
      </c>
      <c r="F180" s="34" t="s">
        <v>1582</v>
      </c>
      <c r="G180" s="44">
        <v>43588</v>
      </c>
      <c r="H180" s="34">
        <v>87089900</v>
      </c>
      <c r="I180" s="34">
        <v>28</v>
      </c>
      <c r="J180" s="38">
        <v>64</v>
      </c>
      <c r="K180" s="40">
        <v>30689.279999999999</v>
      </c>
      <c r="L180" s="41">
        <v>0</v>
      </c>
      <c r="M180" s="41">
        <v>4296.4991999999993</v>
      </c>
      <c r="N180" s="41">
        <v>4296.4991999999993</v>
      </c>
      <c r="O180" s="41">
        <v>0</v>
      </c>
      <c r="P180" s="42">
        <v>39282.278399999996</v>
      </c>
      <c r="Q180" s="34" t="s">
        <v>25</v>
      </c>
      <c r="R180" s="34" t="s">
        <v>26</v>
      </c>
      <c r="S180" s="11" t="s">
        <v>4105</v>
      </c>
    </row>
    <row r="181" spans="1:19" x14ac:dyDescent="0.2">
      <c r="A181" s="33">
        <v>43586</v>
      </c>
      <c r="B181" s="34">
        <v>8</v>
      </c>
      <c r="C181" s="34" t="s">
        <v>28</v>
      </c>
      <c r="D181" s="34" t="str">
        <f>VLOOKUP(C181,'SALE PARTY MASTER'!$B$4:$E$500,2,FALSE)</f>
        <v>27AAECM8871A1ZF</v>
      </c>
      <c r="E181" s="34" t="s">
        <v>22</v>
      </c>
      <c r="F181" s="34" t="s">
        <v>1583</v>
      </c>
      <c r="G181" s="44">
        <v>43588</v>
      </c>
      <c r="H181" s="34">
        <v>87089900</v>
      </c>
      <c r="I181" s="34">
        <v>28</v>
      </c>
      <c r="J181" s="38">
        <v>12</v>
      </c>
      <c r="K181" s="40">
        <v>23255.759999999998</v>
      </c>
      <c r="L181" s="41">
        <v>0</v>
      </c>
      <c r="M181" s="41">
        <v>3255.8063999999995</v>
      </c>
      <c r="N181" s="41">
        <v>3255.8063999999995</v>
      </c>
      <c r="O181" s="41">
        <v>0</v>
      </c>
      <c r="P181" s="42">
        <v>29767.372799999997</v>
      </c>
      <c r="Q181" s="34" t="s">
        <v>25</v>
      </c>
      <c r="R181" s="34" t="s">
        <v>26</v>
      </c>
      <c r="S181" s="11" t="s">
        <v>4105</v>
      </c>
    </row>
    <row r="182" spans="1:19" x14ac:dyDescent="0.2">
      <c r="A182" s="33">
        <v>43586</v>
      </c>
      <c r="B182" s="34">
        <v>9</v>
      </c>
      <c r="C182" s="34" t="s">
        <v>155</v>
      </c>
      <c r="D182" s="34" t="str">
        <f>VLOOKUP(C182,'SALE PARTY MASTER'!$B$4:$E$500,2,FALSE)</f>
        <v>27AAGCP0139E1ZP</v>
      </c>
      <c r="E182" s="34" t="s">
        <v>22</v>
      </c>
      <c r="F182" s="34" t="s">
        <v>1584</v>
      </c>
      <c r="G182" s="44">
        <v>43588</v>
      </c>
      <c r="H182" s="34">
        <v>87141090</v>
      </c>
      <c r="I182" s="34">
        <v>28</v>
      </c>
      <c r="J182" s="38">
        <v>540</v>
      </c>
      <c r="K182" s="40">
        <v>25396.2</v>
      </c>
      <c r="L182" s="41">
        <v>0</v>
      </c>
      <c r="M182" s="41">
        <v>3555.4680000000003</v>
      </c>
      <c r="N182" s="41">
        <v>3555.4680000000003</v>
      </c>
      <c r="O182" s="41">
        <v>0</v>
      </c>
      <c r="P182" s="42">
        <v>32507.136000000002</v>
      </c>
      <c r="Q182" s="34" t="s">
        <v>25</v>
      </c>
      <c r="R182" s="34" t="s">
        <v>26</v>
      </c>
      <c r="S182" s="11" t="s">
        <v>4105</v>
      </c>
    </row>
    <row r="183" spans="1:19" x14ac:dyDescent="0.2">
      <c r="A183" s="33">
        <v>43586</v>
      </c>
      <c r="B183" s="34">
        <v>10</v>
      </c>
      <c r="C183" s="34" t="s">
        <v>155</v>
      </c>
      <c r="D183" s="34" t="str">
        <f>VLOOKUP(C183,'SALE PARTY MASTER'!$B$4:$E$500,2,FALSE)</f>
        <v>27AAGCP0139E1ZP</v>
      </c>
      <c r="E183" s="34" t="s">
        <v>22</v>
      </c>
      <c r="F183" s="34" t="s">
        <v>1585</v>
      </c>
      <c r="G183" s="44">
        <v>43588</v>
      </c>
      <c r="H183" s="34">
        <v>87141090</v>
      </c>
      <c r="I183" s="34">
        <v>28</v>
      </c>
      <c r="J183" s="38">
        <v>340</v>
      </c>
      <c r="K183" s="40">
        <v>25625.8</v>
      </c>
      <c r="L183" s="41">
        <v>0</v>
      </c>
      <c r="M183" s="41">
        <v>3587.6119999999996</v>
      </c>
      <c r="N183" s="41">
        <v>3587.6119999999996</v>
      </c>
      <c r="O183" s="41">
        <v>0</v>
      </c>
      <c r="P183" s="42">
        <v>32801.023999999998</v>
      </c>
      <c r="Q183" s="34" t="s">
        <v>25</v>
      </c>
      <c r="R183" s="34" t="s">
        <v>26</v>
      </c>
      <c r="S183" s="11" t="s">
        <v>4105</v>
      </c>
    </row>
    <row r="184" spans="1:19" x14ac:dyDescent="0.2">
      <c r="A184" s="33">
        <v>43586</v>
      </c>
      <c r="B184" s="34">
        <v>11</v>
      </c>
      <c r="C184" s="34" t="s">
        <v>124</v>
      </c>
      <c r="D184" s="34" t="str">
        <f>VLOOKUP(C184,'SALE PARTY MASTER'!$B$4:$E$500,2,FALSE)</f>
        <v>27AAACB2484Q1Z8</v>
      </c>
      <c r="E184" s="34" t="s">
        <v>22</v>
      </c>
      <c r="F184" s="34" t="s">
        <v>1586</v>
      </c>
      <c r="G184" s="44">
        <v>43588</v>
      </c>
      <c r="H184" s="34">
        <v>998898</v>
      </c>
      <c r="I184" s="34">
        <v>18</v>
      </c>
      <c r="J184" s="38">
        <v>960</v>
      </c>
      <c r="K184" s="40">
        <v>6240</v>
      </c>
      <c r="L184" s="41">
        <v>0</v>
      </c>
      <c r="M184" s="41">
        <v>561.6</v>
      </c>
      <c r="N184" s="41">
        <v>561.6</v>
      </c>
      <c r="O184" s="41">
        <v>0</v>
      </c>
      <c r="P184" s="42">
        <v>7363.2000000000007</v>
      </c>
      <c r="Q184" s="34" t="s">
        <v>25</v>
      </c>
      <c r="R184" s="34" t="s">
        <v>26</v>
      </c>
      <c r="S184" s="11" t="s">
        <v>4105</v>
      </c>
    </row>
    <row r="185" spans="1:19" x14ac:dyDescent="0.2">
      <c r="A185" s="33">
        <v>43586</v>
      </c>
      <c r="B185" s="34">
        <v>12</v>
      </c>
      <c r="C185" s="34" t="s">
        <v>124</v>
      </c>
      <c r="D185" s="34" t="str">
        <f>VLOOKUP(C185,'SALE PARTY MASTER'!$B$4:$E$500,2,FALSE)</f>
        <v>27AAACB2484Q1Z8</v>
      </c>
      <c r="E185" s="34" t="s">
        <v>22</v>
      </c>
      <c r="F185" s="34" t="s">
        <v>1587</v>
      </c>
      <c r="G185" s="44">
        <v>43588</v>
      </c>
      <c r="H185" s="34">
        <v>998898</v>
      </c>
      <c r="I185" s="34">
        <v>18</v>
      </c>
      <c r="J185" s="38">
        <v>450</v>
      </c>
      <c r="K185" s="40">
        <v>3105</v>
      </c>
      <c r="L185" s="41">
        <v>0</v>
      </c>
      <c r="M185" s="41">
        <v>279.45</v>
      </c>
      <c r="N185" s="41">
        <v>279.45</v>
      </c>
      <c r="O185" s="41">
        <v>0</v>
      </c>
      <c r="P185" s="42">
        <v>3663.8999999999996</v>
      </c>
      <c r="Q185" s="34" t="s">
        <v>25</v>
      </c>
      <c r="R185" s="34" t="s">
        <v>26</v>
      </c>
      <c r="S185" s="11" t="s">
        <v>4105</v>
      </c>
    </row>
    <row r="186" spans="1:19" x14ac:dyDescent="0.2">
      <c r="A186" s="33">
        <v>43586</v>
      </c>
      <c r="B186" s="34">
        <v>13</v>
      </c>
      <c r="C186" s="34" t="s">
        <v>28</v>
      </c>
      <c r="D186" s="34" t="str">
        <f>VLOOKUP(C186,'SALE PARTY MASTER'!$B$4:$E$500,2,FALSE)</f>
        <v>27AAECM8871A1ZF</v>
      </c>
      <c r="E186" s="34" t="s">
        <v>22</v>
      </c>
      <c r="F186" s="34" t="s">
        <v>1588</v>
      </c>
      <c r="G186" s="44">
        <v>43589</v>
      </c>
      <c r="H186" s="34">
        <v>87089900</v>
      </c>
      <c r="I186" s="34">
        <v>28</v>
      </c>
      <c r="J186" s="38">
        <v>9</v>
      </c>
      <c r="K186" s="40">
        <v>17441.82</v>
      </c>
      <c r="L186" s="41">
        <v>0</v>
      </c>
      <c r="M186" s="41">
        <v>2441.8547999999996</v>
      </c>
      <c r="N186" s="41">
        <v>2441.8547999999996</v>
      </c>
      <c r="O186" s="41">
        <v>0</v>
      </c>
      <c r="P186" s="42">
        <v>22325.529600000002</v>
      </c>
      <c r="Q186" s="34" t="s">
        <v>25</v>
      </c>
      <c r="R186" s="34" t="s">
        <v>26</v>
      </c>
      <c r="S186" s="11" t="s">
        <v>4105</v>
      </c>
    </row>
    <row r="187" spans="1:19" x14ac:dyDescent="0.2">
      <c r="A187" s="33">
        <v>43586</v>
      </c>
      <c r="B187" s="34">
        <v>14</v>
      </c>
      <c r="C187" s="34" t="s">
        <v>20</v>
      </c>
      <c r="D187" s="34" t="str">
        <f>VLOOKUP(C187,'SALE PARTY MASTER'!$B$4:$E$500,2,FALSE)</f>
        <v>27AABCM2508F1ZU</v>
      </c>
      <c r="E187" s="34" t="s">
        <v>22</v>
      </c>
      <c r="F187" s="34" t="s">
        <v>1589</v>
      </c>
      <c r="G187" s="44">
        <v>43589</v>
      </c>
      <c r="H187" s="34">
        <v>87141090</v>
      </c>
      <c r="I187" s="34">
        <v>28</v>
      </c>
      <c r="J187" s="38">
        <v>432</v>
      </c>
      <c r="K187" s="40">
        <v>27228</v>
      </c>
      <c r="L187" s="41">
        <v>0</v>
      </c>
      <c r="M187" s="41">
        <v>3811.9199999999996</v>
      </c>
      <c r="N187" s="41">
        <v>3811.9199999999996</v>
      </c>
      <c r="O187" s="41">
        <v>0</v>
      </c>
      <c r="P187" s="42">
        <v>34851.839999999997</v>
      </c>
      <c r="Q187" s="34" t="s">
        <v>25</v>
      </c>
      <c r="R187" s="34" t="s">
        <v>26</v>
      </c>
      <c r="S187" s="11" t="s">
        <v>4105</v>
      </c>
    </row>
    <row r="188" spans="1:19" x14ac:dyDescent="0.2">
      <c r="A188" s="33">
        <v>43586</v>
      </c>
      <c r="B188" s="34">
        <v>15</v>
      </c>
      <c r="C188" s="34" t="s">
        <v>155</v>
      </c>
      <c r="D188" s="34" t="str">
        <f>VLOOKUP(C188,'SALE PARTY MASTER'!$B$4:$E$500,2,FALSE)</f>
        <v>27AAGCP0139E1ZP</v>
      </c>
      <c r="E188" s="34" t="s">
        <v>22</v>
      </c>
      <c r="F188" s="34" t="s">
        <v>1590</v>
      </c>
      <c r="G188" s="44">
        <v>43589</v>
      </c>
      <c r="H188" s="34">
        <v>87141090</v>
      </c>
      <c r="I188" s="34">
        <v>28</v>
      </c>
      <c r="J188" s="38">
        <v>480</v>
      </c>
      <c r="K188" s="40">
        <v>22574.400000000001</v>
      </c>
      <c r="L188" s="41">
        <v>0</v>
      </c>
      <c r="M188" s="41">
        <v>3160.4160000000002</v>
      </c>
      <c r="N188" s="41">
        <v>3160.4160000000002</v>
      </c>
      <c r="O188" s="41">
        <v>0</v>
      </c>
      <c r="P188" s="42">
        <v>28895.232000000004</v>
      </c>
      <c r="Q188" s="34" t="s">
        <v>25</v>
      </c>
      <c r="R188" s="34" t="s">
        <v>26</v>
      </c>
      <c r="S188" s="11" t="s">
        <v>4105</v>
      </c>
    </row>
    <row r="189" spans="1:19" x14ac:dyDescent="0.2">
      <c r="A189" s="33">
        <v>43586</v>
      </c>
      <c r="B189" s="34">
        <v>16</v>
      </c>
      <c r="C189" s="34" t="s">
        <v>155</v>
      </c>
      <c r="D189" s="34" t="str">
        <f>VLOOKUP(C189,'SALE PARTY MASTER'!$B$4:$E$500,2,FALSE)</f>
        <v>27AAGCP0139E1ZP</v>
      </c>
      <c r="E189" s="34" t="s">
        <v>22</v>
      </c>
      <c r="F189" s="34" t="s">
        <v>1591</v>
      </c>
      <c r="G189" s="44">
        <v>43589</v>
      </c>
      <c r="H189" s="34">
        <v>87141090</v>
      </c>
      <c r="I189" s="34">
        <v>28</v>
      </c>
      <c r="J189" s="38">
        <v>400</v>
      </c>
      <c r="K189" s="40">
        <v>30148</v>
      </c>
      <c r="L189" s="41">
        <v>0</v>
      </c>
      <c r="M189" s="41">
        <v>4220.72</v>
      </c>
      <c r="N189" s="41">
        <v>4220.72</v>
      </c>
      <c r="O189" s="41">
        <v>0</v>
      </c>
      <c r="P189" s="42">
        <v>38589.440000000002</v>
      </c>
      <c r="Q189" s="34" t="s">
        <v>25</v>
      </c>
      <c r="R189" s="34" t="s">
        <v>26</v>
      </c>
      <c r="S189" s="11" t="s">
        <v>4105</v>
      </c>
    </row>
    <row r="190" spans="1:19" x14ac:dyDescent="0.2">
      <c r="A190" s="33">
        <v>43586</v>
      </c>
      <c r="B190" s="34">
        <v>17</v>
      </c>
      <c r="C190" s="34" t="s">
        <v>124</v>
      </c>
      <c r="D190" s="34" t="str">
        <f>VLOOKUP(C190,'SALE PARTY MASTER'!$B$4:$E$500,2,FALSE)</f>
        <v>27AAACB2484Q1Z8</v>
      </c>
      <c r="E190" s="34" t="s">
        <v>22</v>
      </c>
      <c r="F190" s="34" t="s">
        <v>1592</v>
      </c>
      <c r="G190" s="44">
        <v>43589</v>
      </c>
      <c r="H190" s="34">
        <v>998898</v>
      </c>
      <c r="I190" s="34">
        <v>18</v>
      </c>
      <c r="J190" s="38">
        <v>300</v>
      </c>
      <c r="K190" s="40">
        <v>2070</v>
      </c>
      <c r="L190" s="41">
        <v>0</v>
      </c>
      <c r="M190" s="41">
        <v>186.29999999999998</v>
      </c>
      <c r="N190" s="41">
        <v>186.29999999999998</v>
      </c>
      <c r="O190" s="41">
        <v>0</v>
      </c>
      <c r="P190" s="42">
        <v>2442.6000000000004</v>
      </c>
      <c r="Q190" s="34" t="s">
        <v>25</v>
      </c>
      <c r="R190" s="34" t="s">
        <v>26</v>
      </c>
      <c r="S190" s="11" t="s">
        <v>4105</v>
      </c>
    </row>
    <row r="191" spans="1:19" x14ac:dyDescent="0.2">
      <c r="A191" s="33">
        <v>43586</v>
      </c>
      <c r="B191" s="34">
        <v>18</v>
      </c>
      <c r="C191" s="34" t="s">
        <v>124</v>
      </c>
      <c r="D191" s="34" t="str">
        <f>VLOOKUP(C191,'SALE PARTY MASTER'!$B$4:$E$500,2,FALSE)</f>
        <v>27AAACB2484Q1Z8</v>
      </c>
      <c r="E191" s="34" t="s">
        <v>22</v>
      </c>
      <c r="F191" s="34" t="s">
        <v>1593</v>
      </c>
      <c r="G191" s="44">
        <v>43589</v>
      </c>
      <c r="H191" s="34">
        <v>998898</v>
      </c>
      <c r="I191" s="34">
        <v>18</v>
      </c>
      <c r="J191" s="38">
        <v>900</v>
      </c>
      <c r="K191" s="40">
        <v>5850</v>
      </c>
      <c r="L191" s="41">
        <v>0</v>
      </c>
      <c r="M191" s="41">
        <v>526.5</v>
      </c>
      <c r="N191" s="41">
        <v>526.5</v>
      </c>
      <c r="O191" s="41">
        <v>0</v>
      </c>
      <c r="P191" s="42">
        <v>6903</v>
      </c>
      <c r="Q191" s="34" t="s">
        <v>25</v>
      </c>
      <c r="R191" s="34" t="s">
        <v>26</v>
      </c>
      <c r="S191" s="11" t="s">
        <v>4105</v>
      </c>
    </row>
    <row r="192" spans="1:19" x14ac:dyDescent="0.2">
      <c r="A192" s="33">
        <v>43586</v>
      </c>
      <c r="B192" s="34">
        <v>19</v>
      </c>
      <c r="C192" s="34" t="s">
        <v>28</v>
      </c>
      <c r="D192" s="34" t="str">
        <f>VLOOKUP(C192,'SALE PARTY MASTER'!$B$4:$E$500,2,FALSE)</f>
        <v>27AAECM8871A1ZF</v>
      </c>
      <c r="E192" s="34" t="s">
        <v>22</v>
      </c>
      <c r="F192" s="34" t="s">
        <v>1594</v>
      </c>
      <c r="G192" s="44">
        <v>43591</v>
      </c>
      <c r="H192" s="34">
        <v>87089900</v>
      </c>
      <c r="I192" s="34">
        <v>28</v>
      </c>
      <c r="J192" s="38">
        <v>12</v>
      </c>
      <c r="K192" s="40">
        <v>23255.759999999998</v>
      </c>
      <c r="L192" s="41">
        <v>0</v>
      </c>
      <c r="M192" s="41">
        <v>3255.8063999999995</v>
      </c>
      <c r="N192" s="41">
        <v>3255.8063999999995</v>
      </c>
      <c r="O192" s="41">
        <v>0</v>
      </c>
      <c r="P192" s="42">
        <v>29767.372799999997</v>
      </c>
      <c r="Q192" s="34" t="s">
        <v>25</v>
      </c>
      <c r="R192" s="34" t="s">
        <v>26</v>
      </c>
      <c r="S192" s="11" t="s">
        <v>4105</v>
      </c>
    </row>
    <row r="193" spans="1:19" x14ac:dyDescent="0.2">
      <c r="A193" s="33">
        <v>43586</v>
      </c>
      <c r="B193" s="34">
        <v>20</v>
      </c>
      <c r="C193" s="34" t="s">
        <v>28</v>
      </c>
      <c r="D193" s="34" t="str">
        <f>VLOOKUP(C193,'SALE PARTY MASTER'!$B$4:$E$500,2,FALSE)</f>
        <v>27AAECM8871A1ZF</v>
      </c>
      <c r="E193" s="34" t="s">
        <v>22</v>
      </c>
      <c r="F193" s="34" t="s">
        <v>1595</v>
      </c>
      <c r="G193" s="44">
        <v>43591</v>
      </c>
      <c r="H193" s="34">
        <v>87089900</v>
      </c>
      <c r="I193" s="34">
        <v>28</v>
      </c>
      <c r="J193" s="38">
        <v>12</v>
      </c>
      <c r="K193" s="40">
        <v>23255.759999999998</v>
      </c>
      <c r="L193" s="41">
        <v>0</v>
      </c>
      <c r="M193" s="41">
        <v>3255.8063999999995</v>
      </c>
      <c r="N193" s="41">
        <v>3255.8063999999995</v>
      </c>
      <c r="O193" s="41">
        <v>0</v>
      </c>
      <c r="P193" s="42">
        <v>29767.372799999997</v>
      </c>
      <c r="Q193" s="34" t="s">
        <v>25</v>
      </c>
      <c r="R193" s="34" t="s">
        <v>26</v>
      </c>
      <c r="S193" s="11" t="s">
        <v>4105</v>
      </c>
    </row>
    <row r="194" spans="1:19" x14ac:dyDescent="0.2">
      <c r="A194" s="33">
        <v>43586</v>
      </c>
      <c r="B194" s="34">
        <v>21</v>
      </c>
      <c r="C194" s="34" t="s">
        <v>28</v>
      </c>
      <c r="D194" s="34" t="str">
        <f>VLOOKUP(C194,'SALE PARTY MASTER'!$B$4:$E$500,2,FALSE)</f>
        <v>27AAECM8871A1ZF</v>
      </c>
      <c r="E194" s="34" t="s">
        <v>22</v>
      </c>
      <c r="F194" s="34" t="s">
        <v>1596</v>
      </c>
      <c r="G194" s="44">
        <v>43591</v>
      </c>
      <c r="H194" s="34">
        <v>87089900</v>
      </c>
      <c r="I194" s="34">
        <v>28</v>
      </c>
      <c r="J194" s="38">
        <v>12</v>
      </c>
      <c r="K194" s="40">
        <v>23255.759999999998</v>
      </c>
      <c r="L194" s="41">
        <v>0</v>
      </c>
      <c r="M194" s="41">
        <v>3255.8063999999995</v>
      </c>
      <c r="N194" s="41">
        <v>3255.8063999999995</v>
      </c>
      <c r="O194" s="41">
        <v>0</v>
      </c>
      <c r="P194" s="42">
        <v>29767.372799999997</v>
      </c>
      <c r="Q194" s="34" t="s">
        <v>25</v>
      </c>
      <c r="R194" s="34" t="s">
        <v>26</v>
      </c>
      <c r="S194" s="11" t="s">
        <v>4105</v>
      </c>
    </row>
    <row r="195" spans="1:19" x14ac:dyDescent="0.2">
      <c r="A195" s="33">
        <v>43586</v>
      </c>
      <c r="B195" s="34">
        <v>22</v>
      </c>
      <c r="C195" s="34" t="s">
        <v>28</v>
      </c>
      <c r="D195" s="34" t="str">
        <f>VLOOKUP(C195,'SALE PARTY MASTER'!$B$4:$E$500,2,FALSE)</f>
        <v>27AAECM8871A1ZF</v>
      </c>
      <c r="E195" s="34" t="s">
        <v>22</v>
      </c>
      <c r="F195" s="34" t="s">
        <v>1597</v>
      </c>
      <c r="G195" s="44">
        <v>43591</v>
      </c>
      <c r="H195" s="34">
        <v>87089900</v>
      </c>
      <c r="I195" s="34">
        <v>28</v>
      </c>
      <c r="J195" s="38">
        <v>12</v>
      </c>
      <c r="K195" s="40">
        <v>23255.759999999998</v>
      </c>
      <c r="L195" s="41">
        <v>0</v>
      </c>
      <c r="M195" s="41">
        <v>3255.8063999999995</v>
      </c>
      <c r="N195" s="41">
        <v>3255.8063999999995</v>
      </c>
      <c r="O195" s="41">
        <v>0</v>
      </c>
      <c r="P195" s="42">
        <v>29767.372799999997</v>
      </c>
      <c r="Q195" s="34" t="s">
        <v>25</v>
      </c>
      <c r="R195" s="34" t="s">
        <v>26</v>
      </c>
      <c r="S195" s="11" t="s">
        <v>4105</v>
      </c>
    </row>
    <row r="196" spans="1:19" x14ac:dyDescent="0.2">
      <c r="A196" s="33">
        <v>43586</v>
      </c>
      <c r="B196" s="34">
        <v>23</v>
      </c>
      <c r="C196" s="34" t="s">
        <v>124</v>
      </c>
      <c r="D196" s="34" t="str">
        <f>VLOOKUP(C196,'SALE PARTY MASTER'!$B$4:$E$500,2,FALSE)</f>
        <v>27AAACB2484Q1Z8</v>
      </c>
      <c r="E196" s="34" t="s">
        <v>22</v>
      </c>
      <c r="F196" s="34" t="s">
        <v>1598</v>
      </c>
      <c r="G196" s="44">
        <v>43591</v>
      </c>
      <c r="H196" s="34">
        <v>998898</v>
      </c>
      <c r="I196" s="34">
        <v>18</v>
      </c>
      <c r="J196" s="38">
        <v>1591</v>
      </c>
      <c r="K196" s="40">
        <v>6954.5</v>
      </c>
      <c r="L196" s="41">
        <v>0</v>
      </c>
      <c r="M196" s="41">
        <v>625.90499999999997</v>
      </c>
      <c r="N196" s="41">
        <v>625.90499999999997</v>
      </c>
      <c r="O196" s="41">
        <v>0</v>
      </c>
      <c r="P196" s="42">
        <v>8206.31</v>
      </c>
      <c r="Q196" s="34" t="s">
        <v>25</v>
      </c>
      <c r="R196" s="34" t="s">
        <v>26</v>
      </c>
      <c r="S196" s="11" t="s">
        <v>4105</v>
      </c>
    </row>
    <row r="197" spans="1:19" x14ac:dyDescent="0.2">
      <c r="A197" s="33">
        <v>43586</v>
      </c>
      <c r="B197" s="34">
        <v>24</v>
      </c>
      <c r="C197" s="34" t="s">
        <v>124</v>
      </c>
      <c r="D197" s="34" t="str">
        <f>VLOOKUP(C197,'SALE PARTY MASTER'!$B$4:$E$500,2,FALSE)</f>
        <v>27AAACB2484Q1Z8</v>
      </c>
      <c r="E197" s="34" t="s">
        <v>22</v>
      </c>
      <c r="F197" s="34" t="s">
        <v>1599</v>
      </c>
      <c r="G197" s="44">
        <v>43591</v>
      </c>
      <c r="H197" s="34">
        <v>998898</v>
      </c>
      <c r="I197" s="34">
        <v>18</v>
      </c>
      <c r="J197" s="38">
        <v>720</v>
      </c>
      <c r="K197" s="40">
        <v>4680</v>
      </c>
      <c r="L197" s="41">
        <v>0</v>
      </c>
      <c r="M197" s="41">
        <v>421.2</v>
      </c>
      <c r="N197" s="41">
        <v>421.2</v>
      </c>
      <c r="O197" s="41">
        <v>0</v>
      </c>
      <c r="P197" s="42">
        <v>5522.4</v>
      </c>
      <c r="Q197" s="34" t="s">
        <v>25</v>
      </c>
      <c r="R197" s="34" t="s">
        <v>26</v>
      </c>
      <c r="S197" s="11" t="s">
        <v>4105</v>
      </c>
    </row>
    <row r="198" spans="1:19" x14ac:dyDescent="0.2">
      <c r="A198" s="33">
        <v>43586</v>
      </c>
      <c r="B198" s="34">
        <v>25</v>
      </c>
      <c r="C198" s="34" t="s">
        <v>73</v>
      </c>
      <c r="D198" s="34" t="str">
        <f>VLOOKUP(C198,'SALE PARTY MASTER'!$B$4:$E$500,2,FALSE)</f>
        <v>27AAACH4211R1ZF</v>
      </c>
      <c r="E198" s="34" t="s">
        <v>22</v>
      </c>
      <c r="F198" s="34" t="s">
        <v>1600</v>
      </c>
      <c r="G198" s="44">
        <v>43591</v>
      </c>
      <c r="H198" s="34">
        <v>85129000</v>
      </c>
      <c r="I198" s="34">
        <v>18</v>
      </c>
      <c r="J198" s="38">
        <v>1680</v>
      </c>
      <c r="K198" s="40">
        <v>42000</v>
      </c>
      <c r="L198" s="41">
        <v>0</v>
      </c>
      <c r="M198" s="41">
        <v>3780</v>
      </c>
      <c r="N198" s="41">
        <v>3780</v>
      </c>
      <c r="O198" s="41">
        <v>0</v>
      </c>
      <c r="P198" s="42">
        <v>49560</v>
      </c>
      <c r="Q198" s="34" t="s">
        <v>25</v>
      </c>
      <c r="R198" s="34" t="s">
        <v>26</v>
      </c>
      <c r="S198" s="11" t="s">
        <v>4105</v>
      </c>
    </row>
    <row r="199" spans="1:19" x14ac:dyDescent="0.2">
      <c r="A199" s="33">
        <v>43586</v>
      </c>
      <c r="B199" s="34">
        <v>26</v>
      </c>
      <c r="C199" s="34" t="s">
        <v>155</v>
      </c>
      <c r="D199" s="34" t="str">
        <f>VLOOKUP(C199,'SALE PARTY MASTER'!$B$4:$E$500,2,FALSE)</f>
        <v>27AAGCP0139E1ZP</v>
      </c>
      <c r="E199" s="34" t="s">
        <v>22</v>
      </c>
      <c r="F199" s="34" t="s">
        <v>1601</v>
      </c>
      <c r="G199" s="44">
        <v>43591</v>
      </c>
      <c r="H199" s="34">
        <v>87141090</v>
      </c>
      <c r="I199" s="34">
        <v>28</v>
      </c>
      <c r="J199" s="38">
        <v>720</v>
      </c>
      <c r="K199" s="40">
        <v>54266.400000000001</v>
      </c>
      <c r="L199" s="41">
        <v>0</v>
      </c>
      <c r="M199" s="41">
        <v>7597.2960000000003</v>
      </c>
      <c r="N199" s="41">
        <v>7597.2960000000003</v>
      </c>
      <c r="O199" s="41">
        <v>0</v>
      </c>
      <c r="P199" s="42">
        <v>69460.991999999998</v>
      </c>
      <c r="Q199" s="34" t="s">
        <v>25</v>
      </c>
      <c r="R199" s="34" t="s">
        <v>26</v>
      </c>
      <c r="S199" s="11" t="s">
        <v>4105</v>
      </c>
    </row>
    <row r="200" spans="1:19" x14ac:dyDescent="0.2">
      <c r="A200" s="33">
        <v>43586</v>
      </c>
      <c r="B200" s="34">
        <v>27</v>
      </c>
      <c r="C200" s="34" t="s">
        <v>155</v>
      </c>
      <c r="D200" s="34" t="str">
        <f>VLOOKUP(C200,'SALE PARTY MASTER'!$B$4:$E$500,2,FALSE)</f>
        <v>27AAGCP0139E1ZP</v>
      </c>
      <c r="E200" s="34" t="s">
        <v>22</v>
      </c>
      <c r="F200" s="34" t="s">
        <v>1602</v>
      </c>
      <c r="G200" s="44">
        <v>43591</v>
      </c>
      <c r="H200" s="34">
        <v>87141090</v>
      </c>
      <c r="I200" s="34">
        <v>28</v>
      </c>
      <c r="J200" s="38">
        <v>720</v>
      </c>
      <c r="K200" s="40">
        <v>33861.599999999999</v>
      </c>
      <c r="L200" s="41">
        <v>0</v>
      </c>
      <c r="M200" s="41">
        <v>4740.6239999999998</v>
      </c>
      <c r="N200" s="41">
        <v>4740.6239999999998</v>
      </c>
      <c r="O200" s="41">
        <v>0</v>
      </c>
      <c r="P200" s="42">
        <v>43342.847999999998</v>
      </c>
      <c r="Q200" s="34" t="s">
        <v>25</v>
      </c>
      <c r="R200" s="34" t="s">
        <v>26</v>
      </c>
      <c r="S200" s="11" t="s">
        <v>4105</v>
      </c>
    </row>
    <row r="201" spans="1:19" x14ac:dyDescent="0.2">
      <c r="A201" s="33">
        <v>43586</v>
      </c>
      <c r="B201" s="34">
        <v>28</v>
      </c>
      <c r="C201" s="34" t="s">
        <v>167</v>
      </c>
      <c r="D201" s="34" t="str">
        <f>VLOOKUP(C201,'SALE PARTY MASTER'!$B$4:$E$500,2,FALSE)</f>
        <v>27AABFP3834C1ZK</v>
      </c>
      <c r="E201" s="34" t="s">
        <v>22</v>
      </c>
      <c r="F201" s="34" t="s">
        <v>1603</v>
      </c>
      <c r="G201" s="44">
        <v>43591</v>
      </c>
      <c r="H201" s="34">
        <v>87141900</v>
      </c>
      <c r="I201" s="34">
        <v>28</v>
      </c>
      <c r="J201" s="38">
        <v>1000</v>
      </c>
      <c r="K201" s="40">
        <v>12310.4</v>
      </c>
      <c r="L201" s="41">
        <v>0</v>
      </c>
      <c r="M201" s="41">
        <v>1723.4559999999999</v>
      </c>
      <c r="N201" s="41">
        <v>1723.4559999999999</v>
      </c>
      <c r="O201" s="41">
        <v>0</v>
      </c>
      <c r="P201" s="42">
        <v>15757.312</v>
      </c>
      <c r="Q201" s="34" t="s">
        <v>25</v>
      </c>
      <c r="R201" s="34" t="s">
        <v>26</v>
      </c>
      <c r="S201" s="11" t="s">
        <v>4105</v>
      </c>
    </row>
    <row r="202" spans="1:19" x14ac:dyDescent="0.2">
      <c r="A202" s="33">
        <v>43586</v>
      </c>
      <c r="B202" s="34">
        <v>29</v>
      </c>
      <c r="C202" s="34" t="s">
        <v>155</v>
      </c>
      <c r="D202" s="34" t="str">
        <f>VLOOKUP(C202,'SALE PARTY MASTER'!$B$4:$E$500,2,FALSE)</f>
        <v>27AAGCP0139E1ZP</v>
      </c>
      <c r="E202" s="34" t="s">
        <v>22</v>
      </c>
      <c r="F202" s="34" t="s">
        <v>1604</v>
      </c>
      <c r="G202" s="44">
        <v>43592</v>
      </c>
      <c r="H202" s="34">
        <v>87141090</v>
      </c>
      <c r="I202" s="34">
        <v>28</v>
      </c>
      <c r="J202" s="38">
        <v>580</v>
      </c>
      <c r="K202" s="40">
        <v>43714.6</v>
      </c>
      <c r="L202" s="41">
        <v>0</v>
      </c>
      <c r="M202" s="41">
        <v>6120.0439999999999</v>
      </c>
      <c r="N202" s="41">
        <v>6120.0439999999999</v>
      </c>
      <c r="O202" s="41">
        <v>0</v>
      </c>
      <c r="P202" s="42">
        <v>55954.688000000002</v>
      </c>
      <c r="Q202" s="34" t="s">
        <v>25</v>
      </c>
      <c r="R202" s="34" t="s">
        <v>26</v>
      </c>
      <c r="S202" s="11" t="s">
        <v>4105</v>
      </c>
    </row>
    <row r="203" spans="1:19" x14ac:dyDescent="0.2">
      <c r="A203" s="33">
        <v>43586</v>
      </c>
      <c r="B203" s="34">
        <v>30</v>
      </c>
      <c r="C203" s="34" t="s">
        <v>28</v>
      </c>
      <c r="D203" s="34" t="str">
        <f>VLOOKUP(C203,'SALE PARTY MASTER'!$B$4:$E$500,2,FALSE)</f>
        <v>27AAECM8871A1ZF</v>
      </c>
      <c r="E203" s="34" t="s">
        <v>22</v>
      </c>
      <c r="F203" s="34" t="s">
        <v>1605</v>
      </c>
      <c r="G203" s="44">
        <v>43592</v>
      </c>
      <c r="H203" s="34">
        <v>87089900</v>
      </c>
      <c r="I203" s="34">
        <v>28</v>
      </c>
      <c r="J203" s="38">
        <v>12</v>
      </c>
      <c r="K203" s="40">
        <v>23255.759999999998</v>
      </c>
      <c r="L203" s="41">
        <v>0</v>
      </c>
      <c r="M203" s="41">
        <v>3255.8063999999995</v>
      </c>
      <c r="N203" s="41">
        <v>3255.8063999999995</v>
      </c>
      <c r="O203" s="41">
        <v>0</v>
      </c>
      <c r="P203" s="42">
        <v>29767.372799999997</v>
      </c>
      <c r="Q203" s="34" t="s">
        <v>25</v>
      </c>
      <c r="R203" s="34" t="s">
        <v>26</v>
      </c>
      <c r="S203" s="11" t="s">
        <v>4105</v>
      </c>
    </row>
    <row r="204" spans="1:19" x14ac:dyDescent="0.2">
      <c r="A204" s="33">
        <v>43586</v>
      </c>
      <c r="B204" s="34">
        <v>31</v>
      </c>
      <c r="C204" s="34" t="s">
        <v>28</v>
      </c>
      <c r="D204" s="34" t="str">
        <f>VLOOKUP(C204,'SALE PARTY MASTER'!$B$4:$E$500,2,FALSE)</f>
        <v>27AAECM8871A1ZF</v>
      </c>
      <c r="E204" s="34" t="s">
        <v>22</v>
      </c>
      <c r="F204" s="34" t="s">
        <v>1606</v>
      </c>
      <c r="G204" s="44">
        <v>43592</v>
      </c>
      <c r="H204" s="34">
        <v>87089900</v>
      </c>
      <c r="I204" s="34">
        <v>28</v>
      </c>
      <c r="J204" s="38">
        <v>12</v>
      </c>
      <c r="K204" s="40">
        <v>23255.759999999998</v>
      </c>
      <c r="L204" s="41">
        <v>0</v>
      </c>
      <c r="M204" s="41">
        <v>3255.8063999999995</v>
      </c>
      <c r="N204" s="41">
        <v>3255.8063999999995</v>
      </c>
      <c r="O204" s="41">
        <v>0</v>
      </c>
      <c r="P204" s="42">
        <v>29767.372799999997</v>
      </c>
      <c r="Q204" s="34" t="s">
        <v>25</v>
      </c>
      <c r="R204" s="34" t="s">
        <v>26</v>
      </c>
      <c r="S204" s="11" t="s">
        <v>4105</v>
      </c>
    </row>
    <row r="205" spans="1:19" x14ac:dyDescent="0.2">
      <c r="A205" s="33">
        <v>43586</v>
      </c>
      <c r="B205" s="34">
        <v>32</v>
      </c>
      <c r="C205" s="34" t="s">
        <v>124</v>
      </c>
      <c r="D205" s="34" t="str">
        <f>VLOOKUP(C205,'SALE PARTY MASTER'!$B$4:$E$500,2,FALSE)</f>
        <v>27AAACB2484Q1Z8</v>
      </c>
      <c r="E205" s="34" t="s">
        <v>22</v>
      </c>
      <c r="F205" s="34" t="s">
        <v>1607</v>
      </c>
      <c r="G205" s="44">
        <v>43592</v>
      </c>
      <c r="H205" s="34">
        <v>998898</v>
      </c>
      <c r="I205" s="34">
        <v>18</v>
      </c>
      <c r="J205" s="38">
        <v>1230</v>
      </c>
      <c r="K205" s="40">
        <v>5160</v>
      </c>
      <c r="L205" s="41">
        <v>0</v>
      </c>
      <c r="M205" s="41">
        <v>464.40000000000003</v>
      </c>
      <c r="N205" s="41">
        <v>464.40000000000003</v>
      </c>
      <c r="O205" s="41">
        <v>0</v>
      </c>
      <c r="P205" s="42">
        <v>6088.7999999999993</v>
      </c>
      <c r="Q205" s="34" t="s">
        <v>25</v>
      </c>
      <c r="R205" s="34" t="s">
        <v>26</v>
      </c>
      <c r="S205" s="11" t="s">
        <v>4105</v>
      </c>
    </row>
    <row r="206" spans="1:19" x14ac:dyDescent="0.2">
      <c r="A206" s="33">
        <v>43586</v>
      </c>
      <c r="B206" s="34">
        <v>33</v>
      </c>
      <c r="C206" s="34" t="s">
        <v>124</v>
      </c>
      <c r="D206" s="34" t="str">
        <f>VLOOKUP(C206,'SALE PARTY MASTER'!$B$4:$E$500,2,FALSE)</f>
        <v>27AAACB2484Q1Z8</v>
      </c>
      <c r="E206" s="34" t="s">
        <v>22</v>
      </c>
      <c r="F206" s="34" t="s">
        <v>1608</v>
      </c>
      <c r="G206" s="44">
        <v>43592</v>
      </c>
      <c r="H206" s="34">
        <v>998898</v>
      </c>
      <c r="I206" s="34">
        <v>18</v>
      </c>
      <c r="J206" s="38">
        <v>1080</v>
      </c>
      <c r="K206" s="40">
        <v>4590</v>
      </c>
      <c r="L206" s="41">
        <v>0</v>
      </c>
      <c r="M206" s="41">
        <v>413.09999999999997</v>
      </c>
      <c r="N206" s="41">
        <v>413.09999999999997</v>
      </c>
      <c r="O206" s="41">
        <v>0</v>
      </c>
      <c r="P206" s="42">
        <v>5416.2000000000007</v>
      </c>
      <c r="Q206" s="34" t="s">
        <v>25</v>
      </c>
      <c r="R206" s="34" t="s">
        <v>26</v>
      </c>
      <c r="S206" s="11" t="s">
        <v>4105</v>
      </c>
    </row>
    <row r="207" spans="1:19" x14ac:dyDescent="0.2">
      <c r="A207" s="33">
        <v>43586</v>
      </c>
      <c r="B207" s="34">
        <v>34</v>
      </c>
      <c r="C207" s="34" t="s">
        <v>28</v>
      </c>
      <c r="D207" s="34" t="str">
        <f>VLOOKUP(C207,'SALE PARTY MASTER'!$B$4:$E$500,2,FALSE)</f>
        <v>27AAECM8871A1ZF</v>
      </c>
      <c r="E207" s="34" t="s">
        <v>22</v>
      </c>
      <c r="F207" s="34" t="s">
        <v>1609</v>
      </c>
      <c r="G207" s="44">
        <v>43593</v>
      </c>
      <c r="H207" s="34">
        <v>87089900</v>
      </c>
      <c r="I207" s="34">
        <v>28</v>
      </c>
      <c r="J207" s="38">
        <v>11</v>
      </c>
      <c r="K207" s="40">
        <v>21317.78</v>
      </c>
      <c r="L207" s="41">
        <v>0</v>
      </c>
      <c r="M207" s="41">
        <v>2984.4892</v>
      </c>
      <c r="N207" s="41">
        <v>2984.4892</v>
      </c>
      <c r="O207" s="41">
        <v>0</v>
      </c>
      <c r="P207" s="42">
        <v>27286.758399999999</v>
      </c>
      <c r="Q207" s="34" t="s">
        <v>25</v>
      </c>
      <c r="R207" s="34" t="s">
        <v>26</v>
      </c>
      <c r="S207" s="11" t="s">
        <v>4105</v>
      </c>
    </row>
    <row r="208" spans="1:19" x14ac:dyDescent="0.2">
      <c r="A208" s="33">
        <v>43586</v>
      </c>
      <c r="B208" s="34">
        <v>35</v>
      </c>
      <c r="C208" s="34" t="s">
        <v>45</v>
      </c>
      <c r="D208" s="34" t="str">
        <f>VLOOKUP(C208,'SALE PARTY MASTER'!$B$4:$E$500,2,FALSE)</f>
        <v>27AAACD4090Q1Z8</v>
      </c>
      <c r="E208" s="34" t="s">
        <v>22</v>
      </c>
      <c r="F208" s="34" t="s">
        <v>1610</v>
      </c>
      <c r="G208" s="44">
        <v>43593</v>
      </c>
      <c r="H208" s="34">
        <v>85129000</v>
      </c>
      <c r="I208" s="34">
        <v>18</v>
      </c>
      <c r="J208" s="38">
        <v>540</v>
      </c>
      <c r="K208" s="40">
        <v>65885.399999999994</v>
      </c>
      <c r="L208" s="41">
        <v>0</v>
      </c>
      <c r="M208" s="41">
        <v>5929.6859999999997</v>
      </c>
      <c r="N208" s="41">
        <v>5929.6859999999997</v>
      </c>
      <c r="O208" s="41">
        <v>0</v>
      </c>
      <c r="P208" s="42">
        <v>77744.771999999997</v>
      </c>
      <c r="Q208" s="34" t="s">
        <v>25</v>
      </c>
      <c r="R208" s="34" t="s">
        <v>26</v>
      </c>
      <c r="S208" s="11" t="s">
        <v>4105</v>
      </c>
    </row>
    <row r="209" spans="1:19" x14ac:dyDescent="0.2">
      <c r="A209" s="33">
        <v>43586</v>
      </c>
      <c r="B209" s="34">
        <v>36</v>
      </c>
      <c r="C209" s="34" t="s">
        <v>28</v>
      </c>
      <c r="D209" s="34" t="str">
        <f>VLOOKUP(C209,'SALE PARTY MASTER'!$B$4:$E$500,2,FALSE)</f>
        <v>27AAECM8871A1ZF</v>
      </c>
      <c r="E209" s="34" t="s">
        <v>22</v>
      </c>
      <c r="F209" s="34" t="s">
        <v>1611</v>
      </c>
      <c r="G209" s="44">
        <v>43593</v>
      </c>
      <c r="H209" s="34">
        <v>87089900</v>
      </c>
      <c r="I209" s="34">
        <v>28</v>
      </c>
      <c r="J209" s="38">
        <v>12</v>
      </c>
      <c r="K209" s="40">
        <v>23255.759999999998</v>
      </c>
      <c r="L209" s="41">
        <v>0</v>
      </c>
      <c r="M209" s="41">
        <v>3255.8063999999995</v>
      </c>
      <c r="N209" s="41">
        <v>3255.8063999999995</v>
      </c>
      <c r="O209" s="41">
        <v>0</v>
      </c>
      <c r="P209" s="42">
        <v>29767.372799999997</v>
      </c>
      <c r="Q209" s="34" t="s">
        <v>25</v>
      </c>
      <c r="R209" s="34" t="s">
        <v>26</v>
      </c>
      <c r="S209" s="11" t="s">
        <v>4105</v>
      </c>
    </row>
    <row r="210" spans="1:19" x14ac:dyDescent="0.2">
      <c r="A210" s="33">
        <v>43586</v>
      </c>
      <c r="B210" s="34">
        <v>37</v>
      </c>
      <c r="C210" s="34" t="s">
        <v>155</v>
      </c>
      <c r="D210" s="34" t="str">
        <f>VLOOKUP(C210,'SALE PARTY MASTER'!$B$4:$E$500,2,FALSE)</f>
        <v>27AAGCP0139E1ZP</v>
      </c>
      <c r="E210" s="34" t="s">
        <v>22</v>
      </c>
      <c r="F210" s="34" t="s">
        <v>1612</v>
      </c>
      <c r="G210" s="44">
        <v>43593</v>
      </c>
      <c r="H210" s="34">
        <v>87141090</v>
      </c>
      <c r="I210" s="34">
        <v>28</v>
      </c>
      <c r="J210" s="38">
        <v>840</v>
      </c>
      <c r="K210" s="40">
        <v>39505.199999999997</v>
      </c>
      <c r="L210" s="41">
        <v>0</v>
      </c>
      <c r="M210" s="41">
        <v>5530.7279999999992</v>
      </c>
      <c r="N210" s="41">
        <v>5530.7279999999992</v>
      </c>
      <c r="O210" s="41">
        <v>0</v>
      </c>
      <c r="P210" s="42">
        <v>50566.656000000003</v>
      </c>
      <c r="Q210" s="34" t="s">
        <v>25</v>
      </c>
      <c r="R210" s="34" t="s">
        <v>26</v>
      </c>
      <c r="S210" s="11" t="s">
        <v>4105</v>
      </c>
    </row>
    <row r="211" spans="1:19" x14ac:dyDescent="0.2">
      <c r="A211" s="33">
        <v>43586</v>
      </c>
      <c r="B211" s="34">
        <v>38</v>
      </c>
      <c r="C211" s="34" t="s">
        <v>155</v>
      </c>
      <c r="D211" s="34" t="str">
        <f>VLOOKUP(C211,'SALE PARTY MASTER'!$B$4:$E$500,2,FALSE)</f>
        <v>27AAGCP0139E1ZP</v>
      </c>
      <c r="E211" s="34" t="s">
        <v>22</v>
      </c>
      <c r="F211" s="34" t="s">
        <v>1613</v>
      </c>
      <c r="G211" s="44">
        <v>43593</v>
      </c>
      <c r="H211" s="34">
        <v>87141090</v>
      </c>
      <c r="I211" s="34">
        <v>28</v>
      </c>
      <c r="J211" s="38">
        <v>540</v>
      </c>
      <c r="K211" s="40">
        <v>40699.800000000003</v>
      </c>
      <c r="L211" s="41">
        <v>0</v>
      </c>
      <c r="M211" s="41">
        <v>5697.9720000000007</v>
      </c>
      <c r="N211" s="41">
        <v>5697.9720000000007</v>
      </c>
      <c r="O211" s="41">
        <v>0</v>
      </c>
      <c r="P211" s="42">
        <v>52095.744000000006</v>
      </c>
      <c r="Q211" s="34" t="s">
        <v>25</v>
      </c>
      <c r="R211" s="34" t="s">
        <v>26</v>
      </c>
      <c r="S211" s="11" t="s">
        <v>4105</v>
      </c>
    </row>
    <row r="212" spans="1:19" x14ac:dyDescent="0.2">
      <c r="A212" s="33">
        <v>43586</v>
      </c>
      <c r="B212" s="34">
        <v>39</v>
      </c>
      <c r="C212" s="34" t="s">
        <v>124</v>
      </c>
      <c r="D212" s="34" t="str">
        <f>VLOOKUP(C212,'SALE PARTY MASTER'!$B$4:$E$500,2,FALSE)</f>
        <v>27AAACB2484Q1Z8</v>
      </c>
      <c r="E212" s="34" t="s">
        <v>22</v>
      </c>
      <c r="F212" s="34" t="s">
        <v>1614</v>
      </c>
      <c r="G212" s="44">
        <v>43593</v>
      </c>
      <c r="H212" s="34">
        <v>998898</v>
      </c>
      <c r="I212" s="34">
        <v>18</v>
      </c>
      <c r="J212" s="38">
        <v>1380</v>
      </c>
      <c r="K212" s="40">
        <v>8970</v>
      </c>
      <c r="L212" s="41">
        <v>0</v>
      </c>
      <c r="M212" s="41">
        <v>807.30000000000007</v>
      </c>
      <c r="N212" s="41">
        <v>807.30000000000007</v>
      </c>
      <c r="O212" s="41">
        <v>0</v>
      </c>
      <c r="P212" s="42">
        <v>10584.599999999999</v>
      </c>
      <c r="Q212" s="34" t="s">
        <v>25</v>
      </c>
      <c r="R212" s="34" t="s">
        <v>26</v>
      </c>
      <c r="S212" s="11" t="s">
        <v>4105</v>
      </c>
    </row>
    <row r="213" spans="1:19" x14ac:dyDescent="0.2">
      <c r="A213" s="33">
        <v>43586</v>
      </c>
      <c r="B213" s="34">
        <v>40</v>
      </c>
      <c r="C213" s="34" t="s">
        <v>124</v>
      </c>
      <c r="D213" s="34" t="str">
        <f>VLOOKUP(C213,'SALE PARTY MASTER'!$B$4:$E$500,2,FALSE)</f>
        <v>27AAACB2484Q1Z8</v>
      </c>
      <c r="E213" s="34" t="s">
        <v>22</v>
      </c>
      <c r="F213" s="34" t="s">
        <v>1615</v>
      </c>
      <c r="G213" s="44">
        <v>43593</v>
      </c>
      <c r="H213" s="34">
        <v>998898</v>
      </c>
      <c r="I213" s="34">
        <v>18</v>
      </c>
      <c r="J213" s="38">
        <v>840</v>
      </c>
      <c r="K213" s="40">
        <v>5796</v>
      </c>
      <c r="L213" s="41">
        <v>0</v>
      </c>
      <c r="M213" s="41">
        <v>521.64</v>
      </c>
      <c r="N213" s="41">
        <v>521.64</v>
      </c>
      <c r="O213" s="41">
        <v>0</v>
      </c>
      <c r="P213" s="42">
        <v>6839.2800000000007</v>
      </c>
      <c r="Q213" s="34" t="s">
        <v>25</v>
      </c>
      <c r="R213" s="34" t="s">
        <v>26</v>
      </c>
      <c r="S213" s="11" t="s">
        <v>4105</v>
      </c>
    </row>
    <row r="214" spans="1:19" x14ac:dyDescent="0.2">
      <c r="A214" s="33">
        <v>43586</v>
      </c>
      <c r="B214" s="34">
        <v>41</v>
      </c>
      <c r="C214" s="34" t="s">
        <v>28</v>
      </c>
      <c r="D214" s="34" t="str">
        <f>VLOOKUP(C214,'SALE PARTY MASTER'!$B$4:$E$500,2,FALSE)</f>
        <v>27AAECM8871A1ZF</v>
      </c>
      <c r="E214" s="34" t="s">
        <v>22</v>
      </c>
      <c r="F214" s="34" t="s">
        <v>1616</v>
      </c>
      <c r="G214" s="44">
        <v>43594</v>
      </c>
      <c r="H214" s="34">
        <v>87089900</v>
      </c>
      <c r="I214" s="34">
        <v>28</v>
      </c>
      <c r="J214" s="38">
        <v>12</v>
      </c>
      <c r="K214" s="40">
        <v>23255.759999999998</v>
      </c>
      <c r="L214" s="41">
        <v>0</v>
      </c>
      <c r="M214" s="41">
        <v>3255.8063999999995</v>
      </c>
      <c r="N214" s="41">
        <v>3255.8063999999995</v>
      </c>
      <c r="O214" s="41">
        <v>0</v>
      </c>
      <c r="P214" s="42">
        <v>29767.372799999997</v>
      </c>
      <c r="Q214" s="34" t="s">
        <v>25</v>
      </c>
      <c r="R214" s="34" t="s">
        <v>26</v>
      </c>
      <c r="S214" s="11" t="s">
        <v>4105</v>
      </c>
    </row>
    <row r="215" spans="1:19" x14ac:dyDescent="0.2">
      <c r="A215" s="33">
        <v>43586</v>
      </c>
      <c r="B215" s="34">
        <v>42</v>
      </c>
      <c r="C215" s="34" t="s">
        <v>28</v>
      </c>
      <c r="D215" s="34" t="str">
        <f>VLOOKUP(C215,'SALE PARTY MASTER'!$B$4:$E$500,2,FALSE)</f>
        <v>27AAECM8871A1ZF</v>
      </c>
      <c r="E215" s="34" t="s">
        <v>22</v>
      </c>
      <c r="F215" s="34" t="s">
        <v>1617</v>
      </c>
      <c r="G215" s="44">
        <v>43594</v>
      </c>
      <c r="H215" s="34">
        <v>87089900</v>
      </c>
      <c r="I215" s="34">
        <v>28</v>
      </c>
      <c r="J215" s="38">
        <v>12</v>
      </c>
      <c r="K215" s="40">
        <v>1937.98</v>
      </c>
      <c r="L215" s="41">
        <v>0</v>
      </c>
      <c r="M215" s="41">
        <v>271.31720000000001</v>
      </c>
      <c r="N215" s="41">
        <v>271.31720000000001</v>
      </c>
      <c r="O215" s="41">
        <v>0</v>
      </c>
      <c r="P215" s="42">
        <v>2480.6143999999999</v>
      </c>
      <c r="Q215" s="34" t="s">
        <v>25</v>
      </c>
      <c r="R215" s="34" t="s">
        <v>26</v>
      </c>
      <c r="S215" s="11" t="s">
        <v>4105</v>
      </c>
    </row>
    <row r="216" spans="1:19" x14ac:dyDescent="0.2">
      <c r="A216" s="33">
        <v>43586</v>
      </c>
      <c r="B216" s="34">
        <v>43</v>
      </c>
      <c r="C216" s="34" t="s">
        <v>124</v>
      </c>
      <c r="D216" s="34" t="str">
        <f>VLOOKUP(C216,'SALE PARTY MASTER'!$B$4:$E$500,2,FALSE)</f>
        <v>27AAACB2484Q1Z8</v>
      </c>
      <c r="E216" s="34" t="s">
        <v>22</v>
      </c>
      <c r="F216" s="34" t="s">
        <v>1618</v>
      </c>
      <c r="G216" s="44">
        <v>43594</v>
      </c>
      <c r="H216" s="34">
        <v>998898</v>
      </c>
      <c r="I216" s="34">
        <v>18</v>
      </c>
      <c r="J216" s="38">
        <v>1000</v>
      </c>
      <c r="K216" s="40">
        <v>4700</v>
      </c>
      <c r="L216" s="41">
        <v>0</v>
      </c>
      <c r="M216" s="41">
        <v>423</v>
      </c>
      <c r="N216" s="41">
        <v>423</v>
      </c>
      <c r="O216" s="41">
        <v>0</v>
      </c>
      <c r="P216" s="42">
        <v>5546</v>
      </c>
      <c r="Q216" s="34" t="s">
        <v>25</v>
      </c>
      <c r="R216" s="34" t="s">
        <v>26</v>
      </c>
      <c r="S216" s="11" t="s">
        <v>4105</v>
      </c>
    </row>
    <row r="217" spans="1:19" x14ac:dyDescent="0.2">
      <c r="A217" s="33">
        <v>43586</v>
      </c>
      <c r="B217" s="34">
        <v>44</v>
      </c>
      <c r="C217" s="34" t="s">
        <v>124</v>
      </c>
      <c r="D217" s="34" t="str">
        <f>VLOOKUP(C217,'SALE PARTY MASTER'!$B$4:$E$500,2,FALSE)</f>
        <v>27AAACB2484Q1Z8</v>
      </c>
      <c r="E217" s="34" t="s">
        <v>22</v>
      </c>
      <c r="F217" s="34" t="s">
        <v>1619</v>
      </c>
      <c r="G217" s="44">
        <v>43594</v>
      </c>
      <c r="H217" s="34">
        <v>998898</v>
      </c>
      <c r="I217" s="34">
        <v>18</v>
      </c>
      <c r="J217" s="38">
        <v>1080</v>
      </c>
      <c r="K217" s="40">
        <v>7020</v>
      </c>
      <c r="L217" s="41">
        <v>0</v>
      </c>
      <c r="M217" s="41">
        <v>631.80000000000007</v>
      </c>
      <c r="N217" s="41">
        <v>631.80000000000007</v>
      </c>
      <c r="O217" s="41">
        <v>0</v>
      </c>
      <c r="P217" s="42">
        <v>8283.6</v>
      </c>
      <c r="Q217" s="34" t="s">
        <v>25</v>
      </c>
      <c r="R217" s="34" t="s">
        <v>26</v>
      </c>
      <c r="S217" s="11" t="s">
        <v>4105</v>
      </c>
    </row>
    <row r="218" spans="1:19" x14ac:dyDescent="0.2">
      <c r="A218" s="33">
        <v>43586</v>
      </c>
      <c r="B218" s="34">
        <v>45</v>
      </c>
      <c r="C218" s="34" t="s">
        <v>28</v>
      </c>
      <c r="D218" s="34" t="str">
        <f>VLOOKUP(C218,'SALE PARTY MASTER'!$B$4:$E$500,2,FALSE)</f>
        <v>27AAECM8871A1ZF</v>
      </c>
      <c r="E218" s="34" t="s">
        <v>22</v>
      </c>
      <c r="F218" s="34" t="s">
        <v>1620</v>
      </c>
      <c r="G218" s="44">
        <v>43595</v>
      </c>
      <c r="H218" s="34">
        <v>87089900</v>
      </c>
      <c r="I218" s="34">
        <v>28</v>
      </c>
      <c r="J218" s="38">
        <v>11</v>
      </c>
      <c r="K218" s="40">
        <v>21317.78</v>
      </c>
      <c r="L218" s="41">
        <v>0</v>
      </c>
      <c r="M218" s="41">
        <v>2984.4892</v>
      </c>
      <c r="N218" s="41">
        <v>2984.4892</v>
      </c>
      <c r="O218" s="41">
        <v>0</v>
      </c>
      <c r="P218" s="42">
        <v>27286.758399999999</v>
      </c>
      <c r="Q218" s="34" t="s">
        <v>25</v>
      </c>
      <c r="R218" s="34" t="s">
        <v>26</v>
      </c>
      <c r="S218" s="11" t="s">
        <v>4105</v>
      </c>
    </row>
    <row r="219" spans="1:19" x14ac:dyDescent="0.2">
      <c r="A219" s="33">
        <v>43586</v>
      </c>
      <c r="B219" s="34">
        <v>46</v>
      </c>
      <c r="C219" s="34" t="s">
        <v>28</v>
      </c>
      <c r="D219" s="34" t="str">
        <f>VLOOKUP(C219,'SALE PARTY MASTER'!$B$4:$E$500,2,FALSE)</f>
        <v>27AAECM8871A1ZF</v>
      </c>
      <c r="E219" s="34" t="s">
        <v>22</v>
      </c>
      <c r="F219" s="34" t="s">
        <v>1621</v>
      </c>
      <c r="G219" s="44">
        <v>43595</v>
      </c>
      <c r="H219" s="34">
        <v>87089900</v>
      </c>
      <c r="I219" s="34">
        <v>28</v>
      </c>
      <c r="J219" s="38">
        <v>12</v>
      </c>
      <c r="K219" s="40">
        <v>23255.759999999998</v>
      </c>
      <c r="L219" s="41">
        <v>0</v>
      </c>
      <c r="M219" s="41">
        <v>3255.8063999999995</v>
      </c>
      <c r="N219" s="41">
        <v>3255.8063999999995</v>
      </c>
      <c r="O219" s="41">
        <v>0</v>
      </c>
      <c r="P219" s="42">
        <v>29767.372799999997</v>
      </c>
      <c r="Q219" s="34" t="s">
        <v>25</v>
      </c>
      <c r="R219" s="34" t="s">
        <v>26</v>
      </c>
      <c r="S219" s="11" t="s">
        <v>4105</v>
      </c>
    </row>
    <row r="220" spans="1:19" x14ac:dyDescent="0.2">
      <c r="A220" s="33">
        <v>43586</v>
      </c>
      <c r="B220" s="34">
        <v>47</v>
      </c>
      <c r="C220" s="34" t="s">
        <v>20</v>
      </c>
      <c r="D220" s="34" t="str">
        <f>VLOOKUP(C220,'SALE PARTY MASTER'!$B$4:$E$500,2,FALSE)</f>
        <v>27AABCM2508F1ZU</v>
      </c>
      <c r="E220" s="34" t="s">
        <v>22</v>
      </c>
      <c r="F220" s="34" t="s">
        <v>1622</v>
      </c>
      <c r="G220" s="44">
        <v>43595</v>
      </c>
      <c r="H220" s="34">
        <v>87141090</v>
      </c>
      <c r="I220" s="34">
        <v>28</v>
      </c>
      <c r="J220" s="38">
        <v>522</v>
      </c>
      <c r="K220" s="40">
        <v>26080.5</v>
      </c>
      <c r="L220" s="41">
        <v>0</v>
      </c>
      <c r="M220" s="41">
        <v>3651.27</v>
      </c>
      <c r="N220" s="41">
        <v>3651.27</v>
      </c>
      <c r="O220" s="41">
        <v>0</v>
      </c>
      <c r="P220" s="42">
        <v>33383.040000000001</v>
      </c>
      <c r="Q220" s="34" t="s">
        <v>25</v>
      </c>
      <c r="R220" s="34" t="s">
        <v>26</v>
      </c>
      <c r="S220" s="11" t="s">
        <v>4105</v>
      </c>
    </row>
    <row r="221" spans="1:19" x14ac:dyDescent="0.2">
      <c r="A221" s="33">
        <v>43586</v>
      </c>
      <c r="B221" s="34">
        <v>48</v>
      </c>
      <c r="C221" s="34" t="s">
        <v>73</v>
      </c>
      <c r="D221" s="34" t="str">
        <f>VLOOKUP(C221,'SALE PARTY MASTER'!$B$4:$E$500,2,FALSE)</f>
        <v>27AAACH4211R1ZF</v>
      </c>
      <c r="E221" s="34" t="s">
        <v>22</v>
      </c>
      <c r="F221" s="34" t="s">
        <v>1623</v>
      </c>
      <c r="G221" s="44">
        <v>43595</v>
      </c>
      <c r="H221" s="34">
        <v>85129000</v>
      </c>
      <c r="I221" s="34">
        <v>18</v>
      </c>
      <c r="J221" s="38">
        <v>1920</v>
      </c>
      <c r="K221" s="40">
        <v>48000</v>
      </c>
      <c r="L221" s="41">
        <v>0</v>
      </c>
      <c r="M221" s="41">
        <v>4320</v>
      </c>
      <c r="N221" s="41">
        <v>4320</v>
      </c>
      <c r="O221" s="41">
        <v>0</v>
      </c>
      <c r="P221" s="42">
        <v>56640</v>
      </c>
      <c r="Q221" s="34" t="s">
        <v>25</v>
      </c>
      <c r="R221" s="34" t="s">
        <v>26</v>
      </c>
      <c r="S221" s="11" t="s">
        <v>4105</v>
      </c>
    </row>
    <row r="222" spans="1:19" x14ac:dyDescent="0.2">
      <c r="A222" s="33">
        <v>43586</v>
      </c>
      <c r="B222" s="34">
        <v>49</v>
      </c>
      <c r="C222" s="34" t="s">
        <v>28</v>
      </c>
      <c r="D222" s="34" t="str">
        <f>VLOOKUP(C222,'SALE PARTY MASTER'!$B$4:$E$500,2,FALSE)</f>
        <v>27AAECM8871A1ZF</v>
      </c>
      <c r="E222" s="34" t="s">
        <v>22</v>
      </c>
      <c r="F222" s="34" t="s">
        <v>1624</v>
      </c>
      <c r="G222" s="44">
        <v>43596</v>
      </c>
      <c r="H222" s="34">
        <v>87089900</v>
      </c>
      <c r="I222" s="34">
        <v>28</v>
      </c>
      <c r="J222" s="38">
        <v>12</v>
      </c>
      <c r="K222" s="40">
        <v>23255.759999999998</v>
      </c>
      <c r="L222" s="41">
        <v>0</v>
      </c>
      <c r="M222" s="41">
        <v>3255.8063999999995</v>
      </c>
      <c r="N222" s="41">
        <v>3255.8063999999995</v>
      </c>
      <c r="O222" s="41">
        <v>0</v>
      </c>
      <c r="P222" s="42">
        <v>29767.372799999997</v>
      </c>
      <c r="Q222" s="34" t="s">
        <v>25</v>
      </c>
      <c r="R222" s="34" t="s">
        <v>26</v>
      </c>
      <c r="S222" s="11" t="s">
        <v>4105</v>
      </c>
    </row>
    <row r="223" spans="1:19" x14ac:dyDescent="0.2">
      <c r="A223" s="33">
        <v>43586</v>
      </c>
      <c r="B223" s="34">
        <v>50</v>
      </c>
      <c r="C223" s="34" t="s">
        <v>28</v>
      </c>
      <c r="D223" s="34" t="str">
        <f>VLOOKUP(C223,'SALE PARTY MASTER'!$B$4:$E$500,2,FALSE)</f>
        <v>27AAECM8871A1ZF</v>
      </c>
      <c r="E223" s="34" t="s">
        <v>22</v>
      </c>
      <c r="F223" s="34" t="s">
        <v>1625</v>
      </c>
      <c r="G223" s="44">
        <v>43596</v>
      </c>
      <c r="H223" s="34">
        <v>87089900</v>
      </c>
      <c r="I223" s="34">
        <v>28</v>
      </c>
      <c r="J223" s="38">
        <v>12</v>
      </c>
      <c r="K223" s="40">
        <v>23255.759999999998</v>
      </c>
      <c r="L223" s="41">
        <v>0</v>
      </c>
      <c r="M223" s="41">
        <v>3255.8063999999995</v>
      </c>
      <c r="N223" s="41">
        <v>3255.8063999999995</v>
      </c>
      <c r="O223" s="41">
        <v>0</v>
      </c>
      <c r="P223" s="42">
        <v>29767.372799999997</v>
      </c>
      <c r="Q223" s="34" t="s">
        <v>25</v>
      </c>
      <c r="R223" s="34" t="s">
        <v>26</v>
      </c>
      <c r="S223" s="11" t="s">
        <v>4105</v>
      </c>
    </row>
    <row r="224" spans="1:19" x14ac:dyDescent="0.2">
      <c r="A224" s="33">
        <v>43586</v>
      </c>
      <c r="B224" s="34">
        <v>51</v>
      </c>
      <c r="C224" s="34" t="s">
        <v>28</v>
      </c>
      <c r="D224" s="34" t="str">
        <f>VLOOKUP(C224,'SALE PARTY MASTER'!$B$4:$E$500,2,FALSE)</f>
        <v>27AAECM8871A1ZF</v>
      </c>
      <c r="E224" s="34" t="s">
        <v>22</v>
      </c>
      <c r="F224" s="34" t="s">
        <v>1626</v>
      </c>
      <c r="G224" s="44">
        <v>43596</v>
      </c>
      <c r="H224" s="34">
        <v>87089900</v>
      </c>
      <c r="I224" s="34">
        <v>28</v>
      </c>
      <c r="J224" s="38">
        <v>12</v>
      </c>
      <c r="K224" s="40">
        <v>23255.759999999998</v>
      </c>
      <c r="L224" s="41">
        <v>0</v>
      </c>
      <c r="M224" s="41">
        <v>3255.8063999999995</v>
      </c>
      <c r="N224" s="41">
        <v>3255.8063999999995</v>
      </c>
      <c r="O224" s="41">
        <v>0</v>
      </c>
      <c r="P224" s="42">
        <v>29767.372799999997</v>
      </c>
      <c r="Q224" s="34" t="s">
        <v>25</v>
      </c>
      <c r="R224" s="34" t="s">
        <v>26</v>
      </c>
      <c r="S224" s="11" t="s">
        <v>4105</v>
      </c>
    </row>
    <row r="225" spans="1:19" x14ac:dyDescent="0.2">
      <c r="A225" s="33">
        <v>43586</v>
      </c>
      <c r="B225" s="34">
        <v>52</v>
      </c>
      <c r="C225" s="34" t="s">
        <v>45</v>
      </c>
      <c r="D225" s="34" t="str">
        <f>VLOOKUP(C225,'SALE PARTY MASTER'!$B$4:$E$500,2,FALSE)</f>
        <v>27AAACD4090Q1Z8</v>
      </c>
      <c r="E225" s="34" t="s">
        <v>22</v>
      </c>
      <c r="F225" s="34" t="s">
        <v>1627</v>
      </c>
      <c r="G225" s="44">
        <v>43596</v>
      </c>
      <c r="H225" s="34">
        <v>85129000</v>
      </c>
      <c r="I225" s="34">
        <v>18</v>
      </c>
      <c r="J225" s="38">
        <v>630</v>
      </c>
      <c r="K225" s="40">
        <v>76866.3</v>
      </c>
      <c r="L225" s="41">
        <v>0</v>
      </c>
      <c r="M225" s="41">
        <v>6917.9670000000006</v>
      </c>
      <c r="N225" s="41">
        <v>6917.9670000000006</v>
      </c>
      <c r="O225" s="41">
        <v>0</v>
      </c>
      <c r="P225" s="42">
        <v>90702.234000000011</v>
      </c>
      <c r="Q225" s="34" t="s">
        <v>25</v>
      </c>
      <c r="R225" s="34" t="s">
        <v>26</v>
      </c>
      <c r="S225" s="11" t="s">
        <v>4105</v>
      </c>
    </row>
    <row r="226" spans="1:19" x14ac:dyDescent="0.2">
      <c r="A226" s="33">
        <v>43586</v>
      </c>
      <c r="B226" s="34">
        <v>53</v>
      </c>
      <c r="C226" s="34" t="s">
        <v>155</v>
      </c>
      <c r="D226" s="34" t="str">
        <f>VLOOKUP(C226,'SALE PARTY MASTER'!$B$4:$E$500,2,FALSE)</f>
        <v>27AAGCP0139E1ZP</v>
      </c>
      <c r="E226" s="34" t="s">
        <v>22</v>
      </c>
      <c r="F226" s="34" t="s">
        <v>1628</v>
      </c>
      <c r="G226" s="44">
        <v>43596</v>
      </c>
      <c r="H226" s="34">
        <v>87141090</v>
      </c>
      <c r="I226" s="34">
        <v>28</v>
      </c>
      <c r="J226" s="38">
        <v>720</v>
      </c>
      <c r="K226" s="40">
        <v>33861.599999999999</v>
      </c>
      <c r="L226" s="41">
        <v>0</v>
      </c>
      <c r="M226" s="41">
        <v>4740.6239999999998</v>
      </c>
      <c r="N226" s="41">
        <v>4740.6239999999998</v>
      </c>
      <c r="O226" s="41">
        <v>0</v>
      </c>
      <c r="P226" s="42">
        <v>43342.847999999998</v>
      </c>
      <c r="Q226" s="34" t="s">
        <v>25</v>
      </c>
      <c r="R226" s="34" t="s">
        <v>26</v>
      </c>
      <c r="S226" s="11" t="s">
        <v>4105</v>
      </c>
    </row>
    <row r="227" spans="1:19" x14ac:dyDescent="0.2">
      <c r="A227" s="33">
        <v>43586</v>
      </c>
      <c r="B227" s="34">
        <v>54</v>
      </c>
      <c r="C227" s="34" t="s">
        <v>124</v>
      </c>
      <c r="D227" s="34" t="str">
        <f>VLOOKUP(C227,'SALE PARTY MASTER'!$B$4:$E$500,2,FALSE)</f>
        <v>27AAACB2484Q1Z8</v>
      </c>
      <c r="E227" s="34" t="s">
        <v>22</v>
      </c>
      <c r="F227" s="34" t="s">
        <v>1629</v>
      </c>
      <c r="G227" s="44">
        <v>43596</v>
      </c>
      <c r="H227" s="34">
        <v>998898</v>
      </c>
      <c r="I227" s="34">
        <v>18</v>
      </c>
      <c r="J227" s="38">
        <v>450</v>
      </c>
      <c r="K227" s="40">
        <v>3105</v>
      </c>
      <c r="L227" s="41">
        <v>0</v>
      </c>
      <c r="M227" s="41">
        <v>279.45</v>
      </c>
      <c r="N227" s="41">
        <v>279.45</v>
      </c>
      <c r="O227" s="41">
        <v>0</v>
      </c>
      <c r="P227" s="42">
        <v>3663.8999999999996</v>
      </c>
      <c r="Q227" s="34" t="s">
        <v>25</v>
      </c>
      <c r="R227" s="34" t="s">
        <v>26</v>
      </c>
      <c r="S227" s="11" t="s">
        <v>4105</v>
      </c>
    </row>
    <row r="228" spans="1:19" x14ac:dyDescent="0.2">
      <c r="A228" s="33">
        <v>43586</v>
      </c>
      <c r="B228" s="34">
        <v>55</v>
      </c>
      <c r="C228" s="34" t="s">
        <v>124</v>
      </c>
      <c r="D228" s="34" t="str">
        <f>VLOOKUP(C228,'SALE PARTY MASTER'!$B$4:$E$500,2,FALSE)</f>
        <v>27AAACB2484Q1Z8</v>
      </c>
      <c r="E228" s="34" t="s">
        <v>22</v>
      </c>
      <c r="F228" s="34" t="s">
        <v>1630</v>
      </c>
      <c r="G228" s="44">
        <v>43596</v>
      </c>
      <c r="H228" s="34">
        <v>998898</v>
      </c>
      <c r="I228" s="34">
        <v>18</v>
      </c>
      <c r="J228" s="38">
        <v>720</v>
      </c>
      <c r="K228" s="40">
        <v>4680</v>
      </c>
      <c r="L228" s="41">
        <v>0</v>
      </c>
      <c r="M228" s="41">
        <v>421.2</v>
      </c>
      <c r="N228" s="41">
        <v>421.2</v>
      </c>
      <c r="O228" s="41">
        <v>0</v>
      </c>
      <c r="P228" s="42">
        <v>5522.4</v>
      </c>
      <c r="Q228" s="34" t="s">
        <v>25</v>
      </c>
      <c r="R228" s="34" t="s">
        <v>26</v>
      </c>
      <c r="S228" s="11" t="s">
        <v>4105</v>
      </c>
    </row>
    <row r="229" spans="1:19" x14ac:dyDescent="0.2">
      <c r="A229" s="33">
        <v>43586</v>
      </c>
      <c r="B229" s="34">
        <v>56</v>
      </c>
      <c r="C229" s="34" t="s">
        <v>124</v>
      </c>
      <c r="D229" s="34" t="str">
        <f>VLOOKUP(C229,'SALE PARTY MASTER'!$B$4:$E$500,2,FALSE)</f>
        <v>27AAACB2484Q1Z8</v>
      </c>
      <c r="E229" s="34" t="s">
        <v>22</v>
      </c>
      <c r="F229" s="34" t="s">
        <v>1631</v>
      </c>
      <c r="G229" s="44">
        <v>43596</v>
      </c>
      <c r="H229" s="34">
        <v>998898</v>
      </c>
      <c r="I229" s="34">
        <v>18</v>
      </c>
      <c r="J229" s="38">
        <v>1390</v>
      </c>
      <c r="K229" s="40">
        <v>2780</v>
      </c>
      <c r="L229" s="41">
        <v>0</v>
      </c>
      <c r="M229" s="41">
        <v>250.20000000000002</v>
      </c>
      <c r="N229" s="41">
        <v>250.20000000000002</v>
      </c>
      <c r="O229" s="41">
        <v>0</v>
      </c>
      <c r="P229" s="42">
        <v>3280.3999999999996</v>
      </c>
      <c r="Q229" s="34" t="s">
        <v>25</v>
      </c>
      <c r="R229" s="34" t="s">
        <v>26</v>
      </c>
      <c r="S229" s="11" t="s">
        <v>4105</v>
      </c>
    </row>
    <row r="230" spans="1:19" x14ac:dyDescent="0.2">
      <c r="A230" s="33">
        <v>43586</v>
      </c>
      <c r="B230" s="34">
        <v>57</v>
      </c>
      <c r="C230" s="34" t="s">
        <v>28</v>
      </c>
      <c r="D230" s="34" t="str">
        <f>VLOOKUP(C230,'SALE PARTY MASTER'!$B$4:$E$500,2,FALSE)</f>
        <v>27AAECM8871A1ZF</v>
      </c>
      <c r="E230" s="34" t="s">
        <v>22</v>
      </c>
      <c r="F230" s="34" t="s">
        <v>1632</v>
      </c>
      <c r="G230" s="44">
        <v>43598</v>
      </c>
      <c r="H230" s="34">
        <v>87089900</v>
      </c>
      <c r="I230" s="34">
        <v>28</v>
      </c>
      <c r="J230" s="38">
        <v>12</v>
      </c>
      <c r="K230" s="40">
        <v>23255.759999999998</v>
      </c>
      <c r="L230" s="41">
        <v>0</v>
      </c>
      <c r="M230" s="41">
        <v>3255.8063999999995</v>
      </c>
      <c r="N230" s="41">
        <v>3255.8063999999995</v>
      </c>
      <c r="O230" s="41">
        <v>0</v>
      </c>
      <c r="P230" s="42">
        <v>29767.372799999997</v>
      </c>
      <c r="Q230" s="34" t="s">
        <v>25</v>
      </c>
      <c r="R230" s="34" t="s">
        <v>26</v>
      </c>
      <c r="S230" s="11" t="s">
        <v>4105</v>
      </c>
    </row>
    <row r="231" spans="1:19" x14ac:dyDescent="0.2">
      <c r="A231" s="33">
        <v>43586</v>
      </c>
      <c r="B231" s="34">
        <v>58</v>
      </c>
      <c r="C231" s="34" t="s">
        <v>28</v>
      </c>
      <c r="D231" s="34" t="str">
        <f>VLOOKUP(C231,'SALE PARTY MASTER'!$B$4:$E$500,2,FALSE)</f>
        <v>27AAECM8871A1ZF</v>
      </c>
      <c r="E231" s="34" t="s">
        <v>22</v>
      </c>
      <c r="F231" s="34" t="s">
        <v>1633</v>
      </c>
      <c r="G231" s="44">
        <v>43598</v>
      </c>
      <c r="H231" s="34">
        <v>87089900</v>
      </c>
      <c r="I231" s="34">
        <v>28</v>
      </c>
      <c r="J231" s="38">
        <v>12</v>
      </c>
      <c r="K231" s="40">
        <v>23255.759999999998</v>
      </c>
      <c r="L231" s="41">
        <v>0</v>
      </c>
      <c r="M231" s="41">
        <v>3255.8063999999995</v>
      </c>
      <c r="N231" s="41">
        <v>3255.8063999999995</v>
      </c>
      <c r="O231" s="41">
        <v>0</v>
      </c>
      <c r="P231" s="42">
        <v>29767.372799999997</v>
      </c>
      <c r="Q231" s="34" t="s">
        <v>25</v>
      </c>
      <c r="R231" s="34" t="s">
        <v>26</v>
      </c>
      <c r="S231" s="11" t="s">
        <v>4105</v>
      </c>
    </row>
    <row r="232" spans="1:19" x14ac:dyDescent="0.2">
      <c r="A232" s="33">
        <v>43586</v>
      </c>
      <c r="B232" s="34">
        <v>59</v>
      </c>
      <c r="C232" s="34" t="s">
        <v>124</v>
      </c>
      <c r="D232" s="34" t="str">
        <f>VLOOKUP(C232,'SALE PARTY MASTER'!$B$4:$E$500,2,FALSE)</f>
        <v>27AAACB2484Q1Z8</v>
      </c>
      <c r="E232" s="34" t="s">
        <v>22</v>
      </c>
      <c r="F232" s="34" t="s">
        <v>1634</v>
      </c>
      <c r="G232" s="44">
        <v>43598</v>
      </c>
      <c r="H232" s="34">
        <v>998898</v>
      </c>
      <c r="I232" s="34">
        <v>18</v>
      </c>
      <c r="J232" s="38">
        <v>3492</v>
      </c>
      <c r="K232" s="40">
        <v>11955</v>
      </c>
      <c r="L232" s="41">
        <v>0</v>
      </c>
      <c r="M232" s="41">
        <v>1075.95</v>
      </c>
      <c r="N232" s="41">
        <v>1075.95</v>
      </c>
      <c r="O232" s="41">
        <v>0</v>
      </c>
      <c r="P232" s="42">
        <v>14106.900000000001</v>
      </c>
      <c r="Q232" s="34" t="s">
        <v>25</v>
      </c>
      <c r="R232" s="34" t="s">
        <v>26</v>
      </c>
      <c r="S232" s="11" t="s">
        <v>4105</v>
      </c>
    </row>
    <row r="233" spans="1:19" x14ac:dyDescent="0.2">
      <c r="A233" s="33">
        <v>43586</v>
      </c>
      <c r="B233" s="34">
        <v>60</v>
      </c>
      <c r="C233" s="34" t="s">
        <v>28</v>
      </c>
      <c r="D233" s="34" t="str">
        <f>VLOOKUP(C233,'SALE PARTY MASTER'!$B$4:$E$500,2,FALSE)</f>
        <v>27AAECM8871A1ZF</v>
      </c>
      <c r="E233" s="34" t="s">
        <v>22</v>
      </c>
      <c r="F233" s="34" t="s">
        <v>1635</v>
      </c>
      <c r="G233" s="44">
        <v>43598</v>
      </c>
      <c r="H233" s="34">
        <v>87089900</v>
      </c>
      <c r="I233" s="34">
        <v>28</v>
      </c>
      <c r="J233" s="38">
        <v>9</v>
      </c>
      <c r="K233" s="40">
        <v>17441.82</v>
      </c>
      <c r="L233" s="41">
        <v>0</v>
      </c>
      <c r="M233" s="41">
        <v>2441.8547999999996</v>
      </c>
      <c r="N233" s="41">
        <v>2441.8547999999996</v>
      </c>
      <c r="O233" s="41">
        <v>0</v>
      </c>
      <c r="P233" s="42">
        <v>22325.529600000002</v>
      </c>
      <c r="Q233" s="34" t="s">
        <v>25</v>
      </c>
      <c r="R233" s="34" t="s">
        <v>26</v>
      </c>
      <c r="S233" s="11" t="s">
        <v>4105</v>
      </c>
    </row>
    <row r="234" spans="1:19" x14ac:dyDescent="0.2">
      <c r="A234" s="33">
        <v>43586</v>
      </c>
      <c r="B234" s="34">
        <v>61</v>
      </c>
      <c r="C234" s="34" t="s">
        <v>167</v>
      </c>
      <c r="D234" s="34" t="str">
        <f>VLOOKUP(C234,'SALE PARTY MASTER'!$B$4:$E$500,2,FALSE)</f>
        <v>27AABFP3834C1ZK</v>
      </c>
      <c r="E234" s="34" t="s">
        <v>22</v>
      </c>
      <c r="F234" s="34" t="s">
        <v>1636</v>
      </c>
      <c r="G234" s="44">
        <v>43599</v>
      </c>
      <c r="H234" s="34">
        <v>87141900</v>
      </c>
      <c r="I234" s="34">
        <v>28</v>
      </c>
      <c r="J234" s="38">
        <v>860</v>
      </c>
      <c r="K234" s="40">
        <v>11096.6</v>
      </c>
      <c r="L234" s="41">
        <v>0</v>
      </c>
      <c r="M234" s="41">
        <v>1553.5240000000001</v>
      </c>
      <c r="N234" s="41">
        <v>1553.5240000000001</v>
      </c>
      <c r="O234" s="41">
        <v>0</v>
      </c>
      <c r="P234" s="42">
        <v>14203.647999999999</v>
      </c>
      <c r="Q234" s="34" t="s">
        <v>25</v>
      </c>
      <c r="R234" s="34" t="s">
        <v>26</v>
      </c>
      <c r="S234" s="11" t="s">
        <v>4105</v>
      </c>
    </row>
    <row r="235" spans="1:19" x14ac:dyDescent="0.2">
      <c r="A235" s="33">
        <v>43586</v>
      </c>
      <c r="B235" s="34">
        <v>62</v>
      </c>
      <c r="C235" s="34" t="s">
        <v>124</v>
      </c>
      <c r="D235" s="34" t="str">
        <f>VLOOKUP(C235,'SALE PARTY MASTER'!$B$4:$E$500,2,FALSE)</f>
        <v>27AAACB2484Q1Z8</v>
      </c>
      <c r="E235" s="34" t="s">
        <v>22</v>
      </c>
      <c r="F235" s="34" t="s">
        <v>1637</v>
      </c>
      <c r="G235" s="44">
        <v>43599</v>
      </c>
      <c r="H235" s="34">
        <v>998898</v>
      </c>
      <c r="I235" s="34">
        <v>18</v>
      </c>
      <c r="J235" s="38">
        <v>1230</v>
      </c>
      <c r="K235" s="40">
        <v>5460</v>
      </c>
      <c r="L235" s="41">
        <v>0</v>
      </c>
      <c r="M235" s="41">
        <v>491.40000000000003</v>
      </c>
      <c r="N235" s="41">
        <v>491.40000000000003</v>
      </c>
      <c r="O235" s="41">
        <v>0</v>
      </c>
      <c r="P235" s="42">
        <v>6442.7999999999993</v>
      </c>
      <c r="Q235" s="34" t="s">
        <v>25</v>
      </c>
      <c r="R235" s="34" t="s">
        <v>26</v>
      </c>
      <c r="S235" s="11" t="s">
        <v>4105</v>
      </c>
    </row>
    <row r="236" spans="1:19" x14ac:dyDescent="0.2">
      <c r="A236" s="33">
        <v>43586</v>
      </c>
      <c r="B236" s="34">
        <v>63</v>
      </c>
      <c r="C236" s="34" t="s">
        <v>124</v>
      </c>
      <c r="D236" s="34" t="str">
        <f>VLOOKUP(C236,'SALE PARTY MASTER'!$B$4:$E$500,2,FALSE)</f>
        <v>27AAACB2484Q1Z8</v>
      </c>
      <c r="E236" s="34" t="s">
        <v>22</v>
      </c>
      <c r="F236" s="34" t="s">
        <v>1638</v>
      </c>
      <c r="G236" s="44">
        <v>43599</v>
      </c>
      <c r="H236" s="34">
        <v>998898</v>
      </c>
      <c r="I236" s="34">
        <v>18</v>
      </c>
      <c r="J236" s="38">
        <v>840</v>
      </c>
      <c r="K236" s="40">
        <v>5460</v>
      </c>
      <c r="L236" s="41">
        <v>0</v>
      </c>
      <c r="M236" s="41">
        <v>491.40000000000003</v>
      </c>
      <c r="N236" s="41">
        <v>491.40000000000003</v>
      </c>
      <c r="O236" s="41">
        <v>0</v>
      </c>
      <c r="P236" s="42">
        <v>6442.7999999999993</v>
      </c>
      <c r="Q236" s="34" t="s">
        <v>25</v>
      </c>
      <c r="R236" s="34" t="s">
        <v>26</v>
      </c>
      <c r="S236" s="11" t="s">
        <v>4105</v>
      </c>
    </row>
    <row r="237" spans="1:19" x14ac:dyDescent="0.2">
      <c r="A237" s="33">
        <v>43586</v>
      </c>
      <c r="B237" s="34">
        <v>64</v>
      </c>
      <c r="C237" s="34" t="s">
        <v>124</v>
      </c>
      <c r="D237" s="34" t="str">
        <f>VLOOKUP(C237,'SALE PARTY MASTER'!$B$4:$E$500,2,FALSE)</f>
        <v>27AAACB2484Q1Z8</v>
      </c>
      <c r="E237" s="34" t="s">
        <v>22</v>
      </c>
      <c r="F237" s="34" t="s">
        <v>1639</v>
      </c>
      <c r="G237" s="44">
        <v>43599</v>
      </c>
      <c r="H237" s="34">
        <v>998898</v>
      </c>
      <c r="I237" s="34">
        <v>18</v>
      </c>
      <c r="J237" s="38">
        <v>150</v>
      </c>
      <c r="K237" s="40">
        <v>975</v>
      </c>
      <c r="L237" s="41">
        <v>0</v>
      </c>
      <c r="M237" s="41">
        <v>87.75</v>
      </c>
      <c r="N237" s="41">
        <v>87.75</v>
      </c>
      <c r="O237" s="41">
        <v>0</v>
      </c>
      <c r="P237" s="42">
        <v>1150.5</v>
      </c>
      <c r="Q237" s="34" t="s">
        <v>25</v>
      </c>
      <c r="R237" s="34" t="s">
        <v>26</v>
      </c>
      <c r="S237" s="11" t="s">
        <v>4105</v>
      </c>
    </row>
    <row r="238" spans="1:19" x14ac:dyDescent="0.2">
      <c r="A238" s="33">
        <v>43586</v>
      </c>
      <c r="B238" s="34">
        <v>65</v>
      </c>
      <c r="C238" s="34" t="s">
        <v>155</v>
      </c>
      <c r="D238" s="34" t="str">
        <f>VLOOKUP(C238,'SALE PARTY MASTER'!$B$4:$E$500,2,FALSE)</f>
        <v>27AAGCP0139E1ZP</v>
      </c>
      <c r="E238" s="34" t="s">
        <v>22</v>
      </c>
      <c r="F238" s="34" t="s">
        <v>1640</v>
      </c>
      <c r="G238" s="44">
        <v>43599</v>
      </c>
      <c r="H238" s="34">
        <v>87141090</v>
      </c>
      <c r="I238" s="34">
        <v>28</v>
      </c>
      <c r="J238" s="38">
        <v>200</v>
      </c>
      <c r="K238" s="40">
        <v>15074</v>
      </c>
      <c r="L238" s="41">
        <v>0</v>
      </c>
      <c r="M238" s="41">
        <v>2110.36</v>
      </c>
      <c r="N238" s="41">
        <v>2110.36</v>
      </c>
      <c r="O238" s="41">
        <v>0</v>
      </c>
      <c r="P238" s="42">
        <v>19294.72</v>
      </c>
      <c r="Q238" s="34" t="s">
        <v>25</v>
      </c>
      <c r="R238" s="34" t="s">
        <v>26</v>
      </c>
      <c r="S238" s="11" t="s">
        <v>4105</v>
      </c>
    </row>
    <row r="239" spans="1:19" x14ac:dyDescent="0.2">
      <c r="A239" s="33">
        <v>43586</v>
      </c>
      <c r="B239" s="34">
        <v>66</v>
      </c>
      <c r="C239" s="34" t="s">
        <v>155</v>
      </c>
      <c r="D239" s="34" t="str">
        <f>VLOOKUP(C239,'SALE PARTY MASTER'!$B$4:$E$500,2,FALSE)</f>
        <v>27AAGCP0139E1ZP</v>
      </c>
      <c r="E239" s="34" t="s">
        <v>22</v>
      </c>
      <c r="F239" s="34" t="s">
        <v>1641</v>
      </c>
      <c r="G239" s="44">
        <v>43599</v>
      </c>
      <c r="H239" s="34">
        <v>87141090</v>
      </c>
      <c r="I239" s="34">
        <v>28</v>
      </c>
      <c r="J239" s="38">
        <v>600</v>
      </c>
      <c r="K239" s="40">
        <v>28218</v>
      </c>
      <c r="L239" s="41">
        <v>0</v>
      </c>
      <c r="M239" s="41">
        <v>3950.52</v>
      </c>
      <c r="N239" s="41">
        <v>3950.52</v>
      </c>
      <c r="O239" s="41">
        <v>0</v>
      </c>
      <c r="P239" s="42">
        <v>36119.040000000001</v>
      </c>
      <c r="Q239" s="34" t="s">
        <v>25</v>
      </c>
      <c r="R239" s="34" t="s">
        <v>26</v>
      </c>
      <c r="S239" s="11" t="s">
        <v>4105</v>
      </c>
    </row>
    <row r="240" spans="1:19" x14ac:dyDescent="0.2">
      <c r="A240" s="33">
        <v>43586</v>
      </c>
      <c r="B240" s="34">
        <v>67</v>
      </c>
      <c r="C240" s="34" t="s">
        <v>28</v>
      </c>
      <c r="D240" s="34" t="str">
        <f>VLOOKUP(C240,'SALE PARTY MASTER'!$B$4:$E$500,2,FALSE)</f>
        <v>27AAECM8871A1ZF</v>
      </c>
      <c r="E240" s="34" t="s">
        <v>22</v>
      </c>
      <c r="F240" s="34" t="s">
        <v>1642</v>
      </c>
      <c r="G240" s="44">
        <v>43599</v>
      </c>
      <c r="H240" s="34">
        <v>87089900</v>
      </c>
      <c r="I240" s="34">
        <v>28</v>
      </c>
      <c r="J240" s="38">
        <v>12</v>
      </c>
      <c r="K240" s="40">
        <v>23255.759999999998</v>
      </c>
      <c r="L240" s="41">
        <v>0</v>
      </c>
      <c r="M240" s="41">
        <v>3255.8063999999995</v>
      </c>
      <c r="N240" s="41">
        <v>3255.8063999999995</v>
      </c>
      <c r="O240" s="41">
        <v>0</v>
      </c>
      <c r="P240" s="42">
        <v>29767.372799999997</v>
      </c>
      <c r="Q240" s="34" t="s">
        <v>25</v>
      </c>
      <c r="R240" s="34" t="s">
        <v>26</v>
      </c>
      <c r="S240" s="11" t="s">
        <v>4105</v>
      </c>
    </row>
    <row r="241" spans="1:19" x14ac:dyDescent="0.2">
      <c r="A241" s="33">
        <v>43586</v>
      </c>
      <c r="B241" s="34">
        <v>68</v>
      </c>
      <c r="C241" s="34" t="s">
        <v>28</v>
      </c>
      <c r="D241" s="34" t="str">
        <f>VLOOKUP(C241,'SALE PARTY MASTER'!$B$4:$E$500,2,FALSE)</f>
        <v>27AAECM8871A1ZF</v>
      </c>
      <c r="E241" s="34" t="s">
        <v>22</v>
      </c>
      <c r="F241" s="34" t="s">
        <v>1643</v>
      </c>
      <c r="G241" s="44">
        <v>43599</v>
      </c>
      <c r="H241" s="34">
        <v>87089900</v>
      </c>
      <c r="I241" s="34">
        <v>28</v>
      </c>
      <c r="J241" s="38">
        <v>12</v>
      </c>
      <c r="K241" s="40">
        <v>23255.759999999998</v>
      </c>
      <c r="L241" s="41">
        <v>0</v>
      </c>
      <c r="M241" s="41">
        <v>3255.8063999999995</v>
      </c>
      <c r="N241" s="41">
        <v>3255.8063999999995</v>
      </c>
      <c r="O241" s="41">
        <v>0</v>
      </c>
      <c r="P241" s="42">
        <v>29767.372799999997</v>
      </c>
      <c r="Q241" s="34" t="s">
        <v>25</v>
      </c>
      <c r="R241" s="34" t="s">
        <v>26</v>
      </c>
      <c r="S241" s="11" t="s">
        <v>4105</v>
      </c>
    </row>
    <row r="242" spans="1:19" x14ac:dyDescent="0.2">
      <c r="A242" s="33">
        <v>43586</v>
      </c>
      <c r="B242" s="34">
        <v>69</v>
      </c>
      <c r="C242" s="34" t="s">
        <v>124</v>
      </c>
      <c r="D242" s="34" t="str">
        <f>VLOOKUP(C242,'SALE PARTY MASTER'!$B$4:$E$500,2,FALSE)</f>
        <v>27AAACB2484Q1Z8</v>
      </c>
      <c r="E242" s="34" t="s">
        <v>22</v>
      </c>
      <c r="F242" s="34" t="s">
        <v>1644</v>
      </c>
      <c r="G242" s="44">
        <v>43599</v>
      </c>
      <c r="H242" s="34">
        <v>998898</v>
      </c>
      <c r="I242" s="34">
        <v>18</v>
      </c>
      <c r="J242" s="38">
        <v>332</v>
      </c>
      <c r="K242" s="40">
        <v>1945</v>
      </c>
      <c r="L242" s="41">
        <v>0</v>
      </c>
      <c r="M242" s="41">
        <v>175.04999999999998</v>
      </c>
      <c r="N242" s="41">
        <v>175.04999999999998</v>
      </c>
      <c r="O242" s="41">
        <v>0</v>
      </c>
      <c r="P242" s="42">
        <v>2295.1000000000004</v>
      </c>
      <c r="Q242" s="34" t="s">
        <v>25</v>
      </c>
      <c r="R242" s="34" t="s">
        <v>26</v>
      </c>
      <c r="S242" s="11" t="s">
        <v>4105</v>
      </c>
    </row>
    <row r="243" spans="1:19" x14ac:dyDescent="0.2">
      <c r="A243" s="33">
        <v>43586</v>
      </c>
      <c r="B243" s="34">
        <v>70</v>
      </c>
      <c r="C243" s="34" t="s">
        <v>124</v>
      </c>
      <c r="D243" s="34" t="str">
        <f>VLOOKUP(C243,'SALE PARTY MASTER'!$B$4:$E$500,2,FALSE)</f>
        <v>27AAACB2484Q1Z8</v>
      </c>
      <c r="E243" s="34" t="s">
        <v>22</v>
      </c>
      <c r="F243" s="34" t="s">
        <v>1645</v>
      </c>
      <c r="G243" s="44">
        <v>43599</v>
      </c>
      <c r="H243" s="34">
        <v>998898</v>
      </c>
      <c r="I243" s="34">
        <v>18</v>
      </c>
      <c r="J243" s="38">
        <v>150</v>
      </c>
      <c r="K243" s="40">
        <v>780</v>
      </c>
      <c r="L243" s="41">
        <v>0</v>
      </c>
      <c r="M243" s="41">
        <v>70.2</v>
      </c>
      <c r="N243" s="41">
        <v>70.2</v>
      </c>
      <c r="O243" s="41">
        <v>0</v>
      </c>
      <c r="P243" s="42">
        <v>920.40000000000009</v>
      </c>
      <c r="Q243" s="34" t="s">
        <v>25</v>
      </c>
      <c r="R243" s="34" t="s">
        <v>26</v>
      </c>
      <c r="S243" s="11" t="s">
        <v>4105</v>
      </c>
    </row>
    <row r="244" spans="1:19" x14ac:dyDescent="0.2">
      <c r="A244" s="33">
        <v>43586</v>
      </c>
      <c r="B244" s="34">
        <v>71</v>
      </c>
      <c r="C244" s="34" t="s">
        <v>28</v>
      </c>
      <c r="D244" s="34" t="str">
        <f>VLOOKUP(C244,'SALE PARTY MASTER'!$B$4:$E$500,2,FALSE)</f>
        <v>27AAECM8871A1ZF</v>
      </c>
      <c r="E244" s="34" t="s">
        <v>22</v>
      </c>
      <c r="F244" s="34" t="s">
        <v>1646</v>
      </c>
      <c r="G244" s="44">
        <v>43600</v>
      </c>
      <c r="H244" s="34">
        <v>87089900</v>
      </c>
      <c r="I244" s="34">
        <v>28</v>
      </c>
      <c r="J244" s="38">
        <v>12</v>
      </c>
      <c r="K244" s="40">
        <v>23255.759999999998</v>
      </c>
      <c r="L244" s="41">
        <v>0</v>
      </c>
      <c r="M244" s="41">
        <v>3255.8063999999995</v>
      </c>
      <c r="N244" s="41">
        <v>3255.8063999999995</v>
      </c>
      <c r="O244" s="41">
        <v>0</v>
      </c>
      <c r="P244" s="42">
        <v>29767.372799999997</v>
      </c>
      <c r="Q244" s="34" t="s">
        <v>25</v>
      </c>
      <c r="R244" s="34" t="s">
        <v>26</v>
      </c>
      <c r="S244" s="11" t="s">
        <v>4105</v>
      </c>
    </row>
    <row r="245" spans="1:19" x14ac:dyDescent="0.2">
      <c r="A245" s="33">
        <v>43586</v>
      </c>
      <c r="B245" s="34">
        <v>72</v>
      </c>
      <c r="C245" s="34" t="s">
        <v>49</v>
      </c>
      <c r="D245" s="34" t="str">
        <f>VLOOKUP(C245,'SALE PARTY MASTER'!$B$4:$E$500,2,FALSE)</f>
        <v>27AABFJ4217F1ZP</v>
      </c>
      <c r="E245" s="34" t="s">
        <v>22</v>
      </c>
      <c r="F245" s="34" t="s">
        <v>1647</v>
      </c>
      <c r="G245" s="44">
        <v>43600</v>
      </c>
      <c r="H245" s="34">
        <v>998898</v>
      </c>
      <c r="I245" s="34">
        <v>18</v>
      </c>
      <c r="J245" s="38">
        <v>35</v>
      </c>
      <c r="K245" s="40">
        <v>9944.9</v>
      </c>
      <c r="L245" s="41">
        <v>0</v>
      </c>
      <c r="M245" s="41">
        <v>895.04099999999994</v>
      </c>
      <c r="N245" s="41">
        <v>895.04099999999994</v>
      </c>
      <c r="O245" s="41">
        <v>0</v>
      </c>
      <c r="P245" s="42">
        <v>11734.981999999998</v>
      </c>
      <c r="Q245" s="34" t="s">
        <v>25</v>
      </c>
      <c r="R245" s="34" t="s">
        <v>26</v>
      </c>
      <c r="S245" s="11" t="s">
        <v>4105</v>
      </c>
    </row>
    <row r="246" spans="1:19" x14ac:dyDescent="0.2">
      <c r="A246" s="33">
        <v>43586</v>
      </c>
      <c r="B246" s="34">
        <v>73</v>
      </c>
      <c r="C246" s="34" t="s">
        <v>28</v>
      </c>
      <c r="D246" s="34" t="str">
        <f>VLOOKUP(C246,'SALE PARTY MASTER'!$B$4:$E$500,2,FALSE)</f>
        <v>27AAECM8871A1ZF</v>
      </c>
      <c r="E246" s="34" t="s">
        <v>22</v>
      </c>
      <c r="F246" s="34" t="s">
        <v>1648</v>
      </c>
      <c r="G246" s="44">
        <v>43600</v>
      </c>
      <c r="H246" s="34">
        <v>87089900</v>
      </c>
      <c r="I246" s="34">
        <v>28</v>
      </c>
      <c r="J246" s="38">
        <v>12</v>
      </c>
      <c r="K246" s="40">
        <v>23255.759999999998</v>
      </c>
      <c r="L246" s="41">
        <v>0</v>
      </c>
      <c r="M246" s="41">
        <v>3255.8063999999995</v>
      </c>
      <c r="N246" s="41">
        <v>3255.8063999999995</v>
      </c>
      <c r="O246" s="41">
        <v>0</v>
      </c>
      <c r="P246" s="42">
        <v>29767.372799999997</v>
      </c>
      <c r="Q246" s="34" t="s">
        <v>25</v>
      </c>
      <c r="R246" s="34" t="s">
        <v>26</v>
      </c>
      <c r="S246" s="11" t="s">
        <v>4105</v>
      </c>
    </row>
    <row r="247" spans="1:19" x14ac:dyDescent="0.2">
      <c r="A247" s="33">
        <v>43586</v>
      </c>
      <c r="B247" s="34">
        <v>74</v>
      </c>
      <c r="C247" s="34" t="s">
        <v>155</v>
      </c>
      <c r="D247" s="34" t="str">
        <f>VLOOKUP(C247,'SALE PARTY MASTER'!$B$4:$E$500,2,FALSE)</f>
        <v>27AAGCP0139E1ZP</v>
      </c>
      <c r="E247" s="34" t="s">
        <v>22</v>
      </c>
      <c r="F247" s="34" t="s">
        <v>1649</v>
      </c>
      <c r="G247" s="44">
        <v>43600</v>
      </c>
      <c r="H247" s="34">
        <v>87141090</v>
      </c>
      <c r="I247" s="34">
        <v>28</v>
      </c>
      <c r="J247" s="38">
        <v>440</v>
      </c>
      <c r="K247" s="40">
        <v>33162.800000000003</v>
      </c>
      <c r="L247" s="41">
        <v>0</v>
      </c>
      <c r="M247" s="41">
        <v>4642.7920000000004</v>
      </c>
      <c r="N247" s="41">
        <v>4642.7920000000004</v>
      </c>
      <c r="O247" s="41">
        <v>0</v>
      </c>
      <c r="P247" s="42">
        <v>42448.384000000005</v>
      </c>
      <c r="Q247" s="34" t="s">
        <v>25</v>
      </c>
      <c r="R247" s="34" t="s">
        <v>26</v>
      </c>
      <c r="S247" s="11" t="s">
        <v>4105</v>
      </c>
    </row>
    <row r="248" spans="1:19" x14ac:dyDescent="0.2">
      <c r="A248" s="33">
        <v>43586</v>
      </c>
      <c r="B248" s="34">
        <v>75</v>
      </c>
      <c r="C248" s="34" t="s">
        <v>167</v>
      </c>
      <c r="D248" s="34" t="str">
        <f>VLOOKUP(C248,'SALE PARTY MASTER'!$B$4:$E$500,2,FALSE)</f>
        <v>27AABFP3834C1ZK</v>
      </c>
      <c r="E248" s="34" t="s">
        <v>22</v>
      </c>
      <c r="F248" s="34" t="s">
        <v>1650</v>
      </c>
      <c r="G248" s="44">
        <v>43600</v>
      </c>
      <c r="H248" s="34">
        <v>87141900</v>
      </c>
      <c r="I248" s="34">
        <v>28</v>
      </c>
      <c r="J248" s="38">
        <v>710</v>
      </c>
      <c r="K248" s="40">
        <v>8880.2999999999993</v>
      </c>
      <c r="L248" s="41">
        <v>0</v>
      </c>
      <c r="M248" s="41">
        <v>1243.242</v>
      </c>
      <c r="N248" s="41">
        <v>1243.242</v>
      </c>
      <c r="O248" s="41">
        <v>0</v>
      </c>
      <c r="P248" s="42">
        <v>11366.784</v>
      </c>
      <c r="Q248" s="34" t="s">
        <v>25</v>
      </c>
      <c r="R248" s="34" t="s">
        <v>26</v>
      </c>
      <c r="S248" s="11" t="s">
        <v>4105</v>
      </c>
    </row>
    <row r="249" spans="1:19" x14ac:dyDescent="0.2">
      <c r="A249" s="33">
        <v>43586</v>
      </c>
      <c r="B249" s="34">
        <v>76</v>
      </c>
      <c r="C249" s="34" t="s">
        <v>102</v>
      </c>
      <c r="D249" s="34" t="str">
        <f>VLOOKUP(C249,'SALE PARTY MASTER'!$B$4:$E$500,2,FALSE)</f>
        <v>23AABCE9378F1ZK</v>
      </c>
      <c r="E249" s="34" t="s">
        <v>22</v>
      </c>
      <c r="F249" s="34" t="s">
        <v>1651</v>
      </c>
      <c r="G249" s="44">
        <v>43600</v>
      </c>
      <c r="H249" s="34">
        <v>87081090</v>
      </c>
      <c r="I249" s="34">
        <v>28</v>
      </c>
      <c r="J249" s="38">
        <v>32</v>
      </c>
      <c r="K249" s="40">
        <v>68761.600000000006</v>
      </c>
      <c r="L249" s="41">
        <v>19253.248000000003</v>
      </c>
      <c r="M249" s="41">
        <v>0</v>
      </c>
      <c r="N249" s="41">
        <v>0</v>
      </c>
      <c r="O249" s="41">
        <v>0</v>
      </c>
      <c r="P249" s="42">
        <v>88014.848000000013</v>
      </c>
      <c r="Q249" s="34" t="s">
        <v>25</v>
      </c>
      <c r="R249" s="34" t="s">
        <v>106</v>
      </c>
      <c r="S249" s="11" t="s">
        <v>4105</v>
      </c>
    </row>
    <row r="250" spans="1:19" x14ac:dyDescent="0.2">
      <c r="A250" s="33">
        <v>43586</v>
      </c>
      <c r="B250" s="34">
        <v>77</v>
      </c>
      <c r="C250" s="34" t="s">
        <v>124</v>
      </c>
      <c r="D250" s="34" t="str">
        <f>VLOOKUP(C250,'SALE PARTY MASTER'!$B$4:$E$500,2,FALSE)</f>
        <v>27AAACB2484Q1Z8</v>
      </c>
      <c r="E250" s="34" t="s">
        <v>22</v>
      </c>
      <c r="F250" s="34" t="s">
        <v>1652</v>
      </c>
      <c r="G250" s="44">
        <v>43600</v>
      </c>
      <c r="H250" s="34">
        <v>998898</v>
      </c>
      <c r="I250" s="34">
        <v>18</v>
      </c>
      <c r="J250" s="38">
        <v>516</v>
      </c>
      <c r="K250" s="40">
        <v>3150</v>
      </c>
      <c r="L250" s="41">
        <v>0</v>
      </c>
      <c r="M250" s="41">
        <v>283.5</v>
      </c>
      <c r="N250" s="41">
        <v>283.5</v>
      </c>
      <c r="O250" s="41">
        <v>0</v>
      </c>
      <c r="P250" s="42">
        <v>3717</v>
      </c>
      <c r="Q250" s="34" t="s">
        <v>25</v>
      </c>
      <c r="R250" s="34" t="s">
        <v>26</v>
      </c>
      <c r="S250" s="11" t="s">
        <v>4105</v>
      </c>
    </row>
    <row r="251" spans="1:19" x14ac:dyDescent="0.2">
      <c r="A251" s="33">
        <v>43586</v>
      </c>
      <c r="B251" s="34">
        <v>78</v>
      </c>
      <c r="C251" s="34" t="s">
        <v>124</v>
      </c>
      <c r="D251" s="34" t="str">
        <f>VLOOKUP(C251,'SALE PARTY MASTER'!$B$4:$E$500,2,FALSE)</f>
        <v>27AAACB2484Q1Z8</v>
      </c>
      <c r="E251" s="34" t="s">
        <v>22</v>
      </c>
      <c r="F251" s="34" t="s">
        <v>1653</v>
      </c>
      <c r="G251" s="44">
        <v>43600</v>
      </c>
      <c r="H251" s="34">
        <v>998898</v>
      </c>
      <c r="I251" s="34">
        <v>18</v>
      </c>
      <c r="J251" s="38">
        <v>360</v>
      </c>
      <c r="K251" s="40">
        <v>2340</v>
      </c>
      <c r="L251" s="41">
        <v>0</v>
      </c>
      <c r="M251" s="41">
        <v>210.6</v>
      </c>
      <c r="N251" s="41">
        <v>210.6</v>
      </c>
      <c r="O251" s="41">
        <v>0</v>
      </c>
      <c r="P251" s="42">
        <v>2761.2</v>
      </c>
      <c r="Q251" s="34" t="s">
        <v>25</v>
      </c>
      <c r="R251" s="34" t="s">
        <v>26</v>
      </c>
      <c r="S251" s="11" t="s">
        <v>4105</v>
      </c>
    </row>
    <row r="252" spans="1:19" x14ac:dyDescent="0.2">
      <c r="A252" s="33">
        <v>43586</v>
      </c>
      <c r="B252" s="34">
        <v>79</v>
      </c>
      <c r="C252" s="34" t="s">
        <v>45</v>
      </c>
      <c r="D252" s="34" t="str">
        <f>VLOOKUP(C252,'SALE PARTY MASTER'!$B$4:$E$500,2,FALSE)</f>
        <v>27AAACD4090Q1Z8</v>
      </c>
      <c r="E252" s="34" t="s">
        <v>22</v>
      </c>
      <c r="F252" s="34" t="s">
        <v>1654</v>
      </c>
      <c r="G252" s="44">
        <v>43600</v>
      </c>
      <c r="H252" s="34">
        <v>85129000</v>
      </c>
      <c r="I252" s="34">
        <v>18</v>
      </c>
      <c r="J252" s="38">
        <v>774</v>
      </c>
      <c r="K252" s="40">
        <v>94435.74</v>
      </c>
      <c r="L252" s="41">
        <v>0</v>
      </c>
      <c r="M252" s="41">
        <v>8499.2166000000016</v>
      </c>
      <c r="N252" s="41">
        <v>8499.2166000000016</v>
      </c>
      <c r="O252" s="41">
        <v>0</v>
      </c>
      <c r="P252" s="42">
        <v>111434.1732</v>
      </c>
      <c r="Q252" s="34" t="s">
        <v>25</v>
      </c>
      <c r="R252" s="34" t="s">
        <v>26</v>
      </c>
      <c r="S252" s="11" t="s">
        <v>4105</v>
      </c>
    </row>
    <row r="253" spans="1:19" x14ac:dyDescent="0.2">
      <c r="A253" s="33">
        <v>43586</v>
      </c>
      <c r="B253" s="34">
        <v>80</v>
      </c>
      <c r="C253" s="34" t="s">
        <v>45</v>
      </c>
      <c r="D253" s="34" t="str">
        <f>VLOOKUP(C253,'SALE PARTY MASTER'!$B$4:$E$500,2,FALSE)</f>
        <v>27AAACD4090Q1Z8</v>
      </c>
      <c r="E253" s="34" t="s">
        <v>22</v>
      </c>
      <c r="F253" s="34" t="s">
        <v>1655</v>
      </c>
      <c r="G253" s="44">
        <v>43600</v>
      </c>
      <c r="H253" s="34">
        <v>85129000</v>
      </c>
      <c r="I253" s="34">
        <v>18</v>
      </c>
      <c r="J253" s="38">
        <v>135</v>
      </c>
      <c r="K253" s="40">
        <v>8715.6</v>
      </c>
      <c r="L253" s="41">
        <v>0</v>
      </c>
      <c r="M253" s="41">
        <v>784.404</v>
      </c>
      <c r="N253" s="41">
        <v>784.404</v>
      </c>
      <c r="O253" s="41">
        <v>0</v>
      </c>
      <c r="P253" s="42">
        <v>10284.408000000001</v>
      </c>
      <c r="Q253" s="34" t="s">
        <v>25</v>
      </c>
      <c r="R253" s="34" t="s">
        <v>26</v>
      </c>
      <c r="S253" s="11" t="s">
        <v>4105</v>
      </c>
    </row>
    <row r="254" spans="1:19" x14ac:dyDescent="0.2">
      <c r="A254" s="33">
        <v>43586</v>
      </c>
      <c r="B254" s="34">
        <v>81</v>
      </c>
      <c r="C254" s="34" t="s">
        <v>28</v>
      </c>
      <c r="D254" s="34" t="str">
        <f>VLOOKUP(C254,'SALE PARTY MASTER'!$B$4:$E$500,2,FALSE)</f>
        <v>27AAECM8871A1ZF</v>
      </c>
      <c r="E254" s="34" t="s">
        <v>22</v>
      </c>
      <c r="F254" s="34" t="s">
        <v>1656</v>
      </c>
      <c r="G254" s="44">
        <v>43601</v>
      </c>
      <c r="H254" s="34">
        <v>87089900</v>
      </c>
      <c r="I254" s="34">
        <v>28</v>
      </c>
      <c r="J254" s="38">
        <v>12</v>
      </c>
      <c r="K254" s="40">
        <v>23255.759999999998</v>
      </c>
      <c r="L254" s="41">
        <v>0</v>
      </c>
      <c r="M254" s="41">
        <v>3255.8063999999995</v>
      </c>
      <c r="N254" s="41">
        <v>3255.8063999999995</v>
      </c>
      <c r="O254" s="41">
        <v>0</v>
      </c>
      <c r="P254" s="42">
        <v>29767.372799999997</v>
      </c>
      <c r="Q254" s="34" t="s">
        <v>25</v>
      </c>
      <c r="R254" s="34" t="s">
        <v>26</v>
      </c>
      <c r="S254" s="11" t="s">
        <v>4105</v>
      </c>
    </row>
    <row r="255" spans="1:19" x14ac:dyDescent="0.2">
      <c r="A255" s="33">
        <v>43586</v>
      </c>
      <c r="B255" s="34">
        <v>82</v>
      </c>
      <c r="C255" s="34" t="s">
        <v>28</v>
      </c>
      <c r="D255" s="34" t="str">
        <f>VLOOKUP(C255,'SALE PARTY MASTER'!$B$4:$E$500,2,FALSE)</f>
        <v>27AAECM8871A1ZF</v>
      </c>
      <c r="E255" s="34" t="s">
        <v>22</v>
      </c>
      <c r="F255" s="34" t="s">
        <v>1657</v>
      </c>
      <c r="G255" s="44">
        <v>43601</v>
      </c>
      <c r="H255" s="34">
        <v>87089900</v>
      </c>
      <c r="I255" s="34">
        <v>28</v>
      </c>
      <c r="J255" s="38">
        <v>12</v>
      </c>
      <c r="K255" s="40">
        <v>23255.759999999998</v>
      </c>
      <c r="L255" s="41">
        <v>0</v>
      </c>
      <c r="M255" s="41">
        <v>3255.8063999999995</v>
      </c>
      <c r="N255" s="41">
        <v>3255.8063999999995</v>
      </c>
      <c r="O255" s="41">
        <v>0</v>
      </c>
      <c r="P255" s="42">
        <v>29767.372799999997</v>
      </c>
      <c r="Q255" s="34" t="s">
        <v>25</v>
      </c>
      <c r="R255" s="34" t="s">
        <v>26</v>
      </c>
      <c r="S255" s="11" t="s">
        <v>4105</v>
      </c>
    </row>
    <row r="256" spans="1:19" x14ac:dyDescent="0.2">
      <c r="A256" s="33">
        <v>43586</v>
      </c>
      <c r="B256" s="34">
        <v>83</v>
      </c>
      <c r="C256" s="34" t="s">
        <v>155</v>
      </c>
      <c r="D256" s="34" t="str">
        <f>VLOOKUP(C256,'SALE PARTY MASTER'!$B$4:$E$500,2,FALSE)</f>
        <v>27AAGCP0139E1ZP</v>
      </c>
      <c r="E256" s="34" t="s">
        <v>22</v>
      </c>
      <c r="F256" s="34" t="s">
        <v>1658</v>
      </c>
      <c r="G256" s="44">
        <v>43601</v>
      </c>
      <c r="H256" s="34">
        <v>87141090</v>
      </c>
      <c r="I256" s="34">
        <v>28</v>
      </c>
      <c r="J256" s="38">
        <v>900</v>
      </c>
      <c r="K256" s="40">
        <v>42327</v>
      </c>
      <c r="L256" s="41">
        <v>0</v>
      </c>
      <c r="M256" s="41">
        <v>5925.78</v>
      </c>
      <c r="N256" s="41">
        <v>5925.78</v>
      </c>
      <c r="O256" s="41">
        <v>0</v>
      </c>
      <c r="P256" s="42">
        <v>54178.559999999998</v>
      </c>
      <c r="Q256" s="34" t="s">
        <v>25</v>
      </c>
      <c r="R256" s="34" t="s">
        <v>26</v>
      </c>
      <c r="S256" s="11" t="s">
        <v>4105</v>
      </c>
    </row>
    <row r="257" spans="1:19" x14ac:dyDescent="0.2">
      <c r="A257" s="33">
        <v>43586</v>
      </c>
      <c r="B257" s="34">
        <v>84</v>
      </c>
      <c r="C257" s="34" t="s">
        <v>124</v>
      </c>
      <c r="D257" s="34" t="str">
        <f>VLOOKUP(C257,'SALE PARTY MASTER'!$B$4:$E$500,2,FALSE)</f>
        <v>27AAACB2484Q1Z8</v>
      </c>
      <c r="E257" s="34" t="s">
        <v>22</v>
      </c>
      <c r="F257" s="34" t="s">
        <v>1659</v>
      </c>
      <c r="G257" s="44">
        <v>43601</v>
      </c>
      <c r="H257" s="34">
        <v>998898</v>
      </c>
      <c r="I257" s="34">
        <v>18</v>
      </c>
      <c r="J257" s="38">
        <v>1170</v>
      </c>
      <c r="K257" s="40">
        <v>6015</v>
      </c>
      <c r="L257" s="41">
        <v>0</v>
      </c>
      <c r="M257" s="41">
        <v>541.35</v>
      </c>
      <c r="N257" s="41">
        <v>541.35</v>
      </c>
      <c r="O257" s="41">
        <v>0</v>
      </c>
      <c r="P257" s="42">
        <v>7097.7000000000007</v>
      </c>
      <c r="Q257" s="34" t="s">
        <v>25</v>
      </c>
      <c r="R257" s="34" t="s">
        <v>26</v>
      </c>
      <c r="S257" s="11" t="s">
        <v>4105</v>
      </c>
    </row>
    <row r="258" spans="1:19" x14ac:dyDescent="0.2">
      <c r="A258" s="33">
        <v>43586</v>
      </c>
      <c r="B258" s="34">
        <v>85</v>
      </c>
      <c r="C258" s="34" t="s">
        <v>124</v>
      </c>
      <c r="D258" s="34" t="str">
        <f>VLOOKUP(C258,'SALE PARTY MASTER'!$B$4:$E$500,2,FALSE)</f>
        <v>27AAACB2484Q1Z8</v>
      </c>
      <c r="E258" s="34" t="s">
        <v>22</v>
      </c>
      <c r="F258" s="34" t="s">
        <v>1660</v>
      </c>
      <c r="G258" s="44">
        <v>43601</v>
      </c>
      <c r="H258" s="34">
        <v>998898</v>
      </c>
      <c r="I258" s="34">
        <v>18</v>
      </c>
      <c r="J258" s="38">
        <v>540</v>
      </c>
      <c r="K258" s="40">
        <v>3510</v>
      </c>
      <c r="L258" s="41">
        <v>0</v>
      </c>
      <c r="M258" s="41">
        <v>315.90000000000003</v>
      </c>
      <c r="N258" s="41">
        <v>315.90000000000003</v>
      </c>
      <c r="O258" s="41">
        <v>0</v>
      </c>
      <c r="P258" s="42">
        <v>4141.8</v>
      </c>
      <c r="Q258" s="34" t="s">
        <v>25</v>
      </c>
      <c r="R258" s="34" t="s">
        <v>26</v>
      </c>
      <c r="S258" s="11" t="s">
        <v>4105</v>
      </c>
    </row>
    <row r="259" spans="1:19" x14ac:dyDescent="0.2">
      <c r="A259" s="33">
        <v>43586</v>
      </c>
      <c r="B259" s="34">
        <v>86</v>
      </c>
      <c r="C259" s="34" t="s">
        <v>124</v>
      </c>
      <c r="D259" s="34" t="str">
        <f>VLOOKUP(C259,'SALE PARTY MASTER'!$B$4:$E$500,2,FALSE)</f>
        <v>27AAACB2484Q1Z8</v>
      </c>
      <c r="E259" s="34" t="s">
        <v>22</v>
      </c>
      <c r="F259" s="34" t="s">
        <v>1661</v>
      </c>
      <c r="G259" s="44">
        <v>43601</v>
      </c>
      <c r="H259" s="34">
        <v>998898</v>
      </c>
      <c r="I259" s="34">
        <v>18</v>
      </c>
      <c r="J259" s="38">
        <v>92</v>
      </c>
      <c r="K259" s="40">
        <v>460</v>
      </c>
      <c r="L259" s="41">
        <v>0</v>
      </c>
      <c r="M259" s="41">
        <v>41.4</v>
      </c>
      <c r="N259" s="41">
        <v>41.4</v>
      </c>
      <c r="O259" s="41">
        <v>0</v>
      </c>
      <c r="P259" s="42">
        <v>542.79999999999995</v>
      </c>
      <c r="Q259" s="34" t="s">
        <v>25</v>
      </c>
      <c r="R259" s="34" t="s">
        <v>26</v>
      </c>
      <c r="S259" s="11" t="s">
        <v>4105</v>
      </c>
    </row>
    <row r="260" spans="1:19" x14ac:dyDescent="0.2">
      <c r="A260" s="33">
        <v>43586</v>
      </c>
      <c r="B260" s="34">
        <v>87</v>
      </c>
      <c r="C260" s="34" t="s">
        <v>28</v>
      </c>
      <c r="D260" s="34" t="str">
        <f>VLOOKUP(C260,'SALE PARTY MASTER'!$B$4:$E$500,2,FALSE)</f>
        <v>27AAECM8871A1ZF</v>
      </c>
      <c r="E260" s="34" t="s">
        <v>22</v>
      </c>
      <c r="F260" s="34" t="s">
        <v>1662</v>
      </c>
      <c r="G260" s="44">
        <v>43602</v>
      </c>
      <c r="H260" s="34">
        <v>87089900</v>
      </c>
      <c r="I260" s="34">
        <v>28</v>
      </c>
      <c r="J260" s="38">
        <v>12</v>
      </c>
      <c r="K260" s="40">
        <v>23255.759999999998</v>
      </c>
      <c r="L260" s="41">
        <v>0</v>
      </c>
      <c r="M260" s="41">
        <v>3255.8063999999995</v>
      </c>
      <c r="N260" s="41">
        <v>3255.8063999999995</v>
      </c>
      <c r="O260" s="41">
        <v>0</v>
      </c>
      <c r="P260" s="42">
        <v>29767.372799999997</v>
      </c>
      <c r="Q260" s="34" t="s">
        <v>25</v>
      </c>
      <c r="R260" s="34" t="s">
        <v>26</v>
      </c>
      <c r="S260" s="11" t="s">
        <v>4105</v>
      </c>
    </row>
    <row r="261" spans="1:19" x14ac:dyDescent="0.2">
      <c r="A261" s="33">
        <v>43586</v>
      </c>
      <c r="B261" s="34">
        <v>88</v>
      </c>
      <c r="C261" s="34" t="s">
        <v>28</v>
      </c>
      <c r="D261" s="34" t="str">
        <f>VLOOKUP(C261,'SALE PARTY MASTER'!$B$4:$E$500,2,FALSE)</f>
        <v>27AAECM8871A1ZF</v>
      </c>
      <c r="E261" s="34" t="s">
        <v>22</v>
      </c>
      <c r="F261" s="34" t="s">
        <v>1663</v>
      </c>
      <c r="G261" s="44">
        <v>43602</v>
      </c>
      <c r="H261" s="34">
        <v>87089900</v>
      </c>
      <c r="I261" s="34">
        <v>28</v>
      </c>
      <c r="J261" s="38">
        <v>12</v>
      </c>
      <c r="K261" s="40">
        <v>23255.759999999998</v>
      </c>
      <c r="L261" s="41">
        <v>0</v>
      </c>
      <c r="M261" s="41">
        <v>3255.8063999999995</v>
      </c>
      <c r="N261" s="41">
        <v>3255.8063999999995</v>
      </c>
      <c r="O261" s="41">
        <v>0</v>
      </c>
      <c r="P261" s="42">
        <v>29767.372799999997</v>
      </c>
      <c r="Q261" s="34" t="s">
        <v>25</v>
      </c>
      <c r="R261" s="34" t="s">
        <v>26</v>
      </c>
      <c r="S261" s="11" t="s">
        <v>4105</v>
      </c>
    </row>
    <row r="262" spans="1:19" x14ac:dyDescent="0.2">
      <c r="A262" s="33">
        <v>43586</v>
      </c>
      <c r="B262" s="34">
        <v>89</v>
      </c>
      <c r="C262" s="34" t="s">
        <v>124</v>
      </c>
      <c r="D262" s="34" t="str">
        <f>VLOOKUP(C262,'SALE PARTY MASTER'!$B$4:$E$500,2,FALSE)</f>
        <v>27AAACB2484Q1Z8</v>
      </c>
      <c r="E262" s="34" t="s">
        <v>22</v>
      </c>
      <c r="F262" s="34" t="s">
        <v>1664</v>
      </c>
      <c r="G262" s="44">
        <v>43602</v>
      </c>
      <c r="H262" s="34">
        <v>998898</v>
      </c>
      <c r="I262" s="34">
        <v>18</v>
      </c>
      <c r="J262" s="38">
        <v>590</v>
      </c>
      <c r="K262" s="40">
        <v>2650</v>
      </c>
      <c r="L262" s="41">
        <v>0</v>
      </c>
      <c r="M262" s="41">
        <v>238.5</v>
      </c>
      <c r="N262" s="41">
        <v>238.5</v>
      </c>
      <c r="O262" s="41">
        <v>0</v>
      </c>
      <c r="P262" s="42">
        <v>3127</v>
      </c>
      <c r="Q262" s="34" t="s">
        <v>25</v>
      </c>
      <c r="R262" s="34" t="s">
        <v>26</v>
      </c>
      <c r="S262" s="11" t="s">
        <v>4105</v>
      </c>
    </row>
    <row r="263" spans="1:19" x14ac:dyDescent="0.2">
      <c r="A263" s="33">
        <v>43586</v>
      </c>
      <c r="B263" s="34">
        <v>90</v>
      </c>
      <c r="C263" s="34" t="s">
        <v>124</v>
      </c>
      <c r="D263" s="34" t="str">
        <f>VLOOKUP(C263,'SALE PARTY MASTER'!$B$4:$E$500,2,FALSE)</f>
        <v>27AAACB2484Q1Z8</v>
      </c>
      <c r="E263" s="34" t="s">
        <v>22</v>
      </c>
      <c r="F263" s="34" t="s">
        <v>1665</v>
      </c>
      <c r="G263" s="44">
        <v>43602</v>
      </c>
      <c r="H263" s="34">
        <v>998898</v>
      </c>
      <c r="I263" s="34">
        <v>18</v>
      </c>
      <c r="J263" s="38">
        <v>120</v>
      </c>
      <c r="K263" s="40">
        <v>780</v>
      </c>
      <c r="L263" s="41">
        <v>0</v>
      </c>
      <c r="M263" s="41">
        <v>70.2</v>
      </c>
      <c r="N263" s="41">
        <v>70.2</v>
      </c>
      <c r="O263" s="41">
        <v>0</v>
      </c>
      <c r="P263" s="42">
        <v>920.40000000000009</v>
      </c>
      <c r="Q263" s="34" t="s">
        <v>25</v>
      </c>
      <c r="R263" s="34" t="s">
        <v>26</v>
      </c>
      <c r="S263" s="11" t="s">
        <v>4105</v>
      </c>
    </row>
    <row r="264" spans="1:19" x14ac:dyDescent="0.2">
      <c r="A264" s="33">
        <v>43586</v>
      </c>
      <c r="B264" s="34">
        <v>91</v>
      </c>
      <c r="C264" s="34" t="s">
        <v>124</v>
      </c>
      <c r="D264" s="34" t="str">
        <f>VLOOKUP(C264,'SALE PARTY MASTER'!$B$4:$E$500,2,FALSE)</f>
        <v>27AAACB2484Q1Z8</v>
      </c>
      <c r="E264" s="34" t="s">
        <v>22</v>
      </c>
      <c r="F264" s="34" t="s">
        <v>1666</v>
      </c>
      <c r="G264" s="44">
        <v>43602</v>
      </c>
      <c r="H264" s="34">
        <v>998898</v>
      </c>
      <c r="I264" s="34">
        <v>18</v>
      </c>
      <c r="J264" s="38">
        <v>113</v>
      </c>
      <c r="K264" s="40">
        <v>565</v>
      </c>
      <c r="L264" s="41">
        <v>0</v>
      </c>
      <c r="M264" s="41">
        <v>50.85</v>
      </c>
      <c r="N264" s="41">
        <v>50.85</v>
      </c>
      <c r="O264" s="41">
        <v>0</v>
      </c>
      <c r="P264" s="42">
        <v>666.7</v>
      </c>
      <c r="Q264" s="34" t="s">
        <v>25</v>
      </c>
      <c r="R264" s="34" t="s">
        <v>26</v>
      </c>
      <c r="S264" s="11" t="s">
        <v>4105</v>
      </c>
    </row>
    <row r="265" spans="1:19" x14ac:dyDescent="0.2">
      <c r="A265" s="33">
        <v>43586</v>
      </c>
      <c r="B265" s="34">
        <v>92</v>
      </c>
      <c r="C265" s="34" t="s">
        <v>124</v>
      </c>
      <c r="D265" s="34" t="str">
        <f>VLOOKUP(C265,'SALE PARTY MASTER'!$B$4:$E$500,2,FALSE)</f>
        <v>27AAACB2484Q1Z8</v>
      </c>
      <c r="E265" s="34" t="s">
        <v>22</v>
      </c>
      <c r="F265" s="34" t="s">
        <v>1667</v>
      </c>
      <c r="G265" s="44">
        <v>43602</v>
      </c>
      <c r="H265" s="34">
        <v>998898</v>
      </c>
      <c r="I265" s="34">
        <v>18</v>
      </c>
      <c r="J265" s="38">
        <v>240</v>
      </c>
      <c r="K265" s="40">
        <v>1560</v>
      </c>
      <c r="L265" s="41">
        <v>0</v>
      </c>
      <c r="M265" s="41">
        <v>140.4</v>
      </c>
      <c r="N265" s="41">
        <v>140.4</v>
      </c>
      <c r="O265" s="41">
        <v>0</v>
      </c>
      <c r="P265" s="42">
        <v>1840.8000000000002</v>
      </c>
      <c r="Q265" s="34" t="s">
        <v>25</v>
      </c>
      <c r="R265" s="34" t="s">
        <v>26</v>
      </c>
      <c r="S265" s="11" t="s">
        <v>4105</v>
      </c>
    </row>
    <row r="266" spans="1:19" x14ac:dyDescent="0.2">
      <c r="A266" s="33">
        <v>43586</v>
      </c>
      <c r="B266" s="34">
        <v>93</v>
      </c>
      <c r="C266" s="34" t="s">
        <v>124</v>
      </c>
      <c r="D266" s="34" t="str">
        <f>VLOOKUP(C266,'SALE PARTY MASTER'!$B$4:$E$500,2,FALSE)</f>
        <v>27AAACB2484Q1Z8</v>
      </c>
      <c r="E266" s="34" t="s">
        <v>22</v>
      </c>
      <c r="F266" s="34" t="s">
        <v>1668</v>
      </c>
      <c r="G266" s="44">
        <v>43602</v>
      </c>
      <c r="H266" s="34">
        <v>998898</v>
      </c>
      <c r="I266" s="34">
        <v>18</v>
      </c>
      <c r="J266" s="38">
        <v>776</v>
      </c>
      <c r="K266" s="40">
        <v>3280</v>
      </c>
      <c r="L266" s="41">
        <v>0</v>
      </c>
      <c r="M266" s="41">
        <v>295.2</v>
      </c>
      <c r="N266" s="41">
        <v>295.2</v>
      </c>
      <c r="O266" s="41">
        <v>0</v>
      </c>
      <c r="P266" s="42">
        <v>3870.3999999999996</v>
      </c>
      <c r="Q266" s="34" t="s">
        <v>25</v>
      </c>
      <c r="R266" s="34" t="s">
        <v>26</v>
      </c>
      <c r="S266" s="11" t="s">
        <v>4105</v>
      </c>
    </row>
    <row r="267" spans="1:19" x14ac:dyDescent="0.2">
      <c r="A267" s="33">
        <v>43586</v>
      </c>
      <c r="B267" s="34">
        <v>94</v>
      </c>
      <c r="C267" s="34" t="s">
        <v>167</v>
      </c>
      <c r="D267" s="34" t="str">
        <f>VLOOKUP(C267,'SALE PARTY MASTER'!$B$4:$E$500,2,FALSE)</f>
        <v>27AABFP3834C1ZK</v>
      </c>
      <c r="E267" s="34" t="s">
        <v>22</v>
      </c>
      <c r="F267" s="34" t="s">
        <v>1669</v>
      </c>
      <c r="G267" s="44">
        <v>43603</v>
      </c>
      <c r="H267" s="34">
        <v>87141900</v>
      </c>
      <c r="I267" s="34">
        <v>28</v>
      </c>
      <c r="J267" s="38">
        <v>600</v>
      </c>
      <c r="K267" s="40">
        <v>7482</v>
      </c>
      <c r="L267" s="41">
        <v>0</v>
      </c>
      <c r="M267" s="41">
        <v>1047.48</v>
      </c>
      <c r="N267" s="41">
        <v>1047.48</v>
      </c>
      <c r="O267" s="41">
        <v>0</v>
      </c>
      <c r="P267" s="42">
        <v>9576.9599999999991</v>
      </c>
      <c r="Q267" s="34" t="s">
        <v>25</v>
      </c>
      <c r="R267" s="34" t="s">
        <v>26</v>
      </c>
      <c r="S267" s="11" t="s">
        <v>4105</v>
      </c>
    </row>
    <row r="268" spans="1:19" x14ac:dyDescent="0.2">
      <c r="A268" s="33">
        <v>43586</v>
      </c>
      <c r="B268" s="34">
        <v>95</v>
      </c>
      <c r="C268" s="34" t="s">
        <v>45</v>
      </c>
      <c r="D268" s="34" t="str">
        <f>VLOOKUP(C268,'SALE PARTY MASTER'!$B$4:$E$500,2,FALSE)</f>
        <v>27AAACD4090Q1Z8</v>
      </c>
      <c r="E268" s="34" t="s">
        <v>22</v>
      </c>
      <c r="F268" s="34" t="s">
        <v>1670</v>
      </c>
      <c r="G268" s="44">
        <v>43603</v>
      </c>
      <c r="H268" s="34">
        <v>85129000</v>
      </c>
      <c r="I268" s="34">
        <v>18</v>
      </c>
      <c r="J268" s="38">
        <v>661</v>
      </c>
      <c r="K268" s="40">
        <v>80648.61</v>
      </c>
      <c r="L268" s="41">
        <v>0</v>
      </c>
      <c r="M268" s="41">
        <v>7258.3748999999998</v>
      </c>
      <c r="N268" s="41">
        <v>7258.3748999999998</v>
      </c>
      <c r="O268" s="41">
        <v>0</v>
      </c>
      <c r="P268" s="42">
        <v>95165.359799999991</v>
      </c>
      <c r="Q268" s="34" t="s">
        <v>25</v>
      </c>
      <c r="R268" s="34" t="s">
        <v>26</v>
      </c>
      <c r="S268" s="11" t="s">
        <v>4105</v>
      </c>
    </row>
    <row r="269" spans="1:19" x14ac:dyDescent="0.2">
      <c r="A269" s="33">
        <v>43586</v>
      </c>
      <c r="B269" s="34">
        <v>96</v>
      </c>
      <c r="C269" s="34" t="s">
        <v>45</v>
      </c>
      <c r="D269" s="34" t="str">
        <f>VLOOKUP(C269,'SALE PARTY MASTER'!$B$4:$E$500,2,FALSE)</f>
        <v>27AAACD4090Q1Z8</v>
      </c>
      <c r="E269" s="34" t="s">
        <v>22</v>
      </c>
      <c r="F269" s="34" t="s">
        <v>1671</v>
      </c>
      <c r="G269" s="44">
        <v>43603</v>
      </c>
      <c r="H269" s="34">
        <v>85129000</v>
      </c>
      <c r="I269" s="34">
        <v>18</v>
      </c>
      <c r="J269" s="38">
        <v>341</v>
      </c>
      <c r="K269" s="40">
        <v>22014.959999999999</v>
      </c>
      <c r="L269" s="41">
        <v>0</v>
      </c>
      <c r="M269" s="41">
        <v>1981.3463999999999</v>
      </c>
      <c r="N269" s="41">
        <v>1981.3463999999999</v>
      </c>
      <c r="O269" s="41">
        <v>0</v>
      </c>
      <c r="P269" s="42">
        <v>25977.652799999996</v>
      </c>
      <c r="Q269" s="34" t="s">
        <v>25</v>
      </c>
      <c r="R269" s="34" t="s">
        <v>26</v>
      </c>
      <c r="S269" s="11" t="s">
        <v>4105</v>
      </c>
    </row>
    <row r="270" spans="1:19" x14ac:dyDescent="0.2">
      <c r="A270" s="33">
        <v>43586</v>
      </c>
      <c r="B270" s="34">
        <v>97</v>
      </c>
      <c r="C270" s="34" t="s">
        <v>124</v>
      </c>
      <c r="D270" s="34" t="str">
        <f>VLOOKUP(C270,'SALE PARTY MASTER'!$B$4:$E$500,2,FALSE)</f>
        <v>27AAACB2484Q1Z8</v>
      </c>
      <c r="E270" s="34" t="s">
        <v>22</v>
      </c>
      <c r="F270" s="34" t="s">
        <v>1672</v>
      </c>
      <c r="G270" s="44">
        <v>43604</v>
      </c>
      <c r="H270" s="34">
        <v>998898</v>
      </c>
      <c r="I270" s="34">
        <v>18</v>
      </c>
      <c r="J270" s="38">
        <v>360</v>
      </c>
      <c r="K270" s="40">
        <v>2340</v>
      </c>
      <c r="L270" s="41">
        <v>0</v>
      </c>
      <c r="M270" s="41">
        <v>210.6</v>
      </c>
      <c r="N270" s="41">
        <v>210.6</v>
      </c>
      <c r="O270" s="41">
        <v>0</v>
      </c>
      <c r="P270" s="42">
        <v>2761.2</v>
      </c>
      <c r="Q270" s="34" t="s">
        <v>25</v>
      </c>
      <c r="R270" s="34" t="s">
        <v>26</v>
      </c>
      <c r="S270" s="11" t="s">
        <v>4105</v>
      </c>
    </row>
    <row r="271" spans="1:19" x14ac:dyDescent="0.2">
      <c r="A271" s="33">
        <v>43586</v>
      </c>
      <c r="B271" s="34">
        <v>98</v>
      </c>
      <c r="C271" s="34" t="s">
        <v>124</v>
      </c>
      <c r="D271" s="34" t="str">
        <f>VLOOKUP(C271,'SALE PARTY MASTER'!$B$4:$E$500,2,FALSE)</f>
        <v>27AAACB2484Q1Z8</v>
      </c>
      <c r="E271" s="34" t="s">
        <v>22</v>
      </c>
      <c r="F271" s="34" t="s">
        <v>1673</v>
      </c>
      <c r="G271" s="44">
        <v>43604</v>
      </c>
      <c r="H271" s="34">
        <v>998898</v>
      </c>
      <c r="I271" s="34">
        <v>18</v>
      </c>
      <c r="J271" s="38">
        <v>1106</v>
      </c>
      <c r="K271" s="40">
        <v>4615</v>
      </c>
      <c r="L271" s="41">
        <v>0</v>
      </c>
      <c r="M271" s="41">
        <v>415.34999999999997</v>
      </c>
      <c r="N271" s="41">
        <v>415.34999999999997</v>
      </c>
      <c r="O271" s="41">
        <v>0</v>
      </c>
      <c r="P271" s="42">
        <v>5445.7000000000007</v>
      </c>
      <c r="Q271" s="34" t="s">
        <v>25</v>
      </c>
      <c r="R271" s="34" t="s">
        <v>26</v>
      </c>
      <c r="S271" s="11" t="s">
        <v>4105</v>
      </c>
    </row>
    <row r="272" spans="1:19" x14ac:dyDescent="0.2">
      <c r="A272" s="33">
        <v>43586</v>
      </c>
      <c r="B272" s="34">
        <v>99</v>
      </c>
      <c r="C272" s="34" t="s">
        <v>28</v>
      </c>
      <c r="D272" s="34" t="str">
        <f>VLOOKUP(C272,'SALE PARTY MASTER'!$B$4:$E$500,2,FALSE)</f>
        <v>27AAECM8871A1ZF</v>
      </c>
      <c r="E272" s="34" t="s">
        <v>22</v>
      </c>
      <c r="F272" s="34" t="s">
        <v>1674</v>
      </c>
      <c r="G272" s="44">
        <v>43605</v>
      </c>
      <c r="H272" s="34">
        <v>87089900</v>
      </c>
      <c r="I272" s="34">
        <v>28</v>
      </c>
      <c r="J272" s="38">
        <v>12</v>
      </c>
      <c r="K272" s="40">
        <v>23255.759999999998</v>
      </c>
      <c r="L272" s="41">
        <v>0</v>
      </c>
      <c r="M272" s="41">
        <v>3255.8063999999995</v>
      </c>
      <c r="N272" s="41">
        <v>3255.8063999999995</v>
      </c>
      <c r="O272" s="41">
        <v>0</v>
      </c>
      <c r="P272" s="42">
        <v>29767.372799999997</v>
      </c>
      <c r="Q272" s="34" t="s">
        <v>25</v>
      </c>
      <c r="R272" s="34" t="s">
        <v>26</v>
      </c>
      <c r="S272" s="11" t="s">
        <v>4105</v>
      </c>
    </row>
    <row r="273" spans="1:19" x14ac:dyDescent="0.2">
      <c r="A273" s="33">
        <v>43586</v>
      </c>
      <c r="B273" s="34">
        <v>100</v>
      </c>
      <c r="C273" s="34" t="s">
        <v>28</v>
      </c>
      <c r="D273" s="34" t="str">
        <f>VLOOKUP(C273,'SALE PARTY MASTER'!$B$4:$E$500,2,FALSE)</f>
        <v>27AAECM8871A1ZF</v>
      </c>
      <c r="E273" s="34" t="s">
        <v>22</v>
      </c>
      <c r="F273" s="34" t="s">
        <v>1675</v>
      </c>
      <c r="G273" s="44">
        <v>43605</v>
      </c>
      <c r="H273" s="34">
        <v>87089900</v>
      </c>
      <c r="I273" s="34">
        <v>28</v>
      </c>
      <c r="J273" s="38">
        <v>12</v>
      </c>
      <c r="K273" s="40">
        <v>23255.759999999998</v>
      </c>
      <c r="L273" s="41">
        <v>0</v>
      </c>
      <c r="M273" s="41">
        <v>3255.8063999999995</v>
      </c>
      <c r="N273" s="41">
        <v>3255.8063999999995</v>
      </c>
      <c r="O273" s="41">
        <v>0</v>
      </c>
      <c r="P273" s="42">
        <v>29767.372799999997</v>
      </c>
      <c r="Q273" s="34" t="s">
        <v>25</v>
      </c>
      <c r="R273" s="34" t="s">
        <v>26</v>
      </c>
      <c r="S273" s="11" t="s">
        <v>4105</v>
      </c>
    </row>
    <row r="274" spans="1:19" x14ac:dyDescent="0.2">
      <c r="A274" s="33">
        <v>43586</v>
      </c>
      <c r="B274" s="34">
        <v>101</v>
      </c>
      <c r="C274" s="34" t="s">
        <v>40</v>
      </c>
      <c r="D274" s="34" t="str">
        <f>VLOOKUP(C274,'SALE PARTY MASTER'!$B$4:$E$500,2,FALSE)</f>
        <v>27AAACT1848E1ZH</v>
      </c>
      <c r="E274" s="34" t="s">
        <v>22</v>
      </c>
      <c r="F274" s="34" t="s">
        <v>1676</v>
      </c>
      <c r="G274" s="44">
        <v>43605</v>
      </c>
      <c r="H274" s="34">
        <v>87089900</v>
      </c>
      <c r="I274" s="34">
        <v>28</v>
      </c>
      <c r="J274" s="38">
        <v>60</v>
      </c>
      <c r="K274" s="40">
        <v>28762.560000000001</v>
      </c>
      <c r="L274" s="41">
        <v>0</v>
      </c>
      <c r="M274" s="41">
        <v>4026.7584000000002</v>
      </c>
      <c r="N274" s="41">
        <v>4026.7584000000002</v>
      </c>
      <c r="O274" s="41">
        <v>0</v>
      </c>
      <c r="P274" s="42">
        <v>36816.076800000003</v>
      </c>
      <c r="Q274" s="34" t="s">
        <v>25</v>
      </c>
      <c r="R274" s="34" t="s">
        <v>26</v>
      </c>
      <c r="S274" s="11" t="s">
        <v>4105</v>
      </c>
    </row>
    <row r="275" spans="1:19" x14ac:dyDescent="0.2">
      <c r="A275" s="33">
        <v>43586</v>
      </c>
      <c r="B275" s="34">
        <v>102</v>
      </c>
      <c r="C275" s="34" t="s">
        <v>167</v>
      </c>
      <c r="D275" s="34" t="str">
        <f>VLOOKUP(C275,'SALE PARTY MASTER'!$B$4:$E$500,2,FALSE)</f>
        <v>27AABFP3834C1ZK</v>
      </c>
      <c r="E275" s="34" t="s">
        <v>22</v>
      </c>
      <c r="F275" s="34" t="s">
        <v>1677</v>
      </c>
      <c r="G275" s="44">
        <v>43605</v>
      </c>
      <c r="H275" s="34">
        <v>87141900</v>
      </c>
      <c r="I275" s="34">
        <v>28</v>
      </c>
      <c r="J275" s="38">
        <v>600</v>
      </c>
      <c r="K275" s="40">
        <v>7482</v>
      </c>
      <c r="L275" s="41">
        <v>0</v>
      </c>
      <c r="M275" s="41">
        <v>1047.48</v>
      </c>
      <c r="N275" s="41">
        <v>1047.48</v>
      </c>
      <c r="O275" s="41">
        <v>0</v>
      </c>
      <c r="P275" s="42">
        <v>9576.9599999999991</v>
      </c>
      <c r="Q275" s="34" t="s">
        <v>25</v>
      </c>
      <c r="R275" s="34" t="s">
        <v>26</v>
      </c>
      <c r="S275" s="11" t="s">
        <v>4105</v>
      </c>
    </row>
    <row r="276" spans="1:19" x14ac:dyDescent="0.2">
      <c r="A276" s="33">
        <v>43586</v>
      </c>
      <c r="B276" s="34">
        <v>103</v>
      </c>
      <c r="C276" s="34" t="s">
        <v>124</v>
      </c>
      <c r="D276" s="34" t="str">
        <f>VLOOKUP(C276,'SALE PARTY MASTER'!$B$4:$E$500,2,FALSE)</f>
        <v>27AAACB2484Q1Z8</v>
      </c>
      <c r="E276" s="34" t="s">
        <v>22</v>
      </c>
      <c r="F276" s="34" t="s">
        <v>1678</v>
      </c>
      <c r="G276" s="44">
        <v>43605</v>
      </c>
      <c r="H276" s="34">
        <v>998898</v>
      </c>
      <c r="I276" s="34">
        <v>18</v>
      </c>
      <c r="J276" s="38">
        <v>126</v>
      </c>
      <c r="K276" s="40">
        <v>630</v>
      </c>
      <c r="L276" s="41">
        <v>0</v>
      </c>
      <c r="M276" s="41">
        <v>56.699999999999996</v>
      </c>
      <c r="N276" s="41">
        <v>56.699999999999996</v>
      </c>
      <c r="O276" s="41">
        <v>0</v>
      </c>
      <c r="P276" s="42">
        <v>743.40000000000009</v>
      </c>
      <c r="Q276" s="34" t="s">
        <v>25</v>
      </c>
      <c r="R276" s="34" t="s">
        <v>26</v>
      </c>
      <c r="S276" s="11" t="s">
        <v>4105</v>
      </c>
    </row>
    <row r="277" spans="1:19" x14ac:dyDescent="0.2">
      <c r="A277" s="33">
        <v>43586</v>
      </c>
      <c r="B277" s="34">
        <v>104</v>
      </c>
      <c r="C277" s="34" t="s">
        <v>124</v>
      </c>
      <c r="D277" s="34" t="str">
        <f>VLOOKUP(C277,'SALE PARTY MASTER'!$B$4:$E$500,2,FALSE)</f>
        <v>27AAACB2484Q1Z8</v>
      </c>
      <c r="E277" s="34" t="s">
        <v>22</v>
      </c>
      <c r="F277" s="34" t="s">
        <v>1679</v>
      </c>
      <c r="G277" s="44">
        <v>43605</v>
      </c>
      <c r="H277" s="34">
        <v>998898</v>
      </c>
      <c r="I277" s="34">
        <v>18</v>
      </c>
      <c r="J277" s="38">
        <v>728</v>
      </c>
      <c r="K277" s="40">
        <v>3157</v>
      </c>
      <c r="L277" s="41">
        <v>0</v>
      </c>
      <c r="M277" s="41">
        <v>284.13</v>
      </c>
      <c r="N277" s="41">
        <v>284.13</v>
      </c>
      <c r="O277" s="41">
        <v>0</v>
      </c>
      <c r="P277" s="42">
        <v>3725.26</v>
      </c>
      <c r="Q277" s="34" t="s">
        <v>25</v>
      </c>
      <c r="R277" s="34" t="s">
        <v>26</v>
      </c>
      <c r="S277" s="11" t="s">
        <v>4105</v>
      </c>
    </row>
    <row r="278" spans="1:19" x14ac:dyDescent="0.2">
      <c r="A278" s="33">
        <v>43586</v>
      </c>
      <c r="B278" s="34">
        <v>105</v>
      </c>
      <c r="C278" s="34" t="s">
        <v>124</v>
      </c>
      <c r="D278" s="34" t="str">
        <f>VLOOKUP(C278,'SALE PARTY MASTER'!$B$4:$E$500,2,FALSE)</f>
        <v>27AAACB2484Q1Z8</v>
      </c>
      <c r="E278" s="34" t="s">
        <v>22</v>
      </c>
      <c r="F278" s="34" t="s">
        <v>1680</v>
      </c>
      <c r="G278" s="44">
        <v>43605</v>
      </c>
      <c r="H278" s="34">
        <v>998898</v>
      </c>
      <c r="I278" s="34">
        <v>18</v>
      </c>
      <c r="J278" s="38">
        <v>150</v>
      </c>
      <c r="K278" s="40">
        <v>1035</v>
      </c>
      <c r="L278" s="41">
        <v>0</v>
      </c>
      <c r="M278" s="41">
        <v>93.149999999999991</v>
      </c>
      <c r="N278" s="41">
        <v>93.149999999999991</v>
      </c>
      <c r="O278" s="41">
        <v>0</v>
      </c>
      <c r="P278" s="42">
        <v>1221.3000000000002</v>
      </c>
      <c r="Q278" s="34" t="s">
        <v>25</v>
      </c>
      <c r="R278" s="34" t="s">
        <v>26</v>
      </c>
      <c r="S278" s="11" t="s">
        <v>4105</v>
      </c>
    </row>
    <row r="279" spans="1:19" x14ac:dyDescent="0.2">
      <c r="A279" s="33">
        <v>43586</v>
      </c>
      <c r="B279" s="34">
        <v>106</v>
      </c>
      <c r="C279" s="34" t="s">
        <v>124</v>
      </c>
      <c r="D279" s="34" t="str">
        <f>VLOOKUP(C279,'SALE PARTY MASTER'!$B$4:$E$500,2,FALSE)</f>
        <v>27AAACB2484Q1Z8</v>
      </c>
      <c r="E279" s="34" t="s">
        <v>22</v>
      </c>
      <c r="F279" s="34" t="s">
        <v>1681</v>
      </c>
      <c r="G279" s="44">
        <v>43605</v>
      </c>
      <c r="H279" s="34">
        <v>998898</v>
      </c>
      <c r="I279" s="34">
        <v>18</v>
      </c>
      <c r="J279" s="38">
        <v>240</v>
      </c>
      <c r="K279" s="40">
        <v>1560</v>
      </c>
      <c r="L279" s="41">
        <v>0</v>
      </c>
      <c r="M279" s="41">
        <v>140.4</v>
      </c>
      <c r="N279" s="41">
        <v>140.4</v>
      </c>
      <c r="O279" s="41">
        <v>0</v>
      </c>
      <c r="P279" s="42">
        <v>1840.8000000000002</v>
      </c>
      <c r="Q279" s="34" t="s">
        <v>25</v>
      </c>
      <c r="R279" s="34" t="s">
        <v>26</v>
      </c>
      <c r="S279" s="11" t="s">
        <v>4105</v>
      </c>
    </row>
    <row r="280" spans="1:19" x14ac:dyDescent="0.2">
      <c r="A280" s="33">
        <v>43586</v>
      </c>
      <c r="B280" s="34">
        <v>107</v>
      </c>
      <c r="C280" s="34" t="s">
        <v>28</v>
      </c>
      <c r="D280" s="34" t="str">
        <f>VLOOKUP(C280,'SALE PARTY MASTER'!$B$4:$E$500,2,FALSE)</f>
        <v>27AAECM8871A1ZF</v>
      </c>
      <c r="E280" s="34" t="s">
        <v>22</v>
      </c>
      <c r="F280" s="34" t="s">
        <v>1682</v>
      </c>
      <c r="G280" s="44">
        <v>43606</v>
      </c>
      <c r="H280" s="34">
        <v>87089900</v>
      </c>
      <c r="I280" s="34">
        <v>28</v>
      </c>
      <c r="J280" s="38">
        <v>12</v>
      </c>
      <c r="K280" s="40">
        <v>23255.759999999998</v>
      </c>
      <c r="L280" s="41">
        <v>0</v>
      </c>
      <c r="M280" s="41">
        <v>3255.8063999999995</v>
      </c>
      <c r="N280" s="41">
        <v>3255.8063999999995</v>
      </c>
      <c r="O280" s="41">
        <v>0</v>
      </c>
      <c r="P280" s="42">
        <v>29767.372799999997</v>
      </c>
      <c r="Q280" s="34" t="s">
        <v>25</v>
      </c>
      <c r="R280" s="34" t="s">
        <v>26</v>
      </c>
      <c r="S280" s="11" t="s">
        <v>4105</v>
      </c>
    </row>
    <row r="281" spans="1:19" x14ac:dyDescent="0.2">
      <c r="A281" s="33">
        <v>43586</v>
      </c>
      <c r="B281" s="34">
        <v>108</v>
      </c>
      <c r="C281" s="34" t="s">
        <v>28</v>
      </c>
      <c r="D281" s="34" t="str">
        <f>VLOOKUP(C281,'SALE PARTY MASTER'!$B$4:$E$500,2,FALSE)</f>
        <v>27AAECM8871A1ZF</v>
      </c>
      <c r="E281" s="34" t="s">
        <v>22</v>
      </c>
      <c r="F281" s="34" t="s">
        <v>1683</v>
      </c>
      <c r="G281" s="44">
        <v>43606</v>
      </c>
      <c r="H281" s="34">
        <v>87089900</v>
      </c>
      <c r="I281" s="34">
        <v>28</v>
      </c>
      <c r="J281" s="38">
        <v>12</v>
      </c>
      <c r="K281" s="40">
        <v>23255.759999999998</v>
      </c>
      <c r="L281" s="41">
        <v>0</v>
      </c>
      <c r="M281" s="41">
        <v>3255.8063999999995</v>
      </c>
      <c r="N281" s="41">
        <v>3255.8063999999995</v>
      </c>
      <c r="O281" s="41">
        <v>0</v>
      </c>
      <c r="P281" s="42">
        <v>29767.372799999997</v>
      </c>
      <c r="Q281" s="34" t="s">
        <v>25</v>
      </c>
      <c r="R281" s="34" t="s">
        <v>26</v>
      </c>
      <c r="S281" s="11" t="s">
        <v>4105</v>
      </c>
    </row>
    <row r="282" spans="1:19" x14ac:dyDescent="0.2">
      <c r="A282" s="33">
        <v>43586</v>
      </c>
      <c r="B282" s="34">
        <v>109</v>
      </c>
      <c r="C282" s="34" t="s">
        <v>167</v>
      </c>
      <c r="D282" s="34" t="str">
        <f>VLOOKUP(C282,'SALE PARTY MASTER'!$B$4:$E$500,2,FALSE)</f>
        <v>27AABFP3834C1ZK</v>
      </c>
      <c r="E282" s="34" t="s">
        <v>22</v>
      </c>
      <c r="F282" s="34" t="s">
        <v>1684</v>
      </c>
      <c r="G282" s="44">
        <v>43606</v>
      </c>
      <c r="H282" s="34">
        <v>87141900</v>
      </c>
      <c r="I282" s="34">
        <v>28</v>
      </c>
      <c r="J282" s="38">
        <v>468</v>
      </c>
      <c r="K282" s="40">
        <v>5516.76</v>
      </c>
      <c r="L282" s="41">
        <v>0</v>
      </c>
      <c r="M282" s="41">
        <v>772.34640000000002</v>
      </c>
      <c r="N282" s="41">
        <v>772.34640000000002</v>
      </c>
      <c r="O282" s="41">
        <v>0</v>
      </c>
      <c r="P282" s="42">
        <v>7061.4528000000009</v>
      </c>
      <c r="Q282" s="34" t="s">
        <v>25</v>
      </c>
      <c r="R282" s="34" t="s">
        <v>26</v>
      </c>
      <c r="S282" s="11" t="s">
        <v>4105</v>
      </c>
    </row>
    <row r="283" spans="1:19" x14ac:dyDescent="0.2">
      <c r="A283" s="33">
        <v>43586</v>
      </c>
      <c r="B283" s="34">
        <v>110</v>
      </c>
      <c r="C283" s="34" t="s">
        <v>155</v>
      </c>
      <c r="D283" s="34" t="str">
        <f>VLOOKUP(C283,'SALE PARTY MASTER'!$B$4:$E$500,2,FALSE)</f>
        <v>27AAGCP0139E1ZP</v>
      </c>
      <c r="E283" s="34" t="s">
        <v>22</v>
      </c>
      <c r="F283" s="34" t="s">
        <v>1685</v>
      </c>
      <c r="G283" s="44">
        <v>43606</v>
      </c>
      <c r="H283" s="34">
        <v>87141090</v>
      </c>
      <c r="I283" s="34">
        <v>28</v>
      </c>
      <c r="J283" s="38">
        <v>400</v>
      </c>
      <c r="K283" s="40">
        <v>30148</v>
      </c>
      <c r="L283" s="41">
        <v>0</v>
      </c>
      <c r="M283" s="41">
        <v>4220.72</v>
      </c>
      <c r="N283" s="41">
        <v>4220.72</v>
      </c>
      <c r="O283" s="41">
        <v>0</v>
      </c>
      <c r="P283" s="42">
        <v>38589.440000000002</v>
      </c>
      <c r="Q283" s="34" t="s">
        <v>25</v>
      </c>
      <c r="R283" s="34" t="s">
        <v>26</v>
      </c>
      <c r="S283" s="11" t="s">
        <v>4105</v>
      </c>
    </row>
    <row r="284" spans="1:19" x14ac:dyDescent="0.2">
      <c r="A284" s="33">
        <v>43586</v>
      </c>
      <c r="B284" s="34">
        <v>111</v>
      </c>
      <c r="C284" s="34" t="s">
        <v>70</v>
      </c>
      <c r="D284" s="34" t="str">
        <f>VLOOKUP(C284,'SALE PARTY MASTER'!$B$4:$E$500,2,FALSE)</f>
        <v>27AACCA4196J1ZG</v>
      </c>
      <c r="E284" s="34" t="s">
        <v>22</v>
      </c>
      <c r="F284" s="34" t="s">
        <v>1686</v>
      </c>
      <c r="G284" s="44">
        <v>43606</v>
      </c>
      <c r="H284" s="34">
        <v>998898</v>
      </c>
      <c r="I284" s="34">
        <v>18</v>
      </c>
      <c r="J284" s="38">
        <v>400</v>
      </c>
      <c r="K284" s="40">
        <v>3288</v>
      </c>
      <c r="L284" s="41">
        <v>0</v>
      </c>
      <c r="M284" s="41">
        <v>295.92</v>
      </c>
      <c r="N284" s="41">
        <v>295.92</v>
      </c>
      <c r="O284" s="41">
        <v>0</v>
      </c>
      <c r="P284" s="42">
        <v>3879.84</v>
      </c>
      <c r="Q284" s="34" t="s">
        <v>25</v>
      </c>
      <c r="R284" s="34" t="s">
        <v>26</v>
      </c>
      <c r="S284" s="11" t="s">
        <v>4105</v>
      </c>
    </row>
    <row r="285" spans="1:19" x14ac:dyDescent="0.2">
      <c r="A285" s="33">
        <v>43586</v>
      </c>
      <c r="B285" s="34">
        <v>112</v>
      </c>
      <c r="C285" s="34" t="s">
        <v>155</v>
      </c>
      <c r="D285" s="34" t="str">
        <f>VLOOKUP(C285,'SALE PARTY MASTER'!$B$4:$E$500,2,FALSE)</f>
        <v>27AAGCP0139E1ZP</v>
      </c>
      <c r="E285" s="34" t="s">
        <v>22</v>
      </c>
      <c r="F285" s="34" t="s">
        <v>1687</v>
      </c>
      <c r="G285" s="44">
        <v>43606</v>
      </c>
      <c r="H285" s="34">
        <v>87141090</v>
      </c>
      <c r="I285" s="34">
        <v>28</v>
      </c>
      <c r="J285" s="38">
        <v>360</v>
      </c>
      <c r="K285" s="40">
        <v>16930.8</v>
      </c>
      <c r="L285" s="41">
        <v>0</v>
      </c>
      <c r="M285" s="41">
        <v>2370.3119999999999</v>
      </c>
      <c r="N285" s="41">
        <v>2370.3119999999999</v>
      </c>
      <c r="O285" s="41">
        <v>0</v>
      </c>
      <c r="P285" s="42">
        <v>21671.423999999999</v>
      </c>
      <c r="Q285" s="34" t="s">
        <v>25</v>
      </c>
      <c r="R285" s="34" t="s">
        <v>26</v>
      </c>
      <c r="S285" s="11" t="s">
        <v>4105</v>
      </c>
    </row>
    <row r="286" spans="1:19" x14ac:dyDescent="0.2">
      <c r="A286" s="33">
        <v>43586</v>
      </c>
      <c r="B286" s="34">
        <v>113</v>
      </c>
      <c r="C286" s="34" t="s">
        <v>28</v>
      </c>
      <c r="D286" s="34" t="str">
        <f>VLOOKUP(C286,'SALE PARTY MASTER'!$B$4:$E$500,2,FALSE)</f>
        <v>27AAECM8871A1ZF</v>
      </c>
      <c r="E286" s="34" t="s">
        <v>22</v>
      </c>
      <c r="F286" s="34" t="s">
        <v>1688</v>
      </c>
      <c r="G286" s="44">
        <v>43606</v>
      </c>
      <c r="H286" s="34">
        <v>87089900</v>
      </c>
      <c r="I286" s="34">
        <v>28</v>
      </c>
      <c r="J286" s="38">
        <v>12</v>
      </c>
      <c r="K286" s="40">
        <v>23255.759999999998</v>
      </c>
      <c r="L286" s="41">
        <v>0</v>
      </c>
      <c r="M286" s="41">
        <v>3255.8063999999995</v>
      </c>
      <c r="N286" s="41">
        <v>3255.8063999999995</v>
      </c>
      <c r="O286" s="41">
        <v>0</v>
      </c>
      <c r="P286" s="42">
        <v>29767.372799999997</v>
      </c>
      <c r="Q286" s="34" t="s">
        <v>25</v>
      </c>
      <c r="R286" s="34" t="s">
        <v>26</v>
      </c>
      <c r="S286" s="11" t="s">
        <v>4105</v>
      </c>
    </row>
    <row r="287" spans="1:19" x14ac:dyDescent="0.2">
      <c r="A287" s="33">
        <v>43586</v>
      </c>
      <c r="B287" s="34">
        <v>114</v>
      </c>
      <c r="C287" s="34" t="s">
        <v>73</v>
      </c>
      <c r="D287" s="34" t="str">
        <f>VLOOKUP(C287,'SALE PARTY MASTER'!$B$4:$E$500,2,FALSE)</f>
        <v>27AAACH4211R1ZF</v>
      </c>
      <c r="E287" s="34" t="s">
        <v>22</v>
      </c>
      <c r="F287" s="34" t="s">
        <v>1689</v>
      </c>
      <c r="G287" s="44">
        <v>43606</v>
      </c>
      <c r="H287" s="34">
        <v>85129000</v>
      </c>
      <c r="I287" s="34">
        <v>18</v>
      </c>
      <c r="J287" s="38">
        <v>1200</v>
      </c>
      <c r="K287" s="40">
        <v>30000</v>
      </c>
      <c r="L287" s="41">
        <v>0</v>
      </c>
      <c r="M287" s="41">
        <v>2700</v>
      </c>
      <c r="N287" s="41">
        <v>2700</v>
      </c>
      <c r="O287" s="41">
        <v>0</v>
      </c>
      <c r="P287" s="42">
        <v>35400</v>
      </c>
      <c r="Q287" s="34" t="s">
        <v>25</v>
      </c>
      <c r="R287" s="34" t="s">
        <v>26</v>
      </c>
      <c r="S287" s="11" t="s">
        <v>4105</v>
      </c>
    </row>
    <row r="288" spans="1:19" x14ac:dyDescent="0.2">
      <c r="A288" s="33">
        <v>43586</v>
      </c>
      <c r="B288" s="34">
        <v>115</v>
      </c>
      <c r="C288" s="34" t="s">
        <v>124</v>
      </c>
      <c r="D288" s="34" t="str">
        <f>VLOOKUP(C288,'SALE PARTY MASTER'!$B$4:$E$500,2,FALSE)</f>
        <v>27AAACB2484Q1Z8</v>
      </c>
      <c r="E288" s="34" t="s">
        <v>22</v>
      </c>
      <c r="F288" s="34" t="s">
        <v>1690</v>
      </c>
      <c r="G288" s="44">
        <v>43606</v>
      </c>
      <c r="H288" s="34">
        <v>998898</v>
      </c>
      <c r="I288" s="34">
        <v>18</v>
      </c>
      <c r="J288" s="38">
        <v>548</v>
      </c>
      <c r="K288" s="40">
        <v>2446</v>
      </c>
      <c r="L288" s="41">
        <v>0</v>
      </c>
      <c r="M288" s="41">
        <v>220.14000000000001</v>
      </c>
      <c r="N288" s="41">
        <v>220.14000000000001</v>
      </c>
      <c r="O288" s="41">
        <v>0</v>
      </c>
      <c r="P288" s="42">
        <v>2886.2799999999997</v>
      </c>
      <c r="Q288" s="34" t="s">
        <v>25</v>
      </c>
      <c r="R288" s="34" t="s">
        <v>26</v>
      </c>
      <c r="S288" s="11" t="s">
        <v>4105</v>
      </c>
    </row>
    <row r="289" spans="1:19" x14ac:dyDescent="0.2">
      <c r="A289" s="33">
        <v>43586</v>
      </c>
      <c r="B289" s="34">
        <v>116</v>
      </c>
      <c r="C289" s="34" t="s">
        <v>28</v>
      </c>
      <c r="D289" s="34" t="str">
        <f>VLOOKUP(C289,'SALE PARTY MASTER'!$B$4:$E$500,2,FALSE)</f>
        <v>27AAECM8871A1ZF</v>
      </c>
      <c r="E289" s="34" t="s">
        <v>22</v>
      </c>
      <c r="F289" s="34" t="s">
        <v>1691</v>
      </c>
      <c r="G289" s="44">
        <v>43607</v>
      </c>
      <c r="H289" s="34">
        <v>87089900</v>
      </c>
      <c r="I289" s="34">
        <v>28</v>
      </c>
      <c r="J289" s="38">
        <v>12</v>
      </c>
      <c r="K289" s="40">
        <v>23255.759999999998</v>
      </c>
      <c r="L289" s="41">
        <v>0</v>
      </c>
      <c r="M289" s="41">
        <v>3255.8063999999995</v>
      </c>
      <c r="N289" s="41">
        <v>3255.8063999999995</v>
      </c>
      <c r="O289" s="41">
        <v>0</v>
      </c>
      <c r="P289" s="42">
        <v>29767.372799999997</v>
      </c>
      <c r="Q289" s="34" t="s">
        <v>25</v>
      </c>
      <c r="R289" s="34" t="s">
        <v>26</v>
      </c>
      <c r="S289" s="11" t="s">
        <v>4105</v>
      </c>
    </row>
    <row r="290" spans="1:19" x14ac:dyDescent="0.2">
      <c r="A290" s="33">
        <v>43586</v>
      </c>
      <c r="B290" s="34">
        <v>117</v>
      </c>
      <c r="C290" s="34" t="s">
        <v>28</v>
      </c>
      <c r="D290" s="34" t="str">
        <f>VLOOKUP(C290,'SALE PARTY MASTER'!$B$4:$E$500,2,FALSE)</f>
        <v>27AAECM8871A1ZF</v>
      </c>
      <c r="E290" s="34" t="s">
        <v>22</v>
      </c>
      <c r="F290" s="34" t="s">
        <v>1692</v>
      </c>
      <c r="G290" s="44">
        <v>43607</v>
      </c>
      <c r="H290" s="34">
        <v>87089900</v>
      </c>
      <c r="I290" s="34">
        <v>28</v>
      </c>
      <c r="J290" s="38">
        <v>12</v>
      </c>
      <c r="K290" s="40">
        <v>23255.759999999998</v>
      </c>
      <c r="L290" s="41">
        <v>0</v>
      </c>
      <c r="M290" s="41">
        <v>3255.8063999999995</v>
      </c>
      <c r="N290" s="41">
        <v>3255.8063999999995</v>
      </c>
      <c r="O290" s="41">
        <v>0</v>
      </c>
      <c r="P290" s="42">
        <v>29767.372799999997</v>
      </c>
      <c r="Q290" s="34" t="s">
        <v>25</v>
      </c>
      <c r="R290" s="34" t="s">
        <v>26</v>
      </c>
      <c r="S290" s="11" t="s">
        <v>4105</v>
      </c>
    </row>
    <row r="291" spans="1:19" x14ac:dyDescent="0.2">
      <c r="A291" s="33">
        <v>43586</v>
      </c>
      <c r="B291" s="34">
        <v>118</v>
      </c>
      <c r="C291" s="34" t="s">
        <v>28</v>
      </c>
      <c r="D291" s="34" t="str">
        <f>VLOOKUP(C291,'SALE PARTY MASTER'!$B$4:$E$500,2,FALSE)</f>
        <v>27AAECM8871A1ZF</v>
      </c>
      <c r="E291" s="34" t="s">
        <v>22</v>
      </c>
      <c r="F291" s="34" t="s">
        <v>1693</v>
      </c>
      <c r="G291" s="44">
        <v>43607</v>
      </c>
      <c r="H291" s="34">
        <v>87089900</v>
      </c>
      <c r="I291" s="34">
        <v>28</v>
      </c>
      <c r="J291" s="38">
        <v>12</v>
      </c>
      <c r="K291" s="40">
        <v>23255.759999999998</v>
      </c>
      <c r="L291" s="41">
        <v>0</v>
      </c>
      <c r="M291" s="41">
        <v>3255.8063999999995</v>
      </c>
      <c r="N291" s="41">
        <v>3255.8063999999995</v>
      </c>
      <c r="O291" s="41">
        <v>0</v>
      </c>
      <c r="P291" s="42">
        <v>29767.372799999997</v>
      </c>
      <c r="Q291" s="34" t="s">
        <v>25</v>
      </c>
      <c r="R291" s="34" t="s">
        <v>26</v>
      </c>
      <c r="S291" s="11" t="s">
        <v>4105</v>
      </c>
    </row>
    <row r="292" spans="1:19" x14ac:dyDescent="0.2">
      <c r="A292" s="33">
        <v>43586</v>
      </c>
      <c r="B292" s="34">
        <v>119</v>
      </c>
      <c r="C292" s="34" t="s">
        <v>45</v>
      </c>
      <c r="D292" s="34" t="str">
        <f>VLOOKUP(C292,'SALE PARTY MASTER'!$B$4:$E$500,2,FALSE)</f>
        <v>27AAACD4090Q1Z8</v>
      </c>
      <c r="E292" s="34" t="s">
        <v>22</v>
      </c>
      <c r="F292" s="34" t="s">
        <v>1694</v>
      </c>
      <c r="G292" s="44">
        <v>43607</v>
      </c>
      <c r="H292" s="34">
        <v>85129000</v>
      </c>
      <c r="I292" s="34">
        <v>18</v>
      </c>
      <c r="J292" s="38">
        <v>468</v>
      </c>
      <c r="K292" s="40">
        <v>57100.68</v>
      </c>
      <c r="L292" s="41">
        <v>0</v>
      </c>
      <c r="M292" s="41">
        <v>5139.0612000000001</v>
      </c>
      <c r="N292" s="41">
        <v>5139.0612000000001</v>
      </c>
      <c r="O292" s="41">
        <v>0</v>
      </c>
      <c r="P292" s="42">
        <v>67378.8024</v>
      </c>
      <c r="Q292" s="34" t="s">
        <v>25</v>
      </c>
      <c r="R292" s="34" t="s">
        <v>26</v>
      </c>
      <c r="S292" s="11" t="s">
        <v>4105</v>
      </c>
    </row>
    <row r="293" spans="1:19" x14ac:dyDescent="0.2">
      <c r="A293" s="33">
        <v>43586</v>
      </c>
      <c r="B293" s="34">
        <v>120</v>
      </c>
      <c r="C293" s="34" t="s">
        <v>45</v>
      </c>
      <c r="D293" s="34" t="str">
        <f>VLOOKUP(C293,'SALE PARTY MASTER'!$B$4:$E$500,2,FALSE)</f>
        <v>27AAACD4090Q1Z8</v>
      </c>
      <c r="E293" s="34" t="s">
        <v>22</v>
      </c>
      <c r="F293" s="34" t="s">
        <v>1695</v>
      </c>
      <c r="G293" s="44">
        <v>43607</v>
      </c>
      <c r="H293" s="34">
        <v>85129000</v>
      </c>
      <c r="I293" s="34">
        <v>18</v>
      </c>
      <c r="J293" s="38">
        <v>243</v>
      </c>
      <c r="K293" s="40">
        <v>15688.08</v>
      </c>
      <c r="L293" s="41">
        <v>0</v>
      </c>
      <c r="M293" s="41">
        <v>1411.9271999999999</v>
      </c>
      <c r="N293" s="41">
        <v>1411.9271999999999</v>
      </c>
      <c r="O293" s="41">
        <v>0</v>
      </c>
      <c r="P293" s="42">
        <v>18511.934399999998</v>
      </c>
      <c r="Q293" s="34" t="s">
        <v>25</v>
      </c>
      <c r="R293" s="34" t="s">
        <v>26</v>
      </c>
      <c r="S293" s="11" t="s">
        <v>4105</v>
      </c>
    </row>
    <row r="294" spans="1:19" x14ac:dyDescent="0.2">
      <c r="A294" s="33">
        <v>43586</v>
      </c>
      <c r="B294" s="34">
        <v>121</v>
      </c>
      <c r="C294" s="34" t="s">
        <v>155</v>
      </c>
      <c r="D294" s="34" t="str">
        <f>VLOOKUP(C294,'SALE PARTY MASTER'!$B$4:$E$500,2,FALSE)</f>
        <v>27AAGCP0139E1ZP</v>
      </c>
      <c r="E294" s="34" t="s">
        <v>22</v>
      </c>
      <c r="F294" s="34" t="s">
        <v>1696</v>
      </c>
      <c r="G294" s="44">
        <v>43607</v>
      </c>
      <c r="H294" s="34">
        <v>87141090</v>
      </c>
      <c r="I294" s="34">
        <v>28</v>
      </c>
      <c r="J294" s="38">
        <v>300</v>
      </c>
      <c r="K294" s="40">
        <v>22611</v>
      </c>
      <c r="L294" s="41">
        <v>0</v>
      </c>
      <c r="M294" s="41">
        <v>3165.54</v>
      </c>
      <c r="N294" s="41">
        <v>3165.54</v>
      </c>
      <c r="O294" s="41">
        <v>0</v>
      </c>
      <c r="P294" s="42">
        <v>28942.080000000002</v>
      </c>
      <c r="Q294" s="34" t="s">
        <v>25</v>
      </c>
      <c r="R294" s="34" t="s">
        <v>26</v>
      </c>
      <c r="S294" s="11" t="s">
        <v>4105</v>
      </c>
    </row>
    <row r="295" spans="1:19" x14ac:dyDescent="0.2">
      <c r="A295" s="33">
        <v>43586</v>
      </c>
      <c r="B295" s="34">
        <v>122</v>
      </c>
      <c r="C295" s="34" t="s">
        <v>73</v>
      </c>
      <c r="D295" s="34" t="str">
        <f>VLOOKUP(C295,'SALE PARTY MASTER'!$B$4:$E$500,2,FALSE)</f>
        <v>27AAACH4211R1ZF</v>
      </c>
      <c r="E295" s="34" t="s">
        <v>22</v>
      </c>
      <c r="F295" s="34" t="s">
        <v>1697</v>
      </c>
      <c r="G295" s="44">
        <v>43607</v>
      </c>
      <c r="H295" s="34">
        <v>85129000</v>
      </c>
      <c r="I295" s="34">
        <v>18</v>
      </c>
      <c r="J295" s="38">
        <v>720</v>
      </c>
      <c r="K295" s="40">
        <v>18000</v>
      </c>
      <c r="L295" s="41">
        <v>0</v>
      </c>
      <c r="M295" s="41">
        <v>1620</v>
      </c>
      <c r="N295" s="41">
        <v>1620</v>
      </c>
      <c r="O295" s="41">
        <v>0</v>
      </c>
      <c r="P295" s="42">
        <v>21240</v>
      </c>
      <c r="Q295" s="34" t="s">
        <v>25</v>
      </c>
      <c r="R295" s="34" t="s">
        <v>26</v>
      </c>
      <c r="S295" s="11" t="s">
        <v>4105</v>
      </c>
    </row>
    <row r="296" spans="1:19" x14ac:dyDescent="0.2">
      <c r="A296" s="33">
        <v>43586</v>
      </c>
      <c r="B296" s="34">
        <v>123</v>
      </c>
      <c r="C296" s="34" t="s">
        <v>124</v>
      </c>
      <c r="D296" s="34" t="str">
        <f>VLOOKUP(C296,'SALE PARTY MASTER'!$B$4:$E$500,2,FALSE)</f>
        <v>27AAACB2484Q1Z8</v>
      </c>
      <c r="E296" s="34" t="s">
        <v>22</v>
      </c>
      <c r="F296" s="34" t="s">
        <v>1698</v>
      </c>
      <c r="G296" s="44">
        <v>43607</v>
      </c>
      <c r="H296" s="34">
        <v>998898</v>
      </c>
      <c r="I296" s="34">
        <v>18</v>
      </c>
      <c r="J296" s="38">
        <v>480</v>
      </c>
      <c r="K296" s="40">
        <v>2430</v>
      </c>
      <c r="L296" s="41">
        <v>0</v>
      </c>
      <c r="M296" s="41">
        <v>218.70000000000002</v>
      </c>
      <c r="N296" s="41">
        <v>218.70000000000002</v>
      </c>
      <c r="O296" s="41">
        <v>0</v>
      </c>
      <c r="P296" s="42">
        <v>2867.3999999999996</v>
      </c>
      <c r="Q296" s="34" t="s">
        <v>25</v>
      </c>
      <c r="R296" s="34" t="s">
        <v>26</v>
      </c>
      <c r="S296" s="11" t="s">
        <v>4105</v>
      </c>
    </row>
    <row r="297" spans="1:19" x14ac:dyDescent="0.2">
      <c r="A297" s="33">
        <v>43586</v>
      </c>
      <c r="B297" s="34">
        <v>124</v>
      </c>
      <c r="C297" s="34" t="s">
        <v>124</v>
      </c>
      <c r="D297" s="34" t="str">
        <f>VLOOKUP(C297,'SALE PARTY MASTER'!$B$4:$E$500,2,FALSE)</f>
        <v>27AAACB2484Q1Z8</v>
      </c>
      <c r="E297" s="34" t="s">
        <v>22</v>
      </c>
      <c r="F297" s="34" t="s">
        <v>1699</v>
      </c>
      <c r="G297" s="44">
        <v>43607</v>
      </c>
      <c r="H297" s="34">
        <v>998898</v>
      </c>
      <c r="I297" s="34">
        <v>18</v>
      </c>
      <c r="J297" s="38">
        <v>240</v>
      </c>
      <c r="K297" s="40">
        <v>1560</v>
      </c>
      <c r="L297" s="41">
        <v>0</v>
      </c>
      <c r="M297" s="41">
        <v>140.4</v>
      </c>
      <c r="N297" s="41">
        <v>140.4</v>
      </c>
      <c r="O297" s="41">
        <v>0</v>
      </c>
      <c r="P297" s="42">
        <v>1840.8000000000002</v>
      </c>
      <c r="Q297" s="34" t="s">
        <v>25</v>
      </c>
      <c r="R297" s="34" t="s">
        <v>26</v>
      </c>
      <c r="S297" s="11" t="s">
        <v>4105</v>
      </c>
    </row>
    <row r="298" spans="1:19" x14ac:dyDescent="0.2">
      <c r="A298" s="33">
        <v>43586</v>
      </c>
      <c r="B298" s="34">
        <v>125</v>
      </c>
      <c r="C298" s="34" t="s">
        <v>124</v>
      </c>
      <c r="D298" s="34" t="str">
        <f>VLOOKUP(C298,'SALE PARTY MASTER'!$B$4:$E$500,2,FALSE)</f>
        <v>27AAACB2484Q1Z8</v>
      </c>
      <c r="E298" s="34" t="s">
        <v>22</v>
      </c>
      <c r="F298" s="34" t="s">
        <v>1700</v>
      </c>
      <c r="G298" s="44">
        <v>43607</v>
      </c>
      <c r="H298" s="34">
        <v>998898</v>
      </c>
      <c r="I298" s="34">
        <v>18</v>
      </c>
      <c r="J298" s="38">
        <v>500</v>
      </c>
      <c r="K298" s="40">
        <v>43000</v>
      </c>
      <c r="L298" s="41">
        <v>0</v>
      </c>
      <c r="M298" s="41">
        <v>3870</v>
      </c>
      <c r="N298" s="41">
        <v>3870</v>
      </c>
      <c r="O298" s="41">
        <v>0</v>
      </c>
      <c r="P298" s="42">
        <v>50740</v>
      </c>
      <c r="Q298" s="34" t="s">
        <v>25</v>
      </c>
      <c r="R298" s="34" t="s">
        <v>26</v>
      </c>
      <c r="S298" s="11" t="s">
        <v>4105</v>
      </c>
    </row>
    <row r="299" spans="1:19" x14ac:dyDescent="0.2">
      <c r="A299" s="33">
        <v>43586</v>
      </c>
      <c r="B299" s="34">
        <v>126</v>
      </c>
      <c r="C299" s="34" t="s">
        <v>73</v>
      </c>
      <c r="D299" s="34" t="str">
        <f>VLOOKUP(C299,'SALE PARTY MASTER'!$B$4:$E$500,2,FALSE)</f>
        <v>27AAACH4211R1ZF</v>
      </c>
      <c r="E299" s="34" t="s">
        <v>22</v>
      </c>
      <c r="F299" s="34" t="s">
        <v>1701</v>
      </c>
      <c r="G299" s="44">
        <v>43608</v>
      </c>
      <c r="H299" s="34">
        <v>85129000</v>
      </c>
      <c r="I299" s="34">
        <v>18</v>
      </c>
      <c r="J299" s="38">
        <v>1200</v>
      </c>
      <c r="K299" s="40">
        <v>30000</v>
      </c>
      <c r="L299" s="41">
        <v>0</v>
      </c>
      <c r="M299" s="41">
        <v>2700</v>
      </c>
      <c r="N299" s="41">
        <v>2700</v>
      </c>
      <c r="O299" s="41">
        <v>0</v>
      </c>
      <c r="P299" s="42">
        <v>35400</v>
      </c>
      <c r="Q299" s="34" t="s">
        <v>25</v>
      </c>
      <c r="R299" s="34" t="s">
        <v>26</v>
      </c>
      <c r="S299" s="11" t="s">
        <v>4105</v>
      </c>
    </row>
    <row r="300" spans="1:19" x14ac:dyDescent="0.2">
      <c r="A300" s="33">
        <v>43586</v>
      </c>
      <c r="B300" s="34">
        <v>127</v>
      </c>
      <c r="C300" s="34" t="s">
        <v>155</v>
      </c>
      <c r="D300" s="34" t="str">
        <f>VLOOKUP(C300,'SALE PARTY MASTER'!$B$4:$E$500,2,FALSE)</f>
        <v>27AAGCP0139E1ZP</v>
      </c>
      <c r="E300" s="34" t="s">
        <v>22</v>
      </c>
      <c r="F300" s="34" t="s">
        <v>1702</v>
      </c>
      <c r="G300" s="44">
        <v>43608</v>
      </c>
      <c r="H300" s="34">
        <v>87141090</v>
      </c>
      <c r="I300" s="34">
        <v>28</v>
      </c>
      <c r="J300" s="38">
        <v>300</v>
      </c>
      <c r="K300" s="40">
        <v>22611</v>
      </c>
      <c r="L300" s="41">
        <v>0</v>
      </c>
      <c r="M300" s="41">
        <v>3165.54</v>
      </c>
      <c r="N300" s="41">
        <v>3165.54</v>
      </c>
      <c r="O300" s="41">
        <v>0</v>
      </c>
      <c r="P300" s="42">
        <v>28942.080000000002</v>
      </c>
      <c r="Q300" s="34" t="s">
        <v>25</v>
      </c>
      <c r="R300" s="34" t="s">
        <v>26</v>
      </c>
      <c r="S300" s="11" t="s">
        <v>4105</v>
      </c>
    </row>
    <row r="301" spans="1:19" x14ac:dyDescent="0.2">
      <c r="A301" s="33">
        <v>43586</v>
      </c>
      <c r="B301" s="34">
        <v>128</v>
      </c>
      <c r="C301" s="34" t="s">
        <v>124</v>
      </c>
      <c r="D301" s="34" t="str">
        <f>VLOOKUP(C301,'SALE PARTY MASTER'!$B$4:$E$500,2,FALSE)</f>
        <v>27AAACB2484Q1Z8</v>
      </c>
      <c r="E301" s="34" t="s">
        <v>22</v>
      </c>
      <c r="F301" s="34" t="s">
        <v>1703</v>
      </c>
      <c r="G301" s="44">
        <v>43608</v>
      </c>
      <c r="H301" s="34">
        <v>998898</v>
      </c>
      <c r="I301" s="34">
        <v>18</v>
      </c>
      <c r="J301" s="38">
        <v>214</v>
      </c>
      <c r="K301" s="40">
        <v>1070</v>
      </c>
      <c r="L301" s="41">
        <v>0</v>
      </c>
      <c r="M301" s="41">
        <v>96.3</v>
      </c>
      <c r="N301" s="41">
        <v>96.3</v>
      </c>
      <c r="O301" s="41">
        <v>0</v>
      </c>
      <c r="P301" s="42">
        <v>1262.5999999999999</v>
      </c>
      <c r="Q301" s="34" t="s">
        <v>25</v>
      </c>
      <c r="R301" s="34" t="s">
        <v>26</v>
      </c>
      <c r="S301" s="11" t="s">
        <v>4105</v>
      </c>
    </row>
    <row r="302" spans="1:19" x14ac:dyDescent="0.2">
      <c r="A302" s="33">
        <v>43586</v>
      </c>
      <c r="B302" s="34">
        <v>129</v>
      </c>
      <c r="C302" s="34" t="s">
        <v>124</v>
      </c>
      <c r="D302" s="34" t="str">
        <f>VLOOKUP(C302,'SALE PARTY MASTER'!$B$4:$E$500,2,FALSE)</f>
        <v>27AAACB2484Q1Z8</v>
      </c>
      <c r="E302" s="34" t="s">
        <v>22</v>
      </c>
      <c r="F302" s="34" t="s">
        <v>1704</v>
      </c>
      <c r="G302" s="44">
        <v>43608</v>
      </c>
      <c r="H302" s="34">
        <v>998898</v>
      </c>
      <c r="I302" s="34">
        <v>18</v>
      </c>
      <c r="J302" s="38">
        <v>210</v>
      </c>
      <c r="K302" s="40">
        <v>1050</v>
      </c>
      <c r="L302" s="41">
        <v>0</v>
      </c>
      <c r="M302" s="41">
        <v>94.5</v>
      </c>
      <c r="N302" s="41">
        <v>94.5</v>
      </c>
      <c r="O302" s="41">
        <v>0</v>
      </c>
      <c r="P302" s="42">
        <v>1239</v>
      </c>
      <c r="Q302" s="34" t="s">
        <v>25</v>
      </c>
      <c r="R302" s="34" t="s">
        <v>26</v>
      </c>
      <c r="S302" s="11" t="s">
        <v>4105</v>
      </c>
    </row>
    <row r="303" spans="1:19" x14ac:dyDescent="0.2">
      <c r="A303" s="33">
        <v>43586</v>
      </c>
      <c r="B303" s="34">
        <v>130</v>
      </c>
      <c r="C303" s="34" t="s">
        <v>124</v>
      </c>
      <c r="D303" s="34" t="str">
        <f>VLOOKUP(C303,'SALE PARTY MASTER'!$B$4:$E$500,2,FALSE)</f>
        <v>27AAACB2484Q1Z8</v>
      </c>
      <c r="E303" s="34" t="s">
        <v>22</v>
      </c>
      <c r="F303" s="34" t="s">
        <v>1705</v>
      </c>
      <c r="G303" s="44">
        <v>43608</v>
      </c>
      <c r="H303" s="34">
        <v>998898</v>
      </c>
      <c r="I303" s="34">
        <v>18</v>
      </c>
      <c r="J303" s="38">
        <v>660</v>
      </c>
      <c r="K303" s="40">
        <v>3300</v>
      </c>
      <c r="L303" s="41">
        <v>0</v>
      </c>
      <c r="M303" s="41">
        <v>297</v>
      </c>
      <c r="N303" s="41">
        <v>297</v>
      </c>
      <c r="O303" s="41">
        <v>0</v>
      </c>
      <c r="P303" s="42">
        <v>3894</v>
      </c>
      <c r="Q303" s="34" t="s">
        <v>25</v>
      </c>
      <c r="R303" s="34" t="s">
        <v>26</v>
      </c>
      <c r="S303" s="11" t="s">
        <v>4105</v>
      </c>
    </row>
    <row r="304" spans="1:19" x14ac:dyDescent="0.2">
      <c r="A304" s="33">
        <v>43586</v>
      </c>
      <c r="B304" s="34">
        <v>131</v>
      </c>
      <c r="C304" s="34" t="s">
        <v>124</v>
      </c>
      <c r="D304" s="34" t="str">
        <f>VLOOKUP(C304,'SALE PARTY MASTER'!$B$4:$E$500,2,FALSE)</f>
        <v>27AAACB2484Q1Z8</v>
      </c>
      <c r="E304" s="34" t="s">
        <v>22</v>
      </c>
      <c r="F304" s="34" t="s">
        <v>1706</v>
      </c>
      <c r="G304" s="44">
        <v>43608</v>
      </c>
      <c r="H304" s="34">
        <v>998898</v>
      </c>
      <c r="I304" s="34">
        <v>18</v>
      </c>
      <c r="J304" s="38">
        <v>540</v>
      </c>
      <c r="K304" s="40">
        <v>2700</v>
      </c>
      <c r="L304" s="41">
        <v>0</v>
      </c>
      <c r="M304" s="41">
        <v>243</v>
      </c>
      <c r="N304" s="41">
        <v>243</v>
      </c>
      <c r="O304" s="41">
        <v>0</v>
      </c>
      <c r="P304" s="42">
        <v>3186</v>
      </c>
      <c r="Q304" s="34" t="s">
        <v>25</v>
      </c>
      <c r="R304" s="34" t="s">
        <v>26</v>
      </c>
      <c r="S304" s="11" t="s">
        <v>4105</v>
      </c>
    </row>
    <row r="305" spans="1:19" x14ac:dyDescent="0.2">
      <c r="A305" s="33">
        <v>43586</v>
      </c>
      <c r="B305" s="34">
        <v>132</v>
      </c>
      <c r="C305" s="34" t="s">
        <v>124</v>
      </c>
      <c r="D305" s="34" t="str">
        <f>VLOOKUP(C305,'SALE PARTY MASTER'!$B$4:$E$500,2,FALSE)</f>
        <v>27AAACB2484Q1Z8</v>
      </c>
      <c r="E305" s="34" t="s">
        <v>22</v>
      </c>
      <c r="F305" s="34" t="s">
        <v>1707</v>
      </c>
      <c r="G305" s="44">
        <v>43608</v>
      </c>
      <c r="H305" s="34">
        <v>998898</v>
      </c>
      <c r="I305" s="34">
        <v>18</v>
      </c>
      <c r="J305" s="38">
        <v>528</v>
      </c>
      <c r="K305" s="40">
        <v>2640</v>
      </c>
      <c r="L305" s="41">
        <v>0</v>
      </c>
      <c r="M305" s="41">
        <v>237.6</v>
      </c>
      <c r="N305" s="41">
        <v>237.6</v>
      </c>
      <c r="O305" s="41">
        <v>0</v>
      </c>
      <c r="P305" s="42">
        <v>3115.2</v>
      </c>
      <c r="Q305" s="34" t="s">
        <v>25</v>
      </c>
      <c r="R305" s="34" t="s">
        <v>26</v>
      </c>
      <c r="S305" s="11" t="s">
        <v>4105</v>
      </c>
    </row>
    <row r="306" spans="1:19" x14ac:dyDescent="0.2">
      <c r="A306" s="33">
        <v>43586</v>
      </c>
      <c r="B306" s="34">
        <v>133</v>
      </c>
      <c r="C306" s="34" t="s">
        <v>124</v>
      </c>
      <c r="D306" s="34" t="str">
        <f>VLOOKUP(C306,'SALE PARTY MASTER'!$B$4:$E$500,2,FALSE)</f>
        <v>27AAACB2484Q1Z8</v>
      </c>
      <c r="E306" s="34" t="s">
        <v>22</v>
      </c>
      <c r="F306" s="34" t="s">
        <v>1708</v>
      </c>
      <c r="G306" s="44">
        <v>43608</v>
      </c>
      <c r="H306" s="34">
        <v>998898</v>
      </c>
      <c r="I306" s="34">
        <v>18</v>
      </c>
      <c r="J306" s="38">
        <v>142</v>
      </c>
      <c r="K306" s="40">
        <v>710</v>
      </c>
      <c r="L306" s="41">
        <v>0</v>
      </c>
      <c r="M306" s="41">
        <v>63.9</v>
      </c>
      <c r="N306" s="41">
        <v>63.9</v>
      </c>
      <c r="O306" s="41">
        <v>0</v>
      </c>
      <c r="P306" s="42">
        <v>837.8</v>
      </c>
      <c r="Q306" s="34" t="s">
        <v>25</v>
      </c>
      <c r="R306" s="34" t="s">
        <v>26</v>
      </c>
      <c r="S306" s="11" t="s">
        <v>4105</v>
      </c>
    </row>
    <row r="307" spans="1:19" x14ac:dyDescent="0.2">
      <c r="A307" s="33">
        <v>43586</v>
      </c>
      <c r="B307" s="34">
        <v>134</v>
      </c>
      <c r="C307" s="34" t="s">
        <v>124</v>
      </c>
      <c r="D307" s="34" t="str">
        <f>VLOOKUP(C307,'SALE PARTY MASTER'!$B$4:$E$500,2,FALSE)</f>
        <v>27AAACB2484Q1Z8</v>
      </c>
      <c r="E307" s="34" t="s">
        <v>22</v>
      </c>
      <c r="F307" s="34" t="s">
        <v>1709</v>
      </c>
      <c r="G307" s="44">
        <v>43608</v>
      </c>
      <c r="H307" s="34">
        <v>998898</v>
      </c>
      <c r="I307" s="34">
        <v>18</v>
      </c>
      <c r="J307" s="38">
        <v>360</v>
      </c>
      <c r="K307" s="40">
        <v>2340</v>
      </c>
      <c r="L307" s="41">
        <v>0</v>
      </c>
      <c r="M307" s="41">
        <v>210.6</v>
      </c>
      <c r="N307" s="41">
        <v>210.6</v>
      </c>
      <c r="O307" s="41">
        <v>0</v>
      </c>
      <c r="P307" s="42">
        <v>2761.2</v>
      </c>
      <c r="Q307" s="34" t="s">
        <v>25</v>
      </c>
      <c r="R307" s="34" t="s">
        <v>26</v>
      </c>
      <c r="S307" s="11" t="s">
        <v>4105</v>
      </c>
    </row>
    <row r="308" spans="1:19" x14ac:dyDescent="0.2">
      <c r="A308" s="33">
        <v>43586</v>
      </c>
      <c r="B308" s="34">
        <v>135</v>
      </c>
      <c r="C308" s="34" t="s">
        <v>124</v>
      </c>
      <c r="D308" s="34" t="str">
        <f>VLOOKUP(C308,'SALE PARTY MASTER'!$B$4:$E$500,2,FALSE)</f>
        <v>27AAACB2484Q1Z8</v>
      </c>
      <c r="E308" s="34" t="s">
        <v>22</v>
      </c>
      <c r="F308" s="34" t="s">
        <v>1710</v>
      </c>
      <c r="G308" s="44">
        <v>43608</v>
      </c>
      <c r="H308" s="34">
        <v>998898</v>
      </c>
      <c r="I308" s="34">
        <v>18</v>
      </c>
      <c r="J308" s="38">
        <v>930</v>
      </c>
      <c r="K308" s="40">
        <v>3330</v>
      </c>
      <c r="L308" s="41">
        <v>0</v>
      </c>
      <c r="M308" s="41">
        <v>299.7</v>
      </c>
      <c r="N308" s="41">
        <v>299.7</v>
      </c>
      <c r="O308" s="41">
        <v>0</v>
      </c>
      <c r="P308" s="42">
        <v>3929.3999999999996</v>
      </c>
      <c r="Q308" s="34" t="s">
        <v>25</v>
      </c>
      <c r="R308" s="34" t="s">
        <v>26</v>
      </c>
      <c r="S308" s="11" t="s">
        <v>4105</v>
      </c>
    </row>
    <row r="309" spans="1:19" x14ac:dyDescent="0.2">
      <c r="A309" s="33">
        <v>43586</v>
      </c>
      <c r="B309" s="34">
        <v>136</v>
      </c>
      <c r="C309" s="34" t="s">
        <v>124</v>
      </c>
      <c r="D309" s="34" t="str">
        <f>VLOOKUP(C309,'SALE PARTY MASTER'!$B$4:$E$500,2,FALSE)</f>
        <v>27AAACB2484Q1Z8</v>
      </c>
      <c r="E309" s="34" t="s">
        <v>22</v>
      </c>
      <c r="F309" s="34" t="s">
        <v>1711</v>
      </c>
      <c r="G309" s="44">
        <v>43608</v>
      </c>
      <c r="H309" s="34">
        <v>998898</v>
      </c>
      <c r="I309" s="34">
        <v>18</v>
      </c>
      <c r="J309" s="38">
        <v>225</v>
      </c>
      <c r="K309" s="40">
        <v>1462.5</v>
      </c>
      <c r="L309" s="41">
        <v>0</v>
      </c>
      <c r="M309" s="41">
        <v>131.625</v>
      </c>
      <c r="N309" s="41">
        <v>131.625</v>
      </c>
      <c r="O309" s="41">
        <v>0</v>
      </c>
      <c r="P309" s="42">
        <v>1725.75</v>
      </c>
      <c r="Q309" s="34" t="s">
        <v>25</v>
      </c>
      <c r="R309" s="34" t="s">
        <v>26</v>
      </c>
      <c r="S309" s="11" t="s">
        <v>4105</v>
      </c>
    </row>
    <row r="310" spans="1:19" x14ac:dyDescent="0.2">
      <c r="A310" s="33">
        <v>43586</v>
      </c>
      <c r="B310" s="34">
        <v>137</v>
      </c>
      <c r="C310" s="34" t="s">
        <v>45</v>
      </c>
      <c r="D310" s="34" t="str">
        <f>VLOOKUP(C310,'SALE PARTY MASTER'!$B$4:$E$500,2,FALSE)</f>
        <v>27AAACD4090Q1Z8</v>
      </c>
      <c r="E310" s="34" t="s">
        <v>22</v>
      </c>
      <c r="F310" s="34" t="s">
        <v>1712</v>
      </c>
      <c r="G310" s="44">
        <v>43608</v>
      </c>
      <c r="H310" s="34">
        <v>85129000</v>
      </c>
      <c r="I310" s="34">
        <v>18</v>
      </c>
      <c r="J310" s="38">
        <v>216</v>
      </c>
      <c r="K310" s="40">
        <v>26354.16</v>
      </c>
      <c r="L310" s="41">
        <v>0</v>
      </c>
      <c r="M310" s="41">
        <v>2371.8744000000002</v>
      </c>
      <c r="N310" s="41">
        <v>2371.8744000000002</v>
      </c>
      <c r="O310" s="41">
        <v>0</v>
      </c>
      <c r="P310" s="42">
        <v>31097.908800000001</v>
      </c>
      <c r="Q310" s="34" t="s">
        <v>25</v>
      </c>
      <c r="R310" s="34" t="s">
        <v>26</v>
      </c>
      <c r="S310" s="11" t="s">
        <v>4105</v>
      </c>
    </row>
    <row r="311" spans="1:19" x14ac:dyDescent="0.2">
      <c r="A311" s="33">
        <v>43586</v>
      </c>
      <c r="B311" s="34">
        <v>138</v>
      </c>
      <c r="C311" s="34" t="s">
        <v>45</v>
      </c>
      <c r="D311" s="34" t="str">
        <f>VLOOKUP(C311,'SALE PARTY MASTER'!$B$4:$E$500,2,FALSE)</f>
        <v>27AAACD4090Q1Z8</v>
      </c>
      <c r="E311" s="34" t="s">
        <v>22</v>
      </c>
      <c r="F311" s="34" t="s">
        <v>1713</v>
      </c>
      <c r="G311" s="44">
        <v>43608</v>
      </c>
      <c r="H311" s="34">
        <v>85129000</v>
      </c>
      <c r="I311" s="34">
        <v>18</v>
      </c>
      <c r="J311" s="38">
        <v>45</v>
      </c>
      <c r="K311" s="40">
        <v>2905.2</v>
      </c>
      <c r="L311" s="41">
        <v>0</v>
      </c>
      <c r="M311" s="41">
        <v>261.46800000000002</v>
      </c>
      <c r="N311" s="41">
        <v>261.46800000000002</v>
      </c>
      <c r="O311" s="41">
        <v>0</v>
      </c>
      <c r="P311" s="42">
        <v>3428.1359999999995</v>
      </c>
      <c r="Q311" s="34" t="s">
        <v>25</v>
      </c>
      <c r="R311" s="34" t="s">
        <v>26</v>
      </c>
      <c r="S311" s="11" t="s">
        <v>4105</v>
      </c>
    </row>
    <row r="312" spans="1:19" x14ac:dyDescent="0.2">
      <c r="A312" s="33">
        <v>43586</v>
      </c>
      <c r="B312" s="34">
        <v>139</v>
      </c>
      <c r="C312" s="34" t="s">
        <v>73</v>
      </c>
      <c r="D312" s="34" t="str">
        <f>VLOOKUP(C312,'SALE PARTY MASTER'!$B$4:$E$500,2,FALSE)</f>
        <v>27AAACH4211R1ZF</v>
      </c>
      <c r="E312" s="34" t="s">
        <v>22</v>
      </c>
      <c r="F312" s="34" t="s">
        <v>1714</v>
      </c>
      <c r="G312" s="44">
        <v>43608</v>
      </c>
      <c r="H312" s="34">
        <v>85129000</v>
      </c>
      <c r="I312" s="34">
        <v>18</v>
      </c>
      <c r="J312" s="38">
        <v>1200</v>
      </c>
      <c r="K312" s="40">
        <v>30000</v>
      </c>
      <c r="L312" s="41">
        <v>0</v>
      </c>
      <c r="M312" s="41">
        <v>2700</v>
      </c>
      <c r="N312" s="41">
        <v>2700</v>
      </c>
      <c r="O312" s="41">
        <v>0</v>
      </c>
      <c r="P312" s="42">
        <v>35400</v>
      </c>
      <c r="Q312" s="34" t="s">
        <v>25</v>
      </c>
      <c r="R312" s="34" t="s">
        <v>26</v>
      </c>
      <c r="S312" s="11" t="s">
        <v>4105</v>
      </c>
    </row>
    <row r="313" spans="1:19" x14ac:dyDescent="0.2">
      <c r="A313" s="33">
        <v>43586</v>
      </c>
      <c r="B313" s="34">
        <v>140</v>
      </c>
      <c r="C313" s="34" t="s">
        <v>91</v>
      </c>
      <c r="D313" s="34" t="str">
        <f>VLOOKUP(C313,'SALE PARTY MASTER'!$B$4:$E$500,2,FALSE)</f>
        <v>27BBVPS2447C1ZA</v>
      </c>
      <c r="E313" s="34" t="s">
        <v>22</v>
      </c>
      <c r="F313" s="34" t="s">
        <v>1715</v>
      </c>
      <c r="G313" s="44">
        <v>43609</v>
      </c>
      <c r="H313" s="34">
        <v>998898</v>
      </c>
      <c r="I313" s="34">
        <v>18</v>
      </c>
      <c r="J313" s="38">
        <v>365</v>
      </c>
      <c r="K313" s="40">
        <v>5475</v>
      </c>
      <c r="L313" s="41">
        <v>0</v>
      </c>
      <c r="M313" s="41">
        <v>492.75</v>
      </c>
      <c r="N313" s="41">
        <v>492.75</v>
      </c>
      <c r="O313" s="41">
        <v>0</v>
      </c>
      <c r="P313" s="42">
        <v>6460.5</v>
      </c>
      <c r="Q313" s="34" t="s">
        <v>25</v>
      </c>
      <c r="R313" s="34" t="s">
        <v>26</v>
      </c>
      <c r="S313" s="11" t="s">
        <v>4105</v>
      </c>
    </row>
    <row r="314" spans="1:19" x14ac:dyDescent="0.2">
      <c r="A314" s="33">
        <v>43586</v>
      </c>
      <c r="B314" s="34">
        <v>141</v>
      </c>
      <c r="C314" s="34" t="s">
        <v>167</v>
      </c>
      <c r="D314" s="34" t="str">
        <f>VLOOKUP(C314,'SALE PARTY MASTER'!$B$4:$E$500,2,FALSE)</f>
        <v>27AABFP3834C1ZK</v>
      </c>
      <c r="E314" s="34" t="s">
        <v>22</v>
      </c>
      <c r="F314" s="34" t="s">
        <v>1716</v>
      </c>
      <c r="G314" s="44">
        <v>43609</v>
      </c>
      <c r="H314" s="34">
        <v>87141900</v>
      </c>
      <c r="I314" s="34">
        <v>28</v>
      </c>
      <c r="J314" s="38">
        <v>700</v>
      </c>
      <c r="K314" s="40">
        <v>8729</v>
      </c>
      <c r="L314" s="41">
        <v>0</v>
      </c>
      <c r="M314" s="41">
        <v>1222.0600000000002</v>
      </c>
      <c r="N314" s="41">
        <v>1222.0600000000002</v>
      </c>
      <c r="O314" s="41">
        <v>0</v>
      </c>
      <c r="P314" s="42">
        <v>11173.119999999999</v>
      </c>
      <c r="Q314" s="34" t="s">
        <v>25</v>
      </c>
      <c r="R314" s="34" t="s">
        <v>26</v>
      </c>
      <c r="S314" s="11" t="s">
        <v>4105</v>
      </c>
    </row>
    <row r="315" spans="1:19" x14ac:dyDescent="0.2">
      <c r="A315" s="33">
        <v>43586</v>
      </c>
      <c r="B315" s="34">
        <v>142</v>
      </c>
      <c r="C315" s="34" t="s">
        <v>73</v>
      </c>
      <c r="D315" s="34" t="str">
        <f>VLOOKUP(C315,'SALE PARTY MASTER'!$B$4:$E$500,2,FALSE)</f>
        <v>27AAACH4211R1ZF</v>
      </c>
      <c r="E315" s="34" t="s">
        <v>22</v>
      </c>
      <c r="F315" s="34" t="s">
        <v>1717</v>
      </c>
      <c r="G315" s="44">
        <v>43609</v>
      </c>
      <c r="H315" s="34">
        <v>85129000</v>
      </c>
      <c r="I315" s="34">
        <v>18</v>
      </c>
      <c r="J315" s="38">
        <v>2400</v>
      </c>
      <c r="K315" s="40">
        <v>60000</v>
      </c>
      <c r="L315" s="41">
        <v>0</v>
      </c>
      <c r="M315" s="41">
        <v>5400</v>
      </c>
      <c r="N315" s="41">
        <v>5400</v>
      </c>
      <c r="O315" s="41">
        <v>0</v>
      </c>
      <c r="P315" s="42">
        <v>70800</v>
      </c>
      <c r="Q315" s="34" t="s">
        <v>25</v>
      </c>
      <c r="R315" s="34" t="s">
        <v>26</v>
      </c>
      <c r="S315" s="11" t="s">
        <v>4105</v>
      </c>
    </row>
    <row r="316" spans="1:19" x14ac:dyDescent="0.2">
      <c r="A316" s="33">
        <v>43586</v>
      </c>
      <c r="B316" s="34">
        <v>143</v>
      </c>
      <c r="C316" s="34" t="s">
        <v>155</v>
      </c>
      <c r="D316" s="34" t="str">
        <f>VLOOKUP(C316,'SALE PARTY MASTER'!$B$4:$E$500,2,FALSE)</f>
        <v>27AAGCP0139E1ZP</v>
      </c>
      <c r="E316" s="34" t="s">
        <v>22</v>
      </c>
      <c r="F316" s="34" t="s">
        <v>1718</v>
      </c>
      <c r="G316" s="44">
        <v>43609</v>
      </c>
      <c r="H316" s="34">
        <v>87141090</v>
      </c>
      <c r="I316" s="34">
        <v>28</v>
      </c>
      <c r="J316" s="38">
        <v>900</v>
      </c>
      <c r="K316" s="40">
        <v>42327</v>
      </c>
      <c r="L316" s="41">
        <v>0</v>
      </c>
      <c r="M316" s="41">
        <v>5925.78</v>
      </c>
      <c r="N316" s="41">
        <v>5925.78</v>
      </c>
      <c r="O316" s="41">
        <v>0</v>
      </c>
      <c r="P316" s="42">
        <v>54178.559999999998</v>
      </c>
      <c r="Q316" s="34" t="s">
        <v>25</v>
      </c>
      <c r="R316" s="34" t="s">
        <v>26</v>
      </c>
      <c r="S316" s="11" t="s">
        <v>4105</v>
      </c>
    </row>
    <row r="317" spans="1:19" x14ac:dyDescent="0.2">
      <c r="A317" s="33">
        <v>43586</v>
      </c>
      <c r="B317" s="34">
        <v>144</v>
      </c>
      <c r="C317" s="34" t="s">
        <v>155</v>
      </c>
      <c r="D317" s="34" t="str">
        <f>VLOOKUP(C317,'SALE PARTY MASTER'!$B$4:$E$500,2,FALSE)</f>
        <v>27AAGCP0139E1ZP</v>
      </c>
      <c r="E317" s="34" t="s">
        <v>22</v>
      </c>
      <c r="F317" s="34" t="s">
        <v>1719</v>
      </c>
      <c r="G317" s="44">
        <v>43609</v>
      </c>
      <c r="H317" s="34">
        <v>87141090</v>
      </c>
      <c r="I317" s="34">
        <v>28</v>
      </c>
      <c r="J317" s="38">
        <v>180</v>
      </c>
      <c r="K317" s="40">
        <v>13566.6</v>
      </c>
      <c r="L317" s="41">
        <v>0</v>
      </c>
      <c r="M317" s="41">
        <v>1899.3240000000001</v>
      </c>
      <c r="N317" s="41">
        <v>1899.3240000000001</v>
      </c>
      <c r="O317" s="41">
        <v>0</v>
      </c>
      <c r="P317" s="42">
        <v>17365.248</v>
      </c>
      <c r="Q317" s="34" t="s">
        <v>25</v>
      </c>
      <c r="R317" s="34" t="s">
        <v>26</v>
      </c>
      <c r="S317" s="11" t="s">
        <v>4105</v>
      </c>
    </row>
    <row r="318" spans="1:19" x14ac:dyDescent="0.2">
      <c r="A318" s="33">
        <v>43586</v>
      </c>
      <c r="B318" s="34">
        <v>145</v>
      </c>
      <c r="C318" s="34" t="s">
        <v>28</v>
      </c>
      <c r="D318" s="34" t="str">
        <f>VLOOKUP(C318,'SALE PARTY MASTER'!$B$4:$E$500,2,FALSE)</f>
        <v>27AAECM8871A1ZF</v>
      </c>
      <c r="E318" s="34" t="s">
        <v>22</v>
      </c>
      <c r="F318" s="34" t="s">
        <v>1720</v>
      </c>
      <c r="G318" s="44">
        <v>43609</v>
      </c>
      <c r="H318" s="34">
        <v>87089900</v>
      </c>
      <c r="I318" s="34">
        <v>28</v>
      </c>
      <c r="J318" s="38">
        <v>12</v>
      </c>
      <c r="K318" s="40">
        <v>23255.759999999998</v>
      </c>
      <c r="L318" s="41">
        <v>0</v>
      </c>
      <c r="M318" s="41">
        <v>3255.8063999999995</v>
      </c>
      <c r="N318" s="41">
        <v>3255.8063999999995</v>
      </c>
      <c r="O318" s="41">
        <v>0</v>
      </c>
      <c r="P318" s="42">
        <v>29767.372799999997</v>
      </c>
      <c r="Q318" s="34" t="s">
        <v>25</v>
      </c>
      <c r="R318" s="34" t="s">
        <v>26</v>
      </c>
      <c r="S318" s="11" t="s">
        <v>4105</v>
      </c>
    </row>
    <row r="319" spans="1:19" x14ac:dyDescent="0.2">
      <c r="A319" s="33">
        <v>43586</v>
      </c>
      <c r="B319" s="34">
        <v>146</v>
      </c>
      <c r="C319" s="34" t="s">
        <v>28</v>
      </c>
      <c r="D319" s="34" t="str">
        <f>VLOOKUP(C319,'SALE PARTY MASTER'!$B$4:$E$500,2,FALSE)</f>
        <v>27AAECM8871A1ZF</v>
      </c>
      <c r="E319" s="34" t="s">
        <v>22</v>
      </c>
      <c r="F319" s="34" t="s">
        <v>1721</v>
      </c>
      <c r="G319" s="44">
        <v>43610</v>
      </c>
      <c r="H319" s="34">
        <v>87089900</v>
      </c>
      <c r="I319" s="34">
        <v>28</v>
      </c>
      <c r="J319" s="38">
        <v>12</v>
      </c>
      <c r="K319" s="40">
        <v>23255.759999999998</v>
      </c>
      <c r="L319" s="41">
        <v>0</v>
      </c>
      <c r="M319" s="41">
        <v>3255.8063999999995</v>
      </c>
      <c r="N319" s="41">
        <v>3255.8063999999995</v>
      </c>
      <c r="O319" s="41">
        <v>0</v>
      </c>
      <c r="P319" s="42">
        <v>29767.372799999997</v>
      </c>
      <c r="Q319" s="34" t="s">
        <v>25</v>
      </c>
      <c r="R319" s="34" t="s">
        <v>26</v>
      </c>
      <c r="S319" s="11" t="s">
        <v>4105</v>
      </c>
    </row>
    <row r="320" spans="1:19" x14ac:dyDescent="0.2">
      <c r="A320" s="33">
        <v>43586</v>
      </c>
      <c r="B320" s="34">
        <v>147</v>
      </c>
      <c r="C320" s="34" t="s">
        <v>40</v>
      </c>
      <c r="D320" s="34" t="str">
        <f>VLOOKUP(C320,'SALE PARTY MASTER'!$B$4:$E$500,2,FALSE)</f>
        <v>27AAACT1848E1ZH</v>
      </c>
      <c r="E320" s="34" t="s">
        <v>22</v>
      </c>
      <c r="F320" s="34" t="s">
        <v>1722</v>
      </c>
      <c r="G320" s="44">
        <v>43610</v>
      </c>
      <c r="H320" s="34">
        <v>87089900</v>
      </c>
      <c r="I320" s="34">
        <v>28</v>
      </c>
      <c r="J320" s="38">
        <v>315</v>
      </c>
      <c r="K320" s="40">
        <v>38849.65</v>
      </c>
      <c r="L320" s="41">
        <v>0</v>
      </c>
      <c r="M320" s="41">
        <v>5438.951</v>
      </c>
      <c r="N320" s="41">
        <v>5438.951</v>
      </c>
      <c r="O320" s="41">
        <v>0</v>
      </c>
      <c r="P320" s="42">
        <v>49727.552000000003</v>
      </c>
      <c r="Q320" s="34" t="s">
        <v>25</v>
      </c>
      <c r="R320" s="34" t="s">
        <v>26</v>
      </c>
      <c r="S320" s="11" t="s">
        <v>4105</v>
      </c>
    </row>
    <row r="321" spans="1:19" x14ac:dyDescent="0.2">
      <c r="A321" s="33">
        <v>43586</v>
      </c>
      <c r="B321" s="34">
        <v>148</v>
      </c>
      <c r="C321" s="34" t="s">
        <v>28</v>
      </c>
      <c r="D321" s="34" t="str">
        <f>VLOOKUP(C321,'SALE PARTY MASTER'!$B$4:$E$500,2,FALSE)</f>
        <v>27AAECM8871A1ZF</v>
      </c>
      <c r="E321" s="34" t="s">
        <v>22</v>
      </c>
      <c r="F321" s="34" t="s">
        <v>1723</v>
      </c>
      <c r="G321" s="44">
        <v>43610</v>
      </c>
      <c r="H321" s="34">
        <v>87089900</v>
      </c>
      <c r="I321" s="34">
        <v>28</v>
      </c>
      <c r="J321" s="38">
        <v>12</v>
      </c>
      <c r="K321" s="40">
        <v>23255.759999999998</v>
      </c>
      <c r="L321" s="41">
        <v>0</v>
      </c>
      <c r="M321" s="41">
        <v>3255.8063999999995</v>
      </c>
      <c r="N321" s="41">
        <v>3255.8063999999995</v>
      </c>
      <c r="O321" s="41">
        <v>0</v>
      </c>
      <c r="P321" s="42">
        <v>29767.372799999997</v>
      </c>
      <c r="Q321" s="34" t="s">
        <v>25</v>
      </c>
      <c r="R321" s="34" t="s">
        <v>26</v>
      </c>
      <c r="S321" s="11" t="s">
        <v>4105</v>
      </c>
    </row>
    <row r="322" spans="1:19" x14ac:dyDescent="0.2">
      <c r="A322" s="33">
        <v>43586</v>
      </c>
      <c r="B322" s="34">
        <v>149</v>
      </c>
      <c r="C322" s="34" t="s">
        <v>167</v>
      </c>
      <c r="D322" s="34" t="str">
        <f>VLOOKUP(C322,'SALE PARTY MASTER'!$B$4:$E$500,2,FALSE)</f>
        <v>27AABFP3834C1ZK</v>
      </c>
      <c r="E322" s="34" t="s">
        <v>22</v>
      </c>
      <c r="F322" s="34" t="s">
        <v>1724</v>
      </c>
      <c r="G322" s="44">
        <v>43610</v>
      </c>
      <c r="H322" s="34">
        <v>87141900</v>
      </c>
      <c r="I322" s="34">
        <v>28</v>
      </c>
      <c r="J322" s="38">
        <v>890</v>
      </c>
      <c r="K322" s="40">
        <v>11071.7</v>
      </c>
      <c r="L322" s="41">
        <v>0</v>
      </c>
      <c r="M322" s="41">
        <v>1550.0380000000002</v>
      </c>
      <c r="N322" s="41">
        <v>1550.0380000000002</v>
      </c>
      <c r="O322" s="41">
        <v>0</v>
      </c>
      <c r="P322" s="42">
        <v>14171.776000000002</v>
      </c>
      <c r="Q322" s="34" t="s">
        <v>25</v>
      </c>
      <c r="R322" s="34" t="s">
        <v>26</v>
      </c>
      <c r="S322" s="11" t="s">
        <v>4105</v>
      </c>
    </row>
    <row r="323" spans="1:19" x14ac:dyDescent="0.2">
      <c r="A323" s="33">
        <v>43586</v>
      </c>
      <c r="B323" s="34">
        <v>150</v>
      </c>
      <c r="C323" s="34" t="s">
        <v>28</v>
      </c>
      <c r="D323" s="34" t="str">
        <f>VLOOKUP(C323,'SALE PARTY MASTER'!$B$4:$E$500,2,FALSE)</f>
        <v>27AAECM8871A1ZF</v>
      </c>
      <c r="E323" s="34" t="s">
        <v>22</v>
      </c>
      <c r="F323" s="34" t="s">
        <v>1725</v>
      </c>
      <c r="G323" s="44">
        <v>43610</v>
      </c>
      <c r="H323" s="34">
        <v>87089900</v>
      </c>
      <c r="I323" s="34">
        <v>28</v>
      </c>
      <c r="J323" s="38">
        <v>12</v>
      </c>
      <c r="K323" s="40">
        <v>23255.759999999998</v>
      </c>
      <c r="L323" s="41">
        <v>0</v>
      </c>
      <c r="M323" s="41">
        <v>3255.8063999999995</v>
      </c>
      <c r="N323" s="41">
        <v>3255.8063999999995</v>
      </c>
      <c r="O323" s="41">
        <v>0</v>
      </c>
      <c r="P323" s="42">
        <v>29767.372799999997</v>
      </c>
      <c r="Q323" s="34" t="s">
        <v>25</v>
      </c>
      <c r="R323" s="34" t="s">
        <v>26</v>
      </c>
      <c r="S323" s="11" t="s">
        <v>4105</v>
      </c>
    </row>
    <row r="324" spans="1:19" x14ac:dyDescent="0.2">
      <c r="A324" s="33">
        <v>43586</v>
      </c>
      <c r="B324" s="34">
        <v>151</v>
      </c>
      <c r="C324" s="34" t="s">
        <v>45</v>
      </c>
      <c r="D324" s="34" t="str">
        <f>VLOOKUP(C324,'SALE PARTY MASTER'!$B$4:$E$500,2,FALSE)</f>
        <v>27AAACD4090Q1Z8</v>
      </c>
      <c r="E324" s="34" t="s">
        <v>22</v>
      </c>
      <c r="F324" s="34" t="s">
        <v>1726</v>
      </c>
      <c r="G324" s="44">
        <v>43610</v>
      </c>
      <c r="H324" s="34">
        <v>85129000</v>
      </c>
      <c r="I324" s="34">
        <v>18</v>
      </c>
      <c r="J324" s="38">
        <v>389</v>
      </c>
      <c r="K324" s="40">
        <v>47461.89</v>
      </c>
      <c r="L324" s="41">
        <v>0</v>
      </c>
      <c r="M324" s="41">
        <v>4271.5700999999999</v>
      </c>
      <c r="N324" s="41">
        <v>4271.5700999999999</v>
      </c>
      <c r="O324" s="41">
        <v>0</v>
      </c>
      <c r="P324" s="42">
        <v>56005.030199999994</v>
      </c>
      <c r="Q324" s="34" t="s">
        <v>25</v>
      </c>
      <c r="R324" s="34" t="s">
        <v>26</v>
      </c>
      <c r="S324" s="11" t="s">
        <v>4105</v>
      </c>
    </row>
    <row r="325" spans="1:19" x14ac:dyDescent="0.2">
      <c r="A325" s="33">
        <v>43586</v>
      </c>
      <c r="B325" s="34">
        <v>152</v>
      </c>
      <c r="C325" s="34" t="s">
        <v>73</v>
      </c>
      <c r="D325" s="34" t="str">
        <f>VLOOKUP(C325,'SALE PARTY MASTER'!$B$4:$E$500,2,FALSE)</f>
        <v>27AAACH4211R1ZF</v>
      </c>
      <c r="E325" s="34" t="s">
        <v>22</v>
      </c>
      <c r="F325" s="34" t="s">
        <v>1727</v>
      </c>
      <c r="G325" s="44">
        <v>43610</v>
      </c>
      <c r="H325" s="34">
        <v>85129000</v>
      </c>
      <c r="I325" s="34">
        <v>18</v>
      </c>
      <c r="J325" s="38">
        <v>2400</v>
      </c>
      <c r="K325" s="40">
        <v>60000</v>
      </c>
      <c r="L325" s="41">
        <v>0</v>
      </c>
      <c r="M325" s="41">
        <v>5400</v>
      </c>
      <c r="N325" s="41">
        <v>5400</v>
      </c>
      <c r="O325" s="41">
        <v>0</v>
      </c>
      <c r="P325" s="42">
        <v>70800</v>
      </c>
      <c r="Q325" s="34" t="s">
        <v>25</v>
      </c>
      <c r="R325" s="34" t="s">
        <v>26</v>
      </c>
      <c r="S325" s="11" t="s">
        <v>4105</v>
      </c>
    </row>
    <row r="326" spans="1:19" x14ac:dyDescent="0.2">
      <c r="A326" s="33">
        <v>43586</v>
      </c>
      <c r="B326" s="34">
        <v>153</v>
      </c>
      <c r="C326" s="34" t="s">
        <v>73</v>
      </c>
      <c r="D326" s="34" t="str">
        <f>VLOOKUP(C326,'SALE PARTY MASTER'!$B$4:$E$500,2,FALSE)</f>
        <v>27AAACH4211R1ZF</v>
      </c>
      <c r="E326" s="34" t="s">
        <v>22</v>
      </c>
      <c r="F326" s="34" t="s">
        <v>1728</v>
      </c>
      <c r="G326" s="44">
        <v>43610</v>
      </c>
      <c r="H326" s="34">
        <v>85129000</v>
      </c>
      <c r="I326" s="34">
        <v>18</v>
      </c>
      <c r="J326" s="38">
        <v>2160</v>
      </c>
      <c r="K326" s="40">
        <v>54000</v>
      </c>
      <c r="L326" s="41">
        <v>0</v>
      </c>
      <c r="M326" s="41">
        <v>4860</v>
      </c>
      <c r="N326" s="41">
        <v>4860</v>
      </c>
      <c r="O326" s="41">
        <v>0</v>
      </c>
      <c r="P326" s="42">
        <v>63720</v>
      </c>
      <c r="Q326" s="34" t="s">
        <v>25</v>
      </c>
      <c r="R326" s="34" t="s">
        <v>26</v>
      </c>
      <c r="S326" s="11" t="s">
        <v>4105</v>
      </c>
    </row>
    <row r="327" spans="1:19" x14ac:dyDescent="0.2">
      <c r="A327" s="33">
        <v>43586</v>
      </c>
      <c r="B327" s="34">
        <v>154</v>
      </c>
      <c r="C327" s="34" t="s">
        <v>73</v>
      </c>
      <c r="D327" s="34" t="str">
        <f>VLOOKUP(C327,'SALE PARTY MASTER'!$B$4:$E$500,2,FALSE)</f>
        <v>27AAACH4211R1ZF</v>
      </c>
      <c r="E327" s="34" t="s">
        <v>22</v>
      </c>
      <c r="F327" s="34" t="s">
        <v>1729</v>
      </c>
      <c r="G327" s="44">
        <v>43610</v>
      </c>
      <c r="H327" s="34">
        <v>85129000</v>
      </c>
      <c r="I327" s="34">
        <v>18</v>
      </c>
      <c r="J327" s="38">
        <v>2160</v>
      </c>
      <c r="K327" s="40">
        <v>54000</v>
      </c>
      <c r="L327" s="41">
        <v>0</v>
      </c>
      <c r="M327" s="41">
        <v>4860</v>
      </c>
      <c r="N327" s="41">
        <v>4860</v>
      </c>
      <c r="O327" s="41">
        <v>0</v>
      </c>
      <c r="P327" s="42">
        <v>63720</v>
      </c>
      <c r="Q327" s="34" t="s">
        <v>25</v>
      </c>
      <c r="R327" s="34" t="s">
        <v>26</v>
      </c>
      <c r="S327" s="11" t="s">
        <v>4105</v>
      </c>
    </row>
    <row r="328" spans="1:19" x14ac:dyDescent="0.2">
      <c r="A328" s="33">
        <v>43586</v>
      </c>
      <c r="B328" s="34">
        <v>155</v>
      </c>
      <c r="C328" s="34" t="s">
        <v>73</v>
      </c>
      <c r="D328" s="34" t="str">
        <f>VLOOKUP(C328,'SALE PARTY MASTER'!$B$4:$E$500,2,FALSE)</f>
        <v>27AAACH4211R1ZF</v>
      </c>
      <c r="E328" s="34" t="s">
        <v>22</v>
      </c>
      <c r="F328" s="34" t="s">
        <v>1730</v>
      </c>
      <c r="G328" s="44">
        <v>43610</v>
      </c>
      <c r="H328" s="34">
        <v>85129000</v>
      </c>
      <c r="I328" s="34">
        <v>18</v>
      </c>
      <c r="J328" s="38">
        <v>2160</v>
      </c>
      <c r="K328" s="40">
        <v>54000</v>
      </c>
      <c r="L328" s="41">
        <v>0</v>
      </c>
      <c r="M328" s="41">
        <v>4860</v>
      </c>
      <c r="N328" s="41">
        <v>4860</v>
      </c>
      <c r="O328" s="41">
        <v>0</v>
      </c>
      <c r="P328" s="42">
        <v>63720</v>
      </c>
      <c r="Q328" s="34" t="s">
        <v>25</v>
      </c>
      <c r="R328" s="34" t="s">
        <v>26</v>
      </c>
      <c r="S328" s="11" t="s">
        <v>4105</v>
      </c>
    </row>
    <row r="329" spans="1:19" x14ac:dyDescent="0.2">
      <c r="A329" s="33">
        <v>43586</v>
      </c>
      <c r="B329" s="34">
        <v>156</v>
      </c>
      <c r="C329" s="34" t="s">
        <v>45</v>
      </c>
      <c r="D329" s="34" t="str">
        <f>VLOOKUP(C329,'SALE PARTY MASTER'!$B$4:$E$500,2,FALSE)</f>
        <v>27AAACD4090Q1Z8</v>
      </c>
      <c r="E329" s="34" t="s">
        <v>22</v>
      </c>
      <c r="F329" s="34" t="s">
        <v>1731</v>
      </c>
      <c r="G329" s="44">
        <v>43612</v>
      </c>
      <c r="H329" s="34">
        <v>85129000</v>
      </c>
      <c r="I329" s="34">
        <v>18</v>
      </c>
      <c r="J329" s="38">
        <v>720</v>
      </c>
      <c r="K329" s="40">
        <v>87847.2</v>
      </c>
      <c r="L329" s="41">
        <v>0</v>
      </c>
      <c r="M329" s="41">
        <v>7906.2479999999996</v>
      </c>
      <c r="N329" s="41">
        <v>7906.2479999999996</v>
      </c>
      <c r="O329" s="41">
        <v>0</v>
      </c>
      <c r="P329" s="42">
        <v>103659.696</v>
      </c>
      <c r="Q329" s="34" t="s">
        <v>25</v>
      </c>
      <c r="R329" s="34" t="s">
        <v>26</v>
      </c>
      <c r="S329" s="11" t="s">
        <v>4105</v>
      </c>
    </row>
    <row r="330" spans="1:19" x14ac:dyDescent="0.2">
      <c r="A330" s="33">
        <v>43586</v>
      </c>
      <c r="B330" s="34">
        <v>157</v>
      </c>
      <c r="C330" s="34" t="s">
        <v>28</v>
      </c>
      <c r="D330" s="34" t="str">
        <f>VLOOKUP(C330,'SALE PARTY MASTER'!$B$4:$E$500,2,FALSE)</f>
        <v>27AAECM8871A1ZF</v>
      </c>
      <c r="E330" s="34" t="s">
        <v>22</v>
      </c>
      <c r="F330" s="34" t="s">
        <v>1732</v>
      </c>
      <c r="G330" s="44">
        <v>43612</v>
      </c>
      <c r="H330" s="34">
        <v>87089900</v>
      </c>
      <c r="I330" s="34">
        <v>28</v>
      </c>
      <c r="J330" s="38">
        <v>12</v>
      </c>
      <c r="K330" s="40">
        <v>23255.759999999998</v>
      </c>
      <c r="L330" s="41">
        <v>0</v>
      </c>
      <c r="M330" s="41">
        <v>3255.8063999999995</v>
      </c>
      <c r="N330" s="41">
        <v>3255.8063999999995</v>
      </c>
      <c r="O330" s="41">
        <v>0</v>
      </c>
      <c r="P330" s="42">
        <v>29767.372799999997</v>
      </c>
      <c r="Q330" s="34" t="s">
        <v>25</v>
      </c>
      <c r="R330" s="34" t="s">
        <v>26</v>
      </c>
      <c r="S330" s="11" t="s">
        <v>4105</v>
      </c>
    </row>
    <row r="331" spans="1:19" x14ac:dyDescent="0.2">
      <c r="A331" s="33">
        <v>43586</v>
      </c>
      <c r="B331" s="34">
        <v>158</v>
      </c>
      <c r="C331" s="34" t="s">
        <v>28</v>
      </c>
      <c r="D331" s="34" t="str">
        <f>VLOOKUP(C331,'SALE PARTY MASTER'!$B$4:$E$500,2,FALSE)</f>
        <v>27AAECM8871A1ZF</v>
      </c>
      <c r="E331" s="34" t="s">
        <v>22</v>
      </c>
      <c r="F331" s="34" t="s">
        <v>1733</v>
      </c>
      <c r="G331" s="44">
        <v>43612</v>
      </c>
      <c r="H331" s="34">
        <v>87089900</v>
      </c>
      <c r="I331" s="34">
        <v>28</v>
      </c>
      <c r="J331" s="38">
        <v>12</v>
      </c>
      <c r="K331" s="40">
        <v>23255.759999999998</v>
      </c>
      <c r="L331" s="41">
        <v>0</v>
      </c>
      <c r="M331" s="41">
        <v>3255.8063999999995</v>
      </c>
      <c r="N331" s="41">
        <v>3255.8063999999995</v>
      </c>
      <c r="O331" s="41">
        <v>0</v>
      </c>
      <c r="P331" s="42">
        <v>29767.372799999997</v>
      </c>
      <c r="Q331" s="34" t="s">
        <v>25</v>
      </c>
      <c r="R331" s="34" t="s">
        <v>26</v>
      </c>
      <c r="S331" s="11" t="s">
        <v>4105</v>
      </c>
    </row>
    <row r="332" spans="1:19" x14ac:dyDescent="0.2">
      <c r="A332" s="33">
        <v>43586</v>
      </c>
      <c r="B332" s="34">
        <v>159</v>
      </c>
      <c r="C332" s="34" t="s">
        <v>155</v>
      </c>
      <c r="D332" s="34" t="str">
        <f>VLOOKUP(C332,'SALE PARTY MASTER'!$B$4:$E$500,2,FALSE)</f>
        <v>27AAGCP0139E1ZP</v>
      </c>
      <c r="E332" s="34" t="s">
        <v>22</v>
      </c>
      <c r="F332" s="34" t="s">
        <v>1734</v>
      </c>
      <c r="G332" s="44">
        <v>43612</v>
      </c>
      <c r="H332" s="34">
        <v>87141090</v>
      </c>
      <c r="I332" s="34">
        <v>28</v>
      </c>
      <c r="J332" s="38">
        <v>380</v>
      </c>
      <c r="K332" s="40">
        <v>28640.6</v>
      </c>
      <c r="L332" s="41">
        <v>0</v>
      </c>
      <c r="M332" s="41">
        <v>4009.6840000000002</v>
      </c>
      <c r="N332" s="41">
        <v>4009.6840000000002</v>
      </c>
      <c r="O332" s="41">
        <v>0</v>
      </c>
      <c r="P332" s="42">
        <v>36659.968000000001</v>
      </c>
      <c r="Q332" s="34" t="s">
        <v>25</v>
      </c>
      <c r="R332" s="34" t="s">
        <v>26</v>
      </c>
      <c r="S332" s="11" t="s">
        <v>4105</v>
      </c>
    </row>
    <row r="333" spans="1:19" x14ac:dyDescent="0.2">
      <c r="A333" s="33">
        <v>43586</v>
      </c>
      <c r="B333" s="34">
        <v>160</v>
      </c>
      <c r="C333" s="34" t="s">
        <v>155</v>
      </c>
      <c r="D333" s="34" t="str">
        <f>VLOOKUP(C333,'SALE PARTY MASTER'!$B$4:$E$500,2,FALSE)</f>
        <v>27AAGCP0139E1ZP</v>
      </c>
      <c r="E333" s="34" t="s">
        <v>22</v>
      </c>
      <c r="F333" s="34" t="s">
        <v>1735</v>
      </c>
      <c r="G333" s="44">
        <v>43612</v>
      </c>
      <c r="H333" s="34">
        <v>87141090</v>
      </c>
      <c r="I333" s="34">
        <v>28</v>
      </c>
      <c r="J333" s="38">
        <v>600</v>
      </c>
      <c r="K333" s="40">
        <v>28218</v>
      </c>
      <c r="L333" s="41">
        <v>0</v>
      </c>
      <c r="M333" s="41">
        <v>3950.52</v>
      </c>
      <c r="N333" s="41">
        <v>3950.52</v>
      </c>
      <c r="O333" s="41">
        <v>0</v>
      </c>
      <c r="P333" s="42">
        <v>36119.040000000001</v>
      </c>
      <c r="Q333" s="34" t="s">
        <v>25</v>
      </c>
      <c r="R333" s="34" t="s">
        <v>26</v>
      </c>
      <c r="S333" s="11" t="s">
        <v>4105</v>
      </c>
    </row>
    <row r="334" spans="1:19" x14ac:dyDescent="0.2">
      <c r="A334" s="33">
        <v>43586</v>
      </c>
      <c r="B334" s="34">
        <v>161</v>
      </c>
      <c r="C334" s="34" t="s">
        <v>167</v>
      </c>
      <c r="D334" s="34" t="str">
        <f>VLOOKUP(C334,'SALE PARTY MASTER'!$B$4:$E$500,2,FALSE)</f>
        <v>27AABFP3834C1ZK</v>
      </c>
      <c r="E334" s="34" t="s">
        <v>22</v>
      </c>
      <c r="F334" s="34" t="s">
        <v>1736</v>
      </c>
      <c r="G334" s="44">
        <v>43613</v>
      </c>
      <c r="H334" s="34">
        <v>87141900</v>
      </c>
      <c r="I334" s="34">
        <v>28</v>
      </c>
      <c r="J334" s="38">
        <v>1230</v>
      </c>
      <c r="K334" s="40">
        <v>15364.7</v>
      </c>
      <c r="L334" s="41">
        <v>0</v>
      </c>
      <c r="M334" s="41">
        <v>2151.0580000000004</v>
      </c>
      <c r="N334" s="41">
        <v>2151.0580000000004</v>
      </c>
      <c r="O334" s="41">
        <v>0</v>
      </c>
      <c r="P334" s="42">
        <v>19666.816000000003</v>
      </c>
      <c r="Q334" s="34" t="s">
        <v>25</v>
      </c>
      <c r="R334" s="34" t="s">
        <v>26</v>
      </c>
      <c r="S334" s="11" t="s">
        <v>4105</v>
      </c>
    </row>
    <row r="335" spans="1:19" x14ac:dyDescent="0.2">
      <c r="A335" s="33">
        <v>43586</v>
      </c>
      <c r="B335" s="34">
        <v>162</v>
      </c>
      <c r="C335" s="34" t="s">
        <v>28</v>
      </c>
      <c r="D335" s="34" t="str">
        <f>VLOOKUP(C335,'SALE PARTY MASTER'!$B$4:$E$500,2,FALSE)</f>
        <v>27AAECM8871A1ZF</v>
      </c>
      <c r="E335" s="34" t="s">
        <v>22</v>
      </c>
      <c r="F335" s="34" t="s">
        <v>1737</v>
      </c>
      <c r="G335" s="44">
        <v>43613</v>
      </c>
      <c r="H335" s="34">
        <v>87089900</v>
      </c>
      <c r="I335" s="34">
        <v>28</v>
      </c>
      <c r="J335" s="38">
        <v>12</v>
      </c>
      <c r="K335" s="40">
        <v>23255.759999999998</v>
      </c>
      <c r="L335" s="41">
        <v>0</v>
      </c>
      <c r="M335" s="41">
        <v>3255.8063999999995</v>
      </c>
      <c r="N335" s="41">
        <v>3255.8063999999995</v>
      </c>
      <c r="O335" s="41">
        <v>0</v>
      </c>
      <c r="P335" s="42">
        <v>29767.372799999997</v>
      </c>
      <c r="Q335" s="34" t="s">
        <v>25</v>
      </c>
      <c r="R335" s="34" t="s">
        <v>26</v>
      </c>
      <c r="S335" s="11" t="s">
        <v>4105</v>
      </c>
    </row>
    <row r="336" spans="1:19" x14ac:dyDescent="0.2">
      <c r="A336" s="33">
        <v>43586</v>
      </c>
      <c r="B336" s="34">
        <v>163</v>
      </c>
      <c r="C336" s="34" t="s">
        <v>28</v>
      </c>
      <c r="D336" s="34" t="str">
        <f>VLOOKUP(C336,'SALE PARTY MASTER'!$B$4:$E$500,2,FALSE)</f>
        <v>27AAECM8871A1ZF</v>
      </c>
      <c r="E336" s="34" t="s">
        <v>22</v>
      </c>
      <c r="F336" s="34" t="s">
        <v>1738</v>
      </c>
      <c r="G336" s="44">
        <v>43613</v>
      </c>
      <c r="H336" s="34">
        <v>87089900</v>
      </c>
      <c r="I336" s="34">
        <v>28</v>
      </c>
      <c r="J336" s="38">
        <v>12</v>
      </c>
      <c r="K336" s="40">
        <v>23255.759999999998</v>
      </c>
      <c r="L336" s="41">
        <v>0</v>
      </c>
      <c r="M336" s="41">
        <v>3255.8063999999995</v>
      </c>
      <c r="N336" s="41">
        <v>3255.8063999999995</v>
      </c>
      <c r="O336" s="41">
        <v>0</v>
      </c>
      <c r="P336" s="42">
        <v>29767.372799999997</v>
      </c>
      <c r="Q336" s="34" t="s">
        <v>25</v>
      </c>
      <c r="R336" s="34" t="s">
        <v>26</v>
      </c>
      <c r="S336" s="11" t="s">
        <v>4105</v>
      </c>
    </row>
    <row r="337" spans="1:19" x14ac:dyDescent="0.2">
      <c r="A337" s="33">
        <v>43586</v>
      </c>
      <c r="B337" s="34">
        <v>164</v>
      </c>
      <c r="C337" s="34" t="s">
        <v>155</v>
      </c>
      <c r="D337" s="34" t="str">
        <f>VLOOKUP(C337,'SALE PARTY MASTER'!$B$4:$E$500,2,FALSE)</f>
        <v>27AAGCP0139E1ZP</v>
      </c>
      <c r="E337" s="34" t="s">
        <v>22</v>
      </c>
      <c r="F337" s="34" t="s">
        <v>1739</v>
      </c>
      <c r="G337" s="44">
        <v>43613</v>
      </c>
      <c r="H337" s="34">
        <v>87141090</v>
      </c>
      <c r="I337" s="34">
        <v>28</v>
      </c>
      <c r="J337" s="38">
        <v>1000</v>
      </c>
      <c r="K337" s="40">
        <v>75370</v>
      </c>
      <c r="L337" s="41">
        <v>0</v>
      </c>
      <c r="M337" s="41">
        <v>10551.800000000001</v>
      </c>
      <c r="N337" s="41">
        <v>10551.800000000001</v>
      </c>
      <c r="O337" s="41">
        <v>0</v>
      </c>
      <c r="P337" s="42">
        <v>96473.600000000006</v>
      </c>
      <c r="Q337" s="34" t="s">
        <v>25</v>
      </c>
      <c r="R337" s="34" t="s">
        <v>26</v>
      </c>
      <c r="S337" s="11" t="s">
        <v>4105</v>
      </c>
    </row>
    <row r="338" spans="1:19" x14ac:dyDescent="0.2">
      <c r="A338" s="33">
        <v>43586</v>
      </c>
      <c r="B338" s="34">
        <v>165</v>
      </c>
      <c r="C338" s="34" t="s">
        <v>155</v>
      </c>
      <c r="D338" s="34" t="str">
        <f>VLOOKUP(C338,'SALE PARTY MASTER'!$B$4:$E$500,2,FALSE)</f>
        <v>27AAGCP0139E1ZP</v>
      </c>
      <c r="E338" s="34" t="s">
        <v>22</v>
      </c>
      <c r="F338" s="34" t="s">
        <v>1740</v>
      </c>
      <c r="G338" s="44">
        <v>43613</v>
      </c>
      <c r="H338" s="34">
        <v>87141090</v>
      </c>
      <c r="I338" s="34">
        <v>28</v>
      </c>
      <c r="J338" s="38">
        <v>120</v>
      </c>
      <c r="K338" s="40">
        <v>5643.6</v>
      </c>
      <c r="L338" s="41">
        <v>0</v>
      </c>
      <c r="M338" s="41">
        <v>790.10400000000004</v>
      </c>
      <c r="N338" s="41">
        <v>790.10400000000004</v>
      </c>
      <c r="O338" s="41">
        <v>0</v>
      </c>
      <c r="P338" s="42">
        <v>7223.8080000000009</v>
      </c>
      <c r="Q338" s="34" t="s">
        <v>25</v>
      </c>
      <c r="R338" s="34" t="s">
        <v>26</v>
      </c>
      <c r="S338" s="11" t="s">
        <v>4105</v>
      </c>
    </row>
    <row r="339" spans="1:19" x14ac:dyDescent="0.2">
      <c r="A339" s="33">
        <v>43586</v>
      </c>
      <c r="B339" s="34">
        <v>166</v>
      </c>
      <c r="C339" s="34" t="s">
        <v>102</v>
      </c>
      <c r="D339" s="34" t="str">
        <f>VLOOKUP(C339,'SALE PARTY MASTER'!$B$4:$E$500,2,FALSE)</f>
        <v>23AABCE9378F1ZK</v>
      </c>
      <c r="E339" s="34" t="s">
        <v>22</v>
      </c>
      <c r="F339" s="34" t="s">
        <v>1741</v>
      </c>
      <c r="G339" s="44">
        <v>43613</v>
      </c>
      <c r="H339" s="34">
        <v>87081090</v>
      </c>
      <c r="I339" s="34">
        <v>28</v>
      </c>
      <c r="J339" s="38">
        <v>10</v>
      </c>
      <c r="K339" s="40">
        <v>9388.2000000000007</v>
      </c>
      <c r="L339" s="41">
        <v>2628.6959999999999</v>
      </c>
      <c r="M339" s="41">
        <v>0</v>
      </c>
      <c r="N339" s="41">
        <v>0</v>
      </c>
      <c r="O339" s="41">
        <v>0</v>
      </c>
      <c r="P339" s="42">
        <v>12016.896000000001</v>
      </c>
      <c r="Q339" s="34" t="s">
        <v>25</v>
      </c>
      <c r="R339" s="34" t="s">
        <v>106</v>
      </c>
      <c r="S339" s="11" t="s">
        <v>4105</v>
      </c>
    </row>
    <row r="340" spans="1:19" x14ac:dyDescent="0.2">
      <c r="A340" s="33">
        <v>43586</v>
      </c>
      <c r="B340" s="34">
        <v>167</v>
      </c>
      <c r="C340" s="34" t="s">
        <v>102</v>
      </c>
      <c r="D340" s="34" t="str">
        <f>VLOOKUP(C340,'SALE PARTY MASTER'!$B$4:$E$500,2,FALSE)</f>
        <v>23AABCE9378F1ZK</v>
      </c>
      <c r="E340" s="34" t="s">
        <v>22</v>
      </c>
      <c r="F340" s="34" t="s">
        <v>1742</v>
      </c>
      <c r="G340" s="44">
        <v>43613</v>
      </c>
      <c r="H340" s="34">
        <v>87081090</v>
      </c>
      <c r="I340" s="34">
        <v>28</v>
      </c>
      <c r="J340" s="38">
        <v>20</v>
      </c>
      <c r="K340" s="40">
        <v>38068</v>
      </c>
      <c r="L340" s="41">
        <v>10659.04</v>
      </c>
      <c r="M340" s="41">
        <v>0</v>
      </c>
      <c r="N340" s="41">
        <v>0</v>
      </c>
      <c r="O340" s="41">
        <v>0</v>
      </c>
      <c r="P340" s="42">
        <v>48727.040000000001</v>
      </c>
      <c r="Q340" s="34" t="s">
        <v>25</v>
      </c>
      <c r="R340" s="34" t="s">
        <v>106</v>
      </c>
      <c r="S340" s="11" t="s">
        <v>4105</v>
      </c>
    </row>
    <row r="341" spans="1:19" x14ac:dyDescent="0.2">
      <c r="A341" s="33">
        <v>43586</v>
      </c>
      <c r="B341" s="34">
        <v>168</v>
      </c>
      <c r="C341" s="34" t="s">
        <v>102</v>
      </c>
      <c r="D341" s="34" t="str">
        <f>VLOOKUP(C341,'SALE PARTY MASTER'!$B$4:$E$500,2,FALSE)</f>
        <v>23AABCE9378F1ZK</v>
      </c>
      <c r="E341" s="34" t="s">
        <v>22</v>
      </c>
      <c r="F341" s="34" t="s">
        <v>1743</v>
      </c>
      <c r="G341" s="44">
        <v>43613</v>
      </c>
      <c r="H341" s="34">
        <v>87081090</v>
      </c>
      <c r="I341" s="34">
        <v>28</v>
      </c>
      <c r="J341" s="38">
        <v>10</v>
      </c>
      <c r="K341" s="40">
        <v>12951</v>
      </c>
      <c r="L341" s="41">
        <v>3626.2799999999997</v>
      </c>
      <c r="M341" s="41">
        <v>0</v>
      </c>
      <c r="N341" s="41">
        <v>0</v>
      </c>
      <c r="O341" s="41">
        <v>0</v>
      </c>
      <c r="P341" s="42">
        <v>16577.28</v>
      </c>
      <c r="Q341" s="34" t="s">
        <v>25</v>
      </c>
      <c r="R341" s="34" t="s">
        <v>106</v>
      </c>
      <c r="S341" s="11" t="s">
        <v>4105</v>
      </c>
    </row>
    <row r="342" spans="1:19" x14ac:dyDescent="0.2">
      <c r="A342" s="33">
        <v>43586</v>
      </c>
      <c r="B342" s="34">
        <v>169</v>
      </c>
      <c r="C342" s="34" t="s">
        <v>102</v>
      </c>
      <c r="D342" s="34" t="str">
        <f>VLOOKUP(C342,'SALE PARTY MASTER'!$B$4:$E$500,2,FALSE)</f>
        <v>23AABCE9378F1ZK</v>
      </c>
      <c r="E342" s="34" t="s">
        <v>22</v>
      </c>
      <c r="F342" s="34" t="s">
        <v>1744</v>
      </c>
      <c r="G342" s="44">
        <v>43613</v>
      </c>
      <c r="H342" s="34">
        <v>87081090</v>
      </c>
      <c r="I342" s="34">
        <v>28</v>
      </c>
      <c r="J342" s="38">
        <v>1</v>
      </c>
      <c r="K342" s="40">
        <v>2030.87</v>
      </c>
      <c r="L342" s="41">
        <v>568.64359999999999</v>
      </c>
      <c r="M342" s="41">
        <v>0</v>
      </c>
      <c r="N342" s="41">
        <v>0</v>
      </c>
      <c r="O342" s="41">
        <v>0</v>
      </c>
      <c r="P342" s="42">
        <v>2599.5135999999998</v>
      </c>
      <c r="Q342" s="34" t="s">
        <v>25</v>
      </c>
      <c r="R342" s="34" t="s">
        <v>106</v>
      </c>
      <c r="S342" s="11" t="s">
        <v>4105</v>
      </c>
    </row>
    <row r="343" spans="1:19" x14ac:dyDescent="0.2">
      <c r="A343" s="33">
        <v>43586</v>
      </c>
      <c r="B343" s="34">
        <v>170</v>
      </c>
      <c r="C343" s="34" t="s">
        <v>167</v>
      </c>
      <c r="D343" s="34" t="str">
        <f>VLOOKUP(C343,'SALE PARTY MASTER'!$B$4:$E$500,2,FALSE)</f>
        <v>27AABFP3834C1ZK</v>
      </c>
      <c r="E343" s="34" t="s">
        <v>22</v>
      </c>
      <c r="F343" s="34" t="s">
        <v>1745</v>
      </c>
      <c r="G343" s="44">
        <v>43614</v>
      </c>
      <c r="H343" s="34">
        <v>87141900</v>
      </c>
      <c r="I343" s="34">
        <v>28</v>
      </c>
      <c r="J343" s="38">
        <v>600</v>
      </c>
      <c r="K343" s="40">
        <v>7482</v>
      </c>
      <c r="L343" s="41">
        <v>0</v>
      </c>
      <c r="M343" s="41">
        <v>1047.48</v>
      </c>
      <c r="N343" s="41">
        <v>1047.48</v>
      </c>
      <c r="O343" s="41">
        <v>0</v>
      </c>
      <c r="P343" s="42">
        <v>9576.9599999999991</v>
      </c>
      <c r="Q343" s="34" t="s">
        <v>25</v>
      </c>
      <c r="R343" s="34" t="s">
        <v>26</v>
      </c>
      <c r="S343" s="11" t="s">
        <v>4105</v>
      </c>
    </row>
    <row r="344" spans="1:19" x14ac:dyDescent="0.2">
      <c r="A344" s="33">
        <v>43586</v>
      </c>
      <c r="B344" s="34">
        <v>171</v>
      </c>
      <c r="C344" s="34" t="s">
        <v>28</v>
      </c>
      <c r="D344" s="34" t="str">
        <f>VLOOKUP(C344,'SALE PARTY MASTER'!$B$4:$E$500,2,FALSE)</f>
        <v>27AAECM8871A1ZF</v>
      </c>
      <c r="E344" s="34" t="s">
        <v>22</v>
      </c>
      <c r="F344" s="34" t="s">
        <v>1746</v>
      </c>
      <c r="G344" s="44">
        <v>43614</v>
      </c>
      <c r="H344" s="34">
        <v>87089900</v>
      </c>
      <c r="I344" s="34">
        <v>28</v>
      </c>
      <c r="J344" s="38">
        <v>12</v>
      </c>
      <c r="K344" s="40">
        <v>23255.759999999998</v>
      </c>
      <c r="L344" s="41">
        <v>0</v>
      </c>
      <c r="M344" s="41">
        <v>3255.8063999999995</v>
      </c>
      <c r="N344" s="41">
        <v>3255.8063999999995</v>
      </c>
      <c r="O344" s="41">
        <v>0</v>
      </c>
      <c r="P344" s="42">
        <v>29767.372799999997</v>
      </c>
      <c r="Q344" s="34" t="s">
        <v>25</v>
      </c>
      <c r="R344" s="34" t="s">
        <v>26</v>
      </c>
      <c r="S344" s="11" t="s">
        <v>4105</v>
      </c>
    </row>
    <row r="345" spans="1:19" x14ac:dyDescent="0.2">
      <c r="A345" s="33">
        <v>43586</v>
      </c>
      <c r="B345" s="34">
        <v>172</v>
      </c>
      <c r="C345" s="34" t="s">
        <v>155</v>
      </c>
      <c r="D345" s="34" t="str">
        <f>VLOOKUP(C345,'SALE PARTY MASTER'!$B$4:$E$500,2,FALSE)</f>
        <v>27AAGCP0139E1ZP</v>
      </c>
      <c r="E345" s="34" t="s">
        <v>22</v>
      </c>
      <c r="F345" s="34" t="s">
        <v>1747</v>
      </c>
      <c r="G345" s="44">
        <v>43614</v>
      </c>
      <c r="H345" s="34">
        <v>87141090</v>
      </c>
      <c r="I345" s="34">
        <v>28</v>
      </c>
      <c r="J345" s="38">
        <v>600</v>
      </c>
      <c r="K345" s="40">
        <v>45222</v>
      </c>
      <c r="L345" s="41">
        <v>0</v>
      </c>
      <c r="M345" s="41">
        <v>6331.08</v>
      </c>
      <c r="N345" s="41">
        <v>6331.08</v>
      </c>
      <c r="O345" s="41">
        <v>0</v>
      </c>
      <c r="P345" s="42">
        <v>57884.160000000003</v>
      </c>
      <c r="Q345" s="34" t="s">
        <v>25</v>
      </c>
      <c r="R345" s="34" t="s">
        <v>26</v>
      </c>
      <c r="S345" s="11" t="s">
        <v>4105</v>
      </c>
    </row>
    <row r="346" spans="1:19" x14ac:dyDescent="0.2">
      <c r="A346" s="33">
        <v>43586</v>
      </c>
      <c r="B346" s="34">
        <v>173</v>
      </c>
      <c r="C346" s="34" t="s">
        <v>73</v>
      </c>
      <c r="D346" s="34" t="str">
        <f>VLOOKUP(C346,'SALE PARTY MASTER'!$B$4:$E$500,2,FALSE)</f>
        <v>27AAACH4211R1ZF</v>
      </c>
      <c r="E346" s="34" t="s">
        <v>22</v>
      </c>
      <c r="F346" s="34" t="s">
        <v>1748</v>
      </c>
      <c r="G346" s="44">
        <v>43615</v>
      </c>
      <c r="H346" s="34">
        <v>85129000</v>
      </c>
      <c r="I346" s="34">
        <v>18</v>
      </c>
      <c r="J346" s="38">
        <v>3600</v>
      </c>
      <c r="K346" s="40">
        <v>90000</v>
      </c>
      <c r="L346" s="41">
        <v>0</v>
      </c>
      <c r="M346" s="41">
        <v>8100</v>
      </c>
      <c r="N346" s="41">
        <v>8100</v>
      </c>
      <c r="O346" s="41">
        <v>0</v>
      </c>
      <c r="P346" s="42">
        <v>106200</v>
      </c>
      <c r="Q346" s="34" t="s">
        <v>25</v>
      </c>
      <c r="R346" s="34" t="s">
        <v>26</v>
      </c>
      <c r="S346" s="11" t="s">
        <v>4105</v>
      </c>
    </row>
    <row r="347" spans="1:19" x14ac:dyDescent="0.2">
      <c r="A347" s="33">
        <v>43586</v>
      </c>
      <c r="B347" s="34">
        <v>174</v>
      </c>
      <c r="C347" s="34" t="s">
        <v>45</v>
      </c>
      <c r="D347" s="34" t="str">
        <f>VLOOKUP(C347,'SALE PARTY MASTER'!$B$4:$E$500,2,FALSE)</f>
        <v>27AAACD4090Q1Z8</v>
      </c>
      <c r="E347" s="34" t="s">
        <v>22</v>
      </c>
      <c r="F347" s="34" t="s">
        <v>1749</v>
      </c>
      <c r="G347" s="44">
        <v>43615</v>
      </c>
      <c r="H347" s="34">
        <v>85129000</v>
      </c>
      <c r="I347" s="34">
        <v>18</v>
      </c>
      <c r="J347" s="38">
        <v>720</v>
      </c>
      <c r="K347" s="40">
        <v>87847.2</v>
      </c>
      <c r="L347" s="41">
        <v>0</v>
      </c>
      <c r="M347" s="41">
        <v>7906.2479999999996</v>
      </c>
      <c r="N347" s="41">
        <v>7906.2479999999996</v>
      </c>
      <c r="O347" s="41">
        <v>0</v>
      </c>
      <c r="P347" s="42">
        <v>103659.696</v>
      </c>
      <c r="Q347" s="34" t="s">
        <v>25</v>
      </c>
      <c r="R347" s="34" t="s">
        <v>26</v>
      </c>
      <c r="S347" s="11" t="s">
        <v>4105</v>
      </c>
    </row>
    <row r="348" spans="1:19" x14ac:dyDescent="0.2">
      <c r="A348" s="33">
        <v>43586</v>
      </c>
      <c r="B348" s="34">
        <v>175</v>
      </c>
      <c r="C348" s="34" t="s">
        <v>45</v>
      </c>
      <c r="D348" s="34" t="str">
        <f>VLOOKUP(C348,'SALE PARTY MASTER'!$B$4:$E$500,2,FALSE)</f>
        <v>27AAACD4090Q1Z8</v>
      </c>
      <c r="E348" s="34" t="s">
        <v>22</v>
      </c>
      <c r="F348" s="34" t="s">
        <v>1750</v>
      </c>
      <c r="G348" s="44">
        <v>43615</v>
      </c>
      <c r="H348" s="34">
        <v>85129000</v>
      </c>
      <c r="I348" s="34">
        <v>18</v>
      </c>
      <c r="J348" s="38">
        <v>293</v>
      </c>
      <c r="K348" s="40">
        <v>18916.080000000002</v>
      </c>
      <c r="L348" s="41">
        <v>0</v>
      </c>
      <c r="M348" s="41">
        <v>1702.4472000000003</v>
      </c>
      <c r="N348" s="41">
        <v>1702.4472000000003</v>
      </c>
      <c r="O348" s="41">
        <v>0</v>
      </c>
      <c r="P348" s="42">
        <v>22320.974399999999</v>
      </c>
      <c r="Q348" s="34" t="s">
        <v>25</v>
      </c>
      <c r="R348" s="34" t="s">
        <v>26</v>
      </c>
      <c r="S348" s="11" t="s">
        <v>4105</v>
      </c>
    </row>
    <row r="349" spans="1:19" x14ac:dyDescent="0.2">
      <c r="A349" s="33">
        <v>43586</v>
      </c>
      <c r="B349" s="34">
        <v>176</v>
      </c>
      <c r="C349" s="34" t="s">
        <v>28</v>
      </c>
      <c r="D349" s="34" t="str">
        <f>VLOOKUP(C349,'SALE PARTY MASTER'!$B$4:$E$500,2,FALSE)</f>
        <v>27AAECM8871A1ZF</v>
      </c>
      <c r="E349" s="34" t="s">
        <v>22</v>
      </c>
      <c r="F349" s="34" t="s">
        <v>1751</v>
      </c>
      <c r="G349" s="44">
        <v>43615</v>
      </c>
      <c r="H349" s="34">
        <v>87089900</v>
      </c>
      <c r="I349" s="34">
        <v>28</v>
      </c>
      <c r="J349" s="38">
        <v>12</v>
      </c>
      <c r="K349" s="40">
        <v>23255.759999999998</v>
      </c>
      <c r="L349" s="41">
        <v>0</v>
      </c>
      <c r="M349" s="41">
        <v>3255.8063999999995</v>
      </c>
      <c r="N349" s="41">
        <v>3255.8063999999995</v>
      </c>
      <c r="O349" s="41">
        <v>0</v>
      </c>
      <c r="P349" s="42">
        <v>29767.372799999997</v>
      </c>
      <c r="Q349" s="34" t="s">
        <v>25</v>
      </c>
      <c r="R349" s="34" t="s">
        <v>26</v>
      </c>
      <c r="S349" s="11" t="s">
        <v>4105</v>
      </c>
    </row>
    <row r="350" spans="1:19" x14ac:dyDescent="0.2">
      <c r="A350" s="33">
        <v>43586</v>
      </c>
      <c r="B350" s="34">
        <v>177</v>
      </c>
      <c r="C350" s="34" t="s">
        <v>167</v>
      </c>
      <c r="D350" s="34" t="str">
        <f>VLOOKUP(C350,'SALE PARTY MASTER'!$B$4:$E$500,2,FALSE)</f>
        <v>27AABFP3834C1ZK</v>
      </c>
      <c r="E350" s="34" t="s">
        <v>22</v>
      </c>
      <c r="F350" s="34" t="s">
        <v>1752</v>
      </c>
      <c r="G350" s="44">
        <v>43615</v>
      </c>
      <c r="H350" s="34">
        <v>87141900</v>
      </c>
      <c r="I350" s="34">
        <v>28</v>
      </c>
      <c r="J350" s="38">
        <v>1030</v>
      </c>
      <c r="K350" s="40">
        <v>12923.9</v>
      </c>
      <c r="L350" s="41">
        <v>0</v>
      </c>
      <c r="M350" s="41">
        <v>1809.346</v>
      </c>
      <c r="N350" s="41">
        <v>1809.346</v>
      </c>
      <c r="O350" s="41">
        <v>0</v>
      </c>
      <c r="P350" s="42">
        <v>16542.592000000001</v>
      </c>
      <c r="Q350" s="34" t="s">
        <v>25</v>
      </c>
      <c r="R350" s="34" t="s">
        <v>26</v>
      </c>
      <c r="S350" s="11" t="s">
        <v>4105</v>
      </c>
    </row>
    <row r="351" spans="1:19" x14ac:dyDescent="0.2">
      <c r="A351" s="33">
        <v>43586</v>
      </c>
      <c r="B351" s="34">
        <v>178</v>
      </c>
      <c r="C351" s="34" t="s">
        <v>40</v>
      </c>
      <c r="D351" s="34" t="str">
        <f>VLOOKUP(C351,'SALE PARTY MASTER'!$B$4:$E$500,2,FALSE)</f>
        <v>27AAACT1848E1ZH</v>
      </c>
      <c r="E351" s="34" t="s">
        <v>22</v>
      </c>
      <c r="F351" s="34" t="s">
        <v>1753</v>
      </c>
      <c r="G351" s="44">
        <v>43615</v>
      </c>
      <c r="H351" s="34">
        <v>87089900</v>
      </c>
      <c r="I351" s="34">
        <v>28</v>
      </c>
      <c r="J351" s="38">
        <v>80</v>
      </c>
      <c r="K351" s="40">
        <v>57536</v>
      </c>
      <c r="L351" s="41">
        <v>0</v>
      </c>
      <c r="M351" s="41">
        <v>8055.04</v>
      </c>
      <c r="N351" s="41">
        <v>8055.04</v>
      </c>
      <c r="O351" s="41">
        <v>0</v>
      </c>
      <c r="P351" s="42">
        <v>73646.079999999987</v>
      </c>
      <c r="Q351" s="34" t="s">
        <v>25</v>
      </c>
      <c r="R351" s="34" t="s">
        <v>26</v>
      </c>
      <c r="S351" s="11" t="s">
        <v>4105</v>
      </c>
    </row>
    <row r="352" spans="1:19" x14ac:dyDescent="0.2">
      <c r="A352" s="33">
        <v>43586</v>
      </c>
      <c r="B352" s="34">
        <v>179</v>
      </c>
      <c r="C352" s="34" t="s">
        <v>124</v>
      </c>
      <c r="D352" s="34" t="str">
        <f>VLOOKUP(C352,'SALE PARTY MASTER'!$B$4:$E$500,2,FALSE)</f>
        <v>27AAACB2484Q1Z8</v>
      </c>
      <c r="E352" s="34" t="s">
        <v>22</v>
      </c>
      <c r="F352" s="34" t="s">
        <v>1754</v>
      </c>
      <c r="G352" s="44">
        <v>43616</v>
      </c>
      <c r="H352" s="34">
        <v>998898</v>
      </c>
      <c r="I352" s="34">
        <v>18</v>
      </c>
      <c r="J352" s="38">
        <v>300</v>
      </c>
      <c r="K352" s="40">
        <v>1950</v>
      </c>
      <c r="L352" s="41">
        <v>0</v>
      </c>
      <c r="M352" s="41">
        <v>175.5</v>
      </c>
      <c r="N352" s="41">
        <v>175.5</v>
      </c>
      <c r="O352" s="41">
        <v>0</v>
      </c>
      <c r="P352" s="42">
        <v>2301</v>
      </c>
      <c r="Q352" s="34" t="s">
        <v>25</v>
      </c>
      <c r="R352" s="34" t="s">
        <v>26</v>
      </c>
      <c r="S352" s="11" t="s">
        <v>4105</v>
      </c>
    </row>
    <row r="353" spans="1:19" x14ac:dyDescent="0.2">
      <c r="A353" s="33">
        <v>43586</v>
      </c>
      <c r="B353" s="34">
        <v>180</v>
      </c>
      <c r="C353" s="34" t="s">
        <v>155</v>
      </c>
      <c r="D353" s="34" t="str">
        <f>VLOOKUP(C353,'SALE PARTY MASTER'!$B$4:$E$500,2,FALSE)</f>
        <v>27AAGCP0139E1ZP</v>
      </c>
      <c r="E353" s="34" t="s">
        <v>22</v>
      </c>
      <c r="F353" s="34" t="s">
        <v>1755</v>
      </c>
      <c r="G353" s="44">
        <v>43616</v>
      </c>
      <c r="H353" s="34">
        <v>87141090</v>
      </c>
      <c r="I353" s="34">
        <v>28</v>
      </c>
      <c r="J353" s="38">
        <v>720</v>
      </c>
      <c r="K353" s="40">
        <v>54266.400000000001</v>
      </c>
      <c r="L353" s="41">
        <v>0</v>
      </c>
      <c r="M353" s="41">
        <v>7597.2960000000003</v>
      </c>
      <c r="N353" s="41">
        <v>7597.2960000000003</v>
      </c>
      <c r="O353" s="41">
        <v>0</v>
      </c>
      <c r="P353" s="42">
        <v>69460.991999999998</v>
      </c>
      <c r="Q353" s="34" t="s">
        <v>25</v>
      </c>
      <c r="R353" s="34" t="s">
        <v>26</v>
      </c>
      <c r="S353" s="11" t="s">
        <v>4105</v>
      </c>
    </row>
    <row r="354" spans="1:19" x14ac:dyDescent="0.2">
      <c r="A354" s="33">
        <v>43586</v>
      </c>
      <c r="B354" s="34">
        <v>181</v>
      </c>
      <c r="C354" s="34" t="s">
        <v>155</v>
      </c>
      <c r="D354" s="34" t="str">
        <f>VLOOKUP(C354,'SALE PARTY MASTER'!$B$4:$E$500,2,FALSE)</f>
        <v>27AAGCP0139E1ZP</v>
      </c>
      <c r="E354" s="34" t="s">
        <v>22</v>
      </c>
      <c r="F354" s="34" t="s">
        <v>1756</v>
      </c>
      <c r="G354" s="44">
        <v>43616</v>
      </c>
      <c r="H354" s="34">
        <v>87141090</v>
      </c>
      <c r="I354" s="34">
        <v>28</v>
      </c>
      <c r="J354" s="38">
        <v>780</v>
      </c>
      <c r="K354" s="40">
        <v>36683.4</v>
      </c>
      <c r="L354" s="41">
        <v>0</v>
      </c>
      <c r="M354" s="41">
        <v>5135.6760000000004</v>
      </c>
      <c r="N354" s="41">
        <v>5135.6760000000004</v>
      </c>
      <c r="O354" s="41">
        <v>0</v>
      </c>
      <c r="P354" s="42">
        <v>46954.752</v>
      </c>
      <c r="Q354" s="34" t="s">
        <v>25</v>
      </c>
      <c r="R354" s="34" t="s">
        <v>26</v>
      </c>
      <c r="S354" s="11" t="s">
        <v>4105</v>
      </c>
    </row>
    <row r="355" spans="1:19" x14ac:dyDescent="0.2">
      <c r="A355" s="33">
        <v>43586</v>
      </c>
      <c r="B355" s="34">
        <v>182</v>
      </c>
      <c r="C355" s="34" t="s">
        <v>40</v>
      </c>
      <c r="D355" s="34" t="str">
        <f>VLOOKUP(C355,'SALE PARTY MASTER'!$B$4:$E$500,2,FALSE)</f>
        <v>27AAACT1848E1ZH</v>
      </c>
      <c r="E355" s="34" t="s">
        <v>22</v>
      </c>
      <c r="F355" s="34" t="s">
        <v>1757</v>
      </c>
      <c r="G355" s="44">
        <v>43616</v>
      </c>
      <c r="H355" s="34">
        <v>87089900</v>
      </c>
      <c r="I355" s="34">
        <v>28</v>
      </c>
      <c r="J355" s="38">
        <v>24</v>
      </c>
      <c r="K355" s="40">
        <v>1680</v>
      </c>
      <c r="L355" s="41">
        <v>0</v>
      </c>
      <c r="M355" s="41">
        <v>235.20000000000002</v>
      </c>
      <c r="N355" s="41">
        <v>235.20000000000002</v>
      </c>
      <c r="O355" s="41">
        <v>0</v>
      </c>
      <c r="P355" s="42">
        <v>2150.4</v>
      </c>
      <c r="Q355" s="34" t="s">
        <v>25</v>
      </c>
      <c r="R355" s="34" t="s">
        <v>26</v>
      </c>
      <c r="S355" s="11" t="s">
        <v>4105</v>
      </c>
    </row>
    <row r="356" spans="1:19" x14ac:dyDescent="0.2">
      <c r="A356" s="33">
        <v>43586</v>
      </c>
      <c r="B356" s="34">
        <v>183</v>
      </c>
      <c r="C356" s="34" t="s">
        <v>167</v>
      </c>
      <c r="D356" s="34" t="str">
        <f>VLOOKUP(C356,'SALE PARTY MASTER'!$B$4:$E$500,2,FALSE)</f>
        <v>27AABFP3834C1ZK</v>
      </c>
      <c r="E356" s="34" t="s">
        <v>22</v>
      </c>
      <c r="F356" s="34" t="s">
        <v>1758</v>
      </c>
      <c r="G356" s="44">
        <v>43616</v>
      </c>
      <c r="H356" s="34">
        <v>87141900</v>
      </c>
      <c r="I356" s="34">
        <v>28</v>
      </c>
      <c r="J356" s="38">
        <v>500</v>
      </c>
      <c r="K356" s="40">
        <v>7064.92</v>
      </c>
      <c r="L356" s="41">
        <v>0</v>
      </c>
      <c r="M356" s="41">
        <v>989.08880000000011</v>
      </c>
      <c r="N356" s="41">
        <v>989.08880000000011</v>
      </c>
      <c r="O356" s="41">
        <v>0</v>
      </c>
      <c r="P356" s="42">
        <v>9043.097600000001</v>
      </c>
      <c r="Q356" s="34" t="s">
        <v>25</v>
      </c>
      <c r="R356" s="34" t="s">
        <v>26</v>
      </c>
      <c r="S356" s="11" t="s">
        <v>4105</v>
      </c>
    </row>
    <row r="357" spans="1:19" x14ac:dyDescent="0.2">
      <c r="A357" s="33">
        <v>43586</v>
      </c>
      <c r="B357" s="34"/>
      <c r="C357" s="34" t="s">
        <v>20</v>
      </c>
      <c r="D357" s="34" t="str">
        <f>VLOOKUP(C357,'SALE PARTY MASTER'!$B$4:$E$500,2,FALSE)</f>
        <v>27AABCM2508F1ZU</v>
      </c>
      <c r="E357" s="34" t="s">
        <v>220</v>
      </c>
      <c r="F357" s="34">
        <v>1</v>
      </c>
      <c r="G357" s="44">
        <v>43599</v>
      </c>
      <c r="H357" s="34">
        <v>87081090</v>
      </c>
      <c r="I357" s="34">
        <v>28</v>
      </c>
      <c r="J357" s="38">
        <v>500</v>
      </c>
      <c r="K357" s="40">
        <v>-25079</v>
      </c>
      <c r="L357" s="41">
        <v>0</v>
      </c>
      <c r="M357" s="41">
        <v>-3511.06</v>
      </c>
      <c r="N357" s="41">
        <v>-3511.06</v>
      </c>
      <c r="O357" s="41">
        <v>0</v>
      </c>
      <c r="P357" s="42">
        <v>-32101.119999999999</v>
      </c>
      <c r="Q357" s="34" t="s">
        <v>334</v>
      </c>
      <c r="R357" s="34" t="s">
        <v>26</v>
      </c>
      <c r="S357" s="11" t="s">
        <v>4105</v>
      </c>
    </row>
    <row r="358" spans="1:19" x14ac:dyDescent="0.2">
      <c r="A358" s="33">
        <v>43586</v>
      </c>
      <c r="B358" s="34"/>
      <c r="C358" s="34" t="s">
        <v>155</v>
      </c>
      <c r="D358" s="34" t="str">
        <f>VLOOKUP(C358,'SALE PARTY MASTER'!$B$4:$E$500,2,FALSE)</f>
        <v>27AAGCP0139E1ZP</v>
      </c>
      <c r="E358" s="34" t="s">
        <v>220</v>
      </c>
      <c r="F358" s="34" t="s">
        <v>1759</v>
      </c>
      <c r="G358" s="44">
        <v>43614</v>
      </c>
      <c r="H358" s="34">
        <v>87141090</v>
      </c>
      <c r="I358" s="34">
        <v>28</v>
      </c>
      <c r="J358" s="38">
        <v>500</v>
      </c>
      <c r="K358" s="40">
        <v>-301.48</v>
      </c>
      <c r="L358" s="41">
        <v>0</v>
      </c>
      <c r="M358" s="41">
        <v>-42.2072</v>
      </c>
      <c r="N358" s="41">
        <v>-42.2072</v>
      </c>
      <c r="O358" s="41">
        <v>0</v>
      </c>
      <c r="P358" s="42">
        <v>-385.89440000000002</v>
      </c>
      <c r="Q358" s="34" t="s">
        <v>334</v>
      </c>
      <c r="R358" s="34" t="s">
        <v>26</v>
      </c>
      <c r="S358" s="11" t="s">
        <v>4105</v>
      </c>
    </row>
    <row r="359" spans="1:19" x14ac:dyDescent="0.2">
      <c r="A359" s="33"/>
      <c r="B359" s="34"/>
      <c r="C359" s="34"/>
      <c r="D359" s="34" t="e">
        <f>VLOOKUP(C359,'SALE PARTY MASTER'!$B$4:$E$500,2,FALSE)</f>
        <v>#N/A</v>
      </c>
      <c r="E359" s="34"/>
      <c r="F359" s="34"/>
      <c r="G359" s="44"/>
      <c r="H359" s="34"/>
      <c r="I359" s="34"/>
      <c r="J359" s="38"/>
      <c r="K359" s="40"/>
      <c r="L359" s="41"/>
      <c r="M359" s="41"/>
      <c r="N359" s="41"/>
      <c r="O359" s="41"/>
      <c r="P359" s="42"/>
      <c r="Q359" s="34" t="s">
        <v>25</v>
      </c>
      <c r="R359" s="34"/>
      <c r="S359" s="11" t="s">
        <v>4105</v>
      </c>
    </row>
    <row r="360" spans="1:19" x14ac:dyDescent="0.2">
      <c r="A360" s="33"/>
      <c r="B360" s="34"/>
      <c r="C360" s="34"/>
      <c r="D360" s="34" t="e">
        <f>VLOOKUP(C360,'SALE PARTY MASTER'!$B$4:$E$500,2,FALSE)</f>
        <v>#N/A</v>
      </c>
      <c r="E360" s="34"/>
      <c r="F360" s="34"/>
      <c r="G360" s="44"/>
      <c r="H360" s="34"/>
      <c r="I360" s="34"/>
      <c r="J360" s="38"/>
      <c r="K360" s="40"/>
      <c r="L360" s="41"/>
      <c r="M360" s="41"/>
      <c r="N360" s="41"/>
      <c r="O360" s="41"/>
      <c r="P360" s="42"/>
      <c r="Q360" s="34" t="s">
        <v>25</v>
      </c>
      <c r="R360" s="34"/>
      <c r="S360" s="11" t="s">
        <v>4105</v>
      </c>
    </row>
    <row r="361" spans="1:19" x14ac:dyDescent="0.2">
      <c r="A361" s="33">
        <v>43617</v>
      </c>
      <c r="B361" s="34">
        <v>1</v>
      </c>
      <c r="C361" s="34" t="s">
        <v>45</v>
      </c>
      <c r="D361" s="34" t="str">
        <f>VLOOKUP(C361,'SALE PARTY MASTER'!$B$4:$E$500,2,FALSE)</f>
        <v>27AAACD4090Q1Z8</v>
      </c>
      <c r="E361" s="34" t="s">
        <v>22</v>
      </c>
      <c r="F361" s="34" t="s">
        <v>1760</v>
      </c>
      <c r="G361" s="44">
        <v>43617</v>
      </c>
      <c r="H361" s="34">
        <v>85129000</v>
      </c>
      <c r="I361" s="34">
        <v>18</v>
      </c>
      <c r="J361" s="38">
        <v>324</v>
      </c>
      <c r="K361" s="40">
        <v>39531.24</v>
      </c>
      <c r="L361" s="41">
        <v>0</v>
      </c>
      <c r="M361" s="41">
        <v>3557.8115999999995</v>
      </c>
      <c r="N361" s="41">
        <v>3557.8115999999995</v>
      </c>
      <c r="O361" s="41">
        <v>0</v>
      </c>
      <c r="P361" s="42">
        <v>46646.8632</v>
      </c>
      <c r="Q361" s="34" t="s">
        <v>25</v>
      </c>
      <c r="R361" s="34" t="s">
        <v>26</v>
      </c>
      <c r="S361" s="11" t="s">
        <v>4105</v>
      </c>
    </row>
    <row r="362" spans="1:19" x14ac:dyDescent="0.2">
      <c r="A362" s="33">
        <v>43617</v>
      </c>
      <c r="B362" s="34">
        <v>2</v>
      </c>
      <c r="C362" s="34" t="s">
        <v>167</v>
      </c>
      <c r="D362" s="34" t="str">
        <f>VLOOKUP(C362,'SALE PARTY MASTER'!$B$4:$E$500,2,FALSE)</f>
        <v>27AABFP3834C1ZK</v>
      </c>
      <c r="E362" s="34" t="s">
        <v>22</v>
      </c>
      <c r="F362" s="34" t="s">
        <v>1761</v>
      </c>
      <c r="G362" s="44">
        <v>43617</v>
      </c>
      <c r="H362" s="34">
        <v>87141900</v>
      </c>
      <c r="I362" s="34">
        <v>28</v>
      </c>
      <c r="J362" s="38">
        <v>1000</v>
      </c>
      <c r="K362" s="40">
        <v>12470</v>
      </c>
      <c r="L362" s="41">
        <v>0</v>
      </c>
      <c r="M362" s="41">
        <v>1745.8</v>
      </c>
      <c r="N362" s="41">
        <v>1745.8</v>
      </c>
      <c r="O362" s="41">
        <v>0</v>
      </c>
      <c r="P362" s="42">
        <v>15961.599999999999</v>
      </c>
      <c r="Q362" s="34" t="s">
        <v>25</v>
      </c>
      <c r="R362" s="34" t="s">
        <v>26</v>
      </c>
      <c r="S362" s="11" t="s">
        <v>4105</v>
      </c>
    </row>
    <row r="363" spans="1:19" x14ac:dyDescent="0.2">
      <c r="A363" s="33">
        <v>43617</v>
      </c>
      <c r="B363" s="34">
        <v>3</v>
      </c>
      <c r="C363" s="34" t="s">
        <v>102</v>
      </c>
      <c r="D363" s="34" t="str">
        <f>VLOOKUP(C363,'SALE PARTY MASTER'!$B$4:$E$500,2,FALSE)</f>
        <v>23AABCE9378F1ZK</v>
      </c>
      <c r="E363" s="34" t="s">
        <v>22</v>
      </c>
      <c r="F363" s="34" t="s">
        <v>1762</v>
      </c>
      <c r="G363" s="44">
        <v>43617</v>
      </c>
      <c r="H363" s="34">
        <v>87081090</v>
      </c>
      <c r="I363" s="34">
        <v>28</v>
      </c>
      <c r="J363" s="38">
        <v>9</v>
      </c>
      <c r="K363" s="40">
        <v>18193.5</v>
      </c>
      <c r="L363" s="41">
        <v>5094.18</v>
      </c>
      <c r="M363" s="41">
        <v>0</v>
      </c>
      <c r="N363" s="41">
        <v>0</v>
      </c>
      <c r="O363" s="41">
        <v>0</v>
      </c>
      <c r="P363" s="42">
        <v>23287.68</v>
      </c>
      <c r="Q363" s="34" t="s">
        <v>25</v>
      </c>
      <c r="R363" s="34" t="s">
        <v>106</v>
      </c>
      <c r="S363" s="11" t="s">
        <v>4105</v>
      </c>
    </row>
    <row r="364" spans="1:19" x14ac:dyDescent="0.2">
      <c r="A364" s="33">
        <v>43617</v>
      </c>
      <c r="B364" s="34">
        <v>4</v>
      </c>
      <c r="C364" s="34" t="s">
        <v>40</v>
      </c>
      <c r="D364" s="34" t="str">
        <f>VLOOKUP(C364,'SALE PARTY MASTER'!$B$4:$E$500,2,FALSE)</f>
        <v>27AAACT1848E1ZH</v>
      </c>
      <c r="E364" s="34" t="s">
        <v>22</v>
      </c>
      <c r="F364" s="34" t="s">
        <v>1763</v>
      </c>
      <c r="G364" s="44">
        <v>43619</v>
      </c>
      <c r="H364" s="34">
        <v>87089900</v>
      </c>
      <c r="I364" s="34">
        <v>28</v>
      </c>
      <c r="J364" s="38">
        <v>24</v>
      </c>
      <c r="K364" s="40">
        <v>8578.32</v>
      </c>
      <c r="L364" s="41">
        <v>0</v>
      </c>
      <c r="M364" s="41">
        <v>1200.9648</v>
      </c>
      <c r="N364" s="41">
        <v>1200.9648</v>
      </c>
      <c r="O364" s="41">
        <v>0</v>
      </c>
      <c r="P364" s="42">
        <v>10980.239599999999</v>
      </c>
      <c r="Q364" s="34" t="s">
        <v>25</v>
      </c>
      <c r="R364" s="34" t="s">
        <v>26</v>
      </c>
      <c r="S364" s="11" t="s">
        <v>4105</v>
      </c>
    </row>
    <row r="365" spans="1:19" x14ac:dyDescent="0.2">
      <c r="A365" s="33">
        <v>43617</v>
      </c>
      <c r="B365" s="34">
        <v>5</v>
      </c>
      <c r="C365" s="34" t="s">
        <v>167</v>
      </c>
      <c r="D365" s="34" t="str">
        <f>VLOOKUP(C365,'SALE PARTY MASTER'!$B$4:$E$500,2,FALSE)</f>
        <v>27AABFP3834C1ZK</v>
      </c>
      <c r="E365" s="34" t="s">
        <v>22</v>
      </c>
      <c r="F365" s="34" t="s">
        <v>1764</v>
      </c>
      <c r="G365" s="44">
        <v>43619</v>
      </c>
      <c r="H365" s="34">
        <v>87141900</v>
      </c>
      <c r="I365" s="34">
        <v>28</v>
      </c>
      <c r="J365" s="38">
        <v>500</v>
      </c>
      <c r="K365" s="40">
        <v>6235</v>
      </c>
      <c r="L365" s="41">
        <v>0</v>
      </c>
      <c r="M365" s="41">
        <v>872.9</v>
      </c>
      <c r="N365" s="41">
        <v>872.9</v>
      </c>
      <c r="O365" s="41">
        <v>0</v>
      </c>
      <c r="P365" s="42">
        <v>7980.7999999999993</v>
      </c>
      <c r="Q365" s="34" t="s">
        <v>25</v>
      </c>
      <c r="R365" s="34" t="s">
        <v>26</v>
      </c>
      <c r="S365" s="11" t="s">
        <v>4105</v>
      </c>
    </row>
    <row r="366" spans="1:19" x14ac:dyDescent="0.2">
      <c r="A366" s="33">
        <v>43617</v>
      </c>
      <c r="B366" s="34">
        <v>6</v>
      </c>
      <c r="C366" s="34" t="s">
        <v>124</v>
      </c>
      <c r="D366" s="34" t="str">
        <f>VLOOKUP(C366,'SALE PARTY MASTER'!$B$4:$E$500,2,FALSE)</f>
        <v>27AAACB2484Q1Z8</v>
      </c>
      <c r="E366" s="34" t="s">
        <v>22</v>
      </c>
      <c r="F366" s="34" t="s">
        <v>1765</v>
      </c>
      <c r="G366" s="44">
        <v>43619</v>
      </c>
      <c r="H366" s="34">
        <v>998898</v>
      </c>
      <c r="I366" s="34">
        <v>18</v>
      </c>
      <c r="J366" s="38">
        <v>867</v>
      </c>
      <c r="K366" s="40">
        <v>74166</v>
      </c>
      <c r="L366" s="41">
        <v>0</v>
      </c>
      <c r="M366" s="41">
        <v>6674.94</v>
      </c>
      <c r="N366" s="41">
        <v>6674.94</v>
      </c>
      <c r="O366" s="41">
        <v>0</v>
      </c>
      <c r="P366" s="42">
        <v>87515.88</v>
      </c>
      <c r="Q366" s="34" t="s">
        <v>25</v>
      </c>
      <c r="R366" s="34" t="s">
        <v>26</v>
      </c>
      <c r="S366" s="11" t="s">
        <v>4105</v>
      </c>
    </row>
    <row r="367" spans="1:19" x14ac:dyDescent="0.2">
      <c r="A367" s="33">
        <v>43617</v>
      </c>
      <c r="B367" s="34">
        <v>7</v>
      </c>
      <c r="C367" s="34" t="s">
        <v>124</v>
      </c>
      <c r="D367" s="34" t="str">
        <f>VLOOKUP(C367,'SALE PARTY MASTER'!$B$4:$E$500,2,FALSE)</f>
        <v>27AAACB2484Q1Z8</v>
      </c>
      <c r="E367" s="34" t="s">
        <v>22</v>
      </c>
      <c r="F367" s="34" t="s">
        <v>1766</v>
      </c>
      <c r="G367" s="44">
        <v>43619</v>
      </c>
      <c r="H367" s="34">
        <v>998898</v>
      </c>
      <c r="I367" s="34">
        <v>18</v>
      </c>
      <c r="J367" s="38">
        <v>308</v>
      </c>
      <c r="K367" s="40">
        <v>1540</v>
      </c>
      <c r="L367" s="41">
        <v>0</v>
      </c>
      <c r="M367" s="41">
        <v>138.6</v>
      </c>
      <c r="N367" s="41">
        <v>138.6</v>
      </c>
      <c r="O367" s="41">
        <v>0</v>
      </c>
      <c r="P367" s="42">
        <v>1817.1999999999998</v>
      </c>
      <c r="Q367" s="34" t="s">
        <v>25</v>
      </c>
      <c r="R367" s="34" t="s">
        <v>26</v>
      </c>
      <c r="S367" s="11" t="s">
        <v>4105</v>
      </c>
    </row>
    <row r="368" spans="1:19" x14ac:dyDescent="0.2">
      <c r="A368" s="33">
        <v>43617</v>
      </c>
      <c r="B368" s="34">
        <v>8</v>
      </c>
      <c r="C368" s="34" t="s">
        <v>124</v>
      </c>
      <c r="D368" s="34" t="str">
        <f>VLOOKUP(C368,'SALE PARTY MASTER'!$B$4:$E$500,2,FALSE)</f>
        <v>27AAACB2484Q1Z8</v>
      </c>
      <c r="E368" s="34" t="s">
        <v>22</v>
      </c>
      <c r="F368" s="34" t="s">
        <v>1767</v>
      </c>
      <c r="G368" s="44">
        <v>43619</v>
      </c>
      <c r="H368" s="34">
        <v>998898</v>
      </c>
      <c r="I368" s="34">
        <v>18</v>
      </c>
      <c r="J368" s="38">
        <v>2292</v>
      </c>
      <c r="K368" s="40">
        <v>10560</v>
      </c>
      <c r="L368" s="41">
        <v>0</v>
      </c>
      <c r="M368" s="41">
        <v>950.4</v>
      </c>
      <c r="N368" s="41">
        <v>950.4</v>
      </c>
      <c r="O368" s="41">
        <v>0</v>
      </c>
      <c r="P368" s="42">
        <v>12460.8</v>
      </c>
      <c r="Q368" s="34" t="s">
        <v>25</v>
      </c>
      <c r="R368" s="34" t="s">
        <v>26</v>
      </c>
      <c r="S368" s="11" t="s">
        <v>4105</v>
      </c>
    </row>
    <row r="369" spans="1:19" x14ac:dyDescent="0.2">
      <c r="A369" s="33">
        <v>43617</v>
      </c>
      <c r="B369" s="34">
        <v>9</v>
      </c>
      <c r="C369" s="34" t="s">
        <v>124</v>
      </c>
      <c r="D369" s="34" t="str">
        <f>VLOOKUP(C369,'SALE PARTY MASTER'!$B$4:$E$500,2,FALSE)</f>
        <v>27AAACB2484Q1Z8</v>
      </c>
      <c r="E369" s="34" t="s">
        <v>22</v>
      </c>
      <c r="F369" s="34" t="s">
        <v>1768</v>
      </c>
      <c r="G369" s="44">
        <v>43619</v>
      </c>
      <c r="H369" s="34">
        <v>998898</v>
      </c>
      <c r="I369" s="34">
        <v>18</v>
      </c>
      <c r="J369" s="38">
        <v>356</v>
      </c>
      <c r="K369" s="40">
        <v>1780</v>
      </c>
      <c r="L369" s="41">
        <v>0</v>
      </c>
      <c r="M369" s="41">
        <v>160.20000000000002</v>
      </c>
      <c r="N369" s="41">
        <v>160.20000000000002</v>
      </c>
      <c r="O369" s="41">
        <v>0</v>
      </c>
      <c r="P369" s="42">
        <v>2100.4</v>
      </c>
      <c r="Q369" s="34" t="s">
        <v>25</v>
      </c>
      <c r="R369" s="34" t="s">
        <v>26</v>
      </c>
      <c r="S369" s="11" t="s">
        <v>4105</v>
      </c>
    </row>
    <row r="370" spans="1:19" x14ac:dyDescent="0.2">
      <c r="A370" s="33">
        <v>43617</v>
      </c>
      <c r="B370" s="34">
        <v>10</v>
      </c>
      <c r="C370" s="34" t="s">
        <v>124</v>
      </c>
      <c r="D370" s="34" t="str">
        <f>VLOOKUP(C370,'SALE PARTY MASTER'!$B$4:$E$500,2,FALSE)</f>
        <v>27AAACB2484Q1Z8</v>
      </c>
      <c r="E370" s="34" t="s">
        <v>22</v>
      </c>
      <c r="F370" s="34" t="s">
        <v>1769</v>
      </c>
      <c r="G370" s="44">
        <v>43619</v>
      </c>
      <c r="H370" s="34">
        <v>998898</v>
      </c>
      <c r="I370" s="34">
        <v>18</v>
      </c>
      <c r="J370" s="38">
        <v>2012</v>
      </c>
      <c r="K370" s="40">
        <v>10795</v>
      </c>
      <c r="L370" s="41">
        <v>0</v>
      </c>
      <c r="M370" s="41">
        <v>971.55000000000007</v>
      </c>
      <c r="N370" s="41">
        <v>971.55000000000007</v>
      </c>
      <c r="O370" s="41">
        <v>0</v>
      </c>
      <c r="P370" s="42">
        <v>12738.099999999999</v>
      </c>
      <c r="Q370" s="34" t="s">
        <v>25</v>
      </c>
      <c r="R370" s="34" t="s">
        <v>26</v>
      </c>
      <c r="S370" s="11" t="s">
        <v>4105</v>
      </c>
    </row>
    <row r="371" spans="1:19" x14ac:dyDescent="0.2">
      <c r="A371" s="33">
        <v>43617</v>
      </c>
      <c r="B371" s="34">
        <v>11</v>
      </c>
      <c r="C371" s="34" t="s">
        <v>155</v>
      </c>
      <c r="D371" s="34" t="str">
        <f>VLOOKUP(C371,'SALE PARTY MASTER'!$B$4:$E$500,2,FALSE)</f>
        <v>27AAGCP0139E1ZP</v>
      </c>
      <c r="E371" s="34" t="s">
        <v>22</v>
      </c>
      <c r="F371" s="34" t="s">
        <v>1770</v>
      </c>
      <c r="G371" s="44">
        <v>43619</v>
      </c>
      <c r="H371" s="34">
        <v>87141090</v>
      </c>
      <c r="I371" s="34">
        <v>28</v>
      </c>
      <c r="J371" s="38">
        <v>980</v>
      </c>
      <c r="K371" s="40">
        <v>73862.600000000006</v>
      </c>
      <c r="L371" s="41">
        <v>0</v>
      </c>
      <c r="M371" s="41">
        <v>10340.764000000001</v>
      </c>
      <c r="N371" s="41">
        <v>10340.764000000001</v>
      </c>
      <c r="O371" s="41">
        <v>0</v>
      </c>
      <c r="P371" s="42">
        <v>94544.118000000002</v>
      </c>
      <c r="Q371" s="34" t="s">
        <v>25</v>
      </c>
      <c r="R371" s="34" t="s">
        <v>26</v>
      </c>
      <c r="S371" s="11" t="s">
        <v>4105</v>
      </c>
    </row>
    <row r="372" spans="1:19" x14ac:dyDescent="0.2">
      <c r="A372" s="33">
        <v>43617</v>
      </c>
      <c r="B372" s="34">
        <v>12</v>
      </c>
      <c r="C372" s="34" t="s">
        <v>155</v>
      </c>
      <c r="D372" s="34" t="str">
        <f>VLOOKUP(C372,'SALE PARTY MASTER'!$B$4:$E$500,2,FALSE)</f>
        <v>27AAGCP0139E1ZP</v>
      </c>
      <c r="E372" s="34" t="s">
        <v>22</v>
      </c>
      <c r="F372" s="34" t="s">
        <v>1771</v>
      </c>
      <c r="G372" s="44">
        <v>43619</v>
      </c>
      <c r="H372" s="34">
        <v>87141090</v>
      </c>
      <c r="I372" s="34">
        <v>28</v>
      </c>
      <c r="J372" s="38">
        <v>1080</v>
      </c>
      <c r="K372" s="40">
        <v>50792.4</v>
      </c>
      <c r="L372" s="41">
        <v>0</v>
      </c>
      <c r="M372" s="41">
        <v>7110.9360000000006</v>
      </c>
      <c r="N372" s="41">
        <v>7110.9360000000006</v>
      </c>
      <c r="O372" s="41">
        <v>0</v>
      </c>
      <c r="P372" s="42">
        <v>65014.282000000007</v>
      </c>
      <c r="Q372" s="34" t="s">
        <v>25</v>
      </c>
      <c r="R372" s="34" t="s">
        <v>26</v>
      </c>
      <c r="S372" s="11" t="s">
        <v>4105</v>
      </c>
    </row>
    <row r="373" spans="1:19" x14ac:dyDescent="0.2">
      <c r="A373" s="33">
        <v>43617</v>
      </c>
      <c r="B373" s="34">
        <v>13</v>
      </c>
      <c r="C373" s="34" t="s">
        <v>102</v>
      </c>
      <c r="D373" s="34" t="str">
        <f>VLOOKUP(C373,'SALE PARTY MASTER'!$B$4:$E$500,2,FALSE)</f>
        <v>23AABCE9378F1ZK</v>
      </c>
      <c r="E373" s="34" t="s">
        <v>22</v>
      </c>
      <c r="F373" s="34" t="s">
        <v>1772</v>
      </c>
      <c r="G373" s="44">
        <v>43619</v>
      </c>
      <c r="H373" s="34">
        <v>87081090</v>
      </c>
      <c r="I373" s="34">
        <v>28</v>
      </c>
      <c r="J373" s="38">
        <v>1</v>
      </c>
      <c r="K373" s="40">
        <v>2021.5</v>
      </c>
      <c r="L373" s="41">
        <v>566.02</v>
      </c>
      <c r="M373" s="41">
        <v>0</v>
      </c>
      <c r="N373" s="41">
        <v>0</v>
      </c>
      <c r="O373" s="41">
        <v>0</v>
      </c>
      <c r="P373" s="42">
        <v>2587.52</v>
      </c>
      <c r="Q373" s="34" t="s">
        <v>25</v>
      </c>
      <c r="R373" s="34" t="s">
        <v>106</v>
      </c>
      <c r="S373" s="11" t="s">
        <v>4105</v>
      </c>
    </row>
    <row r="374" spans="1:19" x14ac:dyDescent="0.2">
      <c r="A374" s="33">
        <v>43617</v>
      </c>
      <c r="B374" s="34">
        <v>14</v>
      </c>
      <c r="C374" s="34" t="s">
        <v>102</v>
      </c>
      <c r="D374" s="34" t="str">
        <f>VLOOKUP(C374,'SALE PARTY MASTER'!$B$4:$E$500,2,FALSE)</f>
        <v>23AABCE9378F1ZK</v>
      </c>
      <c r="E374" s="34" t="s">
        <v>22</v>
      </c>
      <c r="F374" s="34" t="s">
        <v>1773</v>
      </c>
      <c r="G374" s="44">
        <v>43619</v>
      </c>
      <c r="H374" s="34">
        <v>87081090</v>
      </c>
      <c r="I374" s="34">
        <v>28</v>
      </c>
      <c r="J374" s="38">
        <v>198</v>
      </c>
      <c r="K374" s="40">
        <v>64490.58</v>
      </c>
      <c r="L374" s="41">
        <v>18057.362399999998</v>
      </c>
      <c r="M374" s="41">
        <v>0</v>
      </c>
      <c r="N374" s="41">
        <v>0</v>
      </c>
      <c r="O374" s="41">
        <v>0</v>
      </c>
      <c r="P374" s="42">
        <v>82547.9424</v>
      </c>
      <c r="Q374" s="34" t="s">
        <v>25</v>
      </c>
      <c r="R374" s="34" t="s">
        <v>106</v>
      </c>
      <c r="S374" s="11" t="s">
        <v>4105</v>
      </c>
    </row>
    <row r="375" spans="1:19" x14ac:dyDescent="0.2">
      <c r="A375" s="33">
        <v>43617</v>
      </c>
      <c r="B375" s="34">
        <v>15</v>
      </c>
      <c r="C375" s="34" t="s">
        <v>102</v>
      </c>
      <c r="D375" s="34" t="str">
        <f>VLOOKUP(C375,'SALE PARTY MASTER'!$B$4:$E$500,2,FALSE)</f>
        <v>23AABCE9378F1ZK</v>
      </c>
      <c r="E375" s="34" t="s">
        <v>22</v>
      </c>
      <c r="F375" s="34" t="s">
        <v>1774</v>
      </c>
      <c r="G375" s="44">
        <v>43619</v>
      </c>
      <c r="H375" s="34">
        <v>87081090</v>
      </c>
      <c r="I375" s="34">
        <v>28</v>
      </c>
      <c r="J375" s="38">
        <v>14</v>
      </c>
      <c r="K375" s="40">
        <v>27557.46</v>
      </c>
      <c r="L375" s="41">
        <v>7716.0887999999995</v>
      </c>
      <c r="M375" s="41">
        <v>0</v>
      </c>
      <c r="N375" s="41">
        <v>0</v>
      </c>
      <c r="O375" s="41">
        <v>0</v>
      </c>
      <c r="P375" s="42">
        <v>35273.548799999997</v>
      </c>
      <c r="Q375" s="34" t="s">
        <v>25</v>
      </c>
      <c r="R375" s="34" t="s">
        <v>106</v>
      </c>
      <c r="S375" s="11" t="s">
        <v>4105</v>
      </c>
    </row>
    <row r="376" spans="1:19" x14ac:dyDescent="0.2">
      <c r="A376" s="33">
        <v>43617</v>
      </c>
      <c r="B376" s="34">
        <v>16</v>
      </c>
      <c r="C376" s="34" t="s">
        <v>102</v>
      </c>
      <c r="D376" s="34" t="str">
        <f>VLOOKUP(C376,'SALE PARTY MASTER'!$B$4:$E$500,2,FALSE)</f>
        <v>23AABCE9378F1ZK</v>
      </c>
      <c r="E376" s="34" t="s">
        <v>22</v>
      </c>
      <c r="F376" s="34" t="s">
        <v>1775</v>
      </c>
      <c r="G376" s="44">
        <v>43619</v>
      </c>
      <c r="H376" s="34">
        <v>87081090</v>
      </c>
      <c r="I376" s="34">
        <v>28</v>
      </c>
      <c r="J376" s="38">
        <v>9</v>
      </c>
      <c r="K376" s="40">
        <v>8449.3799999999992</v>
      </c>
      <c r="L376" s="41">
        <v>2365.8263999999999</v>
      </c>
      <c r="M376" s="41">
        <v>0</v>
      </c>
      <c r="N376" s="41">
        <v>0</v>
      </c>
      <c r="O376" s="41">
        <v>0</v>
      </c>
      <c r="P376" s="42">
        <v>10815.206399999999</v>
      </c>
      <c r="Q376" s="34" t="s">
        <v>25</v>
      </c>
      <c r="R376" s="34" t="s">
        <v>106</v>
      </c>
      <c r="S376" s="11" t="s">
        <v>4105</v>
      </c>
    </row>
    <row r="377" spans="1:19" x14ac:dyDescent="0.2">
      <c r="A377" s="33">
        <v>43617</v>
      </c>
      <c r="B377" s="34">
        <v>17</v>
      </c>
      <c r="C377" s="34" t="s">
        <v>102</v>
      </c>
      <c r="D377" s="34" t="str">
        <f>VLOOKUP(C377,'SALE PARTY MASTER'!$B$4:$E$500,2,FALSE)</f>
        <v>23AABCE9378F1ZK</v>
      </c>
      <c r="E377" s="34" t="s">
        <v>22</v>
      </c>
      <c r="F377" s="34" t="s">
        <v>1776</v>
      </c>
      <c r="G377" s="44">
        <v>43619</v>
      </c>
      <c r="H377" s="34">
        <v>87081090</v>
      </c>
      <c r="I377" s="34">
        <v>28</v>
      </c>
      <c r="J377" s="38">
        <v>30</v>
      </c>
      <c r="K377" s="40">
        <v>64464</v>
      </c>
      <c r="L377" s="41">
        <v>18049.919999999998</v>
      </c>
      <c r="M377" s="41">
        <v>0</v>
      </c>
      <c r="N377" s="41">
        <v>0</v>
      </c>
      <c r="O377" s="41">
        <v>0</v>
      </c>
      <c r="P377" s="42">
        <v>82513.919999999998</v>
      </c>
      <c r="Q377" s="34" t="s">
        <v>25</v>
      </c>
      <c r="R377" s="34" t="s">
        <v>106</v>
      </c>
      <c r="S377" s="11" t="s">
        <v>4105</v>
      </c>
    </row>
    <row r="378" spans="1:19" x14ac:dyDescent="0.2">
      <c r="A378" s="33">
        <v>43617</v>
      </c>
      <c r="B378" s="34">
        <v>18</v>
      </c>
      <c r="C378" s="34" t="s">
        <v>167</v>
      </c>
      <c r="D378" s="34" t="str">
        <f>VLOOKUP(C378,'SALE PARTY MASTER'!$B$4:$E$500,2,FALSE)</f>
        <v>27AABFP3834C1ZK</v>
      </c>
      <c r="E378" s="34" t="s">
        <v>22</v>
      </c>
      <c r="F378" s="34" t="s">
        <v>1777</v>
      </c>
      <c r="G378" s="44">
        <v>43619</v>
      </c>
      <c r="H378" s="34">
        <v>87141900</v>
      </c>
      <c r="I378" s="34">
        <v>28</v>
      </c>
      <c r="J378" s="38">
        <v>300</v>
      </c>
      <c r="K378" s="40">
        <v>2943</v>
      </c>
      <c r="L378" s="41">
        <v>0</v>
      </c>
      <c r="M378" s="41">
        <v>412.02</v>
      </c>
      <c r="N378" s="41">
        <v>412.02</v>
      </c>
      <c r="O378" s="41">
        <v>0</v>
      </c>
      <c r="P378" s="42">
        <v>3767.04</v>
      </c>
      <c r="Q378" s="34" t="s">
        <v>25</v>
      </c>
      <c r="R378" s="34" t="s">
        <v>26</v>
      </c>
      <c r="S378" s="11" t="s">
        <v>4105</v>
      </c>
    </row>
    <row r="379" spans="1:19" x14ac:dyDescent="0.2">
      <c r="A379" s="33">
        <v>43617</v>
      </c>
      <c r="B379" s="34">
        <v>19</v>
      </c>
      <c r="C379" s="34" t="s">
        <v>28</v>
      </c>
      <c r="D379" s="34" t="str">
        <f>VLOOKUP(C379,'SALE PARTY MASTER'!$B$4:$E$500,2,FALSE)</f>
        <v>27AAECM8871A1ZF</v>
      </c>
      <c r="E379" s="34" t="s">
        <v>22</v>
      </c>
      <c r="F379" s="34" t="s">
        <v>1778</v>
      </c>
      <c r="G379" s="44">
        <v>43620</v>
      </c>
      <c r="H379" s="34">
        <v>87089900</v>
      </c>
      <c r="I379" s="34">
        <v>28</v>
      </c>
      <c r="J379" s="38">
        <v>12</v>
      </c>
      <c r="K379" s="40">
        <v>23255.759999999998</v>
      </c>
      <c r="L379" s="41">
        <v>0</v>
      </c>
      <c r="M379" s="41">
        <v>3255.8063999999995</v>
      </c>
      <c r="N379" s="41">
        <v>3255.8063999999995</v>
      </c>
      <c r="O379" s="41">
        <v>0</v>
      </c>
      <c r="P379" s="42">
        <v>29767.382799999996</v>
      </c>
      <c r="Q379" s="34" t="s">
        <v>25</v>
      </c>
      <c r="R379" s="34" t="s">
        <v>26</v>
      </c>
      <c r="S379" s="11" t="s">
        <v>4105</v>
      </c>
    </row>
    <row r="380" spans="1:19" x14ac:dyDescent="0.2">
      <c r="A380" s="33">
        <v>43617</v>
      </c>
      <c r="B380" s="34">
        <v>20</v>
      </c>
      <c r="C380" s="34" t="s">
        <v>167</v>
      </c>
      <c r="D380" s="34" t="str">
        <f>VLOOKUP(C380,'SALE PARTY MASTER'!$B$4:$E$500,2,FALSE)</f>
        <v>27AABFP3834C1ZK</v>
      </c>
      <c r="E380" s="34" t="s">
        <v>22</v>
      </c>
      <c r="F380" s="34" t="s">
        <v>1779</v>
      </c>
      <c r="G380" s="44">
        <v>43620</v>
      </c>
      <c r="H380" s="34">
        <v>87141900</v>
      </c>
      <c r="I380" s="34">
        <v>28</v>
      </c>
      <c r="J380" s="38">
        <v>500</v>
      </c>
      <c r="K380" s="40">
        <v>6767</v>
      </c>
      <c r="L380" s="41">
        <v>0</v>
      </c>
      <c r="M380" s="41">
        <v>947.38</v>
      </c>
      <c r="N380" s="41">
        <v>947.38</v>
      </c>
      <c r="O380" s="41">
        <v>0</v>
      </c>
      <c r="P380" s="42">
        <v>8661.76</v>
      </c>
      <c r="Q380" s="34" t="s">
        <v>25</v>
      </c>
      <c r="R380" s="34" t="s">
        <v>26</v>
      </c>
      <c r="S380" s="11" t="s">
        <v>4105</v>
      </c>
    </row>
    <row r="381" spans="1:19" x14ac:dyDescent="0.2">
      <c r="A381" s="33">
        <v>43617</v>
      </c>
      <c r="B381" s="34">
        <v>21</v>
      </c>
      <c r="C381" s="34" t="s">
        <v>167</v>
      </c>
      <c r="D381" s="34" t="str">
        <f>VLOOKUP(C381,'SALE PARTY MASTER'!$B$4:$E$500,2,FALSE)</f>
        <v>27AABFP3834C1ZK</v>
      </c>
      <c r="E381" s="34" t="s">
        <v>22</v>
      </c>
      <c r="F381" s="34" t="s">
        <v>1780</v>
      </c>
      <c r="G381" s="44">
        <v>43620</v>
      </c>
      <c r="H381" s="34">
        <v>87141900</v>
      </c>
      <c r="I381" s="34">
        <v>28</v>
      </c>
      <c r="J381" s="38">
        <v>1260</v>
      </c>
      <c r="K381" s="40">
        <v>15818.6</v>
      </c>
      <c r="L381" s="41">
        <v>0</v>
      </c>
      <c r="M381" s="41">
        <v>2214.6040000000003</v>
      </c>
      <c r="N381" s="41">
        <v>2214.6040000000003</v>
      </c>
      <c r="O381" s="41">
        <v>0</v>
      </c>
      <c r="P381" s="42">
        <v>20247.798000000003</v>
      </c>
      <c r="Q381" s="34" t="s">
        <v>25</v>
      </c>
      <c r="R381" s="34" t="s">
        <v>26</v>
      </c>
      <c r="S381" s="11" t="s">
        <v>4105</v>
      </c>
    </row>
    <row r="382" spans="1:19" x14ac:dyDescent="0.2">
      <c r="A382" s="33">
        <v>43617</v>
      </c>
      <c r="B382" s="34">
        <v>22</v>
      </c>
      <c r="C382" s="34" t="s">
        <v>73</v>
      </c>
      <c r="D382" s="34" t="str">
        <f>VLOOKUP(C382,'SALE PARTY MASTER'!$B$4:$E$500,2,FALSE)</f>
        <v>27AAACH4211R1ZF</v>
      </c>
      <c r="E382" s="34" t="s">
        <v>22</v>
      </c>
      <c r="F382" s="34" t="s">
        <v>1781</v>
      </c>
      <c r="G382" s="44">
        <v>43620</v>
      </c>
      <c r="H382" s="34">
        <v>85129000</v>
      </c>
      <c r="I382" s="34">
        <v>18</v>
      </c>
      <c r="J382" s="38">
        <v>2160</v>
      </c>
      <c r="K382" s="40">
        <v>54000</v>
      </c>
      <c r="L382" s="41">
        <v>0</v>
      </c>
      <c r="M382" s="41">
        <v>4860</v>
      </c>
      <c r="N382" s="41">
        <v>4860</v>
      </c>
      <c r="O382" s="41">
        <v>0</v>
      </c>
      <c r="P382" s="42">
        <v>63720</v>
      </c>
      <c r="Q382" s="34" t="s">
        <v>25</v>
      </c>
      <c r="R382" s="34" t="s">
        <v>26</v>
      </c>
      <c r="S382" s="11" t="s">
        <v>4105</v>
      </c>
    </row>
    <row r="383" spans="1:19" x14ac:dyDescent="0.2">
      <c r="A383" s="33">
        <v>43617</v>
      </c>
      <c r="B383" s="34">
        <v>23</v>
      </c>
      <c r="C383" s="34" t="s">
        <v>167</v>
      </c>
      <c r="D383" s="34" t="str">
        <f>VLOOKUP(C383,'SALE PARTY MASTER'!$B$4:$E$500,2,FALSE)</f>
        <v>27AABFP3834C1ZK</v>
      </c>
      <c r="E383" s="34" t="s">
        <v>22</v>
      </c>
      <c r="F383" s="34" t="s">
        <v>1782</v>
      </c>
      <c r="G383" s="44">
        <v>43621</v>
      </c>
      <c r="H383" s="34">
        <v>87141900</v>
      </c>
      <c r="I383" s="34">
        <v>28</v>
      </c>
      <c r="J383" s="38">
        <v>1100</v>
      </c>
      <c r="K383" s="40">
        <v>13983</v>
      </c>
      <c r="L383" s="41">
        <v>0</v>
      </c>
      <c r="M383" s="41">
        <v>1957.6200000000001</v>
      </c>
      <c r="N383" s="41">
        <v>1957.6200000000001</v>
      </c>
      <c r="O383" s="41">
        <v>0</v>
      </c>
      <c r="P383" s="42">
        <v>17898.240000000002</v>
      </c>
      <c r="Q383" s="34" t="s">
        <v>25</v>
      </c>
      <c r="R383" s="34" t="s">
        <v>26</v>
      </c>
      <c r="S383" s="11" t="s">
        <v>4105</v>
      </c>
    </row>
    <row r="384" spans="1:19" x14ac:dyDescent="0.2">
      <c r="A384" s="33">
        <v>43617</v>
      </c>
      <c r="B384" s="34">
        <v>24</v>
      </c>
      <c r="C384" s="34" t="s">
        <v>124</v>
      </c>
      <c r="D384" s="34" t="str">
        <f>VLOOKUP(C384,'SALE PARTY MASTER'!$B$4:$E$500,2,FALSE)</f>
        <v>27AAACB2484Q1Z8</v>
      </c>
      <c r="E384" s="34" t="s">
        <v>22</v>
      </c>
      <c r="F384" s="34" t="s">
        <v>1783</v>
      </c>
      <c r="G384" s="44">
        <v>43621</v>
      </c>
      <c r="H384" s="34">
        <v>998898</v>
      </c>
      <c r="I384" s="34">
        <v>18</v>
      </c>
      <c r="J384" s="38">
        <v>5276</v>
      </c>
      <c r="K384" s="40">
        <v>26815</v>
      </c>
      <c r="L384" s="41">
        <v>0</v>
      </c>
      <c r="M384" s="41">
        <v>2413.35</v>
      </c>
      <c r="N384" s="41">
        <v>2413.35</v>
      </c>
      <c r="O384" s="41">
        <v>0</v>
      </c>
      <c r="P384" s="42">
        <v>31641.699999999997</v>
      </c>
      <c r="Q384" s="34" t="s">
        <v>25</v>
      </c>
      <c r="R384" s="34" t="s">
        <v>26</v>
      </c>
      <c r="S384" s="11" t="s">
        <v>4105</v>
      </c>
    </row>
    <row r="385" spans="1:19" x14ac:dyDescent="0.2">
      <c r="A385" s="33">
        <v>43617</v>
      </c>
      <c r="B385" s="34">
        <v>25</v>
      </c>
      <c r="C385" s="34" t="s">
        <v>124</v>
      </c>
      <c r="D385" s="34" t="str">
        <f>VLOOKUP(C385,'SALE PARTY MASTER'!$B$4:$E$500,2,FALSE)</f>
        <v>27AAACB2484Q1Z8</v>
      </c>
      <c r="E385" s="34" t="s">
        <v>22</v>
      </c>
      <c r="F385" s="34" t="s">
        <v>1784</v>
      </c>
      <c r="G385" s="44">
        <v>43621</v>
      </c>
      <c r="H385" s="34">
        <v>998898</v>
      </c>
      <c r="I385" s="34">
        <v>18</v>
      </c>
      <c r="J385" s="38">
        <v>520</v>
      </c>
      <c r="K385" s="40">
        <v>44360</v>
      </c>
      <c r="L385" s="41">
        <v>0</v>
      </c>
      <c r="M385" s="41">
        <v>3992.4</v>
      </c>
      <c r="N385" s="41">
        <v>3992.4</v>
      </c>
      <c r="O385" s="41">
        <v>0</v>
      </c>
      <c r="P385" s="42">
        <v>52344.800000000003</v>
      </c>
      <c r="Q385" s="34" t="s">
        <v>25</v>
      </c>
      <c r="R385" s="34" t="s">
        <v>26</v>
      </c>
      <c r="S385" s="11" t="s">
        <v>4105</v>
      </c>
    </row>
    <row r="386" spans="1:19" x14ac:dyDescent="0.2">
      <c r="A386" s="33">
        <v>43617</v>
      </c>
      <c r="B386" s="34">
        <v>26</v>
      </c>
      <c r="C386" s="34" t="s">
        <v>28</v>
      </c>
      <c r="D386" s="34" t="str">
        <f>VLOOKUP(C386,'SALE PARTY MASTER'!$B$4:$E$500,2,FALSE)</f>
        <v>27AAECM8871A1ZF</v>
      </c>
      <c r="E386" s="34" t="s">
        <v>22</v>
      </c>
      <c r="F386" s="34" t="s">
        <v>1785</v>
      </c>
      <c r="G386" s="44">
        <v>43621</v>
      </c>
      <c r="H386" s="34">
        <v>87089900</v>
      </c>
      <c r="I386" s="34">
        <v>28</v>
      </c>
      <c r="J386" s="38">
        <v>12</v>
      </c>
      <c r="K386" s="40">
        <v>23255.759999999998</v>
      </c>
      <c r="L386" s="41">
        <v>0</v>
      </c>
      <c r="M386" s="41">
        <v>3255.8063999999995</v>
      </c>
      <c r="N386" s="41">
        <v>3255.8063999999995</v>
      </c>
      <c r="O386" s="41">
        <v>0</v>
      </c>
      <c r="P386" s="42">
        <v>29767.382799999996</v>
      </c>
      <c r="Q386" s="34" t="s">
        <v>25</v>
      </c>
      <c r="R386" s="34" t="s">
        <v>26</v>
      </c>
      <c r="S386" s="11" t="s">
        <v>4105</v>
      </c>
    </row>
    <row r="387" spans="1:19" x14ac:dyDescent="0.2">
      <c r="A387" s="33">
        <v>43617</v>
      </c>
      <c r="B387" s="34">
        <v>27</v>
      </c>
      <c r="C387" s="34" t="s">
        <v>28</v>
      </c>
      <c r="D387" s="34" t="str">
        <f>VLOOKUP(C387,'SALE PARTY MASTER'!$B$4:$E$500,2,FALSE)</f>
        <v>27AAECM8871A1ZF</v>
      </c>
      <c r="E387" s="34" t="s">
        <v>22</v>
      </c>
      <c r="F387" s="34" t="s">
        <v>1786</v>
      </c>
      <c r="G387" s="44">
        <v>43621</v>
      </c>
      <c r="H387" s="34">
        <v>87089900</v>
      </c>
      <c r="I387" s="34">
        <v>28</v>
      </c>
      <c r="J387" s="38">
        <v>12</v>
      </c>
      <c r="K387" s="40">
        <v>23255.759999999998</v>
      </c>
      <c r="L387" s="41">
        <v>0</v>
      </c>
      <c r="M387" s="41">
        <v>3255.8063999999995</v>
      </c>
      <c r="N387" s="41">
        <v>3255.8063999999995</v>
      </c>
      <c r="O387" s="41">
        <v>0</v>
      </c>
      <c r="P387" s="42">
        <v>29767.382799999996</v>
      </c>
      <c r="Q387" s="34" t="s">
        <v>25</v>
      </c>
      <c r="R387" s="34" t="s">
        <v>26</v>
      </c>
      <c r="S387" s="11" t="s">
        <v>4105</v>
      </c>
    </row>
    <row r="388" spans="1:19" x14ac:dyDescent="0.2">
      <c r="A388" s="33">
        <v>43617</v>
      </c>
      <c r="B388" s="34">
        <v>28</v>
      </c>
      <c r="C388" s="34" t="s">
        <v>28</v>
      </c>
      <c r="D388" s="34" t="str">
        <f>VLOOKUP(C388,'SALE PARTY MASTER'!$B$4:$E$500,2,FALSE)</f>
        <v>27AAECM8871A1ZF</v>
      </c>
      <c r="E388" s="34" t="s">
        <v>22</v>
      </c>
      <c r="F388" s="34" t="s">
        <v>1787</v>
      </c>
      <c r="G388" s="44">
        <v>43621</v>
      </c>
      <c r="H388" s="34">
        <v>87089900</v>
      </c>
      <c r="I388" s="34">
        <v>28</v>
      </c>
      <c r="J388" s="38">
        <v>12</v>
      </c>
      <c r="K388" s="40">
        <v>23255.759999999998</v>
      </c>
      <c r="L388" s="41">
        <v>0</v>
      </c>
      <c r="M388" s="41">
        <v>3255.8063999999995</v>
      </c>
      <c r="N388" s="41">
        <v>3255.8063999999995</v>
      </c>
      <c r="O388" s="41">
        <v>0</v>
      </c>
      <c r="P388" s="42">
        <v>29767.382799999996</v>
      </c>
      <c r="Q388" s="34" t="s">
        <v>25</v>
      </c>
      <c r="R388" s="34" t="s">
        <v>26</v>
      </c>
      <c r="S388" s="11" t="s">
        <v>4105</v>
      </c>
    </row>
    <row r="389" spans="1:19" x14ac:dyDescent="0.2">
      <c r="A389" s="33">
        <v>43617</v>
      </c>
      <c r="B389" s="34">
        <v>29</v>
      </c>
      <c r="C389" s="34" t="s">
        <v>155</v>
      </c>
      <c r="D389" s="34" t="str">
        <f>VLOOKUP(C389,'SALE PARTY MASTER'!$B$4:$E$500,2,FALSE)</f>
        <v>27AAGCP0139E1ZP</v>
      </c>
      <c r="E389" s="34" t="s">
        <v>22</v>
      </c>
      <c r="F389" s="34" t="s">
        <v>1788</v>
      </c>
      <c r="G389" s="44">
        <v>43621</v>
      </c>
      <c r="H389" s="34">
        <v>87141090</v>
      </c>
      <c r="I389" s="34">
        <v>28</v>
      </c>
      <c r="J389" s="38">
        <v>600</v>
      </c>
      <c r="K389" s="40">
        <v>28218</v>
      </c>
      <c r="L389" s="41">
        <v>0</v>
      </c>
      <c r="M389" s="41">
        <v>3950.52</v>
      </c>
      <c r="N389" s="41">
        <v>3950.52</v>
      </c>
      <c r="O389" s="41">
        <v>0</v>
      </c>
      <c r="P389" s="42">
        <v>36119.040000000001</v>
      </c>
      <c r="Q389" s="34" t="s">
        <v>25</v>
      </c>
      <c r="R389" s="34" t="s">
        <v>26</v>
      </c>
      <c r="S389" s="11" t="s">
        <v>4105</v>
      </c>
    </row>
    <row r="390" spans="1:19" x14ac:dyDescent="0.2">
      <c r="A390" s="33">
        <v>43617</v>
      </c>
      <c r="B390" s="34">
        <v>30</v>
      </c>
      <c r="C390" s="34" t="s">
        <v>28</v>
      </c>
      <c r="D390" s="34" t="str">
        <f>VLOOKUP(C390,'SALE PARTY MASTER'!$B$4:$E$500,2,FALSE)</f>
        <v>27AAECM8871A1ZF</v>
      </c>
      <c r="E390" s="34" t="s">
        <v>22</v>
      </c>
      <c r="F390" s="34" t="s">
        <v>1789</v>
      </c>
      <c r="G390" s="44">
        <v>43621</v>
      </c>
      <c r="H390" s="34">
        <v>87089900</v>
      </c>
      <c r="I390" s="34">
        <v>28</v>
      </c>
      <c r="J390" s="38">
        <v>12</v>
      </c>
      <c r="K390" s="40">
        <v>23255.759999999998</v>
      </c>
      <c r="L390" s="41">
        <v>0</v>
      </c>
      <c r="M390" s="41">
        <v>3255.8063999999995</v>
      </c>
      <c r="N390" s="41">
        <v>3255.8063999999995</v>
      </c>
      <c r="O390" s="41">
        <v>0</v>
      </c>
      <c r="P390" s="42">
        <v>29767.382799999996</v>
      </c>
      <c r="Q390" s="34" t="s">
        <v>25</v>
      </c>
      <c r="R390" s="34" t="s">
        <v>26</v>
      </c>
      <c r="S390" s="11" t="s">
        <v>4105</v>
      </c>
    </row>
    <row r="391" spans="1:19" x14ac:dyDescent="0.2">
      <c r="A391" s="33">
        <v>43617</v>
      </c>
      <c r="B391" s="34">
        <v>31</v>
      </c>
      <c r="C391" s="34" t="s">
        <v>167</v>
      </c>
      <c r="D391" s="34" t="str">
        <f>VLOOKUP(C391,'SALE PARTY MASTER'!$B$4:$E$500,2,FALSE)</f>
        <v>27AABFP3834C1ZK</v>
      </c>
      <c r="E391" s="34" t="s">
        <v>22</v>
      </c>
      <c r="F391" s="34" t="s">
        <v>1790</v>
      </c>
      <c r="G391" s="44">
        <v>43621</v>
      </c>
      <c r="H391" s="34">
        <v>87141900</v>
      </c>
      <c r="I391" s="34">
        <v>28</v>
      </c>
      <c r="J391" s="38">
        <v>994</v>
      </c>
      <c r="K391" s="40">
        <v>12379.22</v>
      </c>
      <c r="L391" s="41">
        <v>0</v>
      </c>
      <c r="M391" s="41">
        <v>1733.0907999999999</v>
      </c>
      <c r="N391" s="41">
        <v>1733.0907999999999</v>
      </c>
      <c r="O391" s="41">
        <v>0</v>
      </c>
      <c r="P391" s="42">
        <v>15845.401599999999</v>
      </c>
      <c r="Q391" s="34" t="s">
        <v>25</v>
      </c>
      <c r="R391" s="34" t="s">
        <v>26</v>
      </c>
      <c r="S391" s="11" t="s">
        <v>4105</v>
      </c>
    </row>
    <row r="392" spans="1:19" x14ac:dyDescent="0.2">
      <c r="A392" s="33">
        <v>43617</v>
      </c>
      <c r="B392" s="34">
        <v>32</v>
      </c>
      <c r="C392" s="34" t="s">
        <v>45</v>
      </c>
      <c r="D392" s="34" t="str">
        <f>VLOOKUP(C392,'SALE PARTY MASTER'!$B$4:$E$500,2,FALSE)</f>
        <v>27AAACD4090Q1Z8</v>
      </c>
      <c r="E392" s="34" t="s">
        <v>22</v>
      </c>
      <c r="F392" s="34" t="s">
        <v>1791</v>
      </c>
      <c r="G392" s="44">
        <v>43622</v>
      </c>
      <c r="H392" s="34">
        <v>85129000</v>
      </c>
      <c r="I392" s="34">
        <v>18</v>
      </c>
      <c r="J392" s="38">
        <v>540</v>
      </c>
      <c r="K392" s="40">
        <v>65885.399999999994</v>
      </c>
      <c r="L392" s="41">
        <v>0</v>
      </c>
      <c r="M392" s="41">
        <v>5929.6859999999997</v>
      </c>
      <c r="N392" s="41">
        <v>5929.6859999999997</v>
      </c>
      <c r="O392" s="41">
        <v>0</v>
      </c>
      <c r="P392" s="42">
        <v>77744.781999999992</v>
      </c>
      <c r="Q392" s="34" t="s">
        <v>25</v>
      </c>
      <c r="R392" s="34" t="s">
        <v>26</v>
      </c>
      <c r="S392" s="11" t="s">
        <v>4105</v>
      </c>
    </row>
    <row r="393" spans="1:19" x14ac:dyDescent="0.2">
      <c r="A393" s="33">
        <v>43617</v>
      </c>
      <c r="B393" s="34">
        <v>33</v>
      </c>
      <c r="C393" s="34" t="s">
        <v>28</v>
      </c>
      <c r="D393" s="34" t="str">
        <f>VLOOKUP(C393,'SALE PARTY MASTER'!$B$4:$E$500,2,FALSE)</f>
        <v>27AAECM8871A1ZF</v>
      </c>
      <c r="E393" s="34" t="s">
        <v>22</v>
      </c>
      <c r="F393" s="34" t="s">
        <v>1792</v>
      </c>
      <c r="G393" s="44">
        <v>43622</v>
      </c>
      <c r="H393" s="34">
        <v>87089900</v>
      </c>
      <c r="I393" s="34">
        <v>28</v>
      </c>
      <c r="J393" s="38">
        <v>12</v>
      </c>
      <c r="K393" s="40">
        <v>23255.759999999998</v>
      </c>
      <c r="L393" s="41">
        <v>0</v>
      </c>
      <c r="M393" s="41">
        <v>3255.8063999999995</v>
      </c>
      <c r="N393" s="41">
        <v>3255.8063999999995</v>
      </c>
      <c r="O393" s="41">
        <v>0</v>
      </c>
      <c r="P393" s="42">
        <v>29767.382799999996</v>
      </c>
      <c r="Q393" s="34" t="s">
        <v>25</v>
      </c>
      <c r="R393" s="34" t="s">
        <v>26</v>
      </c>
      <c r="S393" s="11" t="s">
        <v>4105</v>
      </c>
    </row>
    <row r="394" spans="1:19" x14ac:dyDescent="0.2">
      <c r="A394" s="33">
        <v>43617</v>
      </c>
      <c r="B394" s="34">
        <v>34</v>
      </c>
      <c r="C394" s="34" t="s">
        <v>124</v>
      </c>
      <c r="D394" s="34" t="str">
        <f>VLOOKUP(C394,'SALE PARTY MASTER'!$B$4:$E$500,2,FALSE)</f>
        <v>27AAACB2484Q1Z8</v>
      </c>
      <c r="E394" s="34" t="s">
        <v>22</v>
      </c>
      <c r="F394" s="34" t="s">
        <v>1793</v>
      </c>
      <c r="G394" s="44">
        <v>43622</v>
      </c>
      <c r="H394" s="34">
        <v>998898</v>
      </c>
      <c r="I394" s="34">
        <v>18</v>
      </c>
      <c r="J394" s="38">
        <v>433</v>
      </c>
      <c r="K394" s="40">
        <v>2165</v>
      </c>
      <c r="L394" s="41">
        <v>0</v>
      </c>
      <c r="M394" s="41">
        <v>194.85</v>
      </c>
      <c r="N394" s="41">
        <v>194.85</v>
      </c>
      <c r="O394" s="41">
        <v>0</v>
      </c>
      <c r="P394" s="42">
        <v>2554.6999999999998</v>
      </c>
      <c r="Q394" s="34" t="s">
        <v>25</v>
      </c>
      <c r="R394" s="34" t="s">
        <v>26</v>
      </c>
      <c r="S394" s="11" t="s">
        <v>4105</v>
      </c>
    </row>
    <row r="395" spans="1:19" x14ac:dyDescent="0.2">
      <c r="A395" s="33">
        <v>43617</v>
      </c>
      <c r="B395" s="34">
        <v>35</v>
      </c>
      <c r="C395" s="34" t="s">
        <v>124</v>
      </c>
      <c r="D395" s="34" t="str">
        <f>VLOOKUP(C395,'SALE PARTY MASTER'!$B$4:$E$500,2,FALSE)</f>
        <v>27AAACB2484Q1Z8</v>
      </c>
      <c r="E395" s="34" t="s">
        <v>22</v>
      </c>
      <c r="F395" s="34" t="s">
        <v>1794</v>
      </c>
      <c r="G395" s="44">
        <v>43622</v>
      </c>
      <c r="H395" s="34">
        <v>998898</v>
      </c>
      <c r="I395" s="34">
        <v>18</v>
      </c>
      <c r="J395" s="38">
        <v>471</v>
      </c>
      <c r="K395" s="40">
        <v>40398</v>
      </c>
      <c r="L395" s="41">
        <v>0</v>
      </c>
      <c r="M395" s="41">
        <v>3635.82</v>
      </c>
      <c r="N395" s="41">
        <v>3635.82</v>
      </c>
      <c r="O395" s="41">
        <v>0</v>
      </c>
      <c r="P395" s="42">
        <v>47669.64</v>
      </c>
      <c r="Q395" s="34" t="s">
        <v>25</v>
      </c>
      <c r="R395" s="34" t="s">
        <v>26</v>
      </c>
      <c r="S395" s="11" t="s">
        <v>4105</v>
      </c>
    </row>
    <row r="396" spans="1:19" x14ac:dyDescent="0.2">
      <c r="A396" s="33">
        <v>43617</v>
      </c>
      <c r="B396" s="34">
        <v>36</v>
      </c>
      <c r="C396" s="34" t="s">
        <v>28</v>
      </c>
      <c r="D396" s="34" t="str">
        <f>VLOOKUP(C396,'SALE PARTY MASTER'!$B$4:$E$500,2,FALSE)</f>
        <v>27AAECM8871A1ZF</v>
      </c>
      <c r="E396" s="34" t="s">
        <v>22</v>
      </c>
      <c r="F396" s="34" t="s">
        <v>1795</v>
      </c>
      <c r="G396" s="44">
        <v>43622</v>
      </c>
      <c r="H396" s="34">
        <v>87089900</v>
      </c>
      <c r="I396" s="34">
        <v>28</v>
      </c>
      <c r="J396" s="38">
        <v>12</v>
      </c>
      <c r="K396" s="40">
        <v>23255.759999999998</v>
      </c>
      <c r="L396" s="41">
        <v>0</v>
      </c>
      <c r="M396" s="41">
        <v>3255.8063999999995</v>
      </c>
      <c r="N396" s="41">
        <v>3255.8063999999995</v>
      </c>
      <c r="O396" s="41">
        <v>0</v>
      </c>
      <c r="P396" s="42">
        <v>29767.382799999996</v>
      </c>
      <c r="Q396" s="34" t="s">
        <v>25</v>
      </c>
      <c r="R396" s="34" t="s">
        <v>26</v>
      </c>
      <c r="S396" s="11" t="s">
        <v>4105</v>
      </c>
    </row>
    <row r="397" spans="1:19" x14ac:dyDescent="0.2">
      <c r="A397" s="33">
        <v>43617</v>
      </c>
      <c r="B397" s="34">
        <v>37</v>
      </c>
      <c r="C397" s="34" t="s">
        <v>155</v>
      </c>
      <c r="D397" s="34" t="str">
        <f>VLOOKUP(C397,'SALE PARTY MASTER'!$B$4:$E$500,2,FALSE)</f>
        <v>27AAGCP0139E1ZP</v>
      </c>
      <c r="E397" s="34" t="s">
        <v>22</v>
      </c>
      <c r="F397" s="34" t="s">
        <v>1796</v>
      </c>
      <c r="G397" s="44">
        <v>43622</v>
      </c>
      <c r="H397" s="34">
        <v>87141090</v>
      </c>
      <c r="I397" s="34">
        <v>28</v>
      </c>
      <c r="J397" s="38">
        <v>440</v>
      </c>
      <c r="K397" s="40">
        <v>33162.800000000003</v>
      </c>
      <c r="L397" s="41">
        <v>0</v>
      </c>
      <c r="M397" s="41">
        <v>4642.7920000000004</v>
      </c>
      <c r="N397" s="41">
        <v>4642.7920000000004</v>
      </c>
      <c r="O397" s="41">
        <v>0</v>
      </c>
      <c r="P397" s="42">
        <v>42448.384000000005</v>
      </c>
      <c r="Q397" s="34" t="s">
        <v>25</v>
      </c>
      <c r="R397" s="34" t="s">
        <v>26</v>
      </c>
      <c r="S397" s="11" t="s">
        <v>4105</v>
      </c>
    </row>
    <row r="398" spans="1:19" x14ac:dyDescent="0.2">
      <c r="A398" s="33">
        <v>43617</v>
      </c>
      <c r="B398" s="34">
        <v>38</v>
      </c>
      <c r="C398" s="34" t="s">
        <v>91</v>
      </c>
      <c r="D398" s="34" t="str">
        <f>VLOOKUP(C398,'SALE PARTY MASTER'!$B$4:$E$500,2,FALSE)</f>
        <v>27BBVPS2447C1ZA</v>
      </c>
      <c r="E398" s="34" t="s">
        <v>22</v>
      </c>
      <c r="F398" s="34" t="s">
        <v>1797</v>
      </c>
      <c r="G398" s="44">
        <v>43622</v>
      </c>
      <c r="H398" s="34">
        <v>998898</v>
      </c>
      <c r="I398" s="34">
        <v>18</v>
      </c>
      <c r="J398" s="38">
        <v>320</v>
      </c>
      <c r="K398" s="40">
        <v>4800</v>
      </c>
      <c r="L398" s="41">
        <v>0</v>
      </c>
      <c r="M398" s="41">
        <v>432</v>
      </c>
      <c r="N398" s="41">
        <v>432</v>
      </c>
      <c r="O398" s="41">
        <v>0</v>
      </c>
      <c r="P398" s="42">
        <v>5664</v>
      </c>
      <c r="Q398" s="34" t="s">
        <v>25</v>
      </c>
      <c r="R398" s="34" t="s">
        <v>26</v>
      </c>
      <c r="S398" s="11" t="s">
        <v>4105</v>
      </c>
    </row>
    <row r="399" spans="1:19" x14ac:dyDescent="0.2">
      <c r="A399" s="33">
        <v>43617</v>
      </c>
      <c r="B399" s="34">
        <v>39</v>
      </c>
      <c r="C399" s="34" t="s">
        <v>73</v>
      </c>
      <c r="D399" s="34" t="str">
        <f>VLOOKUP(C399,'SALE PARTY MASTER'!$B$4:$E$500,2,FALSE)</f>
        <v>27AAACH4211R1ZF</v>
      </c>
      <c r="E399" s="34" t="s">
        <v>22</v>
      </c>
      <c r="F399" s="34" t="s">
        <v>1798</v>
      </c>
      <c r="G399" s="44">
        <v>43622</v>
      </c>
      <c r="H399" s="34">
        <v>85129000</v>
      </c>
      <c r="I399" s="34">
        <v>18</v>
      </c>
      <c r="J399" s="38">
        <v>1440</v>
      </c>
      <c r="K399" s="40">
        <v>36000</v>
      </c>
      <c r="L399" s="41">
        <v>0</v>
      </c>
      <c r="M399" s="41">
        <v>3240</v>
      </c>
      <c r="N399" s="41">
        <v>3240</v>
      </c>
      <c r="O399" s="41">
        <v>0</v>
      </c>
      <c r="P399" s="42">
        <v>42480</v>
      </c>
      <c r="Q399" s="34" t="s">
        <v>25</v>
      </c>
      <c r="R399" s="34" t="s">
        <v>26</v>
      </c>
      <c r="S399" s="11" t="s">
        <v>4105</v>
      </c>
    </row>
    <row r="400" spans="1:19" x14ac:dyDescent="0.2">
      <c r="A400" s="33">
        <v>43617</v>
      </c>
      <c r="B400" s="34">
        <v>40</v>
      </c>
      <c r="C400" s="34" t="s">
        <v>167</v>
      </c>
      <c r="D400" s="34" t="str">
        <f>VLOOKUP(C400,'SALE PARTY MASTER'!$B$4:$E$500,2,FALSE)</f>
        <v>27AABFP3834C1ZK</v>
      </c>
      <c r="E400" s="34" t="s">
        <v>22</v>
      </c>
      <c r="F400" s="34" t="s">
        <v>1799</v>
      </c>
      <c r="G400" s="44">
        <v>43623</v>
      </c>
      <c r="H400" s="34">
        <v>87141900</v>
      </c>
      <c r="I400" s="34">
        <v>28</v>
      </c>
      <c r="J400" s="38">
        <v>1000</v>
      </c>
      <c r="K400" s="40">
        <v>11406</v>
      </c>
      <c r="L400" s="41">
        <v>0</v>
      </c>
      <c r="M400" s="41">
        <v>1596.8400000000001</v>
      </c>
      <c r="N400" s="41">
        <v>1596.8400000000001</v>
      </c>
      <c r="O400" s="41">
        <v>0</v>
      </c>
      <c r="P400" s="42">
        <v>14599.68</v>
      </c>
      <c r="Q400" s="34" t="s">
        <v>25</v>
      </c>
      <c r="R400" s="34" t="s">
        <v>26</v>
      </c>
      <c r="S400" s="11" t="s">
        <v>4105</v>
      </c>
    </row>
    <row r="401" spans="1:19" x14ac:dyDescent="0.2">
      <c r="A401" s="33">
        <v>43617</v>
      </c>
      <c r="B401" s="34">
        <v>41</v>
      </c>
      <c r="C401" s="34" t="s">
        <v>28</v>
      </c>
      <c r="D401" s="34" t="str">
        <f>VLOOKUP(C401,'SALE PARTY MASTER'!$B$4:$E$500,2,FALSE)</f>
        <v>27AAECM8871A1ZF</v>
      </c>
      <c r="E401" s="34" t="s">
        <v>22</v>
      </c>
      <c r="F401" s="34" t="s">
        <v>1800</v>
      </c>
      <c r="G401" s="44">
        <v>43624</v>
      </c>
      <c r="H401" s="34">
        <v>87089900</v>
      </c>
      <c r="I401" s="34">
        <v>28</v>
      </c>
      <c r="J401" s="38">
        <v>12</v>
      </c>
      <c r="K401" s="40">
        <v>23255.759999999998</v>
      </c>
      <c r="L401" s="41">
        <v>0</v>
      </c>
      <c r="M401" s="41">
        <v>3255.8063999999995</v>
      </c>
      <c r="N401" s="41">
        <v>3255.8063999999995</v>
      </c>
      <c r="O401" s="41">
        <v>0</v>
      </c>
      <c r="P401" s="42">
        <v>29767.382799999996</v>
      </c>
      <c r="Q401" s="34" t="s">
        <v>25</v>
      </c>
      <c r="R401" s="34" t="s">
        <v>26</v>
      </c>
      <c r="S401" s="11" t="s">
        <v>4105</v>
      </c>
    </row>
    <row r="402" spans="1:19" x14ac:dyDescent="0.2">
      <c r="A402" s="33">
        <v>43617</v>
      </c>
      <c r="B402" s="34">
        <v>42</v>
      </c>
      <c r="C402" s="34" t="s">
        <v>167</v>
      </c>
      <c r="D402" s="34" t="str">
        <f>VLOOKUP(C402,'SALE PARTY MASTER'!$B$4:$E$500,2,FALSE)</f>
        <v>27AABFP3834C1ZK</v>
      </c>
      <c r="E402" s="34" t="s">
        <v>22</v>
      </c>
      <c r="F402" s="34" t="s">
        <v>1801</v>
      </c>
      <c r="G402" s="44">
        <v>43624</v>
      </c>
      <c r="H402" s="34">
        <v>87141900</v>
      </c>
      <c r="I402" s="34">
        <v>28</v>
      </c>
      <c r="J402" s="38">
        <v>919</v>
      </c>
      <c r="K402" s="40">
        <v>10824.19</v>
      </c>
      <c r="L402" s="41">
        <v>0</v>
      </c>
      <c r="M402" s="41">
        <v>1515.3866</v>
      </c>
      <c r="N402" s="41">
        <v>1515.3866</v>
      </c>
      <c r="O402" s="41">
        <v>0</v>
      </c>
      <c r="P402" s="42">
        <v>13854.9732</v>
      </c>
      <c r="Q402" s="34" t="s">
        <v>25</v>
      </c>
      <c r="R402" s="34" t="s">
        <v>26</v>
      </c>
      <c r="S402" s="11" t="s">
        <v>4105</v>
      </c>
    </row>
    <row r="403" spans="1:19" x14ac:dyDescent="0.2">
      <c r="A403" s="33">
        <v>43617</v>
      </c>
      <c r="B403" s="34">
        <v>43</v>
      </c>
      <c r="C403" s="34" t="s">
        <v>167</v>
      </c>
      <c r="D403" s="34" t="str">
        <f>VLOOKUP(C403,'SALE PARTY MASTER'!$B$4:$E$500,2,FALSE)</f>
        <v>27AABFP3834C1ZK</v>
      </c>
      <c r="E403" s="34" t="s">
        <v>22</v>
      </c>
      <c r="F403" s="34" t="s">
        <v>1802</v>
      </c>
      <c r="G403" s="44">
        <v>43624</v>
      </c>
      <c r="H403" s="34">
        <v>87141900</v>
      </c>
      <c r="I403" s="34">
        <v>28</v>
      </c>
      <c r="J403" s="38">
        <v>241</v>
      </c>
      <c r="K403" s="40">
        <v>2683.41</v>
      </c>
      <c r="L403" s="41">
        <v>0</v>
      </c>
      <c r="M403" s="41">
        <v>375.67739999999998</v>
      </c>
      <c r="N403" s="41">
        <v>375.67739999999998</v>
      </c>
      <c r="O403" s="41">
        <v>0</v>
      </c>
      <c r="P403" s="42">
        <v>3434.7748000000001</v>
      </c>
      <c r="Q403" s="34" t="s">
        <v>25</v>
      </c>
      <c r="R403" s="34" t="s">
        <v>26</v>
      </c>
      <c r="S403" s="11" t="s">
        <v>4105</v>
      </c>
    </row>
    <row r="404" spans="1:19" x14ac:dyDescent="0.2">
      <c r="A404" s="33">
        <v>43617</v>
      </c>
      <c r="B404" s="34">
        <v>44</v>
      </c>
      <c r="C404" s="34" t="s">
        <v>155</v>
      </c>
      <c r="D404" s="34" t="str">
        <f>VLOOKUP(C404,'SALE PARTY MASTER'!$B$4:$E$500,2,FALSE)</f>
        <v>27AAGCP0139E1ZP</v>
      </c>
      <c r="E404" s="34" t="s">
        <v>22</v>
      </c>
      <c r="F404" s="34" t="s">
        <v>1803</v>
      </c>
      <c r="G404" s="44">
        <v>43624</v>
      </c>
      <c r="H404" s="34">
        <v>87141090</v>
      </c>
      <c r="I404" s="34">
        <v>28</v>
      </c>
      <c r="J404" s="38">
        <v>4</v>
      </c>
      <c r="K404" s="40">
        <v>301.48</v>
      </c>
      <c r="L404" s="41">
        <v>0</v>
      </c>
      <c r="M404" s="41">
        <v>42.2072</v>
      </c>
      <c r="N404" s="41">
        <v>42.2072</v>
      </c>
      <c r="O404" s="41">
        <v>0</v>
      </c>
      <c r="P404" s="42">
        <v>385.90440000000001</v>
      </c>
      <c r="Q404" s="34" t="s">
        <v>25</v>
      </c>
      <c r="R404" s="34" t="s">
        <v>26</v>
      </c>
      <c r="S404" s="11" t="s">
        <v>4105</v>
      </c>
    </row>
    <row r="405" spans="1:19" x14ac:dyDescent="0.2">
      <c r="A405" s="33">
        <v>43617</v>
      </c>
      <c r="B405" s="34">
        <v>45</v>
      </c>
      <c r="C405" s="34" t="s">
        <v>155</v>
      </c>
      <c r="D405" s="34" t="str">
        <f>VLOOKUP(C405,'SALE PARTY MASTER'!$B$4:$E$500,2,FALSE)</f>
        <v>27AAGCP0139E1ZP</v>
      </c>
      <c r="E405" s="34" t="s">
        <v>22</v>
      </c>
      <c r="F405" s="34" t="s">
        <v>1804</v>
      </c>
      <c r="G405" s="44">
        <v>43624</v>
      </c>
      <c r="H405" s="34">
        <v>87141090</v>
      </c>
      <c r="I405" s="34">
        <v>28</v>
      </c>
      <c r="J405" s="38">
        <v>496</v>
      </c>
      <c r="K405" s="40">
        <v>37383.519999999997</v>
      </c>
      <c r="L405" s="41">
        <v>0</v>
      </c>
      <c r="M405" s="41">
        <v>5233.6927999999998</v>
      </c>
      <c r="N405" s="41">
        <v>5233.6927999999998</v>
      </c>
      <c r="O405" s="41">
        <v>0</v>
      </c>
      <c r="P405" s="42">
        <v>47850.895599999989</v>
      </c>
      <c r="Q405" s="34" t="s">
        <v>25</v>
      </c>
      <c r="R405" s="34" t="s">
        <v>26</v>
      </c>
      <c r="S405" s="11" t="s">
        <v>4105</v>
      </c>
    </row>
    <row r="406" spans="1:19" x14ac:dyDescent="0.2">
      <c r="A406" s="33">
        <v>43617</v>
      </c>
      <c r="B406" s="34">
        <v>46</v>
      </c>
      <c r="C406" s="34" t="s">
        <v>155</v>
      </c>
      <c r="D406" s="34" t="str">
        <f>VLOOKUP(C406,'SALE PARTY MASTER'!$B$4:$E$500,2,FALSE)</f>
        <v>27AAGCP0139E1ZP</v>
      </c>
      <c r="E406" s="34" t="s">
        <v>22</v>
      </c>
      <c r="F406" s="34" t="s">
        <v>1805</v>
      </c>
      <c r="G406" s="44">
        <v>43624</v>
      </c>
      <c r="H406" s="34">
        <v>87141090</v>
      </c>
      <c r="I406" s="34">
        <v>28</v>
      </c>
      <c r="J406" s="38">
        <v>1020</v>
      </c>
      <c r="K406" s="40">
        <v>47970.6</v>
      </c>
      <c r="L406" s="41">
        <v>0</v>
      </c>
      <c r="M406" s="41">
        <v>6715.8839999999991</v>
      </c>
      <c r="N406" s="41">
        <v>6715.8839999999991</v>
      </c>
      <c r="O406" s="41">
        <v>0</v>
      </c>
      <c r="P406" s="42">
        <v>61402.357999999993</v>
      </c>
      <c r="Q406" s="34" t="s">
        <v>25</v>
      </c>
      <c r="R406" s="34" t="s">
        <v>26</v>
      </c>
      <c r="S406" s="11" t="s">
        <v>4105</v>
      </c>
    </row>
    <row r="407" spans="1:19" x14ac:dyDescent="0.2">
      <c r="A407" s="33">
        <v>43617</v>
      </c>
      <c r="B407" s="34">
        <v>47</v>
      </c>
      <c r="C407" s="34" t="s">
        <v>45</v>
      </c>
      <c r="D407" s="34" t="str">
        <f>VLOOKUP(C407,'SALE PARTY MASTER'!$B$4:$E$500,2,FALSE)</f>
        <v>27AAACD4090Q1Z8</v>
      </c>
      <c r="E407" s="34" t="s">
        <v>22</v>
      </c>
      <c r="F407" s="34" t="s">
        <v>1806</v>
      </c>
      <c r="G407" s="44">
        <v>43624</v>
      </c>
      <c r="H407" s="34">
        <v>85129000</v>
      </c>
      <c r="I407" s="34">
        <v>18</v>
      </c>
      <c r="J407" s="38">
        <v>702</v>
      </c>
      <c r="K407" s="40">
        <v>85651.02</v>
      </c>
      <c r="L407" s="41">
        <v>0</v>
      </c>
      <c r="M407" s="41">
        <v>7708.5918000000001</v>
      </c>
      <c r="N407" s="41">
        <v>7708.5918000000001</v>
      </c>
      <c r="O407" s="41">
        <v>0</v>
      </c>
      <c r="P407" s="42">
        <v>101068.20359999999</v>
      </c>
      <c r="Q407" s="34" t="s">
        <v>25</v>
      </c>
      <c r="R407" s="34" t="s">
        <v>26</v>
      </c>
      <c r="S407" s="11" t="s">
        <v>4105</v>
      </c>
    </row>
    <row r="408" spans="1:19" x14ac:dyDescent="0.2">
      <c r="A408" s="33">
        <v>43617</v>
      </c>
      <c r="B408" s="34">
        <v>48</v>
      </c>
      <c r="C408" s="34" t="s">
        <v>167</v>
      </c>
      <c r="D408" s="34" t="str">
        <f>VLOOKUP(C408,'SALE PARTY MASTER'!$B$4:$E$500,2,FALSE)</f>
        <v>27AABFP3834C1ZK</v>
      </c>
      <c r="E408" s="34" t="s">
        <v>22</v>
      </c>
      <c r="F408" s="34" t="s">
        <v>1807</v>
      </c>
      <c r="G408" s="44">
        <v>43625</v>
      </c>
      <c r="H408" s="34">
        <v>87141900</v>
      </c>
      <c r="I408" s="34">
        <v>28</v>
      </c>
      <c r="J408" s="38">
        <v>1454</v>
      </c>
      <c r="K408" s="40">
        <v>19871.02</v>
      </c>
      <c r="L408" s="41">
        <v>0</v>
      </c>
      <c r="M408" s="41">
        <v>2781.9428000000003</v>
      </c>
      <c r="N408" s="41">
        <v>2781.9428000000003</v>
      </c>
      <c r="O408" s="41">
        <v>0</v>
      </c>
      <c r="P408" s="42">
        <v>25434.895600000003</v>
      </c>
      <c r="Q408" s="34" t="s">
        <v>25</v>
      </c>
      <c r="R408" s="34" t="s">
        <v>26</v>
      </c>
      <c r="S408" s="11" t="s">
        <v>4105</v>
      </c>
    </row>
    <row r="409" spans="1:19" x14ac:dyDescent="0.2">
      <c r="A409" s="33">
        <v>43617</v>
      </c>
      <c r="B409" s="34">
        <v>49</v>
      </c>
      <c r="C409" s="34" t="s">
        <v>28</v>
      </c>
      <c r="D409" s="34" t="str">
        <f>VLOOKUP(C409,'SALE PARTY MASTER'!$B$4:$E$500,2,FALSE)</f>
        <v>27AAECM8871A1ZF</v>
      </c>
      <c r="E409" s="34" t="s">
        <v>22</v>
      </c>
      <c r="F409" s="34" t="s">
        <v>1808</v>
      </c>
      <c r="G409" s="44">
        <v>43626</v>
      </c>
      <c r="H409" s="34">
        <v>87089900</v>
      </c>
      <c r="I409" s="34">
        <v>28</v>
      </c>
      <c r="J409" s="38">
        <v>12</v>
      </c>
      <c r="K409" s="40">
        <v>23255.759999999998</v>
      </c>
      <c r="L409" s="41">
        <v>0</v>
      </c>
      <c r="M409" s="41">
        <v>3255.8063999999995</v>
      </c>
      <c r="N409" s="41">
        <v>3255.8063999999995</v>
      </c>
      <c r="O409" s="41">
        <v>0</v>
      </c>
      <c r="P409" s="42">
        <v>29767.382799999996</v>
      </c>
      <c r="Q409" s="34" t="s">
        <v>25</v>
      </c>
      <c r="R409" s="34" t="s">
        <v>26</v>
      </c>
      <c r="S409" s="11" t="s">
        <v>4105</v>
      </c>
    </row>
    <row r="410" spans="1:19" x14ac:dyDescent="0.2">
      <c r="A410" s="33">
        <v>43617</v>
      </c>
      <c r="B410" s="34">
        <v>50</v>
      </c>
      <c r="C410" s="34" t="s">
        <v>40</v>
      </c>
      <c r="D410" s="34" t="str">
        <f>VLOOKUP(C410,'SALE PARTY MASTER'!$B$4:$E$500,2,FALSE)</f>
        <v>27AAACT1848E1ZH</v>
      </c>
      <c r="E410" s="34" t="s">
        <v>22</v>
      </c>
      <c r="F410" s="34" t="s">
        <v>1809</v>
      </c>
      <c r="G410" s="44">
        <v>43626</v>
      </c>
      <c r="H410" s="34">
        <v>87089900</v>
      </c>
      <c r="I410" s="34">
        <v>28</v>
      </c>
      <c r="J410" s="38">
        <v>126</v>
      </c>
      <c r="K410" s="40">
        <v>90619.199999999997</v>
      </c>
      <c r="L410" s="41">
        <v>0</v>
      </c>
      <c r="M410" s="41">
        <v>12686.688</v>
      </c>
      <c r="N410" s="41">
        <v>12686.688</v>
      </c>
      <c r="O410" s="41">
        <v>0</v>
      </c>
      <c r="P410" s="42">
        <v>115992.57599999999</v>
      </c>
      <c r="Q410" s="34" t="s">
        <v>25</v>
      </c>
      <c r="R410" s="34" t="s">
        <v>26</v>
      </c>
      <c r="S410" s="11" t="s">
        <v>4105</v>
      </c>
    </row>
    <row r="411" spans="1:19" x14ac:dyDescent="0.2">
      <c r="A411" s="33">
        <v>43617</v>
      </c>
      <c r="B411" s="34">
        <v>51</v>
      </c>
      <c r="C411" s="34" t="s">
        <v>73</v>
      </c>
      <c r="D411" s="34" t="str">
        <f>VLOOKUP(C411,'SALE PARTY MASTER'!$B$4:$E$500,2,FALSE)</f>
        <v>27AAACH4211R1ZF</v>
      </c>
      <c r="E411" s="34" t="s">
        <v>22</v>
      </c>
      <c r="F411" s="34" t="s">
        <v>1810</v>
      </c>
      <c r="G411" s="44">
        <v>43626</v>
      </c>
      <c r="H411" s="34">
        <v>85129000</v>
      </c>
      <c r="I411" s="34">
        <v>18</v>
      </c>
      <c r="J411" s="38">
        <v>1200</v>
      </c>
      <c r="K411" s="40">
        <v>30000</v>
      </c>
      <c r="L411" s="41">
        <v>0</v>
      </c>
      <c r="M411" s="41">
        <v>2700</v>
      </c>
      <c r="N411" s="41">
        <v>2700</v>
      </c>
      <c r="O411" s="41">
        <v>0</v>
      </c>
      <c r="P411" s="42">
        <v>35400</v>
      </c>
      <c r="Q411" s="34" t="s">
        <v>25</v>
      </c>
      <c r="R411" s="34" t="s">
        <v>26</v>
      </c>
      <c r="S411" s="11" t="s">
        <v>4105</v>
      </c>
    </row>
    <row r="412" spans="1:19" x14ac:dyDescent="0.2">
      <c r="A412" s="33">
        <v>43617</v>
      </c>
      <c r="B412" s="34">
        <v>52</v>
      </c>
      <c r="C412" s="34" t="s">
        <v>73</v>
      </c>
      <c r="D412" s="34" t="str">
        <f>VLOOKUP(C412,'SALE PARTY MASTER'!$B$4:$E$500,2,FALSE)</f>
        <v>27AAACH4211R1ZF</v>
      </c>
      <c r="E412" s="34" t="s">
        <v>22</v>
      </c>
      <c r="F412" s="34" t="s">
        <v>1811</v>
      </c>
      <c r="G412" s="44">
        <v>43626</v>
      </c>
      <c r="H412" s="34">
        <v>85129000</v>
      </c>
      <c r="I412" s="34">
        <v>18</v>
      </c>
      <c r="J412" s="38">
        <v>1200</v>
      </c>
      <c r="K412" s="40">
        <v>30000</v>
      </c>
      <c r="L412" s="41">
        <v>0</v>
      </c>
      <c r="M412" s="41">
        <v>2700</v>
      </c>
      <c r="N412" s="41">
        <v>2700</v>
      </c>
      <c r="O412" s="41">
        <v>0</v>
      </c>
      <c r="P412" s="42">
        <v>35400</v>
      </c>
      <c r="Q412" s="34" t="s">
        <v>25</v>
      </c>
      <c r="R412" s="34" t="s">
        <v>26</v>
      </c>
      <c r="S412" s="11" t="s">
        <v>4105</v>
      </c>
    </row>
    <row r="413" spans="1:19" x14ac:dyDescent="0.2">
      <c r="A413" s="33">
        <v>43617</v>
      </c>
      <c r="B413" s="34">
        <v>53</v>
      </c>
      <c r="C413" s="34" t="s">
        <v>167</v>
      </c>
      <c r="D413" s="34" t="str">
        <f>VLOOKUP(C413,'SALE PARTY MASTER'!$B$4:$E$500,2,FALSE)</f>
        <v>27AABFP3834C1ZK</v>
      </c>
      <c r="E413" s="34" t="s">
        <v>22</v>
      </c>
      <c r="F413" s="34" t="s">
        <v>1812</v>
      </c>
      <c r="G413" s="44">
        <v>43626</v>
      </c>
      <c r="H413" s="34">
        <v>87141900</v>
      </c>
      <c r="I413" s="34">
        <v>28</v>
      </c>
      <c r="J413" s="38">
        <v>1440</v>
      </c>
      <c r="K413" s="40">
        <v>16254.4</v>
      </c>
      <c r="L413" s="41">
        <v>0</v>
      </c>
      <c r="M413" s="41">
        <v>2275.616</v>
      </c>
      <c r="N413" s="41">
        <v>2275.616</v>
      </c>
      <c r="O413" s="41">
        <v>0</v>
      </c>
      <c r="P413" s="42">
        <v>20805.621999999999</v>
      </c>
      <c r="Q413" s="34" t="s">
        <v>25</v>
      </c>
      <c r="R413" s="34" t="s">
        <v>26</v>
      </c>
      <c r="S413" s="11" t="s">
        <v>4105</v>
      </c>
    </row>
    <row r="414" spans="1:19" x14ac:dyDescent="0.2">
      <c r="A414" s="33">
        <v>43617</v>
      </c>
      <c r="B414" s="34">
        <v>54</v>
      </c>
      <c r="C414" s="34" t="s">
        <v>70</v>
      </c>
      <c r="D414" s="34" t="str">
        <f>VLOOKUP(C414,'SALE PARTY MASTER'!$B$4:$E$500,2,FALSE)</f>
        <v>27AACCA4196J1ZG</v>
      </c>
      <c r="E414" s="34" t="s">
        <v>22</v>
      </c>
      <c r="F414" s="34" t="s">
        <v>1813</v>
      </c>
      <c r="G414" s="44">
        <v>43627</v>
      </c>
      <c r="H414" s="34">
        <v>998898</v>
      </c>
      <c r="I414" s="34">
        <v>18</v>
      </c>
      <c r="J414" s="38">
        <v>350</v>
      </c>
      <c r="K414" s="40">
        <v>2877</v>
      </c>
      <c r="L414" s="41">
        <v>0</v>
      </c>
      <c r="M414" s="41">
        <v>258.93</v>
      </c>
      <c r="N414" s="41">
        <v>258.93</v>
      </c>
      <c r="O414" s="41">
        <v>0</v>
      </c>
      <c r="P414" s="42">
        <v>3394.8599999999997</v>
      </c>
      <c r="Q414" s="34" t="s">
        <v>25</v>
      </c>
      <c r="R414" s="34" t="s">
        <v>26</v>
      </c>
      <c r="S414" s="11" t="s">
        <v>4105</v>
      </c>
    </row>
    <row r="415" spans="1:19" x14ac:dyDescent="0.2">
      <c r="A415" s="33">
        <v>43617</v>
      </c>
      <c r="B415" s="34">
        <v>55</v>
      </c>
      <c r="C415" s="34" t="s">
        <v>40</v>
      </c>
      <c r="D415" s="34" t="str">
        <f>VLOOKUP(C415,'SALE PARTY MASTER'!$B$4:$E$500,2,FALSE)</f>
        <v>27AAACT1848E1ZH</v>
      </c>
      <c r="E415" s="34" t="s">
        <v>22</v>
      </c>
      <c r="F415" s="34" t="s">
        <v>1814</v>
      </c>
      <c r="G415" s="44">
        <v>43627</v>
      </c>
      <c r="H415" s="34">
        <v>87089900</v>
      </c>
      <c r="I415" s="34">
        <v>28</v>
      </c>
      <c r="J415" s="38">
        <v>282</v>
      </c>
      <c r="K415" s="40">
        <v>25586.26</v>
      </c>
      <c r="L415" s="41">
        <v>0</v>
      </c>
      <c r="M415" s="41">
        <v>3582.0763999999999</v>
      </c>
      <c r="N415" s="41">
        <v>3582.0763999999999</v>
      </c>
      <c r="O415" s="41">
        <v>0</v>
      </c>
      <c r="P415" s="42">
        <v>32750.422799999997</v>
      </c>
      <c r="Q415" s="34" t="s">
        <v>25</v>
      </c>
      <c r="R415" s="34" t="s">
        <v>26</v>
      </c>
      <c r="S415" s="11" t="s">
        <v>4105</v>
      </c>
    </row>
    <row r="416" spans="1:19" x14ac:dyDescent="0.2">
      <c r="A416" s="33">
        <v>43617</v>
      </c>
      <c r="B416" s="34">
        <v>56</v>
      </c>
      <c r="C416" s="34" t="s">
        <v>155</v>
      </c>
      <c r="D416" s="34" t="str">
        <f>VLOOKUP(C416,'SALE PARTY MASTER'!$B$4:$E$500,2,FALSE)</f>
        <v>27AAGCP0139E1ZP</v>
      </c>
      <c r="E416" s="34" t="s">
        <v>22</v>
      </c>
      <c r="F416" s="34" t="s">
        <v>1815</v>
      </c>
      <c r="G416" s="44">
        <v>43627</v>
      </c>
      <c r="H416" s="34">
        <v>87141090</v>
      </c>
      <c r="I416" s="34">
        <v>28</v>
      </c>
      <c r="J416" s="38">
        <v>1000</v>
      </c>
      <c r="K416" s="40">
        <v>75370</v>
      </c>
      <c r="L416" s="41">
        <v>0</v>
      </c>
      <c r="M416" s="41">
        <v>10551.800000000001</v>
      </c>
      <c r="N416" s="41">
        <v>10551.800000000001</v>
      </c>
      <c r="O416" s="41">
        <v>0</v>
      </c>
      <c r="P416" s="42">
        <v>96473.600000000006</v>
      </c>
      <c r="Q416" s="34" t="s">
        <v>25</v>
      </c>
      <c r="R416" s="34" t="s">
        <v>26</v>
      </c>
      <c r="S416" s="11" t="s">
        <v>4105</v>
      </c>
    </row>
    <row r="417" spans="1:19" x14ac:dyDescent="0.2">
      <c r="A417" s="33">
        <v>43617</v>
      </c>
      <c r="B417" s="34">
        <v>57</v>
      </c>
      <c r="C417" s="34" t="s">
        <v>155</v>
      </c>
      <c r="D417" s="34" t="str">
        <f>VLOOKUP(C417,'SALE PARTY MASTER'!$B$4:$E$500,2,FALSE)</f>
        <v>27AAGCP0139E1ZP</v>
      </c>
      <c r="E417" s="34" t="s">
        <v>22</v>
      </c>
      <c r="F417" s="34" t="s">
        <v>1816</v>
      </c>
      <c r="G417" s="44">
        <v>43627</v>
      </c>
      <c r="H417" s="34">
        <v>87141090</v>
      </c>
      <c r="I417" s="34">
        <v>28</v>
      </c>
      <c r="J417" s="38">
        <v>420</v>
      </c>
      <c r="K417" s="40">
        <v>19752.599999999999</v>
      </c>
      <c r="L417" s="41">
        <v>0</v>
      </c>
      <c r="M417" s="41">
        <v>2765.3639999999996</v>
      </c>
      <c r="N417" s="41">
        <v>2765.3639999999996</v>
      </c>
      <c r="O417" s="41">
        <v>0</v>
      </c>
      <c r="P417" s="42">
        <v>25283.318000000003</v>
      </c>
      <c r="Q417" s="34" t="s">
        <v>25</v>
      </c>
      <c r="R417" s="34" t="s">
        <v>26</v>
      </c>
      <c r="S417" s="11" t="s">
        <v>4105</v>
      </c>
    </row>
    <row r="418" spans="1:19" x14ac:dyDescent="0.2">
      <c r="A418" s="33">
        <v>43617</v>
      </c>
      <c r="B418" s="34">
        <v>58</v>
      </c>
      <c r="C418" s="34" t="s">
        <v>102</v>
      </c>
      <c r="D418" s="34" t="str">
        <f>VLOOKUP(C418,'SALE PARTY MASTER'!$B$4:$E$500,2,FALSE)</f>
        <v>23AABCE9378F1ZK</v>
      </c>
      <c r="E418" s="34" t="s">
        <v>22</v>
      </c>
      <c r="F418" s="34" t="s">
        <v>1817</v>
      </c>
      <c r="G418" s="44">
        <v>43627</v>
      </c>
      <c r="H418" s="34">
        <v>87081090</v>
      </c>
      <c r="I418" s="34">
        <v>28</v>
      </c>
      <c r="J418" s="38">
        <v>10</v>
      </c>
      <c r="K418" s="40">
        <v>20215</v>
      </c>
      <c r="L418" s="41">
        <v>5660.2</v>
      </c>
      <c r="M418" s="41">
        <v>0</v>
      </c>
      <c r="N418" s="41">
        <v>0</v>
      </c>
      <c r="O418" s="41">
        <v>0</v>
      </c>
      <c r="P418" s="42">
        <v>25875.200000000001</v>
      </c>
      <c r="Q418" s="34" t="s">
        <v>25</v>
      </c>
      <c r="R418" s="34" t="s">
        <v>106</v>
      </c>
      <c r="S418" s="11" t="s">
        <v>4105</v>
      </c>
    </row>
    <row r="419" spans="1:19" x14ac:dyDescent="0.2">
      <c r="A419" s="33">
        <v>43617</v>
      </c>
      <c r="B419" s="34">
        <v>59</v>
      </c>
      <c r="C419" s="34" t="s">
        <v>102</v>
      </c>
      <c r="D419" s="34" t="str">
        <f>VLOOKUP(C419,'SALE PARTY MASTER'!$B$4:$E$500,2,FALSE)</f>
        <v>23AABCE9378F1ZK</v>
      </c>
      <c r="E419" s="34" t="s">
        <v>22</v>
      </c>
      <c r="F419" s="34" t="s">
        <v>1818</v>
      </c>
      <c r="G419" s="44">
        <v>43627</v>
      </c>
      <c r="H419" s="34">
        <v>87081090</v>
      </c>
      <c r="I419" s="34">
        <v>28</v>
      </c>
      <c r="J419" s="38">
        <v>25</v>
      </c>
      <c r="K419" s="40">
        <v>53720</v>
      </c>
      <c r="L419" s="41">
        <v>15041.600000000002</v>
      </c>
      <c r="M419" s="41">
        <v>0</v>
      </c>
      <c r="N419" s="41">
        <v>0</v>
      </c>
      <c r="O419" s="41">
        <v>0</v>
      </c>
      <c r="P419" s="42">
        <v>68761.600000000006</v>
      </c>
      <c r="Q419" s="34" t="s">
        <v>25</v>
      </c>
      <c r="R419" s="34" t="s">
        <v>106</v>
      </c>
      <c r="S419" s="11" t="s">
        <v>4105</v>
      </c>
    </row>
    <row r="420" spans="1:19" x14ac:dyDescent="0.2">
      <c r="A420" s="33">
        <v>43617</v>
      </c>
      <c r="B420" s="34">
        <v>60</v>
      </c>
      <c r="C420" s="34" t="s">
        <v>102</v>
      </c>
      <c r="D420" s="34" t="str">
        <f>VLOOKUP(C420,'SALE PARTY MASTER'!$B$4:$E$500,2,FALSE)</f>
        <v>23AABCE9378F1ZK</v>
      </c>
      <c r="E420" s="34" t="s">
        <v>22</v>
      </c>
      <c r="F420" s="34" t="s">
        <v>1819</v>
      </c>
      <c r="G420" s="44">
        <v>43627</v>
      </c>
      <c r="H420" s="34">
        <v>87081090</v>
      </c>
      <c r="I420" s="34">
        <v>28</v>
      </c>
      <c r="J420" s="38">
        <v>200</v>
      </c>
      <c r="K420" s="40">
        <v>65142</v>
      </c>
      <c r="L420" s="41">
        <v>18239.759999999998</v>
      </c>
      <c r="M420" s="41">
        <v>0</v>
      </c>
      <c r="N420" s="41">
        <v>0</v>
      </c>
      <c r="O420" s="41">
        <v>0</v>
      </c>
      <c r="P420" s="42">
        <v>83381.759999999995</v>
      </c>
      <c r="Q420" s="34" t="s">
        <v>25</v>
      </c>
      <c r="R420" s="34" t="s">
        <v>106</v>
      </c>
      <c r="S420" s="11" t="s">
        <v>4105</v>
      </c>
    </row>
    <row r="421" spans="1:19" x14ac:dyDescent="0.2">
      <c r="A421" s="33">
        <v>43617</v>
      </c>
      <c r="B421" s="34">
        <v>61</v>
      </c>
      <c r="C421" s="34" t="s">
        <v>102</v>
      </c>
      <c r="D421" s="34" t="str">
        <f>VLOOKUP(C421,'SALE PARTY MASTER'!$B$4:$E$500,2,FALSE)</f>
        <v>23AABCE9378F1ZK</v>
      </c>
      <c r="E421" s="34" t="s">
        <v>22</v>
      </c>
      <c r="F421" s="34" t="s">
        <v>1820</v>
      </c>
      <c r="G421" s="44">
        <v>43627</v>
      </c>
      <c r="H421" s="34">
        <v>87081090</v>
      </c>
      <c r="I421" s="34">
        <v>28</v>
      </c>
      <c r="J421" s="38">
        <v>3</v>
      </c>
      <c r="K421" s="40">
        <v>6092.61</v>
      </c>
      <c r="L421" s="41">
        <v>1705.9307999999999</v>
      </c>
      <c r="M421" s="41">
        <v>0</v>
      </c>
      <c r="N421" s="41">
        <v>0</v>
      </c>
      <c r="O421" s="41">
        <v>0</v>
      </c>
      <c r="P421" s="42">
        <v>7798.5407999999998</v>
      </c>
      <c r="Q421" s="34" t="s">
        <v>25</v>
      </c>
      <c r="R421" s="34" t="s">
        <v>106</v>
      </c>
      <c r="S421" s="11" t="s">
        <v>4105</v>
      </c>
    </row>
    <row r="422" spans="1:19" x14ac:dyDescent="0.2">
      <c r="A422" s="33">
        <v>43617</v>
      </c>
      <c r="B422" s="34">
        <v>62</v>
      </c>
      <c r="C422" s="34" t="s">
        <v>102</v>
      </c>
      <c r="D422" s="34" t="str">
        <f>VLOOKUP(C422,'SALE PARTY MASTER'!$B$4:$E$500,2,FALSE)</f>
        <v>23AABCE9378F1ZK</v>
      </c>
      <c r="E422" s="34" t="s">
        <v>22</v>
      </c>
      <c r="F422" s="34" t="s">
        <v>1821</v>
      </c>
      <c r="G422" s="44">
        <v>43627</v>
      </c>
      <c r="H422" s="34">
        <v>87081090</v>
      </c>
      <c r="I422" s="34">
        <v>28</v>
      </c>
      <c r="J422" s="38">
        <v>4</v>
      </c>
      <c r="K422" s="40">
        <v>4367.2</v>
      </c>
      <c r="L422" s="41">
        <v>1222.8159999999998</v>
      </c>
      <c r="M422" s="41">
        <v>0</v>
      </c>
      <c r="N422" s="41">
        <v>0</v>
      </c>
      <c r="O422" s="41">
        <v>0</v>
      </c>
      <c r="P422" s="42">
        <v>5590.0159999999996</v>
      </c>
      <c r="Q422" s="34" t="s">
        <v>25</v>
      </c>
      <c r="R422" s="34" t="s">
        <v>106</v>
      </c>
      <c r="S422" s="11" t="s">
        <v>4105</v>
      </c>
    </row>
    <row r="423" spans="1:19" x14ac:dyDescent="0.2">
      <c r="A423" s="33">
        <v>43617</v>
      </c>
      <c r="B423" s="34">
        <v>63</v>
      </c>
      <c r="C423" s="34" t="s">
        <v>102</v>
      </c>
      <c r="D423" s="34" t="str">
        <f>VLOOKUP(C423,'SALE PARTY MASTER'!$B$4:$E$500,2,FALSE)</f>
        <v>23AABCE9378F1ZK</v>
      </c>
      <c r="E423" s="34" t="s">
        <v>22</v>
      </c>
      <c r="F423" s="34" t="s">
        <v>1822</v>
      </c>
      <c r="G423" s="44">
        <v>43627</v>
      </c>
      <c r="H423" s="34">
        <v>87081090</v>
      </c>
      <c r="I423" s="34">
        <v>28</v>
      </c>
      <c r="J423" s="38">
        <v>14</v>
      </c>
      <c r="K423" s="40">
        <v>27557.46</v>
      </c>
      <c r="L423" s="41">
        <v>7716.0887999999995</v>
      </c>
      <c r="M423" s="41">
        <v>0</v>
      </c>
      <c r="N423" s="41">
        <v>0</v>
      </c>
      <c r="O423" s="41">
        <v>0</v>
      </c>
      <c r="P423" s="42">
        <v>35273.548799999997</v>
      </c>
      <c r="Q423" s="34" t="s">
        <v>25</v>
      </c>
      <c r="R423" s="34" t="s">
        <v>106</v>
      </c>
      <c r="S423" s="11" t="s">
        <v>4105</v>
      </c>
    </row>
    <row r="424" spans="1:19" x14ac:dyDescent="0.2">
      <c r="A424" s="33">
        <v>43617</v>
      </c>
      <c r="B424" s="34">
        <v>64</v>
      </c>
      <c r="C424" s="34" t="s">
        <v>73</v>
      </c>
      <c r="D424" s="34" t="str">
        <f>VLOOKUP(C424,'SALE PARTY MASTER'!$B$4:$E$500,2,FALSE)</f>
        <v>27AAACH4211R1ZF</v>
      </c>
      <c r="E424" s="34" t="s">
        <v>22</v>
      </c>
      <c r="F424" s="34" t="s">
        <v>1823</v>
      </c>
      <c r="G424" s="44">
        <v>43627</v>
      </c>
      <c r="H424" s="34">
        <v>85129000</v>
      </c>
      <c r="I424" s="34">
        <v>18</v>
      </c>
      <c r="J424" s="38">
        <v>4080</v>
      </c>
      <c r="K424" s="40">
        <v>102000</v>
      </c>
      <c r="L424" s="41">
        <v>0</v>
      </c>
      <c r="M424" s="41">
        <v>9180</v>
      </c>
      <c r="N424" s="41">
        <v>9180</v>
      </c>
      <c r="O424" s="41">
        <v>0</v>
      </c>
      <c r="P424" s="42">
        <v>120360</v>
      </c>
      <c r="Q424" s="34" t="s">
        <v>25</v>
      </c>
      <c r="R424" s="34" t="s">
        <v>26</v>
      </c>
      <c r="S424" s="11" t="s">
        <v>4105</v>
      </c>
    </row>
    <row r="425" spans="1:19" x14ac:dyDescent="0.2">
      <c r="A425" s="33">
        <v>43617</v>
      </c>
      <c r="B425" s="34">
        <v>65</v>
      </c>
      <c r="C425" s="34" t="s">
        <v>167</v>
      </c>
      <c r="D425" s="34" t="str">
        <f>VLOOKUP(C425,'SALE PARTY MASTER'!$B$4:$E$500,2,FALSE)</f>
        <v>27AABFP3834C1ZK</v>
      </c>
      <c r="E425" s="34" t="s">
        <v>22</v>
      </c>
      <c r="F425" s="34" t="s">
        <v>1824</v>
      </c>
      <c r="G425" s="44">
        <v>43627</v>
      </c>
      <c r="H425" s="34">
        <v>87141900</v>
      </c>
      <c r="I425" s="34">
        <v>28</v>
      </c>
      <c r="J425" s="38">
        <v>1725</v>
      </c>
      <c r="K425" s="40">
        <v>23066.85</v>
      </c>
      <c r="L425" s="41">
        <v>0</v>
      </c>
      <c r="M425" s="41">
        <v>3229.3589999999999</v>
      </c>
      <c r="N425" s="41">
        <v>3229.3589999999999</v>
      </c>
      <c r="O425" s="41">
        <v>0</v>
      </c>
      <c r="P425" s="42">
        <v>29525.567999999999</v>
      </c>
      <c r="Q425" s="34" t="s">
        <v>25</v>
      </c>
      <c r="R425" s="34" t="s">
        <v>26</v>
      </c>
      <c r="S425" s="11" t="s">
        <v>4105</v>
      </c>
    </row>
    <row r="426" spans="1:19" x14ac:dyDescent="0.2">
      <c r="A426" s="33">
        <v>43617</v>
      </c>
      <c r="B426" s="34">
        <v>66</v>
      </c>
      <c r="C426" s="34" t="s">
        <v>45</v>
      </c>
      <c r="D426" s="34" t="str">
        <f>VLOOKUP(C426,'SALE PARTY MASTER'!$B$4:$E$500,2,FALSE)</f>
        <v>27AAACD4090Q1Z8</v>
      </c>
      <c r="E426" s="34" t="s">
        <v>22</v>
      </c>
      <c r="F426" s="34" t="s">
        <v>1825</v>
      </c>
      <c r="G426" s="44">
        <v>43627</v>
      </c>
      <c r="H426" s="34">
        <v>85129000</v>
      </c>
      <c r="I426" s="34">
        <v>18</v>
      </c>
      <c r="J426" s="38">
        <v>738</v>
      </c>
      <c r="K426" s="40">
        <v>90043.38</v>
      </c>
      <c r="L426" s="41">
        <v>0</v>
      </c>
      <c r="M426" s="41">
        <v>8103.9041999999999</v>
      </c>
      <c r="N426" s="41">
        <v>8103.9041999999999</v>
      </c>
      <c r="O426" s="41">
        <v>0</v>
      </c>
      <c r="P426" s="42">
        <v>106251.17840000002</v>
      </c>
      <c r="Q426" s="34" t="s">
        <v>25</v>
      </c>
      <c r="R426" s="34" t="s">
        <v>26</v>
      </c>
      <c r="S426" s="11" t="s">
        <v>4105</v>
      </c>
    </row>
    <row r="427" spans="1:19" x14ac:dyDescent="0.2">
      <c r="A427" s="33">
        <v>43617</v>
      </c>
      <c r="B427" s="34">
        <v>67</v>
      </c>
      <c r="C427" s="34" t="s">
        <v>28</v>
      </c>
      <c r="D427" s="34" t="str">
        <f>VLOOKUP(C427,'SALE PARTY MASTER'!$B$4:$E$500,2,FALSE)</f>
        <v>27AAECM8871A1ZF</v>
      </c>
      <c r="E427" s="34" t="s">
        <v>22</v>
      </c>
      <c r="F427" s="34" t="s">
        <v>1826</v>
      </c>
      <c r="G427" s="44">
        <v>43628</v>
      </c>
      <c r="H427" s="34">
        <v>87089900</v>
      </c>
      <c r="I427" s="34">
        <v>28</v>
      </c>
      <c r="J427" s="38">
        <v>12</v>
      </c>
      <c r="K427" s="40">
        <v>23255.759999999998</v>
      </c>
      <c r="L427" s="41">
        <v>0</v>
      </c>
      <c r="M427" s="41">
        <v>3255.8063999999995</v>
      </c>
      <c r="N427" s="41">
        <v>3255.8063999999995</v>
      </c>
      <c r="O427" s="41">
        <v>0</v>
      </c>
      <c r="P427" s="42">
        <v>29767.382799999996</v>
      </c>
      <c r="Q427" s="34" t="s">
        <v>25</v>
      </c>
      <c r="R427" s="34" t="s">
        <v>26</v>
      </c>
      <c r="S427" s="11" t="s">
        <v>4105</v>
      </c>
    </row>
    <row r="428" spans="1:19" x14ac:dyDescent="0.2">
      <c r="A428" s="33">
        <v>43617</v>
      </c>
      <c r="B428" s="34">
        <v>68</v>
      </c>
      <c r="C428" s="34" t="s">
        <v>167</v>
      </c>
      <c r="D428" s="34" t="str">
        <f>VLOOKUP(C428,'SALE PARTY MASTER'!$B$4:$E$500,2,FALSE)</f>
        <v>27AABFP3834C1ZK</v>
      </c>
      <c r="E428" s="34" t="s">
        <v>22</v>
      </c>
      <c r="F428" s="34" t="s">
        <v>1827</v>
      </c>
      <c r="G428" s="44">
        <v>43628</v>
      </c>
      <c r="H428" s="34">
        <v>87141900</v>
      </c>
      <c r="I428" s="34">
        <v>28</v>
      </c>
      <c r="J428" s="38">
        <v>890</v>
      </c>
      <c r="K428" s="40">
        <v>10858.9</v>
      </c>
      <c r="L428" s="41">
        <v>0</v>
      </c>
      <c r="M428" s="41">
        <v>1520.2460000000001</v>
      </c>
      <c r="N428" s="41">
        <v>1520.2460000000001</v>
      </c>
      <c r="O428" s="41">
        <v>0</v>
      </c>
      <c r="P428" s="42">
        <v>13899.402</v>
      </c>
      <c r="Q428" s="34" t="s">
        <v>25</v>
      </c>
      <c r="R428" s="34" t="s">
        <v>26</v>
      </c>
      <c r="S428" s="11" t="s">
        <v>4105</v>
      </c>
    </row>
    <row r="429" spans="1:19" x14ac:dyDescent="0.2">
      <c r="A429" s="33">
        <v>43617</v>
      </c>
      <c r="B429" s="34">
        <v>69</v>
      </c>
      <c r="C429" s="34" t="s">
        <v>124</v>
      </c>
      <c r="D429" s="34" t="str">
        <f>VLOOKUP(C429,'SALE PARTY MASTER'!$B$4:$E$500,2,FALSE)</f>
        <v>27AAACB2484Q1Z8</v>
      </c>
      <c r="E429" s="34" t="s">
        <v>22</v>
      </c>
      <c r="F429" s="34" t="s">
        <v>1828</v>
      </c>
      <c r="G429" s="44">
        <v>43628</v>
      </c>
      <c r="H429" s="34">
        <v>998898</v>
      </c>
      <c r="I429" s="34">
        <v>18</v>
      </c>
      <c r="J429" s="38">
        <v>654</v>
      </c>
      <c r="K429" s="40">
        <v>4251</v>
      </c>
      <c r="L429" s="41">
        <v>0</v>
      </c>
      <c r="M429" s="41">
        <v>382.59</v>
      </c>
      <c r="N429" s="41">
        <v>382.59</v>
      </c>
      <c r="O429" s="41">
        <v>0</v>
      </c>
      <c r="P429" s="42">
        <v>5016.18</v>
      </c>
      <c r="Q429" s="34" t="s">
        <v>25</v>
      </c>
      <c r="R429" s="34" t="s">
        <v>26</v>
      </c>
      <c r="S429" s="11" t="s">
        <v>4105</v>
      </c>
    </row>
    <row r="430" spans="1:19" x14ac:dyDescent="0.2">
      <c r="A430" s="33">
        <v>43617</v>
      </c>
      <c r="B430" s="34">
        <v>70</v>
      </c>
      <c r="C430" s="34" t="s">
        <v>124</v>
      </c>
      <c r="D430" s="34" t="str">
        <f>VLOOKUP(C430,'SALE PARTY MASTER'!$B$4:$E$500,2,FALSE)</f>
        <v>27AAACB2484Q1Z8</v>
      </c>
      <c r="E430" s="34" t="s">
        <v>22</v>
      </c>
      <c r="F430" s="34" t="s">
        <v>1829</v>
      </c>
      <c r="G430" s="44">
        <v>43628</v>
      </c>
      <c r="H430" s="34">
        <v>998898</v>
      </c>
      <c r="I430" s="34">
        <v>18</v>
      </c>
      <c r="J430" s="38">
        <v>1780</v>
      </c>
      <c r="K430" s="40">
        <v>7235</v>
      </c>
      <c r="L430" s="41">
        <v>0</v>
      </c>
      <c r="M430" s="41">
        <v>651.15</v>
      </c>
      <c r="N430" s="41">
        <v>651.15</v>
      </c>
      <c r="O430" s="41">
        <v>0</v>
      </c>
      <c r="P430" s="42">
        <v>8537.2999999999993</v>
      </c>
      <c r="Q430" s="34" t="s">
        <v>25</v>
      </c>
      <c r="R430" s="34" t="s">
        <v>26</v>
      </c>
      <c r="S430" s="11" t="s">
        <v>4105</v>
      </c>
    </row>
    <row r="431" spans="1:19" x14ac:dyDescent="0.2">
      <c r="A431" s="33">
        <v>43617</v>
      </c>
      <c r="B431" s="34">
        <v>71</v>
      </c>
      <c r="C431" s="34" t="s">
        <v>167</v>
      </c>
      <c r="D431" s="34" t="str">
        <f>VLOOKUP(C431,'SALE PARTY MASTER'!$B$4:$E$500,2,FALSE)</f>
        <v>27AABFP3834C1ZK</v>
      </c>
      <c r="E431" s="34" t="s">
        <v>22</v>
      </c>
      <c r="F431" s="34" t="s">
        <v>1830</v>
      </c>
      <c r="G431" s="44">
        <v>43628</v>
      </c>
      <c r="H431" s="34">
        <v>87141900</v>
      </c>
      <c r="I431" s="34">
        <v>28</v>
      </c>
      <c r="J431" s="38">
        <v>670</v>
      </c>
      <c r="K431" s="40">
        <v>8487.9</v>
      </c>
      <c r="L431" s="41">
        <v>0</v>
      </c>
      <c r="M431" s="41">
        <v>1188.3059999999998</v>
      </c>
      <c r="N431" s="41">
        <v>1188.3059999999998</v>
      </c>
      <c r="O431" s="41">
        <v>0</v>
      </c>
      <c r="P431" s="42">
        <v>10864.502</v>
      </c>
      <c r="Q431" s="34" t="s">
        <v>25</v>
      </c>
      <c r="R431" s="34" t="s">
        <v>26</v>
      </c>
      <c r="S431" s="11" t="s">
        <v>4105</v>
      </c>
    </row>
    <row r="432" spans="1:19" x14ac:dyDescent="0.2">
      <c r="A432" s="33">
        <v>43617</v>
      </c>
      <c r="B432" s="34">
        <v>72</v>
      </c>
      <c r="C432" s="34" t="s">
        <v>124</v>
      </c>
      <c r="D432" s="34" t="str">
        <f>VLOOKUP(C432,'SALE PARTY MASTER'!$B$4:$E$500,2,FALSE)</f>
        <v>27AAACB2484Q1Z8</v>
      </c>
      <c r="E432" s="34" t="s">
        <v>22</v>
      </c>
      <c r="F432" s="34" t="s">
        <v>1831</v>
      </c>
      <c r="G432" s="44">
        <v>43628</v>
      </c>
      <c r="H432" s="34">
        <v>998898</v>
      </c>
      <c r="I432" s="34">
        <v>18</v>
      </c>
      <c r="J432" s="38">
        <v>1200</v>
      </c>
      <c r="K432" s="40">
        <v>6000</v>
      </c>
      <c r="L432" s="41">
        <v>0</v>
      </c>
      <c r="M432" s="41">
        <v>540</v>
      </c>
      <c r="N432" s="41">
        <v>540</v>
      </c>
      <c r="O432" s="41">
        <v>0</v>
      </c>
      <c r="P432" s="42">
        <v>7080</v>
      </c>
      <c r="Q432" s="34" t="s">
        <v>25</v>
      </c>
      <c r="R432" s="34" t="s">
        <v>26</v>
      </c>
      <c r="S432" s="11" t="s">
        <v>4105</v>
      </c>
    </row>
    <row r="433" spans="1:19" x14ac:dyDescent="0.2">
      <c r="A433" s="33">
        <v>43617</v>
      </c>
      <c r="B433" s="34">
        <v>73</v>
      </c>
      <c r="C433" s="34" t="s">
        <v>167</v>
      </c>
      <c r="D433" s="34" t="str">
        <f>VLOOKUP(C433,'SALE PARTY MASTER'!$B$4:$E$500,2,FALSE)</f>
        <v>27AABFP3834C1ZK</v>
      </c>
      <c r="E433" s="34" t="s">
        <v>22</v>
      </c>
      <c r="F433" s="34" t="s">
        <v>1832</v>
      </c>
      <c r="G433" s="44">
        <v>43629</v>
      </c>
      <c r="H433" s="34">
        <v>87141900</v>
      </c>
      <c r="I433" s="34">
        <v>28</v>
      </c>
      <c r="J433" s="38">
        <v>600</v>
      </c>
      <c r="K433" s="40">
        <v>7482</v>
      </c>
      <c r="L433" s="41">
        <v>0</v>
      </c>
      <c r="M433" s="41">
        <v>1047.48</v>
      </c>
      <c r="N433" s="41">
        <v>1047.48</v>
      </c>
      <c r="O433" s="41">
        <v>0</v>
      </c>
      <c r="P433" s="42">
        <v>9576.9599999999991</v>
      </c>
      <c r="Q433" s="34" t="s">
        <v>25</v>
      </c>
      <c r="R433" s="34" t="s">
        <v>26</v>
      </c>
      <c r="S433" s="11" t="s">
        <v>4105</v>
      </c>
    </row>
    <row r="434" spans="1:19" x14ac:dyDescent="0.2">
      <c r="A434" s="33">
        <v>43617</v>
      </c>
      <c r="B434" s="34">
        <v>74</v>
      </c>
      <c r="C434" s="34" t="s">
        <v>155</v>
      </c>
      <c r="D434" s="34" t="str">
        <f>VLOOKUP(C434,'SALE PARTY MASTER'!$B$4:$E$500,2,FALSE)</f>
        <v>27AAGCP0139E1ZP</v>
      </c>
      <c r="E434" s="34" t="s">
        <v>22</v>
      </c>
      <c r="F434" s="34" t="s">
        <v>1833</v>
      </c>
      <c r="G434" s="44">
        <v>43629</v>
      </c>
      <c r="H434" s="34">
        <v>87141090</v>
      </c>
      <c r="I434" s="34">
        <v>28</v>
      </c>
      <c r="J434" s="38">
        <v>620</v>
      </c>
      <c r="K434" s="40">
        <v>46729.4</v>
      </c>
      <c r="L434" s="41">
        <v>0</v>
      </c>
      <c r="M434" s="41">
        <v>6542.1160000000009</v>
      </c>
      <c r="N434" s="41">
        <v>6542.1160000000009</v>
      </c>
      <c r="O434" s="41">
        <v>0</v>
      </c>
      <c r="P434" s="42">
        <v>59813.642000000007</v>
      </c>
      <c r="Q434" s="34" t="s">
        <v>25</v>
      </c>
      <c r="R434" s="34" t="s">
        <v>26</v>
      </c>
      <c r="S434" s="11" t="s">
        <v>4105</v>
      </c>
    </row>
    <row r="435" spans="1:19" x14ac:dyDescent="0.2">
      <c r="A435" s="33">
        <v>43617</v>
      </c>
      <c r="B435" s="34">
        <v>75</v>
      </c>
      <c r="C435" s="34" t="s">
        <v>155</v>
      </c>
      <c r="D435" s="34" t="str">
        <f>VLOOKUP(C435,'SALE PARTY MASTER'!$B$4:$E$500,2,FALSE)</f>
        <v>27AAGCP0139E1ZP</v>
      </c>
      <c r="E435" s="34" t="s">
        <v>22</v>
      </c>
      <c r="F435" s="34" t="s">
        <v>1834</v>
      </c>
      <c r="G435" s="44">
        <v>43629</v>
      </c>
      <c r="H435" s="34">
        <v>87141090</v>
      </c>
      <c r="I435" s="34">
        <v>28</v>
      </c>
      <c r="J435" s="38">
        <v>960</v>
      </c>
      <c r="K435" s="40">
        <v>45148.800000000003</v>
      </c>
      <c r="L435" s="41">
        <v>0</v>
      </c>
      <c r="M435" s="41">
        <v>6320.8320000000003</v>
      </c>
      <c r="N435" s="41">
        <v>6320.8320000000003</v>
      </c>
      <c r="O435" s="41">
        <v>0</v>
      </c>
      <c r="P435" s="42">
        <v>57790.464000000007</v>
      </c>
      <c r="Q435" s="34" t="s">
        <v>25</v>
      </c>
      <c r="R435" s="34" t="s">
        <v>26</v>
      </c>
      <c r="S435" s="11" t="s">
        <v>4105</v>
      </c>
    </row>
    <row r="436" spans="1:19" x14ac:dyDescent="0.2">
      <c r="A436" s="33">
        <v>43617</v>
      </c>
      <c r="B436" s="34">
        <v>76</v>
      </c>
      <c r="C436" s="34" t="s">
        <v>224</v>
      </c>
      <c r="D436" s="34" t="str">
        <f>VLOOKUP(C436,'SALE PARTY MASTER'!$B$4:$E$500,2,FALSE)</f>
        <v>27AAACV2420J1ZI</v>
      </c>
      <c r="E436" s="34" t="s">
        <v>22</v>
      </c>
      <c r="F436" s="34" t="s">
        <v>1835</v>
      </c>
      <c r="G436" s="44">
        <v>43629</v>
      </c>
      <c r="H436" s="34">
        <v>87142090</v>
      </c>
      <c r="I436" s="34">
        <v>28</v>
      </c>
      <c r="J436" s="38">
        <v>626</v>
      </c>
      <c r="K436" s="40">
        <v>27594.083999999999</v>
      </c>
      <c r="L436" s="41">
        <v>0</v>
      </c>
      <c r="M436" s="41">
        <v>3863.1717599999997</v>
      </c>
      <c r="N436" s="41">
        <v>3863.1717599999997</v>
      </c>
      <c r="O436" s="41">
        <v>0</v>
      </c>
      <c r="P436" s="42">
        <v>35320.417519999995</v>
      </c>
      <c r="Q436" s="34" t="s">
        <v>25</v>
      </c>
      <c r="R436" s="34" t="s">
        <v>26</v>
      </c>
      <c r="S436" s="11" t="s">
        <v>4105</v>
      </c>
    </row>
    <row r="437" spans="1:19" x14ac:dyDescent="0.2">
      <c r="A437" s="33">
        <v>43617</v>
      </c>
      <c r="B437" s="34">
        <v>77</v>
      </c>
      <c r="C437" s="34" t="s">
        <v>167</v>
      </c>
      <c r="D437" s="34" t="str">
        <f>VLOOKUP(C437,'SALE PARTY MASTER'!$B$4:$E$500,2,FALSE)</f>
        <v>27AABFP3834C1ZK</v>
      </c>
      <c r="E437" s="34" t="s">
        <v>22</v>
      </c>
      <c r="F437" s="34" t="s">
        <v>1836</v>
      </c>
      <c r="G437" s="44">
        <v>43629</v>
      </c>
      <c r="H437" s="34">
        <v>87141900</v>
      </c>
      <c r="I437" s="34">
        <v>28</v>
      </c>
      <c r="J437" s="38">
        <v>420</v>
      </c>
      <c r="K437" s="40">
        <v>5184.2</v>
      </c>
      <c r="L437" s="41">
        <v>0</v>
      </c>
      <c r="M437" s="41">
        <v>725.78800000000001</v>
      </c>
      <c r="N437" s="41">
        <v>725.78800000000001</v>
      </c>
      <c r="O437" s="41">
        <v>0</v>
      </c>
      <c r="P437" s="42">
        <v>6635.7759999999998</v>
      </c>
      <c r="Q437" s="34" t="s">
        <v>25</v>
      </c>
      <c r="R437" s="34" t="s">
        <v>26</v>
      </c>
      <c r="S437" s="11" t="s">
        <v>4105</v>
      </c>
    </row>
    <row r="438" spans="1:19" x14ac:dyDescent="0.2">
      <c r="A438" s="33">
        <v>43617</v>
      </c>
      <c r="B438" s="34">
        <v>78</v>
      </c>
      <c r="C438" s="34" t="s">
        <v>167</v>
      </c>
      <c r="D438" s="34" t="str">
        <f>VLOOKUP(C438,'SALE PARTY MASTER'!$B$4:$E$500,2,FALSE)</f>
        <v>27AABFP3834C1ZK</v>
      </c>
      <c r="E438" s="34" t="s">
        <v>22</v>
      </c>
      <c r="F438" s="34" t="s">
        <v>1837</v>
      </c>
      <c r="G438" s="44">
        <v>43630</v>
      </c>
      <c r="H438" s="34">
        <v>87141900</v>
      </c>
      <c r="I438" s="34">
        <v>28</v>
      </c>
      <c r="J438" s="38">
        <v>1223</v>
      </c>
      <c r="K438" s="40">
        <v>15232.19</v>
      </c>
      <c r="L438" s="41">
        <v>0</v>
      </c>
      <c r="M438" s="41">
        <v>2132.5066000000002</v>
      </c>
      <c r="N438" s="41">
        <v>2132.5066000000002</v>
      </c>
      <c r="O438" s="41">
        <v>0</v>
      </c>
      <c r="P438" s="42">
        <v>19497.213199999998</v>
      </c>
      <c r="Q438" s="34" t="s">
        <v>25</v>
      </c>
      <c r="R438" s="34" t="s">
        <v>26</v>
      </c>
      <c r="S438" s="11" t="s">
        <v>4105</v>
      </c>
    </row>
    <row r="439" spans="1:19" x14ac:dyDescent="0.2">
      <c r="A439" s="33">
        <v>43617</v>
      </c>
      <c r="B439" s="34">
        <v>79</v>
      </c>
      <c r="C439" s="34" t="s">
        <v>45</v>
      </c>
      <c r="D439" s="34" t="str">
        <f>VLOOKUP(C439,'SALE PARTY MASTER'!$B$4:$E$500,2,FALSE)</f>
        <v>27AAACD4090Q1Z8</v>
      </c>
      <c r="E439" s="34" t="s">
        <v>22</v>
      </c>
      <c r="F439" s="34" t="s">
        <v>1838</v>
      </c>
      <c r="G439" s="44">
        <v>43630</v>
      </c>
      <c r="H439" s="34">
        <v>85129000</v>
      </c>
      <c r="I439" s="34">
        <v>18</v>
      </c>
      <c r="J439" s="38">
        <v>594</v>
      </c>
      <c r="K439" s="40">
        <v>72473.94</v>
      </c>
      <c r="L439" s="41">
        <v>0</v>
      </c>
      <c r="M439" s="41">
        <v>6522.6546000000008</v>
      </c>
      <c r="N439" s="41">
        <v>6522.6546000000008</v>
      </c>
      <c r="O439" s="41">
        <v>0</v>
      </c>
      <c r="P439" s="42">
        <v>85519.239199999996</v>
      </c>
      <c r="Q439" s="34" t="s">
        <v>25</v>
      </c>
      <c r="R439" s="34" t="s">
        <v>26</v>
      </c>
      <c r="S439" s="11" t="s">
        <v>4105</v>
      </c>
    </row>
    <row r="440" spans="1:19" x14ac:dyDescent="0.2">
      <c r="A440" s="33">
        <v>43617</v>
      </c>
      <c r="B440" s="34">
        <v>80</v>
      </c>
      <c r="C440" s="34" t="s">
        <v>167</v>
      </c>
      <c r="D440" s="34" t="str">
        <f>VLOOKUP(C440,'SALE PARTY MASTER'!$B$4:$E$500,2,FALSE)</f>
        <v>27AABFP3834C1ZK</v>
      </c>
      <c r="E440" s="34" t="s">
        <v>22</v>
      </c>
      <c r="F440" s="34" t="s">
        <v>1839</v>
      </c>
      <c r="G440" s="44">
        <v>43630</v>
      </c>
      <c r="H440" s="34">
        <v>87141900</v>
      </c>
      <c r="I440" s="34">
        <v>28</v>
      </c>
      <c r="J440" s="38">
        <v>830</v>
      </c>
      <c r="K440" s="40">
        <v>10163.9</v>
      </c>
      <c r="L440" s="41">
        <v>0</v>
      </c>
      <c r="M440" s="41">
        <v>1422.9459999999999</v>
      </c>
      <c r="N440" s="41">
        <v>1422.9459999999999</v>
      </c>
      <c r="O440" s="41">
        <v>0</v>
      </c>
      <c r="P440" s="42">
        <v>13009.802</v>
      </c>
      <c r="Q440" s="34" t="s">
        <v>25</v>
      </c>
      <c r="R440" s="34" t="s">
        <v>26</v>
      </c>
      <c r="S440" s="11" t="s">
        <v>4105</v>
      </c>
    </row>
    <row r="441" spans="1:19" x14ac:dyDescent="0.2">
      <c r="A441" s="33">
        <v>43617</v>
      </c>
      <c r="B441" s="34">
        <v>81</v>
      </c>
      <c r="C441" s="34" t="s">
        <v>49</v>
      </c>
      <c r="D441" s="34" t="str">
        <f>VLOOKUP(C441,'SALE PARTY MASTER'!$B$4:$E$500,2,FALSE)</f>
        <v>27AABFJ4217F1ZP</v>
      </c>
      <c r="E441" s="34" t="s">
        <v>22</v>
      </c>
      <c r="F441" s="34" t="s">
        <v>1840</v>
      </c>
      <c r="G441" s="44">
        <v>43631</v>
      </c>
      <c r="H441" s="34">
        <v>998898</v>
      </c>
      <c r="I441" s="34">
        <v>18</v>
      </c>
      <c r="J441" s="38">
        <v>30</v>
      </c>
      <c r="K441" s="40">
        <v>8524.2000000000007</v>
      </c>
      <c r="L441" s="41">
        <v>0</v>
      </c>
      <c r="M441" s="41">
        <v>767.178</v>
      </c>
      <c r="N441" s="41">
        <v>767.178</v>
      </c>
      <c r="O441" s="41">
        <v>0</v>
      </c>
      <c r="P441" s="42">
        <v>10058.556</v>
      </c>
      <c r="Q441" s="34" t="s">
        <v>25</v>
      </c>
      <c r="R441" s="34" t="s">
        <v>26</v>
      </c>
      <c r="S441" s="11" t="s">
        <v>4105</v>
      </c>
    </row>
    <row r="442" spans="1:19" x14ac:dyDescent="0.2">
      <c r="A442" s="33">
        <v>43617</v>
      </c>
      <c r="B442" s="34">
        <v>82</v>
      </c>
      <c r="C442" s="34" t="s">
        <v>167</v>
      </c>
      <c r="D442" s="34" t="str">
        <f>VLOOKUP(C442,'SALE PARTY MASTER'!$B$4:$E$500,2,FALSE)</f>
        <v>27AABFP3834C1ZK</v>
      </c>
      <c r="E442" s="34" t="s">
        <v>22</v>
      </c>
      <c r="F442" s="34" t="s">
        <v>1841</v>
      </c>
      <c r="G442" s="44">
        <v>43631</v>
      </c>
      <c r="H442" s="34">
        <v>87141900</v>
      </c>
      <c r="I442" s="34">
        <v>28</v>
      </c>
      <c r="J442" s="38">
        <v>578</v>
      </c>
      <c r="K442" s="40">
        <v>7181.06</v>
      </c>
      <c r="L442" s="41">
        <v>0</v>
      </c>
      <c r="M442" s="41">
        <v>1005.3484000000001</v>
      </c>
      <c r="N442" s="41">
        <v>1005.3484000000001</v>
      </c>
      <c r="O442" s="41">
        <v>0</v>
      </c>
      <c r="P442" s="42">
        <v>9191.756800000001</v>
      </c>
      <c r="Q442" s="34" t="s">
        <v>25</v>
      </c>
      <c r="R442" s="34" t="s">
        <v>26</v>
      </c>
      <c r="S442" s="11" t="s">
        <v>4105</v>
      </c>
    </row>
    <row r="443" spans="1:19" x14ac:dyDescent="0.2">
      <c r="A443" s="33">
        <v>43617</v>
      </c>
      <c r="B443" s="34">
        <v>83</v>
      </c>
      <c r="C443" s="34" t="s">
        <v>28</v>
      </c>
      <c r="D443" s="34" t="str">
        <f>VLOOKUP(C443,'SALE PARTY MASTER'!$B$4:$E$500,2,FALSE)</f>
        <v>27AAECM8871A1ZF</v>
      </c>
      <c r="E443" s="34" t="s">
        <v>22</v>
      </c>
      <c r="F443" s="34" t="s">
        <v>1842</v>
      </c>
      <c r="G443" s="44">
        <v>43631</v>
      </c>
      <c r="H443" s="34">
        <v>87089900</v>
      </c>
      <c r="I443" s="34">
        <v>28</v>
      </c>
      <c r="J443" s="38">
        <v>12</v>
      </c>
      <c r="K443" s="40">
        <v>23255.759999999998</v>
      </c>
      <c r="L443" s="41">
        <v>0</v>
      </c>
      <c r="M443" s="41">
        <v>3255.8063999999995</v>
      </c>
      <c r="N443" s="41">
        <v>3255.8063999999995</v>
      </c>
      <c r="O443" s="41">
        <v>0</v>
      </c>
      <c r="P443" s="42">
        <v>29767.382799999996</v>
      </c>
      <c r="Q443" s="34" t="s">
        <v>25</v>
      </c>
      <c r="R443" s="34" t="s">
        <v>26</v>
      </c>
      <c r="S443" s="11" t="s">
        <v>4105</v>
      </c>
    </row>
    <row r="444" spans="1:19" x14ac:dyDescent="0.2">
      <c r="A444" s="33">
        <v>43617</v>
      </c>
      <c r="B444" s="34">
        <v>84</v>
      </c>
      <c r="C444" s="34" t="s">
        <v>155</v>
      </c>
      <c r="D444" s="34" t="str">
        <f>VLOOKUP(C444,'SALE PARTY MASTER'!$B$4:$E$500,2,FALSE)</f>
        <v>27AAGCP0139E1ZP</v>
      </c>
      <c r="E444" s="34" t="s">
        <v>22</v>
      </c>
      <c r="F444" s="34" t="s">
        <v>1843</v>
      </c>
      <c r="G444" s="44">
        <v>43631</v>
      </c>
      <c r="H444" s="34">
        <v>87141090</v>
      </c>
      <c r="I444" s="34">
        <v>28</v>
      </c>
      <c r="J444" s="38">
        <v>800</v>
      </c>
      <c r="K444" s="40">
        <v>60296</v>
      </c>
      <c r="L444" s="41">
        <v>0</v>
      </c>
      <c r="M444" s="41">
        <v>8441.44</v>
      </c>
      <c r="N444" s="41">
        <v>8441.44</v>
      </c>
      <c r="O444" s="41">
        <v>0</v>
      </c>
      <c r="P444" s="42">
        <v>77178.880000000005</v>
      </c>
      <c r="Q444" s="34" t="s">
        <v>25</v>
      </c>
      <c r="R444" s="34" t="s">
        <v>26</v>
      </c>
      <c r="S444" s="11" t="s">
        <v>4105</v>
      </c>
    </row>
    <row r="445" spans="1:19" x14ac:dyDescent="0.2">
      <c r="A445" s="33">
        <v>43617</v>
      </c>
      <c r="B445" s="34">
        <v>85</v>
      </c>
      <c r="C445" s="34" t="s">
        <v>155</v>
      </c>
      <c r="D445" s="34" t="str">
        <f>VLOOKUP(C445,'SALE PARTY MASTER'!$B$4:$E$500,2,FALSE)</f>
        <v>27AAGCP0139E1ZP</v>
      </c>
      <c r="E445" s="34" t="s">
        <v>22</v>
      </c>
      <c r="F445" s="34" t="s">
        <v>1844</v>
      </c>
      <c r="G445" s="44">
        <v>43631</v>
      </c>
      <c r="H445" s="34">
        <v>87141090</v>
      </c>
      <c r="I445" s="34">
        <v>28</v>
      </c>
      <c r="J445" s="38">
        <v>537</v>
      </c>
      <c r="K445" s="40">
        <v>25255.11</v>
      </c>
      <c r="L445" s="41">
        <v>0</v>
      </c>
      <c r="M445" s="41">
        <v>3535.7154</v>
      </c>
      <c r="N445" s="41">
        <v>3535.7154</v>
      </c>
      <c r="O445" s="41">
        <v>0</v>
      </c>
      <c r="P445" s="42">
        <v>32326.550800000001</v>
      </c>
      <c r="Q445" s="34" t="s">
        <v>25</v>
      </c>
      <c r="R445" s="34" t="s">
        <v>26</v>
      </c>
      <c r="S445" s="11" t="s">
        <v>4105</v>
      </c>
    </row>
    <row r="446" spans="1:19" x14ac:dyDescent="0.2">
      <c r="A446" s="33">
        <v>43617</v>
      </c>
      <c r="B446" s="34">
        <v>86</v>
      </c>
      <c r="C446" s="34" t="s">
        <v>28</v>
      </c>
      <c r="D446" s="34" t="str">
        <f>VLOOKUP(C446,'SALE PARTY MASTER'!$B$4:$E$500,2,FALSE)</f>
        <v>27AAECM8871A1ZF</v>
      </c>
      <c r="E446" s="34" t="s">
        <v>22</v>
      </c>
      <c r="F446" s="34" t="s">
        <v>1845</v>
      </c>
      <c r="G446" s="44">
        <v>43631</v>
      </c>
      <c r="H446" s="34">
        <v>87089900</v>
      </c>
      <c r="I446" s="34">
        <v>28</v>
      </c>
      <c r="J446" s="38">
        <v>12</v>
      </c>
      <c r="K446" s="40">
        <v>23255.759999999998</v>
      </c>
      <c r="L446" s="41">
        <v>0</v>
      </c>
      <c r="M446" s="41">
        <v>3255.8063999999995</v>
      </c>
      <c r="N446" s="41">
        <v>3255.8063999999995</v>
      </c>
      <c r="O446" s="41">
        <v>0</v>
      </c>
      <c r="P446" s="42">
        <v>29767.382799999996</v>
      </c>
      <c r="Q446" s="34" t="s">
        <v>25</v>
      </c>
      <c r="R446" s="34" t="s">
        <v>26</v>
      </c>
      <c r="S446" s="11" t="s">
        <v>4105</v>
      </c>
    </row>
    <row r="447" spans="1:19" x14ac:dyDescent="0.2">
      <c r="A447" s="33">
        <v>43617</v>
      </c>
      <c r="B447" s="34">
        <v>87</v>
      </c>
      <c r="C447" s="34" t="s">
        <v>45</v>
      </c>
      <c r="D447" s="34" t="str">
        <f>VLOOKUP(C447,'SALE PARTY MASTER'!$B$4:$E$500,2,FALSE)</f>
        <v>27AAACD4090Q1Z8</v>
      </c>
      <c r="E447" s="34" t="s">
        <v>22</v>
      </c>
      <c r="F447" s="34" t="s">
        <v>1846</v>
      </c>
      <c r="G447" s="44">
        <v>43631</v>
      </c>
      <c r="H447" s="34">
        <v>85129000</v>
      </c>
      <c r="I447" s="34">
        <v>18</v>
      </c>
      <c r="J447" s="38">
        <v>522</v>
      </c>
      <c r="K447" s="40">
        <v>63689.22</v>
      </c>
      <c r="L447" s="41">
        <v>0</v>
      </c>
      <c r="M447" s="41">
        <v>5732.0298000000003</v>
      </c>
      <c r="N447" s="41">
        <v>5732.0298000000003</v>
      </c>
      <c r="O447" s="41">
        <v>0</v>
      </c>
      <c r="P447" s="42">
        <v>75153.279600000009</v>
      </c>
      <c r="Q447" s="34" t="s">
        <v>25</v>
      </c>
      <c r="R447" s="34" t="s">
        <v>26</v>
      </c>
      <c r="S447" s="11" t="s">
        <v>4105</v>
      </c>
    </row>
    <row r="448" spans="1:19" x14ac:dyDescent="0.2">
      <c r="A448" s="33">
        <v>43617</v>
      </c>
      <c r="B448" s="34">
        <v>88</v>
      </c>
      <c r="C448" s="34" t="s">
        <v>167</v>
      </c>
      <c r="D448" s="34" t="str">
        <f>VLOOKUP(C448,'SALE PARTY MASTER'!$B$4:$E$500,2,FALSE)</f>
        <v>27AABFP3834C1ZK</v>
      </c>
      <c r="E448" s="34" t="s">
        <v>22</v>
      </c>
      <c r="F448" s="34" t="s">
        <v>1847</v>
      </c>
      <c r="G448" s="44">
        <v>43631</v>
      </c>
      <c r="H448" s="34">
        <v>87141900</v>
      </c>
      <c r="I448" s="34">
        <v>28</v>
      </c>
      <c r="J448" s="38">
        <v>1816</v>
      </c>
      <c r="K448" s="40">
        <v>22688.080000000002</v>
      </c>
      <c r="L448" s="41">
        <v>0</v>
      </c>
      <c r="M448" s="41">
        <v>3176.3312000000005</v>
      </c>
      <c r="N448" s="41">
        <v>3176.3312000000005</v>
      </c>
      <c r="O448" s="41">
        <v>0</v>
      </c>
      <c r="P448" s="42">
        <v>29040.742400000003</v>
      </c>
      <c r="Q448" s="34" t="s">
        <v>25</v>
      </c>
      <c r="R448" s="34" t="s">
        <v>26</v>
      </c>
      <c r="S448" s="11" t="s">
        <v>4105</v>
      </c>
    </row>
    <row r="449" spans="1:19" x14ac:dyDescent="0.2">
      <c r="A449" s="33">
        <v>43617</v>
      </c>
      <c r="B449" s="34">
        <v>89</v>
      </c>
      <c r="C449" s="34" t="s">
        <v>167</v>
      </c>
      <c r="D449" s="34" t="str">
        <f>VLOOKUP(C449,'SALE PARTY MASTER'!$B$4:$E$500,2,FALSE)</f>
        <v>27AABFP3834C1ZK</v>
      </c>
      <c r="E449" s="34" t="s">
        <v>22</v>
      </c>
      <c r="F449" s="34" t="s">
        <v>1848</v>
      </c>
      <c r="G449" s="44">
        <v>43632</v>
      </c>
      <c r="H449" s="34">
        <v>87141900</v>
      </c>
      <c r="I449" s="34">
        <v>28</v>
      </c>
      <c r="J449" s="38">
        <v>1640</v>
      </c>
      <c r="K449" s="40">
        <v>20397.599999999999</v>
      </c>
      <c r="L449" s="41">
        <v>0</v>
      </c>
      <c r="M449" s="41">
        <v>2855.6639999999998</v>
      </c>
      <c r="N449" s="41">
        <v>2855.6639999999998</v>
      </c>
      <c r="O449" s="41">
        <v>0</v>
      </c>
      <c r="P449" s="42">
        <v>26108.918000000001</v>
      </c>
      <c r="Q449" s="34" t="s">
        <v>25</v>
      </c>
      <c r="R449" s="34" t="s">
        <v>26</v>
      </c>
      <c r="S449" s="11" t="s">
        <v>4105</v>
      </c>
    </row>
    <row r="450" spans="1:19" x14ac:dyDescent="0.2">
      <c r="A450" s="33">
        <v>43617</v>
      </c>
      <c r="B450" s="34">
        <v>90</v>
      </c>
      <c r="C450" s="34" t="s">
        <v>73</v>
      </c>
      <c r="D450" s="34" t="str">
        <f>VLOOKUP(C450,'SALE PARTY MASTER'!$B$4:$E$500,2,FALSE)</f>
        <v>27AAACH4211R1ZF</v>
      </c>
      <c r="E450" s="34" t="s">
        <v>22</v>
      </c>
      <c r="F450" s="34" t="s">
        <v>1849</v>
      </c>
      <c r="G450" s="44">
        <v>43633</v>
      </c>
      <c r="H450" s="34">
        <v>85129000</v>
      </c>
      <c r="I450" s="34">
        <v>18</v>
      </c>
      <c r="J450" s="38">
        <v>3360</v>
      </c>
      <c r="K450" s="40">
        <v>84000</v>
      </c>
      <c r="L450" s="41">
        <v>0</v>
      </c>
      <c r="M450" s="41">
        <v>7560</v>
      </c>
      <c r="N450" s="41">
        <v>7560</v>
      </c>
      <c r="O450" s="41">
        <v>0</v>
      </c>
      <c r="P450" s="42">
        <v>99120</v>
      </c>
      <c r="Q450" s="34" t="s">
        <v>25</v>
      </c>
      <c r="R450" s="34" t="s">
        <v>26</v>
      </c>
      <c r="S450" s="11" t="s">
        <v>4105</v>
      </c>
    </row>
    <row r="451" spans="1:19" x14ac:dyDescent="0.2">
      <c r="A451" s="33">
        <v>43617</v>
      </c>
      <c r="B451" s="34">
        <v>91</v>
      </c>
      <c r="C451" s="34" t="s">
        <v>28</v>
      </c>
      <c r="D451" s="34" t="str">
        <f>VLOOKUP(C451,'SALE PARTY MASTER'!$B$4:$E$500,2,FALSE)</f>
        <v>27AAECM8871A1ZF</v>
      </c>
      <c r="E451" s="34" t="s">
        <v>22</v>
      </c>
      <c r="F451" s="34" t="s">
        <v>1850</v>
      </c>
      <c r="G451" s="44">
        <v>43633</v>
      </c>
      <c r="H451" s="34">
        <v>87089900</v>
      </c>
      <c r="I451" s="34">
        <v>28</v>
      </c>
      <c r="J451" s="38">
        <v>12</v>
      </c>
      <c r="K451" s="40">
        <v>23255.759999999998</v>
      </c>
      <c r="L451" s="41">
        <v>0</v>
      </c>
      <c r="M451" s="41">
        <v>3255.8063999999995</v>
      </c>
      <c r="N451" s="41">
        <v>3255.8063999999995</v>
      </c>
      <c r="O451" s="41">
        <v>0</v>
      </c>
      <c r="P451" s="42">
        <v>29767.382799999996</v>
      </c>
      <c r="Q451" s="34" t="s">
        <v>25</v>
      </c>
      <c r="R451" s="34" t="s">
        <v>26</v>
      </c>
      <c r="S451" s="11" t="s">
        <v>4105</v>
      </c>
    </row>
    <row r="452" spans="1:19" x14ac:dyDescent="0.2">
      <c r="A452" s="33">
        <v>43617</v>
      </c>
      <c r="B452" s="34">
        <v>92</v>
      </c>
      <c r="C452" s="34" t="s">
        <v>28</v>
      </c>
      <c r="D452" s="34" t="str">
        <f>VLOOKUP(C452,'SALE PARTY MASTER'!$B$4:$E$500,2,FALSE)</f>
        <v>27AAECM8871A1ZF</v>
      </c>
      <c r="E452" s="34" t="s">
        <v>22</v>
      </c>
      <c r="F452" s="34" t="s">
        <v>1851</v>
      </c>
      <c r="G452" s="44">
        <v>43633</v>
      </c>
      <c r="H452" s="34">
        <v>87089900</v>
      </c>
      <c r="I452" s="34">
        <v>28</v>
      </c>
      <c r="J452" s="38">
        <v>12</v>
      </c>
      <c r="K452" s="40">
        <v>23255.759999999998</v>
      </c>
      <c r="L452" s="41">
        <v>0</v>
      </c>
      <c r="M452" s="41">
        <v>3255.8063999999995</v>
      </c>
      <c r="N452" s="41">
        <v>3255.8063999999995</v>
      </c>
      <c r="O452" s="41">
        <v>0</v>
      </c>
      <c r="P452" s="42">
        <v>29767.382799999996</v>
      </c>
      <c r="Q452" s="34" t="s">
        <v>25</v>
      </c>
      <c r="R452" s="34" t="s">
        <v>26</v>
      </c>
      <c r="S452" s="11" t="s">
        <v>4105</v>
      </c>
    </row>
    <row r="453" spans="1:19" x14ac:dyDescent="0.2">
      <c r="A453" s="33">
        <v>43617</v>
      </c>
      <c r="B453" s="34">
        <v>93</v>
      </c>
      <c r="C453" s="34" t="s">
        <v>167</v>
      </c>
      <c r="D453" s="34" t="str">
        <f>VLOOKUP(C453,'SALE PARTY MASTER'!$B$4:$E$500,2,FALSE)</f>
        <v>27AABFP3834C1ZK</v>
      </c>
      <c r="E453" s="34" t="s">
        <v>22</v>
      </c>
      <c r="F453" s="34" t="s">
        <v>1852</v>
      </c>
      <c r="G453" s="44">
        <v>43633</v>
      </c>
      <c r="H453" s="34">
        <v>87141900</v>
      </c>
      <c r="I453" s="34">
        <v>28</v>
      </c>
      <c r="J453" s="38">
        <v>1000</v>
      </c>
      <c r="K453" s="40">
        <v>12470</v>
      </c>
      <c r="L453" s="41">
        <v>0</v>
      </c>
      <c r="M453" s="41">
        <v>1745.8</v>
      </c>
      <c r="N453" s="41">
        <v>1745.8</v>
      </c>
      <c r="O453" s="41">
        <v>0</v>
      </c>
      <c r="P453" s="42">
        <v>15961.599999999999</v>
      </c>
      <c r="Q453" s="34" t="s">
        <v>25</v>
      </c>
      <c r="R453" s="34" t="s">
        <v>26</v>
      </c>
      <c r="S453" s="11" t="s">
        <v>4105</v>
      </c>
    </row>
    <row r="454" spans="1:19" x14ac:dyDescent="0.2">
      <c r="A454" s="33">
        <v>43617</v>
      </c>
      <c r="B454" s="34">
        <v>94</v>
      </c>
      <c r="C454" s="34" t="s">
        <v>226</v>
      </c>
      <c r="D454" s="34" t="str">
        <f>VLOOKUP(C454,'SALE PARTY MASTER'!$B$4:$E$500,2,FALSE)</f>
        <v>23AAACB7112P2ZQ</v>
      </c>
      <c r="E454" s="34" t="s">
        <v>22</v>
      </c>
      <c r="F454" s="34" t="s">
        <v>1853</v>
      </c>
      <c r="G454" s="44">
        <v>43633</v>
      </c>
      <c r="H454" s="34">
        <v>87081090</v>
      </c>
      <c r="I454" s="34">
        <v>28</v>
      </c>
      <c r="J454" s="38">
        <v>100</v>
      </c>
      <c r="K454" s="40">
        <v>34551</v>
      </c>
      <c r="L454" s="41">
        <v>9674.2799999999988</v>
      </c>
      <c r="M454" s="41">
        <v>0</v>
      </c>
      <c r="N454" s="41">
        <v>0</v>
      </c>
      <c r="O454" s="41">
        <v>0</v>
      </c>
      <c r="P454" s="42">
        <v>44225.279999999999</v>
      </c>
      <c r="Q454" s="34" t="s">
        <v>25</v>
      </c>
      <c r="R454" s="34" t="s">
        <v>106</v>
      </c>
      <c r="S454" s="11" t="s">
        <v>4105</v>
      </c>
    </row>
    <row r="455" spans="1:19" x14ac:dyDescent="0.2">
      <c r="A455" s="33">
        <v>43617</v>
      </c>
      <c r="B455" s="34">
        <v>95</v>
      </c>
      <c r="C455" s="34" t="s">
        <v>124</v>
      </c>
      <c r="D455" s="34" t="str">
        <f>VLOOKUP(C455,'SALE PARTY MASTER'!$B$4:$E$500,2,FALSE)</f>
        <v>27AAACB2484Q1Z8</v>
      </c>
      <c r="E455" s="34" t="s">
        <v>22</v>
      </c>
      <c r="F455" s="34" t="s">
        <v>1854</v>
      </c>
      <c r="G455" s="44">
        <v>43633</v>
      </c>
      <c r="H455" s="34">
        <v>998898</v>
      </c>
      <c r="I455" s="34">
        <v>18</v>
      </c>
      <c r="J455" s="38">
        <v>813</v>
      </c>
      <c r="K455" s="40">
        <v>70134</v>
      </c>
      <c r="L455" s="41">
        <v>0</v>
      </c>
      <c r="M455" s="41">
        <v>6312.06</v>
      </c>
      <c r="N455" s="41">
        <v>6312.06</v>
      </c>
      <c r="O455" s="41">
        <v>0</v>
      </c>
      <c r="P455" s="42">
        <v>82758.12</v>
      </c>
      <c r="Q455" s="34" t="s">
        <v>25</v>
      </c>
      <c r="R455" s="34" t="s">
        <v>26</v>
      </c>
      <c r="S455" s="11" t="s">
        <v>4105</v>
      </c>
    </row>
    <row r="456" spans="1:19" x14ac:dyDescent="0.2">
      <c r="A456" s="33">
        <v>43617</v>
      </c>
      <c r="B456" s="34">
        <v>96</v>
      </c>
      <c r="C456" s="34" t="s">
        <v>167</v>
      </c>
      <c r="D456" s="34" t="str">
        <f>VLOOKUP(C456,'SALE PARTY MASTER'!$B$4:$E$500,2,FALSE)</f>
        <v>27AABFP3834C1ZK</v>
      </c>
      <c r="E456" s="34" t="s">
        <v>22</v>
      </c>
      <c r="F456" s="34" t="s">
        <v>1855</v>
      </c>
      <c r="G456" s="44">
        <v>43633</v>
      </c>
      <c r="H456" s="34">
        <v>87141900</v>
      </c>
      <c r="I456" s="34">
        <v>28</v>
      </c>
      <c r="J456" s="38">
        <v>1700</v>
      </c>
      <c r="K456" s="40">
        <v>21465</v>
      </c>
      <c r="L456" s="41">
        <v>0</v>
      </c>
      <c r="M456" s="41">
        <v>3005.1</v>
      </c>
      <c r="N456" s="41">
        <v>3005.1</v>
      </c>
      <c r="O456" s="41">
        <v>0</v>
      </c>
      <c r="P456" s="42">
        <v>27475.199999999997</v>
      </c>
      <c r="Q456" s="34" t="s">
        <v>25</v>
      </c>
      <c r="R456" s="34" t="s">
        <v>26</v>
      </c>
      <c r="S456" s="11" t="s">
        <v>4105</v>
      </c>
    </row>
    <row r="457" spans="1:19" x14ac:dyDescent="0.2">
      <c r="A457" s="33">
        <v>43617</v>
      </c>
      <c r="B457" s="34">
        <v>97</v>
      </c>
      <c r="C457" s="34" t="s">
        <v>28</v>
      </c>
      <c r="D457" s="34" t="str">
        <f>VLOOKUP(C457,'SALE PARTY MASTER'!$B$4:$E$500,2,FALSE)</f>
        <v>27AAECM8871A1ZF</v>
      </c>
      <c r="E457" s="34" t="s">
        <v>22</v>
      </c>
      <c r="F457" s="34" t="s">
        <v>1856</v>
      </c>
      <c r="G457" s="44">
        <v>43634</v>
      </c>
      <c r="H457" s="34">
        <v>87089900</v>
      </c>
      <c r="I457" s="34">
        <v>28</v>
      </c>
      <c r="J457" s="38">
        <v>12</v>
      </c>
      <c r="K457" s="40">
        <v>23255.759999999998</v>
      </c>
      <c r="L457" s="41">
        <v>0</v>
      </c>
      <c r="M457" s="41">
        <v>3255.8063999999995</v>
      </c>
      <c r="N457" s="41">
        <v>3255.8063999999995</v>
      </c>
      <c r="O457" s="41">
        <v>0</v>
      </c>
      <c r="P457" s="42">
        <v>29767.382799999996</v>
      </c>
      <c r="Q457" s="34" t="s">
        <v>25</v>
      </c>
      <c r="R457" s="34" t="s">
        <v>26</v>
      </c>
      <c r="S457" s="11" t="s">
        <v>4105</v>
      </c>
    </row>
    <row r="458" spans="1:19" x14ac:dyDescent="0.2">
      <c r="A458" s="33">
        <v>43617</v>
      </c>
      <c r="B458" s="34">
        <v>98</v>
      </c>
      <c r="C458" s="34" t="s">
        <v>28</v>
      </c>
      <c r="D458" s="34" t="str">
        <f>VLOOKUP(C458,'SALE PARTY MASTER'!$B$4:$E$500,2,FALSE)</f>
        <v>27AAECM8871A1ZF</v>
      </c>
      <c r="E458" s="34" t="s">
        <v>22</v>
      </c>
      <c r="F458" s="34" t="s">
        <v>1857</v>
      </c>
      <c r="G458" s="44">
        <v>43634</v>
      </c>
      <c r="H458" s="34">
        <v>87089900</v>
      </c>
      <c r="I458" s="34">
        <v>28</v>
      </c>
      <c r="J458" s="38">
        <v>12</v>
      </c>
      <c r="K458" s="40">
        <v>23255.759999999998</v>
      </c>
      <c r="L458" s="41">
        <v>0</v>
      </c>
      <c r="M458" s="41">
        <v>3255.8063999999995</v>
      </c>
      <c r="N458" s="41">
        <v>3255.8063999999995</v>
      </c>
      <c r="O458" s="41">
        <v>0</v>
      </c>
      <c r="P458" s="42">
        <v>29767.382799999996</v>
      </c>
      <c r="Q458" s="34" t="s">
        <v>25</v>
      </c>
      <c r="R458" s="34" t="s">
        <v>26</v>
      </c>
      <c r="S458" s="11" t="s">
        <v>4105</v>
      </c>
    </row>
    <row r="459" spans="1:19" x14ac:dyDescent="0.2">
      <c r="A459" s="33">
        <v>43617</v>
      </c>
      <c r="B459" s="34">
        <v>99</v>
      </c>
      <c r="C459" s="34" t="s">
        <v>28</v>
      </c>
      <c r="D459" s="34" t="str">
        <f>VLOOKUP(C459,'SALE PARTY MASTER'!$B$4:$E$500,2,FALSE)</f>
        <v>27AAECM8871A1ZF</v>
      </c>
      <c r="E459" s="34" t="s">
        <v>22</v>
      </c>
      <c r="F459" s="34" t="s">
        <v>1858</v>
      </c>
      <c r="G459" s="44">
        <v>43634</v>
      </c>
      <c r="H459" s="34">
        <v>87089900</v>
      </c>
      <c r="I459" s="34">
        <v>28</v>
      </c>
      <c r="J459" s="38">
        <v>12</v>
      </c>
      <c r="K459" s="40">
        <v>23255.759999999998</v>
      </c>
      <c r="L459" s="41">
        <v>0</v>
      </c>
      <c r="M459" s="41">
        <v>3255.8063999999995</v>
      </c>
      <c r="N459" s="41">
        <v>3255.8063999999995</v>
      </c>
      <c r="O459" s="41">
        <v>0</v>
      </c>
      <c r="P459" s="42">
        <v>29767.382799999996</v>
      </c>
      <c r="Q459" s="34" t="s">
        <v>25</v>
      </c>
      <c r="R459" s="34" t="s">
        <v>26</v>
      </c>
      <c r="S459" s="11" t="s">
        <v>4105</v>
      </c>
    </row>
    <row r="460" spans="1:19" x14ac:dyDescent="0.2">
      <c r="A460" s="33">
        <v>43617</v>
      </c>
      <c r="B460" s="34">
        <v>100</v>
      </c>
      <c r="C460" s="34" t="s">
        <v>45</v>
      </c>
      <c r="D460" s="34" t="str">
        <f>VLOOKUP(C460,'SALE PARTY MASTER'!$B$4:$E$500,2,FALSE)</f>
        <v>27AAACD4090Q1Z8</v>
      </c>
      <c r="E460" s="34" t="s">
        <v>22</v>
      </c>
      <c r="F460" s="34" t="s">
        <v>1859</v>
      </c>
      <c r="G460" s="44">
        <v>43634</v>
      </c>
      <c r="H460" s="34">
        <v>85129000</v>
      </c>
      <c r="I460" s="34">
        <v>18</v>
      </c>
      <c r="J460" s="38">
        <v>520</v>
      </c>
      <c r="K460" s="40">
        <v>63445.2</v>
      </c>
      <c r="L460" s="41">
        <v>0</v>
      </c>
      <c r="M460" s="41">
        <v>5710.0680000000002</v>
      </c>
      <c r="N460" s="41">
        <v>5710.0680000000002</v>
      </c>
      <c r="O460" s="41">
        <v>0</v>
      </c>
      <c r="P460" s="42">
        <v>74865.335999999996</v>
      </c>
      <c r="Q460" s="34" t="s">
        <v>25</v>
      </c>
      <c r="R460" s="34" t="s">
        <v>26</v>
      </c>
      <c r="S460" s="11" t="s">
        <v>4105</v>
      </c>
    </row>
    <row r="461" spans="1:19" x14ac:dyDescent="0.2">
      <c r="A461" s="33">
        <v>43617</v>
      </c>
      <c r="B461" s="34">
        <v>101</v>
      </c>
      <c r="C461" s="34" t="s">
        <v>155</v>
      </c>
      <c r="D461" s="34" t="str">
        <f>VLOOKUP(C461,'SALE PARTY MASTER'!$B$4:$E$500,2,FALSE)</f>
        <v>27AAGCP0139E1ZP</v>
      </c>
      <c r="E461" s="34" t="s">
        <v>22</v>
      </c>
      <c r="F461" s="34" t="s">
        <v>1860</v>
      </c>
      <c r="G461" s="44">
        <v>43634</v>
      </c>
      <c r="H461" s="34">
        <v>87141090</v>
      </c>
      <c r="I461" s="34">
        <v>28</v>
      </c>
      <c r="J461" s="38">
        <v>400</v>
      </c>
      <c r="K461" s="40">
        <v>30148</v>
      </c>
      <c r="L461" s="41">
        <v>0</v>
      </c>
      <c r="M461" s="41">
        <v>4220.72</v>
      </c>
      <c r="N461" s="41">
        <v>4220.72</v>
      </c>
      <c r="O461" s="41">
        <v>0</v>
      </c>
      <c r="P461" s="42">
        <v>38589.440000000002</v>
      </c>
      <c r="Q461" s="34" t="s">
        <v>25</v>
      </c>
      <c r="R461" s="34" t="s">
        <v>26</v>
      </c>
      <c r="S461" s="11" t="s">
        <v>4105</v>
      </c>
    </row>
    <row r="462" spans="1:19" x14ac:dyDescent="0.2">
      <c r="A462" s="33">
        <v>43617</v>
      </c>
      <c r="B462" s="34">
        <v>102</v>
      </c>
      <c r="C462" s="34" t="s">
        <v>102</v>
      </c>
      <c r="D462" s="34" t="str">
        <f>VLOOKUP(C462,'SALE PARTY MASTER'!$B$4:$E$500,2,FALSE)</f>
        <v>23AABCE9378F1ZK</v>
      </c>
      <c r="E462" s="34" t="s">
        <v>22</v>
      </c>
      <c r="F462" s="34" t="s">
        <v>1861</v>
      </c>
      <c r="G462" s="44">
        <v>43634</v>
      </c>
      <c r="H462" s="34">
        <v>87081090</v>
      </c>
      <c r="I462" s="34">
        <v>28</v>
      </c>
      <c r="J462" s="38">
        <v>16</v>
      </c>
      <c r="K462" s="40">
        <v>34380.800000000003</v>
      </c>
      <c r="L462" s="41">
        <v>9626.6240000000016</v>
      </c>
      <c r="M462" s="41">
        <v>0</v>
      </c>
      <c r="N462" s="41">
        <v>0</v>
      </c>
      <c r="O462" s="41">
        <v>0</v>
      </c>
      <c r="P462" s="42">
        <v>44007.424000000006</v>
      </c>
      <c r="Q462" s="34" t="s">
        <v>25</v>
      </c>
      <c r="R462" s="34" t="s">
        <v>106</v>
      </c>
      <c r="S462" s="11" t="s">
        <v>4105</v>
      </c>
    </row>
    <row r="463" spans="1:19" x14ac:dyDescent="0.2">
      <c r="A463" s="33">
        <v>43617</v>
      </c>
      <c r="B463" s="34">
        <v>103</v>
      </c>
      <c r="C463" s="34" t="s">
        <v>102</v>
      </c>
      <c r="D463" s="34" t="str">
        <f>VLOOKUP(C463,'SALE PARTY MASTER'!$B$4:$E$500,2,FALSE)</f>
        <v>23AABCE9378F1ZK</v>
      </c>
      <c r="E463" s="34" t="s">
        <v>22</v>
      </c>
      <c r="F463" s="34" t="s">
        <v>1009</v>
      </c>
      <c r="G463" s="44">
        <v>43634</v>
      </c>
      <c r="H463" s="34">
        <v>87081090</v>
      </c>
      <c r="I463" s="34">
        <v>28</v>
      </c>
      <c r="J463" s="38">
        <v>8</v>
      </c>
      <c r="K463" s="40">
        <v>16246.96</v>
      </c>
      <c r="L463" s="41">
        <v>4549.1487999999999</v>
      </c>
      <c r="M463" s="41">
        <v>0</v>
      </c>
      <c r="N463" s="41">
        <v>0</v>
      </c>
      <c r="O463" s="41">
        <v>0</v>
      </c>
      <c r="P463" s="42">
        <v>20796.108799999998</v>
      </c>
      <c r="Q463" s="34" t="s">
        <v>25</v>
      </c>
      <c r="R463" s="34" t="s">
        <v>106</v>
      </c>
      <c r="S463" s="11" t="s">
        <v>4105</v>
      </c>
    </row>
    <row r="464" spans="1:19" x14ac:dyDescent="0.2">
      <c r="A464" s="33">
        <v>43617</v>
      </c>
      <c r="B464" s="34">
        <v>104</v>
      </c>
      <c r="C464" s="34" t="s">
        <v>102</v>
      </c>
      <c r="D464" s="34" t="str">
        <f>VLOOKUP(C464,'SALE PARTY MASTER'!$B$4:$E$500,2,FALSE)</f>
        <v>23AABCE9378F1ZK</v>
      </c>
      <c r="E464" s="34" t="s">
        <v>22</v>
      </c>
      <c r="F464" s="34" t="s">
        <v>939</v>
      </c>
      <c r="G464" s="44">
        <v>43634</v>
      </c>
      <c r="H464" s="34">
        <v>87081090</v>
      </c>
      <c r="I464" s="34">
        <v>28</v>
      </c>
      <c r="J464" s="38">
        <v>11</v>
      </c>
      <c r="K464" s="40">
        <v>22339.57</v>
      </c>
      <c r="L464" s="41">
        <v>6255.0796</v>
      </c>
      <c r="M464" s="41">
        <v>0</v>
      </c>
      <c r="N464" s="41">
        <v>0</v>
      </c>
      <c r="O464" s="41">
        <v>0</v>
      </c>
      <c r="P464" s="42">
        <v>28594.649600000001</v>
      </c>
      <c r="Q464" s="34" t="s">
        <v>25</v>
      </c>
      <c r="R464" s="34" t="s">
        <v>106</v>
      </c>
      <c r="S464" s="11" t="s">
        <v>4105</v>
      </c>
    </row>
    <row r="465" spans="1:19" x14ac:dyDescent="0.2">
      <c r="A465" s="33">
        <v>43617</v>
      </c>
      <c r="B465" s="34">
        <v>105</v>
      </c>
      <c r="C465" s="34" t="s">
        <v>102</v>
      </c>
      <c r="D465" s="34" t="str">
        <f>VLOOKUP(C465,'SALE PARTY MASTER'!$B$4:$E$500,2,FALSE)</f>
        <v>23AABCE9378F1ZK</v>
      </c>
      <c r="E465" s="34" t="s">
        <v>22</v>
      </c>
      <c r="F465" s="34" t="s">
        <v>940</v>
      </c>
      <c r="G465" s="44">
        <v>43634</v>
      </c>
      <c r="H465" s="34">
        <v>87081090</v>
      </c>
      <c r="I465" s="34">
        <v>28</v>
      </c>
      <c r="J465" s="38">
        <v>28</v>
      </c>
      <c r="K465" s="40">
        <v>26286.959999999999</v>
      </c>
      <c r="L465" s="41">
        <v>7360.3487999999998</v>
      </c>
      <c r="M465" s="41">
        <v>0</v>
      </c>
      <c r="N465" s="41">
        <v>0</v>
      </c>
      <c r="O465" s="41">
        <v>0</v>
      </c>
      <c r="P465" s="42">
        <v>33647.308799999999</v>
      </c>
      <c r="Q465" s="34" t="s">
        <v>25</v>
      </c>
      <c r="R465" s="34" t="s">
        <v>106</v>
      </c>
      <c r="S465" s="11" t="s">
        <v>4105</v>
      </c>
    </row>
    <row r="466" spans="1:19" x14ac:dyDescent="0.2">
      <c r="A466" s="33">
        <v>43617</v>
      </c>
      <c r="B466" s="34">
        <v>106</v>
      </c>
      <c r="C466" s="34" t="s">
        <v>102</v>
      </c>
      <c r="D466" s="34" t="str">
        <f>VLOOKUP(C466,'SALE PARTY MASTER'!$B$4:$E$500,2,FALSE)</f>
        <v>23AABCE9378F1ZK</v>
      </c>
      <c r="E466" s="34" t="s">
        <v>22</v>
      </c>
      <c r="F466" s="34" t="s">
        <v>1862</v>
      </c>
      <c r="G466" s="44">
        <v>43634</v>
      </c>
      <c r="H466" s="34">
        <v>87081090</v>
      </c>
      <c r="I466" s="34">
        <v>28</v>
      </c>
      <c r="J466" s="38">
        <v>8</v>
      </c>
      <c r="K466" s="40">
        <v>8734.4</v>
      </c>
      <c r="L466" s="41">
        <v>2445.6319999999996</v>
      </c>
      <c r="M466" s="41">
        <v>0</v>
      </c>
      <c r="N466" s="41">
        <v>0</v>
      </c>
      <c r="O466" s="41">
        <v>0</v>
      </c>
      <c r="P466" s="42">
        <v>11180.031999999999</v>
      </c>
      <c r="Q466" s="34" t="s">
        <v>25</v>
      </c>
      <c r="R466" s="34" t="s">
        <v>106</v>
      </c>
      <c r="S466" s="11" t="s">
        <v>4105</v>
      </c>
    </row>
    <row r="467" spans="1:19" x14ac:dyDescent="0.2">
      <c r="A467" s="33">
        <v>43617</v>
      </c>
      <c r="B467" s="34">
        <v>107</v>
      </c>
      <c r="C467" s="34" t="s">
        <v>167</v>
      </c>
      <c r="D467" s="34" t="str">
        <f>VLOOKUP(C467,'SALE PARTY MASTER'!$B$4:$E$500,2,FALSE)</f>
        <v>27AABFP3834C1ZK</v>
      </c>
      <c r="E467" s="34" t="s">
        <v>22</v>
      </c>
      <c r="F467" s="34" t="s">
        <v>1863</v>
      </c>
      <c r="G467" s="44">
        <v>43634</v>
      </c>
      <c r="H467" s="34">
        <v>87141900</v>
      </c>
      <c r="I467" s="34">
        <v>28</v>
      </c>
      <c r="J467" s="38">
        <v>1282</v>
      </c>
      <c r="K467" s="40">
        <v>15848.22</v>
      </c>
      <c r="L467" s="41">
        <v>0</v>
      </c>
      <c r="M467" s="41">
        <v>2218.7508000000003</v>
      </c>
      <c r="N467" s="41">
        <v>2218.7508000000003</v>
      </c>
      <c r="O467" s="41">
        <v>0</v>
      </c>
      <c r="P467" s="42">
        <v>20285.721600000001</v>
      </c>
      <c r="Q467" s="34" t="s">
        <v>25</v>
      </c>
      <c r="R467" s="34" t="s">
        <v>26</v>
      </c>
      <c r="S467" s="11" t="s">
        <v>4105</v>
      </c>
    </row>
    <row r="468" spans="1:19" x14ac:dyDescent="0.2">
      <c r="A468" s="33">
        <v>43617</v>
      </c>
      <c r="B468" s="34">
        <v>108</v>
      </c>
      <c r="C468" s="34" t="s">
        <v>167</v>
      </c>
      <c r="D468" s="34" t="str">
        <f>VLOOKUP(C468,'SALE PARTY MASTER'!$B$4:$E$500,2,FALSE)</f>
        <v>27AABFP3834C1ZK</v>
      </c>
      <c r="E468" s="34" t="s">
        <v>22</v>
      </c>
      <c r="F468" s="34" t="s">
        <v>1864</v>
      </c>
      <c r="G468" s="44">
        <v>43634</v>
      </c>
      <c r="H468" s="34">
        <v>87141900</v>
      </c>
      <c r="I468" s="34">
        <v>28</v>
      </c>
      <c r="J468" s="38">
        <v>638</v>
      </c>
      <c r="K468" s="40">
        <v>7918.62</v>
      </c>
      <c r="L468" s="41">
        <v>0</v>
      </c>
      <c r="M468" s="41">
        <v>1108.6068</v>
      </c>
      <c r="N468" s="41">
        <v>1108.6068</v>
      </c>
      <c r="O468" s="41">
        <v>0</v>
      </c>
      <c r="P468" s="42">
        <v>10135.8436</v>
      </c>
      <c r="Q468" s="34" t="s">
        <v>25</v>
      </c>
      <c r="R468" s="34" t="s">
        <v>26</v>
      </c>
      <c r="S468" s="11" t="s">
        <v>4105</v>
      </c>
    </row>
    <row r="469" spans="1:19" x14ac:dyDescent="0.2">
      <c r="A469" s="33">
        <v>43617</v>
      </c>
      <c r="B469" s="34">
        <v>109</v>
      </c>
      <c r="C469" s="34" t="s">
        <v>73</v>
      </c>
      <c r="D469" s="34" t="str">
        <f>VLOOKUP(C469,'SALE PARTY MASTER'!$B$4:$E$500,2,FALSE)</f>
        <v>27AAACH4211R1ZF</v>
      </c>
      <c r="E469" s="34" t="s">
        <v>22</v>
      </c>
      <c r="F469" s="34" t="s">
        <v>1865</v>
      </c>
      <c r="G469" s="44">
        <v>43635</v>
      </c>
      <c r="H469" s="34">
        <v>85129000</v>
      </c>
      <c r="I469" s="34">
        <v>18</v>
      </c>
      <c r="J469" s="38">
        <v>2640</v>
      </c>
      <c r="K469" s="40">
        <v>66000</v>
      </c>
      <c r="L469" s="41">
        <v>0</v>
      </c>
      <c r="M469" s="41">
        <v>5940</v>
      </c>
      <c r="N469" s="41">
        <v>5940</v>
      </c>
      <c r="O469" s="41">
        <v>0</v>
      </c>
      <c r="P469" s="42">
        <v>77880</v>
      </c>
      <c r="Q469" s="34" t="s">
        <v>25</v>
      </c>
      <c r="R469" s="34" t="s">
        <v>26</v>
      </c>
      <c r="S469" s="11" t="s">
        <v>4105</v>
      </c>
    </row>
    <row r="470" spans="1:19" x14ac:dyDescent="0.2">
      <c r="A470" s="33">
        <v>43617</v>
      </c>
      <c r="B470" s="34">
        <v>110</v>
      </c>
      <c r="C470" s="34" t="s">
        <v>155</v>
      </c>
      <c r="D470" s="34" t="str">
        <f>VLOOKUP(C470,'SALE PARTY MASTER'!$B$4:$E$500,2,FALSE)</f>
        <v>27AAGCP0139E1ZP</v>
      </c>
      <c r="E470" s="34" t="s">
        <v>22</v>
      </c>
      <c r="F470" s="34" t="s">
        <v>1866</v>
      </c>
      <c r="G470" s="44">
        <v>43635</v>
      </c>
      <c r="H470" s="34">
        <v>87141090</v>
      </c>
      <c r="I470" s="34">
        <v>28</v>
      </c>
      <c r="J470" s="38">
        <v>1200</v>
      </c>
      <c r="K470" s="40">
        <v>56436</v>
      </c>
      <c r="L470" s="41">
        <v>0</v>
      </c>
      <c r="M470" s="41">
        <v>7901.04</v>
      </c>
      <c r="N470" s="41">
        <v>7901.04</v>
      </c>
      <c r="O470" s="41">
        <v>0</v>
      </c>
      <c r="P470" s="42">
        <v>72238.080000000002</v>
      </c>
      <c r="Q470" s="34" t="s">
        <v>25</v>
      </c>
      <c r="R470" s="34" t="s">
        <v>26</v>
      </c>
      <c r="S470" s="11" t="s">
        <v>4105</v>
      </c>
    </row>
    <row r="471" spans="1:19" x14ac:dyDescent="0.2">
      <c r="A471" s="33">
        <v>43617</v>
      </c>
      <c r="B471" s="34">
        <v>111</v>
      </c>
      <c r="C471" s="34" t="s">
        <v>167</v>
      </c>
      <c r="D471" s="34" t="str">
        <f>VLOOKUP(C471,'SALE PARTY MASTER'!$B$4:$E$500,2,FALSE)</f>
        <v>27AABFP3834C1ZK</v>
      </c>
      <c r="E471" s="34" t="s">
        <v>22</v>
      </c>
      <c r="F471" s="34" t="s">
        <v>1867</v>
      </c>
      <c r="G471" s="44">
        <v>43635</v>
      </c>
      <c r="H471" s="34">
        <v>87141900</v>
      </c>
      <c r="I471" s="34">
        <v>28</v>
      </c>
      <c r="J471" s="38">
        <v>1186</v>
      </c>
      <c r="K471" s="40">
        <v>14241.46</v>
      </c>
      <c r="L471" s="41">
        <v>0</v>
      </c>
      <c r="M471" s="41">
        <v>1993.8043999999998</v>
      </c>
      <c r="N471" s="41">
        <v>1993.8043999999998</v>
      </c>
      <c r="O471" s="41">
        <v>0</v>
      </c>
      <c r="P471" s="42">
        <v>18229.078799999996</v>
      </c>
      <c r="Q471" s="34" t="s">
        <v>25</v>
      </c>
      <c r="R471" s="34" t="s">
        <v>26</v>
      </c>
      <c r="S471" s="11" t="s">
        <v>4105</v>
      </c>
    </row>
    <row r="472" spans="1:19" x14ac:dyDescent="0.2">
      <c r="A472" s="33">
        <v>43617</v>
      </c>
      <c r="B472" s="34">
        <v>112</v>
      </c>
      <c r="C472" s="34" t="s">
        <v>167</v>
      </c>
      <c r="D472" s="34" t="str">
        <f>VLOOKUP(C472,'SALE PARTY MASTER'!$B$4:$E$500,2,FALSE)</f>
        <v>27AABFP3834C1ZK</v>
      </c>
      <c r="E472" s="34" t="s">
        <v>22</v>
      </c>
      <c r="F472" s="34" t="s">
        <v>1868</v>
      </c>
      <c r="G472" s="44">
        <v>43635</v>
      </c>
      <c r="H472" s="34">
        <v>87141900</v>
      </c>
      <c r="I472" s="34">
        <v>28</v>
      </c>
      <c r="J472" s="38">
        <v>1085</v>
      </c>
      <c r="K472" s="40">
        <v>13463.45</v>
      </c>
      <c r="L472" s="41">
        <v>0</v>
      </c>
      <c r="M472" s="41">
        <v>1884.883</v>
      </c>
      <c r="N472" s="41">
        <v>1884.883</v>
      </c>
      <c r="O472" s="41">
        <v>0</v>
      </c>
      <c r="P472" s="42">
        <v>17233.225999999999</v>
      </c>
      <c r="Q472" s="34" t="s">
        <v>25</v>
      </c>
      <c r="R472" s="34" t="s">
        <v>26</v>
      </c>
      <c r="S472" s="11" t="s">
        <v>4105</v>
      </c>
    </row>
    <row r="473" spans="1:19" x14ac:dyDescent="0.2">
      <c r="A473" s="33">
        <v>43617</v>
      </c>
      <c r="B473" s="34">
        <v>113</v>
      </c>
      <c r="C473" s="34" t="s">
        <v>91</v>
      </c>
      <c r="D473" s="34" t="str">
        <f>VLOOKUP(C473,'SALE PARTY MASTER'!$B$4:$E$500,2,FALSE)</f>
        <v>27BBVPS2447C1ZA</v>
      </c>
      <c r="E473" s="34" t="s">
        <v>22</v>
      </c>
      <c r="F473" s="34" t="s">
        <v>1869</v>
      </c>
      <c r="G473" s="44">
        <v>43636</v>
      </c>
      <c r="H473" s="34">
        <v>998898</v>
      </c>
      <c r="I473" s="34">
        <v>18</v>
      </c>
      <c r="J473" s="38">
        <v>350</v>
      </c>
      <c r="K473" s="40">
        <v>5250</v>
      </c>
      <c r="L473" s="41">
        <v>0</v>
      </c>
      <c r="M473" s="41">
        <v>472.5</v>
      </c>
      <c r="N473" s="41">
        <v>472.5</v>
      </c>
      <c r="O473" s="41">
        <v>0</v>
      </c>
      <c r="P473" s="42">
        <v>6195</v>
      </c>
      <c r="Q473" s="34" t="s">
        <v>25</v>
      </c>
      <c r="R473" s="34" t="s">
        <v>26</v>
      </c>
      <c r="S473" s="11" t="s">
        <v>4105</v>
      </c>
    </row>
    <row r="474" spans="1:19" x14ac:dyDescent="0.2">
      <c r="A474" s="33">
        <v>43617</v>
      </c>
      <c r="B474" s="34">
        <v>114</v>
      </c>
      <c r="C474" s="34" t="s">
        <v>124</v>
      </c>
      <c r="D474" s="34" t="str">
        <f>VLOOKUP(C474,'SALE PARTY MASTER'!$B$4:$E$500,2,FALSE)</f>
        <v>27AAACB2484Q1Z8</v>
      </c>
      <c r="E474" s="34" t="s">
        <v>22</v>
      </c>
      <c r="F474" s="34" t="s">
        <v>1870</v>
      </c>
      <c r="G474" s="44">
        <v>43636</v>
      </c>
      <c r="H474" s="34">
        <v>998898</v>
      </c>
      <c r="I474" s="34">
        <v>18</v>
      </c>
      <c r="J474" s="38">
        <v>1099</v>
      </c>
      <c r="K474" s="40">
        <v>5945</v>
      </c>
      <c r="L474" s="41">
        <v>0</v>
      </c>
      <c r="M474" s="41">
        <v>535.05000000000007</v>
      </c>
      <c r="N474" s="41">
        <v>535.05000000000007</v>
      </c>
      <c r="O474" s="41">
        <v>0</v>
      </c>
      <c r="P474" s="42">
        <v>7015.1</v>
      </c>
      <c r="Q474" s="34" t="s">
        <v>25</v>
      </c>
      <c r="R474" s="34" t="s">
        <v>26</v>
      </c>
      <c r="S474" s="11" t="s">
        <v>4105</v>
      </c>
    </row>
    <row r="475" spans="1:19" x14ac:dyDescent="0.2">
      <c r="A475" s="33">
        <v>43617</v>
      </c>
      <c r="B475" s="34">
        <v>115</v>
      </c>
      <c r="C475" s="34" t="s">
        <v>28</v>
      </c>
      <c r="D475" s="34" t="str">
        <f>VLOOKUP(C475,'SALE PARTY MASTER'!$B$4:$E$500,2,FALSE)</f>
        <v>27AAECM8871A1ZF</v>
      </c>
      <c r="E475" s="34" t="s">
        <v>22</v>
      </c>
      <c r="F475" s="34" t="s">
        <v>1871</v>
      </c>
      <c r="G475" s="44">
        <v>43636</v>
      </c>
      <c r="H475" s="34">
        <v>87089900</v>
      </c>
      <c r="I475" s="34">
        <v>28</v>
      </c>
      <c r="J475" s="38">
        <v>12</v>
      </c>
      <c r="K475" s="40">
        <v>23255.759999999998</v>
      </c>
      <c r="L475" s="41">
        <v>0</v>
      </c>
      <c r="M475" s="41">
        <v>3255.8063999999995</v>
      </c>
      <c r="N475" s="41">
        <v>3255.8063999999995</v>
      </c>
      <c r="O475" s="41">
        <v>0</v>
      </c>
      <c r="P475" s="42">
        <v>29767.382799999996</v>
      </c>
      <c r="Q475" s="34" t="s">
        <v>25</v>
      </c>
      <c r="R475" s="34" t="s">
        <v>26</v>
      </c>
      <c r="S475" s="11" t="s">
        <v>4105</v>
      </c>
    </row>
    <row r="476" spans="1:19" x14ac:dyDescent="0.2">
      <c r="A476" s="33">
        <v>43617</v>
      </c>
      <c r="B476" s="34">
        <v>116</v>
      </c>
      <c r="C476" s="34" t="s">
        <v>45</v>
      </c>
      <c r="D476" s="34" t="str">
        <f>VLOOKUP(C476,'SALE PARTY MASTER'!$B$4:$E$500,2,FALSE)</f>
        <v>27AAACD4090Q1Z8</v>
      </c>
      <c r="E476" s="34" t="s">
        <v>22</v>
      </c>
      <c r="F476" s="34" t="s">
        <v>1872</v>
      </c>
      <c r="G476" s="44">
        <v>43636</v>
      </c>
      <c r="H476" s="34">
        <v>85129000</v>
      </c>
      <c r="I476" s="34">
        <v>18</v>
      </c>
      <c r="J476" s="38">
        <v>486</v>
      </c>
      <c r="K476" s="40">
        <v>59296.86</v>
      </c>
      <c r="L476" s="41">
        <v>0</v>
      </c>
      <c r="M476" s="41">
        <v>5336.7174000000005</v>
      </c>
      <c r="N476" s="41">
        <v>5336.7174000000005</v>
      </c>
      <c r="O476" s="41">
        <v>0</v>
      </c>
      <c r="P476" s="42">
        <v>69970.304799999998</v>
      </c>
      <c r="Q476" s="34" t="s">
        <v>25</v>
      </c>
      <c r="R476" s="34" t="s">
        <v>26</v>
      </c>
      <c r="S476" s="11" t="s">
        <v>4105</v>
      </c>
    </row>
    <row r="477" spans="1:19" x14ac:dyDescent="0.2">
      <c r="A477" s="33">
        <v>43617</v>
      </c>
      <c r="B477" s="34">
        <v>117</v>
      </c>
      <c r="C477" s="34" t="s">
        <v>28</v>
      </c>
      <c r="D477" s="34" t="str">
        <f>VLOOKUP(C477,'SALE PARTY MASTER'!$B$4:$E$500,2,FALSE)</f>
        <v>27AAECM8871A1ZF</v>
      </c>
      <c r="E477" s="34" t="s">
        <v>22</v>
      </c>
      <c r="F477" s="34" t="s">
        <v>1873</v>
      </c>
      <c r="G477" s="44">
        <v>43636</v>
      </c>
      <c r="H477" s="34">
        <v>87089900</v>
      </c>
      <c r="I477" s="34">
        <v>28</v>
      </c>
      <c r="J477" s="38">
        <v>12</v>
      </c>
      <c r="K477" s="40">
        <v>23255.759999999998</v>
      </c>
      <c r="L477" s="41">
        <v>0</v>
      </c>
      <c r="M477" s="41">
        <v>3255.8063999999995</v>
      </c>
      <c r="N477" s="41">
        <v>3255.8063999999995</v>
      </c>
      <c r="O477" s="41">
        <v>0</v>
      </c>
      <c r="P477" s="42">
        <v>29767.382799999996</v>
      </c>
      <c r="Q477" s="34" t="s">
        <v>25</v>
      </c>
      <c r="R477" s="34" t="s">
        <v>26</v>
      </c>
      <c r="S477" s="11" t="s">
        <v>4105</v>
      </c>
    </row>
    <row r="478" spans="1:19" x14ac:dyDescent="0.2">
      <c r="A478" s="33">
        <v>43617</v>
      </c>
      <c r="B478" s="34">
        <v>118</v>
      </c>
      <c r="C478" s="34" t="s">
        <v>167</v>
      </c>
      <c r="D478" s="34" t="str">
        <f>VLOOKUP(C478,'SALE PARTY MASTER'!$B$4:$E$500,2,FALSE)</f>
        <v>27AABFP3834C1ZK</v>
      </c>
      <c r="E478" s="34" t="s">
        <v>22</v>
      </c>
      <c r="F478" s="34" t="s">
        <v>1874</v>
      </c>
      <c r="G478" s="44">
        <v>43636</v>
      </c>
      <c r="H478" s="34">
        <v>87141900</v>
      </c>
      <c r="I478" s="34">
        <v>28</v>
      </c>
      <c r="J478" s="38">
        <v>1085</v>
      </c>
      <c r="K478" s="40">
        <v>25993.14</v>
      </c>
      <c r="L478" s="41">
        <v>0</v>
      </c>
      <c r="M478" s="41">
        <v>3639.0396000000001</v>
      </c>
      <c r="N478" s="41">
        <v>3639.0396000000001</v>
      </c>
      <c r="O478" s="41">
        <v>0</v>
      </c>
      <c r="P478" s="42">
        <v>33271.2192</v>
      </c>
      <c r="Q478" s="34" t="s">
        <v>25</v>
      </c>
      <c r="R478" s="34" t="s">
        <v>26</v>
      </c>
      <c r="S478" s="11" t="s">
        <v>4105</v>
      </c>
    </row>
    <row r="479" spans="1:19" x14ac:dyDescent="0.2">
      <c r="A479" s="33">
        <v>43617</v>
      </c>
      <c r="B479" s="34">
        <v>119</v>
      </c>
      <c r="C479" s="34" t="s">
        <v>167</v>
      </c>
      <c r="D479" s="34" t="str">
        <f>VLOOKUP(C479,'SALE PARTY MASTER'!$B$4:$E$500,2,FALSE)</f>
        <v>27AABFP3834C1ZK</v>
      </c>
      <c r="E479" s="34" t="s">
        <v>22</v>
      </c>
      <c r="F479" s="34" t="s">
        <v>1875</v>
      </c>
      <c r="G479" s="44">
        <v>43636</v>
      </c>
      <c r="H479" s="34">
        <v>87141900</v>
      </c>
      <c r="I479" s="34">
        <v>28</v>
      </c>
      <c r="J479" s="38">
        <v>1690</v>
      </c>
      <c r="K479" s="40">
        <v>21100.9</v>
      </c>
      <c r="L479" s="41">
        <v>0</v>
      </c>
      <c r="M479" s="41">
        <v>2954.1260000000002</v>
      </c>
      <c r="N479" s="41">
        <v>2954.1260000000002</v>
      </c>
      <c r="O479" s="41">
        <v>0</v>
      </c>
      <c r="P479" s="42">
        <v>27009.162</v>
      </c>
      <c r="Q479" s="34" t="s">
        <v>25</v>
      </c>
      <c r="R479" s="34" t="s">
        <v>26</v>
      </c>
      <c r="S479" s="11" t="s">
        <v>4105</v>
      </c>
    </row>
    <row r="480" spans="1:19" x14ac:dyDescent="0.2">
      <c r="A480" s="33">
        <v>43617</v>
      </c>
      <c r="B480" s="34">
        <v>120</v>
      </c>
      <c r="C480" s="34" t="s">
        <v>124</v>
      </c>
      <c r="D480" s="34" t="str">
        <f>VLOOKUP(C480,'SALE PARTY MASTER'!$B$4:$E$500,2,FALSE)</f>
        <v>27AAACB2484Q1Z8</v>
      </c>
      <c r="E480" s="34" t="s">
        <v>22</v>
      </c>
      <c r="F480" s="34" t="s">
        <v>1876</v>
      </c>
      <c r="G480" s="44">
        <v>43636</v>
      </c>
      <c r="H480" s="34">
        <v>998898</v>
      </c>
      <c r="I480" s="34">
        <v>18</v>
      </c>
      <c r="J480" s="38">
        <v>764</v>
      </c>
      <c r="K480" s="40">
        <v>68152</v>
      </c>
      <c r="L480" s="41">
        <v>0</v>
      </c>
      <c r="M480" s="41">
        <v>6133.68</v>
      </c>
      <c r="N480" s="41">
        <v>6133.68</v>
      </c>
      <c r="O480" s="41">
        <v>0</v>
      </c>
      <c r="P480" s="42">
        <v>80419.359999999986</v>
      </c>
      <c r="Q480" s="34" t="s">
        <v>25</v>
      </c>
      <c r="R480" s="34" t="s">
        <v>26</v>
      </c>
      <c r="S480" s="11" t="s">
        <v>4105</v>
      </c>
    </row>
    <row r="481" spans="1:19" x14ac:dyDescent="0.2">
      <c r="A481" s="33">
        <v>43617</v>
      </c>
      <c r="B481" s="34">
        <v>121</v>
      </c>
      <c r="C481" s="34" t="s">
        <v>124</v>
      </c>
      <c r="D481" s="34" t="str">
        <f>VLOOKUP(C481,'SALE PARTY MASTER'!$B$4:$E$500,2,FALSE)</f>
        <v>27AAACB2484Q1Z8</v>
      </c>
      <c r="E481" s="34" t="s">
        <v>22</v>
      </c>
      <c r="F481" s="34" t="s">
        <v>1877</v>
      </c>
      <c r="G481" s="44">
        <v>43636</v>
      </c>
      <c r="H481" s="34">
        <v>998898</v>
      </c>
      <c r="I481" s="34">
        <v>18</v>
      </c>
      <c r="J481" s="38">
        <v>340</v>
      </c>
      <c r="K481" s="40">
        <v>1700</v>
      </c>
      <c r="L481" s="41">
        <v>0</v>
      </c>
      <c r="M481" s="41">
        <v>153</v>
      </c>
      <c r="N481" s="41">
        <v>153</v>
      </c>
      <c r="O481" s="41">
        <v>0</v>
      </c>
      <c r="P481" s="42">
        <v>2006</v>
      </c>
      <c r="Q481" s="34" t="s">
        <v>25</v>
      </c>
      <c r="R481" s="34" t="s">
        <v>26</v>
      </c>
      <c r="S481" s="11" t="s">
        <v>4105</v>
      </c>
    </row>
    <row r="482" spans="1:19" x14ac:dyDescent="0.2">
      <c r="A482" s="33">
        <v>43617</v>
      </c>
      <c r="B482" s="34">
        <v>122</v>
      </c>
      <c r="C482" s="34" t="s">
        <v>40</v>
      </c>
      <c r="D482" s="34" t="str">
        <f>VLOOKUP(C482,'SALE PARTY MASTER'!$B$4:$E$500,2,FALSE)</f>
        <v>27AAACT1848E1ZH</v>
      </c>
      <c r="E482" s="34" t="s">
        <v>22</v>
      </c>
      <c r="F482" s="34" t="s">
        <v>1878</v>
      </c>
      <c r="G482" s="44">
        <v>43637</v>
      </c>
      <c r="H482" s="34">
        <v>87089900</v>
      </c>
      <c r="I482" s="34">
        <v>28</v>
      </c>
      <c r="J482" s="38">
        <v>70</v>
      </c>
      <c r="K482" s="40">
        <v>41729.379999999997</v>
      </c>
      <c r="L482" s="41">
        <v>0</v>
      </c>
      <c r="M482" s="41">
        <v>5842.1131999999998</v>
      </c>
      <c r="N482" s="41">
        <v>5842.1131999999998</v>
      </c>
      <c r="O482" s="41">
        <v>0</v>
      </c>
      <c r="P482" s="42">
        <v>53413.596399999995</v>
      </c>
      <c r="Q482" s="34" t="s">
        <v>25</v>
      </c>
      <c r="R482" s="34" t="s">
        <v>26</v>
      </c>
      <c r="S482" s="11" t="s">
        <v>4105</v>
      </c>
    </row>
    <row r="483" spans="1:19" x14ac:dyDescent="0.2">
      <c r="A483" s="33">
        <v>43617</v>
      </c>
      <c r="B483" s="34">
        <v>123</v>
      </c>
      <c r="C483" s="34" t="s">
        <v>28</v>
      </c>
      <c r="D483" s="34" t="str">
        <f>VLOOKUP(C483,'SALE PARTY MASTER'!$B$4:$E$500,2,FALSE)</f>
        <v>27AAECM8871A1ZF</v>
      </c>
      <c r="E483" s="34" t="s">
        <v>22</v>
      </c>
      <c r="F483" s="34" t="s">
        <v>1879</v>
      </c>
      <c r="G483" s="44">
        <v>43637</v>
      </c>
      <c r="H483" s="34">
        <v>87089900</v>
      </c>
      <c r="I483" s="34">
        <v>28</v>
      </c>
      <c r="J483" s="38">
        <v>12</v>
      </c>
      <c r="K483" s="40">
        <v>23508.6</v>
      </c>
      <c r="L483" s="41">
        <v>0</v>
      </c>
      <c r="M483" s="41">
        <v>3291.2039999999997</v>
      </c>
      <c r="N483" s="41">
        <v>3291.2039999999997</v>
      </c>
      <c r="O483" s="41">
        <v>0</v>
      </c>
      <c r="P483" s="42">
        <v>30091.017999999993</v>
      </c>
      <c r="Q483" s="34" t="s">
        <v>25</v>
      </c>
      <c r="R483" s="34" t="s">
        <v>26</v>
      </c>
      <c r="S483" s="11" t="s">
        <v>4105</v>
      </c>
    </row>
    <row r="484" spans="1:19" x14ac:dyDescent="0.2">
      <c r="A484" s="33">
        <v>43617</v>
      </c>
      <c r="B484" s="34">
        <v>124</v>
      </c>
      <c r="C484" s="34" t="s">
        <v>28</v>
      </c>
      <c r="D484" s="34" t="str">
        <f>VLOOKUP(C484,'SALE PARTY MASTER'!$B$4:$E$500,2,FALSE)</f>
        <v>27AAECM8871A1ZF</v>
      </c>
      <c r="E484" s="34" t="s">
        <v>22</v>
      </c>
      <c r="F484" s="34" t="s">
        <v>1880</v>
      </c>
      <c r="G484" s="44">
        <v>43637</v>
      </c>
      <c r="H484" s="34">
        <v>87089900</v>
      </c>
      <c r="I484" s="34">
        <v>28</v>
      </c>
      <c r="J484" s="38">
        <v>12</v>
      </c>
      <c r="K484" s="40">
        <v>23255.759999999998</v>
      </c>
      <c r="L484" s="41">
        <v>0</v>
      </c>
      <c r="M484" s="41">
        <v>3255.8063999999995</v>
      </c>
      <c r="N484" s="41">
        <v>3255.8063999999995</v>
      </c>
      <c r="O484" s="41">
        <v>0</v>
      </c>
      <c r="P484" s="42">
        <v>29767.382799999996</v>
      </c>
      <c r="Q484" s="34" t="s">
        <v>25</v>
      </c>
      <c r="R484" s="34" t="s">
        <v>26</v>
      </c>
      <c r="S484" s="11" t="s">
        <v>4105</v>
      </c>
    </row>
    <row r="485" spans="1:19" x14ac:dyDescent="0.2">
      <c r="A485" s="33">
        <v>43617</v>
      </c>
      <c r="B485" s="34">
        <v>125</v>
      </c>
      <c r="C485" s="34" t="s">
        <v>167</v>
      </c>
      <c r="D485" s="34" t="str">
        <f>VLOOKUP(C485,'SALE PARTY MASTER'!$B$4:$E$500,2,FALSE)</f>
        <v>27AABFP3834C1ZK</v>
      </c>
      <c r="E485" s="34" t="s">
        <v>22</v>
      </c>
      <c r="F485" s="34" t="s">
        <v>1881</v>
      </c>
      <c r="G485" s="44">
        <v>43637</v>
      </c>
      <c r="H485" s="34">
        <v>87141900</v>
      </c>
      <c r="I485" s="34">
        <v>28</v>
      </c>
      <c r="J485" s="38">
        <v>2820</v>
      </c>
      <c r="K485" s="40">
        <v>35218.6</v>
      </c>
      <c r="L485" s="41">
        <v>0</v>
      </c>
      <c r="M485" s="41">
        <v>4930.6039999999994</v>
      </c>
      <c r="N485" s="41">
        <v>4930.6039999999994</v>
      </c>
      <c r="O485" s="41">
        <v>0</v>
      </c>
      <c r="P485" s="42">
        <v>45079.797999999995</v>
      </c>
      <c r="Q485" s="34" t="s">
        <v>25</v>
      </c>
      <c r="R485" s="34" t="s">
        <v>26</v>
      </c>
      <c r="S485" s="11" t="s">
        <v>4105</v>
      </c>
    </row>
    <row r="486" spans="1:19" x14ac:dyDescent="0.2">
      <c r="A486" s="33">
        <v>43617</v>
      </c>
      <c r="B486" s="34">
        <v>126</v>
      </c>
      <c r="C486" s="34" t="s">
        <v>45</v>
      </c>
      <c r="D486" s="34" t="str">
        <f>VLOOKUP(C486,'SALE PARTY MASTER'!$B$4:$E$500,2,FALSE)</f>
        <v>27AAACD4090Q1Z8</v>
      </c>
      <c r="E486" s="34" t="s">
        <v>22</v>
      </c>
      <c r="F486" s="34" t="s">
        <v>1882</v>
      </c>
      <c r="G486" s="44">
        <v>43637</v>
      </c>
      <c r="H486" s="34">
        <v>85129000</v>
      </c>
      <c r="I486" s="34">
        <v>18</v>
      </c>
      <c r="J486" s="38">
        <v>601</v>
      </c>
      <c r="K486" s="40">
        <v>73328.009999999995</v>
      </c>
      <c r="L486" s="41">
        <v>0</v>
      </c>
      <c r="M486" s="41">
        <v>6599.5208999999995</v>
      </c>
      <c r="N486" s="41">
        <v>6599.5208999999995</v>
      </c>
      <c r="O486" s="41">
        <v>0</v>
      </c>
      <c r="P486" s="42">
        <v>86527.051800000001</v>
      </c>
      <c r="Q486" s="34" t="s">
        <v>25</v>
      </c>
      <c r="R486" s="34" t="s">
        <v>26</v>
      </c>
      <c r="S486" s="11" t="s">
        <v>4105</v>
      </c>
    </row>
    <row r="487" spans="1:19" x14ac:dyDescent="0.2">
      <c r="A487" s="33">
        <v>43617</v>
      </c>
      <c r="B487" s="34">
        <v>127</v>
      </c>
      <c r="C487" s="34" t="s">
        <v>124</v>
      </c>
      <c r="D487" s="34" t="str">
        <f>VLOOKUP(C487,'SALE PARTY MASTER'!$B$4:$E$500,2,FALSE)</f>
        <v>27AAACB2484Q1Z8</v>
      </c>
      <c r="E487" s="34" t="s">
        <v>22</v>
      </c>
      <c r="F487" s="34" t="s">
        <v>1883</v>
      </c>
      <c r="G487" s="44">
        <v>43637</v>
      </c>
      <c r="H487" s="34">
        <v>998898</v>
      </c>
      <c r="I487" s="34">
        <v>18</v>
      </c>
      <c r="J487" s="38">
        <v>1640</v>
      </c>
      <c r="K487" s="40">
        <v>10480</v>
      </c>
      <c r="L487" s="41">
        <v>0</v>
      </c>
      <c r="M487" s="41">
        <v>943.19999999999993</v>
      </c>
      <c r="N487" s="41">
        <v>943.19999999999993</v>
      </c>
      <c r="O487" s="41">
        <v>0</v>
      </c>
      <c r="P487" s="42">
        <v>12366.400000000001</v>
      </c>
      <c r="Q487" s="34" t="s">
        <v>25</v>
      </c>
      <c r="R487" s="34" t="s">
        <v>26</v>
      </c>
      <c r="S487" s="11" t="s">
        <v>4105</v>
      </c>
    </row>
    <row r="488" spans="1:19" x14ac:dyDescent="0.2">
      <c r="A488" s="33">
        <v>43617</v>
      </c>
      <c r="B488" s="34">
        <v>128</v>
      </c>
      <c r="C488" s="34" t="s">
        <v>73</v>
      </c>
      <c r="D488" s="34" t="str">
        <f>VLOOKUP(C488,'SALE PARTY MASTER'!$B$4:$E$500,2,FALSE)</f>
        <v>27AAACH4211R1ZF</v>
      </c>
      <c r="E488" s="34" t="s">
        <v>22</v>
      </c>
      <c r="F488" s="34" t="s">
        <v>1884</v>
      </c>
      <c r="G488" s="44">
        <v>43637</v>
      </c>
      <c r="H488" s="34">
        <v>85129000</v>
      </c>
      <c r="I488" s="34">
        <v>18</v>
      </c>
      <c r="J488" s="38">
        <v>720</v>
      </c>
      <c r="K488" s="40">
        <v>18000</v>
      </c>
      <c r="L488" s="41">
        <v>0</v>
      </c>
      <c r="M488" s="41">
        <v>1620</v>
      </c>
      <c r="N488" s="41">
        <v>1620</v>
      </c>
      <c r="O488" s="41">
        <v>0</v>
      </c>
      <c r="P488" s="42">
        <v>21240</v>
      </c>
      <c r="Q488" s="34" t="s">
        <v>25</v>
      </c>
      <c r="R488" s="34" t="s">
        <v>26</v>
      </c>
      <c r="S488" s="11" t="s">
        <v>4105</v>
      </c>
    </row>
    <row r="489" spans="1:19" x14ac:dyDescent="0.2">
      <c r="A489" s="33">
        <v>43617</v>
      </c>
      <c r="B489" s="34">
        <v>129</v>
      </c>
      <c r="C489" s="34" t="s">
        <v>73</v>
      </c>
      <c r="D489" s="34" t="str">
        <f>VLOOKUP(C489,'SALE PARTY MASTER'!$B$4:$E$500,2,FALSE)</f>
        <v>27AAACH4211R1ZF</v>
      </c>
      <c r="E489" s="34" t="s">
        <v>22</v>
      </c>
      <c r="F489" s="34" t="s">
        <v>1885</v>
      </c>
      <c r="G489" s="44">
        <v>43638</v>
      </c>
      <c r="H489" s="34">
        <v>85129000</v>
      </c>
      <c r="I489" s="34">
        <v>18</v>
      </c>
      <c r="J489" s="38">
        <v>1440</v>
      </c>
      <c r="K489" s="40">
        <v>36000</v>
      </c>
      <c r="L489" s="41">
        <v>0</v>
      </c>
      <c r="M489" s="41">
        <v>3240</v>
      </c>
      <c r="N489" s="41">
        <v>3240</v>
      </c>
      <c r="O489" s="41">
        <v>0</v>
      </c>
      <c r="P489" s="42">
        <v>42480</v>
      </c>
      <c r="Q489" s="34" t="s">
        <v>25</v>
      </c>
      <c r="R489" s="34" t="s">
        <v>26</v>
      </c>
      <c r="S489" s="11" t="s">
        <v>4105</v>
      </c>
    </row>
    <row r="490" spans="1:19" x14ac:dyDescent="0.2">
      <c r="A490" s="33">
        <v>43617</v>
      </c>
      <c r="B490" s="34">
        <v>130</v>
      </c>
      <c r="C490" s="34" t="s">
        <v>155</v>
      </c>
      <c r="D490" s="34" t="str">
        <f>VLOOKUP(C490,'SALE PARTY MASTER'!$B$4:$E$500,2,FALSE)</f>
        <v>27AAGCP0139E1ZP</v>
      </c>
      <c r="E490" s="34" t="s">
        <v>22</v>
      </c>
      <c r="F490" s="34" t="s">
        <v>1886</v>
      </c>
      <c r="G490" s="44">
        <v>43638</v>
      </c>
      <c r="H490" s="34">
        <v>87141090</v>
      </c>
      <c r="I490" s="34">
        <v>28</v>
      </c>
      <c r="J490" s="38">
        <v>500</v>
      </c>
      <c r="K490" s="40">
        <v>37685</v>
      </c>
      <c r="L490" s="41">
        <v>0</v>
      </c>
      <c r="M490" s="41">
        <v>5275.9000000000005</v>
      </c>
      <c r="N490" s="41">
        <v>5275.9000000000005</v>
      </c>
      <c r="O490" s="41">
        <v>0</v>
      </c>
      <c r="P490" s="42">
        <v>48236.800000000003</v>
      </c>
      <c r="Q490" s="34" t="s">
        <v>25</v>
      </c>
      <c r="R490" s="34" t="s">
        <v>26</v>
      </c>
      <c r="S490" s="11" t="s">
        <v>4105</v>
      </c>
    </row>
    <row r="491" spans="1:19" x14ac:dyDescent="0.2">
      <c r="A491" s="33">
        <v>43617</v>
      </c>
      <c r="B491" s="34">
        <v>131</v>
      </c>
      <c r="C491" s="34" t="s">
        <v>167</v>
      </c>
      <c r="D491" s="34" t="str">
        <f>VLOOKUP(C491,'SALE PARTY MASTER'!$B$4:$E$500,2,FALSE)</f>
        <v>27AABFP3834C1ZK</v>
      </c>
      <c r="E491" s="34" t="s">
        <v>22</v>
      </c>
      <c r="F491" s="34" t="s">
        <v>1887</v>
      </c>
      <c r="G491" s="44">
        <v>43638</v>
      </c>
      <c r="H491" s="34">
        <v>87141900</v>
      </c>
      <c r="I491" s="34">
        <v>28</v>
      </c>
      <c r="J491" s="38">
        <v>4270</v>
      </c>
      <c r="K491" s="40">
        <v>53167.1</v>
      </c>
      <c r="L491" s="41">
        <v>0</v>
      </c>
      <c r="M491" s="41">
        <v>7443.3939999999993</v>
      </c>
      <c r="N491" s="41">
        <v>7443.3939999999993</v>
      </c>
      <c r="O491" s="41">
        <v>0</v>
      </c>
      <c r="P491" s="42">
        <v>68053.877999999997</v>
      </c>
      <c r="Q491" s="34" t="s">
        <v>25</v>
      </c>
      <c r="R491" s="34" t="s">
        <v>26</v>
      </c>
      <c r="S491" s="11" t="s">
        <v>4105</v>
      </c>
    </row>
    <row r="492" spans="1:19" x14ac:dyDescent="0.2">
      <c r="A492" s="33">
        <v>43617</v>
      </c>
      <c r="B492" s="34">
        <v>132</v>
      </c>
      <c r="C492" s="34" t="s">
        <v>73</v>
      </c>
      <c r="D492" s="34" t="str">
        <f>VLOOKUP(C492,'SALE PARTY MASTER'!$B$4:$E$500,2,FALSE)</f>
        <v>27AAACH4211R1ZF</v>
      </c>
      <c r="E492" s="34" t="s">
        <v>22</v>
      </c>
      <c r="F492" s="34" t="s">
        <v>1888</v>
      </c>
      <c r="G492" s="44">
        <v>43639</v>
      </c>
      <c r="H492" s="34">
        <v>85129000</v>
      </c>
      <c r="I492" s="34">
        <v>18</v>
      </c>
      <c r="J492" s="38">
        <v>2400</v>
      </c>
      <c r="K492" s="40">
        <v>60000</v>
      </c>
      <c r="L492" s="41">
        <v>0</v>
      </c>
      <c r="M492" s="41">
        <v>5400</v>
      </c>
      <c r="N492" s="41">
        <v>5400</v>
      </c>
      <c r="O492" s="41">
        <v>0</v>
      </c>
      <c r="P492" s="42">
        <v>70800</v>
      </c>
      <c r="Q492" s="34" t="s">
        <v>25</v>
      </c>
      <c r="R492" s="34" t="s">
        <v>26</v>
      </c>
      <c r="S492" s="11" t="s">
        <v>4105</v>
      </c>
    </row>
    <row r="493" spans="1:19" x14ac:dyDescent="0.2">
      <c r="A493" s="33">
        <v>43617</v>
      </c>
      <c r="B493" s="34">
        <v>133</v>
      </c>
      <c r="C493" s="34" t="s">
        <v>224</v>
      </c>
      <c r="D493" s="34" t="str">
        <f>VLOOKUP(C493,'SALE PARTY MASTER'!$B$4:$E$500,2,FALSE)</f>
        <v>27AAACV2420J1ZI</v>
      </c>
      <c r="E493" s="34" t="s">
        <v>22</v>
      </c>
      <c r="F493" s="34" t="s">
        <v>1889</v>
      </c>
      <c r="G493" s="44">
        <v>43639</v>
      </c>
      <c r="H493" s="34">
        <v>85119000</v>
      </c>
      <c r="I493" s="34">
        <v>28</v>
      </c>
      <c r="J493" s="38">
        <v>540</v>
      </c>
      <c r="K493" s="40">
        <v>29964.6</v>
      </c>
      <c r="L493" s="41">
        <v>0</v>
      </c>
      <c r="M493" s="41">
        <v>4195.0439999999999</v>
      </c>
      <c r="N493" s="41">
        <v>4195.0439999999999</v>
      </c>
      <c r="O493" s="41">
        <v>0</v>
      </c>
      <c r="P493" s="42">
        <v>38354.688000000002</v>
      </c>
      <c r="Q493" s="34" t="s">
        <v>25</v>
      </c>
      <c r="R493" s="34" t="s">
        <v>26</v>
      </c>
      <c r="S493" s="11" t="s">
        <v>4105</v>
      </c>
    </row>
    <row r="494" spans="1:19" x14ac:dyDescent="0.2">
      <c r="A494" s="33">
        <v>43617</v>
      </c>
      <c r="B494" s="34"/>
      <c r="C494" s="34" t="s">
        <v>224</v>
      </c>
      <c r="D494" s="34" t="str">
        <f>VLOOKUP(C494,'SALE PARTY MASTER'!$B$4:$E$500,2,FALSE)</f>
        <v>27AAACV2420J1ZI</v>
      </c>
      <c r="E494" s="34" t="s">
        <v>22</v>
      </c>
      <c r="F494" s="34" t="s">
        <v>1889</v>
      </c>
      <c r="G494" s="44">
        <v>43639</v>
      </c>
      <c r="H494" s="34">
        <v>87142090</v>
      </c>
      <c r="I494" s="34">
        <v>28</v>
      </c>
      <c r="J494" s="38">
        <v>756</v>
      </c>
      <c r="K494" s="40">
        <v>33324.480000000003</v>
      </c>
      <c r="L494" s="41">
        <v>0</v>
      </c>
      <c r="M494" s="41">
        <v>4665.427200000001</v>
      </c>
      <c r="N494" s="41">
        <v>4665.427200000001</v>
      </c>
      <c r="O494" s="41">
        <v>0</v>
      </c>
      <c r="P494" s="42">
        <v>42655.3344</v>
      </c>
      <c r="Q494" s="34" t="s">
        <v>25</v>
      </c>
      <c r="R494" s="34" t="s">
        <v>26</v>
      </c>
      <c r="S494" s="11" t="s">
        <v>4105</v>
      </c>
    </row>
    <row r="495" spans="1:19" x14ac:dyDescent="0.2">
      <c r="A495" s="33">
        <v>43617</v>
      </c>
      <c r="B495" s="34">
        <v>134</v>
      </c>
      <c r="C495" s="34" t="s">
        <v>124</v>
      </c>
      <c r="D495" s="34" t="str">
        <f>VLOOKUP(C495,'SALE PARTY MASTER'!$B$4:$E$500,2,FALSE)</f>
        <v>27AAACB2484Q1Z8</v>
      </c>
      <c r="E495" s="34" t="s">
        <v>22</v>
      </c>
      <c r="F495" s="34" t="s">
        <v>1890</v>
      </c>
      <c r="G495" s="44">
        <v>43639</v>
      </c>
      <c r="H495" s="34">
        <v>998898</v>
      </c>
      <c r="I495" s="34">
        <v>18</v>
      </c>
      <c r="J495" s="38">
        <v>2290</v>
      </c>
      <c r="K495" s="40">
        <v>7595</v>
      </c>
      <c r="L495" s="41">
        <v>0</v>
      </c>
      <c r="M495" s="41">
        <v>683.55000000000007</v>
      </c>
      <c r="N495" s="41">
        <v>683.55000000000007</v>
      </c>
      <c r="O495" s="41">
        <v>0</v>
      </c>
      <c r="P495" s="42">
        <v>8962.0999999999985</v>
      </c>
      <c r="Q495" s="34" t="s">
        <v>25</v>
      </c>
      <c r="R495" s="34" t="s">
        <v>26</v>
      </c>
      <c r="S495" s="11" t="s">
        <v>4105</v>
      </c>
    </row>
    <row r="496" spans="1:19" x14ac:dyDescent="0.2">
      <c r="A496" s="33">
        <v>43617</v>
      </c>
      <c r="B496" s="34">
        <v>135</v>
      </c>
      <c r="C496" s="34" t="s">
        <v>167</v>
      </c>
      <c r="D496" s="34" t="str">
        <f>VLOOKUP(C496,'SALE PARTY MASTER'!$B$4:$E$500,2,FALSE)</f>
        <v>27AABFP3834C1ZK</v>
      </c>
      <c r="E496" s="34" t="s">
        <v>22</v>
      </c>
      <c r="F496" s="34" t="s">
        <v>1891</v>
      </c>
      <c r="G496" s="44">
        <v>43639</v>
      </c>
      <c r="H496" s="34">
        <v>87141900</v>
      </c>
      <c r="I496" s="34">
        <v>28</v>
      </c>
      <c r="J496" s="38">
        <v>4468</v>
      </c>
      <c r="K496" s="40">
        <v>54886.04</v>
      </c>
      <c r="L496" s="41">
        <v>0</v>
      </c>
      <c r="M496" s="41">
        <v>7684.0456000000004</v>
      </c>
      <c r="N496" s="41">
        <v>7684.0456000000004</v>
      </c>
      <c r="O496" s="41">
        <v>0</v>
      </c>
      <c r="P496" s="42">
        <v>70254.141199999998</v>
      </c>
      <c r="Q496" s="34" t="s">
        <v>25</v>
      </c>
      <c r="R496" s="34" t="s">
        <v>26</v>
      </c>
      <c r="S496" s="11" t="s">
        <v>4105</v>
      </c>
    </row>
    <row r="497" spans="1:19" x14ac:dyDescent="0.2">
      <c r="A497" s="33">
        <v>43617</v>
      </c>
      <c r="B497" s="34">
        <v>136</v>
      </c>
      <c r="C497" s="34" t="s">
        <v>45</v>
      </c>
      <c r="D497" s="34" t="str">
        <f>VLOOKUP(C497,'SALE PARTY MASTER'!$B$4:$E$500,2,FALSE)</f>
        <v>27AAACD4090Q1Z8</v>
      </c>
      <c r="E497" s="34" t="s">
        <v>22</v>
      </c>
      <c r="F497" s="34" t="s">
        <v>1892</v>
      </c>
      <c r="G497" s="44">
        <v>43639</v>
      </c>
      <c r="H497" s="34">
        <v>85129000</v>
      </c>
      <c r="I497" s="34">
        <v>18</v>
      </c>
      <c r="J497" s="38">
        <v>678</v>
      </c>
      <c r="K497" s="40">
        <v>82722.78</v>
      </c>
      <c r="L497" s="41">
        <v>0</v>
      </c>
      <c r="M497" s="41">
        <v>7445.0501999999997</v>
      </c>
      <c r="N497" s="41">
        <v>7445.0501999999997</v>
      </c>
      <c r="O497" s="41">
        <v>0</v>
      </c>
      <c r="P497" s="42">
        <v>97612.880399999995</v>
      </c>
      <c r="Q497" s="34" t="s">
        <v>25</v>
      </c>
      <c r="R497" s="34" t="s">
        <v>26</v>
      </c>
      <c r="S497" s="11" t="s">
        <v>4105</v>
      </c>
    </row>
    <row r="498" spans="1:19" x14ac:dyDescent="0.2">
      <c r="A498" s="33">
        <v>43617</v>
      </c>
      <c r="B498" s="34">
        <v>137</v>
      </c>
      <c r="C498" s="34" t="s">
        <v>28</v>
      </c>
      <c r="D498" s="34" t="str">
        <f>VLOOKUP(C498,'SALE PARTY MASTER'!$B$4:$E$500,2,FALSE)</f>
        <v>27AAECM8871A1ZF</v>
      </c>
      <c r="E498" s="34" t="s">
        <v>22</v>
      </c>
      <c r="F498" s="34" t="s">
        <v>1893</v>
      </c>
      <c r="G498" s="44">
        <v>43640</v>
      </c>
      <c r="H498" s="34">
        <v>87089900</v>
      </c>
      <c r="I498" s="34">
        <v>28</v>
      </c>
      <c r="J498" s="38">
        <v>12</v>
      </c>
      <c r="K498" s="40">
        <v>23255.759999999998</v>
      </c>
      <c r="L498" s="41">
        <v>0</v>
      </c>
      <c r="M498" s="41">
        <v>3255.8063999999995</v>
      </c>
      <c r="N498" s="41">
        <v>3255.8063999999995</v>
      </c>
      <c r="O498" s="41">
        <v>0</v>
      </c>
      <c r="P498" s="42">
        <v>29767.382799999996</v>
      </c>
      <c r="Q498" s="34" t="s">
        <v>25</v>
      </c>
      <c r="R498" s="34" t="s">
        <v>26</v>
      </c>
      <c r="S498" s="11" t="s">
        <v>4105</v>
      </c>
    </row>
    <row r="499" spans="1:19" x14ac:dyDescent="0.2">
      <c r="A499" s="33">
        <v>43617</v>
      </c>
      <c r="B499" s="34">
        <v>138</v>
      </c>
      <c r="C499" s="34" t="s">
        <v>167</v>
      </c>
      <c r="D499" s="34" t="str">
        <f>VLOOKUP(C499,'SALE PARTY MASTER'!$B$4:$E$500,2,FALSE)</f>
        <v>27AABFP3834C1ZK</v>
      </c>
      <c r="E499" s="34" t="s">
        <v>22</v>
      </c>
      <c r="F499" s="34" t="s">
        <v>1894</v>
      </c>
      <c r="G499" s="44">
        <v>43640</v>
      </c>
      <c r="H499" s="34">
        <v>87141900</v>
      </c>
      <c r="I499" s="34">
        <v>28</v>
      </c>
      <c r="J499" s="38">
        <v>2470</v>
      </c>
      <c r="K499" s="40">
        <v>31465.9</v>
      </c>
      <c r="L499" s="41">
        <v>0</v>
      </c>
      <c r="M499" s="41">
        <v>4405.2259999999997</v>
      </c>
      <c r="N499" s="41">
        <v>4405.2259999999997</v>
      </c>
      <c r="O499" s="41">
        <v>0</v>
      </c>
      <c r="P499" s="42">
        <v>40276.342000000004</v>
      </c>
      <c r="Q499" s="34" t="s">
        <v>25</v>
      </c>
      <c r="R499" s="34" t="s">
        <v>26</v>
      </c>
      <c r="S499" s="11" t="s">
        <v>4105</v>
      </c>
    </row>
    <row r="500" spans="1:19" x14ac:dyDescent="0.2">
      <c r="A500" s="33">
        <v>43617</v>
      </c>
      <c r="B500" s="34">
        <v>139</v>
      </c>
      <c r="C500" s="34" t="s">
        <v>28</v>
      </c>
      <c r="D500" s="34" t="str">
        <f>VLOOKUP(C500,'SALE PARTY MASTER'!$B$4:$E$500,2,FALSE)</f>
        <v>27AAECM8871A1ZF</v>
      </c>
      <c r="E500" s="34" t="s">
        <v>22</v>
      </c>
      <c r="F500" s="34" t="s">
        <v>1895</v>
      </c>
      <c r="G500" s="44">
        <v>43640</v>
      </c>
      <c r="H500" s="34">
        <v>87089900</v>
      </c>
      <c r="I500" s="34">
        <v>28</v>
      </c>
      <c r="J500" s="38">
        <v>12</v>
      </c>
      <c r="K500" s="40">
        <v>23255.759999999998</v>
      </c>
      <c r="L500" s="41">
        <v>0</v>
      </c>
      <c r="M500" s="41">
        <v>3255.8063999999995</v>
      </c>
      <c r="N500" s="41">
        <v>3255.8063999999995</v>
      </c>
      <c r="O500" s="41">
        <v>0</v>
      </c>
      <c r="P500" s="42">
        <v>29767.382799999996</v>
      </c>
      <c r="Q500" s="34" t="s">
        <v>25</v>
      </c>
      <c r="R500" s="34" t="s">
        <v>26</v>
      </c>
      <c r="S500" s="11" t="s">
        <v>4105</v>
      </c>
    </row>
    <row r="501" spans="1:19" x14ac:dyDescent="0.2">
      <c r="A501" s="33">
        <v>43617</v>
      </c>
      <c r="B501" s="34">
        <v>140</v>
      </c>
      <c r="C501" s="34" t="s">
        <v>45</v>
      </c>
      <c r="D501" s="34" t="str">
        <f>VLOOKUP(C501,'SALE PARTY MASTER'!$B$4:$E$500,2,FALSE)</f>
        <v>27AAACD4090Q1Z8</v>
      </c>
      <c r="E501" s="34" t="s">
        <v>22</v>
      </c>
      <c r="F501" s="34" t="s">
        <v>1896</v>
      </c>
      <c r="G501" s="44">
        <v>43641</v>
      </c>
      <c r="H501" s="34">
        <v>85129000</v>
      </c>
      <c r="I501" s="34">
        <v>18</v>
      </c>
      <c r="J501" s="38">
        <v>486</v>
      </c>
      <c r="K501" s="40">
        <v>59296.86</v>
      </c>
      <c r="L501" s="41">
        <v>0</v>
      </c>
      <c r="M501" s="41">
        <v>5336.7174000000005</v>
      </c>
      <c r="N501" s="41">
        <v>5336.7174000000005</v>
      </c>
      <c r="O501" s="41">
        <v>0</v>
      </c>
      <c r="P501" s="42">
        <v>69970.304799999998</v>
      </c>
      <c r="Q501" s="34" t="s">
        <v>25</v>
      </c>
      <c r="R501" s="34" t="s">
        <v>26</v>
      </c>
      <c r="S501" s="11" t="s">
        <v>4105</v>
      </c>
    </row>
    <row r="502" spans="1:19" x14ac:dyDescent="0.2">
      <c r="A502" s="33">
        <v>43617</v>
      </c>
      <c r="B502" s="34">
        <v>141</v>
      </c>
      <c r="C502" s="34" t="s">
        <v>70</v>
      </c>
      <c r="D502" s="34" t="str">
        <f>VLOOKUP(C502,'SALE PARTY MASTER'!$B$4:$E$500,2,FALSE)</f>
        <v>27AACCA4196J1ZG</v>
      </c>
      <c r="E502" s="34" t="s">
        <v>22</v>
      </c>
      <c r="F502" s="34" t="s">
        <v>1897</v>
      </c>
      <c r="G502" s="44">
        <v>43641</v>
      </c>
      <c r="H502" s="34">
        <v>998898</v>
      </c>
      <c r="I502" s="34">
        <v>18</v>
      </c>
      <c r="J502" s="38">
        <v>200</v>
      </c>
      <c r="K502" s="40">
        <v>1644</v>
      </c>
      <c r="L502" s="41">
        <v>0</v>
      </c>
      <c r="M502" s="41">
        <v>147.96</v>
      </c>
      <c r="N502" s="41">
        <v>147.96</v>
      </c>
      <c r="O502" s="41">
        <v>0</v>
      </c>
      <c r="P502" s="42">
        <v>1939.92</v>
      </c>
      <c r="Q502" s="34" t="s">
        <v>25</v>
      </c>
      <c r="R502" s="34" t="s">
        <v>26</v>
      </c>
      <c r="S502" s="11" t="s">
        <v>4105</v>
      </c>
    </row>
    <row r="503" spans="1:19" x14ac:dyDescent="0.2">
      <c r="A503" s="33">
        <v>43617</v>
      </c>
      <c r="B503" s="34">
        <v>142</v>
      </c>
      <c r="C503" s="34" t="s">
        <v>167</v>
      </c>
      <c r="D503" s="34" t="str">
        <f>VLOOKUP(C503,'SALE PARTY MASTER'!$B$4:$E$500,2,FALSE)</f>
        <v>27AABFP3834C1ZK</v>
      </c>
      <c r="E503" s="34" t="s">
        <v>22</v>
      </c>
      <c r="F503" s="34" t="s">
        <v>1898</v>
      </c>
      <c r="G503" s="44">
        <v>43641</v>
      </c>
      <c r="H503" s="34">
        <v>87141900</v>
      </c>
      <c r="I503" s="34">
        <v>28</v>
      </c>
      <c r="J503" s="38">
        <v>1833</v>
      </c>
      <c r="K503" s="40">
        <v>22695.25</v>
      </c>
      <c r="L503" s="41">
        <v>0</v>
      </c>
      <c r="M503" s="41">
        <v>3177.335</v>
      </c>
      <c r="N503" s="41">
        <v>3177.335</v>
      </c>
      <c r="O503" s="41">
        <v>0</v>
      </c>
      <c r="P503" s="42">
        <v>29049.929999999997</v>
      </c>
      <c r="Q503" s="34" t="s">
        <v>25</v>
      </c>
      <c r="R503" s="34" t="s">
        <v>26</v>
      </c>
      <c r="S503" s="11" t="s">
        <v>4105</v>
      </c>
    </row>
    <row r="504" spans="1:19" x14ac:dyDescent="0.2">
      <c r="A504" s="33">
        <v>43617</v>
      </c>
      <c r="B504" s="34">
        <v>143</v>
      </c>
      <c r="C504" s="34" t="s">
        <v>40</v>
      </c>
      <c r="D504" s="34" t="str">
        <f>VLOOKUP(C504,'SALE PARTY MASTER'!$B$4:$E$500,2,FALSE)</f>
        <v>27AAACT1848E1ZH</v>
      </c>
      <c r="E504" s="34" t="s">
        <v>22</v>
      </c>
      <c r="F504" s="34" t="s">
        <v>1899</v>
      </c>
      <c r="G504" s="44">
        <v>43641</v>
      </c>
      <c r="H504" s="34">
        <v>87089900</v>
      </c>
      <c r="I504" s="34">
        <v>28</v>
      </c>
      <c r="J504" s="38">
        <v>40</v>
      </c>
      <c r="K504" s="40">
        <v>24032.799999999999</v>
      </c>
      <c r="L504" s="41">
        <v>0</v>
      </c>
      <c r="M504" s="41">
        <v>3364.5920000000001</v>
      </c>
      <c r="N504" s="41">
        <v>3364.5920000000001</v>
      </c>
      <c r="O504" s="41">
        <v>0</v>
      </c>
      <c r="P504" s="42">
        <v>30761.984</v>
      </c>
      <c r="Q504" s="34" t="s">
        <v>25</v>
      </c>
      <c r="R504" s="34" t="s">
        <v>26</v>
      </c>
      <c r="S504" s="11" t="s">
        <v>4105</v>
      </c>
    </row>
    <row r="505" spans="1:19" x14ac:dyDescent="0.2">
      <c r="A505" s="33">
        <v>43617</v>
      </c>
      <c r="B505" s="34">
        <v>144</v>
      </c>
      <c r="C505" s="34" t="s">
        <v>155</v>
      </c>
      <c r="D505" s="34" t="str">
        <f>VLOOKUP(C505,'SALE PARTY MASTER'!$B$4:$E$500,2,FALSE)</f>
        <v>27AAGCP0139E1ZP</v>
      </c>
      <c r="E505" s="34" t="s">
        <v>22</v>
      </c>
      <c r="F505" s="34" t="s">
        <v>1900</v>
      </c>
      <c r="G505" s="44">
        <v>43641</v>
      </c>
      <c r="H505" s="34">
        <v>87141090</v>
      </c>
      <c r="I505" s="34">
        <v>28</v>
      </c>
      <c r="J505" s="38">
        <v>460</v>
      </c>
      <c r="K505" s="40">
        <v>34670.199999999997</v>
      </c>
      <c r="L505" s="41">
        <v>0</v>
      </c>
      <c r="M505" s="41">
        <v>4853.8279999999995</v>
      </c>
      <c r="N505" s="41">
        <v>4853.8279999999995</v>
      </c>
      <c r="O505" s="41">
        <v>0</v>
      </c>
      <c r="P505" s="42">
        <v>44377.856</v>
      </c>
      <c r="Q505" s="34" t="s">
        <v>25</v>
      </c>
      <c r="R505" s="34" t="s">
        <v>26</v>
      </c>
      <c r="S505" s="11" t="s">
        <v>4105</v>
      </c>
    </row>
    <row r="506" spans="1:19" x14ac:dyDescent="0.2">
      <c r="A506" s="33">
        <v>43617</v>
      </c>
      <c r="B506" s="34">
        <v>145</v>
      </c>
      <c r="C506" s="34" t="s">
        <v>155</v>
      </c>
      <c r="D506" s="34" t="str">
        <f>VLOOKUP(C506,'SALE PARTY MASTER'!$B$4:$E$500,2,FALSE)</f>
        <v>27AAGCP0139E1ZP</v>
      </c>
      <c r="E506" s="34" t="s">
        <v>22</v>
      </c>
      <c r="F506" s="34" t="s">
        <v>1901</v>
      </c>
      <c r="G506" s="44">
        <v>43641</v>
      </c>
      <c r="H506" s="34">
        <v>87141090</v>
      </c>
      <c r="I506" s="34">
        <v>28</v>
      </c>
      <c r="J506" s="38">
        <v>1140</v>
      </c>
      <c r="K506" s="40">
        <v>53614.2</v>
      </c>
      <c r="L506" s="41">
        <v>0</v>
      </c>
      <c r="M506" s="41">
        <v>7505.9879999999994</v>
      </c>
      <c r="N506" s="41">
        <v>7505.9879999999994</v>
      </c>
      <c r="O506" s="41">
        <v>0</v>
      </c>
      <c r="P506" s="42">
        <v>68626.175999999992</v>
      </c>
      <c r="Q506" s="34" t="s">
        <v>25</v>
      </c>
      <c r="R506" s="34" t="s">
        <v>26</v>
      </c>
      <c r="S506" s="11" t="s">
        <v>4105</v>
      </c>
    </row>
    <row r="507" spans="1:19" x14ac:dyDescent="0.2">
      <c r="A507" s="33">
        <v>43617</v>
      </c>
      <c r="B507" s="34">
        <v>146</v>
      </c>
      <c r="C507" s="34" t="s">
        <v>73</v>
      </c>
      <c r="D507" s="34" t="str">
        <f>VLOOKUP(C507,'SALE PARTY MASTER'!$B$4:$E$500,2,FALSE)</f>
        <v>27AAACH4211R1ZF</v>
      </c>
      <c r="E507" s="34" t="s">
        <v>22</v>
      </c>
      <c r="F507" s="34" t="s">
        <v>1902</v>
      </c>
      <c r="G507" s="44">
        <v>43641</v>
      </c>
      <c r="H507" s="34">
        <v>85129000</v>
      </c>
      <c r="I507" s="34">
        <v>18</v>
      </c>
      <c r="J507" s="38">
        <v>3360</v>
      </c>
      <c r="K507" s="40">
        <v>84000</v>
      </c>
      <c r="L507" s="41">
        <v>0</v>
      </c>
      <c r="M507" s="41">
        <v>7560</v>
      </c>
      <c r="N507" s="41">
        <v>7560</v>
      </c>
      <c r="O507" s="41">
        <v>0</v>
      </c>
      <c r="P507" s="42">
        <v>99120</v>
      </c>
      <c r="Q507" s="34" t="s">
        <v>25</v>
      </c>
      <c r="R507" s="34" t="s">
        <v>26</v>
      </c>
      <c r="S507" s="11" t="s">
        <v>4105</v>
      </c>
    </row>
    <row r="508" spans="1:19" x14ac:dyDescent="0.2">
      <c r="A508" s="33">
        <v>43617</v>
      </c>
      <c r="B508" s="34">
        <v>147</v>
      </c>
      <c r="C508" s="34" t="s">
        <v>28</v>
      </c>
      <c r="D508" s="34" t="str">
        <f>VLOOKUP(C508,'SALE PARTY MASTER'!$B$4:$E$500,2,FALSE)</f>
        <v>27AAECM8871A1ZF</v>
      </c>
      <c r="E508" s="34" t="s">
        <v>22</v>
      </c>
      <c r="F508" s="34" t="s">
        <v>1903</v>
      </c>
      <c r="G508" s="44">
        <v>43642</v>
      </c>
      <c r="H508" s="34">
        <v>87089900</v>
      </c>
      <c r="I508" s="34">
        <v>28</v>
      </c>
      <c r="J508" s="38">
        <v>12</v>
      </c>
      <c r="K508" s="40">
        <v>23255.759999999998</v>
      </c>
      <c r="L508" s="41">
        <v>0</v>
      </c>
      <c r="M508" s="41">
        <v>3255.8063999999995</v>
      </c>
      <c r="N508" s="41">
        <v>3255.8063999999995</v>
      </c>
      <c r="O508" s="41">
        <v>0</v>
      </c>
      <c r="P508" s="42">
        <v>29767.382799999996</v>
      </c>
      <c r="Q508" s="34" t="s">
        <v>25</v>
      </c>
      <c r="R508" s="34" t="s">
        <v>26</v>
      </c>
      <c r="S508" s="11" t="s">
        <v>4105</v>
      </c>
    </row>
    <row r="509" spans="1:19" x14ac:dyDescent="0.2">
      <c r="A509" s="33">
        <v>43617</v>
      </c>
      <c r="B509" s="34">
        <v>148</v>
      </c>
      <c r="C509" s="34" t="s">
        <v>167</v>
      </c>
      <c r="D509" s="34" t="str">
        <f>VLOOKUP(C509,'SALE PARTY MASTER'!$B$4:$E$500,2,FALSE)</f>
        <v>27AABFP3834C1ZK</v>
      </c>
      <c r="E509" s="34" t="s">
        <v>22</v>
      </c>
      <c r="F509" s="34" t="s">
        <v>1904</v>
      </c>
      <c r="G509" s="44">
        <v>43642</v>
      </c>
      <c r="H509" s="34">
        <v>87141900</v>
      </c>
      <c r="I509" s="34">
        <v>28</v>
      </c>
      <c r="J509" s="38">
        <v>1854</v>
      </c>
      <c r="K509" s="40">
        <v>22475.66</v>
      </c>
      <c r="L509" s="41">
        <v>0</v>
      </c>
      <c r="M509" s="41">
        <v>3146.5924</v>
      </c>
      <c r="N509" s="41">
        <v>3146.5924</v>
      </c>
      <c r="O509" s="41">
        <v>0</v>
      </c>
      <c r="P509" s="42">
        <v>28768.844800000003</v>
      </c>
      <c r="Q509" s="34" t="s">
        <v>25</v>
      </c>
      <c r="R509" s="34" t="s">
        <v>26</v>
      </c>
      <c r="S509" s="11" t="s">
        <v>4105</v>
      </c>
    </row>
    <row r="510" spans="1:19" x14ac:dyDescent="0.2">
      <c r="A510" s="33">
        <v>43617</v>
      </c>
      <c r="B510" s="34">
        <v>149</v>
      </c>
      <c r="C510" s="34" t="s">
        <v>40</v>
      </c>
      <c r="D510" s="34" t="str">
        <f>VLOOKUP(C510,'SALE PARTY MASTER'!$B$4:$E$500,2,FALSE)</f>
        <v>27AAACT1848E1ZH</v>
      </c>
      <c r="E510" s="34" t="s">
        <v>22</v>
      </c>
      <c r="F510" s="34" t="s">
        <v>1905</v>
      </c>
      <c r="G510" s="44">
        <v>43642</v>
      </c>
      <c r="H510" s="34">
        <v>87089900</v>
      </c>
      <c r="I510" s="34">
        <v>28</v>
      </c>
      <c r="J510" s="38">
        <v>46</v>
      </c>
      <c r="K510" s="40">
        <v>26951.86</v>
      </c>
      <c r="L510" s="41">
        <v>0</v>
      </c>
      <c r="M510" s="41">
        <v>3773.2604000000001</v>
      </c>
      <c r="N510" s="41">
        <v>3773.2604000000001</v>
      </c>
      <c r="O510" s="41">
        <v>0</v>
      </c>
      <c r="P510" s="42">
        <v>34498.380799999999</v>
      </c>
      <c r="Q510" s="34" t="s">
        <v>25</v>
      </c>
      <c r="R510" s="34" t="s">
        <v>26</v>
      </c>
      <c r="S510" s="11" t="s">
        <v>4105</v>
      </c>
    </row>
    <row r="511" spans="1:19" x14ac:dyDescent="0.2">
      <c r="A511" s="33">
        <v>43617</v>
      </c>
      <c r="B511" s="34">
        <v>150</v>
      </c>
      <c r="C511" s="34" t="s">
        <v>28</v>
      </c>
      <c r="D511" s="34" t="str">
        <f>VLOOKUP(C511,'SALE PARTY MASTER'!$B$4:$E$500,2,FALSE)</f>
        <v>27AAECM8871A1ZF</v>
      </c>
      <c r="E511" s="34" t="s">
        <v>22</v>
      </c>
      <c r="F511" s="34" t="s">
        <v>1906</v>
      </c>
      <c r="G511" s="44">
        <v>43642</v>
      </c>
      <c r="H511" s="34">
        <v>87089900</v>
      </c>
      <c r="I511" s="34">
        <v>28</v>
      </c>
      <c r="J511" s="38">
        <v>12</v>
      </c>
      <c r="K511" s="40">
        <v>23255.759999999998</v>
      </c>
      <c r="L511" s="41">
        <v>0</v>
      </c>
      <c r="M511" s="41">
        <v>3255.8063999999995</v>
      </c>
      <c r="N511" s="41">
        <v>3255.8063999999995</v>
      </c>
      <c r="O511" s="41">
        <v>0</v>
      </c>
      <c r="P511" s="42">
        <v>29767.382799999996</v>
      </c>
      <c r="Q511" s="34" t="s">
        <v>25</v>
      </c>
      <c r="R511" s="34" t="s">
        <v>26</v>
      </c>
      <c r="S511" s="11" t="s">
        <v>4105</v>
      </c>
    </row>
    <row r="512" spans="1:19" x14ac:dyDescent="0.2">
      <c r="A512" s="33">
        <v>43617</v>
      </c>
      <c r="B512" s="34">
        <v>151</v>
      </c>
      <c r="C512" s="34" t="s">
        <v>102</v>
      </c>
      <c r="D512" s="34" t="str">
        <f>VLOOKUP(C512,'SALE PARTY MASTER'!$B$4:$E$500,2,FALSE)</f>
        <v>23AABCE9378F1ZK</v>
      </c>
      <c r="E512" s="34" t="s">
        <v>22</v>
      </c>
      <c r="F512" s="34" t="s">
        <v>1907</v>
      </c>
      <c r="G512" s="44">
        <v>43642</v>
      </c>
      <c r="H512" s="34">
        <v>87081090</v>
      </c>
      <c r="I512" s="34">
        <v>28</v>
      </c>
      <c r="J512" s="38">
        <v>10</v>
      </c>
      <c r="K512" s="40">
        <v>9388.2000000000007</v>
      </c>
      <c r="L512" s="41">
        <v>2628.6959999999999</v>
      </c>
      <c r="M512" s="41">
        <v>0</v>
      </c>
      <c r="N512" s="41">
        <v>0</v>
      </c>
      <c r="O512" s="41">
        <v>0</v>
      </c>
      <c r="P512" s="42">
        <v>12016.906000000001</v>
      </c>
      <c r="Q512" s="34" t="s">
        <v>25</v>
      </c>
      <c r="R512" s="34" t="s">
        <v>106</v>
      </c>
      <c r="S512" s="11" t="s">
        <v>4105</v>
      </c>
    </row>
    <row r="513" spans="1:19" x14ac:dyDescent="0.2">
      <c r="A513" s="33">
        <v>43617</v>
      </c>
      <c r="B513" s="34">
        <v>152</v>
      </c>
      <c r="C513" s="34" t="s">
        <v>102</v>
      </c>
      <c r="D513" s="34" t="str">
        <f>VLOOKUP(C513,'SALE PARTY MASTER'!$B$4:$E$500,2,FALSE)</f>
        <v>23AABCE9378F1ZK</v>
      </c>
      <c r="E513" s="34" t="s">
        <v>22</v>
      </c>
      <c r="F513" s="34" t="s">
        <v>1908</v>
      </c>
      <c r="G513" s="44">
        <v>43642</v>
      </c>
      <c r="H513" s="34">
        <v>87081090</v>
      </c>
      <c r="I513" s="34">
        <v>28</v>
      </c>
      <c r="J513" s="38">
        <v>10</v>
      </c>
      <c r="K513" s="40">
        <v>20215</v>
      </c>
      <c r="L513" s="41">
        <v>5660.2</v>
      </c>
      <c r="M513" s="41">
        <v>0</v>
      </c>
      <c r="N513" s="41">
        <v>0</v>
      </c>
      <c r="O513" s="41">
        <v>0</v>
      </c>
      <c r="P513" s="42">
        <v>25875.200000000001</v>
      </c>
      <c r="Q513" s="34" t="s">
        <v>25</v>
      </c>
      <c r="R513" s="34" t="s">
        <v>106</v>
      </c>
      <c r="S513" s="11" t="s">
        <v>4105</v>
      </c>
    </row>
    <row r="514" spans="1:19" x14ac:dyDescent="0.2">
      <c r="A514" s="33">
        <v>43617</v>
      </c>
      <c r="B514" s="34">
        <v>153</v>
      </c>
      <c r="C514" s="34" t="s">
        <v>45</v>
      </c>
      <c r="D514" s="34" t="str">
        <f>VLOOKUP(C514,'SALE PARTY MASTER'!$B$4:$E$500,2,FALSE)</f>
        <v>27AAACD4090Q1Z8</v>
      </c>
      <c r="E514" s="34" t="s">
        <v>22</v>
      </c>
      <c r="F514" s="34" t="s">
        <v>1909</v>
      </c>
      <c r="G514" s="44">
        <v>43642</v>
      </c>
      <c r="H514" s="34">
        <v>85129000</v>
      </c>
      <c r="I514" s="34">
        <v>18</v>
      </c>
      <c r="J514" s="38">
        <v>810</v>
      </c>
      <c r="K514" s="40">
        <v>98828.1</v>
      </c>
      <c r="L514" s="41">
        <v>0</v>
      </c>
      <c r="M514" s="41">
        <v>8894.5290000000005</v>
      </c>
      <c r="N514" s="41">
        <v>8894.5290000000005</v>
      </c>
      <c r="O514" s="41">
        <v>0</v>
      </c>
      <c r="P514" s="42">
        <v>116617.158</v>
      </c>
      <c r="Q514" s="34" t="s">
        <v>25</v>
      </c>
      <c r="R514" s="34" t="s">
        <v>26</v>
      </c>
      <c r="S514" s="11" t="s">
        <v>4105</v>
      </c>
    </row>
    <row r="515" spans="1:19" x14ac:dyDescent="0.2">
      <c r="A515" s="33">
        <v>43617</v>
      </c>
      <c r="B515" s="34">
        <v>154</v>
      </c>
      <c r="C515" s="34" t="s">
        <v>167</v>
      </c>
      <c r="D515" s="34" t="str">
        <f>VLOOKUP(C515,'SALE PARTY MASTER'!$B$4:$E$500,2,FALSE)</f>
        <v>27AABFP3834C1ZK</v>
      </c>
      <c r="E515" s="34" t="s">
        <v>22</v>
      </c>
      <c r="F515" s="34" t="s">
        <v>1910</v>
      </c>
      <c r="G515" s="44">
        <v>43642</v>
      </c>
      <c r="H515" s="34">
        <v>87141900</v>
      </c>
      <c r="I515" s="34">
        <v>28</v>
      </c>
      <c r="J515" s="38">
        <v>1515</v>
      </c>
      <c r="K515" s="40">
        <v>17522.150000000001</v>
      </c>
      <c r="L515" s="41">
        <v>0</v>
      </c>
      <c r="M515" s="41">
        <v>2453.1010000000001</v>
      </c>
      <c r="N515" s="41">
        <v>2453.1010000000001</v>
      </c>
      <c r="O515" s="41">
        <v>0</v>
      </c>
      <c r="P515" s="42">
        <v>22428.351999999999</v>
      </c>
      <c r="Q515" s="34" t="s">
        <v>25</v>
      </c>
      <c r="R515" s="34" t="s">
        <v>26</v>
      </c>
      <c r="S515" s="11" t="s">
        <v>4105</v>
      </c>
    </row>
    <row r="516" spans="1:19" x14ac:dyDescent="0.2">
      <c r="A516" s="33">
        <v>43617</v>
      </c>
      <c r="B516" s="34">
        <v>155</v>
      </c>
      <c r="C516" s="34" t="s">
        <v>28</v>
      </c>
      <c r="D516" s="34" t="str">
        <f>VLOOKUP(C516,'SALE PARTY MASTER'!$B$4:$E$500,2,FALSE)</f>
        <v>27AAECM8871A1ZF</v>
      </c>
      <c r="E516" s="34" t="s">
        <v>22</v>
      </c>
      <c r="F516" s="34" t="s">
        <v>1911</v>
      </c>
      <c r="G516" s="44">
        <v>43642</v>
      </c>
      <c r="H516" s="34">
        <v>87089900</v>
      </c>
      <c r="I516" s="34">
        <v>28</v>
      </c>
      <c r="J516" s="38">
        <v>12</v>
      </c>
      <c r="K516" s="40">
        <v>23508.6</v>
      </c>
      <c r="L516" s="41">
        <v>0</v>
      </c>
      <c r="M516" s="41">
        <v>3291.2039999999997</v>
      </c>
      <c r="N516" s="41">
        <v>3291.2039999999997</v>
      </c>
      <c r="O516" s="41">
        <v>0</v>
      </c>
      <c r="P516" s="42">
        <v>30090.997999999996</v>
      </c>
      <c r="Q516" s="34" t="s">
        <v>25</v>
      </c>
      <c r="R516" s="34" t="s">
        <v>26</v>
      </c>
      <c r="S516" s="11" t="s">
        <v>4105</v>
      </c>
    </row>
    <row r="517" spans="1:19" x14ac:dyDescent="0.2">
      <c r="A517" s="33">
        <v>43617</v>
      </c>
      <c r="B517" s="34">
        <v>156</v>
      </c>
      <c r="C517" s="34" t="s">
        <v>20</v>
      </c>
      <c r="D517" s="34" t="str">
        <f>VLOOKUP(C517,'SALE PARTY MASTER'!$B$4:$E$500,2,FALSE)</f>
        <v>27AABCM2508F1ZU</v>
      </c>
      <c r="E517" s="34" t="s">
        <v>22</v>
      </c>
      <c r="F517" s="34" t="s">
        <v>1912</v>
      </c>
      <c r="G517" s="44">
        <v>43643</v>
      </c>
      <c r="H517" s="34">
        <v>87141090</v>
      </c>
      <c r="I517" s="34">
        <v>28</v>
      </c>
      <c r="J517" s="38">
        <v>150</v>
      </c>
      <c r="K517" s="40">
        <v>5287.5</v>
      </c>
      <c r="L517" s="41">
        <v>0</v>
      </c>
      <c r="M517" s="41">
        <v>740.25</v>
      </c>
      <c r="N517" s="41">
        <v>740.25</v>
      </c>
      <c r="O517" s="41">
        <v>0</v>
      </c>
      <c r="P517" s="42">
        <v>6768</v>
      </c>
      <c r="Q517" s="34" t="s">
        <v>25</v>
      </c>
      <c r="R517" s="34" t="s">
        <v>26</v>
      </c>
      <c r="S517" s="11" t="s">
        <v>4105</v>
      </c>
    </row>
    <row r="518" spans="1:19" x14ac:dyDescent="0.2">
      <c r="A518" s="33">
        <v>43617</v>
      </c>
      <c r="B518" s="34">
        <v>157</v>
      </c>
      <c r="C518" s="34" t="s">
        <v>20</v>
      </c>
      <c r="D518" s="34" t="str">
        <f>VLOOKUP(C518,'SALE PARTY MASTER'!$B$4:$E$500,2,FALSE)</f>
        <v>27AABCM2508F1ZU</v>
      </c>
      <c r="E518" s="34" t="s">
        <v>22</v>
      </c>
      <c r="F518" s="34" t="s">
        <v>1913</v>
      </c>
      <c r="G518" s="44">
        <v>43643</v>
      </c>
      <c r="H518" s="34">
        <v>87141090</v>
      </c>
      <c r="I518" s="34">
        <v>28</v>
      </c>
      <c r="J518" s="38">
        <v>30</v>
      </c>
      <c r="K518" s="40">
        <v>2495.1</v>
      </c>
      <c r="L518" s="41">
        <v>0</v>
      </c>
      <c r="M518" s="41">
        <v>349.31400000000002</v>
      </c>
      <c r="N518" s="41">
        <v>349.31400000000002</v>
      </c>
      <c r="O518" s="41">
        <v>0</v>
      </c>
      <c r="P518" s="42">
        <v>3193.7279999999996</v>
      </c>
      <c r="Q518" s="34" t="s">
        <v>25</v>
      </c>
      <c r="R518" s="34" t="s">
        <v>26</v>
      </c>
      <c r="S518" s="11" t="s">
        <v>4105</v>
      </c>
    </row>
    <row r="519" spans="1:19" x14ac:dyDescent="0.2">
      <c r="A519" s="33">
        <v>43617</v>
      </c>
      <c r="B519" s="34">
        <v>158</v>
      </c>
      <c r="C519" s="34" t="s">
        <v>28</v>
      </c>
      <c r="D519" s="34" t="str">
        <f>VLOOKUP(C519,'SALE PARTY MASTER'!$B$4:$E$500,2,FALSE)</f>
        <v>27AAECM8871A1ZF</v>
      </c>
      <c r="E519" s="34" t="s">
        <v>22</v>
      </c>
      <c r="F519" s="34" t="s">
        <v>1914</v>
      </c>
      <c r="G519" s="44">
        <v>43643</v>
      </c>
      <c r="H519" s="34">
        <v>87089900</v>
      </c>
      <c r="I519" s="34">
        <v>28</v>
      </c>
      <c r="J519" s="38">
        <v>12</v>
      </c>
      <c r="K519" s="40">
        <v>23255.759999999998</v>
      </c>
      <c r="L519" s="41">
        <v>0</v>
      </c>
      <c r="M519" s="41">
        <v>3255.8063999999995</v>
      </c>
      <c r="N519" s="41">
        <v>3255.8063999999995</v>
      </c>
      <c r="O519" s="41">
        <v>0</v>
      </c>
      <c r="P519" s="42">
        <v>29767.382799999996</v>
      </c>
      <c r="Q519" s="34" t="s">
        <v>25</v>
      </c>
      <c r="R519" s="34" t="s">
        <v>26</v>
      </c>
      <c r="S519" s="11" t="s">
        <v>4105</v>
      </c>
    </row>
    <row r="520" spans="1:19" x14ac:dyDescent="0.2">
      <c r="A520" s="33">
        <v>43617</v>
      </c>
      <c r="B520" s="34">
        <v>159</v>
      </c>
      <c r="C520" s="34" t="s">
        <v>40</v>
      </c>
      <c r="D520" s="34" t="str">
        <f>VLOOKUP(C520,'SALE PARTY MASTER'!$B$4:$E$500,2,FALSE)</f>
        <v>27AAACT1848E1ZH</v>
      </c>
      <c r="E520" s="34" t="s">
        <v>22</v>
      </c>
      <c r="F520" s="34" t="s">
        <v>1915</v>
      </c>
      <c r="G520" s="44">
        <v>43643</v>
      </c>
      <c r="H520" s="34">
        <v>87089900</v>
      </c>
      <c r="I520" s="34">
        <v>28</v>
      </c>
      <c r="J520" s="38">
        <v>141</v>
      </c>
      <c r="K520" s="40">
        <v>101407.2</v>
      </c>
      <c r="L520" s="41">
        <v>0</v>
      </c>
      <c r="M520" s="41">
        <v>14197.008</v>
      </c>
      <c r="N520" s="41">
        <v>14197.008</v>
      </c>
      <c r="O520" s="41">
        <v>0</v>
      </c>
      <c r="P520" s="42">
        <v>129801.216</v>
      </c>
      <c r="Q520" s="34" t="s">
        <v>25</v>
      </c>
      <c r="R520" s="34" t="s">
        <v>26</v>
      </c>
      <c r="S520" s="11" t="s">
        <v>4105</v>
      </c>
    </row>
    <row r="521" spans="1:19" x14ac:dyDescent="0.2">
      <c r="A521" s="33">
        <v>43617</v>
      </c>
      <c r="B521" s="34">
        <v>160</v>
      </c>
      <c r="C521" s="34" t="s">
        <v>167</v>
      </c>
      <c r="D521" s="34" t="str">
        <f>VLOOKUP(C521,'SALE PARTY MASTER'!$B$4:$E$500,2,FALSE)</f>
        <v>27AABFP3834C1ZK</v>
      </c>
      <c r="E521" s="34" t="s">
        <v>22</v>
      </c>
      <c r="F521" s="34" t="s">
        <v>1916</v>
      </c>
      <c r="G521" s="44">
        <v>43644</v>
      </c>
      <c r="H521" s="34">
        <v>87141900</v>
      </c>
      <c r="I521" s="34">
        <v>28</v>
      </c>
      <c r="J521" s="38">
        <v>4200</v>
      </c>
      <c r="K521" s="40">
        <v>53278.400000000001</v>
      </c>
      <c r="L521" s="41">
        <v>0</v>
      </c>
      <c r="M521" s="41">
        <v>7458.9759999999997</v>
      </c>
      <c r="N521" s="41">
        <v>7458.9759999999997</v>
      </c>
      <c r="O521" s="41">
        <v>0</v>
      </c>
      <c r="P521" s="42">
        <v>68196.342000000004</v>
      </c>
      <c r="Q521" s="34" t="s">
        <v>25</v>
      </c>
      <c r="R521" s="34" t="s">
        <v>26</v>
      </c>
      <c r="S521" s="11" t="s">
        <v>4105</v>
      </c>
    </row>
    <row r="522" spans="1:19" x14ac:dyDescent="0.2">
      <c r="A522" s="33">
        <v>43617</v>
      </c>
      <c r="B522" s="34">
        <v>161</v>
      </c>
      <c r="C522" s="34" t="s">
        <v>28</v>
      </c>
      <c r="D522" s="34" t="str">
        <f>VLOOKUP(C522,'SALE PARTY MASTER'!$B$4:$E$500,2,FALSE)</f>
        <v>27AAECM8871A1ZF</v>
      </c>
      <c r="E522" s="34" t="s">
        <v>22</v>
      </c>
      <c r="F522" s="34" t="s">
        <v>1917</v>
      </c>
      <c r="G522" s="44">
        <v>43644</v>
      </c>
      <c r="H522" s="34">
        <v>87089900</v>
      </c>
      <c r="I522" s="34">
        <v>28</v>
      </c>
      <c r="J522" s="38">
        <v>12</v>
      </c>
      <c r="K522" s="40">
        <v>23255.759999999998</v>
      </c>
      <c r="L522" s="41">
        <v>0</v>
      </c>
      <c r="M522" s="41">
        <v>3255.8063999999995</v>
      </c>
      <c r="N522" s="41">
        <v>3255.8063999999995</v>
      </c>
      <c r="O522" s="41">
        <v>0</v>
      </c>
      <c r="P522" s="42">
        <v>29767.382799999996</v>
      </c>
      <c r="Q522" s="34" t="s">
        <v>25</v>
      </c>
      <c r="R522" s="34" t="s">
        <v>26</v>
      </c>
      <c r="S522" s="11" t="s">
        <v>4105</v>
      </c>
    </row>
    <row r="523" spans="1:19" x14ac:dyDescent="0.2">
      <c r="A523" s="33">
        <v>43617</v>
      </c>
      <c r="B523" s="34">
        <v>162</v>
      </c>
      <c r="C523" s="34" t="s">
        <v>73</v>
      </c>
      <c r="D523" s="34" t="str">
        <f>VLOOKUP(C523,'SALE PARTY MASTER'!$B$4:$E$500,2,FALSE)</f>
        <v>27AAACH4211R1ZF</v>
      </c>
      <c r="E523" s="34" t="s">
        <v>22</v>
      </c>
      <c r="F523" s="34" t="s">
        <v>1918</v>
      </c>
      <c r="G523" s="44">
        <v>43644</v>
      </c>
      <c r="H523" s="34">
        <v>85129000</v>
      </c>
      <c r="I523" s="34">
        <v>18</v>
      </c>
      <c r="J523" s="38">
        <v>1440</v>
      </c>
      <c r="K523" s="40">
        <v>36000</v>
      </c>
      <c r="L523" s="41">
        <v>0</v>
      </c>
      <c r="M523" s="41">
        <v>3240</v>
      </c>
      <c r="N523" s="41">
        <v>3240</v>
      </c>
      <c r="O523" s="41">
        <v>0</v>
      </c>
      <c r="P523" s="42">
        <v>42480</v>
      </c>
      <c r="Q523" s="34" t="s">
        <v>25</v>
      </c>
      <c r="R523" s="34" t="s">
        <v>26</v>
      </c>
      <c r="S523" s="11" t="s">
        <v>4105</v>
      </c>
    </row>
    <row r="524" spans="1:19" x14ac:dyDescent="0.2">
      <c r="A524" s="33">
        <v>43617</v>
      </c>
      <c r="B524" s="34">
        <v>163</v>
      </c>
      <c r="C524" s="34" t="s">
        <v>167</v>
      </c>
      <c r="D524" s="34" t="str">
        <f>VLOOKUP(C524,'SALE PARTY MASTER'!$B$4:$E$500,2,FALSE)</f>
        <v>27AABFP3834C1ZK</v>
      </c>
      <c r="E524" s="34" t="s">
        <v>22</v>
      </c>
      <c r="F524" s="34" t="s">
        <v>1919</v>
      </c>
      <c r="G524" s="44">
        <v>43645</v>
      </c>
      <c r="H524" s="34">
        <v>87141900</v>
      </c>
      <c r="I524" s="34">
        <v>28</v>
      </c>
      <c r="J524" s="38">
        <v>1800</v>
      </c>
      <c r="K524" s="40">
        <v>22712</v>
      </c>
      <c r="L524" s="41">
        <v>0</v>
      </c>
      <c r="M524" s="41">
        <v>3179.6800000000003</v>
      </c>
      <c r="N524" s="41">
        <v>3179.6800000000003</v>
      </c>
      <c r="O524" s="41">
        <v>0</v>
      </c>
      <c r="P524" s="42">
        <v>29071.360000000001</v>
      </c>
      <c r="Q524" s="34" t="s">
        <v>25</v>
      </c>
      <c r="R524" s="34" t="s">
        <v>26</v>
      </c>
      <c r="S524" s="11" t="s">
        <v>4105</v>
      </c>
    </row>
    <row r="525" spans="1:19" x14ac:dyDescent="0.2">
      <c r="A525" s="33">
        <v>43617</v>
      </c>
      <c r="B525" s="34">
        <v>164</v>
      </c>
      <c r="C525" s="34" t="s">
        <v>28</v>
      </c>
      <c r="D525" s="34" t="str">
        <f>VLOOKUP(C525,'SALE PARTY MASTER'!$B$4:$E$500,2,FALSE)</f>
        <v>27AAECM8871A1ZF</v>
      </c>
      <c r="E525" s="34" t="s">
        <v>22</v>
      </c>
      <c r="F525" s="34" t="s">
        <v>1920</v>
      </c>
      <c r="G525" s="44">
        <v>43645</v>
      </c>
      <c r="H525" s="34">
        <v>87089900</v>
      </c>
      <c r="I525" s="34">
        <v>28</v>
      </c>
      <c r="J525" s="38">
        <v>12</v>
      </c>
      <c r="K525" s="40">
        <v>23255.759999999998</v>
      </c>
      <c r="L525" s="41">
        <v>0</v>
      </c>
      <c r="M525" s="41">
        <v>3255.8063999999995</v>
      </c>
      <c r="N525" s="41">
        <v>3255.8063999999995</v>
      </c>
      <c r="O525" s="41">
        <v>0</v>
      </c>
      <c r="P525" s="42">
        <v>29767.382799999996</v>
      </c>
      <c r="Q525" s="34" t="s">
        <v>25</v>
      </c>
      <c r="R525" s="34" t="s">
        <v>26</v>
      </c>
      <c r="S525" s="11" t="s">
        <v>4105</v>
      </c>
    </row>
    <row r="526" spans="1:19" x14ac:dyDescent="0.2">
      <c r="A526" s="33">
        <v>43617</v>
      </c>
      <c r="B526" s="34">
        <v>165</v>
      </c>
      <c r="C526" s="34" t="s">
        <v>73</v>
      </c>
      <c r="D526" s="34" t="str">
        <f>VLOOKUP(C526,'SALE PARTY MASTER'!$B$4:$E$500,2,FALSE)</f>
        <v>27AAACH4211R1ZF</v>
      </c>
      <c r="E526" s="34" t="s">
        <v>22</v>
      </c>
      <c r="F526" s="34" t="s">
        <v>1921</v>
      </c>
      <c r="G526" s="44">
        <v>43645</v>
      </c>
      <c r="H526" s="34">
        <v>85129000</v>
      </c>
      <c r="I526" s="34">
        <v>18</v>
      </c>
      <c r="J526" s="38">
        <v>1920</v>
      </c>
      <c r="K526" s="40">
        <v>48000</v>
      </c>
      <c r="L526" s="41">
        <v>0</v>
      </c>
      <c r="M526" s="41">
        <v>4320</v>
      </c>
      <c r="N526" s="41">
        <v>4320</v>
      </c>
      <c r="O526" s="41">
        <v>0</v>
      </c>
      <c r="P526" s="42">
        <v>56640</v>
      </c>
      <c r="Q526" s="34" t="s">
        <v>25</v>
      </c>
      <c r="R526" s="34" t="s">
        <v>26</v>
      </c>
      <c r="S526" s="11" t="s">
        <v>4105</v>
      </c>
    </row>
    <row r="527" spans="1:19" x14ac:dyDescent="0.2">
      <c r="A527" s="33">
        <v>43617</v>
      </c>
      <c r="B527" s="34">
        <v>166</v>
      </c>
      <c r="C527" s="34" t="s">
        <v>45</v>
      </c>
      <c r="D527" s="34" t="str">
        <f>VLOOKUP(C527,'SALE PARTY MASTER'!$B$4:$E$500,2,FALSE)</f>
        <v>27AAACD4090Q1Z8</v>
      </c>
      <c r="E527" s="34" t="s">
        <v>22</v>
      </c>
      <c r="F527" s="34" t="s">
        <v>1922</v>
      </c>
      <c r="G527" s="44">
        <v>43645</v>
      </c>
      <c r="H527" s="34">
        <v>85129000</v>
      </c>
      <c r="I527" s="34">
        <v>18</v>
      </c>
      <c r="J527" s="38">
        <v>972</v>
      </c>
      <c r="K527" s="40">
        <v>118593.72</v>
      </c>
      <c r="L527" s="41">
        <v>0</v>
      </c>
      <c r="M527" s="41">
        <v>10673.434800000001</v>
      </c>
      <c r="N527" s="41">
        <v>10673.434800000001</v>
      </c>
      <c r="O527" s="41">
        <v>0</v>
      </c>
      <c r="P527" s="42">
        <v>139940.5796</v>
      </c>
      <c r="Q527" s="34" t="s">
        <v>25</v>
      </c>
      <c r="R527" s="34" t="s">
        <v>26</v>
      </c>
      <c r="S527" s="11" t="s">
        <v>4105</v>
      </c>
    </row>
    <row r="528" spans="1:19" x14ac:dyDescent="0.2">
      <c r="A528" s="33">
        <v>43617</v>
      </c>
      <c r="B528" s="34">
        <v>167</v>
      </c>
      <c r="C528" s="34" t="s">
        <v>155</v>
      </c>
      <c r="D528" s="34" t="str">
        <f>VLOOKUP(C528,'SALE PARTY MASTER'!$B$4:$E$500,2,FALSE)</f>
        <v>27AAGCP0139E1ZP</v>
      </c>
      <c r="E528" s="34" t="s">
        <v>22</v>
      </c>
      <c r="F528" s="34" t="s">
        <v>1923</v>
      </c>
      <c r="G528" s="44">
        <v>43645</v>
      </c>
      <c r="H528" s="34">
        <v>87141090</v>
      </c>
      <c r="I528" s="34">
        <v>28</v>
      </c>
      <c r="J528" s="38">
        <v>16</v>
      </c>
      <c r="K528" s="40">
        <v>1205.92</v>
      </c>
      <c r="L528" s="41">
        <v>0</v>
      </c>
      <c r="M528" s="41">
        <v>168.8288</v>
      </c>
      <c r="N528" s="41">
        <v>168.8288</v>
      </c>
      <c r="O528" s="41">
        <v>0</v>
      </c>
      <c r="P528" s="42">
        <v>1543.5776000000001</v>
      </c>
      <c r="Q528" s="34" t="s">
        <v>25</v>
      </c>
      <c r="R528" s="34" t="s">
        <v>26</v>
      </c>
      <c r="S528" s="11" t="s">
        <v>4105</v>
      </c>
    </row>
    <row r="529" spans="1:19" x14ac:dyDescent="0.2">
      <c r="A529" s="33">
        <v>43617</v>
      </c>
      <c r="B529" s="34">
        <v>168</v>
      </c>
      <c r="C529" s="34" t="s">
        <v>155</v>
      </c>
      <c r="D529" s="34" t="str">
        <f>VLOOKUP(C529,'SALE PARTY MASTER'!$B$4:$E$500,2,FALSE)</f>
        <v>27AAGCP0139E1ZP</v>
      </c>
      <c r="E529" s="34" t="s">
        <v>22</v>
      </c>
      <c r="F529" s="34" t="s">
        <v>1924</v>
      </c>
      <c r="G529" s="44">
        <v>43645</v>
      </c>
      <c r="H529" s="34">
        <v>87141090</v>
      </c>
      <c r="I529" s="34">
        <v>28</v>
      </c>
      <c r="J529" s="38">
        <v>98</v>
      </c>
      <c r="K529" s="40">
        <v>7386.26</v>
      </c>
      <c r="L529" s="41">
        <v>0</v>
      </c>
      <c r="M529" s="41">
        <v>1034.0763999999999</v>
      </c>
      <c r="N529" s="41">
        <v>1034.0763999999999</v>
      </c>
      <c r="O529" s="41">
        <v>0</v>
      </c>
      <c r="P529" s="42">
        <v>9454.4228000000003</v>
      </c>
      <c r="Q529" s="34" t="s">
        <v>25</v>
      </c>
      <c r="R529" s="34" t="s">
        <v>26</v>
      </c>
      <c r="S529" s="11" t="s">
        <v>4105</v>
      </c>
    </row>
    <row r="530" spans="1:19" x14ac:dyDescent="0.2">
      <c r="A530" s="33">
        <v>43617</v>
      </c>
      <c r="B530" s="34">
        <v>169</v>
      </c>
      <c r="C530" s="34" t="s">
        <v>155</v>
      </c>
      <c r="D530" s="34" t="str">
        <f>VLOOKUP(C530,'SALE PARTY MASTER'!$B$4:$E$500,2,FALSE)</f>
        <v>27AAGCP0139E1ZP</v>
      </c>
      <c r="E530" s="34" t="s">
        <v>22</v>
      </c>
      <c r="F530" s="34" t="s">
        <v>1925</v>
      </c>
      <c r="G530" s="44">
        <v>43645</v>
      </c>
      <c r="H530" s="34">
        <v>87141090</v>
      </c>
      <c r="I530" s="34">
        <v>28</v>
      </c>
      <c r="J530" s="38">
        <v>466</v>
      </c>
      <c r="K530" s="40">
        <v>35122.42</v>
      </c>
      <c r="L530" s="41">
        <v>0</v>
      </c>
      <c r="M530" s="41">
        <v>4917.1387999999997</v>
      </c>
      <c r="N530" s="41">
        <v>4917.1387999999997</v>
      </c>
      <c r="O530" s="41">
        <v>0</v>
      </c>
      <c r="P530" s="42">
        <v>44956.6976</v>
      </c>
      <c r="Q530" s="34" t="s">
        <v>25</v>
      </c>
      <c r="R530" s="34" t="s">
        <v>26</v>
      </c>
      <c r="S530" s="11" t="s">
        <v>4105</v>
      </c>
    </row>
    <row r="531" spans="1:19" x14ac:dyDescent="0.2">
      <c r="A531" s="33">
        <v>43617</v>
      </c>
      <c r="B531" s="34">
        <v>170</v>
      </c>
      <c r="C531" s="34" t="s">
        <v>167</v>
      </c>
      <c r="D531" s="34" t="str">
        <f>VLOOKUP(C531,'SALE PARTY MASTER'!$B$4:$E$500,2,FALSE)</f>
        <v>27AABFP3834C1ZK</v>
      </c>
      <c r="E531" s="34" t="s">
        <v>22</v>
      </c>
      <c r="F531" s="34" t="s">
        <v>1926</v>
      </c>
      <c r="G531" s="44">
        <v>43645</v>
      </c>
      <c r="H531" s="34">
        <v>87141900</v>
      </c>
      <c r="I531" s="34">
        <v>28</v>
      </c>
      <c r="J531" s="38">
        <v>2120</v>
      </c>
      <c r="K531" s="40">
        <v>26064</v>
      </c>
      <c r="L531" s="41">
        <v>0</v>
      </c>
      <c r="M531" s="41">
        <v>3648.96</v>
      </c>
      <c r="N531" s="41">
        <v>3648.96</v>
      </c>
      <c r="O531" s="41">
        <v>0</v>
      </c>
      <c r="P531" s="42">
        <v>33361.919999999998</v>
      </c>
      <c r="Q531" s="34" t="s">
        <v>25</v>
      </c>
      <c r="R531" s="34" t="s">
        <v>26</v>
      </c>
      <c r="S531" s="11" t="s">
        <v>4105</v>
      </c>
    </row>
    <row r="532" spans="1:19" x14ac:dyDescent="0.2">
      <c r="A532" s="33">
        <v>43617</v>
      </c>
      <c r="B532" s="34"/>
      <c r="C532" s="34" t="s">
        <v>167</v>
      </c>
      <c r="D532" s="34" t="str">
        <f>VLOOKUP(C532,'SALE PARTY MASTER'!$B$4:$E$500,2,FALSE)</f>
        <v>27AABFP3834C1ZK</v>
      </c>
      <c r="E532" s="34" t="s">
        <v>220</v>
      </c>
      <c r="F532" s="34">
        <v>19200007</v>
      </c>
      <c r="G532" s="44">
        <v>43621</v>
      </c>
      <c r="H532" s="34">
        <v>87141900</v>
      </c>
      <c r="I532" s="34">
        <v>28</v>
      </c>
      <c r="J532" s="38">
        <v>2120</v>
      </c>
      <c r="K532" s="40">
        <v>-10824.19</v>
      </c>
      <c r="L532" s="41">
        <v>0</v>
      </c>
      <c r="M532" s="41">
        <v>-1515.3866</v>
      </c>
      <c r="N532" s="41">
        <v>-1515.3866</v>
      </c>
      <c r="O532" s="41">
        <v>0</v>
      </c>
      <c r="P532" s="42">
        <v>-13854.9632</v>
      </c>
      <c r="Q532" s="34" t="s">
        <v>334</v>
      </c>
      <c r="R532" s="34" t="s">
        <v>26</v>
      </c>
      <c r="S532" s="11" t="s">
        <v>4105</v>
      </c>
    </row>
    <row r="533" spans="1:19" x14ac:dyDescent="0.2">
      <c r="A533" s="33">
        <v>43617</v>
      </c>
      <c r="B533" s="34"/>
      <c r="C533" s="34" t="s">
        <v>155</v>
      </c>
      <c r="D533" s="34" t="str">
        <f>VLOOKUP(C533,'SALE PARTY MASTER'!$B$4:$E$500,2,FALSE)</f>
        <v>27AAGCP0139E1ZP</v>
      </c>
      <c r="E533" s="34" t="s">
        <v>220</v>
      </c>
      <c r="F533" s="34" t="s">
        <v>1927</v>
      </c>
      <c r="G533" s="44">
        <v>43637</v>
      </c>
      <c r="H533" s="34">
        <v>87141090</v>
      </c>
      <c r="I533" s="34">
        <v>28</v>
      </c>
      <c r="J533" s="38">
        <v>2120</v>
      </c>
      <c r="K533" s="40">
        <v>-1205.92</v>
      </c>
      <c r="L533" s="41">
        <v>0</v>
      </c>
      <c r="M533" s="41">
        <v>-168.8288</v>
      </c>
      <c r="N533" s="41">
        <v>-168.8288</v>
      </c>
      <c r="O533" s="41">
        <v>0</v>
      </c>
      <c r="P533" s="42">
        <v>-1543.5776000000001</v>
      </c>
      <c r="Q533" s="34" t="s">
        <v>334</v>
      </c>
      <c r="R533" s="34" t="s">
        <v>26</v>
      </c>
      <c r="S533" s="11" t="s">
        <v>4105</v>
      </c>
    </row>
    <row r="534" spans="1:19" x14ac:dyDescent="0.2">
      <c r="A534" s="33">
        <v>43617</v>
      </c>
      <c r="B534" s="34"/>
      <c r="C534" s="34" t="s">
        <v>155</v>
      </c>
      <c r="D534" s="34" t="str">
        <f>VLOOKUP(C534,'SALE PARTY MASTER'!$B$4:$E$500,2,FALSE)</f>
        <v>27AAGCP0139E1ZP</v>
      </c>
      <c r="E534" s="34" t="s">
        <v>220</v>
      </c>
      <c r="F534" s="34" t="s">
        <v>1928</v>
      </c>
      <c r="G534" s="44">
        <v>43634</v>
      </c>
      <c r="H534" s="34">
        <v>87141090</v>
      </c>
      <c r="I534" s="34">
        <v>28</v>
      </c>
      <c r="J534" s="38">
        <v>2120</v>
      </c>
      <c r="K534" s="40">
        <v>-7386.26</v>
      </c>
      <c r="L534" s="41">
        <v>0</v>
      </c>
      <c r="M534" s="41">
        <v>-1034.0763999999999</v>
      </c>
      <c r="N534" s="41">
        <v>-1034.0763999999999</v>
      </c>
      <c r="O534" s="41">
        <v>0</v>
      </c>
      <c r="P534" s="42">
        <v>-9454.4128000000001</v>
      </c>
      <c r="Q534" s="34" t="s">
        <v>334</v>
      </c>
      <c r="R534" s="34" t="s">
        <v>26</v>
      </c>
      <c r="S534" s="11" t="s">
        <v>4105</v>
      </c>
    </row>
    <row r="535" spans="1:19" x14ac:dyDescent="0.2">
      <c r="A535" s="33">
        <v>43617</v>
      </c>
      <c r="B535" s="34"/>
      <c r="C535" s="34" t="s">
        <v>102</v>
      </c>
      <c r="D535" s="34" t="str">
        <f>VLOOKUP(C535,'SALE PARTY MASTER'!$B$4:$E$500,2,FALSE)</f>
        <v>23AABCE9378F1ZK</v>
      </c>
      <c r="E535" s="34" t="s">
        <v>220</v>
      </c>
      <c r="F535" s="34" t="s">
        <v>1929</v>
      </c>
      <c r="G535" s="44">
        <v>43637</v>
      </c>
      <c r="H535" s="34">
        <v>87081090</v>
      </c>
      <c r="I535" s="34">
        <v>28</v>
      </c>
      <c r="J535" s="38">
        <v>2120</v>
      </c>
      <c r="K535" s="40">
        <v>-16172</v>
      </c>
      <c r="L535" s="41">
        <v>-4528.16</v>
      </c>
      <c r="M535" s="41">
        <v>0</v>
      </c>
      <c r="N535" s="41">
        <v>0</v>
      </c>
      <c r="O535" s="41">
        <v>0</v>
      </c>
      <c r="P535" s="42">
        <v>-20700.16</v>
      </c>
      <c r="Q535" s="34" t="s">
        <v>334</v>
      </c>
      <c r="R535" s="34" t="s">
        <v>106</v>
      </c>
      <c r="S535" s="11" t="s">
        <v>4105</v>
      </c>
    </row>
    <row r="536" spans="1:19" x14ac:dyDescent="0.2">
      <c r="A536" s="33">
        <v>43617</v>
      </c>
      <c r="B536" s="34"/>
      <c r="C536" s="34" t="s">
        <v>155</v>
      </c>
      <c r="D536" s="34" t="str">
        <f>VLOOKUP(C536,'SALE PARTY MASTER'!$B$4:$E$500,2,FALSE)</f>
        <v>27AAGCP0139E1ZP</v>
      </c>
      <c r="E536" s="34" t="s">
        <v>220</v>
      </c>
      <c r="F536" s="34" t="s">
        <v>1930</v>
      </c>
      <c r="G536" s="44">
        <v>43645</v>
      </c>
      <c r="H536" s="34">
        <v>87141090</v>
      </c>
      <c r="I536" s="34">
        <v>28</v>
      </c>
      <c r="J536" s="38">
        <v>2120</v>
      </c>
      <c r="K536" s="40">
        <v>-904.44</v>
      </c>
      <c r="L536" s="41">
        <v>0</v>
      </c>
      <c r="M536" s="41">
        <v>-126.62160000000002</v>
      </c>
      <c r="N536" s="41">
        <v>-126.62160000000002</v>
      </c>
      <c r="O536" s="41">
        <v>0</v>
      </c>
      <c r="P536" s="42">
        <v>-1157.6832000000002</v>
      </c>
      <c r="Q536" s="34" t="s">
        <v>334</v>
      </c>
      <c r="R536" s="34" t="s">
        <v>26</v>
      </c>
      <c r="S536" s="11" t="s">
        <v>4105</v>
      </c>
    </row>
    <row r="537" spans="1:19" x14ac:dyDescent="0.2">
      <c r="A537" s="33">
        <v>43617</v>
      </c>
      <c r="B537" s="34"/>
      <c r="C537" s="34" t="s">
        <v>102</v>
      </c>
      <c r="D537" s="34" t="str">
        <f>VLOOKUP(C537,'SALE PARTY MASTER'!$B$4:$E$500,2,FALSE)</f>
        <v>23AABCE9378F1ZK</v>
      </c>
      <c r="E537" s="34" t="s">
        <v>220</v>
      </c>
      <c r="F537" s="34" t="s">
        <v>1931</v>
      </c>
      <c r="G537" s="44">
        <v>43642</v>
      </c>
      <c r="H537" s="34">
        <v>87081090</v>
      </c>
      <c r="I537" s="34">
        <v>28</v>
      </c>
      <c r="J537" s="38">
        <v>2120</v>
      </c>
      <c r="K537" s="40">
        <v>-4043</v>
      </c>
      <c r="L537" s="41">
        <v>-1132.04</v>
      </c>
      <c r="M537" s="41">
        <v>0</v>
      </c>
      <c r="N537" s="41">
        <v>0</v>
      </c>
      <c r="O537" s="41">
        <v>0</v>
      </c>
      <c r="P537" s="42">
        <v>-5175.04</v>
      </c>
      <c r="Q537" s="34" t="s">
        <v>334</v>
      </c>
      <c r="R537" s="34" t="s">
        <v>106</v>
      </c>
      <c r="S537" s="11" t="s">
        <v>4105</v>
      </c>
    </row>
    <row r="538" spans="1:19" x14ac:dyDescent="0.2">
      <c r="A538" s="33">
        <v>43617</v>
      </c>
      <c r="B538" s="34"/>
      <c r="C538" s="34" t="s">
        <v>102</v>
      </c>
      <c r="D538" s="34" t="str">
        <f>VLOOKUP(C538,'SALE PARTY MASTER'!$B$4:$E$500,2,FALSE)</f>
        <v>23AABCE9378F1ZK</v>
      </c>
      <c r="E538" s="34" t="s">
        <v>220</v>
      </c>
      <c r="F538" s="34" t="s">
        <v>1932</v>
      </c>
      <c r="G538" s="44">
        <v>43642</v>
      </c>
      <c r="H538" s="34">
        <v>87081090</v>
      </c>
      <c r="I538" s="34">
        <v>28</v>
      </c>
      <c r="J538" s="38">
        <v>2120</v>
      </c>
      <c r="K538" s="40">
        <v>-2021.5</v>
      </c>
      <c r="L538" s="41">
        <v>-566.02</v>
      </c>
      <c r="M538" s="41">
        <v>0</v>
      </c>
      <c r="N538" s="41">
        <v>0</v>
      </c>
      <c r="O538" s="41">
        <v>0</v>
      </c>
      <c r="P538" s="42">
        <v>-2587.52</v>
      </c>
      <c r="Q538" s="34" t="s">
        <v>334</v>
      </c>
      <c r="R538" s="34" t="s">
        <v>106</v>
      </c>
      <c r="S538" s="11" t="s">
        <v>4105</v>
      </c>
    </row>
    <row r="539" spans="1:19" x14ac:dyDescent="0.2">
      <c r="A539" s="33">
        <v>43617</v>
      </c>
      <c r="B539" s="34"/>
      <c r="C539" s="34" t="s">
        <v>102</v>
      </c>
      <c r="D539" s="34" t="str">
        <f>VLOOKUP(C539,'SALE PARTY MASTER'!$B$4:$E$500,2,FALSE)</f>
        <v>23AABCE9378F1ZK</v>
      </c>
      <c r="E539" s="34" t="s">
        <v>220</v>
      </c>
      <c r="F539" s="34" t="s">
        <v>1933</v>
      </c>
      <c r="G539" s="44">
        <v>43642</v>
      </c>
      <c r="H539" s="34">
        <v>87081090</v>
      </c>
      <c r="I539" s="34">
        <v>28</v>
      </c>
      <c r="J539" s="38">
        <v>2120</v>
      </c>
      <c r="K539" s="40">
        <v>-6064.5</v>
      </c>
      <c r="L539" s="41">
        <v>-1698.0600000000002</v>
      </c>
      <c r="M539" s="41">
        <v>0</v>
      </c>
      <c r="N539" s="41">
        <v>0</v>
      </c>
      <c r="O539" s="41">
        <v>0</v>
      </c>
      <c r="P539" s="42">
        <v>-7762.56</v>
      </c>
      <c r="Q539" s="34" t="s">
        <v>334</v>
      </c>
      <c r="R539" s="34" t="s">
        <v>106</v>
      </c>
      <c r="S539" s="11" t="s">
        <v>4105</v>
      </c>
    </row>
    <row r="540" spans="1:19" x14ac:dyDescent="0.2">
      <c r="A540" s="33">
        <v>43617</v>
      </c>
      <c r="B540" s="34"/>
      <c r="C540" s="34" t="s">
        <v>102</v>
      </c>
      <c r="D540" s="34" t="str">
        <f>VLOOKUP(C540,'SALE PARTY MASTER'!$B$4:$E$500,2,FALSE)</f>
        <v>23AABCE9378F1ZK</v>
      </c>
      <c r="E540" s="34" t="s">
        <v>220</v>
      </c>
      <c r="F540" s="34" t="s">
        <v>1934</v>
      </c>
      <c r="G540" s="44">
        <v>43642</v>
      </c>
      <c r="H540" s="34">
        <v>87081090</v>
      </c>
      <c r="I540" s="34">
        <v>28</v>
      </c>
      <c r="J540" s="38">
        <v>2120</v>
      </c>
      <c r="K540" s="40">
        <v>-2148.8000000000002</v>
      </c>
      <c r="L540" s="41">
        <v>-601.6640000000001</v>
      </c>
      <c r="M540" s="41">
        <v>0</v>
      </c>
      <c r="N540" s="41">
        <v>0</v>
      </c>
      <c r="O540" s="41">
        <v>0</v>
      </c>
      <c r="P540" s="42">
        <v>-2750.4640000000004</v>
      </c>
      <c r="Q540" s="34" t="s">
        <v>334</v>
      </c>
      <c r="R540" s="34" t="s">
        <v>106</v>
      </c>
      <c r="S540" s="11" t="s">
        <v>4105</v>
      </c>
    </row>
    <row r="541" spans="1:19" x14ac:dyDescent="0.2">
      <c r="A541" s="45">
        <v>43617</v>
      </c>
      <c r="B541" s="46">
        <v>127</v>
      </c>
      <c r="C541" s="46" t="s">
        <v>20</v>
      </c>
      <c r="D541" s="46" t="str">
        <f>VLOOKUP(C541,'SALE PARTY MASTER'!$B$4:$E$500,2,FALSE)</f>
        <v>27AABCM2508F1ZU</v>
      </c>
      <c r="E541" s="46" t="s">
        <v>366</v>
      </c>
      <c r="F541" s="46" t="s">
        <v>184</v>
      </c>
      <c r="G541" s="47" t="s">
        <v>1935</v>
      </c>
      <c r="H541" s="46"/>
      <c r="I541" s="46">
        <v>28</v>
      </c>
      <c r="J541" s="46">
        <v>64</v>
      </c>
      <c r="K541" s="48">
        <v>563420.05000000005</v>
      </c>
      <c r="L541" s="49">
        <v>0</v>
      </c>
      <c r="M541" s="49">
        <v>78878.807000000015</v>
      </c>
      <c r="N541" s="49">
        <v>78878.807000000015</v>
      </c>
      <c r="O541" s="49">
        <v>0</v>
      </c>
      <c r="P541" s="48">
        <v>800056.47100000014</v>
      </c>
      <c r="Q541" s="46" t="s">
        <v>391</v>
      </c>
      <c r="R541" s="46" t="s">
        <v>26</v>
      </c>
      <c r="S541" s="11" t="s">
        <v>4105</v>
      </c>
    </row>
    <row r="542" spans="1:19" x14ac:dyDescent="0.2">
      <c r="A542" s="33"/>
      <c r="B542" s="34"/>
      <c r="C542" s="34"/>
      <c r="D542" s="34"/>
      <c r="E542" s="34"/>
      <c r="F542" s="34"/>
      <c r="G542" s="44"/>
      <c r="H542" s="34"/>
      <c r="I542" s="34"/>
      <c r="J542" s="38"/>
      <c r="K542" s="40"/>
      <c r="L542" s="41"/>
      <c r="M542" s="41"/>
      <c r="N542" s="41"/>
      <c r="O542" s="41"/>
      <c r="P542" s="42"/>
      <c r="Q542" s="34" t="s">
        <v>25</v>
      </c>
      <c r="R542" s="34"/>
      <c r="S542" s="11" t="s">
        <v>4105</v>
      </c>
    </row>
    <row r="543" spans="1:19" x14ac:dyDescent="0.2">
      <c r="A543" s="33"/>
      <c r="B543" s="34"/>
      <c r="C543" s="34"/>
      <c r="D543" s="34"/>
      <c r="E543" s="34"/>
      <c r="F543" s="34"/>
      <c r="G543" s="44"/>
      <c r="H543" s="34"/>
      <c r="I543" s="34"/>
      <c r="J543" s="38"/>
      <c r="K543" s="40"/>
      <c r="L543" s="41"/>
      <c r="M543" s="41"/>
      <c r="N543" s="41"/>
      <c r="O543" s="41"/>
      <c r="P543" s="42"/>
      <c r="Q543" s="34" t="s">
        <v>25</v>
      </c>
      <c r="R543" s="34"/>
      <c r="S543" s="11" t="s">
        <v>4105</v>
      </c>
    </row>
    <row r="544" spans="1:19" x14ac:dyDescent="0.2">
      <c r="A544" s="33"/>
      <c r="B544" s="34"/>
      <c r="C544" s="34"/>
      <c r="D544" s="34"/>
      <c r="E544" s="34"/>
      <c r="F544" s="34"/>
      <c r="G544" s="44"/>
      <c r="H544" s="34"/>
      <c r="I544" s="34"/>
      <c r="J544" s="38"/>
      <c r="K544" s="40"/>
      <c r="L544" s="41"/>
      <c r="M544" s="41"/>
      <c r="N544" s="41"/>
      <c r="O544" s="41"/>
      <c r="P544" s="42"/>
      <c r="Q544" s="34" t="s">
        <v>25</v>
      </c>
      <c r="R544" s="34" t="e">
        <v>#N/A</v>
      </c>
      <c r="S544" s="11" t="s">
        <v>4105</v>
      </c>
    </row>
    <row r="545" spans="1:19" x14ac:dyDescent="0.2">
      <c r="A545" s="33">
        <v>43647</v>
      </c>
      <c r="B545" s="34">
        <v>1</v>
      </c>
      <c r="C545" s="34" t="s">
        <v>224</v>
      </c>
      <c r="D545" s="34" t="str">
        <f>VLOOKUP(C545,'SALE PARTY MASTER'!$B$4:$E$500,2,FALSE)</f>
        <v>27AAACV2420J1ZI</v>
      </c>
      <c r="E545" s="34" t="s">
        <v>22</v>
      </c>
      <c r="F545" s="34" t="s">
        <v>1936</v>
      </c>
      <c r="G545" s="44">
        <v>43647</v>
      </c>
      <c r="H545" s="34">
        <v>87142090</v>
      </c>
      <c r="I545" s="34">
        <v>28</v>
      </c>
      <c r="J545" s="38">
        <v>432</v>
      </c>
      <c r="K545" s="40">
        <v>19042.560000000001</v>
      </c>
      <c r="L545" s="41">
        <v>0</v>
      </c>
      <c r="M545" s="41">
        <v>2665.9584</v>
      </c>
      <c r="N545" s="41">
        <v>2665.9584</v>
      </c>
      <c r="O545" s="41">
        <v>0</v>
      </c>
      <c r="P545" s="42">
        <v>24374.4768</v>
      </c>
      <c r="Q545" s="34" t="s">
        <v>25</v>
      </c>
      <c r="R545" s="34" t="s">
        <v>26</v>
      </c>
      <c r="S545" s="11" t="s">
        <v>4105</v>
      </c>
    </row>
    <row r="546" spans="1:19" x14ac:dyDescent="0.2">
      <c r="A546" s="33">
        <v>43647</v>
      </c>
      <c r="B546" s="34"/>
      <c r="C546" s="34" t="s">
        <v>224</v>
      </c>
      <c r="D546" s="34" t="str">
        <f>VLOOKUP(C546,'SALE PARTY MASTER'!$B$4:$E$500,2,FALSE)</f>
        <v>27AAACV2420J1ZI</v>
      </c>
      <c r="E546" s="34" t="s">
        <v>22</v>
      </c>
      <c r="F546" s="34" t="s">
        <v>1936</v>
      </c>
      <c r="G546" s="44">
        <v>43647</v>
      </c>
      <c r="H546" s="34">
        <v>85119000</v>
      </c>
      <c r="I546" s="34">
        <v>28</v>
      </c>
      <c r="J546" s="38">
        <v>432</v>
      </c>
      <c r="K546" s="40">
        <v>36623.4</v>
      </c>
      <c r="L546" s="41">
        <v>0</v>
      </c>
      <c r="M546" s="41">
        <v>5127.2760000000007</v>
      </c>
      <c r="N546" s="41">
        <v>5127.2760000000007</v>
      </c>
      <c r="O546" s="41">
        <v>0</v>
      </c>
      <c r="P546" s="42">
        <v>46877.962</v>
      </c>
      <c r="Q546" s="34" t="s">
        <v>25</v>
      </c>
      <c r="R546" s="34" t="s">
        <v>26</v>
      </c>
      <c r="S546" s="11" t="s">
        <v>4105</v>
      </c>
    </row>
    <row r="547" spans="1:19" x14ac:dyDescent="0.2">
      <c r="A547" s="33">
        <v>43647</v>
      </c>
      <c r="B547" s="34">
        <v>2</v>
      </c>
      <c r="C547" s="34" t="s">
        <v>40</v>
      </c>
      <c r="D547" s="34" t="str">
        <f>VLOOKUP(C547,'SALE PARTY MASTER'!$B$4:$E$500,2,FALSE)</f>
        <v>27AAACT1848E1ZH</v>
      </c>
      <c r="E547" s="34" t="s">
        <v>22</v>
      </c>
      <c r="F547" s="34" t="s">
        <v>1937</v>
      </c>
      <c r="G547" s="44">
        <v>43647</v>
      </c>
      <c r="H547" s="34">
        <v>87089900</v>
      </c>
      <c r="I547" s="34">
        <v>28</v>
      </c>
      <c r="J547" s="38">
        <v>32</v>
      </c>
      <c r="K547" s="40">
        <v>18987.68</v>
      </c>
      <c r="L547" s="41">
        <v>0</v>
      </c>
      <c r="M547" s="41">
        <v>2658.2752</v>
      </c>
      <c r="N547" s="41">
        <v>2658.2752</v>
      </c>
      <c r="O547" s="41">
        <v>0</v>
      </c>
      <c r="P547" s="42">
        <v>24304.240399999999</v>
      </c>
      <c r="Q547" s="34" t="s">
        <v>25</v>
      </c>
      <c r="R547" s="34" t="s">
        <v>26</v>
      </c>
      <c r="S547" s="11" t="s">
        <v>4105</v>
      </c>
    </row>
    <row r="548" spans="1:19" x14ac:dyDescent="0.2">
      <c r="A548" s="33">
        <v>43647</v>
      </c>
      <c r="B548" s="34">
        <v>3</v>
      </c>
      <c r="C548" s="34" t="s">
        <v>167</v>
      </c>
      <c r="D548" s="34" t="str">
        <f>VLOOKUP(C548,'SALE PARTY MASTER'!$B$4:$E$500,2,FALSE)</f>
        <v>27AABFP3834C1ZK</v>
      </c>
      <c r="E548" s="34" t="s">
        <v>22</v>
      </c>
      <c r="F548" s="34" t="s">
        <v>1938</v>
      </c>
      <c r="G548" s="44">
        <v>43647</v>
      </c>
      <c r="H548" s="34">
        <v>87141900</v>
      </c>
      <c r="I548" s="34">
        <v>28</v>
      </c>
      <c r="J548" s="38">
        <v>1504</v>
      </c>
      <c r="K548" s="40">
        <v>18531.439999999999</v>
      </c>
      <c r="L548" s="41">
        <v>0</v>
      </c>
      <c r="M548" s="41">
        <v>2594.4015999999997</v>
      </c>
      <c r="N548" s="41">
        <v>2594.4015999999997</v>
      </c>
      <c r="O548" s="41">
        <v>0</v>
      </c>
      <c r="P548" s="42">
        <v>23720.243200000001</v>
      </c>
      <c r="Q548" s="34" t="s">
        <v>25</v>
      </c>
      <c r="R548" s="34" t="s">
        <v>26</v>
      </c>
      <c r="S548" s="11" t="s">
        <v>4105</v>
      </c>
    </row>
    <row r="549" spans="1:19" x14ac:dyDescent="0.2">
      <c r="A549" s="33">
        <v>43647</v>
      </c>
      <c r="B549" s="34">
        <v>4</v>
      </c>
      <c r="C549" s="34" t="s">
        <v>28</v>
      </c>
      <c r="D549" s="34" t="str">
        <f>VLOOKUP(C549,'SALE PARTY MASTER'!$B$4:$E$500,2,FALSE)</f>
        <v>27AAECM8871A1ZF</v>
      </c>
      <c r="E549" s="34" t="s">
        <v>22</v>
      </c>
      <c r="F549" s="34" t="s">
        <v>1939</v>
      </c>
      <c r="G549" s="44">
        <v>43647</v>
      </c>
      <c r="H549" s="34">
        <v>87089900</v>
      </c>
      <c r="I549" s="34">
        <v>28</v>
      </c>
      <c r="J549" s="38">
        <v>12</v>
      </c>
      <c r="K549" s="40">
        <v>23255.759999999998</v>
      </c>
      <c r="L549" s="41">
        <v>0</v>
      </c>
      <c r="M549" s="41">
        <v>3255.8063999999995</v>
      </c>
      <c r="N549" s="41">
        <v>3255.8063999999995</v>
      </c>
      <c r="O549" s="41">
        <v>0</v>
      </c>
      <c r="P549" s="42">
        <v>29767.382799999996</v>
      </c>
      <c r="Q549" s="34" t="s">
        <v>25</v>
      </c>
      <c r="R549" s="34" t="s">
        <v>26</v>
      </c>
      <c r="S549" s="11" t="s">
        <v>4105</v>
      </c>
    </row>
    <row r="550" spans="1:19" x14ac:dyDescent="0.2">
      <c r="A550" s="33">
        <v>43647</v>
      </c>
      <c r="B550" s="34">
        <v>5</v>
      </c>
      <c r="C550" s="34" t="s">
        <v>28</v>
      </c>
      <c r="D550" s="34" t="str">
        <f>VLOOKUP(C550,'SALE PARTY MASTER'!$B$4:$E$500,2,FALSE)</f>
        <v>27AAECM8871A1ZF</v>
      </c>
      <c r="E550" s="34" t="s">
        <v>22</v>
      </c>
      <c r="F550" s="34" t="s">
        <v>1940</v>
      </c>
      <c r="G550" s="44">
        <v>43647</v>
      </c>
      <c r="H550" s="34">
        <v>87089900</v>
      </c>
      <c r="I550" s="34">
        <v>28</v>
      </c>
      <c r="J550" s="38">
        <v>12</v>
      </c>
      <c r="K550" s="40">
        <v>23255.759999999998</v>
      </c>
      <c r="L550" s="41">
        <v>0</v>
      </c>
      <c r="M550" s="41">
        <v>3255.8063999999995</v>
      </c>
      <c r="N550" s="41">
        <v>3255.8063999999995</v>
      </c>
      <c r="O550" s="41">
        <v>0</v>
      </c>
      <c r="P550" s="42">
        <v>29767.382799999996</v>
      </c>
      <c r="Q550" s="34" t="s">
        <v>25</v>
      </c>
      <c r="R550" s="34" t="s">
        <v>26</v>
      </c>
      <c r="S550" s="11" t="s">
        <v>4105</v>
      </c>
    </row>
    <row r="551" spans="1:19" x14ac:dyDescent="0.2">
      <c r="A551" s="33">
        <v>43647</v>
      </c>
      <c r="B551" s="34">
        <v>6</v>
      </c>
      <c r="C551" s="34" t="s">
        <v>73</v>
      </c>
      <c r="D551" s="34" t="str">
        <f>VLOOKUP(C551,'SALE PARTY MASTER'!$B$4:$E$500,2,FALSE)</f>
        <v>27AAACH4211R1ZF</v>
      </c>
      <c r="E551" s="34" t="s">
        <v>22</v>
      </c>
      <c r="F551" s="34" t="s">
        <v>1941</v>
      </c>
      <c r="G551" s="44">
        <v>43647</v>
      </c>
      <c r="H551" s="34">
        <v>85129000</v>
      </c>
      <c r="I551" s="34">
        <v>18</v>
      </c>
      <c r="J551" s="38">
        <v>3600</v>
      </c>
      <c r="K551" s="40">
        <v>90000</v>
      </c>
      <c r="L551" s="41">
        <v>0</v>
      </c>
      <c r="M551" s="41">
        <v>8100</v>
      </c>
      <c r="N551" s="41">
        <v>8100</v>
      </c>
      <c r="O551" s="41">
        <v>0</v>
      </c>
      <c r="P551" s="42">
        <v>106200</v>
      </c>
      <c r="Q551" s="34" t="s">
        <v>25</v>
      </c>
      <c r="R551" s="34" t="s">
        <v>26</v>
      </c>
      <c r="S551" s="11" t="s">
        <v>4105</v>
      </c>
    </row>
    <row r="552" spans="1:19" x14ac:dyDescent="0.2">
      <c r="A552" s="33">
        <v>43647</v>
      </c>
      <c r="B552" s="34">
        <v>7</v>
      </c>
      <c r="C552" s="34" t="s">
        <v>155</v>
      </c>
      <c r="D552" s="34" t="str">
        <f>VLOOKUP(C552,'SALE PARTY MASTER'!$B$4:$E$500,2,FALSE)</f>
        <v>27AAGCP0139E1ZP</v>
      </c>
      <c r="E552" s="34" t="s">
        <v>22</v>
      </c>
      <c r="F552" s="34" t="s">
        <v>1942</v>
      </c>
      <c r="G552" s="44">
        <v>43648</v>
      </c>
      <c r="H552" s="34">
        <v>87141090</v>
      </c>
      <c r="I552" s="34">
        <v>28</v>
      </c>
      <c r="J552" s="38">
        <v>500</v>
      </c>
      <c r="K552" s="40">
        <v>37685</v>
      </c>
      <c r="L552" s="41">
        <v>0</v>
      </c>
      <c r="M552" s="41">
        <v>5275.9000000000005</v>
      </c>
      <c r="N552" s="41">
        <v>5275.9000000000005</v>
      </c>
      <c r="O552" s="41">
        <v>0</v>
      </c>
      <c r="P552" s="42">
        <v>48236.800000000003</v>
      </c>
      <c r="Q552" s="34" t="s">
        <v>25</v>
      </c>
      <c r="R552" s="34" t="s">
        <v>26</v>
      </c>
      <c r="S552" s="11" t="s">
        <v>4105</v>
      </c>
    </row>
    <row r="553" spans="1:19" x14ac:dyDescent="0.2">
      <c r="A553" s="33">
        <v>43647</v>
      </c>
      <c r="B553" s="34">
        <v>8</v>
      </c>
      <c r="C553" s="34" t="s">
        <v>155</v>
      </c>
      <c r="D553" s="34" t="str">
        <f>VLOOKUP(C553,'SALE PARTY MASTER'!$B$4:$E$500,2,FALSE)</f>
        <v>27AAGCP0139E1ZP</v>
      </c>
      <c r="E553" s="34" t="s">
        <v>22</v>
      </c>
      <c r="F553" s="34" t="s">
        <v>1943</v>
      </c>
      <c r="G553" s="44">
        <v>43648</v>
      </c>
      <c r="H553" s="34">
        <v>87141090</v>
      </c>
      <c r="I553" s="34">
        <v>28</v>
      </c>
      <c r="J553" s="38">
        <v>840</v>
      </c>
      <c r="K553" s="40">
        <v>39505.199999999997</v>
      </c>
      <c r="L553" s="41">
        <v>0</v>
      </c>
      <c r="M553" s="41">
        <v>5530.7279999999992</v>
      </c>
      <c r="N553" s="41">
        <v>5530.7279999999992</v>
      </c>
      <c r="O553" s="41">
        <v>0</v>
      </c>
      <c r="P553" s="42">
        <v>50566.656000000003</v>
      </c>
      <c r="Q553" s="34" t="s">
        <v>25</v>
      </c>
      <c r="R553" s="34" t="s">
        <v>26</v>
      </c>
      <c r="S553" s="11" t="s">
        <v>4105</v>
      </c>
    </row>
    <row r="554" spans="1:19" x14ac:dyDescent="0.2">
      <c r="A554" s="33">
        <v>43647</v>
      </c>
      <c r="B554" s="34">
        <v>9</v>
      </c>
      <c r="C554" s="34" t="s">
        <v>167</v>
      </c>
      <c r="D554" s="34" t="str">
        <f>VLOOKUP(C554,'SALE PARTY MASTER'!$B$4:$E$500,2,FALSE)</f>
        <v>27AABFP3834C1ZK</v>
      </c>
      <c r="E554" s="34" t="s">
        <v>22</v>
      </c>
      <c r="F554" s="34" t="s">
        <v>1944</v>
      </c>
      <c r="G554" s="44">
        <v>43648</v>
      </c>
      <c r="H554" s="34">
        <v>87141900</v>
      </c>
      <c r="I554" s="34">
        <v>28</v>
      </c>
      <c r="J554" s="38">
        <v>3620</v>
      </c>
      <c r="K554" s="40">
        <v>45833</v>
      </c>
      <c r="L554" s="41">
        <v>0</v>
      </c>
      <c r="M554" s="41">
        <v>6416.62</v>
      </c>
      <c r="N554" s="41">
        <v>6416.62</v>
      </c>
      <c r="O554" s="41">
        <v>0</v>
      </c>
      <c r="P554" s="42">
        <v>58666.240000000005</v>
      </c>
      <c r="Q554" s="34" t="s">
        <v>25</v>
      </c>
      <c r="R554" s="34" t="s">
        <v>26</v>
      </c>
      <c r="S554" s="11" t="s">
        <v>4105</v>
      </c>
    </row>
    <row r="555" spans="1:19" x14ac:dyDescent="0.2">
      <c r="A555" s="33">
        <v>43647</v>
      </c>
      <c r="B555" s="34">
        <v>10</v>
      </c>
      <c r="C555" s="34" t="s">
        <v>40</v>
      </c>
      <c r="D555" s="34" t="str">
        <f>VLOOKUP(C555,'SALE PARTY MASTER'!$B$4:$E$500,2,FALSE)</f>
        <v>27AAACT1848E1ZH</v>
      </c>
      <c r="E555" s="34" t="s">
        <v>22</v>
      </c>
      <c r="F555" s="34" t="s">
        <v>1945</v>
      </c>
      <c r="G555" s="44">
        <v>43648</v>
      </c>
      <c r="H555" s="34">
        <v>87089900</v>
      </c>
      <c r="I555" s="34">
        <v>28</v>
      </c>
      <c r="J555" s="38">
        <v>104</v>
      </c>
      <c r="K555" s="40">
        <v>74796.800000000003</v>
      </c>
      <c r="L555" s="41">
        <v>0</v>
      </c>
      <c r="M555" s="41">
        <v>10471.552000000001</v>
      </c>
      <c r="N555" s="41">
        <v>10471.552000000001</v>
      </c>
      <c r="O555" s="41">
        <v>0</v>
      </c>
      <c r="P555" s="42">
        <v>95739.903999999995</v>
      </c>
      <c r="Q555" s="34" t="s">
        <v>25</v>
      </c>
      <c r="R555" s="34" t="s">
        <v>26</v>
      </c>
      <c r="S555" s="11" t="s">
        <v>4105</v>
      </c>
    </row>
    <row r="556" spans="1:19" x14ac:dyDescent="0.2">
      <c r="A556" s="33">
        <v>43647</v>
      </c>
      <c r="B556" s="34">
        <v>11</v>
      </c>
      <c r="C556" s="34" t="s">
        <v>73</v>
      </c>
      <c r="D556" s="34" t="str">
        <f>VLOOKUP(C556,'SALE PARTY MASTER'!$B$4:$E$500,2,FALSE)</f>
        <v>27AAACH4211R1ZF</v>
      </c>
      <c r="E556" s="34" t="s">
        <v>22</v>
      </c>
      <c r="F556" s="34" t="s">
        <v>1946</v>
      </c>
      <c r="G556" s="44">
        <v>43648</v>
      </c>
      <c r="H556" s="34">
        <v>85129000</v>
      </c>
      <c r="I556" s="34">
        <v>18</v>
      </c>
      <c r="J556" s="38">
        <v>2160</v>
      </c>
      <c r="K556" s="40">
        <v>54000</v>
      </c>
      <c r="L556" s="41">
        <v>0</v>
      </c>
      <c r="M556" s="41">
        <v>4860</v>
      </c>
      <c r="N556" s="41">
        <v>4860</v>
      </c>
      <c r="O556" s="41">
        <v>0</v>
      </c>
      <c r="P556" s="42">
        <v>63720</v>
      </c>
      <c r="Q556" s="34" t="s">
        <v>25</v>
      </c>
      <c r="R556" s="34" t="s">
        <v>26</v>
      </c>
      <c r="S556" s="11" t="s">
        <v>4105</v>
      </c>
    </row>
    <row r="557" spans="1:19" x14ac:dyDescent="0.2">
      <c r="A557" s="33">
        <v>43647</v>
      </c>
      <c r="B557" s="34">
        <v>12</v>
      </c>
      <c r="C557" s="34" t="s">
        <v>167</v>
      </c>
      <c r="D557" s="34" t="str">
        <f>VLOOKUP(C557,'SALE PARTY MASTER'!$B$4:$E$500,2,FALSE)</f>
        <v>27AABFP3834C1ZK</v>
      </c>
      <c r="E557" s="34" t="s">
        <v>22</v>
      </c>
      <c r="F557" s="34" t="s">
        <v>1947</v>
      </c>
      <c r="G557" s="44">
        <v>43649</v>
      </c>
      <c r="H557" s="34">
        <v>87141900</v>
      </c>
      <c r="I557" s="34">
        <v>28</v>
      </c>
      <c r="J557" s="38">
        <v>2080</v>
      </c>
      <c r="K557" s="40">
        <v>26576</v>
      </c>
      <c r="L557" s="41">
        <v>0</v>
      </c>
      <c r="M557" s="41">
        <v>3720.64</v>
      </c>
      <c r="N557" s="41">
        <v>3720.64</v>
      </c>
      <c r="O557" s="41">
        <v>0</v>
      </c>
      <c r="P557" s="42">
        <v>34017.279999999999</v>
      </c>
      <c r="Q557" s="34" t="s">
        <v>25</v>
      </c>
      <c r="R557" s="34" t="s">
        <v>26</v>
      </c>
      <c r="S557" s="11" t="s">
        <v>4105</v>
      </c>
    </row>
    <row r="558" spans="1:19" x14ac:dyDescent="0.2">
      <c r="A558" s="33">
        <v>43647</v>
      </c>
      <c r="B558" s="34">
        <v>13</v>
      </c>
      <c r="C558" s="34" t="s">
        <v>28</v>
      </c>
      <c r="D558" s="34" t="str">
        <f>VLOOKUP(C558,'SALE PARTY MASTER'!$B$4:$E$500,2,FALSE)</f>
        <v>27AAECM8871A1ZF</v>
      </c>
      <c r="E558" s="34" t="s">
        <v>22</v>
      </c>
      <c r="F558" s="34" t="s">
        <v>1948</v>
      </c>
      <c r="G558" s="44">
        <v>43649</v>
      </c>
      <c r="H558" s="34">
        <v>87089900</v>
      </c>
      <c r="I558" s="34">
        <v>28</v>
      </c>
      <c r="J558" s="38">
        <v>12</v>
      </c>
      <c r="K558" s="40">
        <v>23255.759999999998</v>
      </c>
      <c r="L558" s="41">
        <v>0</v>
      </c>
      <c r="M558" s="41">
        <v>3255.8063999999995</v>
      </c>
      <c r="N558" s="41">
        <v>3255.8063999999995</v>
      </c>
      <c r="O558" s="41">
        <v>0</v>
      </c>
      <c r="P558" s="42">
        <v>29767.382799999996</v>
      </c>
      <c r="Q558" s="34" t="s">
        <v>25</v>
      </c>
      <c r="R558" s="34" t="s">
        <v>26</v>
      </c>
      <c r="S558" s="11" t="s">
        <v>4105</v>
      </c>
    </row>
    <row r="559" spans="1:19" x14ac:dyDescent="0.2">
      <c r="A559" s="33">
        <v>43647</v>
      </c>
      <c r="B559" s="34">
        <v>14</v>
      </c>
      <c r="C559" s="34" t="s">
        <v>45</v>
      </c>
      <c r="D559" s="34" t="str">
        <f>VLOOKUP(C559,'SALE PARTY MASTER'!$B$4:$E$500,2,FALSE)</f>
        <v>27AAACD4090Q1Z8</v>
      </c>
      <c r="E559" s="34" t="s">
        <v>22</v>
      </c>
      <c r="F559" s="34" t="s">
        <v>1949</v>
      </c>
      <c r="G559" s="44">
        <v>43649</v>
      </c>
      <c r="H559" s="34">
        <v>85129000</v>
      </c>
      <c r="I559" s="34">
        <v>18</v>
      </c>
      <c r="J559" s="38">
        <v>612</v>
      </c>
      <c r="K559" s="40">
        <v>74670.12</v>
      </c>
      <c r="L559" s="41">
        <v>0</v>
      </c>
      <c r="M559" s="41">
        <v>6720.3107999999993</v>
      </c>
      <c r="N559" s="41">
        <v>6720.3107999999993</v>
      </c>
      <c r="O559" s="41">
        <v>0</v>
      </c>
      <c r="P559" s="42">
        <v>88110.741600000008</v>
      </c>
      <c r="Q559" s="34" t="s">
        <v>25</v>
      </c>
      <c r="R559" s="34" t="s">
        <v>26</v>
      </c>
      <c r="S559" s="11" t="s">
        <v>4105</v>
      </c>
    </row>
    <row r="560" spans="1:19" x14ac:dyDescent="0.2">
      <c r="A560" s="33">
        <v>43647</v>
      </c>
      <c r="B560" s="34">
        <v>15</v>
      </c>
      <c r="C560" s="34" t="s">
        <v>155</v>
      </c>
      <c r="D560" s="34" t="str">
        <f>VLOOKUP(C560,'SALE PARTY MASTER'!$B$4:$E$500,2,FALSE)</f>
        <v>27AAGCP0139E1ZP</v>
      </c>
      <c r="E560" s="34" t="s">
        <v>22</v>
      </c>
      <c r="F560" s="34" t="s">
        <v>1950</v>
      </c>
      <c r="G560" s="44">
        <v>43649</v>
      </c>
      <c r="H560" s="34">
        <v>87141090</v>
      </c>
      <c r="I560" s="34">
        <v>28</v>
      </c>
      <c r="J560" s="38">
        <v>500</v>
      </c>
      <c r="K560" s="40">
        <v>37685</v>
      </c>
      <c r="L560" s="41">
        <v>0</v>
      </c>
      <c r="M560" s="41">
        <v>5275.9000000000005</v>
      </c>
      <c r="N560" s="41">
        <v>5275.9000000000005</v>
      </c>
      <c r="O560" s="41">
        <v>0</v>
      </c>
      <c r="P560" s="42">
        <v>48236.800000000003</v>
      </c>
      <c r="Q560" s="34" t="s">
        <v>25</v>
      </c>
      <c r="R560" s="34" t="s">
        <v>26</v>
      </c>
      <c r="S560" s="11" t="s">
        <v>4105</v>
      </c>
    </row>
    <row r="561" spans="1:19" x14ac:dyDescent="0.2">
      <c r="A561" s="33">
        <v>43647</v>
      </c>
      <c r="B561" s="34">
        <v>16</v>
      </c>
      <c r="C561" s="34" t="s">
        <v>155</v>
      </c>
      <c r="D561" s="34" t="str">
        <f>VLOOKUP(C561,'SALE PARTY MASTER'!$B$4:$E$500,2,FALSE)</f>
        <v>27AAGCP0139E1ZP</v>
      </c>
      <c r="E561" s="34" t="s">
        <v>22</v>
      </c>
      <c r="F561" s="34" t="s">
        <v>1951</v>
      </c>
      <c r="G561" s="44">
        <v>43649</v>
      </c>
      <c r="H561" s="34">
        <v>87141090</v>
      </c>
      <c r="I561" s="34">
        <v>28</v>
      </c>
      <c r="J561" s="38">
        <v>480</v>
      </c>
      <c r="K561" s="40">
        <v>22574.400000000001</v>
      </c>
      <c r="L561" s="41">
        <v>0</v>
      </c>
      <c r="M561" s="41">
        <v>3160.4160000000002</v>
      </c>
      <c r="N561" s="41">
        <v>3160.4160000000002</v>
      </c>
      <c r="O561" s="41">
        <v>0</v>
      </c>
      <c r="P561" s="42">
        <v>28895.242000000002</v>
      </c>
      <c r="Q561" s="34" t="s">
        <v>25</v>
      </c>
      <c r="R561" s="34" t="s">
        <v>26</v>
      </c>
      <c r="S561" s="11" t="s">
        <v>4105</v>
      </c>
    </row>
    <row r="562" spans="1:19" x14ac:dyDescent="0.2">
      <c r="A562" s="33">
        <v>43647</v>
      </c>
      <c r="B562" s="34">
        <v>17</v>
      </c>
      <c r="C562" s="34" t="s">
        <v>167</v>
      </c>
      <c r="D562" s="34" t="str">
        <f>VLOOKUP(C562,'SALE PARTY MASTER'!$B$4:$E$500,2,FALSE)</f>
        <v>27AABFP3834C1ZK</v>
      </c>
      <c r="E562" s="34" t="s">
        <v>22</v>
      </c>
      <c r="F562" s="34" t="s">
        <v>1952</v>
      </c>
      <c r="G562" s="44">
        <v>43649</v>
      </c>
      <c r="H562" s="34">
        <v>87141900</v>
      </c>
      <c r="I562" s="34">
        <v>28</v>
      </c>
      <c r="J562" s="38">
        <v>1430</v>
      </c>
      <c r="K562" s="40">
        <v>18922.7</v>
      </c>
      <c r="L562" s="41">
        <v>0</v>
      </c>
      <c r="M562" s="41">
        <v>2649.1779999999999</v>
      </c>
      <c r="N562" s="41">
        <v>2649.1779999999999</v>
      </c>
      <c r="O562" s="41">
        <v>0</v>
      </c>
      <c r="P562" s="42">
        <v>24221.036</v>
      </c>
      <c r="Q562" s="34" t="s">
        <v>25</v>
      </c>
      <c r="R562" s="34" t="s">
        <v>26</v>
      </c>
      <c r="S562" s="11" t="s">
        <v>4105</v>
      </c>
    </row>
    <row r="563" spans="1:19" x14ac:dyDescent="0.2">
      <c r="A563" s="33">
        <v>43647</v>
      </c>
      <c r="B563" s="34">
        <v>18</v>
      </c>
      <c r="C563" s="34" t="s">
        <v>28</v>
      </c>
      <c r="D563" s="34" t="str">
        <f>VLOOKUP(C563,'SALE PARTY MASTER'!$B$4:$E$500,2,FALSE)</f>
        <v>27AAECM8871A1ZF</v>
      </c>
      <c r="E563" s="34" t="s">
        <v>22</v>
      </c>
      <c r="F563" s="34" t="s">
        <v>1953</v>
      </c>
      <c r="G563" s="44">
        <v>43650</v>
      </c>
      <c r="H563" s="34">
        <v>87089900</v>
      </c>
      <c r="I563" s="34">
        <v>28</v>
      </c>
      <c r="J563" s="38">
        <v>12</v>
      </c>
      <c r="K563" s="40">
        <v>23255.759999999998</v>
      </c>
      <c r="L563" s="41">
        <v>0</v>
      </c>
      <c r="M563" s="41">
        <v>3255.8063999999995</v>
      </c>
      <c r="N563" s="41">
        <v>3255.8063999999995</v>
      </c>
      <c r="O563" s="41">
        <v>0</v>
      </c>
      <c r="P563" s="42">
        <v>29767.382799999996</v>
      </c>
      <c r="Q563" s="34" t="s">
        <v>25</v>
      </c>
      <c r="R563" s="34" t="s">
        <v>26</v>
      </c>
      <c r="S563" s="11" t="s">
        <v>4105</v>
      </c>
    </row>
    <row r="564" spans="1:19" x14ac:dyDescent="0.2">
      <c r="A564" s="33">
        <v>43647</v>
      </c>
      <c r="B564" s="34">
        <v>19</v>
      </c>
      <c r="C564" s="34" t="s">
        <v>40</v>
      </c>
      <c r="D564" s="34" t="str">
        <f>VLOOKUP(C564,'SALE PARTY MASTER'!$B$4:$E$500,2,FALSE)</f>
        <v>27AAACT1848E1ZH</v>
      </c>
      <c r="E564" s="34" t="s">
        <v>22</v>
      </c>
      <c r="F564" s="34" t="s">
        <v>1954</v>
      </c>
      <c r="G564" s="44">
        <v>43650</v>
      </c>
      <c r="H564" s="34">
        <v>87089900</v>
      </c>
      <c r="I564" s="34">
        <v>28</v>
      </c>
      <c r="J564" s="38">
        <v>14</v>
      </c>
      <c r="K564" s="40">
        <v>6662.88</v>
      </c>
      <c r="L564" s="41">
        <v>0</v>
      </c>
      <c r="M564" s="41">
        <v>932.80319999999995</v>
      </c>
      <c r="N564" s="41">
        <v>932.80319999999995</v>
      </c>
      <c r="O564" s="41">
        <v>0</v>
      </c>
      <c r="P564" s="42">
        <v>8528.4763999999996</v>
      </c>
      <c r="Q564" s="34" t="s">
        <v>25</v>
      </c>
      <c r="R564" s="34" t="s">
        <v>26</v>
      </c>
      <c r="S564" s="11" t="s">
        <v>4105</v>
      </c>
    </row>
    <row r="565" spans="1:19" x14ac:dyDescent="0.2">
      <c r="A565" s="33">
        <v>43647</v>
      </c>
      <c r="B565" s="34">
        <v>20</v>
      </c>
      <c r="C565" s="34" t="s">
        <v>167</v>
      </c>
      <c r="D565" s="34" t="str">
        <f>VLOOKUP(C565,'SALE PARTY MASTER'!$B$4:$E$500,2,FALSE)</f>
        <v>27AABFP3834C1ZK</v>
      </c>
      <c r="E565" s="34" t="s">
        <v>22</v>
      </c>
      <c r="F565" s="34" t="s">
        <v>1955</v>
      </c>
      <c r="G565" s="44">
        <v>43650</v>
      </c>
      <c r="H565" s="34">
        <v>87141900</v>
      </c>
      <c r="I565" s="34">
        <v>28</v>
      </c>
      <c r="J565" s="38">
        <v>3477</v>
      </c>
      <c r="K565" s="40">
        <v>42514.97</v>
      </c>
      <c r="L565" s="41">
        <v>0</v>
      </c>
      <c r="M565" s="41">
        <v>5952.0958000000001</v>
      </c>
      <c r="N565" s="41">
        <v>5952.0958000000001</v>
      </c>
      <c r="O565" s="41">
        <v>0</v>
      </c>
      <c r="P565" s="42">
        <v>54419.171600000009</v>
      </c>
      <c r="Q565" s="34" t="s">
        <v>25</v>
      </c>
      <c r="R565" s="34" t="s">
        <v>26</v>
      </c>
      <c r="S565" s="11" t="s">
        <v>4105</v>
      </c>
    </row>
    <row r="566" spans="1:19" x14ac:dyDescent="0.2">
      <c r="A566" s="33">
        <v>43647</v>
      </c>
      <c r="B566" s="34">
        <v>21</v>
      </c>
      <c r="C566" s="34" t="s">
        <v>155</v>
      </c>
      <c r="D566" s="34" t="str">
        <f>VLOOKUP(C566,'SALE PARTY MASTER'!$B$4:$E$500,2,FALSE)</f>
        <v>27AAGCP0139E1ZP</v>
      </c>
      <c r="E566" s="34" t="s">
        <v>22</v>
      </c>
      <c r="F566" s="34" t="s">
        <v>1956</v>
      </c>
      <c r="G566" s="44">
        <v>43650</v>
      </c>
      <c r="H566" s="34">
        <v>87141090</v>
      </c>
      <c r="I566" s="34">
        <v>28</v>
      </c>
      <c r="J566" s="38">
        <v>500</v>
      </c>
      <c r="K566" s="40">
        <v>37685</v>
      </c>
      <c r="L566" s="41">
        <v>0</v>
      </c>
      <c r="M566" s="41">
        <v>5275.9000000000005</v>
      </c>
      <c r="N566" s="41">
        <v>5275.9000000000005</v>
      </c>
      <c r="O566" s="41">
        <v>0</v>
      </c>
      <c r="P566" s="42">
        <v>48236.800000000003</v>
      </c>
      <c r="Q566" s="34" t="s">
        <v>25</v>
      </c>
      <c r="R566" s="34" t="s">
        <v>26</v>
      </c>
      <c r="S566" s="11" t="s">
        <v>4105</v>
      </c>
    </row>
    <row r="567" spans="1:19" x14ac:dyDescent="0.2">
      <c r="A567" s="33">
        <v>43647</v>
      </c>
      <c r="B567" s="34">
        <v>22</v>
      </c>
      <c r="C567" s="34" t="s">
        <v>73</v>
      </c>
      <c r="D567" s="34" t="str">
        <f>VLOOKUP(C567,'SALE PARTY MASTER'!$B$4:$E$500,2,FALSE)</f>
        <v>27AAACH4211R1ZF</v>
      </c>
      <c r="E567" s="34" t="s">
        <v>22</v>
      </c>
      <c r="F567" s="34" t="s">
        <v>1957</v>
      </c>
      <c r="G567" s="44">
        <v>43650</v>
      </c>
      <c r="H567" s="34">
        <v>85129000</v>
      </c>
      <c r="I567" s="34">
        <v>18</v>
      </c>
      <c r="J567" s="38">
        <v>960</v>
      </c>
      <c r="K567" s="40">
        <v>24000</v>
      </c>
      <c r="L567" s="41">
        <v>0</v>
      </c>
      <c r="M567" s="41">
        <v>2160</v>
      </c>
      <c r="N567" s="41">
        <v>2160</v>
      </c>
      <c r="O567" s="41">
        <v>0</v>
      </c>
      <c r="P567" s="42">
        <v>28320</v>
      </c>
      <c r="Q567" s="34" t="s">
        <v>25</v>
      </c>
      <c r="R567" s="34" t="s">
        <v>26</v>
      </c>
      <c r="S567" s="11" t="s">
        <v>4105</v>
      </c>
    </row>
    <row r="568" spans="1:19" x14ac:dyDescent="0.2">
      <c r="A568" s="33">
        <v>43647</v>
      </c>
      <c r="B568" s="34">
        <v>23</v>
      </c>
      <c r="C568" s="34" t="s">
        <v>28</v>
      </c>
      <c r="D568" s="34" t="str">
        <f>VLOOKUP(C568,'SALE PARTY MASTER'!$B$4:$E$500,2,FALSE)</f>
        <v>27AAECM8871A1ZF</v>
      </c>
      <c r="E568" s="34" t="s">
        <v>22</v>
      </c>
      <c r="F568" s="34" t="s">
        <v>1958</v>
      </c>
      <c r="G568" s="44">
        <v>43651</v>
      </c>
      <c r="H568" s="34">
        <v>87089900</v>
      </c>
      <c r="I568" s="34">
        <v>28</v>
      </c>
      <c r="J568" s="38">
        <v>12</v>
      </c>
      <c r="K568" s="40">
        <v>23255.759999999998</v>
      </c>
      <c r="L568" s="41">
        <v>0</v>
      </c>
      <c r="M568" s="41">
        <v>3255.8063999999995</v>
      </c>
      <c r="N568" s="41">
        <v>3255.8063999999995</v>
      </c>
      <c r="O568" s="41">
        <v>0</v>
      </c>
      <c r="P568" s="42">
        <v>29767.382799999996</v>
      </c>
      <c r="Q568" s="34" t="s">
        <v>25</v>
      </c>
      <c r="R568" s="34" t="s">
        <v>26</v>
      </c>
      <c r="S568" s="11" t="s">
        <v>4105</v>
      </c>
    </row>
    <row r="569" spans="1:19" x14ac:dyDescent="0.2">
      <c r="A569" s="33">
        <v>43647</v>
      </c>
      <c r="B569" s="34">
        <v>24</v>
      </c>
      <c r="C569" s="34" t="s">
        <v>40</v>
      </c>
      <c r="D569" s="34" t="str">
        <f>VLOOKUP(C569,'SALE PARTY MASTER'!$B$4:$E$500,2,FALSE)</f>
        <v>27AAACT1848E1ZH</v>
      </c>
      <c r="E569" s="34" t="s">
        <v>22</v>
      </c>
      <c r="F569" s="34" t="s">
        <v>1959</v>
      </c>
      <c r="G569" s="44">
        <v>43651</v>
      </c>
      <c r="H569" s="34">
        <v>87089900</v>
      </c>
      <c r="I569" s="34">
        <v>28</v>
      </c>
      <c r="J569" s="38">
        <v>57</v>
      </c>
      <c r="K569" s="40">
        <v>20373.509999999998</v>
      </c>
      <c r="L569" s="41">
        <v>0</v>
      </c>
      <c r="M569" s="41">
        <v>2852.2914000000001</v>
      </c>
      <c r="N569" s="41">
        <v>2852.2914000000001</v>
      </c>
      <c r="O569" s="41">
        <v>0</v>
      </c>
      <c r="P569" s="42">
        <v>26078.092799999999</v>
      </c>
      <c r="Q569" s="34" t="s">
        <v>25</v>
      </c>
      <c r="R569" s="34" t="s">
        <v>26</v>
      </c>
      <c r="S569" s="11" t="s">
        <v>4105</v>
      </c>
    </row>
    <row r="570" spans="1:19" x14ac:dyDescent="0.2">
      <c r="A570" s="33">
        <v>43647</v>
      </c>
      <c r="B570" s="34">
        <v>25</v>
      </c>
      <c r="C570" s="34" t="s">
        <v>28</v>
      </c>
      <c r="D570" s="34" t="str">
        <f>VLOOKUP(C570,'SALE PARTY MASTER'!$B$4:$E$500,2,FALSE)</f>
        <v>27AAECM8871A1ZF</v>
      </c>
      <c r="E570" s="34" t="s">
        <v>22</v>
      </c>
      <c r="F570" s="34" t="s">
        <v>1960</v>
      </c>
      <c r="G570" s="44">
        <v>43651</v>
      </c>
      <c r="H570" s="34">
        <v>87089900</v>
      </c>
      <c r="I570" s="34">
        <v>28</v>
      </c>
      <c r="J570" s="38">
        <v>12</v>
      </c>
      <c r="K570" s="40">
        <v>23255.759999999998</v>
      </c>
      <c r="L570" s="41">
        <v>0</v>
      </c>
      <c r="M570" s="41">
        <v>3255.8063999999995</v>
      </c>
      <c r="N570" s="41">
        <v>3255.8063999999995</v>
      </c>
      <c r="O570" s="41">
        <v>0</v>
      </c>
      <c r="P570" s="42">
        <v>29767.382799999996</v>
      </c>
      <c r="Q570" s="34" t="s">
        <v>25</v>
      </c>
      <c r="R570" s="34" t="s">
        <v>26</v>
      </c>
      <c r="S570" s="11" t="s">
        <v>4105</v>
      </c>
    </row>
    <row r="571" spans="1:19" x14ac:dyDescent="0.2">
      <c r="A571" s="33">
        <v>43647</v>
      </c>
      <c r="B571" s="34">
        <v>26</v>
      </c>
      <c r="C571" s="34" t="s">
        <v>70</v>
      </c>
      <c r="D571" s="34" t="str">
        <f>VLOOKUP(C571,'SALE PARTY MASTER'!$B$4:$E$500,2,FALSE)</f>
        <v>27AACCA4196J1ZG</v>
      </c>
      <c r="E571" s="34" t="s">
        <v>22</v>
      </c>
      <c r="F571" s="34" t="s">
        <v>1961</v>
      </c>
      <c r="G571" s="44">
        <v>43651</v>
      </c>
      <c r="H571" s="34">
        <v>998898</v>
      </c>
      <c r="I571" s="34">
        <v>18</v>
      </c>
      <c r="J571" s="38">
        <v>300</v>
      </c>
      <c r="K571" s="40">
        <v>2466</v>
      </c>
      <c r="L571" s="41">
        <v>0</v>
      </c>
      <c r="M571" s="41">
        <v>221.94</v>
      </c>
      <c r="N571" s="41">
        <v>221.94</v>
      </c>
      <c r="O571" s="41">
        <v>0</v>
      </c>
      <c r="P571" s="42">
        <v>2909.88</v>
      </c>
      <c r="Q571" s="34" t="s">
        <v>25</v>
      </c>
      <c r="R571" s="34" t="s">
        <v>26</v>
      </c>
      <c r="S571" s="11" t="s">
        <v>4105</v>
      </c>
    </row>
    <row r="572" spans="1:19" x14ac:dyDescent="0.2">
      <c r="A572" s="33">
        <v>43647</v>
      </c>
      <c r="B572" s="34">
        <v>27</v>
      </c>
      <c r="C572" s="34" t="s">
        <v>73</v>
      </c>
      <c r="D572" s="34" t="str">
        <f>VLOOKUP(C572,'SALE PARTY MASTER'!$B$4:$E$500,2,FALSE)</f>
        <v>27AAACH4211R1ZF</v>
      </c>
      <c r="E572" s="34" t="s">
        <v>22</v>
      </c>
      <c r="F572" s="34" t="s">
        <v>1962</v>
      </c>
      <c r="G572" s="44">
        <v>43651</v>
      </c>
      <c r="H572" s="34">
        <v>85129000</v>
      </c>
      <c r="I572" s="34">
        <v>18</v>
      </c>
      <c r="J572" s="38">
        <v>1440</v>
      </c>
      <c r="K572" s="40">
        <v>36000</v>
      </c>
      <c r="L572" s="41">
        <v>0</v>
      </c>
      <c r="M572" s="41">
        <v>3240</v>
      </c>
      <c r="N572" s="41">
        <v>3240</v>
      </c>
      <c r="O572" s="41">
        <v>0</v>
      </c>
      <c r="P572" s="42">
        <v>42480</v>
      </c>
      <c r="Q572" s="34" t="s">
        <v>25</v>
      </c>
      <c r="R572" s="34" t="s">
        <v>26</v>
      </c>
      <c r="S572" s="11" t="s">
        <v>4105</v>
      </c>
    </row>
    <row r="573" spans="1:19" x14ac:dyDescent="0.2">
      <c r="A573" s="33">
        <v>43647</v>
      </c>
      <c r="B573" s="34">
        <v>28</v>
      </c>
      <c r="C573" s="34" t="s">
        <v>167</v>
      </c>
      <c r="D573" s="34" t="str">
        <f>VLOOKUP(C573,'SALE PARTY MASTER'!$B$4:$E$500,2,FALSE)</f>
        <v>27AABFP3834C1ZK</v>
      </c>
      <c r="E573" s="34" t="s">
        <v>22</v>
      </c>
      <c r="F573" s="34" t="s">
        <v>1963</v>
      </c>
      <c r="G573" s="44">
        <v>43651</v>
      </c>
      <c r="H573" s="34">
        <v>87141900</v>
      </c>
      <c r="I573" s="34">
        <v>28</v>
      </c>
      <c r="J573" s="38">
        <v>2780</v>
      </c>
      <c r="K573" s="40">
        <v>34719.800000000003</v>
      </c>
      <c r="L573" s="41">
        <v>0</v>
      </c>
      <c r="M573" s="41">
        <v>4860.7720000000008</v>
      </c>
      <c r="N573" s="41">
        <v>4860.7720000000008</v>
      </c>
      <c r="O573" s="41">
        <v>0</v>
      </c>
      <c r="P573" s="42">
        <v>44441.343999999997</v>
      </c>
      <c r="Q573" s="34" t="s">
        <v>25</v>
      </c>
      <c r="R573" s="34" t="s">
        <v>26</v>
      </c>
      <c r="S573" s="11" t="s">
        <v>4105</v>
      </c>
    </row>
    <row r="574" spans="1:19" x14ac:dyDescent="0.2">
      <c r="A574" s="33">
        <v>43647</v>
      </c>
      <c r="B574" s="34">
        <v>29</v>
      </c>
      <c r="C574" s="34" t="s">
        <v>155</v>
      </c>
      <c r="D574" s="34" t="str">
        <f>VLOOKUP(C574,'SALE PARTY MASTER'!$B$4:$E$500,2,FALSE)</f>
        <v>27AAGCP0139E1ZP</v>
      </c>
      <c r="E574" s="34" t="s">
        <v>22</v>
      </c>
      <c r="F574" s="34" t="s">
        <v>1964</v>
      </c>
      <c r="G574" s="44">
        <v>43651</v>
      </c>
      <c r="H574" s="34">
        <v>87141090</v>
      </c>
      <c r="I574" s="34">
        <v>28</v>
      </c>
      <c r="J574" s="38">
        <v>1200</v>
      </c>
      <c r="K574" s="40">
        <v>56436</v>
      </c>
      <c r="L574" s="41">
        <v>0</v>
      </c>
      <c r="M574" s="41">
        <v>7901.04</v>
      </c>
      <c r="N574" s="41">
        <v>7901.04</v>
      </c>
      <c r="O574" s="41">
        <v>0</v>
      </c>
      <c r="P574" s="42">
        <v>72238.080000000002</v>
      </c>
      <c r="Q574" s="34" t="s">
        <v>25</v>
      </c>
      <c r="R574" s="34" t="s">
        <v>26</v>
      </c>
      <c r="S574" s="11" t="s">
        <v>4105</v>
      </c>
    </row>
    <row r="575" spans="1:19" x14ac:dyDescent="0.2">
      <c r="A575" s="33">
        <v>43647</v>
      </c>
      <c r="B575" s="34">
        <v>30</v>
      </c>
      <c r="C575" s="34" t="s">
        <v>40</v>
      </c>
      <c r="D575" s="34" t="str">
        <f>VLOOKUP(C575,'SALE PARTY MASTER'!$B$4:$E$500,2,FALSE)</f>
        <v>27AAACT1848E1ZH</v>
      </c>
      <c r="E575" s="34" t="s">
        <v>22</v>
      </c>
      <c r="F575" s="34" t="s">
        <v>1965</v>
      </c>
      <c r="G575" s="44">
        <v>43651</v>
      </c>
      <c r="H575" s="34">
        <v>87089900</v>
      </c>
      <c r="I575" s="34">
        <v>28</v>
      </c>
      <c r="J575" s="38">
        <v>90</v>
      </c>
      <c r="K575" s="40">
        <v>53328.3</v>
      </c>
      <c r="L575" s="41">
        <v>0</v>
      </c>
      <c r="M575" s="41">
        <v>7465.9620000000004</v>
      </c>
      <c r="N575" s="41">
        <v>7465.9620000000004</v>
      </c>
      <c r="O575" s="41">
        <v>0</v>
      </c>
      <c r="P575" s="42">
        <v>68260.224000000002</v>
      </c>
      <c r="Q575" s="34" t="s">
        <v>25</v>
      </c>
      <c r="R575" s="34" t="s">
        <v>26</v>
      </c>
      <c r="S575" s="11" t="s">
        <v>4105</v>
      </c>
    </row>
    <row r="576" spans="1:19" x14ac:dyDescent="0.2">
      <c r="A576" s="33">
        <v>43647</v>
      </c>
      <c r="B576" s="34">
        <v>31</v>
      </c>
      <c r="C576" s="34" t="s">
        <v>45</v>
      </c>
      <c r="D576" s="34" t="str">
        <f>VLOOKUP(C576,'SALE PARTY MASTER'!$B$4:$E$500,2,FALSE)</f>
        <v>27AAACD4090Q1Z8</v>
      </c>
      <c r="E576" s="34" t="s">
        <v>22</v>
      </c>
      <c r="F576" s="34" t="s">
        <v>1966</v>
      </c>
      <c r="G576" s="44">
        <v>43651</v>
      </c>
      <c r="H576" s="34">
        <v>85129000</v>
      </c>
      <c r="I576" s="34">
        <v>18</v>
      </c>
      <c r="J576" s="38">
        <v>522</v>
      </c>
      <c r="K576" s="40">
        <v>63689.22</v>
      </c>
      <c r="L576" s="41">
        <v>0</v>
      </c>
      <c r="M576" s="41">
        <v>5732.0298000000003</v>
      </c>
      <c r="N576" s="41">
        <v>5732.0298000000003</v>
      </c>
      <c r="O576" s="41">
        <v>0</v>
      </c>
      <c r="P576" s="42">
        <v>75153.279600000009</v>
      </c>
      <c r="Q576" s="34" t="s">
        <v>25</v>
      </c>
      <c r="R576" s="34" t="s">
        <v>26</v>
      </c>
      <c r="S576" s="11" t="s">
        <v>4105</v>
      </c>
    </row>
    <row r="577" spans="1:19" x14ac:dyDescent="0.2">
      <c r="A577" s="33">
        <v>43647</v>
      </c>
      <c r="B577" s="34">
        <v>32</v>
      </c>
      <c r="C577" s="34" t="s">
        <v>91</v>
      </c>
      <c r="D577" s="34" t="str">
        <f>VLOOKUP(C577,'SALE PARTY MASTER'!$B$4:$E$500,2,FALSE)</f>
        <v>27BBVPS2447C1ZA</v>
      </c>
      <c r="E577" s="34" t="s">
        <v>22</v>
      </c>
      <c r="F577" s="34" t="s">
        <v>1967</v>
      </c>
      <c r="G577" s="44">
        <v>43652</v>
      </c>
      <c r="H577" s="34">
        <v>998898</v>
      </c>
      <c r="I577" s="34">
        <v>18</v>
      </c>
      <c r="J577" s="38">
        <v>407</v>
      </c>
      <c r="K577" s="40">
        <v>6105</v>
      </c>
      <c r="L577" s="41">
        <v>0</v>
      </c>
      <c r="M577" s="41">
        <v>549.44999999999993</v>
      </c>
      <c r="N577" s="41">
        <v>549.44999999999993</v>
      </c>
      <c r="O577" s="41">
        <v>0</v>
      </c>
      <c r="P577" s="42">
        <v>7203.9</v>
      </c>
      <c r="Q577" s="34" t="s">
        <v>25</v>
      </c>
      <c r="R577" s="34" t="s">
        <v>26</v>
      </c>
      <c r="S577" s="11" t="s">
        <v>4105</v>
      </c>
    </row>
    <row r="578" spans="1:19" x14ac:dyDescent="0.2">
      <c r="A578" s="33">
        <v>43647</v>
      </c>
      <c r="B578" s="34">
        <v>33</v>
      </c>
      <c r="C578" s="34" t="s">
        <v>28</v>
      </c>
      <c r="D578" s="34" t="str">
        <f>VLOOKUP(C578,'SALE PARTY MASTER'!$B$4:$E$500,2,FALSE)</f>
        <v>27AAECM8871A1ZF</v>
      </c>
      <c r="E578" s="34" t="s">
        <v>22</v>
      </c>
      <c r="F578" s="34" t="s">
        <v>1968</v>
      </c>
      <c r="G578" s="44">
        <v>43652</v>
      </c>
      <c r="H578" s="34">
        <v>87089900</v>
      </c>
      <c r="I578" s="34">
        <v>28</v>
      </c>
      <c r="J578" s="38">
        <v>12</v>
      </c>
      <c r="K578" s="40">
        <v>23255.759999999998</v>
      </c>
      <c r="L578" s="41">
        <v>0</v>
      </c>
      <c r="M578" s="41">
        <v>3255.8063999999995</v>
      </c>
      <c r="N578" s="41">
        <v>3255.8063999999995</v>
      </c>
      <c r="O578" s="41">
        <v>0</v>
      </c>
      <c r="P578" s="42">
        <v>29767.382799999996</v>
      </c>
      <c r="Q578" s="34" t="s">
        <v>25</v>
      </c>
      <c r="R578" s="34" t="s">
        <v>26</v>
      </c>
      <c r="S578" s="11" t="s">
        <v>4105</v>
      </c>
    </row>
    <row r="579" spans="1:19" x14ac:dyDescent="0.2">
      <c r="A579" s="33">
        <v>43647</v>
      </c>
      <c r="B579" s="34">
        <v>34</v>
      </c>
      <c r="C579" s="34" t="s">
        <v>167</v>
      </c>
      <c r="D579" s="34" t="str">
        <f>VLOOKUP(C579,'SALE PARTY MASTER'!$B$4:$E$500,2,FALSE)</f>
        <v>27AABFP3834C1ZK</v>
      </c>
      <c r="E579" s="34" t="s">
        <v>22</v>
      </c>
      <c r="F579" s="34" t="s">
        <v>1969</v>
      </c>
      <c r="G579" s="44">
        <v>43652</v>
      </c>
      <c r="H579" s="34">
        <v>87141900</v>
      </c>
      <c r="I579" s="34">
        <v>28</v>
      </c>
      <c r="J579" s="38">
        <v>3690</v>
      </c>
      <c r="K579" s="40">
        <v>45934.5</v>
      </c>
      <c r="L579" s="41">
        <v>0</v>
      </c>
      <c r="M579" s="41">
        <v>6430.83</v>
      </c>
      <c r="N579" s="41">
        <v>6430.83</v>
      </c>
      <c r="O579" s="41">
        <v>0</v>
      </c>
      <c r="P579" s="42">
        <v>58796.160000000003</v>
      </c>
      <c r="Q579" s="34" t="s">
        <v>25</v>
      </c>
      <c r="R579" s="34" t="s">
        <v>26</v>
      </c>
      <c r="S579" s="11" t="s">
        <v>4105</v>
      </c>
    </row>
    <row r="580" spans="1:19" x14ac:dyDescent="0.2">
      <c r="A580" s="33">
        <v>43647</v>
      </c>
      <c r="B580" s="34">
        <v>35</v>
      </c>
      <c r="C580" s="34" t="s">
        <v>155</v>
      </c>
      <c r="D580" s="34" t="str">
        <f>VLOOKUP(C580,'SALE PARTY MASTER'!$B$4:$E$500,2,FALSE)</f>
        <v>27AAGCP0139E1ZP</v>
      </c>
      <c r="E580" s="34" t="s">
        <v>22</v>
      </c>
      <c r="F580" s="34" t="s">
        <v>1970</v>
      </c>
      <c r="G580" s="44">
        <v>43652</v>
      </c>
      <c r="H580" s="34">
        <v>87141090</v>
      </c>
      <c r="I580" s="34">
        <v>28</v>
      </c>
      <c r="J580" s="38">
        <v>900</v>
      </c>
      <c r="K580" s="40">
        <v>67833</v>
      </c>
      <c r="L580" s="41">
        <v>0</v>
      </c>
      <c r="M580" s="41">
        <v>9496.6200000000008</v>
      </c>
      <c r="N580" s="41">
        <v>9496.6200000000008</v>
      </c>
      <c r="O580" s="41">
        <v>0</v>
      </c>
      <c r="P580" s="42">
        <v>86826.239999999991</v>
      </c>
      <c r="Q580" s="34" t="s">
        <v>25</v>
      </c>
      <c r="R580" s="34" t="s">
        <v>26</v>
      </c>
      <c r="S580" s="11" t="s">
        <v>4105</v>
      </c>
    </row>
    <row r="581" spans="1:19" x14ac:dyDescent="0.2">
      <c r="A581" s="33">
        <v>43647</v>
      </c>
      <c r="B581" s="34">
        <v>36</v>
      </c>
      <c r="C581" s="34" t="s">
        <v>28</v>
      </c>
      <c r="D581" s="34" t="str">
        <f>VLOOKUP(C581,'SALE PARTY MASTER'!$B$4:$E$500,2,FALSE)</f>
        <v>27AAECM8871A1ZF</v>
      </c>
      <c r="E581" s="34" t="s">
        <v>22</v>
      </c>
      <c r="F581" s="34" t="s">
        <v>1971</v>
      </c>
      <c r="G581" s="44">
        <v>43652</v>
      </c>
      <c r="H581" s="34">
        <v>87089900</v>
      </c>
      <c r="I581" s="34">
        <v>28</v>
      </c>
      <c r="J581" s="38">
        <v>12</v>
      </c>
      <c r="K581" s="40">
        <v>23255.759999999998</v>
      </c>
      <c r="L581" s="41">
        <v>0</v>
      </c>
      <c r="M581" s="41">
        <v>3255.8063999999995</v>
      </c>
      <c r="N581" s="41">
        <v>3255.8063999999995</v>
      </c>
      <c r="O581" s="41">
        <v>0</v>
      </c>
      <c r="P581" s="42">
        <v>29767.382799999996</v>
      </c>
      <c r="Q581" s="34" t="s">
        <v>25</v>
      </c>
      <c r="R581" s="34" t="s">
        <v>26</v>
      </c>
      <c r="S581" s="11" t="s">
        <v>4105</v>
      </c>
    </row>
    <row r="582" spans="1:19" x14ac:dyDescent="0.2">
      <c r="A582" s="33">
        <v>43647</v>
      </c>
      <c r="B582" s="34">
        <v>37</v>
      </c>
      <c r="C582" s="34" t="s">
        <v>49</v>
      </c>
      <c r="D582" s="34" t="str">
        <f>VLOOKUP(C582,'SALE PARTY MASTER'!$B$4:$E$500,2,FALSE)</f>
        <v>27AABFJ4217F1ZP</v>
      </c>
      <c r="E582" s="34" t="s">
        <v>22</v>
      </c>
      <c r="F582" s="34" t="s">
        <v>1972</v>
      </c>
      <c r="G582" s="44">
        <v>43652</v>
      </c>
      <c r="H582" s="34">
        <v>998898</v>
      </c>
      <c r="I582" s="34">
        <v>18</v>
      </c>
      <c r="J582" s="38">
        <v>30</v>
      </c>
      <c r="K582" s="40">
        <v>8524.2000000000007</v>
      </c>
      <c r="L582" s="41">
        <v>0</v>
      </c>
      <c r="M582" s="41">
        <v>767.178</v>
      </c>
      <c r="N582" s="41">
        <v>767.178</v>
      </c>
      <c r="O582" s="41">
        <v>0</v>
      </c>
      <c r="P582" s="42">
        <v>10058.556</v>
      </c>
      <c r="Q582" s="34" t="s">
        <v>25</v>
      </c>
      <c r="R582" s="34" t="s">
        <v>26</v>
      </c>
      <c r="S582" s="11" t="s">
        <v>4105</v>
      </c>
    </row>
    <row r="583" spans="1:19" x14ac:dyDescent="0.2">
      <c r="A583" s="33">
        <v>43647</v>
      </c>
      <c r="B583" s="34">
        <v>38</v>
      </c>
      <c r="C583" s="34" t="s">
        <v>73</v>
      </c>
      <c r="D583" s="34" t="str">
        <f>VLOOKUP(C583,'SALE PARTY MASTER'!$B$4:$E$500,2,FALSE)</f>
        <v>27AAACH4211R1ZF</v>
      </c>
      <c r="E583" s="34" t="s">
        <v>22</v>
      </c>
      <c r="F583" s="34" t="s">
        <v>1973</v>
      </c>
      <c r="G583" s="44">
        <v>43652</v>
      </c>
      <c r="H583" s="34">
        <v>85129000</v>
      </c>
      <c r="I583" s="34">
        <v>18</v>
      </c>
      <c r="J583" s="38">
        <v>2160</v>
      </c>
      <c r="K583" s="40">
        <v>54000</v>
      </c>
      <c r="L583" s="41">
        <v>0</v>
      </c>
      <c r="M583" s="41">
        <v>4860</v>
      </c>
      <c r="N583" s="41">
        <v>4860</v>
      </c>
      <c r="O583" s="41">
        <v>0</v>
      </c>
      <c r="P583" s="42">
        <v>63720</v>
      </c>
      <c r="Q583" s="34" t="s">
        <v>25</v>
      </c>
      <c r="R583" s="34" t="s">
        <v>26</v>
      </c>
      <c r="S583" s="11" t="s">
        <v>4105</v>
      </c>
    </row>
    <row r="584" spans="1:19" x14ac:dyDescent="0.2">
      <c r="A584" s="33">
        <v>43647</v>
      </c>
      <c r="B584" s="34">
        <v>39</v>
      </c>
      <c r="C584" s="34" t="s">
        <v>40</v>
      </c>
      <c r="D584" s="34" t="str">
        <f>VLOOKUP(C584,'SALE PARTY MASTER'!$B$4:$E$500,2,FALSE)</f>
        <v>27AAACT1848E1ZH</v>
      </c>
      <c r="E584" s="34" t="s">
        <v>22</v>
      </c>
      <c r="F584" s="34" t="s">
        <v>1974</v>
      </c>
      <c r="G584" s="44">
        <v>43654</v>
      </c>
      <c r="H584" s="34">
        <v>87089900</v>
      </c>
      <c r="I584" s="34">
        <v>28</v>
      </c>
      <c r="J584" s="38">
        <v>104</v>
      </c>
      <c r="K584" s="40">
        <v>58910.239999999998</v>
      </c>
      <c r="L584" s="41">
        <v>0</v>
      </c>
      <c r="M584" s="41">
        <v>8247.4336000000003</v>
      </c>
      <c r="N584" s="41">
        <v>8247.4336000000003</v>
      </c>
      <c r="O584" s="41">
        <v>0</v>
      </c>
      <c r="P584" s="42">
        <v>75405.097200000004</v>
      </c>
      <c r="Q584" s="34" t="s">
        <v>25</v>
      </c>
      <c r="R584" s="34" t="s">
        <v>26</v>
      </c>
      <c r="S584" s="11" t="s">
        <v>4105</v>
      </c>
    </row>
    <row r="585" spans="1:19" x14ac:dyDescent="0.2">
      <c r="A585" s="33">
        <v>43647</v>
      </c>
      <c r="B585" s="34">
        <v>40</v>
      </c>
      <c r="C585" s="34" t="s">
        <v>40</v>
      </c>
      <c r="D585" s="34" t="str">
        <f>VLOOKUP(C585,'SALE PARTY MASTER'!$B$4:$E$500,2,FALSE)</f>
        <v>27AAACT1848E1ZH</v>
      </c>
      <c r="E585" s="34" t="s">
        <v>22</v>
      </c>
      <c r="F585" s="34" t="s">
        <v>1975</v>
      </c>
      <c r="G585" s="44">
        <v>43654</v>
      </c>
      <c r="H585" s="34">
        <v>87089900</v>
      </c>
      <c r="I585" s="34">
        <v>28</v>
      </c>
      <c r="J585" s="38">
        <v>90</v>
      </c>
      <c r="K585" s="40">
        <v>5183.55</v>
      </c>
      <c r="L585" s="41">
        <v>0</v>
      </c>
      <c r="M585" s="41">
        <v>725.697</v>
      </c>
      <c r="N585" s="41">
        <v>725.697</v>
      </c>
      <c r="O585" s="41">
        <v>0</v>
      </c>
      <c r="P585" s="42">
        <v>6634.9540000000006</v>
      </c>
      <c r="Q585" s="34" t="s">
        <v>25</v>
      </c>
      <c r="R585" s="34" t="s">
        <v>26</v>
      </c>
      <c r="S585" s="11" t="s">
        <v>4105</v>
      </c>
    </row>
    <row r="586" spans="1:19" x14ac:dyDescent="0.2">
      <c r="A586" s="33">
        <v>43647</v>
      </c>
      <c r="B586" s="34">
        <v>41</v>
      </c>
      <c r="C586" s="34" t="s">
        <v>124</v>
      </c>
      <c r="D586" s="34" t="str">
        <f>VLOOKUP(C586,'SALE PARTY MASTER'!$B$4:$E$500,2,FALSE)</f>
        <v>27AAACB2484Q1Z8</v>
      </c>
      <c r="E586" s="34" t="s">
        <v>22</v>
      </c>
      <c r="F586" s="34" t="s">
        <v>1976</v>
      </c>
      <c r="G586" s="44">
        <v>43654</v>
      </c>
      <c r="H586" s="34">
        <v>998898</v>
      </c>
      <c r="I586" s="34">
        <v>18</v>
      </c>
      <c r="J586" s="38">
        <v>1050</v>
      </c>
      <c r="K586" s="40">
        <v>90300</v>
      </c>
      <c r="L586" s="41">
        <v>0</v>
      </c>
      <c r="M586" s="41">
        <v>8127</v>
      </c>
      <c r="N586" s="41">
        <v>8127</v>
      </c>
      <c r="O586" s="41">
        <v>0</v>
      </c>
      <c r="P586" s="42">
        <v>106554</v>
      </c>
      <c r="Q586" s="34" t="s">
        <v>25</v>
      </c>
      <c r="R586" s="34" t="s">
        <v>26</v>
      </c>
      <c r="S586" s="11" t="s">
        <v>4105</v>
      </c>
    </row>
    <row r="587" spans="1:19" x14ac:dyDescent="0.2">
      <c r="A587" s="33">
        <v>43647</v>
      </c>
      <c r="B587" s="34">
        <v>42</v>
      </c>
      <c r="C587" s="34" t="s">
        <v>167</v>
      </c>
      <c r="D587" s="34" t="str">
        <f>VLOOKUP(C587,'SALE PARTY MASTER'!$B$4:$E$500,2,FALSE)</f>
        <v>27AABFP3834C1ZK</v>
      </c>
      <c r="E587" s="34" t="s">
        <v>22</v>
      </c>
      <c r="F587" s="34" t="s">
        <v>1977</v>
      </c>
      <c r="G587" s="44">
        <v>43654</v>
      </c>
      <c r="H587" s="34">
        <v>87141900</v>
      </c>
      <c r="I587" s="34">
        <v>28</v>
      </c>
      <c r="J587" s="38">
        <v>4740</v>
      </c>
      <c r="K587" s="40">
        <v>58841.8</v>
      </c>
      <c r="L587" s="41">
        <v>0</v>
      </c>
      <c r="M587" s="41">
        <v>8237.8520000000008</v>
      </c>
      <c r="N587" s="41">
        <v>8237.8520000000008</v>
      </c>
      <c r="O587" s="41">
        <v>0</v>
      </c>
      <c r="P587" s="42">
        <v>75317.504000000001</v>
      </c>
      <c r="Q587" s="34" t="s">
        <v>25</v>
      </c>
      <c r="R587" s="34" t="s">
        <v>26</v>
      </c>
      <c r="S587" s="11" t="s">
        <v>4105</v>
      </c>
    </row>
    <row r="588" spans="1:19" x14ac:dyDescent="0.2">
      <c r="A588" s="33">
        <v>43647</v>
      </c>
      <c r="B588" s="34">
        <v>43</v>
      </c>
      <c r="C588" s="34" t="s">
        <v>45</v>
      </c>
      <c r="D588" s="34" t="str">
        <f>VLOOKUP(C588,'SALE PARTY MASTER'!$B$4:$E$500,2,FALSE)</f>
        <v>27AAACD4090Q1Z8</v>
      </c>
      <c r="E588" s="34" t="s">
        <v>22</v>
      </c>
      <c r="F588" s="34" t="s">
        <v>1978</v>
      </c>
      <c r="G588" s="44">
        <v>43654</v>
      </c>
      <c r="H588" s="34">
        <v>85129000</v>
      </c>
      <c r="I588" s="34">
        <v>18</v>
      </c>
      <c r="J588" s="38">
        <v>540</v>
      </c>
      <c r="K588" s="40">
        <v>65885.399999999994</v>
      </c>
      <c r="L588" s="41">
        <v>0</v>
      </c>
      <c r="M588" s="41">
        <v>5929.6859999999997</v>
      </c>
      <c r="N588" s="41">
        <v>5929.6859999999997</v>
      </c>
      <c r="O588" s="41">
        <v>0</v>
      </c>
      <c r="P588" s="42">
        <v>77744.781999999992</v>
      </c>
      <c r="Q588" s="34" t="s">
        <v>25</v>
      </c>
      <c r="R588" s="34" t="s">
        <v>26</v>
      </c>
      <c r="S588" s="11" t="s">
        <v>4105</v>
      </c>
    </row>
    <row r="589" spans="1:19" x14ac:dyDescent="0.2">
      <c r="A589" s="33">
        <v>43647</v>
      </c>
      <c r="B589" s="34">
        <v>44</v>
      </c>
      <c r="C589" s="34" t="s">
        <v>45</v>
      </c>
      <c r="D589" s="34" t="str">
        <f>VLOOKUP(C589,'SALE PARTY MASTER'!$B$4:$E$500,2,FALSE)</f>
        <v>27AAACD4090Q1Z8</v>
      </c>
      <c r="E589" s="34" t="s">
        <v>22</v>
      </c>
      <c r="F589" s="34" t="s">
        <v>1979</v>
      </c>
      <c r="G589" s="44">
        <v>43654</v>
      </c>
      <c r="H589" s="34">
        <v>85129000</v>
      </c>
      <c r="I589" s="34">
        <v>18</v>
      </c>
      <c r="J589" s="38">
        <v>450</v>
      </c>
      <c r="K589" s="40">
        <v>29052</v>
      </c>
      <c r="L589" s="41">
        <v>0</v>
      </c>
      <c r="M589" s="41">
        <v>2614.6799999999998</v>
      </c>
      <c r="N589" s="41">
        <v>2614.6799999999998</v>
      </c>
      <c r="O589" s="41">
        <v>0</v>
      </c>
      <c r="P589" s="42">
        <v>34281.360000000001</v>
      </c>
      <c r="Q589" s="34" t="s">
        <v>25</v>
      </c>
      <c r="R589" s="34" t="s">
        <v>26</v>
      </c>
      <c r="S589" s="11" t="s">
        <v>4105</v>
      </c>
    </row>
    <row r="590" spans="1:19" x14ac:dyDescent="0.2">
      <c r="A590" s="33">
        <v>43647</v>
      </c>
      <c r="B590" s="34">
        <v>45</v>
      </c>
      <c r="C590" s="34" t="s">
        <v>102</v>
      </c>
      <c r="D590" s="34" t="str">
        <f>VLOOKUP(C590,'SALE PARTY MASTER'!$B$4:$E$500,2,FALSE)</f>
        <v>23AABCE9378F1ZK</v>
      </c>
      <c r="E590" s="34" t="s">
        <v>22</v>
      </c>
      <c r="F590" s="34" t="s">
        <v>1980</v>
      </c>
      <c r="G590" s="44">
        <v>43654</v>
      </c>
      <c r="H590" s="34">
        <v>87081090</v>
      </c>
      <c r="I590" s="34">
        <v>28</v>
      </c>
      <c r="J590" s="38">
        <v>100</v>
      </c>
      <c r="K590" s="40">
        <v>32571</v>
      </c>
      <c r="L590" s="41">
        <v>9119.8799999999992</v>
      </c>
      <c r="M590" s="41">
        <v>0</v>
      </c>
      <c r="N590" s="41">
        <v>0</v>
      </c>
      <c r="O590" s="41">
        <v>0</v>
      </c>
      <c r="P590" s="42">
        <v>41690.879999999997</v>
      </c>
      <c r="Q590" s="34" t="s">
        <v>25</v>
      </c>
      <c r="R590" s="34" t="s">
        <v>106</v>
      </c>
      <c r="S590" s="11" t="s">
        <v>4105</v>
      </c>
    </row>
    <row r="591" spans="1:19" x14ac:dyDescent="0.2">
      <c r="A591" s="33">
        <v>43647</v>
      </c>
      <c r="B591" s="34">
        <v>46</v>
      </c>
      <c r="C591" s="34" t="s">
        <v>102</v>
      </c>
      <c r="D591" s="34" t="str">
        <f>VLOOKUP(C591,'SALE PARTY MASTER'!$B$4:$E$500,2,FALSE)</f>
        <v>23AABCE9378F1ZK</v>
      </c>
      <c r="E591" s="34" t="s">
        <v>22</v>
      </c>
      <c r="F591" s="34" t="s">
        <v>1981</v>
      </c>
      <c r="G591" s="44">
        <v>43654</v>
      </c>
      <c r="H591" s="34">
        <v>87081090</v>
      </c>
      <c r="I591" s="34">
        <v>28</v>
      </c>
      <c r="J591" s="38">
        <v>30</v>
      </c>
      <c r="K591" s="40">
        <v>28164.6</v>
      </c>
      <c r="L591" s="41">
        <v>7886.0879999999988</v>
      </c>
      <c r="M591" s="41">
        <v>0</v>
      </c>
      <c r="N591" s="41">
        <v>0</v>
      </c>
      <c r="O591" s="41">
        <v>0</v>
      </c>
      <c r="P591" s="42">
        <v>36050.687999999995</v>
      </c>
      <c r="Q591" s="34" t="s">
        <v>25</v>
      </c>
      <c r="R591" s="34" t="s">
        <v>106</v>
      </c>
      <c r="S591" s="11" t="s">
        <v>4105</v>
      </c>
    </row>
    <row r="592" spans="1:19" x14ac:dyDescent="0.2">
      <c r="A592" s="33">
        <v>43647</v>
      </c>
      <c r="B592" s="34">
        <v>47</v>
      </c>
      <c r="C592" s="34" t="s">
        <v>102</v>
      </c>
      <c r="D592" s="34" t="str">
        <f>VLOOKUP(C592,'SALE PARTY MASTER'!$B$4:$E$500,2,FALSE)</f>
        <v>23AABCE9378F1ZK</v>
      </c>
      <c r="E592" s="34" t="s">
        <v>22</v>
      </c>
      <c r="F592" s="34" t="s">
        <v>1982</v>
      </c>
      <c r="G592" s="44">
        <v>43654</v>
      </c>
      <c r="H592" s="34">
        <v>87081090</v>
      </c>
      <c r="I592" s="34">
        <v>28</v>
      </c>
      <c r="J592" s="38">
        <v>9</v>
      </c>
      <c r="K592" s="40">
        <v>18193.5</v>
      </c>
      <c r="L592" s="41">
        <v>5094.18</v>
      </c>
      <c r="M592" s="41">
        <v>0</v>
      </c>
      <c r="N592" s="41">
        <v>0</v>
      </c>
      <c r="O592" s="41">
        <v>0</v>
      </c>
      <c r="P592" s="42">
        <v>23287.68</v>
      </c>
      <c r="Q592" s="34" t="s">
        <v>25</v>
      </c>
      <c r="R592" s="34" t="s">
        <v>106</v>
      </c>
      <c r="S592" s="11" t="s">
        <v>4105</v>
      </c>
    </row>
    <row r="593" spans="1:19" x14ac:dyDescent="0.2">
      <c r="A593" s="33">
        <v>43647</v>
      </c>
      <c r="B593" s="34">
        <v>48</v>
      </c>
      <c r="C593" s="34" t="s">
        <v>73</v>
      </c>
      <c r="D593" s="34" t="str">
        <f>VLOOKUP(C593,'SALE PARTY MASTER'!$B$4:$E$500,2,FALSE)</f>
        <v>27AAACH4211R1ZF</v>
      </c>
      <c r="E593" s="34" t="s">
        <v>22</v>
      </c>
      <c r="F593" s="34" t="s">
        <v>1983</v>
      </c>
      <c r="G593" s="44">
        <v>43654</v>
      </c>
      <c r="H593" s="34">
        <v>85129000</v>
      </c>
      <c r="I593" s="34">
        <v>18</v>
      </c>
      <c r="J593" s="38">
        <v>2160</v>
      </c>
      <c r="K593" s="40">
        <v>54000</v>
      </c>
      <c r="L593" s="41">
        <v>0</v>
      </c>
      <c r="M593" s="41">
        <v>4860</v>
      </c>
      <c r="N593" s="41">
        <v>4860</v>
      </c>
      <c r="O593" s="41">
        <v>0</v>
      </c>
      <c r="P593" s="42">
        <v>63720</v>
      </c>
      <c r="Q593" s="34" t="s">
        <v>25</v>
      </c>
      <c r="R593" s="34" t="s">
        <v>26</v>
      </c>
      <c r="S593" s="11" t="s">
        <v>4105</v>
      </c>
    </row>
    <row r="594" spans="1:19" x14ac:dyDescent="0.2">
      <c r="A594" s="33">
        <v>43647</v>
      </c>
      <c r="B594" s="34">
        <v>49</v>
      </c>
      <c r="C594" s="34" t="s">
        <v>167</v>
      </c>
      <c r="D594" s="34" t="str">
        <f>VLOOKUP(C594,'SALE PARTY MASTER'!$B$4:$E$500,2,FALSE)</f>
        <v>27AABFP3834C1ZK</v>
      </c>
      <c r="E594" s="34" t="s">
        <v>22</v>
      </c>
      <c r="F594" s="34" t="s">
        <v>1984</v>
      </c>
      <c r="G594" s="44">
        <v>43655</v>
      </c>
      <c r="H594" s="34">
        <v>87141900</v>
      </c>
      <c r="I594" s="34">
        <v>28</v>
      </c>
      <c r="J594" s="38">
        <v>4170</v>
      </c>
      <c r="K594" s="40">
        <v>52132.9</v>
      </c>
      <c r="L594" s="41">
        <v>0</v>
      </c>
      <c r="M594" s="41">
        <v>7298.6060000000007</v>
      </c>
      <c r="N594" s="41">
        <v>7298.6060000000007</v>
      </c>
      <c r="O594" s="41">
        <v>0</v>
      </c>
      <c r="P594" s="42">
        <v>66730.101999999999</v>
      </c>
      <c r="Q594" s="34" t="s">
        <v>25</v>
      </c>
      <c r="R594" s="34" t="s">
        <v>26</v>
      </c>
      <c r="S594" s="11" t="s">
        <v>4105</v>
      </c>
    </row>
    <row r="595" spans="1:19" x14ac:dyDescent="0.2">
      <c r="A595" s="33">
        <v>43647</v>
      </c>
      <c r="B595" s="34">
        <v>50</v>
      </c>
      <c r="C595" s="34" t="s">
        <v>28</v>
      </c>
      <c r="D595" s="34" t="str">
        <f>VLOOKUP(C595,'SALE PARTY MASTER'!$B$4:$E$500,2,FALSE)</f>
        <v>27AAECM8871A1ZF</v>
      </c>
      <c r="E595" s="34" t="s">
        <v>22</v>
      </c>
      <c r="F595" s="34" t="s">
        <v>1985</v>
      </c>
      <c r="G595" s="44">
        <v>43655</v>
      </c>
      <c r="H595" s="34">
        <v>87089900</v>
      </c>
      <c r="I595" s="34">
        <v>28</v>
      </c>
      <c r="J595" s="38">
        <v>12</v>
      </c>
      <c r="K595" s="40">
        <v>23255.759999999998</v>
      </c>
      <c r="L595" s="41">
        <v>0</v>
      </c>
      <c r="M595" s="41">
        <v>3255.8063999999995</v>
      </c>
      <c r="N595" s="41">
        <v>3255.8063999999995</v>
      </c>
      <c r="O595" s="41">
        <v>0</v>
      </c>
      <c r="P595" s="42">
        <v>29767.382799999996</v>
      </c>
      <c r="Q595" s="34" t="s">
        <v>25</v>
      </c>
      <c r="R595" s="34" t="s">
        <v>26</v>
      </c>
      <c r="S595" s="11" t="s">
        <v>4105</v>
      </c>
    </row>
    <row r="596" spans="1:19" x14ac:dyDescent="0.2">
      <c r="A596" s="33">
        <v>43647</v>
      </c>
      <c r="B596" s="34">
        <v>51</v>
      </c>
      <c r="C596" s="34" t="s">
        <v>155</v>
      </c>
      <c r="D596" s="34" t="str">
        <f>VLOOKUP(C596,'SALE PARTY MASTER'!$B$4:$E$500,2,FALSE)</f>
        <v>27AAGCP0139E1ZP</v>
      </c>
      <c r="E596" s="34" t="s">
        <v>22</v>
      </c>
      <c r="F596" s="34" t="s">
        <v>1986</v>
      </c>
      <c r="G596" s="44">
        <v>43655</v>
      </c>
      <c r="H596" s="34">
        <v>87141090</v>
      </c>
      <c r="I596" s="34">
        <v>28</v>
      </c>
      <c r="J596" s="38">
        <v>700</v>
      </c>
      <c r="K596" s="40">
        <v>52759</v>
      </c>
      <c r="L596" s="41">
        <v>0</v>
      </c>
      <c r="M596" s="41">
        <v>7386.26</v>
      </c>
      <c r="N596" s="41">
        <v>7386.26</v>
      </c>
      <c r="O596" s="41">
        <v>0</v>
      </c>
      <c r="P596" s="42">
        <v>67531.520000000004</v>
      </c>
      <c r="Q596" s="34" t="s">
        <v>25</v>
      </c>
      <c r="R596" s="34" t="s">
        <v>26</v>
      </c>
      <c r="S596" s="11" t="s">
        <v>4105</v>
      </c>
    </row>
    <row r="597" spans="1:19" x14ac:dyDescent="0.2">
      <c r="A597" s="33">
        <v>43647</v>
      </c>
      <c r="B597" s="34">
        <v>52</v>
      </c>
      <c r="C597" s="34" t="s">
        <v>28</v>
      </c>
      <c r="D597" s="34" t="str">
        <f>VLOOKUP(C597,'SALE PARTY MASTER'!$B$4:$E$500,2,FALSE)</f>
        <v>27AAECM8871A1ZF</v>
      </c>
      <c r="E597" s="34" t="s">
        <v>22</v>
      </c>
      <c r="F597" s="34" t="s">
        <v>1987</v>
      </c>
      <c r="G597" s="44">
        <v>43655</v>
      </c>
      <c r="H597" s="34">
        <v>87089900</v>
      </c>
      <c r="I597" s="34">
        <v>28</v>
      </c>
      <c r="J597" s="38">
        <v>12</v>
      </c>
      <c r="K597" s="40">
        <v>23255.759999999998</v>
      </c>
      <c r="L597" s="41">
        <v>0</v>
      </c>
      <c r="M597" s="41">
        <v>3255.8063999999995</v>
      </c>
      <c r="N597" s="41">
        <v>3255.8063999999995</v>
      </c>
      <c r="O597" s="41">
        <v>0</v>
      </c>
      <c r="P597" s="42">
        <v>29767.382799999996</v>
      </c>
      <c r="Q597" s="34" t="s">
        <v>25</v>
      </c>
      <c r="R597" s="34" t="s">
        <v>26</v>
      </c>
      <c r="S597" s="11" t="s">
        <v>4105</v>
      </c>
    </row>
    <row r="598" spans="1:19" x14ac:dyDescent="0.2">
      <c r="A598" s="33">
        <v>43647</v>
      </c>
      <c r="B598" s="34">
        <v>53</v>
      </c>
      <c r="C598" s="34" t="s">
        <v>45</v>
      </c>
      <c r="D598" s="34" t="str">
        <f>VLOOKUP(C598,'SALE PARTY MASTER'!$B$4:$E$500,2,FALSE)</f>
        <v>27AAACD4090Q1Z8</v>
      </c>
      <c r="E598" s="34" t="s">
        <v>22</v>
      </c>
      <c r="F598" s="34" t="s">
        <v>1988</v>
      </c>
      <c r="G598" s="44">
        <v>43655</v>
      </c>
      <c r="H598" s="34">
        <v>85129000</v>
      </c>
      <c r="I598" s="34">
        <v>18</v>
      </c>
      <c r="J598" s="38">
        <v>558</v>
      </c>
      <c r="K598" s="40">
        <v>68081.58</v>
      </c>
      <c r="L598" s="41">
        <v>0</v>
      </c>
      <c r="M598" s="41">
        <v>6127.3422</v>
      </c>
      <c r="N598" s="41">
        <v>6127.3422</v>
      </c>
      <c r="O598" s="41">
        <v>0</v>
      </c>
      <c r="P598" s="42">
        <v>80336.2644</v>
      </c>
      <c r="Q598" s="34" t="s">
        <v>25</v>
      </c>
      <c r="R598" s="34" t="s">
        <v>26</v>
      </c>
      <c r="S598" s="11" t="s">
        <v>4105</v>
      </c>
    </row>
    <row r="599" spans="1:19" x14ac:dyDescent="0.2">
      <c r="A599" s="33">
        <v>43647</v>
      </c>
      <c r="B599" s="34">
        <v>54</v>
      </c>
      <c r="C599" s="34" t="s">
        <v>45</v>
      </c>
      <c r="D599" s="34" t="str">
        <f>VLOOKUP(C599,'SALE PARTY MASTER'!$B$4:$E$500,2,FALSE)</f>
        <v>27AAACD4090Q1Z8</v>
      </c>
      <c r="E599" s="34" t="s">
        <v>22</v>
      </c>
      <c r="F599" s="34" t="s">
        <v>1989</v>
      </c>
      <c r="G599" s="44">
        <v>43655</v>
      </c>
      <c r="H599" s="34">
        <v>85129000</v>
      </c>
      <c r="I599" s="34">
        <v>18</v>
      </c>
      <c r="J599" s="38">
        <v>495</v>
      </c>
      <c r="K599" s="40">
        <v>31957.200000000001</v>
      </c>
      <c r="L599" s="41">
        <v>0</v>
      </c>
      <c r="M599" s="41">
        <v>2876.1480000000001</v>
      </c>
      <c r="N599" s="41">
        <v>2876.1480000000001</v>
      </c>
      <c r="O599" s="41">
        <v>0</v>
      </c>
      <c r="P599" s="42">
        <v>37709.495999999999</v>
      </c>
      <c r="Q599" s="34" t="s">
        <v>25</v>
      </c>
      <c r="R599" s="34" t="s">
        <v>26</v>
      </c>
      <c r="S599" s="11" t="s">
        <v>4105</v>
      </c>
    </row>
    <row r="600" spans="1:19" x14ac:dyDescent="0.2">
      <c r="A600" s="33">
        <v>43647</v>
      </c>
      <c r="B600" s="34">
        <v>55</v>
      </c>
      <c r="C600" s="34" t="s">
        <v>73</v>
      </c>
      <c r="D600" s="34" t="str">
        <f>VLOOKUP(C600,'SALE PARTY MASTER'!$B$4:$E$500,2,FALSE)</f>
        <v>27AAACH4211R1ZF</v>
      </c>
      <c r="E600" s="34" t="s">
        <v>22</v>
      </c>
      <c r="F600" s="34" t="s">
        <v>1990</v>
      </c>
      <c r="G600" s="44">
        <v>43655</v>
      </c>
      <c r="H600" s="34">
        <v>85129000</v>
      </c>
      <c r="I600" s="34">
        <v>18</v>
      </c>
      <c r="J600" s="38">
        <v>480</v>
      </c>
      <c r="K600" s="40">
        <v>12000</v>
      </c>
      <c r="L600" s="41">
        <v>0</v>
      </c>
      <c r="M600" s="41">
        <v>1080</v>
      </c>
      <c r="N600" s="41">
        <v>1080</v>
      </c>
      <c r="O600" s="41">
        <v>0</v>
      </c>
      <c r="P600" s="42">
        <v>14160</v>
      </c>
      <c r="Q600" s="34" t="s">
        <v>25</v>
      </c>
      <c r="R600" s="34" t="s">
        <v>26</v>
      </c>
      <c r="S600" s="11" t="s">
        <v>4105</v>
      </c>
    </row>
    <row r="601" spans="1:19" x14ac:dyDescent="0.2">
      <c r="A601" s="33">
        <v>43647</v>
      </c>
      <c r="B601" s="34">
        <v>56</v>
      </c>
      <c r="C601" s="34" t="s">
        <v>124</v>
      </c>
      <c r="D601" s="34" t="str">
        <f>VLOOKUP(C601,'SALE PARTY MASTER'!$B$4:$E$500,2,FALSE)</f>
        <v>27AAACB2484Q1Z8</v>
      </c>
      <c r="E601" s="34" t="s">
        <v>22</v>
      </c>
      <c r="F601" s="34" t="s">
        <v>1991</v>
      </c>
      <c r="G601" s="44">
        <v>43656</v>
      </c>
      <c r="H601" s="34">
        <v>998898</v>
      </c>
      <c r="I601" s="34">
        <v>18</v>
      </c>
      <c r="J601" s="38">
        <v>870</v>
      </c>
      <c r="K601" s="40">
        <v>74010</v>
      </c>
      <c r="L601" s="41">
        <v>0</v>
      </c>
      <c r="M601" s="41">
        <v>6660.9000000000005</v>
      </c>
      <c r="N601" s="41">
        <v>6660.9000000000005</v>
      </c>
      <c r="O601" s="41">
        <v>0</v>
      </c>
      <c r="P601" s="42">
        <v>87331.799999999988</v>
      </c>
      <c r="Q601" s="34" t="s">
        <v>25</v>
      </c>
      <c r="R601" s="34" t="s">
        <v>26</v>
      </c>
      <c r="S601" s="11" t="s">
        <v>4105</v>
      </c>
    </row>
    <row r="602" spans="1:19" x14ac:dyDescent="0.2">
      <c r="A602" s="33">
        <v>43647</v>
      </c>
      <c r="B602" s="34">
        <v>57</v>
      </c>
      <c r="C602" s="34" t="s">
        <v>40</v>
      </c>
      <c r="D602" s="34" t="str">
        <f>VLOOKUP(C602,'SALE PARTY MASTER'!$B$4:$E$500,2,FALSE)</f>
        <v>27AAACT1848E1ZH</v>
      </c>
      <c r="E602" s="34" t="s">
        <v>22</v>
      </c>
      <c r="F602" s="34" t="s">
        <v>1992</v>
      </c>
      <c r="G602" s="44">
        <v>43656</v>
      </c>
      <c r="H602" s="34">
        <v>87089900</v>
      </c>
      <c r="I602" s="34">
        <v>28</v>
      </c>
      <c r="J602" s="38">
        <v>75</v>
      </c>
      <c r="K602" s="40">
        <v>35855.279999999999</v>
      </c>
      <c r="L602" s="41">
        <v>0</v>
      </c>
      <c r="M602" s="41">
        <v>5019.7392</v>
      </c>
      <c r="N602" s="41">
        <v>5019.7392</v>
      </c>
      <c r="O602" s="41">
        <v>0</v>
      </c>
      <c r="P602" s="42">
        <v>45894.758399999992</v>
      </c>
      <c r="Q602" s="34" t="s">
        <v>25</v>
      </c>
      <c r="R602" s="34" t="s">
        <v>26</v>
      </c>
      <c r="S602" s="11" t="s">
        <v>4105</v>
      </c>
    </row>
    <row r="603" spans="1:19" x14ac:dyDescent="0.2">
      <c r="A603" s="33">
        <v>43647</v>
      </c>
      <c r="B603" s="34">
        <v>58</v>
      </c>
      <c r="C603" s="34" t="s">
        <v>73</v>
      </c>
      <c r="D603" s="34" t="str">
        <f>VLOOKUP(C603,'SALE PARTY MASTER'!$B$4:$E$500,2,FALSE)</f>
        <v>27AAACH4211R1ZF</v>
      </c>
      <c r="E603" s="34" t="s">
        <v>22</v>
      </c>
      <c r="F603" s="34" t="s">
        <v>1993</v>
      </c>
      <c r="G603" s="44">
        <v>43656</v>
      </c>
      <c r="H603" s="34">
        <v>85129000</v>
      </c>
      <c r="I603" s="34">
        <v>18</v>
      </c>
      <c r="J603" s="38">
        <v>1440</v>
      </c>
      <c r="K603" s="40">
        <v>36000</v>
      </c>
      <c r="L603" s="41">
        <v>0</v>
      </c>
      <c r="M603" s="41">
        <v>3240</v>
      </c>
      <c r="N603" s="41">
        <v>3240</v>
      </c>
      <c r="O603" s="41">
        <v>0</v>
      </c>
      <c r="P603" s="42">
        <v>42480</v>
      </c>
      <c r="Q603" s="34" t="s">
        <v>25</v>
      </c>
      <c r="R603" s="34" t="s">
        <v>26</v>
      </c>
      <c r="S603" s="11" t="s">
        <v>4105</v>
      </c>
    </row>
    <row r="604" spans="1:19" x14ac:dyDescent="0.2">
      <c r="A604" s="33">
        <v>43647</v>
      </c>
      <c r="B604" s="34">
        <v>59</v>
      </c>
      <c r="C604" s="34" t="s">
        <v>45</v>
      </c>
      <c r="D604" s="34" t="str">
        <f>VLOOKUP(C604,'SALE PARTY MASTER'!$B$4:$E$500,2,FALSE)</f>
        <v>27AAACD4090Q1Z8</v>
      </c>
      <c r="E604" s="34" t="s">
        <v>22</v>
      </c>
      <c r="F604" s="34" t="s">
        <v>1994</v>
      </c>
      <c r="G604" s="44">
        <v>43656</v>
      </c>
      <c r="H604" s="34">
        <v>85129000</v>
      </c>
      <c r="I604" s="34">
        <v>18</v>
      </c>
      <c r="J604" s="38">
        <v>846</v>
      </c>
      <c r="K604" s="40">
        <v>103220.46</v>
      </c>
      <c r="L604" s="41">
        <v>0</v>
      </c>
      <c r="M604" s="41">
        <v>9289.8414000000012</v>
      </c>
      <c r="N604" s="41">
        <v>9289.8414000000012</v>
      </c>
      <c r="O604" s="41">
        <v>0</v>
      </c>
      <c r="P604" s="42">
        <v>121800.14280000002</v>
      </c>
      <c r="Q604" s="34" t="s">
        <v>25</v>
      </c>
      <c r="R604" s="34" t="s">
        <v>26</v>
      </c>
      <c r="S604" s="11" t="s">
        <v>4105</v>
      </c>
    </row>
    <row r="605" spans="1:19" x14ac:dyDescent="0.2">
      <c r="A605" s="33">
        <v>43647</v>
      </c>
      <c r="B605" s="34">
        <v>60</v>
      </c>
      <c r="C605" s="34" t="s">
        <v>167</v>
      </c>
      <c r="D605" s="34" t="str">
        <f>VLOOKUP(C605,'SALE PARTY MASTER'!$B$4:$E$500,2,FALSE)</f>
        <v>27AABFP3834C1ZK</v>
      </c>
      <c r="E605" s="34" t="s">
        <v>22</v>
      </c>
      <c r="F605" s="34" t="s">
        <v>1995</v>
      </c>
      <c r="G605" s="44">
        <v>43656</v>
      </c>
      <c r="H605" s="34">
        <v>87141900</v>
      </c>
      <c r="I605" s="34">
        <v>28</v>
      </c>
      <c r="J605" s="38">
        <v>4400</v>
      </c>
      <c r="K605" s="40">
        <v>54389.2</v>
      </c>
      <c r="L605" s="41">
        <v>0</v>
      </c>
      <c r="M605" s="41">
        <v>7614.4879999999994</v>
      </c>
      <c r="N605" s="41">
        <v>7614.4879999999994</v>
      </c>
      <c r="O605" s="41">
        <v>0</v>
      </c>
      <c r="P605" s="42">
        <v>69618.175999999992</v>
      </c>
      <c r="Q605" s="34" t="s">
        <v>25</v>
      </c>
      <c r="R605" s="34" t="s">
        <v>26</v>
      </c>
      <c r="S605" s="11" t="s">
        <v>4105</v>
      </c>
    </row>
    <row r="606" spans="1:19" x14ac:dyDescent="0.2">
      <c r="A606" s="33">
        <v>43647</v>
      </c>
      <c r="B606" s="34">
        <v>61</v>
      </c>
      <c r="C606" s="34" t="s">
        <v>155</v>
      </c>
      <c r="D606" s="34" t="str">
        <f>VLOOKUP(C606,'SALE PARTY MASTER'!$B$4:$E$500,2,FALSE)</f>
        <v>27AAGCP0139E1ZP</v>
      </c>
      <c r="E606" s="34" t="s">
        <v>22</v>
      </c>
      <c r="F606" s="34" t="s">
        <v>1996</v>
      </c>
      <c r="G606" s="44">
        <v>43657</v>
      </c>
      <c r="H606" s="34">
        <v>87141090</v>
      </c>
      <c r="I606" s="34">
        <v>28</v>
      </c>
      <c r="J606" s="38">
        <v>700</v>
      </c>
      <c r="K606" s="40">
        <v>52759</v>
      </c>
      <c r="L606" s="41">
        <v>0</v>
      </c>
      <c r="M606" s="41">
        <v>7386.26</v>
      </c>
      <c r="N606" s="41">
        <v>7386.26</v>
      </c>
      <c r="O606" s="41">
        <v>0</v>
      </c>
      <c r="P606" s="42">
        <v>67531.520000000004</v>
      </c>
      <c r="Q606" s="34" t="s">
        <v>25</v>
      </c>
      <c r="R606" s="34" t="s">
        <v>26</v>
      </c>
      <c r="S606" s="11" t="s">
        <v>4105</v>
      </c>
    </row>
    <row r="607" spans="1:19" x14ac:dyDescent="0.2">
      <c r="A607" s="33">
        <v>43647</v>
      </c>
      <c r="B607" s="34">
        <v>62</v>
      </c>
      <c r="C607" s="34" t="s">
        <v>28</v>
      </c>
      <c r="D607" s="34" t="str">
        <f>VLOOKUP(C607,'SALE PARTY MASTER'!$B$4:$E$500,2,FALSE)</f>
        <v>27AAECM8871A1ZF</v>
      </c>
      <c r="E607" s="34" t="s">
        <v>22</v>
      </c>
      <c r="F607" s="34" t="s">
        <v>1997</v>
      </c>
      <c r="G607" s="44">
        <v>43657</v>
      </c>
      <c r="H607" s="34">
        <v>87089900</v>
      </c>
      <c r="I607" s="34">
        <v>28</v>
      </c>
      <c r="J607" s="38">
        <v>12</v>
      </c>
      <c r="K607" s="40">
        <v>23255.759999999998</v>
      </c>
      <c r="L607" s="41">
        <v>0</v>
      </c>
      <c r="M607" s="41">
        <v>3255.8063999999995</v>
      </c>
      <c r="N607" s="41">
        <v>3255.8063999999995</v>
      </c>
      <c r="O607" s="41">
        <v>0</v>
      </c>
      <c r="P607" s="42">
        <v>29767.382799999996</v>
      </c>
      <c r="Q607" s="34" t="s">
        <v>25</v>
      </c>
      <c r="R607" s="34" t="s">
        <v>26</v>
      </c>
      <c r="S607" s="11" t="s">
        <v>4105</v>
      </c>
    </row>
    <row r="608" spans="1:19" x14ac:dyDescent="0.2">
      <c r="A608" s="33">
        <v>43647</v>
      </c>
      <c r="B608" s="34">
        <v>63</v>
      </c>
      <c r="C608" s="34" t="s">
        <v>167</v>
      </c>
      <c r="D608" s="34" t="str">
        <f>VLOOKUP(C608,'SALE PARTY MASTER'!$B$4:$E$500,2,FALSE)</f>
        <v>27AABFP3834C1ZK</v>
      </c>
      <c r="E608" s="34" t="s">
        <v>22</v>
      </c>
      <c r="F608" s="34" t="s">
        <v>1998</v>
      </c>
      <c r="G608" s="44">
        <v>43657</v>
      </c>
      <c r="H608" s="34">
        <v>87141900</v>
      </c>
      <c r="I608" s="34">
        <v>28</v>
      </c>
      <c r="J608" s="38">
        <v>5310</v>
      </c>
      <c r="K608" s="40">
        <v>66189.100000000006</v>
      </c>
      <c r="L608" s="41">
        <v>0</v>
      </c>
      <c r="M608" s="41">
        <v>9266.474000000002</v>
      </c>
      <c r="N608" s="41">
        <v>9266.474000000002</v>
      </c>
      <c r="O608" s="41">
        <v>0</v>
      </c>
      <c r="P608" s="42">
        <v>84722.038000000015</v>
      </c>
      <c r="Q608" s="34" t="s">
        <v>25</v>
      </c>
      <c r="R608" s="34" t="s">
        <v>26</v>
      </c>
      <c r="S608" s="11" t="s">
        <v>4105</v>
      </c>
    </row>
    <row r="609" spans="1:19" x14ac:dyDescent="0.2">
      <c r="A609" s="33">
        <v>43647</v>
      </c>
      <c r="B609" s="34">
        <v>64</v>
      </c>
      <c r="C609" s="34" t="s">
        <v>28</v>
      </c>
      <c r="D609" s="34" t="str">
        <f>VLOOKUP(C609,'SALE PARTY MASTER'!$B$4:$E$500,2,FALSE)</f>
        <v>27AAECM8871A1ZF</v>
      </c>
      <c r="E609" s="34" t="s">
        <v>22</v>
      </c>
      <c r="F609" s="34" t="s">
        <v>1999</v>
      </c>
      <c r="G609" s="44">
        <v>43657</v>
      </c>
      <c r="H609" s="34">
        <v>87089900</v>
      </c>
      <c r="I609" s="34">
        <v>28</v>
      </c>
      <c r="J609" s="38">
        <v>10</v>
      </c>
      <c r="K609" s="40">
        <v>19379.8</v>
      </c>
      <c r="L609" s="41">
        <v>0</v>
      </c>
      <c r="M609" s="41">
        <v>2713.172</v>
      </c>
      <c r="N609" s="41">
        <v>2713.172</v>
      </c>
      <c r="O609" s="41">
        <v>0</v>
      </c>
      <c r="P609" s="42">
        <v>24806.143999999997</v>
      </c>
      <c r="Q609" s="34" t="s">
        <v>25</v>
      </c>
      <c r="R609" s="34" t="s">
        <v>26</v>
      </c>
      <c r="S609" s="11" t="s">
        <v>4105</v>
      </c>
    </row>
    <row r="610" spans="1:19" x14ac:dyDescent="0.2">
      <c r="A610" s="33">
        <v>43647</v>
      </c>
      <c r="B610" s="34">
        <v>65</v>
      </c>
      <c r="C610" s="34" t="s">
        <v>73</v>
      </c>
      <c r="D610" s="34" t="str">
        <f>VLOOKUP(C610,'SALE PARTY MASTER'!$B$4:$E$500,2,FALSE)</f>
        <v>27AAACH4211R1ZF</v>
      </c>
      <c r="E610" s="34" t="s">
        <v>22</v>
      </c>
      <c r="F610" s="34" t="s">
        <v>2000</v>
      </c>
      <c r="G610" s="44">
        <v>43657</v>
      </c>
      <c r="H610" s="34">
        <v>85129000</v>
      </c>
      <c r="I610" s="34">
        <v>18</v>
      </c>
      <c r="J610" s="38">
        <v>2400</v>
      </c>
      <c r="K610" s="40">
        <v>60000</v>
      </c>
      <c r="L610" s="41">
        <v>0</v>
      </c>
      <c r="M610" s="41">
        <v>5400</v>
      </c>
      <c r="N610" s="41">
        <v>5400</v>
      </c>
      <c r="O610" s="41">
        <v>0</v>
      </c>
      <c r="P610" s="42">
        <v>70800</v>
      </c>
      <c r="Q610" s="34" t="s">
        <v>25</v>
      </c>
      <c r="R610" s="34" t="s">
        <v>26</v>
      </c>
      <c r="S610" s="11" t="s">
        <v>4105</v>
      </c>
    </row>
    <row r="611" spans="1:19" x14ac:dyDescent="0.2">
      <c r="A611" s="33">
        <v>43647</v>
      </c>
      <c r="B611" s="34">
        <v>66</v>
      </c>
      <c r="C611" s="34" t="s">
        <v>40</v>
      </c>
      <c r="D611" s="34" t="str">
        <f>VLOOKUP(C611,'SALE PARTY MASTER'!$B$4:$E$500,2,FALSE)</f>
        <v>27AAACT1848E1ZH</v>
      </c>
      <c r="E611" s="34" t="s">
        <v>22</v>
      </c>
      <c r="F611" s="34" t="s">
        <v>2001</v>
      </c>
      <c r="G611" s="44">
        <v>43658</v>
      </c>
      <c r="H611" s="34">
        <v>87089900</v>
      </c>
      <c r="I611" s="34">
        <v>28</v>
      </c>
      <c r="J611" s="38">
        <v>247</v>
      </c>
      <c r="K611" s="40">
        <v>39757.54</v>
      </c>
      <c r="L611" s="41">
        <v>0</v>
      </c>
      <c r="M611" s="41">
        <v>5566.0555999999997</v>
      </c>
      <c r="N611" s="41">
        <v>5566.0555999999997</v>
      </c>
      <c r="O611" s="41">
        <v>0</v>
      </c>
      <c r="P611" s="42">
        <v>50889.661200000002</v>
      </c>
      <c r="Q611" s="34" t="s">
        <v>25</v>
      </c>
      <c r="R611" s="34" t="s">
        <v>26</v>
      </c>
      <c r="S611" s="11" t="s">
        <v>4105</v>
      </c>
    </row>
    <row r="612" spans="1:19" x14ac:dyDescent="0.2">
      <c r="A612" s="33">
        <v>43647</v>
      </c>
      <c r="B612" s="34">
        <v>67</v>
      </c>
      <c r="C612" s="34" t="s">
        <v>167</v>
      </c>
      <c r="D612" s="34" t="str">
        <f>VLOOKUP(C612,'SALE PARTY MASTER'!$B$4:$E$500,2,FALSE)</f>
        <v>27AABFP3834C1ZK</v>
      </c>
      <c r="E612" s="34" t="s">
        <v>22</v>
      </c>
      <c r="F612" s="34" t="s">
        <v>2002</v>
      </c>
      <c r="G612" s="44">
        <v>43658</v>
      </c>
      <c r="H612" s="34">
        <v>87141900</v>
      </c>
      <c r="I612" s="34">
        <v>28</v>
      </c>
      <c r="J612" s="38">
        <v>4040</v>
      </c>
      <c r="K612" s="40">
        <v>50591.6</v>
      </c>
      <c r="L612" s="41">
        <v>0</v>
      </c>
      <c r="M612" s="41">
        <v>7082.8239999999996</v>
      </c>
      <c r="N612" s="41">
        <v>7082.8239999999996</v>
      </c>
      <c r="O612" s="41">
        <v>0</v>
      </c>
      <c r="P612" s="42">
        <v>64757.248</v>
      </c>
      <c r="Q612" s="34" t="s">
        <v>25</v>
      </c>
      <c r="R612" s="34" t="s">
        <v>26</v>
      </c>
      <c r="S612" s="11" t="s">
        <v>4105</v>
      </c>
    </row>
    <row r="613" spans="1:19" x14ac:dyDescent="0.2">
      <c r="A613" s="33">
        <v>43647</v>
      </c>
      <c r="B613" s="34">
        <v>68</v>
      </c>
      <c r="C613" s="34" t="s">
        <v>226</v>
      </c>
      <c r="D613" s="34" t="str">
        <f>VLOOKUP(C613,'SALE PARTY MASTER'!$B$4:$E$500,2,FALSE)</f>
        <v>23AAACB7112P2ZQ</v>
      </c>
      <c r="E613" s="34" t="s">
        <v>22</v>
      </c>
      <c r="F613" s="34" t="s">
        <v>2003</v>
      </c>
      <c r="G613" s="44">
        <v>43658</v>
      </c>
      <c r="H613" s="34">
        <v>87081090</v>
      </c>
      <c r="I613" s="34">
        <v>28</v>
      </c>
      <c r="J613" s="38">
        <v>100</v>
      </c>
      <c r="K613" s="40">
        <v>34551</v>
      </c>
      <c r="L613" s="41">
        <v>9674.2799999999988</v>
      </c>
      <c r="M613" s="41">
        <v>0</v>
      </c>
      <c r="N613" s="41">
        <v>0</v>
      </c>
      <c r="O613" s="41">
        <v>0</v>
      </c>
      <c r="P613" s="42">
        <v>44225.279999999999</v>
      </c>
      <c r="Q613" s="34" t="s">
        <v>25</v>
      </c>
      <c r="R613" s="34" t="s">
        <v>106</v>
      </c>
      <c r="S613" s="11" t="s">
        <v>4105</v>
      </c>
    </row>
    <row r="614" spans="1:19" x14ac:dyDescent="0.2">
      <c r="A614" s="33">
        <v>43647</v>
      </c>
      <c r="B614" s="34">
        <v>69</v>
      </c>
      <c r="C614" s="34" t="s">
        <v>28</v>
      </c>
      <c r="D614" s="34" t="str">
        <f>VLOOKUP(C614,'SALE PARTY MASTER'!$B$4:$E$500,2,FALSE)</f>
        <v>27AAECM8871A1ZF</v>
      </c>
      <c r="E614" s="34" t="s">
        <v>22</v>
      </c>
      <c r="F614" s="34" t="s">
        <v>2004</v>
      </c>
      <c r="G614" s="44">
        <v>43658</v>
      </c>
      <c r="H614" s="34">
        <v>87089900</v>
      </c>
      <c r="I614" s="34">
        <v>28</v>
      </c>
      <c r="J614" s="38">
        <v>12</v>
      </c>
      <c r="K614" s="40">
        <v>23508.6</v>
      </c>
      <c r="L614" s="41">
        <v>0</v>
      </c>
      <c r="M614" s="41">
        <v>3291.2039999999997</v>
      </c>
      <c r="N614" s="41">
        <v>3291.2039999999997</v>
      </c>
      <c r="O614" s="41">
        <v>0</v>
      </c>
      <c r="P614" s="42">
        <v>30090.997999999996</v>
      </c>
      <c r="Q614" s="34" t="s">
        <v>25</v>
      </c>
      <c r="R614" s="34" t="s">
        <v>26</v>
      </c>
      <c r="S614" s="11" t="s">
        <v>4105</v>
      </c>
    </row>
    <row r="615" spans="1:19" x14ac:dyDescent="0.2">
      <c r="A615" s="33">
        <v>43647</v>
      </c>
      <c r="B615" s="34">
        <v>70</v>
      </c>
      <c r="C615" s="34" t="s">
        <v>40</v>
      </c>
      <c r="D615" s="34" t="str">
        <f>VLOOKUP(C615,'SALE PARTY MASTER'!$B$4:$E$500,2,FALSE)</f>
        <v>27AAACT1848E1ZH</v>
      </c>
      <c r="E615" s="34" t="s">
        <v>22</v>
      </c>
      <c r="F615" s="34" t="s">
        <v>2005</v>
      </c>
      <c r="G615" s="44">
        <v>43658</v>
      </c>
      <c r="H615" s="34">
        <v>87089900</v>
      </c>
      <c r="I615" s="34">
        <v>28</v>
      </c>
      <c r="J615" s="38">
        <v>96</v>
      </c>
      <c r="K615" s="40">
        <v>69043.199999999997</v>
      </c>
      <c r="L615" s="41">
        <v>0</v>
      </c>
      <c r="M615" s="41">
        <v>9666.0480000000007</v>
      </c>
      <c r="N615" s="41">
        <v>9666.0480000000007</v>
      </c>
      <c r="O615" s="41">
        <v>0</v>
      </c>
      <c r="P615" s="42">
        <v>88375.295999999988</v>
      </c>
      <c r="Q615" s="34" t="s">
        <v>25</v>
      </c>
      <c r="R615" s="34" t="s">
        <v>26</v>
      </c>
      <c r="S615" s="11" t="s">
        <v>4105</v>
      </c>
    </row>
    <row r="616" spans="1:19" x14ac:dyDescent="0.2">
      <c r="A616" s="33">
        <v>43647</v>
      </c>
      <c r="B616" s="34">
        <v>71</v>
      </c>
      <c r="C616" s="34" t="s">
        <v>28</v>
      </c>
      <c r="D616" s="34" t="str">
        <f>VLOOKUP(C616,'SALE PARTY MASTER'!$B$4:$E$500,2,FALSE)</f>
        <v>27AAECM8871A1ZF</v>
      </c>
      <c r="E616" s="34" t="s">
        <v>22</v>
      </c>
      <c r="F616" s="34" t="s">
        <v>2006</v>
      </c>
      <c r="G616" s="44">
        <v>43658</v>
      </c>
      <c r="H616" s="34">
        <v>87089900</v>
      </c>
      <c r="I616" s="34">
        <v>28</v>
      </c>
      <c r="J616" s="38">
        <v>12</v>
      </c>
      <c r="K616" s="40">
        <v>23255.759999999998</v>
      </c>
      <c r="L616" s="41">
        <v>0</v>
      </c>
      <c r="M616" s="41">
        <v>3255.8063999999995</v>
      </c>
      <c r="N616" s="41">
        <v>3255.8063999999995</v>
      </c>
      <c r="O616" s="41">
        <v>0</v>
      </c>
      <c r="P616" s="42">
        <v>29767.382799999996</v>
      </c>
      <c r="Q616" s="34" t="s">
        <v>25</v>
      </c>
      <c r="R616" s="34" t="s">
        <v>26</v>
      </c>
      <c r="S616" s="11" t="s">
        <v>4105</v>
      </c>
    </row>
    <row r="617" spans="1:19" x14ac:dyDescent="0.2">
      <c r="A617" s="33">
        <v>43647</v>
      </c>
      <c r="B617" s="34">
        <v>72</v>
      </c>
      <c r="C617" s="34" t="s">
        <v>73</v>
      </c>
      <c r="D617" s="34" t="str">
        <f>VLOOKUP(C617,'SALE PARTY MASTER'!$B$4:$E$500,2,FALSE)</f>
        <v>27AAACH4211R1ZF</v>
      </c>
      <c r="E617" s="34" t="s">
        <v>22</v>
      </c>
      <c r="F617" s="34" t="s">
        <v>2007</v>
      </c>
      <c r="G617" s="44">
        <v>43658</v>
      </c>
      <c r="H617" s="34">
        <v>85129000</v>
      </c>
      <c r="I617" s="34">
        <v>18</v>
      </c>
      <c r="J617" s="38">
        <v>960</v>
      </c>
      <c r="K617" s="40">
        <v>24000</v>
      </c>
      <c r="L617" s="41">
        <v>0</v>
      </c>
      <c r="M617" s="41">
        <v>2160</v>
      </c>
      <c r="N617" s="41">
        <v>2160</v>
      </c>
      <c r="O617" s="41">
        <v>0</v>
      </c>
      <c r="P617" s="42">
        <v>28320</v>
      </c>
      <c r="Q617" s="34" t="s">
        <v>25</v>
      </c>
      <c r="R617" s="34" t="s">
        <v>26</v>
      </c>
      <c r="S617" s="11" t="s">
        <v>4105</v>
      </c>
    </row>
    <row r="618" spans="1:19" x14ac:dyDescent="0.2">
      <c r="A618" s="33">
        <v>43647</v>
      </c>
      <c r="B618" s="34">
        <v>73</v>
      </c>
      <c r="C618" s="34" t="s">
        <v>167</v>
      </c>
      <c r="D618" s="34" t="str">
        <f>VLOOKUP(C618,'SALE PARTY MASTER'!$B$4:$E$500,2,FALSE)</f>
        <v>27AABFP3834C1ZK</v>
      </c>
      <c r="E618" s="34" t="s">
        <v>22</v>
      </c>
      <c r="F618" s="34" t="s">
        <v>2008</v>
      </c>
      <c r="G618" s="44">
        <v>43659</v>
      </c>
      <c r="H618" s="34">
        <v>87141900</v>
      </c>
      <c r="I618" s="34">
        <v>28</v>
      </c>
      <c r="J618" s="38">
        <v>4080</v>
      </c>
      <c r="K618" s="40">
        <v>50132.800000000003</v>
      </c>
      <c r="L618" s="41">
        <v>0</v>
      </c>
      <c r="M618" s="41">
        <v>7018.5920000000006</v>
      </c>
      <c r="N618" s="41">
        <v>7018.5920000000006</v>
      </c>
      <c r="O618" s="41">
        <v>0</v>
      </c>
      <c r="P618" s="42">
        <v>64169.984000000011</v>
      </c>
      <c r="Q618" s="34" t="s">
        <v>25</v>
      </c>
      <c r="R618" s="34" t="s">
        <v>26</v>
      </c>
      <c r="S618" s="11" t="s">
        <v>4105</v>
      </c>
    </row>
    <row r="619" spans="1:19" x14ac:dyDescent="0.2">
      <c r="A619" s="33">
        <v>43647</v>
      </c>
      <c r="B619" s="34">
        <v>74</v>
      </c>
      <c r="C619" s="34" t="s">
        <v>155</v>
      </c>
      <c r="D619" s="34" t="str">
        <f>VLOOKUP(C619,'SALE PARTY MASTER'!$B$4:$E$500,2,FALSE)</f>
        <v>27AAGCP0139E1ZP</v>
      </c>
      <c r="E619" s="34" t="s">
        <v>22</v>
      </c>
      <c r="F619" s="34" t="s">
        <v>2009</v>
      </c>
      <c r="G619" s="44">
        <v>43659</v>
      </c>
      <c r="H619" s="34">
        <v>87141090</v>
      </c>
      <c r="I619" s="34">
        <v>28</v>
      </c>
      <c r="J619" s="38">
        <v>1260</v>
      </c>
      <c r="K619" s="40">
        <v>59257.8</v>
      </c>
      <c r="L619" s="41">
        <v>0</v>
      </c>
      <c r="M619" s="41">
        <v>8296.0920000000006</v>
      </c>
      <c r="N619" s="41">
        <v>8296.0920000000006</v>
      </c>
      <c r="O619" s="41">
        <v>0</v>
      </c>
      <c r="P619" s="42">
        <v>75849.984000000011</v>
      </c>
      <c r="Q619" s="34" t="s">
        <v>25</v>
      </c>
      <c r="R619" s="34" t="s">
        <v>26</v>
      </c>
      <c r="S619" s="11" t="s">
        <v>4105</v>
      </c>
    </row>
    <row r="620" spans="1:19" x14ac:dyDescent="0.2">
      <c r="A620" s="33">
        <v>43647</v>
      </c>
      <c r="B620" s="34">
        <v>75</v>
      </c>
      <c r="C620" s="34" t="s">
        <v>28</v>
      </c>
      <c r="D620" s="34" t="str">
        <f>VLOOKUP(C620,'SALE PARTY MASTER'!$B$4:$E$500,2,FALSE)</f>
        <v>27AAECM8871A1ZF</v>
      </c>
      <c r="E620" s="34" t="s">
        <v>22</v>
      </c>
      <c r="F620" s="34" t="s">
        <v>2010</v>
      </c>
      <c r="G620" s="44">
        <v>43659</v>
      </c>
      <c r="H620" s="34">
        <v>87089900</v>
      </c>
      <c r="I620" s="34">
        <v>28</v>
      </c>
      <c r="J620" s="38">
        <v>12</v>
      </c>
      <c r="K620" s="40">
        <v>23508.6</v>
      </c>
      <c r="L620" s="41">
        <v>0</v>
      </c>
      <c r="M620" s="41">
        <v>3291.2039999999997</v>
      </c>
      <c r="N620" s="41">
        <v>3291.2039999999997</v>
      </c>
      <c r="O620" s="41">
        <v>0</v>
      </c>
      <c r="P620" s="42">
        <v>30090.997999999996</v>
      </c>
      <c r="Q620" s="34" t="s">
        <v>25</v>
      </c>
      <c r="R620" s="34" t="s">
        <v>26</v>
      </c>
      <c r="S620" s="11" t="s">
        <v>4105</v>
      </c>
    </row>
    <row r="621" spans="1:19" x14ac:dyDescent="0.2">
      <c r="A621" s="33">
        <v>43647</v>
      </c>
      <c r="B621" s="34">
        <v>76</v>
      </c>
      <c r="C621" s="34" t="s">
        <v>70</v>
      </c>
      <c r="D621" s="34" t="str">
        <f>VLOOKUP(C621,'SALE PARTY MASTER'!$B$4:$E$500,2,FALSE)</f>
        <v>27AACCA4196J1ZG</v>
      </c>
      <c r="E621" s="34" t="s">
        <v>22</v>
      </c>
      <c r="F621" s="34" t="s">
        <v>2011</v>
      </c>
      <c r="G621" s="44">
        <v>43659</v>
      </c>
      <c r="H621" s="34">
        <v>998898</v>
      </c>
      <c r="I621" s="34">
        <v>18</v>
      </c>
      <c r="J621" s="38">
        <v>750</v>
      </c>
      <c r="K621" s="40">
        <v>6165</v>
      </c>
      <c r="L621" s="41">
        <v>0</v>
      </c>
      <c r="M621" s="41">
        <v>554.85</v>
      </c>
      <c r="N621" s="41">
        <v>554.85</v>
      </c>
      <c r="O621" s="41">
        <v>0</v>
      </c>
      <c r="P621" s="42">
        <v>7274.7199999999993</v>
      </c>
      <c r="Q621" s="34" t="s">
        <v>25</v>
      </c>
      <c r="R621" s="34" t="s">
        <v>26</v>
      </c>
      <c r="S621" s="11" t="s">
        <v>4105</v>
      </c>
    </row>
    <row r="622" spans="1:19" x14ac:dyDescent="0.2">
      <c r="A622" s="33">
        <v>43647</v>
      </c>
      <c r="B622" s="34">
        <v>77</v>
      </c>
      <c r="C622" s="34" t="s">
        <v>124</v>
      </c>
      <c r="D622" s="34" t="str">
        <f>VLOOKUP(C622,'SALE PARTY MASTER'!$B$4:$E$500,2,FALSE)</f>
        <v>27AAACB2484Q1Z8</v>
      </c>
      <c r="E622" s="34" t="s">
        <v>22</v>
      </c>
      <c r="F622" s="34" t="s">
        <v>2012</v>
      </c>
      <c r="G622" s="44">
        <v>43659</v>
      </c>
      <c r="H622" s="34">
        <v>998898</v>
      </c>
      <c r="I622" s="34">
        <v>18</v>
      </c>
      <c r="J622" s="38">
        <v>1260</v>
      </c>
      <c r="K622" s="40">
        <v>109980</v>
      </c>
      <c r="L622" s="41">
        <v>0</v>
      </c>
      <c r="M622" s="41">
        <v>9898.1999999999989</v>
      </c>
      <c r="N622" s="41">
        <v>9898.1999999999989</v>
      </c>
      <c r="O622" s="41">
        <v>0</v>
      </c>
      <c r="P622" s="42">
        <v>129776.4</v>
      </c>
      <c r="Q622" s="34" t="s">
        <v>25</v>
      </c>
      <c r="R622" s="34" t="s">
        <v>26</v>
      </c>
      <c r="S622" s="11" t="s">
        <v>4105</v>
      </c>
    </row>
    <row r="623" spans="1:19" x14ac:dyDescent="0.2">
      <c r="A623" s="33">
        <v>43647</v>
      </c>
      <c r="B623" s="34">
        <v>78</v>
      </c>
      <c r="C623" s="34" t="s">
        <v>28</v>
      </c>
      <c r="D623" s="34" t="str">
        <f>VLOOKUP(C623,'SALE PARTY MASTER'!$B$4:$E$500,2,FALSE)</f>
        <v>27AAECM8871A1ZF</v>
      </c>
      <c r="E623" s="34" t="s">
        <v>22</v>
      </c>
      <c r="F623" s="34" t="s">
        <v>2013</v>
      </c>
      <c r="G623" s="44">
        <v>43659</v>
      </c>
      <c r="H623" s="34">
        <v>87089900</v>
      </c>
      <c r="I623" s="34">
        <v>28</v>
      </c>
      <c r="J623" s="38">
        <v>12</v>
      </c>
      <c r="K623" s="40">
        <v>23255.759999999998</v>
      </c>
      <c r="L623" s="41">
        <v>0</v>
      </c>
      <c r="M623" s="41">
        <v>3255.8063999999995</v>
      </c>
      <c r="N623" s="41">
        <v>3255.8063999999995</v>
      </c>
      <c r="O623" s="41">
        <v>0</v>
      </c>
      <c r="P623" s="42">
        <v>29767.382799999996</v>
      </c>
      <c r="Q623" s="34" t="s">
        <v>25</v>
      </c>
      <c r="R623" s="34" t="s">
        <v>26</v>
      </c>
      <c r="S623" s="11" t="s">
        <v>4105</v>
      </c>
    </row>
    <row r="624" spans="1:19" x14ac:dyDescent="0.2">
      <c r="A624" s="33">
        <v>43647</v>
      </c>
      <c r="B624" s="34">
        <v>79</v>
      </c>
      <c r="C624" s="34" t="s">
        <v>73</v>
      </c>
      <c r="D624" s="34" t="str">
        <f>VLOOKUP(C624,'SALE PARTY MASTER'!$B$4:$E$500,2,FALSE)</f>
        <v>27AAACH4211R1ZF</v>
      </c>
      <c r="E624" s="34" t="s">
        <v>22</v>
      </c>
      <c r="F624" s="34" t="s">
        <v>2014</v>
      </c>
      <c r="G624" s="44">
        <v>43659</v>
      </c>
      <c r="H624" s="34">
        <v>85129000</v>
      </c>
      <c r="I624" s="34">
        <v>18</v>
      </c>
      <c r="J624" s="38">
        <v>1680</v>
      </c>
      <c r="K624" s="40">
        <v>42000</v>
      </c>
      <c r="L624" s="41">
        <v>0</v>
      </c>
      <c r="M624" s="41">
        <v>3780</v>
      </c>
      <c r="N624" s="41">
        <v>3780</v>
      </c>
      <c r="O624" s="41">
        <v>0</v>
      </c>
      <c r="P624" s="42">
        <v>49560</v>
      </c>
      <c r="Q624" s="34" t="s">
        <v>25</v>
      </c>
      <c r="R624" s="34" t="s">
        <v>26</v>
      </c>
      <c r="S624" s="11" t="s">
        <v>4105</v>
      </c>
    </row>
    <row r="625" spans="1:19" x14ac:dyDescent="0.2">
      <c r="A625" s="33">
        <v>43647</v>
      </c>
      <c r="B625" s="34">
        <v>80</v>
      </c>
      <c r="C625" s="34" t="s">
        <v>49</v>
      </c>
      <c r="D625" s="34" t="str">
        <f>VLOOKUP(C625,'SALE PARTY MASTER'!$B$4:$E$500,2,FALSE)</f>
        <v>27AABFJ4217F1ZP</v>
      </c>
      <c r="E625" s="34" t="s">
        <v>22</v>
      </c>
      <c r="F625" s="34" t="s">
        <v>2015</v>
      </c>
      <c r="G625" s="44">
        <v>43661</v>
      </c>
      <c r="H625" s="34">
        <v>998898</v>
      </c>
      <c r="I625" s="34">
        <v>18</v>
      </c>
      <c r="J625" s="38">
        <v>20</v>
      </c>
      <c r="K625" s="40">
        <v>5682.8</v>
      </c>
      <c r="L625" s="41">
        <v>0</v>
      </c>
      <c r="M625" s="41">
        <v>511.452</v>
      </c>
      <c r="N625" s="41">
        <v>511.452</v>
      </c>
      <c r="O625" s="41">
        <v>0</v>
      </c>
      <c r="P625" s="42">
        <v>6705.7040000000006</v>
      </c>
      <c r="Q625" s="34" t="s">
        <v>25</v>
      </c>
      <c r="R625" s="34" t="s">
        <v>26</v>
      </c>
      <c r="S625" s="11" t="s">
        <v>4105</v>
      </c>
    </row>
    <row r="626" spans="1:19" x14ac:dyDescent="0.2">
      <c r="A626" s="33">
        <v>43647</v>
      </c>
      <c r="B626" s="34">
        <v>81</v>
      </c>
      <c r="C626" s="34" t="s">
        <v>40</v>
      </c>
      <c r="D626" s="34" t="str">
        <f>VLOOKUP(C626,'SALE PARTY MASTER'!$B$4:$E$500,2,FALSE)</f>
        <v>27AAACT1848E1ZH</v>
      </c>
      <c r="E626" s="34" t="s">
        <v>22</v>
      </c>
      <c r="F626" s="34" t="s">
        <v>2016</v>
      </c>
      <c r="G626" s="44">
        <v>43661</v>
      </c>
      <c r="H626" s="34">
        <v>87089900</v>
      </c>
      <c r="I626" s="34">
        <v>28</v>
      </c>
      <c r="J626" s="38">
        <v>40</v>
      </c>
      <c r="K626" s="40">
        <v>21650</v>
      </c>
      <c r="L626" s="41">
        <v>0</v>
      </c>
      <c r="M626" s="41">
        <v>3031</v>
      </c>
      <c r="N626" s="41">
        <v>3031</v>
      </c>
      <c r="O626" s="41">
        <v>0</v>
      </c>
      <c r="P626" s="42">
        <v>27712</v>
      </c>
      <c r="Q626" s="34" t="s">
        <v>25</v>
      </c>
      <c r="R626" s="34" t="s">
        <v>26</v>
      </c>
      <c r="S626" s="11" t="s">
        <v>4105</v>
      </c>
    </row>
    <row r="627" spans="1:19" x14ac:dyDescent="0.2">
      <c r="A627" s="33">
        <v>43647</v>
      </c>
      <c r="B627" s="34">
        <v>82</v>
      </c>
      <c r="C627" s="34" t="s">
        <v>45</v>
      </c>
      <c r="D627" s="34" t="str">
        <f>VLOOKUP(C627,'SALE PARTY MASTER'!$B$4:$E$500,2,FALSE)</f>
        <v>27AAACD4090Q1Z8</v>
      </c>
      <c r="E627" s="34" t="s">
        <v>22</v>
      </c>
      <c r="F627" s="34" t="s">
        <v>2017</v>
      </c>
      <c r="G627" s="44">
        <v>43661</v>
      </c>
      <c r="H627" s="34">
        <v>85129000</v>
      </c>
      <c r="I627" s="34">
        <v>18</v>
      </c>
      <c r="J627" s="38">
        <v>700</v>
      </c>
      <c r="K627" s="40">
        <v>85407</v>
      </c>
      <c r="L627" s="41">
        <v>0</v>
      </c>
      <c r="M627" s="41">
        <v>7686.63</v>
      </c>
      <c r="N627" s="41">
        <v>7686.63</v>
      </c>
      <c r="O627" s="41">
        <v>0</v>
      </c>
      <c r="P627" s="42">
        <v>100780.26000000001</v>
      </c>
      <c r="Q627" s="34" t="s">
        <v>25</v>
      </c>
      <c r="R627" s="34" t="s">
        <v>26</v>
      </c>
      <c r="S627" s="11" t="s">
        <v>4105</v>
      </c>
    </row>
    <row r="628" spans="1:19" x14ac:dyDescent="0.2">
      <c r="A628" s="33">
        <v>43647</v>
      </c>
      <c r="B628" s="34">
        <v>83</v>
      </c>
      <c r="C628" s="34" t="s">
        <v>45</v>
      </c>
      <c r="D628" s="34" t="str">
        <f>VLOOKUP(C628,'SALE PARTY MASTER'!$B$4:$E$500,2,FALSE)</f>
        <v>27AAACD4090Q1Z8</v>
      </c>
      <c r="E628" s="34" t="s">
        <v>22</v>
      </c>
      <c r="F628" s="34" t="s">
        <v>2018</v>
      </c>
      <c r="G628" s="44">
        <v>43661</v>
      </c>
      <c r="H628" s="34">
        <v>85129000</v>
      </c>
      <c r="I628" s="34">
        <v>18</v>
      </c>
      <c r="J628" s="38">
        <v>63</v>
      </c>
      <c r="K628" s="40">
        <v>4067.28</v>
      </c>
      <c r="L628" s="41">
        <v>0</v>
      </c>
      <c r="M628" s="41">
        <v>366.05520000000001</v>
      </c>
      <c r="N628" s="41">
        <v>366.05520000000001</v>
      </c>
      <c r="O628" s="41">
        <v>0</v>
      </c>
      <c r="P628" s="42">
        <v>4799.4004000000004</v>
      </c>
      <c r="Q628" s="34" t="s">
        <v>25</v>
      </c>
      <c r="R628" s="34" t="s">
        <v>26</v>
      </c>
      <c r="S628" s="11" t="s">
        <v>4105</v>
      </c>
    </row>
    <row r="629" spans="1:19" x14ac:dyDescent="0.2">
      <c r="A629" s="33">
        <v>43647</v>
      </c>
      <c r="B629" s="34">
        <v>84</v>
      </c>
      <c r="C629" s="34" t="s">
        <v>28</v>
      </c>
      <c r="D629" s="34" t="str">
        <f>VLOOKUP(C629,'SALE PARTY MASTER'!$B$4:$E$500,2,FALSE)</f>
        <v>27AAECM8871A1ZF</v>
      </c>
      <c r="E629" s="34" t="s">
        <v>22</v>
      </c>
      <c r="F629" s="34" t="s">
        <v>2019</v>
      </c>
      <c r="G629" s="44">
        <v>43661</v>
      </c>
      <c r="H629" s="34">
        <v>87089900</v>
      </c>
      <c r="I629" s="34">
        <v>28</v>
      </c>
      <c r="J629" s="38">
        <v>12</v>
      </c>
      <c r="K629" s="40">
        <v>23508.6</v>
      </c>
      <c r="L629" s="41">
        <v>0</v>
      </c>
      <c r="M629" s="41">
        <v>3291.2039999999997</v>
      </c>
      <c r="N629" s="41">
        <v>3291.2039999999997</v>
      </c>
      <c r="O629" s="41">
        <v>0</v>
      </c>
      <c r="P629" s="42">
        <v>30090.997999999996</v>
      </c>
      <c r="Q629" s="34" t="s">
        <v>25</v>
      </c>
      <c r="R629" s="34" t="s">
        <v>26</v>
      </c>
      <c r="S629" s="11" t="s">
        <v>4105</v>
      </c>
    </row>
    <row r="630" spans="1:19" x14ac:dyDescent="0.2">
      <c r="A630" s="33">
        <v>43647</v>
      </c>
      <c r="B630" s="34">
        <v>85</v>
      </c>
      <c r="C630" s="34" t="s">
        <v>167</v>
      </c>
      <c r="D630" s="34" t="str">
        <f>VLOOKUP(C630,'SALE PARTY MASTER'!$B$4:$E$500,2,FALSE)</f>
        <v>27AABFP3834C1ZK</v>
      </c>
      <c r="E630" s="34" t="s">
        <v>22</v>
      </c>
      <c r="F630" s="34" t="s">
        <v>2020</v>
      </c>
      <c r="G630" s="44">
        <v>43661</v>
      </c>
      <c r="H630" s="34">
        <v>87141900</v>
      </c>
      <c r="I630" s="34">
        <v>28</v>
      </c>
      <c r="J630" s="38">
        <v>6100</v>
      </c>
      <c r="K630" s="40">
        <v>76067</v>
      </c>
      <c r="L630" s="41">
        <v>0</v>
      </c>
      <c r="M630" s="41">
        <v>10649.38</v>
      </c>
      <c r="N630" s="41">
        <v>10649.38</v>
      </c>
      <c r="O630" s="41">
        <v>0</v>
      </c>
      <c r="P630" s="42">
        <v>97365.760000000009</v>
      </c>
      <c r="Q630" s="34" t="s">
        <v>25</v>
      </c>
      <c r="R630" s="34" t="s">
        <v>26</v>
      </c>
      <c r="S630" s="11" t="s">
        <v>4105</v>
      </c>
    </row>
    <row r="631" spans="1:19" x14ac:dyDescent="0.2">
      <c r="A631" s="33">
        <v>43647</v>
      </c>
      <c r="B631" s="34">
        <v>86</v>
      </c>
      <c r="C631" s="34" t="s">
        <v>28</v>
      </c>
      <c r="D631" s="34" t="str">
        <f>VLOOKUP(C631,'SALE PARTY MASTER'!$B$4:$E$500,2,FALSE)</f>
        <v>27AAECM8871A1ZF</v>
      </c>
      <c r="E631" s="34" t="s">
        <v>22</v>
      </c>
      <c r="F631" s="34" t="s">
        <v>2021</v>
      </c>
      <c r="G631" s="44">
        <v>43661</v>
      </c>
      <c r="H631" s="34">
        <v>87089900</v>
      </c>
      <c r="I631" s="34">
        <v>28</v>
      </c>
      <c r="J631" s="38">
        <v>13</v>
      </c>
      <c r="K631" s="40">
        <v>25193.74</v>
      </c>
      <c r="L631" s="41">
        <v>0</v>
      </c>
      <c r="M631" s="41">
        <v>3527.1236000000004</v>
      </c>
      <c r="N631" s="41">
        <v>3527.1236000000004</v>
      </c>
      <c r="O631" s="41">
        <v>0</v>
      </c>
      <c r="P631" s="42">
        <v>32247.977200000001</v>
      </c>
      <c r="Q631" s="34" t="s">
        <v>25</v>
      </c>
      <c r="R631" s="34" t="s">
        <v>26</v>
      </c>
      <c r="S631" s="11" t="s">
        <v>4105</v>
      </c>
    </row>
    <row r="632" spans="1:19" x14ac:dyDescent="0.2">
      <c r="A632" s="33">
        <v>43647</v>
      </c>
      <c r="B632" s="34">
        <v>87</v>
      </c>
      <c r="C632" s="34" t="s">
        <v>73</v>
      </c>
      <c r="D632" s="34" t="str">
        <f>VLOOKUP(C632,'SALE PARTY MASTER'!$B$4:$E$500,2,FALSE)</f>
        <v>27AAACH4211R1ZF</v>
      </c>
      <c r="E632" s="34" t="s">
        <v>22</v>
      </c>
      <c r="F632" s="34" t="s">
        <v>2022</v>
      </c>
      <c r="G632" s="44">
        <v>43661</v>
      </c>
      <c r="H632" s="34">
        <v>85129000</v>
      </c>
      <c r="I632" s="34">
        <v>18</v>
      </c>
      <c r="J632" s="38">
        <v>1200</v>
      </c>
      <c r="K632" s="40">
        <v>30000</v>
      </c>
      <c r="L632" s="41">
        <v>0</v>
      </c>
      <c r="M632" s="41">
        <v>2700</v>
      </c>
      <c r="N632" s="41">
        <v>2700</v>
      </c>
      <c r="O632" s="41">
        <v>0</v>
      </c>
      <c r="P632" s="42">
        <v>35400</v>
      </c>
      <c r="Q632" s="34" t="s">
        <v>25</v>
      </c>
      <c r="R632" s="34" t="s">
        <v>26</v>
      </c>
      <c r="S632" s="11" t="s">
        <v>4105</v>
      </c>
    </row>
    <row r="633" spans="1:19" x14ac:dyDescent="0.2">
      <c r="A633" s="33">
        <v>43647</v>
      </c>
      <c r="B633" s="34">
        <v>88</v>
      </c>
      <c r="C633" s="34" t="s">
        <v>49</v>
      </c>
      <c r="D633" s="34" t="str">
        <f>VLOOKUP(C633,'SALE PARTY MASTER'!$B$4:$E$500,2,FALSE)</f>
        <v>27AABFJ4217F1ZP</v>
      </c>
      <c r="E633" s="34" t="s">
        <v>22</v>
      </c>
      <c r="F633" s="34" t="s">
        <v>2023</v>
      </c>
      <c r="G633" s="44">
        <v>43662</v>
      </c>
      <c r="H633" s="34">
        <v>998898</v>
      </c>
      <c r="I633" s="34">
        <v>18</v>
      </c>
      <c r="J633" s="38">
        <v>30</v>
      </c>
      <c r="K633" s="40">
        <v>8524.2000000000007</v>
      </c>
      <c r="L633" s="41">
        <v>0</v>
      </c>
      <c r="M633" s="41">
        <v>767.178</v>
      </c>
      <c r="N633" s="41">
        <v>767.178</v>
      </c>
      <c r="O633" s="41">
        <v>0</v>
      </c>
      <c r="P633" s="42">
        <v>10058.556</v>
      </c>
      <c r="Q633" s="34" t="s">
        <v>25</v>
      </c>
      <c r="R633" s="34" t="s">
        <v>26</v>
      </c>
      <c r="S633" s="11" t="s">
        <v>4105</v>
      </c>
    </row>
    <row r="634" spans="1:19" x14ac:dyDescent="0.2">
      <c r="A634" s="33">
        <v>43647</v>
      </c>
      <c r="B634" s="34">
        <v>89</v>
      </c>
      <c r="C634" s="34" t="s">
        <v>167</v>
      </c>
      <c r="D634" s="34" t="str">
        <f>VLOOKUP(C634,'SALE PARTY MASTER'!$B$4:$E$500,2,FALSE)</f>
        <v>27AABFP3834C1ZK</v>
      </c>
      <c r="E634" s="34" t="s">
        <v>22</v>
      </c>
      <c r="F634" s="34" t="s">
        <v>2024</v>
      </c>
      <c r="G634" s="44">
        <v>43662</v>
      </c>
      <c r="H634" s="34">
        <v>87141900</v>
      </c>
      <c r="I634" s="34">
        <v>28</v>
      </c>
      <c r="J634" s="38">
        <v>5020</v>
      </c>
      <c r="K634" s="40">
        <v>64142.2</v>
      </c>
      <c r="L634" s="41">
        <v>0</v>
      </c>
      <c r="M634" s="41">
        <v>8979.9079999999994</v>
      </c>
      <c r="N634" s="41">
        <v>8979.9079999999994</v>
      </c>
      <c r="O634" s="41">
        <v>0</v>
      </c>
      <c r="P634" s="42">
        <v>82102.015999999989</v>
      </c>
      <c r="Q634" s="34" t="s">
        <v>25</v>
      </c>
      <c r="R634" s="34" t="s">
        <v>26</v>
      </c>
      <c r="S634" s="11" t="s">
        <v>4105</v>
      </c>
    </row>
    <row r="635" spans="1:19" x14ac:dyDescent="0.2">
      <c r="A635" s="33">
        <v>43647</v>
      </c>
      <c r="B635" s="34">
        <v>90</v>
      </c>
      <c r="C635" s="34" t="s">
        <v>28</v>
      </c>
      <c r="D635" s="34" t="str">
        <f>VLOOKUP(C635,'SALE PARTY MASTER'!$B$4:$E$500,2,FALSE)</f>
        <v>27AAECM8871A1ZF</v>
      </c>
      <c r="E635" s="34" t="s">
        <v>22</v>
      </c>
      <c r="F635" s="34" t="s">
        <v>2025</v>
      </c>
      <c r="G635" s="44">
        <v>43662</v>
      </c>
      <c r="H635" s="34">
        <v>87089900</v>
      </c>
      <c r="I635" s="34">
        <v>28</v>
      </c>
      <c r="J635" s="38">
        <v>12</v>
      </c>
      <c r="K635" s="40">
        <v>23255.759999999998</v>
      </c>
      <c r="L635" s="41">
        <v>0</v>
      </c>
      <c r="M635" s="41">
        <v>3255.8063999999995</v>
      </c>
      <c r="N635" s="41">
        <v>3255.8063999999995</v>
      </c>
      <c r="O635" s="41">
        <v>0</v>
      </c>
      <c r="P635" s="42">
        <v>29767.382799999996</v>
      </c>
      <c r="Q635" s="34" t="s">
        <v>25</v>
      </c>
      <c r="R635" s="34" t="s">
        <v>26</v>
      </c>
      <c r="S635" s="11" t="s">
        <v>4105</v>
      </c>
    </row>
    <row r="636" spans="1:19" x14ac:dyDescent="0.2">
      <c r="A636" s="33">
        <v>43647</v>
      </c>
      <c r="B636" s="34">
        <v>91</v>
      </c>
      <c r="C636" s="34" t="s">
        <v>28</v>
      </c>
      <c r="D636" s="34" t="str">
        <f>VLOOKUP(C636,'SALE PARTY MASTER'!$B$4:$E$500,2,FALSE)</f>
        <v>27AAECM8871A1ZF</v>
      </c>
      <c r="E636" s="34" t="s">
        <v>22</v>
      </c>
      <c r="F636" s="34" t="s">
        <v>2026</v>
      </c>
      <c r="G636" s="44">
        <v>43662</v>
      </c>
      <c r="H636" s="34">
        <v>87089900</v>
      </c>
      <c r="I636" s="34">
        <v>28</v>
      </c>
      <c r="J636" s="38">
        <v>13</v>
      </c>
      <c r="K636" s="40">
        <v>25446.58</v>
      </c>
      <c r="L636" s="41">
        <v>0</v>
      </c>
      <c r="M636" s="41">
        <v>3562.5212000000006</v>
      </c>
      <c r="N636" s="41">
        <v>3562.5212000000006</v>
      </c>
      <c r="O636" s="41">
        <v>0</v>
      </c>
      <c r="P636" s="42">
        <v>32571.6224</v>
      </c>
      <c r="Q636" s="34" t="s">
        <v>25</v>
      </c>
      <c r="R636" s="34" t="s">
        <v>26</v>
      </c>
      <c r="S636" s="11" t="s">
        <v>4105</v>
      </c>
    </row>
    <row r="637" spans="1:19" x14ac:dyDescent="0.2">
      <c r="A637" s="33">
        <v>43647</v>
      </c>
      <c r="B637" s="34">
        <v>92</v>
      </c>
      <c r="C637" s="34" t="s">
        <v>73</v>
      </c>
      <c r="D637" s="34" t="str">
        <f>VLOOKUP(C637,'SALE PARTY MASTER'!$B$4:$E$500,2,FALSE)</f>
        <v>27AAACH4211R1ZF</v>
      </c>
      <c r="E637" s="34" t="s">
        <v>22</v>
      </c>
      <c r="F637" s="34" t="s">
        <v>2027</v>
      </c>
      <c r="G637" s="44">
        <v>43662</v>
      </c>
      <c r="H637" s="34">
        <v>85129000</v>
      </c>
      <c r="I637" s="34">
        <v>18</v>
      </c>
      <c r="J637" s="38">
        <v>2400</v>
      </c>
      <c r="K637" s="40">
        <v>60000</v>
      </c>
      <c r="L637" s="41">
        <v>0</v>
      </c>
      <c r="M637" s="41">
        <v>5400</v>
      </c>
      <c r="N637" s="41">
        <v>5400</v>
      </c>
      <c r="O637" s="41">
        <v>0</v>
      </c>
      <c r="P637" s="42">
        <v>70800</v>
      </c>
      <c r="Q637" s="34" t="s">
        <v>25</v>
      </c>
      <c r="R637" s="34" t="s">
        <v>26</v>
      </c>
      <c r="S637" s="11" t="s">
        <v>4105</v>
      </c>
    </row>
    <row r="638" spans="1:19" x14ac:dyDescent="0.2">
      <c r="A638" s="33">
        <v>43647</v>
      </c>
      <c r="B638" s="34">
        <v>93</v>
      </c>
      <c r="C638" s="34" t="s">
        <v>40</v>
      </c>
      <c r="D638" s="34" t="str">
        <f>VLOOKUP(C638,'SALE PARTY MASTER'!$B$4:$E$500,2,FALSE)</f>
        <v>27AAACT1848E1ZH</v>
      </c>
      <c r="E638" s="34" t="s">
        <v>22</v>
      </c>
      <c r="F638" s="34" t="s">
        <v>2028</v>
      </c>
      <c r="G638" s="44">
        <v>43663</v>
      </c>
      <c r="H638" s="34">
        <v>87089900</v>
      </c>
      <c r="I638" s="34">
        <v>28</v>
      </c>
      <c r="J638" s="38">
        <v>196</v>
      </c>
      <c r="K638" s="40">
        <v>44816.25</v>
      </c>
      <c r="L638" s="41">
        <v>0</v>
      </c>
      <c r="M638" s="41">
        <v>6274.2750000000005</v>
      </c>
      <c r="N638" s="41">
        <v>6274.2750000000005</v>
      </c>
      <c r="O638" s="41">
        <v>0</v>
      </c>
      <c r="P638" s="42">
        <v>57364.810000000005</v>
      </c>
      <c r="Q638" s="34" t="s">
        <v>25</v>
      </c>
      <c r="R638" s="34" t="s">
        <v>26</v>
      </c>
      <c r="S638" s="11" t="s">
        <v>4105</v>
      </c>
    </row>
    <row r="639" spans="1:19" x14ac:dyDescent="0.2">
      <c r="A639" s="33">
        <v>43647</v>
      </c>
      <c r="B639" s="34">
        <v>94</v>
      </c>
      <c r="C639" s="34" t="s">
        <v>40</v>
      </c>
      <c r="D639" s="34" t="str">
        <f>VLOOKUP(C639,'SALE PARTY MASTER'!$B$4:$E$500,2,FALSE)</f>
        <v>27AAACT1848E1ZH</v>
      </c>
      <c r="E639" s="34" t="s">
        <v>22</v>
      </c>
      <c r="F639" s="34" t="s">
        <v>2029</v>
      </c>
      <c r="G639" s="44">
        <v>43663</v>
      </c>
      <c r="H639" s="34">
        <v>87089900</v>
      </c>
      <c r="I639" s="34">
        <v>28</v>
      </c>
      <c r="J639" s="38">
        <v>6</v>
      </c>
      <c r="K639" s="40">
        <v>3515.46</v>
      </c>
      <c r="L639" s="41">
        <v>0</v>
      </c>
      <c r="M639" s="41">
        <v>492.1644</v>
      </c>
      <c r="N639" s="41">
        <v>492.1644</v>
      </c>
      <c r="O639" s="41">
        <v>0</v>
      </c>
      <c r="P639" s="42">
        <v>4499.7788</v>
      </c>
      <c r="Q639" s="34" t="s">
        <v>25</v>
      </c>
      <c r="R639" s="34" t="s">
        <v>26</v>
      </c>
      <c r="S639" s="11" t="s">
        <v>4105</v>
      </c>
    </row>
    <row r="640" spans="1:19" x14ac:dyDescent="0.2">
      <c r="A640" s="33">
        <v>43647</v>
      </c>
      <c r="B640" s="34">
        <v>95</v>
      </c>
      <c r="C640" s="34" t="s">
        <v>91</v>
      </c>
      <c r="D640" s="34" t="str">
        <f>VLOOKUP(C640,'SALE PARTY MASTER'!$B$4:$E$500,2,FALSE)</f>
        <v>27BBVPS2447C1ZA</v>
      </c>
      <c r="E640" s="34" t="s">
        <v>22</v>
      </c>
      <c r="F640" s="34" t="s">
        <v>2030</v>
      </c>
      <c r="G640" s="44">
        <v>43663</v>
      </c>
      <c r="H640" s="34">
        <v>998898</v>
      </c>
      <c r="I640" s="34">
        <v>18</v>
      </c>
      <c r="J640" s="38">
        <v>870</v>
      </c>
      <c r="K640" s="40">
        <v>13050</v>
      </c>
      <c r="L640" s="41">
        <v>0</v>
      </c>
      <c r="M640" s="41">
        <v>1174.5</v>
      </c>
      <c r="N640" s="41">
        <v>1174.5</v>
      </c>
      <c r="O640" s="41">
        <v>0</v>
      </c>
      <c r="P640" s="42">
        <v>15399</v>
      </c>
      <c r="Q640" s="34" t="s">
        <v>25</v>
      </c>
      <c r="R640" s="34" t="s">
        <v>26</v>
      </c>
      <c r="S640" s="11" t="s">
        <v>4105</v>
      </c>
    </row>
    <row r="641" spans="1:19" x14ac:dyDescent="0.2">
      <c r="A641" s="33">
        <v>43647</v>
      </c>
      <c r="B641" s="34">
        <v>96</v>
      </c>
      <c r="C641" s="34" t="s">
        <v>28</v>
      </c>
      <c r="D641" s="34" t="str">
        <f>VLOOKUP(C641,'SALE PARTY MASTER'!$B$4:$E$500,2,FALSE)</f>
        <v>27AAECM8871A1ZF</v>
      </c>
      <c r="E641" s="34" t="s">
        <v>22</v>
      </c>
      <c r="F641" s="34" t="s">
        <v>2031</v>
      </c>
      <c r="G641" s="44">
        <v>43663</v>
      </c>
      <c r="H641" s="34">
        <v>87089900</v>
      </c>
      <c r="I641" s="34">
        <v>28</v>
      </c>
      <c r="J641" s="38">
        <v>12</v>
      </c>
      <c r="K641" s="40">
        <v>23255.759999999998</v>
      </c>
      <c r="L641" s="41">
        <v>0</v>
      </c>
      <c r="M641" s="41">
        <v>3255.8063999999995</v>
      </c>
      <c r="N641" s="41">
        <v>3255.8063999999995</v>
      </c>
      <c r="O641" s="41">
        <v>0</v>
      </c>
      <c r="P641" s="42">
        <v>29767.382799999996</v>
      </c>
      <c r="Q641" s="34" t="s">
        <v>25</v>
      </c>
      <c r="R641" s="34" t="s">
        <v>26</v>
      </c>
      <c r="S641" s="11" t="s">
        <v>4105</v>
      </c>
    </row>
    <row r="642" spans="1:19" x14ac:dyDescent="0.2">
      <c r="A642" s="33">
        <v>43647</v>
      </c>
      <c r="B642" s="34">
        <v>97</v>
      </c>
      <c r="C642" s="34" t="s">
        <v>167</v>
      </c>
      <c r="D642" s="34" t="str">
        <f>VLOOKUP(C642,'SALE PARTY MASTER'!$B$4:$E$500,2,FALSE)</f>
        <v>27AABFP3834C1ZK</v>
      </c>
      <c r="E642" s="34" t="s">
        <v>22</v>
      </c>
      <c r="F642" s="34" t="s">
        <v>2032</v>
      </c>
      <c r="G642" s="44">
        <v>43663</v>
      </c>
      <c r="H642" s="34">
        <v>87141900</v>
      </c>
      <c r="I642" s="34">
        <v>28</v>
      </c>
      <c r="J642" s="38">
        <v>2850</v>
      </c>
      <c r="K642" s="40">
        <v>35512.9</v>
      </c>
      <c r="L642" s="41">
        <v>0</v>
      </c>
      <c r="M642" s="41">
        <v>4971.8060000000005</v>
      </c>
      <c r="N642" s="41">
        <v>4971.8060000000005</v>
      </c>
      <c r="O642" s="41">
        <v>0</v>
      </c>
      <c r="P642" s="42">
        <v>45456.502000000008</v>
      </c>
      <c r="Q642" s="34" t="s">
        <v>25</v>
      </c>
      <c r="R642" s="34" t="s">
        <v>26</v>
      </c>
      <c r="S642" s="11" t="s">
        <v>4105</v>
      </c>
    </row>
    <row r="643" spans="1:19" x14ac:dyDescent="0.2">
      <c r="A643" s="33">
        <v>43647</v>
      </c>
      <c r="B643" s="34">
        <v>98</v>
      </c>
      <c r="C643" s="34" t="s">
        <v>28</v>
      </c>
      <c r="D643" s="34" t="str">
        <f>VLOOKUP(C643,'SALE PARTY MASTER'!$B$4:$E$500,2,FALSE)</f>
        <v>27AAECM8871A1ZF</v>
      </c>
      <c r="E643" s="34" t="s">
        <v>22</v>
      </c>
      <c r="F643" s="34" t="s">
        <v>2033</v>
      </c>
      <c r="G643" s="44">
        <v>43663</v>
      </c>
      <c r="H643" s="34">
        <v>87089900</v>
      </c>
      <c r="I643" s="34">
        <v>28</v>
      </c>
      <c r="J643" s="38">
        <v>12</v>
      </c>
      <c r="K643" s="40">
        <v>23255.759999999998</v>
      </c>
      <c r="L643" s="41">
        <v>0</v>
      </c>
      <c r="M643" s="41">
        <v>3255.8063999999995</v>
      </c>
      <c r="N643" s="41">
        <v>3255.8063999999995</v>
      </c>
      <c r="O643" s="41">
        <v>0</v>
      </c>
      <c r="P643" s="42">
        <v>29767.382799999996</v>
      </c>
      <c r="Q643" s="34" t="s">
        <v>25</v>
      </c>
      <c r="R643" s="34" t="s">
        <v>26</v>
      </c>
      <c r="S643" s="11" t="s">
        <v>4105</v>
      </c>
    </row>
    <row r="644" spans="1:19" x14ac:dyDescent="0.2">
      <c r="A644" s="33">
        <v>43647</v>
      </c>
      <c r="B644" s="34">
        <v>99</v>
      </c>
      <c r="C644" s="34" t="s">
        <v>73</v>
      </c>
      <c r="D644" s="34" t="str">
        <f>VLOOKUP(C644,'SALE PARTY MASTER'!$B$4:$E$500,2,FALSE)</f>
        <v>27AAACH4211R1ZF</v>
      </c>
      <c r="E644" s="34" t="s">
        <v>22</v>
      </c>
      <c r="F644" s="34" t="s">
        <v>2034</v>
      </c>
      <c r="G644" s="44">
        <v>43663</v>
      </c>
      <c r="H644" s="34">
        <v>85129000</v>
      </c>
      <c r="I644" s="34">
        <v>18</v>
      </c>
      <c r="J644" s="38">
        <v>2880</v>
      </c>
      <c r="K644" s="40">
        <v>72000</v>
      </c>
      <c r="L644" s="41">
        <v>0</v>
      </c>
      <c r="M644" s="41">
        <v>6480</v>
      </c>
      <c r="N644" s="41">
        <v>6480</v>
      </c>
      <c r="O644" s="41">
        <v>0</v>
      </c>
      <c r="P644" s="42">
        <v>84960</v>
      </c>
      <c r="Q644" s="34" t="s">
        <v>25</v>
      </c>
      <c r="R644" s="34" t="s">
        <v>26</v>
      </c>
      <c r="S644" s="11" t="s">
        <v>4105</v>
      </c>
    </row>
    <row r="645" spans="1:19" x14ac:dyDescent="0.2">
      <c r="A645" s="33">
        <v>43647</v>
      </c>
      <c r="B645" s="34">
        <v>100</v>
      </c>
      <c r="C645" s="34" t="s">
        <v>167</v>
      </c>
      <c r="D645" s="34" t="str">
        <f>VLOOKUP(C645,'SALE PARTY MASTER'!$B$4:$E$500,2,FALSE)</f>
        <v>27AABFP3834C1ZK</v>
      </c>
      <c r="E645" s="34" t="s">
        <v>22</v>
      </c>
      <c r="F645" s="34" t="s">
        <v>2035</v>
      </c>
      <c r="G645" s="44">
        <v>43664</v>
      </c>
      <c r="H645" s="34">
        <v>87141900</v>
      </c>
      <c r="I645" s="34">
        <v>28</v>
      </c>
      <c r="J645" s="38">
        <v>5290</v>
      </c>
      <c r="K645" s="40">
        <v>66258.899999999994</v>
      </c>
      <c r="L645" s="41">
        <v>0</v>
      </c>
      <c r="M645" s="41">
        <v>9276.2459999999992</v>
      </c>
      <c r="N645" s="41">
        <v>9276.2459999999992</v>
      </c>
      <c r="O645" s="41">
        <v>0</v>
      </c>
      <c r="P645" s="42">
        <v>84811.401999999987</v>
      </c>
      <c r="Q645" s="34" t="s">
        <v>25</v>
      </c>
      <c r="R645" s="34" t="s">
        <v>26</v>
      </c>
      <c r="S645" s="11" t="s">
        <v>4105</v>
      </c>
    </row>
    <row r="646" spans="1:19" x14ac:dyDescent="0.2">
      <c r="A646" s="33">
        <v>43647</v>
      </c>
      <c r="B646" s="34">
        <v>101</v>
      </c>
      <c r="C646" s="34" t="s">
        <v>28</v>
      </c>
      <c r="D646" s="34" t="str">
        <f>VLOOKUP(C646,'SALE PARTY MASTER'!$B$4:$E$500,2,FALSE)</f>
        <v>27AAECM8871A1ZF</v>
      </c>
      <c r="E646" s="34" t="s">
        <v>22</v>
      </c>
      <c r="F646" s="34" t="s">
        <v>2036</v>
      </c>
      <c r="G646" s="44">
        <v>43664</v>
      </c>
      <c r="H646" s="34">
        <v>87089900</v>
      </c>
      <c r="I646" s="34">
        <v>28</v>
      </c>
      <c r="J646" s="38">
        <v>12</v>
      </c>
      <c r="K646" s="40">
        <v>23508.6</v>
      </c>
      <c r="L646" s="41">
        <v>0</v>
      </c>
      <c r="M646" s="41">
        <v>3291.2039999999997</v>
      </c>
      <c r="N646" s="41">
        <v>3291.2039999999997</v>
      </c>
      <c r="O646" s="41">
        <v>0</v>
      </c>
      <c r="P646" s="42">
        <v>30090.997999999996</v>
      </c>
      <c r="Q646" s="34" t="s">
        <v>25</v>
      </c>
      <c r="R646" s="34" t="s">
        <v>26</v>
      </c>
      <c r="S646" s="11" t="s">
        <v>4105</v>
      </c>
    </row>
    <row r="647" spans="1:19" x14ac:dyDescent="0.2">
      <c r="A647" s="33">
        <v>43647</v>
      </c>
      <c r="B647" s="34">
        <v>102</v>
      </c>
      <c r="C647" s="34" t="s">
        <v>229</v>
      </c>
      <c r="D647" s="34" t="str">
        <f>VLOOKUP(C647,'SALE PARTY MASTER'!$B$4:$E$500,2,FALSE)</f>
        <v>27AAACT1344F1ZO</v>
      </c>
      <c r="E647" s="34" t="s">
        <v>22</v>
      </c>
      <c r="F647" s="34" t="s">
        <v>2037</v>
      </c>
      <c r="G647" s="44">
        <v>43664</v>
      </c>
      <c r="H647" s="34">
        <v>998898</v>
      </c>
      <c r="I647" s="34">
        <v>18</v>
      </c>
      <c r="J647" s="38">
        <v>15</v>
      </c>
      <c r="K647" s="40">
        <v>3057.3</v>
      </c>
      <c r="L647" s="41">
        <v>0</v>
      </c>
      <c r="M647" s="41">
        <v>275.15699999999998</v>
      </c>
      <c r="N647" s="41">
        <v>275.15699999999998</v>
      </c>
      <c r="O647" s="41">
        <v>0</v>
      </c>
      <c r="P647" s="42">
        <v>3607.6240000000007</v>
      </c>
      <c r="Q647" s="34" t="s">
        <v>25</v>
      </c>
      <c r="R647" s="34" t="s">
        <v>26</v>
      </c>
      <c r="S647" s="11" t="s">
        <v>4105</v>
      </c>
    </row>
    <row r="648" spans="1:19" x14ac:dyDescent="0.2">
      <c r="A648" s="33">
        <v>43647</v>
      </c>
      <c r="B648" s="34">
        <v>103</v>
      </c>
      <c r="C648" s="34" t="s">
        <v>73</v>
      </c>
      <c r="D648" s="34" t="str">
        <f>VLOOKUP(C648,'SALE PARTY MASTER'!$B$4:$E$500,2,FALSE)</f>
        <v>27AAACH4211R1ZF</v>
      </c>
      <c r="E648" s="34" t="s">
        <v>22</v>
      </c>
      <c r="F648" s="34" t="s">
        <v>2038</v>
      </c>
      <c r="G648" s="44">
        <v>43664</v>
      </c>
      <c r="H648" s="34">
        <v>85129000</v>
      </c>
      <c r="I648" s="34">
        <v>18</v>
      </c>
      <c r="J648" s="38">
        <v>2400</v>
      </c>
      <c r="K648" s="40">
        <v>60000</v>
      </c>
      <c r="L648" s="41">
        <v>0</v>
      </c>
      <c r="M648" s="41">
        <v>5400</v>
      </c>
      <c r="N648" s="41">
        <v>5400</v>
      </c>
      <c r="O648" s="41">
        <v>0</v>
      </c>
      <c r="P648" s="42">
        <v>70800</v>
      </c>
      <c r="Q648" s="34" t="s">
        <v>25</v>
      </c>
      <c r="R648" s="34" t="s">
        <v>26</v>
      </c>
      <c r="S648" s="11" t="s">
        <v>4105</v>
      </c>
    </row>
    <row r="649" spans="1:19" x14ac:dyDescent="0.2">
      <c r="A649" s="33">
        <v>43647</v>
      </c>
      <c r="B649" s="34">
        <v>104</v>
      </c>
      <c r="C649" s="34" t="s">
        <v>49</v>
      </c>
      <c r="D649" s="34" t="str">
        <f>VLOOKUP(C649,'SALE PARTY MASTER'!$B$4:$E$500,2,FALSE)</f>
        <v>27AABFJ4217F1ZP</v>
      </c>
      <c r="E649" s="34" t="s">
        <v>22</v>
      </c>
      <c r="F649" s="34" t="s">
        <v>2039</v>
      </c>
      <c r="G649" s="44">
        <v>43665</v>
      </c>
      <c r="H649" s="34">
        <v>998898</v>
      </c>
      <c r="I649" s="34">
        <v>18</v>
      </c>
      <c r="J649" s="38">
        <v>35</v>
      </c>
      <c r="K649" s="40">
        <v>9944.9</v>
      </c>
      <c r="L649" s="41">
        <v>0</v>
      </c>
      <c r="M649" s="41">
        <v>895.04099999999994</v>
      </c>
      <c r="N649" s="41">
        <v>895.04099999999994</v>
      </c>
      <c r="O649" s="41">
        <v>0</v>
      </c>
      <c r="P649" s="42">
        <v>11734.981999999998</v>
      </c>
      <c r="Q649" s="34" t="s">
        <v>25</v>
      </c>
      <c r="R649" s="34" t="s">
        <v>26</v>
      </c>
      <c r="S649" s="11" t="s">
        <v>4105</v>
      </c>
    </row>
    <row r="650" spans="1:19" x14ac:dyDescent="0.2">
      <c r="A650" s="33">
        <v>43647</v>
      </c>
      <c r="B650" s="34">
        <v>105</v>
      </c>
      <c r="C650" s="34" t="s">
        <v>28</v>
      </c>
      <c r="D650" s="34" t="str">
        <f>VLOOKUP(C650,'SALE PARTY MASTER'!$B$4:$E$500,2,FALSE)</f>
        <v>27AAECM8871A1ZF</v>
      </c>
      <c r="E650" s="34" t="s">
        <v>22</v>
      </c>
      <c r="F650" s="34" t="s">
        <v>2040</v>
      </c>
      <c r="G650" s="44">
        <v>43665</v>
      </c>
      <c r="H650" s="34">
        <v>87089900</v>
      </c>
      <c r="I650" s="34">
        <v>28</v>
      </c>
      <c r="J650" s="38">
        <v>12</v>
      </c>
      <c r="K650" s="40">
        <v>23255.759999999998</v>
      </c>
      <c r="L650" s="41">
        <v>0</v>
      </c>
      <c r="M650" s="41">
        <v>3255.8063999999995</v>
      </c>
      <c r="N650" s="41">
        <v>3255.8063999999995</v>
      </c>
      <c r="O650" s="41">
        <v>0</v>
      </c>
      <c r="P650" s="42">
        <v>29767.382799999996</v>
      </c>
      <c r="Q650" s="34" t="s">
        <v>25</v>
      </c>
      <c r="R650" s="34" t="s">
        <v>26</v>
      </c>
      <c r="S650" s="11" t="s">
        <v>4105</v>
      </c>
    </row>
    <row r="651" spans="1:19" x14ac:dyDescent="0.2">
      <c r="A651" s="33">
        <v>43647</v>
      </c>
      <c r="B651" s="34">
        <v>106</v>
      </c>
      <c r="C651" s="34" t="s">
        <v>45</v>
      </c>
      <c r="D651" s="34" t="str">
        <f>VLOOKUP(C651,'SALE PARTY MASTER'!$B$4:$E$500,2,FALSE)</f>
        <v>27AAACD4090Q1Z8</v>
      </c>
      <c r="E651" s="34" t="s">
        <v>22</v>
      </c>
      <c r="F651" s="34" t="s">
        <v>2041</v>
      </c>
      <c r="G651" s="44">
        <v>43665</v>
      </c>
      <c r="H651" s="34">
        <v>85129000</v>
      </c>
      <c r="I651" s="34">
        <v>18</v>
      </c>
      <c r="J651" s="38">
        <v>756</v>
      </c>
      <c r="K651" s="40">
        <v>92239.56</v>
      </c>
      <c r="L651" s="41">
        <v>0</v>
      </c>
      <c r="M651" s="41">
        <v>8301.5604000000003</v>
      </c>
      <c r="N651" s="41">
        <v>8301.5604000000003</v>
      </c>
      <c r="O651" s="41">
        <v>0</v>
      </c>
      <c r="P651" s="42">
        <v>108842.6808</v>
      </c>
      <c r="Q651" s="34" t="s">
        <v>25</v>
      </c>
      <c r="R651" s="34" t="s">
        <v>26</v>
      </c>
      <c r="S651" s="11" t="s">
        <v>4105</v>
      </c>
    </row>
    <row r="652" spans="1:19" x14ac:dyDescent="0.2">
      <c r="A652" s="33">
        <v>43647</v>
      </c>
      <c r="B652" s="34">
        <v>107</v>
      </c>
      <c r="C652" s="34" t="s">
        <v>40</v>
      </c>
      <c r="D652" s="34" t="str">
        <f>VLOOKUP(C652,'SALE PARTY MASTER'!$B$4:$E$500,2,FALSE)</f>
        <v>27AAACT1848E1ZH</v>
      </c>
      <c r="E652" s="34" t="s">
        <v>22</v>
      </c>
      <c r="F652" s="34" t="s">
        <v>2042</v>
      </c>
      <c r="G652" s="44">
        <v>43665</v>
      </c>
      <c r="H652" s="34">
        <v>87089900</v>
      </c>
      <c r="I652" s="34">
        <v>28</v>
      </c>
      <c r="J652" s="38">
        <v>38</v>
      </c>
      <c r="K652" s="40">
        <v>20686.64</v>
      </c>
      <c r="L652" s="41">
        <v>0</v>
      </c>
      <c r="M652" s="41">
        <v>2896.1296000000002</v>
      </c>
      <c r="N652" s="41">
        <v>2896.1296000000002</v>
      </c>
      <c r="O652" s="41">
        <v>0</v>
      </c>
      <c r="P652" s="42">
        <v>26478.8992</v>
      </c>
      <c r="Q652" s="34" t="s">
        <v>25</v>
      </c>
      <c r="R652" s="34" t="s">
        <v>26</v>
      </c>
      <c r="S652" s="11" t="s">
        <v>4105</v>
      </c>
    </row>
    <row r="653" spans="1:19" x14ac:dyDescent="0.2">
      <c r="A653" s="33">
        <v>43647</v>
      </c>
      <c r="B653" s="34">
        <v>108</v>
      </c>
      <c r="C653" s="34" t="s">
        <v>28</v>
      </c>
      <c r="D653" s="34" t="str">
        <f>VLOOKUP(C653,'SALE PARTY MASTER'!$B$4:$E$500,2,FALSE)</f>
        <v>27AAECM8871A1ZF</v>
      </c>
      <c r="E653" s="34" t="s">
        <v>22</v>
      </c>
      <c r="F653" s="34" t="s">
        <v>2043</v>
      </c>
      <c r="G653" s="44">
        <v>43665</v>
      </c>
      <c r="H653" s="34">
        <v>87089900</v>
      </c>
      <c r="I653" s="34">
        <v>28</v>
      </c>
      <c r="J653" s="38">
        <v>9</v>
      </c>
      <c r="K653" s="40">
        <v>17441.82</v>
      </c>
      <c r="L653" s="41">
        <v>0</v>
      </c>
      <c r="M653" s="41">
        <v>2441.8547999999996</v>
      </c>
      <c r="N653" s="41">
        <v>2441.8547999999996</v>
      </c>
      <c r="O653" s="41">
        <v>0</v>
      </c>
      <c r="P653" s="42">
        <v>22325.519600000003</v>
      </c>
      <c r="Q653" s="34" t="s">
        <v>25</v>
      </c>
      <c r="R653" s="34" t="s">
        <v>26</v>
      </c>
      <c r="S653" s="11" t="s">
        <v>4105</v>
      </c>
    </row>
    <row r="654" spans="1:19" x14ac:dyDescent="0.2">
      <c r="A654" s="33">
        <v>43647</v>
      </c>
      <c r="B654" s="34">
        <v>109</v>
      </c>
      <c r="C654" s="34" t="s">
        <v>155</v>
      </c>
      <c r="D654" s="34" t="str">
        <f>VLOOKUP(C654,'SALE PARTY MASTER'!$B$4:$E$500,2,FALSE)</f>
        <v>27AAGCP0139E1ZP</v>
      </c>
      <c r="E654" s="34" t="s">
        <v>22</v>
      </c>
      <c r="F654" s="34" t="s">
        <v>2044</v>
      </c>
      <c r="G654" s="44">
        <v>43665</v>
      </c>
      <c r="H654" s="34">
        <v>87141090</v>
      </c>
      <c r="I654" s="34">
        <v>28</v>
      </c>
      <c r="J654" s="38">
        <v>440</v>
      </c>
      <c r="K654" s="40">
        <v>33162.800000000003</v>
      </c>
      <c r="L654" s="41">
        <v>0</v>
      </c>
      <c r="M654" s="41">
        <v>4642.7920000000004</v>
      </c>
      <c r="N654" s="41">
        <v>4642.7920000000004</v>
      </c>
      <c r="O654" s="41">
        <v>0</v>
      </c>
      <c r="P654" s="42">
        <v>42448.384000000005</v>
      </c>
      <c r="Q654" s="34" t="s">
        <v>25</v>
      </c>
      <c r="R654" s="34" t="s">
        <v>26</v>
      </c>
      <c r="S654" s="11" t="s">
        <v>4105</v>
      </c>
    </row>
    <row r="655" spans="1:19" x14ac:dyDescent="0.2">
      <c r="A655" s="33">
        <v>43647</v>
      </c>
      <c r="B655" s="34">
        <v>110</v>
      </c>
      <c r="C655" s="34" t="s">
        <v>155</v>
      </c>
      <c r="D655" s="34" t="str">
        <f>VLOOKUP(C655,'SALE PARTY MASTER'!$B$4:$E$500,2,FALSE)</f>
        <v>27AAGCP0139E1ZP</v>
      </c>
      <c r="E655" s="34" t="s">
        <v>22</v>
      </c>
      <c r="F655" s="34" t="s">
        <v>2045</v>
      </c>
      <c r="G655" s="44">
        <v>43665</v>
      </c>
      <c r="H655" s="34">
        <v>87141090</v>
      </c>
      <c r="I655" s="34">
        <v>28</v>
      </c>
      <c r="J655" s="38">
        <v>1260</v>
      </c>
      <c r="K655" s="40">
        <v>59257.8</v>
      </c>
      <c r="L655" s="41">
        <v>0</v>
      </c>
      <c r="M655" s="41">
        <v>8296.0920000000006</v>
      </c>
      <c r="N655" s="41">
        <v>8296.0920000000006</v>
      </c>
      <c r="O655" s="41">
        <v>0</v>
      </c>
      <c r="P655" s="42">
        <v>75849.984000000011</v>
      </c>
      <c r="Q655" s="34" t="s">
        <v>25</v>
      </c>
      <c r="R655" s="34" t="s">
        <v>26</v>
      </c>
      <c r="S655" s="11" t="s">
        <v>4105</v>
      </c>
    </row>
    <row r="656" spans="1:19" x14ac:dyDescent="0.2">
      <c r="A656" s="33">
        <v>43647</v>
      </c>
      <c r="B656" s="34">
        <v>111</v>
      </c>
      <c r="C656" s="34" t="s">
        <v>73</v>
      </c>
      <c r="D656" s="34" t="str">
        <f>VLOOKUP(C656,'SALE PARTY MASTER'!$B$4:$E$500,2,FALSE)</f>
        <v>27AAACH4211R1ZF</v>
      </c>
      <c r="E656" s="34" t="s">
        <v>22</v>
      </c>
      <c r="F656" s="34" t="s">
        <v>2046</v>
      </c>
      <c r="G656" s="44">
        <v>43665</v>
      </c>
      <c r="H656" s="34">
        <v>85129000</v>
      </c>
      <c r="I656" s="34">
        <v>18</v>
      </c>
      <c r="J656" s="38">
        <v>1200</v>
      </c>
      <c r="K656" s="40">
        <v>30000</v>
      </c>
      <c r="L656" s="41">
        <v>0</v>
      </c>
      <c r="M656" s="41">
        <v>2700</v>
      </c>
      <c r="N656" s="41">
        <v>2700</v>
      </c>
      <c r="O656" s="41">
        <v>0</v>
      </c>
      <c r="P656" s="42">
        <v>35400</v>
      </c>
      <c r="Q656" s="34" t="s">
        <v>25</v>
      </c>
      <c r="R656" s="34" t="s">
        <v>26</v>
      </c>
      <c r="S656" s="11" t="s">
        <v>4105</v>
      </c>
    </row>
    <row r="657" spans="1:19" x14ac:dyDescent="0.2">
      <c r="A657" s="33">
        <v>43647</v>
      </c>
      <c r="B657" s="34">
        <v>112</v>
      </c>
      <c r="C657" s="34" t="s">
        <v>167</v>
      </c>
      <c r="D657" s="34" t="str">
        <f>VLOOKUP(C657,'SALE PARTY MASTER'!$B$4:$E$500,2,FALSE)</f>
        <v>27AABFP3834C1ZK</v>
      </c>
      <c r="E657" s="34" t="s">
        <v>22</v>
      </c>
      <c r="F657" s="34" t="s">
        <v>2047</v>
      </c>
      <c r="G657" s="44">
        <v>43665</v>
      </c>
      <c r="H657" s="34">
        <v>87141900</v>
      </c>
      <c r="I657" s="34">
        <v>28</v>
      </c>
      <c r="J657" s="38">
        <v>4460</v>
      </c>
      <c r="K657" s="40">
        <v>55669.4</v>
      </c>
      <c r="L657" s="41">
        <v>0</v>
      </c>
      <c r="M657" s="41">
        <v>7793.7159999999994</v>
      </c>
      <c r="N657" s="41">
        <v>7793.7159999999994</v>
      </c>
      <c r="O657" s="41">
        <v>0</v>
      </c>
      <c r="P657" s="42">
        <v>71256.84199999999</v>
      </c>
      <c r="Q657" s="34" t="s">
        <v>25</v>
      </c>
      <c r="R657" s="34" t="s">
        <v>26</v>
      </c>
      <c r="S657" s="11" t="s">
        <v>4105</v>
      </c>
    </row>
    <row r="658" spans="1:19" x14ac:dyDescent="0.2">
      <c r="A658" s="33">
        <v>43647</v>
      </c>
      <c r="B658" s="34">
        <v>113</v>
      </c>
      <c r="C658" s="34" t="s">
        <v>229</v>
      </c>
      <c r="D658" s="34" t="str">
        <f>VLOOKUP(C658,'SALE PARTY MASTER'!$B$4:$E$500,2,FALSE)</f>
        <v>27AAACT1344F1ZO</v>
      </c>
      <c r="E658" s="34" t="s">
        <v>22</v>
      </c>
      <c r="F658" s="34" t="s">
        <v>2048</v>
      </c>
      <c r="G658" s="44">
        <v>43665</v>
      </c>
      <c r="H658" s="34">
        <v>998898</v>
      </c>
      <c r="I658" s="34">
        <v>18</v>
      </c>
      <c r="J658" s="38">
        <v>55</v>
      </c>
      <c r="K658" s="40">
        <v>11210.1</v>
      </c>
      <c r="L658" s="41">
        <v>0</v>
      </c>
      <c r="M658" s="41">
        <v>1008.909</v>
      </c>
      <c r="N658" s="41">
        <v>1008.909</v>
      </c>
      <c r="O658" s="41">
        <v>0</v>
      </c>
      <c r="P658" s="42">
        <v>13227.918</v>
      </c>
      <c r="Q658" s="34" t="s">
        <v>25</v>
      </c>
      <c r="R658" s="34" t="s">
        <v>26</v>
      </c>
      <c r="S658" s="11" t="s">
        <v>4105</v>
      </c>
    </row>
    <row r="659" spans="1:19" x14ac:dyDescent="0.2">
      <c r="A659" s="33">
        <v>43647</v>
      </c>
      <c r="B659" s="34">
        <v>114</v>
      </c>
      <c r="C659" s="34" t="s">
        <v>49</v>
      </c>
      <c r="D659" s="34" t="str">
        <f>VLOOKUP(C659,'SALE PARTY MASTER'!$B$4:$E$500,2,FALSE)</f>
        <v>27AABFJ4217F1ZP</v>
      </c>
      <c r="E659" s="34" t="s">
        <v>22</v>
      </c>
      <c r="F659" s="34" t="s">
        <v>2049</v>
      </c>
      <c r="G659" s="44">
        <v>43666</v>
      </c>
      <c r="H659" s="34">
        <v>998898</v>
      </c>
      <c r="I659" s="34">
        <v>18</v>
      </c>
      <c r="J659" s="38">
        <v>29</v>
      </c>
      <c r="K659" s="40">
        <v>8240.06</v>
      </c>
      <c r="L659" s="41">
        <v>0</v>
      </c>
      <c r="M659" s="41">
        <v>741.60539999999992</v>
      </c>
      <c r="N659" s="41">
        <v>741.60539999999992</v>
      </c>
      <c r="O659" s="41">
        <v>0</v>
      </c>
      <c r="P659" s="42">
        <v>9723.2808000000005</v>
      </c>
      <c r="Q659" s="34" t="s">
        <v>25</v>
      </c>
      <c r="R659" s="34" t="s">
        <v>26</v>
      </c>
      <c r="S659" s="11" t="s">
        <v>4105</v>
      </c>
    </row>
    <row r="660" spans="1:19" x14ac:dyDescent="0.2">
      <c r="A660" s="33">
        <v>43647</v>
      </c>
      <c r="B660" s="34">
        <v>115</v>
      </c>
      <c r="C660" s="34" t="s">
        <v>28</v>
      </c>
      <c r="D660" s="34" t="str">
        <f>VLOOKUP(C660,'SALE PARTY MASTER'!$B$4:$E$500,2,FALSE)</f>
        <v>27AAECM8871A1ZF</v>
      </c>
      <c r="E660" s="34" t="s">
        <v>22</v>
      </c>
      <c r="F660" s="34" t="s">
        <v>2050</v>
      </c>
      <c r="G660" s="44">
        <v>43666</v>
      </c>
      <c r="H660" s="34">
        <v>87089900</v>
      </c>
      <c r="I660" s="34">
        <v>28</v>
      </c>
      <c r="J660" s="38">
        <v>12</v>
      </c>
      <c r="K660" s="40">
        <v>23255.759999999998</v>
      </c>
      <c r="L660" s="41">
        <v>0</v>
      </c>
      <c r="M660" s="41">
        <v>3255.8063999999995</v>
      </c>
      <c r="N660" s="41">
        <v>3255.8063999999995</v>
      </c>
      <c r="O660" s="41">
        <v>0</v>
      </c>
      <c r="P660" s="42">
        <v>29767.382799999996</v>
      </c>
      <c r="Q660" s="34" t="s">
        <v>25</v>
      </c>
      <c r="R660" s="34" t="s">
        <v>26</v>
      </c>
      <c r="S660" s="11" t="s">
        <v>4105</v>
      </c>
    </row>
    <row r="661" spans="1:19" x14ac:dyDescent="0.2">
      <c r="A661" s="33">
        <v>43647</v>
      </c>
      <c r="B661" s="34">
        <v>116</v>
      </c>
      <c r="C661" s="34" t="s">
        <v>167</v>
      </c>
      <c r="D661" s="34" t="str">
        <f>VLOOKUP(C661,'SALE PARTY MASTER'!$B$4:$E$500,2,FALSE)</f>
        <v>27AABFP3834C1ZK</v>
      </c>
      <c r="E661" s="34" t="s">
        <v>22</v>
      </c>
      <c r="F661" s="34" t="s">
        <v>2051</v>
      </c>
      <c r="G661" s="44">
        <v>43666</v>
      </c>
      <c r="H661" s="34">
        <v>87141900</v>
      </c>
      <c r="I661" s="34">
        <v>28</v>
      </c>
      <c r="J661" s="38">
        <v>3180</v>
      </c>
      <c r="K661" s="40">
        <v>39495</v>
      </c>
      <c r="L661" s="41">
        <v>0</v>
      </c>
      <c r="M661" s="41">
        <v>5529.3</v>
      </c>
      <c r="N661" s="41">
        <v>5529.3</v>
      </c>
      <c r="O661" s="41">
        <v>0</v>
      </c>
      <c r="P661" s="42">
        <v>50553.600000000006</v>
      </c>
      <c r="Q661" s="34" t="s">
        <v>25</v>
      </c>
      <c r="R661" s="34" t="s">
        <v>26</v>
      </c>
      <c r="S661" s="11" t="s">
        <v>4105</v>
      </c>
    </row>
    <row r="662" spans="1:19" x14ac:dyDescent="0.2">
      <c r="A662" s="33">
        <v>43647</v>
      </c>
      <c r="B662" s="34">
        <v>117</v>
      </c>
      <c r="C662" s="34" t="s">
        <v>40</v>
      </c>
      <c r="D662" s="34" t="str">
        <f>VLOOKUP(C662,'SALE PARTY MASTER'!$B$4:$E$500,2,FALSE)</f>
        <v>27AAACT1848E1ZH</v>
      </c>
      <c r="E662" s="34" t="s">
        <v>22</v>
      </c>
      <c r="F662" s="34" t="s">
        <v>2052</v>
      </c>
      <c r="G662" s="44">
        <v>43668</v>
      </c>
      <c r="H662" s="34">
        <v>87089900</v>
      </c>
      <c r="I662" s="34">
        <v>28</v>
      </c>
      <c r="J662" s="38">
        <v>96</v>
      </c>
      <c r="K662" s="40">
        <v>69043.199999999997</v>
      </c>
      <c r="L662" s="41">
        <v>0</v>
      </c>
      <c r="M662" s="41">
        <v>9666.0480000000007</v>
      </c>
      <c r="N662" s="41">
        <v>9666.0480000000007</v>
      </c>
      <c r="O662" s="41">
        <v>0</v>
      </c>
      <c r="P662" s="42">
        <v>88375.295999999988</v>
      </c>
      <c r="Q662" s="34" t="s">
        <v>25</v>
      </c>
      <c r="R662" s="34" t="s">
        <v>26</v>
      </c>
      <c r="S662" s="11" t="s">
        <v>4105</v>
      </c>
    </row>
    <row r="663" spans="1:19" x14ac:dyDescent="0.2">
      <c r="A663" s="33">
        <v>43647</v>
      </c>
      <c r="B663" s="34">
        <v>118</v>
      </c>
      <c r="C663" s="34" t="s">
        <v>28</v>
      </c>
      <c r="D663" s="34" t="str">
        <f>VLOOKUP(C663,'SALE PARTY MASTER'!$B$4:$E$500,2,FALSE)</f>
        <v>27AAECM8871A1ZF</v>
      </c>
      <c r="E663" s="34" t="s">
        <v>22</v>
      </c>
      <c r="F663" s="34" t="s">
        <v>2053</v>
      </c>
      <c r="G663" s="44">
        <v>43668</v>
      </c>
      <c r="H663" s="34">
        <v>87089900</v>
      </c>
      <c r="I663" s="34">
        <v>28</v>
      </c>
      <c r="J663" s="38">
        <v>12</v>
      </c>
      <c r="K663" s="40">
        <v>23255.759999999998</v>
      </c>
      <c r="L663" s="41">
        <v>0</v>
      </c>
      <c r="M663" s="41">
        <v>3255.8063999999995</v>
      </c>
      <c r="N663" s="41">
        <v>3255.8063999999995</v>
      </c>
      <c r="O663" s="41">
        <v>0</v>
      </c>
      <c r="P663" s="42">
        <v>29767.382799999996</v>
      </c>
      <c r="Q663" s="34" t="s">
        <v>25</v>
      </c>
      <c r="R663" s="34" t="s">
        <v>26</v>
      </c>
      <c r="S663" s="11" t="s">
        <v>4105</v>
      </c>
    </row>
    <row r="664" spans="1:19" x14ac:dyDescent="0.2">
      <c r="A664" s="33">
        <v>43647</v>
      </c>
      <c r="B664" s="34">
        <v>119</v>
      </c>
      <c r="C664" s="34" t="s">
        <v>124</v>
      </c>
      <c r="D664" s="34" t="str">
        <f>VLOOKUP(C664,'SALE PARTY MASTER'!$B$4:$E$500,2,FALSE)</f>
        <v>27AAACB2484Q1Z8</v>
      </c>
      <c r="E664" s="34" t="s">
        <v>22</v>
      </c>
      <c r="F664" s="34" t="s">
        <v>2054</v>
      </c>
      <c r="G664" s="44">
        <v>43668</v>
      </c>
      <c r="H664" s="34">
        <v>998898</v>
      </c>
      <c r="I664" s="34">
        <v>18</v>
      </c>
      <c r="J664" s="38">
        <v>1096</v>
      </c>
      <c r="K664" s="40">
        <v>94778</v>
      </c>
      <c r="L664" s="41">
        <v>0</v>
      </c>
      <c r="M664" s="41">
        <v>8530.02</v>
      </c>
      <c r="N664" s="41">
        <v>8530.02</v>
      </c>
      <c r="O664" s="41">
        <v>0</v>
      </c>
      <c r="P664" s="42">
        <v>111838.04000000001</v>
      </c>
      <c r="Q664" s="34" t="s">
        <v>25</v>
      </c>
      <c r="R664" s="34" t="s">
        <v>26</v>
      </c>
      <c r="S664" s="11" t="s">
        <v>4105</v>
      </c>
    </row>
    <row r="665" spans="1:19" x14ac:dyDescent="0.2">
      <c r="A665" s="33">
        <v>43647</v>
      </c>
      <c r="B665" s="34">
        <v>120</v>
      </c>
      <c r="C665" s="34" t="s">
        <v>124</v>
      </c>
      <c r="D665" s="34" t="str">
        <f>VLOOKUP(C665,'SALE PARTY MASTER'!$B$4:$E$500,2,FALSE)</f>
        <v>27AAACB2484Q1Z8</v>
      </c>
      <c r="E665" s="34" t="s">
        <v>22</v>
      </c>
      <c r="F665" s="34" t="s">
        <v>2055</v>
      </c>
      <c r="G665" s="44">
        <v>43668</v>
      </c>
      <c r="H665" s="34">
        <v>998898</v>
      </c>
      <c r="I665" s="34">
        <v>18</v>
      </c>
      <c r="J665" s="38">
        <v>29</v>
      </c>
      <c r="K665" s="40">
        <v>1972</v>
      </c>
      <c r="L665" s="41">
        <v>0</v>
      </c>
      <c r="M665" s="41">
        <v>177.48</v>
      </c>
      <c r="N665" s="41">
        <v>177.48</v>
      </c>
      <c r="O665" s="41">
        <v>0</v>
      </c>
      <c r="P665" s="42">
        <v>2326.96</v>
      </c>
      <c r="Q665" s="34" t="s">
        <v>25</v>
      </c>
      <c r="R665" s="34" t="s">
        <v>26</v>
      </c>
      <c r="S665" s="11" t="s">
        <v>4105</v>
      </c>
    </row>
    <row r="666" spans="1:19" x14ac:dyDescent="0.2">
      <c r="A666" s="33">
        <v>43647</v>
      </c>
      <c r="B666" s="34">
        <v>121</v>
      </c>
      <c r="C666" s="34" t="s">
        <v>40</v>
      </c>
      <c r="D666" s="34" t="str">
        <f>VLOOKUP(C666,'SALE PARTY MASTER'!$B$4:$E$500,2,FALSE)</f>
        <v>27AAACT1848E1ZH</v>
      </c>
      <c r="E666" s="34" t="s">
        <v>22</v>
      </c>
      <c r="F666" s="34" t="s">
        <v>2056</v>
      </c>
      <c r="G666" s="44">
        <v>43668</v>
      </c>
      <c r="H666" s="34">
        <v>87089900</v>
      </c>
      <c r="I666" s="34">
        <v>28</v>
      </c>
      <c r="J666" s="38">
        <v>46</v>
      </c>
      <c r="K666" s="40">
        <v>21892.32</v>
      </c>
      <c r="L666" s="41">
        <v>0</v>
      </c>
      <c r="M666" s="41">
        <v>3064.9248000000002</v>
      </c>
      <c r="N666" s="41">
        <v>3064.9248000000002</v>
      </c>
      <c r="O666" s="41">
        <v>0</v>
      </c>
      <c r="P666" s="42">
        <v>28022.159600000003</v>
      </c>
      <c r="Q666" s="34" t="s">
        <v>25</v>
      </c>
      <c r="R666" s="34" t="s">
        <v>26</v>
      </c>
      <c r="S666" s="11" t="s">
        <v>4105</v>
      </c>
    </row>
    <row r="667" spans="1:19" x14ac:dyDescent="0.2">
      <c r="A667" s="33">
        <v>43647</v>
      </c>
      <c r="B667" s="34">
        <v>122</v>
      </c>
      <c r="C667" s="34" t="s">
        <v>73</v>
      </c>
      <c r="D667" s="34" t="str">
        <f>VLOOKUP(C667,'SALE PARTY MASTER'!$B$4:$E$500,2,FALSE)</f>
        <v>27AAACH4211R1ZF</v>
      </c>
      <c r="E667" s="34" t="s">
        <v>22</v>
      </c>
      <c r="F667" s="34" t="s">
        <v>2057</v>
      </c>
      <c r="G667" s="44">
        <v>43668</v>
      </c>
      <c r="H667" s="34">
        <v>85129000</v>
      </c>
      <c r="I667" s="34">
        <v>18</v>
      </c>
      <c r="J667" s="38">
        <v>2400</v>
      </c>
      <c r="K667" s="40">
        <v>60000</v>
      </c>
      <c r="L667" s="41">
        <v>0</v>
      </c>
      <c r="M667" s="41">
        <v>5400</v>
      </c>
      <c r="N667" s="41">
        <v>5400</v>
      </c>
      <c r="O667" s="41">
        <v>0</v>
      </c>
      <c r="P667" s="42">
        <v>70800</v>
      </c>
      <c r="Q667" s="34" t="s">
        <v>25</v>
      </c>
      <c r="R667" s="34" t="s">
        <v>26</v>
      </c>
      <c r="S667" s="11" t="s">
        <v>4105</v>
      </c>
    </row>
    <row r="668" spans="1:19" x14ac:dyDescent="0.2">
      <c r="A668" s="33">
        <v>43647</v>
      </c>
      <c r="B668" s="34">
        <v>123</v>
      </c>
      <c r="C668" s="34" t="s">
        <v>155</v>
      </c>
      <c r="D668" s="34" t="str">
        <f>VLOOKUP(C668,'SALE PARTY MASTER'!$B$4:$E$500,2,FALSE)</f>
        <v>27AAGCP0139E1ZP</v>
      </c>
      <c r="E668" s="34" t="s">
        <v>22</v>
      </c>
      <c r="F668" s="34" t="s">
        <v>2058</v>
      </c>
      <c r="G668" s="44">
        <v>43668</v>
      </c>
      <c r="H668" s="34">
        <v>87141090</v>
      </c>
      <c r="I668" s="34">
        <v>28</v>
      </c>
      <c r="J668" s="38">
        <v>500</v>
      </c>
      <c r="K668" s="40">
        <v>37685</v>
      </c>
      <c r="L668" s="41">
        <v>0</v>
      </c>
      <c r="M668" s="41">
        <v>5275.9000000000005</v>
      </c>
      <c r="N668" s="41">
        <v>5275.9000000000005</v>
      </c>
      <c r="O668" s="41">
        <v>0</v>
      </c>
      <c r="P668" s="42">
        <v>48236.800000000003</v>
      </c>
      <c r="Q668" s="34" t="s">
        <v>25</v>
      </c>
      <c r="R668" s="34" t="s">
        <v>26</v>
      </c>
      <c r="S668" s="11" t="s">
        <v>4105</v>
      </c>
    </row>
    <row r="669" spans="1:19" x14ac:dyDescent="0.2">
      <c r="A669" s="33">
        <v>43647</v>
      </c>
      <c r="B669" s="34">
        <v>124</v>
      </c>
      <c r="C669" s="34" t="s">
        <v>28</v>
      </c>
      <c r="D669" s="34" t="str">
        <f>VLOOKUP(C669,'SALE PARTY MASTER'!$B$4:$E$500,2,FALSE)</f>
        <v>27AAECM8871A1ZF</v>
      </c>
      <c r="E669" s="34" t="s">
        <v>22</v>
      </c>
      <c r="F669" s="34" t="s">
        <v>2059</v>
      </c>
      <c r="G669" s="44">
        <v>43669</v>
      </c>
      <c r="H669" s="34">
        <v>87089900</v>
      </c>
      <c r="I669" s="34">
        <v>28</v>
      </c>
      <c r="J669" s="38">
        <v>12</v>
      </c>
      <c r="K669" s="40">
        <v>23255.759999999998</v>
      </c>
      <c r="L669" s="41">
        <v>0</v>
      </c>
      <c r="M669" s="41">
        <v>3255.8063999999995</v>
      </c>
      <c r="N669" s="41">
        <v>3255.8063999999995</v>
      </c>
      <c r="O669" s="41">
        <v>0</v>
      </c>
      <c r="P669" s="42">
        <v>29767.382799999996</v>
      </c>
      <c r="Q669" s="34" t="s">
        <v>25</v>
      </c>
      <c r="R669" s="34" t="s">
        <v>26</v>
      </c>
      <c r="S669" s="11" t="s">
        <v>4105</v>
      </c>
    </row>
    <row r="670" spans="1:19" x14ac:dyDescent="0.2">
      <c r="A670" s="33">
        <v>43647</v>
      </c>
      <c r="B670" s="34">
        <v>125</v>
      </c>
      <c r="C670" s="34" t="s">
        <v>40</v>
      </c>
      <c r="D670" s="34" t="str">
        <f>VLOOKUP(C670,'SALE PARTY MASTER'!$B$4:$E$500,2,FALSE)</f>
        <v>27AAACT1848E1ZH</v>
      </c>
      <c r="E670" s="34" t="s">
        <v>22</v>
      </c>
      <c r="F670" s="34" t="s">
        <v>2060</v>
      </c>
      <c r="G670" s="44">
        <v>43669</v>
      </c>
      <c r="H670" s="34">
        <v>87089900</v>
      </c>
      <c r="I670" s="34">
        <v>28</v>
      </c>
      <c r="J670" s="38">
        <v>39</v>
      </c>
      <c r="K670" s="40">
        <v>18785.52</v>
      </c>
      <c r="L670" s="41">
        <v>0</v>
      </c>
      <c r="M670" s="41">
        <v>2629.9728</v>
      </c>
      <c r="N670" s="41">
        <v>2629.9728</v>
      </c>
      <c r="O670" s="41">
        <v>0</v>
      </c>
      <c r="P670" s="42">
        <v>24045.455600000001</v>
      </c>
      <c r="Q670" s="34" t="s">
        <v>25</v>
      </c>
      <c r="R670" s="34" t="s">
        <v>26</v>
      </c>
      <c r="S670" s="11" t="s">
        <v>4105</v>
      </c>
    </row>
    <row r="671" spans="1:19" x14ac:dyDescent="0.2">
      <c r="A671" s="33">
        <v>43647</v>
      </c>
      <c r="B671" s="34">
        <v>126</v>
      </c>
      <c r="C671" s="34" t="s">
        <v>49</v>
      </c>
      <c r="D671" s="34" t="str">
        <f>VLOOKUP(C671,'SALE PARTY MASTER'!$B$4:$E$500,2,FALSE)</f>
        <v>27AABFJ4217F1ZP</v>
      </c>
      <c r="E671" s="34" t="s">
        <v>22</v>
      </c>
      <c r="F671" s="34" t="s">
        <v>2061</v>
      </c>
      <c r="G671" s="44">
        <v>43669</v>
      </c>
      <c r="H671" s="34">
        <v>998898</v>
      </c>
      <c r="I671" s="34">
        <v>18</v>
      </c>
      <c r="J671" s="38">
        <v>27</v>
      </c>
      <c r="K671" s="40">
        <v>7671.78</v>
      </c>
      <c r="L671" s="41">
        <v>0</v>
      </c>
      <c r="M671" s="41">
        <v>690.46019999999999</v>
      </c>
      <c r="N671" s="41">
        <v>690.46019999999999</v>
      </c>
      <c r="O671" s="41">
        <v>0</v>
      </c>
      <c r="P671" s="42">
        <v>9052.7003999999997</v>
      </c>
      <c r="Q671" s="34" t="s">
        <v>25</v>
      </c>
      <c r="R671" s="34" t="s">
        <v>26</v>
      </c>
      <c r="S671" s="11" t="s">
        <v>4105</v>
      </c>
    </row>
    <row r="672" spans="1:19" x14ac:dyDescent="0.2">
      <c r="A672" s="33">
        <v>43647</v>
      </c>
      <c r="B672" s="34">
        <v>127</v>
      </c>
      <c r="C672" s="34" t="s">
        <v>28</v>
      </c>
      <c r="D672" s="34" t="str">
        <f>VLOOKUP(C672,'SALE PARTY MASTER'!$B$4:$E$500,2,FALSE)</f>
        <v>27AAECM8871A1ZF</v>
      </c>
      <c r="E672" s="34" t="s">
        <v>22</v>
      </c>
      <c r="F672" s="34" t="s">
        <v>2062</v>
      </c>
      <c r="G672" s="44">
        <v>43669</v>
      </c>
      <c r="H672" s="34">
        <v>87089900</v>
      </c>
      <c r="I672" s="34">
        <v>28</v>
      </c>
      <c r="J672" s="38">
        <v>12</v>
      </c>
      <c r="K672" s="40">
        <v>23508.6</v>
      </c>
      <c r="L672" s="41">
        <v>0</v>
      </c>
      <c r="M672" s="41">
        <v>3291.2039999999997</v>
      </c>
      <c r="N672" s="41">
        <v>3291.2039999999997</v>
      </c>
      <c r="O672" s="41">
        <v>0</v>
      </c>
      <c r="P672" s="42">
        <v>30090.997999999996</v>
      </c>
      <c r="Q672" s="34" t="s">
        <v>25</v>
      </c>
      <c r="R672" s="34" t="s">
        <v>26</v>
      </c>
      <c r="S672" s="11" t="s">
        <v>4105</v>
      </c>
    </row>
    <row r="673" spans="1:19" x14ac:dyDescent="0.2">
      <c r="A673" s="33">
        <v>43647</v>
      </c>
      <c r="B673" s="34">
        <v>128</v>
      </c>
      <c r="C673" s="34" t="s">
        <v>167</v>
      </c>
      <c r="D673" s="34" t="str">
        <f>VLOOKUP(C673,'SALE PARTY MASTER'!$B$4:$E$500,2,FALSE)</f>
        <v>27AABFP3834C1ZK</v>
      </c>
      <c r="E673" s="34" t="s">
        <v>22</v>
      </c>
      <c r="F673" s="34" t="s">
        <v>2063</v>
      </c>
      <c r="G673" s="44">
        <v>43669</v>
      </c>
      <c r="H673" s="34">
        <v>87141900</v>
      </c>
      <c r="I673" s="34">
        <v>28</v>
      </c>
      <c r="J673" s="38">
        <v>4890</v>
      </c>
      <c r="K673" s="40">
        <v>59994.1</v>
      </c>
      <c r="L673" s="41">
        <v>0</v>
      </c>
      <c r="M673" s="41">
        <v>8399.1740000000009</v>
      </c>
      <c r="N673" s="41">
        <v>8399.1740000000009</v>
      </c>
      <c r="O673" s="41">
        <v>0</v>
      </c>
      <c r="P673" s="42">
        <v>76792.438000000009</v>
      </c>
      <c r="Q673" s="34" t="s">
        <v>25</v>
      </c>
      <c r="R673" s="34" t="s">
        <v>26</v>
      </c>
      <c r="S673" s="11" t="s">
        <v>4105</v>
      </c>
    </row>
    <row r="674" spans="1:19" x14ac:dyDescent="0.2">
      <c r="A674" s="33">
        <v>43647</v>
      </c>
      <c r="B674" s="34">
        <v>129</v>
      </c>
      <c r="C674" s="34" t="s">
        <v>124</v>
      </c>
      <c r="D674" s="34" t="str">
        <f>VLOOKUP(C674,'SALE PARTY MASTER'!$B$4:$E$500,2,FALSE)</f>
        <v>27AAACB2484Q1Z8</v>
      </c>
      <c r="E674" s="34" t="s">
        <v>22</v>
      </c>
      <c r="F674" s="34" t="s">
        <v>2064</v>
      </c>
      <c r="G674" s="44">
        <v>43669</v>
      </c>
      <c r="H674" s="34">
        <v>998898</v>
      </c>
      <c r="I674" s="34">
        <v>18</v>
      </c>
      <c r="J674" s="38">
        <v>608</v>
      </c>
      <c r="K674" s="40">
        <v>58894</v>
      </c>
      <c r="L674" s="41">
        <v>0</v>
      </c>
      <c r="M674" s="41">
        <v>5300.4600000000009</v>
      </c>
      <c r="N674" s="41">
        <v>5300.4600000000009</v>
      </c>
      <c r="O674" s="41">
        <v>0</v>
      </c>
      <c r="P674" s="42">
        <v>69494.92</v>
      </c>
      <c r="Q674" s="34" t="s">
        <v>25</v>
      </c>
      <c r="R674" s="34" t="s">
        <v>26</v>
      </c>
      <c r="S674" s="11" t="s">
        <v>4105</v>
      </c>
    </row>
    <row r="675" spans="1:19" x14ac:dyDescent="0.2">
      <c r="A675" s="33">
        <v>43647</v>
      </c>
      <c r="B675" s="34">
        <v>130</v>
      </c>
      <c r="C675" s="34" t="s">
        <v>124</v>
      </c>
      <c r="D675" s="34" t="str">
        <f>VLOOKUP(C675,'SALE PARTY MASTER'!$B$4:$E$500,2,FALSE)</f>
        <v>27AAACB2484Q1Z8</v>
      </c>
      <c r="E675" s="34" t="s">
        <v>22</v>
      </c>
      <c r="F675" s="34" t="s">
        <v>2065</v>
      </c>
      <c r="G675" s="44">
        <v>43669</v>
      </c>
      <c r="H675" s="34">
        <v>998898</v>
      </c>
      <c r="I675" s="34">
        <v>18</v>
      </c>
      <c r="J675" s="38">
        <v>83</v>
      </c>
      <c r="K675" s="40">
        <v>5644</v>
      </c>
      <c r="L675" s="41">
        <v>0</v>
      </c>
      <c r="M675" s="41">
        <v>507.96</v>
      </c>
      <c r="N675" s="41">
        <v>507.96</v>
      </c>
      <c r="O675" s="41">
        <v>0</v>
      </c>
      <c r="P675" s="42">
        <v>6659.92</v>
      </c>
      <c r="Q675" s="34" t="s">
        <v>25</v>
      </c>
      <c r="R675" s="34" t="s">
        <v>26</v>
      </c>
      <c r="S675" s="11" t="s">
        <v>4105</v>
      </c>
    </row>
    <row r="676" spans="1:19" x14ac:dyDescent="0.2">
      <c r="A676" s="33">
        <v>43647</v>
      </c>
      <c r="B676" s="34">
        <v>131</v>
      </c>
      <c r="C676" s="34" t="s">
        <v>155</v>
      </c>
      <c r="D676" s="34" t="str">
        <f>VLOOKUP(C676,'SALE PARTY MASTER'!$B$4:$E$500,2,FALSE)</f>
        <v>27AAGCP0139E1ZP</v>
      </c>
      <c r="E676" s="34" t="s">
        <v>22</v>
      </c>
      <c r="F676" s="34" t="s">
        <v>2066</v>
      </c>
      <c r="G676" s="44">
        <v>43669</v>
      </c>
      <c r="H676" s="34">
        <v>87141090</v>
      </c>
      <c r="I676" s="34">
        <v>28</v>
      </c>
      <c r="J676" s="38">
        <v>500</v>
      </c>
      <c r="K676" s="40">
        <v>37685</v>
      </c>
      <c r="L676" s="41">
        <v>0</v>
      </c>
      <c r="M676" s="41">
        <v>5275.9000000000005</v>
      </c>
      <c r="N676" s="41">
        <v>5275.9000000000005</v>
      </c>
      <c r="O676" s="41">
        <v>0</v>
      </c>
      <c r="P676" s="42">
        <v>48236.800000000003</v>
      </c>
      <c r="Q676" s="34" t="s">
        <v>25</v>
      </c>
      <c r="R676" s="34" t="s">
        <v>26</v>
      </c>
      <c r="S676" s="11" t="s">
        <v>4105</v>
      </c>
    </row>
    <row r="677" spans="1:19" x14ac:dyDescent="0.2">
      <c r="A677" s="33">
        <v>43647</v>
      </c>
      <c r="B677" s="34">
        <v>132</v>
      </c>
      <c r="C677" s="34" t="s">
        <v>167</v>
      </c>
      <c r="D677" s="34" t="str">
        <f>VLOOKUP(C677,'SALE PARTY MASTER'!$B$4:$E$500,2,FALSE)</f>
        <v>27AABFP3834C1ZK</v>
      </c>
      <c r="E677" s="34" t="s">
        <v>22</v>
      </c>
      <c r="F677" s="34" t="s">
        <v>2067</v>
      </c>
      <c r="G677" s="44">
        <v>43670</v>
      </c>
      <c r="H677" s="34">
        <v>87141900</v>
      </c>
      <c r="I677" s="34">
        <v>28</v>
      </c>
      <c r="J677" s="38">
        <v>4920</v>
      </c>
      <c r="K677" s="40">
        <v>63959.199999999997</v>
      </c>
      <c r="L677" s="41">
        <v>0</v>
      </c>
      <c r="M677" s="41">
        <v>8954.2880000000005</v>
      </c>
      <c r="N677" s="41">
        <v>8954.2880000000005</v>
      </c>
      <c r="O677" s="41">
        <v>0</v>
      </c>
      <c r="P677" s="42">
        <v>81867.775999999998</v>
      </c>
      <c r="Q677" s="34" t="s">
        <v>25</v>
      </c>
      <c r="R677" s="34" t="s">
        <v>26</v>
      </c>
      <c r="S677" s="11" t="s">
        <v>4105</v>
      </c>
    </row>
    <row r="678" spans="1:19" x14ac:dyDescent="0.2">
      <c r="A678" s="33">
        <v>43647</v>
      </c>
      <c r="B678" s="34">
        <v>133</v>
      </c>
      <c r="C678" s="34" t="s">
        <v>28</v>
      </c>
      <c r="D678" s="34" t="str">
        <f>VLOOKUP(C678,'SALE PARTY MASTER'!$B$4:$E$500,2,FALSE)</f>
        <v>27AAECM8871A1ZF</v>
      </c>
      <c r="E678" s="34" t="s">
        <v>22</v>
      </c>
      <c r="F678" s="34" t="s">
        <v>2068</v>
      </c>
      <c r="G678" s="44">
        <v>43670</v>
      </c>
      <c r="H678" s="34">
        <v>87089900</v>
      </c>
      <c r="I678" s="34">
        <v>28</v>
      </c>
      <c r="J678" s="38">
        <v>12</v>
      </c>
      <c r="K678" s="40">
        <v>23255.759999999998</v>
      </c>
      <c r="L678" s="41">
        <v>0</v>
      </c>
      <c r="M678" s="41">
        <v>3255.8063999999995</v>
      </c>
      <c r="N678" s="41">
        <v>3255.8063999999995</v>
      </c>
      <c r="O678" s="41">
        <v>0</v>
      </c>
      <c r="P678" s="42">
        <v>29767.382799999996</v>
      </c>
      <c r="Q678" s="34" t="s">
        <v>25</v>
      </c>
      <c r="R678" s="34" t="s">
        <v>26</v>
      </c>
      <c r="S678" s="11" t="s">
        <v>4105</v>
      </c>
    </row>
    <row r="679" spans="1:19" x14ac:dyDescent="0.2">
      <c r="A679" s="33">
        <v>43647</v>
      </c>
      <c r="B679" s="34">
        <v>134</v>
      </c>
      <c r="C679" s="34" t="s">
        <v>40</v>
      </c>
      <c r="D679" s="34" t="str">
        <f>VLOOKUP(C679,'SALE PARTY MASTER'!$B$4:$E$500,2,FALSE)</f>
        <v>27AAACT1848E1ZH</v>
      </c>
      <c r="E679" s="34" t="s">
        <v>22</v>
      </c>
      <c r="F679" s="34" t="s">
        <v>2069</v>
      </c>
      <c r="G679" s="44">
        <v>43670</v>
      </c>
      <c r="H679" s="34">
        <v>87089900</v>
      </c>
      <c r="I679" s="34">
        <v>28</v>
      </c>
      <c r="J679" s="38">
        <v>69</v>
      </c>
      <c r="K679" s="40">
        <v>32976.720000000001</v>
      </c>
      <c r="L679" s="41">
        <v>0</v>
      </c>
      <c r="M679" s="41">
        <v>4616.7407999999996</v>
      </c>
      <c r="N679" s="41">
        <v>4616.7407999999996</v>
      </c>
      <c r="O679" s="41">
        <v>0</v>
      </c>
      <c r="P679" s="42">
        <v>42210.2016</v>
      </c>
      <c r="Q679" s="34" t="s">
        <v>25</v>
      </c>
      <c r="R679" s="34" t="s">
        <v>26</v>
      </c>
      <c r="S679" s="11" t="s">
        <v>4105</v>
      </c>
    </row>
    <row r="680" spans="1:19" x14ac:dyDescent="0.2">
      <c r="A680" s="33">
        <v>43647</v>
      </c>
      <c r="B680" s="34">
        <v>135</v>
      </c>
      <c r="C680" s="34" t="s">
        <v>40</v>
      </c>
      <c r="D680" s="34" t="str">
        <f>VLOOKUP(C680,'SALE PARTY MASTER'!$B$4:$E$500,2,FALSE)</f>
        <v>27AAACT1848E1ZH</v>
      </c>
      <c r="E680" s="34" t="s">
        <v>22</v>
      </c>
      <c r="F680" s="34" t="s">
        <v>2070</v>
      </c>
      <c r="G680" s="44">
        <v>43670</v>
      </c>
      <c r="H680" s="34">
        <v>87089900</v>
      </c>
      <c r="I680" s="34">
        <v>28</v>
      </c>
      <c r="J680" s="38">
        <v>250</v>
      </c>
      <c r="K680" s="40">
        <v>14148.5</v>
      </c>
      <c r="L680" s="41">
        <v>0</v>
      </c>
      <c r="M680" s="41">
        <v>1980.7900000000002</v>
      </c>
      <c r="N680" s="41">
        <v>1980.7900000000002</v>
      </c>
      <c r="O680" s="41">
        <v>0</v>
      </c>
      <c r="P680" s="42">
        <v>18110.080000000002</v>
      </c>
      <c r="Q680" s="34" t="s">
        <v>25</v>
      </c>
      <c r="R680" s="34" t="s">
        <v>26</v>
      </c>
      <c r="S680" s="11" t="s">
        <v>4105</v>
      </c>
    </row>
    <row r="681" spans="1:19" x14ac:dyDescent="0.2">
      <c r="A681" s="33">
        <v>43647</v>
      </c>
      <c r="B681" s="34">
        <v>136</v>
      </c>
      <c r="C681" s="34" t="s">
        <v>102</v>
      </c>
      <c r="D681" s="34" t="str">
        <f>VLOOKUP(C681,'SALE PARTY MASTER'!$B$4:$E$500,2,FALSE)</f>
        <v>23AABCE9378F1ZK</v>
      </c>
      <c r="E681" s="34" t="s">
        <v>22</v>
      </c>
      <c r="F681" s="34" t="s">
        <v>2071</v>
      </c>
      <c r="G681" s="44">
        <v>43670</v>
      </c>
      <c r="H681" s="34">
        <v>87081090</v>
      </c>
      <c r="I681" s="34">
        <v>28</v>
      </c>
      <c r="J681" s="38">
        <v>24</v>
      </c>
      <c r="K681" s="40">
        <v>47916</v>
      </c>
      <c r="L681" s="41">
        <v>13416.480000000001</v>
      </c>
      <c r="M681" s="41">
        <v>0</v>
      </c>
      <c r="N681" s="41">
        <v>0</v>
      </c>
      <c r="O681" s="41">
        <v>0</v>
      </c>
      <c r="P681" s="42">
        <v>61332.480000000003</v>
      </c>
      <c r="Q681" s="34" t="s">
        <v>25</v>
      </c>
      <c r="R681" s="34" t="s">
        <v>106</v>
      </c>
      <c r="S681" s="11" t="s">
        <v>4105</v>
      </c>
    </row>
    <row r="682" spans="1:19" x14ac:dyDescent="0.2">
      <c r="A682" s="33">
        <v>43647</v>
      </c>
      <c r="B682" s="34">
        <v>137</v>
      </c>
      <c r="C682" s="34" t="s">
        <v>73</v>
      </c>
      <c r="D682" s="34" t="str">
        <f>VLOOKUP(C682,'SALE PARTY MASTER'!$B$4:$E$500,2,FALSE)</f>
        <v>27AAACH4211R1ZF</v>
      </c>
      <c r="E682" s="34" t="s">
        <v>22</v>
      </c>
      <c r="F682" s="34" t="s">
        <v>2072</v>
      </c>
      <c r="G682" s="44">
        <v>43670</v>
      </c>
      <c r="H682" s="34">
        <v>85129000</v>
      </c>
      <c r="I682" s="34">
        <v>18</v>
      </c>
      <c r="J682" s="38">
        <v>2880</v>
      </c>
      <c r="K682" s="40">
        <v>72000</v>
      </c>
      <c r="L682" s="41">
        <v>0</v>
      </c>
      <c r="M682" s="41">
        <v>6480</v>
      </c>
      <c r="N682" s="41">
        <v>6480</v>
      </c>
      <c r="O682" s="41">
        <v>0</v>
      </c>
      <c r="P682" s="42">
        <v>84960</v>
      </c>
      <c r="Q682" s="34" t="s">
        <v>25</v>
      </c>
      <c r="R682" s="34" t="s">
        <v>26</v>
      </c>
      <c r="S682" s="11" t="s">
        <v>4105</v>
      </c>
    </row>
    <row r="683" spans="1:19" x14ac:dyDescent="0.2">
      <c r="A683" s="33">
        <v>43647</v>
      </c>
      <c r="B683" s="34">
        <v>138</v>
      </c>
      <c r="C683" s="34" t="s">
        <v>28</v>
      </c>
      <c r="D683" s="34" t="str">
        <f>VLOOKUP(C683,'SALE PARTY MASTER'!$B$4:$E$500,2,FALSE)</f>
        <v>27AAECM8871A1ZF</v>
      </c>
      <c r="E683" s="34" t="s">
        <v>22</v>
      </c>
      <c r="F683" s="34" t="s">
        <v>2073</v>
      </c>
      <c r="G683" s="44">
        <v>43671</v>
      </c>
      <c r="H683" s="34">
        <v>87089900</v>
      </c>
      <c r="I683" s="34">
        <v>28</v>
      </c>
      <c r="J683" s="38">
        <v>12</v>
      </c>
      <c r="K683" s="40">
        <v>23255.759999999998</v>
      </c>
      <c r="L683" s="41">
        <v>0</v>
      </c>
      <c r="M683" s="41">
        <v>3255.8063999999995</v>
      </c>
      <c r="N683" s="41">
        <v>3255.8063999999995</v>
      </c>
      <c r="O683" s="41">
        <v>0</v>
      </c>
      <c r="P683" s="42">
        <v>29767.382799999996</v>
      </c>
      <c r="Q683" s="34" t="s">
        <v>25</v>
      </c>
      <c r="R683" s="34" t="s">
        <v>26</v>
      </c>
      <c r="S683" s="11" t="s">
        <v>4105</v>
      </c>
    </row>
    <row r="684" spans="1:19" x14ac:dyDescent="0.2">
      <c r="A684" s="33">
        <v>43647</v>
      </c>
      <c r="B684" s="34">
        <v>139</v>
      </c>
      <c r="C684" s="34" t="s">
        <v>28</v>
      </c>
      <c r="D684" s="34" t="str">
        <f>VLOOKUP(C684,'SALE PARTY MASTER'!$B$4:$E$500,2,FALSE)</f>
        <v>27AAECM8871A1ZF</v>
      </c>
      <c r="E684" s="34" t="s">
        <v>22</v>
      </c>
      <c r="F684" s="34" t="s">
        <v>2074</v>
      </c>
      <c r="G684" s="44">
        <v>43671</v>
      </c>
      <c r="H684" s="34">
        <v>87089900</v>
      </c>
      <c r="I684" s="34">
        <v>28</v>
      </c>
      <c r="J684" s="38">
        <v>12</v>
      </c>
      <c r="K684" s="40">
        <v>23508.6</v>
      </c>
      <c r="L684" s="41">
        <v>0</v>
      </c>
      <c r="M684" s="41">
        <v>3291.2039999999997</v>
      </c>
      <c r="N684" s="41">
        <v>3291.2039999999997</v>
      </c>
      <c r="O684" s="41">
        <v>0</v>
      </c>
      <c r="P684" s="42">
        <v>30090.997999999996</v>
      </c>
      <c r="Q684" s="34" t="s">
        <v>25</v>
      </c>
      <c r="R684" s="34" t="s">
        <v>26</v>
      </c>
      <c r="S684" s="11" t="s">
        <v>4105</v>
      </c>
    </row>
    <row r="685" spans="1:19" x14ac:dyDescent="0.2">
      <c r="A685" s="33">
        <v>43647</v>
      </c>
      <c r="B685" s="34">
        <v>140</v>
      </c>
      <c r="C685" s="34" t="s">
        <v>45</v>
      </c>
      <c r="D685" s="34" t="str">
        <f>VLOOKUP(C685,'SALE PARTY MASTER'!$B$4:$E$500,2,FALSE)</f>
        <v>27AAACD4090Q1Z8</v>
      </c>
      <c r="E685" s="34" t="s">
        <v>22</v>
      </c>
      <c r="F685" s="34" t="s">
        <v>2075</v>
      </c>
      <c r="G685" s="44">
        <v>43671</v>
      </c>
      <c r="H685" s="34">
        <v>85129000</v>
      </c>
      <c r="I685" s="34">
        <v>18</v>
      </c>
      <c r="J685" s="38">
        <v>1044</v>
      </c>
      <c r="K685" s="40">
        <v>127378.44</v>
      </c>
      <c r="L685" s="41">
        <v>0</v>
      </c>
      <c r="M685" s="41">
        <v>11464.059600000001</v>
      </c>
      <c r="N685" s="41">
        <v>11464.059600000001</v>
      </c>
      <c r="O685" s="41">
        <v>0</v>
      </c>
      <c r="P685" s="42">
        <v>150306.55920000002</v>
      </c>
      <c r="Q685" s="34" t="s">
        <v>25</v>
      </c>
      <c r="R685" s="34" t="s">
        <v>26</v>
      </c>
      <c r="S685" s="11" t="s">
        <v>4105</v>
      </c>
    </row>
    <row r="686" spans="1:19" x14ac:dyDescent="0.2">
      <c r="A686" s="33">
        <v>43647</v>
      </c>
      <c r="B686" s="34">
        <v>141</v>
      </c>
      <c r="C686" s="34" t="s">
        <v>124</v>
      </c>
      <c r="D686" s="34" t="str">
        <f>VLOOKUP(C686,'SALE PARTY MASTER'!$B$4:$E$500,2,FALSE)</f>
        <v>27AAACB2484Q1Z8</v>
      </c>
      <c r="E686" s="34" t="s">
        <v>22</v>
      </c>
      <c r="F686" s="34" t="s">
        <v>2076</v>
      </c>
      <c r="G686" s="44">
        <v>43672</v>
      </c>
      <c r="H686" s="34">
        <v>998898</v>
      </c>
      <c r="I686" s="34">
        <v>18</v>
      </c>
      <c r="J686" s="38">
        <v>90</v>
      </c>
      <c r="K686" s="40">
        <v>8820</v>
      </c>
      <c r="L686" s="41">
        <v>0</v>
      </c>
      <c r="M686" s="41">
        <v>793.80000000000007</v>
      </c>
      <c r="N686" s="41">
        <v>793.80000000000007</v>
      </c>
      <c r="O686" s="41">
        <v>0</v>
      </c>
      <c r="P686" s="42">
        <v>10407.599999999999</v>
      </c>
      <c r="Q686" s="34" t="s">
        <v>25</v>
      </c>
      <c r="R686" s="34" t="s">
        <v>26</v>
      </c>
      <c r="S686" s="11" t="s">
        <v>4105</v>
      </c>
    </row>
    <row r="687" spans="1:19" x14ac:dyDescent="0.2">
      <c r="A687" s="33">
        <v>43647</v>
      </c>
      <c r="B687" s="34">
        <v>142</v>
      </c>
      <c r="C687" s="34" t="s">
        <v>124</v>
      </c>
      <c r="D687" s="34" t="str">
        <f>VLOOKUP(C687,'SALE PARTY MASTER'!$B$4:$E$500,2,FALSE)</f>
        <v>27AAACB2484Q1Z8</v>
      </c>
      <c r="E687" s="34" t="s">
        <v>22</v>
      </c>
      <c r="F687" s="34" t="s">
        <v>2077</v>
      </c>
      <c r="G687" s="44">
        <v>43672</v>
      </c>
      <c r="H687" s="34">
        <v>998898</v>
      </c>
      <c r="I687" s="34">
        <v>18</v>
      </c>
      <c r="J687" s="38">
        <v>840</v>
      </c>
      <c r="K687" s="40">
        <v>81420</v>
      </c>
      <c r="L687" s="41">
        <v>0</v>
      </c>
      <c r="M687" s="41">
        <v>7327.8</v>
      </c>
      <c r="N687" s="41">
        <v>7327.8</v>
      </c>
      <c r="O687" s="41">
        <v>0</v>
      </c>
      <c r="P687" s="42">
        <v>96075.6</v>
      </c>
      <c r="Q687" s="34" t="s">
        <v>25</v>
      </c>
      <c r="R687" s="34" t="s">
        <v>26</v>
      </c>
      <c r="S687" s="11" t="s">
        <v>4105</v>
      </c>
    </row>
    <row r="688" spans="1:19" x14ac:dyDescent="0.2">
      <c r="A688" s="33">
        <v>43647</v>
      </c>
      <c r="B688" s="34">
        <v>143</v>
      </c>
      <c r="C688" s="34" t="s">
        <v>91</v>
      </c>
      <c r="D688" s="34" t="str">
        <f>VLOOKUP(C688,'SALE PARTY MASTER'!$B$4:$E$500,2,FALSE)</f>
        <v>27BBVPS2447C1ZA</v>
      </c>
      <c r="E688" s="34" t="s">
        <v>22</v>
      </c>
      <c r="F688" s="34" t="s">
        <v>2078</v>
      </c>
      <c r="G688" s="44">
        <v>43672</v>
      </c>
      <c r="H688" s="34">
        <v>998898</v>
      </c>
      <c r="I688" s="34">
        <v>18</v>
      </c>
      <c r="J688" s="38">
        <v>450</v>
      </c>
      <c r="K688" s="40">
        <v>6750</v>
      </c>
      <c r="L688" s="41">
        <v>0</v>
      </c>
      <c r="M688" s="41">
        <v>607.5</v>
      </c>
      <c r="N688" s="41">
        <v>607.5</v>
      </c>
      <c r="O688" s="41">
        <v>0</v>
      </c>
      <c r="P688" s="42">
        <v>7965</v>
      </c>
      <c r="Q688" s="34" t="s">
        <v>25</v>
      </c>
      <c r="R688" s="34" t="s">
        <v>26</v>
      </c>
      <c r="S688" s="11" t="s">
        <v>4105</v>
      </c>
    </row>
    <row r="689" spans="1:19" x14ac:dyDescent="0.2">
      <c r="A689" s="33">
        <v>43647</v>
      </c>
      <c r="B689" s="34">
        <v>144</v>
      </c>
      <c r="C689" s="34" t="s">
        <v>167</v>
      </c>
      <c r="D689" s="34" t="str">
        <f>VLOOKUP(C689,'SALE PARTY MASTER'!$B$4:$E$500,2,FALSE)</f>
        <v>27AABFP3834C1ZK</v>
      </c>
      <c r="E689" s="34" t="s">
        <v>22</v>
      </c>
      <c r="F689" s="34" t="s">
        <v>2079</v>
      </c>
      <c r="G689" s="44">
        <v>43672</v>
      </c>
      <c r="H689" s="34">
        <v>87141900</v>
      </c>
      <c r="I689" s="34">
        <v>28</v>
      </c>
      <c r="J689" s="38">
        <v>3031</v>
      </c>
      <c r="K689" s="40">
        <v>36575.629999999997</v>
      </c>
      <c r="L689" s="41">
        <v>0</v>
      </c>
      <c r="M689" s="41">
        <v>5120.5881999999992</v>
      </c>
      <c r="N689" s="41">
        <v>5120.5881999999992</v>
      </c>
      <c r="O689" s="41">
        <v>0</v>
      </c>
      <c r="P689" s="42">
        <v>46816.806399999994</v>
      </c>
      <c r="Q689" s="34" t="s">
        <v>25</v>
      </c>
      <c r="R689" s="34" t="s">
        <v>26</v>
      </c>
      <c r="S689" s="11" t="s">
        <v>4105</v>
      </c>
    </row>
    <row r="690" spans="1:19" x14ac:dyDescent="0.2">
      <c r="A690" s="33">
        <v>43647</v>
      </c>
      <c r="B690" s="34">
        <v>145</v>
      </c>
      <c r="C690" s="34" t="s">
        <v>155</v>
      </c>
      <c r="D690" s="34" t="str">
        <f>VLOOKUP(C690,'SALE PARTY MASTER'!$B$4:$E$500,2,FALSE)</f>
        <v>27AAGCP0139E1ZP</v>
      </c>
      <c r="E690" s="34" t="s">
        <v>22</v>
      </c>
      <c r="F690" s="34" t="s">
        <v>2080</v>
      </c>
      <c r="G690" s="44">
        <v>43672</v>
      </c>
      <c r="H690" s="34">
        <v>87141090</v>
      </c>
      <c r="I690" s="34">
        <v>28</v>
      </c>
      <c r="J690" s="38">
        <v>580</v>
      </c>
      <c r="K690" s="40">
        <v>43714.6</v>
      </c>
      <c r="L690" s="41">
        <v>0</v>
      </c>
      <c r="M690" s="41">
        <v>6120.0439999999999</v>
      </c>
      <c r="N690" s="41">
        <v>6120.0439999999999</v>
      </c>
      <c r="O690" s="41">
        <v>0</v>
      </c>
      <c r="P690" s="42">
        <v>55954.678</v>
      </c>
      <c r="Q690" s="34" t="s">
        <v>25</v>
      </c>
      <c r="R690" s="34" t="s">
        <v>26</v>
      </c>
      <c r="S690" s="11" t="s">
        <v>4105</v>
      </c>
    </row>
    <row r="691" spans="1:19" x14ac:dyDescent="0.2">
      <c r="A691" s="33">
        <v>43647</v>
      </c>
      <c r="B691" s="34">
        <v>146</v>
      </c>
      <c r="C691" s="34" t="s">
        <v>155</v>
      </c>
      <c r="D691" s="34" t="str">
        <f>VLOOKUP(C691,'SALE PARTY MASTER'!$B$4:$E$500,2,FALSE)</f>
        <v>27AAGCP0139E1ZP</v>
      </c>
      <c r="E691" s="34" t="s">
        <v>22</v>
      </c>
      <c r="F691" s="34" t="s">
        <v>2081</v>
      </c>
      <c r="G691" s="44">
        <v>43672</v>
      </c>
      <c r="H691" s="34">
        <v>87141090</v>
      </c>
      <c r="I691" s="34">
        <v>28</v>
      </c>
      <c r="J691" s="38">
        <v>840</v>
      </c>
      <c r="K691" s="40">
        <v>39505.199999999997</v>
      </c>
      <c r="L691" s="41">
        <v>0</v>
      </c>
      <c r="M691" s="41">
        <v>5530.7279999999992</v>
      </c>
      <c r="N691" s="41">
        <v>5530.7279999999992</v>
      </c>
      <c r="O691" s="41">
        <v>0</v>
      </c>
      <c r="P691" s="42">
        <v>50566.656000000003</v>
      </c>
      <c r="Q691" s="34" t="s">
        <v>25</v>
      </c>
      <c r="R691" s="34" t="s">
        <v>26</v>
      </c>
      <c r="S691" s="11" t="s">
        <v>4105</v>
      </c>
    </row>
    <row r="692" spans="1:19" x14ac:dyDescent="0.2">
      <c r="A692" s="33">
        <v>43647</v>
      </c>
      <c r="B692" s="34">
        <v>147</v>
      </c>
      <c r="C692" s="34" t="s">
        <v>28</v>
      </c>
      <c r="D692" s="34" t="str">
        <f>VLOOKUP(C692,'SALE PARTY MASTER'!$B$4:$E$500,2,FALSE)</f>
        <v>27AAECM8871A1ZF</v>
      </c>
      <c r="E692" s="34" t="s">
        <v>22</v>
      </c>
      <c r="F692" s="34" t="s">
        <v>2082</v>
      </c>
      <c r="G692" s="44">
        <v>43672</v>
      </c>
      <c r="H692" s="34">
        <v>87089900</v>
      </c>
      <c r="I692" s="34">
        <v>28</v>
      </c>
      <c r="J692" s="38">
        <v>10</v>
      </c>
      <c r="K692" s="40">
        <v>19379.8</v>
      </c>
      <c r="L692" s="41">
        <v>0</v>
      </c>
      <c r="M692" s="41">
        <v>2713.172</v>
      </c>
      <c r="N692" s="41">
        <v>2713.172</v>
      </c>
      <c r="O692" s="41">
        <v>0</v>
      </c>
      <c r="P692" s="42">
        <v>24806.143999999997</v>
      </c>
      <c r="Q692" s="34" t="s">
        <v>25</v>
      </c>
      <c r="R692" s="34" t="s">
        <v>26</v>
      </c>
      <c r="S692" s="11" t="s">
        <v>4105</v>
      </c>
    </row>
    <row r="693" spans="1:19" x14ac:dyDescent="0.2">
      <c r="A693" s="33">
        <v>43647</v>
      </c>
      <c r="B693" s="34">
        <v>149</v>
      </c>
      <c r="C693" s="34" t="s">
        <v>40</v>
      </c>
      <c r="D693" s="34" t="str">
        <f>VLOOKUP(C693,'SALE PARTY MASTER'!$B$4:$E$500,2,FALSE)</f>
        <v>27AAACT1848E1ZH</v>
      </c>
      <c r="E693" s="34" t="s">
        <v>22</v>
      </c>
      <c r="F693" s="34" t="s">
        <v>2083</v>
      </c>
      <c r="G693" s="44">
        <v>43672</v>
      </c>
      <c r="H693" s="34">
        <v>87089900</v>
      </c>
      <c r="I693" s="34">
        <v>28</v>
      </c>
      <c r="J693" s="38">
        <v>129</v>
      </c>
      <c r="K693" s="40">
        <v>34345.47</v>
      </c>
      <c r="L693" s="41">
        <v>0</v>
      </c>
      <c r="M693" s="41">
        <v>4808.3657999999996</v>
      </c>
      <c r="N693" s="41">
        <v>4808.3657999999996</v>
      </c>
      <c r="O693" s="41">
        <v>0</v>
      </c>
      <c r="P693" s="42">
        <v>43962.211600000002</v>
      </c>
      <c r="Q693" s="34" t="s">
        <v>25</v>
      </c>
      <c r="R693" s="34" t="s">
        <v>26</v>
      </c>
      <c r="S693" s="11" t="s">
        <v>4105</v>
      </c>
    </row>
    <row r="694" spans="1:19" x14ac:dyDescent="0.2">
      <c r="A694" s="33">
        <v>43647</v>
      </c>
      <c r="B694" s="34">
        <v>150</v>
      </c>
      <c r="C694" s="34" t="s">
        <v>155</v>
      </c>
      <c r="D694" s="34" t="str">
        <f>VLOOKUP(C694,'SALE PARTY MASTER'!$B$4:$E$500,2,FALSE)</f>
        <v>27AAGCP0139E1ZP</v>
      </c>
      <c r="E694" s="34" t="s">
        <v>22</v>
      </c>
      <c r="F694" s="34" t="s">
        <v>2084</v>
      </c>
      <c r="G694" s="44">
        <v>43673</v>
      </c>
      <c r="H694" s="34">
        <v>87141090</v>
      </c>
      <c r="I694" s="34">
        <v>28</v>
      </c>
      <c r="J694" s="38">
        <v>464</v>
      </c>
      <c r="K694" s="40">
        <v>34971.68</v>
      </c>
      <c r="L694" s="41">
        <v>0</v>
      </c>
      <c r="M694" s="41">
        <v>4896.0351999999993</v>
      </c>
      <c r="N694" s="41">
        <v>4896.0351999999993</v>
      </c>
      <c r="O694" s="41">
        <v>0</v>
      </c>
      <c r="P694" s="42">
        <v>44763.760399999999</v>
      </c>
      <c r="Q694" s="34" t="s">
        <v>25</v>
      </c>
      <c r="R694" s="34" t="s">
        <v>26</v>
      </c>
      <c r="S694" s="11" t="s">
        <v>4105</v>
      </c>
    </row>
    <row r="695" spans="1:19" x14ac:dyDescent="0.2">
      <c r="A695" s="33">
        <v>43647</v>
      </c>
      <c r="B695" s="34">
        <v>151</v>
      </c>
      <c r="C695" s="34" t="s">
        <v>155</v>
      </c>
      <c r="D695" s="34" t="str">
        <f>VLOOKUP(C695,'SALE PARTY MASTER'!$B$4:$E$500,2,FALSE)</f>
        <v>27AAGCP0139E1ZP</v>
      </c>
      <c r="E695" s="34" t="s">
        <v>22</v>
      </c>
      <c r="F695" s="34" t="s">
        <v>2085</v>
      </c>
      <c r="G695" s="44">
        <v>43673</v>
      </c>
      <c r="H695" s="34">
        <v>87141090</v>
      </c>
      <c r="I695" s="34">
        <v>28</v>
      </c>
      <c r="J695" s="38">
        <v>12</v>
      </c>
      <c r="K695" s="40">
        <v>904.44</v>
      </c>
      <c r="L695" s="41">
        <v>0</v>
      </c>
      <c r="M695" s="41">
        <v>126.62160000000002</v>
      </c>
      <c r="N695" s="41">
        <v>126.62160000000002</v>
      </c>
      <c r="O695" s="41">
        <v>0</v>
      </c>
      <c r="P695" s="42">
        <v>1157.6831999999999</v>
      </c>
      <c r="Q695" s="34" t="s">
        <v>25</v>
      </c>
      <c r="R695" s="34" t="s">
        <v>26</v>
      </c>
      <c r="S695" s="11" t="s">
        <v>4105</v>
      </c>
    </row>
    <row r="696" spans="1:19" x14ac:dyDescent="0.2">
      <c r="A696" s="33">
        <v>43647</v>
      </c>
      <c r="B696" s="34">
        <v>152</v>
      </c>
      <c r="C696" s="34" t="s">
        <v>155</v>
      </c>
      <c r="D696" s="34" t="str">
        <f>VLOOKUP(C696,'SALE PARTY MASTER'!$B$4:$E$500,2,FALSE)</f>
        <v>27AAGCP0139E1ZP</v>
      </c>
      <c r="E696" s="34" t="s">
        <v>22</v>
      </c>
      <c r="F696" s="34" t="s">
        <v>2086</v>
      </c>
      <c r="G696" s="44">
        <v>43673</v>
      </c>
      <c r="H696" s="34">
        <v>87141090</v>
      </c>
      <c r="I696" s="34">
        <v>28</v>
      </c>
      <c r="J696" s="38">
        <v>24</v>
      </c>
      <c r="K696" s="40">
        <v>1808.88</v>
      </c>
      <c r="L696" s="41">
        <v>0</v>
      </c>
      <c r="M696" s="41">
        <v>253.24320000000003</v>
      </c>
      <c r="N696" s="41">
        <v>253.24320000000003</v>
      </c>
      <c r="O696" s="41">
        <v>0</v>
      </c>
      <c r="P696" s="42">
        <v>2315.3563999999997</v>
      </c>
      <c r="Q696" s="34" t="s">
        <v>25</v>
      </c>
      <c r="R696" s="34" t="s">
        <v>26</v>
      </c>
      <c r="S696" s="11" t="s">
        <v>4105</v>
      </c>
    </row>
    <row r="697" spans="1:19" x14ac:dyDescent="0.2">
      <c r="A697" s="33">
        <v>43647</v>
      </c>
      <c r="B697" s="34">
        <v>153</v>
      </c>
      <c r="C697" s="34" t="s">
        <v>124</v>
      </c>
      <c r="D697" s="34" t="str">
        <f>VLOOKUP(C697,'SALE PARTY MASTER'!$B$4:$E$500,2,FALSE)</f>
        <v>27AAACB2484Q1Z8</v>
      </c>
      <c r="E697" s="34" t="s">
        <v>22</v>
      </c>
      <c r="F697" s="34" t="s">
        <v>2087</v>
      </c>
      <c r="G697" s="44">
        <v>43673</v>
      </c>
      <c r="H697" s="34">
        <v>998898</v>
      </c>
      <c r="I697" s="34">
        <v>18</v>
      </c>
      <c r="J697" s="38">
        <v>1120</v>
      </c>
      <c r="K697" s="40">
        <v>96410</v>
      </c>
      <c r="L697" s="41">
        <v>0</v>
      </c>
      <c r="M697" s="41">
        <v>8676.9</v>
      </c>
      <c r="N697" s="41">
        <v>8676.9</v>
      </c>
      <c r="O697" s="41">
        <v>0</v>
      </c>
      <c r="P697" s="42">
        <v>113763.79999999999</v>
      </c>
      <c r="Q697" s="34" t="s">
        <v>25</v>
      </c>
      <c r="R697" s="34" t="s">
        <v>26</v>
      </c>
      <c r="S697" s="11" t="s">
        <v>4105</v>
      </c>
    </row>
    <row r="698" spans="1:19" x14ac:dyDescent="0.2">
      <c r="A698" s="33">
        <v>43647</v>
      </c>
      <c r="B698" s="34">
        <v>154</v>
      </c>
      <c r="C698" s="34" t="s">
        <v>91</v>
      </c>
      <c r="D698" s="34" t="str">
        <f>VLOOKUP(C698,'SALE PARTY MASTER'!$B$4:$E$500,2,FALSE)</f>
        <v>27BBVPS2447C1ZA</v>
      </c>
      <c r="E698" s="34" t="s">
        <v>22</v>
      </c>
      <c r="F698" s="34" t="s">
        <v>2088</v>
      </c>
      <c r="G698" s="44">
        <v>43673</v>
      </c>
      <c r="H698" s="34">
        <v>998898</v>
      </c>
      <c r="I698" s="34">
        <v>18</v>
      </c>
      <c r="J698" s="38">
        <v>450</v>
      </c>
      <c r="K698" s="40">
        <v>6750</v>
      </c>
      <c r="L698" s="41">
        <v>0</v>
      </c>
      <c r="M698" s="41">
        <v>607.5</v>
      </c>
      <c r="N698" s="41">
        <v>607.5</v>
      </c>
      <c r="O698" s="41">
        <v>0</v>
      </c>
      <c r="P698" s="42">
        <v>7965</v>
      </c>
      <c r="Q698" s="34" t="s">
        <v>25</v>
      </c>
      <c r="R698" s="34" t="s">
        <v>26</v>
      </c>
      <c r="S698" s="11" t="s">
        <v>4105</v>
      </c>
    </row>
    <row r="699" spans="1:19" x14ac:dyDescent="0.2">
      <c r="A699" s="33">
        <v>43647</v>
      </c>
      <c r="B699" s="34">
        <v>156</v>
      </c>
      <c r="C699" s="34" t="s">
        <v>28</v>
      </c>
      <c r="D699" s="34" t="str">
        <f>VLOOKUP(C699,'SALE PARTY MASTER'!$B$4:$E$500,2,FALSE)</f>
        <v>27AAECM8871A1ZF</v>
      </c>
      <c r="E699" s="34" t="s">
        <v>22</v>
      </c>
      <c r="F699" s="34" t="s">
        <v>2089</v>
      </c>
      <c r="G699" s="44">
        <v>43673</v>
      </c>
      <c r="H699" s="34">
        <v>87089900</v>
      </c>
      <c r="I699" s="34">
        <v>28</v>
      </c>
      <c r="J699" s="38">
        <v>12</v>
      </c>
      <c r="K699" s="40">
        <v>23508.6</v>
      </c>
      <c r="L699" s="41">
        <v>0</v>
      </c>
      <c r="M699" s="41">
        <v>3291.2039999999997</v>
      </c>
      <c r="N699" s="41">
        <v>3291.2039999999997</v>
      </c>
      <c r="O699" s="41">
        <v>0</v>
      </c>
      <c r="P699" s="42">
        <v>30090.997999999996</v>
      </c>
      <c r="Q699" s="34" t="s">
        <v>25</v>
      </c>
      <c r="R699" s="34" t="s">
        <v>26</v>
      </c>
      <c r="S699" s="11" t="s">
        <v>4105</v>
      </c>
    </row>
    <row r="700" spans="1:19" x14ac:dyDescent="0.2">
      <c r="A700" s="33">
        <v>43647</v>
      </c>
      <c r="B700" s="34">
        <v>157</v>
      </c>
      <c r="C700" s="34" t="s">
        <v>28</v>
      </c>
      <c r="D700" s="34" t="str">
        <f>VLOOKUP(C700,'SALE PARTY MASTER'!$B$4:$E$500,2,FALSE)</f>
        <v>27AAECM8871A1ZF</v>
      </c>
      <c r="E700" s="34" t="s">
        <v>22</v>
      </c>
      <c r="F700" s="34" t="s">
        <v>2090</v>
      </c>
      <c r="G700" s="44">
        <v>43673</v>
      </c>
      <c r="H700" s="34">
        <v>87089900</v>
      </c>
      <c r="I700" s="34">
        <v>28</v>
      </c>
      <c r="J700" s="38">
        <v>12</v>
      </c>
      <c r="K700" s="40">
        <v>23255.759999999998</v>
      </c>
      <c r="L700" s="41">
        <v>0</v>
      </c>
      <c r="M700" s="41">
        <v>3255.8063999999995</v>
      </c>
      <c r="N700" s="41">
        <v>3255.8063999999995</v>
      </c>
      <c r="O700" s="41">
        <v>0</v>
      </c>
      <c r="P700" s="42">
        <v>29767.382799999996</v>
      </c>
      <c r="Q700" s="34" t="s">
        <v>25</v>
      </c>
      <c r="R700" s="34" t="s">
        <v>26</v>
      </c>
      <c r="S700" s="11" t="s">
        <v>4105</v>
      </c>
    </row>
    <row r="701" spans="1:19" x14ac:dyDescent="0.2">
      <c r="A701" s="33">
        <v>43647</v>
      </c>
      <c r="B701" s="34">
        <v>158</v>
      </c>
      <c r="C701" s="34" t="s">
        <v>167</v>
      </c>
      <c r="D701" s="34" t="str">
        <f>VLOOKUP(C701,'SALE PARTY MASTER'!$B$4:$E$500,2,FALSE)</f>
        <v>27AABFP3834C1ZK</v>
      </c>
      <c r="E701" s="34" t="s">
        <v>22</v>
      </c>
      <c r="F701" s="34" t="s">
        <v>2091</v>
      </c>
      <c r="G701" s="44">
        <v>43673</v>
      </c>
      <c r="H701" s="34">
        <v>87141900</v>
      </c>
      <c r="I701" s="34">
        <v>28</v>
      </c>
      <c r="J701" s="38">
        <v>2580</v>
      </c>
      <c r="K701" s="40">
        <v>29033.8</v>
      </c>
      <c r="L701" s="41">
        <v>0</v>
      </c>
      <c r="M701" s="41">
        <v>4064.7319999999995</v>
      </c>
      <c r="N701" s="41">
        <v>4064.7319999999995</v>
      </c>
      <c r="O701" s="41">
        <v>0</v>
      </c>
      <c r="P701" s="42">
        <v>37163.263999999996</v>
      </c>
      <c r="Q701" s="34" t="s">
        <v>25</v>
      </c>
      <c r="R701" s="34" t="s">
        <v>26</v>
      </c>
      <c r="S701" s="11" t="s">
        <v>4105</v>
      </c>
    </row>
    <row r="702" spans="1:19" x14ac:dyDescent="0.2">
      <c r="A702" s="33">
        <v>43647</v>
      </c>
      <c r="B702" s="34">
        <v>159</v>
      </c>
      <c r="C702" s="34" t="s">
        <v>167</v>
      </c>
      <c r="D702" s="34" t="str">
        <f>VLOOKUP(C702,'SALE PARTY MASTER'!$B$4:$E$500,2,FALSE)</f>
        <v>27AABFP3834C1ZK</v>
      </c>
      <c r="E702" s="34" t="s">
        <v>22</v>
      </c>
      <c r="F702" s="34" t="s">
        <v>2092</v>
      </c>
      <c r="G702" s="44">
        <v>43674</v>
      </c>
      <c r="H702" s="34">
        <v>87141900</v>
      </c>
      <c r="I702" s="34">
        <v>28</v>
      </c>
      <c r="J702" s="38">
        <v>1480</v>
      </c>
      <c r="K702" s="40">
        <v>17125.599999999999</v>
      </c>
      <c r="L702" s="41">
        <v>0</v>
      </c>
      <c r="M702" s="41">
        <v>2397.5839999999998</v>
      </c>
      <c r="N702" s="41">
        <v>2397.5839999999998</v>
      </c>
      <c r="O702" s="41">
        <v>0</v>
      </c>
      <c r="P702" s="42">
        <v>21920.777999999995</v>
      </c>
      <c r="Q702" s="34" t="s">
        <v>25</v>
      </c>
      <c r="R702" s="34" t="s">
        <v>26</v>
      </c>
      <c r="S702" s="11" t="s">
        <v>4105</v>
      </c>
    </row>
    <row r="703" spans="1:19" x14ac:dyDescent="0.2">
      <c r="A703" s="33">
        <v>43647</v>
      </c>
      <c r="B703" s="34">
        <v>160</v>
      </c>
      <c r="C703" s="34" t="s">
        <v>28</v>
      </c>
      <c r="D703" s="34" t="str">
        <f>VLOOKUP(C703,'SALE PARTY MASTER'!$B$4:$E$500,2,FALSE)</f>
        <v>27AAECM8871A1ZF</v>
      </c>
      <c r="E703" s="34" t="s">
        <v>22</v>
      </c>
      <c r="F703" s="34" t="s">
        <v>2093</v>
      </c>
      <c r="G703" s="44">
        <v>43675</v>
      </c>
      <c r="H703" s="34">
        <v>87089900</v>
      </c>
      <c r="I703" s="34">
        <v>28</v>
      </c>
      <c r="J703" s="38">
        <v>12</v>
      </c>
      <c r="K703" s="40">
        <v>23508.6</v>
      </c>
      <c r="L703" s="41">
        <v>0</v>
      </c>
      <c r="M703" s="41">
        <v>3291.2039999999997</v>
      </c>
      <c r="N703" s="41">
        <v>3291.2039999999997</v>
      </c>
      <c r="O703" s="41">
        <v>0</v>
      </c>
      <c r="P703" s="42">
        <v>30090.997999999996</v>
      </c>
      <c r="Q703" s="34" t="s">
        <v>25</v>
      </c>
      <c r="R703" s="34" t="s">
        <v>26</v>
      </c>
      <c r="S703" s="11" t="s">
        <v>4105</v>
      </c>
    </row>
    <row r="704" spans="1:19" x14ac:dyDescent="0.2">
      <c r="A704" s="33">
        <v>43647</v>
      </c>
      <c r="B704" s="34">
        <v>161</v>
      </c>
      <c r="C704" s="34" t="s">
        <v>28</v>
      </c>
      <c r="D704" s="34" t="str">
        <f>VLOOKUP(C704,'SALE PARTY MASTER'!$B$4:$E$500,2,FALSE)</f>
        <v>27AAECM8871A1ZF</v>
      </c>
      <c r="E704" s="34" t="s">
        <v>22</v>
      </c>
      <c r="F704" s="34" t="s">
        <v>2094</v>
      </c>
      <c r="G704" s="44">
        <v>43675</v>
      </c>
      <c r="H704" s="34">
        <v>87089900</v>
      </c>
      <c r="I704" s="34">
        <v>28</v>
      </c>
      <c r="J704" s="38">
        <v>12</v>
      </c>
      <c r="K704" s="40">
        <v>23508.6</v>
      </c>
      <c r="L704" s="41">
        <v>0</v>
      </c>
      <c r="M704" s="41">
        <v>3291.2039999999997</v>
      </c>
      <c r="N704" s="41">
        <v>3291.2039999999997</v>
      </c>
      <c r="O704" s="41">
        <v>0</v>
      </c>
      <c r="P704" s="42">
        <v>30090.997999999996</v>
      </c>
      <c r="Q704" s="34" t="s">
        <v>25</v>
      </c>
      <c r="R704" s="34" t="s">
        <v>26</v>
      </c>
      <c r="S704" s="11" t="s">
        <v>4105</v>
      </c>
    </row>
    <row r="705" spans="1:19" x14ac:dyDescent="0.2">
      <c r="A705" s="33">
        <v>43647</v>
      </c>
      <c r="B705" s="34">
        <v>162</v>
      </c>
      <c r="C705" s="34" t="s">
        <v>124</v>
      </c>
      <c r="D705" s="34" t="str">
        <f>VLOOKUP(C705,'SALE PARTY MASTER'!$B$4:$E$500,2,FALSE)</f>
        <v>27AAACB2484Q1Z8</v>
      </c>
      <c r="E705" s="34" t="s">
        <v>22</v>
      </c>
      <c r="F705" s="34" t="s">
        <v>2095</v>
      </c>
      <c r="G705" s="44">
        <v>43675</v>
      </c>
      <c r="H705" s="34">
        <v>998898</v>
      </c>
      <c r="I705" s="34">
        <v>18</v>
      </c>
      <c r="J705" s="38">
        <v>1155</v>
      </c>
      <c r="K705" s="40">
        <v>94740</v>
      </c>
      <c r="L705" s="41">
        <v>0</v>
      </c>
      <c r="M705" s="41">
        <v>8526.6</v>
      </c>
      <c r="N705" s="41">
        <v>8526.6</v>
      </c>
      <c r="O705" s="41">
        <v>0</v>
      </c>
      <c r="P705" s="42">
        <v>111793.20000000001</v>
      </c>
      <c r="Q705" s="34" t="s">
        <v>25</v>
      </c>
      <c r="R705" s="34" t="s">
        <v>26</v>
      </c>
      <c r="S705" s="11" t="s">
        <v>4105</v>
      </c>
    </row>
    <row r="706" spans="1:19" x14ac:dyDescent="0.2">
      <c r="A706" s="33">
        <v>43647</v>
      </c>
      <c r="B706" s="34">
        <v>163</v>
      </c>
      <c r="C706" s="34" t="s">
        <v>28</v>
      </c>
      <c r="D706" s="34" t="str">
        <f>VLOOKUP(C706,'SALE PARTY MASTER'!$B$4:$E$500,2,FALSE)</f>
        <v>27AAECM8871A1ZF</v>
      </c>
      <c r="E706" s="34" t="s">
        <v>22</v>
      </c>
      <c r="F706" s="34" t="s">
        <v>2096</v>
      </c>
      <c r="G706" s="44">
        <v>43675</v>
      </c>
      <c r="H706" s="34">
        <v>87089900</v>
      </c>
      <c r="I706" s="34">
        <v>28</v>
      </c>
      <c r="J706" s="38">
        <v>12</v>
      </c>
      <c r="K706" s="40">
        <v>23255.759999999998</v>
      </c>
      <c r="L706" s="41">
        <v>0</v>
      </c>
      <c r="M706" s="41">
        <v>3255.8063999999995</v>
      </c>
      <c r="N706" s="41">
        <v>3255.8063999999995</v>
      </c>
      <c r="O706" s="41">
        <v>0</v>
      </c>
      <c r="P706" s="42">
        <v>29767.382799999996</v>
      </c>
      <c r="Q706" s="34" t="s">
        <v>25</v>
      </c>
      <c r="R706" s="34" t="s">
        <v>26</v>
      </c>
      <c r="S706" s="11" t="s">
        <v>4105</v>
      </c>
    </row>
    <row r="707" spans="1:19" x14ac:dyDescent="0.2">
      <c r="A707" s="33">
        <v>43647</v>
      </c>
      <c r="B707" s="34">
        <v>164</v>
      </c>
      <c r="C707" s="34" t="s">
        <v>224</v>
      </c>
      <c r="D707" s="34" t="str">
        <f>VLOOKUP(C707,'SALE PARTY MASTER'!$B$4:$E$500,2,FALSE)</f>
        <v>27AAACV2420J1ZI</v>
      </c>
      <c r="E707" s="34" t="s">
        <v>22</v>
      </c>
      <c r="F707" s="34" t="s">
        <v>2097</v>
      </c>
      <c r="G707" s="44">
        <v>43675</v>
      </c>
      <c r="H707" s="34">
        <v>87142090</v>
      </c>
      <c r="I707" s="34">
        <v>28</v>
      </c>
      <c r="J707" s="38">
        <v>529</v>
      </c>
      <c r="K707" s="40">
        <v>23318.32</v>
      </c>
      <c r="L707" s="41">
        <v>0</v>
      </c>
      <c r="M707" s="41">
        <v>3264.5648000000001</v>
      </c>
      <c r="N707" s="41">
        <v>3264.5648000000001</v>
      </c>
      <c r="O707" s="41">
        <v>0</v>
      </c>
      <c r="P707" s="42">
        <v>29847.439600000002</v>
      </c>
      <c r="Q707" s="34" t="s">
        <v>25</v>
      </c>
      <c r="R707" s="34" t="s">
        <v>26</v>
      </c>
      <c r="S707" s="11" t="s">
        <v>4105</v>
      </c>
    </row>
    <row r="708" spans="1:19" x14ac:dyDescent="0.2">
      <c r="A708" s="33">
        <v>43647</v>
      </c>
      <c r="B708" s="34">
        <v>165</v>
      </c>
      <c r="C708" s="34" t="s">
        <v>224</v>
      </c>
      <c r="D708" s="34" t="str">
        <f>VLOOKUP(C708,'SALE PARTY MASTER'!$B$4:$E$500,2,FALSE)</f>
        <v>27AAACV2420J1ZI</v>
      </c>
      <c r="E708" s="34" t="s">
        <v>22</v>
      </c>
      <c r="F708" s="34" t="s">
        <v>2098</v>
      </c>
      <c r="G708" s="44">
        <v>43675</v>
      </c>
      <c r="H708" s="34">
        <v>85119000</v>
      </c>
      <c r="I708" s="34">
        <v>28</v>
      </c>
      <c r="J708" s="38">
        <v>536</v>
      </c>
      <c r="K708" s="40">
        <v>29742.639999999999</v>
      </c>
      <c r="L708" s="41">
        <v>0</v>
      </c>
      <c r="M708" s="41">
        <v>4163.9696000000004</v>
      </c>
      <c r="N708" s="41">
        <v>4163.9696000000004</v>
      </c>
      <c r="O708" s="41">
        <v>0</v>
      </c>
      <c r="P708" s="42">
        <v>38070.579199999993</v>
      </c>
      <c r="Q708" s="34" t="s">
        <v>25</v>
      </c>
      <c r="R708" s="34" t="s">
        <v>26</v>
      </c>
      <c r="S708" s="11" t="s">
        <v>4105</v>
      </c>
    </row>
    <row r="709" spans="1:19" x14ac:dyDescent="0.2">
      <c r="A709" s="33">
        <v>43647</v>
      </c>
      <c r="B709" s="34">
        <v>166</v>
      </c>
      <c r="C709" s="34" t="s">
        <v>73</v>
      </c>
      <c r="D709" s="34" t="str">
        <f>VLOOKUP(C709,'SALE PARTY MASTER'!$B$4:$E$500,2,FALSE)</f>
        <v>27AAACH4211R1ZF</v>
      </c>
      <c r="E709" s="34" t="s">
        <v>22</v>
      </c>
      <c r="F709" s="34" t="s">
        <v>2099</v>
      </c>
      <c r="G709" s="44">
        <v>43676</v>
      </c>
      <c r="H709" s="34">
        <v>85129000</v>
      </c>
      <c r="I709" s="34">
        <v>18</v>
      </c>
      <c r="J709" s="38">
        <v>1200</v>
      </c>
      <c r="K709" s="40">
        <v>30000</v>
      </c>
      <c r="L709" s="41">
        <v>0</v>
      </c>
      <c r="M709" s="41">
        <v>2700</v>
      </c>
      <c r="N709" s="41">
        <v>2700</v>
      </c>
      <c r="O709" s="41">
        <v>0</v>
      </c>
      <c r="P709" s="42">
        <v>35400</v>
      </c>
      <c r="Q709" s="34" t="s">
        <v>25</v>
      </c>
      <c r="R709" s="34" t="s">
        <v>26</v>
      </c>
      <c r="S709" s="11" t="s">
        <v>4105</v>
      </c>
    </row>
    <row r="710" spans="1:19" x14ac:dyDescent="0.2">
      <c r="A710" s="33">
        <v>43647</v>
      </c>
      <c r="B710" s="34">
        <v>167</v>
      </c>
      <c r="C710" s="34" t="s">
        <v>28</v>
      </c>
      <c r="D710" s="34" t="str">
        <f>VLOOKUP(C710,'SALE PARTY MASTER'!$B$4:$E$500,2,FALSE)</f>
        <v>27AAECM8871A1ZF</v>
      </c>
      <c r="E710" s="34" t="s">
        <v>22</v>
      </c>
      <c r="F710" s="34" t="s">
        <v>2100</v>
      </c>
      <c r="G710" s="44">
        <v>43676</v>
      </c>
      <c r="H710" s="34">
        <v>87089900</v>
      </c>
      <c r="I710" s="34">
        <v>28</v>
      </c>
      <c r="J710" s="38">
        <v>12</v>
      </c>
      <c r="K710" s="40">
        <v>23508.6</v>
      </c>
      <c r="L710" s="41">
        <v>0</v>
      </c>
      <c r="M710" s="41">
        <v>3291.2039999999997</v>
      </c>
      <c r="N710" s="41">
        <v>3291.2039999999997</v>
      </c>
      <c r="O710" s="41">
        <v>0</v>
      </c>
      <c r="P710" s="42">
        <v>30090.997999999996</v>
      </c>
      <c r="Q710" s="34" t="s">
        <v>25</v>
      </c>
      <c r="R710" s="34" t="s">
        <v>26</v>
      </c>
      <c r="S710" s="11" t="s">
        <v>4105</v>
      </c>
    </row>
    <row r="711" spans="1:19" x14ac:dyDescent="0.2">
      <c r="A711" s="33">
        <v>43647</v>
      </c>
      <c r="B711" s="34">
        <v>168</v>
      </c>
      <c r="C711" s="34" t="s">
        <v>167</v>
      </c>
      <c r="D711" s="34" t="str">
        <f>VLOOKUP(C711,'SALE PARTY MASTER'!$B$4:$E$500,2,FALSE)</f>
        <v>27AABFP3834C1ZK</v>
      </c>
      <c r="E711" s="34" t="s">
        <v>22</v>
      </c>
      <c r="F711" s="34" t="s">
        <v>2101</v>
      </c>
      <c r="G711" s="44">
        <v>43676</v>
      </c>
      <c r="H711" s="34">
        <v>87141900</v>
      </c>
      <c r="I711" s="34">
        <v>28</v>
      </c>
      <c r="J711" s="38">
        <v>5180</v>
      </c>
      <c r="K711" s="40">
        <v>64009.4</v>
      </c>
      <c r="L711" s="41">
        <v>0</v>
      </c>
      <c r="M711" s="41">
        <v>8961.3160000000007</v>
      </c>
      <c r="N711" s="41">
        <v>8961.3160000000007</v>
      </c>
      <c r="O711" s="41">
        <v>0</v>
      </c>
      <c r="P711" s="42">
        <v>81932.042000000001</v>
      </c>
      <c r="Q711" s="34" t="s">
        <v>25</v>
      </c>
      <c r="R711" s="34" t="s">
        <v>26</v>
      </c>
      <c r="S711" s="11" t="s">
        <v>4105</v>
      </c>
    </row>
    <row r="712" spans="1:19" x14ac:dyDescent="0.2">
      <c r="A712" s="33">
        <v>43647</v>
      </c>
      <c r="B712" s="34">
        <v>169</v>
      </c>
      <c r="C712" s="34" t="s">
        <v>102</v>
      </c>
      <c r="D712" s="34" t="str">
        <f>VLOOKUP(C712,'SALE PARTY MASTER'!$B$4:$E$500,2,FALSE)</f>
        <v>23AABCE9378F1ZK</v>
      </c>
      <c r="E712" s="34" t="s">
        <v>22</v>
      </c>
      <c r="F712" s="34" t="s">
        <v>2102</v>
      </c>
      <c r="G712" s="44">
        <v>43676</v>
      </c>
      <c r="H712" s="34">
        <v>87081090</v>
      </c>
      <c r="I712" s="34">
        <v>28</v>
      </c>
      <c r="J712" s="38">
        <v>20</v>
      </c>
      <c r="K712" s="40">
        <v>18776.400000000001</v>
      </c>
      <c r="L712" s="41">
        <v>5257.3919999999998</v>
      </c>
      <c r="M712" s="41">
        <v>0</v>
      </c>
      <c r="N712" s="41">
        <v>0</v>
      </c>
      <c r="O712" s="41">
        <v>0</v>
      </c>
      <c r="P712" s="42">
        <v>24033.792000000001</v>
      </c>
      <c r="Q712" s="34" t="s">
        <v>25</v>
      </c>
      <c r="R712" s="34" t="s">
        <v>106</v>
      </c>
      <c r="S712" s="11" t="s">
        <v>4105</v>
      </c>
    </row>
    <row r="713" spans="1:19" x14ac:dyDescent="0.2">
      <c r="A713" s="33">
        <v>43647</v>
      </c>
      <c r="B713" s="34">
        <v>170</v>
      </c>
      <c r="C713" s="34" t="s">
        <v>102</v>
      </c>
      <c r="D713" s="34" t="str">
        <f>VLOOKUP(C713,'SALE PARTY MASTER'!$B$4:$E$500,2,FALSE)</f>
        <v>23AABCE9378F1ZK</v>
      </c>
      <c r="E713" s="34" t="s">
        <v>22</v>
      </c>
      <c r="F713" s="34" t="s">
        <v>2103</v>
      </c>
      <c r="G713" s="44">
        <v>43676</v>
      </c>
      <c r="H713" s="34">
        <v>87081090</v>
      </c>
      <c r="I713" s="34">
        <v>28</v>
      </c>
      <c r="J713" s="38">
        <v>150</v>
      </c>
      <c r="K713" s="40">
        <v>48856.5</v>
      </c>
      <c r="L713" s="41">
        <v>13679.82</v>
      </c>
      <c r="M713" s="41">
        <v>0</v>
      </c>
      <c r="N713" s="41">
        <v>0</v>
      </c>
      <c r="O713" s="41">
        <v>0</v>
      </c>
      <c r="P713" s="42">
        <v>62536.32</v>
      </c>
      <c r="Q713" s="34" t="s">
        <v>25</v>
      </c>
      <c r="R713" s="34" t="s">
        <v>106</v>
      </c>
      <c r="S713" s="11" t="s">
        <v>4105</v>
      </c>
    </row>
    <row r="714" spans="1:19" x14ac:dyDescent="0.2">
      <c r="A714" s="33">
        <v>43647</v>
      </c>
      <c r="B714" s="34">
        <v>171</v>
      </c>
      <c r="C714" s="34" t="s">
        <v>102</v>
      </c>
      <c r="D714" s="34" t="str">
        <f>VLOOKUP(C714,'SALE PARTY MASTER'!$B$4:$E$500,2,FALSE)</f>
        <v>23AABCE9378F1ZK</v>
      </c>
      <c r="E714" s="34" t="s">
        <v>22</v>
      </c>
      <c r="F714" s="34" t="s">
        <v>2104</v>
      </c>
      <c r="G714" s="44">
        <v>43676</v>
      </c>
      <c r="H714" s="34">
        <v>87081090</v>
      </c>
      <c r="I714" s="34">
        <v>28</v>
      </c>
      <c r="J714" s="38">
        <v>5</v>
      </c>
      <c r="K714" s="40">
        <v>6475.5</v>
      </c>
      <c r="L714" s="41">
        <v>1813.1399999999999</v>
      </c>
      <c r="M714" s="41">
        <v>0</v>
      </c>
      <c r="N714" s="41">
        <v>0</v>
      </c>
      <c r="O714" s="41">
        <v>0</v>
      </c>
      <c r="P714" s="42">
        <v>8288.64</v>
      </c>
      <c r="Q714" s="34" t="s">
        <v>25</v>
      </c>
      <c r="R714" s="34" t="s">
        <v>106</v>
      </c>
      <c r="S714" s="11" t="s">
        <v>4105</v>
      </c>
    </row>
    <row r="715" spans="1:19" x14ac:dyDescent="0.2">
      <c r="A715" s="33">
        <v>43647</v>
      </c>
      <c r="B715" s="34">
        <v>172</v>
      </c>
      <c r="C715" s="34" t="s">
        <v>102</v>
      </c>
      <c r="D715" s="34" t="str">
        <f>VLOOKUP(C715,'SALE PARTY MASTER'!$B$4:$E$500,2,FALSE)</f>
        <v>23AABCE9378F1ZK</v>
      </c>
      <c r="E715" s="34" t="s">
        <v>22</v>
      </c>
      <c r="F715" s="34" t="s">
        <v>2105</v>
      </c>
      <c r="G715" s="44">
        <v>43676</v>
      </c>
      <c r="H715" s="34">
        <v>87081090</v>
      </c>
      <c r="I715" s="34">
        <v>28</v>
      </c>
      <c r="J715" s="38">
        <v>2</v>
      </c>
      <c r="K715" s="40">
        <v>657.6</v>
      </c>
      <c r="L715" s="41">
        <v>184.12800000000001</v>
      </c>
      <c r="M715" s="41">
        <v>0</v>
      </c>
      <c r="N715" s="41">
        <v>0</v>
      </c>
      <c r="O715" s="41">
        <v>0</v>
      </c>
      <c r="P715" s="42">
        <v>841.72800000000007</v>
      </c>
      <c r="Q715" s="34" t="s">
        <v>25</v>
      </c>
      <c r="R715" s="34" t="s">
        <v>106</v>
      </c>
      <c r="S715" s="11" t="s">
        <v>4105</v>
      </c>
    </row>
    <row r="716" spans="1:19" x14ac:dyDescent="0.2">
      <c r="A716" s="33">
        <v>43647</v>
      </c>
      <c r="B716" s="34">
        <v>173</v>
      </c>
      <c r="C716" s="34" t="s">
        <v>167</v>
      </c>
      <c r="D716" s="34" t="str">
        <f>VLOOKUP(C716,'SALE PARTY MASTER'!$B$4:$E$500,2,FALSE)</f>
        <v>27AABFP3834C1ZK</v>
      </c>
      <c r="E716" s="34" t="s">
        <v>22</v>
      </c>
      <c r="F716" s="34" t="s">
        <v>2106</v>
      </c>
      <c r="G716" s="44">
        <v>43676</v>
      </c>
      <c r="H716" s="34">
        <v>87141900</v>
      </c>
      <c r="I716" s="34">
        <v>28</v>
      </c>
      <c r="J716" s="38">
        <v>5410</v>
      </c>
      <c r="K716" s="40">
        <v>65786.899999999994</v>
      </c>
      <c r="L716" s="41">
        <v>0</v>
      </c>
      <c r="M716" s="41">
        <v>9210.1659999999993</v>
      </c>
      <c r="N716" s="41">
        <v>9210.1659999999993</v>
      </c>
      <c r="O716" s="41">
        <v>0</v>
      </c>
      <c r="P716" s="42">
        <v>84207.241999999984</v>
      </c>
      <c r="Q716" s="34" t="s">
        <v>25</v>
      </c>
      <c r="R716" s="34" t="s">
        <v>26</v>
      </c>
      <c r="S716" s="11" t="s">
        <v>4105</v>
      </c>
    </row>
    <row r="717" spans="1:19" x14ac:dyDescent="0.2">
      <c r="A717" s="33">
        <v>43647</v>
      </c>
      <c r="B717" s="34">
        <v>174</v>
      </c>
      <c r="C717" s="34" t="s">
        <v>45</v>
      </c>
      <c r="D717" s="34" t="str">
        <f>VLOOKUP(C717,'SALE PARTY MASTER'!$B$4:$E$500,2,FALSE)</f>
        <v>27AAACD4090Q1Z8</v>
      </c>
      <c r="E717" s="34" t="s">
        <v>22</v>
      </c>
      <c r="F717" s="34" t="s">
        <v>2107</v>
      </c>
      <c r="G717" s="44">
        <v>43677</v>
      </c>
      <c r="H717" s="34">
        <v>85129000</v>
      </c>
      <c r="I717" s="34">
        <v>18</v>
      </c>
      <c r="J717" s="38">
        <v>630</v>
      </c>
      <c r="K717" s="40">
        <v>76866.3</v>
      </c>
      <c r="L717" s="41">
        <v>0</v>
      </c>
      <c r="M717" s="41">
        <v>6917.9670000000006</v>
      </c>
      <c r="N717" s="41">
        <v>6917.9670000000006</v>
      </c>
      <c r="O717" s="41">
        <v>0</v>
      </c>
      <c r="P717" s="42">
        <v>90702.244000000006</v>
      </c>
      <c r="Q717" s="34" t="s">
        <v>25</v>
      </c>
      <c r="R717" s="34" t="s">
        <v>26</v>
      </c>
      <c r="S717" s="11" t="s">
        <v>4105</v>
      </c>
    </row>
    <row r="718" spans="1:19" x14ac:dyDescent="0.2">
      <c r="A718" s="33">
        <v>43647</v>
      </c>
      <c r="B718" s="34">
        <v>175</v>
      </c>
      <c r="C718" s="34" t="s">
        <v>45</v>
      </c>
      <c r="D718" s="34" t="str">
        <f>VLOOKUP(C718,'SALE PARTY MASTER'!$B$4:$E$500,2,FALSE)</f>
        <v>27AAACD4090Q1Z8</v>
      </c>
      <c r="E718" s="34" t="s">
        <v>22</v>
      </c>
      <c r="F718" s="34" t="s">
        <v>2108</v>
      </c>
      <c r="G718" s="44">
        <v>43677</v>
      </c>
      <c r="H718" s="34">
        <v>85129000</v>
      </c>
      <c r="I718" s="34">
        <v>18</v>
      </c>
      <c r="J718" s="38">
        <v>301</v>
      </c>
      <c r="K718" s="40">
        <v>19432.560000000001</v>
      </c>
      <c r="L718" s="41">
        <v>0</v>
      </c>
      <c r="M718" s="41">
        <v>1748.9304000000002</v>
      </c>
      <c r="N718" s="41">
        <v>1748.9304000000002</v>
      </c>
      <c r="O718" s="41">
        <v>0</v>
      </c>
      <c r="P718" s="42">
        <v>22930.420800000004</v>
      </c>
      <c r="Q718" s="34" t="s">
        <v>25</v>
      </c>
      <c r="R718" s="34" t="s">
        <v>26</v>
      </c>
      <c r="S718" s="11" t="s">
        <v>4105</v>
      </c>
    </row>
    <row r="719" spans="1:19" x14ac:dyDescent="0.2">
      <c r="A719" s="33">
        <v>43647</v>
      </c>
      <c r="B719" s="34">
        <v>176</v>
      </c>
      <c r="C719" s="34" t="s">
        <v>167</v>
      </c>
      <c r="D719" s="34" t="str">
        <f>VLOOKUP(C719,'SALE PARTY MASTER'!$B$4:$E$500,2,FALSE)</f>
        <v>27AABFP3834C1ZK</v>
      </c>
      <c r="E719" s="34" t="s">
        <v>22</v>
      </c>
      <c r="F719" s="34" t="s">
        <v>2109</v>
      </c>
      <c r="G719" s="44">
        <v>43677</v>
      </c>
      <c r="H719" s="34">
        <v>87141900</v>
      </c>
      <c r="I719" s="34">
        <v>28</v>
      </c>
      <c r="J719" s="38">
        <v>3950</v>
      </c>
      <c r="K719" s="40">
        <v>50187.5</v>
      </c>
      <c r="L719" s="41">
        <v>0</v>
      </c>
      <c r="M719" s="41">
        <v>7026.25</v>
      </c>
      <c r="N719" s="41">
        <v>7026.25</v>
      </c>
      <c r="O719" s="41">
        <v>0</v>
      </c>
      <c r="P719" s="42">
        <v>64240</v>
      </c>
      <c r="Q719" s="34" t="s">
        <v>25</v>
      </c>
      <c r="R719" s="34" t="s">
        <v>26</v>
      </c>
      <c r="S719" s="11" t="s">
        <v>4105</v>
      </c>
    </row>
    <row r="720" spans="1:19" x14ac:dyDescent="0.2">
      <c r="A720" s="33">
        <v>43647</v>
      </c>
      <c r="B720" s="34">
        <v>177</v>
      </c>
      <c r="C720" s="34" t="s">
        <v>124</v>
      </c>
      <c r="D720" s="34" t="str">
        <f>VLOOKUP(C720,'SALE PARTY MASTER'!$B$4:$E$500,2,FALSE)</f>
        <v>27AAACB2484Q1Z8</v>
      </c>
      <c r="E720" s="34" t="s">
        <v>22</v>
      </c>
      <c r="F720" s="34" t="s">
        <v>2110</v>
      </c>
      <c r="G720" s="44">
        <v>43677</v>
      </c>
      <c r="H720" s="34">
        <v>998898</v>
      </c>
      <c r="I720" s="34">
        <v>18</v>
      </c>
      <c r="J720" s="38">
        <v>1095</v>
      </c>
      <c r="K720" s="40">
        <v>94710</v>
      </c>
      <c r="L720" s="41">
        <v>0</v>
      </c>
      <c r="M720" s="41">
        <v>8523.9</v>
      </c>
      <c r="N720" s="41">
        <v>8523.9</v>
      </c>
      <c r="O720" s="41">
        <v>0</v>
      </c>
      <c r="P720" s="42">
        <v>111757.79999999999</v>
      </c>
      <c r="Q720" s="34" t="s">
        <v>25</v>
      </c>
      <c r="R720" s="34" t="s">
        <v>26</v>
      </c>
      <c r="S720" s="11" t="s">
        <v>4105</v>
      </c>
    </row>
    <row r="721" spans="1:19" x14ac:dyDescent="0.2">
      <c r="A721" s="33">
        <v>43647</v>
      </c>
      <c r="B721" s="34">
        <v>178</v>
      </c>
      <c r="C721" s="34" t="s">
        <v>167</v>
      </c>
      <c r="D721" s="34" t="str">
        <f>VLOOKUP(C721,'SALE PARTY MASTER'!$B$4:$E$500,2,FALSE)</f>
        <v>27AABFP3834C1ZK</v>
      </c>
      <c r="E721" s="34" t="s">
        <v>22</v>
      </c>
      <c r="F721" s="34" t="s">
        <v>2111</v>
      </c>
      <c r="G721" s="44">
        <v>43677</v>
      </c>
      <c r="H721" s="34">
        <v>87141900</v>
      </c>
      <c r="I721" s="34">
        <v>28</v>
      </c>
      <c r="J721" s="38">
        <v>2500</v>
      </c>
      <c r="K721" s="40">
        <v>24525</v>
      </c>
      <c r="L721" s="41">
        <v>0</v>
      </c>
      <c r="M721" s="41">
        <v>3433.5</v>
      </c>
      <c r="N721" s="41">
        <v>3433.5</v>
      </c>
      <c r="O721" s="41">
        <v>0</v>
      </c>
      <c r="P721" s="42">
        <v>31392</v>
      </c>
      <c r="Q721" s="34" t="s">
        <v>25</v>
      </c>
      <c r="R721" s="34" t="s">
        <v>26</v>
      </c>
      <c r="S721" s="11" t="s">
        <v>4105</v>
      </c>
    </row>
    <row r="722" spans="1:19" x14ac:dyDescent="0.2">
      <c r="A722" s="33">
        <v>43647</v>
      </c>
      <c r="B722" s="34"/>
      <c r="C722" s="34" t="s">
        <v>20</v>
      </c>
      <c r="D722" s="34" t="str">
        <f>VLOOKUP(C722,'SALE PARTY MASTER'!$B$4:$E$500,2,FALSE)</f>
        <v>27AABCM2508F1ZU</v>
      </c>
      <c r="E722" s="34" t="s">
        <v>366</v>
      </c>
      <c r="F722" s="34">
        <v>13130</v>
      </c>
      <c r="G722" s="44">
        <v>43676</v>
      </c>
      <c r="H722" s="34">
        <v>87081090</v>
      </c>
      <c r="I722" s="34">
        <v>28</v>
      </c>
      <c r="J722" s="34"/>
      <c r="K722" s="40">
        <v>25079</v>
      </c>
      <c r="L722" s="41">
        <v>0</v>
      </c>
      <c r="M722" s="41">
        <v>3511.06</v>
      </c>
      <c r="N722" s="41">
        <v>3511.06</v>
      </c>
      <c r="O722" s="41">
        <v>0</v>
      </c>
      <c r="P722" s="42">
        <v>31392</v>
      </c>
      <c r="Q722" s="34" t="s">
        <v>391</v>
      </c>
      <c r="R722" s="34" t="s">
        <v>26</v>
      </c>
      <c r="S722" s="11" t="s">
        <v>4105</v>
      </c>
    </row>
    <row r="723" spans="1:19" x14ac:dyDescent="0.2">
      <c r="A723" s="33">
        <v>43647</v>
      </c>
      <c r="B723" s="34"/>
      <c r="C723" s="34" t="s">
        <v>20</v>
      </c>
      <c r="D723" s="34" t="str">
        <f>VLOOKUP(C723,'SALE PARTY MASTER'!$B$4:$E$500,2,FALSE)</f>
        <v>27AABCM2508F1ZU</v>
      </c>
      <c r="E723" s="34" t="s">
        <v>220</v>
      </c>
      <c r="F723" s="34">
        <v>1</v>
      </c>
      <c r="G723" s="44">
        <v>43616</v>
      </c>
      <c r="H723" s="34">
        <v>87081090</v>
      </c>
      <c r="I723" s="34">
        <v>28</v>
      </c>
      <c r="J723" s="34"/>
      <c r="K723" s="40">
        <v>-100366</v>
      </c>
      <c r="L723" s="41">
        <v>0</v>
      </c>
      <c r="M723" s="41">
        <v>-14051.24</v>
      </c>
      <c r="N723" s="41">
        <v>-14051.24</v>
      </c>
      <c r="O723" s="41">
        <v>0</v>
      </c>
      <c r="P723" s="42">
        <v>-128468.48</v>
      </c>
      <c r="Q723" s="34" t="s">
        <v>334</v>
      </c>
      <c r="R723" s="34" t="s">
        <v>26</v>
      </c>
      <c r="S723" s="11" t="s">
        <v>4105</v>
      </c>
    </row>
    <row r="724" spans="1:19" x14ac:dyDescent="0.2">
      <c r="A724" s="33">
        <v>43647</v>
      </c>
      <c r="B724" s="34"/>
      <c r="C724" s="34" t="s">
        <v>155</v>
      </c>
      <c r="D724" s="34" t="str">
        <f>VLOOKUP(C724,'SALE PARTY MASTER'!$B$4:$E$500,2,FALSE)</f>
        <v>27AAGCP0139E1ZP</v>
      </c>
      <c r="E724" s="34" t="s">
        <v>220</v>
      </c>
      <c r="F724" s="34" t="s">
        <v>2112</v>
      </c>
      <c r="G724" s="44">
        <v>43646</v>
      </c>
      <c r="H724" s="34">
        <v>87141090</v>
      </c>
      <c r="I724" s="34">
        <v>28</v>
      </c>
      <c r="J724" s="34"/>
      <c r="K724" s="40">
        <v>-904.44</v>
      </c>
      <c r="L724" s="41">
        <v>0</v>
      </c>
      <c r="M724" s="41">
        <v>-126.62160000000002</v>
      </c>
      <c r="N724" s="41">
        <v>-126.62160000000002</v>
      </c>
      <c r="O724" s="41">
        <v>0</v>
      </c>
      <c r="P724" s="42">
        <v>-1157.6832000000002</v>
      </c>
      <c r="Q724" s="34" t="s">
        <v>334</v>
      </c>
      <c r="R724" s="34" t="s">
        <v>26</v>
      </c>
      <c r="S724" s="11" t="s">
        <v>4105</v>
      </c>
    </row>
    <row r="725" spans="1:19" x14ac:dyDescent="0.2">
      <c r="A725" s="33">
        <v>43647</v>
      </c>
      <c r="B725" s="34"/>
      <c r="C725" s="34" t="s">
        <v>155</v>
      </c>
      <c r="D725" s="34" t="str">
        <f>VLOOKUP(C725,'SALE PARTY MASTER'!$B$4:$E$500,2,FALSE)</f>
        <v>27AAGCP0139E1ZP</v>
      </c>
      <c r="E725" s="34" t="s">
        <v>220</v>
      </c>
      <c r="F725" s="34" t="s">
        <v>1928</v>
      </c>
      <c r="G725" s="44">
        <v>43646</v>
      </c>
      <c r="H725" s="34">
        <v>87141090</v>
      </c>
      <c r="I725" s="34">
        <v>28</v>
      </c>
      <c r="J725" s="34"/>
      <c r="K725" s="40">
        <v>-904.44</v>
      </c>
      <c r="L725" s="41">
        <v>0</v>
      </c>
      <c r="M725" s="41">
        <v>-126.62160000000002</v>
      </c>
      <c r="N725" s="41">
        <v>-126.62160000000002</v>
      </c>
      <c r="O725" s="41">
        <v>0</v>
      </c>
      <c r="P725" s="42">
        <v>-1157.6832000000002</v>
      </c>
      <c r="Q725" s="34" t="s">
        <v>334</v>
      </c>
      <c r="R725" s="34" t="s">
        <v>26</v>
      </c>
      <c r="S725" s="11" t="s">
        <v>4105</v>
      </c>
    </row>
    <row r="726" spans="1:19" x14ac:dyDescent="0.2">
      <c r="A726" s="33">
        <v>43647</v>
      </c>
      <c r="B726" s="34"/>
      <c r="C726" s="34" t="s">
        <v>102</v>
      </c>
      <c r="D726" s="34" t="str">
        <f>VLOOKUP(C726,'SALE PARTY MASTER'!$B$4:$E$500,2,FALSE)</f>
        <v>23AABCE9378F1ZK</v>
      </c>
      <c r="E726" s="34" t="s">
        <v>220</v>
      </c>
      <c r="F726" s="34" t="s">
        <v>2113</v>
      </c>
      <c r="G726" s="44">
        <v>43656</v>
      </c>
      <c r="H726" s="34">
        <v>87081090</v>
      </c>
      <c r="I726" s="34">
        <v>28</v>
      </c>
      <c r="J726" s="34"/>
      <c r="K726" s="40">
        <v>-2021.5</v>
      </c>
      <c r="L726" s="41">
        <v>-566.02</v>
      </c>
      <c r="M726" s="41">
        <v>0</v>
      </c>
      <c r="N726" s="41">
        <v>0</v>
      </c>
      <c r="O726" s="41">
        <v>0</v>
      </c>
      <c r="P726" s="42">
        <v>-2587.52</v>
      </c>
      <c r="Q726" s="34" t="s">
        <v>334</v>
      </c>
      <c r="R726" s="34" t="s">
        <v>106</v>
      </c>
      <c r="S726" s="11" t="s">
        <v>4105</v>
      </c>
    </row>
    <row r="727" spans="1:19" x14ac:dyDescent="0.2">
      <c r="A727" s="33">
        <v>43647</v>
      </c>
      <c r="B727" s="34"/>
      <c r="C727" s="34" t="s">
        <v>102</v>
      </c>
      <c r="D727" s="34" t="str">
        <f>VLOOKUP(C727,'SALE PARTY MASTER'!$B$4:$E$500,2,FALSE)</f>
        <v>23AABCE9378F1ZK</v>
      </c>
      <c r="E727" s="34" t="s">
        <v>220</v>
      </c>
      <c r="F727" s="34" t="s">
        <v>2114</v>
      </c>
      <c r="G727" s="44">
        <v>43675</v>
      </c>
      <c r="H727" s="34">
        <v>87081090</v>
      </c>
      <c r="I727" s="34">
        <v>28</v>
      </c>
      <c r="J727" s="34"/>
      <c r="K727" s="40">
        <v>-2021.5</v>
      </c>
      <c r="L727" s="41">
        <v>-566.02</v>
      </c>
      <c r="M727" s="41">
        <v>0</v>
      </c>
      <c r="N727" s="41">
        <v>0</v>
      </c>
      <c r="O727" s="41">
        <v>0</v>
      </c>
      <c r="P727" s="42">
        <v>-2587.52</v>
      </c>
      <c r="Q727" s="34" t="s">
        <v>334</v>
      </c>
      <c r="R727" s="34" t="s">
        <v>106</v>
      </c>
      <c r="S727" s="11" t="s">
        <v>4105</v>
      </c>
    </row>
    <row r="728" spans="1:19" x14ac:dyDescent="0.2">
      <c r="A728" s="33">
        <v>43647</v>
      </c>
      <c r="B728" s="34"/>
      <c r="C728" s="34" t="s">
        <v>102</v>
      </c>
      <c r="D728" s="34" t="str">
        <f>VLOOKUP(C728,'SALE PARTY MASTER'!$B$4:$E$500,2,FALSE)</f>
        <v>23AABCE9378F1ZK</v>
      </c>
      <c r="E728" s="34" t="s">
        <v>220</v>
      </c>
      <c r="F728" s="34" t="s">
        <v>2115</v>
      </c>
      <c r="G728" s="44">
        <v>43676</v>
      </c>
      <c r="H728" s="34">
        <v>87081090</v>
      </c>
      <c r="I728" s="34">
        <v>28</v>
      </c>
      <c r="J728" s="34"/>
      <c r="K728" s="40">
        <v>-2021.5</v>
      </c>
      <c r="L728" s="41">
        <v>-566.02</v>
      </c>
      <c r="M728" s="41">
        <v>0</v>
      </c>
      <c r="N728" s="41">
        <v>0</v>
      </c>
      <c r="O728" s="41">
        <v>0</v>
      </c>
      <c r="P728" s="42">
        <v>-2587.52</v>
      </c>
      <c r="Q728" s="34" t="s">
        <v>334</v>
      </c>
      <c r="R728" s="34" t="s">
        <v>106</v>
      </c>
      <c r="S728" s="11" t="s">
        <v>4105</v>
      </c>
    </row>
    <row r="729" spans="1:19" x14ac:dyDescent="0.2">
      <c r="A729" s="33">
        <v>43647</v>
      </c>
      <c r="B729" s="34"/>
      <c r="C729" s="34" t="s">
        <v>155</v>
      </c>
      <c r="D729" s="34" t="str">
        <f>VLOOKUP(C729,'SALE PARTY MASTER'!$B$4:$E$500,2,FALSE)</f>
        <v>27AAGCP0139E1ZP</v>
      </c>
      <c r="E729" s="34" t="s">
        <v>220</v>
      </c>
      <c r="F729" s="34" t="s">
        <v>2116</v>
      </c>
      <c r="G729" s="44">
        <v>43664</v>
      </c>
      <c r="H729" s="34">
        <v>87141090</v>
      </c>
      <c r="I729" s="34">
        <v>28</v>
      </c>
      <c r="J729" s="34"/>
      <c r="K729" s="40">
        <v>-678.33</v>
      </c>
      <c r="L729" s="41">
        <v>0</v>
      </c>
      <c r="M729" s="41">
        <v>-94.966200000000015</v>
      </c>
      <c r="N729" s="41">
        <v>-94.966200000000015</v>
      </c>
      <c r="O729" s="41">
        <v>0</v>
      </c>
      <c r="P729" s="42">
        <v>-868.26240000000007</v>
      </c>
      <c r="Q729" s="34" t="s">
        <v>334</v>
      </c>
      <c r="R729" s="34" t="s">
        <v>26</v>
      </c>
      <c r="S729" s="11" t="s">
        <v>4105</v>
      </c>
    </row>
    <row r="730" spans="1:19" x14ac:dyDescent="0.2">
      <c r="A730" s="33"/>
      <c r="B730" s="34"/>
      <c r="C730" s="34"/>
      <c r="D730" s="34" t="e">
        <f>VLOOKUP(C730,'SALE PARTY MASTER'!$B$4:$E$500,2,FALSE)</f>
        <v>#N/A</v>
      </c>
      <c r="E730" s="34"/>
      <c r="F730" s="34"/>
      <c r="G730" s="44"/>
      <c r="H730" s="34"/>
      <c r="I730" s="34"/>
      <c r="J730" s="34"/>
      <c r="K730" s="39"/>
      <c r="L730" s="39"/>
      <c r="M730" s="39"/>
      <c r="N730" s="39"/>
      <c r="O730" s="39"/>
      <c r="P730" s="39"/>
      <c r="Q730" s="34" t="s">
        <v>25</v>
      </c>
      <c r="R730" s="34"/>
      <c r="S730" s="11" t="s">
        <v>4105</v>
      </c>
    </row>
    <row r="731" spans="1:19" x14ac:dyDescent="0.2">
      <c r="A731" s="33">
        <v>43678</v>
      </c>
      <c r="B731" s="34">
        <v>1</v>
      </c>
      <c r="C731" s="34" t="s">
        <v>40</v>
      </c>
      <c r="D731" s="34" t="str">
        <f>VLOOKUP(C731,'SALE PARTY MASTER'!$B$4:$E$500,2,FALSE)</f>
        <v>27AAACT1848E1ZH</v>
      </c>
      <c r="E731" s="34" t="s">
        <v>22</v>
      </c>
      <c r="F731" s="34" t="s">
        <v>2117</v>
      </c>
      <c r="G731" s="44">
        <v>43678</v>
      </c>
      <c r="H731" s="34">
        <v>87089900</v>
      </c>
      <c r="I731" s="34">
        <v>28</v>
      </c>
      <c r="J731" s="38">
        <v>71</v>
      </c>
      <c r="K731" s="40">
        <v>34020.720000000001</v>
      </c>
      <c r="L731" s="41">
        <v>0</v>
      </c>
      <c r="M731" s="41">
        <v>4762.9008000000003</v>
      </c>
      <c r="N731" s="41">
        <v>4762.9008000000003</v>
      </c>
      <c r="O731" s="41">
        <v>0</v>
      </c>
      <c r="P731" s="42">
        <v>43546.5216</v>
      </c>
      <c r="Q731" s="34" t="s">
        <v>25</v>
      </c>
      <c r="R731" s="34" t="s">
        <v>26</v>
      </c>
      <c r="S731" s="11" t="s">
        <v>4105</v>
      </c>
    </row>
    <row r="732" spans="1:19" x14ac:dyDescent="0.2">
      <c r="A732" s="33">
        <v>43678</v>
      </c>
      <c r="B732" s="34">
        <v>2</v>
      </c>
      <c r="C732" s="34" t="s">
        <v>28</v>
      </c>
      <c r="D732" s="34" t="str">
        <f>VLOOKUP(C732,'SALE PARTY MASTER'!$B$4:$E$500,2,FALSE)</f>
        <v>27AAECM8871A1ZF</v>
      </c>
      <c r="E732" s="34" t="s">
        <v>22</v>
      </c>
      <c r="F732" s="34" t="s">
        <v>2118</v>
      </c>
      <c r="G732" s="44">
        <v>43678</v>
      </c>
      <c r="H732" s="34">
        <v>87089900</v>
      </c>
      <c r="I732" s="34">
        <v>28</v>
      </c>
      <c r="J732" s="38">
        <v>12</v>
      </c>
      <c r="K732" s="40">
        <v>23255.759999999998</v>
      </c>
      <c r="L732" s="41">
        <v>0</v>
      </c>
      <c r="M732" s="41">
        <v>3255.8063999999995</v>
      </c>
      <c r="N732" s="41">
        <v>3255.8063999999995</v>
      </c>
      <c r="O732" s="41">
        <v>0</v>
      </c>
      <c r="P732" s="42">
        <v>29767.372799999997</v>
      </c>
      <c r="Q732" s="34" t="s">
        <v>25</v>
      </c>
      <c r="R732" s="34" t="s">
        <v>26</v>
      </c>
      <c r="S732" s="11" t="s">
        <v>4105</v>
      </c>
    </row>
    <row r="733" spans="1:19" x14ac:dyDescent="0.2">
      <c r="A733" s="33">
        <v>43678</v>
      </c>
      <c r="B733" s="34">
        <v>3</v>
      </c>
      <c r="C733" s="34" t="s">
        <v>28</v>
      </c>
      <c r="D733" s="34" t="str">
        <f>VLOOKUP(C733,'SALE PARTY MASTER'!$B$4:$E$500,2,FALSE)</f>
        <v>27AAECM8871A1ZF</v>
      </c>
      <c r="E733" s="34" t="s">
        <v>22</v>
      </c>
      <c r="F733" s="34" t="s">
        <v>2119</v>
      </c>
      <c r="G733" s="44">
        <v>43678</v>
      </c>
      <c r="H733" s="34">
        <v>87089900</v>
      </c>
      <c r="I733" s="34">
        <v>28</v>
      </c>
      <c r="J733" s="38">
        <v>12</v>
      </c>
      <c r="K733" s="40">
        <v>23255.759999999998</v>
      </c>
      <c r="L733" s="41">
        <v>0</v>
      </c>
      <c r="M733" s="41">
        <v>3255.8063999999995</v>
      </c>
      <c r="N733" s="41">
        <v>3255.8063999999995</v>
      </c>
      <c r="O733" s="41">
        <v>0</v>
      </c>
      <c r="P733" s="42">
        <v>29767.372799999997</v>
      </c>
      <c r="Q733" s="34" t="s">
        <v>25</v>
      </c>
      <c r="R733" s="34" t="s">
        <v>26</v>
      </c>
      <c r="S733" s="11" t="s">
        <v>4105</v>
      </c>
    </row>
    <row r="734" spans="1:19" x14ac:dyDescent="0.2">
      <c r="A734" s="33">
        <v>43678</v>
      </c>
      <c r="B734" s="34">
        <v>4</v>
      </c>
      <c r="C734" s="34" t="s">
        <v>73</v>
      </c>
      <c r="D734" s="34" t="str">
        <f>VLOOKUP(C734,'SALE PARTY MASTER'!$B$4:$E$500,2,FALSE)</f>
        <v>27AAACH4211R1ZF</v>
      </c>
      <c r="E734" s="34" t="s">
        <v>22</v>
      </c>
      <c r="F734" s="34" t="s">
        <v>2120</v>
      </c>
      <c r="G734" s="44">
        <v>43678</v>
      </c>
      <c r="H734" s="34">
        <v>85129000</v>
      </c>
      <c r="I734" s="34">
        <v>18</v>
      </c>
      <c r="J734" s="38">
        <v>3360</v>
      </c>
      <c r="K734" s="40">
        <v>84000</v>
      </c>
      <c r="L734" s="41">
        <v>0</v>
      </c>
      <c r="M734" s="41">
        <v>7560</v>
      </c>
      <c r="N734" s="41">
        <v>7560</v>
      </c>
      <c r="O734" s="41">
        <v>0</v>
      </c>
      <c r="P734" s="42">
        <v>99120</v>
      </c>
      <c r="Q734" s="34" t="s">
        <v>25</v>
      </c>
      <c r="R734" s="34" t="s">
        <v>26</v>
      </c>
      <c r="S734" s="11" t="s">
        <v>4105</v>
      </c>
    </row>
    <row r="735" spans="1:19" x14ac:dyDescent="0.2">
      <c r="A735" s="33">
        <v>43678</v>
      </c>
      <c r="B735" s="34">
        <v>5</v>
      </c>
      <c r="C735" s="34" t="s">
        <v>70</v>
      </c>
      <c r="D735" s="34" t="str">
        <f>VLOOKUP(C735,'SALE PARTY MASTER'!$B$4:$E$500,2,FALSE)</f>
        <v>27AACCA4196J1ZG</v>
      </c>
      <c r="E735" s="34" t="s">
        <v>22</v>
      </c>
      <c r="F735" s="34" t="s">
        <v>2121</v>
      </c>
      <c r="G735" s="44">
        <v>43679</v>
      </c>
      <c r="H735" s="34">
        <v>998898</v>
      </c>
      <c r="I735" s="34">
        <v>18</v>
      </c>
      <c r="J735" s="38">
        <v>526</v>
      </c>
      <c r="K735" s="40">
        <v>6263</v>
      </c>
      <c r="L735" s="41">
        <v>0</v>
      </c>
      <c r="M735" s="41">
        <v>563.67000000000007</v>
      </c>
      <c r="N735" s="41">
        <v>563.67000000000007</v>
      </c>
      <c r="O735" s="41">
        <v>0</v>
      </c>
      <c r="P735" s="42">
        <v>7390.34</v>
      </c>
      <c r="Q735" s="34" t="s">
        <v>25</v>
      </c>
      <c r="R735" s="34" t="s">
        <v>26</v>
      </c>
      <c r="S735" s="11" t="s">
        <v>4105</v>
      </c>
    </row>
    <row r="736" spans="1:19" x14ac:dyDescent="0.2">
      <c r="A736" s="33">
        <v>43678</v>
      </c>
      <c r="B736" s="34">
        <v>6</v>
      </c>
      <c r="C736" s="34" t="s">
        <v>167</v>
      </c>
      <c r="D736" s="34" t="str">
        <f>VLOOKUP(C736,'SALE PARTY MASTER'!$B$4:$E$500,2,FALSE)</f>
        <v>27AABFP3834C1ZK</v>
      </c>
      <c r="E736" s="34" t="s">
        <v>22</v>
      </c>
      <c r="F736" s="34" t="s">
        <v>2122</v>
      </c>
      <c r="G736" s="44">
        <v>43679</v>
      </c>
      <c r="H736" s="34">
        <v>87141900</v>
      </c>
      <c r="I736" s="34">
        <v>28</v>
      </c>
      <c r="J736" s="38">
        <v>6000</v>
      </c>
      <c r="K736" s="40">
        <v>66840</v>
      </c>
      <c r="L736" s="41">
        <v>0</v>
      </c>
      <c r="M736" s="41">
        <v>9357.6</v>
      </c>
      <c r="N736" s="41">
        <v>9357.6</v>
      </c>
      <c r="O736" s="41">
        <v>0</v>
      </c>
      <c r="P736" s="42">
        <v>85555.199999999997</v>
      </c>
      <c r="Q736" s="34" t="s">
        <v>25</v>
      </c>
      <c r="R736" s="34" t="s">
        <v>26</v>
      </c>
      <c r="S736" s="11" t="s">
        <v>4105</v>
      </c>
    </row>
    <row r="737" spans="1:19" x14ac:dyDescent="0.2">
      <c r="A737" s="33">
        <v>43678</v>
      </c>
      <c r="B737" s="34">
        <v>7</v>
      </c>
      <c r="C737" s="34" t="s">
        <v>28</v>
      </c>
      <c r="D737" s="34" t="str">
        <f>VLOOKUP(C737,'SALE PARTY MASTER'!$B$4:$E$500,2,FALSE)</f>
        <v>27AAECM8871A1ZF</v>
      </c>
      <c r="E737" s="34" t="s">
        <v>22</v>
      </c>
      <c r="F737" s="34" t="s">
        <v>2123</v>
      </c>
      <c r="G737" s="44">
        <v>43679</v>
      </c>
      <c r="H737" s="34">
        <v>87089900</v>
      </c>
      <c r="I737" s="34">
        <v>28</v>
      </c>
      <c r="J737" s="38">
        <v>7</v>
      </c>
      <c r="K737" s="40">
        <v>13565.86</v>
      </c>
      <c r="L737" s="41">
        <v>0</v>
      </c>
      <c r="M737" s="41">
        <v>1899.2204000000002</v>
      </c>
      <c r="N737" s="41">
        <v>1899.2204000000002</v>
      </c>
      <c r="O737" s="41">
        <v>0</v>
      </c>
      <c r="P737" s="42">
        <v>17364.300800000001</v>
      </c>
      <c r="Q737" s="34" t="s">
        <v>25</v>
      </c>
      <c r="R737" s="34" t="s">
        <v>26</v>
      </c>
      <c r="S737" s="11" t="s">
        <v>4105</v>
      </c>
    </row>
    <row r="738" spans="1:19" x14ac:dyDescent="0.2">
      <c r="A738" s="33">
        <v>43678</v>
      </c>
      <c r="B738" s="34">
        <v>8</v>
      </c>
      <c r="C738" s="34" t="s">
        <v>45</v>
      </c>
      <c r="D738" s="34" t="str">
        <f>VLOOKUP(C738,'SALE PARTY MASTER'!$B$4:$E$500,2,FALSE)</f>
        <v>27AAACD4090Q1Z8</v>
      </c>
      <c r="E738" s="34" t="s">
        <v>22</v>
      </c>
      <c r="F738" s="34" t="s">
        <v>2124</v>
      </c>
      <c r="G738" s="44">
        <v>43679</v>
      </c>
      <c r="H738" s="34">
        <v>85129000</v>
      </c>
      <c r="I738" s="34">
        <v>18</v>
      </c>
      <c r="J738" s="38">
        <v>792</v>
      </c>
      <c r="K738" s="40">
        <v>96631.92</v>
      </c>
      <c r="L738" s="41">
        <v>0</v>
      </c>
      <c r="M738" s="41">
        <v>8696.872800000001</v>
      </c>
      <c r="N738" s="41">
        <v>8696.872800000001</v>
      </c>
      <c r="O738" s="41">
        <v>0</v>
      </c>
      <c r="P738" s="42">
        <v>114025.66560000001</v>
      </c>
      <c r="Q738" s="34" t="s">
        <v>25</v>
      </c>
      <c r="R738" s="34" t="s">
        <v>26</v>
      </c>
      <c r="S738" s="11" t="s">
        <v>4105</v>
      </c>
    </row>
    <row r="739" spans="1:19" x14ac:dyDescent="0.2">
      <c r="A739" s="33">
        <v>43678</v>
      </c>
      <c r="B739" s="34">
        <v>9</v>
      </c>
      <c r="C739" s="34" t="s">
        <v>167</v>
      </c>
      <c r="D739" s="34" t="str">
        <f>VLOOKUP(C739,'SALE PARTY MASTER'!$B$4:$E$500,2,FALSE)</f>
        <v>27AABFP3834C1ZK</v>
      </c>
      <c r="E739" s="34" t="s">
        <v>22</v>
      </c>
      <c r="F739" s="34" t="s">
        <v>2125</v>
      </c>
      <c r="G739" s="44">
        <v>43680</v>
      </c>
      <c r="H739" s="34">
        <v>87141900</v>
      </c>
      <c r="I739" s="34">
        <v>28</v>
      </c>
      <c r="J739" s="38">
        <v>3980</v>
      </c>
      <c r="K739" s="40">
        <v>49683.8</v>
      </c>
      <c r="L739" s="41">
        <v>0</v>
      </c>
      <c r="M739" s="41">
        <v>6955.732</v>
      </c>
      <c r="N739" s="41">
        <v>6955.732</v>
      </c>
      <c r="O739" s="41">
        <v>0</v>
      </c>
      <c r="P739" s="42">
        <v>63595.264000000003</v>
      </c>
      <c r="Q739" s="34" t="s">
        <v>25</v>
      </c>
      <c r="R739" s="34" t="s">
        <v>26</v>
      </c>
      <c r="S739" s="11" t="s">
        <v>4105</v>
      </c>
    </row>
    <row r="740" spans="1:19" x14ac:dyDescent="0.2">
      <c r="A740" s="33">
        <v>43678</v>
      </c>
      <c r="B740" s="34">
        <v>10</v>
      </c>
      <c r="C740" s="34" t="s">
        <v>91</v>
      </c>
      <c r="D740" s="34" t="str">
        <f>VLOOKUP(C740,'SALE PARTY MASTER'!$B$4:$E$500,2,FALSE)</f>
        <v>27BBVPS2447C1ZA</v>
      </c>
      <c r="E740" s="34" t="s">
        <v>22</v>
      </c>
      <c r="F740" s="34" t="s">
        <v>2126</v>
      </c>
      <c r="G740" s="44">
        <v>43680</v>
      </c>
      <c r="H740" s="34">
        <v>998898</v>
      </c>
      <c r="I740" s="34">
        <v>18</v>
      </c>
      <c r="J740" s="38">
        <v>650</v>
      </c>
      <c r="K740" s="40">
        <v>9750</v>
      </c>
      <c r="L740" s="41">
        <v>0</v>
      </c>
      <c r="M740" s="41">
        <v>877.5</v>
      </c>
      <c r="N740" s="41">
        <v>877.5</v>
      </c>
      <c r="O740" s="41">
        <v>0</v>
      </c>
      <c r="P740" s="42">
        <v>11505</v>
      </c>
      <c r="Q740" s="34" t="s">
        <v>25</v>
      </c>
      <c r="R740" s="34" t="s">
        <v>26</v>
      </c>
      <c r="S740" s="11" t="s">
        <v>4105</v>
      </c>
    </row>
    <row r="741" spans="1:19" x14ac:dyDescent="0.2">
      <c r="A741" s="33">
        <v>43678</v>
      </c>
      <c r="B741" s="34">
        <v>11</v>
      </c>
      <c r="C741" s="34" t="s">
        <v>167</v>
      </c>
      <c r="D741" s="34" t="str">
        <f>VLOOKUP(C741,'SALE PARTY MASTER'!$B$4:$E$500,2,FALSE)</f>
        <v>27AABFP3834C1ZK</v>
      </c>
      <c r="E741" s="34" t="s">
        <v>22</v>
      </c>
      <c r="F741" s="34" t="s">
        <v>2127</v>
      </c>
      <c r="G741" s="44">
        <v>43680</v>
      </c>
      <c r="H741" s="34">
        <v>87141900</v>
      </c>
      <c r="I741" s="34">
        <v>28</v>
      </c>
      <c r="J741" s="38">
        <v>3000</v>
      </c>
      <c r="K741" s="40">
        <v>45390</v>
      </c>
      <c r="L741" s="41">
        <v>0</v>
      </c>
      <c r="M741" s="41">
        <v>6354.5999999999995</v>
      </c>
      <c r="N741" s="41">
        <v>6354.5999999999995</v>
      </c>
      <c r="O741" s="41">
        <v>0</v>
      </c>
      <c r="P741" s="42">
        <v>58099.199999999997</v>
      </c>
      <c r="Q741" s="34" t="s">
        <v>25</v>
      </c>
      <c r="R741" s="34" t="s">
        <v>26</v>
      </c>
      <c r="S741" s="11" t="s">
        <v>4105</v>
      </c>
    </row>
    <row r="742" spans="1:19" x14ac:dyDescent="0.2">
      <c r="A742" s="33">
        <v>43678</v>
      </c>
      <c r="B742" s="34">
        <v>12</v>
      </c>
      <c r="C742" s="34" t="s">
        <v>155</v>
      </c>
      <c r="D742" s="34" t="str">
        <f>VLOOKUP(C742,'SALE PARTY MASTER'!$B$4:$E$500,2,FALSE)</f>
        <v>27AAGCP0139E1ZP</v>
      </c>
      <c r="E742" s="34" t="s">
        <v>22</v>
      </c>
      <c r="F742" s="34" t="s">
        <v>2128</v>
      </c>
      <c r="G742" s="44">
        <v>43680</v>
      </c>
      <c r="H742" s="34">
        <v>87141090</v>
      </c>
      <c r="I742" s="34">
        <v>28</v>
      </c>
      <c r="J742" s="38">
        <v>1200</v>
      </c>
      <c r="K742" s="40">
        <v>56436</v>
      </c>
      <c r="L742" s="41">
        <v>0</v>
      </c>
      <c r="M742" s="41">
        <v>7901.04</v>
      </c>
      <c r="N742" s="41">
        <v>7901.04</v>
      </c>
      <c r="O742" s="41">
        <v>0</v>
      </c>
      <c r="P742" s="42">
        <v>72238.080000000002</v>
      </c>
      <c r="Q742" s="34" t="s">
        <v>25</v>
      </c>
      <c r="R742" s="34" t="s">
        <v>26</v>
      </c>
      <c r="S742" s="11" t="s">
        <v>4105</v>
      </c>
    </row>
    <row r="743" spans="1:19" x14ac:dyDescent="0.2">
      <c r="A743" s="33">
        <v>43678</v>
      </c>
      <c r="B743" s="34">
        <v>13</v>
      </c>
      <c r="C743" s="34" t="s">
        <v>49</v>
      </c>
      <c r="D743" s="34" t="str">
        <f>VLOOKUP(C743,'SALE PARTY MASTER'!$B$4:$E$500,2,FALSE)</f>
        <v>27AABFJ4217F1ZP</v>
      </c>
      <c r="E743" s="34" t="s">
        <v>22</v>
      </c>
      <c r="F743" s="34" t="s">
        <v>2129</v>
      </c>
      <c r="G743" s="44">
        <v>43680</v>
      </c>
      <c r="H743" s="34">
        <v>998898</v>
      </c>
      <c r="I743" s="34">
        <v>18</v>
      </c>
      <c r="J743" s="38">
        <v>30</v>
      </c>
      <c r="K743" s="40">
        <v>8524.2000000000007</v>
      </c>
      <c r="L743" s="41">
        <v>0</v>
      </c>
      <c r="M743" s="41">
        <v>767.178</v>
      </c>
      <c r="N743" s="41">
        <v>767.178</v>
      </c>
      <c r="O743" s="41">
        <v>0</v>
      </c>
      <c r="P743" s="42">
        <v>10058.556</v>
      </c>
      <c r="Q743" s="34" t="s">
        <v>25</v>
      </c>
      <c r="R743" s="34" t="s">
        <v>26</v>
      </c>
      <c r="S743" s="11" t="s">
        <v>4105</v>
      </c>
    </row>
    <row r="744" spans="1:19" x14ac:dyDescent="0.2">
      <c r="A744" s="33">
        <v>43678</v>
      </c>
      <c r="B744" s="34">
        <v>14</v>
      </c>
      <c r="C744" s="34" t="s">
        <v>73</v>
      </c>
      <c r="D744" s="34" t="str">
        <f>VLOOKUP(C744,'SALE PARTY MASTER'!$B$4:$E$500,2,FALSE)</f>
        <v>27AAACH4211R1ZF</v>
      </c>
      <c r="E744" s="34" t="s">
        <v>22</v>
      </c>
      <c r="F744" s="34" t="s">
        <v>2130</v>
      </c>
      <c r="G744" s="44">
        <v>43680</v>
      </c>
      <c r="H744" s="34">
        <v>85129000</v>
      </c>
      <c r="I744" s="34">
        <v>18</v>
      </c>
      <c r="J744" s="38">
        <v>2400</v>
      </c>
      <c r="K744" s="40">
        <v>60000</v>
      </c>
      <c r="L744" s="41">
        <v>0</v>
      </c>
      <c r="M744" s="41">
        <v>5400</v>
      </c>
      <c r="N744" s="41">
        <v>5400</v>
      </c>
      <c r="O744" s="41">
        <v>0</v>
      </c>
      <c r="P744" s="42">
        <v>70800</v>
      </c>
      <c r="Q744" s="34" t="s">
        <v>25</v>
      </c>
      <c r="R744" s="34" t="s">
        <v>26</v>
      </c>
      <c r="S744" s="11" t="s">
        <v>4105</v>
      </c>
    </row>
    <row r="745" spans="1:19" x14ac:dyDescent="0.2">
      <c r="A745" s="33">
        <v>43678</v>
      </c>
      <c r="B745" s="34">
        <v>15</v>
      </c>
      <c r="C745" s="34" t="s">
        <v>28</v>
      </c>
      <c r="D745" s="34" t="str">
        <f>VLOOKUP(C745,'SALE PARTY MASTER'!$B$4:$E$500,2,FALSE)</f>
        <v>27AAECM8871A1ZF</v>
      </c>
      <c r="E745" s="34" t="s">
        <v>22</v>
      </c>
      <c r="F745" s="34" t="s">
        <v>2131</v>
      </c>
      <c r="G745" s="44">
        <v>43682</v>
      </c>
      <c r="H745" s="34">
        <v>87089900</v>
      </c>
      <c r="I745" s="34">
        <v>28</v>
      </c>
      <c r="J745" s="38">
        <v>12</v>
      </c>
      <c r="K745" s="40">
        <v>23382.18</v>
      </c>
      <c r="L745" s="41">
        <v>0</v>
      </c>
      <c r="M745" s="41">
        <v>3273.5052000000001</v>
      </c>
      <c r="N745" s="41">
        <v>3273.5052000000001</v>
      </c>
      <c r="O745" s="41">
        <v>0</v>
      </c>
      <c r="P745" s="42">
        <v>29929.190399999999</v>
      </c>
      <c r="Q745" s="34" t="s">
        <v>25</v>
      </c>
      <c r="R745" s="34" t="s">
        <v>26</v>
      </c>
      <c r="S745" s="11" t="s">
        <v>4105</v>
      </c>
    </row>
    <row r="746" spans="1:19" x14ac:dyDescent="0.2">
      <c r="A746" s="33">
        <v>43678</v>
      </c>
      <c r="B746" s="34">
        <v>16</v>
      </c>
      <c r="C746" s="34" t="s">
        <v>49</v>
      </c>
      <c r="D746" s="34" t="str">
        <f>VLOOKUP(C746,'SALE PARTY MASTER'!$B$4:$E$500,2,FALSE)</f>
        <v>27AABFJ4217F1ZP</v>
      </c>
      <c r="E746" s="34" t="s">
        <v>22</v>
      </c>
      <c r="F746" s="34" t="s">
        <v>2132</v>
      </c>
      <c r="G746" s="44">
        <v>43682</v>
      </c>
      <c r="H746" s="34">
        <v>998898</v>
      </c>
      <c r="I746" s="34">
        <v>18</v>
      </c>
      <c r="J746" s="38">
        <v>25</v>
      </c>
      <c r="K746" s="40">
        <v>7103.5</v>
      </c>
      <c r="L746" s="41">
        <v>0</v>
      </c>
      <c r="M746" s="41">
        <v>639.31499999999994</v>
      </c>
      <c r="N746" s="41">
        <v>639.31499999999994</v>
      </c>
      <c r="O746" s="41">
        <v>0</v>
      </c>
      <c r="P746" s="42">
        <v>8382.1299999999992</v>
      </c>
      <c r="Q746" s="34" t="s">
        <v>25</v>
      </c>
      <c r="R746" s="34" t="s">
        <v>26</v>
      </c>
      <c r="S746" s="11" t="s">
        <v>4105</v>
      </c>
    </row>
    <row r="747" spans="1:19" x14ac:dyDescent="0.2">
      <c r="A747" s="33">
        <v>43678</v>
      </c>
      <c r="B747" s="34">
        <v>17</v>
      </c>
      <c r="C747" s="34" t="s">
        <v>167</v>
      </c>
      <c r="D747" s="34" t="str">
        <f>VLOOKUP(C747,'SALE PARTY MASTER'!$B$4:$E$500,2,FALSE)</f>
        <v>27AABFP3834C1ZK</v>
      </c>
      <c r="E747" s="34" t="s">
        <v>22</v>
      </c>
      <c r="F747" s="34" t="s">
        <v>2133</v>
      </c>
      <c r="G747" s="44">
        <v>43682</v>
      </c>
      <c r="H747" s="34">
        <v>87141900</v>
      </c>
      <c r="I747" s="34">
        <v>28</v>
      </c>
      <c r="J747" s="38">
        <v>2400</v>
      </c>
      <c r="K747" s="40">
        <v>36312</v>
      </c>
      <c r="L747" s="41">
        <v>0</v>
      </c>
      <c r="M747" s="41">
        <v>5083.68</v>
      </c>
      <c r="N747" s="41">
        <v>5083.68</v>
      </c>
      <c r="O747" s="41">
        <v>0</v>
      </c>
      <c r="P747" s="42">
        <v>46479.360000000001</v>
      </c>
      <c r="Q747" s="34" t="s">
        <v>25</v>
      </c>
      <c r="R747" s="34" t="s">
        <v>26</v>
      </c>
      <c r="S747" s="11" t="s">
        <v>4105</v>
      </c>
    </row>
    <row r="748" spans="1:19" x14ac:dyDescent="0.2">
      <c r="A748" s="33">
        <v>43678</v>
      </c>
      <c r="B748" s="34">
        <v>18</v>
      </c>
      <c r="C748" s="34" t="s">
        <v>28</v>
      </c>
      <c r="D748" s="34" t="str">
        <f>VLOOKUP(C748,'SALE PARTY MASTER'!$B$4:$E$500,2,FALSE)</f>
        <v>27AAECM8871A1ZF</v>
      </c>
      <c r="E748" s="34" t="s">
        <v>22</v>
      </c>
      <c r="F748" s="34" t="s">
        <v>2134</v>
      </c>
      <c r="G748" s="44">
        <v>43682</v>
      </c>
      <c r="H748" s="34">
        <v>87089900</v>
      </c>
      <c r="I748" s="34">
        <v>28</v>
      </c>
      <c r="J748" s="38">
        <v>12</v>
      </c>
      <c r="K748" s="40">
        <v>23382.18</v>
      </c>
      <c r="L748" s="41">
        <v>0</v>
      </c>
      <c r="M748" s="41">
        <v>3273.5052000000001</v>
      </c>
      <c r="N748" s="41">
        <v>3273.5052000000001</v>
      </c>
      <c r="O748" s="41">
        <v>0</v>
      </c>
      <c r="P748" s="42">
        <v>29929.190399999999</v>
      </c>
      <c r="Q748" s="34" t="s">
        <v>25</v>
      </c>
      <c r="R748" s="34" t="s">
        <v>26</v>
      </c>
      <c r="S748" s="11" t="s">
        <v>4105</v>
      </c>
    </row>
    <row r="749" spans="1:19" x14ac:dyDescent="0.2">
      <c r="A749" s="33">
        <v>43678</v>
      </c>
      <c r="B749" s="34">
        <v>19</v>
      </c>
      <c r="C749" s="34" t="s">
        <v>73</v>
      </c>
      <c r="D749" s="34" t="str">
        <f>VLOOKUP(C749,'SALE PARTY MASTER'!$B$4:$E$500,2,FALSE)</f>
        <v>27AAACH4211R1ZF</v>
      </c>
      <c r="E749" s="34" t="s">
        <v>22</v>
      </c>
      <c r="F749" s="34" t="s">
        <v>2135</v>
      </c>
      <c r="G749" s="44">
        <v>43682</v>
      </c>
      <c r="H749" s="34">
        <v>85129000</v>
      </c>
      <c r="I749" s="34">
        <v>18</v>
      </c>
      <c r="J749" s="38">
        <v>3360</v>
      </c>
      <c r="K749" s="40">
        <v>84000</v>
      </c>
      <c r="L749" s="41">
        <v>0</v>
      </c>
      <c r="M749" s="41">
        <v>7560</v>
      </c>
      <c r="N749" s="41">
        <v>7560</v>
      </c>
      <c r="O749" s="41">
        <v>0</v>
      </c>
      <c r="P749" s="42">
        <v>99120</v>
      </c>
      <c r="Q749" s="34" t="s">
        <v>25</v>
      </c>
      <c r="R749" s="34" t="s">
        <v>26</v>
      </c>
      <c r="S749" s="11" t="s">
        <v>4105</v>
      </c>
    </row>
    <row r="750" spans="1:19" x14ac:dyDescent="0.2">
      <c r="A750" s="33">
        <v>43678</v>
      </c>
      <c r="B750" s="34">
        <v>20</v>
      </c>
      <c r="C750" s="34" t="s">
        <v>28</v>
      </c>
      <c r="D750" s="34" t="str">
        <f>VLOOKUP(C750,'SALE PARTY MASTER'!$B$4:$E$500,2,FALSE)</f>
        <v>27AAECM8871A1ZF</v>
      </c>
      <c r="E750" s="34" t="s">
        <v>22</v>
      </c>
      <c r="F750" s="34" t="s">
        <v>2136</v>
      </c>
      <c r="G750" s="44">
        <v>43682</v>
      </c>
      <c r="H750" s="34">
        <v>87089900</v>
      </c>
      <c r="I750" s="34">
        <v>28</v>
      </c>
      <c r="J750" s="38">
        <v>12</v>
      </c>
      <c r="K750" s="40">
        <v>23255.759999999998</v>
      </c>
      <c r="L750" s="41">
        <v>0</v>
      </c>
      <c r="M750" s="41">
        <v>3255.8063999999995</v>
      </c>
      <c r="N750" s="41">
        <v>3255.8063999999995</v>
      </c>
      <c r="O750" s="41">
        <v>0</v>
      </c>
      <c r="P750" s="42">
        <v>29767.372799999997</v>
      </c>
      <c r="Q750" s="34" t="s">
        <v>25</v>
      </c>
      <c r="R750" s="34" t="s">
        <v>26</v>
      </c>
      <c r="S750" s="11" t="s">
        <v>4105</v>
      </c>
    </row>
    <row r="751" spans="1:19" x14ac:dyDescent="0.2">
      <c r="A751" s="33">
        <v>43678</v>
      </c>
      <c r="B751" s="34">
        <v>21</v>
      </c>
      <c r="C751" s="34" t="s">
        <v>124</v>
      </c>
      <c r="D751" s="34" t="str">
        <f>VLOOKUP(C751,'SALE PARTY MASTER'!$B$4:$E$500,2,FALSE)</f>
        <v>27AAACB2484Q1Z8</v>
      </c>
      <c r="E751" s="34" t="s">
        <v>22</v>
      </c>
      <c r="F751" s="34" t="s">
        <v>2137</v>
      </c>
      <c r="G751" s="44">
        <v>43682</v>
      </c>
      <c r="H751" s="34">
        <v>998898</v>
      </c>
      <c r="I751" s="34">
        <v>18</v>
      </c>
      <c r="J751" s="38">
        <v>403</v>
      </c>
      <c r="K751" s="40">
        <v>31454</v>
      </c>
      <c r="L751" s="41">
        <v>0</v>
      </c>
      <c r="M751" s="41">
        <v>2830.86</v>
      </c>
      <c r="N751" s="41">
        <v>2830.86</v>
      </c>
      <c r="O751" s="41">
        <v>0</v>
      </c>
      <c r="P751" s="42">
        <v>37115.72</v>
      </c>
      <c r="Q751" s="34" t="s">
        <v>25</v>
      </c>
      <c r="R751" s="34" t="s">
        <v>26</v>
      </c>
      <c r="S751" s="11" t="s">
        <v>4105</v>
      </c>
    </row>
    <row r="752" spans="1:19" x14ac:dyDescent="0.2">
      <c r="A752" s="33">
        <v>43678</v>
      </c>
      <c r="B752" s="34">
        <v>22</v>
      </c>
      <c r="C752" s="34" t="s">
        <v>124</v>
      </c>
      <c r="D752" s="34" t="str">
        <f>VLOOKUP(C752,'SALE PARTY MASTER'!$B$4:$E$500,2,FALSE)</f>
        <v>27AAACB2484Q1Z8</v>
      </c>
      <c r="E752" s="34" t="s">
        <v>22</v>
      </c>
      <c r="F752" s="34" t="s">
        <v>2138</v>
      </c>
      <c r="G752" s="44">
        <v>43682</v>
      </c>
      <c r="H752" s="34">
        <v>998898</v>
      </c>
      <c r="I752" s="34">
        <v>18</v>
      </c>
      <c r="J752" s="38">
        <v>675</v>
      </c>
      <c r="K752" s="40">
        <v>66150</v>
      </c>
      <c r="L752" s="41">
        <v>0</v>
      </c>
      <c r="M752" s="41">
        <v>5953.5</v>
      </c>
      <c r="N752" s="41">
        <v>5953.5</v>
      </c>
      <c r="O752" s="41">
        <v>0</v>
      </c>
      <c r="P752" s="42">
        <v>78057</v>
      </c>
      <c r="Q752" s="34" t="s">
        <v>25</v>
      </c>
      <c r="R752" s="34" t="s">
        <v>26</v>
      </c>
      <c r="S752" s="11" t="s">
        <v>4105</v>
      </c>
    </row>
    <row r="753" spans="1:19" x14ac:dyDescent="0.2">
      <c r="A753" s="33">
        <v>43678</v>
      </c>
      <c r="B753" s="34">
        <v>23</v>
      </c>
      <c r="C753" s="34" t="s">
        <v>40</v>
      </c>
      <c r="D753" s="34" t="str">
        <f>VLOOKUP(C753,'SALE PARTY MASTER'!$B$4:$E$500,2,FALSE)</f>
        <v>27AAACT1848E1ZH</v>
      </c>
      <c r="E753" s="34" t="s">
        <v>22</v>
      </c>
      <c r="F753" s="34" t="s">
        <v>2139</v>
      </c>
      <c r="G753" s="44">
        <v>43683</v>
      </c>
      <c r="H753" s="34">
        <v>87089900</v>
      </c>
      <c r="I753" s="34">
        <v>28</v>
      </c>
      <c r="J753" s="38">
        <v>131</v>
      </c>
      <c r="K753" s="40">
        <v>30664.89</v>
      </c>
      <c r="L753" s="41">
        <v>0</v>
      </c>
      <c r="M753" s="41">
        <v>4293.0845999999992</v>
      </c>
      <c r="N753" s="41">
        <v>4293.0845999999992</v>
      </c>
      <c r="O753" s="41">
        <v>0</v>
      </c>
      <c r="P753" s="42">
        <v>39251.059199999996</v>
      </c>
      <c r="Q753" s="34" t="s">
        <v>25</v>
      </c>
      <c r="R753" s="34" t="s">
        <v>26</v>
      </c>
      <c r="S753" s="11" t="s">
        <v>4105</v>
      </c>
    </row>
    <row r="754" spans="1:19" x14ac:dyDescent="0.2">
      <c r="A754" s="33">
        <v>43678</v>
      </c>
      <c r="B754" s="34">
        <v>24</v>
      </c>
      <c r="C754" s="34" t="s">
        <v>45</v>
      </c>
      <c r="D754" s="34" t="str">
        <f>VLOOKUP(C754,'SALE PARTY MASTER'!$B$4:$E$500,2,FALSE)</f>
        <v>27AAACD4090Q1Z8</v>
      </c>
      <c r="E754" s="34" t="s">
        <v>22</v>
      </c>
      <c r="F754" s="34" t="s">
        <v>2140</v>
      </c>
      <c r="G754" s="44">
        <v>43683</v>
      </c>
      <c r="H754" s="34">
        <v>85129000</v>
      </c>
      <c r="I754" s="34">
        <v>18</v>
      </c>
      <c r="J754" s="38">
        <v>717</v>
      </c>
      <c r="K754" s="40">
        <v>87481.17</v>
      </c>
      <c r="L754" s="41">
        <v>0</v>
      </c>
      <c r="M754" s="41">
        <v>7873.3053</v>
      </c>
      <c r="N754" s="41">
        <v>7873.3053</v>
      </c>
      <c r="O754" s="41">
        <v>0</v>
      </c>
      <c r="P754" s="42">
        <v>103227.7806</v>
      </c>
      <c r="Q754" s="34" t="s">
        <v>25</v>
      </c>
      <c r="R754" s="34" t="s">
        <v>26</v>
      </c>
      <c r="S754" s="11" t="s">
        <v>4105</v>
      </c>
    </row>
    <row r="755" spans="1:19" x14ac:dyDescent="0.2">
      <c r="A755" s="33">
        <v>43678</v>
      </c>
      <c r="B755" s="34">
        <v>25</v>
      </c>
      <c r="C755" s="34" t="s">
        <v>28</v>
      </c>
      <c r="D755" s="34" t="str">
        <f>VLOOKUP(C755,'SALE PARTY MASTER'!$B$4:$E$500,2,FALSE)</f>
        <v>27AAECM8871A1ZF</v>
      </c>
      <c r="E755" s="34" t="s">
        <v>22</v>
      </c>
      <c r="F755" s="34" t="s">
        <v>2141</v>
      </c>
      <c r="G755" s="44">
        <v>43683</v>
      </c>
      <c r="H755" s="34">
        <v>87089900</v>
      </c>
      <c r="I755" s="34">
        <v>28</v>
      </c>
      <c r="J755" s="38">
        <v>12</v>
      </c>
      <c r="K755" s="40">
        <v>23508.6</v>
      </c>
      <c r="L755" s="41">
        <v>0</v>
      </c>
      <c r="M755" s="41">
        <v>3291.2039999999997</v>
      </c>
      <c r="N755" s="41">
        <v>3291.2039999999997</v>
      </c>
      <c r="O755" s="41">
        <v>0</v>
      </c>
      <c r="P755" s="42">
        <v>30091.007999999998</v>
      </c>
      <c r="Q755" s="34" t="s">
        <v>25</v>
      </c>
      <c r="R755" s="34" t="s">
        <v>26</v>
      </c>
      <c r="S755" s="11" t="s">
        <v>4105</v>
      </c>
    </row>
    <row r="756" spans="1:19" x14ac:dyDescent="0.2">
      <c r="A756" s="33">
        <v>43678</v>
      </c>
      <c r="B756" s="34">
        <v>26</v>
      </c>
      <c r="C756" s="34" t="s">
        <v>167</v>
      </c>
      <c r="D756" s="34" t="str">
        <f>VLOOKUP(C756,'SALE PARTY MASTER'!$B$4:$E$500,2,FALSE)</f>
        <v>27AABFP3834C1ZK</v>
      </c>
      <c r="E756" s="34" t="s">
        <v>22</v>
      </c>
      <c r="F756" s="34" t="s">
        <v>2142</v>
      </c>
      <c r="G756" s="44">
        <v>43683</v>
      </c>
      <c r="H756" s="34">
        <v>87141900</v>
      </c>
      <c r="I756" s="34">
        <v>28</v>
      </c>
      <c r="J756" s="38">
        <v>4320</v>
      </c>
      <c r="K756" s="40">
        <v>49082.400000000001</v>
      </c>
      <c r="L756" s="41">
        <v>0</v>
      </c>
      <c r="M756" s="41">
        <v>6871.5360000000001</v>
      </c>
      <c r="N756" s="41">
        <v>6871.5360000000001</v>
      </c>
      <c r="O756" s="41">
        <v>0</v>
      </c>
      <c r="P756" s="42">
        <v>62825.472000000002</v>
      </c>
      <c r="Q756" s="34" t="s">
        <v>25</v>
      </c>
      <c r="R756" s="34" t="s">
        <v>26</v>
      </c>
      <c r="S756" s="11" t="s">
        <v>4105</v>
      </c>
    </row>
    <row r="757" spans="1:19" x14ac:dyDescent="0.2">
      <c r="A757" s="33">
        <v>43678</v>
      </c>
      <c r="B757" s="34">
        <v>27</v>
      </c>
      <c r="C757" s="34" t="s">
        <v>155</v>
      </c>
      <c r="D757" s="34" t="str">
        <f>VLOOKUP(C757,'SALE PARTY MASTER'!$B$4:$E$500,2,FALSE)</f>
        <v>27AAGCP0139E1ZP</v>
      </c>
      <c r="E757" s="34" t="s">
        <v>22</v>
      </c>
      <c r="F757" s="34" t="s">
        <v>2143</v>
      </c>
      <c r="G757" s="44">
        <v>43683</v>
      </c>
      <c r="H757" s="34">
        <v>87141090</v>
      </c>
      <c r="I757" s="34">
        <v>28</v>
      </c>
      <c r="J757" s="38">
        <v>460</v>
      </c>
      <c r="K757" s="40">
        <v>34670.199999999997</v>
      </c>
      <c r="L757" s="41">
        <v>0</v>
      </c>
      <c r="M757" s="41">
        <v>4853.8279999999995</v>
      </c>
      <c r="N757" s="41">
        <v>4853.8279999999995</v>
      </c>
      <c r="O757" s="41">
        <v>0</v>
      </c>
      <c r="P757" s="42">
        <v>44377.856</v>
      </c>
      <c r="Q757" s="34" t="s">
        <v>25</v>
      </c>
      <c r="R757" s="34" t="s">
        <v>26</v>
      </c>
      <c r="S757" s="11" t="s">
        <v>4105</v>
      </c>
    </row>
    <row r="758" spans="1:19" x14ac:dyDescent="0.2">
      <c r="A758" s="33">
        <v>43678</v>
      </c>
      <c r="B758" s="34">
        <v>28</v>
      </c>
      <c r="C758" s="34" t="s">
        <v>155</v>
      </c>
      <c r="D758" s="34" t="str">
        <f>VLOOKUP(C758,'SALE PARTY MASTER'!$B$4:$E$500,2,FALSE)</f>
        <v>27AAGCP0139E1ZP</v>
      </c>
      <c r="E758" s="34" t="s">
        <v>22</v>
      </c>
      <c r="F758" s="34" t="s">
        <v>2144</v>
      </c>
      <c r="G758" s="44">
        <v>43683</v>
      </c>
      <c r="H758" s="34">
        <v>87141090</v>
      </c>
      <c r="I758" s="34">
        <v>28</v>
      </c>
      <c r="J758" s="38">
        <v>1140</v>
      </c>
      <c r="K758" s="40">
        <v>53614.2</v>
      </c>
      <c r="L758" s="41">
        <v>0</v>
      </c>
      <c r="M758" s="41">
        <v>7505.9879999999994</v>
      </c>
      <c r="N758" s="41">
        <v>7505.9879999999994</v>
      </c>
      <c r="O758" s="41">
        <v>0</v>
      </c>
      <c r="P758" s="42">
        <v>68626.175999999992</v>
      </c>
      <c r="Q758" s="34" t="s">
        <v>25</v>
      </c>
      <c r="R758" s="34" t="s">
        <v>26</v>
      </c>
      <c r="S758" s="11" t="s">
        <v>4105</v>
      </c>
    </row>
    <row r="759" spans="1:19" x14ac:dyDescent="0.2">
      <c r="A759" s="33">
        <v>43678</v>
      </c>
      <c r="B759" s="34">
        <v>29</v>
      </c>
      <c r="C759" s="34" t="s">
        <v>28</v>
      </c>
      <c r="D759" s="34" t="str">
        <f>VLOOKUP(C759,'SALE PARTY MASTER'!$B$4:$E$500,2,FALSE)</f>
        <v>27AAECM8871A1ZF</v>
      </c>
      <c r="E759" s="34" t="s">
        <v>22</v>
      </c>
      <c r="F759" s="34" t="s">
        <v>2145</v>
      </c>
      <c r="G759" s="44">
        <v>43683</v>
      </c>
      <c r="H759" s="34">
        <v>87089900</v>
      </c>
      <c r="I759" s="34">
        <v>28</v>
      </c>
      <c r="J759" s="38">
        <v>12</v>
      </c>
      <c r="K759" s="40">
        <v>23255.759999999998</v>
      </c>
      <c r="L759" s="41">
        <v>0</v>
      </c>
      <c r="M759" s="41">
        <v>3255.8063999999995</v>
      </c>
      <c r="N759" s="41">
        <v>3255.8063999999995</v>
      </c>
      <c r="O759" s="41">
        <v>0</v>
      </c>
      <c r="P759" s="42">
        <v>29767.372799999997</v>
      </c>
      <c r="Q759" s="34" t="s">
        <v>25</v>
      </c>
      <c r="R759" s="34" t="s">
        <v>26</v>
      </c>
      <c r="S759" s="11" t="s">
        <v>4105</v>
      </c>
    </row>
    <row r="760" spans="1:19" x14ac:dyDescent="0.2">
      <c r="A760" s="33">
        <v>43678</v>
      </c>
      <c r="B760" s="34">
        <v>30</v>
      </c>
      <c r="C760" s="34" t="s">
        <v>28</v>
      </c>
      <c r="D760" s="34" t="str">
        <f>VLOOKUP(C760,'SALE PARTY MASTER'!$B$4:$E$500,2,FALSE)</f>
        <v>27AAECM8871A1ZF</v>
      </c>
      <c r="E760" s="34" t="s">
        <v>22</v>
      </c>
      <c r="F760" s="34" t="s">
        <v>2146</v>
      </c>
      <c r="G760" s="44">
        <v>43683</v>
      </c>
      <c r="H760" s="34">
        <v>87089900</v>
      </c>
      <c r="I760" s="34">
        <v>28</v>
      </c>
      <c r="J760" s="38">
        <v>12</v>
      </c>
      <c r="K760" s="40">
        <v>23255.759999999998</v>
      </c>
      <c r="L760" s="41">
        <v>0</v>
      </c>
      <c r="M760" s="41">
        <v>3255.8063999999995</v>
      </c>
      <c r="N760" s="41">
        <v>3255.8063999999995</v>
      </c>
      <c r="O760" s="41">
        <v>0</v>
      </c>
      <c r="P760" s="42">
        <v>29767.372799999997</v>
      </c>
      <c r="Q760" s="34" t="s">
        <v>25</v>
      </c>
      <c r="R760" s="34" t="s">
        <v>26</v>
      </c>
      <c r="S760" s="11" t="s">
        <v>4105</v>
      </c>
    </row>
    <row r="761" spans="1:19" x14ac:dyDescent="0.2">
      <c r="A761" s="33">
        <v>43678</v>
      </c>
      <c r="B761" s="34">
        <v>31</v>
      </c>
      <c r="C761" s="34" t="s">
        <v>28</v>
      </c>
      <c r="D761" s="34" t="str">
        <f>VLOOKUP(C761,'SALE PARTY MASTER'!$B$4:$E$500,2,FALSE)</f>
        <v>27AAECM8871A1ZF</v>
      </c>
      <c r="E761" s="34" t="s">
        <v>22</v>
      </c>
      <c r="F761" s="34" t="s">
        <v>2147</v>
      </c>
      <c r="G761" s="44">
        <v>43683</v>
      </c>
      <c r="H761" s="34">
        <v>87089900</v>
      </c>
      <c r="I761" s="34">
        <v>28</v>
      </c>
      <c r="J761" s="38">
        <v>12</v>
      </c>
      <c r="K761" s="40">
        <v>23255.759999999998</v>
      </c>
      <c r="L761" s="41">
        <v>0</v>
      </c>
      <c r="M761" s="41">
        <v>3255.8063999999995</v>
      </c>
      <c r="N761" s="41">
        <v>3255.8063999999995</v>
      </c>
      <c r="O761" s="41">
        <v>0</v>
      </c>
      <c r="P761" s="42">
        <v>29767.372799999997</v>
      </c>
      <c r="Q761" s="34" t="s">
        <v>25</v>
      </c>
      <c r="R761" s="34" t="s">
        <v>26</v>
      </c>
      <c r="S761" s="11" t="s">
        <v>4105</v>
      </c>
    </row>
    <row r="762" spans="1:19" x14ac:dyDescent="0.2">
      <c r="A762" s="33">
        <v>43678</v>
      </c>
      <c r="B762" s="34">
        <v>32</v>
      </c>
      <c r="C762" s="34" t="s">
        <v>167</v>
      </c>
      <c r="D762" s="34" t="str">
        <f>VLOOKUP(C762,'SALE PARTY MASTER'!$B$4:$E$500,2,FALSE)</f>
        <v>27AABFP3834C1ZK</v>
      </c>
      <c r="E762" s="34" t="s">
        <v>22</v>
      </c>
      <c r="F762" s="34" t="s">
        <v>2148</v>
      </c>
      <c r="G762" s="44">
        <v>43683</v>
      </c>
      <c r="H762" s="34">
        <v>87141900</v>
      </c>
      <c r="I762" s="34">
        <v>28</v>
      </c>
      <c r="J762" s="38">
        <v>1860</v>
      </c>
      <c r="K762" s="40">
        <v>18246.599999999999</v>
      </c>
      <c r="L762" s="41">
        <v>0</v>
      </c>
      <c r="M762" s="41">
        <v>2554.5239999999999</v>
      </c>
      <c r="N762" s="41">
        <v>2554.5239999999999</v>
      </c>
      <c r="O762" s="41">
        <v>0</v>
      </c>
      <c r="P762" s="42">
        <v>23355.647999999997</v>
      </c>
      <c r="Q762" s="34" t="s">
        <v>25</v>
      </c>
      <c r="R762" s="34" t="s">
        <v>26</v>
      </c>
      <c r="S762" s="11" t="s">
        <v>4105</v>
      </c>
    </row>
    <row r="763" spans="1:19" x14ac:dyDescent="0.2">
      <c r="A763" s="33">
        <v>43678</v>
      </c>
      <c r="B763" s="34">
        <v>33</v>
      </c>
      <c r="C763" s="34" t="s">
        <v>73</v>
      </c>
      <c r="D763" s="34" t="str">
        <f>VLOOKUP(C763,'SALE PARTY MASTER'!$B$4:$E$500,2,FALSE)</f>
        <v>27AAACH4211R1ZF</v>
      </c>
      <c r="E763" s="34" t="s">
        <v>22</v>
      </c>
      <c r="F763" s="34" t="s">
        <v>2149</v>
      </c>
      <c r="G763" s="44">
        <v>43684</v>
      </c>
      <c r="H763" s="34">
        <v>85129000</v>
      </c>
      <c r="I763" s="34">
        <v>18</v>
      </c>
      <c r="J763" s="38">
        <v>3840</v>
      </c>
      <c r="K763" s="40">
        <v>96000</v>
      </c>
      <c r="L763" s="41">
        <v>0</v>
      </c>
      <c r="M763" s="41">
        <v>8640</v>
      </c>
      <c r="N763" s="41">
        <v>8640</v>
      </c>
      <c r="O763" s="41">
        <v>0</v>
      </c>
      <c r="P763" s="42">
        <v>113280</v>
      </c>
      <c r="Q763" s="34" t="s">
        <v>25</v>
      </c>
      <c r="R763" s="34" t="s">
        <v>26</v>
      </c>
      <c r="S763" s="11" t="s">
        <v>4105</v>
      </c>
    </row>
    <row r="764" spans="1:19" x14ac:dyDescent="0.2">
      <c r="A764" s="33">
        <v>43678</v>
      </c>
      <c r="B764" s="34">
        <v>34</v>
      </c>
      <c r="C764" s="34" t="s">
        <v>124</v>
      </c>
      <c r="D764" s="34" t="str">
        <f>VLOOKUP(C764,'SALE PARTY MASTER'!$B$4:$E$500,2,FALSE)</f>
        <v>27AAACB2484Q1Z8</v>
      </c>
      <c r="E764" s="34" t="s">
        <v>22</v>
      </c>
      <c r="F764" s="34" t="s">
        <v>2150</v>
      </c>
      <c r="G764" s="44">
        <v>43685</v>
      </c>
      <c r="H764" s="34">
        <v>998898</v>
      </c>
      <c r="I764" s="34">
        <v>18</v>
      </c>
      <c r="J764" s="38">
        <v>515</v>
      </c>
      <c r="K764" s="40">
        <v>44560</v>
      </c>
      <c r="L764" s="41">
        <v>0</v>
      </c>
      <c r="M764" s="41">
        <v>4010.4</v>
      </c>
      <c r="N764" s="41">
        <v>4010.4</v>
      </c>
      <c r="O764" s="41">
        <v>0</v>
      </c>
      <c r="P764" s="42">
        <v>52580.800000000003</v>
      </c>
      <c r="Q764" s="34" t="s">
        <v>25</v>
      </c>
      <c r="R764" s="34" t="s">
        <v>26</v>
      </c>
      <c r="S764" s="11" t="s">
        <v>4105</v>
      </c>
    </row>
    <row r="765" spans="1:19" x14ac:dyDescent="0.2">
      <c r="A765" s="33">
        <v>43678</v>
      </c>
      <c r="B765" s="34">
        <v>35</v>
      </c>
      <c r="C765" s="34" t="s">
        <v>124</v>
      </c>
      <c r="D765" s="34" t="str">
        <f>VLOOKUP(C765,'SALE PARTY MASTER'!$B$4:$E$500,2,FALSE)</f>
        <v>27AAACB2484Q1Z8</v>
      </c>
      <c r="E765" s="34" t="s">
        <v>22</v>
      </c>
      <c r="F765" s="34" t="s">
        <v>2151</v>
      </c>
      <c r="G765" s="44">
        <v>43685</v>
      </c>
      <c r="H765" s="34">
        <v>998898</v>
      </c>
      <c r="I765" s="34">
        <v>18</v>
      </c>
      <c r="J765" s="38">
        <v>432</v>
      </c>
      <c r="K765" s="40">
        <v>42336</v>
      </c>
      <c r="L765" s="41">
        <v>0</v>
      </c>
      <c r="M765" s="41">
        <v>3810.2400000000002</v>
      </c>
      <c r="N765" s="41">
        <v>3810.2400000000002</v>
      </c>
      <c r="O765" s="41">
        <v>0</v>
      </c>
      <c r="P765" s="42">
        <v>49956.480000000003</v>
      </c>
      <c r="Q765" s="34" t="s">
        <v>25</v>
      </c>
      <c r="R765" s="34" t="s">
        <v>26</v>
      </c>
      <c r="S765" s="11" t="s">
        <v>4105</v>
      </c>
    </row>
    <row r="766" spans="1:19" x14ac:dyDescent="0.2">
      <c r="A766" s="33">
        <v>43678</v>
      </c>
      <c r="B766" s="34">
        <v>36</v>
      </c>
      <c r="C766" s="34" t="s">
        <v>124</v>
      </c>
      <c r="D766" s="34" t="str">
        <f>VLOOKUP(C766,'SALE PARTY MASTER'!$B$4:$E$500,2,FALSE)</f>
        <v>27AAACB2484Q1Z8</v>
      </c>
      <c r="E766" s="34" t="s">
        <v>22</v>
      </c>
      <c r="F766" s="34" t="s">
        <v>2152</v>
      </c>
      <c r="G766" s="44">
        <v>43685</v>
      </c>
      <c r="H766" s="34">
        <v>998898</v>
      </c>
      <c r="I766" s="34">
        <v>18</v>
      </c>
      <c r="J766" s="38">
        <v>714</v>
      </c>
      <c r="K766" s="40">
        <v>61332</v>
      </c>
      <c r="L766" s="41">
        <v>0</v>
      </c>
      <c r="M766" s="41">
        <v>5519.88</v>
      </c>
      <c r="N766" s="41">
        <v>5519.88</v>
      </c>
      <c r="O766" s="41">
        <v>0</v>
      </c>
      <c r="P766" s="42">
        <v>72371.759999999995</v>
      </c>
      <c r="Q766" s="34" t="s">
        <v>25</v>
      </c>
      <c r="R766" s="34" t="s">
        <v>26</v>
      </c>
      <c r="S766" s="11" t="s">
        <v>4105</v>
      </c>
    </row>
    <row r="767" spans="1:19" x14ac:dyDescent="0.2">
      <c r="A767" s="33">
        <v>43678</v>
      </c>
      <c r="B767" s="34">
        <v>37</v>
      </c>
      <c r="C767" s="34" t="s">
        <v>28</v>
      </c>
      <c r="D767" s="34" t="str">
        <f>VLOOKUP(C767,'SALE PARTY MASTER'!$B$4:$E$500,2,FALSE)</f>
        <v>27AAECM8871A1ZF</v>
      </c>
      <c r="E767" s="34" t="s">
        <v>22</v>
      </c>
      <c r="F767" s="34" t="s">
        <v>2153</v>
      </c>
      <c r="G767" s="44">
        <v>43685</v>
      </c>
      <c r="H767" s="34">
        <v>87089900</v>
      </c>
      <c r="I767" s="34">
        <v>28</v>
      </c>
      <c r="J767" s="38">
        <v>12</v>
      </c>
      <c r="K767" s="40">
        <v>23508.6</v>
      </c>
      <c r="L767" s="41">
        <v>0</v>
      </c>
      <c r="M767" s="41">
        <v>3291.2039999999997</v>
      </c>
      <c r="N767" s="41">
        <v>3291.2039999999997</v>
      </c>
      <c r="O767" s="41">
        <v>0</v>
      </c>
      <c r="P767" s="42">
        <v>30091.007999999998</v>
      </c>
      <c r="Q767" s="34" t="s">
        <v>25</v>
      </c>
      <c r="R767" s="34" t="s">
        <v>26</v>
      </c>
      <c r="S767" s="11" t="s">
        <v>4105</v>
      </c>
    </row>
    <row r="768" spans="1:19" x14ac:dyDescent="0.2">
      <c r="A768" s="33">
        <v>43678</v>
      </c>
      <c r="B768" s="34">
        <v>38</v>
      </c>
      <c r="C768" s="34" t="s">
        <v>28</v>
      </c>
      <c r="D768" s="34" t="str">
        <f>VLOOKUP(C768,'SALE PARTY MASTER'!$B$4:$E$500,2,FALSE)</f>
        <v>27AAECM8871A1ZF</v>
      </c>
      <c r="E768" s="34" t="s">
        <v>22</v>
      </c>
      <c r="F768" s="34" t="s">
        <v>2154</v>
      </c>
      <c r="G768" s="44">
        <v>43685</v>
      </c>
      <c r="H768" s="34">
        <v>87089900</v>
      </c>
      <c r="I768" s="34">
        <v>28</v>
      </c>
      <c r="J768" s="38">
        <v>12</v>
      </c>
      <c r="K768" s="40">
        <v>23255.759999999998</v>
      </c>
      <c r="L768" s="41">
        <v>0</v>
      </c>
      <c r="M768" s="41">
        <v>3255.8063999999995</v>
      </c>
      <c r="N768" s="41">
        <v>3255.8063999999995</v>
      </c>
      <c r="O768" s="41">
        <v>0</v>
      </c>
      <c r="P768" s="42">
        <v>29767.372799999997</v>
      </c>
      <c r="Q768" s="34" t="s">
        <v>25</v>
      </c>
      <c r="R768" s="34" t="s">
        <v>26</v>
      </c>
      <c r="S768" s="11" t="s">
        <v>4105</v>
      </c>
    </row>
    <row r="769" spans="1:19" x14ac:dyDescent="0.2">
      <c r="A769" s="33">
        <v>43678</v>
      </c>
      <c r="B769" s="34">
        <v>39</v>
      </c>
      <c r="C769" s="34" t="s">
        <v>49</v>
      </c>
      <c r="D769" s="34" t="str">
        <f>VLOOKUP(C769,'SALE PARTY MASTER'!$B$4:$E$500,2,FALSE)</f>
        <v>27AABFJ4217F1ZP</v>
      </c>
      <c r="E769" s="34" t="s">
        <v>22</v>
      </c>
      <c r="F769" s="34" t="s">
        <v>2155</v>
      </c>
      <c r="G769" s="44">
        <v>43686</v>
      </c>
      <c r="H769" s="34">
        <v>998898</v>
      </c>
      <c r="I769" s="34">
        <v>18</v>
      </c>
      <c r="J769" s="38">
        <v>30</v>
      </c>
      <c r="K769" s="40">
        <v>8524.2000000000007</v>
      </c>
      <c r="L769" s="41">
        <v>0</v>
      </c>
      <c r="M769" s="41">
        <v>767.178</v>
      </c>
      <c r="N769" s="41">
        <v>767.178</v>
      </c>
      <c r="O769" s="41">
        <v>0</v>
      </c>
      <c r="P769" s="42">
        <v>10058.556</v>
      </c>
      <c r="Q769" s="34" t="s">
        <v>25</v>
      </c>
      <c r="R769" s="34" t="s">
        <v>26</v>
      </c>
      <c r="S769" s="11" t="s">
        <v>4105</v>
      </c>
    </row>
    <row r="770" spans="1:19" x14ac:dyDescent="0.2">
      <c r="A770" s="33">
        <v>43678</v>
      </c>
      <c r="B770" s="34">
        <v>40</v>
      </c>
      <c r="C770" s="34" t="s">
        <v>167</v>
      </c>
      <c r="D770" s="34" t="str">
        <f>VLOOKUP(C770,'SALE PARTY MASTER'!$B$4:$E$500,2,FALSE)</f>
        <v>27AABFP3834C1ZK</v>
      </c>
      <c r="E770" s="34" t="s">
        <v>22</v>
      </c>
      <c r="F770" s="34" t="s">
        <v>2156</v>
      </c>
      <c r="G770" s="44">
        <v>43686</v>
      </c>
      <c r="H770" s="34">
        <v>87141900</v>
      </c>
      <c r="I770" s="34">
        <v>28</v>
      </c>
      <c r="J770" s="38">
        <v>4790</v>
      </c>
      <c r="K770" s="40">
        <v>58268.3</v>
      </c>
      <c r="L770" s="41">
        <v>0</v>
      </c>
      <c r="M770" s="41">
        <v>8157.5619999999999</v>
      </c>
      <c r="N770" s="41">
        <v>8157.5619999999999</v>
      </c>
      <c r="O770" s="41">
        <v>0</v>
      </c>
      <c r="P770" s="42">
        <v>74583.423999999999</v>
      </c>
      <c r="Q770" s="34" t="s">
        <v>25</v>
      </c>
      <c r="R770" s="34" t="s">
        <v>26</v>
      </c>
      <c r="S770" s="11" t="s">
        <v>4105</v>
      </c>
    </row>
    <row r="771" spans="1:19" x14ac:dyDescent="0.2">
      <c r="A771" s="33">
        <v>43678</v>
      </c>
      <c r="B771" s="34">
        <v>41</v>
      </c>
      <c r="C771" s="34" t="s">
        <v>124</v>
      </c>
      <c r="D771" s="34" t="str">
        <f>VLOOKUP(C771,'SALE PARTY MASTER'!$B$4:$E$500,2,FALSE)</f>
        <v>27AAACB2484Q1Z8</v>
      </c>
      <c r="E771" s="34" t="s">
        <v>22</v>
      </c>
      <c r="F771" s="34" t="s">
        <v>2157</v>
      </c>
      <c r="G771" s="44">
        <v>43686</v>
      </c>
      <c r="H771" s="34">
        <v>998898</v>
      </c>
      <c r="I771" s="34">
        <v>18</v>
      </c>
      <c r="J771" s="38">
        <v>686</v>
      </c>
      <c r="K771" s="40">
        <v>57988</v>
      </c>
      <c r="L771" s="41">
        <v>0</v>
      </c>
      <c r="M771" s="41">
        <v>5218.92</v>
      </c>
      <c r="N771" s="41">
        <v>5218.92</v>
      </c>
      <c r="O771" s="41">
        <v>0</v>
      </c>
      <c r="P771" s="42">
        <v>68425.84</v>
      </c>
      <c r="Q771" s="34" t="s">
        <v>25</v>
      </c>
      <c r="R771" s="34" t="s">
        <v>26</v>
      </c>
      <c r="S771" s="11" t="s">
        <v>4105</v>
      </c>
    </row>
    <row r="772" spans="1:19" x14ac:dyDescent="0.2">
      <c r="A772" s="33">
        <v>43678</v>
      </c>
      <c r="B772" s="34">
        <v>42</v>
      </c>
      <c r="C772" s="34" t="s">
        <v>45</v>
      </c>
      <c r="D772" s="34" t="str">
        <f>VLOOKUP(C772,'SALE PARTY MASTER'!$B$4:$E$500,2,FALSE)</f>
        <v>27AAACD4090Q1Z8</v>
      </c>
      <c r="E772" s="34" t="s">
        <v>22</v>
      </c>
      <c r="F772" s="34" t="s">
        <v>2158</v>
      </c>
      <c r="G772" s="44">
        <v>43686</v>
      </c>
      <c r="H772" s="34">
        <v>85129000</v>
      </c>
      <c r="I772" s="34">
        <v>18</v>
      </c>
      <c r="J772" s="38">
        <v>720</v>
      </c>
      <c r="K772" s="40">
        <v>87847.2</v>
      </c>
      <c r="L772" s="41">
        <v>0</v>
      </c>
      <c r="M772" s="41">
        <v>7906.2479999999996</v>
      </c>
      <c r="N772" s="41">
        <v>7906.2479999999996</v>
      </c>
      <c r="O772" s="41">
        <v>0</v>
      </c>
      <c r="P772" s="42">
        <v>103659.696</v>
      </c>
      <c r="Q772" s="34" t="s">
        <v>25</v>
      </c>
      <c r="R772" s="34" t="s">
        <v>26</v>
      </c>
      <c r="S772" s="11" t="s">
        <v>4105</v>
      </c>
    </row>
    <row r="773" spans="1:19" x14ac:dyDescent="0.2">
      <c r="A773" s="33">
        <v>43678</v>
      </c>
      <c r="B773" s="34">
        <v>43</v>
      </c>
      <c r="C773" s="34" t="s">
        <v>167</v>
      </c>
      <c r="D773" s="34" t="str">
        <f>VLOOKUP(C773,'SALE PARTY MASTER'!$B$4:$E$500,2,FALSE)</f>
        <v>27AABFP3834C1ZK</v>
      </c>
      <c r="E773" s="34" t="s">
        <v>22</v>
      </c>
      <c r="F773" s="34" t="s">
        <v>2159</v>
      </c>
      <c r="G773" s="44">
        <v>43687</v>
      </c>
      <c r="H773" s="34">
        <v>87141900</v>
      </c>
      <c r="I773" s="34">
        <v>28</v>
      </c>
      <c r="J773" s="38">
        <v>3950</v>
      </c>
      <c r="K773" s="40">
        <v>48165.9</v>
      </c>
      <c r="L773" s="41">
        <v>0</v>
      </c>
      <c r="M773" s="41">
        <v>6743.2259999999997</v>
      </c>
      <c r="N773" s="41">
        <v>6743.2259999999997</v>
      </c>
      <c r="O773" s="41">
        <v>0</v>
      </c>
      <c r="P773" s="42">
        <v>61652.351999999999</v>
      </c>
      <c r="Q773" s="34" t="s">
        <v>25</v>
      </c>
      <c r="R773" s="34" t="s">
        <v>26</v>
      </c>
      <c r="S773" s="11" t="s">
        <v>4105</v>
      </c>
    </row>
    <row r="774" spans="1:19" x14ac:dyDescent="0.2">
      <c r="A774" s="33">
        <v>43678</v>
      </c>
      <c r="B774" s="34">
        <v>44</v>
      </c>
      <c r="C774" s="34" t="s">
        <v>124</v>
      </c>
      <c r="D774" s="34" t="str">
        <f>VLOOKUP(C774,'SALE PARTY MASTER'!$B$4:$E$500,2,FALSE)</f>
        <v>27AAACB2484Q1Z8</v>
      </c>
      <c r="E774" s="34" t="s">
        <v>22</v>
      </c>
      <c r="F774" s="34" t="s">
        <v>2160</v>
      </c>
      <c r="G774" s="44">
        <v>43689</v>
      </c>
      <c r="H774" s="34">
        <v>998898</v>
      </c>
      <c r="I774" s="34">
        <v>18</v>
      </c>
      <c r="J774" s="38">
        <v>1431</v>
      </c>
      <c r="K774" s="40">
        <v>121878</v>
      </c>
      <c r="L774" s="41">
        <v>0</v>
      </c>
      <c r="M774" s="41">
        <v>10969.02</v>
      </c>
      <c r="N774" s="41">
        <v>10969.02</v>
      </c>
      <c r="O774" s="41">
        <v>0</v>
      </c>
      <c r="P774" s="42">
        <v>143816.04</v>
      </c>
      <c r="Q774" s="34" t="s">
        <v>25</v>
      </c>
      <c r="R774" s="34" t="s">
        <v>26</v>
      </c>
      <c r="S774" s="11" t="s">
        <v>4105</v>
      </c>
    </row>
    <row r="775" spans="1:19" x14ac:dyDescent="0.2">
      <c r="A775" s="33">
        <v>43678</v>
      </c>
      <c r="B775" s="34">
        <v>45</v>
      </c>
      <c r="C775" s="34" t="s">
        <v>167</v>
      </c>
      <c r="D775" s="34" t="str">
        <f>VLOOKUP(C775,'SALE PARTY MASTER'!$B$4:$E$500,2,FALSE)</f>
        <v>27AABFP3834C1ZK</v>
      </c>
      <c r="E775" s="34" t="s">
        <v>22</v>
      </c>
      <c r="F775" s="34" t="s">
        <v>2161</v>
      </c>
      <c r="G775" s="44">
        <v>43689</v>
      </c>
      <c r="H775" s="34">
        <v>87141900</v>
      </c>
      <c r="I775" s="34">
        <v>28</v>
      </c>
      <c r="J775" s="38">
        <v>3740</v>
      </c>
      <c r="K775" s="40">
        <v>42009.4</v>
      </c>
      <c r="L775" s="41">
        <v>0</v>
      </c>
      <c r="M775" s="41">
        <v>5881.3159999999998</v>
      </c>
      <c r="N775" s="41">
        <v>5881.3159999999998</v>
      </c>
      <c r="O775" s="41">
        <v>0</v>
      </c>
      <c r="P775" s="42">
        <v>53772.031999999999</v>
      </c>
      <c r="Q775" s="34" t="s">
        <v>25</v>
      </c>
      <c r="R775" s="34" t="s">
        <v>26</v>
      </c>
      <c r="S775" s="11" t="s">
        <v>4105</v>
      </c>
    </row>
    <row r="776" spans="1:19" x14ac:dyDescent="0.2">
      <c r="A776" s="33">
        <v>43678</v>
      </c>
      <c r="B776" s="34">
        <v>46</v>
      </c>
      <c r="C776" s="34" t="s">
        <v>40</v>
      </c>
      <c r="D776" s="34" t="str">
        <f>VLOOKUP(C776,'SALE PARTY MASTER'!$B$4:$E$500,2,FALSE)</f>
        <v>27AAACT1848E1ZH</v>
      </c>
      <c r="E776" s="34" t="s">
        <v>22</v>
      </c>
      <c r="F776" s="34" t="s">
        <v>2162</v>
      </c>
      <c r="G776" s="44">
        <v>43689</v>
      </c>
      <c r="H776" s="34">
        <v>87089900</v>
      </c>
      <c r="I776" s="34">
        <v>28</v>
      </c>
      <c r="J776" s="38">
        <v>84</v>
      </c>
      <c r="K776" s="40">
        <v>40207.68</v>
      </c>
      <c r="L776" s="41">
        <v>0</v>
      </c>
      <c r="M776" s="41">
        <v>5629.0752000000002</v>
      </c>
      <c r="N776" s="41">
        <v>5629.0752000000002</v>
      </c>
      <c r="O776" s="41">
        <v>0</v>
      </c>
      <c r="P776" s="42">
        <v>51465.830399999999</v>
      </c>
      <c r="Q776" s="34" t="s">
        <v>25</v>
      </c>
      <c r="R776" s="34" t="s">
        <v>26</v>
      </c>
      <c r="S776" s="11" t="s">
        <v>4105</v>
      </c>
    </row>
    <row r="777" spans="1:19" x14ac:dyDescent="0.2">
      <c r="A777" s="33">
        <v>43678</v>
      </c>
      <c r="B777" s="34">
        <v>47</v>
      </c>
      <c r="C777" s="34" t="s">
        <v>28</v>
      </c>
      <c r="D777" s="34" t="str">
        <f>VLOOKUP(C777,'SALE PARTY MASTER'!$B$4:$E$500,2,FALSE)</f>
        <v>27AAECM8871A1ZF</v>
      </c>
      <c r="E777" s="34" t="s">
        <v>22</v>
      </c>
      <c r="F777" s="34" t="s">
        <v>2163</v>
      </c>
      <c r="G777" s="44">
        <v>43689</v>
      </c>
      <c r="H777" s="34">
        <v>87089900</v>
      </c>
      <c r="I777" s="34">
        <v>28</v>
      </c>
      <c r="J777" s="38">
        <v>12</v>
      </c>
      <c r="K777" s="40">
        <v>23255.759999999998</v>
      </c>
      <c r="L777" s="41">
        <v>0</v>
      </c>
      <c r="M777" s="41">
        <v>3255.8063999999995</v>
      </c>
      <c r="N777" s="41">
        <v>3255.8063999999995</v>
      </c>
      <c r="O777" s="41">
        <v>0</v>
      </c>
      <c r="P777" s="42">
        <v>29767.372799999997</v>
      </c>
      <c r="Q777" s="34" t="s">
        <v>25</v>
      </c>
      <c r="R777" s="34" t="s">
        <v>26</v>
      </c>
      <c r="S777" s="11" t="s">
        <v>4105</v>
      </c>
    </row>
    <row r="778" spans="1:19" x14ac:dyDescent="0.2">
      <c r="A778" s="33">
        <v>43678</v>
      </c>
      <c r="B778" s="34">
        <v>48</v>
      </c>
      <c r="C778" s="34" t="s">
        <v>167</v>
      </c>
      <c r="D778" s="34" t="str">
        <f>VLOOKUP(C778,'SALE PARTY MASTER'!$B$4:$E$500,2,FALSE)</f>
        <v>27AABFP3834C1ZK</v>
      </c>
      <c r="E778" s="34" t="s">
        <v>22</v>
      </c>
      <c r="F778" s="34" t="s">
        <v>2164</v>
      </c>
      <c r="G778" s="44">
        <v>43689</v>
      </c>
      <c r="H778" s="34">
        <v>87141900</v>
      </c>
      <c r="I778" s="34">
        <v>28</v>
      </c>
      <c r="J778" s="38">
        <v>3850</v>
      </c>
      <c r="K778" s="40">
        <v>53728.5</v>
      </c>
      <c r="L778" s="41">
        <v>0</v>
      </c>
      <c r="M778" s="41">
        <v>7521.99</v>
      </c>
      <c r="N778" s="41">
        <v>7521.99</v>
      </c>
      <c r="O778" s="41">
        <v>0</v>
      </c>
      <c r="P778" s="42">
        <v>68772.479999999996</v>
      </c>
      <c r="Q778" s="34" t="s">
        <v>25</v>
      </c>
      <c r="R778" s="34" t="s">
        <v>26</v>
      </c>
      <c r="S778" s="11" t="s">
        <v>4105</v>
      </c>
    </row>
    <row r="779" spans="1:19" x14ac:dyDescent="0.2">
      <c r="A779" s="33">
        <v>43678</v>
      </c>
      <c r="B779" s="34">
        <v>49</v>
      </c>
      <c r="C779" s="34" t="s">
        <v>73</v>
      </c>
      <c r="D779" s="34" t="str">
        <f>VLOOKUP(C779,'SALE PARTY MASTER'!$B$4:$E$500,2,FALSE)</f>
        <v>27AAACH4211R1ZF</v>
      </c>
      <c r="E779" s="34" t="s">
        <v>22</v>
      </c>
      <c r="F779" s="34" t="s">
        <v>2165</v>
      </c>
      <c r="G779" s="44">
        <v>43689</v>
      </c>
      <c r="H779" s="34">
        <v>85129000</v>
      </c>
      <c r="I779" s="34">
        <v>18</v>
      </c>
      <c r="J779" s="38">
        <v>2400</v>
      </c>
      <c r="K779" s="40">
        <v>60000</v>
      </c>
      <c r="L779" s="41">
        <v>0</v>
      </c>
      <c r="M779" s="41">
        <v>5400</v>
      </c>
      <c r="N779" s="41">
        <v>5400</v>
      </c>
      <c r="O779" s="41">
        <v>0</v>
      </c>
      <c r="P779" s="42">
        <v>70800</v>
      </c>
      <c r="Q779" s="34" t="s">
        <v>25</v>
      </c>
      <c r="R779" s="34" t="s">
        <v>26</v>
      </c>
      <c r="S779" s="11" t="s">
        <v>4105</v>
      </c>
    </row>
    <row r="780" spans="1:19" x14ac:dyDescent="0.2">
      <c r="A780" s="33">
        <v>43678</v>
      </c>
      <c r="B780" s="34">
        <v>50</v>
      </c>
      <c r="C780" s="34" t="s">
        <v>28</v>
      </c>
      <c r="D780" s="34" t="str">
        <f>VLOOKUP(C780,'SALE PARTY MASTER'!$B$4:$E$500,2,FALSE)</f>
        <v>27AAECM8871A1ZF</v>
      </c>
      <c r="E780" s="34" t="s">
        <v>22</v>
      </c>
      <c r="F780" s="34" t="s">
        <v>2166</v>
      </c>
      <c r="G780" s="44">
        <v>43689</v>
      </c>
      <c r="H780" s="34">
        <v>87089900</v>
      </c>
      <c r="I780" s="34">
        <v>28</v>
      </c>
      <c r="J780" s="38">
        <v>12</v>
      </c>
      <c r="K780" s="40">
        <v>23255.759999999998</v>
      </c>
      <c r="L780" s="41">
        <v>0</v>
      </c>
      <c r="M780" s="41">
        <v>3255.8063999999995</v>
      </c>
      <c r="N780" s="41">
        <v>3255.8063999999995</v>
      </c>
      <c r="O780" s="41">
        <v>0</v>
      </c>
      <c r="P780" s="42">
        <v>29767.372799999997</v>
      </c>
      <c r="Q780" s="34" t="s">
        <v>25</v>
      </c>
      <c r="R780" s="34" t="s">
        <v>26</v>
      </c>
      <c r="S780" s="11" t="s">
        <v>4105</v>
      </c>
    </row>
    <row r="781" spans="1:19" x14ac:dyDescent="0.2">
      <c r="A781" s="33">
        <v>43678</v>
      </c>
      <c r="B781" s="34">
        <v>51</v>
      </c>
      <c r="C781" s="34" t="s">
        <v>226</v>
      </c>
      <c r="D781" s="34" t="str">
        <f>VLOOKUP(C781,'SALE PARTY MASTER'!$B$4:$E$500,2,FALSE)</f>
        <v>23AAACB7112P2ZQ</v>
      </c>
      <c r="E781" s="34" t="s">
        <v>22</v>
      </c>
      <c r="F781" s="34" t="s">
        <v>2167</v>
      </c>
      <c r="G781" s="44">
        <v>43689</v>
      </c>
      <c r="H781" s="34">
        <v>87081090</v>
      </c>
      <c r="I781" s="34">
        <v>28</v>
      </c>
      <c r="J781" s="38">
        <v>44</v>
      </c>
      <c r="K781" s="40">
        <v>15202.44</v>
      </c>
      <c r="L781" s="41">
        <v>4256.6832000000004</v>
      </c>
      <c r="M781" s="41">
        <v>0</v>
      </c>
      <c r="N781" s="41">
        <v>0</v>
      </c>
      <c r="O781" s="41">
        <v>0</v>
      </c>
      <c r="P781" s="42">
        <v>19459.123200000002</v>
      </c>
      <c r="Q781" s="34" t="s">
        <v>25</v>
      </c>
      <c r="R781" s="34" t="s">
        <v>106</v>
      </c>
      <c r="S781" s="11" t="s">
        <v>4105</v>
      </c>
    </row>
    <row r="782" spans="1:19" x14ac:dyDescent="0.2">
      <c r="A782" s="33">
        <v>43678</v>
      </c>
      <c r="B782" s="34">
        <v>52</v>
      </c>
      <c r="C782" s="34" t="s">
        <v>102</v>
      </c>
      <c r="D782" s="34" t="str">
        <f>VLOOKUP(C782,'SALE PARTY MASTER'!$B$4:$E$500,2,FALSE)</f>
        <v>23AABCE9378F1ZK</v>
      </c>
      <c r="E782" s="34" t="s">
        <v>22</v>
      </c>
      <c r="F782" s="34" t="s">
        <v>2168</v>
      </c>
      <c r="G782" s="44">
        <v>43690</v>
      </c>
      <c r="H782" s="34">
        <v>87081090</v>
      </c>
      <c r="I782" s="34">
        <v>28</v>
      </c>
      <c r="J782" s="38">
        <v>8</v>
      </c>
      <c r="K782" s="40">
        <v>16246.96</v>
      </c>
      <c r="L782" s="41">
        <v>4549.1487999999999</v>
      </c>
      <c r="M782" s="41">
        <v>0</v>
      </c>
      <c r="N782" s="41">
        <v>0</v>
      </c>
      <c r="O782" s="41">
        <v>0</v>
      </c>
      <c r="P782" s="42">
        <v>20796.108799999998</v>
      </c>
      <c r="Q782" s="34" t="s">
        <v>25</v>
      </c>
      <c r="R782" s="34" t="s">
        <v>106</v>
      </c>
      <c r="S782" s="11" t="s">
        <v>4105</v>
      </c>
    </row>
    <row r="783" spans="1:19" x14ac:dyDescent="0.2">
      <c r="A783" s="33">
        <v>43678</v>
      </c>
      <c r="B783" s="34">
        <v>53</v>
      </c>
      <c r="C783" s="34" t="s">
        <v>102</v>
      </c>
      <c r="D783" s="34" t="str">
        <f>VLOOKUP(C783,'SALE PARTY MASTER'!$B$4:$E$500,2,FALSE)</f>
        <v>23AABCE9378F1ZK</v>
      </c>
      <c r="E783" s="34" t="s">
        <v>22</v>
      </c>
      <c r="F783" s="34" t="s">
        <v>2169</v>
      </c>
      <c r="G783" s="44">
        <v>43690</v>
      </c>
      <c r="H783" s="34">
        <v>87081090</v>
      </c>
      <c r="I783" s="34">
        <v>28</v>
      </c>
      <c r="J783" s="38">
        <v>5</v>
      </c>
      <c r="K783" s="40">
        <v>10154.35</v>
      </c>
      <c r="L783" s="41">
        <v>2843.2180000000003</v>
      </c>
      <c r="M783" s="41">
        <v>0</v>
      </c>
      <c r="N783" s="41">
        <v>0</v>
      </c>
      <c r="O783" s="41">
        <v>0</v>
      </c>
      <c r="P783" s="42">
        <v>12997.568000000001</v>
      </c>
      <c r="Q783" s="34" t="s">
        <v>25</v>
      </c>
      <c r="R783" s="34" t="s">
        <v>106</v>
      </c>
      <c r="S783" s="11" t="s">
        <v>4105</v>
      </c>
    </row>
    <row r="784" spans="1:19" x14ac:dyDescent="0.2">
      <c r="A784" s="33">
        <v>43678</v>
      </c>
      <c r="B784" s="34">
        <v>54</v>
      </c>
      <c r="C784" s="34" t="s">
        <v>102</v>
      </c>
      <c r="D784" s="34" t="str">
        <f>VLOOKUP(C784,'SALE PARTY MASTER'!$B$4:$E$500,2,FALSE)</f>
        <v>23AABCE9378F1ZK</v>
      </c>
      <c r="E784" s="34" t="s">
        <v>22</v>
      </c>
      <c r="F784" s="34" t="s">
        <v>2170</v>
      </c>
      <c r="G784" s="44">
        <v>43690</v>
      </c>
      <c r="H784" s="34">
        <v>87081090</v>
      </c>
      <c r="I784" s="34">
        <v>28</v>
      </c>
      <c r="J784" s="38">
        <v>5</v>
      </c>
      <c r="K784" s="40">
        <v>4694.1000000000004</v>
      </c>
      <c r="L784" s="41">
        <v>1314.348</v>
      </c>
      <c r="M784" s="41">
        <v>0</v>
      </c>
      <c r="N784" s="41">
        <v>0</v>
      </c>
      <c r="O784" s="41">
        <v>0</v>
      </c>
      <c r="P784" s="42">
        <v>6008.4480000000003</v>
      </c>
      <c r="Q784" s="34" t="s">
        <v>25</v>
      </c>
      <c r="R784" s="34" t="s">
        <v>106</v>
      </c>
      <c r="S784" s="11" t="s">
        <v>4105</v>
      </c>
    </row>
    <row r="785" spans="1:19" x14ac:dyDescent="0.2">
      <c r="A785" s="33">
        <v>43678</v>
      </c>
      <c r="B785" s="34">
        <v>55</v>
      </c>
      <c r="C785" s="34" t="s">
        <v>102</v>
      </c>
      <c r="D785" s="34" t="str">
        <f>VLOOKUP(C785,'SALE PARTY MASTER'!$B$4:$E$500,2,FALSE)</f>
        <v>23AABCE9378F1ZK</v>
      </c>
      <c r="E785" s="34" t="s">
        <v>22</v>
      </c>
      <c r="F785" s="34" t="s">
        <v>2171</v>
      </c>
      <c r="G785" s="44">
        <v>43690</v>
      </c>
      <c r="H785" s="34">
        <v>87081090</v>
      </c>
      <c r="I785" s="34">
        <v>28</v>
      </c>
      <c r="J785" s="38">
        <v>1</v>
      </c>
      <c r="K785" s="40">
        <v>2021.5</v>
      </c>
      <c r="L785" s="41">
        <v>566.02</v>
      </c>
      <c r="M785" s="41">
        <v>0</v>
      </c>
      <c r="N785" s="41">
        <v>0</v>
      </c>
      <c r="O785" s="41">
        <v>0</v>
      </c>
      <c r="P785" s="42">
        <v>2587.52</v>
      </c>
      <c r="Q785" s="34" t="s">
        <v>25</v>
      </c>
      <c r="R785" s="34" t="s">
        <v>106</v>
      </c>
      <c r="S785" s="11" t="s">
        <v>4105</v>
      </c>
    </row>
    <row r="786" spans="1:19" x14ac:dyDescent="0.2">
      <c r="A786" s="33">
        <v>43678</v>
      </c>
      <c r="B786" s="34">
        <v>56</v>
      </c>
      <c r="C786" s="34" t="s">
        <v>167</v>
      </c>
      <c r="D786" s="34" t="str">
        <f>VLOOKUP(C786,'SALE PARTY MASTER'!$B$4:$E$500,2,FALSE)</f>
        <v>27AABFP3834C1ZK</v>
      </c>
      <c r="E786" s="34" t="s">
        <v>22</v>
      </c>
      <c r="F786" s="34" t="s">
        <v>2172</v>
      </c>
      <c r="G786" s="44">
        <v>43690</v>
      </c>
      <c r="H786" s="34">
        <v>87141900</v>
      </c>
      <c r="I786" s="34">
        <v>28</v>
      </c>
      <c r="J786" s="38">
        <v>4100</v>
      </c>
      <c r="K786" s="40">
        <v>46073</v>
      </c>
      <c r="L786" s="41">
        <v>0</v>
      </c>
      <c r="M786" s="41">
        <v>6450.22</v>
      </c>
      <c r="N786" s="41">
        <v>6450.22</v>
      </c>
      <c r="O786" s="41">
        <v>0</v>
      </c>
      <c r="P786" s="42">
        <v>58973.440000000002</v>
      </c>
      <c r="Q786" s="34" t="s">
        <v>25</v>
      </c>
      <c r="R786" s="34" t="s">
        <v>26</v>
      </c>
      <c r="S786" s="11" t="s">
        <v>4105</v>
      </c>
    </row>
    <row r="787" spans="1:19" x14ac:dyDescent="0.2">
      <c r="A787" s="33">
        <v>43678</v>
      </c>
      <c r="B787" s="34">
        <v>57</v>
      </c>
      <c r="C787" s="34" t="s">
        <v>49</v>
      </c>
      <c r="D787" s="34" t="str">
        <f>VLOOKUP(C787,'SALE PARTY MASTER'!$B$4:$E$500,2,FALSE)</f>
        <v>27AABFJ4217F1ZP</v>
      </c>
      <c r="E787" s="34" t="s">
        <v>22</v>
      </c>
      <c r="F787" s="34" t="s">
        <v>2173</v>
      </c>
      <c r="G787" s="44">
        <v>43690</v>
      </c>
      <c r="H787" s="34">
        <v>998898</v>
      </c>
      <c r="I787" s="34">
        <v>18</v>
      </c>
      <c r="J787" s="38">
        <v>30</v>
      </c>
      <c r="K787" s="40">
        <v>8524.2000000000007</v>
      </c>
      <c r="L787" s="41">
        <v>0</v>
      </c>
      <c r="M787" s="41">
        <v>767.178</v>
      </c>
      <c r="N787" s="41">
        <v>767.178</v>
      </c>
      <c r="O787" s="41">
        <v>0</v>
      </c>
      <c r="P787" s="42">
        <v>10058.556</v>
      </c>
      <c r="Q787" s="34" t="s">
        <v>25</v>
      </c>
      <c r="R787" s="34" t="s">
        <v>26</v>
      </c>
      <c r="S787" s="11" t="s">
        <v>4105</v>
      </c>
    </row>
    <row r="788" spans="1:19" x14ac:dyDescent="0.2">
      <c r="A788" s="33">
        <v>43678</v>
      </c>
      <c r="B788" s="34">
        <v>58</v>
      </c>
      <c r="C788" s="34" t="s">
        <v>28</v>
      </c>
      <c r="D788" s="34" t="str">
        <f>VLOOKUP(C788,'SALE PARTY MASTER'!$B$4:$E$500,2,FALSE)</f>
        <v>27AAECM8871A1ZF</v>
      </c>
      <c r="E788" s="34" t="s">
        <v>22</v>
      </c>
      <c r="F788" s="34" t="s">
        <v>2174</v>
      </c>
      <c r="G788" s="44">
        <v>43691</v>
      </c>
      <c r="H788" s="34">
        <v>87089900</v>
      </c>
      <c r="I788" s="34">
        <v>28</v>
      </c>
      <c r="J788" s="38">
        <v>12</v>
      </c>
      <c r="K788" s="40">
        <v>23255.759999999998</v>
      </c>
      <c r="L788" s="41">
        <v>0</v>
      </c>
      <c r="M788" s="41">
        <v>3255.8063999999995</v>
      </c>
      <c r="N788" s="41">
        <v>3255.8063999999995</v>
      </c>
      <c r="O788" s="41">
        <v>0</v>
      </c>
      <c r="P788" s="42">
        <v>29767.372799999997</v>
      </c>
      <c r="Q788" s="34" t="s">
        <v>25</v>
      </c>
      <c r="R788" s="34" t="s">
        <v>26</v>
      </c>
      <c r="S788" s="11" t="s">
        <v>4105</v>
      </c>
    </row>
    <row r="789" spans="1:19" x14ac:dyDescent="0.2">
      <c r="A789" s="33">
        <v>43678</v>
      </c>
      <c r="B789" s="34">
        <v>59</v>
      </c>
      <c r="C789" s="34" t="s">
        <v>155</v>
      </c>
      <c r="D789" s="34" t="str">
        <f>VLOOKUP(C789,'SALE PARTY MASTER'!$B$4:$E$500,2,FALSE)</f>
        <v>27AAGCP0139E1ZP</v>
      </c>
      <c r="E789" s="34" t="s">
        <v>22</v>
      </c>
      <c r="F789" s="34" t="s">
        <v>2175</v>
      </c>
      <c r="G789" s="44">
        <v>43691</v>
      </c>
      <c r="H789" s="34">
        <v>87141090</v>
      </c>
      <c r="I789" s="34">
        <v>28</v>
      </c>
      <c r="J789" s="38">
        <v>700</v>
      </c>
      <c r="K789" s="40">
        <v>52759</v>
      </c>
      <c r="L789" s="41">
        <v>0</v>
      </c>
      <c r="M789" s="41">
        <v>7386.26</v>
      </c>
      <c r="N789" s="41">
        <v>7386.26</v>
      </c>
      <c r="O789" s="41">
        <v>0</v>
      </c>
      <c r="P789" s="42">
        <v>67531.520000000004</v>
      </c>
      <c r="Q789" s="34" t="s">
        <v>25</v>
      </c>
      <c r="R789" s="34" t="s">
        <v>26</v>
      </c>
      <c r="S789" s="11" t="s">
        <v>4105</v>
      </c>
    </row>
    <row r="790" spans="1:19" x14ac:dyDescent="0.2">
      <c r="A790" s="33">
        <v>43678</v>
      </c>
      <c r="B790" s="34">
        <v>60</v>
      </c>
      <c r="C790" s="34" t="s">
        <v>155</v>
      </c>
      <c r="D790" s="34" t="str">
        <f>VLOOKUP(C790,'SALE PARTY MASTER'!$B$4:$E$500,2,FALSE)</f>
        <v>27AAGCP0139E1ZP</v>
      </c>
      <c r="E790" s="34" t="s">
        <v>22</v>
      </c>
      <c r="F790" s="34" t="s">
        <v>2176</v>
      </c>
      <c r="G790" s="44">
        <v>43691</v>
      </c>
      <c r="H790" s="34">
        <v>87141090</v>
      </c>
      <c r="I790" s="34">
        <v>28</v>
      </c>
      <c r="J790" s="38">
        <v>700</v>
      </c>
      <c r="K790" s="40">
        <v>76188.600000000006</v>
      </c>
      <c r="L790" s="41">
        <v>0</v>
      </c>
      <c r="M790" s="41">
        <v>10666.404</v>
      </c>
      <c r="N790" s="41">
        <v>10666.404</v>
      </c>
      <c r="O790" s="41">
        <v>0</v>
      </c>
      <c r="P790" s="42">
        <v>97521.40800000001</v>
      </c>
      <c r="Q790" s="34" t="s">
        <v>25</v>
      </c>
      <c r="R790" s="34" t="s">
        <v>26</v>
      </c>
      <c r="S790" s="11" t="s">
        <v>4105</v>
      </c>
    </row>
    <row r="791" spans="1:19" x14ac:dyDescent="0.2">
      <c r="A791" s="33">
        <v>43678</v>
      </c>
      <c r="B791" s="34">
        <v>61</v>
      </c>
      <c r="C791" s="34" t="s">
        <v>155</v>
      </c>
      <c r="D791" s="34" t="str">
        <f>VLOOKUP(C791,'SALE PARTY MASTER'!$B$4:$E$500,2,FALSE)</f>
        <v>27AAGCP0139E1ZP</v>
      </c>
      <c r="E791" s="34" t="s">
        <v>22</v>
      </c>
      <c r="F791" s="34" t="s">
        <v>2177</v>
      </c>
      <c r="G791" s="44">
        <v>43691</v>
      </c>
      <c r="H791" s="34">
        <v>87141090</v>
      </c>
      <c r="I791" s="34">
        <v>28</v>
      </c>
      <c r="J791" s="38">
        <v>9</v>
      </c>
      <c r="K791" s="40">
        <v>678.33</v>
      </c>
      <c r="L791" s="41">
        <v>0</v>
      </c>
      <c r="M791" s="41">
        <v>94.966200000000015</v>
      </c>
      <c r="N791" s="41">
        <v>94.966200000000015</v>
      </c>
      <c r="O791" s="41">
        <v>0</v>
      </c>
      <c r="P791" s="42">
        <v>868.26240000000007</v>
      </c>
      <c r="Q791" s="34" t="s">
        <v>25</v>
      </c>
      <c r="R791" s="34" t="s">
        <v>26</v>
      </c>
      <c r="S791" s="11" t="s">
        <v>4105</v>
      </c>
    </row>
    <row r="792" spans="1:19" x14ac:dyDescent="0.2">
      <c r="A792" s="33">
        <v>43678</v>
      </c>
      <c r="B792" s="34">
        <v>62</v>
      </c>
      <c r="C792" s="34" t="s">
        <v>45</v>
      </c>
      <c r="D792" s="34" t="str">
        <f>VLOOKUP(C792,'SALE PARTY MASTER'!$B$4:$E$500,2,FALSE)</f>
        <v>27AAACD4090Q1Z8</v>
      </c>
      <c r="E792" s="34" t="s">
        <v>22</v>
      </c>
      <c r="F792" s="34" t="s">
        <v>2178</v>
      </c>
      <c r="G792" s="44">
        <v>43691</v>
      </c>
      <c r="H792" s="34">
        <v>85129000</v>
      </c>
      <c r="I792" s="34">
        <v>18</v>
      </c>
      <c r="J792" s="38">
        <v>637</v>
      </c>
      <c r="K792" s="40">
        <v>77720.37</v>
      </c>
      <c r="L792" s="41">
        <v>0</v>
      </c>
      <c r="M792" s="41">
        <v>6994.8332999999993</v>
      </c>
      <c r="N792" s="41">
        <v>6994.8332999999993</v>
      </c>
      <c r="O792" s="41">
        <v>0</v>
      </c>
      <c r="P792" s="42">
        <v>91710.036599999992</v>
      </c>
      <c r="Q792" s="34" t="s">
        <v>25</v>
      </c>
      <c r="R792" s="34" t="s">
        <v>26</v>
      </c>
      <c r="S792" s="11" t="s">
        <v>4105</v>
      </c>
    </row>
    <row r="793" spans="1:19" x14ac:dyDescent="0.2">
      <c r="A793" s="33">
        <v>43678</v>
      </c>
      <c r="B793" s="34">
        <v>63</v>
      </c>
      <c r="C793" s="34" t="s">
        <v>167</v>
      </c>
      <c r="D793" s="34" t="str">
        <f>VLOOKUP(C793,'SALE PARTY MASTER'!$B$4:$E$500,2,FALSE)</f>
        <v>27AABFP3834C1ZK</v>
      </c>
      <c r="E793" s="34" t="s">
        <v>22</v>
      </c>
      <c r="F793" s="34" t="s">
        <v>2179</v>
      </c>
      <c r="G793" s="44">
        <v>43693</v>
      </c>
      <c r="H793" s="34">
        <v>87141900</v>
      </c>
      <c r="I793" s="34">
        <v>28</v>
      </c>
      <c r="J793" s="38">
        <v>4540</v>
      </c>
      <c r="K793" s="40">
        <v>50921.4</v>
      </c>
      <c r="L793" s="41">
        <v>0</v>
      </c>
      <c r="M793" s="41">
        <v>7128.9960000000001</v>
      </c>
      <c r="N793" s="41">
        <v>7128.9960000000001</v>
      </c>
      <c r="O793" s="41">
        <v>0</v>
      </c>
      <c r="P793" s="42">
        <v>65179.392</v>
      </c>
      <c r="Q793" s="34" t="s">
        <v>25</v>
      </c>
      <c r="R793" s="34" t="s">
        <v>26</v>
      </c>
      <c r="S793" s="11" t="s">
        <v>4105</v>
      </c>
    </row>
    <row r="794" spans="1:19" x14ac:dyDescent="0.2">
      <c r="A794" s="33">
        <v>43678</v>
      </c>
      <c r="B794" s="34">
        <v>64</v>
      </c>
      <c r="C794" s="34" t="s">
        <v>73</v>
      </c>
      <c r="D794" s="34" t="str">
        <f>VLOOKUP(C794,'SALE PARTY MASTER'!$B$4:$E$500,2,FALSE)</f>
        <v>27AAACH4211R1ZF</v>
      </c>
      <c r="E794" s="34" t="s">
        <v>22</v>
      </c>
      <c r="F794" s="34" t="s">
        <v>2180</v>
      </c>
      <c r="G794" s="44">
        <v>43693</v>
      </c>
      <c r="H794" s="34">
        <v>85129000</v>
      </c>
      <c r="I794" s="34">
        <v>18</v>
      </c>
      <c r="J794" s="38">
        <v>1920</v>
      </c>
      <c r="K794" s="40">
        <v>48000</v>
      </c>
      <c r="L794" s="41">
        <v>0</v>
      </c>
      <c r="M794" s="41">
        <v>4320</v>
      </c>
      <c r="N794" s="41">
        <v>4320</v>
      </c>
      <c r="O794" s="41">
        <v>0</v>
      </c>
      <c r="P794" s="42">
        <v>56640</v>
      </c>
      <c r="Q794" s="34" t="s">
        <v>25</v>
      </c>
      <c r="R794" s="34" t="s">
        <v>26</v>
      </c>
      <c r="S794" s="11" t="s">
        <v>4105</v>
      </c>
    </row>
    <row r="795" spans="1:19" x14ac:dyDescent="0.2">
      <c r="A795" s="33">
        <v>43678</v>
      </c>
      <c r="B795" s="34">
        <v>65</v>
      </c>
      <c r="C795" s="34" t="s">
        <v>28</v>
      </c>
      <c r="D795" s="34" t="str">
        <f>VLOOKUP(C795,'SALE PARTY MASTER'!$B$4:$E$500,2,FALSE)</f>
        <v>27AAECM8871A1ZF</v>
      </c>
      <c r="E795" s="34" t="s">
        <v>22</v>
      </c>
      <c r="F795" s="34" t="s">
        <v>2181</v>
      </c>
      <c r="G795" s="44">
        <v>43693</v>
      </c>
      <c r="H795" s="34">
        <v>87089900</v>
      </c>
      <c r="I795" s="34">
        <v>28</v>
      </c>
      <c r="J795" s="38">
        <v>10</v>
      </c>
      <c r="K795" s="40">
        <v>19379.8</v>
      </c>
      <c r="L795" s="41">
        <v>0</v>
      </c>
      <c r="M795" s="41">
        <v>2713.172</v>
      </c>
      <c r="N795" s="41">
        <v>2713.172</v>
      </c>
      <c r="O795" s="41">
        <v>0</v>
      </c>
      <c r="P795" s="42">
        <v>24806.144</v>
      </c>
      <c r="Q795" s="34" t="s">
        <v>25</v>
      </c>
      <c r="R795" s="34" t="s">
        <v>26</v>
      </c>
      <c r="S795" s="11" t="s">
        <v>4105</v>
      </c>
    </row>
    <row r="796" spans="1:19" x14ac:dyDescent="0.2">
      <c r="A796" s="33">
        <v>43678</v>
      </c>
      <c r="B796" s="34">
        <v>66</v>
      </c>
      <c r="C796" s="34" t="s">
        <v>224</v>
      </c>
      <c r="D796" s="34" t="str">
        <f>VLOOKUP(C796,'SALE PARTY MASTER'!$B$4:$E$500,2,FALSE)</f>
        <v>27AAACV2420J1ZI</v>
      </c>
      <c r="E796" s="34" t="s">
        <v>22</v>
      </c>
      <c r="F796" s="34" t="s">
        <v>2182</v>
      </c>
      <c r="G796" s="44">
        <v>43693</v>
      </c>
      <c r="H796" s="34">
        <v>85119000</v>
      </c>
      <c r="I796" s="34">
        <v>28</v>
      </c>
      <c r="J796" s="38">
        <v>1080</v>
      </c>
      <c r="K796" s="40">
        <v>59929.2</v>
      </c>
      <c r="L796" s="41">
        <v>0</v>
      </c>
      <c r="M796" s="41">
        <v>8390.0879999999997</v>
      </c>
      <c r="N796" s="41">
        <v>8390.0879999999997</v>
      </c>
      <c r="O796" s="41">
        <v>0</v>
      </c>
      <c r="P796" s="42">
        <v>76709.375999999989</v>
      </c>
      <c r="Q796" s="34" t="s">
        <v>25</v>
      </c>
      <c r="R796" s="34" t="s">
        <v>26</v>
      </c>
      <c r="S796" s="11" t="s">
        <v>4105</v>
      </c>
    </row>
    <row r="797" spans="1:19" x14ac:dyDescent="0.2">
      <c r="A797" s="33">
        <v>43678</v>
      </c>
      <c r="B797" s="34">
        <v>67</v>
      </c>
      <c r="C797" s="34" t="s">
        <v>155</v>
      </c>
      <c r="D797" s="34" t="str">
        <f>VLOOKUP(C797,'SALE PARTY MASTER'!$B$4:$E$500,2,FALSE)</f>
        <v>27AAGCP0139E1ZP</v>
      </c>
      <c r="E797" s="34" t="s">
        <v>22</v>
      </c>
      <c r="F797" s="34" t="s">
        <v>2183</v>
      </c>
      <c r="G797" s="44">
        <v>43693</v>
      </c>
      <c r="H797" s="34">
        <v>87141090</v>
      </c>
      <c r="I797" s="34">
        <v>28</v>
      </c>
      <c r="J797" s="38">
        <v>600</v>
      </c>
      <c r="K797" s="40">
        <v>45222</v>
      </c>
      <c r="L797" s="41">
        <v>0</v>
      </c>
      <c r="M797" s="41">
        <v>6331.08</v>
      </c>
      <c r="N797" s="41">
        <v>6331.08</v>
      </c>
      <c r="O797" s="41">
        <v>0</v>
      </c>
      <c r="P797" s="42">
        <v>57884.160000000003</v>
      </c>
      <c r="Q797" s="34" t="s">
        <v>25</v>
      </c>
      <c r="R797" s="34" t="s">
        <v>26</v>
      </c>
      <c r="S797" s="11" t="s">
        <v>4105</v>
      </c>
    </row>
    <row r="798" spans="1:19" x14ac:dyDescent="0.2">
      <c r="A798" s="33">
        <v>43678</v>
      </c>
      <c r="B798" s="34">
        <v>68</v>
      </c>
      <c r="C798" s="34" t="s">
        <v>37</v>
      </c>
      <c r="D798" s="34" t="str">
        <f>VLOOKUP(C798,'SALE PARTY MASTER'!$B$4:$E$500,2,FALSE)</f>
        <v>27AAGCM1258H1ZG</v>
      </c>
      <c r="E798" s="34" t="s">
        <v>22</v>
      </c>
      <c r="F798" s="34" t="s">
        <v>2184</v>
      </c>
      <c r="G798" s="44">
        <v>43693</v>
      </c>
      <c r="H798" s="34">
        <v>998898</v>
      </c>
      <c r="I798" s="34">
        <v>18</v>
      </c>
      <c r="J798" s="38">
        <v>78</v>
      </c>
      <c r="K798" s="40">
        <v>14820</v>
      </c>
      <c r="L798" s="41">
        <v>0</v>
      </c>
      <c r="M798" s="41">
        <v>1333.8</v>
      </c>
      <c r="N798" s="41">
        <v>1333.8</v>
      </c>
      <c r="O798" s="41">
        <v>0</v>
      </c>
      <c r="P798" s="42">
        <v>17487.599999999999</v>
      </c>
      <c r="Q798" s="34" t="s">
        <v>25</v>
      </c>
      <c r="R798" s="34" t="s">
        <v>26</v>
      </c>
      <c r="S798" s="11" t="s">
        <v>4105</v>
      </c>
    </row>
    <row r="799" spans="1:19" x14ac:dyDescent="0.2">
      <c r="A799" s="33">
        <v>43678</v>
      </c>
      <c r="B799" s="34">
        <v>69</v>
      </c>
      <c r="C799" s="34" t="s">
        <v>124</v>
      </c>
      <c r="D799" s="34" t="str">
        <f>VLOOKUP(C799,'SALE PARTY MASTER'!$B$4:$E$500,2,FALSE)</f>
        <v>27AAACB2484Q1Z8</v>
      </c>
      <c r="E799" s="34" t="s">
        <v>22</v>
      </c>
      <c r="F799" s="34" t="s">
        <v>2185</v>
      </c>
      <c r="G799" s="44">
        <v>43694</v>
      </c>
      <c r="H799" s="34">
        <v>998898</v>
      </c>
      <c r="I799" s="34">
        <v>18</v>
      </c>
      <c r="J799" s="38">
        <v>1338</v>
      </c>
      <c r="K799" s="40">
        <v>120144</v>
      </c>
      <c r="L799" s="41">
        <v>0</v>
      </c>
      <c r="M799" s="41">
        <v>10812.960000000001</v>
      </c>
      <c r="N799" s="41">
        <v>10812.960000000001</v>
      </c>
      <c r="O799" s="41">
        <v>0</v>
      </c>
      <c r="P799" s="42">
        <v>141769.92000000001</v>
      </c>
      <c r="Q799" s="34" t="s">
        <v>25</v>
      </c>
      <c r="R799" s="34" t="s">
        <v>26</v>
      </c>
      <c r="S799" s="11" t="s">
        <v>4105</v>
      </c>
    </row>
    <row r="800" spans="1:19" x14ac:dyDescent="0.2">
      <c r="A800" s="33">
        <v>43678</v>
      </c>
      <c r="B800" s="34">
        <v>70</v>
      </c>
      <c r="C800" s="34" t="s">
        <v>124</v>
      </c>
      <c r="D800" s="34" t="str">
        <f>VLOOKUP(C800,'SALE PARTY MASTER'!$B$4:$E$500,2,FALSE)</f>
        <v>27AAACB2484Q1Z8</v>
      </c>
      <c r="E800" s="34" t="s">
        <v>22</v>
      </c>
      <c r="F800" s="34" t="s">
        <v>2186</v>
      </c>
      <c r="G800" s="44">
        <v>43694</v>
      </c>
      <c r="H800" s="34">
        <v>998898</v>
      </c>
      <c r="I800" s="34">
        <v>18</v>
      </c>
      <c r="J800" s="38">
        <v>304</v>
      </c>
      <c r="K800" s="40">
        <v>20672</v>
      </c>
      <c r="L800" s="41">
        <v>0</v>
      </c>
      <c r="M800" s="41">
        <v>1860.48</v>
      </c>
      <c r="N800" s="41">
        <v>1860.48</v>
      </c>
      <c r="O800" s="41">
        <v>0</v>
      </c>
      <c r="P800" s="42">
        <v>24392.959999999999</v>
      </c>
      <c r="Q800" s="34" t="s">
        <v>25</v>
      </c>
      <c r="R800" s="34" t="s">
        <v>26</v>
      </c>
      <c r="S800" s="11" t="s">
        <v>4105</v>
      </c>
    </row>
    <row r="801" spans="1:19" x14ac:dyDescent="0.2">
      <c r="A801" s="33">
        <v>43678</v>
      </c>
      <c r="B801" s="34">
        <v>71</v>
      </c>
      <c r="C801" s="34" t="s">
        <v>155</v>
      </c>
      <c r="D801" s="34" t="str">
        <f>VLOOKUP(C801,'SALE PARTY MASTER'!$B$4:$E$500,2,FALSE)</f>
        <v>27AAGCP0139E1ZP</v>
      </c>
      <c r="E801" s="34" t="s">
        <v>22</v>
      </c>
      <c r="F801" s="34" t="s">
        <v>2187</v>
      </c>
      <c r="G801" s="44">
        <v>43694</v>
      </c>
      <c r="H801" s="34">
        <v>87141090</v>
      </c>
      <c r="I801" s="34">
        <v>28</v>
      </c>
      <c r="J801" s="38">
        <v>620</v>
      </c>
      <c r="K801" s="40">
        <v>46729.4</v>
      </c>
      <c r="L801" s="41">
        <v>0</v>
      </c>
      <c r="M801" s="41">
        <v>6542.1160000000009</v>
      </c>
      <c r="N801" s="41">
        <v>6542.1160000000009</v>
      </c>
      <c r="O801" s="41">
        <v>0</v>
      </c>
      <c r="P801" s="42">
        <v>59813.632000000005</v>
      </c>
      <c r="Q801" s="34" t="s">
        <v>25</v>
      </c>
      <c r="R801" s="34" t="s">
        <v>26</v>
      </c>
      <c r="S801" s="11" t="s">
        <v>4105</v>
      </c>
    </row>
    <row r="802" spans="1:19" x14ac:dyDescent="0.2">
      <c r="A802" s="33">
        <v>43678</v>
      </c>
      <c r="B802" s="34">
        <v>72</v>
      </c>
      <c r="C802" s="34" t="s">
        <v>155</v>
      </c>
      <c r="D802" s="34" t="str">
        <f>VLOOKUP(C802,'SALE PARTY MASTER'!$B$4:$E$500,2,FALSE)</f>
        <v>27AAGCP0139E1ZP</v>
      </c>
      <c r="E802" s="34" t="s">
        <v>22</v>
      </c>
      <c r="F802" s="34" t="s">
        <v>2188</v>
      </c>
      <c r="G802" s="44">
        <v>43694</v>
      </c>
      <c r="H802" s="34">
        <v>87141090</v>
      </c>
      <c r="I802" s="34">
        <v>28</v>
      </c>
      <c r="J802" s="38">
        <v>480</v>
      </c>
      <c r="K802" s="40">
        <v>22574.400000000001</v>
      </c>
      <c r="L802" s="41">
        <v>0</v>
      </c>
      <c r="M802" s="41">
        <v>3160.4160000000002</v>
      </c>
      <c r="N802" s="41">
        <v>3160.4160000000002</v>
      </c>
      <c r="O802" s="41">
        <v>0</v>
      </c>
      <c r="P802" s="42">
        <v>28895.232000000004</v>
      </c>
      <c r="Q802" s="34" t="s">
        <v>25</v>
      </c>
      <c r="R802" s="34" t="s">
        <v>26</v>
      </c>
      <c r="S802" s="11" t="s">
        <v>4105</v>
      </c>
    </row>
    <row r="803" spans="1:19" x14ac:dyDescent="0.2">
      <c r="A803" s="33">
        <v>43678</v>
      </c>
      <c r="B803" s="34">
        <v>73</v>
      </c>
      <c r="C803" s="34" t="s">
        <v>167</v>
      </c>
      <c r="D803" s="34" t="str">
        <f>VLOOKUP(C803,'SALE PARTY MASTER'!$B$4:$E$500,2,FALSE)</f>
        <v>27AABFP3834C1ZK</v>
      </c>
      <c r="E803" s="34" t="s">
        <v>22</v>
      </c>
      <c r="F803" s="34" t="s">
        <v>2189</v>
      </c>
      <c r="G803" s="44">
        <v>43694</v>
      </c>
      <c r="H803" s="34">
        <v>87141900</v>
      </c>
      <c r="I803" s="34">
        <v>28</v>
      </c>
      <c r="J803" s="38">
        <v>3220</v>
      </c>
      <c r="K803" s="40">
        <v>45686.2</v>
      </c>
      <c r="L803" s="41">
        <v>0</v>
      </c>
      <c r="M803" s="41">
        <v>6396.0679999999993</v>
      </c>
      <c r="N803" s="41">
        <v>6396.0679999999993</v>
      </c>
      <c r="O803" s="41">
        <v>0</v>
      </c>
      <c r="P803" s="42">
        <v>58478.335999999996</v>
      </c>
      <c r="Q803" s="34" t="s">
        <v>25</v>
      </c>
      <c r="R803" s="34" t="s">
        <v>26</v>
      </c>
      <c r="S803" s="11" t="s">
        <v>4105</v>
      </c>
    </row>
    <row r="804" spans="1:19" x14ac:dyDescent="0.2">
      <c r="A804" s="33">
        <v>43678</v>
      </c>
      <c r="B804" s="34">
        <v>74</v>
      </c>
      <c r="C804" s="34" t="s">
        <v>124</v>
      </c>
      <c r="D804" s="34" t="str">
        <f>VLOOKUP(C804,'SALE PARTY MASTER'!$B$4:$E$500,2,FALSE)</f>
        <v>27AAACB2484Q1Z8</v>
      </c>
      <c r="E804" s="34" t="s">
        <v>22</v>
      </c>
      <c r="F804" s="34" t="s">
        <v>2190</v>
      </c>
      <c r="G804" s="44">
        <v>43695</v>
      </c>
      <c r="H804" s="34">
        <v>998898</v>
      </c>
      <c r="I804" s="34">
        <v>18</v>
      </c>
      <c r="J804" s="38">
        <v>1350</v>
      </c>
      <c r="K804" s="40">
        <v>116100</v>
      </c>
      <c r="L804" s="41">
        <v>0</v>
      </c>
      <c r="M804" s="41">
        <v>10449</v>
      </c>
      <c r="N804" s="41">
        <v>10449</v>
      </c>
      <c r="O804" s="41">
        <v>0</v>
      </c>
      <c r="P804" s="42">
        <v>136998</v>
      </c>
      <c r="Q804" s="34" t="s">
        <v>25</v>
      </c>
      <c r="R804" s="34" t="s">
        <v>26</v>
      </c>
      <c r="S804" s="11" t="s">
        <v>4105</v>
      </c>
    </row>
    <row r="805" spans="1:19" x14ac:dyDescent="0.2">
      <c r="A805" s="33">
        <v>43678</v>
      </c>
      <c r="B805" s="34">
        <v>75</v>
      </c>
      <c r="C805" s="34" t="s">
        <v>40</v>
      </c>
      <c r="D805" s="34" t="str">
        <f>VLOOKUP(C805,'SALE PARTY MASTER'!$B$4:$E$500,2,FALSE)</f>
        <v>27AAACT1848E1ZH</v>
      </c>
      <c r="E805" s="34" t="s">
        <v>22</v>
      </c>
      <c r="F805" s="34" t="s">
        <v>2191</v>
      </c>
      <c r="G805" s="44">
        <v>43696</v>
      </c>
      <c r="H805" s="34">
        <v>87089900</v>
      </c>
      <c r="I805" s="34">
        <v>28</v>
      </c>
      <c r="J805" s="38">
        <v>158</v>
      </c>
      <c r="K805" s="40">
        <v>27438.36</v>
      </c>
      <c r="L805" s="41">
        <v>0</v>
      </c>
      <c r="M805" s="41">
        <v>3841.3703999999998</v>
      </c>
      <c r="N805" s="41">
        <v>3841.3703999999998</v>
      </c>
      <c r="O805" s="41">
        <v>0</v>
      </c>
      <c r="P805" s="42">
        <v>35121.1008</v>
      </c>
      <c r="Q805" s="34" t="s">
        <v>25</v>
      </c>
      <c r="R805" s="34" t="s">
        <v>26</v>
      </c>
      <c r="S805" s="11" t="s">
        <v>4105</v>
      </c>
    </row>
    <row r="806" spans="1:19" x14ac:dyDescent="0.2">
      <c r="A806" s="33">
        <v>43678</v>
      </c>
      <c r="B806" s="34">
        <v>76</v>
      </c>
      <c r="C806" s="34" t="s">
        <v>167</v>
      </c>
      <c r="D806" s="34" t="str">
        <f>VLOOKUP(C806,'SALE PARTY MASTER'!$B$4:$E$500,2,FALSE)</f>
        <v>27AABFP3834C1ZK</v>
      </c>
      <c r="E806" s="34" t="s">
        <v>22</v>
      </c>
      <c r="F806" s="34" t="s">
        <v>2192</v>
      </c>
      <c r="G806" s="44">
        <v>43696</v>
      </c>
      <c r="H806" s="34">
        <v>87141900</v>
      </c>
      <c r="I806" s="34">
        <v>28</v>
      </c>
      <c r="J806" s="38">
        <v>3290</v>
      </c>
      <c r="K806" s="40">
        <v>37009.699999999997</v>
      </c>
      <c r="L806" s="41">
        <v>0</v>
      </c>
      <c r="M806" s="41">
        <v>5181.3580000000002</v>
      </c>
      <c r="N806" s="41">
        <v>5181.3580000000002</v>
      </c>
      <c r="O806" s="41">
        <v>0</v>
      </c>
      <c r="P806" s="42">
        <v>47372.415999999997</v>
      </c>
      <c r="Q806" s="34" t="s">
        <v>25</v>
      </c>
      <c r="R806" s="34" t="s">
        <v>26</v>
      </c>
      <c r="S806" s="11" t="s">
        <v>4105</v>
      </c>
    </row>
    <row r="807" spans="1:19" x14ac:dyDescent="0.2">
      <c r="A807" s="33">
        <v>43678</v>
      </c>
      <c r="B807" s="34">
        <v>77</v>
      </c>
      <c r="C807" s="34" t="s">
        <v>73</v>
      </c>
      <c r="D807" s="34" t="str">
        <f>VLOOKUP(C807,'SALE PARTY MASTER'!$B$4:$E$500,2,FALSE)</f>
        <v>27AAACH4211R1ZF</v>
      </c>
      <c r="E807" s="34" t="s">
        <v>22</v>
      </c>
      <c r="F807" s="34" t="s">
        <v>2193</v>
      </c>
      <c r="G807" s="44">
        <v>43696</v>
      </c>
      <c r="H807" s="34">
        <v>85129000</v>
      </c>
      <c r="I807" s="34">
        <v>18</v>
      </c>
      <c r="J807" s="38">
        <v>1680</v>
      </c>
      <c r="K807" s="40">
        <v>42000</v>
      </c>
      <c r="L807" s="41">
        <v>0</v>
      </c>
      <c r="M807" s="41">
        <v>3780</v>
      </c>
      <c r="N807" s="41">
        <v>3780</v>
      </c>
      <c r="O807" s="41">
        <v>0</v>
      </c>
      <c r="P807" s="42">
        <v>49560</v>
      </c>
      <c r="Q807" s="34" t="s">
        <v>25</v>
      </c>
      <c r="R807" s="34" t="s">
        <v>26</v>
      </c>
      <c r="S807" s="11" t="s">
        <v>4105</v>
      </c>
    </row>
    <row r="808" spans="1:19" x14ac:dyDescent="0.2">
      <c r="A808" s="33">
        <v>43678</v>
      </c>
      <c r="B808" s="34">
        <v>78</v>
      </c>
      <c r="C808" s="34" t="s">
        <v>124</v>
      </c>
      <c r="D808" s="34" t="str">
        <f>VLOOKUP(C808,'SALE PARTY MASTER'!$B$4:$E$500,2,FALSE)</f>
        <v>27AAACB2484Q1Z8</v>
      </c>
      <c r="E808" s="34" t="s">
        <v>22</v>
      </c>
      <c r="F808" s="34" t="s">
        <v>2194</v>
      </c>
      <c r="G808" s="44">
        <v>43696</v>
      </c>
      <c r="H808" s="34">
        <v>998898</v>
      </c>
      <c r="I808" s="34">
        <v>18</v>
      </c>
      <c r="J808" s="38">
        <v>978</v>
      </c>
      <c r="K808" s="40">
        <v>83964</v>
      </c>
      <c r="L808" s="41">
        <v>0</v>
      </c>
      <c r="M808" s="41">
        <v>7556.76</v>
      </c>
      <c r="N808" s="41">
        <v>7556.76</v>
      </c>
      <c r="O808" s="41">
        <v>0</v>
      </c>
      <c r="P808" s="42">
        <v>99077.52</v>
      </c>
      <c r="Q808" s="34" t="s">
        <v>25</v>
      </c>
      <c r="R808" s="34" t="s">
        <v>26</v>
      </c>
      <c r="S808" s="11" t="s">
        <v>4105</v>
      </c>
    </row>
    <row r="809" spans="1:19" x14ac:dyDescent="0.2">
      <c r="A809" s="33">
        <v>43678</v>
      </c>
      <c r="B809" s="34">
        <v>79</v>
      </c>
      <c r="C809" s="34" t="s">
        <v>28</v>
      </c>
      <c r="D809" s="34" t="str">
        <f>VLOOKUP(C809,'SALE PARTY MASTER'!$B$4:$E$500,2,FALSE)</f>
        <v>27AAECM8871A1ZF</v>
      </c>
      <c r="E809" s="34" t="s">
        <v>22</v>
      </c>
      <c r="F809" s="34" t="s">
        <v>2195</v>
      </c>
      <c r="G809" s="44">
        <v>43697</v>
      </c>
      <c r="H809" s="34">
        <v>87089900</v>
      </c>
      <c r="I809" s="34">
        <v>28</v>
      </c>
      <c r="J809" s="38">
        <v>12</v>
      </c>
      <c r="K809" s="40">
        <v>23255.759999999998</v>
      </c>
      <c r="L809" s="41">
        <v>0</v>
      </c>
      <c r="M809" s="41">
        <v>3255.8063999999995</v>
      </c>
      <c r="N809" s="41">
        <v>3255.8063999999995</v>
      </c>
      <c r="O809" s="41">
        <v>0</v>
      </c>
      <c r="P809" s="42">
        <v>29767.382799999996</v>
      </c>
      <c r="Q809" s="34" t="s">
        <v>25</v>
      </c>
      <c r="R809" s="34" t="s">
        <v>26</v>
      </c>
      <c r="S809" s="11" t="s">
        <v>4105</v>
      </c>
    </row>
    <row r="810" spans="1:19" x14ac:dyDescent="0.2">
      <c r="A810" s="33">
        <v>43678</v>
      </c>
      <c r="B810" s="34">
        <v>80</v>
      </c>
      <c r="C810" s="34" t="s">
        <v>28</v>
      </c>
      <c r="D810" s="34" t="str">
        <f>VLOOKUP(C810,'SALE PARTY MASTER'!$B$4:$E$500,2,FALSE)</f>
        <v>27AAECM8871A1ZF</v>
      </c>
      <c r="E810" s="34" t="s">
        <v>22</v>
      </c>
      <c r="F810" s="34" t="s">
        <v>2196</v>
      </c>
      <c r="G810" s="44">
        <v>43697</v>
      </c>
      <c r="H810" s="34">
        <v>87089900</v>
      </c>
      <c r="I810" s="34">
        <v>28</v>
      </c>
      <c r="J810" s="38">
        <v>12</v>
      </c>
      <c r="K810" s="40">
        <v>23255.759999999998</v>
      </c>
      <c r="L810" s="41">
        <v>0</v>
      </c>
      <c r="M810" s="41">
        <v>3255.8063999999995</v>
      </c>
      <c r="N810" s="41">
        <v>3255.8063999999995</v>
      </c>
      <c r="O810" s="41">
        <v>0</v>
      </c>
      <c r="P810" s="42">
        <v>29767.382799999996</v>
      </c>
      <c r="Q810" s="34" t="s">
        <v>25</v>
      </c>
      <c r="R810" s="34" t="s">
        <v>26</v>
      </c>
      <c r="S810" s="11" t="s">
        <v>4105</v>
      </c>
    </row>
    <row r="811" spans="1:19" x14ac:dyDescent="0.2">
      <c r="A811" s="33">
        <v>43678</v>
      </c>
      <c r="B811" s="34">
        <v>81</v>
      </c>
      <c r="C811" s="34" t="s">
        <v>45</v>
      </c>
      <c r="D811" s="34" t="str">
        <f>VLOOKUP(C811,'SALE PARTY MASTER'!$B$4:$E$500,2,FALSE)</f>
        <v>27AAACD4090Q1Z8</v>
      </c>
      <c r="E811" s="34" t="s">
        <v>22</v>
      </c>
      <c r="F811" s="34" t="s">
        <v>2197</v>
      </c>
      <c r="G811" s="44">
        <v>43697</v>
      </c>
      <c r="H811" s="34">
        <v>85129000</v>
      </c>
      <c r="I811" s="34">
        <v>18</v>
      </c>
      <c r="J811" s="38">
        <v>423</v>
      </c>
      <c r="K811" s="40">
        <v>27308.880000000001</v>
      </c>
      <c r="L811" s="41">
        <v>0</v>
      </c>
      <c r="M811" s="41">
        <v>2457.7991999999999</v>
      </c>
      <c r="N811" s="41">
        <v>2457.7991999999999</v>
      </c>
      <c r="O811" s="41">
        <v>0</v>
      </c>
      <c r="P811" s="42">
        <v>32224.4784</v>
      </c>
      <c r="Q811" s="34" t="s">
        <v>25</v>
      </c>
      <c r="R811" s="34" t="s">
        <v>26</v>
      </c>
      <c r="S811" s="11" t="s">
        <v>4105</v>
      </c>
    </row>
    <row r="812" spans="1:19" x14ac:dyDescent="0.2">
      <c r="A812" s="33">
        <v>43678</v>
      </c>
      <c r="B812" s="34">
        <v>82</v>
      </c>
      <c r="C812" s="34" t="s">
        <v>28</v>
      </c>
      <c r="D812" s="34" t="str">
        <f>VLOOKUP(C812,'SALE PARTY MASTER'!$B$4:$E$500,2,FALSE)</f>
        <v>27AAECM8871A1ZF</v>
      </c>
      <c r="E812" s="34" t="s">
        <v>22</v>
      </c>
      <c r="F812" s="34" t="s">
        <v>2198</v>
      </c>
      <c r="G812" s="44">
        <v>43697</v>
      </c>
      <c r="H812" s="34">
        <v>87089900</v>
      </c>
      <c r="I812" s="34">
        <v>28</v>
      </c>
      <c r="J812" s="38">
        <v>12</v>
      </c>
      <c r="K812" s="40">
        <v>23255.759999999998</v>
      </c>
      <c r="L812" s="41">
        <v>0</v>
      </c>
      <c r="M812" s="41">
        <v>3255.8063999999995</v>
      </c>
      <c r="N812" s="41">
        <v>3255.8063999999995</v>
      </c>
      <c r="O812" s="41">
        <v>0</v>
      </c>
      <c r="P812" s="42">
        <v>29767.382799999996</v>
      </c>
      <c r="Q812" s="34" t="s">
        <v>25</v>
      </c>
      <c r="R812" s="34" t="s">
        <v>26</v>
      </c>
      <c r="S812" s="11" t="s">
        <v>4105</v>
      </c>
    </row>
    <row r="813" spans="1:19" x14ac:dyDescent="0.2">
      <c r="A813" s="33">
        <v>43678</v>
      </c>
      <c r="B813" s="34">
        <v>83</v>
      </c>
      <c r="C813" s="34" t="s">
        <v>45</v>
      </c>
      <c r="D813" s="34" t="str">
        <f>VLOOKUP(C813,'SALE PARTY MASTER'!$B$4:$E$500,2,FALSE)</f>
        <v>27AAACD4090Q1Z8</v>
      </c>
      <c r="E813" s="34" t="s">
        <v>22</v>
      </c>
      <c r="F813" s="34" t="s">
        <v>2199</v>
      </c>
      <c r="G813" s="44">
        <v>43697</v>
      </c>
      <c r="H813" s="34">
        <v>85129000</v>
      </c>
      <c r="I813" s="34">
        <v>18</v>
      </c>
      <c r="J813" s="38">
        <v>936</v>
      </c>
      <c r="K813" s="40">
        <v>114201.36</v>
      </c>
      <c r="L813" s="41">
        <v>0</v>
      </c>
      <c r="M813" s="41">
        <v>10278.1224</v>
      </c>
      <c r="N813" s="41">
        <v>10278.1224</v>
      </c>
      <c r="O813" s="41">
        <v>0</v>
      </c>
      <c r="P813" s="42">
        <v>134757.6048</v>
      </c>
      <c r="Q813" s="34" t="s">
        <v>25</v>
      </c>
      <c r="R813" s="34" t="s">
        <v>26</v>
      </c>
      <c r="S813" s="11" t="s">
        <v>4105</v>
      </c>
    </row>
    <row r="814" spans="1:19" x14ac:dyDescent="0.2">
      <c r="A814" s="33">
        <v>43678</v>
      </c>
      <c r="B814" s="34">
        <v>84</v>
      </c>
      <c r="C814" s="34" t="s">
        <v>167</v>
      </c>
      <c r="D814" s="34" t="str">
        <f>VLOOKUP(C814,'SALE PARTY MASTER'!$B$4:$E$500,2,FALSE)</f>
        <v>27AABFP3834C1ZK</v>
      </c>
      <c r="E814" s="34" t="s">
        <v>22</v>
      </c>
      <c r="F814" s="34" t="s">
        <v>2200</v>
      </c>
      <c r="G814" s="44">
        <v>43697</v>
      </c>
      <c r="H814" s="34">
        <v>87141900</v>
      </c>
      <c r="I814" s="34">
        <v>28</v>
      </c>
      <c r="J814" s="38">
        <v>3580</v>
      </c>
      <c r="K814" s="40">
        <v>38311.800000000003</v>
      </c>
      <c r="L814" s="41">
        <v>0</v>
      </c>
      <c r="M814" s="41">
        <v>5363.652000000001</v>
      </c>
      <c r="N814" s="41">
        <v>5363.652000000001</v>
      </c>
      <c r="O814" s="41">
        <v>0</v>
      </c>
      <c r="P814" s="42">
        <v>49039.104000000007</v>
      </c>
      <c r="Q814" s="34" t="s">
        <v>25</v>
      </c>
      <c r="R814" s="34" t="s">
        <v>26</v>
      </c>
      <c r="S814" s="11" t="s">
        <v>4105</v>
      </c>
    </row>
    <row r="815" spans="1:19" x14ac:dyDescent="0.2">
      <c r="A815" s="33">
        <v>43678</v>
      </c>
      <c r="B815" s="34">
        <v>85</v>
      </c>
      <c r="C815" s="34" t="s">
        <v>28</v>
      </c>
      <c r="D815" s="34" t="str">
        <f>VLOOKUP(C815,'SALE PARTY MASTER'!$B$4:$E$500,2,FALSE)</f>
        <v>27AAECM8871A1ZF</v>
      </c>
      <c r="E815" s="34" t="s">
        <v>22</v>
      </c>
      <c r="F815" s="34" t="s">
        <v>2201</v>
      </c>
      <c r="G815" s="44">
        <v>43698</v>
      </c>
      <c r="H815" s="34">
        <v>87089900</v>
      </c>
      <c r="I815" s="34">
        <v>28</v>
      </c>
      <c r="J815" s="38">
        <v>12</v>
      </c>
      <c r="K815" s="40">
        <v>23255.759999999998</v>
      </c>
      <c r="L815" s="41">
        <v>0</v>
      </c>
      <c r="M815" s="41">
        <v>3255.8063999999995</v>
      </c>
      <c r="N815" s="41">
        <v>3255.8063999999995</v>
      </c>
      <c r="O815" s="41">
        <v>0</v>
      </c>
      <c r="P815" s="42">
        <v>29767.382799999996</v>
      </c>
      <c r="Q815" s="34" t="s">
        <v>25</v>
      </c>
      <c r="R815" s="34" t="s">
        <v>26</v>
      </c>
      <c r="S815" s="11" t="s">
        <v>4105</v>
      </c>
    </row>
    <row r="816" spans="1:19" x14ac:dyDescent="0.2">
      <c r="A816" s="33">
        <v>43678</v>
      </c>
      <c r="B816" s="34">
        <v>86</v>
      </c>
      <c r="C816" s="34" t="s">
        <v>49</v>
      </c>
      <c r="D816" s="34" t="str">
        <f>VLOOKUP(C816,'SALE PARTY MASTER'!$B$4:$E$500,2,FALSE)</f>
        <v>27AABFJ4217F1ZP</v>
      </c>
      <c r="E816" s="34" t="s">
        <v>22</v>
      </c>
      <c r="F816" s="34" t="s">
        <v>2202</v>
      </c>
      <c r="G816" s="44">
        <v>43698</v>
      </c>
      <c r="H816" s="34">
        <v>998898</v>
      </c>
      <c r="I816" s="34">
        <v>18</v>
      </c>
      <c r="J816" s="38">
        <v>22</v>
      </c>
      <c r="K816" s="40">
        <v>6251.08</v>
      </c>
      <c r="L816" s="41">
        <v>0</v>
      </c>
      <c r="M816" s="41">
        <v>562.59719999999993</v>
      </c>
      <c r="N816" s="41">
        <v>562.59719999999993</v>
      </c>
      <c r="O816" s="41">
        <v>0</v>
      </c>
      <c r="P816" s="42">
        <v>7376.2844000000005</v>
      </c>
      <c r="Q816" s="34" t="s">
        <v>25</v>
      </c>
      <c r="R816" s="34" t="s">
        <v>26</v>
      </c>
      <c r="S816" s="11" t="s">
        <v>4105</v>
      </c>
    </row>
    <row r="817" spans="1:19" x14ac:dyDescent="0.2">
      <c r="A817" s="33">
        <v>43678</v>
      </c>
      <c r="B817" s="34">
        <v>87</v>
      </c>
      <c r="C817" s="34" t="s">
        <v>40</v>
      </c>
      <c r="D817" s="34" t="str">
        <f>VLOOKUP(C817,'SALE PARTY MASTER'!$B$4:$E$500,2,FALSE)</f>
        <v>27AAACT1848E1ZH</v>
      </c>
      <c r="E817" s="34" t="s">
        <v>22</v>
      </c>
      <c r="F817" s="34" t="s">
        <v>2203</v>
      </c>
      <c r="G817" s="44">
        <v>43698</v>
      </c>
      <c r="H817" s="34">
        <v>87089900</v>
      </c>
      <c r="I817" s="34">
        <v>28</v>
      </c>
      <c r="J817" s="38">
        <v>43</v>
      </c>
      <c r="K817" s="40">
        <v>23874.25</v>
      </c>
      <c r="L817" s="41">
        <v>0</v>
      </c>
      <c r="M817" s="41">
        <v>3342.395</v>
      </c>
      <c r="N817" s="41">
        <v>3342.395</v>
      </c>
      <c r="O817" s="41">
        <v>0</v>
      </c>
      <c r="P817" s="42">
        <v>30559.05</v>
      </c>
      <c r="Q817" s="34" t="s">
        <v>25</v>
      </c>
      <c r="R817" s="34" t="s">
        <v>26</v>
      </c>
      <c r="S817" s="11" t="s">
        <v>4105</v>
      </c>
    </row>
    <row r="818" spans="1:19" x14ac:dyDescent="0.2">
      <c r="A818" s="33">
        <v>43678</v>
      </c>
      <c r="B818" s="34">
        <v>88</v>
      </c>
      <c r="C818" s="34" t="s">
        <v>40</v>
      </c>
      <c r="D818" s="34" t="str">
        <f>VLOOKUP(C818,'SALE PARTY MASTER'!$B$4:$E$500,2,FALSE)</f>
        <v>27AAACT1848E1ZH</v>
      </c>
      <c r="E818" s="34" t="s">
        <v>22</v>
      </c>
      <c r="F818" s="34" t="s">
        <v>2204</v>
      </c>
      <c r="G818" s="44">
        <v>43698</v>
      </c>
      <c r="H818" s="34">
        <v>87089900</v>
      </c>
      <c r="I818" s="34">
        <v>28</v>
      </c>
      <c r="J818" s="38">
        <v>30</v>
      </c>
      <c r="K818" s="40">
        <v>14340</v>
      </c>
      <c r="L818" s="41">
        <v>0</v>
      </c>
      <c r="M818" s="41">
        <v>2007.6000000000001</v>
      </c>
      <c r="N818" s="41">
        <v>2007.6000000000001</v>
      </c>
      <c r="O818" s="41">
        <v>0</v>
      </c>
      <c r="P818" s="42">
        <v>18355.2</v>
      </c>
      <c r="Q818" s="34" t="s">
        <v>25</v>
      </c>
      <c r="R818" s="34" t="s">
        <v>26</v>
      </c>
      <c r="S818" s="11" t="s">
        <v>4105</v>
      </c>
    </row>
    <row r="819" spans="1:19" x14ac:dyDescent="0.2">
      <c r="A819" s="33">
        <v>43678</v>
      </c>
      <c r="B819" s="34">
        <v>89</v>
      </c>
      <c r="C819" s="34" t="s">
        <v>167</v>
      </c>
      <c r="D819" s="34" t="str">
        <f>VLOOKUP(C819,'SALE PARTY MASTER'!$B$4:$E$500,2,FALSE)</f>
        <v>27AABFP3834C1ZK</v>
      </c>
      <c r="E819" s="34" t="s">
        <v>22</v>
      </c>
      <c r="F819" s="34" t="s">
        <v>2205</v>
      </c>
      <c r="G819" s="44">
        <v>43698</v>
      </c>
      <c r="H819" s="34">
        <v>87141900</v>
      </c>
      <c r="I819" s="34">
        <v>28</v>
      </c>
      <c r="J819" s="38">
        <v>2740</v>
      </c>
      <c r="K819" s="40">
        <v>34327.4</v>
      </c>
      <c r="L819" s="41">
        <v>0</v>
      </c>
      <c r="M819" s="41">
        <v>4805.8360000000002</v>
      </c>
      <c r="N819" s="41">
        <v>4805.8360000000002</v>
      </c>
      <c r="O819" s="41">
        <v>0</v>
      </c>
      <c r="P819" s="42">
        <v>43939.082000000002</v>
      </c>
      <c r="Q819" s="34" t="s">
        <v>25</v>
      </c>
      <c r="R819" s="34" t="s">
        <v>26</v>
      </c>
      <c r="S819" s="11" t="s">
        <v>4105</v>
      </c>
    </row>
    <row r="820" spans="1:19" x14ac:dyDescent="0.2">
      <c r="A820" s="33">
        <v>43678</v>
      </c>
      <c r="B820" s="34">
        <v>90</v>
      </c>
      <c r="C820" s="34" t="s">
        <v>124</v>
      </c>
      <c r="D820" s="34" t="str">
        <f>VLOOKUP(C820,'SALE PARTY MASTER'!$B$4:$E$500,2,FALSE)</f>
        <v>27AAACB2484Q1Z8</v>
      </c>
      <c r="E820" s="34" t="s">
        <v>22</v>
      </c>
      <c r="F820" s="34" t="s">
        <v>2206</v>
      </c>
      <c r="G820" s="44">
        <v>43698</v>
      </c>
      <c r="H820" s="34">
        <v>998898</v>
      </c>
      <c r="I820" s="34">
        <v>18</v>
      </c>
      <c r="J820" s="38">
        <v>1530</v>
      </c>
      <c r="K820" s="40">
        <v>131580</v>
      </c>
      <c r="L820" s="41">
        <v>0</v>
      </c>
      <c r="M820" s="41">
        <v>11842.199999999999</v>
      </c>
      <c r="N820" s="41">
        <v>11842.199999999999</v>
      </c>
      <c r="O820" s="41">
        <v>0</v>
      </c>
      <c r="P820" s="42">
        <v>155264.4</v>
      </c>
      <c r="Q820" s="34" t="s">
        <v>25</v>
      </c>
      <c r="R820" s="34" t="s">
        <v>26</v>
      </c>
      <c r="S820" s="11" t="s">
        <v>4105</v>
      </c>
    </row>
    <row r="821" spans="1:19" x14ac:dyDescent="0.2">
      <c r="A821" s="33">
        <v>43678</v>
      </c>
      <c r="B821" s="34">
        <v>91</v>
      </c>
      <c r="C821" s="34" t="s">
        <v>167</v>
      </c>
      <c r="D821" s="34" t="str">
        <f>VLOOKUP(C821,'SALE PARTY MASTER'!$B$4:$E$500,2,FALSE)</f>
        <v>27AABFP3834C1ZK</v>
      </c>
      <c r="E821" s="34" t="s">
        <v>22</v>
      </c>
      <c r="F821" s="34" t="s">
        <v>2207</v>
      </c>
      <c r="G821" s="44">
        <v>43699</v>
      </c>
      <c r="H821" s="34">
        <v>87141900</v>
      </c>
      <c r="I821" s="34">
        <v>28</v>
      </c>
      <c r="J821" s="38">
        <v>2950</v>
      </c>
      <c r="K821" s="40">
        <v>35057.5</v>
      </c>
      <c r="L821" s="41">
        <v>0</v>
      </c>
      <c r="M821" s="41">
        <v>4908.05</v>
      </c>
      <c r="N821" s="41">
        <v>4908.05</v>
      </c>
      <c r="O821" s="41">
        <v>0</v>
      </c>
      <c r="P821" s="42">
        <v>44873.599999999999</v>
      </c>
      <c r="Q821" s="34" t="s">
        <v>25</v>
      </c>
      <c r="R821" s="34" t="s">
        <v>26</v>
      </c>
      <c r="S821" s="11" t="s">
        <v>4105</v>
      </c>
    </row>
    <row r="822" spans="1:19" x14ac:dyDescent="0.2">
      <c r="A822" s="33">
        <v>43678</v>
      </c>
      <c r="B822" s="34">
        <v>92</v>
      </c>
      <c r="C822" s="34" t="s">
        <v>28</v>
      </c>
      <c r="D822" s="34" t="str">
        <f>VLOOKUP(C822,'SALE PARTY MASTER'!$B$4:$E$500,2,FALSE)</f>
        <v>27AAECM8871A1ZF</v>
      </c>
      <c r="E822" s="34" t="s">
        <v>22</v>
      </c>
      <c r="F822" s="34" t="s">
        <v>2208</v>
      </c>
      <c r="G822" s="44">
        <v>43699</v>
      </c>
      <c r="H822" s="34">
        <v>87089900</v>
      </c>
      <c r="I822" s="34">
        <v>28</v>
      </c>
      <c r="J822" s="38">
        <v>12</v>
      </c>
      <c r="K822" s="40">
        <v>23255.759999999998</v>
      </c>
      <c r="L822" s="41">
        <v>0</v>
      </c>
      <c r="M822" s="41">
        <v>3255.8063999999995</v>
      </c>
      <c r="N822" s="41">
        <v>3255.8063999999995</v>
      </c>
      <c r="O822" s="41">
        <v>0</v>
      </c>
      <c r="P822" s="42">
        <v>29767.382799999996</v>
      </c>
      <c r="Q822" s="34" t="s">
        <v>25</v>
      </c>
      <c r="R822" s="34" t="s">
        <v>26</v>
      </c>
      <c r="S822" s="11" t="s">
        <v>4105</v>
      </c>
    </row>
    <row r="823" spans="1:19" x14ac:dyDescent="0.2">
      <c r="A823" s="33">
        <v>43678</v>
      </c>
      <c r="B823" s="34">
        <v>93</v>
      </c>
      <c r="C823" s="34" t="s">
        <v>40</v>
      </c>
      <c r="D823" s="34" t="str">
        <f>VLOOKUP(C823,'SALE PARTY MASTER'!$B$4:$E$500,2,FALSE)</f>
        <v>27AAACT1848E1ZH</v>
      </c>
      <c r="E823" s="34" t="s">
        <v>22</v>
      </c>
      <c r="F823" s="34" t="s">
        <v>2209</v>
      </c>
      <c r="G823" s="44">
        <v>43700</v>
      </c>
      <c r="H823" s="34">
        <v>87089900</v>
      </c>
      <c r="I823" s="34">
        <v>28</v>
      </c>
      <c r="J823" s="38">
        <v>30</v>
      </c>
      <c r="K823" s="40">
        <v>43040.22</v>
      </c>
      <c r="L823" s="41">
        <v>0</v>
      </c>
      <c r="M823" s="41">
        <v>6025.6307999999999</v>
      </c>
      <c r="N823" s="41">
        <v>6025.6307999999999</v>
      </c>
      <c r="O823" s="41">
        <v>0</v>
      </c>
      <c r="P823" s="42">
        <v>55091.481599999999</v>
      </c>
      <c r="Q823" s="34" t="s">
        <v>25</v>
      </c>
      <c r="R823" s="34" t="s">
        <v>26</v>
      </c>
      <c r="S823" s="11" t="s">
        <v>4105</v>
      </c>
    </row>
    <row r="824" spans="1:19" x14ac:dyDescent="0.2">
      <c r="A824" s="33">
        <v>43678</v>
      </c>
      <c r="B824" s="34">
        <v>94</v>
      </c>
      <c r="C824" s="34" t="s">
        <v>91</v>
      </c>
      <c r="D824" s="34" t="str">
        <f>VLOOKUP(C824,'SALE PARTY MASTER'!$B$4:$E$500,2,FALSE)</f>
        <v>27BBVPS2447C1ZA</v>
      </c>
      <c r="E824" s="34" t="s">
        <v>22</v>
      </c>
      <c r="F824" s="34" t="s">
        <v>2210</v>
      </c>
      <c r="G824" s="44">
        <v>43700</v>
      </c>
      <c r="H824" s="34">
        <v>998898</v>
      </c>
      <c r="I824" s="34">
        <v>18</v>
      </c>
      <c r="J824" s="38">
        <v>100</v>
      </c>
      <c r="K824" s="40">
        <v>1500</v>
      </c>
      <c r="L824" s="41">
        <v>0</v>
      </c>
      <c r="M824" s="41">
        <v>135</v>
      </c>
      <c r="N824" s="41">
        <v>135</v>
      </c>
      <c r="O824" s="41">
        <v>0</v>
      </c>
      <c r="P824" s="42">
        <v>1770</v>
      </c>
      <c r="Q824" s="34" t="s">
        <v>25</v>
      </c>
      <c r="R824" s="34" t="s">
        <v>26</v>
      </c>
      <c r="S824" s="11" t="s">
        <v>4105</v>
      </c>
    </row>
    <row r="825" spans="1:19" x14ac:dyDescent="0.2">
      <c r="A825" s="33">
        <v>43678</v>
      </c>
      <c r="B825" s="34">
        <v>95</v>
      </c>
      <c r="C825" s="34" t="s">
        <v>167</v>
      </c>
      <c r="D825" s="34" t="str">
        <f>VLOOKUP(C825,'SALE PARTY MASTER'!$B$4:$E$500,2,FALSE)</f>
        <v>27AABFP3834C1ZK</v>
      </c>
      <c r="E825" s="34" t="s">
        <v>22</v>
      </c>
      <c r="F825" s="34" t="s">
        <v>2211</v>
      </c>
      <c r="G825" s="44">
        <v>43700</v>
      </c>
      <c r="H825" s="34">
        <v>87141900</v>
      </c>
      <c r="I825" s="34">
        <v>28</v>
      </c>
      <c r="J825" s="38">
        <v>2740</v>
      </c>
      <c r="K825" s="40">
        <v>33795.4</v>
      </c>
      <c r="L825" s="41">
        <v>0</v>
      </c>
      <c r="M825" s="41">
        <v>4731.3559999999998</v>
      </c>
      <c r="N825" s="41">
        <v>4731.3559999999998</v>
      </c>
      <c r="O825" s="41">
        <v>0</v>
      </c>
      <c r="P825" s="42">
        <v>43258.112000000001</v>
      </c>
      <c r="Q825" s="34" t="s">
        <v>25</v>
      </c>
      <c r="R825" s="34" t="s">
        <v>26</v>
      </c>
      <c r="S825" s="11" t="s">
        <v>4105</v>
      </c>
    </row>
    <row r="826" spans="1:19" x14ac:dyDescent="0.2">
      <c r="A826" s="33">
        <v>43678</v>
      </c>
      <c r="B826" s="34">
        <v>96</v>
      </c>
      <c r="C826" s="34" t="s">
        <v>226</v>
      </c>
      <c r="D826" s="34" t="str">
        <f>VLOOKUP(C826,'SALE PARTY MASTER'!$B$4:$E$500,2,FALSE)</f>
        <v>23AAACB7112P2ZQ</v>
      </c>
      <c r="E826" s="34" t="s">
        <v>22</v>
      </c>
      <c r="F826" s="34" t="s">
        <v>2212</v>
      </c>
      <c r="G826" s="44">
        <v>43701</v>
      </c>
      <c r="H826" s="34">
        <v>87081090</v>
      </c>
      <c r="I826" s="34">
        <v>28</v>
      </c>
      <c r="J826" s="38">
        <v>50</v>
      </c>
      <c r="K826" s="40">
        <v>17275.5</v>
      </c>
      <c r="L826" s="41">
        <v>4837.1399999999994</v>
      </c>
      <c r="M826" s="41">
        <v>0</v>
      </c>
      <c r="N826" s="41">
        <v>0</v>
      </c>
      <c r="O826" s="41">
        <v>0</v>
      </c>
      <c r="P826" s="42">
        <v>22112.639999999999</v>
      </c>
      <c r="Q826" s="34" t="s">
        <v>25</v>
      </c>
      <c r="R826" s="34" t="s">
        <v>106</v>
      </c>
      <c r="S826" s="11" t="s">
        <v>4105</v>
      </c>
    </row>
    <row r="827" spans="1:19" x14ac:dyDescent="0.2">
      <c r="A827" s="33">
        <v>43678</v>
      </c>
      <c r="B827" s="34">
        <v>97</v>
      </c>
      <c r="C827" s="34" t="s">
        <v>167</v>
      </c>
      <c r="D827" s="34" t="str">
        <f>VLOOKUP(C827,'SALE PARTY MASTER'!$B$4:$E$500,2,FALSE)</f>
        <v>27AABFP3834C1ZK</v>
      </c>
      <c r="E827" s="34" t="s">
        <v>22</v>
      </c>
      <c r="F827" s="34" t="s">
        <v>2213</v>
      </c>
      <c r="G827" s="44">
        <v>43701</v>
      </c>
      <c r="H827" s="34">
        <v>87141900</v>
      </c>
      <c r="I827" s="34">
        <v>28</v>
      </c>
      <c r="J827" s="38">
        <v>4380</v>
      </c>
      <c r="K827" s="40">
        <v>55735.8</v>
      </c>
      <c r="L827" s="41">
        <v>0</v>
      </c>
      <c r="M827" s="41">
        <v>7803.0120000000006</v>
      </c>
      <c r="N827" s="41">
        <v>7803.0120000000006</v>
      </c>
      <c r="O827" s="41">
        <v>0</v>
      </c>
      <c r="P827" s="42">
        <v>71341.824000000008</v>
      </c>
      <c r="Q827" s="34" t="s">
        <v>25</v>
      </c>
      <c r="R827" s="34" t="s">
        <v>26</v>
      </c>
      <c r="S827" s="11" t="s">
        <v>4105</v>
      </c>
    </row>
    <row r="828" spans="1:19" x14ac:dyDescent="0.2">
      <c r="A828" s="33">
        <v>43678</v>
      </c>
      <c r="B828" s="34">
        <v>98</v>
      </c>
      <c r="C828" s="34" t="s">
        <v>124</v>
      </c>
      <c r="D828" s="34" t="str">
        <f>VLOOKUP(C828,'SALE PARTY MASTER'!$B$4:$E$500,2,FALSE)</f>
        <v>27AAACB2484Q1Z8</v>
      </c>
      <c r="E828" s="34" t="s">
        <v>22</v>
      </c>
      <c r="F828" s="34" t="s">
        <v>2214</v>
      </c>
      <c r="G828" s="44">
        <v>43701</v>
      </c>
      <c r="H828" s="34">
        <v>998898</v>
      </c>
      <c r="I828" s="34">
        <v>18</v>
      </c>
      <c r="J828" s="38">
        <v>1350</v>
      </c>
      <c r="K828" s="40">
        <v>116100</v>
      </c>
      <c r="L828" s="41">
        <v>0</v>
      </c>
      <c r="M828" s="41">
        <v>10449</v>
      </c>
      <c r="N828" s="41">
        <v>10449</v>
      </c>
      <c r="O828" s="41">
        <v>0</v>
      </c>
      <c r="P828" s="42">
        <v>136998</v>
      </c>
      <c r="Q828" s="34" t="s">
        <v>25</v>
      </c>
      <c r="R828" s="34" t="s">
        <v>26</v>
      </c>
      <c r="S828" s="11" t="s">
        <v>4105</v>
      </c>
    </row>
    <row r="829" spans="1:19" x14ac:dyDescent="0.2">
      <c r="A829" s="33">
        <v>43678</v>
      </c>
      <c r="B829" s="34">
        <v>99</v>
      </c>
      <c r="C829" s="34" t="s">
        <v>28</v>
      </c>
      <c r="D829" s="34" t="str">
        <f>VLOOKUP(C829,'SALE PARTY MASTER'!$B$4:$E$500,2,FALSE)</f>
        <v>27AAECM8871A1ZF</v>
      </c>
      <c r="E829" s="34" t="s">
        <v>22</v>
      </c>
      <c r="F829" s="34" t="s">
        <v>2215</v>
      </c>
      <c r="G829" s="44">
        <v>43701</v>
      </c>
      <c r="H829" s="34">
        <v>87089900</v>
      </c>
      <c r="I829" s="34">
        <v>28</v>
      </c>
      <c r="J829" s="38">
        <v>12</v>
      </c>
      <c r="K829" s="40">
        <v>23508.6</v>
      </c>
      <c r="L829" s="41">
        <v>0</v>
      </c>
      <c r="M829" s="41">
        <v>3291.2039999999997</v>
      </c>
      <c r="N829" s="41">
        <v>3291.2039999999997</v>
      </c>
      <c r="O829" s="41">
        <v>0</v>
      </c>
      <c r="P829" s="42">
        <v>30090.998</v>
      </c>
      <c r="Q829" s="34" t="s">
        <v>25</v>
      </c>
      <c r="R829" s="34" t="s">
        <v>26</v>
      </c>
      <c r="S829" s="11" t="s">
        <v>4105</v>
      </c>
    </row>
    <row r="830" spans="1:19" x14ac:dyDescent="0.2">
      <c r="A830" s="33">
        <v>43678</v>
      </c>
      <c r="B830" s="34">
        <v>100</v>
      </c>
      <c r="C830" s="34" t="s">
        <v>28</v>
      </c>
      <c r="D830" s="34" t="str">
        <f>VLOOKUP(C830,'SALE PARTY MASTER'!$B$4:$E$500,2,FALSE)</f>
        <v>27AAECM8871A1ZF</v>
      </c>
      <c r="E830" s="34" t="s">
        <v>22</v>
      </c>
      <c r="F830" s="34" t="s">
        <v>2216</v>
      </c>
      <c r="G830" s="44">
        <v>43703</v>
      </c>
      <c r="H830" s="34">
        <v>87089900</v>
      </c>
      <c r="I830" s="34">
        <v>28</v>
      </c>
      <c r="J830" s="38">
        <v>12</v>
      </c>
      <c r="K830" s="40">
        <v>23255.759999999998</v>
      </c>
      <c r="L830" s="41">
        <v>0</v>
      </c>
      <c r="M830" s="41">
        <v>3255.8063999999995</v>
      </c>
      <c r="N830" s="41">
        <v>3255.8063999999995</v>
      </c>
      <c r="O830" s="41">
        <v>0</v>
      </c>
      <c r="P830" s="42">
        <v>29767.382799999996</v>
      </c>
      <c r="Q830" s="34" t="s">
        <v>25</v>
      </c>
      <c r="R830" s="34" t="s">
        <v>26</v>
      </c>
      <c r="S830" s="11" t="s">
        <v>4105</v>
      </c>
    </row>
    <row r="831" spans="1:19" x14ac:dyDescent="0.2">
      <c r="A831" s="33">
        <v>43678</v>
      </c>
      <c r="B831" s="34">
        <v>101</v>
      </c>
      <c r="C831" s="34" t="s">
        <v>167</v>
      </c>
      <c r="D831" s="34" t="str">
        <f>VLOOKUP(C831,'SALE PARTY MASTER'!$B$4:$E$500,2,FALSE)</f>
        <v>27AABFP3834C1ZK</v>
      </c>
      <c r="E831" s="34" t="s">
        <v>22</v>
      </c>
      <c r="F831" s="34" t="s">
        <v>2217</v>
      </c>
      <c r="G831" s="44">
        <v>43703</v>
      </c>
      <c r="H831" s="34">
        <v>87141900</v>
      </c>
      <c r="I831" s="34">
        <v>28</v>
      </c>
      <c r="J831" s="38">
        <v>3240</v>
      </c>
      <c r="K831" s="40">
        <v>38008.800000000003</v>
      </c>
      <c r="L831" s="41">
        <v>0</v>
      </c>
      <c r="M831" s="41">
        <v>5321.232</v>
      </c>
      <c r="N831" s="41">
        <v>5321.232</v>
      </c>
      <c r="O831" s="41">
        <v>0</v>
      </c>
      <c r="P831" s="42">
        <v>48651.264000000003</v>
      </c>
      <c r="Q831" s="34" t="s">
        <v>25</v>
      </c>
      <c r="R831" s="34" t="s">
        <v>26</v>
      </c>
      <c r="S831" s="11" t="s">
        <v>4105</v>
      </c>
    </row>
    <row r="832" spans="1:19" x14ac:dyDescent="0.2">
      <c r="A832" s="33">
        <v>43678</v>
      </c>
      <c r="B832" s="34">
        <v>102</v>
      </c>
      <c r="C832" s="34" t="s">
        <v>45</v>
      </c>
      <c r="D832" s="34" t="str">
        <f>VLOOKUP(C832,'SALE PARTY MASTER'!$B$4:$E$500,2,FALSE)</f>
        <v>27AAACD4090Q1Z8</v>
      </c>
      <c r="E832" s="34" t="s">
        <v>22</v>
      </c>
      <c r="F832" s="34" t="s">
        <v>2218</v>
      </c>
      <c r="G832" s="44">
        <v>43703</v>
      </c>
      <c r="H832" s="34">
        <v>85129000</v>
      </c>
      <c r="I832" s="34">
        <v>18</v>
      </c>
      <c r="J832" s="38">
        <v>720</v>
      </c>
      <c r="K832" s="40">
        <v>87847.2</v>
      </c>
      <c r="L832" s="41">
        <v>0</v>
      </c>
      <c r="M832" s="41">
        <v>7906.2479999999996</v>
      </c>
      <c r="N832" s="41">
        <v>7906.2479999999996</v>
      </c>
      <c r="O832" s="41">
        <v>0</v>
      </c>
      <c r="P832" s="42">
        <v>103659.696</v>
      </c>
      <c r="Q832" s="34" t="s">
        <v>25</v>
      </c>
      <c r="R832" s="34" t="s">
        <v>26</v>
      </c>
      <c r="S832" s="11" t="s">
        <v>4105</v>
      </c>
    </row>
    <row r="833" spans="1:19" x14ac:dyDescent="0.2">
      <c r="A833" s="33">
        <v>43678</v>
      </c>
      <c r="B833" s="34">
        <v>103</v>
      </c>
      <c r="C833" s="34" t="s">
        <v>28</v>
      </c>
      <c r="D833" s="34" t="str">
        <f>VLOOKUP(C833,'SALE PARTY MASTER'!$B$4:$E$500,2,FALSE)</f>
        <v>27AAECM8871A1ZF</v>
      </c>
      <c r="E833" s="34" t="s">
        <v>22</v>
      </c>
      <c r="F833" s="34" t="s">
        <v>2219</v>
      </c>
      <c r="G833" s="44">
        <v>43703</v>
      </c>
      <c r="H833" s="34">
        <v>87089900</v>
      </c>
      <c r="I833" s="34">
        <v>28</v>
      </c>
      <c r="J833" s="38">
        <v>12</v>
      </c>
      <c r="K833" s="40">
        <v>23255.759999999998</v>
      </c>
      <c r="L833" s="41">
        <v>0</v>
      </c>
      <c r="M833" s="41">
        <v>3255.8063999999995</v>
      </c>
      <c r="N833" s="41">
        <v>3255.8063999999995</v>
      </c>
      <c r="O833" s="41">
        <v>0</v>
      </c>
      <c r="P833" s="42">
        <v>29767.382799999996</v>
      </c>
      <c r="Q833" s="34" t="s">
        <v>25</v>
      </c>
      <c r="R833" s="34" t="s">
        <v>26</v>
      </c>
      <c r="S833" s="11" t="s">
        <v>4105</v>
      </c>
    </row>
    <row r="834" spans="1:19" x14ac:dyDescent="0.2">
      <c r="A834" s="33">
        <v>43678</v>
      </c>
      <c r="B834" s="34">
        <v>104</v>
      </c>
      <c r="C834" s="34" t="s">
        <v>124</v>
      </c>
      <c r="D834" s="34" t="str">
        <f>VLOOKUP(C834,'SALE PARTY MASTER'!$B$4:$E$500,2,FALSE)</f>
        <v>27AAACB2484Q1Z8</v>
      </c>
      <c r="E834" s="34" t="s">
        <v>22</v>
      </c>
      <c r="F834" s="34" t="s">
        <v>2220</v>
      </c>
      <c r="G834" s="44">
        <v>43703</v>
      </c>
      <c r="H834" s="34">
        <v>998898</v>
      </c>
      <c r="I834" s="34">
        <v>18</v>
      </c>
      <c r="J834" s="38">
        <v>1710</v>
      </c>
      <c r="K834" s="40">
        <v>147060</v>
      </c>
      <c r="L834" s="41">
        <v>0</v>
      </c>
      <c r="M834" s="41">
        <v>13235.4</v>
      </c>
      <c r="N834" s="41">
        <v>13235.4</v>
      </c>
      <c r="O834" s="41">
        <v>0</v>
      </c>
      <c r="P834" s="42">
        <v>173530.8</v>
      </c>
      <c r="Q834" s="34" t="s">
        <v>25</v>
      </c>
      <c r="R834" s="34" t="s">
        <v>26</v>
      </c>
      <c r="S834" s="11" t="s">
        <v>4105</v>
      </c>
    </row>
    <row r="835" spans="1:19" x14ac:dyDescent="0.2">
      <c r="A835" s="33">
        <v>43678</v>
      </c>
      <c r="B835" s="34">
        <v>105</v>
      </c>
      <c r="C835" s="34" t="s">
        <v>45</v>
      </c>
      <c r="D835" s="34" t="str">
        <f>VLOOKUP(C835,'SALE PARTY MASTER'!$B$4:$E$500,2,FALSE)</f>
        <v>27AAACD4090Q1Z8</v>
      </c>
      <c r="E835" s="34" t="s">
        <v>22</v>
      </c>
      <c r="F835" s="34" t="s">
        <v>2221</v>
      </c>
      <c r="G835" s="44">
        <v>43704</v>
      </c>
      <c r="H835" s="34">
        <v>85129000</v>
      </c>
      <c r="I835" s="34">
        <v>18</v>
      </c>
      <c r="J835" s="38">
        <v>288</v>
      </c>
      <c r="K835" s="40">
        <v>35138.879999999997</v>
      </c>
      <c r="L835" s="41">
        <v>0</v>
      </c>
      <c r="M835" s="41">
        <v>3162.4991999999993</v>
      </c>
      <c r="N835" s="41">
        <v>3162.4991999999993</v>
      </c>
      <c r="O835" s="41">
        <v>0</v>
      </c>
      <c r="P835" s="42">
        <v>41463.878399999994</v>
      </c>
      <c r="Q835" s="34" t="s">
        <v>25</v>
      </c>
      <c r="R835" s="34" t="s">
        <v>26</v>
      </c>
      <c r="S835" s="11" t="s">
        <v>4105</v>
      </c>
    </row>
    <row r="836" spans="1:19" x14ac:dyDescent="0.2">
      <c r="A836" s="33">
        <v>43678</v>
      </c>
      <c r="B836" s="34">
        <v>106</v>
      </c>
      <c r="C836" s="34" t="s">
        <v>167</v>
      </c>
      <c r="D836" s="34" t="str">
        <f>VLOOKUP(C836,'SALE PARTY MASTER'!$B$4:$E$500,2,FALSE)</f>
        <v>27AABFP3834C1ZK</v>
      </c>
      <c r="E836" s="34" t="s">
        <v>22</v>
      </c>
      <c r="F836" s="34" t="s">
        <v>2222</v>
      </c>
      <c r="G836" s="44">
        <v>43704</v>
      </c>
      <c r="H836" s="34">
        <v>87141900</v>
      </c>
      <c r="I836" s="34">
        <v>28</v>
      </c>
      <c r="J836" s="38">
        <v>3400</v>
      </c>
      <c r="K836" s="40">
        <v>51442</v>
      </c>
      <c r="L836" s="41">
        <v>0</v>
      </c>
      <c r="M836" s="41">
        <v>7201.8799999999992</v>
      </c>
      <c r="N836" s="41">
        <v>7201.8799999999992</v>
      </c>
      <c r="O836" s="41">
        <v>0</v>
      </c>
      <c r="P836" s="42">
        <v>65845.759999999995</v>
      </c>
      <c r="Q836" s="34" t="s">
        <v>25</v>
      </c>
      <c r="R836" s="34" t="s">
        <v>26</v>
      </c>
      <c r="S836" s="11" t="s">
        <v>4105</v>
      </c>
    </row>
    <row r="837" spans="1:19" x14ac:dyDescent="0.2">
      <c r="A837" s="33">
        <v>43678</v>
      </c>
      <c r="B837" s="34">
        <v>107</v>
      </c>
      <c r="C837" s="34" t="s">
        <v>155</v>
      </c>
      <c r="D837" s="34" t="str">
        <f>VLOOKUP(C837,'SALE PARTY MASTER'!$B$4:$E$500,2,FALSE)</f>
        <v>27AAGCP0139E1ZP</v>
      </c>
      <c r="E837" s="34" t="s">
        <v>22</v>
      </c>
      <c r="F837" s="34" t="s">
        <v>2223</v>
      </c>
      <c r="G837" s="44">
        <v>43704</v>
      </c>
      <c r="H837" s="34">
        <v>87141090</v>
      </c>
      <c r="I837" s="34">
        <v>28</v>
      </c>
      <c r="J837" s="38">
        <v>480</v>
      </c>
      <c r="K837" s="40">
        <v>36177.599999999999</v>
      </c>
      <c r="L837" s="41">
        <v>0</v>
      </c>
      <c r="M837" s="41">
        <v>5064.8640000000005</v>
      </c>
      <c r="N837" s="41">
        <v>5064.8640000000005</v>
      </c>
      <c r="O837" s="41">
        <v>0</v>
      </c>
      <c r="P837" s="42">
        <v>46307.317999999999</v>
      </c>
      <c r="Q837" s="34" t="s">
        <v>25</v>
      </c>
      <c r="R837" s="34" t="s">
        <v>26</v>
      </c>
      <c r="S837" s="11" t="s">
        <v>4105</v>
      </c>
    </row>
    <row r="838" spans="1:19" x14ac:dyDescent="0.2">
      <c r="A838" s="33">
        <v>43678</v>
      </c>
      <c r="B838" s="34">
        <v>108</v>
      </c>
      <c r="C838" s="34" t="s">
        <v>155</v>
      </c>
      <c r="D838" s="34" t="str">
        <f>VLOOKUP(C838,'SALE PARTY MASTER'!$B$4:$E$500,2,FALSE)</f>
        <v>27AAGCP0139E1ZP</v>
      </c>
      <c r="E838" s="34" t="s">
        <v>22</v>
      </c>
      <c r="F838" s="34" t="s">
        <v>2224</v>
      </c>
      <c r="G838" s="44">
        <v>43704</v>
      </c>
      <c r="H838" s="34">
        <v>87141090</v>
      </c>
      <c r="I838" s="34">
        <v>28</v>
      </c>
      <c r="J838" s="38">
        <v>1260</v>
      </c>
      <c r="K838" s="40">
        <v>59257.8</v>
      </c>
      <c r="L838" s="41">
        <v>0</v>
      </c>
      <c r="M838" s="41">
        <v>8296.0920000000006</v>
      </c>
      <c r="N838" s="41">
        <v>8296.0920000000006</v>
      </c>
      <c r="O838" s="41">
        <v>0</v>
      </c>
      <c r="P838" s="42">
        <v>75849.983999999997</v>
      </c>
      <c r="Q838" s="34" t="s">
        <v>25</v>
      </c>
      <c r="R838" s="34" t="s">
        <v>26</v>
      </c>
      <c r="S838" s="11" t="s">
        <v>4105</v>
      </c>
    </row>
    <row r="839" spans="1:19" x14ac:dyDescent="0.2">
      <c r="A839" s="33">
        <v>43678</v>
      </c>
      <c r="B839" s="34">
        <v>109</v>
      </c>
      <c r="C839" s="34" t="s">
        <v>155</v>
      </c>
      <c r="D839" s="34" t="str">
        <f>VLOOKUP(C839,'SALE PARTY MASTER'!$B$4:$E$500,2,FALSE)</f>
        <v>27AAGCP0139E1ZP</v>
      </c>
      <c r="E839" s="34" t="s">
        <v>22</v>
      </c>
      <c r="F839" s="34" t="s">
        <v>2225</v>
      </c>
      <c r="G839" s="44">
        <v>43704</v>
      </c>
      <c r="H839" s="34">
        <v>87141090</v>
      </c>
      <c r="I839" s="34">
        <v>28</v>
      </c>
      <c r="J839" s="38">
        <v>15</v>
      </c>
      <c r="K839" s="40">
        <v>1130.55</v>
      </c>
      <c r="L839" s="41">
        <v>0</v>
      </c>
      <c r="M839" s="41">
        <v>158.27700000000002</v>
      </c>
      <c r="N839" s="41">
        <v>158.27700000000002</v>
      </c>
      <c r="O839" s="41">
        <v>0</v>
      </c>
      <c r="P839" s="42">
        <v>1447.114</v>
      </c>
      <c r="Q839" s="34" t="s">
        <v>25</v>
      </c>
      <c r="R839" s="34" t="s">
        <v>26</v>
      </c>
      <c r="S839" s="11" t="s">
        <v>4105</v>
      </c>
    </row>
    <row r="840" spans="1:19" x14ac:dyDescent="0.2">
      <c r="A840" s="33">
        <v>43678</v>
      </c>
      <c r="B840" s="34">
        <v>110</v>
      </c>
      <c r="C840" s="34" t="s">
        <v>40</v>
      </c>
      <c r="D840" s="34" t="str">
        <f>VLOOKUP(C840,'SALE PARTY MASTER'!$B$4:$E$500,2,FALSE)</f>
        <v>27AAACT1848E1ZH</v>
      </c>
      <c r="E840" s="34" t="s">
        <v>22</v>
      </c>
      <c r="F840" s="34" t="s">
        <v>2226</v>
      </c>
      <c r="G840" s="44">
        <v>43705</v>
      </c>
      <c r="H840" s="34">
        <v>87089900</v>
      </c>
      <c r="I840" s="34">
        <v>28</v>
      </c>
      <c r="J840" s="38">
        <v>324</v>
      </c>
      <c r="K840" s="40">
        <v>78288.88</v>
      </c>
      <c r="L840" s="41">
        <v>0</v>
      </c>
      <c r="M840" s="41">
        <v>10960.443200000002</v>
      </c>
      <c r="N840" s="41">
        <v>10960.443200000002</v>
      </c>
      <c r="O840" s="41">
        <v>0</v>
      </c>
      <c r="P840" s="50">
        <v>100209.75640000001</v>
      </c>
      <c r="Q840" s="34" t="s">
        <v>25</v>
      </c>
      <c r="R840" s="34" t="s">
        <v>26</v>
      </c>
      <c r="S840" s="11" t="s">
        <v>4105</v>
      </c>
    </row>
    <row r="841" spans="1:19" x14ac:dyDescent="0.2">
      <c r="A841" s="33">
        <v>43678</v>
      </c>
      <c r="B841" s="34">
        <v>111</v>
      </c>
      <c r="C841" s="34" t="s">
        <v>167</v>
      </c>
      <c r="D841" s="34" t="str">
        <f>VLOOKUP(C841,'SALE PARTY MASTER'!$B$4:$E$500,2,FALSE)</f>
        <v>27AABFP3834C1ZK</v>
      </c>
      <c r="E841" s="34" t="s">
        <v>22</v>
      </c>
      <c r="F841" s="34" t="s">
        <v>2227</v>
      </c>
      <c r="G841" s="44">
        <v>43705</v>
      </c>
      <c r="H841" s="34">
        <v>87141900</v>
      </c>
      <c r="I841" s="34">
        <v>28</v>
      </c>
      <c r="J841" s="38">
        <v>3600</v>
      </c>
      <c r="K841" s="40">
        <v>54468</v>
      </c>
      <c r="L841" s="41">
        <v>0</v>
      </c>
      <c r="M841" s="41">
        <v>7625.5199999999995</v>
      </c>
      <c r="N841" s="41">
        <v>7625.5199999999995</v>
      </c>
      <c r="O841" s="41">
        <v>0</v>
      </c>
      <c r="P841" s="42">
        <v>69719.039999999994</v>
      </c>
      <c r="Q841" s="34" t="s">
        <v>25</v>
      </c>
      <c r="R841" s="34" t="s">
        <v>26</v>
      </c>
      <c r="S841" s="11" t="s">
        <v>4105</v>
      </c>
    </row>
    <row r="842" spans="1:19" x14ac:dyDescent="0.2">
      <c r="A842" s="33">
        <v>43678</v>
      </c>
      <c r="B842" s="34">
        <v>112</v>
      </c>
      <c r="C842" s="34" t="s">
        <v>28</v>
      </c>
      <c r="D842" s="34" t="str">
        <f>VLOOKUP(C842,'SALE PARTY MASTER'!$B$4:$E$500,2,FALSE)</f>
        <v>27AAECM8871A1ZF</v>
      </c>
      <c r="E842" s="34" t="s">
        <v>22</v>
      </c>
      <c r="F842" s="34" t="s">
        <v>2228</v>
      </c>
      <c r="G842" s="44">
        <v>43705</v>
      </c>
      <c r="H842" s="34">
        <v>87089900</v>
      </c>
      <c r="I842" s="34">
        <v>28</v>
      </c>
      <c r="J842" s="38">
        <v>12</v>
      </c>
      <c r="K842" s="40">
        <v>23508.6</v>
      </c>
      <c r="L842" s="41">
        <v>0</v>
      </c>
      <c r="M842" s="41">
        <v>3291.2039999999997</v>
      </c>
      <c r="N842" s="41">
        <v>3291.2039999999997</v>
      </c>
      <c r="O842" s="41">
        <v>0</v>
      </c>
      <c r="P842" s="42">
        <v>30090.998</v>
      </c>
      <c r="Q842" s="34" t="s">
        <v>25</v>
      </c>
      <c r="R842" s="34" t="s">
        <v>26</v>
      </c>
      <c r="S842" s="11" t="s">
        <v>4105</v>
      </c>
    </row>
    <row r="843" spans="1:19" x14ac:dyDescent="0.2">
      <c r="A843" s="33">
        <v>43678</v>
      </c>
      <c r="B843" s="34">
        <v>113</v>
      </c>
      <c r="C843" s="34" t="s">
        <v>28</v>
      </c>
      <c r="D843" s="34" t="str">
        <f>VLOOKUP(C843,'SALE PARTY MASTER'!$B$4:$E$500,2,FALSE)</f>
        <v>27AAECM8871A1ZF</v>
      </c>
      <c r="E843" s="34" t="s">
        <v>22</v>
      </c>
      <c r="F843" s="34" t="s">
        <v>2229</v>
      </c>
      <c r="G843" s="44">
        <v>43706</v>
      </c>
      <c r="H843" s="34">
        <v>87089900</v>
      </c>
      <c r="I843" s="34">
        <v>28</v>
      </c>
      <c r="J843" s="38">
        <v>12</v>
      </c>
      <c r="K843" s="40">
        <v>23382.18</v>
      </c>
      <c r="L843" s="41">
        <v>0</v>
      </c>
      <c r="M843" s="41">
        <v>3273.5052000000001</v>
      </c>
      <c r="N843" s="41">
        <v>3273.5052000000001</v>
      </c>
      <c r="O843" s="41">
        <v>0</v>
      </c>
      <c r="P843" s="42">
        <v>29929.180400000001</v>
      </c>
      <c r="Q843" s="34" t="s">
        <v>25</v>
      </c>
      <c r="R843" s="34" t="s">
        <v>26</v>
      </c>
      <c r="S843" s="11" t="s">
        <v>4105</v>
      </c>
    </row>
    <row r="844" spans="1:19" x14ac:dyDescent="0.2">
      <c r="A844" s="33">
        <v>43678</v>
      </c>
      <c r="B844" s="34">
        <v>114</v>
      </c>
      <c r="C844" s="34" t="s">
        <v>167</v>
      </c>
      <c r="D844" s="34" t="str">
        <f>VLOOKUP(C844,'SALE PARTY MASTER'!$B$4:$E$500,2,FALSE)</f>
        <v>27AABFP3834C1ZK</v>
      </c>
      <c r="E844" s="34" t="s">
        <v>22</v>
      </c>
      <c r="F844" s="34" t="s">
        <v>2230</v>
      </c>
      <c r="G844" s="44">
        <v>43706</v>
      </c>
      <c r="H844" s="34">
        <v>87141900</v>
      </c>
      <c r="I844" s="34">
        <v>28</v>
      </c>
      <c r="J844" s="38">
        <v>3000</v>
      </c>
      <c r="K844" s="40">
        <v>45390</v>
      </c>
      <c r="L844" s="41">
        <v>0</v>
      </c>
      <c r="M844" s="41">
        <v>6354.5999999999995</v>
      </c>
      <c r="N844" s="41">
        <v>6354.5999999999995</v>
      </c>
      <c r="O844" s="41">
        <v>0</v>
      </c>
      <c r="P844" s="42">
        <v>58099.199999999997</v>
      </c>
      <c r="Q844" s="34" t="s">
        <v>25</v>
      </c>
      <c r="R844" s="34" t="s">
        <v>26</v>
      </c>
      <c r="S844" s="11" t="s">
        <v>4105</v>
      </c>
    </row>
    <row r="845" spans="1:19" x14ac:dyDescent="0.2">
      <c r="A845" s="33">
        <v>43678</v>
      </c>
      <c r="B845" s="34">
        <v>115</v>
      </c>
      <c r="C845" s="34" t="s">
        <v>73</v>
      </c>
      <c r="D845" s="34" t="str">
        <f>VLOOKUP(C845,'SALE PARTY MASTER'!$B$4:$E$500,2,FALSE)</f>
        <v>27AAACH4211R1ZF</v>
      </c>
      <c r="E845" s="34" t="s">
        <v>22</v>
      </c>
      <c r="F845" s="34" t="s">
        <v>2231</v>
      </c>
      <c r="G845" s="44">
        <v>43706</v>
      </c>
      <c r="H845" s="34">
        <v>85129000</v>
      </c>
      <c r="I845" s="34">
        <v>18</v>
      </c>
      <c r="J845" s="38">
        <v>2400</v>
      </c>
      <c r="K845" s="40">
        <v>60000</v>
      </c>
      <c r="L845" s="41">
        <v>0</v>
      </c>
      <c r="M845" s="41">
        <v>5400</v>
      </c>
      <c r="N845" s="41">
        <v>5400</v>
      </c>
      <c r="O845" s="41">
        <v>0</v>
      </c>
      <c r="P845" s="42">
        <v>70800</v>
      </c>
      <c r="Q845" s="34" t="s">
        <v>25</v>
      </c>
      <c r="R845" s="34" t="s">
        <v>26</v>
      </c>
      <c r="S845" s="11" t="s">
        <v>4105</v>
      </c>
    </row>
    <row r="846" spans="1:19" x14ac:dyDescent="0.2">
      <c r="A846" s="33">
        <v>43678</v>
      </c>
      <c r="B846" s="34">
        <v>116</v>
      </c>
      <c r="C846" s="34" t="s">
        <v>124</v>
      </c>
      <c r="D846" s="34" t="str">
        <f>VLOOKUP(C846,'SALE PARTY MASTER'!$B$4:$E$500,2,FALSE)</f>
        <v>27AAACB2484Q1Z8</v>
      </c>
      <c r="E846" s="34" t="s">
        <v>22</v>
      </c>
      <c r="F846" s="34" t="s">
        <v>2232</v>
      </c>
      <c r="G846" s="44">
        <v>43706</v>
      </c>
      <c r="H846" s="34">
        <v>998898</v>
      </c>
      <c r="I846" s="34">
        <v>18</v>
      </c>
      <c r="J846" s="38">
        <v>1833</v>
      </c>
      <c r="K846" s="40">
        <v>158304</v>
      </c>
      <c r="L846" s="41">
        <v>0</v>
      </c>
      <c r="M846" s="41">
        <v>14247.36</v>
      </c>
      <c r="N846" s="41">
        <v>14247.36</v>
      </c>
      <c r="O846" s="41">
        <v>0</v>
      </c>
      <c r="P846" s="42">
        <v>186798.72</v>
      </c>
      <c r="Q846" s="34" t="s">
        <v>25</v>
      </c>
      <c r="R846" s="34" t="s">
        <v>26</v>
      </c>
      <c r="S846" s="11" t="s">
        <v>4105</v>
      </c>
    </row>
    <row r="847" spans="1:19" x14ac:dyDescent="0.2">
      <c r="A847" s="33">
        <v>43678</v>
      </c>
      <c r="B847" s="34">
        <v>117</v>
      </c>
      <c r="C847" s="34" t="s">
        <v>28</v>
      </c>
      <c r="D847" s="34" t="str">
        <f>VLOOKUP(C847,'SALE PARTY MASTER'!$B$4:$E$500,2,FALSE)</f>
        <v>27AAECM8871A1ZF</v>
      </c>
      <c r="E847" s="34" t="s">
        <v>22</v>
      </c>
      <c r="F847" s="34" t="s">
        <v>2233</v>
      </c>
      <c r="G847" s="44">
        <v>43707</v>
      </c>
      <c r="H847" s="34">
        <v>87089900</v>
      </c>
      <c r="I847" s="34">
        <v>28</v>
      </c>
      <c r="J847" s="38">
        <v>12</v>
      </c>
      <c r="K847" s="40">
        <v>23382.18</v>
      </c>
      <c r="L847" s="41">
        <v>0</v>
      </c>
      <c r="M847" s="41">
        <v>3273.5052000000001</v>
      </c>
      <c r="N847" s="41">
        <v>3273.5052000000001</v>
      </c>
      <c r="O847" s="41">
        <v>0</v>
      </c>
      <c r="P847" s="42">
        <v>29929.180400000001</v>
      </c>
      <c r="Q847" s="34" t="s">
        <v>25</v>
      </c>
      <c r="R847" s="34" t="s">
        <v>26</v>
      </c>
      <c r="S847" s="11" t="s">
        <v>4105</v>
      </c>
    </row>
    <row r="848" spans="1:19" x14ac:dyDescent="0.2">
      <c r="A848" s="33">
        <v>43678</v>
      </c>
      <c r="B848" s="34">
        <v>118</v>
      </c>
      <c r="C848" s="34" t="s">
        <v>91</v>
      </c>
      <c r="D848" s="34" t="str">
        <f>VLOOKUP(C848,'SALE PARTY MASTER'!$B$4:$E$500,2,FALSE)</f>
        <v>27BBVPS2447C1ZA</v>
      </c>
      <c r="E848" s="34" t="s">
        <v>22</v>
      </c>
      <c r="F848" s="34" t="s">
        <v>2234</v>
      </c>
      <c r="G848" s="44">
        <v>43707</v>
      </c>
      <c r="H848" s="34">
        <v>998898</v>
      </c>
      <c r="I848" s="34">
        <v>18</v>
      </c>
      <c r="J848" s="38">
        <v>150</v>
      </c>
      <c r="K848" s="40">
        <v>2250</v>
      </c>
      <c r="L848" s="41">
        <v>0</v>
      </c>
      <c r="M848" s="41">
        <v>202.5</v>
      </c>
      <c r="N848" s="41">
        <v>202.5</v>
      </c>
      <c r="O848" s="41">
        <v>0</v>
      </c>
      <c r="P848" s="42">
        <v>2655</v>
      </c>
      <c r="Q848" s="34" t="s">
        <v>25</v>
      </c>
      <c r="R848" s="34" t="s">
        <v>26</v>
      </c>
      <c r="S848" s="11" t="s">
        <v>4105</v>
      </c>
    </row>
    <row r="849" spans="1:19" x14ac:dyDescent="0.2">
      <c r="A849" s="33">
        <v>43678</v>
      </c>
      <c r="B849" s="34">
        <v>119</v>
      </c>
      <c r="C849" s="34" t="s">
        <v>40</v>
      </c>
      <c r="D849" s="34" t="str">
        <f>VLOOKUP(C849,'SALE PARTY MASTER'!$B$4:$E$500,2,FALSE)</f>
        <v>27AAACT1848E1ZH</v>
      </c>
      <c r="E849" s="34" t="s">
        <v>22</v>
      </c>
      <c r="F849" s="34" t="s">
        <v>2235</v>
      </c>
      <c r="G849" s="44">
        <v>43707</v>
      </c>
      <c r="H849" s="34">
        <v>87089900</v>
      </c>
      <c r="I849" s="34">
        <v>28</v>
      </c>
      <c r="J849" s="38">
        <v>41</v>
      </c>
      <c r="K849" s="40">
        <v>19512.72</v>
      </c>
      <c r="L849" s="41">
        <v>0</v>
      </c>
      <c r="M849" s="41">
        <v>2731.7808000000005</v>
      </c>
      <c r="N849" s="41">
        <v>2731.7808000000005</v>
      </c>
      <c r="O849" s="41">
        <v>0</v>
      </c>
      <c r="P849" s="50">
        <v>24976.271600000004</v>
      </c>
      <c r="Q849" s="34" t="s">
        <v>25</v>
      </c>
      <c r="R849" s="34" t="s">
        <v>26</v>
      </c>
      <c r="S849" s="11" t="s">
        <v>4105</v>
      </c>
    </row>
    <row r="850" spans="1:19" x14ac:dyDescent="0.2">
      <c r="A850" s="33">
        <v>43678</v>
      </c>
      <c r="B850" s="34">
        <v>120</v>
      </c>
      <c r="C850" s="34" t="s">
        <v>167</v>
      </c>
      <c r="D850" s="34" t="str">
        <f>VLOOKUP(C850,'SALE PARTY MASTER'!$B$4:$E$500,2,FALSE)</f>
        <v>27AABFP3834C1ZK</v>
      </c>
      <c r="E850" s="34" t="s">
        <v>22</v>
      </c>
      <c r="F850" s="34" t="s">
        <v>2236</v>
      </c>
      <c r="G850" s="44">
        <v>43707</v>
      </c>
      <c r="H850" s="34">
        <v>87141900</v>
      </c>
      <c r="I850" s="34">
        <v>28</v>
      </c>
      <c r="J850" s="38">
        <v>1200</v>
      </c>
      <c r="K850" s="40">
        <v>18156</v>
      </c>
      <c r="L850" s="41">
        <v>0</v>
      </c>
      <c r="M850" s="41">
        <v>2541.84</v>
      </c>
      <c r="N850" s="41">
        <v>2541.84</v>
      </c>
      <c r="O850" s="41">
        <v>0</v>
      </c>
      <c r="P850" s="42">
        <v>23239.68</v>
      </c>
      <c r="Q850" s="34" t="s">
        <v>25</v>
      </c>
      <c r="R850" s="34" t="s">
        <v>26</v>
      </c>
      <c r="S850" s="11" t="s">
        <v>4105</v>
      </c>
    </row>
    <row r="851" spans="1:19" x14ac:dyDescent="0.2">
      <c r="A851" s="33">
        <v>43678</v>
      </c>
      <c r="B851" s="34">
        <v>121</v>
      </c>
      <c r="C851" s="34" t="s">
        <v>28</v>
      </c>
      <c r="D851" s="34" t="str">
        <f>VLOOKUP(C851,'SALE PARTY MASTER'!$B$4:$E$500,2,FALSE)</f>
        <v>27AAECM8871A1ZF</v>
      </c>
      <c r="E851" s="34" t="s">
        <v>22</v>
      </c>
      <c r="F851" s="34" t="s">
        <v>2237</v>
      </c>
      <c r="G851" s="44">
        <v>43707</v>
      </c>
      <c r="H851" s="34">
        <v>87089900</v>
      </c>
      <c r="I851" s="34">
        <v>28</v>
      </c>
      <c r="J851" s="38">
        <v>12</v>
      </c>
      <c r="K851" s="40">
        <v>23508.6</v>
      </c>
      <c r="L851" s="41">
        <v>0</v>
      </c>
      <c r="M851" s="41">
        <v>3291.2039999999997</v>
      </c>
      <c r="N851" s="41">
        <v>3291.2039999999997</v>
      </c>
      <c r="O851" s="41">
        <v>0</v>
      </c>
      <c r="P851" s="42">
        <v>30090.998</v>
      </c>
      <c r="Q851" s="34" t="s">
        <v>25</v>
      </c>
      <c r="R851" s="34" t="s">
        <v>26</v>
      </c>
      <c r="S851" s="11" t="s">
        <v>4105</v>
      </c>
    </row>
    <row r="852" spans="1:19" x14ac:dyDescent="0.2">
      <c r="A852" s="33">
        <v>43678</v>
      </c>
      <c r="B852" s="34">
        <v>122</v>
      </c>
      <c r="C852" s="34" t="s">
        <v>28</v>
      </c>
      <c r="D852" s="34" t="str">
        <f>VLOOKUP(C852,'SALE PARTY MASTER'!$B$4:$E$500,2,FALSE)</f>
        <v>27AAECM8871A1ZF</v>
      </c>
      <c r="E852" s="34" t="s">
        <v>22</v>
      </c>
      <c r="F852" s="34" t="s">
        <v>2238</v>
      </c>
      <c r="G852" s="44">
        <v>43708</v>
      </c>
      <c r="H852" s="34">
        <v>87089900</v>
      </c>
      <c r="I852" s="34">
        <v>28</v>
      </c>
      <c r="J852" s="38">
        <v>12</v>
      </c>
      <c r="K852" s="40">
        <v>23508.6</v>
      </c>
      <c r="L852" s="41">
        <v>0</v>
      </c>
      <c r="M852" s="41">
        <v>3291.2039999999997</v>
      </c>
      <c r="N852" s="41">
        <v>3291.2039999999997</v>
      </c>
      <c r="O852" s="41">
        <v>0</v>
      </c>
      <c r="P852" s="42">
        <v>30090.998</v>
      </c>
      <c r="Q852" s="34" t="s">
        <v>25</v>
      </c>
      <c r="R852" s="34" t="s">
        <v>26</v>
      </c>
      <c r="S852" s="11" t="s">
        <v>4105</v>
      </c>
    </row>
    <row r="853" spans="1:19" x14ac:dyDescent="0.2">
      <c r="A853" s="33">
        <v>43678</v>
      </c>
      <c r="B853" s="34">
        <v>123</v>
      </c>
      <c r="C853" s="34" t="s">
        <v>167</v>
      </c>
      <c r="D853" s="34" t="str">
        <f>VLOOKUP(C853,'SALE PARTY MASTER'!$B$4:$E$500,2,FALSE)</f>
        <v>27AABFP3834C1ZK</v>
      </c>
      <c r="E853" s="34" t="s">
        <v>22</v>
      </c>
      <c r="F853" s="34" t="s">
        <v>2239</v>
      </c>
      <c r="G853" s="44">
        <v>43708</v>
      </c>
      <c r="H853" s="34">
        <v>87141900</v>
      </c>
      <c r="I853" s="34">
        <v>28</v>
      </c>
      <c r="J853" s="38">
        <v>3400</v>
      </c>
      <c r="K853" s="40">
        <v>51442</v>
      </c>
      <c r="L853" s="41">
        <v>0</v>
      </c>
      <c r="M853" s="41">
        <v>7201.8799999999992</v>
      </c>
      <c r="N853" s="41">
        <v>7201.8799999999992</v>
      </c>
      <c r="O853" s="41">
        <v>0</v>
      </c>
      <c r="P853" s="42">
        <v>65845.759999999995</v>
      </c>
      <c r="Q853" s="34" t="s">
        <v>25</v>
      </c>
      <c r="R853" s="34" t="s">
        <v>26</v>
      </c>
      <c r="S853" s="11" t="s">
        <v>4105</v>
      </c>
    </row>
    <row r="854" spans="1:19" x14ac:dyDescent="0.2">
      <c r="A854" s="33">
        <v>43678</v>
      </c>
      <c r="B854" s="34">
        <v>124</v>
      </c>
      <c r="C854" s="34" t="s">
        <v>102</v>
      </c>
      <c r="D854" s="34" t="str">
        <f>VLOOKUP(C854,'SALE PARTY MASTER'!$B$4:$E$500,2,FALSE)</f>
        <v>23AABCE9378F1ZK</v>
      </c>
      <c r="E854" s="34" t="s">
        <v>22</v>
      </c>
      <c r="F854" s="34" t="s">
        <v>2240</v>
      </c>
      <c r="G854" s="44">
        <v>43708</v>
      </c>
      <c r="H854" s="34">
        <v>87081090</v>
      </c>
      <c r="I854" s="34">
        <v>28</v>
      </c>
      <c r="J854" s="38">
        <v>1</v>
      </c>
      <c r="K854" s="40">
        <v>2021.5</v>
      </c>
      <c r="L854" s="41">
        <v>566.02</v>
      </c>
      <c r="M854" s="41">
        <v>0</v>
      </c>
      <c r="N854" s="41">
        <v>0</v>
      </c>
      <c r="O854" s="41">
        <v>0</v>
      </c>
      <c r="P854" s="42">
        <v>2587.52</v>
      </c>
      <c r="Q854" s="34" t="s">
        <v>25</v>
      </c>
      <c r="R854" s="34" t="s">
        <v>106</v>
      </c>
      <c r="S854" s="11" t="s">
        <v>4105</v>
      </c>
    </row>
    <row r="855" spans="1:19" x14ac:dyDescent="0.2">
      <c r="A855" s="33">
        <v>43678</v>
      </c>
      <c r="B855" s="34">
        <v>125</v>
      </c>
      <c r="C855" s="34" t="s">
        <v>102</v>
      </c>
      <c r="D855" s="34" t="str">
        <f>VLOOKUP(C855,'SALE PARTY MASTER'!$B$4:$E$500,2,FALSE)</f>
        <v>23AABCE9378F1ZK</v>
      </c>
      <c r="E855" s="34" t="s">
        <v>22</v>
      </c>
      <c r="F855" s="34" t="s">
        <v>2241</v>
      </c>
      <c r="G855" s="44">
        <v>43708</v>
      </c>
      <c r="H855" s="34">
        <v>87081090</v>
      </c>
      <c r="I855" s="34">
        <v>28</v>
      </c>
      <c r="J855" s="38">
        <v>2</v>
      </c>
      <c r="K855" s="40">
        <v>4297.6000000000004</v>
      </c>
      <c r="L855" s="41">
        <v>1203.3280000000002</v>
      </c>
      <c r="M855" s="41">
        <v>0</v>
      </c>
      <c r="N855" s="41">
        <v>0</v>
      </c>
      <c r="O855" s="41">
        <v>0</v>
      </c>
      <c r="P855" s="42">
        <v>5500.9280000000008</v>
      </c>
      <c r="Q855" s="34" t="s">
        <v>25</v>
      </c>
      <c r="R855" s="34" t="s">
        <v>106</v>
      </c>
      <c r="S855" s="11" t="s">
        <v>4105</v>
      </c>
    </row>
    <row r="856" spans="1:19" x14ac:dyDescent="0.2">
      <c r="A856" s="33">
        <v>43678</v>
      </c>
      <c r="B856" s="34">
        <v>126</v>
      </c>
      <c r="C856" s="34" t="s">
        <v>102</v>
      </c>
      <c r="D856" s="34" t="str">
        <f>VLOOKUP(C856,'SALE PARTY MASTER'!$B$4:$E$500,2,FALSE)</f>
        <v>23AABCE9378F1ZK</v>
      </c>
      <c r="E856" s="34" t="s">
        <v>22</v>
      </c>
      <c r="F856" s="34" t="s">
        <v>2242</v>
      </c>
      <c r="G856" s="44">
        <v>43708</v>
      </c>
      <c r="H856" s="34">
        <v>87081090</v>
      </c>
      <c r="I856" s="34">
        <v>28</v>
      </c>
      <c r="J856" s="38">
        <v>2</v>
      </c>
      <c r="K856" s="40">
        <v>3806.8</v>
      </c>
      <c r="L856" s="41">
        <v>1065.9040000000002</v>
      </c>
      <c r="M856" s="41">
        <v>0</v>
      </c>
      <c r="N856" s="41">
        <v>0</v>
      </c>
      <c r="O856" s="41">
        <v>0</v>
      </c>
      <c r="P856" s="42">
        <v>4872.7040000000006</v>
      </c>
      <c r="Q856" s="34" t="s">
        <v>25</v>
      </c>
      <c r="R856" s="34" t="s">
        <v>106</v>
      </c>
      <c r="S856" s="11" t="s">
        <v>4105</v>
      </c>
    </row>
    <row r="857" spans="1:19" x14ac:dyDescent="0.2">
      <c r="A857" s="33">
        <v>43678</v>
      </c>
      <c r="B857" s="34">
        <v>127</v>
      </c>
      <c r="C857" s="34" t="s">
        <v>102</v>
      </c>
      <c r="D857" s="34" t="str">
        <f>VLOOKUP(C857,'SALE PARTY MASTER'!$B$4:$E$500,2,FALSE)</f>
        <v>23AABCE9378F1ZK</v>
      </c>
      <c r="E857" s="34" t="s">
        <v>22</v>
      </c>
      <c r="F857" s="34" t="s">
        <v>2243</v>
      </c>
      <c r="G857" s="44">
        <v>43708</v>
      </c>
      <c r="H857" s="34">
        <v>87081090</v>
      </c>
      <c r="I857" s="34">
        <v>28</v>
      </c>
      <c r="J857" s="38">
        <v>2</v>
      </c>
      <c r="K857" s="40">
        <v>2590.1999999999998</v>
      </c>
      <c r="L857" s="41">
        <v>725.25599999999997</v>
      </c>
      <c r="M857" s="41">
        <v>0</v>
      </c>
      <c r="N857" s="41">
        <v>0</v>
      </c>
      <c r="O857" s="41">
        <v>0</v>
      </c>
      <c r="P857" s="42">
        <v>3315.4559999999997</v>
      </c>
      <c r="Q857" s="34" t="s">
        <v>25</v>
      </c>
      <c r="R857" s="34" t="s">
        <v>106</v>
      </c>
      <c r="S857" s="11" t="s">
        <v>4105</v>
      </c>
    </row>
    <row r="858" spans="1:19" x14ac:dyDescent="0.2">
      <c r="A858" s="33">
        <v>43678</v>
      </c>
      <c r="B858" s="34">
        <v>128</v>
      </c>
      <c r="C858" s="34" t="s">
        <v>102</v>
      </c>
      <c r="D858" s="34" t="str">
        <f>VLOOKUP(C858,'SALE PARTY MASTER'!$B$4:$E$500,2,FALSE)</f>
        <v>23AABCE9378F1ZK</v>
      </c>
      <c r="E858" s="34" t="s">
        <v>22</v>
      </c>
      <c r="F858" s="34" t="s">
        <v>2244</v>
      </c>
      <c r="G858" s="44">
        <v>43708</v>
      </c>
      <c r="H858" s="34">
        <v>87081090</v>
      </c>
      <c r="I858" s="34">
        <v>28</v>
      </c>
      <c r="J858" s="38">
        <v>3</v>
      </c>
      <c r="K858" s="40">
        <v>6092.61</v>
      </c>
      <c r="L858" s="41">
        <v>1705.9307999999999</v>
      </c>
      <c r="M858" s="41">
        <v>0</v>
      </c>
      <c r="N858" s="41">
        <v>0</v>
      </c>
      <c r="O858" s="41">
        <v>0</v>
      </c>
      <c r="P858" s="42">
        <v>7798.5407999999998</v>
      </c>
      <c r="Q858" s="34" t="s">
        <v>25</v>
      </c>
      <c r="R858" s="34" t="s">
        <v>106</v>
      </c>
      <c r="S858" s="11" t="s">
        <v>4105</v>
      </c>
    </row>
    <row r="859" spans="1:19" x14ac:dyDescent="0.2">
      <c r="A859" s="33">
        <v>43678</v>
      </c>
      <c r="B859" s="34">
        <v>129</v>
      </c>
      <c r="C859" s="34" t="s">
        <v>102</v>
      </c>
      <c r="D859" s="34" t="str">
        <f>VLOOKUP(C859,'SALE PARTY MASTER'!$B$4:$E$500,2,FALSE)</f>
        <v>23AABCE9378F1ZK</v>
      </c>
      <c r="E859" s="34" t="s">
        <v>22</v>
      </c>
      <c r="F859" s="34" t="s">
        <v>2245</v>
      </c>
      <c r="G859" s="44">
        <v>43708</v>
      </c>
      <c r="H859" s="34">
        <v>87081090</v>
      </c>
      <c r="I859" s="34">
        <v>28</v>
      </c>
      <c r="J859" s="38">
        <v>22</v>
      </c>
      <c r="K859" s="40">
        <v>20654.04</v>
      </c>
      <c r="L859" s="41">
        <v>5783.1311999999998</v>
      </c>
      <c r="M859" s="41">
        <v>0</v>
      </c>
      <c r="N859" s="41">
        <v>0</v>
      </c>
      <c r="O859" s="41">
        <v>0</v>
      </c>
      <c r="P859" s="42">
        <v>26437.171200000001</v>
      </c>
      <c r="Q859" s="34" t="s">
        <v>25</v>
      </c>
      <c r="R859" s="34" t="s">
        <v>106</v>
      </c>
      <c r="S859" s="11" t="s">
        <v>4105</v>
      </c>
    </row>
    <row r="860" spans="1:19" x14ac:dyDescent="0.2">
      <c r="A860" s="33">
        <v>43678</v>
      </c>
      <c r="B860" s="34">
        <v>130</v>
      </c>
      <c r="C860" s="34" t="s">
        <v>102</v>
      </c>
      <c r="D860" s="34" t="str">
        <f>VLOOKUP(C860,'SALE PARTY MASTER'!$B$4:$E$500,2,FALSE)</f>
        <v>23AABCE9378F1ZK</v>
      </c>
      <c r="E860" s="34" t="s">
        <v>22</v>
      </c>
      <c r="F860" s="34" t="s">
        <v>2246</v>
      </c>
      <c r="G860" s="44">
        <v>43708</v>
      </c>
      <c r="H860" s="34">
        <v>87081090</v>
      </c>
      <c r="I860" s="34">
        <v>28</v>
      </c>
      <c r="J860" s="38">
        <v>3</v>
      </c>
      <c r="K860" s="40">
        <v>986.4</v>
      </c>
      <c r="L860" s="41">
        <v>276.19199999999995</v>
      </c>
      <c r="M860" s="41">
        <v>0</v>
      </c>
      <c r="N860" s="41">
        <v>0</v>
      </c>
      <c r="O860" s="41">
        <v>0</v>
      </c>
      <c r="P860" s="42">
        <v>1262.5919999999999</v>
      </c>
      <c r="Q860" s="34" t="s">
        <v>25</v>
      </c>
      <c r="R860" s="34" t="s">
        <v>106</v>
      </c>
      <c r="S860" s="11" t="s">
        <v>4105</v>
      </c>
    </row>
    <row r="861" spans="1:19" x14ac:dyDescent="0.2">
      <c r="A861" s="33">
        <v>43678</v>
      </c>
      <c r="B861" s="34">
        <v>131</v>
      </c>
      <c r="C861" s="34" t="s">
        <v>102</v>
      </c>
      <c r="D861" s="34" t="str">
        <f>VLOOKUP(C861,'SALE PARTY MASTER'!$B$4:$E$500,2,FALSE)</f>
        <v>23AABCE9378F1ZK</v>
      </c>
      <c r="E861" s="34" t="s">
        <v>22</v>
      </c>
      <c r="F861" s="34" t="s">
        <v>2247</v>
      </c>
      <c r="G861" s="44">
        <v>43708</v>
      </c>
      <c r="H861" s="34">
        <v>87081090</v>
      </c>
      <c r="I861" s="34">
        <v>28</v>
      </c>
      <c r="J861" s="38">
        <v>2</v>
      </c>
      <c r="K861" s="40">
        <v>2789.46</v>
      </c>
      <c r="L861" s="41">
        <v>781.04880000000003</v>
      </c>
      <c r="M861" s="41">
        <v>0</v>
      </c>
      <c r="N861" s="41">
        <v>0</v>
      </c>
      <c r="O861" s="41">
        <v>0</v>
      </c>
      <c r="P861" s="42">
        <v>3570.5088000000001</v>
      </c>
      <c r="Q861" s="34" t="s">
        <v>25</v>
      </c>
      <c r="R861" s="34" t="s">
        <v>106</v>
      </c>
      <c r="S861" s="11" t="s">
        <v>4105</v>
      </c>
    </row>
    <row r="862" spans="1:19" x14ac:dyDescent="0.2">
      <c r="A862" s="33">
        <v>43678</v>
      </c>
      <c r="B862" s="34">
        <v>132</v>
      </c>
      <c r="C862" s="34" t="s">
        <v>124</v>
      </c>
      <c r="D862" s="34" t="str">
        <f>VLOOKUP(C862,'SALE PARTY MASTER'!$B$4:$E$500,2,FALSE)</f>
        <v>27AAACB2484Q1Z8</v>
      </c>
      <c r="E862" s="34" t="s">
        <v>22</v>
      </c>
      <c r="F862" s="34" t="s">
        <v>2248</v>
      </c>
      <c r="G862" s="44">
        <v>43708</v>
      </c>
      <c r="H862" s="34">
        <v>998898</v>
      </c>
      <c r="I862" s="34">
        <v>18</v>
      </c>
      <c r="J862" s="38">
        <v>2430</v>
      </c>
      <c r="K862" s="40">
        <v>208980</v>
      </c>
      <c r="L862" s="41">
        <v>0</v>
      </c>
      <c r="M862" s="41">
        <v>18808.2</v>
      </c>
      <c r="N862" s="41">
        <v>18808.2</v>
      </c>
      <c r="O862" s="41">
        <v>0</v>
      </c>
      <c r="P862" s="42">
        <v>246596.4</v>
      </c>
      <c r="Q862" s="34" t="s">
        <v>25</v>
      </c>
      <c r="R862" s="34" t="s">
        <v>26</v>
      </c>
      <c r="S862" s="11" t="s">
        <v>4105</v>
      </c>
    </row>
    <row r="863" spans="1:19" x14ac:dyDescent="0.2">
      <c r="A863" s="33"/>
      <c r="B863" s="34"/>
      <c r="C863" s="34"/>
      <c r="D863" s="34"/>
      <c r="E863" s="34"/>
      <c r="F863" s="34"/>
      <c r="G863" s="44"/>
      <c r="H863" s="34"/>
      <c r="I863" s="34"/>
      <c r="J863" s="34"/>
      <c r="K863" s="39"/>
      <c r="L863" s="39"/>
      <c r="M863" s="39"/>
      <c r="N863" s="39"/>
      <c r="O863" s="39"/>
      <c r="P863" s="39"/>
      <c r="Q863" s="34"/>
      <c r="R863" s="34"/>
      <c r="S863" s="11" t="s">
        <v>4105</v>
      </c>
    </row>
    <row r="864" spans="1:19" x14ac:dyDescent="0.2">
      <c r="A864" s="33">
        <v>43678</v>
      </c>
      <c r="B864" s="34">
        <v>229</v>
      </c>
      <c r="C864" s="34" t="s">
        <v>167</v>
      </c>
      <c r="D864" s="34" t="str">
        <f>VLOOKUP(C864,'SALE PARTY MASTER'!$B$4:$E$500,2,FALSE)</f>
        <v>27AABFP3834C1ZK</v>
      </c>
      <c r="E864" s="34" t="s">
        <v>220</v>
      </c>
      <c r="F864" s="34" t="s">
        <v>2249</v>
      </c>
      <c r="G864" s="44">
        <v>43704</v>
      </c>
      <c r="H864" s="34">
        <v>87141900</v>
      </c>
      <c r="I864" s="34">
        <v>28</v>
      </c>
      <c r="J864" s="38">
        <v>-1200</v>
      </c>
      <c r="K864" s="40">
        <v>-44633.5</v>
      </c>
      <c r="L864" s="41">
        <v>0</v>
      </c>
      <c r="M864" s="41">
        <v>-6248.69</v>
      </c>
      <c r="N864" s="41">
        <v>-6248.69</v>
      </c>
      <c r="O864" s="41">
        <v>0</v>
      </c>
      <c r="P864" s="42">
        <v>-57130.879999999997</v>
      </c>
      <c r="Q864" s="34" t="s">
        <v>334</v>
      </c>
      <c r="R864" s="34" t="s">
        <v>26</v>
      </c>
      <c r="S864" s="11" t="s">
        <v>4105</v>
      </c>
    </row>
    <row r="865" spans="1:19" x14ac:dyDescent="0.2">
      <c r="A865" s="33">
        <v>43678</v>
      </c>
      <c r="B865" s="34">
        <v>230</v>
      </c>
      <c r="C865" s="34" t="s">
        <v>167</v>
      </c>
      <c r="D865" s="34" t="str">
        <f>VLOOKUP(C865,'SALE PARTY MASTER'!$B$4:$E$500,2,FALSE)</f>
        <v>27AABFP3834C1ZK</v>
      </c>
      <c r="E865" s="34" t="s">
        <v>220</v>
      </c>
      <c r="F865" s="34" t="s">
        <v>2250</v>
      </c>
      <c r="G865" s="44">
        <v>43704</v>
      </c>
      <c r="H865" s="34">
        <v>87141900</v>
      </c>
      <c r="I865" s="34">
        <v>28</v>
      </c>
      <c r="J865" s="38">
        <v>-802</v>
      </c>
      <c r="K865" s="40">
        <v>-12134.26</v>
      </c>
      <c r="L865" s="41">
        <v>0</v>
      </c>
      <c r="M865" s="41">
        <v>-1698.7964000000002</v>
      </c>
      <c r="N865" s="41">
        <v>-1698.7964000000002</v>
      </c>
      <c r="O865" s="41">
        <v>0</v>
      </c>
      <c r="P865" s="42">
        <v>-15531.852800000001</v>
      </c>
      <c r="Q865" s="34" t="s">
        <v>334</v>
      </c>
      <c r="R865" s="34" t="s">
        <v>26</v>
      </c>
      <c r="S865" s="11" t="s">
        <v>4105</v>
      </c>
    </row>
    <row r="866" spans="1:19" x14ac:dyDescent="0.2">
      <c r="A866" s="33">
        <v>43678</v>
      </c>
      <c r="B866" s="34">
        <v>231</v>
      </c>
      <c r="C866" s="34" t="s">
        <v>167</v>
      </c>
      <c r="D866" s="34" t="str">
        <f>VLOOKUP(C866,'SALE PARTY MASTER'!$B$4:$E$500,2,FALSE)</f>
        <v>27AABFP3834C1ZK</v>
      </c>
      <c r="E866" s="34" t="s">
        <v>220</v>
      </c>
      <c r="F866" s="34" t="s">
        <v>2251</v>
      </c>
      <c r="G866" s="44">
        <v>43704</v>
      </c>
      <c r="H866" s="34">
        <v>87141900</v>
      </c>
      <c r="I866" s="34">
        <v>28</v>
      </c>
      <c r="J866" s="38">
        <v>-1970</v>
      </c>
      <c r="K866" s="40">
        <v>-19325.7</v>
      </c>
      <c r="L866" s="41">
        <v>0</v>
      </c>
      <c r="M866" s="41">
        <v>-2705.598</v>
      </c>
      <c r="N866" s="41">
        <v>-2705.598</v>
      </c>
      <c r="O866" s="41">
        <v>0</v>
      </c>
      <c r="P866" s="42">
        <v>-24736.896000000001</v>
      </c>
      <c r="Q866" s="34" t="s">
        <v>334</v>
      </c>
      <c r="R866" s="34" t="s">
        <v>26</v>
      </c>
      <c r="S866" s="11" t="s">
        <v>4105</v>
      </c>
    </row>
    <row r="867" spans="1:19" x14ac:dyDescent="0.2">
      <c r="A867" s="33">
        <v>43678</v>
      </c>
      <c r="B867" s="34">
        <v>232</v>
      </c>
      <c r="C867" s="34" t="s">
        <v>167</v>
      </c>
      <c r="D867" s="34" t="str">
        <f>VLOOKUP(C867,'SALE PARTY MASTER'!$B$4:$E$500,2,FALSE)</f>
        <v>27AABFP3834C1ZK</v>
      </c>
      <c r="E867" s="34" t="s">
        <v>220</v>
      </c>
      <c r="F867" s="34" t="s">
        <v>2252</v>
      </c>
      <c r="G867" s="44">
        <v>43704</v>
      </c>
      <c r="H867" s="34">
        <v>87141900</v>
      </c>
      <c r="I867" s="34">
        <v>28</v>
      </c>
      <c r="J867" s="38">
        <v>-510</v>
      </c>
      <c r="K867" s="40">
        <v>-5003.1000000000004</v>
      </c>
      <c r="L867" s="41">
        <v>0</v>
      </c>
      <c r="M867" s="41">
        <v>-700.43400000000008</v>
      </c>
      <c r="N867" s="41">
        <v>-700.43400000000008</v>
      </c>
      <c r="O867" s="41">
        <v>0</v>
      </c>
      <c r="P867" s="42">
        <v>-6403.9680000000008</v>
      </c>
      <c r="Q867" s="34" t="s">
        <v>334</v>
      </c>
      <c r="R867" s="34" t="s">
        <v>26</v>
      </c>
      <c r="S867" s="11" t="s">
        <v>4105</v>
      </c>
    </row>
    <row r="868" spans="1:19" x14ac:dyDescent="0.2">
      <c r="A868" s="33">
        <v>43678</v>
      </c>
      <c r="B868" s="34">
        <v>233</v>
      </c>
      <c r="C868" s="34" t="s">
        <v>167</v>
      </c>
      <c r="D868" s="34" t="str">
        <f>VLOOKUP(C868,'SALE PARTY MASTER'!$B$4:$E$500,2,FALSE)</f>
        <v>27AABFP3834C1ZK</v>
      </c>
      <c r="E868" s="34" t="s">
        <v>220</v>
      </c>
      <c r="F868" s="34" t="s">
        <v>2253</v>
      </c>
      <c r="G868" s="44">
        <v>43704</v>
      </c>
      <c r="H868" s="34">
        <v>87141900</v>
      </c>
      <c r="I868" s="34">
        <v>28</v>
      </c>
      <c r="J868" s="38">
        <v>-3050</v>
      </c>
      <c r="K868" s="40">
        <v>-29920.5</v>
      </c>
      <c r="L868" s="41">
        <v>0</v>
      </c>
      <c r="M868" s="41">
        <v>-4188.87</v>
      </c>
      <c r="N868" s="41">
        <v>-4188.87</v>
      </c>
      <c r="O868" s="41">
        <v>0</v>
      </c>
      <c r="P868" s="42">
        <v>-38298.239999999998</v>
      </c>
      <c r="Q868" s="34" t="s">
        <v>334</v>
      </c>
      <c r="R868" s="34" t="s">
        <v>26</v>
      </c>
      <c r="S868" s="11" t="s">
        <v>4105</v>
      </c>
    </row>
    <row r="869" spans="1:19" x14ac:dyDescent="0.2">
      <c r="A869" s="33">
        <v>43678</v>
      </c>
      <c r="B869" s="34">
        <v>234</v>
      </c>
      <c r="C869" s="34" t="s">
        <v>167</v>
      </c>
      <c r="D869" s="34" t="str">
        <f>VLOOKUP(C869,'SALE PARTY MASTER'!$B$4:$E$500,2,FALSE)</f>
        <v>27AABFP3834C1ZK</v>
      </c>
      <c r="E869" s="34" t="s">
        <v>220</v>
      </c>
      <c r="F869" s="34" t="s">
        <v>2254</v>
      </c>
      <c r="G869" s="44">
        <v>43704</v>
      </c>
      <c r="H869" s="34">
        <v>87141900</v>
      </c>
      <c r="I869" s="34">
        <v>28</v>
      </c>
      <c r="J869" s="38">
        <v>-799</v>
      </c>
      <c r="K869" s="40">
        <v>-7838.19</v>
      </c>
      <c r="L869" s="41">
        <v>0</v>
      </c>
      <c r="M869" s="41">
        <v>-1097.3466000000001</v>
      </c>
      <c r="N869" s="41">
        <v>-1097.3466000000001</v>
      </c>
      <c r="O869" s="41">
        <v>0</v>
      </c>
      <c r="P869" s="42">
        <v>-10032.8832</v>
      </c>
      <c r="Q869" s="34" t="s">
        <v>334</v>
      </c>
      <c r="R869" s="34" t="s">
        <v>26</v>
      </c>
      <c r="S869" s="11" t="s">
        <v>4105</v>
      </c>
    </row>
    <row r="870" spans="1:19" x14ac:dyDescent="0.2">
      <c r="A870" s="33">
        <v>43678</v>
      </c>
      <c r="B870" s="34">
        <v>235</v>
      </c>
      <c r="C870" s="34" t="s">
        <v>155</v>
      </c>
      <c r="D870" s="34" t="str">
        <f>VLOOKUP(C870,'SALE PARTY MASTER'!$B$4:$E$500,2,FALSE)</f>
        <v>27AAGCP0139E1ZP</v>
      </c>
      <c r="E870" s="34" t="s">
        <v>220</v>
      </c>
      <c r="F870" s="34" t="s">
        <v>2255</v>
      </c>
      <c r="G870" s="44">
        <v>43677</v>
      </c>
      <c r="H870" s="34">
        <v>87141090</v>
      </c>
      <c r="I870" s="34">
        <v>28</v>
      </c>
      <c r="J870" s="38">
        <v>-15</v>
      </c>
      <c r="K870" s="40">
        <v>-1130.55</v>
      </c>
      <c r="L870" s="41">
        <v>0</v>
      </c>
      <c r="M870" s="41">
        <v>-158.27700000000002</v>
      </c>
      <c r="N870" s="41">
        <v>-158.27700000000002</v>
      </c>
      <c r="O870" s="41">
        <v>0</v>
      </c>
      <c r="P870" s="42">
        <v>-1447.104</v>
      </c>
      <c r="Q870" s="34" t="s">
        <v>334</v>
      </c>
      <c r="R870" s="34" t="s">
        <v>26</v>
      </c>
      <c r="S870" s="11" t="s">
        <v>4105</v>
      </c>
    </row>
    <row r="871" spans="1:19" x14ac:dyDescent="0.2">
      <c r="A871" s="33"/>
      <c r="B871" s="34"/>
      <c r="C871" s="34"/>
      <c r="D871" s="34" t="e">
        <f>VLOOKUP(C871,'SALE PARTY MASTER'!$B$4:$E$500,2,FALSE)</f>
        <v>#N/A</v>
      </c>
      <c r="E871" s="34"/>
      <c r="F871" s="34"/>
      <c r="G871" s="44"/>
      <c r="H871" s="34"/>
      <c r="I871" s="34"/>
      <c r="J871" s="34"/>
      <c r="K871" s="39"/>
      <c r="L871" s="39"/>
      <c r="M871" s="39"/>
      <c r="N871" s="39"/>
      <c r="O871" s="39"/>
      <c r="P871" s="39"/>
      <c r="Q871" s="34"/>
      <c r="R871" s="34"/>
      <c r="S871" s="11" t="s">
        <v>4105</v>
      </c>
    </row>
    <row r="872" spans="1:19" x14ac:dyDescent="0.2">
      <c r="A872" s="33">
        <v>43709</v>
      </c>
      <c r="B872" s="34">
        <v>1</v>
      </c>
      <c r="C872" s="34" t="s">
        <v>40</v>
      </c>
      <c r="D872" s="34" t="str">
        <f>VLOOKUP(C872,'SALE PARTY MASTER'!$B$4:$E$500,2,FALSE)</f>
        <v>27AAACT1848E1ZH</v>
      </c>
      <c r="E872" s="34" t="s">
        <v>22</v>
      </c>
      <c r="F872" s="34" t="s">
        <v>2256</v>
      </c>
      <c r="G872" s="44">
        <v>43711</v>
      </c>
      <c r="H872" s="34">
        <v>87089900</v>
      </c>
      <c r="I872" s="34">
        <v>28</v>
      </c>
      <c r="J872" s="38">
        <v>96</v>
      </c>
      <c r="K872" s="40">
        <v>69043.199999999997</v>
      </c>
      <c r="L872" s="41">
        <v>0</v>
      </c>
      <c r="M872" s="41">
        <v>9666.0480000000007</v>
      </c>
      <c r="N872" s="41">
        <v>9666.0480000000007</v>
      </c>
      <c r="O872" s="41">
        <v>0</v>
      </c>
      <c r="P872" s="42">
        <v>88375.296000000002</v>
      </c>
      <c r="Q872" s="34" t="s">
        <v>25</v>
      </c>
      <c r="R872" s="34" t="s">
        <v>26</v>
      </c>
      <c r="S872" s="11" t="s">
        <v>4105</v>
      </c>
    </row>
    <row r="873" spans="1:19" x14ac:dyDescent="0.2">
      <c r="A873" s="33">
        <v>43709</v>
      </c>
      <c r="B873" s="34">
        <v>2</v>
      </c>
      <c r="C873" s="34" t="s">
        <v>167</v>
      </c>
      <c r="D873" s="34" t="str">
        <f>VLOOKUP(C873,'SALE PARTY MASTER'!$B$4:$E$500,2,FALSE)</f>
        <v>27AABFP3834C1ZK</v>
      </c>
      <c r="E873" s="34" t="s">
        <v>22</v>
      </c>
      <c r="F873" s="34" t="s">
        <v>2257</v>
      </c>
      <c r="G873" s="44">
        <v>43711</v>
      </c>
      <c r="H873" s="34">
        <v>87141900</v>
      </c>
      <c r="I873" s="34">
        <v>28</v>
      </c>
      <c r="J873" s="38">
        <v>872</v>
      </c>
      <c r="K873" s="40">
        <v>10426.959999999999</v>
      </c>
      <c r="L873" s="41">
        <v>0</v>
      </c>
      <c r="M873" s="41">
        <v>1459.7744</v>
      </c>
      <c r="N873" s="41">
        <v>1459.7744</v>
      </c>
      <c r="O873" s="41">
        <v>0</v>
      </c>
      <c r="P873" s="42">
        <v>13346.5088</v>
      </c>
      <c r="Q873" s="34" t="s">
        <v>25</v>
      </c>
      <c r="R873" s="34" t="s">
        <v>26</v>
      </c>
      <c r="S873" s="11" t="s">
        <v>4105</v>
      </c>
    </row>
    <row r="874" spans="1:19" x14ac:dyDescent="0.2">
      <c r="A874" s="33">
        <v>43709</v>
      </c>
      <c r="B874" s="34">
        <v>3</v>
      </c>
      <c r="C874" s="34" t="s">
        <v>167</v>
      </c>
      <c r="D874" s="34" t="str">
        <f>VLOOKUP(C874,'SALE PARTY MASTER'!$B$4:$E$500,2,FALSE)</f>
        <v>27AABFP3834C1ZK</v>
      </c>
      <c r="E874" s="34" t="s">
        <v>22</v>
      </c>
      <c r="F874" s="34" t="s">
        <v>2258</v>
      </c>
      <c r="G874" s="44">
        <v>43711</v>
      </c>
      <c r="H874" s="34">
        <v>87141900</v>
      </c>
      <c r="I874" s="34">
        <v>28</v>
      </c>
      <c r="J874" s="38">
        <v>1048</v>
      </c>
      <c r="K874" s="40">
        <v>15856.24</v>
      </c>
      <c r="L874" s="41">
        <v>0</v>
      </c>
      <c r="M874" s="41">
        <v>2219.8735999999999</v>
      </c>
      <c r="N874" s="41">
        <v>2219.8735999999999</v>
      </c>
      <c r="O874" s="41">
        <v>0</v>
      </c>
      <c r="P874" s="42">
        <v>20295.9872</v>
      </c>
      <c r="Q874" s="34" t="s">
        <v>25</v>
      </c>
      <c r="R874" s="34" t="s">
        <v>26</v>
      </c>
      <c r="S874" s="11" t="s">
        <v>4105</v>
      </c>
    </row>
    <row r="875" spans="1:19" x14ac:dyDescent="0.2">
      <c r="A875" s="33">
        <v>43709</v>
      </c>
      <c r="B875" s="34">
        <v>4</v>
      </c>
      <c r="C875" s="34" t="s">
        <v>124</v>
      </c>
      <c r="D875" s="34" t="str">
        <f>VLOOKUP(C875,'SALE PARTY MASTER'!$B$4:$E$500,2,FALSE)</f>
        <v>27AAACB2484Q1Z8</v>
      </c>
      <c r="E875" s="34" t="s">
        <v>22</v>
      </c>
      <c r="F875" s="34" t="s">
        <v>2259</v>
      </c>
      <c r="G875" s="44">
        <v>43711</v>
      </c>
      <c r="H875" s="34">
        <v>998898</v>
      </c>
      <c r="I875" s="34">
        <v>18</v>
      </c>
      <c r="J875" s="38">
        <v>630</v>
      </c>
      <c r="K875" s="40">
        <v>54180</v>
      </c>
      <c r="L875" s="41">
        <v>0</v>
      </c>
      <c r="M875" s="41">
        <v>4876.2</v>
      </c>
      <c r="N875" s="41">
        <v>4876.2</v>
      </c>
      <c r="O875" s="41">
        <v>0</v>
      </c>
      <c r="P875" s="42">
        <v>63932.4</v>
      </c>
      <c r="Q875" s="34" t="s">
        <v>25</v>
      </c>
      <c r="R875" s="34" t="s">
        <v>26</v>
      </c>
      <c r="S875" s="11" t="s">
        <v>4105</v>
      </c>
    </row>
    <row r="876" spans="1:19" x14ac:dyDescent="0.2">
      <c r="A876" s="33">
        <v>43709</v>
      </c>
      <c r="B876" s="34">
        <v>5</v>
      </c>
      <c r="C876" s="34" t="s">
        <v>124</v>
      </c>
      <c r="D876" s="34" t="str">
        <f>VLOOKUP(C876,'SALE PARTY MASTER'!$B$4:$E$500,2,FALSE)</f>
        <v>27AAACB2484Q1Z8</v>
      </c>
      <c r="E876" s="34" t="s">
        <v>22</v>
      </c>
      <c r="F876" s="34" t="s">
        <v>2260</v>
      </c>
      <c r="G876" s="44">
        <v>43711</v>
      </c>
      <c r="H876" s="34">
        <v>998898</v>
      </c>
      <c r="I876" s="34">
        <v>18</v>
      </c>
      <c r="J876" s="38">
        <v>450</v>
      </c>
      <c r="K876" s="40">
        <v>38700</v>
      </c>
      <c r="L876" s="41">
        <v>0</v>
      </c>
      <c r="M876" s="41">
        <v>3483</v>
      </c>
      <c r="N876" s="41">
        <v>3483</v>
      </c>
      <c r="O876" s="41">
        <v>0</v>
      </c>
      <c r="P876" s="42">
        <v>45666</v>
      </c>
      <c r="Q876" s="34" t="s">
        <v>25</v>
      </c>
      <c r="R876" s="34" t="s">
        <v>26</v>
      </c>
      <c r="S876" s="11" t="s">
        <v>4105</v>
      </c>
    </row>
    <row r="877" spans="1:19" x14ac:dyDescent="0.2">
      <c r="A877" s="33">
        <v>43709</v>
      </c>
      <c r="B877" s="34">
        <v>6</v>
      </c>
      <c r="C877" s="34" t="s">
        <v>155</v>
      </c>
      <c r="D877" s="34" t="str">
        <f>VLOOKUP(C877,'SALE PARTY MASTER'!$B$4:$E$500,2,FALSE)</f>
        <v>27AAGCP0139E1ZP</v>
      </c>
      <c r="E877" s="34" t="s">
        <v>22</v>
      </c>
      <c r="F877" s="34" t="s">
        <v>2261</v>
      </c>
      <c r="G877" s="44">
        <v>43712</v>
      </c>
      <c r="H877" s="34">
        <v>87141090</v>
      </c>
      <c r="I877" s="34">
        <v>28</v>
      </c>
      <c r="J877" s="38">
        <v>540</v>
      </c>
      <c r="K877" s="40">
        <v>25396.2</v>
      </c>
      <c r="L877" s="41">
        <v>0</v>
      </c>
      <c r="M877" s="41">
        <v>3555.4680000000003</v>
      </c>
      <c r="N877" s="41">
        <v>3555.4680000000003</v>
      </c>
      <c r="O877" s="41">
        <v>0</v>
      </c>
      <c r="P877" s="42">
        <v>32507.136000000002</v>
      </c>
      <c r="Q877" s="34" t="s">
        <v>25</v>
      </c>
      <c r="R877" s="34" t="s">
        <v>26</v>
      </c>
      <c r="S877" s="11" t="s">
        <v>4105</v>
      </c>
    </row>
    <row r="878" spans="1:19" x14ac:dyDescent="0.2">
      <c r="A878" s="33">
        <v>43709</v>
      </c>
      <c r="B878" s="34">
        <v>7</v>
      </c>
      <c r="C878" s="34" t="s">
        <v>155</v>
      </c>
      <c r="D878" s="34" t="str">
        <f>VLOOKUP(C878,'SALE PARTY MASTER'!$B$4:$E$500,2,FALSE)</f>
        <v>27AAGCP0139E1ZP</v>
      </c>
      <c r="E878" s="34" t="s">
        <v>22</v>
      </c>
      <c r="F878" s="34" t="s">
        <v>2262</v>
      </c>
      <c r="G878" s="44">
        <v>43712</v>
      </c>
      <c r="H878" s="34">
        <v>87141090</v>
      </c>
      <c r="I878" s="34">
        <v>28</v>
      </c>
      <c r="J878" s="38">
        <v>440</v>
      </c>
      <c r="K878" s="40">
        <v>33162.800000000003</v>
      </c>
      <c r="L878" s="41">
        <v>0</v>
      </c>
      <c r="M878" s="41">
        <v>4642.7920000000004</v>
      </c>
      <c r="N878" s="41">
        <v>4642.7920000000004</v>
      </c>
      <c r="O878" s="41">
        <v>0</v>
      </c>
      <c r="P878" s="42">
        <v>42448.384000000005</v>
      </c>
      <c r="Q878" s="34" t="s">
        <v>25</v>
      </c>
      <c r="R878" s="34" t="s">
        <v>26</v>
      </c>
      <c r="S878" s="11" t="s">
        <v>4105</v>
      </c>
    </row>
    <row r="879" spans="1:19" x14ac:dyDescent="0.2">
      <c r="A879" s="33">
        <v>43709</v>
      </c>
      <c r="B879" s="34">
        <v>8</v>
      </c>
      <c r="C879" s="34" t="s">
        <v>28</v>
      </c>
      <c r="D879" s="34" t="str">
        <f>VLOOKUP(C879,'SALE PARTY MASTER'!$B$4:$E$500,2,FALSE)</f>
        <v>27AAECM8871A1ZF</v>
      </c>
      <c r="E879" s="34" t="s">
        <v>22</v>
      </c>
      <c r="F879" s="34" t="s">
        <v>2263</v>
      </c>
      <c r="G879" s="44">
        <v>43712</v>
      </c>
      <c r="H879" s="34">
        <v>87089900</v>
      </c>
      <c r="I879" s="34">
        <v>28</v>
      </c>
      <c r="J879" s="38">
        <v>12</v>
      </c>
      <c r="K879" s="40">
        <v>23255.759999999998</v>
      </c>
      <c r="L879" s="41">
        <v>0</v>
      </c>
      <c r="M879" s="41">
        <v>3255.8063999999995</v>
      </c>
      <c r="N879" s="41">
        <v>3255.8063999999995</v>
      </c>
      <c r="O879" s="41">
        <v>0</v>
      </c>
      <c r="P879" s="42">
        <v>29767.362799999999</v>
      </c>
      <c r="Q879" s="34" t="s">
        <v>25</v>
      </c>
      <c r="R879" s="34" t="s">
        <v>26</v>
      </c>
      <c r="S879" s="11" t="s">
        <v>4105</v>
      </c>
    </row>
    <row r="880" spans="1:19" x14ac:dyDescent="0.2">
      <c r="A880" s="33">
        <v>43709</v>
      </c>
      <c r="B880" s="34">
        <v>9</v>
      </c>
      <c r="C880" s="34" t="s">
        <v>45</v>
      </c>
      <c r="D880" s="34" t="str">
        <f>VLOOKUP(C880,'SALE PARTY MASTER'!$B$4:$E$500,2,FALSE)</f>
        <v>27AAACD4090Q1Z8</v>
      </c>
      <c r="E880" s="34" t="s">
        <v>22</v>
      </c>
      <c r="F880" s="34" t="s">
        <v>2264</v>
      </c>
      <c r="G880" s="44">
        <v>43712</v>
      </c>
      <c r="H880" s="34">
        <v>85129000</v>
      </c>
      <c r="I880" s="34">
        <v>18</v>
      </c>
      <c r="J880" s="38">
        <v>630</v>
      </c>
      <c r="K880" s="40">
        <v>76866.3</v>
      </c>
      <c r="L880" s="41">
        <v>0</v>
      </c>
      <c r="M880" s="41">
        <v>6917.9670000000006</v>
      </c>
      <c r="N880" s="41">
        <v>6917.9670000000006</v>
      </c>
      <c r="O880" s="41">
        <v>0</v>
      </c>
      <c r="P880" s="42">
        <v>90702.233999999997</v>
      </c>
      <c r="Q880" s="34" t="s">
        <v>25</v>
      </c>
      <c r="R880" s="34" t="s">
        <v>26</v>
      </c>
      <c r="S880" s="11" t="s">
        <v>4105</v>
      </c>
    </row>
    <row r="881" spans="1:19" x14ac:dyDescent="0.2">
      <c r="A881" s="33">
        <v>43709</v>
      </c>
      <c r="B881" s="34">
        <v>10</v>
      </c>
      <c r="C881" s="34" t="s">
        <v>40</v>
      </c>
      <c r="D881" s="34" t="str">
        <f>VLOOKUP(C881,'SALE PARTY MASTER'!$B$4:$E$500,2,FALSE)</f>
        <v>27AAACT1848E1ZH</v>
      </c>
      <c r="E881" s="34" t="s">
        <v>22</v>
      </c>
      <c r="F881" s="34" t="s">
        <v>2265</v>
      </c>
      <c r="G881" s="44">
        <v>43712</v>
      </c>
      <c r="H881" s="34">
        <v>87089900</v>
      </c>
      <c r="I881" s="34">
        <v>28</v>
      </c>
      <c r="J881" s="38">
        <v>95</v>
      </c>
      <c r="K881" s="40">
        <v>24542.45</v>
      </c>
      <c r="L881" s="41">
        <v>0</v>
      </c>
      <c r="M881" s="41">
        <v>3435.9429999999998</v>
      </c>
      <c r="N881" s="41">
        <v>3435.9429999999998</v>
      </c>
      <c r="O881" s="41">
        <v>0</v>
      </c>
      <c r="P881" s="42">
        <v>31414.326000000001</v>
      </c>
      <c r="Q881" s="34" t="s">
        <v>25</v>
      </c>
      <c r="R881" s="34" t="s">
        <v>26</v>
      </c>
      <c r="S881" s="11" t="s">
        <v>4105</v>
      </c>
    </row>
    <row r="882" spans="1:19" x14ac:dyDescent="0.2">
      <c r="A882" s="33">
        <v>43709</v>
      </c>
      <c r="B882" s="34">
        <v>11</v>
      </c>
      <c r="C882" s="34" t="s">
        <v>167</v>
      </c>
      <c r="D882" s="34" t="str">
        <f>VLOOKUP(C882,'SALE PARTY MASTER'!$B$4:$E$500,2,FALSE)</f>
        <v>27AABFP3834C1ZK</v>
      </c>
      <c r="E882" s="34" t="s">
        <v>22</v>
      </c>
      <c r="F882" s="34" t="s">
        <v>2266</v>
      </c>
      <c r="G882" s="44">
        <v>43712</v>
      </c>
      <c r="H882" s="34">
        <v>87141900</v>
      </c>
      <c r="I882" s="34">
        <v>28</v>
      </c>
      <c r="J882" s="38">
        <v>2900</v>
      </c>
      <c r="K882" s="40">
        <v>34194.6</v>
      </c>
      <c r="L882" s="41">
        <v>0</v>
      </c>
      <c r="M882" s="41">
        <v>4787.2539999999999</v>
      </c>
      <c r="N882" s="41">
        <v>4787.2539999999999</v>
      </c>
      <c r="O882" s="41">
        <v>0</v>
      </c>
      <c r="P882" s="42">
        <v>43769.108</v>
      </c>
      <c r="Q882" s="34" t="s">
        <v>25</v>
      </c>
      <c r="R882" s="34" t="s">
        <v>26</v>
      </c>
      <c r="S882" s="11" t="s">
        <v>4105</v>
      </c>
    </row>
    <row r="883" spans="1:19" x14ac:dyDescent="0.2">
      <c r="A883" s="33">
        <v>43709</v>
      </c>
      <c r="B883" s="34">
        <v>12</v>
      </c>
      <c r="C883" s="34" t="s">
        <v>124</v>
      </c>
      <c r="D883" s="34" t="str">
        <f>VLOOKUP(C883,'SALE PARTY MASTER'!$B$4:$E$500,2,FALSE)</f>
        <v>27AAACB2484Q1Z8</v>
      </c>
      <c r="E883" s="34" t="s">
        <v>22</v>
      </c>
      <c r="F883" s="34" t="s">
        <v>2267</v>
      </c>
      <c r="G883" s="44">
        <v>43712</v>
      </c>
      <c r="H883" s="34">
        <v>998898</v>
      </c>
      <c r="I883" s="34">
        <v>18</v>
      </c>
      <c r="J883" s="38">
        <v>900</v>
      </c>
      <c r="K883" s="40">
        <v>77400</v>
      </c>
      <c r="L883" s="41">
        <v>0</v>
      </c>
      <c r="M883" s="41">
        <v>6966</v>
      </c>
      <c r="N883" s="41">
        <v>6966</v>
      </c>
      <c r="O883" s="41">
        <v>0</v>
      </c>
      <c r="P883" s="42">
        <v>91332</v>
      </c>
      <c r="Q883" s="34" t="s">
        <v>25</v>
      </c>
      <c r="R883" s="34" t="s">
        <v>26</v>
      </c>
      <c r="S883" s="11" t="s">
        <v>4105</v>
      </c>
    </row>
    <row r="884" spans="1:19" x14ac:dyDescent="0.2">
      <c r="A884" s="33">
        <v>43709</v>
      </c>
      <c r="B884" s="34">
        <v>13</v>
      </c>
      <c r="C884" s="34" t="s">
        <v>70</v>
      </c>
      <c r="D884" s="34" t="str">
        <f>VLOOKUP(C884,'SALE PARTY MASTER'!$B$4:$E$500,2,FALSE)</f>
        <v>27AACCA4196J1ZG</v>
      </c>
      <c r="E884" s="34" t="s">
        <v>22</v>
      </c>
      <c r="F884" s="34" t="s">
        <v>2268</v>
      </c>
      <c r="G884" s="44">
        <v>43712</v>
      </c>
      <c r="H884" s="34">
        <v>998898</v>
      </c>
      <c r="I884" s="34">
        <v>18</v>
      </c>
      <c r="J884" s="38">
        <v>870</v>
      </c>
      <c r="K884" s="40">
        <v>9917</v>
      </c>
      <c r="L884" s="41">
        <v>0</v>
      </c>
      <c r="M884" s="41">
        <v>892.53</v>
      </c>
      <c r="N884" s="41">
        <v>892.53</v>
      </c>
      <c r="O884" s="41">
        <v>0</v>
      </c>
      <c r="P884" s="42">
        <v>11702.06</v>
      </c>
      <c r="Q884" s="34" t="s">
        <v>25</v>
      </c>
      <c r="R884" s="34" t="s">
        <v>26</v>
      </c>
      <c r="S884" s="11" t="s">
        <v>4105</v>
      </c>
    </row>
    <row r="885" spans="1:19" x14ac:dyDescent="0.2">
      <c r="A885" s="33">
        <v>43709</v>
      </c>
      <c r="B885" s="34">
        <v>14</v>
      </c>
      <c r="C885" s="34" t="s">
        <v>155</v>
      </c>
      <c r="D885" s="34" t="str">
        <f>VLOOKUP(C885,'SALE PARTY MASTER'!$B$4:$E$500,2,FALSE)</f>
        <v>27AAGCP0139E1ZP</v>
      </c>
      <c r="E885" s="34" t="s">
        <v>22</v>
      </c>
      <c r="F885" s="34" t="s">
        <v>2269</v>
      </c>
      <c r="G885" s="44">
        <v>43713</v>
      </c>
      <c r="H885" s="34">
        <v>87141090</v>
      </c>
      <c r="I885" s="34">
        <v>28</v>
      </c>
      <c r="J885" s="38">
        <v>640</v>
      </c>
      <c r="K885" s="40">
        <v>48236.800000000003</v>
      </c>
      <c r="L885" s="41">
        <v>0</v>
      </c>
      <c r="M885" s="41">
        <v>6753.152000000001</v>
      </c>
      <c r="N885" s="41">
        <v>6753.152000000001</v>
      </c>
      <c r="O885" s="41">
        <v>0</v>
      </c>
      <c r="P885" s="42">
        <v>61743.104000000007</v>
      </c>
      <c r="Q885" s="34" t="s">
        <v>25</v>
      </c>
      <c r="R885" s="34" t="s">
        <v>26</v>
      </c>
      <c r="S885" s="11" t="s">
        <v>4105</v>
      </c>
    </row>
    <row r="886" spans="1:19" x14ac:dyDescent="0.2">
      <c r="A886" s="33">
        <v>43709</v>
      </c>
      <c r="B886" s="34">
        <v>15</v>
      </c>
      <c r="C886" s="34" t="s">
        <v>45</v>
      </c>
      <c r="D886" s="34" t="str">
        <f>VLOOKUP(C886,'SALE PARTY MASTER'!$B$4:$E$500,2,FALSE)</f>
        <v>27AAACD4090Q1Z8</v>
      </c>
      <c r="E886" s="34" t="s">
        <v>22</v>
      </c>
      <c r="F886" s="34" t="s">
        <v>2270</v>
      </c>
      <c r="G886" s="44">
        <v>43713</v>
      </c>
      <c r="H886" s="34">
        <v>85129000</v>
      </c>
      <c r="I886" s="34">
        <v>18</v>
      </c>
      <c r="J886" s="38">
        <v>594</v>
      </c>
      <c r="K886" s="40">
        <v>72473.94</v>
      </c>
      <c r="L886" s="41">
        <v>0</v>
      </c>
      <c r="M886" s="41">
        <v>6522.6546000000008</v>
      </c>
      <c r="N886" s="41">
        <v>6522.6546000000008</v>
      </c>
      <c r="O886" s="41">
        <v>0</v>
      </c>
      <c r="P886" s="42">
        <v>85519.239200000011</v>
      </c>
      <c r="Q886" s="34" t="s">
        <v>25</v>
      </c>
      <c r="R886" s="34" t="s">
        <v>26</v>
      </c>
      <c r="S886" s="11" t="s">
        <v>4105</v>
      </c>
    </row>
    <row r="887" spans="1:19" x14ac:dyDescent="0.2">
      <c r="A887" s="33">
        <v>43709</v>
      </c>
      <c r="B887" s="34">
        <v>16</v>
      </c>
      <c r="C887" s="34" t="s">
        <v>45</v>
      </c>
      <c r="D887" s="34" t="str">
        <f>VLOOKUP(C887,'SALE PARTY MASTER'!$B$4:$E$500,2,FALSE)</f>
        <v>27AAACD4090Q1Z8</v>
      </c>
      <c r="E887" s="34" t="s">
        <v>22</v>
      </c>
      <c r="F887" s="34" t="s">
        <v>2271</v>
      </c>
      <c r="G887" s="44">
        <v>43713</v>
      </c>
      <c r="H887" s="34">
        <v>85129000</v>
      </c>
      <c r="I887" s="34">
        <v>18</v>
      </c>
      <c r="J887" s="38">
        <v>270</v>
      </c>
      <c r="K887" s="40">
        <v>17431.2</v>
      </c>
      <c r="L887" s="41">
        <v>0</v>
      </c>
      <c r="M887" s="41">
        <v>1568.808</v>
      </c>
      <c r="N887" s="41">
        <v>1568.808</v>
      </c>
      <c r="O887" s="41">
        <v>0</v>
      </c>
      <c r="P887" s="42">
        <v>20568.815999999999</v>
      </c>
      <c r="Q887" s="34" t="s">
        <v>25</v>
      </c>
      <c r="R887" s="34" t="s">
        <v>26</v>
      </c>
      <c r="S887" s="11" t="s">
        <v>4105</v>
      </c>
    </row>
    <row r="888" spans="1:19" x14ac:dyDescent="0.2">
      <c r="A888" s="33">
        <v>43709</v>
      </c>
      <c r="B888" s="34">
        <v>17</v>
      </c>
      <c r="C888" s="34" t="s">
        <v>124</v>
      </c>
      <c r="D888" s="34" t="str">
        <f>VLOOKUP(C888,'SALE PARTY MASTER'!$B$4:$E$500,2,FALSE)</f>
        <v>27AAACB2484Q1Z8</v>
      </c>
      <c r="E888" s="34" t="s">
        <v>22</v>
      </c>
      <c r="F888" s="34" t="s">
        <v>2272</v>
      </c>
      <c r="G888" s="44">
        <v>43713</v>
      </c>
      <c r="H888" s="34">
        <v>998898</v>
      </c>
      <c r="I888" s="34">
        <v>18</v>
      </c>
      <c r="J888" s="38">
        <v>810</v>
      </c>
      <c r="K888" s="40">
        <v>69660</v>
      </c>
      <c r="L888" s="41">
        <v>0</v>
      </c>
      <c r="M888" s="41">
        <v>6269.4000000000005</v>
      </c>
      <c r="N888" s="41">
        <v>6269.4000000000005</v>
      </c>
      <c r="O888" s="41">
        <v>0</v>
      </c>
      <c r="P888" s="42">
        <v>82198.8</v>
      </c>
      <c r="Q888" s="34" t="s">
        <v>25</v>
      </c>
      <c r="R888" s="34" t="s">
        <v>26</v>
      </c>
      <c r="S888" s="11" t="s">
        <v>4105</v>
      </c>
    </row>
    <row r="889" spans="1:19" x14ac:dyDescent="0.2">
      <c r="A889" s="33">
        <v>43709</v>
      </c>
      <c r="B889" s="34">
        <v>18</v>
      </c>
      <c r="C889" s="34" t="s">
        <v>167</v>
      </c>
      <c r="D889" s="34" t="str">
        <f>VLOOKUP(C889,'SALE PARTY MASTER'!$B$4:$E$500,2,FALSE)</f>
        <v>27AABFP3834C1ZK</v>
      </c>
      <c r="E889" s="34" t="s">
        <v>22</v>
      </c>
      <c r="F889" s="34" t="s">
        <v>2273</v>
      </c>
      <c r="G889" s="44">
        <v>43714</v>
      </c>
      <c r="H889" s="34">
        <v>87141900</v>
      </c>
      <c r="I889" s="34">
        <v>28</v>
      </c>
      <c r="J889" s="38">
        <v>2410</v>
      </c>
      <c r="K889" s="40">
        <v>29174.9</v>
      </c>
      <c r="L889" s="41">
        <v>0</v>
      </c>
      <c r="M889" s="41">
        <v>4084.4860000000003</v>
      </c>
      <c r="N889" s="41">
        <v>4084.4860000000003</v>
      </c>
      <c r="O889" s="41">
        <v>0</v>
      </c>
      <c r="P889" s="42">
        <v>37343.882000000005</v>
      </c>
      <c r="Q889" s="34" t="s">
        <v>25</v>
      </c>
      <c r="R889" s="34" t="s">
        <v>26</v>
      </c>
      <c r="S889" s="11" t="s">
        <v>4105</v>
      </c>
    </row>
    <row r="890" spans="1:19" x14ac:dyDescent="0.2">
      <c r="A890" s="33">
        <v>43709</v>
      </c>
      <c r="B890" s="34">
        <v>19</v>
      </c>
      <c r="C890" s="34" t="s">
        <v>28</v>
      </c>
      <c r="D890" s="34" t="str">
        <f>VLOOKUP(C890,'SALE PARTY MASTER'!$B$4:$E$500,2,FALSE)</f>
        <v>27AAECM8871A1ZF</v>
      </c>
      <c r="E890" s="34" t="s">
        <v>22</v>
      </c>
      <c r="F890" s="34" t="s">
        <v>2274</v>
      </c>
      <c r="G890" s="44">
        <v>43714</v>
      </c>
      <c r="H890" s="34">
        <v>87089900</v>
      </c>
      <c r="I890" s="34">
        <v>28</v>
      </c>
      <c r="J890" s="38">
        <v>12</v>
      </c>
      <c r="K890" s="40">
        <v>23255.759999999998</v>
      </c>
      <c r="L890" s="41">
        <v>0</v>
      </c>
      <c r="M890" s="41">
        <v>3255.8063999999995</v>
      </c>
      <c r="N890" s="41">
        <v>3255.8063999999995</v>
      </c>
      <c r="O890" s="41">
        <v>0</v>
      </c>
      <c r="P890" s="42">
        <v>29767.362799999999</v>
      </c>
      <c r="Q890" s="34" t="s">
        <v>25</v>
      </c>
      <c r="R890" s="34" t="s">
        <v>26</v>
      </c>
      <c r="S890" s="11" t="s">
        <v>4105</v>
      </c>
    </row>
    <row r="891" spans="1:19" x14ac:dyDescent="0.2">
      <c r="A891" s="33">
        <v>43709</v>
      </c>
      <c r="B891" s="34">
        <v>20</v>
      </c>
      <c r="C891" s="34" t="s">
        <v>155</v>
      </c>
      <c r="D891" s="34" t="str">
        <f>VLOOKUP(C891,'SALE PARTY MASTER'!$B$4:$E$500,2,FALSE)</f>
        <v>27AAGCP0139E1ZP</v>
      </c>
      <c r="E891" s="34" t="s">
        <v>22</v>
      </c>
      <c r="F891" s="34" t="s">
        <v>2275</v>
      </c>
      <c r="G891" s="44">
        <v>43714</v>
      </c>
      <c r="H891" s="34">
        <v>87141090</v>
      </c>
      <c r="I891" s="34">
        <v>28</v>
      </c>
      <c r="J891" s="38">
        <v>1560</v>
      </c>
      <c r="K891" s="40">
        <v>73366.8</v>
      </c>
      <c r="L891" s="41">
        <v>0</v>
      </c>
      <c r="M891" s="41">
        <v>10271.352000000001</v>
      </c>
      <c r="N891" s="41">
        <v>10271.352000000001</v>
      </c>
      <c r="O891" s="41">
        <v>0</v>
      </c>
      <c r="P891" s="42">
        <v>93909.504000000001</v>
      </c>
      <c r="Q891" s="34" t="s">
        <v>25</v>
      </c>
      <c r="R891" s="34" t="s">
        <v>26</v>
      </c>
      <c r="S891" s="11" t="s">
        <v>4105</v>
      </c>
    </row>
    <row r="892" spans="1:19" x14ac:dyDescent="0.2">
      <c r="A892" s="33">
        <v>43709</v>
      </c>
      <c r="B892" s="34">
        <v>21</v>
      </c>
      <c r="C892" s="34" t="s">
        <v>155</v>
      </c>
      <c r="D892" s="34" t="str">
        <f>VLOOKUP(C892,'SALE PARTY MASTER'!$B$4:$E$500,2,FALSE)</f>
        <v>27AAGCP0139E1ZP</v>
      </c>
      <c r="E892" s="34" t="s">
        <v>22</v>
      </c>
      <c r="F892" s="34" t="s">
        <v>2276</v>
      </c>
      <c r="G892" s="44">
        <v>43714</v>
      </c>
      <c r="H892" s="34">
        <v>87141090</v>
      </c>
      <c r="I892" s="34">
        <v>28</v>
      </c>
      <c r="J892" s="38">
        <v>620</v>
      </c>
      <c r="K892" s="40">
        <v>46729.4</v>
      </c>
      <c r="L892" s="41">
        <v>0</v>
      </c>
      <c r="M892" s="41">
        <v>6542.1160000000009</v>
      </c>
      <c r="N892" s="41">
        <v>6542.1160000000009</v>
      </c>
      <c r="O892" s="41">
        <v>0</v>
      </c>
      <c r="P892" s="42">
        <v>59813.632000000005</v>
      </c>
      <c r="Q892" s="34" t="s">
        <v>25</v>
      </c>
      <c r="R892" s="34" t="s">
        <v>26</v>
      </c>
      <c r="S892" s="11" t="s">
        <v>4105</v>
      </c>
    </row>
    <row r="893" spans="1:19" x14ac:dyDescent="0.2">
      <c r="A893" s="33">
        <v>43709</v>
      </c>
      <c r="B893" s="34">
        <v>22</v>
      </c>
      <c r="C893" s="34" t="s">
        <v>28</v>
      </c>
      <c r="D893" s="34" t="str">
        <f>VLOOKUP(C893,'SALE PARTY MASTER'!$B$4:$E$500,2,FALSE)</f>
        <v>27AAECM8871A1ZF</v>
      </c>
      <c r="E893" s="34" t="s">
        <v>22</v>
      </c>
      <c r="F893" s="34" t="s">
        <v>2277</v>
      </c>
      <c r="G893" s="44">
        <v>43714</v>
      </c>
      <c r="H893" s="34">
        <v>87089900</v>
      </c>
      <c r="I893" s="34">
        <v>28</v>
      </c>
      <c r="J893" s="38">
        <v>1560</v>
      </c>
      <c r="K893" s="40">
        <v>23382.18</v>
      </c>
      <c r="L893" s="41">
        <v>0</v>
      </c>
      <c r="M893" s="41">
        <v>3273.5052000000001</v>
      </c>
      <c r="N893" s="41">
        <v>3273.5052000000001</v>
      </c>
      <c r="O893" s="41">
        <v>0</v>
      </c>
      <c r="P893" s="42">
        <v>29929.180400000001</v>
      </c>
      <c r="Q893" s="34" t="s">
        <v>25</v>
      </c>
      <c r="R893" s="34" t="s">
        <v>26</v>
      </c>
      <c r="S893" s="11" t="s">
        <v>4105</v>
      </c>
    </row>
    <row r="894" spans="1:19" x14ac:dyDescent="0.2">
      <c r="A894" s="33">
        <v>43709</v>
      </c>
      <c r="B894" s="34">
        <v>23</v>
      </c>
      <c r="C894" s="34" t="s">
        <v>167</v>
      </c>
      <c r="D894" s="34" t="str">
        <f>VLOOKUP(C894,'SALE PARTY MASTER'!$B$4:$E$500,2,FALSE)</f>
        <v>27AABFP3834C1ZK</v>
      </c>
      <c r="E894" s="34" t="s">
        <v>22</v>
      </c>
      <c r="F894" s="34" t="s">
        <v>2278</v>
      </c>
      <c r="G894" s="44">
        <v>43715</v>
      </c>
      <c r="H894" s="34">
        <v>87141900</v>
      </c>
      <c r="I894" s="34">
        <v>28</v>
      </c>
      <c r="J894" s="38">
        <v>2480</v>
      </c>
      <c r="K894" s="40">
        <v>29010.400000000001</v>
      </c>
      <c r="L894" s="41">
        <v>0</v>
      </c>
      <c r="M894" s="41">
        <v>4061.4560000000006</v>
      </c>
      <c r="N894" s="41">
        <v>4061.4560000000006</v>
      </c>
      <c r="O894" s="41">
        <v>0</v>
      </c>
      <c r="P894" s="42">
        <v>37133.322000000007</v>
      </c>
      <c r="Q894" s="34" t="s">
        <v>25</v>
      </c>
      <c r="R894" s="34" t="s">
        <v>26</v>
      </c>
      <c r="S894" s="11" t="s">
        <v>4105</v>
      </c>
    </row>
    <row r="895" spans="1:19" x14ac:dyDescent="0.2">
      <c r="A895" s="33">
        <v>43709</v>
      </c>
      <c r="B895" s="34">
        <v>24</v>
      </c>
      <c r="C895" s="34" t="s">
        <v>155</v>
      </c>
      <c r="D895" s="34" t="str">
        <f>VLOOKUP(C895,'SALE PARTY MASTER'!$B$4:$E$500,2,FALSE)</f>
        <v>27AAGCP0139E1ZP</v>
      </c>
      <c r="E895" s="34" t="s">
        <v>22</v>
      </c>
      <c r="F895" s="34" t="s">
        <v>2279</v>
      </c>
      <c r="G895" s="44">
        <v>43715</v>
      </c>
      <c r="H895" s="34">
        <v>87141090</v>
      </c>
      <c r="I895" s="34">
        <v>28</v>
      </c>
      <c r="J895" s="38">
        <v>520</v>
      </c>
      <c r="K895" s="40">
        <v>39192.400000000001</v>
      </c>
      <c r="L895" s="41">
        <v>0</v>
      </c>
      <c r="M895" s="41">
        <v>5486.9360000000006</v>
      </c>
      <c r="N895" s="41">
        <v>5486.9360000000006</v>
      </c>
      <c r="O895" s="41">
        <v>0</v>
      </c>
      <c r="P895" s="42">
        <v>50166.282000000007</v>
      </c>
      <c r="Q895" s="34" t="s">
        <v>25</v>
      </c>
      <c r="R895" s="34" t="s">
        <v>26</v>
      </c>
      <c r="S895" s="11" t="s">
        <v>4105</v>
      </c>
    </row>
    <row r="896" spans="1:19" x14ac:dyDescent="0.2">
      <c r="A896" s="33">
        <v>43709</v>
      </c>
      <c r="B896" s="34">
        <v>25</v>
      </c>
      <c r="C896" s="34" t="s">
        <v>155</v>
      </c>
      <c r="D896" s="34" t="str">
        <f>VLOOKUP(C896,'SALE PARTY MASTER'!$B$4:$E$500,2,FALSE)</f>
        <v>27AAGCP0139E1ZP</v>
      </c>
      <c r="E896" s="34" t="s">
        <v>22</v>
      </c>
      <c r="F896" s="34" t="s">
        <v>2280</v>
      </c>
      <c r="G896" s="44">
        <v>43715</v>
      </c>
      <c r="H896" s="34">
        <v>87141090</v>
      </c>
      <c r="I896" s="34">
        <v>28</v>
      </c>
      <c r="J896" s="38">
        <v>420</v>
      </c>
      <c r="K896" s="40">
        <v>19752.599999999999</v>
      </c>
      <c r="L896" s="41">
        <v>0</v>
      </c>
      <c r="M896" s="41">
        <v>2765.3639999999996</v>
      </c>
      <c r="N896" s="41">
        <v>2765.3639999999996</v>
      </c>
      <c r="O896" s="41">
        <v>0</v>
      </c>
      <c r="P896" s="42">
        <v>25283.317999999999</v>
      </c>
      <c r="Q896" s="34" t="s">
        <v>25</v>
      </c>
      <c r="R896" s="34" t="s">
        <v>26</v>
      </c>
      <c r="S896" s="11" t="s">
        <v>4105</v>
      </c>
    </row>
    <row r="897" spans="1:19" x14ac:dyDescent="0.2">
      <c r="A897" s="33">
        <v>43709</v>
      </c>
      <c r="B897" s="34">
        <v>26</v>
      </c>
      <c r="C897" s="34" t="s">
        <v>102</v>
      </c>
      <c r="D897" s="34" t="str">
        <f>VLOOKUP(C897,'SALE PARTY MASTER'!$B$4:$E$500,2,FALSE)</f>
        <v>23AABCE9378F1ZK</v>
      </c>
      <c r="E897" s="34" t="s">
        <v>22</v>
      </c>
      <c r="F897" s="34" t="s">
        <v>2281</v>
      </c>
      <c r="G897" s="44">
        <v>43715</v>
      </c>
      <c r="H897" s="34">
        <v>87081090</v>
      </c>
      <c r="I897" s="34">
        <v>28</v>
      </c>
      <c r="J897" s="38">
        <v>9</v>
      </c>
      <c r="K897" s="40">
        <v>18277.830000000002</v>
      </c>
      <c r="L897" s="41">
        <v>5117.7924000000012</v>
      </c>
      <c r="M897" s="41">
        <v>0</v>
      </c>
      <c r="N897" s="41">
        <v>0</v>
      </c>
      <c r="O897" s="41">
        <v>0</v>
      </c>
      <c r="P897" s="42">
        <v>23395.622400000004</v>
      </c>
      <c r="Q897" s="34" t="s">
        <v>25</v>
      </c>
      <c r="R897" s="34" t="s">
        <v>106</v>
      </c>
      <c r="S897" s="11" t="s">
        <v>4105</v>
      </c>
    </row>
    <row r="898" spans="1:19" x14ac:dyDescent="0.2">
      <c r="A898" s="33">
        <v>43709</v>
      </c>
      <c r="B898" s="34">
        <v>27</v>
      </c>
      <c r="C898" s="34" t="s">
        <v>102</v>
      </c>
      <c r="D898" s="34" t="str">
        <f>VLOOKUP(C898,'SALE PARTY MASTER'!$B$4:$E$500,2,FALSE)</f>
        <v>23AABCE9378F1ZK</v>
      </c>
      <c r="E898" s="34" t="s">
        <v>22</v>
      </c>
      <c r="F898" s="34" t="s">
        <v>2282</v>
      </c>
      <c r="G898" s="44">
        <v>43715</v>
      </c>
      <c r="H898" s="34">
        <v>87081090</v>
      </c>
      <c r="I898" s="34">
        <v>28</v>
      </c>
      <c r="J898" s="38">
        <v>3</v>
      </c>
      <c r="K898" s="40">
        <v>6446.4</v>
      </c>
      <c r="L898" s="41">
        <v>1804.992</v>
      </c>
      <c r="M898" s="41">
        <v>0</v>
      </c>
      <c r="N898" s="41">
        <v>0</v>
      </c>
      <c r="O898" s="41">
        <v>0</v>
      </c>
      <c r="P898" s="42">
        <v>8251.3919999999998</v>
      </c>
      <c r="Q898" s="34" t="s">
        <v>25</v>
      </c>
      <c r="R898" s="34" t="s">
        <v>106</v>
      </c>
      <c r="S898" s="11" t="s">
        <v>4105</v>
      </c>
    </row>
    <row r="899" spans="1:19" x14ac:dyDescent="0.2">
      <c r="A899" s="33">
        <v>43709</v>
      </c>
      <c r="B899" s="34">
        <v>28</v>
      </c>
      <c r="C899" s="34" t="s">
        <v>102</v>
      </c>
      <c r="D899" s="34" t="str">
        <f>VLOOKUP(C899,'SALE PARTY MASTER'!$B$4:$E$500,2,FALSE)</f>
        <v>23AABCE9378F1ZK</v>
      </c>
      <c r="E899" s="34" t="s">
        <v>22</v>
      </c>
      <c r="F899" s="34" t="s">
        <v>2283</v>
      </c>
      <c r="G899" s="44">
        <v>43715</v>
      </c>
      <c r="H899" s="34">
        <v>87081090</v>
      </c>
      <c r="I899" s="34">
        <v>28</v>
      </c>
      <c r="J899" s="38">
        <v>2</v>
      </c>
      <c r="K899" s="40">
        <v>6147.2</v>
      </c>
      <c r="L899" s="41">
        <v>1721.2160000000001</v>
      </c>
      <c r="M899" s="41">
        <v>0</v>
      </c>
      <c r="N899" s="41">
        <v>0</v>
      </c>
      <c r="O899" s="41">
        <v>0</v>
      </c>
      <c r="P899" s="42">
        <v>7868.4160000000002</v>
      </c>
      <c r="Q899" s="34" t="s">
        <v>25</v>
      </c>
      <c r="R899" s="34" t="s">
        <v>106</v>
      </c>
      <c r="S899" s="11" t="s">
        <v>4105</v>
      </c>
    </row>
    <row r="900" spans="1:19" x14ac:dyDescent="0.2">
      <c r="A900" s="33">
        <v>43709</v>
      </c>
      <c r="B900" s="34">
        <v>29</v>
      </c>
      <c r="C900" s="34" t="s">
        <v>102</v>
      </c>
      <c r="D900" s="34" t="str">
        <f>VLOOKUP(C900,'SALE PARTY MASTER'!$B$4:$E$500,2,FALSE)</f>
        <v>23AABCE9378F1ZK</v>
      </c>
      <c r="E900" s="34" t="s">
        <v>22</v>
      </c>
      <c r="F900" s="34" t="s">
        <v>2284</v>
      </c>
      <c r="G900" s="44">
        <v>43715</v>
      </c>
      <c r="H900" s="34">
        <v>87081090</v>
      </c>
      <c r="I900" s="34">
        <v>28</v>
      </c>
      <c r="J900" s="38">
        <v>23</v>
      </c>
      <c r="K900" s="40">
        <v>21592.86</v>
      </c>
      <c r="L900" s="41">
        <v>6046.0008000000007</v>
      </c>
      <c r="M900" s="41">
        <v>0</v>
      </c>
      <c r="N900" s="41">
        <v>0</v>
      </c>
      <c r="O900" s="41">
        <v>0</v>
      </c>
      <c r="P900" s="42">
        <v>27638.860800000002</v>
      </c>
      <c r="Q900" s="34" t="s">
        <v>25</v>
      </c>
      <c r="R900" s="34" t="s">
        <v>106</v>
      </c>
      <c r="S900" s="11" t="s">
        <v>4105</v>
      </c>
    </row>
    <row r="901" spans="1:19" x14ac:dyDescent="0.2">
      <c r="A901" s="33">
        <v>43709</v>
      </c>
      <c r="B901" s="34">
        <v>30</v>
      </c>
      <c r="C901" s="34" t="s">
        <v>124</v>
      </c>
      <c r="D901" s="34" t="str">
        <f>VLOOKUP(C901,'SALE PARTY MASTER'!$B$4:$E$500,2,FALSE)</f>
        <v>27AAACB2484Q1Z8</v>
      </c>
      <c r="E901" s="34" t="s">
        <v>22</v>
      </c>
      <c r="F901" s="34" t="s">
        <v>2285</v>
      </c>
      <c r="G901" s="44">
        <v>43715</v>
      </c>
      <c r="H901" s="34">
        <v>998898</v>
      </c>
      <c r="I901" s="34">
        <v>18</v>
      </c>
      <c r="J901" s="38">
        <v>1620</v>
      </c>
      <c r="K901" s="40">
        <v>139320</v>
      </c>
      <c r="L901" s="41">
        <v>0</v>
      </c>
      <c r="M901" s="41">
        <v>12538.800000000001</v>
      </c>
      <c r="N901" s="41">
        <v>12538.800000000001</v>
      </c>
      <c r="O901" s="41">
        <v>0</v>
      </c>
      <c r="P901" s="42">
        <v>164397.6</v>
      </c>
      <c r="Q901" s="34" t="s">
        <v>25</v>
      </c>
      <c r="R901" s="34" t="s">
        <v>26</v>
      </c>
      <c r="S901" s="11" t="s">
        <v>4105</v>
      </c>
    </row>
    <row r="902" spans="1:19" x14ac:dyDescent="0.2">
      <c r="A902" s="33">
        <v>43709</v>
      </c>
      <c r="B902" s="34">
        <v>31</v>
      </c>
      <c r="C902" s="34" t="s">
        <v>167</v>
      </c>
      <c r="D902" s="34" t="str">
        <f>VLOOKUP(C902,'SALE PARTY MASTER'!$B$4:$E$500,2,FALSE)</f>
        <v>27AABFP3834C1ZK</v>
      </c>
      <c r="E902" s="34" t="s">
        <v>22</v>
      </c>
      <c r="F902" s="34" t="s">
        <v>2286</v>
      </c>
      <c r="G902" s="44">
        <v>43717</v>
      </c>
      <c r="H902" s="34">
        <v>87141900</v>
      </c>
      <c r="I902" s="34">
        <v>28</v>
      </c>
      <c r="J902" s="38">
        <v>2480</v>
      </c>
      <c r="K902" s="40">
        <v>35500.800000000003</v>
      </c>
      <c r="L902" s="41">
        <v>0</v>
      </c>
      <c r="M902" s="41">
        <v>4970.112000000001</v>
      </c>
      <c r="N902" s="41">
        <v>4970.112000000001</v>
      </c>
      <c r="O902" s="41">
        <v>0</v>
      </c>
      <c r="P902" s="42">
        <v>45441.034000000007</v>
      </c>
      <c r="Q902" s="34" t="s">
        <v>25</v>
      </c>
      <c r="R902" s="34" t="s">
        <v>26</v>
      </c>
      <c r="S902" s="11" t="s">
        <v>4105</v>
      </c>
    </row>
    <row r="903" spans="1:19" x14ac:dyDescent="0.2">
      <c r="A903" s="33">
        <v>43709</v>
      </c>
      <c r="B903" s="34">
        <v>32</v>
      </c>
      <c r="C903" s="34" t="s">
        <v>224</v>
      </c>
      <c r="D903" s="34" t="str">
        <f>VLOOKUP(C903,'SALE PARTY MASTER'!$B$4:$E$500,2,FALSE)</f>
        <v>27AAACV2420J1ZI</v>
      </c>
      <c r="E903" s="34" t="s">
        <v>22</v>
      </c>
      <c r="F903" s="34" t="s">
        <v>2287</v>
      </c>
      <c r="G903" s="44">
        <v>43717</v>
      </c>
      <c r="H903" s="34">
        <v>87142090</v>
      </c>
      <c r="I903" s="34">
        <v>28</v>
      </c>
      <c r="J903" s="38">
        <v>1080</v>
      </c>
      <c r="K903" s="40">
        <v>47606.400000000001</v>
      </c>
      <c r="L903" s="41">
        <v>0</v>
      </c>
      <c r="M903" s="41">
        <v>6664.8960000000006</v>
      </c>
      <c r="N903" s="41">
        <v>6664.8960000000006</v>
      </c>
      <c r="O903" s="41">
        <v>0</v>
      </c>
      <c r="P903" s="42">
        <v>60936.202000000005</v>
      </c>
      <c r="Q903" s="34" t="s">
        <v>25</v>
      </c>
      <c r="R903" s="34" t="s">
        <v>26</v>
      </c>
      <c r="S903" s="11" t="s">
        <v>4105</v>
      </c>
    </row>
    <row r="904" spans="1:19" x14ac:dyDescent="0.2">
      <c r="A904" s="33">
        <v>43709</v>
      </c>
      <c r="B904" s="34">
        <v>33</v>
      </c>
      <c r="C904" s="34" t="s">
        <v>45</v>
      </c>
      <c r="D904" s="34" t="str">
        <f>VLOOKUP(C904,'SALE PARTY MASTER'!$B$4:$E$500,2,FALSE)</f>
        <v>27AAACD4090Q1Z8</v>
      </c>
      <c r="E904" s="34" t="s">
        <v>22</v>
      </c>
      <c r="F904" s="34" t="s">
        <v>2288</v>
      </c>
      <c r="G904" s="44">
        <v>43717</v>
      </c>
      <c r="H904" s="34">
        <v>85129000</v>
      </c>
      <c r="I904" s="34">
        <v>18</v>
      </c>
      <c r="J904" s="38">
        <v>756</v>
      </c>
      <c r="K904" s="40">
        <v>92239.56</v>
      </c>
      <c r="L904" s="41">
        <v>0</v>
      </c>
      <c r="M904" s="41">
        <v>8301.5604000000003</v>
      </c>
      <c r="N904" s="41">
        <v>8301.5604000000003</v>
      </c>
      <c r="O904" s="41">
        <v>0</v>
      </c>
      <c r="P904" s="42">
        <v>108842.6808</v>
      </c>
      <c r="Q904" s="34" t="s">
        <v>25</v>
      </c>
      <c r="R904" s="34" t="s">
        <v>26</v>
      </c>
      <c r="S904" s="11" t="s">
        <v>4105</v>
      </c>
    </row>
    <row r="905" spans="1:19" x14ac:dyDescent="0.2">
      <c r="A905" s="33">
        <v>43709</v>
      </c>
      <c r="B905" s="34">
        <v>34</v>
      </c>
      <c r="C905" s="34" t="s">
        <v>91</v>
      </c>
      <c r="D905" s="34" t="str">
        <f>VLOOKUP(C905,'SALE PARTY MASTER'!$B$4:$E$500,2,FALSE)</f>
        <v>27BBVPS2447C1ZA</v>
      </c>
      <c r="E905" s="34" t="s">
        <v>22</v>
      </c>
      <c r="F905" s="34" t="s">
        <v>2289</v>
      </c>
      <c r="G905" s="44">
        <v>43718</v>
      </c>
      <c r="H905" s="34">
        <v>998898</v>
      </c>
      <c r="I905" s="34">
        <v>18</v>
      </c>
      <c r="J905" s="38">
        <v>395</v>
      </c>
      <c r="K905" s="40">
        <v>5925</v>
      </c>
      <c r="L905" s="41">
        <v>0</v>
      </c>
      <c r="M905" s="41">
        <v>533.25</v>
      </c>
      <c r="N905" s="41">
        <v>533.25</v>
      </c>
      <c r="O905" s="41">
        <v>0</v>
      </c>
      <c r="P905" s="42">
        <v>6991.5</v>
      </c>
      <c r="Q905" s="34" t="s">
        <v>25</v>
      </c>
      <c r="R905" s="34" t="s">
        <v>26</v>
      </c>
      <c r="S905" s="11" t="s">
        <v>4105</v>
      </c>
    </row>
    <row r="906" spans="1:19" x14ac:dyDescent="0.2">
      <c r="A906" s="33">
        <v>43709</v>
      </c>
      <c r="B906" s="34">
        <v>35</v>
      </c>
      <c r="C906" s="34" t="s">
        <v>167</v>
      </c>
      <c r="D906" s="34" t="str">
        <f>VLOOKUP(C906,'SALE PARTY MASTER'!$B$4:$E$500,2,FALSE)</f>
        <v>27AABFP3834C1ZK</v>
      </c>
      <c r="E906" s="34" t="s">
        <v>22</v>
      </c>
      <c r="F906" s="34" t="s">
        <v>2290</v>
      </c>
      <c r="G906" s="44">
        <v>43718</v>
      </c>
      <c r="H906" s="34">
        <v>87141900</v>
      </c>
      <c r="I906" s="34">
        <v>28</v>
      </c>
      <c r="J906" s="38">
        <v>3860</v>
      </c>
      <c r="K906" s="40">
        <v>45314.6</v>
      </c>
      <c r="L906" s="41">
        <v>0</v>
      </c>
      <c r="M906" s="41">
        <v>6344.0439999999999</v>
      </c>
      <c r="N906" s="41">
        <v>6344.0439999999999</v>
      </c>
      <c r="O906" s="41">
        <v>0</v>
      </c>
      <c r="P906" s="42">
        <v>58002.677999999993</v>
      </c>
      <c r="Q906" s="34" t="s">
        <v>25</v>
      </c>
      <c r="R906" s="34" t="s">
        <v>26</v>
      </c>
      <c r="S906" s="11" t="s">
        <v>4105</v>
      </c>
    </row>
    <row r="907" spans="1:19" x14ac:dyDescent="0.2">
      <c r="A907" s="33">
        <v>43709</v>
      </c>
      <c r="B907" s="34">
        <v>36</v>
      </c>
      <c r="C907" s="34" t="s">
        <v>124</v>
      </c>
      <c r="D907" s="34" t="str">
        <f>VLOOKUP(C907,'SALE PARTY MASTER'!$B$4:$E$500,2,FALSE)</f>
        <v>27AAACB2484Q1Z8</v>
      </c>
      <c r="E907" s="34" t="s">
        <v>22</v>
      </c>
      <c r="F907" s="34" t="s">
        <v>2291</v>
      </c>
      <c r="G907" s="44">
        <v>43718</v>
      </c>
      <c r="H907" s="34">
        <v>998898</v>
      </c>
      <c r="I907" s="34">
        <v>18</v>
      </c>
      <c r="J907" s="38">
        <v>831</v>
      </c>
      <c r="K907" s="40">
        <v>71718</v>
      </c>
      <c r="L907" s="41">
        <v>0</v>
      </c>
      <c r="M907" s="41">
        <v>6454.62</v>
      </c>
      <c r="N907" s="41">
        <v>6454.62</v>
      </c>
      <c r="O907" s="41">
        <v>0</v>
      </c>
      <c r="P907" s="42">
        <v>84627.24</v>
      </c>
      <c r="Q907" s="34" t="s">
        <v>25</v>
      </c>
      <c r="R907" s="34" t="s">
        <v>26</v>
      </c>
      <c r="S907" s="11" t="s">
        <v>4105</v>
      </c>
    </row>
    <row r="908" spans="1:19" x14ac:dyDescent="0.2">
      <c r="A908" s="33">
        <v>43709</v>
      </c>
      <c r="B908" s="34">
        <v>37</v>
      </c>
      <c r="C908" s="34" t="s">
        <v>73</v>
      </c>
      <c r="D908" s="34" t="str">
        <f>VLOOKUP(C908,'SALE PARTY MASTER'!$B$4:$E$500,2,FALSE)</f>
        <v>27AAACH4211R1ZF</v>
      </c>
      <c r="E908" s="34" t="s">
        <v>22</v>
      </c>
      <c r="F908" s="34" t="s">
        <v>2292</v>
      </c>
      <c r="G908" s="44">
        <v>43718</v>
      </c>
      <c r="H908" s="34">
        <v>85129000</v>
      </c>
      <c r="I908" s="34">
        <v>18</v>
      </c>
      <c r="J908" s="38">
        <v>2400</v>
      </c>
      <c r="K908" s="40">
        <v>60000</v>
      </c>
      <c r="L908" s="41">
        <v>0</v>
      </c>
      <c r="M908" s="41">
        <v>5400</v>
      </c>
      <c r="N908" s="41">
        <v>5400</v>
      </c>
      <c r="O908" s="41">
        <v>0</v>
      </c>
      <c r="P908" s="42">
        <v>70800</v>
      </c>
      <c r="Q908" s="34" t="s">
        <v>25</v>
      </c>
      <c r="R908" s="34" t="s">
        <v>26</v>
      </c>
      <c r="S908" s="11" t="s">
        <v>4105</v>
      </c>
    </row>
    <row r="909" spans="1:19" x14ac:dyDescent="0.2">
      <c r="A909" s="33">
        <v>43709</v>
      </c>
      <c r="B909" s="34">
        <v>38</v>
      </c>
      <c r="C909" s="34" t="s">
        <v>40</v>
      </c>
      <c r="D909" s="34" t="str">
        <f>VLOOKUP(C909,'SALE PARTY MASTER'!$B$4:$E$500,2,FALSE)</f>
        <v>27AAACT1848E1ZH</v>
      </c>
      <c r="E909" s="34" t="s">
        <v>22</v>
      </c>
      <c r="F909" s="34" t="s">
        <v>2293</v>
      </c>
      <c r="G909" s="44">
        <v>43719</v>
      </c>
      <c r="H909" s="34">
        <v>87089900</v>
      </c>
      <c r="I909" s="34">
        <v>28</v>
      </c>
      <c r="J909" s="38">
        <v>108</v>
      </c>
      <c r="K909" s="40">
        <v>48440.24</v>
      </c>
      <c r="L909" s="41">
        <v>0</v>
      </c>
      <c r="M909" s="41">
        <v>6781.6336000000001</v>
      </c>
      <c r="N909" s="41">
        <v>6781.6336000000001</v>
      </c>
      <c r="O909" s="41">
        <v>0</v>
      </c>
      <c r="P909" s="42">
        <v>62003.517200000002</v>
      </c>
      <c r="Q909" s="34" t="s">
        <v>25</v>
      </c>
      <c r="R909" s="34" t="s">
        <v>26</v>
      </c>
      <c r="S909" s="11" t="s">
        <v>4105</v>
      </c>
    </row>
    <row r="910" spans="1:19" x14ac:dyDescent="0.2">
      <c r="A910" s="33">
        <v>43709</v>
      </c>
      <c r="B910" s="34">
        <v>39</v>
      </c>
      <c r="C910" s="34" t="s">
        <v>28</v>
      </c>
      <c r="D910" s="34" t="str">
        <f>VLOOKUP(C910,'SALE PARTY MASTER'!$B$4:$E$500,2,FALSE)</f>
        <v>27AAECM8871A1ZF</v>
      </c>
      <c r="E910" s="34" t="s">
        <v>22</v>
      </c>
      <c r="F910" s="34" t="s">
        <v>2294</v>
      </c>
      <c r="G910" s="44">
        <v>43719</v>
      </c>
      <c r="H910" s="34">
        <v>87089900</v>
      </c>
      <c r="I910" s="34">
        <v>28</v>
      </c>
      <c r="J910" s="38">
        <v>12</v>
      </c>
      <c r="K910" s="40">
        <v>23382.18</v>
      </c>
      <c r="L910" s="41">
        <v>0</v>
      </c>
      <c r="M910" s="41">
        <v>3273.5052000000001</v>
      </c>
      <c r="N910" s="41">
        <v>3273.5052000000001</v>
      </c>
      <c r="O910" s="41">
        <v>0</v>
      </c>
      <c r="P910" s="42">
        <v>29929.180400000001</v>
      </c>
      <c r="Q910" s="34" t="s">
        <v>25</v>
      </c>
      <c r="R910" s="34" t="s">
        <v>26</v>
      </c>
      <c r="S910" s="11" t="s">
        <v>4105</v>
      </c>
    </row>
    <row r="911" spans="1:19" x14ac:dyDescent="0.2">
      <c r="A911" s="33">
        <v>43709</v>
      </c>
      <c r="B911" s="34">
        <v>40</v>
      </c>
      <c r="C911" s="34" t="s">
        <v>155</v>
      </c>
      <c r="D911" s="34" t="str">
        <f>VLOOKUP(C911,'SALE PARTY MASTER'!$B$4:$E$500,2,FALSE)</f>
        <v>27AAGCP0139E1ZP</v>
      </c>
      <c r="E911" s="34" t="s">
        <v>22</v>
      </c>
      <c r="F911" s="34" t="s">
        <v>2295</v>
      </c>
      <c r="G911" s="44">
        <v>43719</v>
      </c>
      <c r="H911" s="34">
        <v>87141090</v>
      </c>
      <c r="I911" s="34">
        <v>28</v>
      </c>
      <c r="J911" s="38">
        <v>700</v>
      </c>
      <c r="K911" s="40">
        <v>52759</v>
      </c>
      <c r="L911" s="41">
        <v>0</v>
      </c>
      <c r="M911" s="41">
        <v>7386.26</v>
      </c>
      <c r="N911" s="41">
        <v>7386.26</v>
      </c>
      <c r="O911" s="41">
        <v>0</v>
      </c>
      <c r="P911" s="42">
        <v>67531.520000000004</v>
      </c>
      <c r="Q911" s="34" t="s">
        <v>25</v>
      </c>
      <c r="R911" s="34" t="s">
        <v>26</v>
      </c>
      <c r="S911" s="11" t="s">
        <v>4105</v>
      </c>
    </row>
    <row r="912" spans="1:19" x14ac:dyDescent="0.2">
      <c r="A912" s="33">
        <v>43709</v>
      </c>
      <c r="B912" s="34">
        <v>41</v>
      </c>
      <c r="C912" s="34" t="s">
        <v>167</v>
      </c>
      <c r="D912" s="34" t="str">
        <f>VLOOKUP(C912,'SALE PARTY MASTER'!$B$4:$E$500,2,FALSE)</f>
        <v>27AABFP3834C1ZK</v>
      </c>
      <c r="E912" s="34" t="s">
        <v>22</v>
      </c>
      <c r="F912" s="34" t="s">
        <v>2296</v>
      </c>
      <c r="G912" s="44">
        <v>43719</v>
      </c>
      <c r="H912" s="34">
        <v>87141900</v>
      </c>
      <c r="I912" s="34">
        <v>28</v>
      </c>
      <c r="J912" s="38">
        <v>3010</v>
      </c>
      <c r="K912" s="40">
        <v>37401.699999999997</v>
      </c>
      <c r="L912" s="41">
        <v>0</v>
      </c>
      <c r="M912" s="41">
        <v>5236.2380000000003</v>
      </c>
      <c r="N912" s="41">
        <v>5236.2380000000003</v>
      </c>
      <c r="O912" s="41">
        <v>0</v>
      </c>
      <c r="P912" s="42">
        <v>47874.175999999999</v>
      </c>
      <c r="Q912" s="34" t="s">
        <v>25</v>
      </c>
      <c r="R912" s="34" t="s">
        <v>26</v>
      </c>
      <c r="S912" s="11" t="s">
        <v>4105</v>
      </c>
    </row>
    <row r="913" spans="1:19" x14ac:dyDescent="0.2">
      <c r="A913" s="33">
        <v>43709</v>
      </c>
      <c r="B913" s="34">
        <v>42</v>
      </c>
      <c r="C913" s="34" t="s">
        <v>102</v>
      </c>
      <c r="D913" s="34" t="str">
        <f>VLOOKUP(C913,'SALE PARTY MASTER'!$B$4:$E$500,2,FALSE)</f>
        <v>23AABCE9378F1ZK</v>
      </c>
      <c r="E913" s="34" t="s">
        <v>22</v>
      </c>
      <c r="F913" s="34" t="s">
        <v>2297</v>
      </c>
      <c r="G913" s="44">
        <v>43719</v>
      </c>
      <c r="H913" s="34">
        <v>87081090</v>
      </c>
      <c r="I913" s="34">
        <v>28</v>
      </c>
      <c r="J913" s="38">
        <v>1</v>
      </c>
      <c r="K913" s="40">
        <v>4970.1000000000004</v>
      </c>
      <c r="L913" s="41">
        <v>1391.6279999999999</v>
      </c>
      <c r="M913" s="41">
        <v>0</v>
      </c>
      <c r="N913" s="41">
        <v>0</v>
      </c>
      <c r="O913" s="41">
        <v>0</v>
      </c>
      <c r="P913" s="42">
        <v>6361.7280000000001</v>
      </c>
      <c r="Q913" s="34" t="s">
        <v>25</v>
      </c>
      <c r="R913" s="34" t="s">
        <v>106</v>
      </c>
      <c r="S913" s="11" t="s">
        <v>4105</v>
      </c>
    </row>
    <row r="914" spans="1:19" x14ac:dyDescent="0.2">
      <c r="A914" s="33">
        <v>43709</v>
      </c>
      <c r="B914" s="34">
        <v>43</v>
      </c>
      <c r="C914" s="34" t="s">
        <v>167</v>
      </c>
      <c r="D914" s="34" t="str">
        <f>VLOOKUP(C914,'SALE PARTY MASTER'!$B$4:$E$500,2,FALSE)</f>
        <v>27AABFP3834C1ZK</v>
      </c>
      <c r="E914" s="34" t="s">
        <v>22</v>
      </c>
      <c r="F914" s="34" t="s">
        <v>2298</v>
      </c>
      <c r="G914" s="44">
        <v>43720</v>
      </c>
      <c r="H914" s="34">
        <v>87141900</v>
      </c>
      <c r="I914" s="34">
        <v>28</v>
      </c>
      <c r="J914" s="38">
        <v>2800</v>
      </c>
      <c r="K914" s="40">
        <v>34916</v>
      </c>
      <c r="L914" s="41">
        <v>0</v>
      </c>
      <c r="M914" s="41">
        <v>4888.2400000000007</v>
      </c>
      <c r="N914" s="41">
        <v>4888.2400000000007</v>
      </c>
      <c r="O914" s="41">
        <v>0</v>
      </c>
      <c r="P914" s="42">
        <v>44692.480000000003</v>
      </c>
      <c r="Q914" s="34" t="s">
        <v>25</v>
      </c>
      <c r="R914" s="34" t="s">
        <v>26</v>
      </c>
      <c r="S914" s="11" t="s">
        <v>4105</v>
      </c>
    </row>
    <row r="915" spans="1:19" x14ac:dyDescent="0.2">
      <c r="A915" s="33">
        <v>43709</v>
      </c>
      <c r="B915" s="34">
        <v>44</v>
      </c>
      <c r="C915" s="34" t="s">
        <v>37</v>
      </c>
      <c r="D915" s="34" t="str">
        <f>VLOOKUP(C915,'SALE PARTY MASTER'!$B$4:$E$500,2,FALSE)</f>
        <v>27AAGCM1258H1ZG</v>
      </c>
      <c r="E915" s="34" t="s">
        <v>22</v>
      </c>
      <c r="F915" s="34" t="s">
        <v>2299</v>
      </c>
      <c r="G915" s="44">
        <v>43720</v>
      </c>
      <c r="H915" s="34">
        <v>998898</v>
      </c>
      <c r="I915" s="34">
        <v>18</v>
      </c>
      <c r="J915" s="38">
        <v>50</v>
      </c>
      <c r="K915" s="40">
        <v>9500</v>
      </c>
      <c r="L915" s="41">
        <v>0</v>
      </c>
      <c r="M915" s="41">
        <v>855</v>
      </c>
      <c r="N915" s="41">
        <v>855</v>
      </c>
      <c r="O915" s="41">
        <v>0</v>
      </c>
      <c r="P915" s="42">
        <v>11210</v>
      </c>
      <c r="Q915" s="34" t="s">
        <v>25</v>
      </c>
      <c r="R915" s="34" t="s">
        <v>26</v>
      </c>
      <c r="S915" s="11" t="s">
        <v>4105</v>
      </c>
    </row>
    <row r="916" spans="1:19" x14ac:dyDescent="0.2">
      <c r="A916" s="33">
        <v>43709</v>
      </c>
      <c r="B916" s="34">
        <v>45</v>
      </c>
      <c r="C916" s="34" t="s">
        <v>28</v>
      </c>
      <c r="D916" s="34" t="str">
        <f>VLOOKUP(C916,'SALE PARTY MASTER'!$B$4:$E$500,2,FALSE)</f>
        <v>27AAECM8871A1ZF</v>
      </c>
      <c r="E916" s="34" t="s">
        <v>22</v>
      </c>
      <c r="F916" s="34" t="s">
        <v>2300</v>
      </c>
      <c r="G916" s="44">
        <v>43720</v>
      </c>
      <c r="H916" s="34">
        <v>87089900</v>
      </c>
      <c r="I916" s="34">
        <v>28</v>
      </c>
      <c r="J916" s="38">
        <v>5</v>
      </c>
      <c r="K916" s="40">
        <v>9689.9</v>
      </c>
      <c r="L916" s="41">
        <v>0</v>
      </c>
      <c r="M916" s="41">
        <v>1356.586</v>
      </c>
      <c r="N916" s="41">
        <v>1356.586</v>
      </c>
      <c r="O916" s="41">
        <v>0</v>
      </c>
      <c r="P916" s="42">
        <v>12403.082</v>
      </c>
      <c r="Q916" s="34" t="s">
        <v>25</v>
      </c>
      <c r="R916" s="34" t="s">
        <v>26</v>
      </c>
      <c r="S916" s="11" t="s">
        <v>4105</v>
      </c>
    </row>
    <row r="917" spans="1:19" x14ac:dyDescent="0.2">
      <c r="A917" s="33">
        <v>43709</v>
      </c>
      <c r="B917" s="34">
        <v>46</v>
      </c>
      <c r="C917" s="34" t="s">
        <v>40</v>
      </c>
      <c r="D917" s="34" t="str">
        <f>VLOOKUP(C917,'SALE PARTY MASTER'!$B$4:$E$500,2,FALSE)</f>
        <v>27AAACT1848E1ZH</v>
      </c>
      <c r="E917" s="34" t="s">
        <v>22</v>
      </c>
      <c r="F917" s="34" t="s">
        <v>2301</v>
      </c>
      <c r="G917" s="44">
        <v>43721</v>
      </c>
      <c r="H917" s="34">
        <v>87089900</v>
      </c>
      <c r="I917" s="34">
        <v>28</v>
      </c>
      <c r="J917" s="38">
        <v>238</v>
      </c>
      <c r="K917" s="40">
        <v>28917.91</v>
      </c>
      <c r="L917" s="41">
        <v>0</v>
      </c>
      <c r="M917" s="41">
        <v>4048.4973999999997</v>
      </c>
      <c r="N917" s="41">
        <v>4048.4973999999997</v>
      </c>
      <c r="O917" s="41">
        <v>0</v>
      </c>
      <c r="P917" s="42">
        <v>37014.914799999999</v>
      </c>
      <c r="Q917" s="34" t="s">
        <v>25</v>
      </c>
      <c r="R917" s="34" t="s">
        <v>26</v>
      </c>
      <c r="S917" s="11" t="s">
        <v>4105</v>
      </c>
    </row>
    <row r="918" spans="1:19" x14ac:dyDescent="0.2">
      <c r="A918" s="33">
        <v>43709</v>
      </c>
      <c r="B918" s="34">
        <v>47</v>
      </c>
      <c r="C918" s="34" t="s">
        <v>224</v>
      </c>
      <c r="D918" s="34" t="str">
        <f>VLOOKUP(C918,'SALE PARTY MASTER'!$B$4:$E$500,2,FALSE)</f>
        <v>27AAACV2420J1ZI</v>
      </c>
      <c r="E918" s="34" t="s">
        <v>22</v>
      </c>
      <c r="F918" s="34" t="s">
        <v>2302</v>
      </c>
      <c r="G918" s="44">
        <v>43721</v>
      </c>
      <c r="H918" s="34">
        <v>85119000</v>
      </c>
      <c r="I918" s="34">
        <v>28</v>
      </c>
      <c r="J918" s="38">
        <v>1080</v>
      </c>
      <c r="K918" s="40">
        <v>59929.2</v>
      </c>
      <c r="L918" s="41">
        <v>0</v>
      </c>
      <c r="M918" s="41">
        <v>8390.0879999999997</v>
      </c>
      <c r="N918" s="41">
        <v>8390.0879999999997</v>
      </c>
      <c r="O918" s="41">
        <v>0</v>
      </c>
      <c r="P918" s="42">
        <v>76709.375999999989</v>
      </c>
      <c r="Q918" s="34" t="s">
        <v>25</v>
      </c>
      <c r="R918" s="34" t="s">
        <v>26</v>
      </c>
      <c r="S918" s="11" t="s">
        <v>4105</v>
      </c>
    </row>
    <row r="919" spans="1:19" x14ac:dyDescent="0.2">
      <c r="A919" s="33">
        <v>43709</v>
      </c>
      <c r="B919" s="34">
        <v>48</v>
      </c>
      <c r="C919" s="34" t="s">
        <v>124</v>
      </c>
      <c r="D919" s="34" t="str">
        <f>VLOOKUP(C919,'SALE PARTY MASTER'!$B$4:$E$500,2,FALSE)</f>
        <v>27AAACB2484Q1Z8</v>
      </c>
      <c r="E919" s="34" t="s">
        <v>22</v>
      </c>
      <c r="F919" s="34" t="s">
        <v>2303</v>
      </c>
      <c r="G919" s="44">
        <v>43721</v>
      </c>
      <c r="H919" s="34">
        <v>998898</v>
      </c>
      <c r="I919" s="34">
        <v>18</v>
      </c>
      <c r="J919" s="38">
        <v>2610</v>
      </c>
      <c r="K919" s="40">
        <v>221220</v>
      </c>
      <c r="L919" s="41">
        <v>0</v>
      </c>
      <c r="M919" s="41">
        <v>19909.8</v>
      </c>
      <c r="N919" s="41">
        <v>19909.8</v>
      </c>
      <c r="O919" s="41">
        <v>0</v>
      </c>
      <c r="P919" s="42">
        <v>261039.6</v>
      </c>
      <c r="Q919" s="34" t="s">
        <v>25</v>
      </c>
      <c r="R919" s="34" t="s">
        <v>26</v>
      </c>
      <c r="S919" s="11" t="s">
        <v>4105</v>
      </c>
    </row>
    <row r="920" spans="1:19" x14ac:dyDescent="0.2">
      <c r="A920" s="33">
        <v>43709</v>
      </c>
      <c r="B920" s="34">
        <v>49</v>
      </c>
      <c r="C920" s="34" t="s">
        <v>167</v>
      </c>
      <c r="D920" s="34" t="str">
        <f>VLOOKUP(C920,'SALE PARTY MASTER'!$B$4:$E$500,2,FALSE)</f>
        <v>27AABFP3834C1ZK</v>
      </c>
      <c r="E920" s="34" t="s">
        <v>22</v>
      </c>
      <c r="F920" s="34" t="s">
        <v>2304</v>
      </c>
      <c r="G920" s="44">
        <v>43721</v>
      </c>
      <c r="H920" s="34">
        <v>87141900</v>
      </c>
      <c r="I920" s="34">
        <v>28</v>
      </c>
      <c r="J920" s="38">
        <v>3920</v>
      </c>
      <c r="K920" s="40">
        <v>45371.199999999997</v>
      </c>
      <c r="L920" s="41">
        <v>0</v>
      </c>
      <c r="M920" s="41">
        <v>6351.9679999999998</v>
      </c>
      <c r="N920" s="41">
        <v>6351.9679999999998</v>
      </c>
      <c r="O920" s="41">
        <v>0</v>
      </c>
      <c r="P920" s="42">
        <v>58075.135999999999</v>
      </c>
      <c r="Q920" s="34" t="s">
        <v>25</v>
      </c>
      <c r="R920" s="34" t="s">
        <v>26</v>
      </c>
      <c r="S920" s="11" t="s">
        <v>4105</v>
      </c>
    </row>
    <row r="921" spans="1:19" x14ac:dyDescent="0.2">
      <c r="A921" s="33">
        <v>43709</v>
      </c>
      <c r="B921" s="34">
        <v>50</v>
      </c>
      <c r="C921" s="34" t="s">
        <v>28</v>
      </c>
      <c r="D921" s="34" t="str">
        <f>VLOOKUP(C921,'SALE PARTY MASTER'!$B$4:$E$500,2,FALSE)</f>
        <v>27AAECM8871A1ZF</v>
      </c>
      <c r="E921" s="34" t="s">
        <v>22</v>
      </c>
      <c r="F921" s="34" t="s">
        <v>2305</v>
      </c>
      <c r="G921" s="44">
        <v>43721</v>
      </c>
      <c r="H921" s="34">
        <v>87089900</v>
      </c>
      <c r="I921" s="34">
        <v>28</v>
      </c>
      <c r="J921" s="38">
        <v>12</v>
      </c>
      <c r="K921" s="40">
        <v>23508.6</v>
      </c>
      <c r="L921" s="41">
        <v>0</v>
      </c>
      <c r="M921" s="41">
        <v>3291.2039999999997</v>
      </c>
      <c r="N921" s="41">
        <v>3291.2039999999997</v>
      </c>
      <c r="O921" s="41">
        <v>0</v>
      </c>
      <c r="P921" s="42">
        <v>30090.998</v>
      </c>
      <c r="Q921" s="34" t="s">
        <v>25</v>
      </c>
      <c r="R921" s="34" t="s">
        <v>26</v>
      </c>
      <c r="S921" s="11" t="s">
        <v>4105</v>
      </c>
    </row>
    <row r="922" spans="1:19" x14ac:dyDescent="0.2">
      <c r="A922" s="33">
        <v>43709</v>
      </c>
      <c r="B922" s="34">
        <v>51</v>
      </c>
      <c r="C922" s="34" t="s">
        <v>73</v>
      </c>
      <c r="D922" s="34" t="str">
        <f>VLOOKUP(C922,'SALE PARTY MASTER'!$B$4:$E$500,2,FALSE)</f>
        <v>27AAACH4211R1ZF</v>
      </c>
      <c r="E922" s="34" t="s">
        <v>22</v>
      </c>
      <c r="F922" s="34" t="s">
        <v>2306</v>
      </c>
      <c r="G922" s="44">
        <v>43721</v>
      </c>
      <c r="H922" s="34">
        <v>85129000</v>
      </c>
      <c r="I922" s="34">
        <v>18</v>
      </c>
      <c r="J922" s="38">
        <v>2400</v>
      </c>
      <c r="K922" s="40">
        <v>60000</v>
      </c>
      <c r="L922" s="41">
        <v>0</v>
      </c>
      <c r="M922" s="41">
        <v>5400</v>
      </c>
      <c r="N922" s="41">
        <v>5400</v>
      </c>
      <c r="O922" s="41">
        <v>0</v>
      </c>
      <c r="P922" s="42">
        <v>70800</v>
      </c>
      <c r="Q922" s="34" t="s">
        <v>25</v>
      </c>
      <c r="R922" s="34" t="s">
        <v>26</v>
      </c>
      <c r="S922" s="11" t="s">
        <v>4105</v>
      </c>
    </row>
    <row r="923" spans="1:19" x14ac:dyDescent="0.2">
      <c r="A923" s="33">
        <v>43709</v>
      </c>
      <c r="B923" s="34">
        <v>52</v>
      </c>
      <c r="C923" s="34" t="s">
        <v>155</v>
      </c>
      <c r="D923" s="34" t="str">
        <f>VLOOKUP(C923,'SALE PARTY MASTER'!$B$4:$E$500,2,FALSE)</f>
        <v>27AAGCP0139E1ZP</v>
      </c>
      <c r="E923" s="34" t="s">
        <v>22</v>
      </c>
      <c r="F923" s="34" t="s">
        <v>2307</v>
      </c>
      <c r="G923" s="44">
        <v>43722</v>
      </c>
      <c r="H923" s="34">
        <v>87141090</v>
      </c>
      <c r="I923" s="34">
        <v>28</v>
      </c>
      <c r="J923" s="38">
        <v>500</v>
      </c>
      <c r="K923" s="40">
        <v>37685</v>
      </c>
      <c r="L923" s="41">
        <v>0</v>
      </c>
      <c r="M923" s="41">
        <v>5275.9000000000005</v>
      </c>
      <c r="N923" s="41">
        <v>5275.9000000000005</v>
      </c>
      <c r="O923" s="41">
        <v>0</v>
      </c>
      <c r="P923" s="42">
        <v>48236.800000000003</v>
      </c>
      <c r="Q923" s="34" t="s">
        <v>25</v>
      </c>
      <c r="R923" s="34" t="s">
        <v>26</v>
      </c>
      <c r="S923" s="11" t="s">
        <v>4105</v>
      </c>
    </row>
    <row r="924" spans="1:19" x14ac:dyDescent="0.2">
      <c r="A924" s="33">
        <v>43709</v>
      </c>
      <c r="B924" s="34">
        <v>53</v>
      </c>
      <c r="C924" s="34" t="s">
        <v>155</v>
      </c>
      <c r="D924" s="34" t="str">
        <f>VLOOKUP(C924,'SALE PARTY MASTER'!$B$4:$E$500,2,FALSE)</f>
        <v>27AAGCP0139E1ZP</v>
      </c>
      <c r="E924" s="34" t="s">
        <v>22</v>
      </c>
      <c r="F924" s="34" t="s">
        <v>2308</v>
      </c>
      <c r="G924" s="44">
        <v>43722</v>
      </c>
      <c r="H924" s="34">
        <v>87141090</v>
      </c>
      <c r="I924" s="34">
        <v>28</v>
      </c>
      <c r="J924" s="38">
        <v>540</v>
      </c>
      <c r="K924" s="40">
        <v>25396.2</v>
      </c>
      <c r="L924" s="41">
        <v>0</v>
      </c>
      <c r="M924" s="41">
        <v>3555.4680000000003</v>
      </c>
      <c r="N924" s="41">
        <v>3555.4680000000003</v>
      </c>
      <c r="O924" s="41">
        <v>0</v>
      </c>
      <c r="P924" s="42">
        <v>32507.136000000002</v>
      </c>
      <c r="Q924" s="34" t="s">
        <v>25</v>
      </c>
      <c r="R924" s="34" t="s">
        <v>26</v>
      </c>
      <c r="S924" s="11" t="s">
        <v>4105</v>
      </c>
    </row>
    <row r="925" spans="1:19" x14ac:dyDescent="0.2">
      <c r="A925" s="33">
        <v>43709</v>
      </c>
      <c r="B925" s="34">
        <v>54</v>
      </c>
      <c r="C925" s="34" t="s">
        <v>28</v>
      </c>
      <c r="D925" s="34" t="str">
        <f>VLOOKUP(C925,'SALE PARTY MASTER'!$B$4:$E$500,2,FALSE)</f>
        <v>27AAECM8871A1ZF</v>
      </c>
      <c r="E925" s="34" t="s">
        <v>22</v>
      </c>
      <c r="F925" s="34" t="s">
        <v>2309</v>
      </c>
      <c r="G925" s="44">
        <v>43722</v>
      </c>
      <c r="H925" s="34">
        <v>87089900</v>
      </c>
      <c r="I925" s="34">
        <v>28</v>
      </c>
      <c r="J925" s="38">
        <v>12</v>
      </c>
      <c r="K925" s="40">
        <v>23508.6</v>
      </c>
      <c r="L925" s="41">
        <v>0</v>
      </c>
      <c r="M925" s="41">
        <v>3291.2039999999997</v>
      </c>
      <c r="N925" s="41">
        <v>3291.2039999999997</v>
      </c>
      <c r="O925" s="41">
        <v>0</v>
      </c>
      <c r="P925" s="42">
        <v>30090.998</v>
      </c>
      <c r="Q925" s="34" t="s">
        <v>25</v>
      </c>
      <c r="R925" s="34" t="s">
        <v>26</v>
      </c>
      <c r="S925" s="11" t="s">
        <v>4105</v>
      </c>
    </row>
    <row r="926" spans="1:19" x14ac:dyDescent="0.2">
      <c r="A926" s="33">
        <v>43709</v>
      </c>
      <c r="B926" s="34">
        <v>55</v>
      </c>
      <c r="C926" s="34" t="s">
        <v>167</v>
      </c>
      <c r="D926" s="34" t="str">
        <f>VLOOKUP(C926,'SALE PARTY MASTER'!$B$4:$E$500,2,FALSE)</f>
        <v>27AABFP3834C1ZK</v>
      </c>
      <c r="E926" s="34" t="s">
        <v>22</v>
      </c>
      <c r="F926" s="34" t="s">
        <v>2310</v>
      </c>
      <c r="G926" s="44">
        <v>43722</v>
      </c>
      <c r="H926" s="34">
        <v>87141900</v>
      </c>
      <c r="I926" s="34">
        <v>28</v>
      </c>
      <c r="J926" s="38">
        <v>2930</v>
      </c>
      <c r="K926" s="40">
        <v>35446.5</v>
      </c>
      <c r="L926" s="41">
        <v>0</v>
      </c>
      <c r="M926" s="41">
        <v>4962.5099999999993</v>
      </c>
      <c r="N926" s="41">
        <v>4962.5099999999993</v>
      </c>
      <c r="O926" s="41">
        <v>0</v>
      </c>
      <c r="P926" s="42">
        <v>45371.519999999997</v>
      </c>
      <c r="Q926" s="34" t="s">
        <v>25</v>
      </c>
      <c r="R926" s="34" t="s">
        <v>26</v>
      </c>
      <c r="S926" s="11" t="s">
        <v>4105</v>
      </c>
    </row>
    <row r="927" spans="1:19" x14ac:dyDescent="0.2">
      <c r="A927" s="33">
        <v>43709</v>
      </c>
      <c r="B927" s="34">
        <v>56</v>
      </c>
      <c r="C927" s="34" t="s">
        <v>124</v>
      </c>
      <c r="D927" s="34" t="str">
        <f>VLOOKUP(C927,'SALE PARTY MASTER'!$B$4:$E$500,2,FALSE)</f>
        <v>27AAACB2484Q1Z8</v>
      </c>
      <c r="E927" s="34" t="s">
        <v>22</v>
      </c>
      <c r="F927" s="34" t="s">
        <v>2311</v>
      </c>
      <c r="G927" s="44">
        <v>43722</v>
      </c>
      <c r="H927" s="34">
        <v>998898</v>
      </c>
      <c r="I927" s="34">
        <v>18</v>
      </c>
      <c r="J927" s="38">
        <v>1800</v>
      </c>
      <c r="K927" s="40">
        <v>154800</v>
      </c>
      <c r="L927" s="41">
        <v>0</v>
      </c>
      <c r="M927" s="41">
        <v>13932</v>
      </c>
      <c r="N927" s="41">
        <v>13932</v>
      </c>
      <c r="O927" s="41">
        <v>0</v>
      </c>
      <c r="P927" s="42">
        <v>182664</v>
      </c>
      <c r="Q927" s="34" t="s">
        <v>25</v>
      </c>
      <c r="R927" s="34" t="s">
        <v>26</v>
      </c>
      <c r="S927" s="11" t="s">
        <v>4105</v>
      </c>
    </row>
    <row r="928" spans="1:19" x14ac:dyDescent="0.2">
      <c r="A928" s="33">
        <v>43709</v>
      </c>
      <c r="B928" s="34">
        <v>57</v>
      </c>
      <c r="C928" s="34" t="s">
        <v>73</v>
      </c>
      <c r="D928" s="34" t="str">
        <f>VLOOKUP(C928,'SALE PARTY MASTER'!$B$4:$E$500,2,FALSE)</f>
        <v>27AAACH4211R1ZF</v>
      </c>
      <c r="E928" s="34" t="s">
        <v>22</v>
      </c>
      <c r="F928" s="34" t="s">
        <v>2312</v>
      </c>
      <c r="G928" s="44">
        <v>43723</v>
      </c>
      <c r="H928" s="34">
        <v>85129000</v>
      </c>
      <c r="I928" s="34">
        <v>18</v>
      </c>
      <c r="J928" s="38">
        <v>1680</v>
      </c>
      <c r="K928" s="40">
        <v>42000</v>
      </c>
      <c r="L928" s="41">
        <v>0</v>
      </c>
      <c r="M928" s="41">
        <v>3780</v>
      </c>
      <c r="N928" s="41">
        <v>3780</v>
      </c>
      <c r="O928" s="41">
        <v>0</v>
      </c>
      <c r="P928" s="42">
        <v>49560</v>
      </c>
      <c r="Q928" s="34" t="s">
        <v>25</v>
      </c>
      <c r="R928" s="34" t="s">
        <v>26</v>
      </c>
      <c r="S928" s="11" t="s">
        <v>4105</v>
      </c>
    </row>
    <row r="929" spans="1:19" x14ac:dyDescent="0.2">
      <c r="A929" s="33">
        <v>43709</v>
      </c>
      <c r="B929" s="34">
        <v>58</v>
      </c>
      <c r="C929" s="34" t="s">
        <v>45</v>
      </c>
      <c r="D929" s="34" t="str">
        <f>VLOOKUP(C929,'SALE PARTY MASTER'!$B$4:$E$500,2,FALSE)</f>
        <v>27AAACD4090Q1Z8</v>
      </c>
      <c r="E929" s="34" t="s">
        <v>22</v>
      </c>
      <c r="F929" s="34" t="s">
        <v>2313</v>
      </c>
      <c r="G929" s="44">
        <v>43723</v>
      </c>
      <c r="H929" s="34">
        <v>85129000</v>
      </c>
      <c r="I929" s="34">
        <v>18</v>
      </c>
      <c r="J929" s="38">
        <v>972</v>
      </c>
      <c r="K929" s="40">
        <v>118593.72</v>
      </c>
      <c r="L929" s="41">
        <v>0</v>
      </c>
      <c r="M929" s="41">
        <v>10673.434800000001</v>
      </c>
      <c r="N929" s="41">
        <v>10673.434800000001</v>
      </c>
      <c r="O929" s="41">
        <v>0</v>
      </c>
      <c r="P929" s="42">
        <v>139940.5796</v>
      </c>
      <c r="Q929" s="34" t="s">
        <v>25</v>
      </c>
      <c r="R929" s="34" t="s">
        <v>26</v>
      </c>
      <c r="S929" s="11" t="s">
        <v>4105</v>
      </c>
    </row>
    <row r="930" spans="1:19" x14ac:dyDescent="0.2">
      <c r="A930" s="33">
        <v>43709</v>
      </c>
      <c r="B930" s="34">
        <v>59</v>
      </c>
      <c r="C930" s="34" t="s">
        <v>167</v>
      </c>
      <c r="D930" s="34" t="str">
        <f>VLOOKUP(C930,'SALE PARTY MASTER'!$B$4:$E$500,2,FALSE)</f>
        <v>27AABFP3834C1ZK</v>
      </c>
      <c r="E930" s="34" t="s">
        <v>22</v>
      </c>
      <c r="F930" s="34" t="s">
        <v>2314</v>
      </c>
      <c r="G930" s="44">
        <v>43724</v>
      </c>
      <c r="H930" s="34">
        <v>87141900</v>
      </c>
      <c r="I930" s="34">
        <v>28</v>
      </c>
      <c r="J930" s="38">
        <v>2600</v>
      </c>
      <c r="K930" s="40">
        <v>30826</v>
      </c>
      <c r="L930" s="41">
        <v>0</v>
      </c>
      <c r="M930" s="41">
        <v>4315.6399999999994</v>
      </c>
      <c r="N930" s="41">
        <v>4315.6399999999994</v>
      </c>
      <c r="O930" s="41">
        <v>0</v>
      </c>
      <c r="P930" s="42">
        <v>39457.279999999999</v>
      </c>
      <c r="Q930" s="34" t="s">
        <v>25</v>
      </c>
      <c r="R930" s="34" t="s">
        <v>26</v>
      </c>
      <c r="S930" s="11" t="s">
        <v>4105</v>
      </c>
    </row>
    <row r="931" spans="1:19" x14ac:dyDescent="0.2">
      <c r="A931" s="33">
        <v>43709</v>
      </c>
      <c r="B931" s="34">
        <v>60</v>
      </c>
      <c r="C931" s="34" t="s">
        <v>40</v>
      </c>
      <c r="D931" s="34" t="str">
        <f>VLOOKUP(C931,'SALE PARTY MASTER'!$B$4:$E$500,2,FALSE)</f>
        <v>27AAACT1848E1ZH</v>
      </c>
      <c r="E931" s="34" t="s">
        <v>22</v>
      </c>
      <c r="F931" s="34" t="s">
        <v>2315</v>
      </c>
      <c r="G931" s="44">
        <v>43725</v>
      </c>
      <c r="H931" s="34">
        <v>87089900</v>
      </c>
      <c r="I931" s="34">
        <v>28</v>
      </c>
      <c r="J931" s="38">
        <v>56</v>
      </c>
      <c r="K931" s="40">
        <v>33109.160000000003</v>
      </c>
      <c r="L931" s="41">
        <v>0</v>
      </c>
      <c r="M931" s="41">
        <v>4635.2924000000003</v>
      </c>
      <c r="N931" s="41">
        <v>4635.2924000000003</v>
      </c>
      <c r="O931" s="41">
        <v>0</v>
      </c>
      <c r="P931" s="42">
        <v>42379.7448</v>
      </c>
      <c r="Q931" s="34" t="s">
        <v>25</v>
      </c>
      <c r="R931" s="34" t="s">
        <v>26</v>
      </c>
      <c r="S931" s="11" t="s">
        <v>4105</v>
      </c>
    </row>
    <row r="932" spans="1:19" x14ac:dyDescent="0.2">
      <c r="A932" s="33">
        <v>43709</v>
      </c>
      <c r="B932" s="34">
        <v>61</v>
      </c>
      <c r="C932" s="34" t="s">
        <v>102</v>
      </c>
      <c r="D932" s="34" t="str">
        <f>VLOOKUP(C932,'SALE PARTY MASTER'!$B$4:$E$500,2,FALSE)</f>
        <v>23AABCE9378F1ZK</v>
      </c>
      <c r="E932" s="34" t="s">
        <v>22</v>
      </c>
      <c r="F932" s="34" t="s">
        <v>2316</v>
      </c>
      <c r="G932" s="44">
        <v>43725</v>
      </c>
      <c r="H932" s="34">
        <v>87081090</v>
      </c>
      <c r="I932" s="34">
        <v>28</v>
      </c>
      <c r="J932" s="38">
        <v>5</v>
      </c>
      <c r="K932" s="40">
        <v>10107.5</v>
      </c>
      <c r="L932" s="41">
        <v>2830.1</v>
      </c>
      <c r="M932" s="41">
        <v>0</v>
      </c>
      <c r="N932" s="41">
        <v>0</v>
      </c>
      <c r="O932" s="41">
        <v>0</v>
      </c>
      <c r="P932" s="42">
        <v>12937.6</v>
      </c>
      <c r="Q932" s="34" t="s">
        <v>25</v>
      </c>
      <c r="R932" s="34" t="s">
        <v>106</v>
      </c>
      <c r="S932" s="11" t="s">
        <v>4105</v>
      </c>
    </row>
    <row r="933" spans="1:19" x14ac:dyDescent="0.2">
      <c r="A933" s="33">
        <v>43709</v>
      </c>
      <c r="B933" s="34">
        <v>62</v>
      </c>
      <c r="C933" s="34" t="s">
        <v>167</v>
      </c>
      <c r="D933" s="34" t="str">
        <f>VLOOKUP(C933,'SALE PARTY MASTER'!$B$4:$E$500,2,FALSE)</f>
        <v>27AABFP3834C1ZK</v>
      </c>
      <c r="E933" s="34" t="s">
        <v>22</v>
      </c>
      <c r="F933" s="34" t="s">
        <v>2317</v>
      </c>
      <c r="G933" s="44">
        <v>43725</v>
      </c>
      <c r="H933" s="34">
        <v>87141900</v>
      </c>
      <c r="I933" s="34">
        <v>28</v>
      </c>
      <c r="J933" s="38">
        <v>2925</v>
      </c>
      <c r="K933" s="40">
        <v>36035.85</v>
      </c>
      <c r="L933" s="41">
        <v>0</v>
      </c>
      <c r="M933" s="41">
        <v>5045.0190000000002</v>
      </c>
      <c r="N933" s="41">
        <v>5045.0190000000002</v>
      </c>
      <c r="O933" s="41">
        <v>0</v>
      </c>
      <c r="P933" s="42">
        <v>46125.887999999999</v>
      </c>
      <c r="Q933" s="34" t="s">
        <v>25</v>
      </c>
      <c r="R933" s="34" t="s">
        <v>26</v>
      </c>
      <c r="S933" s="11" t="s">
        <v>4105</v>
      </c>
    </row>
    <row r="934" spans="1:19" x14ac:dyDescent="0.2">
      <c r="A934" s="33">
        <v>43709</v>
      </c>
      <c r="B934" s="34">
        <v>63</v>
      </c>
      <c r="C934" s="34" t="s">
        <v>73</v>
      </c>
      <c r="D934" s="34" t="str">
        <f>VLOOKUP(C934,'SALE PARTY MASTER'!$B$4:$E$500,2,FALSE)</f>
        <v>27AAACH4211R1ZF</v>
      </c>
      <c r="E934" s="34" t="s">
        <v>22</v>
      </c>
      <c r="F934" s="34" t="s">
        <v>2318</v>
      </c>
      <c r="G934" s="44">
        <v>43725</v>
      </c>
      <c r="H934" s="34">
        <v>85129000</v>
      </c>
      <c r="I934" s="34">
        <v>18</v>
      </c>
      <c r="J934" s="38">
        <v>3120</v>
      </c>
      <c r="K934" s="40">
        <v>78000</v>
      </c>
      <c r="L934" s="41">
        <v>0</v>
      </c>
      <c r="M934" s="41">
        <v>7020</v>
      </c>
      <c r="N934" s="41">
        <v>7020</v>
      </c>
      <c r="O934" s="41">
        <v>0</v>
      </c>
      <c r="P934" s="42">
        <v>92040</v>
      </c>
      <c r="Q934" s="34" t="s">
        <v>25</v>
      </c>
      <c r="R934" s="34" t="s">
        <v>26</v>
      </c>
      <c r="S934" s="11" t="s">
        <v>4105</v>
      </c>
    </row>
    <row r="935" spans="1:19" x14ac:dyDescent="0.2">
      <c r="A935" s="33">
        <v>43709</v>
      </c>
      <c r="B935" s="34">
        <v>64</v>
      </c>
      <c r="C935" s="34" t="s">
        <v>124</v>
      </c>
      <c r="D935" s="34" t="str">
        <f>VLOOKUP(C935,'SALE PARTY MASTER'!$B$4:$E$500,2,FALSE)</f>
        <v>27AAACB2484Q1Z8</v>
      </c>
      <c r="E935" s="34" t="s">
        <v>22</v>
      </c>
      <c r="F935" s="34" t="s">
        <v>2319</v>
      </c>
      <c r="G935" s="44">
        <v>43725</v>
      </c>
      <c r="H935" s="34">
        <v>998898</v>
      </c>
      <c r="I935" s="34">
        <v>18</v>
      </c>
      <c r="J935" s="38">
        <v>1260</v>
      </c>
      <c r="K935" s="40">
        <v>108360</v>
      </c>
      <c r="L935" s="41">
        <v>0</v>
      </c>
      <c r="M935" s="41">
        <v>9752.4</v>
      </c>
      <c r="N935" s="41">
        <v>9752.4</v>
      </c>
      <c r="O935" s="41">
        <v>0</v>
      </c>
      <c r="P935" s="42">
        <v>127864.8</v>
      </c>
      <c r="Q935" s="34" t="s">
        <v>25</v>
      </c>
      <c r="R935" s="34" t="s">
        <v>26</v>
      </c>
      <c r="S935" s="11" t="s">
        <v>4105</v>
      </c>
    </row>
    <row r="936" spans="1:19" x14ac:dyDescent="0.2">
      <c r="A936" s="33">
        <v>43709</v>
      </c>
      <c r="B936" s="34">
        <v>65</v>
      </c>
      <c r="C936" s="34" t="s">
        <v>124</v>
      </c>
      <c r="D936" s="34" t="str">
        <f>VLOOKUP(C936,'SALE PARTY MASTER'!$B$4:$E$500,2,FALSE)</f>
        <v>27AAACB2484Q1Z8</v>
      </c>
      <c r="E936" s="34" t="s">
        <v>22</v>
      </c>
      <c r="F936" s="34" t="s">
        <v>2320</v>
      </c>
      <c r="G936" s="44">
        <v>43725</v>
      </c>
      <c r="H936" s="34">
        <v>998898</v>
      </c>
      <c r="I936" s="34">
        <v>18</v>
      </c>
      <c r="J936" s="38">
        <v>900</v>
      </c>
      <c r="K936" s="40">
        <v>77400</v>
      </c>
      <c r="L936" s="41">
        <v>0</v>
      </c>
      <c r="M936" s="41">
        <v>6966</v>
      </c>
      <c r="N936" s="41">
        <v>6966</v>
      </c>
      <c r="O936" s="41">
        <v>0</v>
      </c>
      <c r="P936" s="42">
        <v>91332</v>
      </c>
      <c r="Q936" s="34" t="s">
        <v>25</v>
      </c>
      <c r="R936" s="34" t="s">
        <v>26</v>
      </c>
      <c r="S936" s="11" t="s">
        <v>4105</v>
      </c>
    </row>
    <row r="937" spans="1:19" x14ac:dyDescent="0.2">
      <c r="A937" s="33">
        <v>43709</v>
      </c>
      <c r="B937" s="34">
        <v>66</v>
      </c>
      <c r="C937" s="34" t="s">
        <v>167</v>
      </c>
      <c r="D937" s="34" t="str">
        <f>VLOOKUP(C937,'SALE PARTY MASTER'!$B$4:$E$500,2,FALSE)</f>
        <v>27AABFP3834C1ZK</v>
      </c>
      <c r="E937" s="34" t="s">
        <v>22</v>
      </c>
      <c r="F937" s="34" t="s">
        <v>2321</v>
      </c>
      <c r="G937" s="44">
        <v>43726</v>
      </c>
      <c r="H937" s="34">
        <v>87141900</v>
      </c>
      <c r="I937" s="34">
        <v>28</v>
      </c>
      <c r="J937" s="38">
        <v>2480</v>
      </c>
      <c r="K937" s="40">
        <v>30180.799999999999</v>
      </c>
      <c r="L937" s="41">
        <v>0</v>
      </c>
      <c r="M937" s="41">
        <v>4225.3119999999999</v>
      </c>
      <c r="N937" s="41">
        <v>4225.3119999999999</v>
      </c>
      <c r="O937" s="41">
        <v>0</v>
      </c>
      <c r="P937" s="42">
        <v>38631.423999999999</v>
      </c>
      <c r="Q937" s="34" t="s">
        <v>25</v>
      </c>
      <c r="R937" s="34" t="s">
        <v>26</v>
      </c>
      <c r="S937" s="11" t="s">
        <v>4105</v>
      </c>
    </row>
    <row r="938" spans="1:19" x14ac:dyDescent="0.2">
      <c r="A938" s="33">
        <v>43709</v>
      </c>
      <c r="B938" s="34">
        <v>67</v>
      </c>
      <c r="C938" s="34" t="s">
        <v>37</v>
      </c>
      <c r="D938" s="34" t="str">
        <f>VLOOKUP(C938,'SALE PARTY MASTER'!$B$4:$E$500,2,FALSE)</f>
        <v>27AAGCM1258H1ZG</v>
      </c>
      <c r="E938" s="34" t="s">
        <v>22</v>
      </c>
      <c r="F938" s="34" t="s">
        <v>2322</v>
      </c>
      <c r="G938" s="44">
        <v>43726</v>
      </c>
      <c r="H938" s="34">
        <v>998898</v>
      </c>
      <c r="I938" s="34">
        <v>18</v>
      </c>
      <c r="J938" s="38">
        <v>60</v>
      </c>
      <c r="K938" s="40">
        <v>11400</v>
      </c>
      <c r="L938" s="41">
        <v>0</v>
      </c>
      <c r="M938" s="41">
        <v>1026</v>
      </c>
      <c r="N938" s="41">
        <v>1026</v>
      </c>
      <c r="O938" s="41">
        <v>0</v>
      </c>
      <c r="P938" s="42">
        <v>13452</v>
      </c>
      <c r="Q938" s="34" t="s">
        <v>25</v>
      </c>
      <c r="R938" s="34" t="s">
        <v>26</v>
      </c>
      <c r="S938" s="11" t="s">
        <v>4105</v>
      </c>
    </row>
    <row r="939" spans="1:19" x14ac:dyDescent="0.2">
      <c r="A939" s="33">
        <v>43709</v>
      </c>
      <c r="B939" s="34">
        <v>68</v>
      </c>
      <c r="C939" s="34" t="s">
        <v>49</v>
      </c>
      <c r="D939" s="34" t="str">
        <f>VLOOKUP(C939,'SALE PARTY MASTER'!$B$4:$E$500,2,FALSE)</f>
        <v>27AABFJ4217F1ZP</v>
      </c>
      <c r="E939" s="34" t="s">
        <v>22</v>
      </c>
      <c r="F939" s="34" t="s">
        <v>2323</v>
      </c>
      <c r="G939" s="44">
        <v>43727</v>
      </c>
      <c r="H939" s="34">
        <v>998898</v>
      </c>
      <c r="I939" s="34">
        <v>18</v>
      </c>
      <c r="J939" s="38">
        <v>30</v>
      </c>
      <c r="K939" s="40">
        <v>8524.2000000000007</v>
      </c>
      <c r="L939" s="41">
        <v>0</v>
      </c>
      <c r="M939" s="41">
        <v>767.178</v>
      </c>
      <c r="N939" s="41">
        <v>767.178</v>
      </c>
      <c r="O939" s="41">
        <v>0</v>
      </c>
      <c r="P939" s="42">
        <v>10058.556</v>
      </c>
      <c r="Q939" s="34" t="s">
        <v>25</v>
      </c>
      <c r="R939" s="34" t="s">
        <v>26</v>
      </c>
      <c r="S939" s="11" t="s">
        <v>4105</v>
      </c>
    </row>
    <row r="940" spans="1:19" x14ac:dyDescent="0.2">
      <c r="A940" s="33">
        <v>43709</v>
      </c>
      <c r="B940" s="34">
        <v>69</v>
      </c>
      <c r="C940" s="34" t="s">
        <v>155</v>
      </c>
      <c r="D940" s="34" t="str">
        <f>VLOOKUP(C940,'SALE PARTY MASTER'!$B$4:$E$500,2,FALSE)</f>
        <v>27AAGCP0139E1ZP</v>
      </c>
      <c r="E940" s="34" t="s">
        <v>22</v>
      </c>
      <c r="F940" s="34" t="s">
        <v>2324</v>
      </c>
      <c r="G940" s="44">
        <v>43727</v>
      </c>
      <c r="H940" s="34">
        <v>87141090</v>
      </c>
      <c r="I940" s="34">
        <v>28</v>
      </c>
      <c r="J940" s="38">
        <v>500</v>
      </c>
      <c r="K940" s="40">
        <v>37685</v>
      </c>
      <c r="L940" s="41">
        <v>0</v>
      </c>
      <c r="M940" s="41">
        <v>5275.9000000000005</v>
      </c>
      <c r="N940" s="41">
        <v>5275.9000000000005</v>
      </c>
      <c r="O940" s="41">
        <v>0</v>
      </c>
      <c r="P940" s="42">
        <v>48236.800000000003</v>
      </c>
      <c r="Q940" s="34" t="s">
        <v>25</v>
      </c>
      <c r="R940" s="34" t="s">
        <v>26</v>
      </c>
      <c r="S940" s="11" t="s">
        <v>4105</v>
      </c>
    </row>
    <row r="941" spans="1:19" x14ac:dyDescent="0.2">
      <c r="A941" s="33">
        <v>43709</v>
      </c>
      <c r="B941" s="34">
        <v>70</v>
      </c>
      <c r="C941" s="34" t="s">
        <v>155</v>
      </c>
      <c r="D941" s="34" t="str">
        <f>VLOOKUP(C941,'SALE PARTY MASTER'!$B$4:$E$500,2,FALSE)</f>
        <v>27AAGCP0139E1ZP</v>
      </c>
      <c r="E941" s="34" t="s">
        <v>22</v>
      </c>
      <c r="F941" s="34" t="s">
        <v>2325</v>
      </c>
      <c r="G941" s="44">
        <v>43727</v>
      </c>
      <c r="H941" s="34">
        <v>87141090</v>
      </c>
      <c r="I941" s="34">
        <v>28</v>
      </c>
      <c r="J941" s="38">
        <v>1020</v>
      </c>
      <c r="K941" s="40">
        <v>47970.6</v>
      </c>
      <c r="L941" s="41">
        <v>0</v>
      </c>
      <c r="M941" s="41">
        <v>6715.8839999999991</v>
      </c>
      <c r="N941" s="41">
        <v>6715.8839999999991</v>
      </c>
      <c r="O941" s="41">
        <v>0</v>
      </c>
      <c r="P941" s="42">
        <v>61402.357999999993</v>
      </c>
      <c r="Q941" s="34" t="s">
        <v>25</v>
      </c>
      <c r="R941" s="34" t="s">
        <v>26</v>
      </c>
      <c r="S941" s="11" t="s">
        <v>4105</v>
      </c>
    </row>
    <row r="942" spans="1:19" x14ac:dyDescent="0.2">
      <c r="A942" s="33">
        <v>43709</v>
      </c>
      <c r="B942" s="34">
        <v>71</v>
      </c>
      <c r="C942" s="34" t="s">
        <v>124</v>
      </c>
      <c r="D942" s="34" t="str">
        <f>VLOOKUP(C942,'SALE PARTY MASTER'!$B$4:$E$500,2,FALSE)</f>
        <v>27AAACB2484Q1Z8</v>
      </c>
      <c r="E942" s="34" t="s">
        <v>22</v>
      </c>
      <c r="F942" s="34" t="s">
        <v>2326</v>
      </c>
      <c r="G942" s="44">
        <v>43727</v>
      </c>
      <c r="H942" s="34">
        <v>998898</v>
      </c>
      <c r="I942" s="34">
        <v>18</v>
      </c>
      <c r="J942" s="38">
        <v>360</v>
      </c>
      <c r="K942" s="40">
        <v>30960</v>
      </c>
      <c r="L942" s="41">
        <v>0</v>
      </c>
      <c r="M942" s="41">
        <v>2786.4</v>
      </c>
      <c r="N942" s="41">
        <v>2786.4</v>
      </c>
      <c r="O942" s="41">
        <v>0</v>
      </c>
      <c r="P942" s="42">
        <v>36532.800000000003</v>
      </c>
      <c r="Q942" s="34" t="s">
        <v>25</v>
      </c>
      <c r="R942" s="34" t="s">
        <v>26</v>
      </c>
      <c r="S942" s="11" t="s">
        <v>4105</v>
      </c>
    </row>
    <row r="943" spans="1:19" x14ac:dyDescent="0.2">
      <c r="A943" s="33">
        <v>43709</v>
      </c>
      <c r="B943" s="34">
        <v>72</v>
      </c>
      <c r="C943" s="34" t="s">
        <v>102</v>
      </c>
      <c r="D943" s="34" t="str">
        <f>VLOOKUP(C943,'SALE PARTY MASTER'!$B$4:$E$500,2,FALSE)</f>
        <v>23AABCE9378F1ZK</v>
      </c>
      <c r="E943" s="34" t="s">
        <v>22</v>
      </c>
      <c r="F943" s="34" t="s">
        <v>2327</v>
      </c>
      <c r="G943" s="44">
        <v>43727</v>
      </c>
      <c r="H943" s="34">
        <v>87081090</v>
      </c>
      <c r="I943" s="34">
        <v>28</v>
      </c>
      <c r="J943" s="38">
        <v>10</v>
      </c>
      <c r="K943" s="40">
        <v>20308.7</v>
      </c>
      <c r="L943" s="41">
        <v>5686.4360000000006</v>
      </c>
      <c r="M943" s="41">
        <v>0</v>
      </c>
      <c r="N943" s="41">
        <v>0</v>
      </c>
      <c r="O943" s="41">
        <v>0</v>
      </c>
      <c r="P943" s="42">
        <v>25995.136000000002</v>
      </c>
      <c r="Q943" s="34" t="s">
        <v>25</v>
      </c>
      <c r="R943" s="34" t="s">
        <v>106</v>
      </c>
      <c r="S943" s="11" t="s">
        <v>4105</v>
      </c>
    </row>
    <row r="944" spans="1:19" x14ac:dyDescent="0.2">
      <c r="A944" s="33">
        <v>43709</v>
      </c>
      <c r="B944" s="34">
        <v>73</v>
      </c>
      <c r="C944" s="34" t="s">
        <v>45</v>
      </c>
      <c r="D944" s="34" t="str">
        <f>VLOOKUP(C944,'SALE PARTY MASTER'!$B$4:$E$500,2,FALSE)</f>
        <v>27AAACD4090Q1Z8</v>
      </c>
      <c r="E944" s="34" t="s">
        <v>22</v>
      </c>
      <c r="F944" s="34" t="s">
        <v>2328</v>
      </c>
      <c r="G944" s="44">
        <v>43727</v>
      </c>
      <c r="H944" s="34">
        <v>85129000</v>
      </c>
      <c r="I944" s="34">
        <v>18</v>
      </c>
      <c r="J944" s="38">
        <v>241</v>
      </c>
      <c r="K944" s="40">
        <v>15558.96</v>
      </c>
      <c r="L944" s="41">
        <v>0</v>
      </c>
      <c r="M944" s="41">
        <v>1400.3063999999999</v>
      </c>
      <c r="N944" s="41">
        <v>1400.3063999999999</v>
      </c>
      <c r="O944" s="41">
        <v>0</v>
      </c>
      <c r="P944" s="42">
        <v>18359.5628</v>
      </c>
      <c r="Q944" s="34" t="s">
        <v>25</v>
      </c>
      <c r="R944" s="34" t="s">
        <v>26</v>
      </c>
      <c r="S944" s="11" t="s">
        <v>4105</v>
      </c>
    </row>
    <row r="945" spans="1:19" x14ac:dyDescent="0.2">
      <c r="A945" s="33">
        <v>43709</v>
      </c>
      <c r="B945" s="34">
        <v>74</v>
      </c>
      <c r="C945" s="34" t="s">
        <v>45</v>
      </c>
      <c r="D945" s="34" t="str">
        <f>VLOOKUP(C945,'SALE PARTY MASTER'!$B$4:$E$500,2,FALSE)</f>
        <v>27AAACD4090Q1Z8</v>
      </c>
      <c r="E945" s="34" t="s">
        <v>22</v>
      </c>
      <c r="F945" s="34" t="s">
        <v>2329</v>
      </c>
      <c r="G945" s="44">
        <v>43727</v>
      </c>
      <c r="H945" s="34">
        <v>85129000</v>
      </c>
      <c r="I945" s="34">
        <v>18</v>
      </c>
      <c r="J945" s="38">
        <v>198</v>
      </c>
      <c r="K945" s="40">
        <v>24157.98</v>
      </c>
      <c r="L945" s="41">
        <v>0</v>
      </c>
      <c r="M945" s="41">
        <v>2174.2182000000003</v>
      </c>
      <c r="N945" s="41">
        <v>2174.2182000000003</v>
      </c>
      <c r="O945" s="41">
        <v>0</v>
      </c>
      <c r="P945" s="42">
        <v>28506.416400000002</v>
      </c>
      <c r="Q945" s="34" t="s">
        <v>25</v>
      </c>
      <c r="R945" s="34" t="s">
        <v>26</v>
      </c>
      <c r="S945" s="11" t="s">
        <v>4105</v>
      </c>
    </row>
    <row r="946" spans="1:19" x14ac:dyDescent="0.2">
      <c r="A946" s="33">
        <v>43709</v>
      </c>
      <c r="B946" s="34">
        <v>75</v>
      </c>
      <c r="C946" s="34" t="s">
        <v>28</v>
      </c>
      <c r="D946" s="34" t="str">
        <f>VLOOKUP(C946,'SALE PARTY MASTER'!$B$4:$E$500,2,FALSE)</f>
        <v>27AAECM8871A1ZF</v>
      </c>
      <c r="E946" s="34" t="s">
        <v>22</v>
      </c>
      <c r="F946" s="34" t="s">
        <v>2330</v>
      </c>
      <c r="G946" s="44">
        <v>43728</v>
      </c>
      <c r="H946" s="34">
        <v>87089900</v>
      </c>
      <c r="I946" s="34">
        <v>28</v>
      </c>
      <c r="J946" s="38">
        <v>12</v>
      </c>
      <c r="K946" s="40">
        <v>23508.6</v>
      </c>
      <c r="L946" s="41">
        <v>0</v>
      </c>
      <c r="M946" s="41">
        <v>3291.2039999999997</v>
      </c>
      <c r="N946" s="41">
        <v>3291.2039999999997</v>
      </c>
      <c r="O946" s="41">
        <v>0</v>
      </c>
      <c r="P946" s="42">
        <v>30090.998</v>
      </c>
      <c r="Q946" s="34" t="s">
        <v>25</v>
      </c>
      <c r="R946" s="34" t="s">
        <v>26</v>
      </c>
      <c r="S946" s="11" t="s">
        <v>4105</v>
      </c>
    </row>
    <row r="947" spans="1:19" x14ac:dyDescent="0.2">
      <c r="A947" s="33">
        <v>43709</v>
      </c>
      <c r="B947" s="34">
        <v>76</v>
      </c>
      <c r="C947" s="34" t="s">
        <v>40</v>
      </c>
      <c r="D947" s="34" t="str">
        <f>VLOOKUP(C947,'SALE PARTY MASTER'!$B$4:$E$500,2,FALSE)</f>
        <v>27AAACT1848E1ZH</v>
      </c>
      <c r="E947" s="34" t="s">
        <v>22</v>
      </c>
      <c r="F947" s="34" t="s">
        <v>2331</v>
      </c>
      <c r="G947" s="44">
        <v>43728</v>
      </c>
      <c r="H947" s="34">
        <v>87089900</v>
      </c>
      <c r="I947" s="34">
        <v>28</v>
      </c>
      <c r="J947" s="38">
        <v>250</v>
      </c>
      <c r="K947" s="40">
        <v>41822.050000000003</v>
      </c>
      <c r="L947" s="41">
        <v>0</v>
      </c>
      <c r="M947" s="41">
        <v>5855.0770000000002</v>
      </c>
      <c r="N947" s="41">
        <v>5855.0770000000002</v>
      </c>
      <c r="O947" s="41">
        <v>0</v>
      </c>
      <c r="P947" s="42">
        <v>53532.234000000004</v>
      </c>
      <c r="Q947" s="34" t="s">
        <v>25</v>
      </c>
      <c r="R947" s="34" t="s">
        <v>26</v>
      </c>
      <c r="S947" s="11" t="s">
        <v>4105</v>
      </c>
    </row>
    <row r="948" spans="1:19" x14ac:dyDescent="0.2">
      <c r="A948" s="33">
        <v>43709</v>
      </c>
      <c r="B948" s="34">
        <v>77</v>
      </c>
      <c r="C948" s="34" t="s">
        <v>167</v>
      </c>
      <c r="D948" s="34" t="str">
        <f>VLOOKUP(C948,'SALE PARTY MASTER'!$B$4:$E$500,2,FALSE)</f>
        <v>27AABFP3834C1ZK</v>
      </c>
      <c r="E948" s="34" t="s">
        <v>22</v>
      </c>
      <c r="F948" s="34" t="s">
        <v>2332</v>
      </c>
      <c r="G948" s="44">
        <v>43728</v>
      </c>
      <c r="H948" s="34">
        <v>87141900</v>
      </c>
      <c r="I948" s="34">
        <v>28</v>
      </c>
      <c r="J948" s="38">
        <v>3000</v>
      </c>
      <c r="K948" s="40">
        <v>37410</v>
      </c>
      <c r="L948" s="41">
        <v>0</v>
      </c>
      <c r="M948" s="41">
        <v>5237.4000000000005</v>
      </c>
      <c r="N948" s="41">
        <v>5237.4000000000005</v>
      </c>
      <c r="O948" s="41">
        <v>0</v>
      </c>
      <c r="P948" s="42">
        <v>47884.800000000003</v>
      </c>
      <c r="Q948" s="34" t="s">
        <v>25</v>
      </c>
      <c r="R948" s="34" t="s">
        <v>26</v>
      </c>
      <c r="S948" s="11" t="s">
        <v>4105</v>
      </c>
    </row>
    <row r="949" spans="1:19" x14ac:dyDescent="0.2">
      <c r="A949" s="33">
        <v>43709</v>
      </c>
      <c r="B949" s="34">
        <v>78</v>
      </c>
      <c r="C949" s="34" t="s">
        <v>124</v>
      </c>
      <c r="D949" s="34" t="str">
        <f>VLOOKUP(C949,'SALE PARTY MASTER'!$B$4:$E$500,2,FALSE)</f>
        <v>27AAACB2484Q1Z8</v>
      </c>
      <c r="E949" s="34" t="s">
        <v>22</v>
      </c>
      <c r="F949" s="34" t="s">
        <v>2333</v>
      </c>
      <c r="G949" s="44">
        <v>43728</v>
      </c>
      <c r="H949" s="34">
        <v>998898</v>
      </c>
      <c r="I949" s="34">
        <v>18</v>
      </c>
      <c r="J949" s="38">
        <v>1890</v>
      </c>
      <c r="K949" s="40">
        <v>162540</v>
      </c>
      <c r="L949" s="41">
        <v>0</v>
      </c>
      <c r="M949" s="41">
        <v>14628.6</v>
      </c>
      <c r="N949" s="41">
        <v>14628.6</v>
      </c>
      <c r="O949" s="41">
        <v>0</v>
      </c>
      <c r="P949" s="42">
        <v>191797.2</v>
      </c>
      <c r="Q949" s="34" t="s">
        <v>25</v>
      </c>
      <c r="R949" s="34" t="s">
        <v>26</v>
      </c>
      <c r="S949" s="11" t="s">
        <v>4105</v>
      </c>
    </row>
    <row r="950" spans="1:19" x14ac:dyDescent="0.2">
      <c r="A950" s="33">
        <v>43709</v>
      </c>
      <c r="B950" s="34">
        <v>79</v>
      </c>
      <c r="C950" s="34" t="s">
        <v>124</v>
      </c>
      <c r="D950" s="34" t="str">
        <f>VLOOKUP(C950,'SALE PARTY MASTER'!$B$4:$E$500,2,FALSE)</f>
        <v>27AAACB2484Q1Z8</v>
      </c>
      <c r="E950" s="34" t="s">
        <v>22</v>
      </c>
      <c r="F950" s="34" t="s">
        <v>2334</v>
      </c>
      <c r="G950" s="44">
        <v>43728</v>
      </c>
      <c r="H950" s="34">
        <v>998898</v>
      </c>
      <c r="I950" s="34">
        <v>18</v>
      </c>
      <c r="J950" s="38">
        <v>108</v>
      </c>
      <c r="K950" s="40">
        <v>7344</v>
      </c>
      <c r="L950" s="41">
        <v>0</v>
      </c>
      <c r="M950" s="41">
        <v>660.96</v>
      </c>
      <c r="N950" s="41">
        <v>660.96</v>
      </c>
      <c r="O950" s="41">
        <v>0</v>
      </c>
      <c r="P950" s="42">
        <v>8665.92</v>
      </c>
      <c r="Q950" s="34" t="s">
        <v>25</v>
      </c>
      <c r="R950" s="34" t="s">
        <v>26</v>
      </c>
      <c r="S950" s="11" t="s">
        <v>4105</v>
      </c>
    </row>
    <row r="951" spans="1:19" x14ac:dyDescent="0.2">
      <c r="A951" s="33">
        <v>43709</v>
      </c>
      <c r="B951" s="34">
        <v>80</v>
      </c>
      <c r="C951" s="34" t="s">
        <v>73</v>
      </c>
      <c r="D951" s="34" t="str">
        <f>VLOOKUP(C951,'SALE PARTY MASTER'!$B$4:$E$500,2,FALSE)</f>
        <v>27AAACH4211R1ZF</v>
      </c>
      <c r="E951" s="34" t="s">
        <v>22</v>
      </c>
      <c r="F951" s="34" t="s">
        <v>2335</v>
      </c>
      <c r="G951" s="44">
        <v>43729</v>
      </c>
      <c r="H951" s="34">
        <v>85129000</v>
      </c>
      <c r="I951" s="34">
        <v>18</v>
      </c>
      <c r="J951" s="38">
        <v>3120</v>
      </c>
      <c r="K951" s="40">
        <v>78000</v>
      </c>
      <c r="L951" s="41">
        <v>0</v>
      </c>
      <c r="M951" s="41">
        <v>7020</v>
      </c>
      <c r="N951" s="41">
        <v>7020</v>
      </c>
      <c r="O951" s="41">
        <v>0</v>
      </c>
      <c r="P951" s="42">
        <v>92040</v>
      </c>
      <c r="Q951" s="34" t="s">
        <v>25</v>
      </c>
      <c r="R951" s="34" t="s">
        <v>26</v>
      </c>
      <c r="S951" s="11" t="s">
        <v>4105</v>
      </c>
    </row>
    <row r="952" spans="1:19" x14ac:dyDescent="0.2">
      <c r="A952" s="33">
        <v>43709</v>
      </c>
      <c r="B952" s="34">
        <v>81</v>
      </c>
      <c r="C952" s="34" t="s">
        <v>229</v>
      </c>
      <c r="D952" s="34" t="str">
        <f>VLOOKUP(C952,'SALE PARTY MASTER'!$B$4:$E$500,2,FALSE)</f>
        <v>27AAACT1344F1ZO</v>
      </c>
      <c r="E952" s="34" t="s">
        <v>22</v>
      </c>
      <c r="F952" s="34" t="s">
        <v>2336</v>
      </c>
      <c r="G952" s="44">
        <v>43729</v>
      </c>
      <c r="H952" s="34">
        <v>998898</v>
      </c>
      <c r="I952" s="34">
        <v>18</v>
      </c>
      <c r="J952" s="38">
        <v>39</v>
      </c>
      <c r="K952" s="40">
        <v>7948.98</v>
      </c>
      <c r="L952" s="41">
        <v>0</v>
      </c>
      <c r="M952" s="41">
        <v>715.40820000000008</v>
      </c>
      <c r="N952" s="41">
        <v>715.40820000000008</v>
      </c>
      <c r="O952" s="41">
        <v>0</v>
      </c>
      <c r="P952" s="42">
        <v>9379.7963999999993</v>
      </c>
      <c r="Q952" s="34" t="s">
        <v>25</v>
      </c>
      <c r="R952" s="34" t="s">
        <v>26</v>
      </c>
      <c r="S952" s="11" t="s">
        <v>4105</v>
      </c>
    </row>
    <row r="953" spans="1:19" x14ac:dyDescent="0.2">
      <c r="A953" s="33">
        <v>43709</v>
      </c>
      <c r="B953" s="34">
        <v>82</v>
      </c>
      <c r="C953" s="34" t="s">
        <v>45</v>
      </c>
      <c r="D953" s="34" t="str">
        <f>VLOOKUP(C953,'SALE PARTY MASTER'!$B$4:$E$500,2,FALSE)</f>
        <v>27AAACD4090Q1Z8</v>
      </c>
      <c r="E953" s="34" t="s">
        <v>22</v>
      </c>
      <c r="F953" s="34" t="s">
        <v>2337</v>
      </c>
      <c r="G953" s="44">
        <v>43729</v>
      </c>
      <c r="H953" s="34">
        <v>85129000</v>
      </c>
      <c r="I953" s="34">
        <v>18</v>
      </c>
      <c r="J953" s="38">
        <v>648</v>
      </c>
      <c r="K953" s="40">
        <v>79062.48</v>
      </c>
      <c r="L953" s="41">
        <v>0</v>
      </c>
      <c r="M953" s="41">
        <v>7115.6231999999991</v>
      </c>
      <c r="N953" s="41">
        <v>7115.6231999999991</v>
      </c>
      <c r="O953" s="41">
        <v>0</v>
      </c>
      <c r="P953" s="42">
        <v>93293.716400000005</v>
      </c>
      <c r="Q953" s="34" t="s">
        <v>25</v>
      </c>
      <c r="R953" s="34" t="s">
        <v>26</v>
      </c>
      <c r="S953" s="11" t="s">
        <v>4105</v>
      </c>
    </row>
    <row r="954" spans="1:19" x14ac:dyDescent="0.2">
      <c r="A954" s="33">
        <v>43709</v>
      </c>
      <c r="B954" s="34">
        <v>83</v>
      </c>
      <c r="C954" s="34" t="s">
        <v>45</v>
      </c>
      <c r="D954" s="34" t="str">
        <f>VLOOKUP(C954,'SALE PARTY MASTER'!$B$4:$E$500,2,FALSE)</f>
        <v>27AAACD4090Q1Z8</v>
      </c>
      <c r="E954" s="34" t="s">
        <v>22</v>
      </c>
      <c r="F954" s="34" t="s">
        <v>2338</v>
      </c>
      <c r="G954" s="44">
        <v>43729</v>
      </c>
      <c r="H954" s="34">
        <v>85129000</v>
      </c>
      <c r="I954" s="34">
        <v>18</v>
      </c>
      <c r="J954" s="38">
        <v>711</v>
      </c>
      <c r="K954" s="40">
        <v>45902.16</v>
      </c>
      <c r="L954" s="41">
        <v>0</v>
      </c>
      <c r="M954" s="41">
        <v>4131.1944000000003</v>
      </c>
      <c r="N954" s="41">
        <v>4131.1944000000003</v>
      </c>
      <c r="O954" s="41">
        <v>0</v>
      </c>
      <c r="P954" s="42">
        <v>54164.538800000002</v>
      </c>
      <c r="Q954" s="34" t="s">
        <v>25</v>
      </c>
      <c r="R954" s="34" t="s">
        <v>26</v>
      </c>
      <c r="S954" s="11" t="s">
        <v>4105</v>
      </c>
    </row>
    <row r="955" spans="1:19" x14ac:dyDescent="0.2">
      <c r="A955" s="33">
        <v>43709</v>
      </c>
      <c r="B955" s="34">
        <v>84</v>
      </c>
      <c r="C955" s="34" t="s">
        <v>155</v>
      </c>
      <c r="D955" s="34" t="str">
        <f>VLOOKUP(C955,'SALE PARTY MASTER'!$B$4:$E$500,2,FALSE)</f>
        <v>27AAGCP0139E1ZP</v>
      </c>
      <c r="E955" s="34" t="s">
        <v>22</v>
      </c>
      <c r="F955" s="34" t="s">
        <v>2339</v>
      </c>
      <c r="G955" s="44">
        <v>43729</v>
      </c>
      <c r="H955" s="34">
        <v>87141090</v>
      </c>
      <c r="I955" s="34">
        <v>28</v>
      </c>
      <c r="J955" s="38">
        <v>500</v>
      </c>
      <c r="K955" s="40">
        <v>37685</v>
      </c>
      <c r="L955" s="41">
        <v>0</v>
      </c>
      <c r="M955" s="41">
        <v>5275.9000000000005</v>
      </c>
      <c r="N955" s="41">
        <v>5275.9000000000005</v>
      </c>
      <c r="O955" s="41">
        <v>0</v>
      </c>
      <c r="P955" s="42">
        <v>48236.800000000003</v>
      </c>
      <c r="Q955" s="34" t="s">
        <v>25</v>
      </c>
      <c r="R955" s="34" t="s">
        <v>26</v>
      </c>
      <c r="S955" s="11" t="s">
        <v>4105</v>
      </c>
    </row>
    <row r="956" spans="1:19" x14ac:dyDescent="0.2">
      <c r="A956" s="33">
        <v>43709</v>
      </c>
      <c r="B956" s="34">
        <v>85</v>
      </c>
      <c r="C956" s="34" t="s">
        <v>102</v>
      </c>
      <c r="D956" s="34" t="str">
        <f>VLOOKUP(C956,'SALE PARTY MASTER'!$B$4:$E$500,2,FALSE)</f>
        <v>23AABCE9378F1ZK</v>
      </c>
      <c r="E956" s="34" t="s">
        <v>22</v>
      </c>
      <c r="F956" s="34" t="s">
        <v>2340</v>
      </c>
      <c r="G956" s="44">
        <v>43729</v>
      </c>
      <c r="H956" s="34">
        <v>87081090</v>
      </c>
      <c r="I956" s="34">
        <v>28</v>
      </c>
      <c r="J956" s="38">
        <v>5</v>
      </c>
      <c r="K956" s="40">
        <v>10107.5</v>
      </c>
      <c r="L956" s="41">
        <v>2830.1</v>
      </c>
      <c r="M956" s="41">
        <v>0</v>
      </c>
      <c r="N956" s="41">
        <v>0</v>
      </c>
      <c r="O956" s="41">
        <v>0</v>
      </c>
      <c r="P956" s="42">
        <v>12937.6</v>
      </c>
      <c r="Q956" s="34" t="s">
        <v>25</v>
      </c>
      <c r="R956" s="34" t="s">
        <v>106</v>
      </c>
      <c r="S956" s="11" t="s">
        <v>4105</v>
      </c>
    </row>
    <row r="957" spans="1:19" x14ac:dyDescent="0.2">
      <c r="A957" s="33">
        <v>43709</v>
      </c>
      <c r="B957" s="34">
        <v>86</v>
      </c>
      <c r="C957" s="34" t="s">
        <v>73</v>
      </c>
      <c r="D957" s="34" t="str">
        <f>VLOOKUP(C957,'SALE PARTY MASTER'!$B$4:$E$500,2,FALSE)</f>
        <v>27AAACH4211R1ZF</v>
      </c>
      <c r="E957" s="34" t="s">
        <v>22</v>
      </c>
      <c r="F957" s="34" t="s">
        <v>2341</v>
      </c>
      <c r="G957" s="44">
        <v>43729</v>
      </c>
      <c r="H957" s="34">
        <v>85129000</v>
      </c>
      <c r="I957" s="34">
        <v>18</v>
      </c>
      <c r="J957" s="38">
        <v>3120</v>
      </c>
      <c r="K957" s="40">
        <v>11596.36</v>
      </c>
      <c r="L957" s="41">
        <v>0</v>
      </c>
      <c r="M957" s="41">
        <v>1043.6723999999999</v>
      </c>
      <c r="N957" s="41">
        <v>1043.6723999999999</v>
      </c>
      <c r="O957" s="41">
        <v>0</v>
      </c>
      <c r="P957" s="42">
        <v>13683.7048</v>
      </c>
      <c r="Q957" s="34" t="s">
        <v>25</v>
      </c>
      <c r="R957" s="34" t="s">
        <v>26</v>
      </c>
      <c r="S957" s="11" t="s">
        <v>4105</v>
      </c>
    </row>
    <row r="958" spans="1:19" x14ac:dyDescent="0.2">
      <c r="A958" s="33">
        <v>43709</v>
      </c>
      <c r="B958" s="34">
        <v>87</v>
      </c>
      <c r="C958" s="34" t="s">
        <v>73</v>
      </c>
      <c r="D958" s="34" t="str">
        <f>VLOOKUP(C958,'SALE PARTY MASTER'!$B$4:$E$500,2,FALSE)</f>
        <v>27AAACH4211R1ZF</v>
      </c>
      <c r="E958" s="34" t="s">
        <v>22</v>
      </c>
      <c r="F958" s="34" t="s">
        <v>2342</v>
      </c>
      <c r="G958" s="44">
        <v>43730</v>
      </c>
      <c r="H958" s="34">
        <v>85129000</v>
      </c>
      <c r="I958" s="34">
        <v>18</v>
      </c>
      <c r="J958" s="38">
        <v>120</v>
      </c>
      <c r="K958" s="40">
        <v>10384.799999999999</v>
      </c>
      <c r="L958" s="41">
        <v>0</v>
      </c>
      <c r="M958" s="41">
        <v>934.64199999999994</v>
      </c>
      <c r="N958" s="41">
        <v>934.64199999999994</v>
      </c>
      <c r="O958" s="41">
        <v>0</v>
      </c>
      <c r="P958" s="42">
        <v>12254.083999999999</v>
      </c>
      <c r="Q958" s="34" t="s">
        <v>25</v>
      </c>
      <c r="R958" s="34" t="s">
        <v>26</v>
      </c>
      <c r="S958" s="11" t="s">
        <v>4105</v>
      </c>
    </row>
    <row r="959" spans="1:19" x14ac:dyDescent="0.2">
      <c r="A959" s="33">
        <v>43709</v>
      </c>
      <c r="B959" s="34">
        <v>88</v>
      </c>
      <c r="C959" s="34" t="s">
        <v>49</v>
      </c>
      <c r="D959" s="34" t="str">
        <f>VLOOKUP(C959,'SALE PARTY MASTER'!$B$4:$E$500,2,FALSE)</f>
        <v>27AABFJ4217F1ZP</v>
      </c>
      <c r="E959" s="34" t="s">
        <v>22</v>
      </c>
      <c r="F959" s="34" t="s">
        <v>2343</v>
      </c>
      <c r="G959" s="44">
        <v>43731</v>
      </c>
      <c r="H959" s="34">
        <v>998898</v>
      </c>
      <c r="I959" s="34">
        <v>18</v>
      </c>
      <c r="J959" s="38">
        <v>30</v>
      </c>
      <c r="K959" s="40">
        <v>8524.2000000000007</v>
      </c>
      <c r="L959" s="41">
        <v>0</v>
      </c>
      <c r="M959" s="41">
        <v>767.178</v>
      </c>
      <c r="N959" s="41">
        <v>767.178</v>
      </c>
      <c r="O959" s="41">
        <v>0</v>
      </c>
      <c r="P959" s="42">
        <v>10058.556</v>
      </c>
      <c r="Q959" s="34" t="s">
        <v>25</v>
      </c>
      <c r="R959" s="34" t="s">
        <v>26</v>
      </c>
      <c r="S959" s="11" t="s">
        <v>4105</v>
      </c>
    </row>
    <row r="960" spans="1:19" x14ac:dyDescent="0.2">
      <c r="A960" s="33">
        <v>43709</v>
      </c>
      <c r="B960" s="34">
        <v>89</v>
      </c>
      <c r="C960" s="34" t="s">
        <v>124</v>
      </c>
      <c r="D960" s="34" t="str">
        <f>VLOOKUP(C960,'SALE PARTY MASTER'!$B$4:$E$500,2,FALSE)</f>
        <v>27AAACB2484Q1Z8</v>
      </c>
      <c r="E960" s="34" t="s">
        <v>22</v>
      </c>
      <c r="F960" s="34" t="s">
        <v>2344</v>
      </c>
      <c r="G960" s="44">
        <v>43731</v>
      </c>
      <c r="H960" s="34">
        <v>998898</v>
      </c>
      <c r="I960" s="34">
        <v>18</v>
      </c>
      <c r="J960" s="38">
        <v>126</v>
      </c>
      <c r="K960" s="40">
        <v>630</v>
      </c>
      <c r="L960" s="41">
        <v>0</v>
      </c>
      <c r="M960" s="41">
        <v>56.699999999999996</v>
      </c>
      <c r="N960" s="41">
        <v>56.699999999999996</v>
      </c>
      <c r="O960" s="41">
        <v>0</v>
      </c>
      <c r="P960" s="42">
        <v>743.4</v>
      </c>
      <c r="Q960" s="34" t="s">
        <v>25</v>
      </c>
      <c r="R960" s="34" t="s">
        <v>26</v>
      </c>
      <c r="S960" s="11" t="s">
        <v>4105</v>
      </c>
    </row>
    <row r="961" spans="1:19" x14ac:dyDescent="0.2">
      <c r="A961" s="33">
        <v>43709</v>
      </c>
      <c r="B961" s="34">
        <v>90</v>
      </c>
      <c r="C961" s="34" t="s">
        <v>167</v>
      </c>
      <c r="D961" s="34" t="str">
        <f>VLOOKUP(C961,'SALE PARTY MASTER'!$B$4:$E$500,2,FALSE)</f>
        <v>27AABFP3834C1ZK</v>
      </c>
      <c r="E961" s="34" t="s">
        <v>22</v>
      </c>
      <c r="F961" s="34" t="s">
        <v>2345</v>
      </c>
      <c r="G961" s="44">
        <v>43731</v>
      </c>
      <c r="H961" s="34">
        <v>87141900</v>
      </c>
      <c r="I961" s="34">
        <v>28</v>
      </c>
      <c r="J961" s="38">
        <v>4780</v>
      </c>
      <c r="K961" s="40">
        <v>46891.8</v>
      </c>
      <c r="L961" s="41">
        <v>0</v>
      </c>
      <c r="M961" s="41">
        <v>6564.8519999999999</v>
      </c>
      <c r="N961" s="41">
        <v>6564.8519999999999</v>
      </c>
      <c r="O961" s="41">
        <v>0</v>
      </c>
      <c r="P961" s="42">
        <v>60021.504000000001</v>
      </c>
      <c r="Q961" s="34" t="s">
        <v>25</v>
      </c>
      <c r="R961" s="34" t="s">
        <v>26</v>
      </c>
      <c r="S961" s="11" t="s">
        <v>4105</v>
      </c>
    </row>
    <row r="962" spans="1:19" x14ac:dyDescent="0.2">
      <c r="A962" s="33">
        <v>43709</v>
      </c>
      <c r="B962" s="34">
        <v>91</v>
      </c>
      <c r="C962" s="34" t="s">
        <v>28</v>
      </c>
      <c r="D962" s="34" t="str">
        <f>VLOOKUP(C962,'SALE PARTY MASTER'!$B$4:$E$500,2,FALSE)</f>
        <v>27AAECM8871A1ZF</v>
      </c>
      <c r="E962" s="34" t="s">
        <v>22</v>
      </c>
      <c r="F962" s="34" t="s">
        <v>2346</v>
      </c>
      <c r="G962" s="44">
        <v>43731</v>
      </c>
      <c r="H962" s="34">
        <v>87089900</v>
      </c>
      <c r="I962" s="34">
        <v>28</v>
      </c>
      <c r="J962" s="38">
        <v>12</v>
      </c>
      <c r="K962" s="40">
        <v>23255.759999999998</v>
      </c>
      <c r="L962" s="41">
        <v>0</v>
      </c>
      <c r="M962" s="41">
        <v>3255.8063999999995</v>
      </c>
      <c r="N962" s="41">
        <v>3255.8063999999995</v>
      </c>
      <c r="O962" s="41">
        <v>0</v>
      </c>
      <c r="P962" s="42">
        <v>29767.382799999996</v>
      </c>
      <c r="Q962" s="34" t="s">
        <v>25</v>
      </c>
      <c r="R962" s="34" t="s">
        <v>26</v>
      </c>
      <c r="S962" s="11" t="s">
        <v>4105</v>
      </c>
    </row>
    <row r="963" spans="1:19" x14ac:dyDescent="0.2">
      <c r="A963" s="33">
        <v>43709</v>
      </c>
      <c r="B963" s="34">
        <v>92</v>
      </c>
      <c r="C963" s="34" t="s">
        <v>102</v>
      </c>
      <c r="D963" s="34" t="str">
        <f>VLOOKUP(C963,'SALE PARTY MASTER'!$B$4:$E$500,2,FALSE)</f>
        <v>23AABCE9378F1ZK</v>
      </c>
      <c r="E963" s="34" t="s">
        <v>22</v>
      </c>
      <c r="F963" s="34" t="s">
        <v>2347</v>
      </c>
      <c r="G963" s="44">
        <v>43731</v>
      </c>
      <c r="H963" s="34">
        <v>87081090</v>
      </c>
      <c r="I963" s="34">
        <v>28</v>
      </c>
      <c r="J963" s="38">
        <v>9</v>
      </c>
      <c r="K963" s="40">
        <v>27662.400000000001</v>
      </c>
      <c r="L963" s="41">
        <v>7745.4720000000007</v>
      </c>
      <c r="M963" s="41">
        <v>0</v>
      </c>
      <c r="N963" s="41">
        <v>0</v>
      </c>
      <c r="O963" s="41">
        <v>0</v>
      </c>
      <c r="P963" s="42">
        <v>35407.872000000003</v>
      </c>
      <c r="Q963" s="34" t="s">
        <v>25</v>
      </c>
      <c r="R963" s="34" t="s">
        <v>106</v>
      </c>
      <c r="S963" s="11" t="s">
        <v>4105</v>
      </c>
    </row>
    <row r="964" spans="1:19" x14ac:dyDescent="0.2">
      <c r="A964" s="33">
        <v>43709</v>
      </c>
      <c r="B964" s="34">
        <v>93</v>
      </c>
      <c r="C964" s="34" t="s">
        <v>102</v>
      </c>
      <c r="D964" s="34" t="str">
        <f>VLOOKUP(C964,'SALE PARTY MASTER'!$B$4:$E$500,2,FALSE)</f>
        <v>23AABCE9378F1ZK</v>
      </c>
      <c r="E964" s="34" t="s">
        <v>22</v>
      </c>
      <c r="F964" s="34" t="s">
        <v>2348</v>
      </c>
      <c r="G964" s="44">
        <v>43731</v>
      </c>
      <c r="H964" s="34">
        <v>87081090</v>
      </c>
      <c r="I964" s="34">
        <v>28</v>
      </c>
      <c r="J964" s="38">
        <v>9</v>
      </c>
      <c r="K964" s="40">
        <v>44730.9</v>
      </c>
      <c r="L964" s="41">
        <v>12524.652</v>
      </c>
      <c r="M964" s="41">
        <v>0</v>
      </c>
      <c r="N964" s="41">
        <v>0</v>
      </c>
      <c r="O964" s="41">
        <v>0</v>
      </c>
      <c r="P964" s="42">
        <v>57255.552000000003</v>
      </c>
      <c r="Q964" s="34" t="s">
        <v>25</v>
      </c>
      <c r="R964" s="34" t="s">
        <v>106</v>
      </c>
      <c r="S964" s="11" t="s">
        <v>4105</v>
      </c>
    </row>
    <row r="965" spans="1:19" x14ac:dyDescent="0.2">
      <c r="A965" s="33">
        <v>43709</v>
      </c>
      <c r="B965" s="34">
        <v>94</v>
      </c>
      <c r="C965" s="34" t="s">
        <v>124</v>
      </c>
      <c r="D965" s="34" t="str">
        <f>VLOOKUP(C965,'SALE PARTY MASTER'!$B$4:$E$500,2,FALSE)</f>
        <v>27AAACB2484Q1Z8</v>
      </c>
      <c r="E965" s="34" t="s">
        <v>22</v>
      </c>
      <c r="F965" s="34" t="s">
        <v>2349</v>
      </c>
      <c r="G965" s="44">
        <v>43731</v>
      </c>
      <c r="H965" s="34">
        <v>998898</v>
      </c>
      <c r="I965" s="34">
        <v>18</v>
      </c>
      <c r="J965" s="38">
        <v>900</v>
      </c>
      <c r="K965" s="40">
        <v>77400</v>
      </c>
      <c r="L965" s="41">
        <v>0</v>
      </c>
      <c r="M965" s="41">
        <v>6966</v>
      </c>
      <c r="N965" s="41">
        <v>6966</v>
      </c>
      <c r="O965" s="41">
        <v>0</v>
      </c>
      <c r="P965" s="42">
        <v>91332</v>
      </c>
      <c r="Q965" s="34" t="s">
        <v>25</v>
      </c>
      <c r="R965" s="34" t="s">
        <v>26</v>
      </c>
      <c r="S965" s="11" t="s">
        <v>4105</v>
      </c>
    </row>
    <row r="966" spans="1:19" x14ac:dyDescent="0.2">
      <c r="A966" s="33">
        <v>43709</v>
      </c>
      <c r="B966" s="34">
        <v>95</v>
      </c>
      <c r="C966" s="34" t="s">
        <v>124</v>
      </c>
      <c r="D966" s="34" t="str">
        <f>VLOOKUP(C966,'SALE PARTY MASTER'!$B$4:$E$500,2,FALSE)</f>
        <v>27AAACB2484Q1Z8</v>
      </c>
      <c r="E966" s="34" t="s">
        <v>22</v>
      </c>
      <c r="F966" s="34" t="s">
        <v>2350</v>
      </c>
      <c r="G966" s="44">
        <v>43731</v>
      </c>
      <c r="H966" s="34">
        <v>998898</v>
      </c>
      <c r="I966" s="34">
        <v>18</v>
      </c>
      <c r="J966" s="38">
        <v>2070</v>
      </c>
      <c r="K966" s="40">
        <v>178020</v>
      </c>
      <c r="L966" s="41">
        <v>0</v>
      </c>
      <c r="M966" s="41">
        <v>16021.800000000001</v>
      </c>
      <c r="N966" s="41">
        <v>16021.800000000001</v>
      </c>
      <c r="O966" s="41">
        <v>0</v>
      </c>
      <c r="P966" s="42">
        <v>210063.6</v>
      </c>
      <c r="Q966" s="34" t="s">
        <v>25</v>
      </c>
      <c r="R966" s="34" t="s">
        <v>26</v>
      </c>
      <c r="S966" s="11" t="s">
        <v>4105</v>
      </c>
    </row>
    <row r="967" spans="1:19" x14ac:dyDescent="0.2">
      <c r="A967" s="33">
        <v>43709</v>
      </c>
      <c r="B967" s="34">
        <v>96</v>
      </c>
      <c r="C967" s="34" t="s">
        <v>167</v>
      </c>
      <c r="D967" s="34" t="str">
        <f>VLOOKUP(C967,'SALE PARTY MASTER'!$B$4:$E$500,2,FALSE)</f>
        <v>27AABFP3834C1ZK</v>
      </c>
      <c r="E967" s="34" t="s">
        <v>22</v>
      </c>
      <c r="F967" s="34" t="s">
        <v>2351</v>
      </c>
      <c r="G967" s="44">
        <v>43732</v>
      </c>
      <c r="H967" s="34">
        <v>87141900</v>
      </c>
      <c r="I967" s="34">
        <v>28</v>
      </c>
      <c r="J967" s="38">
        <v>1610</v>
      </c>
      <c r="K967" s="40">
        <v>15794.1</v>
      </c>
      <c r="L967" s="41">
        <v>0</v>
      </c>
      <c r="M967" s="41">
        <v>2211.174</v>
      </c>
      <c r="N967" s="41">
        <v>2211.174</v>
      </c>
      <c r="O967" s="41">
        <v>0</v>
      </c>
      <c r="P967" s="42">
        <v>20216.438000000002</v>
      </c>
      <c r="Q967" s="34" t="s">
        <v>25</v>
      </c>
      <c r="R967" s="34" t="s">
        <v>26</v>
      </c>
      <c r="S967" s="11" t="s">
        <v>4105</v>
      </c>
    </row>
    <row r="968" spans="1:19" x14ac:dyDescent="0.2">
      <c r="A968" s="33">
        <v>43709</v>
      </c>
      <c r="B968" s="34">
        <v>97</v>
      </c>
      <c r="C968" s="34" t="s">
        <v>37</v>
      </c>
      <c r="D968" s="34" t="str">
        <f>VLOOKUP(C968,'SALE PARTY MASTER'!$B$4:$E$500,2,FALSE)</f>
        <v>27AAGCM1258H1ZG</v>
      </c>
      <c r="E968" s="34" t="s">
        <v>22</v>
      </c>
      <c r="F968" s="34" t="s">
        <v>2352</v>
      </c>
      <c r="G968" s="44">
        <v>43732</v>
      </c>
      <c r="H968" s="34">
        <v>998898</v>
      </c>
      <c r="I968" s="34">
        <v>18</v>
      </c>
      <c r="J968" s="38">
        <v>69</v>
      </c>
      <c r="K968" s="40">
        <v>13110</v>
      </c>
      <c r="L968" s="41">
        <v>0</v>
      </c>
      <c r="M968" s="41">
        <v>1179.8999999999999</v>
      </c>
      <c r="N968" s="41">
        <v>1179.8999999999999</v>
      </c>
      <c r="O968" s="41">
        <v>0</v>
      </c>
      <c r="P968" s="42">
        <v>15469.8</v>
      </c>
      <c r="Q968" s="34" t="s">
        <v>25</v>
      </c>
      <c r="R968" s="34" t="s">
        <v>26</v>
      </c>
      <c r="S968" s="11" t="s">
        <v>4105</v>
      </c>
    </row>
    <row r="969" spans="1:19" x14ac:dyDescent="0.2">
      <c r="A969" s="33">
        <v>43709</v>
      </c>
      <c r="B969" s="34">
        <v>98</v>
      </c>
      <c r="C969" s="34" t="s">
        <v>49</v>
      </c>
      <c r="D969" s="34" t="str">
        <f>VLOOKUP(C969,'SALE PARTY MASTER'!$B$4:$E$500,2,FALSE)</f>
        <v>27AABFJ4217F1ZP</v>
      </c>
      <c r="E969" s="34" t="s">
        <v>22</v>
      </c>
      <c r="F969" s="34" t="s">
        <v>2353</v>
      </c>
      <c r="G969" s="44">
        <v>43732</v>
      </c>
      <c r="H969" s="34">
        <v>998898</v>
      </c>
      <c r="I969" s="34">
        <v>18</v>
      </c>
      <c r="J969" s="38">
        <v>30</v>
      </c>
      <c r="K969" s="40">
        <v>8524.2000000000007</v>
      </c>
      <c r="L969" s="41">
        <v>0</v>
      </c>
      <c r="M969" s="41">
        <v>767.178</v>
      </c>
      <c r="N969" s="41">
        <v>767.178</v>
      </c>
      <c r="O969" s="41">
        <v>0</v>
      </c>
      <c r="P969" s="42">
        <v>10058.556</v>
      </c>
      <c r="Q969" s="34" t="s">
        <v>25</v>
      </c>
      <c r="R969" s="34" t="s">
        <v>26</v>
      </c>
      <c r="S969" s="11" t="s">
        <v>4105</v>
      </c>
    </row>
    <row r="970" spans="1:19" x14ac:dyDescent="0.2">
      <c r="A970" s="33">
        <v>43709</v>
      </c>
      <c r="B970" s="34">
        <v>99</v>
      </c>
      <c r="C970" s="34" t="s">
        <v>28</v>
      </c>
      <c r="D970" s="34" t="str">
        <f>VLOOKUP(C970,'SALE PARTY MASTER'!$B$4:$E$500,2,FALSE)</f>
        <v>27AAECM8871A1ZF</v>
      </c>
      <c r="E970" s="34" t="s">
        <v>22</v>
      </c>
      <c r="F970" s="34" t="s">
        <v>2354</v>
      </c>
      <c r="G970" s="44">
        <v>43732</v>
      </c>
      <c r="H970" s="34">
        <v>87089900</v>
      </c>
      <c r="I970" s="34">
        <v>28</v>
      </c>
      <c r="J970" s="38">
        <v>12</v>
      </c>
      <c r="K970" s="40">
        <v>23508.6</v>
      </c>
      <c r="L970" s="41">
        <v>0</v>
      </c>
      <c r="M970" s="41">
        <v>3291.2039999999997</v>
      </c>
      <c r="N970" s="41">
        <v>3291.2039999999997</v>
      </c>
      <c r="O970" s="41">
        <v>0</v>
      </c>
      <c r="P970" s="42">
        <v>30090.998</v>
      </c>
      <c r="Q970" s="34" t="s">
        <v>25</v>
      </c>
      <c r="R970" s="34" t="s">
        <v>26</v>
      </c>
      <c r="S970" s="11" t="s">
        <v>4105</v>
      </c>
    </row>
    <row r="971" spans="1:19" x14ac:dyDescent="0.2">
      <c r="A971" s="33">
        <v>43709</v>
      </c>
      <c r="B971" s="34">
        <v>100</v>
      </c>
      <c r="C971" s="34" t="s">
        <v>167</v>
      </c>
      <c r="D971" s="34" t="str">
        <f>VLOOKUP(C971,'SALE PARTY MASTER'!$B$4:$E$500,2,FALSE)</f>
        <v>27AABFP3834C1ZK</v>
      </c>
      <c r="E971" s="34" t="s">
        <v>22</v>
      </c>
      <c r="F971" s="34" t="s">
        <v>2355</v>
      </c>
      <c r="G971" s="44">
        <v>43733</v>
      </c>
      <c r="H971" s="34">
        <v>87141900</v>
      </c>
      <c r="I971" s="34">
        <v>28</v>
      </c>
      <c r="J971" s="38">
        <v>1760</v>
      </c>
      <c r="K971" s="40">
        <v>17265.599999999999</v>
      </c>
      <c r="L971" s="41">
        <v>0</v>
      </c>
      <c r="M971" s="41">
        <v>2417.1839999999997</v>
      </c>
      <c r="N971" s="41">
        <v>2417.1839999999997</v>
      </c>
      <c r="O971" s="41">
        <v>0</v>
      </c>
      <c r="P971" s="42">
        <v>22099.957999999999</v>
      </c>
      <c r="Q971" s="34" t="s">
        <v>25</v>
      </c>
      <c r="R971" s="34" t="s">
        <v>26</v>
      </c>
      <c r="S971" s="11" t="s">
        <v>4105</v>
      </c>
    </row>
    <row r="972" spans="1:19" x14ac:dyDescent="0.2">
      <c r="A972" s="33">
        <v>43709</v>
      </c>
      <c r="B972" s="34">
        <v>101</v>
      </c>
      <c r="C972" s="34" t="s">
        <v>124</v>
      </c>
      <c r="D972" s="34" t="str">
        <f>VLOOKUP(C972,'SALE PARTY MASTER'!$B$4:$E$500,2,FALSE)</f>
        <v>27AAACB2484Q1Z8</v>
      </c>
      <c r="E972" s="34" t="s">
        <v>22</v>
      </c>
      <c r="F972" s="34" t="s">
        <v>2356</v>
      </c>
      <c r="G972" s="44">
        <v>43733</v>
      </c>
      <c r="H972" s="34">
        <v>998898</v>
      </c>
      <c r="I972" s="34">
        <v>18</v>
      </c>
      <c r="J972" s="38">
        <v>2034</v>
      </c>
      <c r="K972" s="40">
        <v>173952</v>
      </c>
      <c r="L972" s="41">
        <v>0</v>
      </c>
      <c r="M972" s="41">
        <v>15655.68</v>
      </c>
      <c r="N972" s="41">
        <v>15655.68</v>
      </c>
      <c r="O972" s="41">
        <v>0</v>
      </c>
      <c r="P972" s="42">
        <v>205263.35999999999</v>
      </c>
      <c r="Q972" s="34" t="s">
        <v>25</v>
      </c>
      <c r="R972" s="34" t="s">
        <v>26</v>
      </c>
      <c r="S972" s="11" t="s">
        <v>4105</v>
      </c>
    </row>
    <row r="973" spans="1:19" x14ac:dyDescent="0.2">
      <c r="A973" s="33">
        <v>43709</v>
      </c>
      <c r="B973" s="34">
        <v>102</v>
      </c>
      <c r="C973" s="34" t="s">
        <v>40</v>
      </c>
      <c r="D973" s="34" t="str">
        <f>VLOOKUP(C973,'SALE PARTY MASTER'!$B$4:$E$500,2,FALSE)</f>
        <v>27AAACT1848E1ZH</v>
      </c>
      <c r="E973" s="34" t="s">
        <v>22</v>
      </c>
      <c r="F973" s="34" t="s">
        <v>2357</v>
      </c>
      <c r="G973" s="44">
        <v>43734</v>
      </c>
      <c r="H973" s="34">
        <v>87089900</v>
      </c>
      <c r="I973" s="34">
        <v>28</v>
      </c>
      <c r="J973" s="38">
        <v>40</v>
      </c>
      <c r="K973" s="40">
        <v>19267.2</v>
      </c>
      <c r="L973" s="41">
        <v>0</v>
      </c>
      <c r="M973" s="41">
        <v>2697.3979999999997</v>
      </c>
      <c r="N973" s="41">
        <v>2697.3979999999997</v>
      </c>
      <c r="O973" s="41">
        <v>0</v>
      </c>
      <c r="P973" s="42">
        <v>24662.016</v>
      </c>
      <c r="Q973" s="34" t="s">
        <v>25</v>
      </c>
      <c r="R973" s="34" t="s">
        <v>26</v>
      </c>
      <c r="S973" s="11" t="s">
        <v>4105</v>
      </c>
    </row>
    <row r="974" spans="1:19" x14ac:dyDescent="0.2">
      <c r="A974" s="33">
        <v>43709</v>
      </c>
      <c r="B974" s="34">
        <v>103</v>
      </c>
      <c r="C974" s="34" t="s">
        <v>28</v>
      </c>
      <c r="D974" s="34" t="str">
        <f>VLOOKUP(C974,'SALE PARTY MASTER'!$B$4:$E$500,2,FALSE)</f>
        <v>27AAECM8871A1ZF</v>
      </c>
      <c r="E974" s="34" t="s">
        <v>22</v>
      </c>
      <c r="F974" s="34" t="s">
        <v>2358</v>
      </c>
      <c r="G974" s="44">
        <v>43734</v>
      </c>
      <c r="H974" s="34">
        <v>87089900</v>
      </c>
      <c r="I974" s="34">
        <v>28</v>
      </c>
      <c r="J974" s="38">
        <v>12</v>
      </c>
      <c r="K974" s="40">
        <v>23508.6</v>
      </c>
      <c r="L974" s="41">
        <v>0</v>
      </c>
      <c r="M974" s="41">
        <v>3291.2039999999997</v>
      </c>
      <c r="N974" s="41">
        <v>3291.2039999999997</v>
      </c>
      <c r="O974" s="41">
        <v>0</v>
      </c>
      <c r="P974" s="42">
        <v>30090.998</v>
      </c>
      <c r="Q974" s="34" t="s">
        <v>25</v>
      </c>
      <c r="R974" s="34" t="s">
        <v>26</v>
      </c>
      <c r="S974" s="11" t="s">
        <v>4105</v>
      </c>
    </row>
    <row r="975" spans="1:19" x14ac:dyDescent="0.2">
      <c r="A975" s="33">
        <v>43709</v>
      </c>
      <c r="B975" s="34">
        <v>104</v>
      </c>
      <c r="C975" s="34" t="s">
        <v>124</v>
      </c>
      <c r="D975" s="34" t="str">
        <f>VLOOKUP(C975,'SALE PARTY MASTER'!$B$4:$E$500,2,FALSE)</f>
        <v>27AAACB2484Q1Z8</v>
      </c>
      <c r="E975" s="34" t="s">
        <v>22</v>
      </c>
      <c r="F975" s="34" t="s">
        <v>2359</v>
      </c>
      <c r="G975" s="44">
        <v>43735</v>
      </c>
      <c r="H975" s="34">
        <v>998898</v>
      </c>
      <c r="I975" s="34">
        <v>18</v>
      </c>
      <c r="J975" s="38">
        <v>152</v>
      </c>
      <c r="K975" s="40">
        <v>10336</v>
      </c>
      <c r="L975" s="41">
        <v>0</v>
      </c>
      <c r="M975" s="41">
        <v>930.24</v>
      </c>
      <c r="N975" s="41">
        <v>930.24</v>
      </c>
      <c r="O975" s="41">
        <v>0</v>
      </c>
      <c r="P975" s="42">
        <v>12196.48</v>
      </c>
      <c r="Q975" s="34" t="s">
        <v>25</v>
      </c>
      <c r="R975" s="34" t="s">
        <v>26</v>
      </c>
      <c r="S975" s="11" t="s">
        <v>4105</v>
      </c>
    </row>
    <row r="976" spans="1:19" x14ac:dyDescent="0.2">
      <c r="A976" s="33">
        <v>43709</v>
      </c>
      <c r="B976" s="34">
        <v>105</v>
      </c>
      <c r="C976" s="34" t="s">
        <v>124</v>
      </c>
      <c r="D976" s="34" t="str">
        <f>VLOOKUP(C976,'SALE PARTY MASTER'!$B$4:$E$500,2,FALSE)</f>
        <v>27AAACB2484Q1Z8</v>
      </c>
      <c r="E976" s="34" t="s">
        <v>22</v>
      </c>
      <c r="F976" s="34" t="s">
        <v>2360</v>
      </c>
      <c r="G976" s="44">
        <v>43735</v>
      </c>
      <c r="H976" s="34">
        <v>998898</v>
      </c>
      <c r="I976" s="34">
        <v>18</v>
      </c>
      <c r="J976" s="38">
        <v>568</v>
      </c>
      <c r="K976" s="40">
        <v>51584</v>
      </c>
      <c r="L976" s="41">
        <v>0</v>
      </c>
      <c r="M976" s="41">
        <v>4642.5600000000004</v>
      </c>
      <c r="N976" s="41">
        <v>4642.5600000000004</v>
      </c>
      <c r="O976" s="41">
        <v>0</v>
      </c>
      <c r="P976" s="42">
        <v>60869.120000000003</v>
      </c>
      <c r="Q976" s="34" t="s">
        <v>25</v>
      </c>
      <c r="R976" s="34" t="s">
        <v>26</v>
      </c>
      <c r="S976" s="11" t="s">
        <v>4105</v>
      </c>
    </row>
    <row r="977" spans="1:19" x14ac:dyDescent="0.2">
      <c r="A977" s="33">
        <v>43709</v>
      </c>
      <c r="B977" s="34">
        <v>106</v>
      </c>
      <c r="C977" s="34" t="s">
        <v>124</v>
      </c>
      <c r="D977" s="34" t="str">
        <f>VLOOKUP(C977,'SALE PARTY MASTER'!$B$4:$E$500,2,FALSE)</f>
        <v>27AAACB2484Q1Z8</v>
      </c>
      <c r="E977" s="34" t="s">
        <v>22</v>
      </c>
      <c r="F977" s="34" t="s">
        <v>2361</v>
      </c>
      <c r="G977" s="44">
        <v>43735</v>
      </c>
      <c r="H977" s="34">
        <v>998873</v>
      </c>
      <c r="I977" s="34">
        <v>18</v>
      </c>
      <c r="J977" s="38">
        <v>1380</v>
      </c>
      <c r="K977" s="40">
        <v>8970</v>
      </c>
      <c r="L977" s="41">
        <v>0</v>
      </c>
      <c r="M977" s="41">
        <v>807.30000000000007</v>
      </c>
      <c r="N977" s="41">
        <v>807.30000000000007</v>
      </c>
      <c r="O977" s="41">
        <v>0</v>
      </c>
      <c r="P977" s="42">
        <v>10584.6</v>
      </c>
      <c r="Q977" s="34" t="s">
        <v>25</v>
      </c>
      <c r="R977" s="34" t="s">
        <v>26</v>
      </c>
      <c r="S977" s="11" t="s">
        <v>4105</v>
      </c>
    </row>
    <row r="978" spans="1:19" x14ac:dyDescent="0.2">
      <c r="A978" s="33">
        <v>43709</v>
      </c>
      <c r="B978" s="34">
        <v>107</v>
      </c>
      <c r="C978" s="34" t="s">
        <v>231</v>
      </c>
      <c r="D978" s="34" t="str">
        <f>VLOOKUP(C978,'SALE PARTY MASTER'!$B$4:$E$500,2,FALSE)</f>
        <v>27AABCM2508F1ZU</v>
      </c>
      <c r="E978" s="34" t="s">
        <v>22</v>
      </c>
      <c r="F978" s="34" t="s">
        <v>2362</v>
      </c>
      <c r="G978" s="44">
        <v>43735</v>
      </c>
      <c r="H978" s="34" t="s">
        <v>232</v>
      </c>
      <c r="I978" s="34">
        <v>18</v>
      </c>
      <c r="J978" s="38">
        <v>20</v>
      </c>
      <c r="K978" s="40">
        <v>3723.1</v>
      </c>
      <c r="L978" s="41">
        <v>0</v>
      </c>
      <c r="M978" s="41">
        <v>335.07900000000001</v>
      </c>
      <c r="N978" s="41">
        <v>335.07900000000001</v>
      </c>
      <c r="O978" s="41">
        <v>0</v>
      </c>
      <c r="P978" s="42">
        <v>4393.2579999999998</v>
      </c>
      <c r="Q978" s="34" t="s">
        <v>25</v>
      </c>
      <c r="R978" s="34" t="s">
        <v>26</v>
      </c>
      <c r="S978" s="11" t="s">
        <v>4105</v>
      </c>
    </row>
    <row r="979" spans="1:19" x14ac:dyDescent="0.2">
      <c r="A979" s="33">
        <v>43709</v>
      </c>
      <c r="B979" s="34">
        <v>108</v>
      </c>
      <c r="C979" s="34" t="s">
        <v>37</v>
      </c>
      <c r="D979" s="34" t="str">
        <f>VLOOKUP(C979,'SALE PARTY MASTER'!$B$4:$E$500,2,FALSE)</f>
        <v>27AAGCM1258H1ZG</v>
      </c>
      <c r="E979" s="34" t="s">
        <v>22</v>
      </c>
      <c r="F979" s="34" t="s">
        <v>2363</v>
      </c>
      <c r="G979" s="44">
        <v>43735</v>
      </c>
      <c r="H979" s="34">
        <v>998898</v>
      </c>
      <c r="I979" s="34">
        <v>18</v>
      </c>
      <c r="J979" s="38">
        <v>64</v>
      </c>
      <c r="K979" s="40">
        <v>12160</v>
      </c>
      <c r="L979" s="41">
        <v>0</v>
      </c>
      <c r="M979" s="41">
        <v>1094.3999999999999</v>
      </c>
      <c r="N979" s="41">
        <v>1094.3999999999999</v>
      </c>
      <c r="O979" s="41">
        <v>0</v>
      </c>
      <c r="P979" s="42">
        <v>14348.8</v>
      </c>
      <c r="Q979" s="34" t="s">
        <v>25</v>
      </c>
      <c r="R979" s="34" t="s">
        <v>26</v>
      </c>
      <c r="S979" s="11" t="s">
        <v>4105</v>
      </c>
    </row>
    <row r="980" spans="1:19" x14ac:dyDescent="0.2">
      <c r="A980" s="33">
        <v>43709</v>
      </c>
      <c r="B980" s="34">
        <v>109</v>
      </c>
      <c r="C980" s="34" t="s">
        <v>167</v>
      </c>
      <c r="D980" s="34" t="str">
        <f>VLOOKUP(C980,'SALE PARTY MASTER'!$B$4:$E$500,2,FALSE)</f>
        <v>27AABFP3834C1ZK</v>
      </c>
      <c r="E980" s="34" t="s">
        <v>22</v>
      </c>
      <c r="F980" s="34" t="s">
        <v>2364</v>
      </c>
      <c r="G980" s="44">
        <v>43736</v>
      </c>
      <c r="H980" s="34">
        <v>87141900</v>
      </c>
      <c r="I980" s="34">
        <v>28</v>
      </c>
      <c r="J980" s="38">
        <v>3220</v>
      </c>
      <c r="K980" s="40">
        <v>31588.2</v>
      </c>
      <c r="L980" s="41">
        <v>0</v>
      </c>
      <c r="M980" s="41">
        <v>4422.348</v>
      </c>
      <c r="N980" s="41">
        <v>4422.348</v>
      </c>
      <c r="O980" s="41">
        <v>0</v>
      </c>
      <c r="P980" s="42">
        <v>40432.896000000001</v>
      </c>
      <c r="Q980" s="34" t="s">
        <v>25</v>
      </c>
      <c r="R980" s="34" t="s">
        <v>26</v>
      </c>
      <c r="S980" s="11" t="s">
        <v>4105</v>
      </c>
    </row>
    <row r="981" spans="1:19" x14ac:dyDescent="0.2">
      <c r="A981" s="33">
        <v>43709</v>
      </c>
      <c r="B981" s="34">
        <v>110</v>
      </c>
      <c r="C981" s="34" t="s">
        <v>37</v>
      </c>
      <c r="D981" s="34" t="str">
        <f>VLOOKUP(C981,'SALE PARTY MASTER'!$B$4:$E$500,2,FALSE)</f>
        <v>27AAGCM1258H1ZG</v>
      </c>
      <c r="E981" s="34" t="s">
        <v>22</v>
      </c>
      <c r="F981" s="34" t="s">
        <v>2365</v>
      </c>
      <c r="G981" s="44">
        <v>43736</v>
      </c>
      <c r="H981" s="34">
        <v>998898</v>
      </c>
      <c r="I981" s="34">
        <v>18</v>
      </c>
      <c r="J981" s="38">
        <v>86</v>
      </c>
      <c r="K981" s="40">
        <v>16340</v>
      </c>
      <c r="L981" s="41">
        <v>0</v>
      </c>
      <c r="M981" s="41">
        <v>1470.6000000000001</v>
      </c>
      <c r="N981" s="41">
        <v>1470.6000000000001</v>
      </c>
      <c r="O981" s="41">
        <v>0</v>
      </c>
      <c r="P981" s="42">
        <v>19281.2</v>
      </c>
      <c r="Q981" s="34" t="s">
        <v>25</v>
      </c>
      <c r="R981" s="34" t="s">
        <v>26</v>
      </c>
      <c r="S981" s="11" t="s">
        <v>4105</v>
      </c>
    </row>
    <row r="982" spans="1:19" x14ac:dyDescent="0.2">
      <c r="A982" s="33">
        <v>43709</v>
      </c>
      <c r="B982" s="34">
        <v>111</v>
      </c>
      <c r="C982" s="34" t="s">
        <v>155</v>
      </c>
      <c r="D982" s="34" t="str">
        <f>VLOOKUP(C982,'SALE PARTY MASTER'!$B$4:$E$500,2,FALSE)</f>
        <v>27AAGCP0139E1ZP</v>
      </c>
      <c r="E982" s="34" t="s">
        <v>22</v>
      </c>
      <c r="F982" s="34" t="s">
        <v>2366</v>
      </c>
      <c r="G982" s="44">
        <v>43738</v>
      </c>
      <c r="H982" s="34">
        <v>87141090</v>
      </c>
      <c r="I982" s="34">
        <v>28</v>
      </c>
      <c r="J982" s="38">
        <v>1020</v>
      </c>
      <c r="K982" s="40">
        <v>47970.6</v>
      </c>
      <c r="L982" s="41">
        <v>0</v>
      </c>
      <c r="M982" s="41">
        <v>6715.8839999999991</v>
      </c>
      <c r="N982" s="41">
        <v>6715.8839999999991</v>
      </c>
      <c r="O982" s="41">
        <v>0</v>
      </c>
      <c r="P982" s="42">
        <v>61402.357999999993</v>
      </c>
      <c r="Q982" s="34" t="s">
        <v>25</v>
      </c>
      <c r="R982" s="34" t="s">
        <v>26</v>
      </c>
      <c r="S982" s="11" t="s">
        <v>4105</v>
      </c>
    </row>
    <row r="983" spans="1:19" x14ac:dyDescent="0.2">
      <c r="A983" s="33">
        <v>43709</v>
      </c>
      <c r="B983" s="34">
        <v>112</v>
      </c>
      <c r="C983" s="34" t="s">
        <v>102</v>
      </c>
      <c r="D983" s="34" t="str">
        <f>VLOOKUP(C983,'SALE PARTY MASTER'!$B$4:$E$500,2,FALSE)</f>
        <v>23AABCE9378F1ZK</v>
      </c>
      <c r="E983" s="34" t="s">
        <v>22</v>
      </c>
      <c r="F983" s="34" t="s">
        <v>2367</v>
      </c>
      <c r="G983" s="44">
        <v>43738</v>
      </c>
      <c r="H983" s="34">
        <v>87081090</v>
      </c>
      <c r="I983" s="34">
        <v>28</v>
      </c>
      <c r="J983" s="38">
        <v>24</v>
      </c>
      <c r="K983" s="40">
        <v>73766.399999999994</v>
      </c>
      <c r="L983" s="41">
        <v>20654.592000000001</v>
      </c>
      <c r="M983" s="41">
        <v>0</v>
      </c>
      <c r="N983" s="41">
        <v>0</v>
      </c>
      <c r="O983" s="41">
        <v>0</v>
      </c>
      <c r="P983" s="42">
        <v>94420.991999999998</v>
      </c>
      <c r="Q983" s="34" t="s">
        <v>25</v>
      </c>
      <c r="R983" s="34" t="s">
        <v>106</v>
      </c>
      <c r="S983" s="11" t="s">
        <v>4105</v>
      </c>
    </row>
    <row r="984" spans="1:19" x14ac:dyDescent="0.2">
      <c r="A984" s="33">
        <v>43709</v>
      </c>
      <c r="B984" s="34">
        <v>113</v>
      </c>
      <c r="C984" s="34" t="s">
        <v>102</v>
      </c>
      <c r="D984" s="34" t="str">
        <f>VLOOKUP(C984,'SALE PARTY MASTER'!$B$4:$E$500,2,FALSE)</f>
        <v>23AABCE9378F1ZK</v>
      </c>
      <c r="E984" s="34" t="s">
        <v>22</v>
      </c>
      <c r="F984" s="34" t="s">
        <v>2368</v>
      </c>
      <c r="G984" s="44">
        <v>43738</v>
      </c>
      <c r="H984" s="34">
        <v>87081090</v>
      </c>
      <c r="I984" s="34">
        <v>28</v>
      </c>
      <c r="J984" s="38">
        <v>28</v>
      </c>
      <c r="K984" s="40">
        <v>26286.959999999999</v>
      </c>
      <c r="L984" s="41">
        <v>7360.3487999999998</v>
      </c>
      <c r="M984" s="41">
        <v>0</v>
      </c>
      <c r="N984" s="41">
        <v>0</v>
      </c>
      <c r="O984" s="41">
        <v>0</v>
      </c>
      <c r="P984" s="42">
        <v>33647.308799999999</v>
      </c>
      <c r="Q984" s="34" t="s">
        <v>25</v>
      </c>
      <c r="R984" s="34" t="s">
        <v>106</v>
      </c>
      <c r="S984" s="11" t="s">
        <v>4105</v>
      </c>
    </row>
    <row r="985" spans="1:19" x14ac:dyDescent="0.2">
      <c r="A985" s="33">
        <v>43709</v>
      </c>
      <c r="B985" s="34">
        <v>114</v>
      </c>
      <c r="C985" s="34" t="s">
        <v>37</v>
      </c>
      <c r="D985" s="34" t="str">
        <f>VLOOKUP(C985,'SALE PARTY MASTER'!$B$4:$E$500,2,FALSE)</f>
        <v>27AAGCM1258H1ZG</v>
      </c>
      <c r="E985" s="34" t="s">
        <v>22</v>
      </c>
      <c r="F985" s="34" t="s">
        <v>2369</v>
      </c>
      <c r="G985" s="44">
        <v>43738</v>
      </c>
      <c r="H985" s="34">
        <v>998898</v>
      </c>
      <c r="I985" s="34">
        <v>18</v>
      </c>
      <c r="J985" s="38">
        <v>94</v>
      </c>
      <c r="K985" s="40">
        <v>17860</v>
      </c>
      <c r="L985" s="41">
        <v>0</v>
      </c>
      <c r="M985" s="41">
        <v>1607.3999999999999</v>
      </c>
      <c r="N985" s="41">
        <v>1607.3999999999999</v>
      </c>
      <c r="O985" s="41">
        <v>0</v>
      </c>
      <c r="P985" s="42">
        <v>21074.799999999999</v>
      </c>
      <c r="Q985" s="34" t="s">
        <v>25</v>
      </c>
      <c r="R985" s="34" t="s">
        <v>26</v>
      </c>
      <c r="S985" s="11" t="s">
        <v>4105</v>
      </c>
    </row>
    <row r="986" spans="1:19" x14ac:dyDescent="0.2">
      <c r="A986" s="33"/>
      <c r="B986" s="34"/>
      <c r="C986" s="34"/>
      <c r="D986" s="34" t="e">
        <f>VLOOKUP(C986,'SALE PARTY MASTER'!$B$4:$E$500,2,FALSE)</f>
        <v>#N/A</v>
      </c>
      <c r="E986" s="34"/>
      <c r="F986" s="34"/>
      <c r="G986" s="44"/>
      <c r="H986" s="34"/>
      <c r="I986" s="34"/>
      <c r="J986" s="38"/>
      <c r="K986" s="40"/>
      <c r="L986" s="41"/>
      <c r="M986" s="41"/>
      <c r="N986" s="41"/>
      <c r="O986" s="41"/>
      <c r="P986" s="42"/>
      <c r="Q986" s="34"/>
      <c r="R986" s="34"/>
      <c r="S986" s="11" t="s">
        <v>4105</v>
      </c>
    </row>
    <row r="987" spans="1:19" x14ac:dyDescent="0.2">
      <c r="A987" s="33">
        <v>43709</v>
      </c>
      <c r="B987" s="34">
        <v>236</v>
      </c>
      <c r="C987" s="34" t="s">
        <v>124</v>
      </c>
      <c r="D987" s="34" t="str">
        <f>VLOOKUP(C987,'SALE PARTY MASTER'!$B$4:$E$500,2,FALSE)</f>
        <v>27AAACB2484Q1Z8</v>
      </c>
      <c r="E987" s="34" t="s">
        <v>220</v>
      </c>
      <c r="F987" s="34" t="s">
        <v>1784</v>
      </c>
      <c r="G987" s="44">
        <v>43728</v>
      </c>
      <c r="H987" s="34">
        <v>998898</v>
      </c>
      <c r="I987" s="34">
        <v>18</v>
      </c>
      <c r="J987" s="38">
        <v>-1</v>
      </c>
      <c r="K987" s="40">
        <v>-68</v>
      </c>
      <c r="L987" s="41">
        <v>0</v>
      </c>
      <c r="M987" s="41">
        <v>-6.12</v>
      </c>
      <c r="N987" s="41">
        <v>-6.12</v>
      </c>
      <c r="O987" s="41">
        <v>0</v>
      </c>
      <c r="P987" s="42">
        <v>-80.239999999999995</v>
      </c>
      <c r="Q987" s="34" t="s">
        <v>334</v>
      </c>
      <c r="R987" s="34" t="s">
        <v>26</v>
      </c>
      <c r="S987" s="11" t="s">
        <v>4105</v>
      </c>
    </row>
    <row r="988" spans="1:19" x14ac:dyDescent="0.2">
      <c r="A988" s="33">
        <v>43709</v>
      </c>
      <c r="B988" s="34">
        <v>237</v>
      </c>
      <c r="C988" s="34" t="s">
        <v>124</v>
      </c>
      <c r="D988" s="34" t="str">
        <f>VLOOKUP(C988,'SALE PARTY MASTER'!$B$4:$E$500,2,FALSE)</f>
        <v>27AAACB2484Q1Z8</v>
      </c>
      <c r="E988" s="34" t="s">
        <v>220</v>
      </c>
      <c r="F988" s="34" t="s">
        <v>1976</v>
      </c>
      <c r="G988" s="44">
        <v>43728</v>
      </c>
      <c r="H988" s="34">
        <v>998898</v>
      </c>
      <c r="I988" s="34">
        <v>18</v>
      </c>
      <c r="J988" s="38">
        <v>-7</v>
      </c>
      <c r="K988" s="40">
        <v>-656</v>
      </c>
      <c r="L988" s="41">
        <v>0</v>
      </c>
      <c r="M988" s="41">
        <v>-59.04</v>
      </c>
      <c r="N988" s="41">
        <v>-59.04</v>
      </c>
      <c r="O988" s="41">
        <v>0</v>
      </c>
      <c r="P988" s="42">
        <v>-774.08</v>
      </c>
      <c r="Q988" s="34" t="s">
        <v>334</v>
      </c>
      <c r="R988" s="34" t="s">
        <v>26</v>
      </c>
      <c r="S988" s="11" t="s">
        <v>4105</v>
      </c>
    </row>
    <row r="989" spans="1:19" x14ac:dyDescent="0.2">
      <c r="A989" s="33">
        <v>43709</v>
      </c>
      <c r="B989" s="34">
        <v>238</v>
      </c>
      <c r="C989" s="34" t="s">
        <v>124</v>
      </c>
      <c r="D989" s="34" t="str">
        <f>VLOOKUP(C989,'SALE PARTY MASTER'!$B$4:$E$500,2,FALSE)</f>
        <v>27AAACB2484Q1Z8</v>
      </c>
      <c r="E989" s="34" t="s">
        <v>220</v>
      </c>
      <c r="F989" s="34" t="s">
        <v>2232</v>
      </c>
      <c r="G989" s="44">
        <v>43728</v>
      </c>
      <c r="H989" s="34">
        <v>998898</v>
      </c>
      <c r="I989" s="34">
        <v>18</v>
      </c>
      <c r="J989" s="38">
        <v>-1</v>
      </c>
      <c r="K989" s="40">
        <v>-68</v>
      </c>
      <c r="L989" s="41">
        <v>0</v>
      </c>
      <c r="M989" s="41">
        <v>-6.12</v>
      </c>
      <c r="N989" s="41">
        <v>-6.12</v>
      </c>
      <c r="O989" s="41">
        <v>0</v>
      </c>
      <c r="P989" s="42">
        <v>-80.239999999999995</v>
      </c>
      <c r="Q989" s="34" t="s">
        <v>334</v>
      </c>
      <c r="R989" s="34" t="s">
        <v>26</v>
      </c>
      <c r="S989" s="11" t="s">
        <v>4105</v>
      </c>
    </row>
    <row r="990" spans="1:19" x14ac:dyDescent="0.2">
      <c r="A990" s="33">
        <v>43709</v>
      </c>
      <c r="B990" s="34">
        <v>239</v>
      </c>
      <c r="C990" s="34" t="s">
        <v>124</v>
      </c>
      <c r="D990" s="34" t="str">
        <f>VLOOKUP(C990,'SALE PARTY MASTER'!$B$4:$E$500,2,FALSE)</f>
        <v>27AAACB2484Q1Z8</v>
      </c>
      <c r="E990" s="34" t="s">
        <v>220</v>
      </c>
      <c r="F990" s="34" t="s">
        <v>2206</v>
      </c>
      <c r="G990" s="44">
        <v>43728</v>
      </c>
      <c r="H990" s="34">
        <v>998898</v>
      </c>
      <c r="I990" s="34">
        <v>18</v>
      </c>
      <c r="J990" s="38">
        <v>-3</v>
      </c>
      <c r="K990" s="40">
        <v>-294</v>
      </c>
      <c r="L990" s="41">
        <v>0</v>
      </c>
      <c r="M990" s="41">
        <v>-26.46</v>
      </c>
      <c r="N990" s="41">
        <v>-26.46</v>
      </c>
      <c r="O990" s="41">
        <v>0</v>
      </c>
      <c r="P990" s="42">
        <v>-346.92</v>
      </c>
      <c r="Q990" s="34" t="s">
        <v>334</v>
      </c>
      <c r="R990" s="34" t="s">
        <v>26</v>
      </c>
      <c r="S990" s="11" t="s">
        <v>4105</v>
      </c>
    </row>
    <row r="991" spans="1:19" x14ac:dyDescent="0.2">
      <c r="A991" s="33">
        <v>43709</v>
      </c>
      <c r="B991" s="34">
        <v>240</v>
      </c>
      <c r="C991" s="34" t="s">
        <v>124</v>
      </c>
      <c r="D991" s="34" t="str">
        <f>VLOOKUP(C991,'SALE PARTY MASTER'!$B$4:$E$500,2,FALSE)</f>
        <v>27AAACB2484Q1Z8</v>
      </c>
      <c r="E991" s="34" t="s">
        <v>220</v>
      </c>
      <c r="F991" s="34" t="s">
        <v>2157</v>
      </c>
      <c r="G991" s="44">
        <v>43728</v>
      </c>
      <c r="H991" s="34">
        <v>998898</v>
      </c>
      <c r="I991" s="34">
        <v>18</v>
      </c>
      <c r="J991" s="38">
        <v>-12</v>
      </c>
      <c r="K991" s="40">
        <v>-1176</v>
      </c>
      <c r="L991" s="41">
        <v>0</v>
      </c>
      <c r="M991" s="41">
        <v>-105.84</v>
      </c>
      <c r="N991" s="41">
        <v>-105.84</v>
      </c>
      <c r="O991" s="41">
        <v>0</v>
      </c>
      <c r="P991" s="42">
        <v>-1387.68</v>
      </c>
      <c r="Q991" s="34" t="s">
        <v>334</v>
      </c>
      <c r="R991" s="34" t="s">
        <v>26</v>
      </c>
      <c r="S991" s="11" t="s">
        <v>4105</v>
      </c>
    </row>
    <row r="992" spans="1:19" x14ac:dyDescent="0.2">
      <c r="A992" s="33">
        <v>43709</v>
      </c>
      <c r="B992" s="34">
        <v>241</v>
      </c>
      <c r="C992" s="34" t="s">
        <v>124</v>
      </c>
      <c r="D992" s="34" t="str">
        <f>VLOOKUP(C992,'SALE PARTY MASTER'!$B$4:$E$500,2,FALSE)</f>
        <v>27AAACB2484Q1Z8</v>
      </c>
      <c r="E992" s="34" t="s">
        <v>220</v>
      </c>
      <c r="F992" s="34" t="s">
        <v>2370</v>
      </c>
      <c r="G992" s="44">
        <v>0</v>
      </c>
      <c r="H992" s="34">
        <v>998898</v>
      </c>
      <c r="I992" s="34">
        <v>18</v>
      </c>
      <c r="J992" s="38">
        <v>0</v>
      </c>
      <c r="K992" s="40">
        <v>0</v>
      </c>
      <c r="L992" s="41">
        <v>0</v>
      </c>
      <c r="M992" s="41">
        <v>0</v>
      </c>
      <c r="N992" s="41">
        <v>0</v>
      </c>
      <c r="O992" s="41">
        <v>0</v>
      </c>
      <c r="P992" s="42">
        <v>0</v>
      </c>
      <c r="Q992" s="34" t="s">
        <v>334</v>
      </c>
      <c r="R992" s="34" t="s">
        <v>26</v>
      </c>
      <c r="S992" s="11" t="s">
        <v>4105</v>
      </c>
    </row>
    <row r="993" spans="1:19" x14ac:dyDescent="0.2">
      <c r="A993" s="33">
        <v>43709</v>
      </c>
      <c r="B993" s="34">
        <v>242</v>
      </c>
      <c r="C993" s="34" t="s">
        <v>124</v>
      </c>
      <c r="D993" s="34" t="str">
        <f>VLOOKUP(C993,'SALE PARTY MASTER'!$B$4:$E$500,2,FALSE)</f>
        <v>27AAACB2484Q1Z8</v>
      </c>
      <c r="E993" s="34" t="s">
        <v>220</v>
      </c>
      <c r="F993" s="34" t="s">
        <v>2371</v>
      </c>
      <c r="G993" s="44">
        <v>43728</v>
      </c>
      <c r="H993" s="34">
        <v>998898</v>
      </c>
      <c r="I993" s="34">
        <v>18</v>
      </c>
      <c r="J993" s="38">
        <v>-126</v>
      </c>
      <c r="K993" s="40">
        <v>-630</v>
      </c>
      <c r="L993" s="41">
        <v>0</v>
      </c>
      <c r="M993" s="41">
        <v>-56.699999999999996</v>
      </c>
      <c r="N993" s="41">
        <v>-56.699999999999996</v>
      </c>
      <c r="O993" s="41">
        <v>0</v>
      </c>
      <c r="P993" s="42">
        <v>-743.4</v>
      </c>
      <c r="Q993" s="34" t="s">
        <v>334</v>
      </c>
      <c r="R993" s="34" t="s">
        <v>26</v>
      </c>
      <c r="S993" s="11" t="s">
        <v>4105</v>
      </c>
    </row>
    <row r="994" spans="1:19" x14ac:dyDescent="0.2">
      <c r="A994" s="33"/>
      <c r="B994" s="34"/>
      <c r="C994" s="34"/>
      <c r="D994" s="34" t="e">
        <f>VLOOKUP(C994,'SALE PARTY MASTER'!$B$4:$E$500,2,FALSE)</f>
        <v>#N/A</v>
      </c>
      <c r="E994" s="34"/>
      <c r="F994" s="34"/>
      <c r="G994" s="44"/>
      <c r="H994" s="34"/>
      <c r="I994" s="34"/>
      <c r="J994" s="34"/>
      <c r="K994" s="39"/>
      <c r="L994" s="39"/>
      <c r="M994" s="39"/>
      <c r="N994" s="39"/>
      <c r="O994" s="39"/>
      <c r="P994" s="39"/>
      <c r="Q994" s="34"/>
      <c r="R994" s="34"/>
      <c r="S994" s="11" t="s">
        <v>4105</v>
      </c>
    </row>
    <row r="995" spans="1:19" x14ac:dyDescent="0.2">
      <c r="A995" s="51">
        <v>43739</v>
      </c>
      <c r="B995" s="34">
        <v>1</v>
      </c>
      <c r="C995" s="35" t="s">
        <v>40</v>
      </c>
      <c r="D995" s="34" t="str">
        <f>VLOOKUP(C995,'SALE PARTY MASTER'!$B$4:$E$500,2,FALSE)</f>
        <v>27AAACT1848E1ZH</v>
      </c>
      <c r="E995" s="34" t="s">
        <v>22</v>
      </c>
      <c r="F995" s="36" t="s">
        <v>2372</v>
      </c>
      <c r="G995" s="37">
        <v>43739</v>
      </c>
      <c r="H995" s="38">
        <v>87089900</v>
      </c>
      <c r="I995" s="39">
        <f>VLOOKUP(H995,'SALE HSN MASTER'!$A$4:$E$5001,5,FALSE)</f>
        <v>28</v>
      </c>
      <c r="J995" s="38">
        <v>70</v>
      </c>
      <c r="K995" s="40">
        <v>41610.1</v>
      </c>
      <c r="L995" s="41">
        <f>+IF(R995="Oms",K995/100*I995,0)</f>
        <v>0</v>
      </c>
      <c r="M995" s="41">
        <f>+IF(R995="local",K995/100*I995/2,0)</f>
        <v>5825.4139999999998</v>
      </c>
      <c r="N995" s="41">
        <f>+IF(R995="local",K995/100*I995/2,0)</f>
        <v>5825.4139999999998</v>
      </c>
      <c r="O995" s="41">
        <v>0</v>
      </c>
      <c r="P995" s="42">
        <f>+O995+N995+M995+L995+K995</f>
        <v>53260.928</v>
      </c>
      <c r="Q995" s="34" t="s">
        <v>25</v>
      </c>
      <c r="R995" s="34" t="str">
        <f>VLOOKUP(C995,'SALE PARTY MASTER'!$B$4:$E$500,4,FALSE)</f>
        <v>Local</v>
      </c>
      <c r="S995" s="11" t="s">
        <v>4105</v>
      </c>
    </row>
    <row r="996" spans="1:19" x14ac:dyDescent="0.2">
      <c r="A996" s="51">
        <v>43739</v>
      </c>
      <c r="B996" s="34">
        <v>2</v>
      </c>
      <c r="C996" s="35" t="s">
        <v>49</v>
      </c>
      <c r="D996" s="34" t="str">
        <f>VLOOKUP(C996,'SALE PARTY MASTER'!$B$4:$E$500,2,FALSE)</f>
        <v>27AABFJ4217F1ZP</v>
      </c>
      <c r="E996" s="34" t="s">
        <v>22</v>
      </c>
      <c r="F996" s="36" t="s">
        <v>2373</v>
      </c>
      <c r="G996" s="37">
        <v>43739</v>
      </c>
      <c r="H996" s="38" t="s">
        <v>2425</v>
      </c>
      <c r="I996" s="39">
        <f>VLOOKUP(H996,'SALE HSN MASTER'!$A$4:$E$5001,5,FALSE)</f>
        <v>12</v>
      </c>
      <c r="J996" s="38">
        <v>20</v>
      </c>
      <c r="K996" s="40">
        <v>5682.8</v>
      </c>
      <c r="L996" s="41">
        <f t="shared" ref="L996:L1059" si="0">+IF(R996="Oms",K996/100*I996,0)</f>
        <v>0</v>
      </c>
      <c r="M996" s="41">
        <f t="shared" ref="M996:M1059" si="1">+IF(R996="local",K996/100*I996/2,0)</f>
        <v>340.96800000000002</v>
      </c>
      <c r="N996" s="41">
        <f t="shared" ref="N996:N1059" si="2">+IF(R996="local",K996/100*I996/2,0)</f>
        <v>340.96800000000002</v>
      </c>
      <c r="O996" s="41">
        <v>0</v>
      </c>
      <c r="P996" s="42">
        <f t="shared" ref="P996:P1059" si="3">+O996+N996+M996+L996+K996</f>
        <v>6364.7359999999999</v>
      </c>
      <c r="Q996" s="34" t="s">
        <v>25</v>
      </c>
      <c r="R996" s="34" t="str">
        <f>VLOOKUP(C996,'SALE PARTY MASTER'!$B$4:$E$500,4,FALSE)</f>
        <v>Local</v>
      </c>
      <c r="S996" s="11" t="s">
        <v>4105</v>
      </c>
    </row>
    <row r="997" spans="1:19" x14ac:dyDescent="0.2">
      <c r="A997" s="51">
        <v>43739</v>
      </c>
      <c r="B997" s="34">
        <v>3</v>
      </c>
      <c r="C997" s="35" t="s">
        <v>45</v>
      </c>
      <c r="D997" s="34" t="str">
        <f>VLOOKUP(C997,'SALE PARTY MASTER'!$B$4:$E$500,2,FALSE)</f>
        <v>27AAACD4090Q1Z8</v>
      </c>
      <c r="E997" s="34" t="s">
        <v>22</v>
      </c>
      <c r="F997" s="36" t="s">
        <v>2374</v>
      </c>
      <c r="G997" s="37">
        <v>43739</v>
      </c>
      <c r="H997" s="38">
        <v>85129000</v>
      </c>
      <c r="I997" s="39">
        <f>VLOOKUP(H997,'SALE HSN MASTER'!$A$4:$E$5001,5,FALSE)</f>
        <v>18</v>
      </c>
      <c r="J997" s="38">
        <v>324</v>
      </c>
      <c r="K997" s="40">
        <v>39531.24</v>
      </c>
      <c r="L997" s="41">
        <f t="shared" si="0"/>
        <v>0</v>
      </c>
      <c r="M997" s="41">
        <f t="shared" si="1"/>
        <v>3557.8115999999995</v>
      </c>
      <c r="N997" s="41">
        <f t="shared" si="2"/>
        <v>3557.8115999999995</v>
      </c>
      <c r="O997" s="41">
        <v>0</v>
      </c>
      <c r="P997" s="42">
        <f t="shared" si="3"/>
        <v>46646.8632</v>
      </c>
      <c r="Q997" s="34" t="s">
        <v>25</v>
      </c>
      <c r="R997" s="34" t="str">
        <f>VLOOKUP(C997,'SALE PARTY MASTER'!$B$4:$E$500,4,FALSE)</f>
        <v>Local</v>
      </c>
      <c r="S997" s="11" t="s">
        <v>4105</v>
      </c>
    </row>
    <row r="998" spans="1:19" x14ac:dyDescent="0.2">
      <c r="A998" s="51">
        <v>43739</v>
      </c>
      <c r="B998" s="34">
        <v>4</v>
      </c>
      <c r="C998" s="35" t="s">
        <v>28</v>
      </c>
      <c r="D998" s="34" t="str">
        <f>VLOOKUP(C998,'SALE PARTY MASTER'!$B$4:$E$500,2,FALSE)</f>
        <v>27AAECM8871A1ZF</v>
      </c>
      <c r="E998" s="34" t="s">
        <v>22</v>
      </c>
      <c r="F998" s="36" t="s">
        <v>2375</v>
      </c>
      <c r="G998" s="37">
        <v>43740</v>
      </c>
      <c r="H998" s="38">
        <v>87089900</v>
      </c>
      <c r="I998" s="39">
        <f>VLOOKUP(H998,'SALE HSN MASTER'!$A$4:$E$5001,5,FALSE)</f>
        <v>28</v>
      </c>
      <c r="J998" s="38">
        <v>12</v>
      </c>
      <c r="K998" s="40">
        <v>23508.6</v>
      </c>
      <c r="L998" s="41">
        <f t="shared" si="0"/>
        <v>0</v>
      </c>
      <c r="M998" s="41">
        <f t="shared" si="1"/>
        <v>3291.2039999999997</v>
      </c>
      <c r="N998" s="41">
        <f t="shared" si="2"/>
        <v>3291.2039999999997</v>
      </c>
      <c r="O998" s="41">
        <v>0</v>
      </c>
      <c r="P998" s="42">
        <f t="shared" si="3"/>
        <v>30091.007999999998</v>
      </c>
      <c r="Q998" s="34" t="s">
        <v>25</v>
      </c>
      <c r="R998" s="34" t="str">
        <f>VLOOKUP(C998,'SALE PARTY MASTER'!$B$4:$E$500,4,FALSE)</f>
        <v>Local</v>
      </c>
      <c r="S998" s="11" t="s">
        <v>4105</v>
      </c>
    </row>
    <row r="999" spans="1:19" x14ac:dyDescent="0.2">
      <c r="A999" s="51">
        <v>43739</v>
      </c>
      <c r="B999" s="34">
        <v>5</v>
      </c>
      <c r="C999" s="35" t="s">
        <v>167</v>
      </c>
      <c r="D999" s="34" t="str">
        <f>VLOOKUP(C999,'SALE PARTY MASTER'!$B$4:$E$500,2,FALSE)</f>
        <v>27AABFP3834C1ZK</v>
      </c>
      <c r="E999" s="34" t="s">
        <v>22</v>
      </c>
      <c r="F999" s="36" t="s">
        <v>2376</v>
      </c>
      <c r="G999" s="37">
        <v>43740</v>
      </c>
      <c r="H999" s="38">
        <v>87141900</v>
      </c>
      <c r="I999" s="39">
        <f>VLOOKUP(H999,'SALE HSN MASTER'!$A$4:$E$5001,5,FALSE)</f>
        <v>28</v>
      </c>
      <c r="J999" s="38">
        <v>2200</v>
      </c>
      <c r="K999" s="40">
        <v>33286</v>
      </c>
      <c r="L999" s="41">
        <f t="shared" si="0"/>
        <v>0</v>
      </c>
      <c r="M999" s="41">
        <f t="shared" si="1"/>
        <v>4660.04</v>
      </c>
      <c r="N999" s="41">
        <f t="shared" si="2"/>
        <v>4660.04</v>
      </c>
      <c r="O999" s="41">
        <v>0</v>
      </c>
      <c r="P999" s="42">
        <f t="shared" si="3"/>
        <v>42606.080000000002</v>
      </c>
      <c r="Q999" s="34" t="s">
        <v>25</v>
      </c>
      <c r="R999" s="34" t="str">
        <f>VLOOKUP(C999,'SALE PARTY MASTER'!$B$4:$E$500,4,FALSE)</f>
        <v>Local</v>
      </c>
      <c r="S999" s="11" t="s">
        <v>4105</v>
      </c>
    </row>
    <row r="1000" spans="1:19" x14ac:dyDescent="0.2">
      <c r="A1000" s="51">
        <v>43739</v>
      </c>
      <c r="B1000" s="34">
        <v>6</v>
      </c>
      <c r="C1000" s="35" t="s">
        <v>73</v>
      </c>
      <c r="D1000" s="34" t="str">
        <f>VLOOKUP(C1000,'SALE PARTY MASTER'!$B$4:$E$500,2,FALSE)</f>
        <v>27AAACH4211R1ZF</v>
      </c>
      <c r="E1000" s="34" t="s">
        <v>22</v>
      </c>
      <c r="F1000" s="36" t="s">
        <v>2377</v>
      </c>
      <c r="G1000" s="37">
        <v>43740</v>
      </c>
      <c r="H1000" s="38">
        <v>85129000</v>
      </c>
      <c r="I1000" s="39">
        <f>VLOOKUP(H1000,'SALE HSN MASTER'!$A$4:$E$5001,5,FALSE)</f>
        <v>18</v>
      </c>
      <c r="J1000" s="38">
        <v>5520</v>
      </c>
      <c r="K1000" s="40">
        <v>138000</v>
      </c>
      <c r="L1000" s="41">
        <f t="shared" si="0"/>
        <v>0</v>
      </c>
      <c r="M1000" s="41">
        <f t="shared" si="1"/>
        <v>12420</v>
      </c>
      <c r="N1000" s="41">
        <f t="shared" si="2"/>
        <v>12420</v>
      </c>
      <c r="O1000" s="41">
        <v>0</v>
      </c>
      <c r="P1000" s="42">
        <f t="shared" si="3"/>
        <v>162840</v>
      </c>
      <c r="Q1000" s="34" t="s">
        <v>25</v>
      </c>
      <c r="R1000" s="34" t="str">
        <f>VLOOKUP(C1000,'SALE PARTY MASTER'!$B$4:$E$500,4,FALSE)</f>
        <v>Local</v>
      </c>
      <c r="S1000" s="11" t="s">
        <v>4105</v>
      </c>
    </row>
    <row r="1001" spans="1:19" x14ac:dyDescent="0.2">
      <c r="A1001" s="51">
        <v>43739</v>
      </c>
      <c r="B1001" s="34">
        <v>7</v>
      </c>
      <c r="C1001" s="35" t="s">
        <v>28</v>
      </c>
      <c r="D1001" s="34" t="str">
        <f>VLOOKUP(C1001,'SALE PARTY MASTER'!$B$4:$E$500,2,FALSE)</f>
        <v>27AAECM8871A1ZF</v>
      </c>
      <c r="E1001" s="34" t="s">
        <v>22</v>
      </c>
      <c r="F1001" s="36" t="s">
        <v>2378</v>
      </c>
      <c r="G1001" s="37">
        <v>43740</v>
      </c>
      <c r="H1001" s="38">
        <v>87089900</v>
      </c>
      <c r="I1001" s="39">
        <f>VLOOKUP(H1001,'SALE HSN MASTER'!$A$4:$E$5001,5,FALSE)</f>
        <v>28</v>
      </c>
      <c r="J1001" s="38">
        <v>12</v>
      </c>
      <c r="K1001" s="40">
        <v>23255.759999999998</v>
      </c>
      <c r="L1001" s="41">
        <f t="shared" si="0"/>
        <v>0</v>
      </c>
      <c r="M1001" s="41">
        <f t="shared" si="1"/>
        <v>3255.8063999999995</v>
      </c>
      <c r="N1001" s="41">
        <f t="shared" si="2"/>
        <v>3255.8063999999995</v>
      </c>
      <c r="O1001" s="41">
        <v>0</v>
      </c>
      <c r="P1001" s="42">
        <f t="shared" si="3"/>
        <v>29767.372799999997</v>
      </c>
      <c r="Q1001" s="34" t="s">
        <v>25</v>
      </c>
      <c r="R1001" s="34" t="str">
        <f>VLOOKUP(C1001,'SALE PARTY MASTER'!$B$4:$E$500,4,FALSE)</f>
        <v>Local</v>
      </c>
      <c r="S1001" s="11" t="s">
        <v>4105</v>
      </c>
    </row>
    <row r="1002" spans="1:19" x14ac:dyDescent="0.2">
      <c r="A1002" s="51">
        <v>43739</v>
      </c>
      <c r="B1002" s="34">
        <v>8</v>
      </c>
      <c r="C1002" s="35" t="s">
        <v>102</v>
      </c>
      <c r="D1002" s="34" t="str">
        <f>VLOOKUP(C1002,'SALE PARTY MASTER'!$B$4:$E$500,2,FALSE)</f>
        <v>23AABCE9378F1ZK</v>
      </c>
      <c r="E1002" s="34" t="s">
        <v>22</v>
      </c>
      <c r="F1002" s="36" t="s">
        <v>2379</v>
      </c>
      <c r="G1002" s="37">
        <v>43741</v>
      </c>
      <c r="H1002" s="38">
        <v>87081090</v>
      </c>
      <c r="I1002" s="39">
        <f>VLOOKUP(H1002,'SALE HSN MASTER'!$A$4:$E$5001,5,FALSE)</f>
        <v>28</v>
      </c>
      <c r="J1002" s="38">
        <v>23</v>
      </c>
      <c r="K1002" s="40">
        <v>21592.86</v>
      </c>
      <c r="L1002" s="41">
        <f t="shared" si="0"/>
        <v>6046.0008000000007</v>
      </c>
      <c r="M1002" s="41">
        <f t="shared" si="1"/>
        <v>0</v>
      </c>
      <c r="N1002" s="41">
        <f t="shared" si="2"/>
        <v>0</v>
      </c>
      <c r="O1002" s="41">
        <v>0</v>
      </c>
      <c r="P1002" s="42">
        <f t="shared" si="3"/>
        <v>27638.860800000002</v>
      </c>
      <c r="Q1002" s="34" t="s">
        <v>25</v>
      </c>
      <c r="R1002" s="34" t="str">
        <f>VLOOKUP(C1002,'SALE PARTY MASTER'!$B$4:$E$500,4,FALSE)</f>
        <v>Oms</v>
      </c>
      <c r="S1002" s="11" t="s">
        <v>4105</v>
      </c>
    </row>
    <row r="1003" spans="1:19" x14ac:dyDescent="0.2">
      <c r="A1003" s="51">
        <v>43739</v>
      </c>
      <c r="B1003" s="34">
        <v>9</v>
      </c>
      <c r="C1003" s="35" t="s">
        <v>102</v>
      </c>
      <c r="D1003" s="34" t="str">
        <f>VLOOKUP(C1003,'SALE PARTY MASTER'!$B$4:$E$500,2,FALSE)</f>
        <v>23AABCE9378F1ZK</v>
      </c>
      <c r="E1003" s="34" t="s">
        <v>22</v>
      </c>
      <c r="F1003" s="36" t="s">
        <v>2380</v>
      </c>
      <c r="G1003" s="37">
        <v>43741</v>
      </c>
      <c r="H1003" s="38">
        <v>87081090</v>
      </c>
      <c r="I1003" s="39">
        <f>VLOOKUP(H1003,'SALE HSN MASTER'!$A$4:$E$5001,5,FALSE)</f>
        <v>28</v>
      </c>
      <c r="J1003" s="38">
        <v>9</v>
      </c>
      <c r="K1003" s="40">
        <v>7573.23</v>
      </c>
      <c r="L1003" s="41">
        <f t="shared" si="0"/>
        <v>2120.5043999999998</v>
      </c>
      <c r="M1003" s="41">
        <f t="shared" si="1"/>
        <v>0</v>
      </c>
      <c r="N1003" s="41">
        <f t="shared" si="2"/>
        <v>0</v>
      </c>
      <c r="O1003" s="41">
        <v>0</v>
      </c>
      <c r="P1003" s="42">
        <f t="shared" si="3"/>
        <v>9693.7343999999994</v>
      </c>
      <c r="Q1003" s="34" t="s">
        <v>25</v>
      </c>
      <c r="R1003" s="34" t="str">
        <f>VLOOKUP(C1003,'SALE PARTY MASTER'!$B$4:$E$500,4,FALSE)</f>
        <v>Oms</v>
      </c>
      <c r="S1003" s="11" t="s">
        <v>4105</v>
      </c>
    </row>
    <row r="1004" spans="1:19" x14ac:dyDescent="0.2">
      <c r="A1004" s="51">
        <v>43739</v>
      </c>
      <c r="B1004" s="34">
        <v>10</v>
      </c>
      <c r="C1004" s="35" t="s">
        <v>102</v>
      </c>
      <c r="D1004" s="34" t="str">
        <f>VLOOKUP(C1004,'SALE PARTY MASTER'!$B$4:$E$500,2,FALSE)</f>
        <v>23AABCE9378F1ZK</v>
      </c>
      <c r="E1004" s="34" t="s">
        <v>22</v>
      </c>
      <c r="F1004" s="36" t="s">
        <v>2381</v>
      </c>
      <c r="G1004" s="37">
        <v>43741</v>
      </c>
      <c r="H1004" s="38">
        <v>87081090</v>
      </c>
      <c r="I1004" s="39">
        <f>VLOOKUP(H1004,'SALE HSN MASTER'!$A$4:$E$5001,5,FALSE)</f>
        <v>28</v>
      </c>
      <c r="J1004" s="38">
        <v>10</v>
      </c>
      <c r="K1004" s="40">
        <v>3288</v>
      </c>
      <c r="L1004" s="41">
        <f t="shared" si="0"/>
        <v>920.6400000000001</v>
      </c>
      <c r="M1004" s="41">
        <f t="shared" si="1"/>
        <v>0</v>
      </c>
      <c r="N1004" s="41">
        <f t="shared" si="2"/>
        <v>0</v>
      </c>
      <c r="O1004" s="41">
        <v>0</v>
      </c>
      <c r="P1004" s="42">
        <f t="shared" si="3"/>
        <v>4208.6400000000003</v>
      </c>
      <c r="Q1004" s="34" t="s">
        <v>25</v>
      </c>
      <c r="R1004" s="34" t="str">
        <f>VLOOKUP(C1004,'SALE PARTY MASTER'!$B$4:$E$500,4,FALSE)</f>
        <v>Oms</v>
      </c>
      <c r="S1004" s="11" t="s">
        <v>4105</v>
      </c>
    </row>
    <row r="1005" spans="1:19" x14ac:dyDescent="0.2">
      <c r="A1005" s="51">
        <v>43739</v>
      </c>
      <c r="B1005" s="34">
        <v>11</v>
      </c>
      <c r="C1005" s="35" t="s">
        <v>102</v>
      </c>
      <c r="D1005" s="34" t="str">
        <f>VLOOKUP(C1005,'SALE PARTY MASTER'!$B$4:$E$500,2,FALSE)</f>
        <v>23AABCE9378F1ZK</v>
      </c>
      <c r="E1005" s="34" t="s">
        <v>22</v>
      </c>
      <c r="F1005" s="36" t="s">
        <v>2382</v>
      </c>
      <c r="G1005" s="37">
        <v>43741</v>
      </c>
      <c r="H1005" s="38">
        <v>87081090</v>
      </c>
      <c r="I1005" s="39">
        <f>VLOOKUP(H1005,'SALE HSN MASTER'!$A$4:$E$5001,5,FALSE)</f>
        <v>28</v>
      </c>
      <c r="J1005" s="38">
        <v>10</v>
      </c>
      <c r="K1005" s="40">
        <v>13947.3</v>
      </c>
      <c r="L1005" s="41">
        <f t="shared" si="0"/>
        <v>3905.2439999999997</v>
      </c>
      <c r="M1005" s="41">
        <f t="shared" si="1"/>
        <v>0</v>
      </c>
      <c r="N1005" s="41">
        <f t="shared" si="2"/>
        <v>0</v>
      </c>
      <c r="O1005" s="41">
        <v>0</v>
      </c>
      <c r="P1005" s="42">
        <f t="shared" si="3"/>
        <v>17852.543999999998</v>
      </c>
      <c r="Q1005" s="34" t="s">
        <v>25</v>
      </c>
      <c r="R1005" s="34" t="str">
        <f>VLOOKUP(C1005,'SALE PARTY MASTER'!$B$4:$E$500,4,FALSE)</f>
        <v>Oms</v>
      </c>
      <c r="S1005" s="11" t="s">
        <v>4105</v>
      </c>
    </row>
    <row r="1006" spans="1:19" x14ac:dyDescent="0.2">
      <c r="A1006" s="51">
        <v>43739</v>
      </c>
      <c r="B1006" s="34">
        <v>12</v>
      </c>
      <c r="C1006" s="35" t="s">
        <v>102</v>
      </c>
      <c r="D1006" s="34" t="str">
        <f>VLOOKUP(C1006,'SALE PARTY MASTER'!$B$4:$E$500,2,FALSE)</f>
        <v>23AABCE9378F1ZK</v>
      </c>
      <c r="E1006" s="34" t="s">
        <v>22</v>
      </c>
      <c r="F1006" s="36" t="s">
        <v>2383</v>
      </c>
      <c r="G1006" s="37">
        <v>43741</v>
      </c>
      <c r="H1006" s="38">
        <v>87081090</v>
      </c>
      <c r="I1006" s="39">
        <f>VLOOKUP(H1006,'SALE HSN MASTER'!$A$4:$E$5001,5,FALSE)</f>
        <v>28</v>
      </c>
      <c r="J1006" s="38">
        <v>10</v>
      </c>
      <c r="K1006" s="40">
        <v>20215</v>
      </c>
      <c r="L1006" s="41">
        <f t="shared" si="0"/>
        <v>5660.2</v>
      </c>
      <c r="M1006" s="41">
        <f t="shared" si="1"/>
        <v>0</v>
      </c>
      <c r="N1006" s="41">
        <f t="shared" si="2"/>
        <v>0</v>
      </c>
      <c r="O1006" s="41">
        <v>0</v>
      </c>
      <c r="P1006" s="42">
        <f t="shared" si="3"/>
        <v>25875.200000000001</v>
      </c>
      <c r="Q1006" s="34" t="s">
        <v>25</v>
      </c>
      <c r="R1006" s="34" t="str">
        <f>VLOOKUP(C1006,'SALE PARTY MASTER'!$B$4:$E$500,4,FALSE)</f>
        <v>Oms</v>
      </c>
      <c r="S1006" s="11" t="s">
        <v>4105</v>
      </c>
    </row>
    <row r="1007" spans="1:19" x14ac:dyDescent="0.2">
      <c r="A1007" s="51">
        <v>43739</v>
      </c>
      <c r="B1007" s="34">
        <v>13</v>
      </c>
      <c r="C1007" s="35" t="s">
        <v>102</v>
      </c>
      <c r="D1007" s="34" t="str">
        <f>VLOOKUP(C1007,'SALE PARTY MASTER'!$B$4:$E$500,2,FALSE)</f>
        <v>23AABCE9378F1ZK</v>
      </c>
      <c r="E1007" s="34" t="s">
        <v>22</v>
      </c>
      <c r="F1007" s="36" t="s">
        <v>2384</v>
      </c>
      <c r="G1007" s="37">
        <v>43741</v>
      </c>
      <c r="H1007" s="38">
        <v>87081090</v>
      </c>
      <c r="I1007" s="39">
        <f>VLOOKUP(H1007,'SALE HSN MASTER'!$A$4:$E$5001,5,FALSE)</f>
        <v>28</v>
      </c>
      <c r="J1007" s="38">
        <v>2</v>
      </c>
      <c r="K1007" s="40">
        <v>4061.74</v>
      </c>
      <c r="L1007" s="41">
        <f t="shared" si="0"/>
        <v>1137.2872</v>
      </c>
      <c r="M1007" s="41">
        <f t="shared" si="1"/>
        <v>0</v>
      </c>
      <c r="N1007" s="41">
        <f t="shared" si="2"/>
        <v>0</v>
      </c>
      <c r="O1007" s="41">
        <v>0</v>
      </c>
      <c r="P1007" s="42">
        <f t="shared" si="3"/>
        <v>5199.0271999999995</v>
      </c>
      <c r="Q1007" s="34" t="s">
        <v>25</v>
      </c>
      <c r="R1007" s="34" t="str">
        <f>VLOOKUP(C1007,'SALE PARTY MASTER'!$B$4:$E$500,4,FALSE)</f>
        <v>Oms</v>
      </c>
      <c r="S1007" s="11" t="s">
        <v>4105</v>
      </c>
    </row>
    <row r="1008" spans="1:19" x14ac:dyDescent="0.2">
      <c r="A1008" s="51">
        <v>43739</v>
      </c>
      <c r="B1008" s="34">
        <v>14</v>
      </c>
      <c r="C1008" s="35" t="s">
        <v>102</v>
      </c>
      <c r="D1008" s="34" t="str">
        <f>VLOOKUP(C1008,'SALE PARTY MASTER'!$B$4:$E$500,2,FALSE)</f>
        <v>23AABCE9378F1ZK</v>
      </c>
      <c r="E1008" s="34" t="s">
        <v>22</v>
      </c>
      <c r="F1008" s="36" t="s">
        <v>2385</v>
      </c>
      <c r="G1008" s="37">
        <v>43741</v>
      </c>
      <c r="H1008" s="38">
        <v>87081090</v>
      </c>
      <c r="I1008" s="39">
        <f>VLOOKUP(H1008,'SALE HSN MASTER'!$A$4:$E$5001,5,FALSE)</f>
        <v>28</v>
      </c>
      <c r="J1008" s="38">
        <v>2</v>
      </c>
      <c r="K1008" s="40">
        <v>6147.2</v>
      </c>
      <c r="L1008" s="41">
        <f t="shared" si="0"/>
        <v>1721.2160000000001</v>
      </c>
      <c r="M1008" s="41">
        <f t="shared" si="1"/>
        <v>0</v>
      </c>
      <c r="N1008" s="41">
        <f t="shared" si="2"/>
        <v>0</v>
      </c>
      <c r="O1008" s="41">
        <v>0</v>
      </c>
      <c r="P1008" s="42">
        <f t="shared" si="3"/>
        <v>7868.4160000000002</v>
      </c>
      <c r="Q1008" s="34" t="s">
        <v>25</v>
      </c>
      <c r="R1008" s="34" t="str">
        <f>VLOOKUP(C1008,'SALE PARTY MASTER'!$B$4:$E$500,4,FALSE)</f>
        <v>Oms</v>
      </c>
      <c r="S1008" s="11" t="s">
        <v>4105</v>
      </c>
    </row>
    <row r="1009" spans="1:19" x14ac:dyDescent="0.2">
      <c r="A1009" s="51">
        <v>43739</v>
      </c>
      <c r="B1009" s="34">
        <v>15</v>
      </c>
      <c r="C1009" s="35" t="s">
        <v>45</v>
      </c>
      <c r="D1009" s="34" t="str">
        <f>VLOOKUP(C1009,'SALE PARTY MASTER'!$B$4:$E$500,2,FALSE)</f>
        <v>27AAACD4090Q1Z8</v>
      </c>
      <c r="E1009" s="34" t="s">
        <v>22</v>
      </c>
      <c r="F1009" s="36" t="s">
        <v>2386</v>
      </c>
      <c r="G1009" s="37">
        <v>43741</v>
      </c>
      <c r="H1009" s="38">
        <v>85129000</v>
      </c>
      <c r="I1009" s="39">
        <f>VLOOKUP(H1009,'SALE HSN MASTER'!$A$4:$E$5001,5,FALSE)</f>
        <v>18</v>
      </c>
      <c r="J1009" s="38">
        <v>324</v>
      </c>
      <c r="K1009" s="40">
        <v>39531.24</v>
      </c>
      <c r="L1009" s="41">
        <f t="shared" si="0"/>
        <v>0</v>
      </c>
      <c r="M1009" s="41">
        <f t="shared" si="1"/>
        <v>3557.8115999999995</v>
      </c>
      <c r="N1009" s="41">
        <f t="shared" si="2"/>
        <v>3557.8115999999995</v>
      </c>
      <c r="O1009" s="41">
        <v>0</v>
      </c>
      <c r="P1009" s="42">
        <f t="shared" si="3"/>
        <v>46646.8632</v>
      </c>
      <c r="Q1009" s="34" t="s">
        <v>25</v>
      </c>
      <c r="R1009" s="34" t="str">
        <f>VLOOKUP(C1009,'SALE PARTY MASTER'!$B$4:$E$500,4,FALSE)</f>
        <v>Local</v>
      </c>
      <c r="S1009" s="11" t="s">
        <v>4105</v>
      </c>
    </row>
    <row r="1010" spans="1:19" x14ac:dyDescent="0.2">
      <c r="A1010" s="51">
        <v>43739</v>
      </c>
      <c r="B1010" s="34">
        <v>16</v>
      </c>
      <c r="C1010" s="35" t="s">
        <v>40</v>
      </c>
      <c r="D1010" s="34" t="str">
        <f>VLOOKUP(C1010,'SALE PARTY MASTER'!$B$4:$E$500,2,FALSE)</f>
        <v>27AAACT1848E1ZH</v>
      </c>
      <c r="E1010" s="34" t="s">
        <v>22</v>
      </c>
      <c r="F1010" s="36" t="s">
        <v>2387</v>
      </c>
      <c r="G1010" s="37">
        <v>43741</v>
      </c>
      <c r="H1010" s="38">
        <v>87089900</v>
      </c>
      <c r="I1010" s="39">
        <f>VLOOKUP(H1010,'SALE HSN MASTER'!$A$4:$E$5001,5,FALSE)</f>
        <v>28</v>
      </c>
      <c r="J1010" s="38">
        <v>80</v>
      </c>
      <c r="K1010" s="40">
        <v>41153.32</v>
      </c>
      <c r="L1010" s="41">
        <f t="shared" si="0"/>
        <v>0</v>
      </c>
      <c r="M1010" s="41">
        <f t="shared" si="1"/>
        <v>5761.4648000000007</v>
      </c>
      <c r="N1010" s="41">
        <f t="shared" si="2"/>
        <v>5761.4648000000007</v>
      </c>
      <c r="O1010" s="41">
        <v>0</v>
      </c>
      <c r="P1010" s="42">
        <f t="shared" si="3"/>
        <v>52676.249600000003</v>
      </c>
      <c r="Q1010" s="34" t="s">
        <v>25</v>
      </c>
      <c r="R1010" s="34" t="str">
        <f>VLOOKUP(C1010,'SALE PARTY MASTER'!$B$4:$E$500,4,FALSE)</f>
        <v>Local</v>
      </c>
      <c r="S1010" s="11" t="s">
        <v>4105</v>
      </c>
    </row>
    <row r="1011" spans="1:19" x14ac:dyDescent="0.2">
      <c r="A1011" s="51">
        <v>43739</v>
      </c>
      <c r="B1011" s="34">
        <v>17</v>
      </c>
      <c r="C1011" s="35" t="s">
        <v>45</v>
      </c>
      <c r="D1011" s="34" t="str">
        <f>VLOOKUP(C1011,'SALE PARTY MASTER'!$B$4:$E$500,2,FALSE)</f>
        <v>27AAACD4090Q1Z8</v>
      </c>
      <c r="E1011" s="34" t="s">
        <v>22</v>
      </c>
      <c r="F1011" s="36" t="s">
        <v>2388</v>
      </c>
      <c r="G1011" s="37">
        <v>43742</v>
      </c>
      <c r="H1011" s="38">
        <v>85129000</v>
      </c>
      <c r="I1011" s="39">
        <f>VLOOKUP(H1011,'SALE HSN MASTER'!$A$4:$E$5001,5,FALSE)</f>
        <v>18</v>
      </c>
      <c r="J1011" s="38">
        <v>324</v>
      </c>
      <c r="K1011" s="40">
        <v>39531.24</v>
      </c>
      <c r="L1011" s="41">
        <f t="shared" si="0"/>
        <v>0</v>
      </c>
      <c r="M1011" s="41">
        <f t="shared" si="1"/>
        <v>3557.8115999999995</v>
      </c>
      <c r="N1011" s="41">
        <f t="shared" si="2"/>
        <v>3557.8115999999995</v>
      </c>
      <c r="O1011" s="41">
        <v>0</v>
      </c>
      <c r="P1011" s="42">
        <f t="shared" si="3"/>
        <v>46646.8632</v>
      </c>
      <c r="Q1011" s="34" t="s">
        <v>25</v>
      </c>
      <c r="R1011" s="34" t="str">
        <f>VLOOKUP(C1011,'SALE PARTY MASTER'!$B$4:$E$500,4,FALSE)</f>
        <v>Local</v>
      </c>
      <c r="S1011" s="11" t="s">
        <v>4105</v>
      </c>
    </row>
    <row r="1012" spans="1:19" x14ac:dyDescent="0.2">
      <c r="A1012" s="51">
        <v>43739</v>
      </c>
      <c r="B1012" s="34">
        <v>18</v>
      </c>
      <c r="C1012" s="35" t="s">
        <v>49</v>
      </c>
      <c r="D1012" s="34" t="str">
        <f>VLOOKUP(C1012,'SALE PARTY MASTER'!$B$4:$E$500,2,FALSE)</f>
        <v>27AABFJ4217F1ZP</v>
      </c>
      <c r="E1012" s="34" t="s">
        <v>22</v>
      </c>
      <c r="F1012" s="36" t="s">
        <v>2389</v>
      </c>
      <c r="G1012" s="37">
        <v>43742</v>
      </c>
      <c r="H1012" s="38" t="s">
        <v>2425</v>
      </c>
      <c r="I1012" s="39">
        <f>VLOOKUP(H1012,'SALE HSN MASTER'!$A$4:$E$5001,5,FALSE)</f>
        <v>12</v>
      </c>
      <c r="J1012" s="38">
        <v>10</v>
      </c>
      <c r="K1012" s="40">
        <v>2841.4</v>
      </c>
      <c r="L1012" s="41">
        <f t="shared" si="0"/>
        <v>0</v>
      </c>
      <c r="M1012" s="41">
        <f t="shared" si="1"/>
        <v>170.48400000000001</v>
      </c>
      <c r="N1012" s="41">
        <f t="shared" si="2"/>
        <v>170.48400000000001</v>
      </c>
      <c r="O1012" s="41">
        <v>0</v>
      </c>
      <c r="P1012" s="42">
        <f t="shared" si="3"/>
        <v>3182.3679999999999</v>
      </c>
      <c r="Q1012" s="34" t="s">
        <v>25</v>
      </c>
      <c r="R1012" s="34" t="str">
        <f>VLOOKUP(C1012,'SALE PARTY MASTER'!$B$4:$E$500,4,FALSE)</f>
        <v>Local</v>
      </c>
      <c r="S1012" s="11" t="s">
        <v>4105</v>
      </c>
    </row>
    <row r="1013" spans="1:19" x14ac:dyDescent="0.2">
      <c r="A1013" s="51">
        <v>43739</v>
      </c>
      <c r="B1013" s="34">
        <v>19</v>
      </c>
      <c r="C1013" s="35" t="s">
        <v>167</v>
      </c>
      <c r="D1013" s="34" t="str">
        <f>VLOOKUP(C1013,'SALE PARTY MASTER'!$B$4:$E$500,2,FALSE)</f>
        <v>27AABFP3834C1ZK</v>
      </c>
      <c r="E1013" s="34" t="s">
        <v>22</v>
      </c>
      <c r="F1013" s="36" t="s">
        <v>2390</v>
      </c>
      <c r="G1013" s="37">
        <v>43742</v>
      </c>
      <c r="H1013" s="38">
        <v>87141900</v>
      </c>
      <c r="I1013" s="39">
        <f>VLOOKUP(H1013,'SALE HSN MASTER'!$A$4:$E$5001,5,FALSE)</f>
        <v>28</v>
      </c>
      <c r="J1013" s="38">
        <v>3617</v>
      </c>
      <c r="K1013" s="40">
        <v>41334.769999999997</v>
      </c>
      <c r="L1013" s="41">
        <f t="shared" si="0"/>
        <v>0</v>
      </c>
      <c r="M1013" s="41">
        <f t="shared" si="1"/>
        <v>5786.8678</v>
      </c>
      <c r="N1013" s="41">
        <f t="shared" si="2"/>
        <v>5786.8678</v>
      </c>
      <c r="O1013" s="41">
        <v>0</v>
      </c>
      <c r="P1013" s="42">
        <f t="shared" si="3"/>
        <v>52908.505599999997</v>
      </c>
      <c r="Q1013" s="34" t="s">
        <v>25</v>
      </c>
      <c r="R1013" s="34" t="str">
        <f>VLOOKUP(C1013,'SALE PARTY MASTER'!$B$4:$E$500,4,FALSE)</f>
        <v>Local</v>
      </c>
      <c r="S1013" s="11" t="s">
        <v>4105</v>
      </c>
    </row>
    <row r="1014" spans="1:19" x14ac:dyDescent="0.2">
      <c r="A1014" s="51">
        <v>43739</v>
      </c>
      <c r="B1014" s="34">
        <v>20</v>
      </c>
      <c r="C1014" s="35" t="s">
        <v>40</v>
      </c>
      <c r="D1014" s="34" t="str">
        <f>VLOOKUP(C1014,'SALE PARTY MASTER'!$B$4:$E$500,2,FALSE)</f>
        <v>27AAACT1848E1ZH</v>
      </c>
      <c r="E1014" s="34" t="s">
        <v>22</v>
      </c>
      <c r="F1014" s="36" t="s">
        <v>2391</v>
      </c>
      <c r="G1014" s="37">
        <v>43743</v>
      </c>
      <c r="H1014" s="38">
        <v>87089900</v>
      </c>
      <c r="I1014" s="39">
        <f>VLOOKUP(H1014,'SALE HSN MASTER'!$A$4:$E$5001,5,FALSE)</f>
        <v>28</v>
      </c>
      <c r="J1014" s="38">
        <v>399</v>
      </c>
      <c r="K1014" s="40">
        <v>59773.75</v>
      </c>
      <c r="L1014" s="41">
        <f t="shared" si="0"/>
        <v>0</v>
      </c>
      <c r="M1014" s="41">
        <f t="shared" si="1"/>
        <v>8368.3249999999989</v>
      </c>
      <c r="N1014" s="41">
        <f t="shared" si="2"/>
        <v>8368.3249999999989</v>
      </c>
      <c r="O1014" s="41">
        <v>0</v>
      </c>
      <c r="P1014" s="42">
        <f t="shared" si="3"/>
        <v>76510.399999999994</v>
      </c>
      <c r="Q1014" s="34" t="s">
        <v>25</v>
      </c>
      <c r="R1014" s="34" t="str">
        <f>VLOOKUP(C1014,'SALE PARTY MASTER'!$B$4:$E$500,4,FALSE)</f>
        <v>Local</v>
      </c>
      <c r="S1014" s="11" t="s">
        <v>4105</v>
      </c>
    </row>
    <row r="1015" spans="1:19" x14ac:dyDescent="0.2">
      <c r="A1015" s="51">
        <v>43739</v>
      </c>
      <c r="B1015" s="34">
        <v>21</v>
      </c>
      <c r="C1015" s="35" t="s">
        <v>167</v>
      </c>
      <c r="D1015" s="34" t="str">
        <f>VLOOKUP(C1015,'SALE PARTY MASTER'!$B$4:$E$500,2,FALSE)</f>
        <v>27AABFP3834C1ZK</v>
      </c>
      <c r="E1015" s="34" t="s">
        <v>22</v>
      </c>
      <c r="F1015" s="36" t="s">
        <v>2392</v>
      </c>
      <c r="G1015" s="37">
        <v>43743</v>
      </c>
      <c r="H1015" s="38">
        <v>87141900</v>
      </c>
      <c r="I1015" s="39">
        <f>VLOOKUP(H1015,'SALE HSN MASTER'!$A$4:$E$5001,5,FALSE)</f>
        <v>28</v>
      </c>
      <c r="J1015" s="38">
        <v>3530</v>
      </c>
      <c r="K1015" s="40">
        <v>40481.300000000003</v>
      </c>
      <c r="L1015" s="41">
        <f t="shared" si="0"/>
        <v>0</v>
      </c>
      <c r="M1015" s="41">
        <f t="shared" si="1"/>
        <v>5667.3820000000005</v>
      </c>
      <c r="N1015" s="41">
        <f t="shared" si="2"/>
        <v>5667.3820000000005</v>
      </c>
      <c r="O1015" s="41">
        <v>0</v>
      </c>
      <c r="P1015" s="42">
        <f t="shared" si="3"/>
        <v>51816.064000000006</v>
      </c>
      <c r="Q1015" s="34" t="s">
        <v>25</v>
      </c>
      <c r="R1015" s="34" t="str">
        <f>VLOOKUP(C1015,'SALE PARTY MASTER'!$B$4:$E$500,4,FALSE)</f>
        <v>Local</v>
      </c>
      <c r="S1015" s="11" t="s">
        <v>4105</v>
      </c>
    </row>
    <row r="1016" spans="1:19" x14ac:dyDescent="0.2">
      <c r="A1016" s="51">
        <v>43739</v>
      </c>
      <c r="B1016" s="34">
        <v>22</v>
      </c>
      <c r="C1016" s="35" t="s">
        <v>45</v>
      </c>
      <c r="D1016" s="34" t="str">
        <f>VLOOKUP(C1016,'SALE PARTY MASTER'!$B$4:$E$500,2,FALSE)</f>
        <v>27AAACD4090Q1Z8</v>
      </c>
      <c r="E1016" s="34" t="s">
        <v>22</v>
      </c>
      <c r="F1016" s="36" t="s">
        <v>2393</v>
      </c>
      <c r="G1016" s="37">
        <v>43743</v>
      </c>
      <c r="H1016" s="38">
        <v>85129000</v>
      </c>
      <c r="I1016" s="39">
        <f>VLOOKUP(H1016,'SALE HSN MASTER'!$A$4:$E$5001,5,FALSE)</f>
        <v>18</v>
      </c>
      <c r="J1016" s="38">
        <v>774</v>
      </c>
      <c r="K1016" s="40">
        <v>94435.74</v>
      </c>
      <c r="L1016" s="41">
        <f t="shared" si="0"/>
        <v>0</v>
      </c>
      <c r="M1016" s="41">
        <f t="shared" si="1"/>
        <v>8499.2166000000016</v>
      </c>
      <c r="N1016" s="41">
        <f t="shared" si="2"/>
        <v>8499.2166000000016</v>
      </c>
      <c r="O1016" s="41">
        <v>0</v>
      </c>
      <c r="P1016" s="42">
        <f t="shared" si="3"/>
        <v>111434.1732</v>
      </c>
      <c r="Q1016" s="34" t="s">
        <v>25</v>
      </c>
      <c r="R1016" s="34" t="str">
        <f>VLOOKUP(C1016,'SALE PARTY MASTER'!$B$4:$E$500,4,FALSE)</f>
        <v>Local</v>
      </c>
      <c r="S1016" s="11" t="s">
        <v>4105</v>
      </c>
    </row>
    <row r="1017" spans="1:19" x14ac:dyDescent="0.2">
      <c r="A1017" s="51">
        <v>43739</v>
      </c>
      <c r="B1017" s="34">
        <v>23</v>
      </c>
      <c r="C1017" s="35" t="s">
        <v>49</v>
      </c>
      <c r="D1017" s="34" t="str">
        <f>VLOOKUP(C1017,'SALE PARTY MASTER'!$B$4:$E$500,2,FALSE)</f>
        <v>27AABFJ4217F1ZP</v>
      </c>
      <c r="E1017" s="34" t="s">
        <v>22</v>
      </c>
      <c r="F1017" s="36" t="s">
        <v>2394</v>
      </c>
      <c r="G1017" s="37">
        <v>43745</v>
      </c>
      <c r="H1017" s="38" t="s">
        <v>2425</v>
      </c>
      <c r="I1017" s="39">
        <f>VLOOKUP(H1017,'SALE HSN MASTER'!$A$4:$E$5001,5,FALSE)</f>
        <v>12</v>
      </c>
      <c r="J1017" s="38">
        <v>30</v>
      </c>
      <c r="K1017" s="40">
        <v>8524.2000000000007</v>
      </c>
      <c r="L1017" s="41">
        <f t="shared" si="0"/>
        <v>0</v>
      </c>
      <c r="M1017" s="41">
        <f t="shared" si="1"/>
        <v>511.452</v>
      </c>
      <c r="N1017" s="41">
        <f t="shared" si="2"/>
        <v>511.452</v>
      </c>
      <c r="O1017" s="41">
        <v>0</v>
      </c>
      <c r="P1017" s="42">
        <f t="shared" si="3"/>
        <v>9547.1040000000012</v>
      </c>
      <c r="Q1017" s="34" t="s">
        <v>25</v>
      </c>
      <c r="R1017" s="34" t="str">
        <f>VLOOKUP(C1017,'SALE PARTY MASTER'!$B$4:$E$500,4,FALSE)</f>
        <v>Local</v>
      </c>
      <c r="S1017" s="11" t="s">
        <v>4105</v>
      </c>
    </row>
    <row r="1018" spans="1:19" x14ac:dyDescent="0.2">
      <c r="A1018" s="51">
        <v>43739</v>
      </c>
      <c r="B1018" s="34">
        <v>24</v>
      </c>
      <c r="C1018" s="35" t="s">
        <v>167</v>
      </c>
      <c r="D1018" s="34" t="str">
        <f>VLOOKUP(C1018,'SALE PARTY MASTER'!$B$4:$E$500,2,FALSE)</f>
        <v>27AABFP3834C1ZK</v>
      </c>
      <c r="E1018" s="34" t="s">
        <v>22</v>
      </c>
      <c r="F1018" s="36" t="s">
        <v>2395</v>
      </c>
      <c r="G1018" s="37">
        <v>43745</v>
      </c>
      <c r="H1018" s="38">
        <v>87141900</v>
      </c>
      <c r="I1018" s="39">
        <f>VLOOKUP(H1018,'SALE HSN MASTER'!$A$4:$E$5001,5,FALSE)</f>
        <v>28</v>
      </c>
      <c r="J1018" s="38">
        <v>1610</v>
      </c>
      <c r="K1018" s="40">
        <v>22497.3</v>
      </c>
      <c r="L1018" s="41">
        <f t="shared" si="0"/>
        <v>0</v>
      </c>
      <c r="M1018" s="41">
        <f t="shared" si="1"/>
        <v>3149.6219999999998</v>
      </c>
      <c r="N1018" s="41">
        <f t="shared" si="2"/>
        <v>3149.6219999999998</v>
      </c>
      <c r="O1018" s="41">
        <v>0</v>
      </c>
      <c r="P1018" s="42">
        <f t="shared" si="3"/>
        <v>28796.543999999998</v>
      </c>
      <c r="Q1018" s="34" t="s">
        <v>25</v>
      </c>
      <c r="R1018" s="34" t="str">
        <f>VLOOKUP(C1018,'SALE PARTY MASTER'!$B$4:$E$500,4,FALSE)</f>
        <v>Local</v>
      </c>
      <c r="S1018" s="11" t="s">
        <v>4105</v>
      </c>
    </row>
    <row r="1019" spans="1:19" x14ac:dyDescent="0.2">
      <c r="A1019" s="51">
        <v>43739</v>
      </c>
      <c r="B1019" s="34">
        <v>25</v>
      </c>
      <c r="C1019" s="35" t="s">
        <v>155</v>
      </c>
      <c r="D1019" s="34" t="str">
        <f>VLOOKUP(C1019,'SALE PARTY MASTER'!$B$4:$E$500,2,FALSE)</f>
        <v>27AAGCP0139E1ZP</v>
      </c>
      <c r="E1019" s="34" t="s">
        <v>22</v>
      </c>
      <c r="F1019" s="36" t="s">
        <v>2396</v>
      </c>
      <c r="G1019" s="37">
        <v>43745</v>
      </c>
      <c r="H1019" s="38">
        <v>87141090</v>
      </c>
      <c r="I1019" s="39">
        <f>VLOOKUP(H1019,'SALE HSN MASTER'!$A$4:$E$5001,5,FALSE)</f>
        <v>28</v>
      </c>
      <c r="J1019" s="38">
        <v>580</v>
      </c>
      <c r="K1019" s="40">
        <v>43714.6</v>
      </c>
      <c r="L1019" s="41">
        <f t="shared" si="0"/>
        <v>0</v>
      </c>
      <c r="M1019" s="41">
        <f t="shared" si="1"/>
        <v>6120.0439999999999</v>
      </c>
      <c r="N1019" s="41">
        <f t="shared" si="2"/>
        <v>6120.0439999999999</v>
      </c>
      <c r="O1019" s="41">
        <v>0</v>
      </c>
      <c r="P1019" s="42">
        <f t="shared" si="3"/>
        <v>55954.687999999995</v>
      </c>
      <c r="Q1019" s="34" t="s">
        <v>25</v>
      </c>
      <c r="R1019" s="34" t="str">
        <f>VLOOKUP(C1019,'SALE PARTY MASTER'!$B$4:$E$500,4,FALSE)</f>
        <v>Local</v>
      </c>
      <c r="S1019" s="11" t="s">
        <v>4105</v>
      </c>
    </row>
    <row r="1020" spans="1:19" x14ac:dyDescent="0.2">
      <c r="A1020" s="51">
        <v>43739</v>
      </c>
      <c r="B1020" s="34">
        <v>26</v>
      </c>
      <c r="C1020" s="35" t="s">
        <v>155</v>
      </c>
      <c r="D1020" s="34" t="str">
        <f>VLOOKUP(C1020,'SALE PARTY MASTER'!$B$4:$E$500,2,FALSE)</f>
        <v>27AAGCP0139E1ZP</v>
      </c>
      <c r="E1020" s="34" t="s">
        <v>22</v>
      </c>
      <c r="F1020" s="36" t="s">
        <v>2397</v>
      </c>
      <c r="G1020" s="37">
        <v>43745</v>
      </c>
      <c r="H1020" s="38">
        <v>87141090</v>
      </c>
      <c r="I1020" s="39">
        <f>VLOOKUP(H1020,'SALE HSN MASTER'!$A$4:$E$5001,5,FALSE)</f>
        <v>28</v>
      </c>
      <c r="J1020" s="38">
        <v>960</v>
      </c>
      <c r="K1020" s="40">
        <v>45148.800000000003</v>
      </c>
      <c r="L1020" s="41">
        <f t="shared" si="0"/>
        <v>0</v>
      </c>
      <c r="M1020" s="41">
        <f t="shared" si="1"/>
        <v>6320.8320000000003</v>
      </c>
      <c r="N1020" s="41">
        <f t="shared" si="2"/>
        <v>6320.8320000000003</v>
      </c>
      <c r="O1020" s="41">
        <v>0</v>
      </c>
      <c r="P1020" s="42">
        <f t="shared" si="3"/>
        <v>57790.464000000007</v>
      </c>
      <c r="Q1020" s="34" t="s">
        <v>25</v>
      </c>
      <c r="R1020" s="34" t="str">
        <f>VLOOKUP(C1020,'SALE PARTY MASTER'!$B$4:$E$500,4,FALSE)</f>
        <v>Local</v>
      </c>
      <c r="S1020" s="11" t="s">
        <v>4105</v>
      </c>
    </row>
    <row r="1021" spans="1:19" x14ac:dyDescent="0.2">
      <c r="A1021" s="51">
        <v>43739</v>
      </c>
      <c r="B1021" s="34">
        <v>27</v>
      </c>
      <c r="C1021" s="35" t="s">
        <v>73</v>
      </c>
      <c r="D1021" s="34" t="str">
        <f>VLOOKUP(C1021,'SALE PARTY MASTER'!$B$4:$E$500,2,FALSE)</f>
        <v>27AAACH4211R1ZF</v>
      </c>
      <c r="E1021" s="34" t="s">
        <v>22</v>
      </c>
      <c r="F1021" s="36" t="s">
        <v>2398</v>
      </c>
      <c r="G1021" s="37">
        <v>43745</v>
      </c>
      <c r="H1021" s="38">
        <v>85129000</v>
      </c>
      <c r="I1021" s="39">
        <f>VLOOKUP(H1021,'SALE HSN MASTER'!$A$4:$E$5001,5,FALSE)</f>
        <v>18</v>
      </c>
      <c r="J1021" s="38">
        <v>1680</v>
      </c>
      <c r="K1021" s="40">
        <v>42000</v>
      </c>
      <c r="L1021" s="41">
        <f t="shared" si="0"/>
        <v>0</v>
      </c>
      <c r="M1021" s="41">
        <f t="shared" si="1"/>
        <v>3780</v>
      </c>
      <c r="N1021" s="41">
        <f t="shared" si="2"/>
        <v>3780</v>
      </c>
      <c r="O1021" s="41">
        <v>0</v>
      </c>
      <c r="P1021" s="42">
        <f t="shared" si="3"/>
        <v>49560</v>
      </c>
      <c r="Q1021" s="34" t="s">
        <v>25</v>
      </c>
      <c r="R1021" s="34" t="str">
        <f>VLOOKUP(C1021,'SALE PARTY MASTER'!$B$4:$E$500,4,FALSE)</f>
        <v>Local</v>
      </c>
      <c r="S1021" s="11" t="s">
        <v>4105</v>
      </c>
    </row>
    <row r="1022" spans="1:19" x14ac:dyDescent="0.2">
      <c r="A1022" s="51">
        <v>43739</v>
      </c>
      <c r="B1022" s="34">
        <v>28</v>
      </c>
      <c r="C1022" s="35" t="s">
        <v>124</v>
      </c>
      <c r="D1022" s="34" t="str">
        <f>VLOOKUP(C1022,'SALE PARTY MASTER'!$B$4:$E$500,2,FALSE)</f>
        <v>27AAACB2484Q1Z8</v>
      </c>
      <c r="E1022" s="34" t="s">
        <v>22</v>
      </c>
      <c r="F1022" s="36" t="s">
        <v>2399</v>
      </c>
      <c r="G1022" s="37">
        <v>43745</v>
      </c>
      <c r="H1022" s="38" t="s">
        <v>2425</v>
      </c>
      <c r="I1022" s="39">
        <f>VLOOKUP(H1022,'SALE HSN MASTER'!$A$4:$E$5001,5,FALSE)</f>
        <v>12</v>
      </c>
      <c r="J1022" s="38">
        <v>1350</v>
      </c>
      <c r="K1022" s="40">
        <v>116100</v>
      </c>
      <c r="L1022" s="41">
        <f t="shared" si="0"/>
        <v>0</v>
      </c>
      <c r="M1022" s="41">
        <f t="shared" si="1"/>
        <v>6966</v>
      </c>
      <c r="N1022" s="41">
        <f t="shared" si="2"/>
        <v>6966</v>
      </c>
      <c r="O1022" s="41">
        <v>0</v>
      </c>
      <c r="P1022" s="42">
        <f t="shared" si="3"/>
        <v>130032</v>
      </c>
      <c r="Q1022" s="34" t="s">
        <v>25</v>
      </c>
      <c r="R1022" s="34" t="str">
        <f>VLOOKUP(C1022,'SALE PARTY MASTER'!$B$4:$E$500,4,FALSE)</f>
        <v>Local</v>
      </c>
      <c r="S1022" s="11" t="s">
        <v>4105</v>
      </c>
    </row>
    <row r="1023" spans="1:19" x14ac:dyDescent="0.2">
      <c r="A1023" s="51">
        <v>43739</v>
      </c>
      <c r="B1023" s="34">
        <v>29</v>
      </c>
      <c r="C1023" s="35" t="s">
        <v>45</v>
      </c>
      <c r="D1023" s="34" t="str">
        <f>VLOOKUP(C1023,'SALE PARTY MASTER'!$B$4:$E$500,2,FALSE)</f>
        <v>27AAACD4090Q1Z8</v>
      </c>
      <c r="E1023" s="34" t="s">
        <v>22</v>
      </c>
      <c r="F1023" s="36" t="s">
        <v>2400</v>
      </c>
      <c r="G1023" s="37">
        <v>43745</v>
      </c>
      <c r="H1023" s="38">
        <v>85129000</v>
      </c>
      <c r="I1023" s="39">
        <f>VLOOKUP(H1023,'SALE HSN MASTER'!$A$4:$E$5001,5,FALSE)</f>
        <v>18</v>
      </c>
      <c r="J1023" s="38">
        <v>684</v>
      </c>
      <c r="K1023" s="40">
        <v>83454.84</v>
      </c>
      <c r="L1023" s="41">
        <f t="shared" si="0"/>
        <v>0</v>
      </c>
      <c r="M1023" s="41">
        <f t="shared" si="1"/>
        <v>7510.9355999999998</v>
      </c>
      <c r="N1023" s="41">
        <f t="shared" si="2"/>
        <v>7510.9355999999998</v>
      </c>
      <c r="O1023" s="41">
        <v>0</v>
      </c>
      <c r="P1023" s="42">
        <f t="shared" si="3"/>
        <v>98476.711199999991</v>
      </c>
      <c r="Q1023" s="34" t="s">
        <v>25</v>
      </c>
      <c r="R1023" s="34" t="str">
        <f>VLOOKUP(C1023,'SALE PARTY MASTER'!$B$4:$E$500,4,FALSE)</f>
        <v>Local</v>
      </c>
      <c r="S1023" s="11" t="s">
        <v>4105</v>
      </c>
    </row>
    <row r="1024" spans="1:19" x14ac:dyDescent="0.2">
      <c r="A1024" s="51">
        <v>43739</v>
      </c>
      <c r="B1024" s="34">
        <v>30</v>
      </c>
      <c r="C1024" s="35" t="s">
        <v>124</v>
      </c>
      <c r="D1024" s="34" t="str">
        <f>VLOOKUP(C1024,'SALE PARTY MASTER'!$B$4:$E$500,2,FALSE)</f>
        <v>27AAACB2484Q1Z8</v>
      </c>
      <c r="E1024" s="34" t="s">
        <v>22</v>
      </c>
      <c r="F1024" s="36" t="s">
        <v>2401</v>
      </c>
      <c r="G1024" s="37">
        <v>43747</v>
      </c>
      <c r="H1024" s="38" t="s">
        <v>2425</v>
      </c>
      <c r="I1024" s="39">
        <f>VLOOKUP(H1024,'SALE HSN MASTER'!$A$4:$E$5001,5,FALSE)</f>
        <v>12</v>
      </c>
      <c r="J1024" s="38">
        <v>2520</v>
      </c>
      <c r="K1024" s="40">
        <v>216720</v>
      </c>
      <c r="L1024" s="41">
        <f t="shared" si="0"/>
        <v>0</v>
      </c>
      <c r="M1024" s="41">
        <f t="shared" si="1"/>
        <v>13003.199999999999</v>
      </c>
      <c r="N1024" s="41">
        <f t="shared" si="2"/>
        <v>13003.199999999999</v>
      </c>
      <c r="O1024" s="41">
        <v>0</v>
      </c>
      <c r="P1024" s="42">
        <f t="shared" si="3"/>
        <v>242726.39999999999</v>
      </c>
      <c r="Q1024" s="34" t="s">
        <v>25</v>
      </c>
      <c r="R1024" s="34" t="str">
        <f>VLOOKUP(C1024,'SALE PARTY MASTER'!$B$4:$E$500,4,FALSE)</f>
        <v>Local</v>
      </c>
      <c r="S1024" s="11" t="s">
        <v>4105</v>
      </c>
    </row>
    <row r="1025" spans="1:19" x14ac:dyDescent="0.2">
      <c r="A1025" s="51">
        <v>43739</v>
      </c>
      <c r="B1025" s="34">
        <v>31</v>
      </c>
      <c r="C1025" s="35" t="s">
        <v>102</v>
      </c>
      <c r="D1025" s="34" t="str">
        <f>VLOOKUP(C1025,'SALE PARTY MASTER'!$B$4:$E$500,2,FALSE)</f>
        <v>23AABCE9378F1ZK</v>
      </c>
      <c r="E1025" s="34" t="s">
        <v>22</v>
      </c>
      <c r="F1025" s="36" t="s">
        <v>2402</v>
      </c>
      <c r="G1025" s="37">
        <v>43747</v>
      </c>
      <c r="H1025" s="38">
        <v>87081090</v>
      </c>
      <c r="I1025" s="39">
        <f>VLOOKUP(H1025,'SALE HSN MASTER'!$A$4:$E$5001,5,FALSE)</f>
        <v>28</v>
      </c>
      <c r="J1025" s="38">
        <v>50</v>
      </c>
      <c r="K1025" s="40">
        <v>16285.5</v>
      </c>
      <c r="L1025" s="41">
        <f t="shared" si="0"/>
        <v>4559.9399999999996</v>
      </c>
      <c r="M1025" s="41">
        <f t="shared" si="1"/>
        <v>0</v>
      </c>
      <c r="N1025" s="41">
        <f t="shared" si="2"/>
        <v>0</v>
      </c>
      <c r="O1025" s="41">
        <v>0</v>
      </c>
      <c r="P1025" s="42">
        <f t="shared" si="3"/>
        <v>20845.439999999999</v>
      </c>
      <c r="Q1025" s="34" t="s">
        <v>25</v>
      </c>
      <c r="R1025" s="34" t="str">
        <f>VLOOKUP(C1025,'SALE PARTY MASTER'!$B$4:$E$500,4,FALSE)</f>
        <v>Oms</v>
      </c>
      <c r="S1025" s="11" t="s">
        <v>4105</v>
      </c>
    </row>
    <row r="1026" spans="1:19" x14ac:dyDescent="0.2">
      <c r="A1026" s="51">
        <v>43739</v>
      </c>
      <c r="B1026" s="34">
        <v>32</v>
      </c>
      <c r="C1026" s="35" t="s">
        <v>155</v>
      </c>
      <c r="D1026" s="34" t="str">
        <f>VLOOKUP(C1026,'SALE PARTY MASTER'!$B$4:$E$500,2,FALSE)</f>
        <v>27AAGCP0139E1ZP</v>
      </c>
      <c r="E1026" s="34" t="s">
        <v>22</v>
      </c>
      <c r="F1026" s="36" t="s">
        <v>2403</v>
      </c>
      <c r="G1026" s="37">
        <v>43747</v>
      </c>
      <c r="H1026" s="38">
        <v>87141090</v>
      </c>
      <c r="I1026" s="39">
        <f>VLOOKUP(H1026,'SALE HSN MASTER'!$A$4:$E$5001,5,FALSE)</f>
        <v>28</v>
      </c>
      <c r="J1026" s="38">
        <v>600</v>
      </c>
      <c r="K1026" s="40">
        <v>45222</v>
      </c>
      <c r="L1026" s="41">
        <f t="shared" si="0"/>
        <v>0</v>
      </c>
      <c r="M1026" s="41">
        <f t="shared" si="1"/>
        <v>6331.08</v>
      </c>
      <c r="N1026" s="41">
        <f t="shared" si="2"/>
        <v>6331.08</v>
      </c>
      <c r="O1026" s="41">
        <v>0</v>
      </c>
      <c r="P1026" s="42">
        <f t="shared" si="3"/>
        <v>57884.160000000003</v>
      </c>
      <c r="Q1026" s="34" t="s">
        <v>25</v>
      </c>
      <c r="R1026" s="34" t="str">
        <f>VLOOKUP(C1026,'SALE PARTY MASTER'!$B$4:$E$500,4,FALSE)</f>
        <v>Local</v>
      </c>
      <c r="S1026" s="11" t="s">
        <v>4105</v>
      </c>
    </row>
    <row r="1027" spans="1:19" x14ac:dyDescent="0.2">
      <c r="A1027" s="51">
        <v>43739</v>
      </c>
      <c r="B1027" s="34">
        <v>33</v>
      </c>
      <c r="C1027" s="35" t="s">
        <v>155</v>
      </c>
      <c r="D1027" s="34" t="str">
        <f>VLOOKUP(C1027,'SALE PARTY MASTER'!$B$4:$E$500,2,FALSE)</f>
        <v>27AAGCP0139E1ZP</v>
      </c>
      <c r="E1027" s="34" t="s">
        <v>22</v>
      </c>
      <c r="F1027" s="36" t="s">
        <v>2404</v>
      </c>
      <c r="G1027" s="37">
        <v>43747</v>
      </c>
      <c r="H1027" s="38">
        <v>87141090</v>
      </c>
      <c r="I1027" s="39">
        <f>VLOOKUP(H1027,'SALE HSN MASTER'!$A$4:$E$5001,5,FALSE)</f>
        <v>28</v>
      </c>
      <c r="J1027" s="38">
        <v>600</v>
      </c>
      <c r="K1027" s="40">
        <v>28218</v>
      </c>
      <c r="L1027" s="41">
        <f t="shared" si="0"/>
        <v>0</v>
      </c>
      <c r="M1027" s="41">
        <f t="shared" si="1"/>
        <v>3950.52</v>
      </c>
      <c r="N1027" s="41">
        <f t="shared" si="2"/>
        <v>3950.52</v>
      </c>
      <c r="O1027" s="41">
        <v>0</v>
      </c>
      <c r="P1027" s="42">
        <f t="shared" si="3"/>
        <v>36119.040000000001</v>
      </c>
      <c r="Q1027" s="34" t="s">
        <v>25</v>
      </c>
      <c r="R1027" s="34" t="str">
        <f>VLOOKUP(C1027,'SALE PARTY MASTER'!$B$4:$E$500,4,FALSE)</f>
        <v>Local</v>
      </c>
      <c r="S1027" s="11" t="s">
        <v>4105</v>
      </c>
    </row>
    <row r="1028" spans="1:19" x14ac:dyDescent="0.2">
      <c r="A1028" s="51">
        <v>43739</v>
      </c>
      <c r="B1028" s="34">
        <v>34</v>
      </c>
      <c r="C1028" s="35" t="s">
        <v>167</v>
      </c>
      <c r="D1028" s="34" t="str">
        <f>VLOOKUP(C1028,'SALE PARTY MASTER'!$B$4:$E$500,2,FALSE)</f>
        <v>27AABFP3834C1ZK</v>
      </c>
      <c r="E1028" s="34" t="s">
        <v>22</v>
      </c>
      <c r="F1028" s="36" t="s">
        <v>2405</v>
      </c>
      <c r="G1028" s="37">
        <v>43747</v>
      </c>
      <c r="H1028" s="38">
        <v>87141900</v>
      </c>
      <c r="I1028" s="39">
        <f>VLOOKUP(H1028,'SALE HSN MASTER'!$A$4:$E$5001,5,FALSE)</f>
        <v>28</v>
      </c>
      <c r="J1028" s="38">
        <v>2330</v>
      </c>
      <c r="K1028" s="40">
        <v>26049.3</v>
      </c>
      <c r="L1028" s="41">
        <f t="shared" si="0"/>
        <v>0</v>
      </c>
      <c r="M1028" s="41">
        <f t="shared" si="1"/>
        <v>3646.902</v>
      </c>
      <c r="N1028" s="41">
        <f t="shared" si="2"/>
        <v>3646.902</v>
      </c>
      <c r="O1028" s="41">
        <v>0</v>
      </c>
      <c r="P1028" s="42">
        <f t="shared" si="3"/>
        <v>33343.103999999999</v>
      </c>
      <c r="Q1028" s="34" t="s">
        <v>25</v>
      </c>
      <c r="R1028" s="34" t="str">
        <f>VLOOKUP(C1028,'SALE PARTY MASTER'!$B$4:$E$500,4,FALSE)</f>
        <v>Local</v>
      </c>
      <c r="S1028" s="11" t="s">
        <v>4105</v>
      </c>
    </row>
    <row r="1029" spans="1:19" x14ac:dyDescent="0.2">
      <c r="A1029" s="51">
        <v>43739</v>
      </c>
      <c r="B1029" s="34">
        <v>35</v>
      </c>
      <c r="C1029" s="35" t="s">
        <v>45</v>
      </c>
      <c r="D1029" s="34" t="str">
        <f>VLOOKUP(C1029,'SALE PARTY MASTER'!$B$4:$E$500,2,FALSE)</f>
        <v>27AAACD4090Q1Z8</v>
      </c>
      <c r="E1029" s="34" t="s">
        <v>22</v>
      </c>
      <c r="F1029" s="36" t="s">
        <v>2406</v>
      </c>
      <c r="G1029" s="37">
        <v>43747</v>
      </c>
      <c r="H1029" s="38">
        <v>85129000</v>
      </c>
      <c r="I1029" s="39">
        <f>VLOOKUP(H1029,'SALE HSN MASTER'!$A$4:$E$5001,5,FALSE)</f>
        <v>18</v>
      </c>
      <c r="J1029" s="38">
        <v>954</v>
      </c>
      <c r="K1029" s="40">
        <v>116397.54</v>
      </c>
      <c r="L1029" s="41">
        <f t="shared" si="0"/>
        <v>0</v>
      </c>
      <c r="M1029" s="41">
        <f t="shared" si="1"/>
        <v>10475.7786</v>
      </c>
      <c r="N1029" s="41">
        <f t="shared" si="2"/>
        <v>10475.7786</v>
      </c>
      <c r="O1029" s="41">
        <v>0</v>
      </c>
      <c r="P1029" s="42">
        <f t="shared" si="3"/>
        <v>137349.09719999999</v>
      </c>
      <c r="Q1029" s="34" t="s">
        <v>25</v>
      </c>
      <c r="R1029" s="34" t="str">
        <f>VLOOKUP(C1029,'SALE PARTY MASTER'!$B$4:$E$500,4,FALSE)</f>
        <v>Local</v>
      </c>
      <c r="S1029" s="11" t="s">
        <v>4105</v>
      </c>
    </row>
    <row r="1030" spans="1:19" x14ac:dyDescent="0.2">
      <c r="A1030" s="51">
        <v>43739</v>
      </c>
      <c r="B1030" s="34">
        <v>36</v>
      </c>
      <c r="C1030" s="35" t="s">
        <v>49</v>
      </c>
      <c r="D1030" s="34" t="str">
        <f>VLOOKUP(C1030,'SALE PARTY MASTER'!$B$4:$E$500,2,FALSE)</f>
        <v>27AABFJ4217F1ZP</v>
      </c>
      <c r="E1030" s="34" t="s">
        <v>22</v>
      </c>
      <c r="F1030" s="36" t="s">
        <v>2407</v>
      </c>
      <c r="G1030" s="37">
        <v>43748</v>
      </c>
      <c r="H1030" s="38" t="s">
        <v>2425</v>
      </c>
      <c r="I1030" s="39">
        <f>VLOOKUP(H1030,'SALE HSN MASTER'!$A$4:$E$5001,5,FALSE)</f>
        <v>12</v>
      </c>
      <c r="J1030" s="38">
        <v>30</v>
      </c>
      <c r="K1030" s="40">
        <v>8524.2000000000007</v>
      </c>
      <c r="L1030" s="41">
        <f t="shared" si="0"/>
        <v>0</v>
      </c>
      <c r="M1030" s="41">
        <f t="shared" si="1"/>
        <v>511.452</v>
      </c>
      <c r="N1030" s="41">
        <f t="shared" si="2"/>
        <v>511.452</v>
      </c>
      <c r="O1030" s="41">
        <v>0</v>
      </c>
      <c r="P1030" s="42">
        <f t="shared" si="3"/>
        <v>9547.1040000000012</v>
      </c>
      <c r="Q1030" s="34" t="s">
        <v>25</v>
      </c>
      <c r="R1030" s="34" t="str">
        <f>VLOOKUP(C1030,'SALE PARTY MASTER'!$B$4:$E$500,4,FALSE)</f>
        <v>Local</v>
      </c>
      <c r="S1030" s="11" t="s">
        <v>4105</v>
      </c>
    </row>
    <row r="1031" spans="1:19" x14ac:dyDescent="0.2">
      <c r="A1031" s="51">
        <v>43739</v>
      </c>
      <c r="B1031" s="34">
        <v>37</v>
      </c>
      <c r="C1031" s="35" t="s">
        <v>167</v>
      </c>
      <c r="D1031" s="34" t="str">
        <f>VLOOKUP(C1031,'SALE PARTY MASTER'!$B$4:$E$500,2,FALSE)</f>
        <v>27AABFP3834C1ZK</v>
      </c>
      <c r="E1031" s="34" t="s">
        <v>22</v>
      </c>
      <c r="F1031" s="36" t="s">
        <v>2408</v>
      </c>
      <c r="G1031" s="37">
        <v>43748</v>
      </c>
      <c r="H1031" s="38">
        <v>87141900</v>
      </c>
      <c r="I1031" s="39">
        <f>VLOOKUP(H1031,'SALE HSN MASTER'!$A$4:$E$5001,5,FALSE)</f>
        <v>28</v>
      </c>
      <c r="J1031" s="38">
        <v>2530</v>
      </c>
      <c r="K1031" s="40">
        <v>31894.9</v>
      </c>
      <c r="L1031" s="41">
        <f t="shared" si="0"/>
        <v>0</v>
      </c>
      <c r="M1031" s="41">
        <f t="shared" si="1"/>
        <v>4465.2860000000001</v>
      </c>
      <c r="N1031" s="41">
        <f t="shared" si="2"/>
        <v>4465.2860000000001</v>
      </c>
      <c r="O1031" s="41">
        <v>0</v>
      </c>
      <c r="P1031" s="42">
        <f t="shared" si="3"/>
        <v>40825.472000000002</v>
      </c>
      <c r="Q1031" s="34" t="s">
        <v>25</v>
      </c>
      <c r="R1031" s="34" t="str">
        <f>VLOOKUP(C1031,'SALE PARTY MASTER'!$B$4:$E$500,4,FALSE)</f>
        <v>Local</v>
      </c>
      <c r="S1031" s="11" t="s">
        <v>4105</v>
      </c>
    </row>
    <row r="1032" spans="1:19" x14ac:dyDescent="0.2">
      <c r="A1032" s="51">
        <v>43739</v>
      </c>
      <c r="B1032" s="34">
        <v>38</v>
      </c>
      <c r="C1032" s="35" t="s">
        <v>155</v>
      </c>
      <c r="D1032" s="34" t="str">
        <f>VLOOKUP(C1032,'SALE PARTY MASTER'!$B$4:$E$500,2,FALSE)</f>
        <v>27AAGCP0139E1ZP</v>
      </c>
      <c r="E1032" s="34" t="s">
        <v>22</v>
      </c>
      <c r="F1032" s="36" t="s">
        <v>2409</v>
      </c>
      <c r="G1032" s="37">
        <v>43748</v>
      </c>
      <c r="H1032" s="38">
        <v>87141090</v>
      </c>
      <c r="I1032" s="39">
        <f>VLOOKUP(H1032,'SALE HSN MASTER'!$A$4:$E$5001,5,FALSE)</f>
        <v>28</v>
      </c>
      <c r="J1032" s="38">
        <v>500</v>
      </c>
      <c r="K1032" s="40">
        <v>37685</v>
      </c>
      <c r="L1032" s="41">
        <f t="shared" si="0"/>
        <v>0</v>
      </c>
      <c r="M1032" s="41">
        <f t="shared" si="1"/>
        <v>5275.9000000000005</v>
      </c>
      <c r="N1032" s="41">
        <f t="shared" si="2"/>
        <v>5275.9000000000005</v>
      </c>
      <c r="O1032" s="41">
        <v>0</v>
      </c>
      <c r="P1032" s="42">
        <f t="shared" si="3"/>
        <v>48236.800000000003</v>
      </c>
      <c r="Q1032" s="34" t="s">
        <v>25</v>
      </c>
      <c r="R1032" s="34" t="str">
        <f>VLOOKUP(C1032,'SALE PARTY MASTER'!$B$4:$E$500,4,FALSE)</f>
        <v>Local</v>
      </c>
      <c r="S1032" s="11" t="s">
        <v>4105</v>
      </c>
    </row>
    <row r="1033" spans="1:19" x14ac:dyDescent="0.2">
      <c r="A1033" s="51">
        <v>43739</v>
      </c>
      <c r="B1033" s="34">
        <v>39</v>
      </c>
      <c r="C1033" s="35" t="s">
        <v>155</v>
      </c>
      <c r="D1033" s="34" t="str">
        <f>VLOOKUP(C1033,'SALE PARTY MASTER'!$B$4:$E$500,2,FALSE)</f>
        <v>27AAGCP0139E1ZP</v>
      </c>
      <c r="E1033" s="34" t="s">
        <v>22</v>
      </c>
      <c r="F1033" s="36" t="s">
        <v>2410</v>
      </c>
      <c r="G1033" s="37">
        <v>43748</v>
      </c>
      <c r="H1033" s="38">
        <v>87141090</v>
      </c>
      <c r="I1033" s="39">
        <f>VLOOKUP(H1033,'SALE HSN MASTER'!$A$4:$E$5001,5,FALSE)</f>
        <v>28</v>
      </c>
      <c r="J1033" s="38">
        <v>420</v>
      </c>
      <c r="K1033" s="40">
        <v>19752.599999999999</v>
      </c>
      <c r="L1033" s="41">
        <f t="shared" si="0"/>
        <v>0</v>
      </c>
      <c r="M1033" s="41">
        <f t="shared" si="1"/>
        <v>2765.3639999999996</v>
      </c>
      <c r="N1033" s="41">
        <f t="shared" si="2"/>
        <v>2765.3639999999996</v>
      </c>
      <c r="O1033" s="41">
        <v>0</v>
      </c>
      <c r="P1033" s="42">
        <f t="shared" si="3"/>
        <v>25283.327999999998</v>
      </c>
      <c r="Q1033" s="34" t="s">
        <v>25</v>
      </c>
      <c r="R1033" s="34" t="str">
        <f>VLOOKUP(C1033,'SALE PARTY MASTER'!$B$4:$E$500,4,FALSE)</f>
        <v>Local</v>
      </c>
      <c r="S1033" s="11" t="s">
        <v>4105</v>
      </c>
    </row>
    <row r="1034" spans="1:19" x14ac:dyDescent="0.2">
      <c r="A1034" s="51">
        <v>43739</v>
      </c>
      <c r="B1034" s="34">
        <v>40</v>
      </c>
      <c r="C1034" s="35" t="s">
        <v>124</v>
      </c>
      <c r="D1034" s="34" t="str">
        <f>VLOOKUP(C1034,'SALE PARTY MASTER'!$B$4:$E$500,2,FALSE)</f>
        <v>27AAACB2484Q1Z8</v>
      </c>
      <c r="E1034" s="34" t="s">
        <v>22</v>
      </c>
      <c r="F1034" s="36" t="s">
        <v>2411</v>
      </c>
      <c r="G1034" s="37">
        <v>43748</v>
      </c>
      <c r="H1034" s="38" t="s">
        <v>2425</v>
      </c>
      <c r="I1034" s="39">
        <f>VLOOKUP(H1034,'SALE HSN MASTER'!$A$4:$E$5001,5,FALSE)</f>
        <v>12</v>
      </c>
      <c r="J1034" s="38">
        <v>846</v>
      </c>
      <c r="K1034" s="40">
        <v>73728</v>
      </c>
      <c r="L1034" s="41">
        <f t="shared" si="0"/>
        <v>0</v>
      </c>
      <c r="M1034" s="41">
        <f t="shared" si="1"/>
        <v>4423.68</v>
      </c>
      <c r="N1034" s="41">
        <f t="shared" si="2"/>
        <v>4423.68</v>
      </c>
      <c r="O1034" s="41">
        <v>0</v>
      </c>
      <c r="P1034" s="42">
        <f t="shared" si="3"/>
        <v>82575.360000000001</v>
      </c>
      <c r="Q1034" s="34" t="s">
        <v>25</v>
      </c>
      <c r="R1034" s="34" t="str">
        <f>VLOOKUP(C1034,'SALE PARTY MASTER'!$B$4:$E$500,4,FALSE)</f>
        <v>Local</v>
      </c>
      <c r="S1034" s="11" t="s">
        <v>4105</v>
      </c>
    </row>
    <row r="1035" spans="1:19" x14ac:dyDescent="0.2">
      <c r="A1035" s="51">
        <v>43739</v>
      </c>
      <c r="B1035" s="34">
        <v>41</v>
      </c>
      <c r="C1035" s="35" t="s">
        <v>167</v>
      </c>
      <c r="D1035" s="34" t="str">
        <f>VLOOKUP(C1035,'SALE PARTY MASTER'!$B$4:$E$500,2,FALSE)</f>
        <v>27AABFP3834C1ZK</v>
      </c>
      <c r="E1035" s="34" t="s">
        <v>22</v>
      </c>
      <c r="F1035" s="36" t="s">
        <v>2412</v>
      </c>
      <c r="G1035" s="37">
        <v>43749</v>
      </c>
      <c r="H1035" s="38">
        <v>87141900</v>
      </c>
      <c r="I1035" s="39">
        <f>VLOOKUP(H1035,'SALE HSN MASTER'!$A$4:$E$5001,5,FALSE)</f>
        <v>28</v>
      </c>
      <c r="J1035" s="38">
        <v>2400</v>
      </c>
      <c r="K1035" s="40">
        <v>28864</v>
      </c>
      <c r="L1035" s="41">
        <f t="shared" si="0"/>
        <v>0</v>
      </c>
      <c r="M1035" s="41">
        <f t="shared" si="1"/>
        <v>4040.96</v>
      </c>
      <c r="N1035" s="41">
        <f t="shared" si="2"/>
        <v>4040.96</v>
      </c>
      <c r="O1035" s="41">
        <v>0</v>
      </c>
      <c r="P1035" s="42">
        <f t="shared" si="3"/>
        <v>36945.919999999998</v>
      </c>
      <c r="Q1035" s="34" t="s">
        <v>25</v>
      </c>
      <c r="R1035" s="34" t="str">
        <f>VLOOKUP(C1035,'SALE PARTY MASTER'!$B$4:$E$500,4,FALSE)</f>
        <v>Local</v>
      </c>
      <c r="S1035" s="11" t="s">
        <v>4105</v>
      </c>
    </row>
    <row r="1036" spans="1:19" x14ac:dyDescent="0.2">
      <c r="A1036" s="51">
        <v>43739</v>
      </c>
      <c r="B1036" s="34">
        <v>42</v>
      </c>
      <c r="C1036" s="35" t="s">
        <v>155</v>
      </c>
      <c r="D1036" s="34" t="str">
        <f>VLOOKUP(C1036,'SALE PARTY MASTER'!$B$4:$E$500,2,FALSE)</f>
        <v>27AAGCP0139E1ZP</v>
      </c>
      <c r="E1036" s="34" t="s">
        <v>22</v>
      </c>
      <c r="F1036" s="36" t="s">
        <v>2413</v>
      </c>
      <c r="G1036" s="37">
        <v>43749</v>
      </c>
      <c r="H1036" s="38">
        <v>87141090</v>
      </c>
      <c r="I1036" s="39">
        <f>VLOOKUP(H1036,'SALE HSN MASTER'!$A$4:$E$5001,5,FALSE)</f>
        <v>28</v>
      </c>
      <c r="J1036" s="38">
        <v>500</v>
      </c>
      <c r="K1036" s="40">
        <v>37685</v>
      </c>
      <c r="L1036" s="41">
        <f t="shared" si="0"/>
        <v>0</v>
      </c>
      <c r="M1036" s="41">
        <f t="shared" si="1"/>
        <v>5275.9000000000005</v>
      </c>
      <c r="N1036" s="41">
        <f t="shared" si="2"/>
        <v>5275.9000000000005</v>
      </c>
      <c r="O1036" s="41">
        <v>0</v>
      </c>
      <c r="P1036" s="42">
        <f t="shared" si="3"/>
        <v>48236.800000000003</v>
      </c>
      <c r="Q1036" s="34" t="s">
        <v>25</v>
      </c>
      <c r="R1036" s="34" t="str">
        <f>VLOOKUP(C1036,'SALE PARTY MASTER'!$B$4:$E$500,4,FALSE)</f>
        <v>Local</v>
      </c>
      <c r="S1036" s="11" t="s">
        <v>4105</v>
      </c>
    </row>
    <row r="1037" spans="1:19" x14ac:dyDescent="0.2">
      <c r="A1037" s="51">
        <v>43739</v>
      </c>
      <c r="B1037" s="34">
        <v>43</v>
      </c>
      <c r="C1037" s="35" t="s">
        <v>73</v>
      </c>
      <c r="D1037" s="34" t="str">
        <f>VLOOKUP(C1037,'SALE PARTY MASTER'!$B$4:$E$500,2,FALSE)</f>
        <v>27AAACH4211R1ZF</v>
      </c>
      <c r="E1037" s="34" t="s">
        <v>22</v>
      </c>
      <c r="F1037" s="36" t="s">
        <v>2414</v>
      </c>
      <c r="G1037" s="37">
        <v>43750</v>
      </c>
      <c r="H1037" s="38">
        <v>85129000</v>
      </c>
      <c r="I1037" s="39">
        <f>VLOOKUP(H1037,'SALE HSN MASTER'!$A$4:$E$5001,5,FALSE)</f>
        <v>18</v>
      </c>
      <c r="J1037" s="38">
        <v>3360</v>
      </c>
      <c r="K1037" s="40">
        <v>84000</v>
      </c>
      <c r="L1037" s="41">
        <f t="shared" si="0"/>
        <v>0</v>
      </c>
      <c r="M1037" s="41">
        <f t="shared" si="1"/>
        <v>7560</v>
      </c>
      <c r="N1037" s="41">
        <f t="shared" si="2"/>
        <v>7560</v>
      </c>
      <c r="O1037" s="41">
        <v>0</v>
      </c>
      <c r="P1037" s="42">
        <f t="shared" si="3"/>
        <v>99120</v>
      </c>
      <c r="Q1037" s="34" t="s">
        <v>25</v>
      </c>
      <c r="R1037" s="34" t="str">
        <f>VLOOKUP(C1037,'SALE PARTY MASTER'!$B$4:$E$500,4,FALSE)</f>
        <v>Local</v>
      </c>
      <c r="S1037" s="11" t="s">
        <v>4105</v>
      </c>
    </row>
    <row r="1038" spans="1:19" x14ac:dyDescent="0.2">
      <c r="A1038" s="51">
        <v>43739</v>
      </c>
      <c r="B1038" s="34">
        <v>44</v>
      </c>
      <c r="C1038" s="35" t="s">
        <v>37</v>
      </c>
      <c r="D1038" s="34" t="str">
        <f>VLOOKUP(C1038,'SALE PARTY MASTER'!$B$4:$E$500,2,FALSE)</f>
        <v>27AAGCM1258H1ZG</v>
      </c>
      <c r="E1038" s="34" t="s">
        <v>22</v>
      </c>
      <c r="F1038" s="36" t="s">
        <v>2415</v>
      </c>
      <c r="G1038" s="37">
        <v>43750</v>
      </c>
      <c r="H1038" s="38" t="s">
        <v>2425</v>
      </c>
      <c r="I1038" s="39">
        <f>VLOOKUP(H1038,'SALE HSN MASTER'!$A$4:$E$5001,5,FALSE)</f>
        <v>12</v>
      </c>
      <c r="J1038" s="38">
        <v>112</v>
      </c>
      <c r="K1038" s="40">
        <v>21280</v>
      </c>
      <c r="L1038" s="41">
        <f t="shared" si="0"/>
        <v>0</v>
      </c>
      <c r="M1038" s="41">
        <f t="shared" si="1"/>
        <v>1276.8000000000002</v>
      </c>
      <c r="N1038" s="41">
        <f t="shared" si="2"/>
        <v>1276.8000000000002</v>
      </c>
      <c r="O1038" s="41">
        <v>0</v>
      </c>
      <c r="P1038" s="42">
        <f t="shared" si="3"/>
        <v>23833.599999999999</v>
      </c>
      <c r="Q1038" s="34" t="s">
        <v>25</v>
      </c>
      <c r="R1038" s="34" t="str">
        <f>VLOOKUP(C1038,'SALE PARTY MASTER'!$B$4:$E$500,4,FALSE)</f>
        <v>Local</v>
      </c>
      <c r="S1038" s="11" t="s">
        <v>4105</v>
      </c>
    </row>
    <row r="1039" spans="1:19" x14ac:dyDescent="0.2">
      <c r="A1039" s="51">
        <v>43739</v>
      </c>
      <c r="B1039" s="34">
        <v>45</v>
      </c>
      <c r="C1039" s="35" t="s">
        <v>40</v>
      </c>
      <c r="D1039" s="34" t="str">
        <f>VLOOKUP(C1039,'SALE PARTY MASTER'!$B$4:$E$500,2,FALSE)</f>
        <v>27AAACT1848E1ZH</v>
      </c>
      <c r="E1039" s="34" t="s">
        <v>22</v>
      </c>
      <c r="F1039" s="36" t="s">
        <v>2416</v>
      </c>
      <c r="G1039" s="37">
        <v>43752</v>
      </c>
      <c r="H1039" s="38">
        <v>87089900</v>
      </c>
      <c r="I1039" s="39">
        <f>VLOOKUP(H1039,'SALE HSN MASTER'!$A$4:$E$5001,5,FALSE)</f>
        <v>28</v>
      </c>
      <c r="J1039" s="38">
        <v>62</v>
      </c>
      <c r="K1039" s="40">
        <v>32250.9</v>
      </c>
      <c r="L1039" s="41">
        <f t="shared" si="0"/>
        <v>0</v>
      </c>
      <c r="M1039" s="41">
        <f t="shared" si="1"/>
        <v>4515.1260000000002</v>
      </c>
      <c r="N1039" s="41">
        <f t="shared" si="2"/>
        <v>4515.1260000000002</v>
      </c>
      <c r="O1039" s="41">
        <v>0</v>
      </c>
      <c r="P1039" s="42">
        <f t="shared" si="3"/>
        <v>41281.152000000002</v>
      </c>
      <c r="Q1039" s="34" t="s">
        <v>25</v>
      </c>
      <c r="R1039" s="34" t="str">
        <f>VLOOKUP(C1039,'SALE PARTY MASTER'!$B$4:$E$500,4,FALSE)</f>
        <v>Local</v>
      </c>
      <c r="S1039" s="11" t="s">
        <v>4105</v>
      </c>
    </row>
    <row r="1040" spans="1:19" x14ac:dyDescent="0.2">
      <c r="A1040" s="51">
        <v>43739</v>
      </c>
      <c r="B1040" s="34">
        <v>46</v>
      </c>
      <c r="C1040" s="35" t="s">
        <v>124</v>
      </c>
      <c r="D1040" s="34" t="str">
        <f>VLOOKUP(C1040,'SALE PARTY MASTER'!$B$4:$E$500,2,FALSE)</f>
        <v>27AAACB2484Q1Z8</v>
      </c>
      <c r="E1040" s="34" t="s">
        <v>22</v>
      </c>
      <c r="F1040" s="36" t="s">
        <v>2417</v>
      </c>
      <c r="G1040" s="37">
        <v>43752</v>
      </c>
      <c r="H1040" s="38" t="s">
        <v>2425</v>
      </c>
      <c r="I1040" s="39">
        <f>VLOOKUP(H1040,'SALE HSN MASTER'!$A$4:$E$5001,5,FALSE)</f>
        <v>12</v>
      </c>
      <c r="J1040" s="38">
        <v>1080</v>
      </c>
      <c r="K1040" s="40">
        <v>92880</v>
      </c>
      <c r="L1040" s="41">
        <f t="shared" si="0"/>
        <v>0</v>
      </c>
      <c r="M1040" s="41">
        <f t="shared" si="1"/>
        <v>5572.7999999999993</v>
      </c>
      <c r="N1040" s="41">
        <f t="shared" si="2"/>
        <v>5572.7999999999993</v>
      </c>
      <c r="O1040" s="41">
        <v>0</v>
      </c>
      <c r="P1040" s="42">
        <f t="shared" si="3"/>
        <v>104025.60000000001</v>
      </c>
      <c r="Q1040" s="34" t="s">
        <v>25</v>
      </c>
      <c r="R1040" s="34" t="str">
        <f>VLOOKUP(C1040,'SALE PARTY MASTER'!$B$4:$E$500,4,FALSE)</f>
        <v>Local</v>
      </c>
      <c r="S1040" s="11" t="s">
        <v>4105</v>
      </c>
    </row>
    <row r="1041" spans="1:19" x14ac:dyDescent="0.2">
      <c r="A1041" s="51">
        <v>43739</v>
      </c>
      <c r="B1041" s="34">
        <v>47</v>
      </c>
      <c r="C1041" s="35" t="s">
        <v>124</v>
      </c>
      <c r="D1041" s="34" t="str">
        <f>VLOOKUP(C1041,'SALE PARTY MASTER'!$B$4:$E$500,2,FALSE)</f>
        <v>27AAACB2484Q1Z8</v>
      </c>
      <c r="E1041" s="34" t="s">
        <v>22</v>
      </c>
      <c r="F1041" s="36" t="s">
        <v>2418</v>
      </c>
      <c r="G1041" s="37">
        <v>43752</v>
      </c>
      <c r="H1041" s="38" t="s">
        <v>2425</v>
      </c>
      <c r="I1041" s="39">
        <f>VLOOKUP(H1041,'SALE HSN MASTER'!$A$4:$E$5001,5,FALSE)</f>
        <v>12</v>
      </c>
      <c r="J1041" s="38">
        <v>630</v>
      </c>
      <c r="K1041" s="40">
        <v>54180</v>
      </c>
      <c r="L1041" s="41">
        <f t="shared" si="0"/>
        <v>0</v>
      </c>
      <c r="M1041" s="41">
        <f t="shared" si="1"/>
        <v>3250.7999999999997</v>
      </c>
      <c r="N1041" s="41">
        <f t="shared" si="2"/>
        <v>3250.7999999999997</v>
      </c>
      <c r="O1041" s="41">
        <v>0</v>
      </c>
      <c r="P1041" s="42">
        <f t="shared" si="3"/>
        <v>60681.599999999999</v>
      </c>
      <c r="Q1041" s="34" t="s">
        <v>25</v>
      </c>
      <c r="R1041" s="34" t="str">
        <f>VLOOKUP(C1041,'SALE PARTY MASTER'!$B$4:$E$500,4,FALSE)</f>
        <v>Local</v>
      </c>
      <c r="S1041" s="11" t="s">
        <v>4105</v>
      </c>
    </row>
    <row r="1042" spans="1:19" x14ac:dyDescent="0.2">
      <c r="A1042" s="51">
        <v>43739</v>
      </c>
      <c r="B1042" s="34">
        <v>48</v>
      </c>
      <c r="C1042" s="35" t="s">
        <v>167</v>
      </c>
      <c r="D1042" s="34" t="str">
        <f>VLOOKUP(C1042,'SALE PARTY MASTER'!$B$4:$E$500,2,FALSE)</f>
        <v>27AABFP3834C1ZK</v>
      </c>
      <c r="E1042" s="34" t="s">
        <v>22</v>
      </c>
      <c r="F1042" s="36" t="s">
        <v>2419</v>
      </c>
      <c r="G1042" s="37">
        <v>43752</v>
      </c>
      <c r="H1042" s="38">
        <v>87141900</v>
      </c>
      <c r="I1042" s="39">
        <f>VLOOKUP(H1042,'SALE HSN MASTER'!$A$4:$E$5001,5,FALSE)</f>
        <v>28</v>
      </c>
      <c r="J1042" s="38">
        <v>2470</v>
      </c>
      <c r="K1042" s="40">
        <v>29125.1</v>
      </c>
      <c r="L1042" s="41">
        <f t="shared" si="0"/>
        <v>0</v>
      </c>
      <c r="M1042" s="41">
        <f t="shared" si="1"/>
        <v>4077.5139999999997</v>
      </c>
      <c r="N1042" s="41">
        <f t="shared" si="2"/>
        <v>4077.5139999999997</v>
      </c>
      <c r="O1042" s="41">
        <v>0</v>
      </c>
      <c r="P1042" s="42">
        <f t="shared" si="3"/>
        <v>37280.127999999997</v>
      </c>
      <c r="Q1042" s="34" t="s">
        <v>25</v>
      </c>
      <c r="R1042" s="34" t="str">
        <f>VLOOKUP(C1042,'SALE PARTY MASTER'!$B$4:$E$500,4,FALSE)</f>
        <v>Local</v>
      </c>
      <c r="S1042" s="11" t="s">
        <v>4105</v>
      </c>
    </row>
    <row r="1043" spans="1:19" x14ac:dyDescent="0.2">
      <c r="A1043" s="51">
        <v>43739</v>
      </c>
      <c r="B1043" s="34">
        <v>49</v>
      </c>
      <c r="C1043" s="35" t="s">
        <v>102</v>
      </c>
      <c r="D1043" s="34" t="str">
        <f>VLOOKUP(C1043,'SALE PARTY MASTER'!$B$4:$E$500,2,FALSE)</f>
        <v>23AABCE9378F1ZK</v>
      </c>
      <c r="E1043" s="34" t="s">
        <v>22</v>
      </c>
      <c r="F1043" s="36" t="s">
        <v>2420</v>
      </c>
      <c r="G1043" s="37">
        <v>43752</v>
      </c>
      <c r="H1043" s="38">
        <v>87081090</v>
      </c>
      <c r="I1043" s="39">
        <f>VLOOKUP(H1043,'SALE HSN MASTER'!$A$4:$E$5001,5,FALSE)</f>
        <v>28</v>
      </c>
      <c r="J1043" s="38">
        <v>55</v>
      </c>
      <c r="K1043" s="40">
        <v>51635.1</v>
      </c>
      <c r="L1043" s="41">
        <f t="shared" si="0"/>
        <v>14457.828</v>
      </c>
      <c r="M1043" s="41">
        <f t="shared" si="1"/>
        <v>0</v>
      </c>
      <c r="N1043" s="41">
        <f t="shared" si="2"/>
        <v>0</v>
      </c>
      <c r="O1043" s="41">
        <v>0</v>
      </c>
      <c r="P1043" s="42">
        <f t="shared" si="3"/>
        <v>66092.928</v>
      </c>
      <c r="Q1043" s="34" t="s">
        <v>25</v>
      </c>
      <c r="R1043" s="34" t="str">
        <f>VLOOKUP(C1043,'SALE PARTY MASTER'!$B$4:$E$500,4,FALSE)</f>
        <v>Oms</v>
      </c>
      <c r="S1043" s="11" t="s">
        <v>4105</v>
      </c>
    </row>
    <row r="1044" spans="1:19" x14ac:dyDescent="0.2">
      <c r="A1044" s="51">
        <v>43739</v>
      </c>
      <c r="B1044" s="34">
        <v>50</v>
      </c>
      <c r="C1044" s="35" t="s">
        <v>226</v>
      </c>
      <c r="D1044" s="34" t="str">
        <f>VLOOKUP(C1044,'SALE PARTY MASTER'!$B$4:$E$500,2,FALSE)</f>
        <v>23AAACB7112P2ZQ</v>
      </c>
      <c r="E1044" s="34" t="s">
        <v>22</v>
      </c>
      <c r="F1044" s="36" t="s">
        <v>2421</v>
      </c>
      <c r="G1044" s="37">
        <v>43752</v>
      </c>
      <c r="H1044" s="38">
        <v>87081090</v>
      </c>
      <c r="I1044" s="39">
        <f>VLOOKUP(H1044,'SALE HSN MASTER'!$A$4:$E$5001,5,FALSE)</f>
        <v>28</v>
      </c>
      <c r="J1044" s="38">
        <v>60</v>
      </c>
      <c r="K1044" s="40">
        <v>20730.599999999999</v>
      </c>
      <c r="L1044" s="41">
        <f t="shared" si="0"/>
        <v>5804.5679999999993</v>
      </c>
      <c r="M1044" s="41">
        <f t="shared" si="1"/>
        <v>0</v>
      </c>
      <c r="N1044" s="41">
        <f t="shared" si="2"/>
        <v>0</v>
      </c>
      <c r="O1044" s="41">
        <v>0</v>
      </c>
      <c r="P1044" s="42">
        <f t="shared" si="3"/>
        <v>26535.167999999998</v>
      </c>
      <c r="Q1044" s="34" t="s">
        <v>25</v>
      </c>
      <c r="R1044" s="34" t="str">
        <f>VLOOKUP(C1044,'SALE PARTY MASTER'!$B$4:$E$500,4,FALSE)</f>
        <v>Oms</v>
      </c>
      <c r="S1044" s="11" t="s">
        <v>4105</v>
      </c>
    </row>
    <row r="1045" spans="1:19" x14ac:dyDescent="0.2">
      <c r="A1045" s="51">
        <v>43739</v>
      </c>
      <c r="B1045" s="34">
        <v>51</v>
      </c>
      <c r="C1045" s="35" t="s">
        <v>28</v>
      </c>
      <c r="D1045" s="34" t="str">
        <f>VLOOKUP(C1045,'SALE PARTY MASTER'!$B$4:$E$500,2,FALSE)</f>
        <v>27AAECM8871A1ZF</v>
      </c>
      <c r="E1045" s="34" t="s">
        <v>22</v>
      </c>
      <c r="F1045" s="36" t="s">
        <v>2422</v>
      </c>
      <c r="G1045" s="37">
        <v>43752</v>
      </c>
      <c r="H1045" s="38">
        <v>87089900</v>
      </c>
      <c r="I1045" s="39">
        <f>VLOOKUP(H1045,'SALE HSN MASTER'!$A$4:$E$5001,5,FALSE)</f>
        <v>28</v>
      </c>
      <c r="J1045" s="38">
        <v>12</v>
      </c>
      <c r="K1045" s="40">
        <v>23255.759999999998</v>
      </c>
      <c r="L1045" s="41">
        <f t="shared" si="0"/>
        <v>0</v>
      </c>
      <c r="M1045" s="41">
        <f t="shared" si="1"/>
        <v>3255.8063999999995</v>
      </c>
      <c r="N1045" s="41">
        <f t="shared" si="2"/>
        <v>3255.8063999999995</v>
      </c>
      <c r="O1045" s="41">
        <v>0</v>
      </c>
      <c r="P1045" s="42">
        <f t="shared" si="3"/>
        <v>29767.372799999997</v>
      </c>
      <c r="Q1045" s="34" t="s">
        <v>25</v>
      </c>
      <c r="R1045" s="34" t="str">
        <f>VLOOKUP(C1045,'SALE PARTY MASTER'!$B$4:$E$500,4,FALSE)</f>
        <v>Local</v>
      </c>
      <c r="S1045" s="11" t="s">
        <v>4105</v>
      </c>
    </row>
    <row r="1046" spans="1:19" x14ac:dyDescent="0.2">
      <c r="A1046" s="51">
        <v>43739</v>
      </c>
      <c r="B1046" s="34">
        <v>52</v>
      </c>
      <c r="C1046" s="35" t="s">
        <v>49</v>
      </c>
      <c r="D1046" s="34" t="str">
        <f>VLOOKUP(C1046,'SALE PARTY MASTER'!$B$4:$E$500,2,FALSE)</f>
        <v>27AABFJ4217F1ZP</v>
      </c>
      <c r="E1046" s="34" t="s">
        <v>22</v>
      </c>
      <c r="F1046" s="36" t="s">
        <v>2423</v>
      </c>
      <c r="G1046" s="37">
        <v>43753</v>
      </c>
      <c r="H1046" s="38" t="s">
        <v>2425</v>
      </c>
      <c r="I1046" s="39">
        <f>VLOOKUP(H1046,'SALE HSN MASTER'!$A$4:$E$5001,5,FALSE)</f>
        <v>12</v>
      </c>
      <c r="J1046" s="38">
        <v>35</v>
      </c>
      <c r="K1046" s="40">
        <v>9944.9</v>
      </c>
      <c r="L1046" s="41">
        <f t="shared" si="0"/>
        <v>0</v>
      </c>
      <c r="M1046" s="41">
        <f t="shared" si="1"/>
        <v>596.69399999999996</v>
      </c>
      <c r="N1046" s="41">
        <f t="shared" si="2"/>
        <v>596.69399999999996</v>
      </c>
      <c r="O1046" s="41">
        <v>0</v>
      </c>
      <c r="P1046" s="42">
        <f t="shared" si="3"/>
        <v>11138.288</v>
      </c>
      <c r="Q1046" s="34" t="s">
        <v>25</v>
      </c>
      <c r="R1046" s="34" t="str">
        <f>VLOOKUP(C1046,'SALE PARTY MASTER'!$B$4:$E$500,4,FALSE)</f>
        <v>Local</v>
      </c>
      <c r="S1046" s="11" t="s">
        <v>4105</v>
      </c>
    </row>
    <row r="1047" spans="1:19" x14ac:dyDescent="0.2">
      <c r="A1047" s="51">
        <v>43739</v>
      </c>
      <c r="B1047" s="34">
        <v>53</v>
      </c>
      <c r="C1047" s="35" t="s">
        <v>45</v>
      </c>
      <c r="D1047" s="34" t="str">
        <f>VLOOKUP(C1047,'SALE PARTY MASTER'!$B$4:$E$500,2,FALSE)</f>
        <v>27AAACD4090Q1Z8</v>
      </c>
      <c r="E1047" s="34" t="s">
        <v>22</v>
      </c>
      <c r="F1047" s="36" t="s">
        <v>2424</v>
      </c>
      <c r="G1047" s="37">
        <v>43754</v>
      </c>
      <c r="H1047" s="38">
        <v>85129000</v>
      </c>
      <c r="I1047" s="39">
        <f>VLOOKUP(H1047,'SALE HSN MASTER'!$A$4:$E$5001,5,FALSE)</f>
        <v>18</v>
      </c>
      <c r="J1047" s="38">
        <v>234</v>
      </c>
      <c r="K1047" s="40">
        <v>28550.34</v>
      </c>
      <c r="L1047" s="41">
        <f t="shared" si="0"/>
        <v>0</v>
      </c>
      <c r="M1047" s="41">
        <f t="shared" si="1"/>
        <v>2569.5306</v>
      </c>
      <c r="N1047" s="41">
        <f t="shared" si="2"/>
        <v>2569.5306</v>
      </c>
      <c r="O1047" s="41">
        <v>0</v>
      </c>
      <c r="P1047" s="42">
        <f t="shared" si="3"/>
        <v>33689.4012</v>
      </c>
      <c r="Q1047" s="34" t="s">
        <v>25</v>
      </c>
      <c r="R1047" s="34" t="str">
        <f>VLOOKUP(C1047,'SALE PARTY MASTER'!$B$4:$E$500,4,FALSE)</f>
        <v>Local</v>
      </c>
      <c r="S1047" s="11" t="s">
        <v>4105</v>
      </c>
    </row>
    <row r="1048" spans="1:19" x14ac:dyDescent="0.2">
      <c r="A1048" s="51">
        <v>43739</v>
      </c>
      <c r="B1048" s="34">
        <v>54</v>
      </c>
      <c r="C1048" s="35" t="s">
        <v>167</v>
      </c>
      <c r="D1048" s="34" t="str">
        <f>VLOOKUP(C1048,'SALE PARTY MASTER'!$B$4:$E$500,2,FALSE)</f>
        <v>27AABFP3834C1ZK</v>
      </c>
      <c r="E1048" s="34" t="s">
        <v>22</v>
      </c>
      <c r="F1048" s="36" t="s">
        <v>2499</v>
      </c>
      <c r="G1048" s="37">
        <v>43754</v>
      </c>
      <c r="H1048" s="38">
        <v>87141900</v>
      </c>
      <c r="I1048" s="39">
        <f>VLOOKUP(H1048,'SALE HSN MASTER'!$A$4:$E$5001,5,FALSE)</f>
        <v>28</v>
      </c>
      <c r="J1048" s="38">
        <v>3340</v>
      </c>
      <c r="K1048" s="40">
        <v>42288.2</v>
      </c>
      <c r="L1048" s="41">
        <f t="shared" si="0"/>
        <v>0</v>
      </c>
      <c r="M1048" s="41">
        <f t="shared" si="1"/>
        <v>5920.347999999999</v>
      </c>
      <c r="N1048" s="41">
        <f t="shared" si="2"/>
        <v>5920.347999999999</v>
      </c>
      <c r="O1048" s="41">
        <v>0</v>
      </c>
      <c r="P1048" s="42">
        <f t="shared" si="3"/>
        <v>54128.895999999993</v>
      </c>
      <c r="Q1048" s="34" t="s">
        <v>25</v>
      </c>
      <c r="R1048" s="34" t="str">
        <f>VLOOKUP(C1048,'SALE PARTY MASTER'!$B$4:$E$500,4,FALSE)</f>
        <v>Local</v>
      </c>
      <c r="S1048" s="11" t="s">
        <v>4105</v>
      </c>
    </row>
    <row r="1049" spans="1:19" x14ac:dyDescent="0.2">
      <c r="A1049" s="51">
        <v>43739</v>
      </c>
      <c r="B1049" s="34">
        <v>55</v>
      </c>
      <c r="C1049" s="35" t="s">
        <v>28</v>
      </c>
      <c r="D1049" s="34" t="str">
        <f>VLOOKUP(C1049,'SALE PARTY MASTER'!$B$4:$E$500,2,FALSE)</f>
        <v>27AAECM8871A1ZF</v>
      </c>
      <c r="E1049" s="34" t="s">
        <v>22</v>
      </c>
      <c r="F1049" s="36" t="s">
        <v>2500</v>
      </c>
      <c r="G1049" s="37">
        <v>43754</v>
      </c>
      <c r="H1049" s="38">
        <v>87089900</v>
      </c>
      <c r="I1049" s="39">
        <f>VLOOKUP(H1049,'SALE HSN MASTER'!$A$4:$E$5001,5,FALSE)</f>
        <v>28</v>
      </c>
      <c r="J1049" s="38">
        <v>12</v>
      </c>
      <c r="K1049" s="40">
        <v>23508.6</v>
      </c>
      <c r="L1049" s="41">
        <f t="shared" si="0"/>
        <v>0</v>
      </c>
      <c r="M1049" s="41">
        <f t="shared" si="1"/>
        <v>3291.2039999999997</v>
      </c>
      <c r="N1049" s="41">
        <f t="shared" si="2"/>
        <v>3291.2039999999997</v>
      </c>
      <c r="O1049" s="41">
        <v>0</v>
      </c>
      <c r="P1049" s="42">
        <f t="shared" si="3"/>
        <v>30091.007999999998</v>
      </c>
      <c r="Q1049" s="34" t="s">
        <v>25</v>
      </c>
      <c r="R1049" s="34" t="str">
        <f>VLOOKUP(C1049,'SALE PARTY MASTER'!$B$4:$E$500,4,FALSE)</f>
        <v>Local</v>
      </c>
      <c r="S1049" s="11" t="s">
        <v>4105</v>
      </c>
    </row>
    <row r="1050" spans="1:19" x14ac:dyDescent="0.2">
      <c r="A1050" s="51">
        <v>43739</v>
      </c>
      <c r="B1050" s="34">
        <v>56</v>
      </c>
      <c r="C1050" s="35" t="s">
        <v>155</v>
      </c>
      <c r="D1050" s="34" t="str">
        <f>VLOOKUP(C1050,'SALE PARTY MASTER'!$B$4:$E$500,2,FALSE)</f>
        <v>27AAGCP0139E1ZP</v>
      </c>
      <c r="E1050" s="34" t="s">
        <v>22</v>
      </c>
      <c r="F1050" s="36" t="s">
        <v>2501</v>
      </c>
      <c r="G1050" s="37">
        <v>43754</v>
      </c>
      <c r="H1050" s="38">
        <v>87141090</v>
      </c>
      <c r="I1050" s="39">
        <f>VLOOKUP(H1050,'SALE HSN MASTER'!$A$4:$E$5001,5,FALSE)</f>
        <v>28</v>
      </c>
      <c r="J1050" s="38">
        <v>520</v>
      </c>
      <c r="K1050" s="40">
        <v>39192.400000000001</v>
      </c>
      <c r="L1050" s="41">
        <f t="shared" si="0"/>
        <v>0</v>
      </c>
      <c r="M1050" s="41">
        <f t="shared" si="1"/>
        <v>5486.9360000000006</v>
      </c>
      <c r="N1050" s="41">
        <f t="shared" si="2"/>
        <v>5486.9360000000006</v>
      </c>
      <c r="O1050" s="41">
        <v>0</v>
      </c>
      <c r="P1050" s="42">
        <f t="shared" si="3"/>
        <v>50166.272000000004</v>
      </c>
      <c r="Q1050" s="34" t="s">
        <v>25</v>
      </c>
      <c r="R1050" s="34" t="str">
        <f>VLOOKUP(C1050,'SALE PARTY MASTER'!$B$4:$E$500,4,FALSE)</f>
        <v>Local</v>
      </c>
      <c r="S1050" s="11" t="s">
        <v>4105</v>
      </c>
    </row>
    <row r="1051" spans="1:19" x14ac:dyDescent="0.2">
      <c r="A1051" s="51">
        <v>43739</v>
      </c>
      <c r="B1051" s="34">
        <v>57</v>
      </c>
      <c r="C1051" s="35" t="s">
        <v>155</v>
      </c>
      <c r="D1051" s="34" t="str">
        <f>VLOOKUP(C1051,'SALE PARTY MASTER'!$B$4:$E$500,2,FALSE)</f>
        <v>27AAGCP0139E1ZP</v>
      </c>
      <c r="E1051" s="34" t="s">
        <v>22</v>
      </c>
      <c r="F1051" s="36" t="s">
        <v>2502</v>
      </c>
      <c r="G1051" s="37">
        <v>43754</v>
      </c>
      <c r="H1051" s="38">
        <v>87141090</v>
      </c>
      <c r="I1051" s="39">
        <f>VLOOKUP(H1051,'SALE HSN MASTER'!$A$4:$E$5001,5,FALSE)</f>
        <v>28</v>
      </c>
      <c r="J1051" s="38">
        <v>360</v>
      </c>
      <c r="K1051" s="40">
        <v>16930.8</v>
      </c>
      <c r="L1051" s="41">
        <f t="shared" si="0"/>
        <v>0</v>
      </c>
      <c r="M1051" s="41">
        <f t="shared" si="1"/>
        <v>2370.3119999999999</v>
      </c>
      <c r="N1051" s="41">
        <f t="shared" si="2"/>
        <v>2370.3119999999999</v>
      </c>
      <c r="O1051" s="41">
        <v>0</v>
      </c>
      <c r="P1051" s="42">
        <f t="shared" si="3"/>
        <v>21671.423999999999</v>
      </c>
      <c r="Q1051" s="34" t="s">
        <v>25</v>
      </c>
      <c r="R1051" s="34" t="str">
        <f>VLOOKUP(C1051,'SALE PARTY MASTER'!$B$4:$E$500,4,FALSE)</f>
        <v>Local</v>
      </c>
      <c r="S1051" s="11" t="s">
        <v>4105</v>
      </c>
    </row>
    <row r="1052" spans="1:19" x14ac:dyDescent="0.2">
      <c r="A1052" s="51">
        <v>43739</v>
      </c>
      <c r="B1052" s="34">
        <v>58</v>
      </c>
      <c r="C1052" s="35" t="s">
        <v>28</v>
      </c>
      <c r="D1052" s="34" t="str">
        <f>VLOOKUP(C1052,'SALE PARTY MASTER'!$B$4:$E$500,2,FALSE)</f>
        <v>27AAECM8871A1ZF</v>
      </c>
      <c r="E1052" s="34" t="s">
        <v>22</v>
      </c>
      <c r="F1052" s="36" t="s">
        <v>2503</v>
      </c>
      <c r="G1052" s="37">
        <v>43754</v>
      </c>
      <c r="H1052" s="38">
        <v>87089900</v>
      </c>
      <c r="I1052" s="39">
        <f>VLOOKUP(H1052,'SALE HSN MASTER'!$A$4:$E$5001,5,FALSE)</f>
        <v>28</v>
      </c>
      <c r="J1052" s="38">
        <v>12</v>
      </c>
      <c r="K1052" s="40">
        <v>23508.6</v>
      </c>
      <c r="L1052" s="41">
        <f t="shared" si="0"/>
        <v>0</v>
      </c>
      <c r="M1052" s="41">
        <f t="shared" si="1"/>
        <v>3291.2039999999997</v>
      </c>
      <c r="N1052" s="41">
        <f t="shared" si="2"/>
        <v>3291.2039999999997</v>
      </c>
      <c r="O1052" s="41">
        <v>0</v>
      </c>
      <c r="P1052" s="42">
        <f t="shared" si="3"/>
        <v>30091.007999999998</v>
      </c>
      <c r="Q1052" s="34" t="s">
        <v>25</v>
      </c>
      <c r="R1052" s="34" t="str">
        <f>VLOOKUP(C1052,'SALE PARTY MASTER'!$B$4:$E$500,4,FALSE)</f>
        <v>Local</v>
      </c>
      <c r="S1052" s="11" t="s">
        <v>4105</v>
      </c>
    </row>
    <row r="1053" spans="1:19" x14ac:dyDescent="0.2">
      <c r="A1053" s="51">
        <v>43739</v>
      </c>
      <c r="B1053" s="34">
        <v>59</v>
      </c>
      <c r="C1053" s="35" t="s">
        <v>45</v>
      </c>
      <c r="D1053" s="34" t="str">
        <f>VLOOKUP(C1053,'SALE PARTY MASTER'!$B$4:$E$500,2,FALSE)</f>
        <v>27AAACD4090Q1Z8</v>
      </c>
      <c r="E1053" s="34" t="s">
        <v>22</v>
      </c>
      <c r="F1053" s="36" t="s">
        <v>2504</v>
      </c>
      <c r="G1053" s="37">
        <v>43754</v>
      </c>
      <c r="H1053" s="38">
        <v>85129000</v>
      </c>
      <c r="I1053" s="39">
        <f>VLOOKUP(H1053,'SALE HSN MASTER'!$A$4:$E$5001,5,FALSE)</f>
        <v>18</v>
      </c>
      <c r="J1053" s="38">
        <v>1188</v>
      </c>
      <c r="K1053" s="40">
        <v>144947.88</v>
      </c>
      <c r="L1053" s="41">
        <f t="shared" si="0"/>
        <v>0</v>
      </c>
      <c r="M1053" s="41">
        <f t="shared" si="1"/>
        <v>13045.309200000002</v>
      </c>
      <c r="N1053" s="41">
        <f t="shared" si="2"/>
        <v>13045.309200000002</v>
      </c>
      <c r="O1053" s="41">
        <v>0</v>
      </c>
      <c r="P1053" s="42">
        <f t="shared" si="3"/>
        <v>171038.49840000001</v>
      </c>
      <c r="Q1053" s="34" t="s">
        <v>25</v>
      </c>
      <c r="R1053" s="34" t="str">
        <f>VLOOKUP(C1053,'SALE PARTY MASTER'!$B$4:$E$500,4,FALSE)</f>
        <v>Local</v>
      </c>
      <c r="S1053" s="11" t="s">
        <v>4105</v>
      </c>
    </row>
    <row r="1054" spans="1:19" x14ac:dyDescent="0.2">
      <c r="A1054" s="51">
        <v>43739</v>
      </c>
      <c r="B1054" s="34">
        <v>60</v>
      </c>
      <c r="C1054" s="35" t="s">
        <v>73</v>
      </c>
      <c r="D1054" s="34" t="str">
        <f>VLOOKUP(C1054,'SALE PARTY MASTER'!$B$4:$E$500,2,FALSE)</f>
        <v>27AAACH4211R1ZF</v>
      </c>
      <c r="E1054" s="34" t="s">
        <v>22</v>
      </c>
      <c r="F1054" s="36" t="s">
        <v>2505</v>
      </c>
      <c r="G1054" s="37">
        <v>43754</v>
      </c>
      <c r="H1054" s="38">
        <v>85129000</v>
      </c>
      <c r="I1054" s="39">
        <f>VLOOKUP(H1054,'SALE HSN MASTER'!$A$4:$E$5001,5,FALSE)</f>
        <v>18</v>
      </c>
      <c r="J1054" s="38">
        <v>3600</v>
      </c>
      <c r="K1054" s="40">
        <v>90000</v>
      </c>
      <c r="L1054" s="41">
        <f t="shared" si="0"/>
        <v>0</v>
      </c>
      <c r="M1054" s="41">
        <f t="shared" si="1"/>
        <v>8100</v>
      </c>
      <c r="N1054" s="41">
        <f t="shared" si="2"/>
        <v>8100</v>
      </c>
      <c r="O1054" s="41">
        <v>0</v>
      </c>
      <c r="P1054" s="42">
        <f t="shared" si="3"/>
        <v>106200</v>
      </c>
      <c r="Q1054" s="34" t="s">
        <v>25</v>
      </c>
      <c r="R1054" s="34" t="str">
        <f>VLOOKUP(C1054,'SALE PARTY MASTER'!$B$4:$E$500,4,FALSE)</f>
        <v>Local</v>
      </c>
      <c r="S1054" s="11" t="s">
        <v>4105</v>
      </c>
    </row>
    <row r="1055" spans="1:19" x14ac:dyDescent="0.2">
      <c r="A1055" s="51">
        <v>43739</v>
      </c>
      <c r="B1055" s="34">
        <v>61</v>
      </c>
      <c r="C1055" s="35" t="s">
        <v>124</v>
      </c>
      <c r="D1055" s="34" t="str">
        <f>VLOOKUP(C1055,'SALE PARTY MASTER'!$B$4:$E$500,2,FALSE)</f>
        <v>27AAACB2484Q1Z8</v>
      </c>
      <c r="E1055" s="34" t="s">
        <v>22</v>
      </c>
      <c r="F1055" s="36" t="s">
        <v>2506</v>
      </c>
      <c r="G1055" s="37">
        <v>43755</v>
      </c>
      <c r="H1055" s="38" t="s">
        <v>2425</v>
      </c>
      <c r="I1055" s="39">
        <f>VLOOKUP(H1055,'SALE HSN MASTER'!$A$4:$E$5001,5,FALSE)</f>
        <v>12</v>
      </c>
      <c r="J1055" s="38">
        <v>2664</v>
      </c>
      <c r="K1055" s="40">
        <v>229752</v>
      </c>
      <c r="L1055" s="41">
        <f t="shared" si="0"/>
        <v>0</v>
      </c>
      <c r="M1055" s="41">
        <f t="shared" si="1"/>
        <v>13785.119999999999</v>
      </c>
      <c r="N1055" s="41">
        <f t="shared" si="2"/>
        <v>13785.119999999999</v>
      </c>
      <c r="O1055" s="41">
        <v>0</v>
      </c>
      <c r="P1055" s="42">
        <f t="shared" si="3"/>
        <v>257322.23999999999</v>
      </c>
      <c r="Q1055" s="34" t="s">
        <v>25</v>
      </c>
      <c r="R1055" s="34" t="str">
        <f>VLOOKUP(C1055,'SALE PARTY MASTER'!$B$4:$E$500,4,FALSE)</f>
        <v>Local</v>
      </c>
      <c r="S1055" s="11" t="s">
        <v>4105</v>
      </c>
    </row>
    <row r="1056" spans="1:19" x14ac:dyDescent="0.2">
      <c r="A1056" s="51">
        <v>43739</v>
      </c>
      <c r="B1056" s="34">
        <v>62</v>
      </c>
      <c r="C1056" s="35" t="s">
        <v>124</v>
      </c>
      <c r="D1056" s="34" t="str">
        <f>VLOOKUP(C1056,'SALE PARTY MASTER'!$B$4:$E$500,2,FALSE)</f>
        <v>27AAACB2484Q1Z8</v>
      </c>
      <c r="E1056" s="34" t="s">
        <v>22</v>
      </c>
      <c r="F1056" s="36" t="s">
        <v>2507</v>
      </c>
      <c r="G1056" s="37">
        <v>43755</v>
      </c>
      <c r="H1056" s="38" t="s">
        <v>2425</v>
      </c>
      <c r="I1056" s="39">
        <f>VLOOKUP(H1056,'SALE HSN MASTER'!$A$4:$E$5001,5,FALSE)</f>
        <v>12</v>
      </c>
      <c r="J1056" s="38">
        <v>1400</v>
      </c>
      <c r="K1056" s="40">
        <v>2800</v>
      </c>
      <c r="L1056" s="41">
        <f t="shared" si="0"/>
        <v>0</v>
      </c>
      <c r="M1056" s="41">
        <f t="shared" si="1"/>
        <v>168</v>
      </c>
      <c r="N1056" s="41">
        <f t="shared" si="2"/>
        <v>168</v>
      </c>
      <c r="O1056" s="41">
        <v>0</v>
      </c>
      <c r="P1056" s="42">
        <f t="shared" si="3"/>
        <v>3136</v>
      </c>
      <c r="Q1056" s="34" t="s">
        <v>25</v>
      </c>
      <c r="R1056" s="34" t="str">
        <f>VLOOKUP(C1056,'SALE PARTY MASTER'!$B$4:$E$500,4,FALSE)</f>
        <v>Local</v>
      </c>
      <c r="S1056" s="11" t="s">
        <v>4105</v>
      </c>
    </row>
    <row r="1057" spans="1:19" x14ac:dyDescent="0.2">
      <c r="A1057" s="51">
        <v>43739</v>
      </c>
      <c r="B1057" s="34">
        <v>63</v>
      </c>
      <c r="C1057" s="35" t="s">
        <v>40</v>
      </c>
      <c r="D1057" s="34" t="str">
        <f>VLOOKUP(C1057,'SALE PARTY MASTER'!$B$4:$E$500,2,FALSE)</f>
        <v>27AAACT1848E1ZH</v>
      </c>
      <c r="E1057" s="34" t="s">
        <v>22</v>
      </c>
      <c r="F1057" s="36" t="s">
        <v>2508</v>
      </c>
      <c r="G1057" s="37">
        <v>43755</v>
      </c>
      <c r="H1057" s="38">
        <v>87089900</v>
      </c>
      <c r="I1057" s="39">
        <f>VLOOKUP(H1057,'SALE HSN MASTER'!$A$4:$E$5001,5,FALSE)</f>
        <v>28</v>
      </c>
      <c r="J1057" s="38">
        <v>280</v>
      </c>
      <c r="K1057" s="40">
        <v>49823</v>
      </c>
      <c r="L1057" s="41">
        <f t="shared" si="0"/>
        <v>0</v>
      </c>
      <c r="M1057" s="41">
        <f t="shared" si="1"/>
        <v>6975.22</v>
      </c>
      <c r="N1057" s="41">
        <f t="shared" si="2"/>
        <v>6975.22</v>
      </c>
      <c r="O1057" s="41">
        <v>0</v>
      </c>
      <c r="P1057" s="42">
        <f t="shared" si="3"/>
        <v>63773.440000000002</v>
      </c>
      <c r="Q1057" s="34" t="s">
        <v>25</v>
      </c>
      <c r="R1057" s="34" t="str">
        <f>VLOOKUP(C1057,'SALE PARTY MASTER'!$B$4:$E$500,4,FALSE)</f>
        <v>Local</v>
      </c>
      <c r="S1057" s="11" t="s">
        <v>4105</v>
      </c>
    </row>
    <row r="1058" spans="1:19" x14ac:dyDescent="0.2">
      <c r="A1058" s="51">
        <v>43739</v>
      </c>
      <c r="B1058" s="34">
        <v>64</v>
      </c>
      <c r="C1058" s="35" t="s">
        <v>167</v>
      </c>
      <c r="D1058" s="34" t="str">
        <f>VLOOKUP(C1058,'SALE PARTY MASTER'!$B$4:$E$500,2,FALSE)</f>
        <v>27AABFP3834C1ZK</v>
      </c>
      <c r="E1058" s="34" t="s">
        <v>22</v>
      </c>
      <c r="F1058" s="36" t="s">
        <v>2509</v>
      </c>
      <c r="G1058" s="37">
        <v>43755</v>
      </c>
      <c r="H1058" s="38">
        <v>87141900</v>
      </c>
      <c r="I1058" s="39">
        <f>VLOOKUP(H1058,'SALE HSN MASTER'!$A$4:$E$5001,5,FALSE)</f>
        <v>28</v>
      </c>
      <c r="J1058" s="38">
        <v>2980</v>
      </c>
      <c r="K1058" s="40">
        <v>37213.800000000003</v>
      </c>
      <c r="L1058" s="41">
        <f t="shared" si="0"/>
        <v>0</v>
      </c>
      <c r="M1058" s="41">
        <f t="shared" si="1"/>
        <v>5209.9320000000007</v>
      </c>
      <c r="N1058" s="41">
        <f t="shared" si="2"/>
        <v>5209.9320000000007</v>
      </c>
      <c r="O1058" s="41">
        <v>0</v>
      </c>
      <c r="P1058" s="42">
        <f t="shared" si="3"/>
        <v>47633.664000000004</v>
      </c>
      <c r="Q1058" s="34" t="s">
        <v>25</v>
      </c>
      <c r="R1058" s="34" t="str">
        <f>VLOOKUP(C1058,'SALE PARTY MASTER'!$B$4:$E$500,4,FALSE)</f>
        <v>Local</v>
      </c>
      <c r="S1058" s="11" t="s">
        <v>4105</v>
      </c>
    </row>
    <row r="1059" spans="1:19" x14ac:dyDescent="0.2">
      <c r="A1059" s="51">
        <v>43739</v>
      </c>
      <c r="B1059" s="34">
        <v>65</v>
      </c>
      <c r="C1059" s="35" t="s">
        <v>155</v>
      </c>
      <c r="D1059" s="34" t="str">
        <f>VLOOKUP(C1059,'SALE PARTY MASTER'!$B$4:$E$500,2,FALSE)</f>
        <v>27AAGCP0139E1ZP</v>
      </c>
      <c r="E1059" s="34" t="s">
        <v>22</v>
      </c>
      <c r="F1059" s="36" t="s">
        <v>2510</v>
      </c>
      <c r="G1059" s="37">
        <v>43756</v>
      </c>
      <c r="H1059" s="38">
        <v>87141090</v>
      </c>
      <c r="I1059" s="39">
        <f>VLOOKUP(H1059,'SALE HSN MASTER'!$A$4:$E$5001,5,FALSE)</f>
        <v>28</v>
      </c>
      <c r="J1059" s="38">
        <v>440</v>
      </c>
      <c r="K1059" s="40">
        <v>33162.800000000003</v>
      </c>
      <c r="L1059" s="41">
        <f t="shared" si="0"/>
        <v>0</v>
      </c>
      <c r="M1059" s="41">
        <f t="shared" si="1"/>
        <v>4642.7920000000004</v>
      </c>
      <c r="N1059" s="41">
        <f t="shared" si="2"/>
        <v>4642.7920000000004</v>
      </c>
      <c r="O1059" s="41">
        <v>0</v>
      </c>
      <c r="P1059" s="42">
        <f t="shared" si="3"/>
        <v>42448.384000000005</v>
      </c>
      <c r="Q1059" s="34" t="s">
        <v>25</v>
      </c>
      <c r="R1059" s="34" t="str">
        <f>VLOOKUP(C1059,'SALE PARTY MASTER'!$B$4:$E$500,4,FALSE)</f>
        <v>Local</v>
      </c>
      <c r="S1059" s="11" t="s">
        <v>4105</v>
      </c>
    </row>
    <row r="1060" spans="1:19" x14ac:dyDescent="0.2">
      <c r="A1060" s="51">
        <v>43739</v>
      </c>
      <c r="B1060" s="34">
        <v>66</v>
      </c>
      <c r="C1060" s="35" t="s">
        <v>155</v>
      </c>
      <c r="D1060" s="34" t="str">
        <f>VLOOKUP(C1060,'SALE PARTY MASTER'!$B$4:$E$500,2,FALSE)</f>
        <v>27AAGCP0139E1ZP</v>
      </c>
      <c r="E1060" s="34" t="s">
        <v>22</v>
      </c>
      <c r="F1060" s="36" t="s">
        <v>2511</v>
      </c>
      <c r="G1060" s="37">
        <v>43756</v>
      </c>
      <c r="H1060" s="38">
        <v>87141090</v>
      </c>
      <c r="I1060" s="39">
        <f>VLOOKUP(H1060,'SALE HSN MASTER'!$A$4:$E$5001,5,FALSE)</f>
        <v>28</v>
      </c>
      <c r="J1060" s="38">
        <v>900</v>
      </c>
      <c r="K1060" s="40">
        <v>42327</v>
      </c>
      <c r="L1060" s="41">
        <f t="shared" ref="L1060:L1089" si="4">+IF(R1060="Oms",K1060/100*I1060,0)</f>
        <v>0</v>
      </c>
      <c r="M1060" s="41">
        <f t="shared" ref="M1060:M1089" si="5">+IF(R1060="local",K1060/100*I1060/2,0)</f>
        <v>5925.78</v>
      </c>
      <c r="N1060" s="41">
        <f t="shared" ref="N1060:N1089" si="6">+IF(R1060="local",K1060/100*I1060/2,0)</f>
        <v>5925.78</v>
      </c>
      <c r="O1060" s="41">
        <v>0</v>
      </c>
      <c r="P1060" s="42">
        <f t="shared" ref="P1060:P1089" si="7">+O1060+N1060+M1060+L1060+K1060</f>
        <v>54178.559999999998</v>
      </c>
      <c r="Q1060" s="34" t="s">
        <v>25</v>
      </c>
      <c r="R1060" s="34" t="str">
        <f>VLOOKUP(C1060,'SALE PARTY MASTER'!$B$4:$E$500,4,FALSE)</f>
        <v>Local</v>
      </c>
      <c r="S1060" s="11" t="s">
        <v>4105</v>
      </c>
    </row>
    <row r="1061" spans="1:19" x14ac:dyDescent="0.2">
      <c r="A1061" s="51">
        <v>43739</v>
      </c>
      <c r="B1061" s="34">
        <v>67</v>
      </c>
      <c r="C1061" s="35" t="s">
        <v>167</v>
      </c>
      <c r="D1061" s="34" t="str">
        <f>VLOOKUP(C1061,'SALE PARTY MASTER'!$B$4:$E$500,2,FALSE)</f>
        <v>27AABFP3834C1ZK</v>
      </c>
      <c r="E1061" s="34" t="s">
        <v>22</v>
      </c>
      <c r="F1061" s="36" t="s">
        <v>2512</v>
      </c>
      <c r="G1061" s="37">
        <v>43756</v>
      </c>
      <c r="H1061" s="38">
        <v>87141900</v>
      </c>
      <c r="I1061" s="39">
        <f>VLOOKUP(H1061,'SALE HSN MASTER'!$A$4:$E$5001,5,FALSE)</f>
        <v>28</v>
      </c>
      <c r="J1061" s="38">
        <v>3100</v>
      </c>
      <c r="K1061" s="40">
        <v>38391</v>
      </c>
      <c r="L1061" s="41">
        <f t="shared" si="4"/>
        <v>0</v>
      </c>
      <c r="M1061" s="41">
        <f t="shared" si="5"/>
        <v>5374.7400000000007</v>
      </c>
      <c r="N1061" s="41">
        <f t="shared" si="6"/>
        <v>5374.7400000000007</v>
      </c>
      <c r="O1061" s="41">
        <v>0</v>
      </c>
      <c r="P1061" s="42">
        <f t="shared" si="7"/>
        <v>49140.480000000003</v>
      </c>
      <c r="Q1061" s="34" t="s">
        <v>25</v>
      </c>
      <c r="R1061" s="34" t="str">
        <f>VLOOKUP(C1061,'SALE PARTY MASTER'!$B$4:$E$500,4,FALSE)</f>
        <v>Local</v>
      </c>
      <c r="S1061" s="11" t="s">
        <v>4105</v>
      </c>
    </row>
    <row r="1062" spans="1:19" x14ac:dyDescent="0.2">
      <c r="A1062" s="51">
        <v>43739</v>
      </c>
      <c r="B1062" s="34">
        <v>68</v>
      </c>
      <c r="C1062" s="35" t="s">
        <v>45</v>
      </c>
      <c r="D1062" s="34" t="str">
        <f>VLOOKUP(C1062,'SALE PARTY MASTER'!$B$4:$E$500,2,FALSE)</f>
        <v>27AAACD4090Q1Z8</v>
      </c>
      <c r="E1062" s="34" t="s">
        <v>22</v>
      </c>
      <c r="F1062" s="36" t="s">
        <v>2513</v>
      </c>
      <c r="G1062" s="37">
        <v>43756</v>
      </c>
      <c r="H1062" s="38">
        <v>85129000</v>
      </c>
      <c r="I1062" s="39">
        <f>VLOOKUP(H1062,'SALE HSN MASTER'!$A$4:$E$5001,5,FALSE)</f>
        <v>18</v>
      </c>
      <c r="J1062" s="38">
        <v>360</v>
      </c>
      <c r="K1062" s="40">
        <v>43923.6</v>
      </c>
      <c r="L1062" s="41">
        <f t="shared" si="4"/>
        <v>0</v>
      </c>
      <c r="M1062" s="41">
        <f t="shared" si="5"/>
        <v>3953.1239999999998</v>
      </c>
      <c r="N1062" s="41">
        <f t="shared" si="6"/>
        <v>3953.1239999999998</v>
      </c>
      <c r="O1062" s="41">
        <v>0</v>
      </c>
      <c r="P1062" s="42">
        <f t="shared" si="7"/>
        <v>51829.847999999998</v>
      </c>
      <c r="Q1062" s="34" t="s">
        <v>25</v>
      </c>
      <c r="R1062" s="34" t="str">
        <f>VLOOKUP(C1062,'SALE PARTY MASTER'!$B$4:$E$500,4,FALSE)</f>
        <v>Local</v>
      </c>
      <c r="S1062" s="11" t="s">
        <v>4105</v>
      </c>
    </row>
    <row r="1063" spans="1:19" x14ac:dyDescent="0.2">
      <c r="A1063" s="51">
        <v>43739</v>
      </c>
      <c r="B1063" s="34">
        <v>69</v>
      </c>
      <c r="C1063" s="35" t="s">
        <v>37</v>
      </c>
      <c r="D1063" s="34" t="str">
        <f>VLOOKUP(C1063,'SALE PARTY MASTER'!$B$4:$E$500,2,FALSE)</f>
        <v>27AAGCM1258H1ZG</v>
      </c>
      <c r="E1063" s="34" t="s">
        <v>22</v>
      </c>
      <c r="F1063" s="36" t="s">
        <v>2514</v>
      </c>
      <c r="G1063" s="37">
        <v>43756</v>
      </c>
      <c r="H1063" s="38" t="s">
        <v>2425</v>
      </c>
      <c r="I1063" s="39">
        <f>VLOOKUP(H1063,'SALE HSN MASTER'!$A$4:$E$5001,5,FALSE)</f>
        <v>12</v>
      </c>
      <c r="J1063" s="38">
        <v>200</v>
      </c>
      <c r="K1063" s="40">
        <v>38000</v>
      </c>
      <c r="L1063" s="41">
        <f t="shared" si="4"/>
        <v>0</v>
      </c>
      <c r="M1063" s="41">
        <f t="shared" si="5"/>
        <v>2280</v>
      </c>
      <c r="N1063" s="41">
        <f t="shared" si="6"/>
        <v>2280</v>
      </c>
      <c r="O1063" s="41">
        <v>0</v>
      </c>
      <c r="P1063" s="42">
        <f t="shared" si="7"/>
        <v>42560</v>
      </c>
      <c r="Q1063" s="34" t="s">
        <v>25</v>
      </c>
      <c r="R1063" s="34" t="str">
        <f>VLOOKUP(C1063,'SALE PARTY MASTER'!$B$4:$E$500,4,FALSE)</f>
        <v>Local</v>
      </c>
      <c r="S1063" s="11" t="s">
        <v>4105</v>
      </c>
    </row>
    <row r="1064" spans="1:19" x14ac:dyDescent="0.2">
      <c r="A1064" s="51">
        <v>43739</v>
      </c>
      <c r="B1064" s="34">
        <v>70</v>
      </c>
      <c r="C1064" s="35" t="s">
        <v>28</v>
      </c>
      <c r="D1064" s="34" t="str">
        <f>VLOOKUP(C1064,'SALE PARTY MASTER'!$B$4:$E$500,2,FALSE)</f>
        <v>27AAECM8871A1ZF</v>
      </c>
      <c r="E1064" s="34" t="s">
        <v>22</v>
      </c>
      <c r="F1064" s="36" t="s">
        <v>2515</v>
      </c>
      <c r="G1064" s="37">
        <v>43756</v>
      </c>
      <c r="H1064" s="38">
        <v>87089900</v>
      </c>
      <c r="I1064" s="39">
        <f>VLOOKUP(H1064,'SALE HSN MASTER'!$A$4:$E$5001,5,FALSE)</f>
        <v>28</v>
      </c>
      <c r="J1064" s="38">
        <v>12</v>
      </c>
      <c r="K1064" s="40">
        <v>23255.759999999998</v>
      </c>
      <c r="L1064" s="41">
        <f t="shared" si="4"/>
        <v>0</v>
      </c>
      <c r="M1064" s="41">
        <f t="shared" si="5"/>
        <v>3255.8063999999995</v>
      </c>
      <c r="N1064" s="41">
        <f t="shared" si="6"/>
        <v>3255.8063999999995</v>
      </c>
      <c r="O1064" s="41">
        <v>0</v>
      </c>
      <c r="P1064" s="42">
        <f t="shared" si="7"/>
        <v>29767.372799999997</v>
      </c>
      <c r="Q1064" s="34" t="s">
        <v>25</v>
      </c>
      <c r="R1064" s="34" t="str">
        <f>VLOOKUP(C1064,'SALE PARTY MASTER'!$B$4:$E$500,4,FALSE)</f>
        <v>Local</v>
      </c>
      <c r="S1064" s="11" t="s">
        <v>4105</v>
      </c>
    </row>
    <row r="1065" spans="1:19" x14ac:dyDescent="0.2">
      <c r="A1065" s="51">
        <v>43739</v>
      </c>
      <c r="B1065" s="34">
        <v>71</v>
      </c>
      <c r="C1065" s="35" t="s">
        <v>49</v>
      </c>
      <c r="D1065" s="34" t="str">
        <f>VLOOKUP(C1065,'SALE PARTY MASTER'!$B$4:$E$500,2,FALSE)</f>
        <v>27AABFJ4217F1ZP</v>
      </c>
      <c r="E1065" s="34" t="s">
        <v>22</v>
      </c>
      <c r="F1065" s="36" t="s">
        <v>2516</v>
      </c>
      <c r="G1065" s="37">
        <v>43756</v>
      </c>
      <c r="H1065" s="38" t="s">
        <v>2425</v>
      </c>
      <c r="I1065" s="39">
        <f>VLOOKUP(H1065,'SALE HSN MASTER'!$A$4:$E$5001,5,FALSE)</f>
        <v>12</v>
      </c>
      <c r="J1065" s="38">
        <v>35</v>
      </c>
      <c r="K1065" s="40">
        <v>9944.9</v>
      </c>
      <c r="L1065" s="41">
        <f t="shared" si="4"/>
        <v>0</v>
      </c>
      <c r="M1065" s="41">
        <f t="shared" si="5"/>
        <v>596.69399999999996</v>
      </c>
      <c r="N1065" s="41">
        <f t="shared" si="6"/>
        <v>596.69399999999996</v>
      </c>
      <c r="O1065" s="41">
        <v>0</v>
      </c>
      <c r="P1065" s="42">
        <f t="shared" si="7"/>
        <v>11138.288</v>
      </c>
      <c r="Q1065" s="34" t="s">
        <v>25</v>
      </c>
      <c r="R1065" s="34" t="str">
        <f>VLOOKUP(C1065,'SALE PARTY MASTER'!$B$4:$E$500,4,FALSE)</f>
        <v>Local</v>
      </c>
      <c r="S1065" s="11" t="s">
        <v>4105</v>
      </c>
    </row>
    <row r="1066" spans="1:19" x14ac:dyDescent="0.2">
      <c r="A1066" s="51">
        <v>43739</v>
      </c>
      <c r="B1066" s="34">
        <v>72</v>
      </c>
      <c r="C1066" s="35" t="s">
        <v>73</v>
      </c>
      <c r="D1066" s="34" t="str">
        <f>VLOOKUP(C1066,'SALE PARTY MASTER'!$B$4:$E$500,2,FALSE)</f>
        <v>27AAACH4211R1ZF</v>
      </c>
      <c r="E1066" s="34" t="s">
        <v>22</v>
      </c>
      <c r="F1066" s="36" t="s">
        <v>2517</v>
      </c>
      <c r="G1066" s="37">
        <v>43756</v>
      </c>
      <c r="H1066" s="38">
        <v>85129000</v>
      </c>
      <c r="I1066" s="39">
        <f>VLOOKUP(H1066,'SALE HSN MASTER'!$A$4:$E$5001,5,FALSE)</f>
        <v>18</v>
      </c>
      <c r="J1066" s="38">
        <v>2400</v>
      </c>
      <c r="K1066" s="40">
        <v>60000</v>
      </c>
      <c r="L1066" s="41">
        <f t="shared" si="4"/>
        <v>0</v>
      </c>
      <c r="M1066" s="41">
        <f t="shared" si="5"/>
        <v>5400</v>
      </c>
      <c r="N1066" s="41">
        <f t="shared" si="6"/>
        <v>5400</v>
      </c>
      <c r="O1066" s="41">
        <v>0</v>
      </c>
      <c r="P1066" s="42">
        <f t="shared" si="7"/>
        <v>70800</v>
      </c>
      <c r="Q1066" s="34" t="s">
        <v>25</v>
      </c>
      <c r="R1066" s="34" t="str">
        <f>VLOOKUP(C1066,'SALE PARTY MASTER'!$B$4:$E$500,4,FALSE)</f>
        <v>Local</v>
      </c>
      <c r="S1066" s="11" t="s">
        <v>4105</v>
      </c>
    </row>
    <row r="1067" spans="1:19" x14ac:dyDescent="0.2">
      <c r="A1067" s="51">
        <v>43739</v>
      </c>
      <c r="B1067" s="34">
        <v>73</v>
      </c>
      <c r="C1067" s="35" t="s">
        <v>73</v>
      </c>
      <c r="D1067" s="34" t="str">
        <f>VLOOKUP(C1067,'SALE PARTY MASTER'!$B$4:$E$500,2,FALSE)</f>
        <v>27AAACH4211R1ZF</v>
      </c>
      <c r="E1067" s="34" t="s">
        <v>22</v>
      </c>
      <c r="F1067" s="36" t="s">
        <v>2518</v>
      </c>
      <c r="G1067" s="37">
        <v>43757</v>
      </c>
      <c r="H1067" s="38">
        <v>85129000</v>
      </c>
      <c r="I1067" s="39">
        <f>VLOOKUP(H1067,'SALE HSN MASTER'!$A$4:$E$5001,5,FALSE)</f>
        <v>18</v>
      </c>
      <c r="J1067" s="38">
        <v>960</v>
      </c>
      <c r="K1067" s="40">
        <v>24000</v>
      </c>
      <c r="L1067" s="41">
        <f t="shared" si="4"/>
        <v>0</v>
      </c>
      <c r="M1067" s="41">
        <f t="shared" si="5"/>
        <v>2160</v>
      </c>
      <c r="N1067" s="41">
        <f t="shared" si="6"/>
        <v>2160</v>
      </c>
      <c r="O1067" s="41">
        <v>0</v>
      </c>
      <c r="P1067" s="42">
        <f t="shared" si="7"/>
        <v>28320</v>
      </c>
      <c r="Q1067" s="34" t="s">
        <v>25</v>
      </c>
      <c r="R1067" s="34" t="str">
        <f>VLOOKUP(C1067,'SALE PARTY MASTER'!$B$4:$E$500,4,FALSE)</f>
        <v>Local</v>
      </c>
      <c r="S1067" s="11" t="s">
        <v>4105</v>
      </c>
    </row>
    <row r="1068" spans="1:19" x14ac:dyDescent="0.2">
      <c r="A1068" s="51">
        <v>43739</v>
      </c>
      <c r="B1068" s="34">
        <v>74</v>
      </c>
      <c r="C1068" s="35" t="s">
        <v>124</v>
      </c>
      <c r="D1068" s="34" t="str">
        <f>VLOOKUP(C1068,'SALE PARTY MASTER'!$B$4:$E$500,2,FALSE)</f>
        <v>27AAACB2484Q1Z8</v>
      </c>
      <c r="E1068" s="34" t="s">
        <v>22</v>
      </c>
      <c r="F1068" s="36" t="s">
        <v>2519</v>
      </c>
      <c r="G1068" s="37">
        <v>43757</v>
      </c>
      <c r="H1068" s="38" t="s">
        <v>2425</v>
      </c>
      <c r="I1068" s="39">
        <f>VLOOKUP(H1068,'SALE HSN MASTER'!$A$4:$E$5001,5,FALSE)</f>
        <v>12</v>
      </c>
      <c r="J1068" s="38">
        <v>281</v>
      </c>
      <c r="K1068" s="40">
        <v>23338</v>
      </c>
      <c r="L1068" s="41">
        <f t="shared" si="4"/>
        <v>0</v>
      </c>
      <c r="M1068" s="41">
        <f t="shared" si="5"/>
        <v>1400.28</v>
      </c>
      <c r="N1068" s="41">
        <f t="shared" si="6"/>
        <v>1400.28</v>
      </c>
      <c r="O1068" s="41">
        <v>0</v>
      </c>
      <c r="P1068" s="42">
        <f t="shared" si="7"/>
        <v>26138.560000000001</v>
      </c>
      <c r="Q1068" s="34" t="s">
        <v>25</v>
      </c>
      <c r="R1068" s="34" t="str">
        <f>VLOOKUP(C1068,'SALE PARTY MASTER'!$B$4:$E$500,4,FALSE)</f>
        <v>Local</v>
      </c>
      <c r="S1068" s="11" t="s">
        <v>4105</v>
      </c>
    </row>
    <row r="1069" spans="1:19" x14ac:dyDescent="0.2">
      <c r="A1069" s="51">
        <v>43739</v>
      </c>
      <c r="B1069" s="34">
        <v>75</v>
      </c>
      <c r="C1069" s="35" t="s">
        <v>124</v>
      </c>
      <c r="D1069" s="34" t="str">
        <f>VLOOKUP(C1069,'SALE PARTY MASTER'!$B$4:$E$500,2,FALSE)</f>
        <v>27AAACB2484Q1Z8</v>
      </c>
      <c r="E1069" s="34" t="s">
        <v>22</v>
      </c>
      <c r="F1069" s="36" t="s">
        <v>2520</v>
      </c>
      <c r="G1069" s="37">
        <v>43757</v>
      </c>
      <c r="H1069" s="38" t="s">
        <v>2425</v>
      </c>
      <c r="I1069" s="39">
        <f>VLOOKUP(H1069,'SALE HSN MASTER'!$A$4:$E$5001,5,FALSE)</f>
        <v>12</v>
      </c>
      <c r="J1069" s="38">
        <v>1241</v>
      </c>
      <c r="K1069" s="40">
        <v>107068</v>
      </c>
      <c r="L1069" s="41">
        <f t="shared" si="4"/>
        <v>0</v>
      </c>
      <c r="M1069" s="41">
        <f t="shared" si="5"/>
        <v>6424.08</v>
      </c>
      <c r="N1069" s="41">
        <f t="shared" si="6"/>
        <v>6424.08</v>
      </c>
      <c r="O1069" s="41">
        <v>0</v>
      </c>
      <c r="P1069" s="42">
        <f t="shared" si="7"/>
        <v>119916.16</v>
      </c>
      <c r="Q1069" s="34" t="s">
        <v>25</v>
      </c>
      <c r="R1069" s="34" t="str">
        <f>VLOOKUP(C1069,'SALE PARTY MASTER'!$B$4:$E$500,4,FALSE)</f>
        <v>Local</v>
      </c>
      <c r="S1069" s="11" t="s">
        <v>4105</v>
      </c>
    </row>
    <row r="1070" spans="1:19" x14ac:dyDescent="0.2">
      <c r="A1070" s="51">
        <v>43739</v>
      </c>
      <c r="B1070" s="34">
        <v>76</v>
      </c>
      <c r="C1070" s="35" t="s">
        <v>40</v>
      </c>
      <c r="D1070" s="34" t="str">
        <f>VLOOKUP(C1070,'SALE PARTY MASTER'!$B$4:$E$500,2,FALSE)</f>
        <v>27AAACT1848E1ZH</v>
      </c>
      <c r="E1070" s="34" t="s">
        <v>22</v>
      </c>
      <c r="F1070" s="36" t="s">
        <v>2521</v>
      </c>
      <c r="G1070" s="37">
        <v>43757</v>
      </c>
      <c r="H1070" s="38">
        <v>87089900</v>
      </c>
      <c r="I1070" s="39">
        <f>VLOOKUP(H1070,'SALE HSN MASTER'!$A$4:$E$5001,5,FALSE)</f>
        <v>28</v>
      </c>
      <c r="J1070" s="38">
        <v>119</v>
      </c>
      <c r="K1070" s="40">
        <v>39980.089999999997</v>
      </c>
      <c r="L1070" s="41">
        <f t="shared" si="4"/>
        <v>0</v>
      </c>
      <c r="M1070" s="41">
        <f t="shared" si="5"/>
        <v>5597.2125999999989</v>
      </c>
      <c r="N1070" s="41">
        <f t="shared" si="6"/>
        <v>5597.2125999999989</v>
      </c>
      <c r="O1070" s="41">
        <v>0</v>
      </c>
      <c r="P1070" s="42">
        <f t="shared" si="7"/>
        <v>51174.515199999994</v>
      </c>
      <c r="Q1070" s="34" t="s">
        <v>25</v>
      </c>
      <c r="R1070" s="34" t="str">
        <f>VLOOKUP(C1070,'SALE PARTY MASTER'!$B$4:$E$500,4,FALSE)</f>
        <v>Local</v>
      </c>
      <c r="S1070" s="11" t="s">
        <v>4105</v>
      </c>
    </row>
    <row r="1071" spans="1:19" x14ac:dyDescent="0.2">
      <c r="A1071" s="51">
        <v>43739</v>
      </c>
      <c r="B1071" s="34">
        <v>77</v>
      </c>
      <c r="C1071" s="35" t="s">
        <v>28</v>
      </c>
      <c r="D1071" s="34" t="str">
        <f>VLOOKUP(C1071,'SALE PARTY MASTER'!$B$4:$E$500,2,FALSE)</f>
        <v>27AAECM8871A1ZF</v>
      </c>
      <c r="E1071" s="34" t="s">
        <v>22</v>
      </c>
      <c r="F1071" s="36" t="s">
        <v>2522</v>
      </c>
      <c r="G1071" s="37">
        <v>43760</v>
      </c>
      <c r="H1071" s="38">
        <v>87089900</v>
      </c>
      <c r="I1071" s="39">
        <f>VLOOKUP(H1071,'SALE HSN MASTER'!$A$4:$E$5001,5,FALSE)</f>
        <v>28</v>
      </c>
      <c r="J1071" s="38">
        <v>12</v>
      </c>
      <c r="K1071" s="40">
        <v>23508.6</v>
      </c>
      <c r="L1071" s="41">
        <f t="shared" si="4"/>
        <v>0</v>
      </c>
      <c r="M1071" s="41">
        <f t="shared" si="5"/>
        <v>3291.2039999999997</v>
      </c>
      <c r="N1071" s="41">
        <f t="shared" si="6"/>
        <v>3291.2039999999997</v>
      </c>
      <c r="O1071" s="41">
        <v>0</v>
      </c>
      <c r="P1071" s="42">
        <f t="shared" si="7"/>
        <v>30091.007999999998</v>
      </c>
      <c r="Q1071" s="34" t="s">
        <v>25</v>
      </c>
      <c r="R1071" s="34" t="str">
        <f>VLOOKUP(C1071,'SALE PARTY MASTER'!$B$4:$E$500,4,FALSE)</f>
        <v>Local</v>
      </c>
      <c r="S1071" s="11" t="s">
        <v>4105</v>
      </c>
    </row>
    <row r="1072" spans="1:19" x14ac:dyDescent="0.2">
      <c r="A1072" s="51">
        <v>43739</v>
      </c>
      <c r="B1072" s="34">
        <v>78</v>
      </c>
      <c r="C1072" s="35" t="s">
        <v>102</v>
      </c>
      <c r="D1072" s="34" t="str">
        <f>VLOOKUP(C1072,'SALE PARTY MASTER'!$B$4:$E$500,2,FALSE)</f>
        <v>23AABCE9378F1ZK</v>
      </c>
      <c r="E1072" s="34" t="s">
        <v>22</v>
      </c>
      <c r="F1072" s="36" t="s">
        <v>2523</v>
      </c>
      <c r="G1072" s="37">
        <v>43760</v>
      </c>
      <c r="H1072" s="38">
        <v>87081090</v>
      </c>
      <c r="I1072" s="39">
        <f>VLOOKUP(H1072,'SALE HSN MASTER'!$A$4:$E$5001,5,FALSE)</f>
        <v>28</v>
      </c>
      <c r="J1072" s="38">
        <v>1</v>
      </c>
      <c r="K1072" s="40">
        <v>2148.8000000000002</v>
      </c>
      <c r="L1072" s="41">
        <f t="shared" si="4"/>
        <v>601.6640000000001</v>
      </c>
      <c r="M1072" s="41">
        <f t="shared" si="5"/>
        <v>0</v>
      </c>
      <c r="N1072" s="41">
        <f t="shared" si="6"/>
        <v>0</v>
      </c>
      <c r="O1072" s="41">
        <v>0</v>
      </c>
      <c r="P1072" s="42">
        <f t="shared" si="7"/>
        <v>2750.4640000000004</v>
      </c>
      <c r="Q1072" s="34" t="s">
        <v>25</v>
      </c>
      <c r="R1072" s="34" t="str">
        <f>VLOOKUP(C1072,'SALE PARTY MASTER'!$B$4:$E$500,4,FALSE)</f>
        <v>Oms</v>
      </c>
      <c r="S1072" s="11" t="s">
        <v>4105</v>
      </c>
    </row>
    <row r="1073" spans="1:19" x14ac:dyDescent="0.2">
      <c r="A1073" s="51">
        <v>43739</v>
      </c>
      <c r="B1073" s="34">
        <v>79</v>
      </c>
      <c r="C1073" s="35" t="s">
        <v>102</v>
      </c>
      <c r="D1073" s="34" t="str">
        <f>VLOOKUP(C1073,'SALE PARTY MASTER'!$B$4:$E$500,2,FALSE)</f>
        <v>23AABCE9378F1ZK</v>
      </c>
      <c r="E1073" s="34" t="s">
        <v>22</v>
      </c>
      <c r="F1073" s="36" t="s">
        <v>2524</v>
      </c>
      <c r="G1073" s="37">
        <v>43760</v>
      </c>
      <c r="H1073" s="38">
        <v>87081090</v>
      </c>
      <c r="I1073" s="39">
        <f>VLOOKUP(H1073,'SALE HSN MASTER'!$A$4:$E$5001,5,FALSE)</f>
        <v>28</v>
      </c>
      <c r="J1073" s="38">
        <v>30</v>
      </c>
      <c r="K1073" s="40">
        <v>9771.2999999999993</v>
      </c>
      <c r="L1073" s="41">
        <f t="shared" si="4"/>
        <v>2735.9639999999999</v>
      </c>
      <c r="M1073" s="41">
        <f t="shared" si="5"/>
        <v>0</v>
      </c>
      <c r="N1073" s="41">
        <f t="shared" si="6"/>
        <v>0</v>
      </c>
      <c r="O1073" s="41">
        <v>0</v>
      </c>
      <c r="P1073" s="42">
        <f t="shared" si="7"/>
        <v>12507.263999999999</v>
      </c>
      <c r="Q1073" s="34" t="s">
        <v>25</v>
      </c>
      <c r="R1073" s="34" t="str">
        <f>VLOOKUP(C1073,'SALE PARTY MASTER'!$B$4:$E$500,4,FALSE)</f>
        <v>Oms</v>
      </c>
      <c r="S1073" s="11" t="s">
        <v>4105</v>
      </c>
    </row>
    <row r="1074" spans="1:19" x14ac:dyDescent="0.2">
      <c r="A1074" s="51">
        <v>43739</v>
      </c>
      <c r="B1074" s="34">
        <v>80</v>
      </c>
      <c r="C1074" s="35" t="s">
        <v>102</v>
      </c>
      <c r="D1074" s="34" t="str">
        <f>VLOOKUP(C1074,'SALE PARTY MASTER'!$B$4:$E$500,2,FALSE)</f>
        <v>23AABCE9378F1ZK</v>
      </c>
      <c r="E1074" s="34" t="s">
        <v>22</v>
      </c>
      <c r="F1074" s="36" t="s">
        <v>2525</v>
      </c>
      <c r="G1074" s="37">
        <v>43760</v>
      </c>
      <c r="H1074" s="38">
        <v>87081090</v>
      </c>
      <c r="I1074" s="39">
        <f>VLOOKUP(H1074,'SALE HSN MASTER'!$A$4:$E$5001,5,FALSE)</f>
        <v>28</v>
      </c>
      <c r="J1074" s="38">
        <v>4</v>
      </c>
      <c r="K1074" s="40">
        <v>8123.48</v>
      </c>
      <c r="L1074" s="41">
        <f t="shared" si="4"/>
        <v>2274.5744</v>
      </c>
      <c r="M1074" s="41">
        <f t="shared" si="5"/>
        <v>0</v>
      </c>
      <c r="N1074" s="41">
        <f t="shared" si="6"/>
        <v>0</v>
      </c>
      <c r="O1074" s="41">
        <v>0</v>
      </c>
      <c r="P1074" s="42">
        <f t="shared" si="7"/>
        <v>10398.054399999999</v>
      </c>
      <c r="Q1074" s="34" t="s">
        <v>25</v>
      </c>
      <c r="R1074" s="34" t="str">
        <f>VLOOKUP(C1074,'SALE PARTY MASTER'!$B$4:$E$500,4,FALSE)</f>
        <v>Oms</v>
      </c>
      <c r="S1074" s="11" t="s">
        <v>4105</v>
      </c>
    </row>
    <row r="1075" spans="1:19" x14ac:dyDescent="0.2">
      <c r="A1075" s="51">
        <v>43739</v>
      </c>
      <c r="B1075" s="34">
        <v>81</v>
      </c>
      <c r="C1075" s="35" t="s">
        <v>167</v>
      </c>
      <c r="D1075" s="34" t="str">
        <f>VLOOKUP(C1075,'SALE PARTY MASTER'!$B$4:$E$500,2,FALSE)</f>
        <v>27AABFP3834C1ZK</v>
      </c>
      <c r="E1075" s="34" t="s">
        <v>22</v>
      </c>
      <c r="F1075" s="36" t="s">
        <v>2526</v>
      </c>
      <c r="G1075" s="37">
        <v>43760</v>
      </c>
      <c r="H1075" s="38">
        <v>87141900</v>
      </c>
      <c r="I1075" s="39">
        <f>VLOOKUP(H1075,'SALE HSN MASTER'!$A$4:$E$5001,5,FALSE)</f>
        <v>28</v>
      </c>
      <c r="J1075" s="38">
        <v>1100</v>
      </c>
      <c r="K1075" s="40">
        <v>16643</v>
      </c>
      <c r="L1075" s="41">
        <f t="shared" si="4"/>
        <v>0</v>
      </c>
      <c r="M1075" s="41">
        <f t="shared" si="5"/>
        <v>2330.02</v>
      </c>
      <c r="N1075" s="41">
        <f t="shared" si="6"/>
        <v>2330.02</v>
      </c>
      <c r="O1075" s="41">
        <v>0</v>
      </c>
      <c r="P1075" s="42">
        <f t="shared" si="7"/>
        <v>21303.040000000001</v>
      </c>
      <c r="Q1075" s="34" t="s">
        <v>25</v>
      </c>
      <c r="R1075" s="34" t="str">
        <f>VLOOKUP(C1075,'SALE PARTY MASTER'!$B$4:$E$500,4,FALSE)</f>
        <v>Local</v>
      </c>
      <c r="S1075" s="11" t="s">
        <v>4105</v>
      </c>
    </row>
    <row r="1076" spans="1:19" x14ac:dyDescent="0.2">
      <c r="A1076" s="51">
        <v>43739</v>
      </c>
      <c r="B1076" s="34">
        <v>82</v>
      </c>
      <c r="C1076" s="35" t="s">
        <v>49</v>
      </c>
      <c r="D1076" s="34" t="str">
        <f>VLOOKUP(C1076,'SALE PARTY MASTER'!$B$4:$E$500,2,FALSE)</f>
        <v>27AABFJ4217F1ZP</v>
      </c>
      <c r="E1076" s="34" t="s">
        <v>22</v>
      </c>
      <c r="F1076" s="36" t="s">
        <v>2527</v>
      </c>
      <c r="G1076" s="37">
        <v>43760</v>
      </c>
      <c r="H1076" s="38" t="s">
        <v>2425</v>
      </c>
      <c r="I1076" s="39">
        <f>VLOOKUP(H1076,'SALE HSN MASTER'!$A$4:$E$5001,5,FALSE)</f>
        <v>12</v>
      </c>
      <c r="J1076" s="38">
        <v>30</v>
      </c>
      <c r="K1076" s="40">
        <v>8524.2000000000007</v>
      </c>
      <c r="L1076" s="41">
        <f t="shared" si="4"/>
        <v>0</v>
      </c>
      <c r="M1076" s="41">
        <f t="shared" si="5"/>
        <v>511.452</v>
      </c>
      <c r="N1076" s="41">
        <f t="shared" si="6"/>
        <v>511.452</v>
      </c>
      <c r="O1076" s="41">
        <v>0</v>
      </c>
      <c r="P1076" s="42">
        <f t="shared" si="7"/>
        <v>9547.1040000000012</v>
      </c>
      <c r="Q1076" s="34" t="s">
        <v>25</v>
      </c>
      <c r="R1076" s="34" t="str">
        <f>VLOOKUP(C1076,'SALE PARTY MASTER'!$B$4:$E$500,4,FALSE)</f>
        <v>Local</v>
      </c>
      <c r="S1076" s="11" t="s">
        <v>4105</v>
      </c>
    </row>
    <row r="1077" spans="1:19" x14ac:dyDescent="0.2">
      <c r="A1077" s="51">
        <v>43739</v>
      </c>
      <c r="B1077" s="34">
        <v>83</v>
      </c>
      <c r="C1077" s="35" t="s">
        <v>155</v>
      </c>
      <c r="D1077" s="34" t="str">
        <f>VLOOKUP(C1077,'SALE PARTY MASTER'!$B$4:$E$500,2,FALSE)</f>
        <v>27AAGCP0139E1ZP</v>
      </c>
      <c r="E1077" s="34" t="s">
        <v>22</v>
      </c>
      <c r="F1077" s="36" t="s">
        <v>2528</v>
      </c>
      <c r="G1077" s="37">
        <v>43760</v>
      </c>
      <c r="H1077" s="38">
        <v>87141090</v>
      </c>
      <c r="I1077" s="39">
        <f>VLOOKUP(H1077,'SALE HSN MASTER'!$A$4:$E$5001,5,FALSE)</f>
        <v>28</v>
      </c>
      <c r="J1077" s="38">
        <v>640</v>
      </c>
      <c r="K1077" s="40">
        <v>48236.800000000003</v>
      </c>
      <c r="L1077" s="41">
        <f t="shared" si="4"/>
        <v>0</v>
      </c>
      <c r="M1077" s="41">
        <f t="shared" si="5"/>
        <v>6753.152000000001</v>
      </c>
      <c r="N1077" s="41">
        <f t="shared" si="6"/>
        <v>6753.152000000001</v>
      </c>
      <c r="O1077" s="41">
        <v>0</v>
      </c>
      <c r="P1077" s="42">
        <f t="shared" si="7"/>
        <v>61743.104000000007</v>
      </c>
      <c r="Q1077" s="34" t="s">
        <v>25</v>
      </c>
      <c r="R1077" s="34" t="str">
        <f>VLOOKUP(C1077,'SALE PARTY MASTER'!$B$4:$E$500,4,FALSE)</f>
        <v>Local</v>
      </c>
      <c r="S1077" s="11" t="s">
        <v>4105</v>
      </c>
    </row>
    <row r="1078" spans="1:19" x14ac:dyDescent="0.2">
      <c r="A1078" s="51">
        <v>43739</v>
      </c>
      <c r="B1078" s="34">
        <v>84</v>
      </c>
      <c r="C1078" s="35" t="s">
        <v>73</v>
      </c>
      <c r="D1078" s="34" t="str">
        <f>VLOOKUP(C1078,'SALE PARTY MASTER'!$B$4:$E$500,2,FALSE)</f>
        <v>27AAACH4211R1ZF</v>
      </c>
      <c r="E1078" s="34" t="s">
        <v>22</v>
      </c>
      <c r="F1078" s="36" t="s">
        <v>2529</v>
      </c>
      <c r="G1078" s="37">
        <v>43760</v>
      </c>
      <c r="H1078" s="38">
        <v>85129000</v>
      </c>
      <c r="I1078" s="39">
        <f>VLOOKUP(H1078,'SALE HSN MASTER'!$A$4:$E$5001,5,FALSE)</f>
        <v>18</v>
      </c>
      <c r="J1078" s="38">
        <v>4560</v>
      </c>
      <c r="K1078" s="40">
        <v>114000</v>
      </c>
      <c r="L1078" s="41">
        <f t="shared" si="4"/>
        <v>0</v>
      </c>
      <c r="M1078" s="41">
        <f t="shared" si="5"/>
        <v>10260</v>
      </c>
      <c r="N1078" s="41">
        <f t="shared" si="6"/>
        <v>10260</v>
      </c>
      <c r="O1078" s="41">
        <v>0</v>
      </c>
      <c r="P1078" s="42">
        <f t="shared" si="7"/>
        <v>134520</v>
      </c>
      <c r="Q1078" s="34" t="s">
        <v>25</v>
      </c>
      <c r="R1078" s="34" t="str">
        <f>VLOOKUP(C1078,'SALE PARTY MASTER'!$B$4:$E$500,4,FALSE)</f>
        <v>Local</v>
      </c>
      <c r="S1078" s="11" t="s">
        <v>4105</v>
      </c>
    </row>
    <row r="1079" spans="1:19" x14ac:dyDescent="0.2">
      <c r="A1079" s="51">
        <v>43739</v>
      </c>
      <c r="B1079" s="34">
        <v>85</v>
      </c>
      <c r="C1079" s="35" t="s">
        <v>49</v>
      </c>
      <c r="D1079" s="34" t="str">
        <f>VLOOKUP(C1079,'SALE PARTY MASTER'!$B$4:$E$500,2,FALSE)</f>
        <v>27AABFJ4217F1ZP</v>
      </c>
      <c r="E1079" s="34" t="s">
        <v>22</v>
      </c>
      <c r="F1079" s="36" t="s">
        <v>2530</v>
      </c>
      <c r="G1079" s="37">
        <v>43761</v>
      </c>
      <c r="H1079" s="38" t="s">
        <v>2425</v>
      </c>
      <c r="I1079" s="39">
        <f>VLOOKUP(H1079,'SALE HSN MASTER'!$A$4:$E$5001,5,FALSE)</f>
        <v>12</v>
      </c>
      <c r="J1079" s="38">
        <v>30</v>
      </c>
      <c r="K1079" s="40">
        <v>8524.2000000000007</v>
      </c>
      <c r="L1079" s="41">
        <f t="shared" si="4"/>
        <v>0</v>
      </c>
      <c r="M1079" s="41">
        <f t="shared" si="5"/>
        <v>511.452</v>
      </c>
      <c r="N1079" s="41">
        <f t="shared" si="6"/>
        <v>511.452</v>
      </c>
      <c r="O1079" s="41">
        <v>0</v>
      </c>
      <c r="P1079" s="42">
        <f t="shared" si="7"/>
        <v>9547.1040000000012</v>
      </c>
      <c r="Q1079" s="34" t="s">
        <v>25</v>
      </c>
      <c r="R1079" s="34" t="str">
        <f>VLOOKUP(C1079,'SALE PARTY MASTER'!$B$4:$E$500,4,FALSE)</f>
        <v>Local</v>
      </c>
      <c r="S1079" s="11" t="s">
        <v>4105</v>
      </c>
    </row>
    <row r="1080" spans="1:19" x14ac:dyDescent="0.2">
      <c r="A1080" s="51">
        <v>43739</v>
      </c>
      <c r="B1080" s="34">
        <v>86</v>
      </c>
      <c r="C1080" s="35" t="s">
        <v>28</v>
      </c>
      <c r="D1080" s="34" t="str">
        <f>VLOOKUP(C1080,'SALE PARTY MASTER'!$B$4:$E$500,2,FALSE)</f>
        <v>27AAECM8871A1ZF</v>
      </c>
      <c r="E1080" s="34" t="s">
        <v>22</v>
      </c>
      <c r="F1080" s="36" t="s">
        <v>2531</v>
      </c>
      <c r="G1080" s="37">
        <v>43761</v>
      </c>
      <c r="H1080" s="38">
        <v>87089900</v>
      </c>
      <c r="I1080" s="39">
        <f>VLOOKUP(H1080,'SALE HSN MASTER'!$A$4:$E$5001,5,FALSE)</f>
        <v>28</v>
      </c>
      <c r="J1080" s="38">
        <v>12</v>
      </c>
      <c r="K1080" s="40">
        <v>23508.6</v>
      </c>
      <c r="L1080" s="41">
        <f t="shared" si="4"/>
        <v>0</v>
      </c>
      <c r="M1080" s="41">
        <f t="shared" si="5"/>
        <v>3291.2039999999997</v>
      </c>
      <c r="N1080" s="41">
        <f t="shared" si="6"/>
        <v>3291.2039999999997</v>
      </c>
      <c r="O1080" s="41">
        <v>0</v>
      </c>
      <c r="P1080" s="42">
        <f t="shared" si="7"/>
        <v>30091.007999999998</v>
      </c>
      <c r="Q1080" s="34" t="s">
        <v>25</v>
      </c>
      <c r="R1080" s="34" t="str">
        <f>VLOOKUP(C1080,'SALE PARTY MASTER'!$B$4:$E$500,4,FALSE)</f>
        <v>Local</v>
      </c>
      <c r="S1080" s="11" t="s">
        <v>4105</v>
      </c>
    </row>
    <row r="1081" spans="1:19" x14ac:dyDescent="0.2">
      <c r="A1081" s="51">
        <v>43739</v>
      </c>
      <c r="B1081" s="34">
        <v>87</v>
      </c>
      <c r="C1081" s="35" t="s">
        <v>40</v>
      </c>
      <c r="D1081" s="34" t="str">
        <f>VLOOKUP(C1081,'SALE PARTY MASTER'!$B$4:$E$500,2,FALSE)</f>
        <v>27AAACT1848E1ZH</v>
      </c>
      <c r="E1081" s="34" t="s">
        <v>22</v>
      </c>
      <c r="F1081" s="36" t="s">
        <v>2532</v>
      </c>
      <c r="G1081" s="37">
        <v>43761</v>
      </c>
      <c r="H1081" s="38">
        <v>87089900</v>
      </c>
      <c r="I1081" s="39">
        <f>VLOOKUP(H1081,'SALE HSN MASTER'!$A$4:$E$5001,5,FALSE)</f>
        <v>28</v>
      </c>
      <c r="J1081" s="38">
        <v>247</v>
      </c>
      <c r="K1081" s="40">
        <v>39424.25</v>
      </c>
      <c r="L1081" s="41">
        <f t="shared" si="4"/>
        <v>0</v>
      </c>
      <c r="M1081" s="41">
        <f t="shared" si="5"/>
        <v>5519.3950000000004</v>
      </c>
      <c r="N1081" s="41">
        <f t="shared" si="6"/>
        <v>5519.3950000000004</v>
      </c>
      <c r="O1081" s="41">
        <v>0</v>
      </c>
      <c r="P1081" s="42">
        <f t="shared" si="7"/>
        <v>50463.040000000001</v>
      </c>
      <c r="Q1081" s="34" t="s">
        <v>25</v>
      </c>
      <c r="R1081" s="34" t="str">
        <f>VLOOKUP(C1081,'SALE PARTY MASTER'!$B$4:$E$500,4,FALSE)</f>
        <v>Local</v>
      </c>
      <c r="S1081" s="11" t="s">
        <v>4105</v>
      </c>
    </row>
    <row r="1082" spans="1:19" x14ac:dyDescent="0.2">
      <c r="A1082" s="51">
        <v>43739</v>
      </c>
      <c r="B1082" s="34">
        <v>88</v>
      </c>
      <c r="C1082" s="35" t="s">
        <v>167</v>
      </c>
      <c r="D1082" s="34" t="str">
        <f>VLOOKUP(C1082,'SALE PARTY MASTER'!$B$4:$E$500,2,FALSE)</f>
        <v>27AABFP3834C1ZK</v>
      </c>
      <c r="E1082" s="34" t="s">
        <v>22</v>
      </c>
      <c r="F1082" s="36" t="s">
        <v>2533</v>
      </c>
      <c r="G1082" s="37">
        <v>43761</v>
      </c>
      <c r="H1082" s="38">
        <v>87141900</v>
      </c>
      <c r="I1082" s="39">
        <f>VLOOKUP(H1082,'SALE HSN MASTER'!$A$4:$E$5001,5,FALSE)</f>
        <v>28</v>
      </c>
      <c r="J1082" s="38">
        <v>2000</v>
      </c>
      <c r="K1082" s="40">
        <v>30260</v>
      </c>
      <c r="L1082" s="41">
        <f t="shared" si="4"/>
        <v>0</v>
      </c>
      <c r="M1082" s="41">
        <f t="shared" si="5"/>
        <v>4236.4000000000005</v>
      </c>
      <c r="N1082" s="41">
        <f t="shared" si="6"/>
        <v>4236.4000000000005</v>
      </c>
      <c r="O1082" s="41">
        <v>0</v>
      </c>
      <c r="P1082" s="42">
        <f t="shared" si="7"/>
        <v>38732.800000000003</v>
      </c>
      <c r="Q1082" s="34" t="s">
        <v>25</v>
      </c>
      <c r="R1082" s="34" t="str">
        <f>VLOOKUP(C1082,'SALE PARTY MASTER'!$B$4:$E$500,4,FALSE)</f>
        <v>Local</v>
      </c>
      <c r="S1082" s="11" t="s">
        <v>4105</v>
      </c>
    </row>
    <row r="1083" spans="1:19" x14ac:dyDescent="0.2">
      <c r="A1083" s="51">
        <v>43739</v>
      </c>
      <c r="B1083" s="34">
        <v>89</v>
      </c>
      <c r="C1083" s="35" t="s">
        <v>45</v>
      </c>
      <c r="D1083" s="34" t="str">
        <f>VLOOKUP(C1083,'SALE PARTY MASTER'!$B$4:$E$500,2,FALSE)</f>
        <v>27AAACD4090Q1Z8</v>
      </c>
      <c r="E1083" s="34" t="s">
        <v>22</v>
      </c>
      <c r="F1083" s="36" t="s">
        <v>2534</v>
      </c>
      <c r="G1083" s="37">
        <v>43761</v>
      </c>
      <c r="H1083" s="38">
        <v>85129000</v>
      </c>
      <c r="I1083" s="39">
        <f>VLOOKUP(H1083,'SALE HSN MASTER'!$A$4:$E$5001,5,FALSE)</f>
        <v>18</v>
      </c>
      <c r="J1083" s="38">
        <v>1260</v>
      </c>
      <c r="K1083" s="40">
        <v>153732.6</v>
      </c>
      <c r="L1083" s="41">
        <f t="shared" si="4"/>
        <v>0</v>
      </c>
      <c r="M1083" s="41">
        <f t="shared" si="5"/>
        <v>13835.934000000001</v>
      </c>
      <c r="N1083" s="41">
        <f t="shared" si="6"/>
        <v>13835.934000000001</v>
      </c>
      <c r="O1083" s="41">
        <v>0</v>
      </c>
      <c r="P1083" s="42">
        <f t="shared" si="7"/>
        <v>181404.46799999999</v>
      </c>
      <c r="Q1083" s="34" t="s">
        <v>25</v>
      </c>
      <c r="R1083" s="34" t="str">
        <f>VLOOKUP(C1083,'SALE PARTY MASTER'!$B$4:$E$500,4,FALSE)</f>
        <v>Local</v>
      </c>
      <c r="S1083" s="11" t="s">
        <v>4105</v>
      </c>
    </row>
    <row r="1084" spans="1:19" x14ac:dyDescent="0.2">
      <c r="A1084" s="51">
        <v>43739</v>
      </c>
      <c r="B1084" s="34">
        <v>90</v>
      </c>
      <c r="C1084" s="35" t="s">
        <v>155</v>
      </c>
      <c r="D1084" s="34" t="str">
        <f>VLOOKUP(C1084,'SALE PARTY MASTER'!$B$4:$E$500,2,FALSE)</f>
        <v>27AAGCP0139E1ZP</v>
      </c>
      <c r="E1084" s="34" t="s">
        <v>22</v>
      </c>
      <c r="F1084" s="36" t="s">
        <v>2535</v>
      </c>
      <c r="G1084" s="37">
        <v>43761</v>
      </c>
      <c r="H1084" s="38">
        <v>87141090</v>
      </c>
      <c r="I1084" s="39">
        <f>VLOOKUP(H1084,'SALE HSN MASTER'!$A$4:$E$5001,5,FALSE)</f>
        <v>28</v>
      </c>
      <c r="J1084" s="38">
        <v>2640</v>
      </c>
      <c r="K1084" s="40">
        <v>124159.2</v>
      </c>
      <c r="L1084" s="41">
        <f t="shared" si="4"/>
        <v>0</v>
      </c>
      <c r="M1084" s="41">
        <f t="shared" si="5"/>
        <v>17382.287999999997</v>
      </c>
      <c r="N1084" s="41">
        <f t="shared" si="6"/>
        <v>17382.287999999997</v>
      </c>
      <c r="O1084" s="41">
        <v>0</v>
      </c>
      <c r="P1084" s="42">
        <f t="shared" si="7"/>
        <v>158923.77599999998</v>
      </c>
      <c r="Q1084" s="34" t="s">
        <v>25</v>
      </c>
      <c r="R1084" s="34" t="str">
        <f>VLOOKUP(C1084,'SALE PARTY MASTER'!$B$4:$E$500,4,FALSE)</f>
        <v>Local</v>
      </c>
      <c r="S1084" s="11" t="s">
        <v>4105</v>
      </c>
    </row>
    <row r="1085" spans="1:19" x14ac:dyDescent="0.2">
      <c r="A1085" s="51">
        <v>43739</v>
      </c>
      <c r="B1085" s="34">
        <v>91</v>
      </c>
      <c r="C1085" s="35" t="s">
        <v>40</v>
      </c>
      <c r="D1085" s="34" t="str">
        <f>VLOOKUP(C1085,'SALE PARTY MASTER'!$B$4:$E$500,2,FALSE)</f>
        <v>27AAACT1848E1ZH</v>
      </c>
      <c r="E1085" s="34" t="s">
        <v>22</v>
      </c>
      <c r="F1085" s="36" t="s">
        <v>2536</v>
      </c>
      <c r="G1085" s="37">
        <v>43762</v>
      </c>
      <c r="H1085" s="38">
        <v>87089900</v>
      </c>
      <c r="I1085" s="39">
        <f>VLOOKUP(H1085,'SALE HSN MASTER'!$A$4:$E$5001,5,FALSE)</f>
        <v>28</v>
      </c>
      <c r="J1085" s="38">
        <v>68</v>
      </c>
      <c r="K1085" s="40">
        <v>33285.68</v>
      </c>
      <c r="L1085" s="41">
        <f t="shared" si="4"/>
        <v>0</v>
      </c>
      <c r="M1085" s="41">
        <f t="shared" si="5"/>
        <v>4659.9952000000003</v>
      </c>
      <c r="N1085" s="41">
        <f t="shared" si="6"/>
        <v>4659.9952000000003</v>
      </c>
      <c r="O1085" s="41">
        <v>0</v>
      </c>
      <c r="P1085" s="42">
        <f t="shared" si="7"/>
        <v>42605.670400000003</v>
      </c>
      <c r="Q1085" s="34" t="s">
        <v>25</v>
      </c>
      <c r="R1085" s="34" t="str">
        <f>VLOOKUP(C1085,'SALE PARTY MASTER'!$B$4:$E$500,4,FALSE)</f>
        <v>Local</v>
      </c>
      <c r="S1085" s="11" t="s">
        <v>4105</v>
      </c>
    </row>
    <row r="1086" spans="1:19" x14ac:dyDescent="0.2">
      <c r="A1086" s="51">
        <v>43739</v>
      </c>
      <c r="B1086" s="34">
        <v>92</v>
      </c>
      <c r="C1086" s="35" t="s">
        <v>40</v>
      </c>
      <c r="D1086" s="34" t="str">
        <f>VLOOKUP(C1086,'SALE PARTY MASTER'!$B$4:$E$500,2,FALSE)</f>
        <v>27AAACT1848E1ZH</v>
      </c>
      <c r="E1086" s="34" t="s">
        <v>22</v>
      </c>
      <c r="F1086" s="36" t="s">
        <v>2537</v>
      </c>
      <c r="G1086" s="37">
        <v>43763</v>
      </c>
      <c r="H1086" s="38">
        <v>87089900</v>
      </c>
      <c r="I1086" s="39">
        <f>VLOOKUP(H1086,'SALE HSN MASTER'!$A$4:$E$5001,5,FALSE)</f>
        <v>28</v>
      </c>
      <c r="J1086" s="38">
        <v>78</v>
      </c>
      <c r="K1086" s="40">
        <v>46312.29</v>
      </c>
      <c r="L1086" s="41">
        <f t="shared" si="4"/>
        <v>0</v>
      </c>
      <c r="M1086" s="41">
        <f t="shared" si="5"/>
        <v>6483.7206000000006</v>
      </c>
      <c r="N1086" s="41">
        <f t="shared" si="6"/>
        <v>6483.7206000000006</v>
      </c>
      <c r="O1086" s="41">
        <v>0</v>
      </c>
      <c r="P1086" s="42">
        <f t="shared" si="7"/>
        <v>59279.731200000002</v>
      </c>
      <c r="Q1086" s="34" t="s">
        <v>25</v>
      </c>
      <c r="R1086" s="34" t="str">
        <f>VLOOKUP(C1086,'SALE PARTY MASTER'!$B$4:$E$500,4,FALSE)</f>
        <v>Local</v>
      </c>
      <c r="S1086" s="11" t="s">
        <v>4105</v>
      </c>
    </row>
    <row r="1087" spans="1:19" x14ac:dyDescent="0.2">
      <c r="A1087" s="51">
        <v>43739</v>
      </c>
      <c r="B1087" s="34">
        <v>93</v>
      </c>
      <c r="C1087" s="34" t="s">
        <v>155</v>
      </c>
      <c r="D1087" s="34" t="str">
        <f>VLOOKUP(C1087,'SALE PARTY MASTER'!$B$4:$E$500,2,FALSE)</f>
        <v>27AAGCP0139E1ZP</v>
      </c>
      <c r="E1087" s="34" t="s">
        <v>22</v>
      </c>
      <c r="F1087" s="36" t="s">
        <v>3337</v>
      </c>
      <c r="G1087" s="37">
        <v>43763</v>
      </c>
      <c r="H1087" s="34">
        <v>87141090</v>
      </c>
      <c r="I1087" s="39">
        <f>VLOOKUP(H1087,'SALE HSN MASTER'!$A$4:$E$5001,5,FALSE)</f>
        <v>28</v>
      </c>
      <c r="J1087" s="38">
        <v>700</v>
      </c>
      <c r="K1087" s="40">
        <v>52759</v>
      </c>
      <c r="L1087" s="41">
        <f t="shared" si="4"/>
        <v>0</v>
      </c>
      <c r="M1087" s="41">
        <f t="shared" si="5"/>
        <v>7386.26</v>
      </c>
      <c r="N1087" s="41">
        <f t="shared" si="6"/>
        <v>7386.26</v>
      </c>
      <c r="O1087" s="41">
        <v>0</v>
      </c>
      <c r="P1087" s="42">
        <f t="shared" si="7"/>
        <v>67531.520000000004</v>
      </c>
      <c r="Q1087" s="34" t="s">
        <v>25</v>
      </c>
      <c r="R1087" s="34" t="str">
        <f>VLOOKUP(C1087,'SALE PARTY MASTER'!$B$4:$E$500,4,FALSE)</f>
        <v>Local</v>
      </c>
      <c r="S1087" s="11" t="s">
        <v>4105</v>
      </c>
    </row>
    <row r="1088" spans="1:19" x14ac:dyDescent="0.2">
      <c r="A1088" s="51">
        <v>43739</v>
      </c>
      <c r="B1088" s="34">
        <v>94</v>
      </c>
      <c r="C1088" s="34" t="s">
        <v>45</v>
      </c>
      <c r="D1088" s="34" t="str">
        <f>VLOOKUP(C1088,'SALE PARTY MASTER'!$B$4:$E$500,2,FALSE)</f>
        <v>27AAACD4090Q1Z8</v>
      </c>
      <c r="E1088" s="34" t="s">
        <v>22</v>
      </c>
      <c r="F1088" s="36" t="s">
        <v>3338</v>
      </c>
      <c r="G1088" s="37">
        <v>43763</v>
      </c>
      <c r="H1088" s="34">
        <v>85129000</v>
      </c>
      <c r="I1088" s="39">
        <f>VLOOKUP(H1088,'SALE HSN MASTER'!$A$4:$E$5001,5,FALSE)</f>
        <v>18</v>
      </c>
      <c r="J1088" s="38">
        <v>1152</v>
      </c>
      <c r="K1088" s="40">
        <v>140555.51999999999</v>
      </c>
      <c r="L1088" s="41">
        <f t="shared" si="4"/>
        <v>0</v>
      </c>
      <c r="M1088" s="41">
        <f t="shared" si="5"/>
        <v>12649.996799999997</v>
      </c>
      <c r="N1088" s="41">
        <f t="shared" si="6"/>
        <v>12649.996799999997</v>
      </c>
      <c r="O1088" s="41">
        <v>0</v>
      </c>
      <c r="P1088" s="42">
        <f t="shared" si="7"/>
        <v>165855.51359999998</v>
      </c>
      <c r="Q1088" s="34" t="s">
        <v>25</v>
      </c>
      <c r="R1088" s="34" t="str">
        <f>VLOOKUP(C1088,'SALE PARTY MASTER'!$B$4:$E$500,4,FALSE)</f>
        <v>Local</v>
      </c>
      <c r="S1088" s="11" t="s">
        <v>4105</v>
      </c>
    </row>
    <row r="1089" spans="1:19" x14ac:dyDescent="0.2">
      <c r="A1089" s="33"/>
      <c r="B1089" s="34"/>
      <c r="C1089" s="34"/>
      <c r="D1089" s="34"/>
      <c r="E1089" s="34"/>
      <c r="F1089" s="34"/>
      <c r="G1089" s="44"/>
      <c r="H1089" s="34"/>
      <c r="I1089" s="34"/>
      <c r="J1089" s="34"/>
      <c r="K1089" s="39"/>
      <c r="L1089" s="41">
        <f t="shared" si="4"/>
        <v>0</v>
      </c>
      <c r="M1089" s="41">
        <f t="shared" si="5"/>
        <v>0</v>
      </c>
      <c r="N1089" s="41">
        <f t="shared" si="6"/>
        <v>0</v>
      </c>
      <c r="O1089" s="41">
        <v>0</v>
      </c>
      <c r="P1089" s="42">
        <f t="shared" si="7"/>
        <v>0</v>
      </c>
      <c r="Q1089" s="34"/>
      <c r="R1089" s="34"/>
      <c r="S1089" s="11" t="s">
        <v>4105</v>
      </c>
    </row>
    <row r="1090" spans="1:19" x14ac:dyDescent="0.2">
      <c r="A1090" s="51">
        <v>43770</v>
      </c>
      <c r="B1090" s="34">
        <v>1</v>
      </c>
      <c r="C1090" s="11" t="s">
        <v>155</v>
      </c>
      <c r="D1090" s="34" t="str">
        <f>VLOOKUP(C1090,'SALE PARTY MASTER'!$B$4:$E$500,2,FALSE)</f>
        <v>27AAGCP0139E1ZP</v>
      </c>
      <c r="E1090" s="34" t="s">
        <v>22</v>
      </c>
      <c r="F1090" s="36" t="s">
        <v>3723</v>
      </c>
      <c r="G1090" s="37">
        <v>43770</v>
      </c>
      <c r="H1090" s="564">
        <v>87141090</v>
      </c>
      <c r="I1090" s="39">
        <f>VLOOKUP(H1090,'SALE HSN MASTER'!$A$4:$E$5001,5,FALSE)</f>
        <v>28</v>
      </c>
      <c r="J1090" s="38">
        <v>800</v>
      </c>
      <c r="K1090" s="40">
        <v>60296</v>
      </c>
      <c r="L1090" s="41">
        <f t="shared" ref="L1090:L1117" si="8">+IF(R1090="Oms",K1090/100*I1090,0)</f>
        <v>0</v>
      </c>
      <c r="M1090" s="41">
        <f t="shared" ref="M1090:M1117" si="9">+IF(R1090="local",K1090/100*I1090/2,0)</f>
        <v>8441.44</v>
      </c>
      <c r="N1090" s="41">
        <f t="shared" ref="N1090:N1117" si="10">+IF(R1090="local",K1090/100*I1090/2,0)</f>
        <v>8441.44</v>
      </c>
      <c r="O1090" s="41">
        <v>0</v>
      </c>
      <c r="P1090" s="42">
        <f t="shared" ref="P1090:P1117" si="11">+O1090+N1090+M1090+L1090+K1090</f>
        <v>77178.880000000005</v>
      </c>
      <c r="Q1090" s="34" t="s">
        <v>25</v>
      </c>
      <c r="R1090" s="34" t="str">
        <f>VLOOKUP(C1090,'SALE PARTY MASTER'!$B$4:$E$500,4,FALSE)</f>
        <v>Local</v>
      </c>
      <c r="S1090" s="11" t="s">
        <v>4105</v>
      </c>
    </row>
    <row r="1091" spans="1:19" x14ac:dyDescent="0.2">
      <c r="A1091" s="51">
        <v>43770</v>
      </c>
      <c r="B1091" s="11">
        <v>2</v>
      </c>
      <c r="C1091" s="35" t="s">
        <v>167</v>
      </c>
      <c r="D1091" s="34" t="str">
        <f>VLOOKUP(C1091,'SALE PARTY MASTER'!$B$4:$E$500,2,FALSE)</f>
        <v>27AABFP3834C1ZK</v>
      </c>
      <c r="E1091" s="34" t="s">
        <v>22</v>
      </c>
      <c r="F1091" s="36" t="s">
        <v>3724</v>
      </c>
      <c r="G1091" s="37">
        <v>43771</v>
      </c>
      <c r="H1091" s="564">
        <v>87141900</v>
      </c>
      <c r="I1091" s="39">
        <f>VLOOKUP(H1091,'SALE HSN MASTER'!$A$4:$E$5001,5,FALSE)</f>
        <v>28</v>
      </c>
      <c r="J1091" s="38">
        <v>2300</v>
      </c>
      <c r="K1091" s="40">
        <v>34799</v>
      </c>
      <c r="L1091" s="41">
        <f t="shared" si="8"/>
        <v>0</v>
      </c>
      <c r="M1091" s="41">
        <f t="shared" si="9"/>
        <v>4871.8600000000006</v>
      </c>
      <c r="N1091" s="41">
        <f t="shared" si="10"/>
        <v>4871.8600000000006</v>
      </c>
      <c r="O1091" s="41">
        <v>0</v>
      </c>
      <c r="P1091" s="42">
        <f t="shared" si="11"/>
        <v>44542.720000000001</v>
      </c>
      <c r="Q1091" s="34" t="s">
        <v>25</v>
      </c>
      <c r="R1091" s="34" t="str">
        <f>VLOOKUP(C1091,'SALE PARTY MASTER'!$B$4:$E$500,4,FALSE)</f>
        <v>Local</v>
      </c>
      <c r="S1091" s="11" t="s">
        <v>4105</v>
      </c>
    </row>
    <row r="1092" spans="1:19" x14ac:dyDescent="0.2">
      <c r="A1092" s="51">
        <v>43770</v>
      </c>
      <c r="B1092" s="11">
        <v>3</v>
      </c>
      <c r="C1092" s="35" t="s">
        <v>102</v>
      </c>
      <c r="D1092" s="34" t="str">
        <f>VLOOKUP(C1092,'SALE PARTY MASTER'!$B$4:$E$500,2,FALSE)</f>
        <v>23AABCE9378F1ZK</v>
      </c>
      <c r="E1092" s="34" t="s">
        <v>22</v>
      </c>
      <c r="F1092" s="36" t="s">
        <v>3725</v>
      </c>
      <c r="G1092" s="37">
        <v>43771</v>
      </c>
      <c r="H1092" s="564">
        <v>87081090</v>
      </c>
      <c r="I1092" s="39">
        <f>VLOOKUP(H1092,'SALE HSN MASTER'!$A$4:$E$5001,5,FALSE)</f>
        <v>28</v>
      </c>
      <c r="J1092" s="38">
        <v>40</v>
      </c>
      <c r="K1092" s="40">
        <v>13028.4</v>
      </c>
      <c r="L1092" s="41">
        <f t="shared" si="8"/>
        <v>3647.9519999999998</v>
      </c>
      <c r="M1092" s="41">
        <f t="shared" si="9"/>
        <v>0</v>
      </c>
      <c r="N1092" s="41">
        <f t="shared" si="10"/>
        <v>0</v>
      </c>
      <c r="O1092" s="41">
        <v>0</v>
      </c>
      <c r="P1092" s="42">
        <f t="shared" si="11"/>
        <v>16676.351999999999</v>
      </c>
      <c r="Q1092" s="34" t="s">
        <v>25</v>
      </c>
      <c r="R1092" s="34" t="str">
        <f>VLOOKUP(C1092,'SALE PARTY MASTER'!$B$4:$E$500,4,FALSE)</f>
        <v>Oms</v>
      </c>
      <c r="S1092" s="11" t="s">
        <v>4105</v>
      </c>
    </row>
    <row r="1093" spans="1:19" x14ac:dyDescent="0.2">
      <c r="A1093" s="51">
        <v>43770</v>
      </c>
      <c r="B1093" s="11">
        <v>4</v>
      </c>
      <c r="C1093" s="35" t="s">
        <v>40</v>
      </c>
      <c r="D1093" s="34" t="str">
        <f>VLOOKUP(C1093,'SALE PARTY MASTER'!$B$4:$E$500,2,FALSE)</f>
        <v>27AAACT1848E1ZH</v>
      </c>
      <c r="E1093" s="34" t="s">
        <v>22</v>
      </c>
      <c r="F1093" s="36" t="s">
        <v>3726</v>
      </c>
      <c r="G1093" s="37">
        <v>43773</v>
      </c>
      <c r="H1093" s="564">
        <v>87089900</v>
      </c>
      <c r="I1093" s="39">
        <f>VLOOKUP(H1093,'SALE HSN MASTER'!$A$4:$E$5001,5,FALSE)</f>
        <v>28</v>
      </c>
      <c r="J1093" s="38">
        <v>56</v>
      </c>
      <c r="K1093" s="40">
        <v>40275.199999999997</v>
      </c>
      <c r="L1093" s="41">
        <f t="shared" si="8"/>
        <v>0</v>
      </c>
      <c r="M1093" s="41">
        <f t="shared" si="9"/>
        <v>5638.5279999999993</v>
      </c>
      <c r="N1093" s="41">
        <f t="shared" si="10"/>
        <v>5638.5279999999993</v>
      </c>
      <c r="O1093" s="41">
        <v>0</v>
      </c>
      <c r="P1093" s="42">
        <f t="shared" si="11"/>
        <v>51552.255999999994</v>
      </c>
      <c r="Q1093" s="34" t="s">
        <v>25</v>
      </c>
      <c r="R1093" s="34" t="str">
        <f>VLOOKUP(C1093,'SALE PARTY MASTER'!$B$4:$E$500,4,FALSE)</f>
        <v>Local</v>
      </c>
      <c r="S1093" s="11" t="s">
        <v>4105</v>
      </c>
    </row>
    <row r="1094" spans="1:19" x14ac:dyDescent="0.2">
      <c r="A1094" s="51">
        <v>43770</v>
      </c>
      <c r="B1094" s="11">
        <v>5</v>
      </c>
      <c r="C1094" s="35" t="s">
        <v>49</v>
      </c>
      <c r="D1094" s="34" t="str">
        <f>VLOOKUP(C1094,'SALE PARTY MASTER'!$B$4:$E$500,2,FALSE)</f>
        <v>27AABFJ4217F1ZP</v>
      </c>
      <c r="E1094" s="34" t="s">
        <v>22</v>
      </c>
      <c r="F1094" s="36" t="s">
        <v>3727</v>
      </c>
      <c r="G1094" s="37">
        <v>43774</v>
      </c>
      <c r="H1094" s="564" t="s">
        <v>2425</v>
      </c>
      <c r="I1094" s="39">
        <f>VLOOKUP(H1094,'SALE HSN MASTER'!$A$4:$E$5001,5,FALSE)</f>
        <v>12</v>
      </c>
      <c r="J1094" s="38">
        <v>29</v>
      </c>
      <c r="K1094" s="40">
        <v>8240.06</v>
      </c>
      <c r="L1094" s="41">
        <f t="shared" si="8"/>
        <v>0</v>
      </c>
      <c r="M1094" s="41">
        <f t="shared" si="9"/>
        <v>494.40359999999998</v>
      </c>
      <c r="N1094" s="41">
        <f t="shared" si="10"/>
        <v>494.40359999999998</v>
      </c>
      <c r="O1094" s="41">
        <v>0</v>
      </c>
      <c r="P1094" s="42">
        <f t="shared" si="11"/>
        <v>9228.8671999999988</v>
      </c>
      <c r="Q1094" s="34" t="s">
        <v>25</v>
      </c>
      <c r="R1094" s="34" t="str">
        <f>VLOOKUP(C1094,'SALE PARTY MASTER'!$B$4:$E$500,4,FALSE)</f>
        <v>Local</v>
      </c>
      <c r="S1094" s="11" t="s">
        <v>4105</v>
      </c>
    </row>
    <row r="1095" spans="1:19" x14ac:dyDescent="0.2">
      <c r="A1095" s="51">
        <v>43770</v>
      </c>
      <c r="B1095" s="11">
        <v>6</v>
      </c>
      <c r="C1095" s="35" t="s">
        <v>73</v>
      </c>
      <c r="D1095" s="34" t="str">
        <f>VLOOKUP(C1095,'SALE PARTY MASTER'!$B$4:$E$500,2,FALSE)</f>
        <v>27AAACH4211R1ZF</v>
      </c>
      <c r="E1095" s="34" t="s">
        <v>22</v>
      </c>
      <c r="F1095" s="36" t="s">
        <v>3728</v>
      </c>
      <c r="G1095" s="37">
        <v>43775</v>
      </c>
      <c r="H1095" s="564">
        <v>85129000</v>
      </c>
      <c r="I1095" s="39">
        <f>VLOOKUP(H1095,'SALE HSN MASTER'!$A$4:$E$5001,5,FALSE)</f>
        <v>18</v>
      </c>
      <c r="J1095" s="38">
        <v>3600</v>
      </c>
      <c r="K1095" s="40">
        <v>90000</v>
      </c>
      <c r="L1095" s="41">
        <f t="shared" si="8"/>
        <v>0</v>
      </c>
      <c r="M1095" s="41">
        <f t="shared" si="9"/>
        <v>8100</v>
      </c>
      <c r="N1095" s="41">
        <f t="shared" si="10"/>
        <v>8100</v>
      </c>
      <c r="O1095" s="41">
        <v>0</v>
      </c>
      <c r="P1095" s="42">
        <f t="shared" si="11"/>
        <v>106200</v>
      </c>
      <c r="Q1095" s="34" t="s">
        <v>25</v>
      </c>
      <c r="R1095" s="34" t="str">
        <f>VLOOKUP(C1095,'SALE PARTY MASTER'!$B$4:$E$500,4,FALSE)</f>
        <v>Local</v>
      </c>
      <c r="S1095" s="11" t="s">
        <v>4105</v>
      </c>
    </row>
    <row r="1096" spans="1:19" x14ac:dyDescent="0.2">
      <c r="A1096" s="51">
        <v>43770</v>
      </c>
      <c r="B1096" s="11">
        <v>7</v>
      </c>
      <c r="C1096" s="35" t="s">
        <v>40</v>
      </c>
      <c r="D1096" s="34" t="str">
        <f>VLOOKUP(C1096,'SALE PARTY MASTER'!$B$4:$E$500,2,FALSE)</f>
        <v>27AAACT1848E1ZH</v>
      </c>
      <c r="E1096" s="34" t="s">
        <v>22</v>
      </c>
      <c r="F1096" s="36" t="s">
        <v>3729</v>
      </c>
      <c r="G1096" s="37">
        <v>43775</v>
      </c>
      <c r="H1096" s="564">
        <v>87089900</v>
      </c>
      <c r="I1096" s="39">
        <f>VLOOKUP(H1096,'SALE HSN MASTER'!$A$4:$E$5001,5,FALSE)</f>
        <v>28</v>
      </c>
      <c r="J1096" s="38">
        <v>118</v>
      </c>
      <c r="K1096" s="40">
        <v>31720.62</v>
      </c>
      <c r="L1096" s="41">
        <f t="shared" si="8"/>
        <v>0</v>
      </c>
      <c r="M1096" s="41">
        <f t="shared" si="9"/>
        <v>4440.8867999999993</v>
      </c>
      <c r="N1096" s="41">
        <f t="shared" si="10"/>
        <v>4440.8867999999993</v>
      </c>
      <c r="O1096" s="41">
        <v>0</v>
      </c>
      <c r="P1096" s="42">
        <f t="shared" si="11"/>
        <v>40602.393599999996</v>
      </c>
      <c r="Q1096" s="34" t="s">
        <v>25</v>
      </c>
      <c r="R1096" s="34" t="str">
        <f>VLOOKUP(C1096,'SALE PARTY MASTER'!$B$4:$E$500,4,FALSE)</f>
        <v>Local</v>
      </c>
      <c r="S1096" s="11" t="s">
        <v>4105</v>
      </c>
    </row>
    <row r="1097" spans="1:19" x14ac:dyDescent="0.2">
      <c r="A1097" s="51">
        <v>43770</v>
      </c>
      <c r="B1097" s="11">
        <v>8</v>
      </c>
      <c r="C1097" s="35" t="s">
        <v>102</v>
      </c>
      <c r="D1097" s="34" t="str">
        <f>VLOOKUP(C1097,'SALE PARTY MASTER'!$B$4:$E$500,2,FALSE)</f>
        <v>23AABCE9378F1ZK</v>
      </c>
      <c r="E1097" s="34" t="s">
        <v>22</v>
      </c>
      <c r="F1097" s="36" t="s">
        <v>3730</v>
      </c>
      <c r="G1097" s="37">
        <v>43775</v>
      </c>
      <c r="H1097" s="564">
        <v>87081090</v>
      </c>
      <c r="I1097" s="39">
        <f>VLOOKUP(H1097,'SALE HSN MASTER'!$A$4:$E$5001,5,FALSE)</f>
        <v>28</v>
      </c>
      <c r="J1097" s="38">
        <v>40</v>
      </c>
      <c r="K1097" s="40">
        <v>13028.4</v>
      </c>
      <c r="L1097" s="41">
        <f t="shared" si="8"/>
        <v>3647.9519999999998</v>
      </c>
      <c r="M1097" s="41">
        <f t="shared" si="9"/>
        <v>0</v>
      </c>
      <c r="N1097" s="41">
        <f t="shared" si="10"/>
        <v>0</v>
      </c>
      <c r="O1097" s="41">
        <v>0</v>
      </c>
      <c r="P1097" s="42">
        <f t="shared" si="11"/>
        <v>16676.351999999999</v>
      </c>
      <c r="Q1097" s="34" t="s">
        <v>25</v>
      </c>
      <c r="R1097" s="34" t="str">
        <f>VLOOKUP(C1097,'SALE PARTY MASTER'!$B$4:$E$500,4,FALSE)</f>
        <v>Oms</v>
      </c>
      <c r="S1097" s="11" t="s">
        <v>4105</v>
      </c>
    </row>
    <row r="1098" spans="1:19" x14ac:dyDescent="0.2">
      <c r="A1098" s="51">
        <v>43770</v>
      </c>
      <c r="B1098" s="11">
        <v>9</v>
      </c>
      <c r="C1098" s="35" t="s">
        <v>102</v>
      </c>
      <c r="D1098" s="34" t="str">
        <f>VLOOKUP(C1098,'SALE PARTY MASTER'!$B$4:$E$500,2,FALSE)</f>
        <v>23AABCE9378F1ZK</v>
      </c>
      <c r="E1098" s="34" t="s">
        <v>22</v>
      </c>
      <c r="F1098" s="36" t="s">
        <v>3731</v>
      </c>
      <c r="G1098" s="37">
        <v>43775</v>
      </c>
      <c r="H1098" s="564">
        <v>87081090</v>
      </c>
      <c r="I1098" s="39">
        <f>VLOOKUP(H1098,'SALE HSN MASTER'!$A$4:$E$5001,5,FALSE)</f>
        <v>28</v>
      </c>
      <c r="J1098" s="38">
        <v>28</v>
      </c>
      <c r="K1098" s="40">
        <v>26286.959999999999</v>
      </c>
      <c r="L1098" s="41">
        <f t="shared" si="8"/>
        <v>7360.3487999999998</v>
      </c>
      <c r="M1098" s="41">
        <f t="shared" si="9"/>
        <v>0</v>
      </c>
      <c r="N1098" s="41">
        <f t="shared" si="10"/>
        <v>0</v>
      </c>
      <c r="O1098" s="41">
        <v>0</v>
      </c>
      <c r="P1098" s="42">
        <f t="shared" si="11"/>
        <v>33647.308799999999</v>
      </c>
      <c r="Q1098" s="34" t="s">
        <v>25</v>
      </c>
      <c r="R1098" s="34" t="str">
        <f>VLOOKUP(C1098,'SALE PARTY MASTER'!$B$4:$E$500,4,FALSE)</f>
        <v>Oms</v>
      </c>
      <c r="S1098" s="11" t="s">
        <v>4105</v>
      </c>
    </row>
    <row r="1099" spans="1:19" x14ac:dyDescent="0.2">
      <c r="A1099" s="51">
        <v>43770</v>
      </c>
      <c r="B1099" s="11">
        <v>10</v>
      </c>
      <c r="C1099" s="35" t="s">
        <v>102</v>
      </c>
      <c r="D1099" s="34" t="str">
        <f>VLOOKUP(C1099,'SALE PARTY MASTER'!$B$4:$E$500,2,FALSE)</f>
        <v>23AABCE9378F1ZK</v>
      </c>
      <c r="E1099" s="34" t="s">
        <v>22</v>
      </c>
      <c r="F1099" s="36" t="s">
        <v>3732</v>
      </c>
      <c r="G1099" s="37">
        <v>43775</v>
      </c>
      <c r="H1099" s="564">
        <v>87081090</v>
      </c>
      <c r="I1099" s="39">
        <f>VLOOKUP(H1099,'SALE HSN MASTER'!$A$4:$E$5001,5,FALSE)</f>
        <v>28</v>
      </c>
      <c r="J1099" s="38">
        <v>15</v>
      </c>
      <c r="K1099" s="40">
        <v>30463.05</v>
      </c>
      <c r="L1099" s="41">
        <f t="shared" si="8"/>
        <v>8529.6539999999986</v>
      </c>
      <c r="M1099" s="41">
        <f t="shared" si="9"/>
        <v>0</v>
      </c>
      <c r="N1099" s="41">
        <f t="shared" si="10"/>
        <v>0</v>
      </c>
      <c r="O1099" s="41">
        <v>0</v>
      </c>
      <c r="P1099" s="42">
        <f t="shared" si="11"/>
        <v>38992.703999999998</v>
      </c>
      <c r="Q1099" s="34" t="s">
        <v>25</v>
      </c>
      <c r="R1099" s="34" t="str">
        <f>VLOOKUP(C1099,'SALE PARTY MASTER'!$B$4:$E$500,4,FALSE)</f>
        <v>Oms</v>
      </c>
      <c r="S1099" s="11" t="s">
        <v>4105</v>
      </c>
    </row>
    <row r="1100" spans="1:19" x14ac:dyDescent="0.2">
      <c r="A1100" s="51">
        <v>43770</v>
      </c>
      <c r="B1100" s="11">
        <v>11</v>
      </c>
      <c r="C1100" s="35" t="s">
        <v>102</v>
      </c>
      <c r="D1100" s="34" t="str">
        <f>VLOOKUP(C1100,'SALE PARTY MASTER'!$B$4:$E$500,2,FALSE)</f>
        <v>23AABCE9378F1ZK</v>
      </c>
      <c r="E1100" s="34" t="s">
        <v>22</v>
      </c>
      <c r="F1100" s="36" t="s">
        <v>3733</v>
      </c>
      <c r="G1100" s="37">
        <v>43775</v>
      </c>
      <c r="H1100" s="564">
        <v>87081090</v>
      </c>
      <c r="I1100" s="39">
        <f>VLOOKUP(H1100,'SALE HSN MASTER'!$A$4:$E$5001,5,FALSE)</f>
        <v>28</v>
      </c>
      <c r="J1100" s="38">
        <v>15</v>
      </c>
      <c r="K1100" s="40">
        <v>32232</v>
      </c>
      <c r="L1100" s="41">
        <f t="shared" si="8"/>
        <v>9024.9599999999991</v>
      </c>
      <c r="M1100" s="41">
        <f t="shared" si="9"/>
        <v>0</v>
      </c>
      <c r="N1100" s="41">
        <f t="shared" si="10"/>
        <v>0</v>
      </c>
      <c r="O1100" s="41">
        <v>0</v>
      </c>
      <c r="P1100" s="42">
        <f t="shared" si="11"/>
        <v>41256.959999999999</v>
      </c>
      <c r="Q1100" s="34" t="s">
        <v>25</v>
      </c>
      <c r="R1100" s="34" t="str">
        <f>VLOOKUP(C1100,'SALE PARTY MASTER'!$B$4:$E$500,4,FALSE)</f>
        <v>Oms</v>
      </c>
      <c r="S1100" s="11" t="s">
        <v>4105</v>
      </c>
    </row>
    <row r="1101" spans="1:19" x14ac:dyDescent="0.2">
      <c r="A1101" s="51">
        <v>43770</v>
      </c>
      <c r="B1101" s="11">
        <v>12</v>
      </c>
      <c r="C1101" s="35" t="s">
        <v>102</v>
      </c>
      <c r="D1101" s="34" t="str">
        <f>VLOOKUP(C1101,'SALE PARTY MASTER'!$B$4:$E$500,2,FALSE)</f>
        <v>23AABCE9378F1ZK</v>
      </c>
      <c r="E1101" s="34" t="s">
        <v>22</v>
      </c>
      <c r="F1101" s="36" t="s">
        <v>3734</v>
      </c>
      <c r="G1101" s="37">
        <v>43775</v>
      </c>
      <c r="H1101" s="564">
        <v>87081090</v>
      </c>
      <c r="I1101" s="39">
        <f>VLOOKUP(H1101,'SALE HSN MASTER'!$A$4:$E$5001,5,FALSE)</f>
        <v>28</v>
      </c>
      <c r="J1101" s="38">
        <v>2</v>
      </c>
      <c r="K1101" s="40">
        <v>2183.6</v>
      </c>
      <c r="L1101" s="41">
        <f t="shared" si="8"/>
        <v>611.4079999999999</v>
      </c>
      <c r="M1101" s="41">
        <f t="shared" si="9"/>
        <v>0</v>
      </c>
      <c r="N1101" s="41">
        <f t="shared" si="10"/>
        <v>0</v>
      </c>
      <c r="O1101" s="41">
        <v>0</v>
      </c>
      <c r="P1101" s="42">
        <f t="shared" si="11"/>
        <v>2795.0079999999998</v>
      </c>
      <c r="Q1101" s="34" t="s">
        <v>25</v>
      </c>
      <c r="R1101" s="34" t="str">
        <f>VLOOKUP(C1101,'SALE PARTY MASTER'!$B$4:$E$500,4,FALSE)</f>
        <v>Oms</v>
      </c>
      <c r="S1101" s="11" t="s">
        <v>4105</v>
      </c>
    </row>
    <row r="1102" spans="1:19" x14ac:dyDescent="0.2">
      <c r="A1102" s="51">
        <v>43770</v>
      </c>
      <c r="B1102" s="34">
        <v>13</v>
      </c>
      <c r="C1102" s="11" t="s">
        <v>155</v>
      </c>
      <c r="D1102" s="34" t="str">
        <f>VLOOKUP(C1102,'SALE PARTY MASTER'!$B$4:$E$500,2,FALSE)</f>
        <v>27AAGCP0139E1ZP</v>
      </c>
      <c r="E1102" s="34" t="s">
        <v>22</v>
      </c>
      <c r="F1102" s="36" t="s">
        <v>3735</v>
      </c>
      <c r="G1102" s="37">
        <v>43776</v>
      </c>
      <c r="H1102" s="564">
        <v>87141090</v>
      </c>
      <c r="I1102" s="39">
        <f>VLOOKUP(H1102,'SALE HSN MASTER'!$A$4:$E$5001,5,FALSE)</f>
        <v>28</v>
      </c>
      <c r="J1102" s="38">
        <v>1860</v>
      </c>
      <c r="K1102" s="40">
        <v>87475.8</v>
      </c>
      <c r="L1102" s="41">
        <f t="shared" si="8"/>
        <v>0</v>
      </c>
      <c r="M1102" s="41">
        <f t="shared" si="9"/>
        <v>12246.612000000001</v>
      </c>
      <c r="N1102" s="41">
        <f t="shared" si="10"/>
        <v>12246.612000000001</v>
      </c>
      <c r="O1102" s="41">
        <v>0</v>
      </c>
      <c r="P1102" s="42">
        <f t="shared" si="11"/>
        <v>111969.024</v>
      </c>
      <c r="Q1102" s="34" t="s">
        <v>25</v>
      </c>
      <c r="R1102" s="34" t="str">
        <f>VLOOKUP(C1102,'SALE PARTY MASTER'!$B$4:$E$500,4,FALSE)</f>
        <v>Local</v>
      </c>
      <c r="S1102" s="11" t="s">
        <v>4105</v>
      </c>
    </row>
    <row r="1103" spans="1:19" x14ac:dyDescent="0.2">
      <c r="A1103" s="51">
        <v>43770</v>
      </c>
      <c r="B1103" s="34">
        <v>14</v>
      </c>
      <c r="C1103" s="11" t="s">
        <v>224</v>
      </c>
      <c r="D1103" s="34" t="str">
        <f>VLOOKUP(C1103,'SALE PARTY MASTER'!$B$4:$E$500,2,FALSE)</f>
        <v>27AAACV2420J1ZI</v>
      </c>
      <c r="E1103" s="34" t="s">
        <v>22</v>
      </c>
      <c r="F1103" s="36" t="s">
        <v>3736</v>
      </c>
      <c r="G1103" s="37">
        <v>43777</v>
      </c>
      <c r="H1103" s="564">
        <v>87141090</v>
      </c>
      <c r="I1103" s="39">
        <f>VLOOKUP(H1103,'SALE HSN MASTER'!$A$4:$E$5001,5,FALSE)</f>
        <v>28</v>
      </c>
      <c r="J1103" s="38">
        <v>972</v>
      </c>
      <c r="K1103" s="40">
        <v>42845.760000000002</v>
      </c>
      <c r="L1103" s="41">
        <f t="shared" si="8"/>
        <v>0</v>
      </c>
      <c r="M1103" s="41">
        <f t="shared" si="9"/>
        <v>5998.4063999999998</v>
      </c>
      <c r="N1103" s="41">
        <f t="shared" si="10"/>
        <v>5998.4063999999998</v>
      </c>
      <c r="O1103" s="41">
        <v>0</v>
      </c>
      <c r="P1103" s="42">
        <f t="shared" si="11"/>
        <v>54842.572800000002</v>
      </c>
      <c r="Q1103" s="34" t="s">
        <v>25</v>
      </c>
      <c r="R1103" s="34" t="str">
        <f>VLOOKUP(C1103,'SALE PARTY MASTER'!$B$4:$E$500,4,FALSE)</f>
        <v>Local</v>
      </c>
      <c r="S1103" s="11" t="s">
        <v>4105</v>
      </c>
    </row>
    <row r="1104" spans="1:19" x14ac:dyDescent="0.2">
      <c r="A1104" s="51">
        <v>43770</v>
      </c>
      <c r="B1104" s="34">
        <v>15</v>
      </c>
      <c r="C1104" s="11" t="s">
        <v>224</v>
      </c>
      <c r="D1104" s="34" t="str">
        <f>VLOOKUP(C1104,'SALE PARTY MASTER'!$B$4:$E$500,2,FALSE)</f>
        <v>27AAACV2420J1ZI</v>
      </c>
      <c r="E1104" s="34" t="s">
        <v>22</v>
      </c>
      <c r="F1104" s="36" t="s">
        <v>3737</v>
      </c>
      <c r="G1104" s="37">
        <v>43777</v>
      </c>
      <c r="H1104" s="564">
        <v>87141090</v>
      </c>
      <c r="I1104" s="39">
        <f>VLOOKUP(H1104,'SALE HSN MASTER'!$A$4:$E$5001,5,FALSE)</f>
        <v>28</v>
      </c>
      <c r="J1104" s="38">
        <v>360</v>
      </c>
      <c r="K1104" s="40">
        <v>19976.400000000001</v>
      </c>
      <c r="L1104" s="41">
        <f t="shared" si="8"/>
        <v>0</v>
      </c>
      <c r="M1104" s="41">
        <f t="shared" si="9"/>
        <v>2796.6959999999999</v>
      </c>
      <c r="N1104" s="41">
        <f t="shared" si="10"/>
        <v>2796.6959999999999</v>
      </c>
      <c r="O1104" s="41">
        <v>0</v>
      </c>
      <c r="P1104" s="42">
        <f t="shared" si="11"/>
        <v>25569.792000000001</v>
      </c>
      <c r="Q1104" s="34" t="s">
        <v>25</v>
      </c>
      <c r="R1104" s="34" t="str">
        <f>VLOOKUP(C1104,'SALE PARTY MASTER'!$B$4:$E$500,4,FALSE)</f>
        <v>Local</v>
      </c>
      <c r="S1104" s="11" t="s">
        <v>4105</v>
      </c>
    </row>
    <row r="1105" spans="1:19" x14ac:dyDescent="0.2">
      <c r="A1105" s="51">
        <v>43770</v>
      </c>
      <c r="B1105" s="34">
        <v>16</v>
      </c>
      <c r="C1105" s="11" t="s">
        <v>155</v>
      </c>
      <c r="D1105" s="34" t="str">
        <f>VLOOKUP(C1105,'SALE PARTY MASTER'!$B$4:$E$500,2,FALSE)</f>
        <v>27AAGCP0139E1ZP</v>
      </c>
      <c r="E1105" s="34" t="s">
        <v>22</v>
      </c>
      <c r="F1105" s="36" t="s">
        <v>3738</v>
      </c>
      <c r="G1105" s="37">
        <v>43777</v>
      </c>
      <c r="H1105" s="564">
        <v>87141090</v>
      </c>
      <c r="I1105" s="39">
        <f>VLOOKUP(H1105,'SALE HSN MASTER'!$A$4:$E$5001,5,FALSE)</f>
        <v>28</v>
      </c>
      <c r="J1105" s="38">
        <v>600</v>
      </c>
      <c r="K1105" s="40">
        <v>45222</v>
      </c>
      <c r="L1105" s="41">
        <f t="shared" si="8"/>
        <v>0</v>
      </c>
      <c r="M1105" s="41">
        <f t="shared" si="9"/>
        <v>6331.08</v>
      </c>
      <c r="N1105" s="41">
        <f t="shared" si="10"/>
        <v>6331.08</v>
      </c>
      <c r="O1105" s="41">
        <v>0</v>
      </c>
      <c r="P1105" s="42">
        <f t="shared" si="11"/>
        <v>57884.160000000003</v>
      </c>
      <c r="Q1105" s="34" t="s">
        <v>25</v>
      </c>
      <c r="R1105" s="34" t="str">
        <f>VLOOKUP(C1105,'SALE PARTY MASTER'!$B$4:$E$500,4,FALSE)</f>
        <v>Local</v>
      </c>
      <c r="S1105" s="11" t="s">
        <v>4105</v>
      </c>
    </row>
    <row r="1106" spans="1:19" x14ac:dyDescent="0.2">
      <c r="A1106" s="51">
        <v>43770</v>
      </c>
      <c r="B1106" s="11">
        <v>17</v>
      </c>
      <c r="C1106" s="35" t="s">
        <v>73</v>
      </c>
      <c r="D1106" s="34" t="str">
        <f>VLOOKUP(C1106,'SALE PARTY MASTER'!$B$4:$E$500,2,FALSE)</f>
        <v>27AAACH4211R1ZF</v>
      </c>
      <c r="E1106" s="34" t="s">
        <v>22</v>
      </c>
      <c r="F1106" s="36" t="s">
        <v>3739</v>
      </c>
      <c r="G1106" s="37">
        <v>43777</v>
      </c>
      <c r="H1106" s="564">
        <v>85129000</v>
      </c>
      <c r="I1106" s="39">
        <f>VLOOKUP(H1106,'SALE HSN MASTER'!$A$4:$E$5001,5,FALSE)</f>
        <v>18</v>
      </c>
      <c r="J1106" s="38">
        <v>3840</v>
      </c>
      <c r="K1106" s="40">
        <v>96000</v>
      </c>
      <c r="L1106" s="41">
        <f t="shared" si="8"/>
        <v>0</v>
      </c>
      <c r="M1106" s="41">
        <f t="shared" si="9"/>
        <v>8640</v>
      </c>
      <c r="N1106" s="41">
        <f t="shared" si="10"/>
        <v>8640</v>
      </c>
      <c r="O1106" s="41">
        <v>0</v>
      </c>
      <c r="P1106" s="42">
        <f t="shared" si="11"/>
        <v>113280</v>
      </c>
      <c r="Q1106" s="34" t="s">
        <v>25</v>
      </c>
      <c r="R1106" s="34" t="str">
        <f>VLOOKUP(C1106,'SALE PARTY MASTER'!$B$4:$E$500,4,FALSE)</f>
        <v>Local</v>
      </c>
      <c r="S1106" s="11" t="s">
        <v>4105</v>
      </c>
    </row>
    <row r="1107" spans="1:19" x14ac:dyDescent="0.2">
      <c r="A1107" s="51">
        <v>43770</v>
      </c>
      <c r="B1107" s="11">
        <v>18</v>
      </c>
      <c r="C1107" s="35" t="s">
        <v>40</v>
      </c>
      <c r="D1107" s="34" t="str">
        <f>VLOOKUP(C1107,'SALE PARTY MASTER'!$B$4:$E$500,2,FALSE)</f>
        <v>27AAACT1848E1ZH</v>
      </c>
      <c r="E1107" s="34" t="s">
        <v>22</v>
      </c>
      <c r="F1107" s="36" t="s">
        <v>3740</v>
      </c>
      <c r="G1107" s="37">
        <v>43778</v>
      </c>
      <c r="H1107" s="564">
        <v>87089900</v>
      </c>
      <c r="I1107" s="39">
        <f>VLOOKUP(H1107,'SALE HSN MASTER'!$A$4:$E$5001,5,FALSE)</f>
        <v>28</v>
      </c>
      <c r="J1107" s="38">
        <v>100</v>
      </c>
      <c r="K1107" s="40">
        <v>42615.42</v>
      </c>
      <c r="L1107" s="41">
        <f t="shared" si="8"/>
        <v>0</v>
      </c>
      <c r="M1107" s="41">
        <f t="shared" si="9"/>
        <v>5966.1588000000002</v>
      </c>
      <c r="N1107" s="41">
        <f t="shared" si="10"/>
        <v>5966.1588000000002</v>
      </c>
      <c r="O1107" s="41">
        <v>0</v>
      </c>
      <c r="P1107" s="42">
        <f t="shared" si="11"/>
        <v>54547.7376</v>
      </c>
      <c r="Q1107" s="34" t="s">
        <v>25</v>
      </c>
      <c r="R1107" s="34" t="str">
        <f>VLOOKUP(C1107,'SALE PARTY MASTER'!$B$4:$E$500,4,FALSE)</f>
        <v>Local</v>
      </c>
      <c r="S1107" s="11" t="s">
        <v>4105</v>
      </c>
    </row>
    <row r="1108" spans="1:19" x14ac:dyDescent="0.2">
      <c r="A1108" s="51">
        <v>43770</v>
      </c>
      <c r="B1108" s="11">
        <v>19</v>
      </c>
      <c r="C1108" s="35" t="s">
        <v>226</v>
      </c>
      <c r="D1108" s="34" t="str">
        <f>VLOOKUP(C1108,'SALE PARTY MASTER'!$B$4:$E$500,2,FALSE)</f>
        <v>23AAACB7112P2ZQ</v>
      </c>
      <c r="E1108" s="34" t="s">
        <v>22</v>
      </c>
      <c r="F1108" s="36" t="s">
        <v>3741</v>
      </c>
      <c r="G1108" s="37">
        <v>43780</v>
      </c>
      <c r="H1108" s="564">
        <v>87081090</v>
      </c>
      <c r="I1108" s="39">
        <f>VLOOKUP(H1108,'SALE HSN MASTER'!$A$4:$E$5001,5,FALSE)</f>
        <v>28</v>
      </c>
      <c r="J1108" s="38">
        <v>40</v>
      </c>
      <c r="K1108" s="40">
        <v>13820.4</v>
      </c>
      <c r="L1108" s="41">
        <f t="shared" si="8"/>
        <v>3869.7120000000004</v>
      </c>
      <c r="M1108" s="41">
        <f t="shared" si="9"/>
        <v>0</v>
      </c>
      <c r="N1108" s="41">
        <f t="shared" si="10"/>
        <v>0</v>
      </c>
      <c r="O1108" s="41">
        <v>0</v>
      </c>
      <c r="P1108" s="42">
        <f t="shared" si="11"/>
        <v>17690.112000000001</v>
      </c>
      <c r="Q1108" s="34" t="s">
        <v>25</v>
      </c>
      <c r="R1108" s="34" t="str">
        <f>VLOOKUP(C1108,'SALE PARTY MASTER'!$B$4:$E$500,4,FALSE)</f>
        <v>Oms</v>
      </c>
      <c r="S1108" s="11" t="s">
        <v>4105</v>
      </c>
    </row>
    <row r="1109" spans="1:19" x14ac:dyDescent="0.2">
      <c r="A1109" s="51">
        <v>43770</v>
      </c>
      <c r="B1109" s="11">
        <v>20</v>
      </c>
      <c r="C1109" s="35" t="s">
        <v>73</v>
      </c>
      <c r="D1109" s="34" t="str">
        <f>VLOOKUP(C1109,'SALE PARTY MASTER'!$B$4:$E$500,2,FALSE)</f>
        <v>27AAACH4211R1ZF</v>
      </c>
      <c r="E1109" s="34" t="s">
        <v>22</v>
      </c>
      <c r="F1109" s="36" t="s">
        <v>3742</v>
      </c>
      <c r="G1109" s="37">
        <v>43780</v>
      </c>
      <c r="H1109" s="564">
        <v>85129000</v>
      </c>
      <c r="I1109" s="39">
        <f>VLOOKUP(H1109,'SALE HSN MASTER'!$A$4:$E$5001,5,FALSE)</f>
        <v>18</v>
      </c>
      <c r="J1109" s="38">
        <v>3840</v>
      </c>
      <c r="K1109" s="40">
        <v>96000</v>
      </c>
      <c r="L1109" s="41">
        <f t="shared" si="8"/>
        <v>0</v>
      </c>
      <c r="M1109" s="41">
        <f t="shared" si="9"/>
        <v>8640</v>
      </c>
      <c r="N1109" s="41">
        <f t="shared" si="10"/>
        <v>8640</v>
      </c>
      <c r="O1109" s="41">
        <v>0</v>
      </c>
      <c r="P1109" s="42">
        <f t="shared" si="11"/>
        <v>113280</v>
      </c>
      <c r="Q1109" s="34" t="s">
        <v>25</v>
      </c>
      <c r="R1109" s="34" t="str">
        <f>VLOOKUP(C1109,'SALE PARTY MASTER'!$B$4:$E$500,4,FALSE)</f>
        <v>Local</v>
      </c>
      <c r="S1109" s="11" t="s">
        <v>4105</v>
      </c>
    </row>
    <row r="1110" spans="1:19" x14ac:dyDescent="0.2">
      <c r="A1110" s="51">
        <v>43770</v>
      </c>
      <c r="B1110" s="11">
        <v>21</v>
      </c>
      <c r="C1110" s="35" t="s">
        <v>40</v>
      </c>
      <c r="D1110" s="34" t="str">
        <f>VLOOKUP(C1110,'SALE PARTY MASTER'!$B$4:$E$500,2,FALSE)</f>
        <v>27AAACT1848E1ZH</v>
      </c>
      <c r="E1110" s="34" t="s">
        <v>22</v>
      </c>
      <c r="F1110" s="36" t="s">
        <v>3743</v>
      </c>
      <c r="G1110" s="37">
        <v>43781</v>
      </c>
      <c r="H1110" s="564">
        <v>87089900</v>
      </c>
      <c r="I1110" s="39">
        <f>VLOOKUP(H1110,'SALE HSN MASTER'!$A$4:$E$5001,5,FALSE)</f>
        <v>28</v>
      </c>
      <c r="J1110" s="38">
        <v>238</v>
      </c>
      <c r="K1110" s="40">
        <v>29822.84</v>
      </c>
      <c r="L1110" s="41">
        <f t="shared" si="8"/>
        <v>0</v>
      </c>
      <c r="M1110" s="41">
        <f t="shared" si="9"/>
        <v>4175.1976000000004</v>
      </c>
      <c r="N1110" s="41">
        <f t="shared" si="10"/>
        <v>4175.1976000000004</v>
      </c>
      <c r="O1110" s="41">
        <v>0</v>
      </c>
      <c r="P1110" s="42">
        <f t="shared" si="11"/>
        <v>38173.235200000003</v>
      </c>
      <c r="Q1110" s="34" t="s">
        <v>25</v>
      </c>
      <c r="R1110" s="34" t="str">
        <f>VLOOKUP(C1110,'SALE PARTY MASTER'!$B$4:$E$500,4,FALSE)</f>
        <v>Local</v>
      </c>
      <c r="S1110" s="11" t="s">
        <v>4105</v>
      </c>
    </row>
    <row r="1111" spans="1:19" x14ac:dyDescent="0.2">
      <c r="A1111" s="51">
        <v>43770</v>
      </c>
      <c r="B1111" s="34">
        <v>22</v>
      </c>
      <c r="C1111" s="11" t="s">
        <v>45</v>
      </c>
      <c r="D1111" s="34" t="str">
        <f>VLOOKUP(C1111,'SALE PARTY MASTER'!$B$4:$E$500,2,FALSE)</f>
        <v>27AAACD4090Q1Z8</v>
      </c>
      <c r="E1111" s="34" t="s">
        <v>22</v>
      </c>
      <c r="F1111" s="36" t="s">
        <v>3744</v>
      </c>
      <c r="G1111" s="37">
        <v>43781</v>
      </c>
      <c r="H1111" s="564">
        <v>85129000</v>
      </c>
      <c r="I1111" s="39">
        <f>VLOOKUP(H1111,'SALE HSN MASTER'!$A$4:$E$5001,5,FALSE)</f>
        <v>18</v>
      </c>
      <c r="J1111" s="38">
        <v>2106</v>
      </c>
      <c r="K1111" s="40">
        <v>256953.06</v>
      </c>
      <c r="L1111" s="41">
        <f t="shared" si="8"/>
        <v>0</v>
      </c>
      <c r="M1111" s="41">
        <f t="shared" si="9"/>
        <v>23125.775399999999</v>
      </c>
      <c r="N1111" s="41">
        <f t="shared" si="10"/>
        <v>23125.775399999999</v>
      </c>
      <c r="O1111" s="41">
        <v>0</v>
      </c>
      <c r="P1111" s="42">
        <f t="shared" si="11"/>
        <v>303204.61080000002</v>
      </c>
      <c r="Q1111" s="34" t="s">
        <v>25</v>
      </c>
      <c r="R1111" s="34" t="str">
        <f>VLOOKUP(C1111,'SALE PARTY MASTER'!$B$4:$E$500,4,FALSE)</f>
        <v>Local</v>
      </c>
      <c r="S1111" s="11" t="s">
        <v>4105</v>
      </c>
    </row>
    <row r="1112" spans="1:19" x14ac:dyDescent="0.2">
      <c r="A1112" s="51">
        <v>43770</v>
      </c>
      <c r="B1112" s="34">
        <v>23</v>
      </c>
      <c r="C1112" s="565" t="s">
        <v>49</v>
      </c>
      <c r="D1112" s="34" t="str">
        <f>VLOOKUP(C1112,'SALE PARTY MASTER'!$B$4:$E$500,2,FALSE)</f>
        <v>27AABFJ4217F1ZP</v>
      </c>
      <c r="E1112" s="34" t="s">
        <v>22</v>
      </c>
      <c r="F1112" s="36" t="s">
        <v>3745</v>
      </c>
      <c r="G1112" s="37">
        <v>43781</v>
      </c>
      <c r="H1112" s="564" t="s">
        <v>2425</v>
      </c>
      <c r="I1112" s="39">
        <f>VLOOKUP(H1112,'SALE HSN MASTER'!$A$4:$E$5001,5,FALSE)</f>
        <v>12</v>
      </c>
      <c r="J1112" s="38">
        <v>23</v>
      </c>
      <c r="K1112" s="40">
        <v>6535.22</v>
      </c>
      <c r="L1112" s="41">
        <f t="shared" si="8"/>
        <v>0</v>
      </c>
      <c r="M1112" s="41">
        <f t="shared" si="9"/>
        <v>392.11320000000001</v>
      </c>
      <c r="N1112" s="41">
        <f t="shared" si="10"/>
        <v>392.11320000000001</v>
      </c>
      <c r="O1112" s="41">
        <v>0</v>
      </c>
      <c r="P1112" s="42">
        <f t="shared" si="11"/>
        <v>7319.4464000000007</v>
      </c>
      <c r="Q1112" s="34" t="s">
        <v>25</v>
      </c>
      <c r="R1112" s="34" t="str">
        <f>VLOOKUP(C1112,'SALE PARTY MASTER'!$B$4:$E$500,4,FALSE)</f>
        <v>Local</v>
      </c>
      <c r="S1112" s="11" t="s">
        <v>4105</v>
      </c>
    </row>
    <row r="1113" spans="1:19" x14ac:dyDescent="0.2">
      <c r="A1113" s="51">
        <v>43770</v>
      </c>
      <c r="B1113" s="34">
        <v>24</v>
      </c>
      <c r="C1113" s="11" t="s">
        <v>155</v>
      </c>
      <c r="D1113" s="34" t="str">
        <f>VLOOKUP(C1113,'SALE PARTY MASTER'!$B$4:$E$500,2,FALSE)</f>
        <v>27AAGCP0139E1ZP</v>
      </c>
      <c r="E1113" s="34" t="s">
        <v>22</v>
      </c>
      <c r="F1113" s="36" t="s">
        <v>3746</v>
      </c>
      <c r="G1113" s="37">
        <v>43781</v>
      </c>
      <c r="H1113" s="564">
        <v>87141090</v>
      </c>
      <c r="I1113" s="39">
        <f>VLOOKUP(H1113,'SALE HSN MASTER'!$A$4:$E$5001,5,FALSE)</f>
        <v>28</v>
      </c>
      <c r="J1113" s="38">
        <v>700</v>
      </c>
      <c r="K1113" s="40">
        <v>52759</v>
      </c>
      <c r="L1113" s="41">
        <f t="shared" si="8"/>
        <v>0</v>
      </c>
      <c r="M1113" s="41">
        <f t="shared" si="9"/>
        <v>7386.26</v>
      </c>
      <c r="N1113" s="41">
        <f t="shared" si="10"/>
        <v>7386.26</v>
      </c>
      <c r="O1113" s="41">
        <v>0</v>
      </c>
      <c r="P1113" s="42">
        <f t="shared" si="11"/>
        <v>67531.520000000004</v>
      </c>
      <c r="Q1113" s="34" t="s">
        <v>25</v>
      </c>
      <c r="R1113" s="34" t="str">
        <f>VLOOKUP(C1113,'SALE PARTY MASTER'!$B$4:$E$500,4,FALSE)</f>
        <v>Local</v>
      </c>
      <c r="S1113" s="11" t="s">
        <v>4105</v>
      </c>
    </row>
    <row r="1114" spans="1:19" x14ac:dyDescent="0.2">
      <c r="A1114" s="51">
        <v>43770</v>
      </c>
      <c r="B1114" s="34">
        <v>25</v>
      </c>
      <c r="C1114" s="11" t="s">
        <v>155</v>
      </c>
      <c r="D1114" s="34" t="str">
        <f>VLOOKUP(C1114,'SALE PARTY MASTER'!$B$4:$E$500,2,FALSE)</f>
        <v>27AAGCP0139E1ZP</v>
      </c>
      <c r="E1114" s="34" t="s">
        <v>22</v>
      </c>
      <c r="F1114" s="36" t="s">
        <v>3747</v>
      </c>
      <c r="G1114" s="37">
        <v>43781</v>
      </c>
      <c r="H1114" s="564">
        <v>87141090</v>
      </c>
      <c r="I1114" s="39">
        <f>VLOOKUP(H1114,'SALE HSN MASTER'!$A$4:$E$5001,5,FALSE)</f>
        <v>28</v>
      </c>
      <c r="J1114" s="38">
        <v>900</v>
      </c>
      <c r="K1114" s="40">
        <v>42327</v>
      </c>
      <c r="L1114" s="41">
        <f t="shared" si="8"/>
        <v>0</v>
      </c>
      <c r="M1114" s="41">
        <f t="shared" si="9"/>
        <v>5925.78</v>
      </c>
      <c r="N1114" s="41">
        <f t="shared" si="10"/>
        <v>5925.78</v>
      </c>
      <c r="O1114" s="41">
        <v>0</v>
      </c>
      <c r="P1114" s="42">
        <f t="shared" si="11"/>
        <v>54178.559999999998</v>
      </c>
      <c r="Q1114" s="34" t="s">
        <v>25</v>
      </c>
      <c r="R1114" s="34" t="str">
        <f>VLOOKUP(C1114,'SALE PARTY MASTER'!$B$4:$E$500,4,FALSE)</f>
        <v>Local</v>
      </c>
      <c r="S1114" s="11" t="s">
        <v>4105</v>
      </c>
    </row>
    <row r="1115" spans="1:19" x14ac:dyDescent="0.2">
      <c r="A1115" s="51">
        <v>43770</v>
      </c>
      <c r="B1115" s="34">
        <v>26</v>
      </c>
      <c r="C1115" s="565" t="s">
        <v>28</v>
      </c>
      <c r="D1115" s="34" t="str">
        <f>VLOOKUP(C1115,'SALE PARTY MASTER'!$B$4:$E$500,2,FALSE)</f>
        <v>27AAECM8871A1ZF</v>
      </c>
      <c r="E1115" s="34" t="s">
        <v>22</v>
      </c>
      <c r="F1115" s="36" t="s">
        <v>3748</v>
      </c>
      <c r="G1115" s="37">
        <v>43781</v>
      </c>
      <c r="H1115" s="564">
        <v>87089900</v>
      </c>
      <c r="I1115" s="39">
        <f>VLOOKUP(H1115,'SALE HSN MASTER'!$A$4:$E$5001,5,FALSE)</f>
        <v>28</v>
      </c>
      <c r="J1115" s="38">
        <v>11</v>
      </c>
      <c r="K1115" s="40">
        <v>21549.55</v>
      </c>
      <c r="L1115" s="41">
        <f t="shared" si="8"/>
        <v>0</v>
      </c>
      <c r="M1115" s="41">
        <f t="shared" si="9"/>
        <v>3016.9369999999999</v>
      </c>
      <c r="N1115" s="41">
        <f t="shared" si="10"/>
        <v>3016.9369999999999</v>
      </c>
      <c r="O1115" s="41">
        <v>0</v>
      </c>
      <c r="P1115" s="42">
        <f t="shared" si="11"/>
        <v>27583.423999999999</v>
      </c>
      <c r="Q1115" s="34" t="s">
        <v>25</v>
      </c>
      <c r="R1115" s="34" t="str">
        <f>VLOOKUP(C1115,'SALE PARTY MASTER'!$B$4:$E$500,4,FALSE)</f>
        <v>Local</v>
      </c>
      <c r="S1115" s="11" t="s">
        <v>4105</v>
      </c>
    </row>
    <row r="1116" spans="1:19" x14ac:dyDescent="0.2">
      <c r="A1116" s="51">
        <v>43770</v>
      </c>
      <c r="B1116" s="34">
        <v>27</v>
      </c>
      <c r="C1116" s="565" t="s">
        <v>124</v>
      </c>
      <c r="D1116" s="34" t="str">
        <f>VLOOKUP(C1116,'SALE PARTY MASTER'!$B$4:$E$500,2,FALSE)</f>
        <v>27AAACB2484Q1Z8</v>
      </c>
      <c r="E1116" s="34" t="s">
        <v>22</v>
      </c>
      <c r="F1116" s="36" t="s">
        <v>3749</v>
      </c>
      <c r="G1116" s="37">
        <v>43781</v>
      </c>
      <c r="H1116" s="564">
        <v>998898</v>
      </c>
      <c r="I1116" s="39">
        <f>VLOOKUP(H1116,'SALE HSN MASTER'!$A$4:$E$5001,5,FALSE)</f>
        <v>18</v>
      </c>
      <c r="J1116" s="38">
        <v>1560</v>
      </c>
      <c r="K1116" s="40">
        <v>10140</v>
      </c>
      <c r="L1116" s="41">
        <f t="shared" si="8"/>
        <v>0</v>
      </c>
      <c r="M1116" s="41">
        <f t="shared" si="9"/>
        <v>912.6</v>
      </c>
      <c r="N1116" s="41">
        <f t="shared" si="10"/>
        <v>912.6</v>
      </c>
      <c r="O1116" s="41">
        <v>0</v>
      </c>
      <c r="P1116" s="42">
        <f t="shared" si="11"/>
        <v>11965.2</v>
      </c>
      <c r="Q1116" s="34" t="s">
        <v>25</v>
      </c>
      <c r="R1116" s="34" t="str">
        <f>VLOOKUP(C1116,'SALE PARTY MASTER'!$B$4:$E$500,4,FALSE)</f>
        <v>Local</v>
      </c>
      <c r="S1116" s="11" t="s">
        <v>4105</v>
      </c>
    </row>
    <row r="1117" spans="1:19" x14ac:dyDescent="0.2">
      <c r="A1117" s="51">
        <v>43770</v>
      </c>
      <c r="B1117" s="34">
        <v>28</v>
      </c>
      <c r="C1117" s="565" t="s">
        <v>73</v>
      </c>
      <c r="D1117" s="34" t="str">
        <f>VLOOKUP(C1117,'SALE PARTY MASTER'!$B$4:$E$500,2,FALSE)</f>
        <v>27AAACH4211R1ZF</v>
      </c>
      <c r="E1117" s="34" t="s">
        <v>22</v>
      </c>
      <c r="F1117" s="36" t="s">
        <v>3750</v>
      </c>
      <c r="G1117" s="37">
        <v>43782</v>
      </c>
      <c r="H1117" s="564">
        <v>85129000</v>
      </c>
      <c r="I1117" s="39">
        <f>VLOOKUP(H1117,'SALE HSN MASTER'!$A$4:$E$5001,5,FALSE)</f>
        <v>18</v>
      </c>
      <c r="J1117" s="38">
        <v>1920</v>
      </c>
      <c r="K1117" s="40">
        <v>48000</v>
      </c>
      <c r="L1117" s="41">
        <f t="shared" si="8"/>
        <v>0</v>
      </c>
      <c r="M1117" s="41">
        <f t="shared" si="9"/>
        <v>4320</v>
      </c>
      <c r="N1117" s="41">
        <f t="shared" si="10"/>
        <v>4320</v>
      </c>
      <c r="O1117" s="41">
        <v>0</v>
      </c>
      <c r="P1117" s="42">
        <f t="shared" si="11"/>
        <v>56640</v>
      </c>
      <c r="Q1117" s="34" t="s">
        <v>25</v>
      </c>
      <c r="R1117" s="34" t="str">
        <f>VLOOKUP(C1117,'SALE PARTY MASTER'!$B$4:$E$500,4,FALSE)</f>
        <v>Local</v>
      </c>
      <c r="S1117" s="11" t="s">
        <v>4105</v>
      </c>
    </row>
    <row r="1118" spans="1:19" x14ac:dyDescent="0.2">
      <c r="A1118" s="51">
        <v>43770</v>
      </c>
      <c r="B1118" s="34">
        <v>29</v>
      </c>
      <c r="C1118" s="565" t="s">
        <v>49</v>
      </c>
      <c r="D1118" s="34"/>
      <c r="E1118" s="34"/>
      <c r="F1118" s="36" t="s">
        <v>4309</v>
      </c>
      <c r="G1118" s="37">
        <v>43784</v>
      </c>
      <c r="H1118" s="564" t="s">
        <v>2425</v>
      </c>
      <c r="I1118" s="39">
        <f>VLOOKUP(H1118,'SALE HSN MASTER'!$A$4:$E$5001,5,FALSE)</f>
        <v>12</v>
      </c>
      <c r="J1118" s="38">
        <v>15</v>
      </c>
      <c r="K1118" s="40">
        <v>4262.1000000000004</v>
      </c>
      <c r="L1118" s="41">
        <f t="shared" ref="L1118:L1181" si="12">+IF(R1118="Oms",K1118/100*I1118,0)</f>
        <v>0</v>
      </c>
      <c r="M1118" s="41">
        <f t="shared" ref="M1118:M1181" si="13">+IF(R1118="local",K1118/100*I1118/2,0)</f>
        <v>255.726</v>
      </c>
      <c r="N1118" s="41">
        <f t="shared" ref="N1118:N1181" si="14">+IF(R1118="local",K1118/100*I1118/2,0)</f>
        <v>255.726</v>
      </c>
      <c r="O1118" s="41">
        <v>0</v>
      </c>
      <c r="P1118" s="42">
        <f t="shared" ref="P1118:P1181" si="15">+O1118+N1118+M1118+L1118+K1118</f>
        <v>4773.5520000000006</v>
      </c>
      <c r="Q1118" s="34" t="s">
        <v>25</v>
      </c>
      <c r="R1118" s="34" t="str">
        <f>VLOOKUP(C1118,'SALE PARTY MASTER'!$B$4:$E$500,4,FALSE)</f>
        <v>Local</v>
      </c>
      <c r="S1118" s="11" t="s">
        <v>4105</v>
      </c>
    </row>
    <row r="1119" spans="1:19" x14ac:dyDescent="0.2">
      <c r="A1119" s="51">
        <v>43770</v>
      </c>
      <c r="B1119" s="34">
        <v>30</v>
      </c>
      <c r="C1119" s="35" t="s">
        <v>40</v>
      </c>
      <c r="D1119" s="34"/>
      <c r="E1119" s="34"/>
      <c r="F1119" s="36" t="s">
        <v>4310</v>
      </c>
      <c r="G1119" s="37">
        <v>43784</v>
      </c>
      <c r="H1119" s="564">
        <v>87089900</v>
      </c>
      <c r="I1119" s="39">
        <f>VLOOKUP(H1119,'SALE HSN MASTER'!$A$4:$E$5001,5,FALSE)</f>
        <v>28</v>
      </c>
      <c r="J1119" s="38">
        <v>62</v>
      </c>
      <c r="K1119" s="40">
        <v>29714.400000000001</v>
      </c>
      <c r="L1119" s="41">
        <f t="shared" si="12"/>
        <v>0</v>
      </c>
      <c r="M1119" s="41">
        <f t="shared" si="13"/>
        <v>4160.0159999999996</v>
      </c>
      <c r="N1119" s="41">
        <f t="shared" si="14"/>
        <v>4160.0159999999996</v>
      </c>
      <c r="O1119" s="41">
        <v>0</v>
      </c>
      <c r="P1119" s="42">
        <f t="shared" si="15"/>
        <v>38034.432000000001</v>
      </c>
      <c r="Q1119" s="34" t="s">
        <v>25</v>
      </c>
      <c r="R1119" s="34" t="str">
        <f>VLOOKUP(C1119,'SALE PARTY MASTER'!$B$4:$E$500,4,FALSE)</f>
        <v>Local</v>
      </c>
      <c r="S1119" s="11" t="s">
        <v>4105</v>
      </c>
    </row>
    <row r="1120" spans="1:19" x14ac:dyDescent="0.2">
      <c r="A1120" s="51">
        <v>43770</v>
      </c>
      <c r="B1120" s="34">
        <v>31</v>
      </c>
      <c r="C1120" s="565" t="s">
        <v>73</v>
      </c>
      <c r="D1120" s="34"/>
      <c r="E1120" s="34"/>
      <c r="F1120" s="36" t="s">
        <v>4311</v>
      </c>
      <c r="G1120" s="37">
        <v>43784</v>
      </c>
      <c r="H1120" s="564">
        <v>85129000</v>
      </c>
      <c r="I1120" s="39">
        <f>VLOOKUP(H1120,'SALE HSN MASTER'!$A$4:$E$5001,5,FALSE)</f>
        <v>18</v>
      </c>
      <c r="J1120" s="38">
        <v>3120</v>
      </c>
      <c r="K1120" s="40">
        <v>78000</v>
      </c>
      <c r="L1120" s="41">
        <f t="shared" si="12"/>
        <v>0</v>
      </c>
      <c r="M1120" s="41">
        <f t="shared" si="13"/>
        <v>7020</v>
      </c>
      <c r="N1120" s="41">
        <f t="shared" si="14"/>
        <v>7020</v>
      </c>
      <c r="O1120" s="41">
        <v>0</v>
      </c>
      <c r="P1120" s="42">
        <f t="shared" si="15"/>
        <v>92040</v>
      </c>
      <c r="Q1120" s="34" t="s">
        <v>25</v>
      </c>
      <c r="R1120" s="34" t="str">
        <f>VLOOKUP(C1120,'SALE PARTY MASTER'!$B$4:$E$500,4,FALSE)</f>
        <v>Local</v>
      </c>
      <c r="S1120" s="11" t="s">
        <v>4105</v>
      </c>
    </row>
    <row r="1121" spans="1:19" x14ac:dyDescent="0.2">
      <c r="A1121" s="51">
        <v>43770</v>
      </c>
      <c r="B1121" s="34">
        <v>32</v>
      </c>
      <c r="C1121" s="565" t="s">
        <v>28</v>
      </c>
      <c r="D1121" s="34"/>
      <c r="E1121" s="34"/>
      <c r="F1121" s="36" t="s">
        <v>4312</v>
      </c>
      <c r="G1121" s="37">
        <v>43785</v>
      </c>
      <c r="H1121" s="564">
        <v>87089900</v>
      </c>
      <c r="I1121" s="39">
        <f>VLOOKUP(H1121,'SALE HSN MASTER'!$A$4:$E$5001,5,FALSE)</f>
        <v>28</v>
      </c>
      <c r="J1121" s="38">
        <v>12</v>
      </c>
      <c r="K1121" s="40">
        <v>23508.6</v>
      </c>
      <c r="L1121" s="41">
        <f t="shared" si="12"/>
        <v>0</v>
      </c>
      <c r="M1121" s="41">
        <f t="shared" si="13"/>
        <v>3291.2039999999997</v>
      </c>
      <c r="N1121" s="41">
        <f t="shared" si="14"/>
        <v>3291.2039999999997</v>
      </c>
      <c r="O1121" s="41">
        <v>0</v>
      </c>
      <c r="P1121" s="42">
        <f t="shared" si="15"/>
        <v>30091.007999999998</v>
      </c>
      <c r="Q1121" s="34" t="s">
        <v>25</v>
      </c>
      <c r="R1121" s="34" t="str">
        <f>VLOOKUP(C1121,'SALE PARTY MASTER'!$B$4:$E$500,4,FALSE)</f>
        <v>Local</v>
      </c>
      <c r="S1121" s="11" t="s">
        <v>4105</v>
      </c>
    </row>
    <row r="1122" spans="1:19" x14ac:dyDescent="0.2">
      <c r="A1122" s="51">
        <v>43770</v>
      </c>
      <c r="B1122" s="34">
        <v>33</v>
      </c>
      <c r="C1122" s="35" t="s">
        <v>40</v>
      </c>
      <c r="D1122" s="34"/>
      <c r="E1122" s="34"/>
      <c r="F1122" s="36" t="s">
        <v>4313</v>
      </c>
      <c r="G1122" s="37">
        <v>43787</v>
      </c>
      <c r="H1122" s="564">
        <v>87089900</v>
      </c>
      <c r="I1122" s="39">
        <f>VLOOKUP(H1122,'SALE HSN MASTER'!$A$4:$E$5001,5,FALSE)</f>
        <v>28</v>
      </c>
      <c r="J1122" s="38">
        <v>90</v>
      </c>
      <c r="K1122" s="40">
        <v>51568.46</v>
      </c>
      <c r="L1122" s="41">
        <f t="shared" si="12"/>
        <v>0</v>
      </c>
      <c r="M1122" s="41">
        <f t="shared" si="13"/>
        <v>7219.5844000000006</v>
      </c>
      <c r="N1122" s="41">
        <f t="shared" si="14"/>
        <v>7219.5844000000006</v>
      </c>
      <c r="O1122" s="41">
        <v>0</v>
      </c>
      <c r="P1122" s="42">
        <f t="shared" si="15"/>
        <v>66007.628800000006</v>
      </c>
      <c r="Q1122" s="34" t="s">
        <v>25</v>
      </c>
      <c r="R1122" s="34" t="str">
        <f>VLOOKUP(C1122,'SALE PARTY MASTER'!$B$4:$E$500,4,FALSE)</f>
        <v>Local</v>
      </c>
      <c r="S1122" s="11" t="s">
        <v>4105</v>
      </c>
    </row>
    <row r="1123" spans="1:19" x14ac:dyDescent="0.2">
      <c r="A1123" s="51">
        <v>43770</v>
      </c>
      <c r="B1123" s="34">
        <v>34</v>
      </c>
      <c r="C1123" s="565" t="s">
        <v>124</v>
      </c>
      <c r="D1123" s="34"/>
      <c r="E1123" s="34"/>
      <c r="F1123" s="36" t="s">
        <v>4314</v>
      </c>
      <c r="G1123" s="37">
        <v>43787</v>
      </c>
      <c r="H1123" s="564" t="s">
        <v>2425</v>
      </c>
      <c r="I1123" s="39">
        <f>VLOOKUP(H1123,'SALE HSN MASTER'!$A$4:$E$5001,5,FALSE)</f>
        <v>12</v>
      </c>
      <c r="J1123" s="38">
        <v>2330</v>
      </c>
      <c r="K1123" s="40">
        <v>198580</v>
      </c>
      <c r="L1123" s="41">
        <f t="shared" si="12"/>
        <v>0</v>
      </c>
      <c r="M1123" s="41">
        <f t="shared" si="13"/>
        <v>11914.8</v>
      </c>
      <c r="N1123" s="41">
        <f t="shared" si="14"/>
        <v>11914.8</v>
      </c>
      <c r="O1123" s="41">
        <v>0</v>
      </c>
      <c r="P1123" s="42">
        <f t="shared" si="15"/>
        <v>222409.60000000001</v>
      </c>
      <c r="Q1123" s="34" t="s">
        <v>25</v>
      </c>
      <c r="R1123" s="34" t="str">
        <f>VLOOKUP(C1123,'SALE PARTY MASTER'!$B$4:$E$500,4,FALSE)</f>
        <v>Local</v>
      </c>
      <c r="S1123" s="11" t="s">
        <v>4105</v>
      </c>
    </row>
    <row r="1124" spans="1:19" x14ac:dyDescent="0.2">
      <c r="A1124" s="51">
        <v>43770</v>
      </c>
      <c r="B1124" s="34">
        <v>35</v>
      </c>
      <c r="C1124" s="565" t="s">
        <v>124</v>
      </c>
      <c r="D1124" s="34"/>
      <c r="E1124" s="34"/>
      <c r="F1124" s="36" t="s">
        <v>4315</v>
      </c>
      <c r="G1124" s="37">
        <v>43787</v>
      </c>
      <c r="H1124" s="564" t="s">
        <v>2425</v>
      </c>
      <c r="I1124" s="39">
        <f>VLOOKUP(H1124,'SALE HSN MASTER'!$A$4:$E$5001,5,FALSE)</f>
        <v>12</v>
      </c>
      <c r="J1124" s="38">
        <v>204</v>
      </c>
      <c r="K1124" s="40">
        <v>1326</v>
      </c>
      <c r="L1124" s="41">
        <f t="shared" si="12"/>
        <v>0</v>
      </c>
      <c r="M1124" s="41">
        <f t="shared" si="13"/>
        <v>79.56</v>
      </c>
      <c r="N1124" s="41">
        <f t="shared" si="14"/>
        <v>79.56</v>
      </c>
      <c r="O1124" s="41">
        <v>0</v>
      </c>
      <c r="P1124" s="42">
        <f t="shared" si="15"/>
        <v>1485.12</v>
      </c>
      <c r="Q1124" s="34" t="s">
        <v>25</v>
      </c>
      <c r="R1124" s="34" t="str">
        <f>VLOOKUP(C1124,'SALE PARTY MASTER'!$B$4:$E$500,4,FALSE)</f>
        <v>Local</v>
      </c>
      <c r="S1124" s="11" t="s">
        <v>4105</v>
      </c>
    </row>
    <row r="1125" spans="1:19" x14ac:dyDescent="0.2">
      <c r="A1125" s="51">
        <v>43770</v>
      </c>
      <c r="B1125" s="34">
        <v>36</v>
      </c>
      <c r="C1125" s="11" t="s">
        <v>45</v>
      </c>
      <c r="D1125" s="34"/>
      <c r="E1125" s="34"/>
      <c r="F1125" s="36" t="s">
        <v>4316</v>
      </c>
      <c r="G1125" s="37">
        <v>43787</v>
      </c>
      <c r="H1125" s="564">
        <v>85129000</v>
      </c>
      <c r="I1125" s="39">
        <f>VLOOKUP(H1125,'SALE HSN MASTER'!$A$4:$E$5001,5,FALSE)</f>
        <v>18</v>
      </c>
      <c r="J1125" s="38">
        <v>711</v>
      </c>
      <c r="K1125" s="40">
        <v>45902.16</v>
      </c>
      <c r="L1125" s="41">
        <f t="shared" si="12"/>
        <v>0</v>
      </c>
      <c r="M1125" s="41">
        <f t="shared" si="13"/>
        <v>4131.1944000000003</v>
      </c>
      <c r="N1125" s="41">
        <f t="shared" si="14"/>
        <v>4131.1944000000003</v>
      </c>
      <c r="O1125" s="41">
        <v>0</v>
      </c>
      <c r="P1125" s="42">
        <f t="shared" si="15"/>
        <v>54164.548800000004</v>
      </c>
      <c r="Q1125" s="34" t="s">
        <v>25</v>
      </c>
      <c r="R1125" s="34" t="str">
        <f>VLOOKUP(C1125,'SALE PARTY MASTER'!$B$4:$E$500,4,FALSE)</f>
        <v>Local</v>
      </c>
      <c r="S1125" s="11" t="s">
        <v>4105</v>
      </c>
    </row>
    <row r="1126" spans="1:19" x14ac:dyDescent="0.2">
      <c r="A1126" s="51">
        <v>43770</v>
      </c>
      <c r="B1126" s="34">
        <v>37</v>
      </c>
      <c r="C1126" s="11" t="s">
        <v>155</v>
      </c>
      <c r="D1126" s="34"/>
      <c r="E1126" s="34"/>
      <c r="F1126" s="36" t="s">
        <v>4317</v>
      </c>
      <c r="G1126" s="37">
        <v>43787</v>
      </c>
      <c r="H1126" s="564">
        <v>87141090</v>
      </c>
      <c r="I1126" s="39">
        <f>VLOOKUP(H1126,'SALE HSN MASTER'!$A$4:$E$5001,5,FALSE)</f>
        <v>28</v>
      </c>
      <c r="J1126" s="38">
        <v>620</v>
      </c>
      <c r="K1126" s="40">
        <v>46729.4</v>
      </c>
      <c r="L1126" s="41">
        <f t="shared" si="12"/>
        <v>0</v>
      </c>
      <c r="M1126" s="41">
        <f t="shared" si="13"/>
        <v>6542.1160000000009</v>
      </c>
      <c r="N1126" s="41">
        <f t="shared" si="14"/>
        <v>6542.1160000000009</v>
      </c>
      <c r="O1126" s="41">
        <v>0</v>
      </c>
      <c r="P1126" s="42">
        <f t="shared" si="15"/>
        <v>59813.632000000005</v>
      </c>
      <c r="Q1126" s="34" t="s">
        <v>25</v>
      </c>
      <c r="R1126" s="34" t="str">
        <f>VLOOKUP(C1126,'SALE PARTY MASTER'!$B$4:$E$500,4,FALSE)</f>
        <v>Local</v>
      </c>
      <c r="S1126" s="11" t="s">
        <v>4105</v>
      </c>
    </row>
    <row r="1127" spans="1:19" x14ac:dyDescent="0.2">
      <c r="A1127" s="51">
        <v>43770</v>
      </c>
      <c r="B1127" s="34">
        <v>38</v>
      </c>
      <c r="C1127" s="11" t="s">
        <v>155</v>
      </c>
      <c r="D1127" s="34"/>
      <c r="E1127" s="34"/>
      <c r="F1127" s="36" t="s">
        <v>4318</v>
      </c>
      <c r="G1127" s="37">
        <v>43787</v>
      </c>
      <c r="H1127" s="564">
        <v>87141090</v>
      </c>
      <c r="I1127" s="39">
        <f>VLOOKUP(H1127,'SALE HSN MASTER'!$A$4:$E$5001,5,FALSE)</f>
        <v>28</v>
      </c>
      <c r="J1127" s="38">
        <v>600</v>
      </c>
      <c r="K1127" s="40">
        <v>28218</v>
      </c>
      <c r="L1127" s="41">
        <f t="shared" si="12"/>
        <v>0</v>
      </c>
      <c r="M1127" s="41">
        <f t="shared" si="13"/>
        <v>3950.52</v>
      </c>
      <c r="N1127" s="41">
        <f t="shared" si="14"/>
        <v>3950.52</v>
      </c>
      <c r="O1127" s="41">
        <v>0</v>
      </c>
      <c r="P1127" s="42">
        <f t="shared" si="15"/>
        <v>36119.040000000001</v>
      </c>
      <c r="Q1127" s="34" t="s">
        <v>25</v>
      </c>
      <c r="R1127" s="34" t="str">
        <f>VLOOKUP(C1127,'SALE PARTY MASTER'!$B$4:$E$500,4,FALSE)</f>
        <v>Local</v>
      </c>
      <c r="S1127" s="11" t="s">
        <v>4105</v>
      </c>
    </row>
    <row r="1128" spans="1:19" x14ac:dyDescent="0.2">
      <c r="A1128" s="51">
        <v>43770</v>
      </c>
      <c r="B1128" s="34">
        <v>39</v>
      </c>
      <c r="C1128" s="565" t="s">
        <v>49</v>
      </c>
      <c r="D1128" s="34"/>
      <c r="E1128" s="34"/>
      <c r="F1128" s="36" t="s">
        <v>4319</v>
      </c>
      <c r="G1128" s="37">
        <v>43788</v>
      </c>
      <c r="H1128" s="564" t="s">
        <v>2425</v>
      </c>
      <c r="I1128" s="39">
        <f>VLOOKUP(H1128,'SALE HSN MASTER'!$A$4:$E$5001,5,FALSE)</f>
        <v>12</v>
      </c>
      <c r="J1128" s="38">
        <v>35</v>
      </c>
      <c r="K1128" s="40">
        <v>9944.9</v>
      </c>
      <c r="L1128" s="41">
        <f t="shared" si="12"/>
        <v>0</v>
      </c>
      <c r="M1128" s="41">
        <f t="shared" si="13"/>
        <v>596.69399999999996</v>
      </c>
      <c r="N1128" s="41">
        <f t="shared" si="14"/>
        <v>596.69399999999996</v>
      </c>
      <c r="O1128" s="41">
        <v>0</v>
      </c>
      <c r="P1128" s="42">
        <f t="shared" si="15"/>
        <v>11138.288</v>
      </c>
      <c r="Q1128" s="34" t="s">
        <v>25</v>
      </c>
      <c r="R1128" s="34" t="str">
        <f>VLOOKUP(C1128,'SALE PARTY MASTER'!$B$4:$E$500,4,FALSE)</f>
        <v>Local</v>
      </c>
      <c r="S1128" s="11" t="s">
        <v>4105</v>
      </c>
    </row>
    <row r="1129" spans="1:19" x14ac:dyDescent="0.2">
      <c r="A1129" s="51">
        <v>43770</v>
      </c>
      <c r="B1129" s="34">
        <v>40</v>
      </c>
      <c r="C1129" s="11" t="s">
        <v>155</v>
      </c>
      <c r="D1129" s="34"/>
      <c r="E1129" s="34"/>
      <c r="F1129" s="36" t="s">
        <v>4320</v>
      </c>
      <c r="G1129" s="37">
        <v>43788</v>
      </c>
      <c r="H1129" s="564">
        <v>87141090</v>
      </c>
      <c r="I1129" s="39">
        <f>VLOOKUP(H1129,'SALE HSN MASTER'!$A$4:$E$5001,5,FALSE)</f>
        <v>28</v>
      </c>
      <c r="J1129" s="38">
        <v>600</v>
      </c>
      <c r="K1129" s="40">
        <v>45222</v>
      </c>
      <c r="L1129" s="41">
        <f t="shared" si="12"/>
        <v>0</v>
      </c>
      <c r="M1129" s="41">
        <f t="shared" si="13"/>
        <v>6331.08</v>
      </c>
      <c r="N1129" s="41">
        <f t="shared" si="14"/>
        <v>6331.08</v>
      </c>
      <c r="O1129" s="41">
        <v>0</v>
      </c>
      <c r="P1129" s="42">
        <f t="shared" si="15"/>
        <v>57884.160000000003</v>
      </c>
      <c r="Q1129" s="34" t="s">
        <v>25</v>
      </c>
      <c r="R1129" s="34" t="str">
        <f>VLOOKUP(C1129,'SALE PARTY MASTER'!$B$4:$E$500,4,FALSE)</f>
        <v>Local</v>
      </c>
      <c r="S1129" s="11" t="s">
        <v>4105</v>
      </c>
    </row>
    <row r="1130" spans="1:19" x14ac:dyDescent="0.2">
      <c r="A1130" s="51">
        <v>43770</v>
      </c>
      <c r="B1130" s="34">
        <v>41</v>
      </c>
      <c r="C1130" s="35" t="s">
        <v>40</v>
      </c>
      <c r="D1130" s="34"/>
      <c r="E1130" s="34"/>
      <c r="F1130" s="36" t="s">
        <v>4321</v>
      </c>
      <c r="G1130" s="37">
        <v>43789</v>
      </c>
      <c r="H1130" s="564">
        <v>87089900</v>
      </c>
      <c r="I1130" s="39">
        <f>VLOOKUP(H1130,'SALE HSN MASTER'!$A$4:$E$5001,5,FALSE)</f>
        <v>28</v>
      </c>
      <c r="J1130" s="38">
        <v>133</v>
      </c>
      <c r="K1130" s="40">
        <v>35727.230000000003</v>
      </c>
      <c r="L1130" s="41">
        <f t="shared" si="12"/>
        <v>0</v>
      </c>
      <c r="M1130" s="41">
        <f t="shared" si="13"/>
        <v>5001.8122000000003</v>
      </c>
      <c r="N1130" s="41">
        <f t="shared" si="14"/>
        <v>5001.8122000000003</v>
      </c>
      <c r="O1130" s="41">
        <v>0</v>
      </c>
      <c r="P1130" s="42">
        <f t="shared" si="15"/>
        <v>45730.854400000004</v>
      </c>
      <c r="Q1130" s="34" t="s">
        <v>25</v>
      </c>
      <c r="R1130" s="34" t="str">
        <f>VLOOKUP(C1130,'SALE PARTY MASTER'!$B$4:$E$500,4,FALSE)</f>
        <v>Local</v>
      </c>
      <c r="S1130" s="11" t="s">
        <v>4105</v>
      </c>
    </row>
    <row r="1131" spans="1:19" x14ac:dyDescent="0.2">
      <c r="A1131" s="51">
        <v>43770</v>
      </c>
      <c r="B1131" s="34">
        <v>42</v>
      </c>
      <c r="C1131" s="35" t="s">
        <v>102</v>
      </c>
      <c r="D1131" s="34"/>
      <c r="E1131" s="34"/>
      <c r="F1131" s="36" t="s">
        <v>4322</v>
      </c>
      <c r="G1131" s="37">
        <v>43789</v>
      </c>
      <c r="H1131" s="564">
        <v>87081090</v>
      </c>
      <c r="I1131" s="39">
        <f>VLOOKUP(H1131,'SALE HSN MASTER'!$A$4:$E$5001,5,FALSE)</f>
        <v>28</v>
      </c>
      <c r="J1131" s="38">
        <v>50</v>
      </c>
      <c r="K1131" s="40">
        <v>16285.5</v>
      </c>
      <c r="L1131" s="41">
        <f t="shared" si="12"/>
        <v>4559.9399999999996</v>
      </c>
      <c r="M1131" s="41">
        <f t="shared" si="13"/>
        <v>0</v>
      </c>
      <c r="N1131" s="41">
        <f t="shared" si="14"/>
        <v>0</v>
      </c>
      <c r="O1131" s="41">
        <v>0</v>
      </c>
      <c r="P1131" s="42">
        <f t="shared" si="15"/>
        <v>20845.439999999999</v>
      </c>
      <c r="Q1131" s="34" t="s">
        <v>25</v>
      </c>
      <c r="R1131" s="34" t="str">
        <f>VLOOKUP(C1131,'SALE PARTY MASTER'!$B$4:$E$500,4,FALSE)</f>
        <v>Oms</v>
      </c>
      <c r="S1131" s="11" t="s">
        <v>4105</v>
      </c>
    </row>
    <row r="1132" spans="1:19" x14ac:dyDescent="0.2">
      <c r="A1132" s="51">
        <v>43770</v>
      </c>
      <c r="B1132" s="34">
        <v>43</v>
      </c>
      <c r="C1132" s="565" t="s">
        <v>73</v>
      </c>
      <c r="D1132" s="34"/>
      <c r="E1132" s="34"/>
      <c r="F1132" s="36" t="s">
        <v>4323</v>
      </c>
      <c r="G1132" s="37">
        <v>43789</v>
      </c>
      <c r="H1132" s="564">
        <v>85129000</v>
      </c>
      <c r="I1132" s="39">
        <f>VLOOKUP(H1132,'SALE HSN MASTER'!$A$4:$E$5001,5,FALSE)</f>
        <v>18</v>
      </c>
      <c r="J1132" s="38">
        <v>7680</v>
      </c>
      <c r="K1132" s="40">
        <v>192000</v>
      </c>
      <c r="L1132" s="41">
        <f t="shared" si="12"/>
        <v>0</v>
      </c>
      <c r="M1132" s="41">
        <f t="shared" si="13"/>
        <v>17280</v>
      </c>
      <c r="N1132" s="41">
        <f t="shared" si="14"/>
        <v>17280</v>
      </c>
      <c r="O1132" s="41">
        <v>0</v>
      </c>
      <c r="P1132" s="42">
        <f t="shared" si="15"/>
        <v>226560</v>
      </c>
      <c r="Q1132" s="34" t="s">
        <v>25</v>
      </c>
      <c r="R1132" s="34" t="str">
        <f>VLOOKUP(C1132,'SALE PARTY MASTER'!$B$4:$E$500,4,FALSE)</f>
        <v>Local</v>
      </c>
      <c r="S1132" s="11" t="s">
        <v>4105</v>
      </c>
    </row>
    <row r="1133" spans="1:19" x14ac:dyDescent="0.2">
      <c r="A1133" s="51">
        <v>43770</v>
      </c>
      <c r="B1133" s="34">
        <v>44</v>
      </c>
      <c r="C1133" s="565" t="s">
        <v>28</v>
      </c>
      <c r="F1133" s="36" t="s">
        <v>4324</v>
      </c>
      <c r="G1133" s="37">
        <v>43790</v>
      </c>
      <c r="H1133" s="564">
        <v>87089900</v>
      </c>
      <c r="I1133" s="39">
        <f>VLOOKUP(H1133,'SALE HSN MASTER'!$A$4:$E$5001,5,FALSE)</f>
        <v>28</v>
      </c>
      <c r="J1133" s="38">
        <v>12</v>
      </c>
      <c r="K1133" s="40">
        <v>23508.6</v>
      </c>
      <c r="L1133" s="41">
        <f t="shared" si="12"/>
        <v>0</v>
      </c>
      <c r="M1133" s="41">
        <f t="shared" si="13"/>
        <v>3291.2039999999997</v>
      </c>
      <c r="N1133" s="41">
        <f t="shared" si="14"/>
        <v>3291.2039999999997</v>
      </c>
      <c r="O1133" s="41">
        <v>0</v>
      </c>
      <c r="P1133" s="42">
        <f t="shared" si="15"/>
        <v>30091.007999999998</v>
      </c>
      <c r="Q1133" s="34" t="s">
        <v>25</v>
      </c>
      <c r="R1133" s="34" t="str">
        <f>VLOOKUP(C1133,'SALE PARTY MASTER'!$B$4:$E$500,4,FALSE)</f>
        <v>Local</v>
      </c>
      <c r="S1133" s="11" t="s">
        <v>4105</v>
      </c>
    </row>
    <row r="1134" spans="1:19" x14ac:dyDescent="0.2">
      <c r="A1134" s="51">
        <v>43770</v>
      </c>
      <c r="B1134" s="34">
        <v>45</v>
      </c>
      <c r="C1134" s="11" t="s">
        <v>155</v>
      </c>
      <c r="F1134" s="36" t="s">
        <v>4325</v>
      </c>
      <c r="G1134" s="37">
        <v>43791</v>
      </c>
      <c r="H1134" s="564">
        <v>87141090</v>
      </c>
      <c r="I1134" s="39">
        <f>VLOOKUP(H1134,'SALE HSN MASTER'!$A$4:$E$5001,5,FALSE)</f>
        <v>28</v>
      </c>
      <c r="J1134" s="38">
        <v>540</v>
      </c>
      <c r="K1134" s="40">
        <v>40699.800000000003</v>
      </c>
      <c r="L1134" s="41">
        <f t="shared" si="12"/>
        <v>0</v>
      </c>
      <c r="M1134" s="41">
        <f t="shared" si="13"/>
        <v>5697.9720000000007</v>
      </c>
      <c r="N1134" s="41">
        <f t="shared" si="14"/>
        <v>5697.9720000000007</v>
      </c>
      <c r="O1134" s="41">
        <v>0</v>
      </c>
      <c r="P1134" s="42">
        <f t="shared" si="15"/>
        <v>52095.744000000006</v>
      </c>
      <c r="Q1134" s="34" t="s">
        <v>25</v>
      </c>
      <c r="R1134" s="34" t="str">
        <f>VLOOKUP(C1134,'SALE PARTY MASTER'!$B$4:$E$500,4,FALSE)</f>
        <v>Local</v>
      </c>
      <c r="S1134" s="11" t="s">
        <v>4105</v>
      </c>
    </row>
    <row r="1135" spans="1:19" x14ac:dyDescent="0.2">
      <c r="A1135" s="51">
        <v>43770</v>
      </c>
      <c r="B1135" s="34">
        <v>46</v>
      </c>
      <c r="C1135" s="565" t="s">
        <v>73</v>
      </c>
      <c r="F1135" s="36" t="s">
        <v>4326</v>
      </c>
      <c r="G1135" s="37">
        <v>43791</v>
      </c>
      <c r="H1135" s="564">
        <v>85129000</v>
      </c>
      <c r="I1135" s="39">
        <f>VLOOKUP(H1135,'SALE HSN MASTER'!$A$4:$E$5001,5,FALSE)</f>
        <v>18</v>
      </c>
      <c r="J1135" s="38">
        <v>5040</v>
      </c>
      <c r="K1135" s="40">
        <v>126000</v>
      </c>
      <c r="L1135" s="41">
        <f t="shared" si="12"/>
        <v>0</v>
      </c>
      <c r="M1135" s="41">
        <f t="shared" si="13"/>
        <v>11340</v>
      </c>
      <c r="N1135" s="41">
        <f t="shared" si="14"/>
        <v>11340</v>
      </c>
      <c r="O1135" s="41">
        <v>0</v>
      </c>
      <c r="P1135" s="42">
        <f t="shared" si="15"/>
        <v>148680</v>
      </c>
      <c r="Q1135" s="34" t="s">
        <v>25</v>
      </c>
      <c r="R1135" s="34" t="str">
        <f>VLOOKUP(C1135,'SALE PARTY MASTER'!$B$4:$E$500,4,FALSE)</f>
        <v>Local</v>
      </c>
      <c r="S1135" s="11" t="s">
        <v>4105</v>
      </c>
    </row>
    <row r="1136" spans="1:19" x14ac:dyDescent="0.2">
      <c r="A1136" s="51">
        <v>43770</v>
      </c>
      <c r="B1136" s="34">
        <v>47</v>
      </c>
      <c r="C1136" s="35" t="s">
        <v>40</v>
      </c>
      <c r="F1136" s="36" t="s">
        <v>4327</v>
      </c>
      <c r="G1136" s="37">
        <v>43792</v>
      </c>
      <c r="H1136" s="564">
        <v>87089900</v>
      </c>
      <c r="I1136" s="39">
        <f>VLOOKUP(H1136,'SALE HSN MASTER'!$A$4:$E$5001,5,FALSE)</f>
        <v>28</v>
      </c>
      <c r="J1136" s="38">
        <v>114</v>
      </c>
      <c r="K1136" s="40">
        <v>35884.980000000003</v>
      </c>
      <c r="L1136" s="41">
        <f t="shared" si="12"/>
        <v>0</v>
      </c>
      <c r="M1136" s="41">
        <f t="shared" si="13"/>
        <v>5023.8972000000003</v>
      </c>
      <c r="N1136" s="41">
        <f t="shared" si="14"/>
        <v>5023.8972000000003</v>
      </c>
      <c r="O1136" s="41">
        <v>0</v>
      </c>
      <c r="P1136" s="42">
        <f t="shared" si="15"/>
        <v>45932.774400000002</v>
      </c>
      <c r="Q1136" s="34" t="s">
        <v>25</v>
      </c>
      <c r="R1136" s="34" t="str">
        <f>VLOOKUP(C1136,'SALE PARTY MASTER'!$B$4:$E$500,4,FALSE)</f>
        <v>Local</v>
      </c>
      <c r="S1136" s="11" t="s">
        <v>4105</v>
      </c>
    </row>
    <row r="1137" spans="1:19" x14ac:dyDescent="0.2">
      <c r="A1137" s="51">
        <v>43770</v>
      </c>
      <c r="B1137" s="34">
        <v>48</v>
      </c>
      <c r="C1137" s="35" t="s">
        <v>40</v>
      </c>
      <c r="F1137" s="36" t="s">
        <v>4328</v>
      </c>
      <c r="G1137" s="37">
        <v>43794</v>
      </c>
      <c r="H1137" s="564">
        <v>87089900</v>
      </c>
      <c r="I1137" s="39">
        <f>VLOOKUP(H1137,'SALE HSN MASTER'!$A$4:$E$5001,5,FALSE)</f>
        <v>28</v>
      </c>
      <c r="J1137" s="38">
        <v>64</v>
      </c>
      <c r="K1137" s="40">
        <v>46028.800000000003</v>
      </c>
      <c r="L1137" s="41">
        <f t="shared" si="12"/>
        <v>0</v>
      </c>
      <c r="M1137" s="41">
        <f t="shared" si="13"/>
        <v>6444.0320000000002</v>
      </c>
      <c r="N1137" s="41">
        <f t="shared" si="14"/>
        <v>6444.0320000000002</v>
      </c>
      <c r="O1137" s="41">
        <v>0</v>
      </c>
      <c r="P1137" s="42">
        <f t="shared" si="15"/>
        <v>58916.864000000001</v>
      </c>
      <c r="Q1137" s="34" t="s">
        <v>25</v>
      </c>
      <c r="R1137" s="34" t="str">
        <f>VLOOKUP(C1137,'SALE PARTY MASTER'!$B$4:$E$500,4,FALSE)</f>
        <v>Local</v>
      </c>
      <c r="S1137" s="11" t="s">
        <v>4105</v>
      </c>
    </row>
    <row r="1138" spans="1:19" x14ac:dyDescent="0.2">
      <c r="A1138" s="51">
        <v>43770</v>
      </c>
      <c r="B1138" s="34">
        <v>49</v>
      </c>
      <c r="C1138" s="11" t="s">
        <v>155</v>
      </c>
      <c r="F1138" s="36" t="s">
        <v>4329</v>
      </c>
      <c r="G1138" s="37">
        <v>43794</v>
      </c>
      <c r="H1138" s="564">
        <v>87141090</v>
      </c>
      <c r="I1138" s="39">
        <f>VLOOKUP(H1138,'SALE HSN MASTER'!$A$4:$E$5001,5,FALSE)</f>
        <v>28</v>
      </c>
      <c r="J1138" s="38">
        <v>1320</v>
      </c>
      <c r="K1138" s="40">
        <v>62079.6</v>
      </c>
      <c r="L1138" s="41">
        <f t="shared" si="12"/>
        <v>0</v>
      </c>
      <c r="M1138" s="41">
        <f t="shared" si="13"/>
        <v>8691.1439999999984</v>
      </c>
      <c r="N1138" s="41">
        <f t="shared" si="14"/>
        <v>8691.1439999999984</v>
      </c>
      <c r="O1138" s="41">
        <v>0</v>
      </c>
      <c r="P1138" s="42">
        <f t="shared" si="15"/>
        <v>79461.887999999992</v>
      </c>
      <c r="Q1138" s="34" t="s">
        <v>25</v>
      </c>
      <c r="R1138" s="34" t="str">
        <f>VLOOKUP(C1138,'SALE PARTY MASTER'!$B$4:$E$500,4,FALSE)</f>
        <v>Local</v>
      </c>
      <c r="S1138" s="11" t="s">
        <v>4105</v>
      </c>
    </row>
    <row r="1139" spans="1:19" x14ac:dyDescent="0.2">
      <c r="A1139" s="51">
        <v>43770</v>
      </c>
      <c r="B1139" s="34">
        <v>50</v>
      </c>
      <c r="C1139" s="35" t="s">
        <v>40</v>
      </c>
      <c r="F1139" s="36" t="s">
        <v>4330</v>
      </c>
      <c r="G1139" s="37">
        <v>43794</v>
      </c>
      <c r="H1139" s="564">
        <v>87089900</v>
      </c>
      <c r="I1139" s="39">
        <f>VLOOKUP(H1139,'SALE HSN MASTER'!$A$4:$E$5001,5,FALSE)</f>
        <v>28</v>
      </c>
      <c r="J1139" s="38">
        <v>168</v>
      </c>
      <c r="K1139" s="40">
        <v>9633.9599999999991</v>
      </c>
      <c r="L1139" s="41">
        <f t="shared" si="12"/>
        <v>0</v>
      </c>
      <c r="M1139" s="41">
        <f t="shared" si="13"/>
        <v>1348.7543999999998</v>
      </c>
      <c r="N1139" s="41">
        <f t="shared" si="14"/>
        <v>1348.7543999999998</v>
      </c>
      <c r="O1139" s="41">
        <v>0</v>
      </c>
      <c r="P1139" s="42">
        <f t="shared" si="15"/>
        <v>12331.468799999999</v>
      </c>
      <c r="Q1139" s="34" t="s">
        <v>25</v>
      </c>
      <c r="R1139" s="34" t="str">
        <f>VLOOKUP(C1139,'SALE PARTY MASTER'!$B$4:$E$500,4,FALSE)</f>
        <v>Local</v>
      </c>
      <c r="S1139" s="11" t="s">
        <v>4105</v>
      </c>
    </row>
    <row r="1140" spans="1:19" x14ac:dyDescent="0.2">
      <c r="A1140" s="51">
        <v>43770</v>
      </c>
      <c r="B1140" s="34">
        <v>51</v>
      </c>
      <c r="C1140" s="565" t="s">
        <v>49</v>
      </c>
      <c r="F1140" s="36" t="s">
        <v>4331</v>
      </c>
      <c r="G1140" s="37">
        <v>43794</v>
      </c>
      <c r="H1140" s="564" t="s">
        <v>2425</v>
      </c>
      <c r="I1140" s="39">
        <f>VLOOKUP(H1140,'SALE HSN MASTER'!$A$4:$E$5001,5,FALSE)</f>
        <v>12</v>
      </c>
      <c r="J1140" s="38">
        <v>30</v>
      </c>
      <c r="K1140" s="40">
        <v>8524.2000000000007</v>
      </c>
      <c r="L1140" s="41">
        <f t="shared" si="12"/>
        <v>0</v>
      </c>
      <c r="M1140" s="41">
        <f t="shared" si="13"/>
        <v>511.452</v>
      </c>
      <c r="N1140" s="41">
        <f t="shared" si="14"/>
        <v>511.452</v>
      </c>
      <c r="O1140" s="41">
        <v>0</v>
      </c>
      <c r="P1140" s="42">
        <f t="shared" si="15"/>
        <v>9547.1040000000012</v>
      </c>
      <c r="Q1140" s="34" t="s">
        <v>25</v>
      </c>
      <c r="R1140" s="34" t="str">
        <f>VLOOKUP(C1140,'SALE PARTY MASTER'!$B$4:$E$500,4,FALSE)</f>
        <v>Local</v>
      </c>
      <c r="S1140" s="11" t="s">
        <v>4105</v>
      </c>
    </row>
    <row r="1141" spans="1:19" x14ac:dyDescent="0.2">
      <c r="A1141" s="51">
        <v>43770</v>
      </c>
      <c r="B1141" s="34">
        <v>52</v>
      </c>
      <c r="C1141" s="35" t="s">
        <v>226</v>
      </c>
      <c r="F1141" s="36" t="s">
        <v>4332</v>
      </c>
      <c r="G1141" s="37">
        <v>43796</v>
      </c>
      <c r="H1141" s="38">
        <v>87081090</v>
      </c>
      <c r="I1141" s="39">
        <f>VLOOKUP(H1141,'SALE HSN MASTER'!$A$4:$E$5001,5,FALSE)</f>
        <v>28</v>
      </c>
      <c r="J1141" s="38">
        <v>100</v>
      </c>
      <c r="K1141" s="40">
        <v>34551</v>
      </c>
      <c r="L1141" s="41">
        <f t="shared" si="12"/>
        <v>9674.2799999999988</v>
      </c>
      <c r="M1141" s="41">
        <f t="shared" si="13"/>
        <v>0</v>
      </c>
      <c r="N1141" s="41">
        <f t="shared" si="14"/>
        <v>0</v>
      </c>
      <c r="O1141" s="41">
        <v>0</v>
      </c>
      <c r="P1141" s="42">
        <f t="shared" si="15"/>
        <v>44225.279999999999</v>
      </c>
      <c r="Q1141" s="34" t="s">
        <v>25</v>
      </c>
      <c r="R1141" s="34" t="str">
        <f>VLOOKUP(C1141,'SALE PARTY MASTER'!$B$4:$E$500,4,FALSE)</f>
        <v>Oms</v>
      </c>
      <c r="S1141" s="11" t="s">
        <v>4105</v>
      </c>
    </row>
    <row r="1142" spans="1:19" x14ac:dyDescent="0.2">
      <c r="A1142" s="51">
        <v>43770</v>
      </c>
      <c r="B1142" s="34">
        <v>53</v>
      </c>
      <c r="C1142" s="35" t="s">
        <v>40</v>
      </c>
      <c r="F1142" s="36" t="s">
        <v>4333</v>
      </c>
      <c r="G1142" s="37">
        <v>43798</v>
      </c>
      <c r="H1142" s="564">
        <v>87089900</v>
      </c>
      <c r="I1142" s="39">
        <f>VLOOKUP(H1142,'SALE HSN MASTER'!$A$4:$E$5001,5,FALSE)</f>
        <v>28</v>
      </c>
      <c r="J1142" s="38">
        <v>236</v>
      </c>
      <c r="K1142" s="40">
        <v>32611.759999999998</v>
      </c>
      <c r="L1142" s="41">
        <f t="shared" si="12"/>
        <v>0</v>
      </c>
      <c r="M1142" s="41">
        <f t="shared" si="13"/>
        <v>4565.6463999999996</v>
      </c>
      <c r="N1142" s="41">
        <f t="shared" si="14"/>
        <v>4565.6463999999996</v>
      </c>
      <c r="O1142" s="41">
        <v>0</v>
      </c>
      <c r="P1142" s="42">
        <f t="shared" si="15"/>
        <v>41743.052799999998</v>
      </c>
      <c r="Q1142" s="34" t="s">
        <v>25</v>
      </c>
      <c r="R1142" s="34" t="str">
        <f>VLOOKUP(C1142,'SALE PARTY MASTER'!$B$4:$E$500,4,FALSE)</f>
        <v>Local</v>
      </c>
      <c r="S1142" s="11" t="s">
        <v>4105</v>
      </c>
    </row>
    <row r="1143" spans="1:19" x14ac:dyDescent="0.2">
      <c r="A1143" s="51">
        <v>43770</v>
      </c>
      <c r="B1143" s="34">
        <v>54</v>
      </c>
      <c r="C1143" s="565" t="s">
        <v>49</v>
      </c>
      <c r="F1143" s="36" t="s">
        <v>4334</v>
      </c>
      <c r="G1143" s="37">
        <v>43799</v>
      </c>
      <c r="H1143" s="564" t="s">
        <v>2425</v>
      </c>
      <c r="I1143" s="39">
        <f>VLOOKUP(H1143,'SALE HSN MASTER'!$A$4:$E$5001,5,FALSE)</f>
        <v>12</v>
      </c>
      <c r="J1143" s="38">
        <v>25</v>
      </c>
      <c r="K1143" s="40">
        <v>7103.5</v>
      </c>
      <c r="L1143" s="41">
        <f t="shared" si="12"/>
        <v>0</v>
      </c>
      <c r="M1143" s="41">
        <f t="shared" si="13"/>
        <v>426.21</v>
      </c>
      <c r="N1143" s="41">
        <f t="shared" si="14"/>
        <v>426.21</v>
      </c>
      <c r="O1143" s="41">
        <v>0</v>
      </c>
      <c r="P1143" s="42">
        <f t="shared" si="15"/>
        <v>7955.92</v>
      </c>
      <c r="Q1143" s="34" t="s">
        <v>25</v>
      </c>
      <c r="R1143" s="34" t="str">
        <f>VLOOKUP(C1143,'SALE PARTY MASTER'!$B$4:$E$500,4,FALSE)</f>
        <v>Local</v>
      </c>
      <c r="S1143" s="11" t="s">
        <v>4105</v>
      </c>
    </row>
    <row r="1144" spans="1:19" x14ac:dyDescent="0.2">
      <c r="I1144" s="39"/>
      <c r="L1144" s="41" t="e">
        <f t="shared" si="12"/>
        <v>#N/A</v>
      </c>
      <c r="M1144" s="41" t="e">
        <f t="shared" si="13"/>
        <v>#N/A</v>
      </c>
      <c r="N1144" s="41" t="e">
        <f t="shared" si="14"/>
        <v>#N/A</v>
      </c>
      <c r="O1144" s="41">
        <v>0</v>
      </c>
      <c r="P1144" s="42" t="e">
        <f t="shared" si="15"/>
        <v>#N/A</v>
      </c>
      <c r="Q1144" s="34" t="s">
        <v>25</v>
      </c>
      <c r="R1144" s="34" t="e">
        <f>VLOOKUP(C1144,'SALE PARTY MASTER'!$B$4:$E$500,4,FALSE)</f>
        <v>#N/A</v>
      </c>
      <c r="S1144" s="11" t="s">
        <v>4105</v>
      </c>
    </row>
    <row r="1145" spans="1:19" x14ac:dyDescent="0.2">
      <c r="A1145" s="51">
        <v>43800</v>
      </c>
      <c r="B1145" s="11">
        <v>1</v>
      </c>
      <c r="C1145" s="35" t="s">
        <v>167</v>
      </c>
      <c r="F1145" s="36" t="s">
        <v>4335</v>
      </c>
      <c r="G1145" s="37">
        <v>43801</v>
      </c>
      <c r="H1145" s="564">
        <v>87141900</v>
      </c>
      <c r="I1145" s="39">
        <f>VLOOKUP(H1145,'SALE HSN MASTER'!$A$4:$E$5001,5,FALSE)</f>
        <v>28</v>
      </c>
      <c r="J1145" s="38">
        <v>3710</v>
      </c>
      <c r="K1145" s="40">
        <v>46343.5</v>
      </c>
      <c r="L1145" s="41">
        <f t="shared" si="12"/>
        <v>0</v>
      </c>
      <c r="M1145" s="41">
        <f t="shared" si="13"/>
        <v>6488.09</v>
      </c>
      <c r="N1145" s="41">
        <f t="shared" si="14"/>
        <v>6488.09</v>
      </c>
      <c r="O1145" s="41">
        <v>0</v>
      </c>
      <c r="P1145" s="42">
        <f t="shared" si="15"/>
        <v>59319.68</v>
      </c>
      <c r="Q1145" s="34" t="s">
        <v>25</v>
      </c>
      <c r="R1145" s="34" t="str">
        <f>VLOOKUP(C1145,'SALE PARTY MASTER'!$B$4:$E$500,4,FALSE)</f>
        <v>Local</v>
      </c>
      <c r="S1145" s="11" t="s">
        <v>4105</v>
      </c>
    </row>
    <row r="1146" spans="1:19" x14ac:dyDescent="0.2">
      <c r="A1146" s="51">
        <v>43800</v>
      </c>
      <c r="B1146" s="34">
        <v>2</v>
      </c>
      <c r="C1146" s="565" t="s">
        <v>102</v>
      </c>
      <c r="F1146" s="36" t="s">
        <v>4336</v>
      </c>
      <c r="G1146" s="37">
        <v>43801</v>
      </c>
      <c r="H1146" s="564">
        <v>87081090</v>
      </c>
      <c r="I1146" s="39">
        <f>VLOOKUP(H1146,'SALE HSN MASTER'!$A$4:$E$5001,5,FALSE)</f>
        <v>28</v>
      </c>
      <c r="J1146" s="38">
        <v>29</v>
      </c>
      <c r="K1146" s="40">
        <v>62315.199999999997</v>
      </c>
      <c r="L1146" s="41">
        <f t="shared" si="12"/>
        <v>17448.255999999998</v>
      </c>
      <c r="M1146" s="41">
        <f t="shared" si="13"/>
        <v>0</v>
      </c>
      <c r="N1146" s="41">
        <f t="shared" si="14"/>
        <v>0</v>
      </c>
      <c r="O1146" s="41">
        <v>0</v>
      </c>
      <c r="P1146" s="42">
        <f t="shared" si="15"/>
        <v>79763.455999999991</v>
      </c>
      <c r="Q1146" s="34" t="s">
        <v>25</v>
      </c>
      <c r="R1146" s="34" t="str">
        <f>VLOOKUP(C1146,'SALE PARTY MASTER'!$B$4:$E$500,4,FALSE)</f>
        <v>Oms</v>
      </c>
      <c r="S1146" s="11" t="s">
        <v>4105</v>
      </c>
    </row>
    <row r="1147" spans="1:19" x14ac:dyDescent="0.2">
      <c r="A1147" s="51">
        <v>43800</v>
      </c>
      <c r="B1147" s="34">
        <v>3</v>
      </c>
      <c r="C1147" s="565" t="s">
        <v>102</v>
      </c>
      <c r="F1147" s="36" t="s">
        <v>4337</v>
      </c>
      <c r="G1147" s="37">
        <v>43801</v>
      </c>
      <c r="H1147" s="564">
        <v>87081090</v>
      </c>
      <c r="I1147" s="39">
        <f>VLOOKUP(H1147,'SALE HSN MASTER'!$A$4:$E$5001,5,FALSE)</f>
        <v>28</v>
      </c>
      <c r="J1147" s="38">
        <v>30</v>
      </c>
      <c r="K1147" s="40">
        <v>28164.6</v>
      </c>
      <c r="L1147" s="41">
        <f t="shared" si="12"/>
        <v>7886.0879999999988</v>
      </c>
      <c r="M1147" s="41">
        <f t="shared" si="13"/>
        <v>0</v>
      </c>
      <c r="N1147" s="41">
        <f t="shared" si="14"/>
        <v>0</v>
      </c>
      <c r="O1147" s="41">
        <v>0</v>
      </c>
      <c r="P1147" s="42">
        <f t="shared" si="15"/>
        <v>36050.687999999995</v>
      </c>
      <c r="Q1147" s="34" t="s">
        <v>25</v>
      </c>
      <c r="R1147" s="34" t="str">
        <f>VLOOKUP(C1147,'SALE PARTY MASTER'!$B$4:$E$500,4,FALSE)</f>
        <v>Oms</v>
      </c>
      <c r="S1147" s="11" t="s">
        <v>4105</v>
      </c>
    </row>
    <row r="1148" spans="1:19" x14ac:dyDescent="0.2">
      <c r="A1148" s="51">
        <v>43800</v>
      </c>
      <c r="B1148" s="34">
        <v>4</v>
      </c>
      <c r="C1148" s="565" t="s">
        <v>102</v>
      </c>
      <c r="F1148" s="36" t="s">
        <v>4338</v>
      </c>
      <c r="G1148" s="37">
        <v>43801</v>
      </c>
      <c r="H1148" s="564">
        <v>87081090</v>
      </c>
      <c r="I1148" s="39">
        <f>VLOOKUP(H1148,'SALE HSN MASTER'!$A$4:$E$5001,5,FALSE)</f>
        <v>28</v>
      </c>
      <c r="J1148" s="38">
        <v>1</v>
      </c>
      <c r="K1148" s="40">
        <v>2030.87</v>
      </c>
      <c r="L1148" s="41">
        <f t="shared" si="12"/>
        <v>568.64359999999999</v>
      </c>
      <c r="M1148" s="41">
        <f t="shared" si="13"/>
        <v>0</v>
      </c>
      <c r="N1148" s="41">
        <f t="shared" si="14"/>
        <v>0</v>
      </c>
      <c r="O1148" s="41">
        <v>0</v>
      </c>
      <c r="P1148" s="42">
        <f t="shared" si="15"/>
        <v>2599.5135999999998</v>
      </c>
      <c r="Q1148" s="34" t="s">
        <v>25</v>
      </c>
      <c r="R1148" s="34" t="str">
        <f>VLOOKUP(C1148,'SALE PARTY MASTER'!$B$4:$E$500,4,FALSE)</f>
        <v>Oms</v>
      </c>
      <c r="S1148" s="11" t="s">
        <v>4105</v>
      </c>
    </row>
    <row r="1149" spans="1:19" x14ac:dyDescent="0.2">
      <c r="A1149" s="51">
        <v>43800</v>
      </c>
      <c r="B1149" s="34">
        <v>5</v>
      </c>
      <c r="C1149" s="565" t="s">
        <v>102</v>
      </c>
      <c r="F1149" s="36" t="s">
        <v>4339</v>
      </c>
      <c r="G1149" s="37">
        <v>43801</v>
      </c>
      <c r="H1149" s="564">
        <v>87081090</v>
      </c>
      <c r="I1149" s="39">
        <f>VLOOKUP(H1149,'SALE HSN MASTER'!$A$4:$E$5001,5,FALSE)</f>
        <v>28</v>
      </c>
      <c r="J1149" s="38">
        <v>3</v>
      </c>
      <c r="K1149" s="40">
        <v>6092.61</v>
      </c>
      <c r="L1149" s="41">
        <f t="shared" si="12"/>
        <v>1705.9307999999999</v>
      </c>
      <c r="M1149" s="41">
        <f t="shared" si="13"/>
        <v>0</v>
      </c>
      <c r="N1149" s="41">
        <f t="shared" si="14"/>
        <v>0</v>
      </c>
      <c r="O1149" s="41">
        <v>0</v>
      </c>
      <c r="P1149" s="42">
        <f t="shared" si="15"/>
        <v>7798.5407999999998</v>
      </c>
      <c r="Q1149" s="34" t="s">
        <v>25</v>
      </c>
      <c r="R1149" s="34" t="str">
        <f>VLOOKUP(C1149,'SALE PARTY MASTER'!$B$4:$E$500,4,FALSE)</f>
        <v>Oms</v>
      </c>
      <c r="S1149" s="11" t="s">
        <v>4105</v>
      </c>
    </row>
    <row r="1150" spans="1:19" x14ac:dyDescent="0.2">
      <c r="A1150" s="51">
        <v>43800</v>
      </c>
      <c r="B1150" s="34">
        <v>6</v>
      </c>
      <c r="C1150" s="565" t="s">
        <v>40</v>
      </c>
      <c r="F1150" s="36" t="s">
        <v>4340</v>
      </c>
      <c r="G1150" s="37">
        <v>43803</v>
      </c>
      <c r="H1150" s="564">
        <v>87089900</v>
      </c>
      <c r="I1150" s="39">
        <f>VLOOKUP(H1150,'SALE HSN MASTER'!$A$4:$E$5001,5,FALSE)</f>
        <v>28</v>
      </c>
      <c r="J1150" s="38">
        <v>46</v>
      </c>
      <c r="K1150" s="40">
        <v>33083.199999999997</v>
      </c>
      <c r="L1150" s="41">
        <f t="shared" si="12"/>
        <v>0</v>
      </c>
      <c r="M1150" s="41">
        <f t="shared" si="13"/>
        <v>4631.6480000000001</v>
      </c>
      <c r="N1150" s="41">
        <f t="shared" si="14"/>
        <v>4631.6480000000001</v>
      </c>
      <c r="O1150" s="41">
        <v>0</v>
      </c>
      <c r="P1150" s="42">
        <f t="shared" si="15"/>
        <v>42346.495999999999</v>
      </c>
      <c r="Q1150" s="34" t="s">
        <v>25</v>
      </c>
      <c r="R1150" s="34" t="str">
        <f>VLOOKUP(C1150,'SALE PARTY MASTER'!$B$4:$E$500,4,FALSE)</f>
        <v>Local</v>
      </c>
      <c r="S1150" s="11" t="s">
        <v>4105</v>
      </c>
    </row>
    <row r="1151" spans="1:19" x14ac:dyDescent="0.2">
      <c r="A1151" s="51">
        <v>43800</v>
      </c>
      <c r="B1151" s="34">
        <v>7</v>
      </c>
      <c r="C1151" s="11" t="s">
        <v>45</v>
      </c>
      <c r="F1151" s="36" t="s">
        <v>4341</v>
      </c>
      <c r="G1151" s="37">
        <v>43805</v>
      </c>
      <c r="H1151" s="564">
        <v>85129000</v>
      </c>
      <c r="I1151" s="39">
        <f>VLOOKUP(H1151,'SALE HSN MASTER'!$A$4:$E$5001,5,FALSE)</f>
        <v>18</v>
      </c>
      <c r="J1151" s="38">
        <v>756</v>
      </c>
      <c r="K1151" s="40">
        <v>92239.56</v>
      </c>
      <c r="L1151" s="41">
        <f t="shared" si="12"/>
        <v>0</v>
      </c>
      <c r="M1151" s="41">
        <f t="shared" si="13"/>
        <v>8301.5604000000003</v>
      </c>
      <c r="N1151" s="41">
        <f t="shared" si="14"/>
        <v>8301.5604000000003</v>
      </c>
      <c r="O1151" s="41">
        <v>0</v>
      </c>
      <c r="P1151" s="42">
        <f t="shared" si="15"/>
        <v>108842.6808</v>
      </c>
      <c r="Q1151" s="34" t="s">
        <v>25</v>
      </c>
      <c r="R1151" s="34" t="str">
        <f>VLOOKUP(C1151,'SALE PARTY MASTER'!$B$4:$E$500,4,FALSE)</f>
        <v>Local</v>
      </c>
      <c r="S1151" s="11" t="s">
        <v>4105</v>
      </c>
    </row>
    <row r="1152" spans="1:19" x14ac:dyDescent="0.2">
      <c r="A1152" s="51">
        <v>43800</v>
      </c>
      <c r="B1152" s="34">
        <v>8</v>
      </c>
      <c r="C1152" s="11" t="s">
        <v>45</v>
      </c>
      <c r="F1152" s="36" t="s">
        <v>4342</v>
      </c>
      <c r="G1152" s="37">
        <v>43805</v>
      </c>
      <c r="H1152" s="564">
        <v>85129000</v>
      </c>
      <c r="I1152" s="39">
        <f>VLOOKUP(H1152,'SALE HSN MASTER'!$A$4:$E$5001,5,FALSE)</f>
        <v>18</v>
      </c>
      <c r="J1152" s="38">
        <v>1008</v>
      </c>
      <c r="K1152" s="40">
        <v>65076.480000000003</v>
      </c>
      <c r="L1152" s="41">
        <f t="shared" si="12"/>
        <v>0</v>
      </c>
      <c r="M1152" s="41">
        <f t="shared" si="13"/>
        <v>5856.8832000000002</v>
      </c>
      <c r="N1152" s="41">
        <f t="shared" si="14"/>
        <v>5856.8832000000002</v>
      </c>
      <c r="O1152" s="41">
        <v>0</v>
      </c>
      <c r="P1152" s="42">
        <f t="shared" si="15"/>
        <v>76790.246400000004</v>
      </c>
      <c r="Q1152" s="34" t="s">
        <v>25</v>
      </c>
      <c r="R1152" s="34" t="str">
        <f>VLOOKUP(C1152,'SALE PARTY MASTER'!$B$4:$E$500,4,FALSE)</f>
        <v>Local</v>
      </c>
      <c r="S1152" s="11" t="s">
        <v>4105</v>
      </c>
    </row>
    <row r="1153" spans="1:19" x14ac:dyDescent="0.2">
      <c r="A1153" s="51">
        <v>43800</v>
      </c>
      <c r="B1153" s="34">
        <v>9</v>
      </c>
      <c r="C1153" s="565" t="s">
        <v>49</v>
      </c>
      <c r="F1153" s="36" t="s">
        <v>4343</v>
      </c>
      <c r="G1153" s="37">
        <v>43806</v>
      </c>
      <c r="H1153" s="564" t="s">
        <v>2425</v>
      </c>
      <c r="I1153" s="39">
        <f>VLOOKUP(H1153,'SALE HSN MASTER'!$A$4:$E$5001,5,FALSE)</f>
        <v>12</v>
      </c>
      <c r="J1153" s="38">
        <v>30</v>
      </c>
      <c r="K1153" s="40">
        <v>8524.2000000000007</v>
      </c>
      <c r="L1153" s="41">
        <f t="shared" si="12"/>
        <v>0</v>
      </c>
      <c r="M1153" s="41">
        <f t="shared" si="13"/>
        <v>511.452</v>
      </c>
      <c r="N1153" s="41">
        <f t="shared" si="14"/>
        <v>511.452</v>
      </c>
      <c r="O1153" s="41">
        <v>0</v>
      </c>
      <c r="P1153" s="42">
        <f t="shared" si="15"/>
        <v>9547.1040000000012</v>
      </c>
      <c r="Q1153" s="34" t="s">
        <v>25</v>
      </c>
      <c r="R1153" s="34" t="str">
        <f>VLOOKUP(C1153,'SALE PARTY MASTER'!$B$4:$E$500,4,FALSE)</f>
        <v>Local</v>
      </c>
      <c r="S1153" s="11" t="s">
        <v>4105</v>
      </c>
    </row>
    <row r="1154" spans="1:19" x14ac:dyDescent="0.2">
      <c r="A1154" s="51">
        <v>43800</v>
      </c>
      <c r="B1154" s="34">
        <v>10</v>
      </c>
      <c r="C1154" s="565" t="s">
        <v>28</v>
      </c>
      <c r="F1154" s="36" t="s">
        <v>4344</v>
      </c>
      <c r="G1154" s="37">
        <v>43806</v>
      </c>
      <c r="H1154" s="564">
        <v>87089900</v>
      </c>
      <c r="I1154" s="39">
        <f>VLOOKUP(H1154,'SALE HSN MASTER'!$A$4:$E$5001,5,FALSE)</f>
        <v>28</v>
      </c>
      <c r="J1154" s="38">
        <v>12</v>
      </c>
      <c r="K1154" s="40">
        <v>23508.6</v>
      </c>
      <c r="L1154" s="41">
        <f t="shared" si="12"/>
        <v>0</v>
      </c>
      <c r="M1154" s="41">
        <f t="shared" si="13"/>
        <v>3291.2039999999997</v>
      </c>
      <c r="N1154" s="41">
        <f t="shared" si="14"/>
        <v>3291.2039999999997</v>
      </c>
      <c r="O1154" s="41">
        <v>0</v>
      </c>
      <c r="P1154" s="42">
        <f t="shared" si="15"/>
        <v>30091.007999999998</v>
      </c>
      <c r="Q1154" s="34" t="s">
        <v>25</v>
      </c>
      <c r="R1154" s="34" t="str">
        <f>VLOOKUP(C1154,'SALE PARTY MASTER'!$B$4:$E$500,4,FALSE)</f>
        <v>Local</v>
      </c>
      <c r="S1154" s="11" t="s">
        <v>4105</v>
      </c>
    </row>
    <row r="1155" spans="1:19" x14ac:dyDescent="0.2">
      <c r="A1155" s="51">
        <v>43800</v>
      </c>
      <c r="B1155" s="34">
        <v>11</v>
      </c>
      <c r="C1155" s="565" t="s">
        <v>167</v>
      </c>
      <c r="F1155" s="36" t="s">
        <v>4345</v>
      </c>
      <c r="G1155" s="37">
        <v>43808</v>
      </c>
      <c r="H1155" s="564">
        <v>87141900</v>
      </c>
      <c r="I1155" s="39">
        <f>VLOOKUP(H1155,'SALE HSN MASTER'!$A$4:$E$5001,5,FALSE)</f>
        <v>28</v>
      </c>
      <c r="J1155" s="38">
        <v>3940</v>
      </c>
      <c r="K1155" s="40">
        <v>49131.8</v>
      </c>
      <c r="L1155" s="41">
        <f t="shared" si="12"/>
        <v>0</v>
      </c>
      <c r="M1155" s="41">
        <f t="shared" si="13"/>
        <v>6878.4520000000002</v>
      </c>
      <c r="N1155" s="41">
        <f t="shared" si="14"/>
        <v>6878.4520000000002</v>
      </c>
      <c r="O1155" s="41">
        <v>0</v>
      </c>
      <c r="P1155" s="42">
        <f t="shared" si="15"/>
        <v>62888.704000000005</v>
      </c>
      <c r="Q1155" s="34" t="s">
        <v>25</v>
      </c>
      <c r="R1155" s="34" t="str">
        <f>VLOOKUP(C1155,'SALE PARTY MASTER'!$B$4:$E$500,4,FALSE)</f>
        <v>Local</v>
      </c>
      <c r="S1155" s="11" t="s">
        <v>4105</v>
      </c>
    </row>
    <row r="1156" spans="1:19" x14ac:dyDescent="0.2">
      <c r="A1156" s="51">
        <v>43800</v>
      </c>
      <c r="B1156" s="34">
        <v>12</v>
      </c>
      <c r="C1156" s="565" t="s">
        <v>124</v>
      </c>
      <c r="F1156" s="36" t="s">
        <v>4346</v>
      </c>
      <c r="G1156" s="37">
        <v>43808</v>
      </c>
      <c r="H1156" s="564" t="s">
        <v>2425</v>
      </c>
      <c r="I1156" s="39">
        <f>VLOOKUP(H1156,'SALE HSN MASTER'!$A$4:$E$5001,5,FALSE)</f>
        <v>12</v>
      </c>
      <c r="J1156" s="38">
        <v>1872</v>
      </c>
      <c r="K1156" s="40">
        <v>169416</v>
      </c>
      <c r="L1156" s="41">
        <f t="shared" si="12"/>
        <v>0</v>
      </c>
      <c r="M1156" s="41">
        <f t="shared" si="13"/>
        <v>10164.960000000001</v>
      </c>
      <c r="N1156" s="41">
        <f t="shared" si="14"/>
        <v>10164.960000000001</v>
      </c>
      <c r="O1156" s="41">
        <v>0</v>
      </c>
      <c r="P1156" s="42">
        <f t="shared" si="15"/>
        <v>189745.92000000001</v>
      </c>
      <c r="Q1156" s="34" t="s">
        <v>25</v>
      </c>
      <c r="R1156" s="34" t="str">
        <f>VLOOKUP(C1156,'SALE PARTY MASTER'!$B$4:$E$500,4,FALSE)</f>
        <v>Local</v>
      </c>
      <c r="S1156" s="11" t="s">
        <v>4105</v>
      </c>
    </row>
    <row r="1157" spans="1:19" x14ac:dyDescent="0.2">
      <c r="A1157" s="51">
        <v>43800</v>
      </c>
      <c r="B1157" s="34">
        <v>13</v>
      </c>
      <c r="C1157" s="565" t="s">
        <v>167</v>
      </c>
      <c r="F1157" s="36" t="s">
        <v>4347</v>
      </c>
      <c r="G1157" s="37">
        <v>43809</v>
      </c>
      <c r="H1157" s="564">
        <v>87141900</v>
      </c>
      <c r="I1157" s="39">
        <f>VLOOKUP(H1157,'SALE HSN MASTER'!$A$4:$E$5001,5,FALSE)</f>
        <v>28</v>
      </c>
      <c r="J1157" s="38">
        <v>3600</v>
      </c>
      <c r="K1157" s="40">
        <v>45956</v>
      </c>
      <c r="L1157" s="41">
        <f t="shared" si="12"/>
        <v>0</v>
      </c>
      <c r="M1157" s="41">
        <f t="shared" si="13"/>
        <v>6433.84</v>
      </c>
      <c r="N1157" s="41">
        <f t="shared" si="14"/>
        <v>6433.84</v>
      </c>
      <c r="O1157" s="41">
        <v>0</v>
      </c>
      <c r="P1157" s="42">
        <f t="shared" si="15"/>
        <v>58823.68</v>
      </c>
      <c r="Q1157" s="34" t="s">
        <v>25</v>
      </c>
      <c r="R1157" s="34" t="str">
        <f>VLOOKUP(C1157,'SALE PARTY MASTER'!$B$4:$E$500,4,FALSE)</f>
        <v>Local</v>
      </c>
      <c r="S1157" s="11" t="s">
        <v>4105</v>
      </c>
    </row>
    <row r="1158" spans="1:19" x14ac:dyDescent="0.2">
      <c r="A1158" s="51">
        <v>43800</v>
      </c>
      <c r="B1158" s="34">
        <v>14</v>
      </c>
      <c r="C1158" s="565" t="s">
        <v>124</v>
      </c>
      <c r="F1158" s="36" t="s">
        <v>4348</v>
      </c>
      <c r="G1158" s="37">
        <v>43809</v>
      </c>
      <c r="H1158" s="564" t="s">
        <v>2425</v>
      </c>
      <c r="I1158" s="39">
        <f>VLOOKUP(H1158,'SALE HSN MASTER'!$A$4:$E$5001,5,FALSE)</f>
        <v>12</v>
      </c>
      <c r="J1158" s="38">
        <v>468</v>
      </c>
      <c r="K1158" s="40">
        <v>31824</v>
      </c>
      <c r="L1158" s="41">
        <f t="shared" si="12"/>
        <v>0</v>
      </c>
      <c r="M1158" s="41">
        <f t="shared" si="13"/>
        <v>1909.44</v>
      </c>
      <c r="N1158" s="41">
        <f t="shared" si="14"/>
        <v>1909.44</v>
      </c>
      <c r="O1158" s="41">
        <v>0</v>
      </c>
      <c r="P1158" s="42">
        <f t="shared" si="15"/>
        <v>35642.879999999997</v>
      </c>
      <c r="Q1158" s="34" t="s">
        <v>25</v>
      </c>
      <c r="R1158" s="34" t="str">
        <f>VLOOKUP(C1158,'SALE PARTY MASTER'!$B$4:$E$500,4,FALSE)</f>
        <v>Local</v>
      </c>
      <c r="S1158" s="11" t="s">
        <v>4105</v>
      </c>
    </row>
    <row r="1159" spans="1:19" x14ac:dyDescent="0.2">
      <c r="A1159" s="51">
        <v>43800</v>
      </c>
      <c r="B1159" s="34">
        <v>15</v>
      </c>
      <c r="C1159" s="565" t="s">
        <v>49</v>
      </c>
      <c r="F1159" s="36" t="s">
        <v>4349</v>
      </c>
      <c r="G1159" s="37">
        <v>43810</v>
      </c>
      <c r="H1159" s="564" t="s">
        <v>2425</v>
      </c>
      <c r="I1159" s="39">
        <f>VLOOKUP(H1159,'SALE HSN MASTER'!$A$4:$E$5001,5,FALSE)</f>
        <v>12</v>
      </c>
      <c r="J1159" s="38">
        <v>28</v>
      </c>
      <c r="K1159" s="40">
        <v>7955.92</v>
      </c>
      <c r="L1159" s="41">
        <f t="shared" si="12"/>
        <v>0</v>
      </c>
      <c r="M1159" s="41">
        <f t="shared" si="13"/>
        <v>477.35520000000002</v>
      </c>
      <c r="N1159" s="41">
        <f t="shared" si="14"/>
        <v>477.35520000000002</v>
      </c>
      <c r="O1159" s="41">
        <v>0</v>
      </c>
      <c r="P1159" s="42">
        <f t="shared" si="15"/>
        <v>8910.6304</v>
      </c>
      <c r="Q1159" s="34" t="s">
        <v>25</v>
      </c>
      <c r="R1159" s="34" t="str">
        <f>VLOOKUP(C1159,'SALE PARTY MASTER'!$B$4:$E$500,4,FALSE)</f>
        <v>Local</v>
      </c>
      <c r="S1159" s="11" t="s">
        <v>4105</v>
      </c>
    </row>
    <row r="1160" spans="1:19" x14ac:dyDescent="0.2">
      <c r="A1160" s="51">
        <v>43800</v>
      </c>
      <c r="B1160" s="34">
        <v>16</v>
      </c>
      <c r="C1160" s="565" t="s">
        <v>102</v>
      </c>
      <c r="F1160" s="36" t="s">
        <v>4350</v>
      </c>
      <c r="G1160" s="37">
        <v>43810</v>
      </c>
      <c r="H1160" s="564">
        <v>87081090</v>
      </c>
      <c r="I1160" s="39">
        <f>VLOOKUP(H1160,'SALE HSN MASTER'!$A$4:$E$5001,5,FALSE)</f>
        <v>28</v>
      </c>
      <c r="J1160" s="38">
        <v>100</v>
      </c>
      <c r="K1160" s="40">
        <v>32571</v>
      </c>
      <c r="L1160" s="41">
        <f t="shared" si="12"/>
        <v>9119.8799999999992</v>
      </c>
      <c r="M1160" s="41">
        <f t="shared" si="13"/>
        <v>0</v>
      </c>
      <c r="N1160" s="41">
        <f t="shared" si="14"/>
        <v>0</v>
      </c>
      <c r="O1160" s="41">
        <v>0</v>
      </c>
      <c r="P1160" s="42">
        <f t="shared" si="15"/>
        <v>41690.879999999997</v>
      </c>
      <c r="Q1160" s="34" t="s">
        <v>25</v>
      </c>
      <c r="R1160" s="34" t="str">
        <f>VLOOKUP(C1160,'SALE PARTY MASTER'!$B$4:$E$500,4,FALSE)</f>
        <v>Oms</v>
      </c>
      <c r="S1160" s="11" t="s">
        <v>4105</v>
      </c>
    </row>
    <row r="1161" spans="1:19" x14ac:dyDescent="0.2">
      <c r="A1161" s="51">
        <v>43800</v>
      </c>
      <c r="B1161" s="34">
        <v>17</v>
      </c>
      <c r="C1161" s="565" t="s">
        <v>102</v>
      </c>
      <c r="F1161" s="36" t="s">
        <v>4351</v>
      </c>
      <c r="G1161" s="37">
        <v>43810</v>
      </c>
      <c r="H1161" s="564">
        <v>87081090</v>
      </c>
      <c r="I1161" s="39">
        <f>VLOOKUP(H1161,'SALE HSN MASTER'!$A$4:$E$5001,5,FALSE)</f>
        <v>28</v>
      </c>
      <c r="J1161" s="38">
        <v>12</v>
      </c>
      <c r="K1161" s="40">
        <v>11265.84</v>
      </c>
      <c r="L1161" s="41">
        <f t="shared" si="12"/>
        <v>3154.4351999999999</v>
      </c>
      <c r="M1161" s="41">
        <f t="shared" si="13"/>
        <v>0</v>
      </c>
      <c r="N1161" s="41">
        <f t="shared" si="14"/>
        <v>0</v>
      </c>
      <c r="O1161" s="41">
        <v>0</v>
      </c>
      <c r="P1161" s="42">
        <f t="shared" si="15"/>
        <v>14420.2752</v>
      </c>
      <c r="Q1161" s="34" t="s">
        <v>25</v>
      </c>
      <c r="R1161" s="34" t="str">
        <f>VLOOKUP(C1161,'SALE PARTY MASTER'!$B$4:$E$500,4,FALSE)</f>
        <v>Oms</v>
      </c>
      <c r="S1161" s="11" t="s">
        <v>4105</v>
      </c>
    </row>
    <row r="1162" spans="1:19" x14ac:dyDescent="0.2">
      <c r="A1162" s="51">
        <v>43800</v>
      </c>
      <c r="B1162" s="34">
        <v>18</v>
      </c>
      <c r="C1162" s="565" t="s">
        <v>102</v>
      </c>
      <c r="F1162" s="36" t="s">
        <v>4352</v>
      </c>
      <c r="G1162" s="37">
        <v>43810</v>
      </c>
      <c r="H1162" s="564">
        <v>87081090</v>
      </c>
      <c r="I1162" s="39">
        <f>VLOOKUP(H1162,'SALE HSN MASTER'!$A$4:$E$5001,5,FALSE)</f>
        <v>28</v>
      </c>
      <c r="J1162" s="38">
        <v>1</v>
      </c>
      <c r="K1162" s="40">
        <v>1091.8</v>
      </c>
      <c r="L1162" s="41">
        <f t="shared" si="12"/>
        <v>305.70399999999995</v>
      </c>
      <c r="M1162" s="41">
        <f t="shared" si="13"/>
        <v>0</v>
      </c>
      <c r="N1162" s="41">
        <f t="shared" si="14"/>
        <v>0</v>
      </c>
      <c r="O1162" s="41">
        <v>0</v>
      </c>
      <c r="P1162" s="42">
        <f t="shared" si="15"/>
        <v>1397.5039999999999</v>
      </c>
      <c r="Q1162" s="34" t="s">
        <v>25</v>
      </c>
      <c r="R1162" s="34" t="str">
        <f>VLOOKUP(C1162,'SALE PARTY MASTER'!$B$4:$E$500,4,FALSE)</f>
        <v>Oms</v>
      </c>
      <c r="S1162" s="11" t="s">
        <v>4105</v>
      </c>
    </row>
    <row r="1163" spans="1:19" x14ac:dyDescent="0.2">
      <c r="A1163" s="51">
        <v>43800</v>
      </c>
      <c r="B1163" s="34">
        <v>19</v>
      </c>
      <c r="C1163" s="565" t="s">
        <v>73</v>
      </c>
      <c r="F1163" s="36" t="s">
        <v>4353</v>
      </c>
      <c r="G1163" s="37">
        <v>43810</v>
      </c>
      <c r="H1163" s="564">
        <v>85129000</v>
      </c>
      <c r="I1163" s="39">
        <f>VLOOKUP(H1163,'SALE HSN MASTER'!$A$4:$E$5001,5,FALSE)</f>
        <v>18</v>
      </c>
      <c r="J1163" s="38">
        <v>2160</v>
      </c>
      <c r="K1163" s="40">
        <v>54000</v>
      </c>
      <c r="L1163" s="41">
        <f t="shared" si="12"/>
        <v>0</v>
      </c>
      <c r="M1163" s="41">
        <f t="shared" si="13"/>
        <v>4860</v>
      </c>
      <c r="N1163" s="41">
        <f t="shared" si="14"/>
        <v>4860</v>
      </c>
      <c r="O1163" s="41">
        <v>0</v>
      </c>
      <c r="P1163" s="42">
        <f t="shared" si="15"/>
        <v>63720</v>
      </c>
      <c r="Q1163" s="34" t="s">
        <v>25</v>
      </c>
      <c r="R1163" s="34" t="str">
        <f>VLOOKUP(C1163,'SALE PARTY MASTER'!$B$4:$E$500,4,FALSE)</f>
        <v>Local</v>
      </c>
      <c r="S1163" s="11" t="s">
        <v>4105</v>
      </c>
    </row>
    <row r="1164" spans="1:19" x14ac:dyDescent="0.2">
      <c r="A1164" s="51">
        <v>43800</v>
      </c>
      <c r="B1164" s="34">
        <v>20</v>
      </c>
      <c r="C1164" s="565" t="s">
        <v>167</v>
      </c>
      <c r="F1164" s="36" t="s">
        <v>4354</v>
      </c>
      <c r="G1164" s="37">
        <v>43810</v>
      </c>
      <c r="H1164" s="564">
        <v>87141900</v>
      </c>
      <c r="I1164" s="39">
        <f>VLOOKUP(H1164,'SALE HSN MASTER'!$A$4:$E$5001,5,FALSE)</f>
        <v>28</v>
      </c>
      <c r="J1164" s="38">
        <v>3500</v>
      </c>
      <c r="K1164" s="40">
        <v>40719</v>
      </c>
      <c r="L1164" s="41">
        <f t="shared" si="12"/>
        <v>0</v>
      </c>
      <c r="M1164" s="41">
        <f t="shared" si="13"/>
        <v>5700.66</v>
      </c>
      <c r="N1164" s="41">
        <f t="shared" si="14"/>
        <v>5700.66</v>
      </c>
      <c r="O1164" s="41">
        <v>0</v>
      </c>
      <c r="P1164" s="42">
        <f t="shared" si="15"/>
        <v>52120.32</v>
      </c>
      <c r="Q1164" s="34" t="s">
        <v>25</v>
      </c>
      <c r="R1164" s="34" t="str">
        <f>VLOOKUP(C1164,'SALE PARTY MASTER'!$B$4:$E$500,4,FALSE)</f>
        <v>Local</v>
      </c>
      <c r="S1164" s="11" t="s">
        <v>4105</v>
      </c>
    </row>
    <row r="1165" spans="1:19" x14ac:dyDescent="0.2">
      <c r="A1165" s="51">
        <v>43800</v>
      </c>
      <c r="B1165" s="34">
        <v>21</v>
      </c>
      <c r="C1165" s="565" t="s">
        <v>167</v>
      </c>
      <c r="F1165" s="36" t="s">
        <v>4355</v>
      </c>
      <c r="G1165" s="37">
        <v>43811</v>
      </c>
      <c r="H1165" s="564">
        <v>87141900</v>
      </c>
      <c r="I1165" s="39">
        <f>VLOOKUP(H1165,'SALE HSN MASTER'!$A$4:$E$5001,5,FALSE)</f>
        <v>28</v>
      </c>
      <c r="J1165" s="38">
        <v>2570</v>
      </c>
      <c r="K1165" s="40">
        <v>28244.1</v>
      </c>
      <c r="L1165" s="41">
        <f t="shared" si="12"/>
        <v>0</v>
      </c>
      <c r="M1165" s="41">
        <f t="shared" si="13"/>
        <v>3954.1739999999995</v>
      </c>
      <c r="N1165" s="41">
        <f t="shared" si="14"/>
        <v>3954.1739999999995</v>
      </c>
      <c r="O1165" s="41">
        <v>0</v>
      </c>
      <c r="P1165" s="42">
        <f t="shared" si="15"/>
        <v>36152.447999999997</v>
      </c>
      <c r="Q1165" s="34" t="s">
        <v>25</v>
      </c>
      <c r="R1165" s="34" t="str">
        <f>VLOOKUP(C1165,'SALE PARTY MASTER'!$B$4:$E$500,4,FALSE)</f>
        <v>Local</v>
      </c>
      <c r="S1165" s="11" t="s">
        <v>4105</v>
      </c>
    </row>
    <row r="1166" spans="1:19" x14ac:dyDescent="0.2">
      <c r="A1166" s="51">
        <v>43800</v>
      </c>
      <c r="B1166" s="34">
        <v>22</v>
      </c>
      <c r="C1166" s="11" t="s">
        <v>45</v>
      </c>
      <c r="F1166" s="36" t="s">
        <v>4356</v>
      </c>
      <c r="G1166" s="37">
        <v>43812</v>
      </c>
      <c r="H1166" s="564">
        <v>85129000</v>
      </c>
      <c r="I1166" s="39">
        <f>VLOOKUP(H1166,'SALE HSN MASTER'!$A$4:$E$5001,5,FALSE)</f>
        <v>18</v>
      </c>
      <c r="J1166" s="38">
        <v>954</v>
      </c>
      <c r="K1166" s="40">
        <v>116397.54</v>
      </c>
      <c r="L1166" s="41">
        <f t="shared" si="12"/>
        <v>0</v>
      </c>
      <c r="M1166" s="41">
        <f t="shared" si="13"/>
        <v>10475.7786</v>
      </c>
      <c r="N1166" s="41">
        <f t="shared" si="14"/>
        <v>10475.7786</v>
      </c>
      <c r="O1166" s="41">
        <v>0</v>
      </c>
      <c r="P1166" s="42">
        <f t="shared" si="15"/>
        <v>137349.09719999999</v>
      </c>
      <c r="Q1166" s="34" t="s">
        <v>25</v>
      </c>
      <c r="R1166" s="34" t="str">
        <f>VLOOKUP(C1166,'SALE PARTY MASTER'!$B$4:$E$500,4,FALSE)</f>
        <v>Local</v>
      </c>
      <c r="S1166" s="11" t="s">
        <v>4105</v>
      </c>
    </row>
    <row r="1167" spans="1:19" x14ac:dyDescent="0.2">
      <c r="A1167" s="51">
        <v>43800</v>
      </c>
      <c r="B1167" s="34">
        <v>23</v>
      </c>
      <c r="C1167" s="565" t="s">
        <v>40</v>
      </c>
      <c r="F1167" s="36" t="s">
        <v>4357</v>
      </c>
      <c r="G1167" s="37">
        <v>43812</v>
      </c>
      <c r="H1167" s="564">
        <v>87089900</v>
      </c>
      <c r="I1167" s="39">
        <f>VLOOKUP(H1167,'SALE HSN MASTER'!$A$4:$E$5001,5,FALSE)</f>
        <v>28</v>
      </c>
      <c r="J1167" s="38">
        <v>255</v>
      </c>
      <c r="K1167" s="40">
        <v>43744.05</v>
      </c>
      <c r="L1167" s="41">
        <f t="shared" si="12"/>
        <v>0</v>
      </c>
      <c r="M1167" s="41">
        <f t="shared" si="13"/>
        <v>6124.1670000000004</v>
      </c>
      <c r="N1167" s="41">
        <f t="shared" si="14"/>
        <v>6124.1670000000004</v>
      </c>
      <c r="O1167" s="41">
        <v>0</v>
      </c>
      <c r="P1167" s="42">
        <f t="shared" si="15"/>
        <v>55992.384000000005</v>
      </c>
      <c r="Q1167" s="34" t="s">
        <v>25</v>
      </c>
      <c r="R1167" s="34" t="str">
        <f>VLOOKUP(C1167,'SALE PARTY MASTER'!$B$4:$E$500,4,FALSE)</f>
        <v>Local</v>
      </c>
      <c r="S1167" s="11" t="s">
        <v>4105</v>
      </c>
    </row>
    <row r="1168" spans="1:19" x14ac:dyDescent="0.2">
      <c r="A1168" s="51">
        <v>43800</v>
      </c>
      <c r="B1168" s="34">
        <v>24</v>
      </c>
      <c r="C1168" s="11" t="s">
        <v>155</v>
      </c>
      <c r="F1168" s="36" t="s">
        <v>4358</v>
      </c>
      <c r="G1168" s="37">
        <v>43812</v>
      </c>
      <c r="H1168" s="564">
        <v>87141090</v>
      </c>
      <c r="I1168" s="39">
        <f>VLOOKUP(H1168,'SALE HSN MASTER'!$A$4:$E$5001,5,FALSE)</f>
        <v>28</v>
      </c>
      <c r="J1168" s="38">
        <v>1500</v>
      </c>
      <c r="K1168" s="40">
        <v>113055</v>
      </c>
      <c r="L1168" s="41">
        <f t="shared" si="12"/>
        <v>0</v>
      </c>
      <c r="M1168" s="41">
        <f t="shared" si="13"/>
        <v>15827.699999999999</v>
      </c>
      <c r="N1168" s="41">
        <f t="shared" si="14"/>
        <v>15827.699999999999</v>
      </c>
      <c r="O1168" s="41">
        <v>0</v>
      </c>
      <c r="P1168" s="42">
        <f t="shared" si="15"/>
        <v>144710.39999999999</v>
      </c>
      <c r="Q1168" s="34" t="s">
        <v>25</v>
      </c>
      <c r="R1168" s="34" t="str">
        <f>VLOOKUP(C1168,'SALE PARTY MASTER'!$B$4:$E$500,4,FALSE)</f>
        <v>Local</v>
      </c>
      <c r="S1168" s="11" t="s">
        <v>4105</v>
      </c>
    </row>
    <row r="1169" spans="1:19" x14ac:dyDescent="0.2">
      <c r="A1169" s="51">
        <v>43800</v>
      </c>
      <c r="B1169" s="34">
        <v>25</v>
      </c>
      <c r="C1169" s="11" t="s">
        <v>155</v>
      </c>
      <c r="F1169" s="36" t="s">
        <v>4359</v>
      </c>
      <c r="G1169" s="37">
        <v>43813</v>
      </c>
      <c r="H1169" s="564">
        <v>87141090</v>
      </c>
      <c r="I1169" s="39">
        <f>VLOOKUP(H1169,'SALE HSN MASTER'!$A$4:$E$5001,5,FALSE)</f>
        <v>28</v>
      </c>
      <c r="J1169" s="38">
        <v>1980</v>
      </c>
      <c r="K1169" s="40">
        <v>93119.4</v>
      </c>
      <c r="L1169" s="41">
        <f t="shared" si="12"/>
        <v>0</v>
      </c>
      <c r="M1169" s="41">
        <f t="shared" si="13"/>
        <v>13036.716</v>
      </c>
      <c r="N1169" s="41">
        <f t="shared" si="14"/>
        <v>13036.716</v>
      </c>
      <c r="O1169" s="41">
        <v>0</v>
      </c>
      <c r="P1169" s="42">
        <f t="shared" si="15"/>
        <v>119192.83199999999</v>
      </c>
      <c r="Q1169" s="34" t="s">
        <v>25</v>
      </c>
      <c r="R1169" s="34" t="str">
        <f>VLOOKUP(C1169,'SALE PARTY MASTER'!$B$4:$E$500,4,FALSE)</f>
        <v>Local</v>
      </c>
      <c r="S1169" s="11" t="s">
        <v>4105</v>
      </c>
    </row>
    <row r="1170" spans="1:19" x14ac:dyDescent="0.2">
      <c r="A1170" s="51">
        <v>43800</v>
      </c>
      <c r="B1170" s="34">
        <v>26</v>
      </c>
      <c r="C1170" s="565" t="s">
        <v>124</v>
      </c>
      <c r="F1170" s="36" t="s">
        <v>4360</v>
      </c>
      <c r="G1170" s="37">
        <v>43813</v>
      </c>
      <c r="H1170" s="564" t="s">
        <v>2425</v>
      </c>
      <c r="I1170" s="39">
        <f>VLOOKUP(H1170,'SALE HSN MASTER'!$A$4:$E$5001,5,FALSE)</f>
        <v>12</v>
      </c>
      <c r="J1170" s="38">
        <v>3500</v>
      </c>
      <c r="K1170" s="40">
        <v>301000</v>
      </c>
      <c r="L1170" s="41">
        <f t="shared" si="12"/>
        <v>0</v>
      </c>
      <c r="M1170" s="41">
        <f t="shared" si="13"/>
        <v>18060</v>
      </c>
      <c r="N1170" s="41">
        <f t="shared" si="14"/>
        <v>18060</v>
      </c>
      <c r="O1170" s="41">
        <v>0</v>
      </c>
      <c r="P1170" s="42">
        <f t="shared" si="15"/>
        <v>337120</v>
      </c>
      <c r="Q1170" s="34" t="s">
        <v>25</v>
      </c>
      <c r="R1170" s="34" t="str">
        <f>VLOOKUP(C1170,'SALE PARTY MASTER'!$B$4:$E$500,4,FALSE)</f>
        <v>Local</v>
      </c>
      <c r="S1170" s="11" t="s">
        <v>4105</v>
      </c>
    </row>
    <row r="1171" spans="1:19" x14ac:dyDescent="0.2">
      <c r="A1171" s="51">
        <v>43800</v>
      </c>
      <c r="B1171" s="34">
        <v>27</v>
      </c>
      <c r="C1171" s="565" t="s">
        <v>167</v>
      </c>
      <c r="F1171" s="36" t="s">
        <v>4361</v>
      </c>
      <c r="G1171" s="37">
        <v>43815</v>
      </c>
      <c r="H1171" s="564">
        <v>87141900</v>
      </c>
      <c r="I1171" s="39">
        <f>VLOOKUP(H1171,'SALE HSN MASTER'!$A$4:$E$5001,5,FALSE)</f>
        <v>28</v>
      </c>
      <c r="J1171" s="38">
        <v>4370</v>
      </c>
      <c r="K1171" s="40">
        <v>52818.1</v>
      </c>
      <c r="L1171" s="41">
        <f t="shared" si="12"/>
        <v>0</v>
      </c>
      <c r="M1171" s="41">
        <f t="shared" si="13"/>
        <v>7394.5340000000006</v>
      </c>
      <c r="N1171" s="41">
        <f t="shared" si="14"/>
        <v>7394.5340000000006</v>
      </c>
      <c r="O1171" s="41">
        <v>0</v>
      </c>
      <c r="P1171" s="42">
        <f t="shared" si="15"/>
        <v>67607.168000000005</v>
      </c>
      <c r="Q1171" s="34" t="s">
        <v>25</v>
      </c>
      <c r="R1171" s="34" t="str">
        <f>VLOOKUP(C1171,'SALE PARTY MASTER'!$B$4:$E$500,4,FALSE)</f>
        <v>Local</v>
      </c>
      <c r="S1171" s="11" t="s">
        <v>4105</v>
      </c>
    </row>
    <row r="1172" spans="1:19" x14ac:dyDescent="0.2">
      <c r="A1172" s="51">
        <v>43800</v>
      </c>
      <c r="B1172" s="34">
        <v>28</v>
      </c>
      <c r="C1172" s="565" t="s">
        <v>49</v>
      </c>
      <c r="F1172" s="36" t="s">
        <v>4362</v>
      </c>
      <c r="G1172" s="37">
        <v>43816</v>
      </c>
      <c r="H1172" s="564" t="s">
        <v>2425</v>
      </c>
      <c r="I1172" s="39">
        <f>VLOOKUP(H1172,'SALE HSN MASTER'!$A$4:$E$5001,5,FALSE)</f>
        <v>12</v>
      </c>
      <c r="J1172" s="38">
        <v>35</v>
      </c>
      <c r="K1172" s="40">
        <v>9944.9</v>
      </c>
      <c r="L1172" s="41">
        <f t="shared" si="12"/>
        <v>0</v>
      </c>
      <c r="M1172" s="41">
        <f t="shared" si="13"/>
        <v>596.69399999999996</v>
      </c>
      <c r="N1172" s="41">
        <f t="shared" si="14"/>
        <v>596.69399999999996</v>
      </c>
      <c r="O1172" s="41">
        <v>0</v>
      </c>
      <c r="P1172" s="42">
        <f t="shared" si="15"/>
        <v>11138.288</v>
      </c>
      <c r="Q1172" s="34" t="s">
        <v>25</v>
      </c>
      <c r="R1172" s="34" t="str">
        <f>VLOOKUP(C1172,'SALE PARTY MASTER'!$B$4:$E$500,4,FALSE)</f>
        <v>Local</v>
      </c>
      <c r="S1172" s="11" t="s">
        <v>4105</v>
      </c>
    </row>
    <row r="1173" spans="1:19" x14ac:dyDescent="0.2">
      <c r="A1173" s="51">
        <v>43800</v>
      </c>
      <c r="B1173" s="34">
        <v>29</v>
      </c>
      <c r="C1173" s="565" t="s">
        <v>40</v>
      </c>
      <c r="F1173" s="36" t="s">
        <v>4363</v>
      </c>
      <c r="G1173" s="37">
        <v>43816</v>
      </c>
      <c r="H1173" s="564">
        <v>87089900</v>
      </c>
      <c r="I1173" s="39">
        <f>VLOOKUP(H1173,'SALE HSN MASTER'!$A$4:$E$5001,5,FALSE)</f>
        <v>28</v>
      </c>
      <c r="J1173" s="38">
        <v>86</v>
      </c>
      <c r="K1173" s="40">
        <v>41176.800000000003</v>
      </c>
      <c r="L1173" s="41">
        <f t="shared" si="12"/>
        <v>0</v>
      </c>
      <c r="M1173" s="41">
        <f t="shared" si="13"/>
        <v>5764.7520000000004</v>
      </c>
      <c r="N1173" s="41">
        <f t="shared" si="14"/>
        <v>5764.7520000000004</v>
      </c>
      <c r="O1173" s="41">
        <v>0</v>
      </c>
      <c r="P1173" s="42">
        <f t="shared" si="15"/>
        <v>52706.304000000004</v>
      </c>
      <c r="Q1173" s="34" t="s">
        <v>25</v>
      </c>
      <c r="R1173" s="34" t="str">
        <f>VLOOKUP(C1173,'SALE PARTY MASTER'!$B$4:$E$500,4,FALSE)</f>
        <v>Local</v>
      </c>
      <c r="S1173" s="11" t="s">
        <v>4105</v>
      </c>
    </row>
    <row r="1174" spans="1:19" x14ac:dyDescent="0.2">
      <c r="A1174" s="51">
        <v>43800</v>
      </c>
      <c r="B1174" s="34">
        <v>30</v>
      </c>
      <c r="C1174" s="565" t="s">
        <v>124</v>
      </c>
      <c r="F1174" s="36" t="s">
        <v>4364</v>
      </c>
      <c r="G1174" s="37">
        <v>43816</v>
      </c>
      <c r="H1174" s="564" t="s">
        <v>2425</v>
      </c>
      <c r="I1174" s="39">
        <f>VLOOKUP(H1174,'SALE HSN MASTER'!$A$4:$E$5001,5,FALSE)</f>
        <v>12</v>
      </c>
      <c r="J1174" s="38">
        <v>1992</v>
      </c>
      <c r="K1174" s="40">
        <v>171456</v>
      </c>
      <c r="L1174" s="41">
        <f t="shared" si="12"/>
        <v>0</v>
      </c>
      <c r="M1174" s="41">
        <f t="shared" si="13"/>
        <v>10287.36</v>
      </c>
      <c r="N1174" s="41">
        <f t="shared" si="14"/>
        <v>10287.36</v>
      </c>
      <c r="O1174" s="41">
        <v>0</v>
      </c>
      <c r="P1174" s="42">
        <f t="shared" si="15"/>
        <v>192030.72</v>
      </c>
      <c r="Q1174" s="34" t="s">
        <v>25</v>
      </c>
      <c r="R1174" s="34" t="str">
        <f>VLOOKUP(C1174,'SALE PARTY MASTER'!$B$4:$E$500,4,FALSE)</f>
        <v>Local</v>
      </c>
      <c r="S1174" s="11" t="s">
        <v>4105</v>
      </c>
    </row>
    <row r="1175" spans="1:19" x14ac:dyDescent="0.2">
      <c r="A1175" s="51">
        <v>43800</v>
      </c>
      <c r="B1175" s="34">
        <v>31</v>
      </c>
      <c r="C1175" s="565" t="s">
        <v>167</v>
      </c>
      <c r="F1175" s="36" t="s">
        <v>4365</v>
      </c>
      <c r="G1175" s="37">
        <v>43816</v>
      </c>
      <c r="H1175" s="564">
        <v>87141900</v>
      </c>
      <c r="I1175" s="39">
        <f>VLOOKUP(H1175,'SALE HSN MASTER'!$A$4:$E$5001,5,FALSE)</f>
        <v>28</v>
      </c>
      <c r="J1175" s="38">
        <v>3500</v>
      </c>
      <c r="K1175" s="40">
        <v>43379</v>
      </c>
      <c r="L1175" s="41">
        <f t="shared" si="12"/>
        <v>0</v>
      </c>
      <c r="M1175" s="41">
        <f t="shared" si="13"/>
        <v>6073.06</v>
      </c>
      <c r="N1175" s="41">
        <f t="shared" si="14"/>
        <v>6073.06</v>
      </c>
      <c r="O1175" s="41">
        <v>0</v>
      </c>
      <c r="P1175" s="42">
        <f t="shared" si="15"/>
        <v>55525.120000000003</v>
      </c>
      <c r="Q1175" s="34" t="s">
        <v>25</v>
      </c>
      <c r="R1175" s="34" t="str">
        <f>VLOOKUP(C1175,'SALE PARTY MASTER'!$B$4:$E$500,4,FALSE)</f>
        <v>Local</v>
      </c>
      <c r="S1175" s="11" t="s">
        <v>4105</v>
      </c>
    </row>
    <row r="1176" spans="1:19" x14ac:dyDescent="0.2">
      <c r="A1176" s="51">
        <v>43800</v>
      </c>
      <c r="B1176" s="34">
        <v>32</v>
      </c>
      <c r="C1176" s="11" t="s">
        <v>155</v>
      </c>
      <c r="F1176" s="36" t="s">
        <v>4366</v>
      </c>
      <c r="G1176" s="37">
        <v>43817</v>
      </c>
      <c r="H1176" s="564">
        <v>87141090</v>
      </c>
      <c r="I1176" s="39">
        <f>VLOOKUP(H1176,'SALE HSN MASTER'!$A$4:$E$5001,5,FALSE)</f>
        <v>28</v>
      </c>
      <c r="J1176" s="38">
        <v>1320</v>
      </c>
      <c r="K1176" s="40">
        <v>62079.6</v>
      </c>
      <c r="L1176" s="41">
        <f t="shared" si="12"/>
        <v>0</v>
      </c>
      <c r="M1176" s="41">
        <f t="shared" si="13"/>
        <v>8691.1439999999984</v>
      </c>
      <c r="N1176" s="41">
        <f t="shared" si="14"/>
        <v>8691.1439999999984</v>
      </c>
      <c r="O1176" s="41">
        <v>0</v>
      </c>
      <c r="P1176" s="42">
        <f t="shared" si="15"/>
        <v>79461.887999999992</v>
      </c>
      <c r="Q1176" s="34" t="s">
        <v>25</v>
      </c>
      <c r="R1176" s="34" t="str">
        <f>VLOOKUP(C1176,'SALE PARTY MASTER'!$B$4:$E$500,4,FALSE)</f>
        <v>Local</v>
      </c>
      <c r="S1176" s="11" t="s">
        <v>4105</v>
      </c>
    </row>
    <row r="1177" spans="1:19" x14ac:dyDescent="0.2">
      <c r="A1177" s="51">
        <v>43800</v>
      </c>
      <c r="B1177" s="34">
        <v>33</v>
      </c>
      <c r="C1177" s="565" t="s">
        <v>167</v>
      </c>
      <c r="F1177" s="36" t="s">
        <v>4367</v>
      </c>
      <c r="G1177" s="37">
        <v>43818</v>
      </c>
      <c r="H1177" s="564">
        <v>87141900</v>
      </c>
      <c r="I1177" s="39">
        <f>VLOOKUP(H1177,'SALE HSN MASTER'!$A$4:$E$5001,5,FALSE)</f>
        <v>28</v>
      </c>
      <c r="J1177" s="38">
        <v>3384</v>
      </c>
      <c r="K1177" s="40">
        <v>44762.720000000001</v>
      </c>
      <c r="L1177" s="41">
        <f t="shared" si="12"/>
        <v>0</v>
      </c>
      <c r="M1177" s="41">
        <f t="shared" si="13"/>
        <v>6266.7808000000005</v>
      </c>
      <c r="N1177" s="41">
        <f t="shared" si="14"/>
        <v>6266.7808000000005</v>
      </c>
      <c r="O1177" s="41">
        <v>0</v>
      </c>
      <c r="P1177" s="42">
        <f t="shared" si="15"/>
        <v>57296.281600000002</v>
      </c>
      <c r="Q1177" s="34" t="s">
        <v>25</v>
      </c>
      <c r="R1177" s="34" t="str">
        <f>VLOOKUP(C1177,'SALE PARTY MASTER'!$B$4:$E$500,4,FALSE)</f>
        <v>Local</v>
      </c>
      <c r="S1177" s="11" t="s">
        <v>4105</v>
      </c>
    </row>
    <row r="1178" spans="1:19" x14ac:dyDescent="0.2">
      <c r="A1178" s="51">
        <v>43800</v>
      </c>
      <c r="B1178" s="34">
        <v>34</v>
      </c>
      <c r="C1178" s="565" t="s">
        <v>124</v>
      </c>
      <c r="F1178" s="36" t="s">
        <v>4368</v>
      </c>
      <c r="G1178" s="37">
        <v>43819</v>
      </c>
      <c r="H1178" s="564" t="s">
        <v>2425</v>
      </c>
      <c r="I1178" s="39">
        <f>VLOOKUP(H1178,'SALE HSN MASTER'!$A$4:$E$5001,5,FALSE)</f>
        <v>12</v>
      </c>
      <c r="J1178" s="38">
        <v>1910</v>
      </c>
      <c r="K1178" s="40">
        <v>164080</v>
      </c>
      <c r="L1178" s="41">
        <f t="shared" si="12"/>
        <v>0</v>
      </c>
      <c r="M1178" s="41">
        <f t="shared" si="13"/>
        <v>9844.7999999999993</v>
      </c>
      <c r="N1178" s="41">
        <f t="shared" si="14"/>
        <v>9844.7999999999993</v>
      </c>
      <c r="O1178" s="41">
        <v>0</v>
      </c>
      <c r="P1178" s="42">
        <f t="shared" si="15"/>
        <v>183769.60000000001</v>
      </c>
      <c r="Q1178" s="34" t="s">
        <v>25</v>
      </c>
      <c r="R1178" s="34" t="str">
        <f>VLOOKUP(C1178,'SALE PARTY MASTER'!$B$4:$E$500,4,FALSE)</f>
        <v>Local</v>
      </c>
      <c r="S1178" s="11" t="s">
        <v>4105</v>
      </c>
    </row>
    <row r="1179" spans="1:19" x14ac:dyDescent="0.2">
      <c r="A1179" s="51">
        <v>43800</v>
      </c>
      <c r="B1179" s="34">
        <v>35</v>
      </c>
      <c r="C1179" s="565" t="s">
        <v>102</v>
      </c>
      <c r="F1179" s="36" t="s">
        <v>4369</v>
      </c>
      <c r="G1179" s="37">
        <v>43822</v>
      </c>
      <c r="H1179" s="564">
        <v>87081090</v>
      </c>
      <c r="I1179" s="39">
        <f>VLOOKUP(H1179,'SALE HSN MASTER'!$A$4:$E$5001,5,FALSE)</f>
        <v>28</v>
      </c>
      <c r="J1179" s="38">
        <v>20</v>
      </c>
      <c r="K1179" s="40">
        <v>18776.400000000001</v>
      </c>
      <c r="L1179" s="41">
        <f t="shared" si="12"/>
        <v>5257.3919999999998</v>
      </c>
      <c r="M1179" s="41">
        <f t="shared" si="13"/>
        <v>0</v>
      </c>
      <c r="N1179" s="41">
        <f t="shared" si="14"/>
        <v>0</v>
      </c>
      <c r="O1179" s="41">
        <v>0</v>
      </c>
      <c r="P1179" s="42">
        <f t="shared" si="15"/>
        <v>24033.792000000001</v>
      </c>
      <c r="Q1179" s="34" t="s">
        <v>25</v>
      </c>
      <c r="R1179" s="34" t="str">
        <f>VLOOKUP(C1179,'SALE PARTY MASTER'!$B$4:$E$500,4,FALSE)</f>
        <v>Oms</v>
      </c>
      <c r="S1179" s="11" t="s">
        <v>4105</v>
      </c>
    </row>
    <row r="1180" spans="1:19" x14ac:dyDescent="0.2">
      <c r="A1180" s="51">
        <v>43800</v>
      </c>
      <c r="B1180" s="34">
        <v>36</v>
      </c>
      <c r="C1180" s="565" t="s">
        <v>102</v>
      </c>
      <c r="F1180" s="36" t="s">
        <v>4370</v>
      </c>
      <c r="G1180" s="37">
        <v>43822</v>
      </c>
      <c r="H1180" s="564">
        <v>87081090</v>
      </c>
      <c r="I1180" s="39">
        <f>VLOOKUP(H1180,'SALE HSN MASTER'!$A$4:$E$5001,5,FALSE)</f>
        <v>28</v>
      </c>
      <c r="J1180" s="38">
        <v>22</v>
      </c>
      <c r="K1180" s="40">
        <v>47273.599999999999</v>
      </c>
      <c r="L1180" s="41">
        <f t="shared" si="12"/>
        <v>13236.608</v>
      </c>
      <c r="M1180" s="41">
        <f t="shared" si="13"/>
        <v>0</v>
      </c>
      <c r="N1180" s="41">
        <f t="shared" si="14"/>
        <v>0</v>
      </c>
      <c r="O1180" s="41">
        <v>0</v>
      </c>
      <c r="P1180" s="42">
        <f t="shared" si="15"/>
        <v>60510.207999999999</v>
      </c>
      <c r="Q1180" s="34" t="s">
        <v>25</v>
      </c>
      <c r="R1180" s="34" t="str">
        <f>VLOOKUP(C1180,'SALE PARTY MASTER'!$B$4:$E$500,4,FALSE)</f>
        <v>Oms</v>
      </c>
      <c r="S1180" s="11" t="s">
        <v>4105</v>
      </c>
    </row>
    <row r="1181" spans="1:19" x14ac:dyDescent="0.2">
      <c r="A1181" s="51">
        <v>43800</v>
      </c>
      <c r="B1181" s="34">
        <v>37</v>
      </c>
      <c r="C1181" s="565" t="s">
        <v>102</v>
      </c>
      <c r="F1181" s="36" t="s">
        <v>4371</v>
      </c>
      <c r="G1181" s="37">
        <v>43822</v>
      </c>
      <c r="H1181" s="564">
        <v>87081090</v>
      </c>
      <c r="I1181" s="39">
        <f>VLOOKUP(H1181,'SALE HSN MASTER'!$A$4:$E$5001,5,FALSE)</f>
        <v>28</v>
      </c>
      <c r="J1181" s="38">
        <v>50</v>
      </c>
      <c r="K1181" s="40">
        <v>16285.5</v>
      </c>
      <c r="L1181" s="41">
        <f t="shared" si="12"/>
        <v>4559.9399999999996</v>
      </c>
      <c r="M1181" s="41">
        <f t="shared" si="13"/>
        <v>0</v>
      </c>
      <c r="N1181" s="41">
        <f t="shared" si="14"/>
        <v>0</v>
      </c>
      <c r="O1181" s="41">
        <v>0</v>
      </c>
      <c r="P1181" s="42">
        <f t="shared" si="15"/>
        <v>20845.439999999999</v>
      </c>
      <c r="Q1181" s="34" t="s">
        <v>25</v>
      </c>
      <c r="R1181" s="34" t="str">
        <f>VLOOKUP(C1181,'SALE PARTY MASTER'!$B$4:$E$500,4,FALSE)</f>
        <v>Oms</v>
      </c>
      <c r="S1181" s="11" t="s">
        <v>4105</v>
      </c>
    </row>
    <row r="1182" spans="1:19" x14ac:dyDescent="0.2">
      <c r="A1182" s="51">
        <v>43800</v>
      </c>
      <c r="B1182" s="34">
        <v>38</v>
      </c>
      <c r="C1182" s="565" t="s">
        <v>102</v>
      </c>
      <c r="F1182" s="36" t="s">
        <v>4372</v>
      </c>
      <c r="G1182" s="37">
        <v>43822</v>
      </c>
      <c r="H1182" s="564">
        <v>87081090</v>
      </c>
      <c r="I1182" s="39">
        <f>VLOOKUP(H1182,'SALE HSN MASTER'!$A$4:$E$5001,5,FALSE)</f>
        <v>28</v>
      </c>
      <c r="J1182" s="38">
        <v>1</v>
      </c>
      <c r="K1182" s="40">
        <v>1903.4</v>
      </c>
      <c r="L1182" s="41">
        <f t="shared" ref="L1182:L1245" si="16">+IF(R1182="Oms",K1182/100*I1182,0)</f>
        <v>532.95200000000011</v>
      </c>
      <c r="M1182" s="41">
        <f t="shared" ref="M1182:M1245" si="17">+IF(R1182="local",K1182/100*I1182/2,0)</f>
        <v>0</v>
      </c>
      <c r="N1182" s="41">
        <f t="shared" ref="N1182:N1245" si="18">+IF(R1182="local",K1182/100*I1182/2,0)</f>
        <v>0</v>
      </c>
      <c r="O1182" s="41">
        <v>0</v>
      </c>
      <c r="P1182" s="42">
        <f t="shared" ref="P1182:P1245" si="19">+O1182+N1182+M1182+L1182+K1182</f>
        <v>2436.3520000000003</v>
      </c>
      <c r="Q1182" s="34" t="s">
        <v>25</v>
      </c>
      <c r="R1182" s="34" t="str">
        <f>VLOOKUP(C1182,'SALE PARTY MASTER'!$B$4:$E$500,4,FALSE)</f>
        <v>Oms</v>
      </c>
      <c r="S1182" s="11" t="s">
        <v>4105</v>
      </c>
    </row>
    <row r="1183" spans="1:19" x14ac:dyDescent="0.2">
      <c r="A1183" s="51">
        <v>43800</v>
      </c>
      <c r="B1183" s="34">
        <v>39</v>
      </c>
      <c r="C1183" s="565" t="s">
        <v>102</v>
      </c>
      <c r="F1183" s="36" t="s">
        <v>4373</v>
      </c>
      <c r="G1183" s="37">
        <v>43822</v>
      </c>
      <c r="H1183" s="564">
        <v>87081090</v>
      </c>
      <c r="I1183" s="39">
        <f>VLOOKUP(H1183,'SALE HSN MASTER'!$A$4:$E$5001,5,FALSE)</f>
        <v>28</v>
      </c>
      <c r="J1183" s="38">
        <v>1</v>
      </c>
      <c r="K1183" s="40">
        <v>1295.0999999999999</v>
      </c>
      <c r="L1183" s="41">
        <f t="shared" si="16"/>
        <v>362.62799999999999</v>
      </c>
      <c r="M1183" s="41">
        <f t="shared" si="17"/>
        <v>0</v>
      </c>
      <c r="N1183" s="41">
        <f t="shared" si="18"/>
        <v>0</v>
      </c>
      <c r="O1183" s="41">
        <v>0</v>
      </c>
      <c r="P1183" s="42">
        <f t="shared" si="19"/>
        <v>1657.7279999999998</v>
      </c>
      <c r="Q1183" s="34" t="s">
        <v>25</v>
      </c>
      <c r="R1183" s="34" t="str">
        <f>VLOOKUP(C1183,'SALE PARTY MASTER'!$B$4:$E$500,4,FALSE)</f>
        <v>Oms</v>
      </c>
      <c r="S1183" s="11" t="s">
        <v>4105</v>
      </c>
    </row>
    <row r="1184" spans="1:19" x14ac:dyDescent="0.2">
      <c r="A1184" s="51">
        <v>43800</v>
      </c>
      <c r="B1184" s="34">
        <v>40</v>
      </c>
      <c r="C1184" s="11" t="s">
        <v>45</v>
      </c>
      <c r="F1184" s="36" t="s">
        <v>4374</v>
      </c>
      <c r="G1184" s="37">
        <v>43822</v>
      </c>
      <c r="H1184" s="564">
        <v>85129000</v>
      </c>
      <c r="I1184" s="39">
        <f>VLOOKUP(H1184,'SALE HSN MASTER'!$A$4:$E$5001,5,FALSE)</f>
        <v>18</v>
      </c>
      <c r="J1184" s="38">
        <v>1188</v>
      </c>
      <c r="K1184" s="40">
        <v>144947.88</v>
      </c>
      <c r="L1184" s="41">
        <f t="shared" si="16"/>
        <v>0</v>
      </c>
      <c r="M1184" s="41">
        <f t="shared" si="17"/>
        <v>13045.309200000002</v>
      </c>
      <c r="N1184" s="41">
        <f t="shared" si="18"/>
        <v>13045.309200000002</v>
      </c>
      <c r="O1184" s="41">
        <v>0</v>
      </c>
      <c r="P1184" s="42">
        <f t="shared" si="19"/>
        <v>171038.49840000001</v>
      </c>
      <c r="Q1184" s="34" t="s">
        <v>25</v>
      </c>
      <c r="R1184" s="34" t="str">
        <f>VLOOKUP(C1184,'SALE PARTY MASTER'!$B$4:$E$500,4,FALSE)</f>
        <v>Local</v>
      </c>
      <c r="S1184" s="11" t="s">
        <v>4105</v>
      </c>
    </row>
    <row r="1185" spans="1:19" x14ac:dyDescent="0.2">
      <c r="A1185" s="51">
        <v>43800</v>
      </c>
      <c r="B1185" s="34">
        <v>41</v>
      </c>
      <c r="C1185" s="565" t="s">
        <v>40</v>
      </c>
      <c r="F1185" s="36" t="s">
        <v>4375</v>
      </c>
      <c r="G1185" s="37">
        <v>43822</v>
      </c>
      <c r="H1185" s="564">
        <v>87089900</v>
      </c>
      <c r="I1185" s="39">
        <f>VLOOKUP(H1185,'SALE HSN MASTER'!$A$4:$E$5001,5,FALSE)</f>
        <v>28</v>
      </c>
      <c r="J1185" s="38">
        <v>19</v>
      </c>
      <c r="K1185" s="40">
        <v>13664.8</v>
      </c>
      <c r="L1185" s="41">
        <f t="shared" si="16"/>
        <v>0</v>
      </c>
      <c r="M1185" s="41">
        <f t="shared" si="17"/>
        <v>1913.0719999999999</v>
      </c>
      <c r="N1185" s="41">
        <f t="shared" si="18"/>
        <v>1913.0719999999999</v>
      </c>
      <c r="O1185" s="41">
        <v>0</v>
      </c>
      <c r="P1185" s="42">
        <f t="shared" si="19"/>
        <v>17490.944</v>
      </c>
      <c r="Q1185" s="34" t="s">
        <v>25</v>
      </c>
      <c r="R1185" s="34" t="str">
        <f>VLOOKUP(C1185,'SALE PARTY MASTER'!$B$4:$E$500,4,FALSE)</f>
        <v>Local</v>
      </c>
      <c r="S1185" s="11" t="s">
        <v>4105</v>
      </c>
    </row>
    <row r="1186" spans="1:19" x14ac:dyDescent="0.2">
      <c r="A1186" s="51">
        <v>43800</v>
      </c>
      <c r="B1186" s="34">
        <v>42</v>
      </c>
      <c r="C1186" s="565" t="s">
        <v>167</v>
      </c>
      <c r="F1186" s="36" t="s">
        <v>4376</v>
      </c>
      <c r="G1186" s="37">
        <v>43823</v>
      </c>
      <c r="H1186" s="564">
        <v>87141900</v>
      </c>
      <c r="I1186" s="39">
        <f>VLOOKUP(H1186,'SALE HSN MASTER'!$A$4:$E$5001,5,FALSE)</f>
        <v>28</v>
      </c>
      <c r="J1186" s="38">
        <v>4650</v>
      </c>
      <c r="K1186" s="40">
        <v>51734.5</v>
      </c>
      <c r="L1186" s="41">
        <f t="shared" si="16"/>
        <v>0</v>
      </c>
      <c r="M1186" s="41">
        <f t="shared" si="17"/>
        <v>7242.83</v>
      </c>
      <c r="N1186" s="41">
        <f t="shared" si="18"/>
        <v>7242.83</v>
      </c>
      <c r="O1186" s="41">
        <v>0</v>
      </c>
      <c r="P1186" s="42">
        <f t="shared" si="19"/>
        <v>66220.160000000003</v>
      </c>
      <c r="Q1186" s="34" t="s">
        <v>25</v>
      </c>
      <c r="R1186" s="34" t="str">
        <f>VLOOKUP(C1186,'SALE PARTY MASTER'!$B$4:$E$500,4,FALSE)</f>
        <v>Local</v>
      </c>
      <c r="S1186" s="11" t="s">
        <v>4105</v>
      </c>
    </row>
    <row r="1187" spans="1:19" x14ac:dyDescent="0.2">
      <c r="A1187" s="51">
        <v>43800</v>
      </c>
      <c r="B1187" s="34">
        <v>43</v>
      </c>
      <c r="C1187" s="565" t="s">
        <v>124</v>
      </c>
      <c r="F1187" s="36" t="s">
        <v>4377</v>
      </c>
      <c r="G1187" s="37">
        <v>43823</v>
      </c>
      <c r="H1187" s="564" t="s">
        <v>2425</v>
      </c>
      <c r="I1187" s="39">
        <f>VLOOKUP(H1187,'SALE HSN MASTER'!$A$4:$E$5001,5,FALSE)</f>
        <v>12</v>
      </c>
      <c r="J1187" s="38">
        <v>1344</v>
      </c>
      <c r="K1187" s="40">
        <v>91392</v>
      </c>
      <c r="L1187" s="41">
        <f t="shared" si="16"/>
        <v>0</v>
      </c>
      <c r="M1187" s="41">
        <f t="shared" si="17"/>
        <v>5483.5199999999995</v>
      </c>
      <c r="N1187" s="41">
        <f t="shared" si="18"/>
        <v>5483.5199999999995</v>
      </c>
      <c r="O1187" s="41">
        <v>0</v>
      </c>
      <c r="P1187" s="42">
        <f t="shared" si="19"/>
        <v>102359.03999999999</v>
      </c>
      <c r="Q1187" s="34" t="s">
        <v>25</v>
      </c>
      <c r="R1187" s="34" t="str">
        <f>VLOOKUP(C1187,'SALE PARTY MASTER'!$B$4:$E$500,4,FALSE)</f>
        <v>Local</v>
      </c>
      <c r="S1187" s="11" t="s">
        <v>4105</v>
      </c>
    </row>
    <row r="1188" spans="1:19" x14ac:dyDescent="0.2">
      <c r="A1188" s="51">
        <v>43800</v>
      </c>
      <c r="B1188" s="34">
        <v>44</v>
      </c>
      <c r="C1188" s="565" t="s">
        <v>73</v>
      </c>
      <c r="F1188" s="36" t="s">
        <v>4378</v>
      </c>
      <c r="G1188" s="37">
        <v>43823</v>
      </c>
      <c r="H1188" s="564">
        <v>85129000</v>
      </c>
      <c r="I1188" s="39">
        <f>VLOOKUP(H1188,'SALE HSN MASTER'!$A$4:$E$5001,5,FALSE)</f>
        <v>18</v>
      </c>
      <c r="J1188" s="38">
        <v>2400</v>
      </c>
      <c r="K1188" s="40">
        <v>60000</v>
      </c>
      <c r="L1188" s="41">
        <f t="shared" si="16"/>
        <v>0</v>
      </c>
      <c r="M1188" s="41">
        <f t="shared" si="17"/>
        <v>5400</v>
      </c>
      <c r="N1188" s="41">
        <f t="shared" si="18"/>
        <v>5400</v>
      </c>
      <c r="O1188" s="41">
        <v>0</v>
      </c>
      <c r="P1188" s="42">
        <f t="shared" si="19"/>
        <v>70800</v>
      </c>
      <c r="Q1188" s="34" t="s">
        <v>25</v>
      </c>
      <c r="R1188" s="34" t="str">
        <f>VLOOKUP(C1188,'SALE PARTY MASTER'!$B$4:$E$500,4,FALSE)</f>
        <v>Local</v>
      </c>
      <c r="S1188" s="11" t="s">
        <v>4105</v>
      </c>
    </row>
    <row r="1189" spans="1:19" x14ac:dyDescent="0.2">
      <c r="A1189" s="51">
        <v>43800</v>
      </c>
      <c r="B1189" s="34">
        <v>45</v>
      </c>
      <c r="C1189" s="565" t="s">
        <v>167</v>
      </c>
      <c r="F1189" s="36" t="s">
        <v>4379</v>
      </c>
      <c r="G1189" s="37">
        <v>43824</v>
      </c>
      <c r="H1189" s="564">
        <v>87141900</v>
      </c>
      <c r="I1189" s="39">
        <f>VLOOKUP(H1189,'SALE HSN MASTER'!$A$4:$E$5001,5,FALSE)</f>
        <v>28</v>
      </c>
      <c r="J1189" s="38">
        <v>2731</v>
      </c>
      <c r="K1189" s="40">
        <v>34404.03</v>
      </c>
      <c r="L1189" s="41">
        <f t="shared" si="16"/>
        <v>0</v>
      </c>
      <c r="M1189" s="41">
        <f t="shared" si="17"/>
        <v>4816.5641999999998</v>
      </c>
      <c r="N1189" s="41">
        <f t="shared" si="18"/>
        <v>4816.5641999999998</v>
      </c>
      <c r="O1189" s="41">
        <v>0</v>
      </c>
      <c r="P1189" s="42">
        <f t="shared" si="19"/>
        <v>44037.1584</v>
      </c>
      <c r="Q1189" s="34" t="s">
        <v>25</v>
      </c>
      <c r="R1189" s="34" t="str">
        <f>VLOOKUP(C1189,'SALE PARTY MASTER'!$B$4:$E$500,4,FALSE)</f>
        <v>Local</v>
      </c>
      <c r="S1189" s="11" t="s">
        <v>4105</v>
      </c>
    </row>
    <row r="1190" spans="1:19" x14ac:dyDescent="0.2">
      <c r="A1190" s="51">
        <v>43800</v>
      </c>
      <c r="B1190" s="34">
        <v>46</v>
      </c>
      <c r="C1190" s="565" t="s">
        <v>28</v>
      </c>
      <c r="F1190" s="36" t="s">
        <v>4380</v>
      </c>
      <c r="G1190" s="37">
        <v>43824</v>
      </c>
      <c r="H1190" s="564">
        <v>87089900</v>
      </c>
      <c r="I1190" s="39">
        <f>VLOOKUP(H1190,'SALE HSN MASTER'!$A$4:$E$5001,5,FALSE)</f>
        <v>28</v>
      </c>
      <c r="J1190" s="38">
        <v>11</v>
      </c>
      <c r="K1190" s="40">
        <v>21317.78</v>
      </c>
      <c r="L1190" s="41">
        <f t="shared" si="16"/>
        <v>0</v>
      </c>
      <c r="M1190" s="41">
        <f t="shared" si="17"/>
        <v>2984.4892</v>
      </c>
      <c r="N1190" s="41">
        <f t="shared" si="18"/>
        <v>2984.4892</v>
      </c>
      <c r="O1190" s="41">
        <v>0</v>
      </c>
      <c r="P1190" s="42">
        <f t="shared" si="19"/>
        <v>27286.758399999999</v>
      </c>
      <c r="Q1190" s="34" t="s">
        <v>25</v>
      </c>
      <c r="R1190" s="34" t="str">
        <f>VLOOKUP(C1190,'SALE PARTY MASTER'!$B$4:$E$500,4,FALSE)</f>
        <v>Local</v>
      </c>
      <c r="S1190" s="11" t="s">
        <v>4105</v>
      </c>
    </row>
    <row r="1191" spans="1:19" x14ac:dyDescent="0.2">
      <c r="A1191" s="51">
        <v>43800</v>
      </c>
      <c r="B1191" s="34">
        <v>47</v>
      </c>
      <c r="C1191" s="565" t="s">
        <v>40</v>
      </c>
      <c r="F1191" s="36" t="s">
        <v>4381</v>
      </c>
      <c r="G1191" s="37">
        <v>43824</v>
      </c>
      <c r="H1191" s="564">
        <v>87089900</v>
      </c>
      <c r="I1191" s="39">
        <f>VLOOKUP(H1191,'SALE HSN MASTER'!$A$4:$E$5001,5,FALSE)</f>
        <v>28</v>
      </c>
      <c r="J1191" s="38">
        <v>60</v>
      </c>
      <c r="K1191" s="40">
        <v>43152</v>
      </c>
      <c r="L1191" s="41">
        <f t="shared" si="16"/>
        <v>0</v>
      </c>
      <c r="M1191" s="41">
        <f t="shared" si="17"/>
        <v>6041.28</v>
      </c>
      <c r="N1191" s="41">
        <f t="shared" si="18"/>
        <v>6041.28</v>
      </c>
      <c r="O1191" s="41">
        <v>0</v>
      </c>
      <c r="P1191" s="42">
        <f t="shared" si="19"/>
        <v>55234.559999999998</v>
      </c>
      <c r="Q1191" s="34" t="s">
        <v>25</v>
      </c>
      <c r="R1191" s="34" t="str">
        <f>VLOOKUP(C1191,'SALE PARTY MASTER'!$B$4:$E$500,4,FALSE)</f>
        <v>Local</v>
      </c>
      <c r="S1191" s="11" t="s">
        <v>4105</v>
      </c>
    </row>
    <row r="1192" spans="1:19" x14ac:dyDescent="0.2">
      <c r="A1192" s="51">
        <v>43800</v>
      </c>
      <c r="B1192" s="34">
        <v>48</v>
      </c>
      <c r="C1192" s="565" t="s">
        <v>167</v>
      </c>
      <c r="F1192" s="36" t="s">
        <v>4382</v>
      </c>
      <c r="G1192" s="37">
        <v>43825</v>
      </c>
      <c r="H1192" s="564">
        <v>87141900</v>
      </c>
      <c r="I1192" s="39">
        <f>VLOOKUP(H1192,'SALE HSN MASTER'!$A$4:$E$5001,5,FALSE)</f>
        <v>28</v>
      </c>
      <c r="J1192" s="38">
        <v>1800</v>
      </c>
      <c r="K1192" s="40">
        <v>27234</v>
      </c>
      <c r="L1192" s="41">
        <f t="shared" si="16"/>
        <v>0</v>
      </c>
      <c r="M1192" s="41">
        <f t="shared" si="17"/>
        <v>3812.7599999999998</v>
      </c>
      <c r="N1192" s="41">
        <f t="shared" si="18"/>
        <v>3812.7599999999998</v>
      </c>
      <c r="O1192" s="41">
        <v>0</v>
      </c>
      <c r="P1192" s="42">
        <f t="shared" si="19"/>
        <v>34859.519999999997</v>
      </c>
      <c r="Q1192" s="34" t="s">
        <v>25</v>
      </c>
      <c r="R1192" s="34" t="str">
        <f>VLOOKUP(C1192,'SALE PARTY MASTER'!$B$4:$E$500,4,FALSE)</f>
        <v>Local</v>
      </c>
      <c r="S1192" s="11" t="s">
        <v>4105</v>
      </c>
    </row>
    <row r="1193" spans="1:19" x14ac:dyDescent="0.2">
      <c r="A1193" s="51">
        <v>43800</v>
      </c>
      <c r="B1193" s="34">
        <v>49</v>
      </c>
      <c r="C1193" s="565" t="s">
        <v>102</v>
      </c>
      <c r="F1193" s="36" t="s">
        <v>4383</v>
      </c>
      <c r="G1193" s="37">
        <v>43825</v>
      </c>
      <c r="H1193" s="564">
        <v>87081090</v>
      </c>
      <c r="I1193" s="39">
        <f>VLOOKUP(H1193,'SALE HSN MASTER'!$A$4:$E$5001,5,FALSE)</f>
        <v>28</v>
      </c>
      <c r="J1193" s="38">
        <v>270</v>
      </c>
      <c r="K1193" s="40">
        <v>87941.7</v>
      </c>
      <c r="L1193" s="41">
        <f t="shared" si="16"/>
        <v>24623.675999999999</v>
      </c>
      <c r="M1193" s="41">
        <f t="shared" si="17"/>
        <v>0</v>
      </c>
      <c r="N1193" s="41">
        <f t="shared" si="18"/>
        <v>0</v>
      </c>
      <c r="O1193" s="41">
        <v>0</v>
      </c>
      <c r="P1193" s="42">
        <f t="shared" si="19"/>
        <v>112565.37599999999</v>
      </c>
      <c r="Q1193" s="34" t="s">
        <v>25</v>
      </c>
      <c r="R1193" s="34" t="str">
        <f>VLOOKUP(C1193,'SALE PARTY MASTER'!$B$4:$E$500,4,FALSE)</f>
        <v>Oms</v>
      </c>
      <c r="S1193" s="11" t="s">
        <v>4105</v>
      </c>
    </row>
    <row r="1194" spans="1:19" x14ac:dyDescent="0.2">
      <c r="A1194" s="51">
        <v>43800</v>
      </c>
      <c r="B1194" s="34">
        <v>50</v>
      </c>
      <c r="C1194" s="565" t="s">
        <v>102</v>
      </c>
      <c r="F1194" s="36" t="s">
        <v>4384</v>
      </c>
      <c r="G1194" s="37">
        <v>43825</v>
      </c>
      <c r="H1194" s="564">
        <v>87081090</v>
      </c>
      <c r="I1194" s="39">
        <f>VLOOKUP(H1194,'SALE HSN MASTER'!$A$4:$E$5001,5,FALSE)</f>
        <v>28</v>
      </c>
      <c r="J1194" s="38">
        <v>70</v>
      </c>
      <c r="K1194" s="40">
        <v>141505</v>
      </c>
      <c r="L1194" s="41">
        <f t="shared" si="16"/>
        <v>39621.4</v>
      </c>
      <c r="M1194" s="41">
        <f t="shared" si="17"/>
        <v>0</v>
      </c>
      <c r="N1194" s="41">
        <f t="shared" si="18"/>
        <v>0</v>
      </c>
      <c r="O1194" s="41">
        <v>0</v>
      </c>
      <c r="P1194" s="42">
        <f t="shared" si="19"/>
        <v>181126.39999999999</v>
      </c>
      <c r="Q1194" s="34" t="s">
        <v>25</v>
      </c>
      <c r="R1194" s="34" t="str">
        <f>VLOOKUP(C1194,'SALE PARTY MASTER'!$B$4:$E$500,4,FALSE)</f>
        <v>Oms</v>
      </c>
      <c r="S1194" s="11" t="s">
        <v>4105</v>
      </c>
    </row>
    <row r="1195" spans="1:19" x14ac:dyDescent="0.2">
      <c r="A1195" s="51">
        <v>43800</v>
      </c>
      <c r="B1195" s="34">
        <v>51</v>
      </c>
      <c r="C1195" s="565" t="s">
        <v>40</v>
      </c>
      <c r="F1195" s="36" t="s">
        <v>4385</v>
      </c>
      <c r="G1195" s="37">
        <v>43827</v>
      </c>
      <c r="H1195" s="564">
        <v>87089900</v>
      </c>
      <c r="I1195" s="39">
        <f>VLOOKUP(H1195,'SALE HSN MASTER'!$A$4:$E$5001,5,FALSE)</f>
        <v>28</v>
      </c>
      <c r="J1195" s="38">
        <v>280</v>
      </c>
      <c r="K1195" s="40">
        <v>49823</v>
      </c>
      <c r="L1195" s="41">
        <f t="shared" si="16"/>
        <v>0</v>
      </c>
      <c r="M1195" s="41">
        <f t="shared" si="17"/>
        <v>6975.22</v>
      </c>
      <c r="N1195" s="41">
        <f t="shared" si="18"/>
        <v>6975.22</v>
      </c>
      <c r="O1195" s="41">
        <v>0</v>
      </c>
      <c r="P1195" s="42">
        <f t="shared" si="19"/>
        <v>63773.440000000002</v>
      </c>
      <c r="Q1195" s="34" t="s">
        <v>25</v>
      </c>
      <c r="R1195" s="34" t="str">
        <f>VLOOKUP(C1195,'SALE PARTY MASTER'!$B$4:$E$500,4,FALSE)</f>
        <v>Local</v>
      </c>
      <c r="S1195" s="11" t="s">
        <v>4105</v>
      </c>
    </row>
    <row r="1196" spans="1:19" x14ac:dyDescent="0.2">
      <c r="A1196" s="51">
        <v>43800</v>
      </c>
      <c r="B1196" s="34">
        <v>52</v>
      </c>
      <c r="C1196" s="565" t="s">
        <v>124</v>
      </c>
      <c r="F1196" s="36" t="s">
        <v>4386</v>
      </c>
      <c r="G1196" s="37">
        <v>43827</v>
      </c>
      <c r="H1196" s="564" t="s">
        <v>2425</v>
      </c>
      <c r="I1196" s="39">
        <f>VLOOKUP(H1196,'SALE HSN MASTER'!$A$4:$E$5001,5,FALSE)</f>
        <v>12</v>
      </c>
      <c r="J1196" s="38">
        <v>1027</v>
      </c>
      <c r="K1196" s="40">
        <v>89006</v>
      </c>
      <c r="L1196" s="41">
        <f t="shared" si="16"/>
        <v>0</v>
      </c>
      <c r="M1196" s="41">
        <f t="shared" si="17"/>
        <v>5340.36</v>
      </c>
      <c r="N1196" s="41">
        <f t="shared" si="18"/>
        <v>5340.36</v>
      </c>
      <c r="O1196" s="41">
        <v>0</v>
      </c>
      <c r="P1196" s="42">
        <f t="shared" si="19"/>
        <v>99686.720000000001</v>
      </c>
      <c r="Q1196" s="34" t="s">
        <v>25</v>
      </c>
      <c r="R1196" s="34" t="str">
        <f>VLOOKUP(C1196,'SALE PARTY MASTER'!$B$4:$E$500,4,FALSE)</f>
        <v>Local</v>
      </c>
      <c r="S1196" s="11" t="s">
        <v>4105</v>
      </c>
    </row>
    <row r="1197" spans="1:19" x14ac:dyDescent="0.2">
      <c r="A1197" s="51">
        <v>43800</v>
      </c>
      <c r="B1197" s="34">
        <v>53</v>
      </c>
      <c r="C1197" s="565" t="s">
        <v>124</v>
      </c>
      <c r="F1197" s="36" t="s">
        <v>4387</v>
      </c>
      <c r="G1197" s="37">
        <v>43827</v>
      </c>
      <c r="H1197" s="564" t="s">
        <v>2425</v>
      </c>
      <c r="I1197" s="39">
        <f>VLOOKUP(H1197,'SALE HSN MASTER'!$A$4:$E$5001,5,FALSE)</f>
        <v>12</v>
      </c>
      <c r="J1197" s="38">
        <v>474</v>
      </c>
      <c r="K1197" s="40">
        <v>37452</v>
      </c>
      <c r="L1197" s="41">
        <f t="shared" si="16"/>
        <v>0</v>
      </c>
      <c r="M1197" s="41">
        <f t="shared" si="17"/>
        <v>2247.12</v>
      </c>
      <c r="N1197" s="41">
        <f t="shared" si="18"/>
        <v>2247.12</v>
      </c>
      <c r="O1197" s="41">
        <v>0</v>
      </c>
      <c r="P1197" s="42">
        <f t="shared" si="19"/>
        <v>41946.239999999998</v>
      </c>
      <c r="Q1197" s="34" t="s">
        <v>25</v>
      </c>
      <c r="R1197" s="34" t="str">
        <f>VLOOKUP(C1197,'SALE PARTY MASTER'!$B$4:$E$500,4,FALSE)</f>
        <v>Local</v>
      </c>
      <c r="S1197" s="11" t="s">
        <v>4105</v>
      </c>
    </row>
    <row r="1198" spans="1:19" x14ac:dyDescent="0.2">
      <c r="A1198" s="51">
        <v>43800</v>
      </c>
      <c r="B1198" s="34">
        <v>54</v>
      </c>
      <c r="C1198" s="565" t="s">
        <v>40</v>
      </c>
      <c r="F1198" s="36" t="s">
        <v>4388</v>
      </c>
      <c r="G1198" s="37">
        <v>43827</v>
      </c>
      <c r="H1198" s="564">
        <v>87089900</v>
      </c>
      <c r="I1198" s="39">
        <f>VLOOKUP(H1198,'SALE HSN MASTER'!$A$4:$E$5001,5,FALSE)</f>
        <v>28</v>
      </c>
      <c r="J1198" s="38">
        <v>120</v>
      </c>
      <c r="K1198" s="40">
        <v>86304</v>
      </c>
      <c r="L1198" s="41">
        <f t="shared" si="16"/>
        <v>0</v>
      </c>
      <c r="M1198" s="41">
        <f t="shared" si="17"/>
        <v>12082.56</v>
      </c>
      <c r="N1198" s="41">
        <f t="shared" si="18"/>
        <v>12082.56</v>
      </c>
      <c r="O1198" s="41">
        <v>0</v>
      </c>
      <c r="P1198" s="42">
        <f t="shared" si="19"/>
        <v>110469.12</v>
      </c>
      <c r="Q1198" s="34" t="s">
        <v>25</v>
      </c>
      <c r="R1198" s="34" t="str">
        <f>VLOOKUP(C1198,'SALE PARTY MASTER'!$B$4:$E$500,4,FALSE)</f>
        <v>Local</v>
      </c>
      <c r="S1198" s="11" t="s">
        <v>4105</v>
      </c>
    </row>
    <row r="1199" spans="1:19" x14ac:dyDescent="0.2">
      <c r="A1199" s="51">
        <v>43800</v>
      </c>
      <c r="B1199" s="34">
        <v>55</v>
      </c>
      <c r="C1199" s="565" t="s">
        <v>40</v>
      </c>
      <c r="F1199" s="36" t="s">
        <v>4389</v>
      </c>
      <c r="G1199" s="37">
        <v>43827</v>
      </c>
      <c r="H1199" s="564">
        <v>87089900</v>
      </c>
      <c r="I1199" s="39">
        <f>VLOOKUP(H1199,'SALE HSN MASTER'!$A$4:$E$5001,5,FALSE)</f>
        <v>28</v>
      </c>
      <c r="J1199" s="38">
        <v>31</v>
      </c>
      <c r="K1199" s="40">
        <v>2170</v>
      </c>
      <c r="L1199" s="41">
        <f t="shared" si="16"/>
        <v>0</v>
      </c>
      <c r="M1199" s="41">
        <f t="shared" si="17"/>
        <v>303.8</v>
      </c>
      <c r="N1199" s="41">
        <f t="shared" si="18"/>
        <v>303.8</v>
      </c>
      <c r="O1199" s="41">
        <v>0</v>
      </c>
      <c r="P1199" s="42">
        <f t="shared" si="19"/>
        <v>2777.6</v>
      </c>
      <c r="Q1199" s="34" t="s">
        <v>25</v>
      </c>
      <c r="R1199" s="34" t="str">
        <f>VLOOKUP(C1199,'SALE PARTY MASTER'!$B$4:$E$500,4,FALSE)</f>
        <v>Local</v>
      </c>
      <c r="S1199" s="11" t="s">
        <v>4105</v>
      </c>
    </row>
    <row r="1200" spans="1:19" x14ac:dyDescent="0.2">
      <c r="A1200" s="51"/>
      <c r="B1200" s="34"/>
      <c r="I1200" s="39" t="e">
        <f>VLOOKUP(H1200,'SALE HSN MASTER'!$A$4:$E$5001,5,FALSE)</f>
        <v>#N/A</v>
      </c>
      <c r="L1200" s="41" t="e">
        <f t="shared" si="16"/>
        <v>#N/A</v>
      </c>
      <c r="M1200" s="41" t="e">
        <f t="shared" si="17"/>
        <v>#N/A</v>
      </c>
      <c r="N1200" s="41" t="e">
        <f t="shared" si="18"/>
        <v>#N/A</v>
      </c>
      <c r="O1200" s="41">
        <v>0</v>
      </c>
      <c r="P1200" s="42" t="e">
        <f t="shared" si="19"/>
        <v>#N/A</v>
      </c>
      <c r="Q1200" s="34" t="s">
        <v>25</v>
      </c>
      <c r="R1200" s="34" t="e">
        <f>VLOOKUP(C1200,'SALE PARTY MASTER'!$B$4:$E$500,4,FALSE)</f>
        <v>#N/A</v>
      </c>
      <c r="S1200" s="11" t="s">
        <v>4105</v>
      </c>
    </row>
    <row r="1201" spans="1:19" x14ac:dyDescent="0.2">
      <c r="A1201" s="51">
        <v>43831</v>
      </c>
      <c r="B1201" s="34">
        <v>1</v>
      </c>
      <c r="C1201" s="565" t="s">
        <v>28</v>
      </c>
      <c r="F1201" s="36" t="s">
        <v>4390</v>
      </c>
      <c r="G1201" s="37">
        <v>43831</v>
      </c>
      <c r="H1201" s="564">
        <v>87089900</v>
      </c>
      <c r="I1201" s="39">
        <f>VLOOKUP(H1201,'SALE HSN MASTER'!$A$4:$E$5001,5,FALSE)</f>
        <v>28</v>
      </c>
      <c r="J1201" s="38">
        <v>12</v>
      </c>
      <c r="K1201" s="40">
        <v>23255.759999999998</v>
      </c>
      <c r="L1201" s="41">
        <f t="shared" si="16"/>
        <v>0</v>
      </c>
      <c r="M1201" s="41">
        <f t="shared" si="17"/>
        <v>3255.8063999999995</v>
      </c>
      <c r="N1201" s="41">
        <f t="shared" si="18"/>
        <v>3255.8063999999995</v>
      </c>
      <c r="O1201" s="41">
        <v>0</v>
      </c>
      <c r="P1201" s="42">
        <f t="shared" si="19"/>
        <v>29767.372799999997</v>
      </c>
      <c r="Q1201" s="34" t="s">
        <v>25</v>
      </c>
      <c r="R1201" s="34" t="str">
        <f>VLOOKUP(C1201,'SALE PARTY MASTER'!$B$4:$E$500,4,FALSE)</f>
        <v>Local</v>
      </c>
      <c r="S1201" s="11" t="s">
        <v>4105</v>
      </c>
    </row>
    <row r="1202" spans="1:19" x14ac:dyDescent="0.2">
      <c r="A1202" s="51">
        <v>43831</v>
      </c>
      <c r="B1202" s="34">
        <v>2</v>
      </c>
      <c r="C1202" s="565" t="s">
        <v>40</v>
      </c>
      <c r="F1202" s="36" t="s">
        <v>4391</v>
      </c>
      <c r="G1202" s="37">
        <v>43832</v>
      </c>
      <c r="H1202" s="564">
        <v>87089900</v>
      </c>
      <c r="I1202" s="39">
        <f>VLOOKUP(H1202,'SALE HSN MASTER'!$A$4:$E$5001,5,FALSE)</f>
        <v>28</v>
      </c>
      <c r="J1202" s="38">
        <v>461</v>
      </c>
      <c r="K1202" s="40">
        <v>48283.02</v>
      </c>
      <c r="L1202" s="41">
        <f t="shared" si="16"/>
        <v>0</v>
      </c>
      <c r="M1202" s="41">
        <f t="shared" si="17"/>
        <v>6759.6228000000001</v>
      </c>
      <c r="N1202" s="41">
        <f t="shared" si="18"/>
        <v>6759.6228000000001</v>
      </c>
      <c r="O1202" s="41">
        <v>0</v>
      </c>
      <c r="P1202" s="42">
        <f t="shared" si="19"/>
        <v>61802.265599999999</v>
      </c>
      <c r="Q1202" s="34" t="s">
        <v>25</v>
      </c>
      <c r="R1202" s="34" t="str">
        <f>VLOOKUP(C1202,'SALE PARTY MASTER'!$B$4:$E$500,4,FALSE)</f>
        <v>Local</v>
      </c>
      <c r="S1202" s="11" t="s">
        <v>4105</v>
      </c>
    </row>
    <row r="1203" spans="1:19" x14ac:dyDescent="0.2">
      <c r="A1203" s="51">
        <v>43831</v>
      </c>
      <c r="B1203" s="34">
        <v>3</v>
      </c>
      <c r="C1203" s="565" t="s">
        <v>28</v>
      </c>
      <c r="F1203" s="36" t="s">
        <v>4392</v>
      </c>
      <c r="G1203" s="37">
        <v>43833</v>
      </c>
      <c r="H1203" s="564">
        <v>87089900</v>
      </c>
      <c r="I1203" s="39">
        <f>VLOOKUP(H1203,'SALE HSN MASTER'!$A$4:$E$5001,5,FALSE)</f>
        <v>28</v>
      </c>
      <c r="J1203" s="38">
        <v>12</v>
      </c>
      <c r="K1203" s="40">
        <v>23255.759999999998</v>
      </c>
      <c r="L1203" s="41">
        <f t="shared" si="16"/>
        <v>0</v>
      </c>
      <c r="M1203" s="41">
        <f t="shared" si="17"/>
        <v>3255.8063999999995</v>
      </c>
      <c r="N1203" s="41">
        <f t="shared" si="18"/>
        <v>3255.8063999999995</v>
      </c>
      <c r="O1203" s="41">
        <v>0</v>
      </c>
      <c r="P1203" s="42">
        <f t="shared" si="19"/>
        <v>29767.372799999997</v>
      </c>
      <c r="Q1203" s="34" t="s">
        <v>25</v>
      </c>
      <c r="R1203" s="34" t="str">
        <f>VLOOKUP(C1203,'SALE PARTY MASTER'!$B$4:$E$500,4,FALSE)</f>
        <v>Local</v>
      </c>
      <c r="S1203" s="11" t="s">
        <v>4105</v>
      </c>
    </row>
    <row r="1204" spans="1:19" x14ac:dyDescent="0.2">
      <c r="A1204" s="51">
        <v>43831</v>
      </c>
      <c r="B1204" s="34">
        <v>4</v>
      </c>
      <c r="C1204" s="565" t="s">
        <v>73</v>
      </c>
      <c r="F1204" s="36" t="s">
        <v>4393</v>
      </c>
      <c r="G1204" s="37">
        <v>43833</v>
      </c>
      <c r="H1204" s="564">
        <v>85129000</v>
      </c>
      <c r="I1204" s="39">
        <f>VLOOKUP(H1204,'SALE HSN MASTER'!$A$4:$E$5001,5,FALSE)</f>
        <v>18</v>
      </c>
      <c r="J1204" s="38">
        <v>3120</v>
      </c>
      <c r="K1204" s="40">
        <v>78000</v>
      </c>
      <c r="L1204" s="41">
        <f t="shared" si="16"/>
        <v>0</v>
      </c>
      <c r="M1204" s="41">
        <f t="shared" si="17"/>
        <v>7020</v>
      </c>
      <c r="N1204" s="41">
        <f t="shared" si="18"/>
        <v>7020</v>
      </c>
      <c r="O1204" s="41">
        <v>0</v>
      </c>
      <c r="P1204" s="42">
        <f t="shared" si="19"/>
        <v>92040</v>
      </c>
      <c r="Q1204" s="34" t="s">
        <v>25</v>
      </c>
      <c r="R1204" s="34" t="str">
        <f>VLOOKUP(C1204,'SALE PARTY MASTER'!$B$4:$E$500,4,FALSE)</f>
        <v>Local</v>
      </c>
      <c r="S1204" s="11" t="s">
        <v>4105</v>
      </c>
    </row>
    <row r="1205" spans="1:19" x14ac:dyDescent="0.2">
      <c r="A1205" s="51">
        <v>43831</v>
      </c>
      <c r="B1205" s="34">
        <v>5</v>
      </c>
      <c r="C1205" s="11" t="s">
        <v>155</v>
      </c>
      <c r="F1205" s="36" t="s">
        <v>4394</v>
      </c>
      <c r="G1205" s="37">
        <v>43836</v>
      </c>
      <c r="H1205" s="564">
        <v>87141090</v>
      </c>
      <c r="I1205" s="39">
        <f>VLOOKUP(H1205,'SALE HSN MASTER'!$A$4:$E$5001,5,FALSE)</f>
        <v>28</v>
      </c>
      <c r="J1205" s="38">
        <v>360</v>
      </c>
      <c r="K1205" s="40">
        <v>16930.8</v>
      </c>
      <c r="L1205" s="41">
        <f t="shared" si="16"/>
        <v>0</v>
      </c>
      <c r="M1205" s="41">
        <f t="shared" si="17"/>
        <v>2370.3119999999999</v>
      </c>
      <c r="N1205" s="41">
        <f t="shared" si="18"/>
        <v>2370.3119999999999</v>
      </c>
      <c r="O1205" s="41">
        <v>0</v>
      </c>
      <c r="P1205" s="42">
        <f t="shared" si="19"/>
        <v>21671.423999999999</v>
      </c>
      <c r="Q1205" s="34" t="s">
        <v>25</v>
      </c>
      <c r="R1205" s="34" t="str">
        <f>VLOOKUP(C1205,'SALE PARTY MASTER'!$B$4:$E$500,4,FALSE)</f>
        <v>Local</v>
      </c>
      <c r="S1205" s="11" t="s">
        <v>4105</v>
      </c>
    </row>
    <row r="1206" spans="1:19" x14ac:dyDescent="0.2">
      <c r="A1206" s="51">
        <v>43831</v>
      </c>
      <c r="B1206" s="34">
        <v>6</v>
      </c>
      <c r="C1206" s="565" t="s">
        <v>28</v>
      </c>
      <c r="F1206" s="36" t="s">
        <v>4395</v>
      </c>
      <c r="G1206" s="37">
        <v>43836</v>
      </c>
      <c r="H1206" s="564">
        <v>87089900</v>
      </c>
      <c r="I1206" s="39">
        <f>VLOOKUP(H1206,'SALE HSN MASTER'!$A$4:$E$5001,5,FALSE)</f>
        <v>28</v>
      </c>
      <c r="J1206" s="38">
        <v>12</v>
      </c>
      <c r="K1206" s="40">
        <v>23255.759999999998</v>
      </c>
      <c r="L1206" s="41">
        <f t="shared" si="16"/>
        <v>0</v>
      </c>
      <c r="M1206" s="41">
        <f t="shared" si="17"/>
        <v>3255.8063999999995</v>
      </c>
      <c r="N1206" s="41">
        <f t="shared" si="18"/>
        <v>3255.8063999999995</v>
      </c>
      <c r="O1206" s="41">
        <v>0</v>
      </c>
      <c r="P1206" s="42">
        <f t="shared" si="19"/>
        <v>29767.372799999997</v>
      </c>
      <c r="Q1206" s="34" t="s">
        <v>25</v>
      </c>
      <c r="R1206" s="34" t="str">
        <f>VLOOKUP(C1206,'SALE PARTY MASTER'!$B$4:$E$500,4,FALSE)</f>
        <v>Local</v>
      </c>
      <c r="S1206" s="11" t="s">
        <v>4105</v>
      </c>
    </row>
    <row r="1207" spans="1:19" x14ac:dyDescent="0.2">
      <c r="A1207" s="51">
        <v>43831</v>
      </c>
      <c r="B1207" s="34">
        <v>7</v>
      </c>
      <c r="C1207" s="565" t="s">
        <v>102</v>
      </c>
      <c r="F1207" s="36" t="s">
        <v>4396</v>
      </c>
      <c r="G1207" s="37">
        <v>43836</v>
      </c>
      <c r="H1207" s="564">
        <v>87081090</v>
      </c>
      <c r="I1207" s="39">
        <f>VLOOKUP(H1207,'SALE HSN MASTER'!$A$4:$E$5001,5,FALSE)</f>
        <v>28</v>
      </c>
      <c r="J1207" s="38">
        <v>30</v>
      </c>
      <c r="K1207" s="40">
        <v>28164.6</v>
      </c>
      <c r="L1207" s="41">
        <f t="shared" si="16"/>
        <v>7886.0879999999988</v>
      </c>
      <c r="M1207" s="41">
        <f t="shared" si="17"/>
        <v>0</v>
      </c>
      <c r="N1207" s="41">
        <f t="shared" si="18"/>
        <v>0</v>
      </c>
      <c r="O1207" s="41">
        <v>0</v>
      </c>
      <c r="P1207" s="42">
        <f t="shared" si="19"/>
        <v>36050.687999999995</v>
      </c>
      <c r="Q1207" s="34" t="s">
        <v>25</v>
      </c>
      <c r="R1207" s="34" t="str">
        <f>VLOOKUP(C1207,'SALE PARTY MASTER'!$B$4:$E$500,4,FALSE)</f>
        <v>Oms</v>
      </c>
      <c r="S1207" s="11" t="s">
        <v>4108</v>
      </c>
    </row>
    <row r="1208" spans="1:19" x14ac:dyDescent="0.2">
      <c r="A1208" s="51">
        <v>43831</v>
      </c>
      <c r="B1208" s="34">
        <v>8</v>
      </c>
      <c r="C1208" s="565" t="s">
        <v>102</v>
      </c>
      <c r="F1208" s="36" t="s">
        <v>4397</v>
      </c>
      <c r="G1208" s="37">
        <v>43836</v>
      </c>
      <c r="H1208" s="564">
        <v>87081090</v>
      </c>
      <c r="I1208" s="39">
        <f>VLOOKUP(H1208,'SALE HSN MASTER'!$A$4:$E$5001,5,FALSE)</f>
        <v>28</v>
      </c>
      <c r="J1208" s="38">
        <v>28</v>
      </c>
      <c r="K1208" s="40">
        <v>60166.400000000001</v>
      </c>
      <c r="L1208" s="41">
        <f t="shared" si="16"/>
        <v>16846.592000000001</v>
      </c>
      <c r="M1208" s="41">
        <f t="shared" si="17"/>
        <v>0</v>
      </c>
      <c r="N1208" s="41">
        <f t="shared" si="18"/>
        <v>0</v>
      </c>
      <c r="O1208" s="41">
        <v>0</v>
      </c>
      <c r="P1208" s="42">
        <f t="shared" si="19"/>
        <v>77012.991999999998</v>
      </c>
      <c r="Q1208" s="34" t="s">
        <v>25</v>
      </c>
      <c r="R1208" s="34" t="str">
        <f>VLOOKUP(C1208,'SALE PARTY MASTER'!$B$4:$E$500,4,FALSE)</f>
        <v>Oms</v>
      </c>
      <c r="S1208" s="11" t="s">
        <v>4108</v>
      </c>
    </row>
    <row r="1209" spans="1:19" x14ac:dyDescent="0.2">
      <c r="A1209" s="51">
        <v>43831</v>
      </c>
      <c r="B1209" s="34">
        <v>9</v>
      </c>
      <c r="C1209" s="565" t="s">
        <v>102</v>
      </c>
      <c r="F1209" s="36" t="s">
        <v>4398</v>
      </c>
      <c r="G1209" s="37">
        <v>43836</v>
      </c>
      <c r="H1209" s="564">
        <v>87081090</v>
      </c>
      <c r="I1209" s="39">
        <f>VLOOKUP(H1209,'SALE HSN MASTER'!$A$4:$E$5001,5,FALSE)</f>
        <v>28</v>
      </c>
      <c r="J1209" s="38">
        <v>5</v>
      </c>
      <c r="K1209" s="40">
        <v>9517</v>
      </c>
      <c r="L1209" s="41">
        <f t="shared" si="16"/>
        <v>2664.76</v>
      </c>
      <c r="M1209" s="41">
        <f t="shared" si="17"/>
        <v>0</v>
      </c>
      <c r="N1209" s="41">
        <f t="shared" si="18"/>
        <v>0</v>
      </c>
      <c r="O1209" s="41">
        <v>0</v>
      </c>
      <c r="P1209" s="42">
        <f t="shared" si="19"/>
        <v>12181.76</v>
      </c>
      <c r="Q1209" s="34" t="s">
        <v>25</v>
      </c>
      <c r="R1209" s="34" t="str">
        <f>VLOOKUP(C1209,'SALE PARTY MASTER'!$B$4:$E$500,4,FALSE)</f>
        <v>Oms</v>
      </c>
      <c r="S1209" s="11" t="s">
        <v>4108</v>
      </c>
    </row>
    <row r="1210" spans="1:19" x14ac:dyDescent="0.2">
      <c r="A1210" s="51">
        <v>43831</v>
      </c>
      <c r="B1210" s="34">
        <v>10</v>
      </c>
      <c r="C1210" s="565" t="s">
        <v>102</v>
      </c>
      <c r="F1210" s="36" t="s">
        <v>4399</v>
      </c>
      <c r="G1210" s="37">
        <v>43836</v>
      </c>
      <c r="H1210" s="564">
        <v>87081090</v>
      </c>
      <c r="I1210" s="39">
        <f>VLOOKUP(H1210,'SALE HSN MASTER'!$A$4:$E$5001,5,FALSE)</f>
        <v>28</v>
      </c>
      <c r="J1210" s="38">
        <v>5</v>
      </c>
      <c r="K1210" s="40">
        <v>6475.5</v>
      </c>
      <c r="L1210" s="41">
        <f t="shared" si="16"/>
        <v>1813.1399999999999</v>
      </c>
      <c r="M1210" s="41">
        <f t="shared" si="17"/>
        <v>0</v>
      </c>
      <c r="N1210" s="41">
        <f t="shared" si="18"/>
        <v>0</v>
      </c>
      <c r="O1210" s="41">
        <v>0</v>
      </c>
      <c r="P1210" s="42">
        <f t="shared" si="19"/>
        <v>8288.64</v>
      </c>
      <c r="Q1210" s="34" t="s">
        <v>25</v>
      </c>
      <c r="R1210" s="34" t="str">
        <f>VLOOKUP(C1210,'SALE PARTY MASTER'!$B$4:$E$500,4,FALSE)</f>
        <v>Oms</v>
      </c>
      <c r="S1210" s="11" t="s">
        <v>4108</v>
      </c>
    </row>
    <row r="1211" spans="1:19" x14ac:dyDescent="0.2">
      <c r="A1211" s="51">
        <v>43831</v>
      </c>
      <c r="B1211" s="11">
        <v>11</v>
      </c>
      <c r="C1211" s="565" t="s">
        <v>73</v>
      </c>
      <c r="F1211" s="36" t="s">
        <v>4400</v>
      </c>
      <c r="G1211" s="37">
        <v>43836</v>
      </c>
      <c r="H1211" s="564">
        <v>85129000</v>
      </c>
      <c r="I1211" s="39">
        <f>VLOOKUP(H1211,'SALE HSN MASTER'!$A$4:$E$5001,5,FALSE)</f>
        <v>18</v>
      </c>
      <c r="J1211" s="38">
        <v>3600</v>
      </c>
      <c r="K1211" s="40">
        <v>90000</v>
      </c>
      <c r="L1211" s="41">
        <f t="shared" si="16"/>
        <v>0</v>
      </c>
      <c r="M1211" s="41">
        <f t="shared" si="17"/>
        <v>8100</v>
      </c>
      <c r="N1211" s="41">
        <f t="shared" si="18"/>
        <v>8100</v>
      </c>
      <c r="O1211" s="41">
        <v>0</v>
      </c>
      <c r="P1211" s="42">
        <f t="shared" si="19"/>
        <v>106200</v>
      </c>
      <c r="Q1211" s="34" t="s">
        <v>25</v>
      </c>
      <c r="R1211" s="34" t="str">
        <f>VLOOKUP(C1211,'SALE PARTY MASTER'!$B$4:$E$500,4,FALSE)</f>
        <v>Local</v>
      </c>
      <c r="S1211" s="11" t="s">
        <v>4105</v>
      </c>
    </row>
    <row r="1212" spans="1:19" x14ac:dyDescent="0.2">
      <c r="A1212" s="51">
        <v>43831</v>
      </c>
      <c r="B1212" s="11">
        <v>12</v>
      </c>
      <c r="C1212" s="565" t="s">
        <v>28</v>
      </c>
      <c r="F1212" s="36" t="s">
        <v>4401</v>
      </c>
      <c r="G1212" s="37">
        <v>43837</v>
      </c>
      <c r="H1212" s="564">
        <v>87089900</v>
      </c>
      <c r="I1212" s="39">
        <f>VLOOKUP(H1212,'SALE HSN MASTER'!$A$4:$E$5001,5,FALSE)</f>
        <v>28</v>
      </c>
      <c r="J1212" s="38">
        <v>12</v>
      </c>
      <c r="K1212" s="40">
        <v>23255.759999999998</v>
      </c>
      <c r="L1212" s="41">
        <f t="shared" si="16"/>
        <v>0</v>
      </c>
      <c r="M1212" s="41">
        <f t="shared" si="17"/>
        <v>3255.8063999999995</v>
      </c>
      <c r="N1212" s="41">
        <f t="shared" si="18"/>
        <v>3255.8063999999995</v>
      </c>
      <c r="O1212" s="41">
        <v>0</v>
      </c>
      <c r="P1212" s="42">
        <f t="shared" si="19"/>
        <v>29767.372799999997</v>
      </c>
      <c r="Q1212" s="34" t="s">
        <v>25</v>
      </c>
      <c r="R1212" s="34" t="str">
        <f>VLOOKUP(C1212,'SALE PARTY MASTER'!$B$4:$E$500,4,FALSE)</f>
        <v>Local</v>
      </c>
      <c r="S1212" s="11" t="s">
        <v>4105</v>
      </c>
    </row>
    <row r="1213" spans="1:19" x14ac:dyDescent="0.2">
      <c r="A1213" s="51">
        <v>43831</v>
      </c>
      <c r="B1213" s="11">
        <v>13</v>
      </c>
      <c r="C1213" s="35" t="s">
        <v>476</v>
      </c>
      <c r="F1213" s="36" t="s">
        <v>4402</v>
      </c>
      <c r="G1213" s="37">
        <v>43837</v>
      </c>
      <c r="H1213" s="564">
        <v>84795000</v>
      </c>
      <c r="I1213" s="39">
        <f>VLOOKUP(H1213,'SALE HSN MASTER'!$A$4:$E$5001,5,FALSE)</f>
        <v>18</v>
      </c>
      <c r="J1213" s="38">
        <v>1</v>
      </c>
      <c r="K1213" s="40">
        <v>1316069</v>
      </c>
      <c r="L1213" s="41">
        <f t="shared" si="16"/>
        <v>0</v>
      </c>
      <c r="M1213" s="41">
        <f t="shared" si="17"/>
        <v>118446.21</v>
      </c>
      <c r="N1213" s="41">
        <f t="shared" si="18"/>
        <v>118446.21</v>
      </c>
      <c r="O1213" s="41">
        <v>0</v>
      </c>
      <c r="P1213" s="42">
        <f t="shared" si="19"/>
        <v>1552961.42</v>
      </c>
      <c r="Q1213" s="34" t="s">
        <v>25</v>
      </c>
      <c r="R1213" s="34" t="str">
        <f>VLOOKUP(C1213,'SALE PARTY MASTER'!$B$4:$E$500,4,FALSE)</f>
        <v>Local</v>
      </c>
      <c r="S1213" s="11" t="s">
        <v>4182</v>
      </c>
    </row>
    <row r="1214" spans="1:19" x14ac:dyDescent="0.2">
      <c r="A1214" s="51">
        <v>43831</v>
      </c>
      <c r="C1214" s="35" t="s">
        <v>476</v>
      </c>
      <c r="F1214" s="36" t="s">
        <v>4402</v>
      </c>
      <c r="G1214" s="37">
        <v>43837</v>
      </c>
      <c r="H1214" s="564">
        <v>85021200</v>
      </c>
      <c r="I1214" s="39">
        <f>VLOOKUP(H1214,'SALE HSN MASTER'!$A$4:$E$5001,5,FALSE)</f>
        <v>18</v>
      </c>
      <c r="J1214" s="38">
        <v>1</v>
      </c>
      <c r="K1214" s="40">
        <v>625500</v>
      </c>
      <c r="L1214" s="41">
        <f t="shared" si="16"/>
        <v>0</v>
      </c>
      <c r="M1214" s="41">
        <f t="shared" si="17"/>
        <v>56295</v>
      </c>
      <c r="N1214" s="41">
        <f t="shared" si="18"/>
        <v>56295</v>
      </c>
      <c r="O1214" s="41">
        <v>0</v>
      </c>
      <c r="P1214" s="42">
        <f t="shared" si="19"/>
        <v>738090</v>
      </c>
      <c r="Q1214" s="34" t="s">
        <v>25</v>
      </c>
      <c r="R1214" s="34" t="str">
        <f>VLOOKUP(C1214,'SALE PARTY MASTER'!$B$4:$E$500,4,FALSE)</f>
        <v>Local</v>
      </c>
      <c r="S1214" s="11" t="s">
        <v>4182</v>
      </c>
    </row>
    <row r="1215" spans="1:19" x14ac:dyDescent="0.2">
      <c r="A1215" s="51">
        <v>43831</v>
      </c>
      <c r="C1215" s="35" t="s">
        <v>476</v>
      </c>
      <c r="F1215" s="36" t="s">
        <v>4402</v>
      </c>
      <c r="G1215" s="37">
        <v>43837</v>
      </c>
      <c r="H1215" s="564">
        <v>8456</v>
      </c>
      <c r="I1215" s="39">
        <f>VLOOKUP(H1215,'SALE HSN MASTER'!$A$4:$E$5001,5,FALSE)</f>
        <v>18</v>
      </c>
      <c r="J1215" s="38">
        <v>1</v>
      </c>
      <c r="K1215" s="40">
        <v>1550000</v>
      </c>
      <c r="L1215" s="41">
        <f t="shared" si="16"/>
        <v>0</v>
      </c>
      <c r="M1215" s="41">
        <f t="shared" si="17"/>
        <v>139500</v>
      </c>
      <c r="N1215" s="41">
        <f t="shared" si="18"/>
        <v>139500</v>
      </c>
      <c r="O1215" s="41">
        <v>0</v>
      </c>
      <c r="P1215" s="42">
        <f t="shared" si="19"/>
        <v>1829000</v>
      </c>
      <c r="Q1215" s="34" t="s">
        <v>25</v>
      </c>
      <c r="R1215" s="34" t="str">
        <f>VLOOKUP(C1215,'SALE PARTY MASTER'!$B$4:$E$500,4,FALSE)</f>
        <v>Local</v>
      </c>
      <c r="S1215" s="11" t="s">
        <v>4182</v>
      </c>
    </row>
    <row r="1216" spans="1:19" x14ac:dyDescent="0.2">
      <c r="A1216" s="51">
        <v>43831</v>
      </c>
      <c r="B1216" s="11">
        <v>14</v>
      </c>
      <c r="C1216" s="565" t="s">
        <v>49</v>
      </c>
      <c r="F1216" s="36" t="s">
        <v>4403</v>
      </c>
      <c r="G1216" s="37">
        <v>43837</v>
      </c>
      <c r="H1216" s="564" t="s">
        <v>2425</v>
      </c>
      <c r="I1216" s="39">
        <f>VLOOKUP(H1216,'SALE HSN MASTER'!$A$4:$E$5001,5,FALSE)</f>
        <v>12</v>
      </c>
      <c r="J1216" s="38">
        <v>30</v>
      </c>
      <c r="K1216" s="40">
        <v>8524.2000000000007</v>
      </c>
      <c r="L1216" s="41">
        <f t="shared" si="16"/>
        <v>0</v>
      </c>
      <c r="M1216" s="41">
        <f t="shared" si="17"/>
        <v>511.452</v>
      </c>
      <c r="N1216" s="41">
        <f t="shared" si="18"/>
        <v>511.452</v>
      </c>
      <c r="O1216" s="41">
        <v>0</v>
      </c>
      <c r="P1216" s="42">
        <f t="shared" si="19"/>
        <v>9547.1040000000012</v>
      </c>
      <c r="Q1216" s="34" t="s">
        <v>25</v>
      </c>
      <c r="R1216" s="34" t="str">
        <f>VLOOKUP(C1216,'SALE PARTY MASTER'!$B$4:$E$500,4,FALSE)</f>
        <v>Local</v>
      </c>
      <c r="S1216" s="11" t="s">
        <v>4107</v>
      </c>
    </row>
    <row r="1217" spans="1:19" x14ac:dyDescent="0.2">
      <c r="A1217" s="51">
        <v>43831</v>
      </c>
      <c r="B1217" s="11">
        <v>15</v>
      </c>
      <c r="C1217" s="11" t="s">
        <v>45</v>
      </c>
      <c r="F1217" s="36" t="s">
        <v>4404</v>
      </c>
      <c r="G1217" s="37">
        <v>43837</v>
      </c>
      <c r="H1217" s="564">
        <v>85129000</v>
      </c>
      <c r="I1217" s="39">
        <f>VLOOKUP(H1217,'SALE HSN MASTER'!$A$4:$E$5001,5,FALSE)</f>
        <v>18</v>
      </c>
      <c r="J1217" s="38">
        <v>828</v>
      </c>
      <c r="K1217" s="40">
        <v>53455.68</v>
      </c>
      <c r="L1217" s="41">
        <f t="shared" si="16"/>
        <v>0</v>
      </c>
      <c r="M1217" s="41">
        <f t="shared" si="17"/>
        <v>4811.0111999999999</v>
      </c>
      <c r="N1217" s="41">
        <f t="shared" si="18"/>
        <v>4811.0111999999999</v>
      </c>
      <c r="O1217" s="41">
        <v>0</v>
      </c>
      <c r="P1217" s="42">
        <f t="shared" si="19"/>
        <v>63077.702400000002</v>
      </c>
      <c r="Q1217" s="34" t="s">
        <v>25</v>
      </c>
      <c r="R1217" s="34" t="str">
        <f>VLOOKUP(C1217,'SALE PARTY MASTER'!$B$4:$E$500,4,FALSE)</f>
        <v>Local</v>
      </c>
      <c r="S1217" s="11" t="s">
        <v>4105</v>
      </c>
    </row>
    <row r="1218" spans="1:19" x14ac:dyDescent="0.2">
      <c r="A1218" s="51">
        <v>43831</v>
      </c>
      <c r="B1218" s="11">
        <v>16</v>
      </c>
      <c r="C1218" s="565" t="s">
        <v>40</v>
      </c>
      <c r="F1218" s="36" t="s">
        <v>4405</v>
      </c>
      <c r="G1218" s="37">
        <v>43838</v>
      </c>
      <c r="H1218" s="564">
        <v>87089900</v>
      </c>
      <c r="I1218" s="39">
        <f>VLOOKUP(H1218,'SALE HSN MASTER'!$A$4:$E$5001,5,FALSE)</f>
        <v>28</v>
      </c>
      <c r="J1218" s="38">
        <v>64</v>
      </c>
      <c r="K1218" s="40">
        <v>46028.800000000003</v>
      </c>
      <c r="L1218" s="41">
        <f t="shared" si="16"/>
        <v>0</v>
      </c>
      <c r="M1218" s="41">
        <f t="shared" si="17"/>
        <v>6444.0320000000002</v>
      </c>
      <c r="N1218" s="41">
        <f t="shared" si="18"/>
        <v>6444.0320000000002</v>
      </c>
      <c r="O1218" s="41">
        <v>0</v>
      </c>
      <c r="P1218" s="42">
        <f t="shared" si="19"/>
        <v>58916.864000000001</v>
      </c>
      <c r="Q1218" s="34" t="s">
        <v>25</v>
      </c>
      <c r="R1218" s="34" t="str">
        <f>VLOOKUP(C1218,'SALE PARTY MASTER'!$B$4:$E$500,4,FALSE)</f>
        <v>Local</v>
      </c>
      <c r="S1218" s="11" t="s">
        <v>4105</v>
      </c>
    </row>
    <row r="1219" spans="1:19" x14ac:dyDescent="0.2">
      <c r="A1219" s="51">
        <v>43831</v>
      </c>
      <c r="B1219" s="11">
        <v>17</v>
      </c>
      <c r="C1219" s="565" t="s">
        <v>28</v>
      </c>
      <c r="F1219" s="36" t="s">
        <v>4406</v>
      </c>
      <c r="G1219" s="37">
        <v>43838</v>
      </c>
      <c r="H1219" s="564">
        <v>87089900</v>
      </c>
      <c r="I1219" s="39">
        <f>VLOOKUP(H1219,'SALE HSN MASTER'!$A$4:$E$5001,5,FALSE)</f>
        <v>28</v>
      </c>
      <c r="J1219" s="38">
        <v>12</v>
      </c>
      <c r="K1219" s="40">
        <v>23255.759999999998</v>
      </c>
      <c r="L1219" s="41">
        <f t="shared" si="16"/>
        <v>0</v>
      </c>
      <c r="M1219" s="41">
        <f t="shared" si="17"/>
        <v>3255.8063999999995</v>
      </c>
      <c r="N1219" s="41">
        <f t="shared" si="18"/>
        <v>3255.8063999999995</v>
      </c>
      <c r="O1219" s="41">
        <v>0</v>
      </c>
      <c r="P1219" s="42">
        <f t="shared" si="19"/>
        <v>29767.372799999997</v>
      </c>
      <c r="Q1219" s="34" t="s">
        <v>25</v>
      </c>
      <c r="R1219" s="34" t="str">
        <f>VLOOKUP(C1219,'SALE PARTY MASTER'!$B$4:$E$500,4,FALSE)</f>
        <v>Local</v>
      </c>
      <c r="S1219" s="11" t="s">
        <v>4105</v>
      </c>
    </row>
    <row r="1220" spans="1:19" x14ac:dyDescent="0.2">
      <c r="A1220" s="51">
        <v>43831</v>
      </c>
      <c r="B1220" s="11">
        <v>18</v>
      </c>
      <c r="C1220" s="565" t="s">
        <v>28</v>
      </c>
      <c r="F1220" s="36" t="s">
        <v>4407</v>
      </c>
      <c r="G1220" s="37">
        <v>43839</v>
      </c>
      <c r="H1220" s="564">
        <v>87089900</v>
      </c>
      <c r="I1220" s="39">
        <f>VLOOKUP(H1220,'SALE HSN MASTER'!$A$4:$E$5001,5,FALSE)</f>
        <v>28</v>
      </c>
      <c r="J1220" s="38">
        <v>12</v>
      </c>
      <c r="K1220" s="40">
        <v>23508.6</v>
      </c>
      <c r="L1220" s="41">
        <f t="shared" si="16"/>
        <v>0</v>
      </c>
      <c r="M1220" s="41">
        <f t="shared" si="17"/>
        <v>3291.2039999999997</v>
      </c>
      <c r="N1220" s="41">
        <f t="shared" si="18"/>
        <v>3291.2039999999997</v>
      </c>
      <c r="O1220" s="41">
        <v>0</v>
      </c>
      <c r="P1220" s="42">
        <f t="shared" si="19"/>
        <v>30091.007999999998</v>
      </c>
      <c r="Q1220" s="34" t="s">
        <v>25</v>
      </c>
      <c r="R1220" s="34" t="str">
        <f>VLOOKUP(C1220,'SALE PARTY MASTER'!$B$4:$E$500,4,FALSE)</f>
        <v>Local</v>
      </c>
      <c r="S1220" s="11" t="s">
        <v>4105</v>
      </c>
    </row>
    <row r="1221" spans="1:19" x14ac:dyDescent="0.2">
      <c r="A1221" s="51">
        <v>43831</v>
      </c>
      <c r="B1221" s="11">
        <v>19</v>
      </c>
      <c r="C1221" s="34" t="s">
        <v>70</v>
      </c>
      <c r="F1221" s="36" t="s">
        <v>4408</v>
      </c>
      <c r="G1221" s="37">
        <v>43839</v>
      </c>
      <c r="H1221" s="34">
        <v>998898</v>
      </c>
      <c r="I1221" s="39">
        <f>VLOOKUP(H1221,'SALE HSN MASTER'!$A$4:$E$5001,5,FALSE)</f>
        <v>18</v>
      </c>
      <c r="J1221" s="38">
        <v>788</v>
      </c>
      <c r="K1221" s="40">
        <v>6477.36</v>
      </c>
      <c r="L1221" s="41">
        <f t="shared" si="16"/>
        <v>0</v>
      </c>
      <c r="M1221" s="41">
        <f t="shared" si="17"/>
        <v>582.9624</v>
      </c>
      <c r="N1221" s="41">
        <f t="shared" si="18"/>
        <v>582.9624</v>
      </c>
      <c r="O1221" s="41">
        <v>0</v>
      </c>
      <c r="P1221" s="42">
        <f t="shared" si="19"/>
        <v>7643.2847999999994</v>
      </c>
      <c r="Q1221" s="34" t="s">
        <v>25</v>
      </c>
      <c r="R1221" s="34" t="str">
        <f>VLOOKUP(C1221,'SALE PARTY MASTER'!$B$4:$E$500,4,FALSE)</f>
        <v>Local</v>
      </c>
      <c r="S1221" s="11" t="s">
        <v>4107</v>
      </c>
    </row>
    <row r="1222" spans="1:19" x14ac:dyDescent="0.2">
      <c r="A1222" s="51">
        <v>43831</v>
      </c>
      <c r="B1222" s="11">
        <v>20</v>
      </c>
      <c r="C1222" s="11" t="s">
        <v>155</v>
      </c>
      <c r="F1222" s="36" t="s">
        <v>4409</v>
      </c>
      <c r="G1222" s="37">
        <v>43839</v>
      </c>
      <c r="H1222" s="564">
        <v>87141090</v>
      </c>
      <c r="I1222" s="39">
        <f>VLOOKUP(H1222,'SALE HSN MASTER'!$A$4:$E$5001,5,FALSE)</f>
        <v>28</v>
      </c>
      <c r="J1222" s="38">
        <v>740</v>
      </c>
      <c r="K1222" s="40">
        <v>55773.8</v>
      </c>
      <c r="L1222" s="41">
        <f t="shared" si="16"/>
        <v>0</v>
      </c>
      <c r="M1222" s="41">
        <f t="shared" si="17"/>
        <v>7808.3320000000003</v>
      </c>
      <c r="N1222" s="41">
        <f t="shared" si="18"/>
        <v>7808.3320000000003</v>
      </c>
      <c r="O1222" s="41">
        <v>0</v>
      </c>
      <c r="P1222" s="42">
        <f t="shared" si="19"/>
        <v>71390.464000000007</v>
      </c>
      <c r="Q1222" s="34" t="s">
        <v>25</v>
      </c>
      <c r="R1222" s="34" t="str">
        <f>VLOOKUP(C1222,'SALE PARTY MASTER'!$B$4:$E$500,4,FALSE)</f>
        <v>Local</v>
      </c>
      <c r="S1222" s="11" t="s">
        <v>4105</v>
      </c>
    </row>
    <row r="1223" spans="1:19" x14ac:dyDescent="0.2">
      <c r="A1223" s="51">
        <v>43831</v>
      </c>
      <c r="B1223" s="11">
        <v>21</v>
      </c>
      <c r="C1223" s="11" t="s">
        <v>155</v>
      </c>
      <c r="F1223" s="36" t="s">
        <v>4410</v>
      </c>
      <c r="G1223" s="37">
        <v>43839</v>
      </c>
      <c r="H1223" s="564">
        <v>87141090</v>
      </c>
      <c r="I1223" s="39">
        <f>VLOOKUP(H1223,'SALE HSN MASTER'!$A$4:$E$5001,5,FALSE)</f>
        <v>28</v>
      </c>
      <c r="J1223" s="38">
        <v>660</v>
      </c>
      <c r="K1223" s="40">
        <v>31039.8</v>
      </c>
      <c r="L1223" s="41">
        <f t="shared" si="16"/>
        <v>0</v>
      </c>
      <c r="M1223" s="41">
        <f t="shared" si="17"/>
        <v>4345.5719999999992</v>
      </c>
      <c r="N1223" s="41">
        <f t="shared" si="18"/>
        <v>4345.5719999999992</v>
      </c>
      <c r="O1223" s="41">
        <v>0</v>
      </c>
      <c r="P1223" s="42">
        <f t="shared" si="19"/>
        <v>39730.943999999996</v>
      </c>
      <c r="Q1223" s="34" t="s">
        <v>25</v>
      </c>
      <c r="R1223" s="34" t="str">
        <f>VLOOKUP(C1223,'SALE PARTY MASTER'!$B$4:$E$500,4,FALSE)</f>
        <v>Local</v>
      </c>
      <c r="S1223" s="11" t="s">
        <v>4105</v>
      </c>
    </row>
    <row r="1224" spans="1:19" x14ac:dyDescent="0.2">
      <c r="A1224" s="51">
        <v>43831</v>
      </c>
      <c r="B1224" s="11">
        <v>22</v>
      </c>
      <c r="C1224" s="565" t="s">
        <v>28</v>
      </c>
      <c r="F1224" s="36" t="s">
        <v>4411</v>
      </c>
      <c r="G1224" s="37">
        <v>43841</v>
      </c>
      <c r="H1224" s="564">
        <v>87089900</v>
      </c>
      <c r="I1224" s="39">
        <f>VLOOKUP(H1224,'SALE HSN MASTER'!$A$4:$E$5001,5,FALSE)</f>
        <v>28</v>
      </c>
      <c r="J1224" s="38">
        <v>12</v>
      </c>
      <c r="K1224" s="40">
        <v>23255.759999999998</v>
      </c>
      <c r="L1224" s="41">
        <f t="shared" si="16"/>
        <v>0</v>
      </c>
      <c r="M1224" s="41">
        <f t="shared" si="17"/>
        <v>3255.8063999999995</v>
      </c>
      <c r="N1224" s="41">
        <f t="shared" si="18"/>
        <v>3255.8063999999995</v>
      </c>
      <c r="O1224" s="41">
        <v>0</v>
      </c>
      <c r="P1224" s="42">
        <f t="shared" si="19"/>
        <v>29767.372799999997</v>
      </c>
      <c r="Q1224" s="34" t="s">
        <v>25</v>
      </c>
      <c r="R1224" s="34" t="str">
        <f>VLOOKUP(C1224,'SALE PARTY MASTER'!$B$4:$E$500,4,FALSE)</f>
        <v>Local</v>
      </c>
      <c r="S1224" s="11" t="s">
        <v>4105</v>
      </c>
    </row>
    <row r="1225" spans="1:19" x14ac:dyDescent="0.2">
      <c r="A1225" s="51">
        <v>43831</v>
      </c>
      <c r="B1225" s="11">
        <v>23</v>
      </c>
      <c r="C1225" s="565" t="s">
        <v>28</v>
      </c>
      <c r="F1225" s="36" t="s">
        <v>4412</v>
      </c>
      <c r="G1225" s="37">
        <v>43841</v>
      </c>
      <c r="H1225" s="564">
        <v>87089900</v>
      </c>
      <c r="I1225" s="39">
        <f>VLOOKUP(H1225,'SALE HSN MASTER'!$A$4:$E$5001,5,FALSE)</f>
        <v>28</v>
      </c>
      <c r="J1225" s="38">
        <v>12</v>
      </c>
      <c r="K1225" s="40">
        <v>23255.759999999998</v>
      </c>
      <c r="L1225" s="41">
        <f t="shared" si="16"/>
        <v>0</v>
      </c>
      <c r="M1225" s="41">
        <f t="shared" si="17"/>
        <v>3255.8063999999995</v>
      </c>
      <c r="N1225" s="41">
        <f t="shared" si="18"/>
        <v>3255.8063999999995</v>
      </c>
      <c r="O1225" s="41">
        <v>0</v>
      </c>
      <c r="P1225" s="42">
        <f t="shared" si="19"/>
        <v>29767.372799999997</v>
      </c>
      <c r="Q1225" s="34" t="s">
        <v>25</v>
      </c>
      <c r="R1225" s="34" t="str">
        <f>VLOOKUP(C1225,'SALE PARTY MASTER'!$B$4:$E$500,4,FALSE)</f>
        <v>Local</v>
      </c>
      <c r="S1225" s="11" t="s">
        <v>4105</v>
      </c>
    </row>
    <row r="1226" spans="1:19" x14ac:dyDescent="0.2">
      <c r="A1226" s="51">
        <v>43831</v>
      </c>
      <c r="B1226" s="11">
        <v>24</v>
      </c>
      <c r="C1226" s="34" t="s">
        <v>226</v>
      </c>
      <c r="F1226" s="36" t="s">
        <v>4413</v>
      </c>
      <c r="G1226" s="37">
        <v>43843</v>
      </c>
      <c r="H1226" s="564">
        <v>87089900</v>
      </c>
      <c r="I1226" s="39">
        <f>VLOOKUP(H1226,'SALE HSN MASTER'!$A$4:$E$5001,5,FALSE)</f>
        <v>28</v>
      </c>
      <c r="J1226" s="38">
        <v>100</v>
      </c>
      <c r="K1226" s="40">
        <v>34551</v>
      </c>
      <c r="L1226" s="41">
        <f t="shared" si="16"/>
        <v>9674.2799999999988</v>
      </c>
      <c r="M1226" s="41">
        <f t="shared" si="17"/>
        <v>0</v>
      </c>
      <c r="N1226" s="41">
        <f t="shared" si="18"/>
        <v>0</v>
      </c>
      <c r="O1226" s="41">
        <v>0</v>
      </c>
      <c r="P1226" s="42">
        <f t="shared" si="19"/>
        <v>44225.279999999999</v>
      </c>
      <c r="Q1226" s="34" t="s">
        <v>25</v>
      </c>
      <c r="R1226" s="34" t="str">
        <f>VLOOKUP(C1226,'SALE PARTY MASTER'!$B$4:$E$500,4,FALSE)</f>
        <v>Oms</v>
      </c>
      <c r="S1226" s="11" t="s">
        <v>4108</v>
      </c>
    </row>
    <row r="1227" spans="1:19" x14ac:dyDescent="0.2">
      <c r="A1227" s="51">
        <v>43831</v>
      </c>
      <c r="B1227" s="11">
        <v>25</v>
      </c>
      <c r="C1227" s="565" t="s">
        <v>28</v>
      </c>
      <c r="F1227" s="36" t="s">
        <v>4414</v>
      </c>
      <c r="G1227" s="37">
        <v>43844</v>
      </c>
      <c r="H1227" s="564">
        <v>87089900</v>
      </c>
      <c r="I1227" s="39">
        <f>VLOOKUP(H1227,'SALE HSN MASTER'!$A$4:$E$5001,5,FALSE)</f>
        <v>28</v>
      </c>
      <c r="J1227" s="38">
        <v>12</v>
      </c>
      <c r="K1227" s="40">
        <v>23255.759999999998</v>
      </c>
      <c r="L1227" s="41">
        <f t="shared" si="16"/>
        <v>0</v>
      </c>
      <c r="M1227" s="41">
        <f t="shared" si="17"/>
        <v>3255.8063999999995</v>
      </c>
      <c r="N1227" s="41">
        <f t="shared" si="18"/>
        <v>3255.8063999999995</v>
      </c>
      <c r="O1227" s="41">
        <v>0</v>
      </c>
      <c r="P1227" s="42">
        <f t="shared" si="19"/>
        <v>29767.372799999997</v>
      </c>
      <c r="Q1227" s="34" t="s">
        <v>25</v>
      </c>
      <c r="R1227" s="34" t="str">
        <f>VLOOKUP(C1227,'SALE PARTY MASTER'!$B$4:$E$500,4,FALSE)</f>
        <v>Local</v>
      </c>
      <c r="S1227" s="11" t="s">
        <v>4105</v>
      </c>
    </row>
    <row r="1228" spans="1:19" x14ac:dyDescent="0.2">
      <c r="A1228" s="51">
        <v>43831</v>
      </c>
      <c r="B1228" s="11">
        <v>26</v>
      </c>
      <c r="C1228" s="565" t="s">
        <v>28</v>
      </c>
      <c r="F1228" s="36" t="s">
        <v>4415</v>
      </c>
      <c r="G1228" s="37">
        <v>43844</v>
      </c>
      <c r="H1228" s="564">
        <v>87089900</v>
      </c>
      <c r="I1228" s="39">
        <f>VLOOKUP(H1228,'SALE HSN MASTER'!$A$4:$E$5001,5,FALSE)</f>
        <v>28</v>
      </c>
      <c r="J1228" s="38">
        <v>12</v>
      </c>
      <c r="K1228" s="40">
        <v>23255.759999999998</v>
      </c>
      <c r="L1228" s="41">
        <f t="shared" si="16"/>
        <v>0</v>
      </c>
      <c r="M1228" s="41">
        <f t="shared" si="17"/>
        <v>3255.8063999999995</v>
      </c>
      <c r="N1228" s="41">
        <f t="shared" si="18"/>
        <v>3255.8063999999995</v>
      </c>
      <c r="O1228" s="41">
        <v>0</v>
      </c>
      <c r="P1228" s="42">
        <f t="shared" si="19"/>
        <v>29767.372799999997</v>
      </c>
      <c r="Q1228" s="34" t="s">
        <v>25</v>
      </c>
      <c r="R1228" s="34" t="str">
        <f>VLOOKUP(C1228,'SALE PARTY MASTER'!$B$4:$E$500,4,FALSE)</f>
        <v>Local</v>
      </c>
      <c r="S1228" s="11" t="s">
        <v>4105</v>
      </c>
    </row>
    <row r="1229" spans="1:19" x14ac:dyDescent="0.2">
      <c r="A1229" s="51">
        <v>43831</v>
      </c>
      <c r="B1229" s="11">
        <v>27</v>
      </c>
      <c r="C1229" s="11" t="s">
        <v>45</v>
      </c>
      <c r="F1229" s="36" t="s">
        <v>4416</v>
      </c>
      <c r="G1229" s="37">
        <v>43844</v>
      </c>
      <c r="H1229" s="564">
        <v>85129000</v>
      </c>
      <c r="I1229" s="39">
        <f>VLOOKUP(H1229,'SALE HSN MASTER'!$A$4:$E$5001,5,FALSE)</f>
        <v>18</v>
      </c>
      <c r="J1229" s="38">
        <v>1170</v>
      </c>
      <c r="K1229" s="40">
        <v>142751.70000000001</v>
      </c>
      <c r="L1229" s="41">
        <f t="shared" si="16"/>
        <v>0</v>
      </c>
      <c r="M1229" s="41">
        <f t="shared" si="17"/>
        <v>12847.653</v>
      </c>
      <c r="N1229" s="41">
        <f t="shared" si="18"/>
        <v>12847.653</v>
      </c>
      <c r="O1229" s="41">
        <v>0</v>
      </c>
      <c r="P1229" s="42">
        <f t="shared" si="19"/>
        <v>168447.00600000002</v>
      </c>
      <c r="Q1229" s="34" t="s">
        <v>25</v>
      </c>
      <c r="R1229" s="34" t="str">
        <f>VLOOKUP(C1229,'SALE PARTY MASTER'!$B$4:$E$500,4,FALSE)</f>
        <v>Local</v>
      </c>
      <c r="S1229" s="11" t="s">
        <v>4105</v>
      </c>
    </row>
    <row r="1230" spans="1:19" x14ac:dyDescent="0.2">
      <c r="A1230" s="51">
        <v>43831</v>
      </c>
      <c r="B1230" s="11">
        <v>28</v>
      </c>
      <c r="C1230" s="565" t="s">
        <v>28</v>
      </c>
      <c r="F1230" s="36" t="s">
        <v>4417</v>
      </c>
      <c r="G1230" s="37">
        <v>43846</v>
      </c>
      <c r="H1230" s="564">
        <v>87089900</v>
      </c>
      <c r="I1230" s="39">
        <f>VLOOKUP(H1230,'SALE HSN MASTER'!$A$4:$E$5001,5,FALSE)</f>
        <v>28</v>
      </c>
      <c r="J1230" s="38">
        <v>12</v>
      </c>
      <c r="K1230" s="40">
        <v>23255.759999999998</v>
      </c>
      <c r="L1230" s="41">
        <f t="shared" si="16"/>
        <v>0</v>
      </c>
      <c r="M1230" s="41">
        <f t="shared" si="17"/>
        <v>3255.8063999999995</v>
      </c>
      <c r="N1230" s="41">
        <f t="shared" si="18"/>
        <v>3255.8063999999995</v>
      </c>
      <c r="O1230" s="41">
        <v>0</v>
      </c>
      <c r="P1230" s="42">
        <f t="shared" si="19"/>
        <v>29767.372799999997</v>
      </c>
      <c r="Q1230" s="34" t="s">
        <v>25</v>
      </c>
      <c r="R1230" s="34" t="str">
        <f>VLOOKUP(C1230,'SALE PARTY MASTER'!$B$4:$E$500,4,FALSE)</f>
        <v>Local</v>
      </c>
      <c r="S1230" s="11" t="s">
        <v>4105</v>
      </c>
    </row>
    <row r="1231" spans="1:19" x14ac:dyDescent="0.2">
      <c r="A1231" s="51">
        <v>43831</v>
      </c>
      <c r="B1231" s="11">
        <v>29</v>
      </c>
      <c r="C1231" s="565" t="s">
        <v>73</v>
      </c>
      <c r="F1231" s="36" t="s">
        <v>4418</v>
      </c>
      <c r="G1231" s="37">
        <v>43846</v>
      </c>
      <c r="H1231" s="564">
        <v>85129000</v>
      </c>
      <c r="I1231" s="39">
        <f>VLOOKUP(H1231,'SALE HSN MASTER'!$A$4:$E$5001,5,FALSE)</f>
        <v>18</v>
      </c>
      <c r="J1231" s="38">
        <v>4800</v>
      </c>
      <c r="K1231" s="40">
        <v>120000</v>
      </c>
      <c r="L1231" s="41">
        <f t="shared" si="16"/>
        <v>0</v>
      </c>
      <c r="M1231" s="41">
        <f t="shared" si="17"/>
        <v>10800</v>
      </c>
      <c r="N1231" s="41">
        <f t="shared" si="18"/>
        <v>10800</v>
      </c>
      <c r="O1231" s="41">
        <v>0</v>
      </c>
      <c r="P1231" s="42">
        <f t="shared" si="19"/>
        <v>141600</v>
      </c>
      <c r="Q1231" s="34" t="s">
        <v>25</v>
      </c>
      <c r="R1231" s="34" t="str">
        <f>VLOOKUP(C1231,'SALE PARTY MASTER'!$B$4:$E$500,4,FALSE)</f>
        <v>Local</v>
      </c>
      <c r="S1231" s="11" t="s">
        <v>4105</v>
      </c>
    </row>
    <row r="1232" spans="1:19" x14ac:dyDescent="0.2">
      <c r="A1232" s="51">
        <v>43831</v>
      </c>
      <c r="B1232" s="11">
        <v>30</v>
      </c>
      <c r="C1232" s="565" t="s">
        <v>28</v>
      </c>
      <c r="F1232" s="36" t="s">
        <v>4419</v>
      </c>
      <c r="G1232" s="37">
        <v>43847</v>
      </c>
      <c r="H1232" s="564">
        <v>87089900</v>
      </c>
      <c r="I1232" s="39">
        <f>VLOOKUP(H1232,'SALE HSN MASTER'!$A$4:$E$5001,5,FALSE)</f>
        <v>28</v>
      </c>
      <c r="J1232" s="38">
        <v>12</v>
      </c>
      <c r="K1232" s="40">
        <v>23255.759999999998</v>
      </c>
      <c r="L1232" s="41">
        <f t="shared" si="16"/>
        <v>0</v>
      </c>
      <c r="M1232" s="41">
        <f t="shared" si="17"/>
        <v>3255.8063999999995</v>
      </c>
      <c r="N1232" s="41">
        <f t="shared" si="18"/>
        <v>3255.8063999999995</v>
      </c>
      <c r="O1232" s="41">
        <v>0</v>
      </c>
      <c r="P1232" s="42">
        <f t="shared" si="19"/>
        <v>29767.372799999997</v>
      </c>
      <c r="Q1232" s="34" t="s">
        <v>25</v>
      </c>
      <c r="R1232" s="34" t="str">
        <f>VLOOKUP(C1232,'SALE PARTY MASTER'!$B$4:$E$500,4,FALSE)</f>
        <v>Local</v>
      </c>
      <c r="S1232" s="11" t="s">
        <v>4105</v>
      </c>
    </row>
    <row r="1233" spans="1:19" x14ac:dyDescent="0.2">
      <c r="A1233" s="51">
        <v>43831</v>
      </c>
      <c r="B1233" s="11">
        <v>31</v>
      </c>
      <c r="C1233" s="565" t="s">
        <v>49</v>
      </c>
      <c r="F1233" s="36" t="s">
        <v>4420</v>
      </c>
      <c r="G1233" s="37">
        <v>43847</v>
      </c>
      <c r="H1233" s="564" t="s">
        <v>2425</v>
      </c>
      <c r="I1233" s="39">
        <f>VLOOKUP(H1233,'SALE HSN MASTER'!$A$4:$E$5001,5,FALSE)</f>
        <v>12</v>
      </c>
      <c r="J1233" s="38">
        <v>25</v>
      </c>
      <c r="K1233" s="40">
        <v>7103.5</v>
      </c>
      <c r="L1233" s="41">
        <f t="shared" si="16"/>
        <v>0</v>
      </c>
      <c r="M1233" s="41">
        <f t="shared" si="17"/>
        <v>426.21</v>
      </c>
      <c r="N1233" s="41">
        <f t="shared" si="18"/>
        <v>426.21</v>
      </c>
      <c r="O1233" s="41">
        <v>0</v>
      </c>
      <c r="P1233" s="42">
        <f t="shared" si="19"/>
        <v>7955.92</v>
      </c>
      <c r="Q1233" s="34" t="s">
        <v>25</v>
      </c>
      <c r="R1233" s="34" t="str">
        <f>VLOOKUP(C1233,'SALE PARTY MASTER'!$B$4:$E$500,4,FALSE)</f>
        <v>Local</v>
      </c>
      <c r="S1233" s="11" t="s">
        <v>4107</v>
      </c>
    </row>
    <row r="1234" spans="1:19" x14ac:dyDescent="0.2">
      <c r="A1234" s="51">
        <v>43831</v>
      </c>
      <c r="B1234" s="11">
        <v>32</v>
      </c>
      <c r="C1234" s="565" t="s">
        <v>49</v>
      </c>
      <c r="F1234" s="36" t="s">
        <v>4421</v>
      </c>
      <c r="G1234" s="37">
        <v>43848</v>
      </c>
      <c r="H1234" s="564" t="s">
        <v>2425</v>
      </c>
      <c r="I1234" s="39">
        <f>VLOOKUP(H1234,'SALE HSN MASTER'!$A$4:$E$5001,5,FALSE)</f>
        <v>12</v>
      </c>
      <c r="J1234" s="38">
        <v>15</v>
      </c>
      <c r="K1234" s="40">
        <v>4262.1000000000004</v>
      </c>
      <c r="L1234" s="41">
        <f t="shared" si="16"/>
        <v>0</v>
      </c>
      <c r="M1234" s="41">
        <f t="shared" si="17"/>
        <v>255.726</v>
      </c>
      <c r="N1234" s="41">
        <f t="shared" si="18"/>
        <v>255.726</v>
      </c>
      <c r="O1234" s="41">
        <v>0</v>
      </c>
      <c r="P1234" s="42">
        <f t="shared" si="19"/>
        <v>4773.5520000000006</v>
      </c>
      <c r="Q1234" s="34" t="s">
        <v>25</v>
      </c>
      <c r="R1234" s="34" t="str">
        <f>VLOOKUP(C1234,'SALE PARTY MASTER'!$B$4:$E$500,4,FALSE)</f>
        <v>Local</v>
      </c>
      <c r="S1234" s="11" t="s">
        <v>4107</v>
      </c>
    </row>
    <row r="1235" spans="1:19" x14ac:dyDescent="0.2">
      <c r="A1235" s="51">
        <v>43831</v>
      </c>
      <c r="B1235" s="11">
        <v>33</v>
      </c>
      <c r="C1235" s="565" t="s">
        <v>28</v>
      </c>
      <c r="F1235" s="36" t="s">
        <v>4422</v>
      </c>
      <c r="G1235" s="37">
        <v>43848</v>
      </c>
      <c r="H1235" s="564">
        <v>87089900</v>
      </c>
      <c r="I1235" s="39">
        <f>VLOOKUP(H1235,'SALE HSN MASTER'!$A$4:$E$5001,5,FALSE)</f>
        <v>28</v>
      </c>
      <c r="J1235" s="38">
        <v>12</v>
      </c>
      <c r="K1235" s="40">
        <v>23255.759999999998</v>
      </c>
      <c r="L1235" s="41">
        <f t="shared" si="16"/>
        <v>0</v>
      </c>
      <c r="M1235" s="41">
        <f t="shared" si="17"/>
        <v>3255.8063999999995</v>
      </c>
      <c r="N1235" s="41">
        <f t="shared" si="18"/>
        <v>3255.8063999999995</v>
      </c>
      <c r="O1235" s="41">
        <v>0</v>
      </c>
      <c r="P1235" s="42">
        <f t="shared" si="19"/>
        <v>29767.372799999997</v>
      </c>
      <c r="Q1235" s="34" t="s">
        <v>25</v>
      </c>
      <c r="R1235" s="34" t="str">
        <f>VLOOKUP(C1235,'SALE PARTY MASTER'!$B$4:$E$500,4,FALSE)</f>
        <v>Local</v>
      </c>
      <c r="S1235" s="11" t="s">
        <v>4105</v>
      </c>
    </row>
    <row r="1236" spans="1:19" x14ac:dyDescent="0.2">
      <c r="A1236" s="51">
        <v>43831</v>
      </c>
      <c r="B1236" s="11">
        <v>34</v>
      </c>
      <c r="C1236" s="11" t="s">
        <v>45</v>
      </c>
      <c r="F1236" s="36" t="s">
        <v>4423</v>
      </c>
      <c r="G1236" s="37">
        <v>43848</v>
      </c>
      <c r="H1236" s="564">
        <v>85129000</v>
      </c>
      <c r="I1236" s="39">
        <f>VLOOKUP(H1236,'SALE HSN MASTER'!$A$4:$E$5001,5,FALSE)</f>
        <v>18</v>
      </c>
      <c r="J1236" s="38">
        <v>1422</v>
      </c>
      <c r="K1236" s="40">
        <v>173498.22</v>
      </c>
      <c r="L1236" s="41">
        <f t="shared" si="16"/>
        <v>0</v>
      </c>
      <c r="M1236" s="41">
        <f t="shared" si="17"/>
        <v>15614.8398</v>
      </c>
      <c r="N1236" s="41">
        <f t="shared" si="18"/>
        <v>15614.8398</v>
      </c>
      <c r="O1236" s="41">
        <v>0</v>
      </c>
      <c r="P1236" s="42">
        <f t="shared" si="19"/>
        <v>204727.8996</v>
      </c>
      <c r="Q1236" s="34" t="s">
        <v>25</v>
      </c>
      <c r="R1236" s="34" t="str">
        <f>VLOOKUP(C1236,'SALE PARTY MASTER'!$B$4:$E$500,4,FALSE)</f>
        <v>Local</v>
      </c>
      <c r="S1236" s="11" t="s">
        <v>4105</v>
      </c>
    </row>
    <row r="1237" spans="1:19" x14ac:dyDescent="0.2">
      <c r="A1237" s="51">
        <v>43831</v>
      </c>
      <c r="B1237" s="11">
        <v>35</v>
      </c>
      <c r="C1237" s="565" t="s">
        <v>28</v>
      </c>
      <c r="F1237" s="36" t="s">
        <v>4424</v>
      </c>
      <c r="G1237" s="37">
        <v>43848</v>
      </c>
      <c r="H1237" s="564">
        <v>87089900</v>
      </c>
      <c r="I1237" s="39">
        <f>VLOOKUP(H1237,'SALE HSN MASTER'!$A$4:$E$5001,5,FALSE)</f>
        <v>28</v>
      </c>
      <c r="J1237" s="38">
        <v>12</v>
      </c>
      <c r="K1237" s="40">
        <v>23508.6</v>
      </c>
      <c r="L1237" s="41">
        <f t="shared" si="16"/>
        <v>0</v>
      </c>
      <c r="M1237" s="41">
        <f t="shared" si="17"/>
        <v>3291.2039999999997</v>
      </c>
      <c r="N1237" s="41">
        <f t="shared" si="18"/>
        <v>3291.2039999999997</v>
      </c>
      <c r="O1237" s="41">
        <v>0</v>
      </c>
      <c r="P1237" s="42">
        <f t="shared" si="19"/>
        <v>30091.007999999998</v>
      </c>
      <c r="Q1237" s="34" t="s">
        <v>25</v>
      </c>
      <c r="R1237" s="34" t="str">
        <f>VLOOKUP(C1237,'SALE PARTY MASTER'!$B$4:$E$500,4,FALSE)</f>
        <v>Local</v>
      </c>
      <c r="S1237" s="11" t="s">
        <v>4105</v>
      </c>
    </row>
    <row r="1238" spans="1:19" x14ac:dyDescent="0.2">
      <c r="A1238" s="51">
        <v>43831</v>
      </c>
      <c r="B1238" s="11">
        <v>36</v>
      </c>
      <c r="C1238" s="11" t="s">
        <v>155</v>
      </c>
      <c r="F1238" s="36" t="s">
        <v>4425</v>
      </c>
      <c r="G1238" s="37">
        <v>43850</v>
      </c>
      <c r="H1238" s="564">
        <v>87141090</v>
      </c>
      <c r="I1238" s="39">
        <f>VLOOKUP(H1238,'SALE HSN MASTER'!$A$4:$E$5001,5,FALSE)</f>
        <v>28</v>
      </c>
      <c r="J1238" s="38">
        <v>600</v>
      </c>
      <c r="K1238" s="40">
        <v>45222</v>
      </c>
      <c r="L1238" s="41">
        <f t="shared" si="16"/>
        <v>0</v>
      </c>
      <c r="M1238" s="41">
        <f t="shared" si="17"/>
        <v>6331.08</v>
      </c>
      <c r="N1238" s="41">
        <f t="shared" si="18"/>
        <v>6331.08</v>
      </c>
      <c r="O1238" s="41">
        <v>0</v>
      </c>
      <c r="P1238" s="42">
        <f t="shared" si="19"/>
        <v>57884.160000000003</v>
      </c>
      <c r="Q1238" s="34" t="s">
        <v>25</v>
      </c>
      <c r="R1238" s="34" t="str">
        <f>VLOOKUP(C1238,'SALE PARTY MASTER'!$B$4:$E$500,4,FALSE)</f>
        <v>Local</v>
      </c>
      <c r="S1238" s="11" t="s">
        <v>4105</v>
      </c>
    </row>
    <row r="1239" spans="1:19" x14ac:dyDescent="0.2">
      <c r="A1239" s="51">
        <v>43831</v>
      </c>
      <c r="B1239" s="11">
        <v>37</v>
      </c>
      <c r="C1239" s="11" t="s">
        <v>155</v>
      </c>
      <c r="F1239" s="36" t="s">
        <v>4426</v>
      </c>
      <c r="G1239" s="37">
        <v>43850</v>
      </c>
      <c r="H1239" s="564">
        <v>87141090</v>
      </c>
      <c r="I1239" s="39">
        <f>VLOOKUP(H1239,'SALE HSN MASTER'!$A$4:$E$5001,5,FALSE)</f>
        <v>28</v>
      </c>
      <c r="J1239" s="38">
        <v>840</v>
      </c>
      <c r="K1239" s="40">
        <v>39505.199999999997</v>
      </c>
      <c r="L1239" s="41">
        <f t="shared" si="16"/>
        <v>0</v>
      </c>
      <c r="M1239" s="41">
        <f t="shared" si="17"/>
        <v>5530.7279999999992</v>
      </c>
      <c r="N1239" s="41">
        <f t="shared" si="18"/>
        <v>5530.7279999999992</v>
      </c>
      <c r="O1239" s="41">
        <v>0</v>
      </c>
      <c r="P1239" s="42">
        <f t="shared" si="19"/>
        <v>50566.655999999995</v>
      </c>
      <c r="Q1239" s="34" t="s">
        <v>25</v>
      </c>
      <c r="R1239" s="34" t="str">
        <f>VLOOKUP(C1239,'SALE PARTY MASTER'!$B$4:$E$500,4,FALSE)</f>
        <v>Local</v>
      </c>
      <c r="S1239" s="11" t="s">
        <v>4105</v>
      </c>
    </row>
    <row r="1240" spans="1:19" x14ac:dyDescent="0.2">
      <c r="A1240" s="51">
        <v>43831</v>
      </c>
      <c r="B1240" s="11">
        <v>38</v>
      </c>
      <c r="C1240" s="565" t="s">
        <v>28</v>
      </c>
      <c r="F1240" s="36" t="s">
        <v>4427</v>
      </c>
      <c r="G1240" s="37">
        <v>43850</v>
      </c>
      <c r="H1240" s="564">
        <v>87089900</v>
      </c>
      <c r="I1240" s="39">
        <f>VLOOKUP(H1240,'SALE HSN MASTER'!$A$4:$E$5001,5,FALSE)</f>
        <v>28</v>
      </c>
      <c r="J1240" s="38">
        <v>12</v>
      </c>
      <c r="K1240" s="40">
        <v>23255.759999999998</v>
      </c>
      <c r="L1240" s="41">
        <f t="shared" si="16"/>
        <v>0</v>
      </c>
      <c r="M1240" s="41">
        <f t="shared" si="17"/>
        <v>3255.8063999999995</v>
      </c>
      <c r="N1240" s="41">
        <f t="shared" si="18"/>
        <v>3255.8063999999995</v>
      </c>
      <c r="O1240" s="41">
        <v>0</v>
      </c>
      <c r="P1240" s="42">
        <f t="shared" si="19"/>
        <v>29767.372799999997</v>
      </c>
      <c r="Q1240" s="34" t="s">
        <v>25</v>
      </c>
      <c r="R1240" s="34" t="str">
        <f>VLOOKUP(C1240,'SALE PARTY MASTER'!$B$4:$E$500,4,FALSE)</f>
        <v>Local</v>
      </c>
      <c r="S1240" s="11" t="s">
        <v>4105</v>
      </c>
    </row>
    <row r="1241" spans="1:19" x14ac:dyDescent="0.2">
      <c r="A1241" s="51">
        <v>43831</v>
      </c>
      <c r="B1241" s="11">
        <v>39</v>
      </c>
      <c r="C1241" s="565" t="s">
        <v>28</v>
      </c>
      <c r="F1241" s="36" t="s">
        <v>4428</v>
      </c>
      <c r="G1241" s="37">
        <v>43850</v>
      </c>
      <c r="H1241" s="564">
        <v>87089900</v>
      </c>
      <c r="I1241" s="39">
        <f>VLOOKUP(H1241,'SALE HSN MASTER'!$A$4:$E$5001,5,FALSE)</f>
        <v>28</v>
      </c>
      <c r="J1241" s="38">
        <v>12</v>
      </c>
      <c r="K1241" s="40">
        <v>23255.759999999998</v>
      </c>
      <c r="L1241" s="41">
        <f t="shared" si="16"/>
        <v>0</v>
      </c>
      <c r="M1241" s="41">
        <f t="shared" si="17"/>
        <v>3255.8063999999995</v>
      </c>
      <c r="N1241" s="41">
        <f t="shared" si="18"/>
        <v>3255.8063999999995</v>
      </c>
      <c r="O1241" s="41">
        <v>0</v>
      </c>
      <c r="P1241" s="42">
        <f t="shared" si="19"/>
        <v>29767.372799999997</v>
      </c>
      <c r="Q1241" s="34" t="s">
        <v>25</v>
      </c>
      <c r="R1241" s="34" t="str">
        <f>VLOOKUP(C1241,'SALE PARTY MASTER'!$B$4:$E$500,4,FALSE)</f>
        <v>Local</v>
      </c>
      <c r="S1241" s="11" t="s">
        <v>4105</v>
      </c>
    </row>
    <row r="1242" spans="1:19" x14ac:dyDescent="0.2">
      <c r="A1242" s="972">
        <v>43831</v>
      </c>
      <c r="B1242" s="11">
        <v>40</v>
      </c>
      <c r="C1242" s="34" t="s">
        <v>224</v>
      </c>
      <c r="F1242" s="36" t="s">
        <v>4429</v>
      </c>
      <c r="G1242" s="37">
        <v>43851</v>
      </c>
      <c r="H1242" s="564" t="s">
        <v>4255</v>
      </c>
      <c r="I1242" s="39">
        <f>VLOOKUP(H1242,'SALE HSN MASTER'!$A$4:$E$5001,5,FALSE)</f>
        <v>18</v>
      </c>
      <c r="J1242" s="38">
        <v>240</v>
      </c>
      <c r="K1242" s="40">
        <v>12729.6</v>
      </c>
      <c r="L1242" s="41">
        <f t="shared" si="16"/>
        <v>0</v>
      </c>
      <c r="M1242" s="41">
        <f t="shared" si="17"/>
        <v>1145.664</v>
      </c>
      <c r="N1242" s="41">
        <f t="shared" si="18"/>
        <v>1145.664</v>
      </c>
      <c r="O1242" s="41">
        <v>0</v>
      </c>
      <c r="P1242" s="42">
        <f t="shared" si="19"/>
        <v>15020.928</v>
      </c>
      <c r="Q1242" s="34" t="s">
        <v>25</v>
      </c>
      <c r="R1242" s="34" t="str">
        <f>VLOOKUP(C1242,'SALE PARTY MASTER'!$B$4:$E$500,4,FALSE)</f>
        <v>Local</v>
      </c>
      <c r="S1242" s="11" t="s">
        <v>4105</v>
      </c>
    </row>
    <row r="1243" spans="1:19" x14ac:dyDescent="0.2">
      <c r="A1243" s="51">
        <v>43831</v>
      </c>
      <c r="B1243" s="11">
        <v>41</v>
      </c>
      <c r="C1243" s="565" t="s">
        <v>40</v>
      </c>
      <c r="F1243" s="36" t="s">
        <v>4430</v>
      </c>
      <c r="G1243" s="37">
        <v>43851</v>
      </c>
      <c r="H1243" s="564">
        <v>87089900</v>
      </c>
      <c r="I1243" s="39">
        <f>VLOOKUP(H1243,'SALE HSN MASTER'!$A$4:$E$5001,5,FALSE)</f>
        <v>28</v>
      </c>
      <c r="J1243" s="38">
        <v>190</v>
      </c>
      <c r="K1243" s="40">
        <v>30904.799999999999</v>
      </c>
      <c r="L1243" s="41">
        <f t="shared" si="16"/>
        <v>0</v>
      </c>
      <c r="M1243" s="41">
        <f t="shared" si="17"/>
        <v>4326.6720000000005</v>
      </c>
      <c r="N1243" s="41">
        <f t="shared" si="18"/>
        <v>4326.6720000000005</v>
      </c>
      <c r="O1243" s="41">
        <v>0</v>
      </c>
      <c r="P1243" s="42">
        <f t="shared" si="19"/>
        <v>39558.144</v>
      </c>
      <c r="Q1243" s="34" t="s">
        <v>25</v>
      </c>
      <c r="R1243" s="34" t="str">
        <f>VLOOKUP(C1243,'SALE PARTY MASTER'!$B$4:$E$500,4,FALSE)</f>
        <v>Local</v>
      </c>
      <c r="S1243" s="11" t="s">
        <v>4105</v>
      </c>
    </row>
    <row r="1244" spans="1:19" x14ac:dyDescent="0.2">
      <c r="A1244" s="51">
        <v>43831</v>
      </c>
      <c r="B1244" s="11">
        <v>42</v>
      </c>
      <c r="C1244" s="565" t="s">
        <v>49</v>
      </c>
      <c r="F1244" s="36" t="s">
        <v>4431</v>
      </c>
      <c r="G1244" s="37">
        <v>43851</v>
      </c>
      <c r="H1244" s="564" t="s">
        <v>2425</v>
      </c>
      <c r="I1244" s="39">
        <f>VLOOKUP(H1244,'SALE HSN MASTER'!$A$4:$E$5001,5,FALSE)</f>
        <v>12</v>
      </c>
      <c r="J1244" s="38">
        <v>15</v>
      </c>
      <c r="K1244" s="40">
        <v>4262.1000000000004</v>
      </c>
      <c r="L1244" s="41">
        <f t="shared" si="16"/>
        <v>0</v>
      </c>
      <c r="M1244" s="41">
        <f t="shared" si="17"/>
        <v>255.726</v>
      </c>
      <c r="N1244" s="41">
        <f t="shared" si="18"/>
        <v>255.726</v>
      </c>
      <c r="O1244" s="41">
        <v>0</v>
      </c>
      <c r="P1244" s="42">
        <f t="shared" si="19"/>
        <v>4773.5520000000006</v>
      </c>
      <c r="Q1244" s="34" t="s">
        <v>25</v>
      </c>
      <c r="R1244" s="34" t="str">
        <f>VLOOKUP(C1244,'SALE PARTY MASTER'!$B$4:$E$500,4,FALSE)</f>
        <v>Local</v>
      </c>
      <c r="S1244" s="11" t="s">
        <v>4107</v>
      </c>
    </row>
    <row r="1245" spans="1:19" x14ac:dyDescent="0.2">
      <c r="A1245" s="51">
        <v>43831</v>
      </c>
      <c r="B1245" s="11">
        <v>43</v>
      </c>
      <c r="C1245" s="565" t="s">
        <v>28</v>
      </c>
      <c r="F1245" s="36" t="s">
        <v>4432</v>
      </c>
      <c r="G1245" s="37">
        <v>43851</v>
      </c>
      <c r="H1245" s="564">
        <v>87089900</v>
      </c>
      <c r="I1245" s="39">
        <f>VLOOKUP(H1245,'SALE HSN MASTER'!$A$4:$E$5001,5,FALSE)</f>
        <v>28</v>
      </c>
      <c r="J1245" s="38">
        <v>12</v>
      </c>
      <c r="K1245" s="40">
        <v>23255.759999999998</v>
      </c>
      <c r="L1245" s="41">
        <f t="shared" si="16"/>
        <v>0</v>
      </c>
      <c r="M1245" s="41">
        <f t="shared" si="17"/>
        <v>3255.8063999999995</v>
      </c>
      <c r="N1245" s="41">
        <f t="shared" si="18"/>
        <v>3255.8063999999995</v>
      </c>
      <c r="O1245" s="41">
        <v>0</v>
      </c>
      <c r="P1245" s="42">
        <f t="shared" si="19"/>
        <v>29767.372799999997</v>
      </c>
      <c r="Q1245" s="34" t="s">
        <v>25</v>
      </c>
      <c r="R1245" s="34" t="str">
        <f>VLOOKUP(C1245,'SALE PARTY MASTER'!$B$4:$E$500,4,FALSE)</f>
        <v>Local</v>
      </c>
      <c r="S1245" s="11" t="s">
        <v>4105</v>
      </c>
    </row>
    <row r="1246" spans="1:19" x14ac:dyDescent="0.2">
      <c r="A1246" s="51">
        <v>43831</v>
      </c>
      <c r="B1246" s="11">
        <v>44</v>
      </c>
      <c r="C1246" s="11" t="s">
        <v>155</v>
      </c>
      <c r="F1246" s="36" t="s">
        <v>4433</v>
      </c>
      <c r="G1246" s="37">
        <v>43851</v>
      </c>
      <c r="H1246" s="564">
        <v>87142090</v>
      </c>
      <c r="I1246" s="39">
        <f>VLOOKUP(H1246,'SALE HSN MASTER'!$A$4:$E$5001,5,FALSE)</f>
        <v>28</v>
      </c>
      <c r="J1246" s="38">
        <v>800</v>
      </c>
      <c r="K1246" s="40">
        <v>60296</v>
      </c>
      <c r="L1246" s="41">
        <f t="shared" ref="L1246:L1253" si="20">+IF(R1246="Oms",K1246/100*I1246,0)</f>
        <v>0</v>
      </c>
      <c r="M1246" s="41">
        <f t="shared" ref="M1246:M1253" si="21">+IF(R1246="local",K1246/100*I1246/2,0)</f>
        <v>8441.44</v>
      </c>
      <c r="N1246" s="41">
        <f t="shared" ref="N1246:N1253" si="22">+IF(R1246="local",K1246/100*I1246/2,0)</f>
        <v>8441.44</v>
      </c>
      <c r="O1246" s="41">
        <v>0</v>
      </c>
      <c r="P1246" s="42">
        <f t="shared" ref="P1246:P1253" si="23">+O1246+N1246+M1246+L1246+K1246</f>
        <v>77178.880000000005</v>
      </c>
      <c r="Q1246" s="34" t="s">
        <v>25</v>
      </c>
      <c r="R1246" s="34" t="str">
        <f>VLOOKUP(C1246,'SALE PARTY MASTER'!$B$4:$E$500,4,FALSE)</f>
        <v>Local</v>
      </c>
      <c r="S1246" s="11" t="s">
        <v>4105</v>
      </c>
    </row>
    <row r="1247" spans="1:19" x14ac:dyDescent="0.2">
      <c r="A1247" s="972">
        <v>43831</v>
      </c>
      <c r="B1247" s="11">
        <v>45</v>
      </c>
      <c r="C1247" s="34" t="s">
        <v>224</v>
      </c>
      <c r="F1247" s="36" t="s">
        <v>4434</v>
      </c>
      <c r="G1247" s="37">
        <v>43851</v>
      </c>
      <c r="H1247" s="564" t="s">
        <v>4255</v>
      </c>
      <c r="I1247" s="39">
        <f>VLOOKUP(H1247,'SALE HSN MASTER'!$A$4:$E$5001,5,FALSE)</f>
        <v>18</v>
      </c>
      <c r="J1247" s="38">
        <v>288</v>
      </c>
      <c r="K1247" s="40">
        <v>15275.52</v>
      </c>
      <c r="L1247" s="41">
        <f t="shared" si="20"/>
        <v>0</v>
      </c>
      <c r="M1247" s="41">
        <f t="shared" si="21"/>
        <v>1374.7968000000001</v>
      </c>
      <c r="N1247" s="41">
        <f t="shared" si="22"/>
        <v>1374.7968000000001</v>
      </c>
      <c r="O1247" s="41">
        <v>0</v>
      </c>
      <c r="P1247" s="42">
        <f t="shared" si="23"/>
        <v>18025.113600000001</v>
      </c>
      <c r="Q1247" s="34" t="s">
        <v>25</v>
      </c>
      <c r="R1247" s="34" t="str">
        <f>VLOOKUP(C1247,'SALE PARTY MASTER'!$B$4:$E$500,4,FALSE)</f>
        <v>Local</v>
      </c>
      <c r="S1247" s="11" t="s">
        <v>4105</v>
      </c>
    </row>
    <row r="1248" spans="1:19" x14ac:dyDescent="0.2">
      <c r="A1248" s="972">
        <v>43831</v>
      </c>
      <c r="B1248" s="11">
        <v>46</v>
      </c>
      <c r="C1248" s="34" t="s">
        <v>224</v>
      </c>
      <c r="F1248" s="36" t="s">
        <v>4435</v>
      </c>
      <c r="G1248" s="37">
        <v>43851</v>
      </c>
      <c r="H1248" s="564" t="s">
        <v>4255</v>
      </c>
      <c r="I1248" s="39">
        <f>VLOOKUP(H1248,'SALE HSN MASTER'!$A$4:$E$5001,5,FALSE)</f>
        <v>18</v>
      </c>
      <c r="J1248" s="38">
        <v>648</v>
      </c>
      <c r="K1248" s="40">
        <v>34369.919999999998</v>
      </c>
      <c r="L1248" s="41">
        <f t="shared" si="20"/>
        <v>0</v>
      </c>
      <c r="M1248" s="41">
        <f t="shared" si="21"/>
        <v>3093.2927999999997</v>
      </c>
      <c r="N1248" s="41">
        <f t="shared" si="22"/>
        <v>3093.2927999999997</v>
      </c>
      <c r="O1248" s="41">
        <v>0</v>
      </c>
      <c r="P1248" s="42">
        <f t="shared" si="23"/>
        <v>40556.505599999997</v>
      </c>
      <c r="Q1248" s="34" t="s">
        <v>25</v>
      </c>
      <c r="R1248" s="34" t="str">
        <f>VLOOKUP(C1248,'SALE PARTY MASTER'!$B$4:$E$500,4,FALSE)</f>
        <v>Local</v>
      </c>
      <c r="S1248" s="11" t="s">
        <v>4105</v>
      </c>
    </row>
    <row r="1249" spans="1:19" x14ac:dyDescent="0.2">
      <c r="A1249" s="51">
        <v>43831</v>
      </c>
      <c r="B1249" s="11">
        <v>47</v>
      </c>
      <c r="C1249" s="565" t="s">
        <v>49</v>
      </c>
      <c r="F1249" s="36" t="s">
        <v>4436</v>
      </c>
      <c r="G1249" s="37">
        <v>43852</v>
      </c>
      <c r="H1249" s="564" t="s">
        <v>2425</v>
      </c>
      <c r="I1249" s="39">
        <f>VLOOKUP(H1249,'SALE HSN MASTER'!$A$4:$E$5001,5,FALSE)</f>
        <v>12</v>
      </c>
      <c r="J1249" s="38">
        <v>20</v>
      </c>
      <c r="K1249" s="40">
        <v>5682.8</v>
      </c>
      <c r="L1249" s="41">
        <f t="shared" si="20"/>
        <v>0</v>
      </c>
      <c r="M1249" s="41">
        <f t="shared" si="21"/>
        <v>340.96800000000002</v>
      </c>
      <c r="N1249" s="41">
        <f t="shared" si="22"/>
        <v>340.96800000000002</v>
      </c>
      <c r="O1249" s="41">
        <v>0</v>
      </c>
      <c r="P1249" s="42">
        <f t="shared" si="23"/>
        <v>6364.7359999999999</v>
      </c>
      <c r="Q1249" s="34" t="s">
        <v>25</v>
      </c>
      <c r="R1249" s="34" t="str">
        <f>VLOOKUP(C1249,'SALE PARTY MASTER'!$B$4:$E$500,4,FALSE)</f>
        <v>Local</v>
      </c>
      <c r="S1249" s="11" t="s">
        <v>4107</v>
      </c>
    </row>
    <row r="1250" spans="1:19" x14ac:dyDescent="0.2">
      <c r="A1250" s="51">
        <v>43831</v>
      </c>
      <c r="B1250" s="11">
        <v>48</v>
      </c>
      <c r="C1250" s="565" t="s">
        <v>40</v>
      </c>
      <c r="F1250" s="36" t="s">
        <v>4437</v>
      </c>
      <c r="G1250" s="37">
        <v>43853</v>
      </c>
      <c r="H1250" s="564">
        <v>87089900</v>
      </c>
      <c r="I1250" s="39">
        <f>VLOOKUP(H1250,'SALE HSN MASTER'!$A$4:$E$5001,5,FALSE)</f>
        <v>28</v>
      </c>
      <c r="J1250" s="38">
        <v>80</v>
      </c>
      <c r="K1250" s="40">
        <v>57536</v>
      </c>
      <c r="L1250" s="41">
        <f t="shared" si="20"/>
        <v>0</v>
      </c>
      <c r="M1250" s="41">
        <f t="shared" si="21"/>
        <v>8055.04</v>
      </c>
      <c r="N1250" s="41">
        <f t="shared" si="22"/>
        <v>8055.04</v>
      </c>
      <c r="O1250" s="41">
        <v>0</v>
      </c>
      <c r="P1250" s="42">
        <f t="shared" si="23"/>
        <v>73646.080000000002</v>
      </c>
      <c r="Q1250" s="34" t="s">
        <v>25</v>
      </c>
      <c r="R1250" s="34" t="str">
        <f>VLOOKUP(C1250,'SALE PARTY MASTER'!$B$4:$E$500,4,FALSE)</f>
        <v>Local</v>
      </c>
      <c r="S1250" s="11" t="s">
        <v>4105</v>
      </c>
    </row>
    <row r="1251" spans="1:19" x14ac:dyDescent="0.2">
      <c r="A1251" s="972">
        <v>43831</v>
      </c>
      <c r="B1251" s="11">
        <v>49</v>
      </c>
      <c r="C1251" s="34" t="s">
        <v>224</v>
      </c>
      <c r="F1251" s="36" t="s">
        <v>4438</v>
      </c>
      <c r="G1251" s="37">
        <v>43853</v>
      </c>
      <c r="H1251" s="564" t="s">
        <v>4255</v>
      </c>
      <c r="I1251" s="39">
        <f>VLOOKUP(H1251,'SALE HSN MASTER'!$A$4:$E$5001,5,FALSE)</f>
        <v>18</v>
      </c>
      <c r="J1251" s="38">
        <v>504</v>
      </c>
      <c r="K1251" s="40">
        <v>26732.16</v>
      </c>
      <c r="L1251" s="41">
        <f t="shared" si="20"/>
        <v>0</v>
      </c>
      <c r="M1251" s="41">
        <f t="shared" si="21"/>
        <v>2405.8944000000001</v>
      </c>
      <c r="N1251" s="41">
        <f t="shared" si="22"/>
        <v>2405.8944000000001</v>
      </c>
      <c r="O1251" s="41">
        <v>0</v>
      </c>
      <c r="P1251" s="42">
        <f t="shared" si="23"/>
        <v>31543.948799999998</v>
      </c>
      <c r="Q1251" s="34" t="s">
        <v>25</v>
      </c>
      <c r="R1251" s="34" t="str">
        <f>VLOOKUP(C1251,'SALE PARTY MASTER'!$B$4:$E$500,4,FALSE)</f>
        <v>Local</v>
      </c>
      <c r="S1251" s="11" t="s">
        <v>4105</v>
      </c>
    </row>
    <row r="1252" spans="1:19" x14ac:dyDescent="0.2">
      <c r="A1252" s="972">
        <v>43831</v>
      </c>
      <c r="B1252" s="11">
        <v>50</v>
      </c>
      <c r="C1252" s="565" t="s">
        <v>124</v>
      </c>
      <c r="F1252" s="36" t="s">
        <v>4439</v>
      </c>
      <c r="G1252" s="37">
        <v>43854</v>
      </c>
      <c r="H1252" s="564" t="s">
        <v>2425</v>
      </c>
      <c r="I1252" s="39">
        <f>VLOOKUP(H1252,'SALE HSN MASTER'!$A$4:$E$5001,5,FALSE)</f>
        <v>12</v>
      </c>
      <c r="J1252" s="38">
        <v>2000</v>
      </c>
      <c r="K1252" s="40">
        <v>172000</v>
      </c>
      <c r="L1252" s="41">
        <f t="shared" si="20"/>
        <v>0</v>
      </c>
      <c r="M1252" s="41">
        <f t="shared" si="21"/>
        <v>10320</v>
      </c>
      <c r="N1252" s="41">
        <f t="shared" si="22"/>
        <v>10320</v>
      </c>
      <c r="O1252" s="41">
        <v>0</v>
      </c>
      <c r="P1252" s="42">
        <f t="shared" si="23"/>
        <v>192640</v>
      </c>
      <c r="Q1252" s="34" t="s">
        <v>25</v>
      </c>
      <c r="R1252" s="34" t="str">
        <f>VLOOKUP(C1252,'SALE PARTY MASTER'!$B$4:$E$500,4,FALSE)</f>
        <v>Local</v>
      </c>
      <c r="S1252" s="11" t="s">
        <v>4107</v>
      </c>
    </row>
    <row r="1253" spans="1:19" x14ac:dyDescent="0.2">
      <c r="A1253" s="972">
        <v>43831</v>
      </c>
      <c r="B1253" s="11">
        <v>51</v>
      </c>
      <c r="C1253" s="34" t="s">
        <v>224</v>
      </c>
      <c r="F1253" s="36" t="s">
        <v>4440</v>
      </c>
      <c r="G1253" s="37">
        <v>43854</v>
      </c>
      <c r="H1253" s="564" t="s">
        <v>4255</v>
      </c>
      <c r="I1253" s="39">
        <f>VLOOKUP(H1253,'SALE HSN MASTER'!$A$4:$E$5001,5,FALSE)</f>
        <v>18</v>
      </c>
      <c r="J1253" s="38">
        <v>744</v>
      </c>
      <c r="K1253" s="40">
        <v>39461.760000000002</v>
      </c>
      <c r="L1253" s="41">
        <f t="shared" si="20"/>
        <v>0</v>
      </c>
      <c r="M1253" s="41">
        <f t="shared" si="21"/>
        <v>3551.5584000000003</v>
      </c>
      <c r="N1253" s="41">
        <f t="shared" si="22"/>
        <v>3551.5584000000003</v>
      </c>
      <c r="O1253" s="41">
        <v>0</v>
      </c>
      <c r="P1253" s="42">
        <f t="shared" si="23"/>
        <v>46564.876800000005</v>
      </c>
      <c r="Q1253" s="34" t="s">
        <v>25</v>
      </c>
      <c r="R1253" s="34" t="str">
        <f>VLOOKUP(C1253,'SALE PARTY MASTER'!$B$4:$E$500,4,FALSE)</f>
        <v>Local</v>
      </c>
      <c r="S1253" s="11" t="s">
        <v>4105</v>
      </c>
    </row>
    <row r="1254" spans="1:19" x14ac:dyDescent="0.2">
      <c r="I1254" s="39" t="e">
        <f>VLOOKUP(H1254,'SALE HSN MASTER'!$A$4:$E$5001,5,FALSE)</f>
        <v>#N/A</v>
      </c>
    </row>
    <row r="1255" spans="1:19" x14ac:dyDescent="0.2">
      <c r="I1255" s="39" t="e">
        <f>VLOOKUP(H1255,'SALE HSN MASTER'!$A$4:$E$5001,5,FALSE)</f>
        <v>#N/A</v>
      </c>
    </row>
    <row r="1256" spans="1:19" x14ac:dyDescent="0.2">
      <c r="I1256" s="39" t="e">
        <f>VLOOKUP(H1256,'SALE HSN MASTER'!$A$4:$E$5001,5,FALSE)</f>
        <v>#N/A</v>
      </c>
    </row>
    <row r="1257" spans="1:19" x14ac:dyDescent="0.2">
      <c r="I1257" s="39" t="e">
        <f>VLOOKUP(H1257,'SALE HSN MASTER'!$A$4:$E$5001,5,FALSE)</f>
        <v>#N/A</v>
      </c>
    </row>
    <row r="1258" spans="1:19" x14ac:dyDescent="0.2">
      <c r="I1258" s="39" t="e">
        <f>VLOOKUP(H1258,'SALE HSN MASTER'!$A$4:$E$5001,5,FALSE)</f>
        <v>#N/A</v>
      </c>
    </row>
    <row r="1259" spans="1:19" x14ac:dyDescent="0.2">
      <c r="I1259" s="39" t="e">
        <f>VLOOKUP(H1259,'SALE HSN MASTER'!$A$4:$E$5001,5,FALSE)</f>
        <v>#N/A</v>
      </c>
    </row>
    <row r="1260" spans="1:19" x14ac:dyDescent="0.2">
      <c r="I1260" s="39" t="e">
        <f>VLOOKUP(H1260,'SALE HSN MASTER'!$A$4:$E$5001,5,FALSE)</f>
        <v>#N/A</v>
      </c>
    </row>
    <row r="1261" spans="1:19" x14ac:dyDescent="0.2">
      <c r="I1261" s="39" t="e">
        <f>VLOOKUP(H1261,'SALE HSN MASTER'!$A$4:$E$5001,5,FALSE)</f>
        <v>#N/A</v>
      </c>
    </row>
    <row r="1262" spans="1:19" x14ac:dyDescent="0.2">
      <c r="I1262" s="39" t="e">
        <f>VLOOKUP(H1262,'SALE HSN MASTER'!$A$4:$E$5001,5,FALSE)</f>
        <v>#N/A</v>
      </c>
    </row>
    <row r="1263" spans="1:19" x14ac:dyDescent="0.2">
      <c r="I1263" s="39" t="e">
        <f>VLOOKUP(H1263,'SALE HSN MASTER'!$A$4:$E$5001,5,FALSE)</f>
        <v>#N/A</v>
      </c>
    </row>
    <row r="1264" spans="1:19" x14ac:dyDescent="0.2">
      <c r="I1264" s="39" t="e">
        <f>VLOOKUP(H1264,'SALE HSN MASTER'!$A$4:$E$5001,5,FALSE)</f>
        <v>#N/A</v>
      </c>
    </row>
    <row r="1265" spans="9:9" x14ac:dyDescent="0.2">
      <c r="I1265" s="39" t="e">
        <f>VLOOKUP(H1265,'SALE HSN MASTER'!$A$4:$E$5001,5,FALSE)</f>
        <v>#N/A</v>
      </c>
    </row>
    <row r="1266" spans="9:9" x14ac:dyDescent="0.2">
      <c r="I1266" s="39" t="e">
        <f>VLOOKUP(H1266,'SALE HSN MASTER'!$A$4:$E$5001,5,FALSE)</f>
        <v>#N/A</v>
      </c>
    </row>
    <row r="1267" spans="9:9" x14ac:dyDescent="0.2">
      <c r="I1267" s="39" t="e">
        <f>VLOOKUP(H1267,'SALE HSN MASTER'!$A$4:$E$5001,5,FALSE)</f>
        <v>#N/A</v>
      </c>
    </row>
    <row r="1268" spans="9:9" x14ac:dyDescent="0.2">
      <c r="I1268" s="39" t="e">
        <f>VLOOKUP(H1268,'SALE HSN MASTER'!$A$4:$E$5001,5,FALSE)</f>
        <v>#N/A</v>
      </c>
    </row>
    <row r="1269" spans="9:9" x14ac:dyDescent="0.2">
      <c r="I1269" s="39" t="e">
        <f>VLOOKUP(H1269,'SALE HSN MASTER'!$A$4:$E$5001,5,FALSE)</f>
        <v>#N/A</v>
      </c>
    </row>
    <row r="1270" spans="9:9" x14ac:dyDescent="0.2">
      <c r="I1270" s="39" t="e">
        <f>VLOOKUP(H1270,'SALE HSN MASTER'!$A$4:$E$5001,5,FALSE)</f>
        <v>#N/A</v>
      </c>
    </row>
    <row r="1271" spans="9:9" x14ac:dyDescent="0.2">
      <c r="I1271" s="39" t="e">
        <f>VLOOKUP(H1271,'SALE HSN MASTER'!$A$4:$E$5001,5,FALSE)</f>
        <v>#N/A</v>
      </c>
    </row>
    <row r="1272" spans="9:9" x14ac:dyDescent="0.2">
      <c r="I1272" s="39" t="e">
        <f>VLOOKUP(H1272,'SALE HSN MASTER'!$A$4:$E$5001,5,FALSE)</f>
        <v>#N/A</v>
      </c>
    </row>
    <row r="1273" spans="9:9" x14ac:dyDescent="0.2">
      <c r="I1273" s="39" t="e">
        <f>VLOOKUP(H1273,'SALE HSN MASTER'!$A$4:$E$5001,5,FALSE)</f>
        <v>#N/A</v>
      </c>
    </row>
    <row r="1274" spans="9:9" x14ac:dyDescent="0.2">
      <c r="I1274" s="39" t="e">
        <f>VLOOKUP(H1274,'SALE HSN MASTER'!$A$4:$E$5001,5,FALSE)</f>
        <v>#N/A</v>
      </c>
    </row>
    <row r="1275" spans="9:9" x14ac:dyDescent="0.2">
      <c r="I1275" s="39" t="e">
        <f>VLOOKUP(H1275,'SALE HSN MASTER'!$A$4:$E$5001,5,FALSE)</f>
        <v>#N/A</v>
      </c>
    </row>
    <row r="1276" spans="9:9" x14ac:dyDescent="0.2">
      <c r="I1276" s="39" t="e">
        <f>VLOOKUP(H1276,'SALE HSN MASTER'!$A$4:$E$5001,5,FALSE)</f>
        <v>#N/A</v>
      </c>
    </row>
    <row r="1277" spans="9:9" x14ac:dyDescent="0.2">
      <c r="I1277" s="39" t="e">
        <f>VLOOKUP(H1277,'SALE HSN MASTER'!$A$4:$E$5001,5,FALSE)</f>
        <v>#N/A</v>
      </c>
    </row>
    <row r="1278" spans="9:9" x14ac:dyDescent="0.2">
      <c r="I1278" s="39" t="e">
        <f>VLOOKUP(H1278,'SALE HSN MASTER'!$A$4:$E$5001,5,FALSE)</f>
        <v>#N/A</v>
      </c>
    </row>
    <row r="1279" spans="9:9" x14ac:dyDescent="0.2">
      <c r="I1279" s="39" t="e">
        <f>VLOOKUP(H1279,'SALE HSN MASTER'!$A$4:$E$5001,5,FALSE)</f>
        <v>#N/A</v>
      </c>
    </row>
    <row r="1280" spans="9:9" x14ac:dyDescent="0.2">
      <c r="I1280" s="39" t="e">
        <f>VLOOKUP(H1280,'SALE HSN MASTER'!$A$4:$E$5001,5,FALSE)</f>
        <v>#N/A</v>
      </c>
    </row>
  </sheetData>
  <mergeCells count="7">
    <mergeCell ref="L4:O4"/>
    <mergeCell ref="Q4:R4"/>
    <mergeCell ref="I4:I5"/>
    <mergeCell ref="E4:G4"/>
    <mergeCell ref="A2:R2"/>
    <mergeCell ref="A3:R3"/>
    <mergeCell ref="A4:A5"/>
  </mergeCells>
  <conditionalFormatting sqref="H1213">
    <cfRule type="cellIs" dxfId="823" priority="3" operator="lessThan">
      <formula>84795000</formula>
    </cfRule>
  </conditionalFormatting>
  <conditionalFormatting sqref="H1214">
    <cfRule type="cellIs" dxfId="822" priority="2" operator="lessThan">
      <formula>84795000</formula>
    </cfRule>
  </conditionalFormatting>
  <conditionalFormatting sqref="H1215">
    <cfRule type="cellIs" dxfId="821" priority="1" operator="lessThan">
      <formula>84795000</formula>
    </cfRule>
  </conditionalFormatting>
  <dataValidations count="1">
    <dataValidation type="list" allowBlank="1" showInputMessage="1" showErrorMessage="1" sqref="C1242 C1247:C1248 C1251 C1253 C1226 C1221 C1200 C1144 C1141">
      <formula1>$B$4:$B$71</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'MASTER SALE PUR TYPE'!$C$3:$C$15</xm:f>
          </x14:formula1>
          <xm:sqref>E4:E170 E357:E358 E541 E722</xm:sqref>
        </x14:dataValidation>
        <x14:dataValidation type="list" allowBlank="1" showInputMessage="1" showErrorMessage="1">
          <x14:formula1>
            <xm:f>'MASTER SALE PUR TYPE'!$B$3:$B$50</xm:f>
          </x14:formula1>
          <xm:sqref>Q6:Q170 Q357:Q358 Q532:Q541 Q722:Q729 Q864:Q870 Q987:Q993 Q731:Q862 Q995:Q1088 Q1090:Q1253</xm:sqref>
        </x14:dataValidation>
        <x14:dataValidation type="list" allowBlank="1" showInputMessage="1" showErrorMessage="1">
          <x14:formula1>
            <xm:f>'SALE PARTY MASTER'!$B$4:$B$70</xm:f>
          </x14:formula1>
          <xm:sqref>C1 C6:C1089 C1254:C1048576</xm:sqref>
        </x14:dataValidation>
        <x14:dataValidation type="list" allowBlank="1" showInputMessage="1" showErrorMessage="1">
          <x14:formula1>
            <xm:f>'MASTER SALE PUR TYPE'!$C$3:$C$21</xm:f>
          </x14:formula1>
          <xm:sqref>E995:E1088 E1090:E1117</xm:sqref>
        </x14:dataValidation>
        <x14:dataValidation type="list" allowBlank="1" showInputMessage="1" showErrorMessage="1">
          <x14:formula1>
            <xm:f>'SALE HSN MASTER'!$A$4:$A$56</xm:f>
          </x14:formula1>
          <xm:sqref>H995</xm:sqref>
        </x14:dataValidation>
        <x14:dataValidation type="list" allowBlank="1" showInputMessage="1" showErrorMessage="1">
          <x14:formula1>
            <xm:f>'MASTER SALE PUR TYPE'!$I$3:$I$38</xm:f>
          </x14:formula1>
          <xm:sqref>S6:S1253</xm:sqref>
        </x14:dataValidation>
        <x14:dataValidation type="list" allowBlank="1" showInputMessage="1" showErrorMessage="1">
          <x14:formula1>
            <xm:f>'[1]SALE PARTY MASTER'!#REF!</xm:f>
          </x14:formula1>
          <xm:sqref>C1090:C1140 C1142:C1143 C1145:C1199 C1201:C1212 C1216:C1220 C1222:C1225 C1227:C1241 C1243:C1246 C1249:C1250 C1252</xm:sqref>
        </x14:dataValidation>
        <x14:dataValidation type="list" allowBlank="1" showInputMessage="1" showErrorMessage="1">
          <x14:formula1>
            <xm:f>'[2]SALE HSN MASTER'!#REF!</xm:f>
          </x14:formula1>
          <xm:sqref>H1090:H1220 H1222:H1253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13"/>
  <sheetViews>
    <sheetView workbookViewId="0">
      <selection sqref="A1:A2"/>
    </sheetView>
  </sheetViews>
  <sheetFormatPr defaultRowHeight="10.199999999999999" x14ac:dyDescent="0.2"/>
  <cols>
    <col min="1" max="1" width="6.77734375" style="11" bestFit="1" customWidth="1"/>
    <col min="2" max="2" width="5.88671875" style="11" bestFit="1" customWidth="1"/>
    <col min="3" max="3" width="23.33203125" style="11" customWidth="1"/>
    <col min="4" max="4" width="17.6640625" style="11" customWidth="1"/>
    <col min="5" max="6" width="8.88671875" style="11"/>
    <col min="7" max="7" width="16.6640625" style="11" customWidth="1"/>
    <col min="8" max="8" width="10.5546875" style="11" customWidth="1"/>
    <col min="9" max="9" width="10.44140625" style="11" bestFit="1" customWidth="1"/>
    <col min="10" max="10" width="10.44140625" style="11" customWidth="1"/>
    <col min="11" max="11" width="5.44140625" style="11" customWidth="1"/>
    <col min="12" max="13" width="9.33203125" style="11" bestFit="1" customWidth="1"/>
    <col min="14" max="14" width="5.5546875" style="11" bestFit="1" customWidth="1"/>
    <col min="15" max="16384" width="8.88671875" style="11"/>
  </cols>
  <sheetData>
    <row r="1" spans="1:15" ht="10.199999999999999" customHeight="1" x14ac:dyDescent="0.2">
      <c r="A1" s="1231" t="s">
        <v>2</v>
      </c>
      <c r="B1" s="1228" t="s">
        <v>3</v>
      </c>
      <c r="C1" s="1231" t="s">
        <v>234</v>
      </c>
      <c r="D1" s="1231" t="s">
        <v>235</v>
      </c>
      <c r="E1" s="1218" t="s">
        <v>3341</v>
      </c>
      <c r="F1" s="1229" t="s">
        <v>3342</v>
      </c>
      <c r="G1" s="1218" t="s">
        <v>7</v>
      </c>
      <c r="H1" s="1225" t="s">
        <v>8</v>
      </c>
      <c r="I1" s="1218" t="s">
        <v>315</v>
      </c>
      <c r="J1" s="1227" t="s">
        <v>330</v>
      </c>
      <c r="K1" s="1228" t="s">
        <v>12</v>
      </c>
      <c r="L1" s="1228"/>
      <c r="M1" s="994"/>
      <c r="N1" s="994"/>
      <c r="O1" s="19" t="s">
        <v>3753</v>
      </c>
    </row>
    <row r="2" spans="1:15" ht="21.75" customHeight="1" x14ac:dyDescent="0.2">
      <c r="A2" s="1218"/>
      <c r="B2" s="994"/>
      <c r="C2" s="1218"/>
      <c r="D2" s="1218"/>
      <c r="E2" s="994"/>
      <c r="F2" s="1230"/>
      <c r="G2" s="994"/>
      <c r="H2" s="1226"/>
      <c r="I2" s="994"/>
      <c r="J2" s="997"/>
      <c r="K2" s="19" t="s">
        <v>16</v>
      </c>
      <c r="L2" s="19" t="s">
        <v>17</v>
      </c>
      <c r="M2" s="19" t="s">
        <v>18</v>
      </c>
      <c r="N2" s="19" t="s">
        <v>19</v>
      </c>
      <c r="O2" s="19" t="s">
        <v>3754</v>
      </c>
    </row>
    <row r="3" spans="1:15" x14ac:dyDescent="0.2">
      <c r="A3" s="23">
        <v>43556</v>
      </c>
      <c r="B3" s="129">
        <v>1</v>
      </c>
      <c r="C3" s="25" t="s">
        <v>471</v>
      </c>
      <c r="D3" s="34" t="s">
        <v>29</v>
      </c>
      <c r="E3" s="130" t="s">
        <v>25</v>
      </c>
      <c r="F3" s="74" t="s">
        <v>22</v>
      </c>
      <c r="G3" s="131">
        <v>192000007</v>
      </c>
      <c r="H3" s="639">
        <v>43556</v>
      </c>
      <c r="I3" s="30">
        <v>17483.52</v>
      </c>
      <c r="J3" s="640">
        <f>+K3+L3+M3+N3</f>
        <v>4895.3856000000005</v>
      </c>
      <c r="K3" s="641">
        <v>0</v>
      </c>
      <c r="L3" s="41">
        <v>2447.6928000000003</v>
      </c>
      <c r="M3" s="41">
        <v>2447.6928000000003</v>
      </c>
      <c r="N3" s="41">
        <v>0</v>
      </c>
      <c r="O3" s="54">
        <f>+I3+J3</f>
        <v>22378.905600000002</v>
      </c>
    </row>
    <row r="4" spans="1:15" x14ac:dyDescent="0.2">
      <c r="A4" s="33">
        <v>43556</v>
      </c>
      <c r="B4" s="129">
        <v>2</v>
      </c>
      <c r="C4" s="35" t="s">
        <v>471</v>
      </c>
      <c r="D4" s="34" t="s">
        <v>29</v>
      </c>
      <c r="E4" s="133" t="s">
        <v>25</v>
      </c>
      <c r="F4" s="74" t="s">
        <v>22</v>
      </c>
      <c r="G4" s="134">
        <v>192000008</v>
      </c>
      <c r="H4" s="642">
        <v>43556</v>
      </c>
      <c r="I4" s="40">
        <v>17483.52</v>
      </c>
      <c r="J4" s="640">
        <f t="shared" ref="J4:J67" si="0">+K4+L4+M4+N4</f>
        <v>4895.3856000000005</v>
      </c>
      <c r="K4" s="641">
        <v>0</v>
      </c>
      <c r="L4" s="41">
        <v>2447.6928000000003</v>
      </c>
      <c r="M4" s="41">
        <v>2447.6928000000003</v>
      </c>
      <c r="N4" s="41">
        <v>0</v>
      </c>
      <c r="O4" s="54">
        <f t="shared" ref="O4:O67" si="1">+I4+J4</f>
        <v>22378.905600000002</v>
      </c>
    </row>
    <row r="5" spans="1:15" x14ac:dyDescent="0.2">
      <c r="A5" s="33">
        <v>43556</v>
      </c>
      <c r="B5" s="11">
        <v>3</v>
      </c>
      <c r="C5" s="35" t="s">
        <v>471</v>
      </c>
      <c r="D5" s="34" t="s">
        <v>29</v>
      </c>
      <c r="E5" s="133" t="s">
        <v>25</v>
      </c>
      <c r="F5" s="74" t="s">
        <v>22</v>
      </c>
      <c r="G5" s="134">
        <v>192000022</v>
      </c>
      <c r="H5" s="642">
        <v>43556</v>
      </c>
      <c r="I5" s="40">
        <v>17483.52</v>
      </c>
      <c r="J5" s="640">
        <f t="shared" si="0"/>
        <v>4895.3856000000005</v>
      </c>
      <c r="K5" s="641">
        <v>0</v>
      </c>
      <c r="L5" s="41">
        <v>2447.6928000000003</v>
      </c>
      <c r="M5" s="41">
        <v>2447.6928000000003</v>
      </c>
      <c r="N5" s="41">
        <v>0</v>
      </c>
      <c r="O5" s="54">
        <f t="shared" si="1"/>
        <v>22378.905600000002</v>
      </c>
    </row>
    <row r="6" spans="1:15" x14ac:dyDescent="0.2">
      <c r="A6" s="33">
        <v>43556</v>
      </c>
      <c r="B6" s="11">
        <v>4</v>
      </c>
      <c r="C6" s="35" t="s">
        <v>471</v>
      </c>
      <c r="D6" s="34" t="s">
        <v>29</v>
      </c>
      <c r="E6" s="133" t="s">
        <v>25</v>
      </c>
      <c r="F6" s="74" t="s">
        <v>22</v>
      </c>
      <c r="G6" s="134">
        <v>192000028</v>
      </c>
      <c r="H6" s="642">
        <v>43556</v>
      </c>
      <c r="I6" s="40">
        <v>17483.52</v>
      </c>
      <c r="J6" s="640">
        <f t="shared" si="0"/>
        <v>4895.3856000000005</v>
      </c>
      <c r="K6" s="641">
        <v>0</v>
      </c>
      <c r="L6" s="41">
        <v>2447.6928000000003</v>
      </c>
      <c r="M6" s="41">
        <v>2447.6928000000003</v>
      </c>
      <c r="N6" s="41">
        <v>0</v>
      </c>
      <c r="O6" s="54">
        <f t="shared" si="1"/>
        <v>22378.905600000002</v>
      </c>
    </row>
    <row r="7" spans="1:15" x14ac:dyDescent="0.2">
      <c r="A7" s="33">
        <v>43556</v>
      </c>
      <c r="B7" s="11">
        <v>5</v>
      </c>
      <c r="C7" s="35" t="s">
        <v>472</v>
      </c>
      <c r="D7" s="34" t="s">
        <v>21</v>
      </c>
      <c r="E7" s="133" t="s">
        <v>25</v>
      </c>
      <c r="F7" s="74" t="s">
        <v>22</v>
      </c>
      <c r="G7" s="134">
        <v>2041211093</v>
      </c>
      <c r="H7" s="642">
        <v>43557</v>
      </c>
      <c r="I7" s="40">
        <v>3708</v>
      </c>
      <c r="J7" s="640">
        <f t="shared" si="0"/>
        <v>1038.24</v>
      </c>
      <c r="K7" s="641">
        <v>0</v>
      </c>
      <c r="L7" s="41">
        <v>519.12</v>
      </c>
      <c r="M7" s="41">
        <v>519.12</v>
      </c>
      <c r="N7" s="41">
        <v>0</v>
      </c>
      <c r="O7" s="54">
        <f t="shared" si="1"/>
        <v>4746.24</v>
      </c>
    </row>
    <row r="8" spans="1:15" x14ac:dyDescent="0.2">
      <c r="A8" s="33">
        <v>43556</v>
      </c>
      <c r="B8" s="11">
        <v>6</v>
      </c>
      <c r="C8" s="35" t="s">
        <v>472</v>
      </c>
      <c r="D8" s="34" t="s">
        <v>21</v>
      </c>
      <c r="E8" s="133" t="s">
        <v>25</v>
      </c>
      <c r="F8" s="74" t="s">
        <v>22</v>
      </c>
      <c r="G8" s="134">
        <v>2041211094</v>
      </c>
      <c r="H8" s="642">
        <v>43557</v>
      </c>
      <c r="I8" s="40">
        <v>7416</v>
      </c>
      <c r="J8" s="640">
        <f t="shared" si="0"/>
        <v>2076.48</v>
      </c>
      <c r="K8" s="641">
        <v>0</v>
      </c>
      <c r="L8" s="41">
        <v>1038.24</v>
      </c>
      <c r="M8" s="41">
        <v>1038.24</v>
      </c>
      <c r="N8" s="41">
        <v>0</v>
      </c>
      <c r="O8" s="54">
        <f t="shared" si="1"/>
        <v>9492.48</v>
      </c>
    </row>
    <row r="9" spans="1:15" x14ac:dyDescent="0.2">
      <c r="A9" s="33">
        <v>43556</v>
      </c>
      <c r="B9" s="11">
        <v>7</v>
      </c>
      <c r="C9" s="35" t="s">
        <v>472</v>
      </c>
      <c r="D9" s="34" t="s">
        <v>21</v>
      </c>
      <c r="E9" s="133" t="s">
        <v>25</v>
      </c>
      <c r="F9" s="74" t="s">
        <v>22</v>
      </c>
      <c r="G9" s="134">
        <v>2041211095</v>
      </c>
      <c r="H9" s="642">
        <v>43557</v>
      </c>
      <c r="I9" s="40">
        <v>3708</v>
      </c>
      <c r="J9" s="640">
        <f t="shared" si="0"/>
        <v>1038.24</v>
      </c>
      <c r="K9" s="641">
        <v>0</v>
      </c>
      <c r="L9" s="41">
        <v>519.12</v>
      </c>
      <c r="M9" s="41">
        <v>519.12</v>
      </c>
      <c r="N9" s="41">
        <v>0</v>
      </c>
      <c r="O9" s="54">
        <f t="shared" si="1"/>
        <v>4746.24</v>
      </c>
    </row>
    <row r="10" spans="1:15" x14ac:dyDescent="0.2">
      <c r="A10" s="33">
        <v>43556</v>
      </c>
      <c r="B10" s="11">
        <v>8</v>
      </c>
      <c r="C10" s="35" t="s">
        <v>472</v>
      </c>
      <c r="D10" s="34" t="s">
        <v>21</v>
      </c>
      <c r="E10" s="133" t="s">
        <v>25</v>
      </c>
      <c r="F10" s="74" t="s">
        <v>22</v>
      </c>
      <c r="G10" s="134">
        <v>2041211413</v>
      </c>
      <c r="H10" s="642">
        <v>43558</v>
      </c>
      <c r="I10" s="40">
        <v>3708</v>
      </c>
      <c r="J10" s="640">
        <f t="shared" si="0"/>
        <v>1038.24</v>
      </c>
      <c r="K10" s="641">
        <v>0</v>
      </c>
      <c r="L10" s="41">
        <v>519.12</v>
      </c>
      <c r="M10" s="41">
        <v>519.12</v>
      </c>
      <c r="N10" s="41">
        <v>0</v>
      </c>
      <c r="O10" s="54">
        <f t="shared" si="1"/>
        <v>4746.24</v>
      </c>
    </row>
    <row r="11" spans="1:15" x14ac:dyDescent="0.2">
      <c r="A11" s="33">
        <v>43556</v>
      </c>
      <c r="B11" s="11">
        <v>9</v>
      </c>
      <c r="C11" s="35" t="s">
        <v>472</v>
      </c>
      <c r="D11" s="34" t="s">
        <v>21</v>
      </c>
      <c r="E11" s="133" t="s">
        <v>25</v>
      </c>
      <c r="F11" s="74" t="s">
        <v>22</v>
      </c>
      <c r="G11" s="134">
        <v>2041211414</v>
      </c>
      <c r="H11" s="642">
        <v>43558</v>
      </c>
      <c r="I11" s="40">
        <v>3708</v>
      </c>
      <c r="J11" s="640">
        <f t="shared" si="0"/>
        <v>1038.24</v>
      </c>
      <c r="K11" s="641">
        <v>0</v>
      </c>
      <c r="L11" s="41">
        <v>519.12</v>
      </c>
      <c r="M11" s="41">
        <v>519.12</v>
      </c>
      <c r="N11" s="41">
        <v>0</v>
      </c>
      <c r="O11" s="54">
        <f t="shared" si="1"/>
        <v>4746.24</v>
      </c>
    </row>
    <row r="12" spans="1:15" x14ac:dyDescent="0.2">
      <c r="A12" s="33">
        <v>43556</v>
      </c>
      <c r="B12" s="11">
        <v>10</v>
      </c>
      <c r="C12" s="35" t="s">
        <v>473</v>
      </c>
      <c r="D12" s="34" t="s">
        <v>41</v>
      </c>
      <c r="E12" s="133" t="s">
        <v>25</v>
      </c>
      <c r="F12" s="74" t="s">
        <v>22</v>
      </c>
      <c r="G12" s="136" t="s">
        <v>474</v>
      </c>
      <c r="H12" s="642">
        <v>43559</v>
      </c>
      <c r="I12" s="40">
        <v>3847.2</v>
      </c>
      <c r="J12" s="640">
        <f t="shared" si="0"/>
        <v>1077.2160000000001</v>
      </c>
      <c r="K12" s="641">
        <v>0</v>
      </c>
      <c r="L12" s="41">
        <v>538.60800000000006</v>
      </c>
      <c r="M12" s="41">
        <v>538.60800000000006</v>
      </c>
      <c r="N12" s="41">
        <v>0</v>
      </c>
      <c r="O12" s="54">
        <f t="shared" si="1"/>
        <v>4924.4160000000002</v>
      </c>
    </row>
    <row r="13" spans="1:15" x14ac:dyDescent="0.2">
      <c r="A13" s="33">
        <v>43556</v>
      </c>
      <c r="B13" s="11">
        <v>11</v>
      </c>
      <c r="C13" s="35" t="s">
        <v>473</v>
      </c>
      <c r="D13" s="34" t="s">
        <v>41</v>
      </c>
      <c r="E13" s="133" t="s">
        <v>25</v>
      </c>
      <c r="F13" s="74" t="s">
        <v>22</v>
      </c>
      <c r="G13" s="136" t="s">
        <v>475</v>
      </c>
      <c r="H13" s="642">
        <v>43559</v>
      </c>
      <c r="I13" s="40">
        <v>6223.2</v>
      </c>
      <c r="J13" s="640">
        <f t="shared" si="0"/>
        <v>1742.4960000000001</v>
      </c>
      <c r="K13" s="641">
        <v>0</v>
      </c>
      <c r="L13" s="41">
        <v>871.24800000000005</v>
      </c>
      <c r="M13" s="41">
        <v>871.24800000000005</v>
      </c>
      <c r="N13" s="41">
        <v>0</v>
      </c>
      <c r="O13" s="54">
        <f t="shared" si="1"/>
        <v>7965.6959999999999</v>
      </c>
    </row>
    <row r="14" spans="1:15" x14ac:dyDescent="0.2">
      <c r="A14" s="34"/>
      <c r="B14" s="11">
        <v>12</v>
      </c>
      <c r="C14" s="35"/>
      <c r="D14" s="34" t="e">
        <v>#N/A</v>
      </c>
      <c r="E14" s="133" t="s">
        <v>25</v>
      </c>
      <c r="F14" s="74" t="s">
        <v>22</v>
      </c>
      <c r="G14" s="136"/>
      <c r="H14" s="642"/>
      <c r="I14" s="40"/>
      <c r="J14" s="640">
        <f t="shared" si="0"/>
        <v>0</v>
      </c>
      <c r="K14" s="641">
        <v>0</v>
      </c>
      <c r="L14" s="41">
        <v>0</v>
      </c>
      <c r="M14" s="41">
        <v>0</v>
      </c>
      <c r="N14" s="41">
        <v>0</v>
      </c>
      <c r="O14" s="54">
        <f t="shared" si="1"/>
        <v>0</v>
      </c>
    </row>
    <row r="15" spans="1:15" x14ac:dyDescent="0.2">
      <c r="A15" s="33">
        <v>43556</v>
      </c>
      <c r="B15" s="11">
        <v>13</v>
      </c>
      <c r="C15" s="35" t="s">
        <v>476</v>
      </c>
      <c r="D15" s="34" t="s">
        <v>477</v>
      </c>
      <c r="E15" s="133" t="s">
        <v>25</v>
      </c>
      <c r="F15" s="74" t="s">
        <v>22</v>
      </c>
      <c r="G15" s="134" t="s">
        <v>478</v>
      </c>
      <c r="H15" s="642">
        <v>43556</v>
      </c>
      <c r="I15" s="40">
        <v>376945</v>
      </c>
      <c r="J15" s="640">
        <f t="shared" si="0"/>
        <v>105544.59999999999</v>
      </c>
      <c r="K15" s="641">
        <v>0</v>
      </c>
      <c r="L15" s="41">
        <v>52772.299999999996</v>
      </c>
      <c r="M15" s="41">
        <v>52772.299999999996</v>
      </c>
      <c r="N15" s="41">
        <v>0</v>
      </c>
      <c r="O15" s="54">
        <f t="shared" si="1"/>
        <v>482489.59999999998</v>
      </c>
    </row>
    <row r="16" spans="1:15" x14ac:dyDescent="0.2">
      <c r="A16" s="34"/>
      <c r="B16" s="11">
        <v>14</v>
      </c>
      <c r="C16" s="35"/>
      <c r="D16" s="34" t="e">
        <v>#N/A</v>
      </c>
      <c r="E16" s="133" t="s">
        <v>25</v>
      </c>
      <c r="F16" s="74" t="s">
        <v>22</v>
      </c>
      <c r="G16" s="134"/>
      <c r="H16" s="642"/>
      <c r="I16" s="40"/>
      <c r="J16" s="640">
        <f t="shared" si="0"/>
        <v>0</v>
      </c>
      <c r="K16" s="641">
        <v>0</v>
      </c>
      <c r="L16" s="41">
        <v>0</v>
      </c>
      <c r="M16" s="41">
        <v>0</v>
      </c>
      <c r="N16" s="41">
        <v>0</v>
      </c>
      <c r="O16" s="54">
        <f t="shared" si="1"/>
        <v>0</v>
      </c>
    </row>
    <row r="17" spans="1:15" x14ac:dyDescent="0.2">
      <c r="A17" s="33">
        <v>43556</v>
      </c>
      <c r="B17" s="11">
        <v>15</v>
      </c>
      <c r="C17" s="35" t="s">
        <v>479</v>
      </c>
      <c r="D17" s="34" t="s">
        <v>480</v>
      </c>
      <c r="E17" s="133" t="s">
        <v>25</v>
      </c>
      <c r="F17" s="74" t="s">
        <v>22</v>
      </c>
      <c r="G17" s="136">
        <v>1009</v>
      </c>
      <c r="H17" s="642">
        <v>43560</v>
      </c>
      <c r="I17" s="40">
        <v>17302.400000000001</v>
      </c>
      <c r="J17" s="640">
        <v>3114.43</v>
      </c>
      <c r="K17" s="641">
        <v>0</v>
      </c>
      <c r="L17" s="41">
        <v>1557.22</v>
      </c>
      <c r="M17" s="41">
        <v>1557.22</v>
      </c>
      <c r="N17" s="41">
        <v>0</v>
      </c>
      <c r="O17" s="54">
        <f t="shared" si="1"/>
        <v>20416.830000000002</v>
      </c>
    </row>
    <row r="18" spans="1:15" x14ac:dyDescent="0.2">
      <c r="A18" s="33">
        <v>43556</v>
      </c>
      <c r="B18" s="11">
        <v>16</v>
      </c>
      <c r="C18" s="35" t="s">
        <v>482</v>
      </c>
      <c r="D18" s="34" t="s">
        <v>483</v>
      </c>
      <c r="E18" s="133" t="s">
        <v>25</v>
      </c>
      <c r="F18" s="74" t="s">
        <v>22</v>
      </c>
      <c r="G18" s="134" t="s">
        <v>484</v>
      </c>
      <c r="H18" s="642">
        <v>43562</v>
      </c>
      <c r="I18" s="40">
        <v>100953.60000000001</v>
      </c>
      <c r="J18" s="640">
        <f t="shared" si="0"/>
        <v>28267.008000000002</v>
      </c>
      <c r="K18" s="641">
        <v>0</v>
      </c>
      <c r="L18" s="41">
        <v>14133.504000000001</v>
      </c>
      <c r="M18" s="41">
        <v>14133.504000000001</v>
      </c>
      <c r="N18" s="41">
        <v>0</v>
      </c>
      <c r="O18" s="54">
        <f t="shared" si="1"/>
        <v>129220.60800000001</v>
      </c>
    </row>
    <row r="19" spans="1:15" x14ac:dyDescent="0.2">
      <c r="A19" s="33">
        <v>43556</v>
      </c>
      <c r="B19" s="11">
        <v>17</v>
      </c>
      <c r="C19" s="35" t="s">
        <v>472</v>
      </c>
      <c r="D19" s="34" t="s">
        <v>21</v>
      </c>
      <c r="E19" s="133" t="s">
        <v>25</v>
      </c>
      <c r="F19" s="74" t="s">
        <v>22</v>
      </c>
      <c r="G19" s="136">
        <v>2041211984</v>
      </c>
      <c r="H19" s="642">
        <v>43560</v>
      </c>
      <c r="I19" s="40">
        <v>8184</v>
      </c>
      <c r="J19" s="640">
        <f t="shared" si="0"/>
        <v>2291.52</v>
      </c>
      <c r="K19" s="641">
        <v>0</v>
      </c>
      <c r="L19" s="41">
        <v>1145.76</v>
      </c>
      <c r="M19" s="41">
        <v>1145.76</v>
      </c>
      <c r="N19" s="41">
        <v>0</v>
      </c>
      <c r="O19" s="54">
        <f t="shared" si="1"/>
        <v>10475.52</v>
      </c>
    </row>
    <row r="20" spans="1:15" x14ac:dyDescent="0.2">
      <c r="A20" s="33">
        <v>43556</v>
      </c>
      <c r="B20" s="11">
        <v>18</v>
      </c>
      <c r="C20" s="35" t="s">
        <v>472</v>
      </c>
      <c r="D20" s="34" t="s">
        <v>21</v>
      </c>
      <c r="E20" s="133" t="s">
        <v>25</v>
      </c>
      <c r="F20" s="74" t="s">
        <v>22</v>
      </c>
      <c r="G20" s="136">
        <v>2041211985</v>
      </c>
      <c r="H20" s="642">
        <v>43560</v>
      </c>
      <c r="I20" s="40">
        <v>6713.6</v>
      </c>
      <c r="J20" s="640">
        <f t="shared" si="0"/>
        <v>1879.8080000000002</v>
      </c>
      <c r="K20" s="641">
        <v>0</v>
      </c>
      <c r="L20" s="41">
        <v>939.90400000000011</v>
      </c>
      <c r="M20" s="41">
        <v>939.90400000000011</v>
      </c>
      <c r="N20" s="41">
        <v>0</v>
      </c>
      <c r="O20" s="54">
        <f t="shared" si="1"/>
        <v>8593.4080000000013</v>
      </c>
    </row>
    <row r="21" spans="1:15" x14ac:dyDescent="0.2">
      <c r="A21" s="33">
        <v>43556</v>
      </c>
      <c r="B21" s="11">
        <v>19</v>
      </c>
      <c r="C21" s="35" t="s">
        <v>473</v>
      </c>
      <c r="D21" s="34" t="s">
        <v>41</v>
      </c>
      <c r="E21" s="133" t="s">
        <v>25</v>
      </c>
      <c r="F21" s="74" t="s">
        <v>22</v>
      </c>
      <c r="G21" s="134" t="s">
        <v>485</v>
      </c>
      <c r="H21" s="642">
        <v>43562</v>
      </c>
      <c r="I21" s="40">
        <v>6227.56</v>
      </c>
      <c r="J21" s="640">
        <f t="shared" si="0"/>
        <v>1743.7168000000001</v>
      </c>
      <c r="K21" s="641">
        <v>0</v>
      </c>
      <c r="L21" s="41">
        <v>871.85840000000007</v>
      </c>
      <c r="M21" s="41">
        <v>871.85840000000007</v>
      </c>
      <c r="N21" s="41">
        <v>0</v>
      </c>
      <c r="O21" s="54">
        <f t="shared" si="1"/>
        <v>7971.2768000000005</v>
      </c>
    </row>
    <row r="22" spans="1:15" x14ac:dyDescent="0.2">
      <c r="A22" s="33">
        <v>43556</v>
      </c>
      <c r="B22" s="11">
        <v>20</v>
      </c>
      <c r="C22" s="35" t="s">
        <v>482</v>
      </c>
      <c r="D22" s="34" t="s">
        <v>483</v>
      </c>
      <c r="E22" s="133" t="s">
        <v>25</v>
      </c>
      <c r="F22" s="74" t="s">
        <v>22</v>
      </c>
      <c r="G22" s="134" t="s">
        <v>486</v>
      </c>
      <c r="H22" s="642">
        <v>43563</v>
      </c>
      <c r="I22" s="40">
        <v>75715.199999999997</v>
      </c>
      <c r="J22" s="640">
        <f t="shared" si="0"/>
        <v>21200.255999999998</v>
      </c>
      <c r="K22" s="641">
        <v>0</v>
      </c>
      <c r="L22" s="41">
        <v>10600.127999999999</v>
      </c>
      <c r="M22" s="41">
        <v>10600.127999999999</v>
      </c>
      <c r="N22" s="41">
        <v>0</v>
      </c>
      <c r="O22" s="54">
        <f t="shared" si="1"/>
        <v>96915.455999999991</v>
      </c>
    </row>
    <row r="23" spans="1:15" x14ac:dyDescent="0.2">
      <c r="A23" s="33">
        <v>43556</v>
      </c>
      <c r="B23" s="11">
        <v>21</v>
      </c>
      <c r="C23" s="35" t="s">
        <v>472</v>
      </c>
      <c r="D23" s="34" t="s">
        <v>21</v>
      </c>
      <c r="E23" s="133" t="s">
        <v>25</v>
      </c>
      <c r="F23" s="74" t="s">
        <v>22</v>
      </c>
      <c r="G23" s="134">
        <v>2041212224</v>
      </c>
      <c r="H23" s="642">
        <v>43562</v>
      </c>
      <c r="I23" s="40">
        <v>3708</v>
      </c>
      <c r="J23" s="640">
        <f t="shared" si="0"/>
        <v>1038.24</v>
      </c>
      <c r="K23" s="641">
        <v>0</v>
      </c>
      <c r="L23" s="41">
        <v>519.12</v>
      </c>
      <c r="M23" s="41">
        <v>519.12</v>
      </c>
      <c r="N23" s="41">
        <v>0</v>
      </c>
      <c r="O23" s="54">
        <f t="shared" si="1"/>
        <v>4746.24</v>
      </c>
    </row>
    <row r="24" spans="1:15" x14ac:dyDescent="0.2">
      <c r="A24" s="33">
        <v>43556</v>
      </c>
      <c r="B24" s="11">
        <v>22</v>
      </c>
      <c r="C24" s="35" t="s">
        <v>472</v>
      </c>
      <c r="D24" s="34" t="s">
        <v>21</v>
      </c>
      <c r="E24" s="133" t="s">
        <v>25</v>
      </c>
      <c r="F24" s="74" t="s">
        <v>22</v>
      </c>
      <c r="G24" s="134">
        <v>2041212225</v>
      </c>
      <c r="H24" s="642">
        <v>43562</v>
      </c>
      <c r="I24" s="40">
        <v>3708</v>
      </c>
      <c r="J24" s="640">
        <f t="shared" si="0"/>
        <v>1038.24</v>
      </c>
      <c r="K24" s="641">
        <v>0</v>
      </c>
      <c r="L24" s="41">
        <v>519.12</v>
      </c>
      <c r="M24" s="41">
        <v>519.12</v>
      </c>
      <c r="N24" s="41">
        <v>0</v>
      </c>
      <c r="O24" s="54">
        <f t="shared" si="1"/>
        <v>4746.24</v>
      </c>
    </row>
    <row r="25" spans="1:15" x14ac:dyDescent="0.2">
      <c r="A25" s="33">
        <v>43556</v>
      </c>
      <c r="B25" s="11">
        <v>23</v>
      </c>
      <c r="C25" s="35" t="s">
        <v>472</v>
      </c>
      <c r="D25" s="34" t="s">
        <v>21</v>
      </c>
      <c r="E25" s="133" t="s">
        <v>25</v>
      </c>
      <c r="F25" s="74" t="s">
        <v>22</v>
      </c>
      <c r="G25" s="134">
        <v>3205709515</v>
      </c>
      <c r="H25" s="642">
        <v>43563</v>
      </c>
      <c r="I25" s="40">
        <v>2682</v>
      </c>
      <c r="J25" s="640">
        <f t="shared" si="0"/>
        <v>750.96</v>
      </c>
      <c r="K25" s="641">
        <v>0</v>
      </c>
      <c r="L25" s="41">
        <v>375.48</v>
      </c>
      <c r="M25" s="41">
        <v>375.48</v>
      </c>
      <c r="N25" s="41">
        <v>0</v>
      </c>
      <c r="O25" s="54">
        <f t="shared" si="1"/>
        <v>3432.96</v>
      </c>
    </row>
    <row r="26" spans="1:15" x14ac:dyDescent="0.2">
      <c r="A26" s="33">
        <v>43556</v>
      </c>
      <c r="B26" s="11">
        <v>24</v>
      </c>
      <c r="C26" s="35" t="s">
        <v>472</v>
      </c>
      <c r="D26" s="34" t="s">
        <v>21</v>
      </c>
      <c r="E26" s="133" t="s">
        <v>25</v>
      </c>
      <c r="F26" s="74" t="s">
        <v>22</v>
      </c>
      <c r="G26" s="134">
        <v>3205709528</v>
      </c>
      <c r="H26" s="642">
        <v>43563</v>
      </c>
      <c r="I26" s="40">
        <v>18774</v>
      </c>
      <c r="J26" s="640">
        <f t="shared" si="0"/>
        <v>5256.72</v>
      </c>
      <c r="K26" s="641">
        <v>0</v>
      </c>
      <c r="L26" s="41">
        <v>2628.36</v>
      </c>
      <c r="M26" s="41">
        <v>2628.36</v>
      </c>
      <c r="N26" s="41">
        <v>0</v>
      </c>
      <c r="O26" s="54">
        <f t="shared" si="1"/>
        <v>24030.720000000001</v>
      </c>
    </row>
    <row r="27" spans="1:15" x14ac:dyDescent="0.2">
      <c r="A27" s="33">
        <v>43556</v>
      </c>
      <c r="B27" s="11">
        <v>25</v>
      </c>
      <c r="C27" s="35" t="s">
        <v>471</v>
      </c>
      <c r="D27" s="34" t="s">
        <v>29</v>
      </c>
      <c r="E27" s="133" t="s">
        <v>25</v>
      </c>
      <c r="F27" s="74" t="s">
        <v>22</v>
      </c>
      <c r="G27" s="134">
        <v>192000256</v>
      </c>
      <c r="H27" s="642">
        <v>43564</v>
      </c>
      <c r="I27" s="40">
        <v>17483.52</v>
      </c>
      <c r="J27" s="640">
        <f t="shared" si="0"/>
        <v>4895.3856000000005</v>
      </c>
      <c r="K27" s="641">
        <v>0</v>
      </c>
      <c r="L27" s="41">
        <v>2447.6928000000003</v>
      </c>
      <c r="M27" s="41">
        <v>2447.6928000000003</v>
      </c>
      <c r="N27" s="41">
        <v>0</v>
      </c>
      <c r="O27" s="54">
        <f t="shared" si="1"/>
        <v>22378.905600000002</v>
      </c>
    </row>
    <row r="28" spans="1:15" x14ac:dyDescent="0.2">
      <c r="A28" s="33">
        <v>43556</v>
      </c>
      <c r="B28" s="11">
        <v>26</v>
      </c>
      <c r="C28" s="35" t="s">
        <v>471</v>
      </c>
      <c r="D28" s="34" t="s">
        <v>29</v>
      </c>
      <c r="E28" s="133" t="s">
        <v>25</v>
      </c>
      <c r="F28" s="74" t="s">
        <v>22</v>
      </c>
      <c r="G28" s="134">
        <v>192000257</v>
      </c>
      <c r="H28" s="642">
        <v>43564</v>
      </c>
      <c r="I28" s="40">
        <v>17483.52</v>
      </c>
      <c r="J28" s="640">
        <f t="shared" si="0"/>
        <v>4895.3856000000005</v>
      </c>
      <c r="K28" s="641">
        <v>0</v>
      </c>
      <c r="L28" s="41">
        <v>2447.6928000000003</v>
      </c>
      <c r="M28" s="41">
        <v>2447.6928000000003</v>
      </c>
      <c r="N28" s="41">
        <v>0</v>
      </c>
      <c r="O28" s="54">
        <f t="shared" si="1"/>
        <v>22378.905600000002</v>
      </c>
    </row>
    <row r="29" spans="1:15" x14ac:dyDescent="0.2">
      <c r="A29" s="33">
        <v>43556</v>
      </c>
      <c r="B29" s="11">
        <v>27</v>
      </c>
      <c r="C29" s="35" t="s">
        <v>471</v>
      </c>
      <c r="D29" s="34" t="s">
        <v>29</v>
      </c>
      <c r="E29" s="133" t="s">
        <v>25</v>
      </c>
      <c r="F29" s="74" t="s">
        <v>22</v>
      </c>
      <c r="G29" s="134">
        <v>192000266</v>
      </c>
      <c r="H29" s="642">
        <v>43564</v>
      </c>
      <c r="I29" s="40">
        <v>17483.52</v>
      </c>
      <c r="J29" s="640">
        <f t="shared" si="0"/>
        <v>4895.3856000000005</v>
      </c>
      <c r="K29" s="641">
        <v>0</v>
      </c>
      <c r="L29" s="41">
        <v>2447.6928000000003</v>
      </c>
      <c r="M29" s="41">
        <v>2447.6928000000003</v>
      </c>
      <c r="N29" s="41">
        <v>0</v>
      </c>
      <c r="O29" s="54">
        <f t="shared" si="1"/>
        <v>22378.905600000002</v>
      </c>
    </row>
    <row r="30" spans="1:15" x14ac:dyDescent="0.2">
      <c r="A30" s="33">
        <v>43556</v>
      </c>
      <c r="B30" s="11">
        <v>28</v>
      </c>
      <c r="C30" s="35" t="s">
        <v>487</v>
      </c>
      <c r="D30" s="34" t="s">
        <v>488</v>
      </c>
      <c r="E30" s="133" t="s">
        <v>25</v>
      </c>
      <c r="F30" s="74" t="s">
        <v>22</v>
      </c>
      <c r="G30" s="136">
        <v>64</v>
      </c>
      <c r="H30" s="642">
        <v>43564</v>
      </c>
      <c r="I30" s="40">
        <v>8000</v>
      </c>
      <c r="J30" s="640">
        <f t="shared" si="0"/>
        <v>1440</v>
      </c>
      <c r="K30" s="641">
        <v>0</v>
      </c>
      <c r="L30" s="41">
        <v>720</v>
      </c>
      <c r="M30" s="41">
        <v>720</v>
      </c>
      <c r="N30" s="41">
        <v>0</v>
      </c>
      <c r="O30" s="54">
        <f t="shared" si="1"/>
        <v>9440</v>
      </c>
    </row>
    <row r="31" spans="1:15" x14ac:dyDescent="0.2">
      <c r="A31" s="33">
        <v>43556</v>
      </c>
      <c r="B31" s="11">
        <v>29</v>
      </c>
      <c r="C31" s="35" t="s">
        <v>489</v>
      </c>
      <c r="D31" s="34" t="s">
        <v>490</v>
      </c>
      <c r="E31" s="133" t="s">
        <v>25</v>
      </c>
      <c r="F31" s="74" t="s">
        <v>22</v>
      </c>
      <c r="G31" s="136">
        <v>7887981164</v>
      </c>
      <c r="H31" s="642">
        <v>43564</v>
      </c>
      <c r="I31" s="40">
        <v>14540</v>
      </c>
      <c r="J31" s="640">
        <f t="shared" si="0"/>
        <v>2617.2000000000003</v>
      </c>
      <c r="K31" s="641">
        <v>0</v>
      </c>
      <c r="L31" s="41">
        <v>1308.6000000000001</v>
      </c>
      <c r="M31" s="41">
        <v>1308.6000000000001</v>
      </c>
      <c r="N31" s="41">
        <v>0</v>
      </c>
      <c r="O31" s="54">
        <f t="shared" si="1"/>
        <v>17157.2</v>
      </c>
    </row>
    <row r="32" spans="1:15" x14ac:dyDescent="0.2">
      <c r="A32" s="33">
        <v>43556</v>
      </c>
      <c r="B32" s="11">
        <v>30</v>
      </c>
      <c r="C32" s="35" t="s">
        <v>482</v>
      </c>
      <c r="D32" s="34" t="s">
        <v>483</v>
      </c>
      <c r="E32" s="133" t="s">
        <v>25</v>
      </c>
      <c r="F32" s="74" t="s">
        <v>22</v>
      </c>
      <c r="G32" s="134" t="s">
        <v>491</v>
      </c>
      <c r="H32" s="642">
        <v>43564</v>
      </c>
      <c r="I32" s="40">
        <v>70457.2</v>
      </c>
      <c r="J32" s="640">
        <f t="shared" si="0"/>
        <v>19728.016</v>
      </c>
      <c r="K32" s="641">
        <v>0</v>
      </c>
      <c r="L32" s="41">
        <v>9864.0079999999998</v>
      </c>
      <c r="M32" s="41">
        <v>9864.0079999999998</v>
      </c>
      <c r="N32" s="41">
        <v>0</v>
      </c>
      <c r="O32" s="54">
        <f t="shared" si="1"/>
        <v>90185.216</v>
      </c>
    </row>
    <row r="33" spans="1:15" x14ac:dyDescent="0.2">
      <c r="A33" s="33">
        <v>43556</v>
      </c>
      <c r="B33" s="11">
        <v>31</v>
      </c>
      <c r="C33" s="35" t="s">
        <v>473</v>
      </c>
      <c r="D33" s="34" t="s">
        <v>41</v>
      </c>
      <c r="E33" s="133" t="s">
        <v>25</v>
      </c>
      <c r="F33" s="74" t="s">
        <v>22</v>
      </c>
      <c r="G33" s="134" t="s">
        <v>492</v>
      </c>
      <c r="H33" s="642">
        <v>43564</v>
      </c>
      <c r="I33" s="40">
        <v>10232.299999999999</v>
      </c>
      <c r="J33" s="640">
        <f t="shared" si="0"/>
        <v>2865.0439999999999</v>
      </c>
      <c r="K33" s="641">
        <v>0</v>
      </c>
      <c r="L33" s="41">
        <v>1432.5219999999999</v>
      </c>
      <c r="M33" s="41">
        <v>1432.5219999999999</v>
      </c>
      <c r="N33" s="41">
        <v>0</v>
      </c>
      <c r="O33" s="54">
        <f t="shared" si="1"/>
        <v>13097.343999999999</v>
      </c>
    </row>
    <row r="34" spans="1:15" x14ac:dyDescent="0.2">
      <c r="A34" s="33">
        <v>43556</v>
      </c>
      <c r="B34" s="11">
        <v>32</v>
      </c>
      <c r="C34" s="35" t="s">
        <v>493</v>
      </c>
      <c r="D34" s="34" t="s">
        <v>494</v>
      </c>
      <c r="E34" s="133" t="s">
        <v>25</v>
      </c>
      <c r="F34" s="74" t="s">
        <v>22</v>
      </c>
      <c r="G34" s="134">
        <v>148</v>
      </c>
      <c r="H34" s="642">
        <v>43564</v>
      </c>
      <c r="I34" s="40">
        <v>36415.9</v>
      </c>
      <c r="J34" s="640">
        <f t="shared" si="0"/>
        <v>6554.8620000000001</v>
      </c>
      <c r="K34" s="641">
        <v>0</v>
      </c>
      <c r="L34" s="41">
        <v>3277.431</v>
      </c>
      <c r="M34" s="41">
        <v>3277.431</v>
      </c>
      <c r="N34" s="41">
        <v>0</v>
      </c>
      <c r="O34" s="54">
        <f t="shared" si="1"/>
        <v>42970.762000000002</v>
      </c>
    </row>
    <row r="35" spans="1:15" x14ac:dyDescent="0.2">
      <c r="A35" s="33">
        <v>43556</v>
      </c>
      <c r="B35" s="11">
        <v>33</v>
      </c>
      <c r="C35" s="35" t="s">
        <v>471</v>
      </c>
      <c r="D35" s="34" t="s">
        <v>29</v>
      </c>
      <c r="E35" s="133" t="s">
        <v>25</v>
      </c>
      <c r="F35" s="74" t="s">
        <v>22</v>
      </c>
      <c r="G35" s="134">
        <v>192000265</v>
      </c>
      <c r="H35" s="642">
        <v>43564</v>
      </c>
      <c r="I35" s="40">
        <v>17483.52</v>
      </c>
      <c r="J35" s="640">
        <f t="shared" si="0"/>
        <v>4895.3856000000005</v>
      </c>
      <c r="K35" s="641">
        <v>0</v>
      </c>
      <c r="L35" s="41">
        <v>2447.6928000000003</v>
      </c>
      <c r="M35" s="41">
        <v>2447.6928000000003</v>
      </c>
      <c r="N35" s="41">
        <v>0</v>
      </c>
      <c r="O35" s="54">
        <f t="shared" si="1"/>
        <v>22378.905600000002</v>
      </c>
    </row>
    <row r="36" spans="1:15" x14ac:dyDescent="0.2">
      <c r="A36" s="33">
        <v>43556</v>
      </c>
      <c r="B36" s="11">
        <v>34</v>
      </c>
      <c r="C36" s="35" t="s">
        <v>471</v>
      </c>
      <c r="D36" s="34" t="s">
        <v>29</v>
      </c>
      <c r="E36" s="133" t="s">
        <v>25</v>
      </c>
      <c r="F36" s="74" t="s">
        <v>22</v>
      </c>
      <c r="G36" s="134">
        <v>192000299</v>
      </c>
      <c r="H36" s="642">
        <v>43564</v>
      </c>
      <c r="I36" s="40">
        <v>17483.52</v>
      </c>
      <c r="J36" s="640">
        <f t="shared" si="0"/>
        <v>4895.3856000000005</v>
      </c>
      <c r="K36" s="641">
        <v>0</v>
      </c>
      <c r="L36" s="41">
        <v>2447.6928000000003</v>
      </c>
      <c r="M36" s="41">
        <v>2447.6928000000003</v>
      </c>
      <c r="N36" s="41">
        <v>0</v>
      </c>
      <c r="O36" s="54">
        <f t="shared" si="1"/>
        <v>22378.905600000002</v>
      </c>
    </row>
    <row r="37" spans="1:15" x14ac:dyDescent="0.2">
      <c r="A37" s="33">
        <v>43556</v>
      </c>
      <c r="B37" s="11">
        <v>35</v>
      </c>
      <c r="C37" s="35" t="s">
        <v>495</v>
      </c>
      <c r="D37" s="34" t="s">
        <v>74</v>
      </c>
      <c r="E37" s="133" t="s">
        <v>25</v>
      </c>
      <c r="F37" s="74" t="s">
        <v>22</v>
      </c>
      <c r="G37" s="134">
        <v>5510041932</v>
      </c>
      <c r="H37" s="642">
        <v>43564</v>
      </c>
      <c r="I37" s="40">
        <v>47779.199999999997</v>
      </c>
      <c r="J37" s="640">
        <f t="shared" si="0"/>
        <v>8600.2559999999994</v>
      </c>
      <c r="K37" s="641">
        <v>0</v>
      </c>
      <c r="L37" s="41">
        <v>4300.1279999999997</v>
      </c>
      <c r="M37" s="41">
        <v>4300.1279999999997</v>
      </c>
      <c r="N37" s="41">
        <v>0</v>
      </c>
      <c r="O37" s="54">
        <f t="shared" si="1"/>
        <v>56379.455999999998</v>
      </c>
    </row>
    <row r="38" spans="1:15" x14ac:dyDescent="0.2">
      <c r="A38" s="33">
        <v>43556</v>
      </c>
      <c r="B38" s="11">
        <v>36</v>
      </c>
      <c r="C38" s="35" t="s">
        <v>495</v>
      </c>
      <c r="D38" s="34" t="s">
        <v>74</v>
      </c>
      <c r="E38" s="133" t="s">
        <v>25</v>
      </c>
      <c r="F38" s="74" t="s">
        <v>22</v>
      </c>
      <c r="G38" s="134">
        <v>5510041933</v>
      </c>
      <c r="H38" s="642">
        <v>43564</v>
      </c>
      <c r="I38" s="40">
        <v>47779.199999999997</v>
      </c>
      <c r="J38" s="640">
        <f t="shared" si="0"/>
        <v>8600.2559999999994</v>
      </c>
      <c r="K38" s="641">
        <v>0</v>
      </c>
      <c r="L38" s="41">
        <v>4300.1279999999997</v>
      </c>
      <c r="M38" s="41">
        <v>4300.1279999999997</v>
      </c>
      <c r="N38" s="41">
        <v>0</v>
      </c>
      <c r="O38" s="54">
        <f t="shared" si="1"/>
        <v>56379.455999999998</v>
      </c>
    </row>
    <row r="39" spans="1:15" x14ac:dyDescent="0.2">
      <c r="A39" s="33">
        <v>43556</v>
      </c>
      <c r="B39" s="11">
        <v>37</v>
      </c>
      <c r="C39" s="35" t="s">
        <v>471</v>
      </c>
      <c r="D39" s="34" t="s">
        <v>29</v>
      </c>
      <c r="E39" s="133" t="s">
        <v>25</v>
      </c>
      <c r="F39" s="74" t="s">
        <v>22</v>
      </c>
      <c r="G39" s="134">
        <v>192000300</v>
      </c>
      <c r="H39" s="642">
        <v>43565</v>
      </c>
      <c r="I39" s="40">
        <v>17483.52</v>
      </c>
      <c r="J39" s="640">
        <f t="shared" si="0"/>
        <v>4895.3856000000005</v>
      </c>
      <c r="K39" s="641">
        <v>0</v>
      </c>
      <c r="L39" s="41">
        <v>2447.6928000000003</v>
      </c>
      <c r="M39" s="41">
        <v>2447.6928000000003</v>
      </c>
      <c r="N39" s="41">
        <v>0</v>
      </c>
      <c r="O39" s="54">
        <f t="shared" si="1"/>
        <v>22378.905600000002</v>
      </c>
    </row>
    <row r="40" spans="1:15" x14ac:dyDescent="0.2">
      <c r="A40" s="33">
        <v>43556</v>
      </c>
      <c r="B40" s="11">
        <v>38</v>
      </c>
      <c r="C40" s="35" t="s">
        <v>472</v>
      </c>
      <c r="D40" s="34" t="s">
        <v>21</v>
      </c>
      <c r="E40" s="133" t="s">
        <v>25</v>
      </c>
      <c r="F40" s="74" t="s">
        <v>22</v>
      </c>
      <c r="G40" s="134">
        <v>2041213179</v>
      </c>
      <c r="H40" s="642">
        <v>43565</v>
      </c>
      <c r="I40" s="40">
        <v>1854</v>
      </c>
      <c r="J40" s="640">
        <f t="shared" si="0"/>
        <v>519.12</v>
      </c>
      <c r="K40" s="641">
        <v>0</v>
      </c>
      <c r="L40" s="41">
        <v>259.56</v>
      </c>
      <c r="M40" s="41">
        <v>259.56</v>
      </c>
      <c r="N40" s="41">
        <v>0</v>
      </c>
      <c r="O40" s="54">
        <f t="shared" si="1"/>
        <v>2373.12</v>
      </c>
    </row>
    <row r="41" spans="1:15" x14ac:dyDescent="0.2">
      <c r="A41" s="33">
        <v>43556</v>
      </c>
      <c r="B41" s="11">
        <v>39</v>
      </c>
      <c r="C41" s="35" t="s">
        <v>472</v>
      </c>
      <c r="D41" s="34" t="s">
        <v>21</v>
      </c>
      <c r="E41" s="133" t="s">
        <v>25</v>
      </c>
      <c r="F41" s="74" t="s">
        <v>22</v>
      </c>
      <c r="G41" s="134">
        <v>2041213180</v>
      </c>
      <c r="H41" s="642">
        <v>43565</v>
      </c>
      <c r="I41" s="40">
        <v>1854</v>
      </c>
      <c r="J41" s="640">
        <f t="shared" si="0"/>
        <v>519.12</v>
      </c>
      <c r="K41" s="641">
        <v>0</v>
      </c>
      <c r="L41" s="41">
        <v>259.56</v>
      </c>
      <c r="M41" s="41">
        <v>259.56</v>
      </c>
      <c r="N41" s="41">
        <v>0</v>
      </c>
      <c r="O41" s="54">
        <f t="shared" si="1"/>
        <v>2373.12</v>
      </c>
    </row>
    <row r="42" spans="1:15" x14ac:dyDescent="0.2">
      <c r="A42" s="33">
        <v>43556</v>
      </c>
      <c r="B42" s="11">
        <v>40</v>
      </c>
      <c r="C42" s="35" t="s">
        <v>471</v>
      </c>
      <c r="D42" s="34" t="s">
        <v>29</v>
      </c>
      <c r="E42" s="133" t="s">
        <v>25</v>
      </c>
      <c r="F42" s="74" t="s">
        <v>22</v>
      </c>
      <c r="G42" s="134">
        <v>192000337</v>
      </c>
      <c r="H42" s="642">
        <v>43566</v>
      </c>
      <c r="I42" s="40">
        <v>17483.52</v>
      </c>
      <c r="J42" s="640">
        <f t="shared" si="0"/>
        <v>4895.3856000000005</v>
      </c>
      <c r="K42" s="641">
        <v>0</v>
      </c>
      <c r="L42" s="41">
        <v>2447.6928000000003</v>
      </c>
      <c r="M42" s="41">
        <v>2447.6928000000003</v>
      </c>
      <c r="N42" s="41">
        <v>0</v>
      </c>
      <c r="O42" s="54">
        <f t="shared" si="1"/>
        <v>22378.905600000002</v>
      </c>
    </row>
    <row r="43" spans="1:15" x14ac:dyDescent="0.2">
      <c r="A43" s="33">
        <v>43556</v>
      </c>
      <c r="B43" s="11">
        <v>41</v>
      </c>
      <c r="C43" s="35" t="s">
        <v>471</v>
      </c>
      <c r="D43" s="34" t="s">
        <v>29</v>
      </c>
      <c r="E43" s="133" t="s">
        <v>25</v>
      </c>
      <c r="F43" s="74" t="s">
        <v>22</v>
      </c>
      <c r="G43" s="134">
        <v>192000338</v>
      </c>
      <c r="H43" s="642">
        <v>43566</v>
      </c>
      <c r="I43" s="40">
        <v>17483.52</v>
      </c>
      <c r="J43" s="640">
        <f t="shared" si="0"/>
        <v>4895.3856000000005</v>
      </c>
      <c r="K43" s="641">
        <v>0</v>
      </c>
      <c r="L43" s="41">
        <v>2447.6928000000003</v>
      </c>
      <c r="M43" s="41">
        <v>2447.6928000000003</v>
      </c>
      <c r="N43" s="41">
        <v>0</v>
      </c>
      <c r="O43" s="54">
        <f t="shared" si="1"/>
        <v>22378.905600000002</v>
      </c>
    </row>
    <row r="44" spans="1:15" x14ac:dyDescent="0.2">
      <c r="A44" s="33">
        <v>43556</v>
      </c>
      <c r="B44" s="11">
        <v>42</v>
      </c>
      <c r="C44" s="35" t="s">
        <v>493</v>
      </c>
      <c r="D44" s="34" t="s">
        <v>494</v>
      </c>
      <c r="E44" s="133" t="s">
        <v>25</v>
      </c>
      <c r="F44" s="74" t="s">
        <v>22</v>
      </c>
      <c r="G44" s="136">
        <v>204</v>
      </c>
      <c r="H44" s="642">
        <v>43566</v>
      </c>
      <c r="I44" s="40">
        <v>22990</v>
      </c>
      <c r="J44" s="640">
        <f t="shared" si="0"/>
        <v>4138.2</v>
      </c>
      <c r="K44" s="641">
        <v>0</v>
      </c>
      <c r="L44" s="41">
        <v>2069.1</v>
      </c>
      <c r="M44" s="41">
        <v>2069.1</v>
      </c>
      <c r="N44" s="41">
        <v>0</v>
      </c>
      <c r="O44" s="54">
        <f t="shared" si="1"/>
        <v>27128.2</v>
      </c>
    </row>
    <row r="45" spans="1:15" x14ac:dyDescent="0.2">
      <c r="A45" s="33">
        <v>43556</v>
      </c>
      <c r="B45" s="11">
        <v>43</v>
      </c>
      <c r="C45" s="35" t="s">
        <v>471</v>
      </c>
      <c r="D45" s="34" t="s">
        <v>29</v>
      </c>
      <c r="E45" s="133" t="s">
        <v>25</v>
      </c>
      <c r="F45" s="74" t="s">
        <v>22</v>
      </c>
      <c r="G45" s="136">
        <v>192000381</v>
      </c>
      <c r="H45" s="642">
        <v>43567</v>
      </c>
      <c r="I45" s="40">
        <v>17483.52</v>
      </c>
      <c r="J45" s="640">
        <f t="shared" si="0"/>
        <v>4895.3856000000005</v>
      </c>
      <c r="K45" s="641">
        <v>0</v>
      </c>
      <c r="L45" s="41">
        <v>2447.6928000000003</v>
      </c>
      <c r="M45" s="41">
        <v>2447.6928000000003</v>
      </c>
      <c r="N45" s="41">
        <v>0</v>
      </c>
      <c r="O45" s="54">
        <f t="shared" si="1"/>
        <v>22378.905600000002</v>
      </c>
    </row>
    <row r="46" spans="1:15" x14ac:dyDescent="0.2">
      <c r="A46" s="33">
        <v>43556</v>
      </c>
      <c r="B46" s="11">
        <v>44</v>
      </c>
      <c r="C46" s="35" t="s">
        <v>496</v>
      </c>
      <c r="D46" s="34" t="s">
        <v>497</v>
      </c>
      <c r="E46" s="133" t="s">
        <v>25</v>
      </c>
      <c r="F46" s="74" t="s">
        <v>22</v>
      </c>
      <c r="G46" s="136" t="s">
        <v>498</v>
      </c>
      <c r="H46" s="642">
        <v>43567</v>
      </c>
      <c r="I46" s="40">
        <v>6042</v>
      </c>
      <c r="J46" s="640">
        <f t="shared" si="0"/>
        <v>1087.56</v>
      </c>
      <c r="K46" s="641">
        <v>0</v>
      </c>
      <c r="L46" s="41">
        <v>543.78</v>
      </c>
      <c r="M46" s="41">
        <v>543.78</v>
      </c>
      <c r="N46" s="41">
        <v>0</v>
      </c>
      <c r="O46" s="54">
        <f t="shared" si="1"/>
        <v>7129.5599999999995</v>
      </c>
    </row>
    <row r="47" spans="1:15" x14ac:dyDescent="0.2">
      <c r="A47" s="33">
        <v>43556</v>
      </c>
      <c r="B47" s="11">
        <v>45</v>
      </c>
      <c r="C47" s="35" t="s">
        <v>499</v>
      </c>
      <c r="D47" s="34" t="s">
        <v>500</v>
      </c>
      <c r="E47" s="133" t="s">
        <v>25</v>
      </c>
      <c r="F47" s="74" t="s">
        <v>22</v>
      </c>
      <c r="G47" s="136" t="s">
        <v>501</v>
      </c>
      <c r="H47" s="642">
        <v>43567</v>
      </c>
      <c r="I47" s="40">
        <v>5526</v>
      </c>
      <c r="J47" s="640">
        <f t="shared" si="0"/>
        <v>994.68</v>
      </c>
      <c r="K47" s="641">
        <v>0</v>
      </c>
      <c r="L47" s="41">
        <v>497.34</v>
      </c>
      <c r="M47" s="41">
        <v>497.34</v>
      </c>
      <c r="N47" s="41">
        <v>0</v>
      </c>
      <c r="O47" s="54">
        <f t="shared" si="1"/>
        <v>6520.68</v>
      </c>
    </row>
    <row r="48" spans="1:15" x14ac:dyDescent="0.2">
      <c r="A48" s="33">
        <v>43556</v>
      </c>
      <c r="B48" s="11">
        <v>46</v>
      </c>
      <c r="C48" s="35" t="s">
        <v>499</v>
      </c>
      <c r="D48" s="34" t="s">
        <v>500</v>
      </c>
      <c r="E48" s="133" t="s">
        <v>25</v>
      </c>
      <c r="F48" s="74" t="s">
        <v>22</v>
      </c>
      <c r="G48" s="136" t="s">
        <v>502</v>
      </c>
      <c r="H48" s="642">
        <v>43567</v>
      </c>
      <c r="I48" s="40">
        <v>7150</v>
      </c>
      <c r="J48" s="640">
        <f t="shared" si="0"/>
        <v>858</v>
      </c>
      <c r="K48" s="641">
        <v>0</v>
      </c>
      <c r="L48" s="41">
        <v>429</v>
      </c>
      <c r="M48" s="41">
        <v>429</v>
      </c>
      <c r="N48" s="41">
        <v>0</v>
      </c>
      <c r="O48" s="54">
        <f t="shared" si="1"/>
        <v>8008</v>
      </c>
    </row>
    <row r="49" spans="1:15" x14ac:dyDescent="0.2">
      <c r="A49" s="33">
        <v>43556</v>
      </c>
      <c r="B49" s="11">
        <v>47</v>
      </c>
      <c r="C49" s="35" t="s">
        <v>482</v>
      </c>
      <c r="D49" s="34" t="s">
        <v>483</v>
      </c>
      <c r="E49" s="133" t="s">
        <v>25</v>
      </c>
      <c r="F49" s="74" t="s">
        <v>22</v>
      </c>
      <c r="G49" s="136" t="s">
        <v>503</v>
      </c>
      <c r="H49" s="642">
        <v>43567</v>
      </c>
      <c r="I49" s="40">
        <v>88334.399999999994</v>
      </c>
      <c r="J49" s="640">
        <f t="shared" si="0"/>
        <v>24733.631999999998</v>
      </c>
      <c r="K49" s="641">
        <v>0</v>
      </c>
      <c r="L49" s="41">
        <v>12366.815999999999</v>
      </c>
      <c r="M49" s="41">
        <v>12366.815999999999</v>
      </c>
      <c r="N49" s="41">
        <v>0</v>
      </c>
      <c r="O49" s="54">
        <f t="shared" si="1"/>
        <v>113068.03199999999</v>
      </c>
    </row>
    <row r="50" spans="1:15" x14ac:dyDescent="0.2">
      <c r="A50" s="33">
        <v>43556</v>
      </c>
      <c r="B50" s="11">
        <v>48</v>
      </c>
      <c r="C50" s="35" t="s">
        <v>471</v>
      </c>
      <c r="D50" s="34" t="s">
        <v>29</v>
      </c>
      <c r="E50" s="133" t="s">
        <v>25</v>
      </c>
      <c r="F50" s="74" t="s">
        <v>22</v>
      </c>
      <c r="G50" s="136">
        <v>192000389</v>
      </c>
      <c r="H50" s="642">
        <v>43567</v>
      </c>
      <c r="I50" s="40">
        <v>17483.52</v>
      </c>
      <c r="J50" s="640">
        <f t="shared" si="0"/>
        <v>4895.3856000000005</v>
      </c>
      <c r="K50" s="641">
        <v>0</v>
      </c>
      <c r="L50" s="41">
        <v>2447.6928000000003</v>
      </c>
      <c r="M50" s="41">
        <v>2447.6928000000003</v>
      </c>
      <c r="N50" s="41">
        <v>0</v>
      </c>
      <c r="O50" s="54">
        <f t="shared" si="1"/>
        <v>22378.905600000002</v>
      </c>
    </row>
    <row r="51" spans="1:15" x14ac:dyDescent="0.2">
      <c r="A51" s="33">
        <v>43556</v>
      </c>
      <c r="B51" s="11">
        <v>49</v>
      </c>
      <c r="C51" s="35" t="s">
        <v>473</v>
      </c>
      <c r="D51" s="34" t="s">
        <v>41</v>
      </c>
      <c r="E51" s="133" t="s">
        <v>25</v>
      </c>
      <c r="F51" s="74" t="s">
        <v>22</v>
      </c>
      <c r="G51" s="136" t="s">
        <v>504</v>
      </c>
      <c r="H51" s="642">
        <v>43567</v>
      </c>
      <c r="I51" s="40">
        <v>3847.2</v>
      </c>
      <c r="J51" s="640">
        <f t="shared" si="0"/>
        <v>1077.2160000000001</v>
      </c>
      <c r="K51" s="641">
        <v>0</v>
      </c>
      <c r="L51" s="41">
        <v>538.60800000000006</v>
      </c>
      <c r="M51" s="41">
        <v>538.60800000000006</v>
      </c>
      <c r="N51" s="41">
        <v>0</v>
      </c>
      <c r="O51" s="54">
        <f t="shared" si="1"/>
        <v>4924.4160000000002</v>
      </c>
    </row>
    <row r="52" spans="1:15" x14ac:dyDescent="0.2">
      <c r="A52" s="33">
        <v>43556</v>
      </c>
      <c r="B52" s="11">
        <v>50</v>
      </c>
      <c r="C52" s="35" t="s">
        <v>473</v>
      </c>
      <c r="D52" s="34" t="s">
        <v>41</v>
      </c>
      <c r="E52" s="133" t="s">
        <v>25</v>
      </c>
      <c r="F52" s="74" t="s">
        <v>22</v>
      </c>
      <c r="G52" s="136" t="s">
        <v>505</v>
      </c>
      <c r="H52" s="642">
        <v>43567</v>
      </c>
      <c r="I52" s="40">
        <v>4810.24</v>
      </c>
      <c r="J52" s="640">
        <f t="shared" si="0"/>
        <v>1346.8671999999999</v>
      </c>
      <c r="K52" s="641">
        <v>0</v>
      </c>
      <c r="L52" s="41">
        <v>673.43359999999996</v>
      </c>
      <c r="M52" s="41">
        <v>673.43359999999996</v>
      </c>
      <c r="N52" s="41">
        <v>0</v>
      </c>
      <c r="O52" s="54">
        <f t="shared" si="1"/>
        <v>6157.1071999999995</v>
      </c>
    </row>
    <row r="53" spans="1:15" x14ac:dyDescent="0.2">
      <c r="A53" s="33">
        <v>43556</v>
      </c>
      <c r="B53" s="11">
        <v>51</v>
      </c>
      <c r="C53" s="35" t="s">
        <v>506</v>
      </c>
      <c r="D53" s="34" t="s">
        <v>507</v>
      </c>
      <c r="E53" s="133" t="s">
        <v>25</v>
      </c>
      <c r="F53" s="74" t="s">
        <v>22</v>
      </c>
      <c r="G53" s="136" t="s">
        <v>508</v>
      </c>
      <c r="H53" s="642">
        <v>43567</v>
      </c>
      <c r="I53" s="40">
        <v>13920</v>
      </c>
      <c r="J53" s="640">
        <f t="shared" si="0"/>
        <v>2505.6</v>
      </c>
      <c r="K53" s="641">
        <v>0</v>
      </c>
      <c r="L53" s="41">
        <v>1252.8</v>
      </c>
      <c r="M53" s="41">
        <v>1252.8</v>
      </c>
      <c r="N53" s="41">
        <v>0</v>
      </c>
      <c r="O53" s="54">
        <f t="shared" si="1"/>
        <v>16425.599999999999</v>
      </c>
    </row>
    <row r="54" spans="1:15" x14ac:dyDescent="0.2">
      <c r="A54" s="33">
        <v>43556</v>
      </c>
      <c r="B54" s="11">
        <v>52</v>
      </c>
      <c r="C54" s="35" t="s">
        <v>506</v>
      </c>
      <c r="D54" s="34" t="s">
        <v>507</v>
      </c>
      <c r="E54" s="133" t="s">
        <v>25</v>
      </c>
      <c r="F54" s="74" t="s">
        <v>22</v>
      </c>
      <c r="G54" s="136" t="s">
        <v>509</v>
      </c>
      <c r="H54" s="642">
        <v>43567</v>
      </c>
      <c r="I54" s="40">
        <v>2400</v>
      </c>
      <c r="J54" s="640">
        <f t="shared" si="0"/>
        <v>432</v>
      </c>
      <c r="K54" s="641">
        <v>0</v>
      </c>
      <c r="L54" s="41">
        <v>216</v>
      </c>
      <c r="M54" s="41">
        <v>216</v>
      </c>
      <c r="N54" s="41">
        <v>0</v>
      </c>
      <c r="O54" s="54">
        <f t="shared" si="1"/>
        <v>2832</v>
      </c>
    </row>
    <row r="55" spans="1:15" x14ac:dyDescent="0.2">
      <c r="A55" s="33">
        <v>43556</v>
      </c>
      <c r="B55" s="11">
        <v>53</v>
      </c>
      <c r="C55" s="35" t="s">
        <v>506</v>
      </c>
      <c r="D55" s="34" t="s">
        <v>507</v>
      </c>
      <c r="E55" s="133" t="s">
        <v>25</v>
      </c>
      <c r="F55" s="74" t="s">
        <v>22</v>
      </c>
      <c r="G55" s="134" t="s">
        <v>510</v>
      </c>
      <c r="H55" s="642">
        <v>43567</v>
      </c>
      <c r="I55" s="40">
        <v>18480</v>
      </c>
      <c r="J55" s="640">
        <f t="shared" si="0"/>
        <v>3326.4</v>
      </c>
      <c r="K55" s="641">
        <v>0</v>
      </c>
      <c r="L55" s="41">
        <v>1663.2</v>
      </c>
      <c r="M55" s="41">
        <v>1663.2</v>
      </c>
      <c r="N55" s="41">
        <v>0</v>
      </c>
      <c r="O55" s="54">
        <f t="shared" si="1"/>
        <v>21806.400000000001</v>
      </c>
    </row>
    <row r="56" spans="1:15" x14ac:dyDescent="0.2">
      <c r="A56" s="33">
        <v>43556</v>
      </c>
      <c r="B56" s="11">
        <v>54</v>
      </c>
      <c r="C56" s="35" t="s">
        <v>511</v>
      </c>
      <c r="D56" s="34" t="s">
        <v>512</v>
      </c>
      <c r="E56" s="133" t="s">
        <v>25</v>
      </c>
      <c r="F56" s="74" t="s">
        <v>22</v>
      </c>
      <c r="G56" s="134" t="s">
        <v>513</v>
      </c>
      <c r="H56" s="642">
        <v>43566</v>
      </c>
      <c r="I56" s="40">
        <v>17500</v>
      </c>
      <c r="J56" s="640">
        <f t="shared" si="0"/>
        <v>3150</v>
      </c>
      <c r="K56" s="641">
        <v>0</v>
      </c>
      <c r="L56" s="41">
        <v>1575</v>
      </c>
      <c r="M56" s="41">
        <v>1575</v>
      </c>
      <c r="N56" s="41">
        <v>0</v>
      </c>
      <c r="O56" s="54">
        <f t="shared" si="1"/>
        <v>20650</v>
      </c>
    </row>
    <row r="57" spans="1:15" x14ac:dyDescent="0.2">
      <c r="A57" s="33">
        <v>43556</v>
      </c>
      <c r="B57" s="11">
        <v>55</v>
      </c>
      <c r="C57" s="35" t="s">
        <v>472</v>
      </c>
      <c r="D57" s="34" t="s">
        <v>21</v>
      </c>
      <c r="E57" s="133" t="s">
        <v>25</v>
      </c>
      <c r="F57" s="74" t="s">
        <v>22</v>
      </c>
      <c r="G57" s="136">
        <v>2041213946</v>
      </c>
      <c r="H57" s="642">
        <v>43568</v>
      </c>
      <c r="I57" s="40">
        <v>10230</v>
      </c>
      <c r="J57" s="640">
        <f t="shared" si="0"/>
        <v>2864.4</v>
      </c>
      <c r="K57" s="641">
        <v>0</v>
      </c>
      <c r="L57" s="41">
        <v>1432.2</v>
      </c>
      <c r="M57" s="41">
        <v>1432.2</v>
      </c>
      <c r="N57" s="41">
        <v>0</v>
      </c>
      <c r="O57" s="54">
        <f t="shared" si="1"/>
        <v>13094.4</v>
      </c>
    </row>
    <row r="58" spans="1:15" x14ac:dyDescent="0.2">
      <c r="A58" s="33">
        <v>43556</v>
      </c>
      <c r="B58" s="11">
        <v>56</v>
      </c>
      <c r="C58" s="35" t="s">
        <v>472</v>
      </c>
      <c r="D58" s="34" t="s">
        <v>21</v>
      </c>
      <c r="E58" s="133" t="s">
        <v>25</v>
      </c>
      <c r="F58" s="74" t="s">
        <v>22</v>
      </c>
      <c r="G58" s="134">
        <v>2041213947</v>
      </c>
      <c r="H58" s="642">
        <v>43568</v>
      </c>
      <c r="I58" s="40">
        <v>8392</v>
      </c>
      <c r="J58" s="640">
        <f t="shared" si="0"/>
        <v>2349.7600000000002</v>
      </c>
      <c r="K58" s="641">
        <v>0</v>
      </c>
      <c r="L58" s="41">
        <v>1174.8800000000001</v>
      </c>
      <c r="M58" s="41">
        <v>1174.8800000000001</v>
      </c>
      <c r="N58" s="41">
        <v>0</v>
      </c>
      <c r="O58" s="54">
        <f t="shared" si="1"/>
        <v>10741.76</v>
      </c>
    </row>
    <row r="59" spans="1:15" x14ac:dyDescent="0.2">
      <c r="A59" s="33">
        <v>43556</v>
      </c>
      <c r="B59" s="11">
        <v>57</v>
      </c>
      <c r="C59" s="35" t="s">
        <v>514</v>
      </c>
      <c r="D59" s="34" t="s">
        <v>515</v>
      </c>
      <c r="E59" s="133" t="s">
        <v>25</v>
      </c>
      <c r="F59" s="74" t="s">
        <v>22</v>
      </c>
      <c r="G59" s="134" t="s">
        <v>516</v>
      </c>
      <c r="H59" s="642">
        <v>43568</v>
      </c>
      <c r="I59" s="40">
        <v>1525</v>
      </c>
      <c r="J59" s="640">
        <f t="shared" si="0"/>
        <v>274.5</v>
      </c>
      <c r="K59" s="641">
        <v>0</v>
      </c>
      <c r="L59" s="41">
        <v>137.25</v>
      </c>
      <c r="M59" s="41">
        <v>137.25</v>
      </c>
      <c r="N59" s="41">
        <v>0</v>
      </c>
      <c r="O59" s="54">
        <f t="shared" si="1"/>
        <v>1799.5</v>
      </c>
    </row>
    <row r="60" spans="1:15" x14ac:dyDescent="0.2">
      <c r="A60" s="33">
        <v>43556</v>
      </c>
      <c r="B60" s="11">
        <v>58</v>
      </c>
      <c r="C60" s="35" t="s">
        <v>471</v>
      </c>
      <c r="D60" s="34" t="s">
        <v>29</v>
      </c>
      <c r="E60" s="133" t="s">
        <v>25</v>
      </c>
      <c r="F60" s="74" t="s">
        <v>22</v>
      </c>
      <c r="G60" s="134">
        <v>192000413</v>
      </c>
      <c r="H60" s="642">
        <v>43568</v>
      </c>
      <c r="I60" s="40">
        <v>17483.52</v>
      </c>
      <c r="J60" s="640">
        <f t="shared" si="0"/>
        <v>4895.3856000000005</v>
      </c>
      <c r="K60" s="641">
        <v>0</v>
      </c>
      <c r="L60" s="41">
        <v>2447.6928000000003</v>
      </c>
      <c r="M60" s="41">
        <v>2447.6928000000003</v>
      </c>
      <c r="N60" s="41">
        <v>0</v>
      </c>
      <c r="O60" s="54">
        <f t="shared" si="1"/>
        <v>22378.905600000002</v>
      </c>
    </row>
    <row r="61" spans="1:15" x14ac:dyDescent="0.2">
      <c r="A61" s="33">
        <v>43556</v>
      </c>
      <c r="B61" s="11">
        <v>59</v>
      </c>
      <c r="C61" s="35" t="s">
        <v>471</v>
      </c>
      <c r="D61" s="34" t="s">
        <v>29</v>
      </c>
      <c r="E61" s="133" t="s">
        <v>25</v>
      </c>
      <c r="F61" s="74" t="s">
        <v>22</v>
      </c>
      <c r="G61" s="134">
        <v>192000414</v>
      </c>
      <c r="H61" s="642">
        <v>43568</v>
      </c>
      <c r="I61" s="40">
        <v>17483.52</v>
      </c>
      <c r="J61" s="640">
        <f t="shared" si="0"/>
        <v>4895.3856000000005</v>
      </c>
      <c r="K61" s="641">
        <v>0</v>
      </c>
      <c r="L61" s="41">
        <v>2447.6928000000003</v>
      </c>
      <c r="M61" s="41">
        <v>2447.6928000000003</v>
      </c>
      <c r="N61" s="41">
        <v>0</v>
      </c>
      <c r="O61" s="54">
        <f t="shared" si="1"/>
        <v>22378.905600000002</v>
      </c>
    </row>
    <row r="62" spans="1:15" x14ac:dyDescent="0.2">
      <c r="A62" s="33">
        <v>43556</v>
      </c>
      <c r="B62" s="11">
        <v>60</v>
      </c>
      <c r="C62" s="35" t="s">
        <v>493</v>
      </c>
      <c r="D62" s="34" t="s">
        <v>494</v>
      </c>
      <c r="E62" s="133" t="s">
        <v>25</v>
      </c>
      <c r="F62" s="74" t="s">
        <v>22</v>
      </c>
      <c r="G62" s="136">
        <v>222</v>
      </c>
      <c r="H62" s="642">
        <v>43567</v>
      </c>
      <c r="I62" s="40">
        <v>11495</v>
      </c>
      <c r="J62" s="640">
        <f t="shared" si="0"/>
        <v>2069.1</v>
      </c>
      <c r="K62" s="641">
        <v>0</v>
      </c>
      <c r="L62" s="41">
        <v>1034.55</v>
      </c>
      <c r="M62" s="41">
        <v>1034.55</v>
      </c>
      <c r="N62" s="41">
        <v>0</v>
      </c>
      <c r="O62" s="54">
        <f t="shared" si="1"/>
        <v>13564.1</v>
      </c>
    </row>
    <row r="63" spans="1:15" x14ac:dyDescent="0.2">
      <c r="A63" s="33">
        <v>43556</v>
      </c>
      <c r="B63" s="11">
        <v>61</v>
      </c>
      <c r="C63" s="35" t="s">
        <v>517</v>
      </c>
      <c r="D63" s="34" t="s">
        <v>256</v>
      </c>
      <c r="E63" s="133" t="s">
        <v>25</v>
      </c>
      <c r="F63" s="74" t="s">
        <v>22</v>
      </c>
      <c r="G63" s="136">
        <v>19600826</v>
      </c>
      <c r="H63" s="642">
        <v>43567</v>
      </c>
      <c r="I63" s="40">
        <v>7428.34</v>
      </c>
      <c r="J63" s="640">
        <f t="shared" si="0"/>
        <v>2079.9351999999999</v>
      </c>
      <c r="K63" s="641">
        <v>2079.9351999999999</v>
      </c>
      <c r="L63" s="41">
        <v>0</v>
      </c>
      <c r="M63" s="41">
        <v>0</v>
      </c>
      <c r="N63" s="41">
        <v>0</v>
      </c>
      <c r="O63" s="54">
        <f t="shared" si="1"/>
        <v>9508.2752</v>
      </c>
    </row>
    <row r="64" spans="1:15" x14ac:dyDescent="0.2">
      <c r="A64" s="33">
        <v>43556</v>
      </c>
      <c r="B64" s="11">
        <v>62</v>
      </c>
      <c r="C64" s="35" t="s">
        <v>518</v>
      </c>
      <c r="D64" s="34" t="s">
        <v>519</v>
      </c>
      <c r="E64" s="133" t="s">
        <v>25</v>
      </c>
      <c r="F64" s="74" t="s">
        <v>22</v>
      </c>
      <c r="G64" s="136" t="s">
        <v>520</v>
      </c>
      <c r="H64" s="642">
        <v>43567</v>
      </c>
      <c r="I64" s="40">
        <v>4806</v>
      </c>
      <c r="J64" s="640">
        <f t="shared" si="0"/>
        <v>865.08</v>
      </c>
      <c r="K64" s="641">
        <v>0</v>
      </c>
      <c r="L64" s="41">
        <v>432.54</v>
      </c>
      <c r="M64" s="41">
        <v>432.54</v>
      </c>
      <c r="N64" s="41">
        <v>0</v>
      </c>
      <c r="O64" s="54">
        <f t="shared" si="1"/>
        <v>5671.08</v>
      </c>
    </row>
    <row r="65" spans="1:15" x14ac:dyDescent="0.2">
      <c r="A65" s="33">
        <v>43556</v>
      </c>
      <c r="B65" s="11">
        <v>63</v>
      </c>
      <c r="C65" s="35" t="s">
        <v>521</v>
      </c>
      <c r="D65" s="34" t="s">
        <v>522</v>
      </c>
      <c r="E65" s="133" t="s">
        <v>25</v>
      </c>
      <c r="F65" s="74" t="s">
        <v>22</v>
      </c>
      <c r="G65" s="134" t="s">
        <v>523</v>
      </c>
      <c r="H65" s="642">
        <v>43568</v>
      </c>
      <c r="I65" s="40">
        <v>56000</v>
      </c>
      <c r="J65" s="640">
        <f t="shared" si="0"/>
        <v>10080</v>
      </c>
      <c r="K65" s="641">
        <v>0</v>
      </c>
      <c r="L65" s="41">
        <v>5040</v>
      </c>
      <c r="M65" s="41">
        <v>5040</v>
      </c>
      <c r="N65" s="41">
        <v>0</v>
      </c>
      <c r="O65" s="54">
        <f t="shared" si="1"/>
        <v>66080</v>
      </c>
    </row>
    <row r="66" spans="1:15" x14ac:dyDescent="0.2">
      <c r="A66" s="33">
        <v>43556</v>
      </c>
      <c r="B66" s="11">
        <v>64</v>
      </c>
      <c r="C66" s="35" t="s">
        <v>476</v>
      </c>
      <c r="D66" s="34" t="s">
        <v>477</v>
      </c>
      <c r="E66" s="133" t="s">
        <v>25</v>
      </c>
      <c r="F66" s="74" t="s">
        <v>22</v>
      </c>
      <c r="G66" s="134" t="s">
        <v>2627</v>
      </c>
      <c r="H66" s="642">
        <v>43556</v>
      </c>
      <c r="I66" s="40">
        <v>40650</v>
      </c>
      <c r="J66" s="640">
        <f t="shared" si="0"/>
        <v>7317</v>
      </c>
      <c r="K66" s="641">
        <v>0</v>
      </c>
      <c r="L66" s="41">
        <v>3658.5</v>
      </c>
      <c r="M66" s="41">
        <v>3658.5</v>
      </c>
      <c r="N66" s="41">
        <v>0</v>
      </c>
      <c r="O66" s="54">
        <f t="shared" si="1"/>
        <v>47967</v>
      </c>
    </row>
    <row r="67" spans="1:15" x14ac:dyDescent="0.2">
      <c r="A67" s="33">
        <v>43556</v>
      </c>
      <c r="B67" s="11">
        <v>65</v>
      </c>
      <c r="C67" s="35" t="s">
        <v>472</v>
      </c>
      <c r="D67" s="34" t="s">
        <v>21</v>
      </c>
      <c r="E67" s="133" t="s">
        <v>25</v>
      </c>
      <c r="F67" s="74" t="s">
        <v>22</v>
      </c>
      <c r="G67" s="134">
        <v>2041214291</v>
      </c>
      <c r="H67" s="642">
        <v>43570</v>
      </c>
      <c r="I67" s="40">
        <v>6713.6</v>
      </c>
      <c r="J67" s="640">
        <f t="shared" si="0"/>
        <v>1879.8080000000002</v>
      </c>
      <c r="K67" s="641">
        <v>0</v>
      </c>
      <c r="L67" s="41">
        <v>939.90400000000011</v>
      </c>
      <c r="M67" s="41">
        <v>939.90400000000011</v>
      </c>
      <c r="N67" s="41">
        <v>0</v>
      </c>
      <c r="O67" s="54">
        <f t="shared" si="1"/>
        <v>8593.4080000000013</v>
      </c>
    </row>
    <row r="68" spans="1:15" x14ac:dyDescent="0.2">
      <c r="A68" s="33">
        <v>43556</v>
      </c>
      <c r="B68" s="11">
        <v>66</v>
      </c>
      <c r="C68" s="35" t="s">
        <v>472</v>
      </c>
      <c r="D68" s="34" t="s">
        <v>21</v>
      </c>
      <c r="E68" s="133" t="s">
        <v>25</v>
      </c>
      <c r="F68" s="74" t="s">
        <v>22</v>
      </c>
      <c r="G68" s="134">
        <v>2041214292</v>
      </c>
      <c r="H68" s="642">
        <v>43570</v>
      </c>
      <c r="I68" s="40">
        <v>8184</v>
      </c>
      <c r="J68" s="640">
        <f t="shared" ref="J68:J131" si="2">+K68+L68+M68+N68</f>
        <v>2291.52</v>
      </c>
      <c r="K68" s="641">
        <v>0</v>
      </c>
      <c r="L68" s="41">
        <v>1145.76</v>
      </c>
      <c r="M68" s="41">
        <v>1145.76</v>
      </c>
      <c r="N68" s="41">
        <v>0</v>
      </c>
      <c r="O68" s="54">
        <f t="shared" ref="O68:O131" si="3">+I68+J68</f>
        <v>10475.52</v>
      </c>
    </row>
    <row r="69" spans="1:15" x14ac:dyDescent="0.2">
      <c r="A69" s="33">
        <v>43556</v>
      </c>
      <c r="B69" s="11">
        <v>67</v>
      </c>
      <c r="C69" s="35" t="s">
        <v>471</v>
      </c>
      <c r="D69" s="34" t="s">
        <v>29</v>
      </c>
      <c r="E69" s="133" t="s">
        <v>25</v>
      </c>
      <c r="F69" s="74" t="s">
        <v>22</v>
      </c>
      <c r="G69" s="136">
        <v>192000432</v>
      </c>
      <c r="H69" s="642">
        <v>43570</v>
      </c>
      <c r="I69" s="40">
        <v>17483.52</v>
      </c>
      <c r="J69" s="640">
        <f t="shared" si="2"/>
        <v>4895.3856000000005</v>
      </c>
      <c r="K69" s="641">
        <v>0</v>
      </c>
      <c r="L69" s="41">
        <v>2447.6928000000003</v>
      </c>
      <c r="M69" s="41">
        <v>2447.6928000000003</v>
      </c>
      <c r="N69" s="41">
        <v>0</v>
      </c>
      <c r="O69" s="54">
        <f t="shared" si="3"/>
        <v>22378.905600000002</v>
      </c>
    </row>
    <row r="70" spans="1:15" x14ac:dyDescent="0.2">
      <c r="A70" s="33">
        <v>43556</v>
      </c>
      <c r="B70" s="11">
        <v>68</v>
      </c>
      <c r="C70" s="35" t="s">
        <v>471</v>
      </c>
      <c r="D70" s="34" t="s">
        <v>29</v>
      </c>
      <c r="E70" s="133" t="s">
        <v>25</v>
      </c>
      <c r="F70" s="74" t="s">
        <v>22</v>
      </c>
      <c r="G70" s="136">
        <v>192000433</v>
      </c>
      <c r="H70" s="642">
        <v>43570</v>
      </c>
      <c r="I70" s="40">
        <v>17483.52</v>
      </c>
      <c r="J70" s="640">
        <f t="shared" si="2"/>
        <v>4895.3856000000005</v>
      </c>
      <c r="K70" s="641">
        <v>0</v>
      </c>
      <c r="L70" s="41">
        <v>2447.6928000000003</v>
      </c>
      <c r="M70" s="41">
        <v>2447.6928000000003</v>
      </c>
      <c r="N70" s="41">
        <v>0</v>
      </c>
      <c r="O70" s="54">
        <f t="shared" si="3"/>
        <v>22378.905600000002</v>
      </c>
    </row>
    <row r="71" spans="1:15" x14ac:dyDescent="0.2">
      <c r="A71" s="33">
        <v>43556</v>
      </c>
      <c r="B71" s="11">
        <v>69</v>
      </c>
      <c r="C71" s="35" t="s">
        <v>473</v>
      </c>
      <c r="D71" s="34" t="s">
        <v>41</v>
      </c>
      <c r="E71" s="133" t="s">
        <v>25</v>
      </c>
      <c r="F71" s="74" t="s">
        <v>22</v>
      </c>
      <c r="G71" s="136" t="s">
        <v>525</v>
      </c>
      <c r="H71" s="642">
        <v>43570</v>
      </c>
      <c r="I71" s="40">
        <v>5770.8</v>
      </c>
      <c r="J71" s="640">
        <f t="shared" si="2"/>
        <v>1615.8240000000001</v>
      </c>
      <c r="K71" s="641">
        <v>0</v>
      </c>
      <c r="L71" s="41">
        <v>807.91200000000003</v>
      </c>
      <c r="M71" s="41">
        <v>807.91200000000003</v>
      </c>
      <c r="N71" s="41">
        <v>0</v>
      </c>
      <c r="O71" s="54">
        <f t="shared" si="3"/>
        <v>7386.6239999999998</v>
      </c>
    </row>
    <row r="72" spans="1:15" x14ac:dyDescent="0.2">
      <c r="A72" s="33">
        <v>43556</v>
      </c>
      <c r="B72" s="11">
        <v>70</v>
      </c>
      <c r="C72" s="35" t="s">
        <v>499</v>
      </c>
      <c r="D72" s="34" t="s">
        <v>500</v>
      </c>
      <c r="E72" s="133" t="s">
        <v>25</v>
      </c>
      <c r="F72" s="74" t="s">
        <v>22</v>
      </c>
      <c r="G72" s="136" t="s">
        <v>526</v>
      </c>
      <c r="H72" s="642">
        <v>43567</v>
      </c>
      <c r="I72" s="40">
        <v>9330</v>
      </c>
      <c r="J72" s="640">
        <f t="shared" si="2"/>
        <v>466.5</v>
      </c>
      <c r="K72" s="641">
        <v>0</v>
      </c>
      <c r="L72" s="41">
        <v>233.25</v>
      </c>
      <c r="M72" s="41">
        <v>233.25</v>
      </c>
      <c r="N72" s="41">
        <v>0</v>
      </c>
      <c r="O72" s="54">
        <f t="shared" si="3"/>
        <v>9796.5</v>
      </c>
    </row>
    <row r="73" spans="1:15" x14ac:dyDescent="0.2">
      <c r="A73" s="33">
        <v>43556</v>
      </c>
      <c r="B73" s="11">
        <v>71</v>
      </c>
      <c r="C73" s="35" t="s">
        <v>527</v>
      </c>
      <c r="D73" s="34" t="s">
        <v>528</v>
      </c>
      <c r="E73" s="133" t="s">
        <v>25</v>
      </c>
      <c r="F73" s="74" t="s">
        <v>22</v>
      </c>
      <c r="G73" s="134">
        <v>9330003671</v>
      </c>
      <c r="H73" s="642">
        <v>43570</v>
      </c>
      <c r="I73" s="40">
        <v>28606</v>
      </c>
      <c r="J73" s="640">
        <f t="shared" si="2"/>
        <v>5149.08</v>
      </c>
      <c r="K73" s="641">
        <v>0</v>
      </c>
      <c r="L73" s="41">
        <v>2574.54</v>
      </c>
      <c r="M73" s="41">
        <v>2574.54</v>
      </c>
      <c r="N73" s="41">
        <v>0</v>
      </c>
      <c r="O73" s="54">
        <f t="shared" si="3"/>
        <v>33755.08</v>
      </c>
    </row>
    <row r="74" spans="1:15" x14ac:dyDescent="0.2">
      <c r="A74" s="33">
        <v>43556</v>
      </c>
      <c r="B74" s="11">
        <v>72</v>
      </c>
      <c r="C74" s="35" t="s">
        <v>472</v>
      </c>
      <c r="D74" s="34" t="s">
        <v>21</v>
      </c>
      <c r="E74" s="133" t="s">
        <v>25</v>
      </c>
      <c r="F74" s="74" t="s">
        <v>22</v>
      </c>
      <c r="G74" s="134">
        <v>2041214540</v>
      </c>
      <c r="H74" s="642">
        <v>43571</v>
      </c>
      <c r="I74" s="40">
        <v>8184</v>
      </c>
      <c r="J74" s="640">
        <f t="shared" si="2"/>
        <v>2291.52</v>
      </c>
      <c r="K74" s="641">
        <v>0</v>
      </c>
      <c r="L74" s="41">
        <v>1145.76</v>
      </c>
      <c r="M74" s="41">
        <v>1145.76</v>
      </c>
      <c r="N74" s="41">
        <v>0</v>
      </c>
      <c r="O74" s="54">
        <f t="shared" si="3"/>
        <v>10475.52</v>
      </c>
    </row>
    <row r="75" spans="1:15" x14ac:dyDescent="0.2">
      <c r="A75" s="33">
        <v>43556</v>
      </c>
      <c r="B75" s="11">
        <v>73</v>
      </c>
      <c r="C75" s="35" t="s">
        <v>472</v>
      </c>
      <c r="D75" s="34" t="s">
        <v>21</v>
      </c>
      <c r="E75" s="133" t="s">
        <v>25</v>
      </c>
      <c r="F75" s="74" t="s">
        <v>22</v>
      </c>
      <c r="G75" s="134">
        <v>2041214541</v>
      </c>
      <c r="H75" s="642">
        <v>43571</v>
      </c>
      <c r="I75" s="40">
        <v>6713.6</v>
      </c>
      <c r="J75" s="640">
        <f t="shared" si="2"/>
        <v>1879.8080000000002</v>
      </c>
      <c r="K75" s="641">
        <v>0</v>
      </c>
      <c r="L75" s="41">
        <v>939.90400000000011</v>
      </c>
      <c r="M75" s="41">
        <v>939.90400000000011</v>
      </c>
      <c r="N75" s="41">
        <v>0</v>
      </c>
      <c r="O75" s="54">
        <f t="shared" si="3"/>
        <v>8593.4080000000013</v>
      </c>
    </row>
    <row r="76" spans="1:15" x14ac:dyDescent="0.2">
      <c r="A76" s="33">
        <v>43556</v>
      </c>
      <c r="B76" s="11">
        <v>74</v>
      </c>
      <c r="C76" s="35" t="s">
        <v>471</v>
      </c>
      <c r="D76" s="34" t="s">
        <v>29</v>
      </c>
      <c r="E76" s="133" t="s">
        <v>25</v>
      </c>
      <c r="F76" s="74" t="s">
        <v>22</v>
      </c>
      <c r="G76" s="134">
        <v>192000468</v>
      </c>
      <c r="H76" s="642">
        <v>43571</v>
      </c>
      <c r="I76" s="40">
        <v>17483.52</v>
      </c>
      <c r="J76" s="640">
        <f t="shared" si="2"/>
        <v>4895.3856000000005</v>
      </c>
      <c r="K76" s="641">
        <v>0</v>
      </c>
      <c r="L76" s="41">
        <v>2447.6928000000003</v>
      </c>
      <c r="M76" s="41">
        <v>2447.6928000000003</v>
      </c>
      <c r="N76" s="41">
        <v>0</v>
      </c>
      <c r="O76" s="54">
        <f t="shared" si="3"/>
        <v>22378.905600000002</v>
      </c>
    </row>
    <row r="77" spans="1:15" x14ac:dyDescent="0.2">
      <c r="A77" s="33">
        <v>43556</v>
      </c>
      <c r="B77" s="11">
        <v>75</v>
      </c>
      <c r="C77" s="35" t="s">
        <v>471</v>
      </c>
      <c r="D77" s="34" t="s">
        <v>29</v>
      </c>
      <c r="E77" s="133" t="s">
        <v>25</v>
      </c>
      <c r="F77" s="74" t="s">
        <v>22</v>
      </c>
      <c r="G77" s="136">
        <v>192000469</v>
      </c>
      <c r="H77" s="642">
        <v>43571</v>
      </c>
      <c r="I77" s="40">
        <v>17483.52</v>
      </c>
      <c r="J77" s="640">
        <f t="shared" si="2"/>
        <v>4895.3856000000005</v>
      </c>
      <c r="K77" s="641">
        <v>0</v>
      </c>
      <c r="L77" s="41">
        <v>2447.6928000000003</v>
      </c>
      <c r="M77" s="41">
        <v>2447.6928000000003</v>
      </c>
      <c r="N77" s="41">
        <v>0</v>
      </c>
      <c r="O77" s="54">
        <f t="shared" si="3"/>
        <v>22378.905600000002</v>
      </c>
    </row>
    <row r="78" spans="1:15" x14ac:dyDescent="0.2">
      <c r="A78" s="33">
        <v>43556</v>
      </c>
      <c r="B78" s="11">
        <v>76</v>
      </c>
      <c r="C78" s="35" t="s">
        <v>471</v>
      </c>
      <c r="D78" s="34" t="s">
        <v>29</v>
      </c>
      <c r="E78" s="133" t="s">
        <v>25</v>
      </c>
      <c r="F78" s="74" t="s">
        <v>22</v>
      </c>
      <c r="G78" s="136">
        <v>192000478</v>
      </c>
      <c r="H78" s="642">
        <v>43571</v>
      </c>
      <c r="I78" s="40">
        <v>14569.6</v>
      </c>
      <c r="J78" s="640">
        <f t="shared" si="2"/>
        <v>4079.4879999999998</v>
      </c>
      <c r="K78" s="641">
        <v>0</v>
      </c>
      <c r="L78" s="41">
        <v>2039.7439999999999</v>
      </c>
      <c r="M78" s="41">
        <v>2039.7439999999999</v>
      </c>
      <c r="N78" s="41">
        <v>0</v>
      </c>
      <c r="O78" s="54">
        <f t="shared" si="3"/>
        <v>18649.088</v>
      </c>
    </row>
    <row r="79" spans="1:15" x14ac:dyDescent="0.2">
      <c r="A79" s="33">
        <v>43556</v>
      </c>
      <c r="B79" s="11">
        <v>77</v>
      </c>
      <c r="C79" s="35" t="s">
        <v>529</v>
      </c>
      <c r="D79" s="34" t="s">
        <v>530</v>
      </c>
      <c r="E79" s="133" t="s">
        <v>25</v>
      </c>
      <c r="F79" s="74" t="s">
        <v>22</v>
      </c>
      <c r="G79" s="134" t="s">
        <v>531</v>
      </c>
      <c r="H79" s="642">
        <v>43572</v>
      </c>
      <c r="I79" s="40">
        <v>14500.8</v>
      </c>
      <c r="J79" s="640">
        <f t="shared" si="2"/>
        <v>2610.1439999999998</v>
      </c>
      <c r="K79" s="641">
        <v>0</v>
      </c>
      <c r="L79" s="41">
        <v>1305.0719999999999</v>
      </c>
      <c r="M79" s="41">
        <v>1305.0719999999999</v>
      </c>
      <c r="N79" s="41">
        <v>0</v>
      </c>
      <c r="O79" s="54">
        <f t="shared" si="3"/>
        <v>17110.944</v>
      </c>
    </row>
    <row r="80" spans="1:15" x14ac:dyDescent="0.2">
      <c r="A80" s="33">
        <v>43556</v>
      </c>
      <c r="B80" s="11">
        <v>78</v>
      </c>
      <c r="C80" s="35" t="s">
        <v>529</v>
      </c>
      <c r="D80" s="34" t="s">
        <v>530</v>
      </c>
      <c r="E80" s="133" t="s">
        <v>25</v>
      </c>
      <c r="F80" s="74" t="s">
        <v>22</v>
      </c>
      <c r="G80" s="134" t="s">
        <v>532</v>
      </c>
      <c r="H80" s="642">
        <v>43572</v>
      </c>
      <c r="I80" s="40">
        <v>10100</v>
      </c>
      <c r="J80" s="640">
        <f t="shared" si="2"/>
        <v>1818</v>
      </c>
      <c r="K80" s="641">
        <v>0</v>
      </c>
      <c r="L80" s="41">
        <v>909</v>
      </c>
      <c r="M80" s="41">
        <v>909</v>
      </c>
      <c r="N80" s="41">
        <v>0</v>
      </c>
      <c r="O80" s="54">
        <f t="shared" si="3"/>
        <v>11918</v>
      </c>
    </row>
    <row r="81" spans="1:15" x14ac:dyDescent="0.2">
      <c r="A81" s="33">
        <v>43556</v>
      </c>
      <c r="B81" s="11">
        <v>79</v>
      </c>
      <c r="C81" s="35" t="s">
        <v>472</v>
      </c>
      <c r="D81" s="34" t="s">
        <v>21</v>
      </c>
      <c r="E81" s="133" t="s">
        <v>25</v>
      </c>
      <c r="F81" s="74" t="s">
        <v>22</v>
      </c>
      <c r="G81" s="134">
        <v>2041214699</v>
      </c>
      <c r="H81" s="642">
        <v>43571</v>
      </c>
      <c r="I81" s="40">
        <v>5115</v>
      </c>
      <c r="J81" s="640">
        <f t="shared" si="2"/>
        <v>1432.2</v>
      </c>
      <c r="K81" s="641">
        <v>0</v>
      </c>
      <c r="L81" s="41">
        <v>716.1</v>
      </c>
      <c r="M81" s="41">
        <v>716.1</v>
      </c>
      <c r="N81" s="41">
        <v>0</v>
      </c>
      <c r="O81" s="54">
        <f t="shared" si="3"/>
        <v>6547.2</v>
      </c>
    </row>
    <row r="82" spans="1:15" x14ac:dyDescent="0.2">
      <c r="A82" s="33">
        <v>43556</v>
      </c>
      <c r="B82" s="11">
        <v>80</v>
      </c>
      <c r="C82" s="35" t="s">
        <v>472</v>
      </c>
      <c r="D82" s="34" t="s">
        <v>21</v>
      </c>
      <c r="E82" s="133" t="s">
        <v>25</v>
      </c>
      <c r="F82" s="74" t="s">
        <v>22</v>
      </c>
      <c r="G82" s="134">
        <v>2041214700</v>
      </c>
      <c r="H82" s="642">
        <v>43571</v>
      </c>
      <c r="I82" s="40">
        <v>4196</v>
      </c>
      <c r="J82" s="640">
        <f t="shared" si="2"/>
        <v>1174.8800000000001</v>
      </c>
      <c r="K82" s="641">
        <v>0</v>
      </c>
      <c r="L82" s="41">
        <v>587.44000000000005</v>
      </c>
      <c r="M82" s="41">
        <v>587.44000000000005</v>
      </c>
      <c r="N82" s="41">
        <v>0</v>
      </c>
      <c r="O82" s="54">
        <f t="shared" si="3"/>
        <v>5370.88</v>
      </c>
    </row>
    <row r="83" spans="1:15" x14ac:dyDescent="0.2">
      <c r="A83" s="33">
        <v>43556</v>
      </c>
      <c r="B83" s="11">
        <v>81</v>
      </c>
      <c r="C83" s="35" t="s">
        <v>472</v>
      </c>
      <c r="D83" s="34" t="s">
        <v>21</v>
      </c>
      <c r="E83" s="133" t="s">
        <v>25</v>
      </c>
      <c r="F83" s="74" t="s">
        <v>22</v>
      </c>
      <c r="G83" s="134">
        <v>2041214653</v>
      </c>
      <c r="H83" s="642">
        <v>43571</v>
      </c>
      <c r="I83" s="40">
        <v>3708</v>
      </c>
      <c r="J83" s="640">
        <f t="shared" si="2"/>
        <v>1038.24</v>
      </c>
      <c r="K83" s="641">
        <v>0</v>
      </c>
      <c r="L83" s="41">
        <v>519.12</v>
      </c>
      <c r="M83" s="41">
        <v>519.12</v>
      </c>
      <c r="N83" s="41">
        <v>0</v>
      </c>
      <c r="O83" s="54">
        <f t="shared" si="3"/>
        <v>4746.24</v>
      </c>
    </row>
    <row r="84" spans="1:15" x14ac:dyDescent="0.2">
      <c r="A84" s="33">
        <v>43556</v>
      </c>
      <c r="B84" s="11">
        <v>82</v>
      </c>
      <c r="C84" s="35" t="s">
        <v>472</v>
      </c>
      <c r="D84" s="34" t="s">
        <v>21</v>
      </c>
      <c r="E84" s="133" t="s">
        <v>25</v>
      </c>
      <c r="F84" s="74" t="s">
        <v>22</v>
      </c>
      <c r="G84" s="134">
        <v>2041214654</v>
      </c>
      <c r="H84" s="642">
        <v>43571</v>
      </c>
      <c r="I84" s="40">
        <v>3708</v>
      </c>
      <c r="J84" s="640">
        <f t="shared" si="2"/>
        <v>1038.24</v>
      </c>
      <c r="K84" s="641">
        <v>0</v>
      </c>
      <c r="L84" s="41">
        <v>519.12</v>
      </c>
      <c r="M84" s="41">
        <v>519.12</v>
      </c>
      <c r="N84" s="41">
        <v>0</v>
      </c>
      <c r="O84" s="54">
        <f t="shared" si="3"/>
        <v>4746.24</v>
      </c>
    </row>
    <row r="85" spans="1:15" x14ac:dyDescent="0.2">
      <c r="A85" s="33">
        <v>43556</v>
      </c>
      <c r="B85" s="11">
        <v>83</v>
      </c>
      <c r="C85" s="35" t="s">
        <v>472</v>
      </c>
      <c r="D85" s="34" t="s">
        <v>21</v>
      </c>
      <c r="E85" s="133" t="s">
        <v>25</v>
      </c>
      <c r="F85" s="74" t="s">
        <v>22</v>
      </c>
      <c r="G85" s="136">
        <v>2041214697</v>
      </c>
      <c r="H85" s="642">
        <v>43571</v>
      </c>
      <c r="I85" s="40">
        <v>3708</v>
      </c>
      <c r="J85" s="640">
        <f t="shared" si="2"/>
        <v>1038.24</v>
      </c>
      <c r="K85" s="641">
        <v>0</v>
      </c>
      <c r="L85" s="41">
        <v>519.12</v>
      </c>
      <c r="M85" s="41">
        <v>519.12</v>
      </c>
      <c r="N85" s="41">
        <v>0</v>
      </c>
      <c r="O85" s="54">
        <f t="shared" si="3"/>
        <v>4746.24</v>
      </c>
    </row>
    <row r="86" spans="1:15" x14ac:dyDescent="0.2">
      <c r="A86" s="33">
        <v>43556</v>
      </c>
      <c r="B86" s="11">
        <v>84</v>
      </c>
      <c r="C86" s="35" t="s">
        <v>472</v>
      </c>
      <c r="D86" s="34" t="s">
        <v>21</v>
      </c>
      <c r="E86" s="133" t="s">
        <v>25</v>
      </c>
      <c r="F86" s="74" t="s">
        <v>22</v>
      </c>
      <c r="G86" s="134">
        <v>2041214698</v>
      </c>
      <c r="H86" s="642">
        <v>43571</v>
      </c>
      <c r="I86" s="40">
        <v>3708</v>
      </c>
      <c r="J86" s="640">
        <f t="shared" si="2"/>
        <v>1038.24</v>
      </c>
      <c r="K86" s="641">
        <v>0</v>
      </c>
      <c r="L86" s="41">
        <v>519.12</v>
      </c>
      <c r="M86" s="41">
        <v>519.12</v>
      </c>
      <c r="N86" s="41">
        <v>0</v>
      </c>
      <c r="O86" s="54">
        <f t="shared" si="3"/>
        <v>4746.24</v>
      </c>
    </row>
    <row r="87" spans="1:15" x14ac:dyDescent="0.2">
      <c r="A87" s="33">
        <v>43556</v>
      </c>
      <c r="B87" s="11">
        <v>85</v>
      </c>
      <c r="C87" s="35" t="s">
        <v>533</v>
      </c>
      <c r="D87" s="34" t="s">
        <v>534</v>
      </c>
      <c r="E87" s="133" t="s">
        <v>25</v>
      </c>
      <c r="F87" s="74" t="s">
        <v>22</v>
      </c>
      <c r="G87" s="134" t="s">
        <v>535</v>
      </c>
      <c r="H87" s="642">
        <v>43556</v>
      </c>
      <c r="I87" s="40">
        <v>1400</v>
      </c>
      <c r="J87" s="640">
        <f t="shared" si="2"/>
        <v>252</v>
      </c>
      <c r="K87" s="641">
        <v>0</v>
      </c>
      <c r="L87" s="41">
        <v>126</v>
      </c>
      <c r="M87" s="41">
        <v>126</v>
      </c>
      <c r="N87" s="41">
        <v>0</v>
      </c>
      <c r="O87" s="54">
        <f t="shared" si="3"/>
        <v>1652</v>
      </c>
    </row>
    <row r="88" spans="1:15" x14ac:dyDescent="0.2">
      <c r="A88" s="33">
        <v>43556</v>
      </c>
      <c r="B88" s="11">
        <v>86</v>
      </c>
      <c r="C88" s="35" t="s">
        <v>489</v>
      </c>
      <c r="D88" s="34" t="s">
        <v>490</v>
      </c>
      <c r="E88" s="133" t="s">
        <v>25</v>
      </c>
      <c r="F88" s="74" t="s">
        <v>22</v>
      </c>
      <c r="G88" s="134">
        <v>7887981646</v>
      </c>
      <c r="H88" s="642">
        <v>43573</v>
      </c>
      <c r="I88" s="40">
        <v>2475</v>
      </c>
      <c r="J88" s="640">
        <f t="shared" si="2"/>
        <v>445.5</v>
      </c>
      <c r="K88" s="641">
        <v>0</v>
      </c>
      <c r="L88" s="41">
        <v>222.75</v>
      </c>
      <c r="M88" s="41">
        <v>222.75</v>
      </c>
      <c r="N88" s="41">
        <v>0</v>
      </c>
      <c r="O88" s="54">
        <f t="shared" si="3"/>
        <v>2920.5</v>
      </c>
    </row>
    <row r="89" spans="1:15" x14ac:dyDescent="0.2">
      <c r="A89" s="33">
        <v>43556</v>
      </c>
      <c r="B89" s="11">
        <v>87</v>
      </c>
      <c r="C89" s="35" t="s">
        <v>489</v>
      </c>
      <c r="D89" s="34" t="s">
        <v>490</v>
      </c>
      <c r="E89" s="133" t="s">
        <v>25</v>
      </c>
      <c r="F89" s="74" t="s">
        <v>22</v>
      </c>
      <c r="G89" s="136">
        <v>7887981645</v>
      </c>
      <c r="H89" s="642">
        <v>43573</v>
      </c>
      <c r="I89" s="40">
        <v>10200</v>
      </c>
      <c r="J89" s="640">
        <f t="shared" si="2"/>
        <v>1836</v>
      </c>
      <c r="K89" s="641">
        <v>0</v>
      </c>
      <c r="L89" s="41">
        <v>918</v>
      </c>
      <c r="M89" s="41">
        <v>918</v>
      </c>
      <c r="N89" s="41">
        <v>0</v>
      </c>
      <c r="O89" s="54">
        <f t="shared" si="3"/>
        <v>12036</v>
      </c>
    </row>
    <row r="90" spans="1:15" x14ac:dyDescent="0.2">
      <c r="A90" s="33">
        <v>43556</v>
      </c>
      <c r="B90" s="11">
        <v>88</v>
      </c>
      <c r="C90" s="35" t="s">
        <v>482</v>
      </c>
      <c r="D90" s="34" t="s">
        <v>483</v>
      </c>
      <c r="E90" s="133" t="s">
        <v>25</v>
      </c>
      <c r="F90" s="74" t="s">
        <v>22</v>
      </c>
      <c r="G90" s="136" t="s">
        <v>536</v>
      </c>
      <c r="H90" s="642">
        <v>43573</v>
      </c>
      <c r="I90" s="40">
        <v>21032</v>
      </c>
      <c r="J90" s="640">
        <f t="shared" si="2"/>
        <v>5888.96</v>
      </c>
      <c r="K90" s="641">
        <v>0</v>
      </c>
      <c r="L90" s="41">
        <v>2944.48</v>
      </c>
      <c r="M90" s="41">
        <v>2944.48</v>
      </c>
      <c r="N90" s="41">
        <v>0</v>
      </c>
      <c r="O90" s="54">
        <f t="shared" si="3"/>
        <v>26920.959999999999</v>
      </c>
    </row>
    <row r="91" spans="1:15" x14ac:dyDescent="0.2">
      <c r="A91" s="33">
        <v>43556</v>
      </c>
      <c r="B91" s="11">
        <v>89</v>
      </c>
      <c r="C91" s="35" t="s">
        <v>482</v>
      </c>
      <c r="D91" s="34" t="s">
        <v>483</v>
      </c>
      <c r="E91" s="133" t="s">
        <v>25</v>
      </c>
      <c r="F91" s="74" t="s">
        <v>22</v>
      </c>
      <c r="G91" s="136" t="s">
        <v>537</v>
      </c>
      <c r="H91" s="642">
        <v>43573</v>
      </c>
      <c r="I91" s="40">
        <v>29686.799999999999</v>
      </c>
      <c r="J91" s="640">
        <f t="shared" si="2"/>
        <v>8312.3040000000001</v>
      </c>
      <c r="K91" s="641">
        <v>0</v>
      </c>
      <c r="L91" s="41">
        <v>4156.152</v>
      </c>
      <c r="M91" s="41">
        <v>4156.152</v>
      </c>
      <c r="N91" s="41">
        <v>0</v>
      </c>
      <c r="O91" s="54">
        <f t="shared" si="3"/>
        <v>37999.103999999999</v>
      </c>
    </row>
    <row r="92" spans="1:15" x14ac:dyDescent="0.2">
      <c r="A92" s="33">
        <v>43556</v>
      </c>
      <c r="B92" s="11">
        <v>90</v>
      </c>
      <c r="C92" s="35" t="s">
        <v>538</v>
      </c>
      <c r="D92" s="34" t="s">
        <v>539</v>
      </c>
      <c r="E92" s="133" t="s">
        <v>25</v>
      </c>
      <c r="F92" s="74" t="s">
        <v>22</v>
      </c>
      <c r="G92" s="134" t="s">
        <v>540</v>
      </c>
      <c r="H92" s="642">
        <v>43573</v>
      </c>
      <c r="I92" s="40">
        <v>54740</v>
      </c>
      <c r="J92" s="640">
        <f t="shared" si="2"/>
        <v>9853.1999999999989</v>
      </c>
      <c r="K92" s="641">
        <v>0</v>
      </c>
      <c r="L92" s="41">
        <v>4926.5999999999995</v>
      </c>
      <c r="M92" s="41">
        <v>4926.5999999999995</v>
      </c>
      <c r="N92" s="41">
        <v>0</v>
      </c>
      <c r="O92" s="54">
        <f t="shared" si="3"/>
        <v>64593.2</v>
      </c>
    </row>
    <row r="93" spans="1:15" x14ac:dyDescent="0.2">
      <c r="A93" s="33">
        <v>43556</v>
      </c>
      <c r="B93" s="11">
        <v>91</v>
      </c>
      <c r="C93" s="35" t="s">
        <v>541</v>
      </c>
      <c r="D93" s="34" t="s">
        <v>542</v>
      </c>
      <c r="E93" s="133" t="s">
        <v>25</v>
      </c>
      <c r="F93" s="74" t="s">
        <v>22</v>
      </c>
      <c r="G93" s="136" t="s">
        <v>543</v>
      </c>
      <c r="H93" s="642">
        <v>43556</v>
      </c>
      <c r="I93" s="40">
        <v>3500</v>
      </c>
      <c r="J93" s="640">
        <f t="shared" si="2"/>
        <v>630</v>
      </c>
      <c r="K93" s="641">
        <v>0</v>
      </c>
      <c r="L93" s="41">
        <v>315</v>
      </c>
      <c r="M93" s="41">
        <v>315</v>
      </c>
      <c r="N93" s="41">
        <v>0</v>
      </c>
      <c r="O93" s="54">
        <f t="shared" si="3"/>
        <v>4130</v>
      </c>
    </row>
    <row r="94" spans="1:15" x14ac:dyDescent="0.2">
      <c r="A94" s="33">
        <v>43556</v>
      </c>
      <c r="B94" s="11">
        <v>92</v>
      </c>
      <c r="C94" s="35" t="s">
        <v>479</v>
      </c>
      <c r="D94" s="34" t="s">
        <v>480</v>
      </c>
      <c r="E94" s="133" t="s">
        <v>25</v>
      </c>
      <c r="F94" s="74" t="s">
        <v>22</v>
      </c>
      <c r="G94" s="134">
        <v>1038</v>
      </c>
      <c r="H94" s="642">
        <v>43572</v>
      </c>
      <c r="I94" s="40">
        <v>4536</v>
      </c>
      <c r="J94" s="640">
        <f t="shared" si="2"/>
        <v>816.48</v>
      </c>
      <c r="K94" s="641">
        <v>0</v>
      </c>
      <c r="L94" s="41">
        <v>408.24</v>
      </c>
      <c r="M94" s="41">
        <v>408.24</v>
      </c>
      <c r="N94" s="41">
        <v>0</v>
      </c>
      <c r="O94" s="54">
        <f t="shared" si="3"/>
        <v>5352.48</v>
      </c>
    </row>
    <row r="95" spans="1:15" x14ac:dyDescent="0.2">
      <c r="A95" s="33">
        <v>43556</v>
      </c>
      <c r="B95" s="11">
        <v>93</v>
      </c>
      <c r="C95" s="35" t="s">
        <v>473</v>
      </c>
      <c r="D95" s="34" t="s">
        <v>41</v>
      </c>
      <c r="E95" s="133" t="s">
        <v>25</v>
      </c>
      <c r="F95" s="74" t="s">
        <v>22</v>
      </c>
      <c r="G95" s="134" t="s">
        <v>545</v>
      </c>
      <c r="H95" s="642">
        <v>43574</v>
      </c>
      <c r="I95" s="40">
        <v>3284</v>
      </c>
      <c r="J95" s="640">
        <f t="shared" si="2"/>
        <v>919.5200000000001</v>
      </c>
      <c r="K95" s="641">
        <v>0</v>
      </c>
      <c r="L95" s="41">
        <v>459.76000000000005</v>
      </c>
      <c r="M95" s="41">
        <v>459.76000000000005</v>
      </c>
      <c r="N95" s="41">
        <v>0</v>
      </c>
      <c r="O95" s="54">
        <f t="shared" si="3"/>
        <v>4203.5200000000004</v>
      </c>
    </row>
    <row r="96" spans="1:15" x14ac:dyDescent="0.2">
      <c r="A96" s="33">
        <v>43556</v>
      </c>
      <c r="B96" s="11">
        <v>94</v>
      </c>
      <c r="C96" s="35" t="s">
        <v>471</v>
      </c>
      <c r="D96" s="34" t="s">
        <v>29</v>
      </c>
      <c r="E96" s="133" t="s">
        <v>25</v>
      </c>
      <c r="F96" s="74" t="s">
        <v>22</v>
      </c>
      <c r="G96" s="134">
        <v>192000599</v>
      </c>
      <c r="H96" s="642">
        <v>43574</v>
      </c>
      <c r="I96" s="40">
        <v>17483.52</v>
      </c>
      <c r="J96" s="640">
        <f t="shared" si="2"/>
        <v>4895.3856000000005</v>
      </c>
      <c r="K96" s="641">
        <v>0</v>
      </c>
      <c r="L96" s="41">
        <v>2447.6928000000003</v>
      </c>
      <c r="M96" s="41">
        <v>2447.6928000000003</v>
      </c>
      <c r="N96" s="41">
        <v>0</v>
      </c>
      <c r="O96" s="54">
        <f t="shared" si="3"/>
        <v>22378.905600000002</v>
      </c>
    </row>
    <row r="97" spans="1:15" x14ac:dyDescent="0.2">
      <c r="A97" s="33">
        <v>43556</v>
      </c>
      <c r="B97" s="11">
        <v>95</v>
      </c>
      <c r="C97" s="35" t="s">
        <v>471</v>
      </c>
      <c r="D97" s="34" t="s">
        <v>29</v>
      </c>
      <c r="E97" s="133" t="s">
        <v>25</v>
      </c>
      <c r="F97" s="74" t="s">
        <v>22</v>
      </c>
      <c r="G97" s="134">
        <v>192000632</v>
      </c>
      <c r="H97" s="642">
        <v>43575</v>
      </c>
      <c r="I97" s="40">
        <v>17483.52</v>
      </c>
      <c r="J97" s="640">
        <f t="shared" si="2"/>
        <v>4895.3856000000005</v>
      </c>
      <c r="K97" s="641">
        <v>0</v>
      </c>
      <c r="L97" s="41">
        <v>2447.6928000000003</v>
      </c>
      <c r="M97" s="41">
        <v>2447.6928000000003</v>
      </c>
      <c r="N97" s="41">
        <v>0</v>
      </c>
      <c r="O97" s="54">
        <f t="shared" si="3"/>
        <v>22378.905600000002</v>
      </c>
    </row>
    <row r="98" spans="1:15" x14ac:dyDescent="0.2">
      <c r="A98" s="33">
        <v>43556</v>
      </c>
      <c r="B98" s="11">
        <v>96</v>
      </c>
      <c r="C98" s="35" t="s">
        <v>471</v>
      </c>
      <c r="D98" s="34" t="s">
        <v>29</v>
      </c>
      <c r="E98" s="133" t="s">
        <v>25</v>
      </c>
      <c r="F98" s="74" t="s">
        <v>22</v>
      </c>
      <c r="G98" s="136">
        <v>192000639</v>
      </c>
      <c r="H98" s="642">
        <v>43575</v>
      </c>
      <c r="I98" s="40">
        <v>17483.52</v>
      </c>
      <c r="J98" s="640">
        <f t="shared" si="2"/>
        <v>4895.3856000000005</v>
      </c>
      <c r="K98" s="641">
        <v>0</v>
      </c>
      <c r="L98" s="41">
        <v>2447.6928000000003</v>
      </c>
      <c r="M98" s="41">
        <v>2447.6928000000003</v>
      </c>
      <c r="N98" s="41">
        <v>0</v>
      </c>
      <c r="O98" s="54">
        <f t="shared" si="3"/>
        <v>22378.905600000002</v>
      </c>
    </row>
    <row r="99" spans="1:15" x14ac:dyDescent="0.2">
      <c r="A99" s="33">
        <v>43556</v>
      </c>
      <c r="B99" s="11">
        <v>97</v>
      </c>
      <c r="C99" s="35" t="s">
        <v>471</v>
      </c>
      <c r="D99" s="34" t="s">
        <v>29</v>
      </c>
      <c r="E99" s="133" t="s">
        <v>25</v>
      </c>
      <c r="F99" s="74" t="s">
        <v>22</v>
      </c>
      <c r="G99" s="136">
        <v>192000642</v>
      </c>
      <c r="H99" s="642">
        <v>43575</v>
      </c>
      <c r="I99" s="40">
        <v>17483.52</v>
      </c>
      <c r="J99" s="640">
        <f t="shared" si="2"/>
        <v>4895.3856000000005</v>
      </c>
      <c r="K99" s="641">
        <v>0</v>
      </c>
      <c r="L99" s="41">
        <v>2447.6928000000003</v>
      </c>
      <c r="M99" s="41">
        <v>2447.6928000000003</v>
      </c>
      <c r="N99" s="41">
        <v>0</v>
      </c>
      <c r="O99" s="54">
        <f t="shared" si="3"/>
        <v>22378.905600000002</v>
      </c>
    </row>
    <row r="100" spans="1:15" x14ac:dyDescent="0.2">
      <c r="A100" s="33">
        <v>43556</v>
      </c>
      <c r="B100" s="11">
        <v>98</v>
      </c>
      <c r="C100" s="35" t="s">
        <v>546</v>
      </c>
      <c r="D100" s="34" t="s">
        <v>547</v>
      </c>
      <c r="E100" s="133" t="s">
        <v>25</v>
      </c>
      <c r="F100" s="74" t="s">
        <v>22</v>
      </c>
      <c r="G100" s="136" t="s">
        <v>548</v>
      </c>
      <c r="H100" s="642">
        <v>43574</v>
      </c>
      <c r="I100" s="40">
        <v>1275</v>
      </c>
      <c r="J100" s="640">
        <f t="shared" si="2"/>
        <v>229.5</v>
      </c>
      <c r="K100" s="641">
        <v>0</v>
      </c>
      <c r="L100" s="41">
        <v>114.75</v>
      </c>
      <c r="M100" s="41">
        <v>114.75</v>
      </c>
      <c r="N100" s="41">
        <v>0</v>
      </c>
      <c r="O100" s="54">
        <f t="shared" si="3"/>
        <v>1504.5</v>
      </c>
    </row>
    <row r="101" spans="1:15" x14ac:dyDescent="0.2">
      <c r="A101" s="33">
        <v>43556</v>
      </c>
      <c r="B101" s="11">
        <v>99</v>
      </c>
      <c r="C101" s="35" t="s">
        <v>473</v>
      </c>
      <c r="D101" s="34" t="s">
        <v>41</v>
      </c>
      <c r="E101" s="133" t="s">
        <v>25</v>
      </c>
      <c r="F101" s="74" t="s">
        <v>22</v>
      </c>
      <c r="G101" s="134" t="s">
        <v>549</v>
      </c>
      <c r="H101" s="642">
        <v>43576</v>
      </c>
      <c r="I101" s="40">
        <v>5770.8</v>
      </c>
      <c r="J101" s="640">
        <f t="shared" si="2"/>
        <v>1615.8240000000001</v>
      </c>
      <c r="K101" s="641">
        <v>0</v>
      </c>
      <c r="L101" s="41">
        <v>807.91200000000003</v>
      </c>
      <c r="M101" s="41">
        <v>807.91200000000003</v>
      </c>
      <c r="N101" s="41">
        <v>0</v>
      </c>
      <c r="O101" s="54">
        <f t="shared" si="3"/>
        <v>7386.6239999999998</v>
      </c>
    </row>
    <row r="102" spans="1:15" x14ac:dyDescent="0.2">
      <c r="A102" s="33">
        <v>43556</v>
      </c>
      <c r="B102" s="11">
        <v>100</v>
      </c>
      <c r="C102" s="35" t="s">
        <v>473</v>
      </c>
      <c r="D102" s="34" t="s">
        <v>41</v>
      </c>
      <c r="E102" s="133" t="s">
        <v>25</v>
      </c>
      <c r="F102" s="74" t="s">
        <v>22</v>
      </c>
      <c r="G102" s="136" t="s">
        <v>550</v>
      </c>
      <c r="H102" s="642">
        <v>43576</v>
      </c>
      <c r="I102" s="40">
        <v>4810.24</v>
      </c>
      <c r="J102" s="640">
        <f t="shared" si="2"/>
        <v>1346.8671999999999</v>
      </c>
      <c r="K102" s="641">
        <v>0</v>
      </c>
      <c r="L102" s="41">
        <v>673.43359999999996</v>
      </c>
      <c r="M102" s="41">
        <v>673.43359999999996</v>
      </c>
      <c r="N102" s="41">
        <v>0</v>
      </c>
      <c r="O102" s="54">
        <f t="shared" si="3"/>
        <v>6157.1071999999995</v>
      </c>
    </row>
    <row r="103" spans="1:15" x14ac:dyDescent="0.2">
      <c r="A103" s="33">
        <v>43556</v>
      </c>
      <c r="B103" s="11">
        <v>101</v>
      </c>
      <c r="C103" s="35" t="s">
        <v>471</v>
      </c>
      <c r="D103" s="34" t="s">
        <v>29</v>
      </c>
      <c r="E103" s="133" t="s">
        <v>25</v>
      </c>
      <c r="F103" s="74" t="s">
        <v>22</v>
      </c>
      <c r="G103" s="134">
        <v>192000659</v>
      </c>
      <c r="H103" s="642">
        <v>43577</v>
      </c>
      <c r="I103" s="40">
        <v>17483.52</v>
      </c>
      <c r="J103" s="640">
        <f t="shared" si="2"/>
        <v>4895.3856000000005</v>
      </c>
      <c r="K103" s="641">
        <v>0</v>
      </c>
      <c r="L103" s="41">
        <v>2447.6928000000003</v>
      </c>
      <c r="M103" s="41">
        <v>2447.6928000000003</v>
      </c>
      <c r="N103" s="41">
        <v>0</v>
      </c>
      <c r="O103" s="54">
        <f t="shared" si="3"/>
        <v>22378.905600000002</v>
      </c>
    </row>
    <row r="104" spans="1:15" x14ac:dyDescent="0.2">
      <c r="A104" s="33">
        <v>43556</v>
      </c>
      <c r="B104" s="11">
        <v>102</v>
      </c>
      <c r="C104" s="35" t="s">
        <v>551</v>
      </c>
      <c r="D104" s="34" t="s">
        <v>552</v>
      </c>
      <c r="E104" s="133" t="s">
        <v>25</v>
      </c>
      <c r="F104" s="74" t="s">
        <v>22</v>
      </c>
      <c r="G104" s="134" t="s">
        <v>553</v>
      </c>
      <c r="H104" s="642">
        <v>43577</v>
      </c>
      <c r="I104" s="40">
        <v>1000</v>
      </c>
      <c r="J104" s="640">
        <f t="shared" si="2"/>
        <v>180</v>
      </c>
      <c r="K104" s="641">
        <v>0</v>
      </c>
      <c r="L104" s="41">
        <v>90</v>
      </c>
      <c r="M104" s="41">
        <v>90</v>
      </c>
      <c r="N104" s="41">
        <v>0</v>
      </c>
      <c r="O104" s="54">
        <f t="shared" si="3"/>
        <v>1180</v>
      </c>
    </row>
    <row r="105" spans="1:15" x14ac:dyDescent="0.2">
      <c r="A105" s="33">
        <v>43556</v>
      </c>
      <c r="B105" s="11">
        <v>103</v>
      </c>
      <c r="C105" s="35" t="s">
        <v>554</v>
      </c>
      <c r="D105" s="34" t="s">
        <v>555</v>
      </c>
      <c r="E105" s="133" t="s">
        <v>25</v>
      </c>
      <c r="F105" s="74" t="s">
        <v>22</v>
      </c>
      <c r="G105" s="134">
        <v>764</v>
      </c>
      <c r="H105" s="642">
        <v>43577</v>
      </c>
      <c r="I105" s="40">
        <v>1946</v>
      </c>
      <c r="J105" s="640">
        <f t="shared" si="2"/>
        <v>544.88</v>
      </c>
      <c r="K105" s="641">
        <v>0</v>
      </c>
      <c r="L105" s="41">
        <v>272.44</v>
      </c>
      <c r="M105" s="41">
        <v>272.44</v>
      </c>
      <c r="N105" s="41">
        <v>0</v>
      </c>
      <c r="O105" s="54">
        <f t="shared" si="3"/>
        <v>2490.88</v>
      </c>
    </row>
    <row r="106" spans="1:15" x14ac:dyDescent="0.2">
      <c r="A106" s="33">
        <v>43556</v>
      </c>
      <c r="B106" s="11">
        <v>104</v>
      </c>
      <c r="C106" s="35" t="s">
        <v>471</v>
      </c>
      <c r="D106" s="34" t="s">
        <v>29</v>
      </c>
      <c r="E106" s="133" t="s">
        <v>25</v>
      </c>
      <c r="F106" s="74" t="s">
        <v>22</v>
      </c>
      <c r="G106" s="134">
        <v>192000722</v>
      </c>
      <c r="H106" s="642">
        <v>43578</v>
      </c>
      <c r="I106" s="40">
        <v>17483.52</v>
      </c>
      <c r="J106" s="640">
        <f t="shared" si="2"/>
        <v>4895.3856000000005</v>
      </c>
      <c r="K106" s="641">
        <v>0</v>
      </c>
      <c r="L106" s="41">
        <v>2447.6928000000003</v>
      </c>
      <c r="M106" s="41">
        <v>2447.6928000000003</v>
      </c>
      <c r="N106" s="41">
        <v>0</v>
      </c>
      <c r="O106" s="54">
        <f t="shared" si="3"/>
        <v>22378.905600000002</v>
      </c>
    </row>
    <row r="107" spans="1:15" x14ac:dyDescent="0.2">
      <c r="A107" s="33">
        <v>43556</v>
      </c>
      <c r="B107" s="11">
        <v>105</v>
      </c>
      <c r="C107" s="35" t="s">
        <v>471</v>
      </c>
      <c r="D107" s="34" t="s">
        <v>29</v>
      </c>
      <c r="E107" s="133" t="s">
        <v>25</v>
      </c>
      <c r="F107" s="74" t="s">
        <v>22</v>
      </c>
      <c r="G107" s="134">
        <v>192000729</v>
      </c>
      <c r="H107" s="642">
        <v>43578</v>
      </c>
      <c r="I107" s="40">
        <v>17483.52</v>
      </c>
      <c r="J107" s="640">
        <f t="shared" si="2"/>
        <v>4895.3856000000005</v>
      </c>
      <c r="K107" s="641">
        <v>0</v>
      </c>
      <c r="L107" s="41">
        <v>2447.6928000000003</v>
      </c>
      <c r="M107" s="41">
        <v>2447.6928000000003</v>
      </c>
      <c r="N107" s="41">
        <v>0</v>
      </c>
      <c r="O107" s="54">
        <f t="shared" si="3"/>
        <v>22378.905600000002</v>
      </c>
    </row>
    <row r="108" spans="1:15" x14ac:dyDescent="0.2">
      <c r="A108" s="33">
        <v>43556</v>
      </c>
      <c r="B108" s="11">
        <v>106</v>
      </c>
      <c r="C108" s="35" t="s">
        <v>471</v>
      </c>
      <c r="D108" s="34" t="s">
        <v>29</v>
      </c>
      <c r="E108" s="133" t="s">
        <v>25</v>
      </c>
      <c r="F108" s="74" t="s">
        <v>22</v>
      </c>
      <c r="G108" s="134">
        <v>192000730</v>
      </c>
      <c r="H108" s="642">
        <v>43578</v>
      </c>
      <c r="I108" s="40">
        <v>17483.52</v>
      </c>
      <c r="J108" s="640">
        <f t="shared" si="2"/>
        <v>4895.3856000000005</v>
      </c>
      <c r="K108" s="641">
        <v>0</v>
      </c>
      <c r="L108" s="41">
        <v>2447.6928000000003</v>
      </c>
      <c r="M108" s="41">
        <v>2447.6928000000003</v>
      </c>
      <c r="N108" s="41">
        <v>0</v>
      </c>
      <c r="O108" s="54">
        <f t="shared" si="3"/>
        <v>22378.905600000002</v>
      </c>
    </row>
    <row r="109" spans="1:15" x14ac:dyDescent="0.2">
      <c r="A109" s="33">
        <v>43556</v>
      </c>
      <c r="B109" s="11">
        <v>107</v>
      </c>
      <c r="C109" s="35" t="s">
        <v>472</v>
      </c>
      <c r="D109" s="34" t="s">
        <v>21</v>
      </c>
      <c r="E109" s="133" t="s">
        <v>25</v>
      </c>
      <c r="F109" s="74" t="s">
        <v>22</v>
      </c>
      <c r="G109" s="136">
        <v>2041216299</v>
      </c>
      <c r="H109" s="642">
        <v>43578</v>
      </c>
      <c r="I109" s="40">
        <v>5562</v>
      </c>
      <c r="J109" s="640">
        <f t="shared" si="2"/>
        <v>1557.36</v>
      </c>
      <c r="K109" s="641">
        <v>0</v>
      </c>
      <c r="L109" s="41">
        <v>778.68</v>
      </c>
      <c r="M109" s="41">
        <v>778.68</v>
      </c>
      <c r="N109" s="41">
        <v>0</v>
      </c>
      <c r="O109" s="54">
        <f t="shared" si="3"/>
        <v>7119.36</v>
      </c>
    </row>
    <row r="110" spans="1:15" x14ac:dyDescent="0.2">
      <c r="A110" s="33">
        <v>43556</v>
      </c>
      <c r="B110" s="11">
        <v>108</v>
      </c>
      <c r="C110" s="35" t="s">
        <v>472</v>
      </c>
      <c r="D110" s="34" t="s">
        <v>21</v>
      </c>
      <c r="E110" s="133" t="s">
        <v>25</v>
      </c>
      <c r="F110" s="74" t="s">
        <v>22</v>
      </c>
      <c r="G110" s="136">
        <v>2041216300</v>
      </c>
      <c r="H110" s="642">
        <v>43578</v>
      </c>
      <c r="I110" s="40">
        <v>5562</v>
      </c>
      <c r="J110" s="640">
        <f t="shared" si="2"/>
        <v>1557.36</v>
      </c>
      <c r="K110" s="641">
        <v>0</v>
      </c>
      <c r="L110" s="41">
        <v>778.68</v>
      </c>
      <c r="M110" s="41">
        <v>778.68</v>
      </c>
      <c r="N110" s="41">
        <v>0</v>
      </c>
      <c r="O110" s="54">
        <f t="shared" si="3"/>
        <v>7119.36</v>
      </c>
    </row>
    <row r="111" spans="1:15" x14ac:dyDescent="0.2">
      <c r="A111" s="33">
        <v>43556</v>
      </c>
      <c r="B111" s="11">
        <v>109</v>
      </c>
      <c r="C111" s="35" t="s">
        <v>556</v>
      </c>
      <c r="D111" s="34" t="s">
        <v>557</v>
      </c>
      <c r="E111" s="133" t="s">
        <v>25</v>
      </c>
      <c r="F111" s="74" t="s">
        <v>22</v>
      </c>
      <c r="G111" s="136" t="s">
        <v>558</v>
      </c>
      <c r="H111" s="642">
        <v>43577</v>
      </c>
      <c r="I111" s="40">
        <v>68420</v>
      </c>
      <c r="J111" s="640">
        <f t="shared" si="2"/>
        <v>12316</v>
      </c>
      <c r="K111" s="641">
        <v>0</v>
      </c>
      <c r="L111" s="41">
        <v>6158</v>
      </c>
      <c r="M111" s="41">
        <v>6158</v>
      </c>
      <c r="N111" s="41">
        <v>0</v>
      </c>
      <c r="O111" s="54">
        <f t="shared" si="3"/>
        <v>80736</v>
      </c>
    </row>
    <row r="112" spans="1:15" x14ac:dyDescent="0.2">
      <c r="A112" s="33">
        <v>43556</v>
      </c>
      <c r="B112" s="11">
        <v>110</v>
      </c>
      <c r="C112" s="35" t="s">
        <v>473</v>
      </c>
      <c r="D112" s="34" t="s">
        <v>41</v>
      </c>
      <c r="E112" s="133" t="s">
        <v>25</v>
      </c>
      <c r="F112" s="74" t="s">
        <v>22</v>
      </c>
      <c r="G112" s="136" t="s">
        <v>559</v>
      </c>
      <c r="H112" s="642">
        <v>43579</v>
      </c>
      <c r="I112" s="40">
        <v>3206</v>
      </c>
      <c r="J112" s="640">
        <f t="shared" si="2"/>
        <v>897.68000000000006</v>
      </c>
      <c r="K112" s="641">
        <v>0</v>
      </c>
      <c r="L112" s="41">
        <v>448.84000000000003</v>
      </c>
      <c r="M112" s="41">
        <v>448.84000000000003</v>
      </c>
      <c r="N112" s="41">
        <v>0</v>
      </c>
      <c r="O112" s="54">
        <f t="shared" si="3"/>
        <v>4103.68</v>
      </c>
    </row>
    <row r="113" spans="1:15" x14ac:dyDescent="0.2">
      <c r="A113" s="33">
        <v>43556</v>
      </c>
      <c r="B113" s="11">
        <v>111</v>
      </c>
      <c r="C113" s="35" t="s">
        <v>473</v>
      </c>
      <c r="D113" s="34" t="s">
        <v>41</v>
      </c>
      <c r="E113" s="133" t="s">
        <v>25</v>
      </c>
      <c r="F113" s="74" t="s">
        <v>22</v>
      </c>
      <c r="G113" s="134" t="s">
        <v>560</v>
      </c>
      <c r="H113" s="642">
        <v>43579</v>
      </c>
      <c r="I113" s="40">
        <v>4810.24</v>
      </c>
      <c r="J113" s="640">
        <f t="shared" si="2"/>
        <v>1346.8671999999999</v>
      </c>
      <c r="K113" s="641">
        <v>0</v>
      </c>
      <c r="L113" s="41">
        <v>673.43359999999996</v>
      </c>
      <c r="M113" s="41">
        <v>673.43359999999996</v>
      </c>
      <c r="N113" s="41">
        <v>0</v>
      </c>
      <c r="O113" s="54">
        <f t="shared" si="3"/>
        <v>6157.1071999999995</v>
      </c>
    </row>
    <row r="114" spans="1:15" x14ac:dyDescent="0.2">
      <c r="A114" s="33">
        <v>43556</v>
      </c>
      <c r="B114" s="11">
        <v>112</v>
      </c>
      <c r="C114" s="35" t="s">
        <v>561</v>
      </c>
      <c r="D114" s="34" t="s">
        <v>562</v>
      </c>
      <c r="E114" s="133" t="s">
        <v>25</v>
      </c>
      <c r="F114" s="74" t="s">
        <v>22</v>
      </c>
      <c r="G114" s="134" t="s">
        <v>563</v>
      </c>
      <c r="H114" s="642">
        <v>43571</v>
      </c>
      <c r="I114" s="40">
        <v>17100</v>
      </c>
      <c r="J114" s="640">
        <f t="shared" si="2"/>
        <v>3078</v>
      </c>
      <c r="K114" s="641">
        <v>0</v>
      </c>
      <c r="L114" s="41">
        <v>1539</v>
      </c>
      <c r="M114" s="41">
        <v>1539</v>
      </c>
      <c r="N114" s="41">
        <v>0</v>
      </c>
      <c r="O114" s="54">
        <f t="shared" si="3"/>
        <v>20178</v>
      </c>
    </row>
    <row r="115" spans="1:15" x14ac:dyDescent="0.2">
      <c r="A115" s="33">
        <v>43556</v>
      </c>
      <c r="B115" s="11">
        <v>113</v>
      </c>
      <c r="C115" s="35" t="s">
        <v>471</v>
      </c>
      <c r="D115" s="34" t="s">
        <v>29</v>
      </c>
      <c r="E115" s="133" t="s">
        <v>25</v>
      </c>
      <c r="F115" s="74" t="s">
        <v>22</v>
      </c>
      <c r="G115" s="136">
        <v>192000782</v>
      </c>
      <c r="H115" s="642">
        <v>43579</v>
      </c>
      <c r="I115" s="40">
        <v>17483.52</v>
      </c>
      <c r="J115" s="640">
        <f t="shared" si="2"/>
        <v>4895.3856000000005</v>
      </c>
      <c r="K115" s="641">
        <v>0</v>
      </c>
      <c r="L115" s="41">
        <v>2447.6928000000003</v>
      </c>
      <c r="M115" s="41">
        <v>2447.6928000000003</v>
      </c>
      <c r="N115" s="41">
        <v>0</v>
      </c>
      <c r="O115" s="54">
        <f t="shared" si="3"/>
        <v>22378.905600000002</v>
      </c>
    </row>
    <row r="116" spans="1:15" x14ac:dyDescent="0.2">
      <c r="A116" s="33">
        <v>43556</v>
      </c>
      <c r="B116" s="11">
        <v>114</v>
      </c>
      <c r="C116" s="35" t="s">
        <v>471</v>
      </c>
      <c r="D116" s="34" t="s">
        <v>29</v>
      </c>
      <c r="E116" s="133" t="s">
        <v>25</v>
      </c>
      <c r="F116" s="74" t="s">
        <v>22</v>
      </c>
      <c r="G116" s="134">
        <v>192000783</v>
      </c>
      <c r="H116" s="642">
        <v>43579</v>
      </c>
      <c r="I116" s="40">
        <v>17483.52</v>
      </c>
      <c r="J116" s="640">
        <f t="shared" si="2"/>
        <v>4895.3856000000005</v>
      </c>
      <c r="K116" s="641">
        <v>0</v>
      </c>
      <c r="L116" s="41">
        <v>2447.6928000000003</v>
      </c>
      <c r="M116" s="41">
        <v>2447.6928000000003</v>
      </c>
      <c r="N116" s="41">
        <v>0</v>
      </c>
      <c r="O116" s="54">
        <f t="shared" si="3"/>
        <v>22378.905600000002</v>
      </c>
    </row>
    <row r="117" spans="1:15" x14ac:dyDescent="0.2">
      <c r="A117" s="33">
        <v>43556</v>
      </c>
      <c r="B117" s="11">
        <v>115</v>
      </c>
      <c r="C117" s="35" t="s">
        <v>511</v>
      </c>
      <c r="D117" s="34" t="s">
        <v>512</v>
      </c>
      <c r="E117" s="133" t="s">
        <v>25</v>
      </c>
      <c r="F117" s="74" t="s">
        <v>22</v>
      </c>
      <c r="G117" s="134" t="s">
        <v>564</v>
      </c>
      <c r="H117" s="642">
        <v>43580</v>
      </c>
      <c r="I117" s="40">
        <v>4200</v>
      </c>
      <c r="J117" s="640">
        <f t="shared" si="2"/>
        <v>756</v>
      </c>
      <c r="K117" s="641">
        <v>0</v>
      </c>
      <c r="L117" s="41">
        <v>378</v>
      </c>
      <c r="M117" s="41">
        <v>378</v>
      </c>
      <c r="N117" s="41">
        <v>0</v>
      </c>
      <c r="O117" s="54">
        <f t="shared" si="3"/>
        <v>4956</v>
      </c>
    </row>
    <row r="118" spans="1:15" x14ac:dyDescent="0.2">
      <c r="A118" s="33">
        <v>43556</v>
      </c>
      <c r="B118" s="11">
        <v>116</v>
      </c>
      <c r="C118" s="35" t="s">
        <v>471</v>
      </c>
      <c r="D118" s="34" t="s">
        <v>29</v>
      </c>
      <c r="E118" s="133" t="s">
        <v>25</v>
      </c>
      <c r="F118" s="74" t="s">
        <v>22</v>
      </c>
      <c r="G118" s="134">
        <v>192000837</v>
      </c>
      <c r="H118" s="642">
        <v>43581</v>
      </c>
      <c r="I118" s="40">
        <v>17483.52</v>
      </c>
      <c r="J118" s="640">
        <f t="shared" si="2"/>
        <v>4895.3856000000005</v>
      </c>
      <c r="K118" s="641">
        <v>0</v>
      </c>
      <c r="L118" s="41">
        <v>2447.6928000000003</v>
      </c>
      <c r="M118" s="41">
        <v>2447.6928000000003</v>
      </c>
      <c r="N118" s="41">
        <v>0</v>
      </c>
      <c r="O118" s="54">
        <f t="shared" si="3"/>
        <v>22378.905600000002</v>
      </c>
    </row>
    <row r="119" spans="1:15" x14ac:dyDescent="0.2">
      <c r="A119" s="33">
        <v>43556</v>
      </c>
      <c r="B119" s="11">
        <v>117</v>
      </c>
      <c r="C119" s="35" t="s">
        <v>471</v>
      </c>
      <c r="D119" s="34" t="s">
        <v>29</v>
      </c>
      <c r="E119" s="133" t="s">
        <v>25</v>
      </c>
      <c r="F119" s="74" t="s">
        <v>22</v>
      </c>
      <c r="G119" s="134">
        <v>192000838</v>
      </c>
      <c r="H119" s="642">
        <v>43581</v>
      </c>
      <c r="I119" s="40">
        <v>17483.52</v>
      </c>
      <c r="J119" s="640">
        <f t="shared" si="2"/>
        <v>4895.3856000000005</v>
      </c>
      <c r="K119" s="641">
        <v>0</v>
      </c>
      <c r="L119" s="41">
        <v>2447.6928000000003</v>
      </c>
      <c r="M119" s="41">
        <v>2447.6928000000003</v>
      </c>
      <c r="N119" s="41">
        <v>0</v>
      </c>
      <c r="O119" s="54">
        <f t="shared" si="3"/>
        <v>22378.905600000002</v>
      </c>
    </row>
    <row r="120" spans="1:15" x14ac:dyDescent="0.2">
      <c r="A120" s="33">
        <v>43556</v>
      </c>
      <c r="B120" s="11">
        <v>118</v>
      </c>
      <c r="C120" s="35" t="s">
        <v>565</v>
      </c>
      <c r="D120" s="34" t="s">
        <v>566</v>
      </c>
      <c r="E120" s="133" t="s">
        <v>25</v>
      </c>
      <c r="F120" s="74" t="s">
        <v>22</v>
      </c>
      <c r="G120" s="134">
        <v>4635</v>
      </c>
      <c r="H120" s="642">
        <v>43556</v>
      </c>
      <c r="I120" s="40">
        <v>5496.34</v>
      </c>
      <c r="J120" s="640">
        <f t="shared" si="2"/>
        <v>906.16</v>
      </c>
      <c r="K120" s="641">
        <v>0</v>
      </c>
      <c r="L120" s="41">
        <v>453.08</v>
      </c>
      <c r="M120" s="41">
        <v>453.08</v>
      </c>
      <c r="N120" s="41">
        <v>0</v>
      </c>
      <c r="O120" s="54">
        <f t="shared" si="3"/>
        <v>6402.5</v>
      </c>
    </row>
    <row r="121" spans="1:15" x14ac:dyDescent="0.2">
      <c r="A121" s="33">
        <v>43556</v>
      </c>
      <c r="B121" s="11">
        <v>119</v>
      </c>
      <c r="C121" s="35" t="s">
        <v>570</v>
      </c>
      <c r="D121" s="34" t="s">
        <v>571</v>
      </c>
      <c r="E121" s="133" t="s">
        <v>25</v>
      </c>
      <c r="F121" s="74" t="s">
        <v>22</v>
      </c>
      <c r="G121" s="136" t="s">
        <v>572</v>
      </c>
      <c r="H121" s="642">
        <v>43573</v>
      </c>
      <c r="I121" s="40">
        <v>31881.25</v>
      </c>
      <c r="J121" s="640">
        <f t="shared" si="2"/>
        <v>5738.64</v>
      </c>
      <c r="K121" s="641">
        <v>0</v>
      </c>
      <c r="L121" s="41">
        <v>2869.32</v>
      </c>
      <c r="M121" s="41">
        <v>2869.32</v>
      </c>
      <c r="N121" s="41">
        <v>0</v>
      </c>
      <c r="O121" s="54">
        <f t="shared" si="3"/>
        <v>37619.89</v>
      </c>
    </row>
    <row r="122" spans="1:15" x14ac:dyDescent="0.2">
      <c r="A122" s="33">
        <v>43556</v>
      </c>
      <c r="B122" s="11">
        <v>120</v>
      </c>
      <c r="C122" s="35" t="s">
        <v>554</v>
      </c>
      <c r="D122" s="34" t="s">
        <v>555</v>
      </c>
      <c r="E122" s="133" t="s">
        <v>25</v>
      </c>
      <c r="F122" s="74" t="s">
        <v>22</v>
      </c>
      <c r="G122" s="136">
        <v>902</v>
      </c>
      <c r="H122" s="642">
        <v>43581</v>
      </c>
      <c r="I122" s="40">
        <v>2780</v>
      </c>
      <c r="J122" s="640">
        <f t="shared" si="2"/>
        <v>778.4</v>
      </c>
      <c r="K122" s="641">
        <v>0</v>
      </c>
      <c r="L122" s="41">
        <v>389.2</v>
      </c>
      <c r="M122" s="41">
        <v>389.2</v>
      </c>
      <c r="N122" s="41">
        <v>0</v>
      </c>
      <c r="O122" s="54">
        <f t="shared" si="3"/>
        <v>3558.4</v>
      </c>
    </row>
    <row r="123" spans="1:15" x14ac:dyDescent="0.2">
      <c r="A123" s="33">
        <v>43556</v>
      </c>
      <c r="B123" s="11">
        <v>121</v>
      </c>
      <c r="C123" s="35" t="s">
        <v>521</v>
      </c>
      <c r="D123" s="34" t="s">
        <v>522</v>
      </c>
      <c r="E123" s="133" t="s">
        <v>25</v>
      </c>
      <c r="F123" s="74" t="s">
        <v>22</v>
      </c>
      <c r="G123" s="136" t="s">
        <v>574</v>
      </c>
      <c r="H123" s="642">
        <v>43582</v>
      </c>
      <c r="I123" s="40">
        <v>30000</v>
      </c>
      <c r="J123" s="640">
        <f t="shared" si="2"/>
        <v>5400</v>
      </c>
      <c r="K123" s="641">
        <v>0</v>
      </c>
      <c r="L123" s="41">
        <v>2700</v>
      </c>
      <c r="M123" s="41">
        <v>2700</v>
      </c>
      <c r="N123" s="41">
        <v>0</v>
      </c>
      <c r="O123" s="54">
        <f t="shared" si="3"/>
        <v>35400</v>
      </c>
    </row>
    <row r="124" spans="1:15" x14ac:dyDescent="0.2">
      <c r="A124" s="33">
        <v>43556</v>
      </c>
      <c r="B124" s="11">
        <v>122</v>
      </c>
      <c r="C124" s="35" t="s">
        <v>473</v>
      </c>
      <c r="D124" s="34" t="s">
        <v>41</v>
      </c>
      <c r="E124" s="133" t="s">
        <v>25</v>
      </c>
      <c r="F124" s="74" t="s">
        <v>22</v>
      </c>
      <c r="G124" s="134" t="s">
        <v>575</v>
      </c>
      <c r="H124" s="642">
        <v>43582</v>
      </c>
      <c r="I124" s="40">
        <v>4809</v>
      </c>
      <c r="J124" s="640">
        <f t="shared" si="2"/>
        <v>1346.52</v>
      </c>
      <c r="K124" s="641">
        <v>0</v>
      </c>
      <c r="L124" s="41">
        <v>673.26</v>
      </c>
      <c r="M124" s="41">
        <v>673.26</v>
      </c>
      <c r="N124" s="41">
        <v>0</v>
      </c>
      <c r="O124" s="54">
        <f t="shared" si="3"/>
        <v>6155.52</v>
      </c>
    </row>
    <row r="125" spans="1:15" x14ac:dyDescent="0.2">
      <c r="A125" s="33">
        <v>43556</v>
      </c>
      <c r="B125" s="11">
        <v>123</v>
      </c>
      <c r="C125" s="35" t="s">
        <v>473</v>
      </c>
      <c r="D125" s="34" t="s">
        <v>41</v>
      </c>
      <c r="E125" s="133" t="s">
        <v>25</v>
      </c>
      <c r="F125" s="74" t="s">
        <v>22</v>
      </c>
      <c r="G125" s="134" t="s">
        <v>576</v>
      </c>
      <c r="H125" s="642">
        <v>43582</v>
      </c>
      <c r="I125" s="40">
        <v>6012.8</v>
      </c>
      <c r="J125" s="640">
        <f t="shared" si="2"/>
        <v>1683.5840000000001</v>
      </c>
      <c r="K125" s="641">
        <v>0</v>
      </c>
      <c r="L125" s="41">
        <v>841.79200000000003</v>
      </c>
      <c r="M125" s="41">
        <v>841.79200000000003</v>
      </c>
      <c r="N125" s="41">
        <v>0</v>
      </c>
      <c r="O125" s="54">
        <f t="shared" si="3"/>
        <v>7696.384</v>
      </c>
    </row>
    <row r="126" spans="1:15" x14ac:dyDescent="0.2">
      <c r="A126" s="33">
        <v>43556</v>
      </c>
      <c r="B126" s="11">
        <v>124</v>
      </c>
      <c r="C126" s="35" t="s">
        <v>554</v>
      </c>
      <c r="D126" s="34" t="s">
        <v>555</v>
      </c>
      <c r="E126" s="133" t="s">
        <v>25</v>
      </c>
      <c r="F126" s="74" t="s">
        <v>22</v>
      </c>
      <c r="G126" s="134">
        <v>953</v>
      </c>
      <c r="H126" s="642">
        <v>43583</v>
      </c>
      <c r="I126" s="40">
        <v>5481.25</v>
      </c>
      <c r="J126" s="640">
        <f t="shared" si="2"/>
        <v>1534.75</v>
      </c>
      <c r="K126" s="641">
        <v>0</v>
      </c>
      <c r="L126" s="41">
        <v>767.375</v>
      </c>
      <c r="M126" s="41">
        <v>767.375</v>
      </c>
      <c r="N126" s="41">
        <v>0</v>
      </c>
      <c r="O126" s="54">
        <f t="shared" si="3"/>
        <v>7016</v>
      </c>
    </row>
    <row r="127" spans="1:15" x14ac:dyDescent="0.2">
      <c r="A127" s="33">
        <v>43556</v>
      </c>
      <c r="B127" s="11">
        <v>125</v>
      </c>
      <c r="C127" s="35" t="s">
        <v>471</v>
      </c>
      <c r="D127" s="34" t="s">
        <v>29</v>
      </c>
      <c r="E127" s="133" t="s">
        <v>25</v>
      </c>
      <c r="F127" s="74" t="s">
        <v>22</v>
      </c>
      <c r="G127" s="134">
        <v>192000885</v>
      </c>
      <c r="H127" s="642">
        <v>43583</v>
      </c>
      <c r="I127" s="40">
        <v>17483.52</v>
      </c>
      <c r="J127" s="640">
        <f t="shared" si="2"/>
        <v>4895.3856000000005</v>
      </c>
      <c r="K127" s="641">
        <v>0</v>
      </c>
      <c r="L127" s="41">
        <v>2447.6928000000003</v>
      </c>
      <c r="M127" s="41">
        <v>2447.6928000000003</v>
      </c>
      <c r="N127" s="41">
        <v>0</v>
      </c>
      <c r="O127" s="54">
        <f t="shared" si="3"/>
        <v>22378.905600000002</v>
      </c>
    </row>
    <row r="128" spans="1:15" x14ac:dyDescent="0.2">
      <c r="A128" s="33">
        <v>43556</v>
      </c>
      <c r="B128" s="11">
        <v>126</v>
      </c>
      <c r="C128" s="35" t="s">
        <v>471</v>
      </c>
      <c r="D128" s="34" t="s">
        <v>29</v>
      </c>
      <c r="E128" s="133" t="s">
        <v>25</v>
      </c>
      <c r="F128" s="74" t="s">
        <v>22</v>
      </c>
      <c r="G128" s="134">
        <v>192000894</v>
      </c>
      <c r="H128" s="642">
        <v>43583</v>
      </c>
      <c r="I128" s="40">
        <v>17483.52</v>
      </c>
      <c r="J128" s="640">
        <f t="shared" si="2"/>
        <v>4895.3856000000005</v>
      </c>
      <c r="K128" s="641">
        <v>0</v>
      </c>
      <c r="L128" s="41">
        <v>2447.6928000000003</v>
      </c>
      <c r="M128" s="41">
        <v>2447.6928000000003</v>
      </c>
      <c r="N128" s="41">
        <v>0</v>
      </c>
      <c r="O128" s="54">
        <f t="shared" si="3"/>
        <v>22378.905600000002</v>
      </c>
    </row>
    <row r="129" spans="1:15" x14ac:dyDescent="0.2">
      <c r="A129" s="33">
        <v>43556</v>
      </c>
      <c r="B129" s="11">
        <v>127</v>
      </c>
      <c r="C129" s="35" t="s">
        <v>493</v>
      </c>
      <c r="D129" s="34" t="s">
        <v>494</v>
      </c>
      <c r="E129" s="133" t="s">
        <v>25</v>
      </c>
      <c r="F129" s="74" t="s">
        <v>22</v>
      </c>
      <c r="G129" s="134">
        <v>490</v>
      </c>
      <c r="H129" s="642">
        <v>43583</v>
      </c>
      <c r="I129" s="40">
        <v>10230.549999999999</v>
      </c>
      <c r="J129" s="640">
        <f t="shared" si="2"/>
        <v>1841.4989999999998</v>
      </c>
      <c r="K129" s="641">
        <v>0</v>
      </c>
      <c r="L129" s="41">
        <v>920.7494999999999</v>
      </c>
      <c r="M129" s="41">
        <v>920.7494999999999</v>
      </c>
      <c r="N129" s="41">
        <v>0</v>
      </c>
      <c r="O129" s="54">
        <f t="shared" si="3"/>
        <v>12072.048999999999</v>
      </c>
    </row>
    <row r="130" spans="1:15" x14ac:dyDescent="0.2">
      <c r="A130" s="33">
        <v>43556</v>
      </c>
      <c r="B130" s="11">
        <v>128</v>
      </c>
      <c r="C130" s="35" t="s">
        <v>489</v>
      </c>
      <c r="D130" s="34" t="s">
        <v>490</v>
      </c>
      <c r="E130" s="133" t="s">
        <v>25</v>
      </c>
      <c r="F130" s="74" t="s">
        <v>22</v>
      </c>
      <c r="G130" s="134">
        <v>7887982163</v>
      </c>
      <c r="H130" s="642">
        <v>43583</v>
      </c>
      <c r="I130" s="40">
        <v>8710</v>
      </c>
      <c r="J130" s="640">
        <f t="shared" si="2"/>
        <v>1567.8</v>
      </c>
      <c r="K130" s="641">
        <v>0</v>
      </c>
      <c r="L130" s="41">
        <v>783.9</v>
      </c>
      <c r="M130" s="41">
        <v>783.9</v>
      </c>
      <c r="N130" s="41">
        <v>0</v>
      </c>
      <c r="O130" s="54">
        <f t="shared" si="3"/>
        <v>10277.799999999999</v>
      </c>
    </row>
    <row r="131" spans="1:15" x14ac:dyDescent="0.2">
      <c r="A131" s="33">
        <v>43556</v>
      </c>
      <c r="B131" s="11">
        <v>129</v>
      </c>
      <c r="C131" s="35" t="s">
        <v>489</v>
      </c>
      <c r="D131" s="34" t="s">
        <v>490</v>
      </c>
      <c r="E131" s="133" t="s">
        <v>25</v>
      </c>
      <c r="F131" s="74" t="s">
        <v>22</v>
      </c>
      <c r="G131" s="134">
        <v>7887982162</v>
      </c>
      <c r="H131" s="642">
        <v>43583</v>
      </c>
      <c r="I131" s="40">
        <v>43800</v>
      </c>
      <c r="J131" s="640">
        <f t="shared" si="2"/>
        <v>7884</v>
      </c>
      <c r="K131" s="641">
        <v>0</v>
      </c>
      <c r="L131" s="41">
        <v>3942</v>
      </c>
      <c r="M131" s="41">
        <v>3942</v>
      </c>
      <c r="N131" s="41">
        <v>0</v>
      </c>
      <c r="O131" s="54">
        <f t="shared" si="3"/>
        <v>51684</v>
      </c>
    </row>
    <row r="132" spans="1:15" x14ac:dyDescent="0.2">
      <c r="A132" s="33">
        <v>43556</v>
      </c>
      <c r="B132" s="11">
        <v>130</v>
      </c>
      <c r="C132" s="35" t="s">
        <v>565</v>
      </c>
      <c r="D132" s="34" t="s">
        <v>566</v>
      </c>
      <c r="E132" s="133" t="s">
        <v>25</v>
      </c>
      <c r="F132" s="74" t="s">
        <v>22</v>
      </c>
      <c r="G132" s="134">
        <v>4666</v>
      </c>
      <c r="H132" s="642">
        <v>43572</v>
      </c>
      <c r="I132" s="40">
        <v>9960</v>
      </c>
      <c r="J132" s="640">
        <f t="shared" ref="J132:J195" si="4">+K132+L132+M132+N132</f>
        <v>1806.8</v>
      </c>
      <c r="K132" s="641">
        <v>0</v>
      </c>
      <c r="L132" s="41">
        <v>903.4</v>
      </c>
      <c r="M132" s="41">
        <v>903.4</v>
      </c>
      <c r="N132" s="41">
        <v>0</v>
      </c>
      <c r="O132" s="54">
        <f t="shared" ref="O132:O195" si="5">+I132+J132</f>
        <v>11766.8</v>
      </c>
    </row>
    <row r="133" spans="1:15" x14ac:dyDescent="0.2">
      <c r="A133" s="33">
        <v>43556</v>
      </c>
      <c r="B133" s="11">
        <v>131</v>
      </c>
      <c r="C133" s="35" t="s">
        <v>499</v>
      </c>
      <c r="D133" s="34" t="s">
        <v>500</v>
      </c>
      <c r="E133" s="133" t="s">
        <v>25</v>
      </c>
      <c r="F133" s="74" t="s">
        <v>22</v>
      </c>
      <c r="G133" s="136" t="s">
        <v>578</v>
      </c>
      <c r="H133" s="642">
        <v>43581</v>
      </c>
      <c r="I133" s="40">
        <v>4478</v>
      </c>
      <c r="J133" s="640">
        <f t="shared" si="4"/>
        <v>806.22</v>
      </c>
      <c r="K133" s="641">
        <v>0</v>
      </c>
      <c r="L133" s="41">
        <v>403.02</v>
      </c>
      <c r="M133" s="41">
        <v>403.2</v>
      </c>
      <c r="N133" s="41">
        <v>0</v>
      </c>
      <c r="O133" s="54">
        <f>+I133+J133+60</f>
        <v>5344.22</v>
      </c>
    </row>
    <row r="134" spans="1:15" x14ac:dyDescent="0.2">
      <c r="A134" s="33">
        <v>43556</v>
      </c>
      <c r="B134" s="11">
        <v>132</v>
      </c>
      <c r="C134" s="35" t="s">
        <v>499</v>
      </c>
      <c r="D134" s="34" t="s">
        <v>500</v>
      </c>
      <c r="E134" s="133" t="s">
        <v>25</v>
      </c>
      <c r="F134" s="74" t="s">
        <v>22</v>
      </c>
      <c r="G134" s="136" t="s">
        <v>579</v>
      </c>
      <c r="H134" s="642">
        <v>43581</v>
      </c>
      <c r="I134" s="40">
        <v>7193.1</v>
      </c>
      <c r="J134" s="640">
        <f t="shared" si="4"/>
        <v>695.18</v>
      </c>
      <c r="K134" s="641">
        <v>0</v>
      </c>
      <c r="L134" s="41">
        <v>347.59</v>
      </c>
      <c r="M134" s="41">
        <v>347.59</v>
      </c>
      <c r="N134" s="41">
        <v>0</v>
      </c>
      <c r="O134" s="54">
        <f t="shared" si="5"/>
        <v>7888.2800000000007</v>
      </c>
    </row>
    <row r="135" spans="1:15" x14ac:dyDescent="0.2">
      <c r="A135" s="33">
        <v>43556</v>
      </c>
      <c r="B135" s="11">
        <v>133</v>
      </c>
      <c r="C135" s="35" t="s">
        <v>499</v>
      </c>
      <c r="D135" s="34" t="s">
        <v>500</v>
      </c>
      <c r="E135" s="133" t="s">
        <v>25</v>
      </c>
      <c r="F135" s="74" t="s">
        <v>22</v>
      </c>
      <c r="G135" s="134" t="s">
        <v>580</v>
      </c>
      <c r="H135" s="642">
        <v>43581</v>
      </c>
      <c r="I135" s="40">
        <v>5184</v>
      </c>
      <c r="J135" s="640">
        <f t="shared" si="4"/>
        <v>933.12000000000012</v>
      </c>
      <c r="K135" s="641">
        <v>0</v>
      </c>
      <c r="L135" s="41">
        <v>466.56000000000006</v>
      </c>
      <c r="M135" s="41">
        <v>466.56000000000006</v>
      </c>
      <c r="N135" s="41">
        <v>0</v>
      </c>
      <c r="O135" s="54">
        <f t="shared" si="5"/>
        <v>6117.12</v>
      </c>
    </row>
    <row r="136" spans="1:15" x14ac:dyDescent="0.2">
      <c r="A136" s="33">
        <v>43556</v>
      </c>
      <c r="B136" s="11">
        <v>134</v>
      </c>
      <c r="C136" s="35" t="s">
        <v>499</v>
      </c>
      <c r="D136" s="34" t="s">
        <v>500</v>
      </c>
      <c r="E136" s="133" t="s">
        <v>25</v>
      </c>
      <c r="F136" s="74" t="s">
        <v>22</v>
      </c>
      <c r="G136" s="134" t="s">
        <v>581</v>
      </c>
      <c r="H136" s="642">
        <v>43581</v>
      </c>
      <c r="I136" s="40">
        <v>600</v>
      </c>
      <c r="J136" s="640">
        <f t="shared" si="4"/>
        <v>108</v>
      </c>
      <c r="K136" s="641">
        <v>0</v>
      </c>
      <c r="L136" s="41">
        <v>54</v>
      </c>
      <c r="M136" s="41">
        <v>54</v>
      </c>
      <c r="N136" s="41">
        <v>0</v>
      </c>
      <c r="O136" s="54">
        <f t="shared" si="5"/>
        <v>708</v>
      </c>
    </row>
    <row r="137" spans="1:15" x14ac:dyDescent="0.2">
      <c r="A137" s="33">
        <v>43556</v>
      </c>
      <c r="B137" s="11">
        <v>135</v>
      </c>
      <c r="C137" s="35" t="s">
        <v>471</v>
      </c>
      <c r="D137" s="34" t="s">
        <v>29</v>
      </c>
      <c r="E137" s="133" t="s">
        <v>25</v>
      </c>
      <c r="F137" s="74" t="s">
        <v>22</v>
      </c>
      <c r="G137" s="136">
        <v>192000995</v>
      </c>
      <c r="H137" s="642">
        <v>43585</v>
      </c>
      <c r="I137" s="40">
        <v>17483.52</v>
      </c>
      <c r="J137" s="640">
        <f t="shared" si="4"/>
        <v>4895.3856000000005</v>
      </c>
      <c r="K137" s="641">
        <v>0</v>
      </c>
      <c r="L137" s="41">
        <v>2447.6928000000003</v>
      </c>
      <c r="M137" s="41">
        <v>2447.6928000000003</v>
      </c>
      <c r="N137" s="41">
        <v>0</v>
      </c>
      <c r="O137" s="54">
        <f t="shared" si="5"/>
        <v>22378.905600000002</v>
      </c>
    </row>
    <row r="138" spans="1:15" x14ac:dyDescent="0.2">
      <c r="A138" s="33">
        <v>43556</v>
      </c>
      <c r="B138" s="11">
        <v>136</v>
      </c>
      <c r="C138" s="35" t="s">
        <v>471</v>
      </c>
      <c r="D138" s="34" t="s">
        <v>29</v>
      </c>
      <c r="E138" s="133" t="s">
        <v>25</v>
      </c>
      <c r="F138" s="74" t="s">
        <v>22</v>
      </c>
      <c r="G138" s="136">
        <v>192000996</v>
      </c>
      <c r="H138" s="642">
        <v>43585</v>
      </c>
      <c r="I138" s="40">
        <v>17483.52</v>
      </c>
      <c r="J138" s="640">
        <f t="shared" si="4"/>
        <v>4895.3856000000005</v>
      </c>
      <c r="K138" s="641">
        <v>0</v>
      </c>
      <c r="L138" s="41">
        <v>2447.6928000000003</v>
      </c>
      <c r="M138" s="41">
        <v>2447.6928000000003</v>
      </c>
      <c r="N138" s="41">
        <v>0</v>
      </c>
      <c r="O138" s="54">
        <f t="shared" si="5"/>
        <v>22378.905600000002</v>
      </c>
    </row>
    <row r="139" spans="1:15" x14ac:dyDescent="0.2">
      <c r="A139" s="33">
        <v>43556</v>
      </c>
      <c r="B139" s="11">
        <v>137</v>
      </c>
      <c r="C139" s="35" t="s">
        <v>538</v>
      </c>
      <c r="D139" s="34" t="s">
        <v>539</v>
      </c>
      <c r="E139" s="133" t="s">
        <v>25</v>
      </c>
      <c r="F139" s="74" t="s">
        <v>22</v>
      </c>
      <c r="G139" s="136" t="s">
        <v>582</v>
      </c>
      <c r="H139" s="642">
        <v>43585</v>
      </c>
      <c r="I139" s="40">
        <v>16633</v>
      </c>
      <c r="J139" s="640">
        <f t="shared" si="4"/>
        <v>2993.94</v>
      </c>
      <c r="K139" s="641">
        <v>0</v>
      </c>
      <c r="L139" s="41">
        <v>1496.97</v>
      </c>
      <c r="M139" s="41">
        <v>1496.97</v>
      </c>
      <c r="N139" s="41">
        <v>0</v>
      </c>
      <c r="O139" s="54">
        <f t="shared" si="5"/>
        <v>19626.939999999999</v>
      </c>
    </row>
    <row r="140" spans="1:15" x14ac:dyDescent="0.2">
      <c r="A140" s="33">
        <v>43556</v>
      </c>
      <c r="B140" s="11">
        <v>138</v>
      </c>
      <c r="C140" s="35" t="s">
        <v>538</v>
      </c>
      <c r="D140" s="34" t="s">
        <v>539</v>
      </c>
      <c r="E140" s="133" t="s">
        <v>25</v>
      </c>
      <c r="F140" s="74" t="s">
        <v>22</v>
      </c>
      <c r="G140" s="136" t="s">
        <v>584</v>
      </c>
      <c r="H140" s="642">
        <v>43585</v>
      </c>
      <c r="I140" s="40">
        <v>2100</v>
      </c>
      <c r="J140" s="640">
        <f t="shared" si="4"/>
        <v>378</v>
      </c>
      <c r="K140" s="641">
        <v>0</v>
      </c>
      <c r="L140" s="41">
        <v>189</v>
      </c>
      <c r="M140" s="41">
        <v>189</v>
      </c>
      <c r="N140" s="41">
        <v>0</v>
      </c>
      <c r="O140" s="54">
        <f t="shared" si="5"/>
        <v>2478</v>
      </c>
    </row>
    <row r="141" spans="1:15" x14ac:dyDescent="0.2">
      <c r="A141" s="33">
        <v>43556</v>
      </c>
      <c r="B141" s="11">
        <v>139</v>
      </c>
      <c r="C141" s="35" t="s">
        <v>538</v>
      </c>
      <c r="D141" s="34" t="s">
        <v>539</v>
      </c>
      <c r="E141" s="133" t="s">
        <v>25</v>
      </c>
      <c r="F141" s="74" t="s">
        <v>22</v>
      </c>
      <c r="G141" s="136" t="s">
        <v>585</v>
      </c>
      <c r="H141" s="642">
        <v>43585</v>
      </c>
      <c r="I141" s="40">
        <v>13600</v>
      </c>
      <c r="J141" s="640">
        <f t="shared" si="4"/>
        <v>2448</v>
      </c>
      <c r="K141" s="641">
        <v>0</v>
      </c>
      <c r="L141" s="41">
        <v>1224</v>
      </c>
      <c r="M141" s="41">
        <v>1224</v>
      </c>
      <c r="N141" s="41">
        <v>0</v>
      </c>
      <c r="O141" s="54">
        <f t="shared" si="5"/>
        <v>16048</v>
      </c>
    </row>
    <row r="142" spans="1:15" x14ac:dyDescent="0.2">
      <c r="A142" s="33">
        <v>43556</v>
      </c>
      <c r="B142" s="11">
        <v>140</v>
      </c>
      <c r="C142" s="35" t="s">
        <v>538</v>
      </c>
      <c r="D142" s="34" t="s">
        <v>539</v>
      </c>
      <c r="E142" s="133" t="s">
        <v>25</v>
      </c>
      <c r="F142" s="74" t="s">
        <v>22</v>
      </c>
      <c r="G142" s="136" t="s">
        <v>586</v>
      </c>
      <c r="H142" s="642">
        <v>43585</v>
      </c>
      <c r="I142" s="40">
        <v>6780</v>
      </c>
      <c r="J142" s="640">
        <f t="shared" si="4"/>
        <v>1220.4000000000001</v>
      </c>
      <c r="K142" s="641">
        <v>0</v>
      </c>
      <c r="L142" s="41">
        <v>610.20000000000005</v>
      </c>
      <c r="M142" s="41">
        <v>610.20000000000005</v>
      </c>
      <c r="N142" s="41">
        <v>0</v>
      </c>
      <c r="O142" s="54">
        <f t="shared" si="5"/>
        <v>8000.4</v>
      </c>
    </row>
    <row r="143" spans="1:15" x14ac:dyDescent="0.2">
      <c r="A143" s="33">
        <v>43556</v>
      </c>
      <c r="B143" s="11">
        <v>141</v>
      </c>
      <c r="C143" s="35" t="s">
        <v>538</v>
      </c>
      <c r="D143" s="34" t="s">
        <v>539</v>
      </c>
      <c r="E143" s="133" t="s">
        <v>25</v>
      </c>
      <c r="F143" s="74" t="s">
        <v>22</v>
      </c>
      <c r="G143" s="134" t="s">
        <v>587</v>
      </c>
      <c r="H143" s="642">
        <v>43585</v>
      </c>
      <c r="I143" s="40">
        <v>3000</v>
      </c>
      <c r="J143" s="640">
        <f t="shared" si="4"/>
        <v>540</v>
      </c>
      <c r="K143" s="641">
        <v>0</v>
      </c>
      <c r="L143" s="41">
        <v>270</v>
      </c>
      <c r="M143" s="41">
        <v>270</v>
      </c>
      <c r="N143" s="41">
        <v>0</v>
      </c>
      <c r="O143" s="54">
        <f t="shared" si="5"/>
        <v>3540</v>
      </c>
    </row>
    <row r="144" spans="1:15" x14ac:dyDescent="0.2">
      <c r="A144" s="33">
        <v>43556</v>
      </c>
      <c r="B144" s="11">
        <v>142</v>
      </c>
      <c r="C144" s="35" t="s">
        <v>589</v>
      </c>
      <c r="D144" s="34" t="s">
        <v>590</v>
      </c>
      <c r="E144" s="133" t="s">
        <v>25</v>
      </c>
      <c r="F144" s="74" t="s">
        <v>22</v>
      </c>
      <c r="G144" s="134">
        <v>8</v>
      </c>
      <c r="H144" s="642">
        <v>43585</v>
      </c>
      <c r="I144" s="40">
        <v>105430</v>
      </c>
      <c r="J144" s="640">
        <f t="shared" si="4"/>
        <v>18977.399999999998</v>
      </c>
      <c r="K144" s="641">
        <v>0</v>
      </c>
      <c r="L144" s="41">
        <v>9488.6999999999989</v>
      </c>
      <c r="M144" s="41">
        <v>9488.6999999999989</v>
      </c>
      <c r="N144" s="41">
        <v>0</v>
      </c>
      <c r="O144" s="54">
        <f t="shared" si="5"/>
        <v>124407.4</v>
      </c>
    </row>
    <row r="145" spans="1:15" x14ac:dyDescent="0.2">
      <c r="A145" s="33">
        <v>43556</v>
      </c>
      <c r="B145" s="11">
        <v>143</v>
      </c>
      <c r="C145" s="35" t="s">
        <v>471</v>
      </c>
      <c r="D145" s="34" t="s">
        <v>29</v>
      </c>
      <c r="E145" s="133" t="s">
        <v>25</v>
      </c>
      <c r="F145" s="74" t="s">
        <v>22</v>
      </c>
      <c r="G145" s="136">
        <v>192000898</v>
      </c>
      <c r="H145" s="642">
        <v>43585</v>
      </c>
      <c r="I145" s="40">
        <v>13112.64</v>
      </c>
      <c r="J145" s="640">
        <f t="shared" si="4"/>
        <v>3671.5391999999997</v>
      </c>
      <c r="K145" s="641">
        <v>0</v>
      </c>
      <c r="L145" s="41">
        <v>1835.7695999999999</v>
      </c>
      <c r="M145" s="41">
        <v>1835.7695999999999</v>
      </c>
      <c r="N145" s="41">
        <v>0</v>
      </c>
      <c r="O145" s="54">
        <f t="shared" si="5"/>
        <v>16784.179199999999</v>
      </c>
    </row>
    <row r="146" spans="1:15" x14ac:dyDescent="0.2">
      <c r="A146" s="33">
        <v>43556</v>
      </c>
      <c r="B146" s="11">
        <v>144</v>
      </c>
      <c r="C146" s="35" t="s">
        <v>489</v>
      </c>
      <c r="D146" s="34" t="s">
        <v>490</v>
      </c>
      <c r="E146" s="133" t="s">
        <v>25</v>
      </c>
      <c r="F146" s="74" t="s">
        <v>22</v>
      </c>
      <c r="G146" s="134">
        <v>7887982239</v>
      </c>
      <c r="H146" s="642">
        <v>43585</v>
      </c>
      <c r="I146" s="40">
        <v>4368</v>
      </c>
      <c r="J146" s="640">
        <f t="shared" si="4"/>
        <v>786.24</v>
      </c>
      <c r="K146" s="641">
        <v>0</v>
      </c>
      <c r="L146" s="41">
        <v>393.12</v>
      </c>
      <c r="M146" s="41">
        <v>393.12</v>
      </c>
      <c r="N146" s="41">
        <v>0</v>
      </c>
      <c r="O146" s="54">
        <f t="shared" si="5"/>
        <v>5154.24</v>
      </c>
    </row>
    <row r="147" spans="1:15" x14ac:dyDescent="0.2">
      <c r="A147" s="33">
        <v>43556</v>
      </c>
      <c r="B147" s="11">
        <v>145</v>
      </c>
      <c r="C147" s="35" t="s">
        <v>591</v>
      </c>
      <c r="D147" s="34" t="s">
        <v>592</v>
      </c>
      <c r="E147" s="133" t="s">
        <v>25</v>
      </c>
      <c r="F147" s="74" t="s">
        <v>22</v>
      </c>
      <c r="G147" s="136" t="s">
        <v>593</v>
      </c>
      <c r="H147" s="642">
        <v>43585</v>
      </c>
      <c r="I147" s="40">
        <v>40500</v>
      </c>
      <c r="J147" s="640">
        <f t="shared" si="4"/>
        <v>7290</v>
      </c>
      <c r="K147" s="641">
        <v>0</v>
      </c>
      <c r="L147" s="41">
        <v>3645</v>
      </c>
      <c r="M147" s="41">
        <v>3645</v>
      </c>
      <c r="N147" s="41">
        <v>0</v>
      </c>
      <c r="O147" s="54">
        <f t="shared" si="5"/>
        <v>47790</v>
      </c>
    </row>
    <row r="148" spans="1:15" x14ac:dyDescent="0.2">
      <c r="A148" s="33">
        <v>43556</v>
      </c>
      <c r="B148" s="11">
        <v>146</v>
      </c>
      <c r="C148" s="35" t="s">
        <v>594</v>
      </c>
      <c r="D148" s="34" t="s">
        <v>595</v>
      </c>
      <c r="E148" s="133" t="s">
        <v>25</v>
      </c>
      <c r="F148" s="74" t="s">
        <v>22</v>
      </c>
      <c r="G148" s="136">
        <v>192000054</v>
      </c>
      <c r="H148" s="642">
        <v>43580</v>
      </c>
      <c r="I148" s="40">
        <v>18000</v>
      </c>
      <c r="J148" s="640">
        <f t="shared" si="4"/>
        <v>3240</v>
      </c>
      <c r="K148" s="641">
        <v>0</v>
      </c>
      <c r="L148" s="41">
        <v>1620</v>
      </c>
      <c r="M148" s="41">
        <v>1620</v>
      </c>
      <c r="N148" s="41">
        <v>0</v>
      </c>
      <c r="O148" s="54">
        <f t="shared" si="5"/>
        <v>21240</v>
      </c>
    </row>
    <row r="149" spans="1:15" x14ac:dyDescent="0.2">
      <c r="A149" s="33">
        <v>43556</v>
      </c>
      <c r="B149" s="11">
        <v>147</v>
      </c>
      <c r="C149" s="35" t="s">
        <v>514</v>
      </c>
      <c r="D149" s="34" t="s">
        <v>515</v>
      </c>
      <c r="E149" s="133" t="s">
        <v>25</v>
      </c>
      <c r="F149" s="74" t="s">
        <v>22</v>
      </c>
      <c r="G149" s="136" t="s">
        <v>596</v>
      </c>
      <c r="H149" s="642">
        <v>43577</v>
      </c>
      <c r="I149" s="40">
        <v>2950.11</v>
      </c>
      <c r="J149" s="640">
        <f t="shared" si="4"/>
        <v>531.01980000000003</v>
      </c>
      <c r="K149" s="641">
        <v>0</v>
      </c>
      <c r="L149" s="41">
        <v>265.50990000000002</v>
      </c>
      <c r="M149" s="41">
        <v>265.50990000000002</v>
      </c>
      <c r="N149" s="41">
        <v>0</v>
      </c>
      <c r="O149" s="54">
        <f t="shared" si="5"/>
        <v>3481.1298000000002</v>
      </c>
    </row>
    <row r="150" spans="1:15" x14ac:dyDescent="0.2">
      <c r="A150" s="33">
        <v>43556</v>
      </c>
      <c r="B150" s="11">
        <v>148</v>
      </c>
      <c r="C150" s="35" t="s">
        <v>514</v>
      </c>
      <c r="D150" s="34" t="s">
        <v>515</v>
      </c>
      <c r="E150" s="133" t="s">
        <v>25</v>
      </c>
      <c r="F150" s="74" t="s">
        <v>22</v>
      </c>
      <c r="G150" s="136" t="s">
        <v>597</v>
      </c>
      <c r="H150" s="642">
        <v>43577</v>
      </c>
      <c r="I150" s="40">
        <v>2000</v>
      </c>
      <c r="J150" s="640">
        <f t="shared" si="4"/>
        <v>360</v>
      </c>
      <c r="K150" s="641">
        <v>0</v>
      </c>
      <c r="L150" s="41">
        <v>180</v>
      </c>
      <c r="M150" s="41">
        <v>180</v>
      </c>
      <c r="N150" s="41">
        <v>0</v>
      </c>
      <c r="O150" s="54">
        <f t="shared" si="5"/>
        <v>2360</v>
      </c>
    </row>
    <row r="151" spans="1:15" x14ac:dyDescent="0.2">
      <c r="A151" s="33">
        <v>43556</v>
      </c>
      <c r="B151" s="11">
        <v>149</v>
      </c>
      <c r="C151" s="35" t="s">
        <v>514</v>
      </c>
      <c r="D151" s="34" t="s">
        <v>515</v>
      </c>
      <c r="E151" s="133" t="s">
        <v>25</v>
      </c>
      <c r="F151" s="74" t="s">
        <v>22</v>
      </c>
      <c r="G151" s="134" t="s">
        <v>598</v>
      </c>
      <c r="H151" s="642">
        <v>43577</v>
      </c>
      <c r="I151" s="40">
        <v>500</v>
      </c>
      <c r="J151" s="640">
        <f t="shared" si="4"/>
        <v>90</v>
      </c>
      <c r="K151" s="641">
        <v>0</v>
      </c>
      <c r="L151" s="41">
        <v>45</v>
      </c>
      <c r="M151" s="41">
        <v>45</v>
      </c>
      <c r="N151" s="41">
        <v>0</v>
      </c>
      <c r="O151" s="54">
        <f t="shared" si="5"/>
        <v>590</v>
      </c>
    </row>
    <row r="152" spans="1:15" x14ac:dyDescent="0.2">
      <c r="A152" s="33">
        <v>43556</v>
      </c>
      <c r="B152" s="11">
        <v>150</v>
      </c>
      <c r="C152" s="35" t="s">
        <v>514</v>
      </c>
      <c r="D152" s="34" t="s">
        <v>515</v>
      </c>
      <c r="E152" s="133" t="s">
        <v>25</v>
      </c>
      <c r="F152" s="74" t="s">
        <v>22</v>
      </c>
      <c r="G152" s="34" t="s">
        <v>599</v>
      </c>
      <c r="H152" s="643">
        <v>43577</v>
      </c>
      <c r="I152" s="39">
        <v>1318.32</v>
      </c>
      <c r="J152" s="640">
        <f t="shared" si="4"/>
        <v>237.29759999999999</v>
      </c>
      <c r="K152" s="54">
        <v>0</v>
      </c>
      <c r="L152" s="54">
        <v>118.64879999999999</v>
      </c>
      <c r="M152" s="54">
        <v>118.64879999999999</v>
      </c>
      <c r="N152" s="54"/>
      <c r="O152" s="54">
        <f t="shared" si="5"/>
        <v>1555.6176</v>
      </c>
    </row>
    <row r="153" spans="1:15" x14ac:dyDescent="0.2">
      <c r="A153" s="33">
        <v>43556</v>
      </c>
      <c r="B153" s="11">
        <v>151</v>
      </c>
      <c r="C153" s="35" t="s">
        <v>489</v>
      </c>
      <c r="D153" s="34" t="s">
        <v>490</v>
      </c>
      <c r="E153" s="133" t="s">
        <v>25</v>
      </c>
      <c r="F153" s="74" t="s">
        <v>22</v>
      </c>
      <c r="G153" s="34">
        <v>7887981884</v>
      </c>
      <c r="H153" s="643">
        <v>43577</v>
      </c>
      <c r="I153" s="39">
        <v>4368</v>
      </c>
      <c r="J153" s="640">
        <f t="shared" si="4"/>
        <v>786.24</v>
      </c>
      <c r="K153" s="54">
        <v>0</v>
      </c>
      <c r="L153" s="54">
        <v>393.12</v>
      </c>
      <c r="M153" s="54">
        <v>393.12</v>
      </c>
      <c r="N153" s="54"/>
      <c r="O153" s="54">
        <f t="shared" si="5"/>
        <v>5154.24</v>
      </c>
    </row>
    <row r="154" spans="1:15" x14ac:dyDescent="0.2">
      <c r="A154" s="33">
        <v>43556</v>
      </c>
      <c r="B154" s="11">
        <v>1</v>
      </c>
      <c r="C154" s="11" t="s">
        <v>600</v>
      </c>
      <c r="D154" s="11">
        <v>2</v>
      </c>
      <c r="F154" s="11" t="s">
        <v>22</v>
      </c>
      <c r="G154" s="34"/>
      <c r="H154" s="643"/>
      <c r="I154" s="39">
        <v>0</v>
      </c>
      <c r="J154" s="640">
        <f t="shared" si="4"/>
        <v>0</v>
      </c>
      <c r="K154" s="54"/>
      <c r="L154" s="54"/>
      <c r="M154" s="54"/>
      <c r="N154" s="54"/>
      <c r="O154" s="54">
        <f t="shared" si="5"/>
        <v>0</v>
      </c>
    </row>
    <row r="155" spans="1:15" x14ac:dyDescent="0.2">
      <c r="A155" s="34"/>
      <c r="D155" s="11" t="e">
        <v>#N/A</v>
      </c>
      <c r="F155" s="11" t="s">
        <v>22</v>
      </c>
      <c r="G155" s="34"/>
      <c r="H155" s="643"/>
      <c r="I155" s="39"/>
      <c r="J155" s="640">
        <f t="shared" si="4"/>
        <v>0</v>
      </c>
      <c r="K155" s="54"/>
      <c r="L155" s="54"/>
      <c r="M155" s="54"/>
      <c r="N155" s="54"/>
      <c r="O155" s="54">
        <f t="shared" si="5"/>
        <v>0</v>
      </c>
    </row>
    <row r="156" spans="1:15" x14ac:dyDescent="0.2">
      <c r="A156" s="644"/>
      <c r="B156" s="645"/>
      <c r="C156" s="645"/>
      <c r="D156" s="645" t="e">
        <v>#N/A</v>
      </c>
      <c r="E156" s="645"/>
      <c r="F156" s="645" t="s">
        <v>22</v>
      </c>
      <c r="G156" s="646"/>
      <c r="H156" s="647"/>
      <c r="I156" s="648">
        <f>SUM(I3:I155)</f>
        <v>2655684.3000000003</v>
      </c>
      <c r="J156" s="649">
        <f t="shared" ref="J156:O156" si="6">SUM(J3:J155)</f>
        <v>642205.12080000015</v>
      </c>
      <c r="K156" s="649">
        <f t="shared" si="6"/>
        <v>2079.9351999999999</v>
      </c>
      <c r="L156" s="649">
        <f t="shared" si="6"/>
        <v>320062.50780000014</v>
      </c>
      <c r="M156" s="649">
        <f t="shared" si="6"/>
        <v>320062.68780000013</v>
      </c>
      <c r="N156" s="649">
        <f t="shared" si="6"/>
        <v>0</v>
      </c>
      <c r="O156" s="649">
        <f t="shared" si="6"/>
        <v>3297949.4208000037</v>
      </c>
    </row>
    <row r="157" spans="1:15" x14ac:dyDescent="0.2">
      <c r="A157" s="33">
        <v>43586</v>
      </c>
      <c r="B157" s="11">
        <v>1</v>
      </c>
      <c r="C157" s="11" t="s">
        <v>601</v>
      </c>
      <c r="D157" s="11" t="s">
        <v>602</v>
      </c>
      <c r="F157" s="11" t="s">
        <v>22</v>
      </c>
      <c r="G157" s="38">
        <v>769</v>
      </c>
      <c r="H157" s="650">
        <v>43587</v>
      </c>
      <c r="I157" s="126">
        <v>11160</v>
      </c>
      <c r="J157" s="640">
        <f t="shared" si="4"/>
        <v>3124.7999999999997</v>
      </c>
      <c r="K157" s="54">
        <v>0</v>
      </c>
      <c r="L157" s="54">
        <v>1562.3999999999999</v>
      </c>
      <c r="M157" s="54">
        <v>1562.3999999999999</v>
      </c>
      <c r="N157" s="54"/>
      <c r="O157" s="54">
        <f t="shared" si="5"/>
        <v>14284.8</v>
      </c>
    </row>
    <row r="158" spans="1:15" x14ac:dyDescent="0.2">
      <c r="A158" s="33">
        <v>43586</v>
      </c>
      <c r="B158" s="11">
        <v>2</v>
      </c>
      <c r="C158" s="11" t="s">
        <v>601</v>
      </c>
      <c r="D158" s="11" t="s">
        <v>602</v>
      </c>
      <c r="F158" s="11" t="s">
        <v>22</v>
      </c>
      <c r="G158" s="38">
        <v>770</v>
      </c>
      <c r="H158" s="650">
        <v>43587</v>
      </c>
      <c r="I158" s="126">
        <v>17028</v>
      </c>
      <c r="J158" s="640">
        <f t="shared" si="4"/>
        <v>4767.84</v>
      </c>
      <c r="K158" s="54">
        <v>0</v>
      </c>
      <c r="L158" s="54">
        <v>2383.92</v>
      </c>
      <c r="M158" s="54">
        <v>2383.92</v>
      </c>
      <c r="N158" s="54"/>
      <c r="O158" s="54">
        <f t="shared" si="5"/>
        <v>21795.84</v>
      </c>
    </row>
    <row r="159" spans="1:15" x14ac:dyDescent="0.2">
      <c r="A159" s="33">
        <v>43586</v>
      </c>
      <c r="B159" s="11">
        <v>3</v>
      </c>
      <c r="C159" s="11" t="s">
        <v>476</v>
      </c>
      <c r="D159" s="11" t="s">
        <v>477</v>
      </c>
      <c r="F159" s="11" t="s">
        <v>22</v>
      </c>
      <c r="G159" s="38" t="s">
        <v>603</v>
      </c>
      <c r="H159" s="650">
        <v>43586</v>
      </c>
      <c r="I159" s="126">
        <v>376945</v>
      </c>
      <c r="J159" s="640">
        <f t="shared" si="4"/>
        <v>105544.59999999999</v>
      </c>
      <c r="K159" s="54">
        <v>0</v>
      </c>
      <c r="L159" s="54">
        <v>52772.299999999996</v>
      </c>
      <c r="M159" s="54">
        <v>52772.299999999996</v>
      </c>
      <c r="N159" s="54"/>
      <c r="O159" s="54">
        <f t="shared" si="5"/>
        <v>482489.59999999998</v>
      </c>
    </row>
    <row r="160" spans="1:15" x14ac:dyDescent="0.2">
      <c r="A160" s="33">
        <v>43586</v>
      </c>
      <c r="B160" s="11">
        <v>4</v>
      </c>
      <c r="C160" s="11" t="s">
        <v>473</v>
      </c>
      <c r="D160" s="11" t="s">
        <v>41</v>
      </c>
      <c r="F160" s="11" t="s">
        <v>22</v>
      </c>
      <c r="G160" s="38" t="s">
        <v>604</v>
      </c>
      <c r="H160" s="650">
        <v>43588</v>
      </c>
      <c r="I160" s="126">
        <v>4809</v>
      </c>
      <c r="J160" s="640">
        <f t="shared" si="4"/>
        <v>1346.52</v>
      </c>
      <c r="K160" s="54">
        <v>0</v>
      </c>
      <c r="L160" s="54">
        <v>673.26</v>
      </c>
      <c r="M160" s="54">
        <v>673.26</v>
      </c>
      <c r="N160" s="54"/>
      <c r="O160" s="54">
        <f t="shared" si="5"/>
        <v>6155.52</v>
      </c>
    </row>
    <row r="161" spans="1:15" x14ac:dyDescent="0.2">
      <c r="A161" s="33">
        <v>43586</v>
      </c>
      <c r="B161" s="11">
        <v>5</v>
      </c>
      <c r="C161" s="11" t="s">
        <v>473</v>
      </c>
      <c r="D161" s="11" t="s">
        <v>41</v>
      </c>
      <c r="F161" s="11" t="s">
        <v>22</v>
      </c>
      <c r="G161" s="38" t="s">
        <v>605</v>
      </c>
      <c r="H161" s="650">
        <v>43588</v>
      </c>
      <c r="I161" s="126">
        <v>6012.8</v>
      </c>
      <c r="J161" s="640">
        <f t="shared" si="4"/>
        <v>1683.5840000000001</v>
      </c>
      <c r="K161" s="54">
        <v>0</v>
      </c>
      <c r="L161" s="54">
        <v>841.79200000000003</v>
      </c>
      <c r="M161" s="54">
        <v>841.79200000000003</v>
      </c>
      <c r="N161" s="54"/>
      <c r="O161" s="54">
        <f t="shared" si="5"/>
        <v>7696.384</v>
      </c>
    </row>
    <row r="162" spans="1:15" x14ac:dyDescent="0.2">
      <c r="A162" s="33">
        <v>43586</v>
      </c>
      <c r="B162" s="11">
        <v>6</v>
      </c>
      <c r="C162" s="11" t="s">
        <v>601</v>
      </c>
      <c r="D162" s="11" t="s">
        <v>602</v>
      </c>
      <c r="F162" s="11" t="s">
        <v>22</v>
      </c>
      <c r="G162" s="38">
        <v>798</v>
      </c>
      <c r="H162" s="650">
        <v>43588</v>
      </c>
      <c r="I162" s="126">
        <v>21285</v>
      </c>
      <c r="J162" s="640">
        <f t="shared" si="4"/>
        <v>5959.8</v>
      </c>
      <c r="K162" s="54">
        <v>0</v>
      </c>
      <c r="L162" s="54">
        <v>2979.9</v>
      </c>
      <c r="M162" s="54">
        <v>2979.9</v>
      </c>
      <c r="N162" s="54"/>
      <c r="O162" s="54">
        <f t="shared" si="5"/>
        <v>27244.799999999999</v>
      </c>
    </row>
    <row r="163" spans="1:15" x14ac:dyDescent="0.2">
      <c r="A163" s="33">
        <v>43586</v>
      </c>
      <c r="B163" s="11">
        <v>7</v>
      </c>
      <c r="C163" s="11" t="s">
        <v>601</v>
      </c>
      <c r="D163" s="11" t="s">
        <v>602</v>
      </c>
      <c r="F163" s="11" t="s">
        <v>22</v>
      </c>
      <c r="G163" s="38">
        <v>799</v>
      </c>
      <c r="H163" s="650">
        <v>43588</v>
      </c>
      <c r="I163" s="126">
        <v>11160</v>
      </c>
      <c r="J163" s="640">
        <f t="shared" si="4"/>
        <v>3124.7999999999997</v>
      </c>
      <c r="K163" s="54">
        <v>0</v>
      </c>
      <c r="L163" s="54">
        <v>1562.3999999999999</v>
      </c>
      <c r="M163" s="54">
        <v>1562.3999999999999</v>
      </c>
      <c r="N163" s="54"/>
      <c r="O163" s="54">
        <f t="shared" si="5"/>
        <v>14284.8</v>
      </c>
    </row>
    <row r="164" spans="1:15" x14ac:dyDescent="0.2">
      <c r="A164" s="33">
        <v>43586</v>
      </c>
      <c r="B164" s="11">
        <v>8</v>
      </c>
      <c r="C164" s="11" t="s">
        <v>472</v>
      </c>
      <c r="D164" s="11" t="s">
        <v>21</v>
      </c>
      <c r="F164" s="11" t="s">
        <v>22</v>
      </c>
      <c r="G164" s="38">
        <v>2041218955</v>
      </c>
      <c r="H164" s="650">
        <v>43588</v>
      </c>
      <c r="I164" s="126">
        <v>9270</v>
      </c>
      <c r="J164" s="640">
        <f t="shared" si="4"/>
        <v>2595.6</v>
      </c>
      <c r="K164" s="54">
        <v>0</v>
      </c>
      <c r="L164" s="54">
        <v>1297.8</v>
      </c>
      <c r="M164" s="54">
        <v>1297.8</v>
      </c>
      <c r="N164" s="54"/>
      <c r="O164" s="54">
        <f t="shared" si="5"/>
        <v>11865.6</v>
      </c>
    </row>
    <row r="165" spans="1:15" x14ac:dyDescent="0.2">
      <c r="A165" s="33">
        <v>43586</v>
      </c>
      <c r="B165" s="11">
        <v>9</v>
      </c>
      <c r="C165" s="11" t="s">
        <v>472</v>
      </c>
      <c r="D165" s="11" t="s">
        <v>21</v>
      </c>
      <c r="F165" s="11" t="s">
        <v>22</v>
      </c>
      <c r="G165" s="38">
        <v>2041218960</v>
      </c>
      <c r="H165" s="650">
        <v>43588</v>
      </c>
      <c r="I165" s="126">
        <v>9270</v>
      </c>
      <c r="J165" s="640">
        <f t="shared" si="4"/>
        <v>2595.6</v>
      </c>
      <c r="K165" s="54">
        <v>0</v>
      </c>
      <c r="L165" s="54">
        <v>1297.8</v>
      </c>
      <c r="M165" s="54">
        <v>1297.8</v>
      </c>
      <c r="N165" s="54"/>
      <c r="O165" s="54">
        <f t="shared" si="5"/>
        <v>11865.6</v>
      </c>
    </row>
    <row r="166" spans="1:15" x14ac:dyDescent="0.2">
      <c r="A166" s="33">
        <v>43586</v>
      </c>
      <c r="B166" s="11">
        <v>10</v>
      </c>
      <c r="C166" s="11" t="s">
        <v>471</v>
      </c>
      <c r="D166" s="11" t="s">
        <v>29</v>
      </c>
      <c r="F166" s="11" t="s">
        <v>22</v>
      </c>
      <c r="G166" s="38">
        <v>192001047</v>
      </c>
      <c r="H166" s="650">
        <v>43589</v>
      </c>
      <c r="I166" s="126">
        <v>17483.52</v>
      </c>
      <c r="J166" s="640">
        <f t="shared" si="4"/>
        <v>4895.3856000000005</v>
      </c>
      <c r="K166" s="54">
        <v>0</v>
      </c>
      <c r="L166" s="54">
        <v>2447.6928000000003</v>
      </c>
      <c r="M166" s="54">
        <v>2447.6928000000003</v>
      </c>
      <c r="N166" s="54"/>
      <c r="O166" s="54">
        <f t="shared" si="5"/>
        <v>22378.905600000002</v>
      </c>
    </row>
    <row r="167" spans="1:15" x14ac:dyDescent="0.2">
      <c r="A167" s="33">
        <v>43586</v>
      </c>
      <c r="B167" s="11">
        <v>11</v>
      </c>
      <c r="C167" s="11" t="s">
        <v>471</v>
      </c>
      <c r="D167" s="11" t="s">
        <v>29</v>
      </c>
      <c r="F167" s="11" t="s">
        <v>22</v>
      </c>
      <c r="G167" s="38">
        <v>192001048</v>
      </c>
      <c r="H167" s="650">
        <v>43589</v>
      </c>
      <c r="I167" s="126">
        <v>17483.52</v>
      </c>
      <c r="J167" s="640">
        <f t="shared" si="4"/>
        <v>4895.3856000000005</v>
      </c>
      <c r="K167" s="54">
        <v>0</v>
      </c>
      <c r="L167" s="54">
        <v>2447.6928000000003</v>
      </c>
      <c r="M167" s="54">
        <v>2447.6928000000003</v>
      </c>
      <c r="N167" s="54"/>
      <c r="O167" s="54">
        <f t="shared" si="5"/>
        <v>22378.905600000002</v>
      </c>
    </row>
    <row r="168" spans="1:15" x14ac:dyDescent="0.2">
      <c r="A168" s="33">
        <v>43586</v>
      </c>
      <c r="B168" s="11">
        <v>12</v>
      </c>
      <c r="C168" s="11" t="s">
        <v>471</v>
      </c>
      <c r="D168" s="11" t="s">
        <v>29</v>
      </c>
      <c r="F168" s="11" t="s">
        <v>22</v>
      </c>
      <c r="G168" s="38">
        <v>192001039</v>
      </c>
      <c r="H168" s="650">
        <v>43589</v>
      </c>
      <c r="I168" s="126">
        <v>17483.52</v>
      </c>
      <c r="J168" s="640">
        <f t="shared" si="4"/>
        <v>4895.3856000000005</v>
      </c>
      <c r="K168" s="54">
        <v>0</v>
      </c>
      <c r="L168" s="54">
        <v>2447.6928000000003</v>
      </c>
      <c r="M168" s="54">
        <v>2447.6928000000003</v>
      </c>
      <c r="N168" s="54"/>
      <c r="O168" s="54">
        <f t="shared" si="5"/>
        <v>22378.905600000002</v>
      </c>
    </row>
    <row r="169" spans="1:15" x14ac:dyDescent="0.2">
      <c r="A169" s="33">
        <v>43586</v>
      </c>
      <c r="B169" s="11">
        <v>13</v>
      </c>
      <c r="C169" s="11" t="s">
        <v>471</v>
      </c>
      <c r="D169" s="11" t="s">
        <v>29</v>
      </c>
      <c r="F169" s="11" t="s">
        <v>22</v>
      </c>
      <c r="G169" s="38">
        <v>192001040</v>
      </c>
      <c r="H169" s="650">
        <v>43589</v>
      </c>
      <c r="I169" s="126">
        <v>17483.52</v>
      </c>
      <c r="J169" s="640">
        <f t="shared" si="4"/>
        <v>4895.3856000000005</v>
      </c>
      <c r="K169" s="54">
        <v>0</v>
      </c>
      <c r="L169" s="54">
        <v>2447.6928000000003</v>
      </c>
      <c r="M169" s="54">
        <v>2447.6928000000003</v>
      </c>
      <c r="N169" s="54"/>
      <c r="O169" s="54">
        <f t="shared" si="5"/>
        <v>22378.905600000002</v>
      </c>
    </row>
    <row r="170" spans="1:15" x14ac:dyDescent="0.2">
      <c r="A170" s="33">
        <v>43586</v>
      </c>
      <c r="B170" s="11">
        <v>14</v>
      </c>
      <c r="C170" s="11" t="s">
        <v>601</v>
      </c>
      <c r="D170" s="11" t="s">
        <v>602</v>
      </c>
      <c r="F170" s="11" t="s">
        <v>22</v>
      </c>
      <c r="G170" s="38">
        <v>836</v>
      </c>
      <c r="H170" s="650">
        <v>43590</v>
      </c>
      <c r="I170" s="126">
        <v>30650.400000000001</v>
      </c>
      <c r="J170" s="640">
        <f t="shared" si="4"/>
        <v>8582.112000000001</v>
      </c>
      <c r="K170" s="54">
        <v>0</v>
      </c>
      <c r="L170" s="54">
        <v>4291.0560000000005</v>
      </c>
      <c r="M170" s="54">
        <v>4291.0560000000005</v>
      </c>
      <c r="N170" s="54"/>
      <c r="O170" s="54">
        <f t="shared" si="5"/>
        <v>39232.512000000002</v>
      </c>
    </row>
    <row r="171" spans="1:15" x14ac:dyDescent="0.2">
      <c r="A171" s="33">
        <v>43586</v>
      </c>
      <c r="B171" s="11">
        <v>15</v>
      </c>
      <c r="C171" s="11" t="s">
        <v>601</v>
      </c>
      <c r="D171" s="11" t="s">
        <v>602</v>
      </c>
      <c r="F171" s="11" t="s">
        <v>22</v>
      </c>
      <c r="G171" s="38">
        <v>837</v>
      </c>
      <c r="H171" s="650">
        <v>43590</v>
      </c>
      <c r="I171" s="126">
        <v>19596.96</v>
      </c>
      <c r="J171" s="640">
        <f t="shared" si="4"/>
        <v>5487.1487999999999</v>
      </c>
      <c r="K171" s="54">
        <v>0</v>
      </c>
      <c r="L171" s="54">
        <v>2743.5744</v>
      </c>
      <c r="M171" s="54">
        <v>2743.5744</v>
      </c>
      <c r="N171" s="54"/>
      <c r="O171" s="54">
        <f t="shared" si="5"/>
        <v>25084.108799999998</v>
      </c>
    </row>
    <row r="172" spans="1:15" x14ac:dyDescent="0.2">
      <c r="A172" s="33">
        <v>43586</v>
      </c>
      <c r="B172" s="11">
        <v>16</v>
      </c>
      <c r="C172" s="11" t="s">
        <v>601</v>
      </c>
      <c r="D172" s="11" t="s">
        <v>602</v>
      </c>
      <c r="F172" s="11" t="s">
        <v>22</v>
      </c>
      <c r="G172" s="38">
        <v>844</v>
      </c>
      <c r="H172" s="650">
        <v>43590</v>
      </c>
      <c r="I172" s="126">
        <v>17879.400000000001</v>
      </c>
      <c r="J172" s="640">
        <f t="shared" si="4"/>
        <v>5006.232</v>
      </c>
      <c r="K172" s="54">
        <v>0</v>
      </c>
      <c r="L172" s="54">
        <v>2503.116</v>
      </c>
      <c r="M172" s="54">
        <v>2503.116</v>
      </c>
      <c r="N172" s="54"/>
      <c r="O172" s="54">
        <f t="shared" si="5"/>
        <v>22885.632000000001</v>
      </c>
    </row>
    <row r="173" spans="1:15" x14ac:dyDescent="0.2">
      <c r="A173" s="33">
        <v>43586</v>
      </c>
      <c r="B173" s="11">
        <v>17</v>
      </c>
      <c r="C173" s="11" t="s">
        <v>606</v>
      </c>
      <c r="D173" s="11" t="s">
        <v>607</v>
      </c>
      <c r="F173" s="11" t="s">
        <v>22</v>
      </c>
      <c r="G173" s="38" t="s">
        <v>608</v>
      </c>
      <c r="H173" s="650">
        <v>43589</v>
      </c>
      <c r="I173" s="126">
        <v>25000</v>
      </c>
      <c r="J173" s="640">
        <f t="shared" si="4"/>
        <v>4500</v>
      </c>
      <c r="K173" s="54">
        <v>0</v>
      </c>
      <c r="L173" s="54">
        <v>2250</v>
      </c>
      <c r="M173" s="54">
        <v>2250</v>
      </c>
      <c r="N173" s="54"/>
      <c r="O173" s="54">
        <f t="shared" si="5"/>
        <v>29500</v>
      </c>
    </row>
    <row r="174" spans="1:15" x14ac:dyDescent="0.2">
      <c r="A174" s="33">
        <v>43586</v>
      </c>
      <c r="B174" s="11">
        <v>18</v>
      </c>
      <c r="C174" s="11" t="s">
        <v>471</v>
      </c>
      <c r="D174" s="11" t="s">
        <v>29</v>
      </c>
      <c r="F174" s="11" t="s">
        <v>22</v>
      </c>
      <c r="G174" s="38">
        <v>192001080</v>
      </c>
      <c r="H174" s="650">
        <v>43591</v>
      </c>
      <c r="I174" s="126">
        <v>17483.52</v>
      </c>
      <c r="J174" s="640">
        <f t="shared" si="4"/>
        <v>4895.3856000000005</v>
      </c>
      <c r="K174" s="54">
        <v>0</v>
      </c>
      <c r="L174" s="54">
        <v>2447.6928000000003</v>
      </c>
      <c r="M174" s="54">
        <v>2447.6928000000003</v>
      </c>
      <c r="N174" s="54"/>
      <c r="O174" s="54">
        <f t="shared" si="5"/>
        <v>22378.905600000002</v>
      </c>
    </row>
    <row r="175" spans="1:15" x14ac:dyDescent="0.2">
      <c r="A175" s="33">
        <v>43586</v>
      </c>
      <c r="B175" s="11">
        <v>19</v>
      </c>
      <c r="C175" s="11" t="s">
        <v>471</v>
      </c>
      <c r="D175" s="11" t="s">
        <v>29</v>
      </c>
      <c r="F175" s="11" t="s">
        <v>22</v>
      </c>
      <c r="G175" s="38">
        <v>192001093</v>
      </c>
      <c r="H175" s="650">
        <v>43591</v>
      </c>
      <c r="I175" s="126">
        <v>17483.52</v>
      </c>
      <c r="J175" s="640">
        <f t="shared" si="4"/>
        <v>4895.3856000000005</v>
      </c>
      <c r="K175" s="54">
        <v>0</v>
      </c>
      <c r="L175" s="54">
        <v>2447.6928000000003</v>
      </c>
      <c r="M175" s="54">
        <v>2447.6928000000003</v>
      </c>
      <c r="N175" s="54"/>
      <c r="O175" s="54">
        <f t="shared" si="5"/>
        <v>22378.905600000002</v>
      </c>
    </row>
    <row r="176" spans="1:15" x14ac:dyDescent="0.2">
      <c r="A176" s="33">
        <v>43586</v>
      </c>
      <c r="B176" s="11">
        <v>20</v>
      </c>
      <c r="C176" s="11" t="s">
        <v>489</v>
      </c>
      <c r="D176" s="11" t="s">
        <v>490</v>
      </c>
      <c r="F176" s="11" t="s">
        <v>22</v>
      </c>
      <c r="G176" s="38">
        <v>7887982494</v>
      </c>
      <c r="H176" s="650">
        <v>43591</v>
      </c>
      <c r="I176" s="126">
        <v>26336</v>
      </c>
      <c r="J176" s="640">
        <f t="shared" si="4"/>
        <v>4740.4799999999996</v>
      </c>
      <c r="K176" s="54">
        <v>0</v>
      </c>
      <c r="L176" s="54">
        <v>2370.2399999999998</v>
      </c>
      <c r="M176" s="54">
        <v>2370.2399999999998</v>
      </c>
      <c r="N176" s="54"/>
      <c r="O176" s="54">
        <f t="shared" si="5"/>
        <v>31076.48</v>
      </c>
    </row>
    <row r="177" spans="1:15" x14ac:dyDescent="0.2">
      <c r="A177" s="33">
        <v>43586</v>
      </c>
      <c r="B177" s="11">
        <v>21</v>
      </c>
      <c r="C177" s="11" t="s">
        <v>489</v>
      </c>
      <c r="D177" s="11" t="s">
        <v>490</v>
      </c>
      <c r="F177" s="11" t="s">
        <v>22</v>
      </c>
      <c r="G177" s="38">
        <v>7887982520</v>
      </c>
      <c r="H177" s="650">
        <v>43591</v>
      </c>
      <c r="I177" s="126">
        <v>8736</v>
      </c>
      <c r="J177" s="640">
        <f t="shared" si="4"/>
        <v>1572.48</v>
      </c>
      <c r="K177" s="54">
        <v>0</v>
      </c>
      <c r="L177" s="54">
        <v>786.24</v>
      </c>
      <c r="M177" s="54">
        <v>786.24</v>
      </c>
      <c r="N177" s="54"/>
      <c r="O177" s="54">
        <f t="shared" si="5"/>
        <v>10308.48</v>
      </c>
    </row>
    <row r="178" spans="1:15" x14ac:dyDescent="0.2">
      <c r="A178" s="33">
        <v>43586</v>
      </c>
      <c r="B178" s="11">
        <v>22</v>
      </c>
      <c r="C178" s="11" t="s">
        <v>609</v>
      </c>
      <c r="D178" s="11" t="s">
        <v>610</v>
      </c>
      <c r="F178" s="11" t="s">
        <v>22</v>
      </c>
      <c r="G178" s="38" t="s">
        <v>611</v>
      </c>
      <c r="H178" s="650">
        <v>43586</v>
      </c>
      <c r="I178" s="126">
        <v>653410</v>
      </c>
      <c r="J178" s="640">
        <f t="shared" si="4"/>
        <v>117613.8</v>
      </c>
      <c r="K178" s="54">
        <v>0</v>
      </c>
      <c r="L178" s="54">
        <v>58806.9</v>
      </c>
      <c r="M178" s="54">
        <v>58806.9</v>
      </c>
      <c r="N178" s="54"/>
      <c r="O178" s="54">
        <f t="shared" si="5"/>
        <v>771023.8</v>
      </c>
    </row>
    <row r="179" spans="1:15" x14ac:dyDescent="0.2">
      <c r="A179" s="33">
        <v>43586</v>
      </c>
      <c r="B179" s="11">
        <v>23</v>
      </c>
      <c r="C179" s="11" t="s">
        <v>609</v>
      </c>
      <c r="D179" s="11" t="s">
        <v>610</v>
      </c>
      <c r="F179" s="11" t="s">
        <v>22</v>
      </c>
      <c r="G179" s="38" t="s">
        <v>612</v>
      </c>
      <c r="H179" s="650">
        <v>43586</v>
      </c>
      <c r="I179" s="126">
        <v>22361</v>
      </c>
      <c r="J179" s="640">
        <f t="shared" si="4"/>
        <v>4024.9800000000005</v>
      </c>
      <c r="K179" s="54">
        <v>0</v>
      </c>
      <c r="L179" s="54">
        <v>2012.4900000000002</v>
      </c>
      <c r="M179" s="54">
        <v>2012.4900000000002</v>
      </c>
      <c r="N179" s="54"/>
      <c r="O179" s="54">
        <f t="shared" si="5"/>
        <v>26385.98</v>
      </c>
    </row>
    <row r="180" spans="1:15" x14ac:dyDescent="0.2">
      <c r="A180" s="33">
        <v>43586</v>
      </c>
      <c r="B180" s="11">
        <v>24</v>
      </c>
      <c r="C180" s="11" t="s">
        <v>493</v>
      </c>
      <c r="D180" s="11" t="s">
        <v>494</v>
      </c>
      <c r="F180" s="11" t="s">
        <v>22</v>
      </c>
      <c r="G180" s="38">
        <v>575</v>
      </c>
      <c r="H180" s="650">
        <v>43591</v>
      </c>
      <c r="I180" s="126">
        <v>25289</v>
      </c>
      <c r="J180" s="640">
        <f t="shared" si="4"/>
        <v>4552.0199999999995</v>
      </c>
      <c r="K180" s="54">
        <v>0</v>
      </c>
      <c r="L180" s="54">
        <v>2276.0099999999998</v>
      </c>
      <c r="M180" s="54">
        <v>2276.0099999999998</v>
      </c>
      <c r="N180" s="54"/>
      <c r="O180" s="54">
        <f t="shared" si="5"/>
        <v>29841.02</v>
      </c>
    </row>
    <row r="181" spans="1:15" x14ac:dyDescent="0.2">
      <c r="A181" s="33">
        <v>43586</v>
      </c>
      <c r="B181" s="11">
        <v>25</v>
      </c>
      <c r="C181" s="11" t="s">
        <v>601</v>
      </c>
      <c r="D181" s="11" t="s">
        <v>602</v>
      </c>
      <c r="F181" s="11" t="s">
        <v>22</v>
      </c>
      <c r="G181" s="38">
        <v>872</v>
      </c>
      <c r="H181" s="650">
        <v>43591</v>
      </c>
      <c r="I181" s="126">
        <v>46827</v>
      </c>
      <c r="J181" s="640">
        <f t="shared" si="4"/>
        <v>13111.56</v>
      </c>
      <c r="K181" s="54">
        <v>0</v>
      </c>
      <c r="L181" s="54">
        <v>6555.78</v>
      </c>
      <c r="M181" s="54">
        <v>6555.78</v>
      </c>
      <c r="N181" s="54"/>
      <c r="O181" s="54">
        <f t="shared" si="5"/>
        <v>59938.559999999998</v>
      </c>
    </row>
    <row r="182" spans="1:15" x14ac:dyDescent="0.2">
      <c r="A182" s="33">
        <v>43586</v>
      </c>
      <c r="B182" s="11">
        <v>26</v>
      </c>
      <c r="C182" s="11" t="s">
        <v>613</v>
      </c>
      <c r="D182" s="11" t="s">
        <v>614</v>
      </c>
      <c r="F182" s="11" t="s">
        <v>22</v>
      </c>
      <c r="G182" s="38">
        <v>19211</v>
      </c>
      <c r="H182" s="650">
        <v>43592</v>
      </c>
      <c r="I182" s="126">
        <v>18900</v>
      </c>
      <c r="J182" s="640">
        <f t="shared" si="4"/>
        <v>3402</v>
      </c>
      <c r="K182" s="54">
        <v>0</v>
      </c>
      <c r="L182" s="54">
        <v>1701</v>
      </c>
      <c r="M182" s="54">
        <v>1701</v>
      </c>
      <c r="N182" s="54"/>
      <c r="O182" s="54">
        <f t="shared" si="5"/>
        <v>22302</v>
      </c>
    </row>
    <row r="183" spans="1:15" x14ac:dyDescent="0.2">
      <c r="A183" s="33">
        <v>43586</v>
      </c>
      <c r="B183" s="11">
        <v>27</v>
      </c>
      <c r="C183" s="11" t="s">
        <v>471</v>
      </c>
      <c r="D183" s="11" t="s">
        <v>29</v>
      </c>
      <c r="F183" s="11" t="s">
        <v>22</v>
      </c>
      <c r="G183" s="38">
        <v>192001122</v>
      </c>
      <c r="H183" s="650">
        <v>43592</v>
      </c>
      <c r="I183" s="126">
        <v>17483.52</v>
      </c>
      <c r="J183" s="640">
        <f t="shared" si="4"/>
        <v>4895.3856000000005</v>
      </c>
      <c r="K183" s="54">
        <v>0</v>
      </c>
      <c r="L183" s="54">
        <v>2447.6928000000003</v>
      </c>
      <c r="M183" s="54">
        <v>2447.6928000000003</v>
      </c>
      <c r="N183" s="54"/>
      <c r="O183" s="54">
        <f t="shared" si="5"/>
        <v>22378.905600000002</v>
      </c>
    </row>
    <row r="184" spans="1:15" x14ac:dyDescent="0.2">
      <c r="A184" s="33">
        <v>43586</v>
      </c>
      <c r="B184" s="11">
        <v>28</v>
      </c>
      <c r="C184" s="11" t="s">
        <v>541</v>
      </c>
      <c r="D184" s="11" t="s">
        <v>542</v>
      </c>
      <c r="F184" s="11" t="s">
        <v>22</v>
      </c>
      <c r="G184" s="38" t="s">
        <v>615</v>
      </c>
      <c r="H184" s="650">
        <v>43586</v>
      </c>
      <c r="I184" s="126">
        <v>3500</v>
      </c>
      <c r="J184" s="640">
        <f t="shared" si="4"/>
        <v>630</v>
      </c>
      <c r="K184" s="54">
        <v>0</v>
      </c>
      <c r="L184" s="54">
        <v>315</v>
      </c>
      <c r="M184" s="54">
        <v>315</v>
      </c>
      <c r="N184" s="54"/>
      <c r="O184" s="54">
        <f t="shared" si="5"/>
        <v>4130</v>
      </c>
    </row>
    <row r="185" spans="1:15" x14ac:dyDescent="0.2">
      <c r="A185" s="33">
        <v>43586</v>
      </c>
      <c r="B185" s="11">
        <v>29</v>
      </c>
      <c r="C185" s="11" t="s">
        <v>471</v>
      </c>
      <c r="D185" s="11" t="s">
        <v>29</v>
      </c>
      <c r="F185" s="11" t="s">
        <v>22</v>
      </c>
      <c r="G185" s="38">
        <v>192001123</v>
      </c>
      <c r="H185" s="650">
        <v>43592</v>
      </c>
      <c r="I185" s="126">
        <v>17483.52</v>
      </c>
      <c r="J185" s="640">
        <f t="shared" si="4"/>
        <v>4895.3856000000005</v>
      </c>
      <c r="K185" s="54">
        <v>0</v>
      </c>
      <c r="L185" s="54">
        <v>2447.6928000000003</v>
      </c>
      <c r="M185" s="54">
        <v>2447.6928000000003</v>
      </c>
      <c r="N185" s="54"/>
      <c r="O185" s="54">
        <f t="shared" si="5"/>
        <v>22378.905600000002</v>
      </c>
    </row>
    <row r="186" spans="1:15" x14ac:dyDescent="0.2">
      <c r="A186" s="33">
        <v>43586</v>
      </c>
      <c r="B186" s="11">
        <v>30</v>
      </c>
      <c r="C186" s="11" t="s">
        <v>601</v>
      </c>
      <c r="D186" s="11" t="s">
        <v>602</v>
      </c>
      <c r="F186" s="11" t="s">
        <v>22</v>
      </c>
      <c r="G186" s="38">
        <v>910</v>
      </c>
      <c r="H186" s="650">
        <v>43593</v>
      </c>
      <c r="I186" s="126">
        <v>16070.4</v>
      </c>
      <c r="J186" s="640">
        <f t="shared" si="4"/>
        <v>4499.7120000000004</v>
      </c>
      <c r="K186" s="54">
        <v>0</v>
      </c>
      <c r="L186" s="54">
        <v>2249.8560000000002</v>
      </c>
      <c r="M186" s="54">
        <v>2249.8560000000002</v>
      </c>
      <c r="N186" s="54"/>
      <c r="O186" s="54">
        <f t="shared" si="5"/>
        <v>20570.112000000001</v>
      </c>
    </row>
    <row r="187" spans="1:15" x14ac:dyDescent="0.2">
      <c r="A187" s="33">
        <v>43586</v>
      </c>
      <c r="B187" s="11">
        <v>31</v>
      </c>
      <c r="C187" s="11" t="s">
        <v>499</v>
      </c>
      <c r="D187" s="11" t="s">
        <v>500</v>
      </c>
      <c r="F187" s="11" t="s">
        <v>22</v>
      </c>
      <c r="G187" s="38" t="s">
        <v>616</v>
      </c>
      <c r="H187" s="650">
        <v>43592</v>
      </c>
      <c r="I187" s="126">
        <v>16572</v>
      </c>
      <c r="J187" s="640">
        <f t="shared" si="4"/>
        <v>819.62</v>
      </c>
      <c r="K187" s="54">
        <v>0</v>
      </c>
      <c r="L187" s="54">
        <v>409.81</v>
      </c>
      <c r="M187" s="54">
        <v>409.81</v>
      </c>
      <c r="N187" s="54"/>
      <c r="O187" s="54">
        <f>+I187+J187</f>
        <v>17391.62</v>
      </c>
    </row>
    <row r="188" spans="1:15" x14ac:dyDescent="0.2">
      <c r="A188" s="33">
        <v>43586</v>
      </c>
      <c r="B188" s="11">
        <v>32</v>
      </c>
      <c r="C188" s="11" t="s">
        <v>499</v>
      </c>
      <c r="D188" s="11" t="s">
        <v>500</v>
      </c>
      <c r="F188" s="11" t="s">
        <v>22</v>
      </c>
      <c r="G188" s="38" t="s">
        <v>617</v>
      </c>
      <c r="H188" s="650">
        <v>43592</v>
      </c>
      <c r="I188" s="126">
        <v>0</v>
      </c>
      <c r="J188" s="640">
        <v>150</v>
      </c>
      <c r="K188" s="54">
        <v>0</v>
      </c>
      <c r="L188" s="54">
        <v>0</v>
      </c>
      <c r="M188" s="54">
        <v>0</v>
      </c>
      <c r="N188" s="54"/>
      <c r="O188" s="54">
        <f t="shared" si="5"/>
        <v>150</v>
      </c>
    </row>
    <row r="189" spans="1:15" x14ac:dyDescent="0.2">
      <c r="A189" s="33">
        <v>43586</v>
      </c>
      <c r="B189" s="11">
        <v>33</v>
      </c>
      <c r="C189" s="11" t="s">
        <v>471</v>
      </c>
      <c r="D189" s="11" t="s">
        <v>29</v>
      </c>
      <c r="F189" s="11" t="s">
        <v>22</v>
      </c>
      <c r="G189" s="38">
        <v>192001205</v>
      </c>
      <c r="H189" s="650">
        <v>43593</v>
      </c>
      <c r="I189" s="126">
        <v>17483.52</v>
      </c>
      <c r="J189" s="640">
        <f t="shared" si="4"/>
        <v>4895.3856000000005</v>
      </c>
      <c r="K189" s="54">
        <v>0</v>
      </c>
      <c r="L189" s="54">
        <v>2447.6928000000003</v>
      </c>
      <c r="M189" s="54">
        <v>2447.6928000000003</v>
      </c>
      <c r="N189" s="54"/>
      <c r="O189" s="54">
        <f t="shared" si="5"/>
        <v>22378.905600000002</v>
      </c>
    </row>
    <row r="190" spans="1:15" x14ac:dyDescent="0.2">
      <c r="A190" s="33">
        <v>43586</v>
      </c>
      <c r="B190" s="11">
        <v>34</v>
      </c>
      <c r="C190" s="11" t="s">
        <v>471</v>
      </c>
      <c r="D190" s="11" t="s">
        <v>29</v>
      </c>
      <c r="F190" s="11" t="s">
        <v>22</v>
      </c>
      <c r="G190" s="38">
        <v>192001206</v>
      </c>
      <c r="H190" s="650">
        <v>43593</v>
      </c>
      <c r="I190" s="126">
        <v>17483.52</v>
      </c>
      <c r="J190" s="640">
        <f t="shared" si="4"/>
        <v>4895.3856000000005</v>
      </c>
      <c r="K190" s="54">
        <v>0</v>
      </c>
      <c r="L190" s="54">
        <v>2447.6928000000003</v>
      </c>
      <c r="M190" s="54">
        <v>2447.6928000000003</v>
      </c>
      <c r="N190" s="54"/>
      <c r="O190" s="54">
        <f t="shared" si="5"/>
        <v>22378.905600000002</v>
      </c>
    </row>
    <row r="191" spans="1:15" x14ac:dyDescent="0.2">
      <c r="A191" s="33">
        <v>43586</v>
      </c>
      <c r="B191" s="11">
        <v>35</v>
      </c>
      <c r="C191" s="11" t="s">
        <v>499</v>
      </c>
      <c r="D191" s="11" t="s">
        <v>500</v>
      </c>
      <c r="F191" s="11" t="s">
        <v>22</v>
      </c>
      <c r="G191" s="38" t="s">
        <v>618</v>
      </c>
      <c r="H191" s="650">
        <v>43592</v>
      </c>
      <c r="I191" s="126">
        <v>1180</v>
      </c>
      <c r="J191" s="640">
        <f t="shared" si="4"/>
        <v>209.04</v>
      </c>
      <c r="K191" s="54">
        <v>0</v>
      </c>
      <c r="L191" s="54">
        <v>104.52</v>
      </c>
      <c r="M191" s="54">
        <v>104.52</v>
      </c>
      <c r="N191" s="54"/>
      <c r="O191" s="54">
        <f t="shared" si="5"/>
        <v>1389.04</v>
      </c>
    </row>
    <row r="192" spans="1:15" x14ac:dyDescent="0.2">
      <c r="A192" s="33">
        <v>43586</v>
      </c>
      <c r="B192" s="11">
        <v>36</v>
      </c>
      <c r="C192" s="11" t="s">
        <v>471</v>
      </c>
      <c r="D192" s="11" t="s">
        <v>29</v>
      </c>
      <c r="F192" s="11" t="s">
        <v>22</v>
      </c>
      <c r="G192" s="38">
        <v>192001245</v>
      </c>
      <c r="H192" s="650">
        <v>43595</v>
      </c>
      <c r="I192" s="126">
        <v>17483.52</v>
      </c>
      <c r="J192" s="640">
        <f t="shared" si="4"/>
        <v>4895.3856000000005</v>
      </c>
      <c r="K192" s="54">
        <v>0</v>
      </c>
      <c r="L192" s="54">
        <v>2447.6928000000003</v>
      </c>
      <c r="M192" s="54">
        <v>2447.6928000000003</v>
      </c>
      <c r="N192" s="54"/>
      <c r="O192" s="54">
        <f t="shared" si="5"/>
        <v>22378.905600000002</v>
      </c>
    </row>
    <row r="193" spans="1:15" x14ac:dyDescent="0.2">
      <c r="A193" s="33">
        <v>43586</v>
      </c>
      <c r="B193" s="11">
        <v>37</v>
      </c>
      <c r="C193" s="11" t="s">
        <v>471</v>
      </c>
      <c r="D193" s="11" t="s">
        <v>29</v>
      </c>
      <c r="F193" s="11" t="s">
        <v>22</v>
      </c>
      <c r="G193" s="38">
        <v>192001246</v>
      </c>
      <c r="H193" s="650">
        <v>43595</v>
      </c>
      <c r="I193" s="126">
        <v>17483.52</v>
      </c>
      <c r="J193" s="640">
        <f t="shared" si="4"/>
        <v>4895.3856000000005</v>
      </c>
      <c r="K193" s="54">
        <v>0</v>
      </c>
      <c r="L193" s="54">
        <v>2447.6928000000003</v>
      </c>
      <c r="M193" s="54">
        <v>2447.6928000000003</v>
      </c>
      <c r="N193" s="54"/>
      <c r="O193" s="54">
        <f t="shared" si="5"/>
        <v>22378.905600000002</v>
      </c>
    </row>
    <row r="194" spans="1:15" x14ac:dyDescent="0.2">
      <c r="A194" s="33">
        <v>43586</v>
      </c>
      <c r="B194" s="11">
        <v>38</v>
      </c>
      <c r="C194" s="11" t="s">
        <v>556</v>
      </c>
      <c r="D194" s="11" t="s">
        <v>557</v>
      </c>
      <c r="F194" s="11" t="s">
        <v>22</v>
      </c>
      <c r="G194" s="38" t="s">
        <v>619</v>
      </c>
      <c r="H194" s="650">
        <v>43594</v>
      </c>
      <c r="I194" s="126">
        <v>69300</v>
      </c>
      <c r="J194" s="640">
        <f t="shared" si="4"/>
        <v>12474</v>
      </c>
      <c r="K194" s="54">
        <v>0</v>
      </c>
      <c r="L194" s="54">
        <v>6237</v>
      </c>
      <c r="M194" s="54">
        <v>6237</v>
      </c>
      <c r="N194" s="54"/>
      <c r="O194" s="54">
        <f t="shared" si="5"/>
        <v>81774</v>
      </c>
    </row>
    <row r="195" spans="1:15" x14ac:dyDescent="0.2">
      <c r="A195" s="33">
        <v>43586</v>
      </c>
      <c r="B195" s="11">
        <v>39</v>
      </c>
      <c r="C195" s="11" t="s">
        <v>538</v>
      </c>
      <c r="D195" s="11" t="s">
        <v>539</v>
      </c>
      <c r="F195" s="11" t="s">
        <v>22</v>
      </c>
      <c r="G195" s="38" t="s">
        <v>620</v>
      </c>
      <c r="H195" s="650">
        <v>43595</v>
      </c>
      <c r="I195" s="126">
        <v>17200</v>
      </c>
      <c r="J195" s="640">
        <f t="shared" si="4"/>
        <v>3096</v>
      </c>
      <c r="K195" s="54">
        <v>0</v>
      </c>
      <c r="L195" s="54">
        <v>1548</v>
      </c>
      <c r="M195" s="54">
        <v>1548</v>
      </c>
      <c r="N195" s="54"/>
      <c r="O195" s="54">
        <f t="shared" si="5"/>
        <v>20296</v>
      </c>
    </row>
    <row r="196" spans="1:15" x14ac:dyDescent="0.2">
      <c r="A196" s="33">
        <v>43586</v>
      </c>
      <c r="B196" s="11">
        <v>40</v>
      </c>
      <c r="C196" s="11" t="s">
        <v>601</v>
      </c>
      <c r="D196" s="11" t="s">
        <v>602</v>
      </c>
      <c r="F196" s="11" t="s">
        <v>22</v>
      </c>
      <c r="G196" s="38">
        <v>972</v>
      </c>
      <c r="H196" s="650">
        <v>43595</v>
      </c>
      <c r="I196" s="126">
        <v>14731.2</v>
      </c>
      <c r="J196" s="640">
        <f t="shared" ref="J196:J259" si="7">+K196+L196+M196+N196</f>
        <v>4124.7360000000008</v>
      </c>
      <c r="K196" s="54">
        <v>0</v>
      </c>
      <c r="L196" s="54">
        <v>2062.3680000000004</v>
      </c>
      <c r="M196" s="54">
        <v>2062.3680000000004</v>
      </c>
      <c r="N196" s="54"/>
      <c r="O196" s="54">
        <f t="shared" ref="O196:O259" si="8">+I196+J196</f>
        <v>18855.936000000002</v>
      </c>
    </row>
    <row r="197" spans="1:15" x14ac:dyDescent="0.2">
      <c r="A197" s="33">
        <v>43586</v>
      </c>
      <c r="B197" s="11">
        <v>41</v>
      </c>
      <c r="C197" s="11" t="s">
        <v>471</v>
      </c>
      <c r="D197" s="11" t="s">
        <v>29</v>
      </c>
      <c r="F197" s="11" t="s">
        <v>22</v>
      </c>
      <c r="G197" s="38">
        <v>192001263</v>
      </c>
      <c r="H197" s="650">
        <v>43595</v>
      </c>
      <c r="I197" s="126">
        <v>17483.52</v>
      </c>
      <c r="J197" s="640">
        <f t="shared" si="7"/>
        <v>4895.3856000000005</v>
      </c>
      <c r="K197" s="54">
        <v>0</v>
      </c>
      <c r="L197" s="54">
        <v>2447.6928000000003</v>
      </c>
      <c r="M197" s="54">
        <v>2447.6928000000003</v>
      </c>
      <c r="N197" s="54"/>
      <c r="O197" s="54">
        <f t="shared" si="8"/>
        <v>22378.905600000002</v>
      </c>
    </row>
    <row r="198" spans="1:15" x14ac:dyDescent="0.2">
      <c r="A198" s="33">
        <v>43586</v>
      </c>
      <c r="B198" s="11">
        <v>42</v>
      </c>
      <c r="C198" s="11" t="s">
        <v>471</v>
      </c>
      <c r="D198" s="11" t="s">
        <v>29</v>
      </c>
      <c r="F198" s="11" t="s">
        <v>22</v>
      </c>
      <c r="G198" s="38">
        <v>192001264</v>
      </c>
      <c r="H198" s="650">
        <v>43595</v>
      </c>
      <c r="I198" s="126">
        <v>17483.52</v>
      </c>
      <c r="J198" s="640">
        <f t="shared" si="7"/>
        <v>4895.3856000000005</v>
      </c>
      <c r="K198" s="54">
        <v>0</v>
      </c>
      <c r="L198" s="54">
        <v>2447.6928000000003</v>
      </c>
      <c r="M198" s="54">
        <v>2447.6928000000003</v>
      </c>
      <c r="N198" s="54"/>
      <c r="O198" s="54">
        <f t="shared" si="8"/>
        <v>22378.905600000002</v>
      </c>
    </row>
    <row r="199" spans="1:15" x14ac:dyDescent="0.2">
      <c r="A199" s="33">
        <v>43586</v>
      </c>
      <c r="B199" s="11">
        <v>43</v>
      </c>
      <c r="C199" s="11" t="s">
        <v>493</v>
      </c>
      <c r="D199" s="11" t="s">
        <v>494</v>
      </c>
      <c r="F199" s="11" t="s">
        <v>22</v>
      </c>
      <c r="G199" s="38">
        <v>675</v>
      </c>
      <c r="H199" s="650">
        <v>43596</v>
      </c>
      <c r="I199" s="126">
        <v>22990</v>
      </c>
      <c r="J199" s="640">
        <f t="shared" si="7"/>
        <v>4138.2</v>
      </c>
      <c r="K199" s="54">
        <v>0</v>
      </c>
      <c r="L199" s="54">
        <v>2069.1</v>
      </c>
      <c r="M199" s="54">
        <v>2069.1</v>
      </c>
      <c r="N199" s="54"/>
      <c r="O199" s="54">
        <f t="shared" si="8"/>
        <v>27128.2</v>
      </c>
    </row>
    <row r="200" spans="1:15" x14ac:dyDescent="0.2">
      <c r="A200" s="33">
        <v>43586</v>
      </c>
      <c r="B200" s="11">
        <v>44</v>
      </c>
      <c r="C200" s="11" t="s">
        <v>471</v>
      </c>
      <c r="D200" s="11" t="s">
        <v>29</v>
      </c>
      <c r="F200" s="11" t="s">
        <v>22</v>
      </c>
      <c r="G200" s="38">
        <v>192001297</v>
      </c>
      <c r="H200" s="650">
        <v>43596</v>
      </c>
      <c r="I200" s="126">
        <v>17483.52</v>
      </c>
      <c r="J200" s="640">
        <f t="shared" si="7"/>
        <v>4895.3856000000005</v>
      </c>
      <c r="K200" s="54">
        <v>0</v>
      </c>
      <c r="L200" s="54">
        <v>2447.6928000000003</v>
      </c>
      <c r="M200" s="54">
        <v>2447.6928000000003</v>
      </c>
      <c r="N200" s="54"/>
      <c r="O200" s="54">
        <f t="shared" si="8"/>
        <v>22378.905600000002</v>
      </c>
    </row>
    <row r="201" spans="1:15" x14ac:dyDescent="0.2">
      <c r="A201" s="33">
        <v>43586</v>
      </c>
      <c r="B201" s="11">
        <v>45</v>
      </c>
      <c r="C201" s="11" t="s">
        <v>471</v>
      </c>
      <c r="D201" s="11" t="s">
        <v>29</v>
      </c>
      <c r="F201" s="11" t="s">
        <v>22</v>
      </c>
      <c r="G201" s="38">
        <v>192001300</v>
      </c>
      <c r="H201" s="650">
        <v>43596</v>
      </c>
      <c r="I201" s="126">
        <v>17483.52</v>
      </c>
      <c r="J201" s="640">
        <f t="shared" si="7"/>
        <v>4895.3856000000005</v>
      </c>
      <c r="K201" s="54">
        <v>0</v>
      </c>
      <c r="L201" s="54">
        <v>2447.6928000000003</v>
      </c>
      <c r="M201" s="54">
        <v>2447.6928000000003</v>
      </c>
      <c r="N201" s="54"/>
      <c r="O201" s="54">
        <f t="shared" si="8"/>
        <v>22378.905600000002</v>
      </c>
    </row>
    <row r="202" spans="1:15" x14ac:dyDescent="0.2">
      <c r="A202" s="33">
        <v>43586</v>
      </c>
      <c r="B202" s="11">
        <v>46</v>
      </c>
      <c r="C202" s="11" t="s">
        <v>471</v>
      </c>
      <c r="D202" s="11" t="s">
        <v>29</v>
      </c>
      <c r="F202" s="11" t="s">
        <v>22</v>
      </c>
      <c r="G202" s="38">
        <v>192001311</v>
      </c>
      <c r="H202" s="650">
        <v>43596</v>
      </c>
      <c r="I202" s="126">
        <v>11655.68</v>
      </c>
      <c r="J202" s="640">
        <f t="shared" si="7"/>
        <v>3263.5904</v>
      </c>
      <c r="K202" s="54">
        <v>0</v>
      </c>
      <c r="L202" s="54">
        <v>1631.7952</v>
      </c>
      <c r="M202" s="54">
        <v>1631.7952</v>
      </c>
      <c r="N202" s="54"/>
      <c r="O202" s="54">
        <f t="shared" si="8"/>
        <v>14919.270400000001</v>
      </c>
    </row>
    <row r="203" spans="1:15" x14ac:dyDescent="0.2">
      <c r="A203" s="33">
        <v>43586</v>
      </c>
      <c r="B203" s="11">
        <v>47</v>
      </c>
      <c r="C203" s="11" t="s">
        <v>514</v>
      </c>
      <c r="D203" s="11" t="s">
        <v>515</v>
      </c>
      <c r="F203" s="11" t="s">
        <v>22</v>
      </c>
      <c r="G203" s="38" t="s">
        <v>621</v>
      </c>
      <c r="H203" s="650">
        <v>43596</v>
      </c>
      <c r="I203" s="126">
        <v>48</v>
      </c>
      <c r="J203" s="640">
        <f t="shared" si="7"/>
        <v>8.64</v>
      </c>
      <c r="K203" s="54">
        <v>0</v>
      </c>
      <c r="L203" s="54">
        <v>4.32</v>
      </c>
      <c r="M203" s="54">
        <v>4.32</v>
      </c>
      <c r="N203" s="54"/>
      <c r="O203" s="54">
        <f t="shared" si="8"/>
        <v>56.64</v>
      </c>
    </row>
    <row r="204" spans="1:15" x14ac:dyDescent="0.2">
      <c r="A204" s="33">
        <v>43586</v>
      </c>
      <c r="B204" s="11">
        <v>48</v>
      </c>
      <c r="C204" s="11" t="s">
        <v>514</v>
      </c>
      <c r="D204" s="11" t="s">
        <v>515</v>
      </c>
      <c r="F204" s="11" t="s">
        <v>22</v>
      </c>
      <c r="G204" s="38" t="s">
        <v>622</v>
      </c>
      <c r="H204" s="650">
        <v>43596</v>
      </c>
      <c r="I204" s="126">
        <v>950</v>
      </c>
      <c r="J204" s="640">
        <f t="shared" si="7"/>
        <v>171</v>
      </c>
      <c r="K204" s="54">
        <v>0</v>
      </c>
      <c r="L204" s="54">
        <v>85.5</v>
      </c>
      <c r="M204" s="54">
        <v>85.5</v>
      </c>
      <c r="N204" s="54"/>
      <c r="O204" s="54">
        <f t="shared" si="8"/>
        <v>1121</v>
      </c>
    </row>
    <row r="205" spans="1:15" x14ac:dyDescent="0.2">
      <c r="A205" s="33">
        <v>43586</v>
      </c>
      <c r="B205" s="11">
        <v>49</v>
      </c>
      <c r="C205" s="11" t="s">
        <v>493</v>
      </c>
      <c r="D205" s="11" t="s">
        <v>494</v>
      </c>
      <c r="F205" s="11" t="s">
        <v>22</v>
      </c>
      <c r="G205" s="38">
        <v>688</v>
      </c>
      <c r="H205" s="650">
        <v>43597</v>
      </c>
      <c r="I205" s="126">
        <v>19173.66</v>
      </c>
      <c r="J205" s="640">
        <f t="shared" si="7"/>
        <v>3451.2588000000001</v>
      </c>
      <c r="K205" s="54">
        <v>0</v>
      </c>
      <c r="L205" s="54">
        <v>1725.6294</v>
      </c>
      <c r="M205" s="54">
        <v>1725.6294</v>
      </c>
      <c r="N205" s="54"/>
      <c r="O205" s="54">
        <f t="shared" si="8"/>
        <v>22624.918799999999</v>
      </c>
    </row>
    <row r="206" spans="1:15" x14ac:dyDescent="0.2">
      <c r="A206" s="33">
        <v>43586</v>
      </c>
      <c r="B206" s="11">
        <v>50</v>
      </c>
      <c r="C206" s="11" t="s">
        <v>591</v>
      </c>
      <c r="D206" s="11" t="s">
        <v>592</v>
      </c>
      <c r="F206" s="11" t="s">
        <v>22</v>
      </c>
      <c r="G206" s="38" t="s">
        <v>623</v>
      </c>
      <c r="H206" s="650">
        <v>43596</v>
      </c>
      <c r="I206" s="126">
        <v>58830</v>
      </c>
      <c r="J206" s="640">
        <f t="shared" si="7"/>
        <v>10590</v>
      </c>
      <c r="K206" s="54">
        <v>0</v>
      </c>
      <c r="L206" s="54">
        <v>5295</v>
      </c>
      <c r="M206" s="54">
        <v>5295</v>
      </c>
      <c r="N206" s="54"/>
      <c r="O206" s="54">
        <f t="shared" si="8"/>
        <v>69420</v>
      </c>
    </row>
    <row r="207" spans="1:15" x14ac:dyDescent="0.2">
      <c r="A207" s="33">
        <v>43586</v>
      </c>
      <c r="B207" s="11">
        <v>51</v>
      </c>
      <c r="C207" s="11" t="s">
        <v>625</v>
      </c>
      <c r="D207" s="11" t="s">
        <v>626</v>
      </c>
      <c r="F207" s="11" t="s">
        <v>22</v>
      </c>
      <c r="G207" s="38" t="s">
        <v>627</v>
      </c>
      <c r="H207" s="650">
        <v>43598</v>
      </c>
      <c r="I207" s="126">
        <v>10315</v>
      </c>
      <c r="J207" s="640">
        <f t="shared" si="7"/>
        <v>1856.7</v>
      </c>
      <c r="K207" s="54">
        <v>0</v>
      </c>
      <c r="L207" s="54">
        <v>928.35</v>
      </c>
      <c r="M207" s="54">
        <v>928.35</v>
      </c>
      <c r="N207" s="54"/>
      <c r="O207" s="54">
        <f t="shared" si="8"/>
        <v>12171.7</v>
      </c>
    </row>
    <row r="208" spans="1:15" x14ac:dyDescent="0.2">
      <c r="A208" s="33">
        <v>43586</v>
      </c>
      <c r="B208" s="11">
        <v>52</v>
      </c>
      <c r="C208" s="11" t="s">
        <v>506</v>
      </c>
      <c r="D208" s="11" t="s">
        <v>507</v>
      </c>
      <c r="F208" s="11" t="s">
        <v>22</v>
      </c>
      <c r="G208" s="38" t="s">
        <v>628</v>
      </c>
      <c r="H208" s="650">
        <v>43598</v>
      </c>
      <c r="I208" s="126">
        <v>9240</v>
      </c>
      <c r="J208" s="640">
        <f t="shared" si="7"/>
        <v>1663.2</v>
      </c>
      <c r="K208" s="54">
        <v>0</v>
      </c>
      <c r="L208" s="54">
        <v>831.6</v>
      </c>
      <c r="M208" s="54">
        <v>831.6</v>
      </c>
      <c r="N208" s="54"/>
      <c r="O208" s="54">
        <f t="shared" si="8"/>
        <v>10903.2</v>
      </c>
    </row>
    <row r="209" spans="1:15" x14ac:dyDescent="0.2">
      <c r="A209" s="33">
        <v>43586</v>
      </c>
      <c r="B209" s="11">
        <v>53</v>
      </c>
      <c r="C209" s="11" t="s">
        <v>554</v>
      </c>
      <c r="D209" s="11" t="s">
        <v>555</v>
      </c>
      <c r="F209" s="11" t="s">
        <v>22</v>
      </c>
      <c r="G209" s="38">
        <v>1419</v>
      </c>
      <c r="H209" s="650">
        <v>43598</v>
      </c>
      <c r="I209" s="126">
        <v>2442.6</v>
      </c>
      <c r="J209" s="640">
        <f t="shared" si="7"/>
        <v>683.928</v>
      </c>
      <c r="K209" s="54">
        <v>0</v>
      </c>
      <c r="L209" s="54">
        <v>341.964</v>
      </c>
      <c r="M209" s="54">
        <v>341.964</v>
      </c>
      <c r="N209" s="54"/>
      <c r="O209" s="54">
        <f t="shared" si="8"/>
        <v>3126.5279999999998</v>
      </c>
    </row>
    <row r="210" spans="1:15" x14ac:dyDescent="0.2">
      <c r="A210" s="33">
        <v>43586</v>
      </c>
      <c r="B210" s="11">
        <v>54</v>
      </c>
      <c r="C210" s="11" t="s">
        <v>601</v>
      </c>
      <c r="D210" s="11" t="s">
        <v>602</v>
      </c>
      <c r="F210" s="11" t="s">
        <v>22</v>
      </c>
      <c r="G210" s="38">
        <v>1045</v>
      </c>
      <c r="H210" s="650">
        <v>43598</v>
      </c>
      <c r="I210" s="126">
        <v>13392</v>
      </c>
      <c r="J210" s="640">
        <f t="shared" si="7"/>
        <v>3749.7599999999998</v>
      </c>
      <c r="K210" s="54">
        <v>0</v>
      </c>
      <c r="L210" s="54">
        <v>1874.8799999999999</v>
      </c>
      <c r="M210" s="54">
        <v>1874.8799999999999</v>
      </c>
      <c r="N210" s="54"/>
      <c r="O210" s="54">
        <f t="shared" si="8"/>
        <v>17141.759999999998</v>
      </c>
    </row>
    <row r="211" spans="1:15" x14ac:dyDescent="0.2">
      <c r="A211" s="33">
        <v>43586</v>
      </c>
      <c r="B211" s="11">
        <v>55</v>
      </c>
      <c r="C211" s="11" t="s">
        <v>517</v>
      </c>
      <c r="D211" s="11" t="s">
        <v>256</v>
      </c>
      <c r="F211" s="11" t="s">
        <v>22</v>
      </c>
      <c r="G211" s="38">
        <v>19603865</v>
      </c>
      <c r="H211" s="650">
        <v>43597</v>
      </c>
      <c r="I211" s="126">
        <v>24925.4</v>
      </c>
      <c r="J211" s="640">
        <f t="shared" si="7"/>
        <v>6979.112000000001</v>
      </c>
      <c r="K211" s="54">
        <v>6979.112000000001</v>
      </c>
      <c r="L211" s="54">
        <v>0</v>
      </c>
      <c r="M211" s="54">
        <v>0</v>
      </c>
      <c r="N211" s="54"/>
      <c r="O211" s="54">
        <f t="shared" si="8"/>
        <v>31904.512000000002</v>
      </c>
    </row>
    <row r="212" spans="1:15" x14ac:dyDescent="0.2">
      <c r="A212" s="33">
        <v>43586</v>
      </c>
      <c r="B212" s="11">
        <v>56</v>
      </c>
      <c r="C212" s="11" t="s">
        <v>517</v>
      </c>
      <c r="D212" s="11" t="s">
        <v>256</v>
      </c>
      <c r="F212" s="11" t="s">
        <v>22</v>
      </c>
      <c r="G212" s="38">
        <v>19603866</v>
      </c>
      <c r="H212" s="650">
        <v>43597</v>
      </c>
      <c r="I212" s="126">
        <v>31636.5</v>
      </c>
      <c r="J212" s="640">
        <f t="shared" si="7"/>
        <v>8858.2200000000012</v>
      </c>
      <c r="K212" s="54">
        <v>8858.2200000000012</v>
      </c>
      <c r="L212" s="54">
        <v>0</v>
      </c>
      <c r="M212" s="54">
        <v>0</v>
      </c>
      <c r="N212" s="54"/>
      <c r="O212" s="54">
        <f t="shared" si="8"/>
        <v>40494.720000000001</v>
      </c>
    </row>
    <row r="213" spans="1:15" x14ac:dyDescent="0.2">
      <c r="A213" s="33">
        <v>43586</v>
      </c>
      <c r="B213" s="11">
        <v>57</v>
      </c>
      <c r="C213" s="11" t="s">
        <v>471</v>
      </c>
      <c r="D213" s="11" t="s">
        <v>29</v>
      </c>
      <c r="F213" s="11" t="s">
        <v>22</v>
      </c>
      <c r="G213" s="38">
        <v>192001386</v>
      </c>
      <c r="H213" s="650">
        <v>43599</v>
      </c>
      <c r="I213" s="126">
        <v>17483.52</v>
      </c>
      <c r="J213" s="640">
        <f t="shared" si="7"/>
        <v>4895.3856000000005</v>
      </c>
      <c r="K213" s="54">
        <v>0</v>
      </c>
      <c r="L213" s="54">
        <v>2447.6928000000003</v>
      </c>
      <c r="M213" s="54">
        <v>2447.6928000000003</v>
      </c>
      <c r="N213" s="54"/>
      <c r="O213" s="54">
        <f t="shared" si="8"/>
        <v>22378.905600000002</v>
      </c>
    </row>
    <row r="214" spans="1:15" x14ac:dyDescent="0.2">
      <c r="A214" s="33">
        <v>43586</v>
      </c>
      <c r="B214" s="11">
        <v>58</v>
      </c>
      <c r="C214" s="11" t="s">
        <v>471</v>
      </c>
      <c r="D214" s="11" t="s">
        <v>29</v>
      </c>
      <c r="F214" s="11" t="s">
        <v>22</v>
      </c>
      <c r="G214" s="38">
        <v>192001388</v>
      </c>
      <c r="H214" s="650">
        <v>43599</v>
      </c>
      <c r="I214" s="126">
        <v>17483.52</v>
      </c>
      <c r="J214" s="640">
        <f t="shared" si="7"/>
        <v>4895.3856000000005</v>
      </c>
      <c r="K214" s="54">
        <v>0</v>
      </c>
      <c r="L214" s="54">
        <v>2447.6928000000003</v>
      </c>
      <c r="M214" s="54">
        <v>2447.6928000000003</v>
      </c>
      <c r="N214" s="54"/>
      <c r="O214" s="54">
        <f t="shared" si="8"/>
        <v>22378.905600000002</v>
      </c>
    </row>
    <row r="215" spans="1:15" x14ac:dyDescent="0.2">
      <c r="A215" s="33">
        <v>43586</v>
      </c>
      <c r="B215" s="11">
        <v>59</v>
      </c>
      <c r="C215" s="11" t="s">
        <v>629</v>
      </c>
      <c r="D215" s="11" t="s">
        <v>630</v>
      </c>
      <c r="F215" s="11" t="s">
        <v>22</v>
      </c>
      <c r="G215" s="38">
        <v>81</v>
      </c>
      <c r="H215" s="650">
        <v>43599</v>
      </c>
      <c r="I215" s="126">
        <v>2000</v>
      </c>
      <c r="J215" s="640">
        <f t="shared" si="7"/>
        <v>360</v>
      </c>
      <c r="K215" s="54">
        <v>0</v>
      </c>
      <c r="L215" s="54">
        <v>180</v>
      </c>
      <c r="M215" s="54">
        <v>180</v>
      </c>
      <c r="N215" s="54"/>
      <c r="O215" s="54">
        <f t="shared" si="8"/>
        <v>2360</v>
      </c>
    </row>
    <row r="216" spans="1:15" x14ac:dyDescent="0.2">
      <c r="A216" s="33">
        <v>43586</v>
      </c>
      <c r="B216" s="11">
        <v>60</v>
      </c>
      <c r="C216" s="11" t="s">
        <v>518</v>
      </c>
      <c r="D216" s="11" t="s">
        <v>519</v>
      </c>
      <c r="F216" s="11" t="s">
        <v>22</v>
      </c>
      <c r="G216" s="38" t="s">
        <v>631</v>
      </c>
      <c r="H216" s="650">
        <v>43597</v>
      </c>
      <c r="I216" s="126">
        <v>4795</v>
      </c>
      <c r="J216" s="640">
        <f t="shared" si="7"/>
        <v>863.1</v>
      </c>
      <c r="K216" s="54">
        <v>0</v>
      </c>
      <c r="L216" s="54">
        <v>431.55</v>
      </c>
      <c r="M216" s="54">
        <v>431.55</v>
      </c>
      <c r="N216" s="54"/>
      <c r="O216" s="54">
        <f t="shared" si="8"/>
        <v>5658.1</v>
      </c>
    </row>
    <row r="217" spans="1:15" x14ac:dyDescent="0.2">
      <c r="A217" s="33">
        <v>43586</v>
      </c>
      <c r="B217" s="11">
        <v>61</v>
      </c>
      <c r="C217" s="11" t="s">
        <v>554</v>
      </c>
      <c r="D217" s="11" t="s">
        <v>555</v>
      </c>
      <c r="F217" s="11" t="s">
        <v>22</v>
      </c>
      <c r="G217" s="38">
        <v>1481</v>
      </c>
      <c r="H217" s="650">
        <v>43599</v>
      </c>
      <c r="I217" s="126">
        <v>1946</v>
      </c>
      <c r="J217" s="640">
        <f t="shared" si="7"/>
        <v>544.88</v>
      </c>
      <c r="K217" s="54">
        <v>0</v>
      </c>
      <c r="L217" s="54">
        <v>272.44</v>
      </c>
      <c r="M217" s="54">
        <v>272.44</v>
      </c>
      <c r="N217" s="54"/>
      <c r="O217" s="54">
        <f t="shared" si="8"/>
        <v>2490.88</v>
      </c>
    </row>
    <row r="218" spans="1:15" x14ac:dyDescent="0.2">
      <c r="A218" s="33">
        <v>43586</v>
      </c>
      <c r="B218" s="11">
        <v>62</v>
      </c>
      <c r="C218" s="11" t="s">
        <v>471</v>
      </c>
      <c r="D218" s="11" t="s">
        <v>29</v>
      </c>
      <c r="F218" s="11" t="s">
        <v>22</v>
      </c>
      <c r="G218" s="38">
        <v>192001416</v>
      </c>
      <c r="H218" s="650">
        <v>43599</v>
      </c>
      <c r="I218" s="126">
        <v>17483.52</v>
      </c>
      <c r="J218" s="640">
        <f t="shared" si="7"/>
        <v>4895.3856000000005</v>
      </c>
      <c r="K218" s="54">
        <v>0</v>
      </c>
      <c r="L218" s="54">
        <v>2447.6928000000003</v>
      </c>
      <c r="M218" s="54">
        <v>2447.6928000000003</v>
      </c>
      <c r="N218" s="54"/>
      <c r="O218" s="54">
        <f t="shared" si="8"/>
        <v>22378.905600000002</v>
      </c>
    </row>
    <row r="219" spans="1:15" x14ac:dyDescent="0.2">
      <c r="A219" s="33">
        <v>43586</v>
      </c>
      <c r="B219" s="11">
        <v>63</v>
      </c>
      <c r="C219" s="11" t="s">
        <v>471</v>
      </c>
      <c r="D219" s="11" t="s">
        <v>29</v>
      </c>
      <c r="F219" s="11" t="s">
        <v>22</v>
      </c>
      <c r="G219" s="38">
        <v>192001415</v>
      </c>
      <c r="H219" s="650">
        <v>43599</v>
      </c>
      <c r="I219" s="126">
        <v>17483.52</v>
      </c>
      <c r="J219" s="640">
        <f t="shared" si="7"/>
        <v>4895.3856000000005</v>
      </c>
      <c r="K219" s="54">
        <v>0</v>
      </c>
      <c r="L219" s="54">
        <v>2447.6928000000003</v>
      </c>
      <c r="M219" s="54">
        <v>2447.6928000000003</v>
      </c>
      <c r="N219" s="54"/>
      <c r="O219" s="54">
        <f t="shared" si="8"/>
        <v>22378.905600000002</v>
      </c>
    </row>
    <row r="220" spans="1:15" x14ac:dyDescent="0.2">
      <c r="A220" s="33">
        <v>43586</v>
      </c>
      <c r="B220" s="11">
        <v>64</v>
      </c>
      <c r="C220" s="11" t="s">
        <v>476</v>
      </c>
      <c r="D220" s="11" t="s">
        <v>477</v>
      </c>
      <c r="F220" s="11" t="s">
        <v>22</v>
      </c>
      <c r="G220" s="38" t="s">
        <v>632</v>
      </c>
      <c r="H220" s="650">
        <v>43600</v>
      </c>
      <c r="I220" s="126">
        <v>40650</v>
      </c>
      <c r="J220" s="640">
        <f t="shared" si="7"/>
        <v>7317</v>
      </c>
      <c r="K220" s="54">
        <v>0</v>
      </c>
      <c r="L220" s="54">
        <v>3658.5</v>
      </c>
      <c r="M220" s="54">
        <v>3658.5</v>
      </c>
      <c r="N220" s="54"/>
      <c r="O220" s="54">
        <f t="shared" si="8"/>
        <v>47967</v>
      </c>
    </row>
    <row r="221" spans="1:15" x14ac:dyDescent="0.2">
      <c r="A221" s="33">
        <v>43586</v>
      </c>
      <c r="B221" s="11">
        <v>65</v>
      </c>
      <c r="C221" s="11" t="s">
        <v>471</v>
      </c>
      <c r="D221" s="11" t="s">
        <v>29</v>
      </c>
      <c r="F221" s="11" t="s">
        <v>22</v>
      </c>
      <c r="G221" s="38">
        <v>192001438</v>
      </c>
      <c r="H221" s="650">
        <v>43600</v>
      </c>
      <c r="I221" s="126">
        <v>17483.52</v>
      </c>
      <c r="J221" s="640">
        <f t="shared" si="7"/>
        <v>4895.3856000000005</v>
      </c>
      <c r="K221" s="54">
        <v>0</v>
      </c>
      <c r="L221" s="54">
        <v>2447.6928000000003</v>
      </c>
      <c r="M221" s="54">
        <v>2447.6928000000003</v>
      </c>
      <c r="N221" s="54"/>
      <c r="O221" s="54">
        <f t="shared" si="8"/>
        <v>22378.905600000002</v>
      </c>
    </row>
    <row r="222" spans="1:15" x14ac:dyDescent="0.2">
      <c r="A222" s="33">
        <v>43586</v>
      </c>
      <c r="B222" s="11">
        <v>66</v>
      </c>
      <c r="C222" s="11" t="s">
        <v>471</v>
      </c>
      <c r="D222" s="11" t="s">
        <v>29</v>
      </c>
      <c r="F222" s="11" t="s">
        <v>22</v>
      </c>
      <c r="G222" s="38">
        <v>192001439</v>
      </c>
      <c r="H222" s="650">
        <v>43600</v>
      </c>
      <c r="I222" s="126">
        <v>17483.52</v>
      </c>
      <c r="J222" s="640">
        <f t="shared" si="7"/>
        <v>4895.3856000000005</v>
      </c>
      <c r="K222" s="54">
        <v>0</v>
      </c>
      <c r="L222" s="54">
        <v>2447.6928000000003</v>
      </c>
      <c r="M222" s="54">
        <v>2447.6928000000003</v>
      </c>
      <c r="N222" s="54"/>
      <c r="O222" s="54">
        <f t="shared" si="8"/>
        <v>22378.905600000002</v>
      </c>
    </row>
    <row r="223" spans="1:15" x14ac:dyDescent="0.2">
      <c r="A223" s="33">
        <v>43586</v>
      </c>
      <c r="B223" s="11">
        <v>67</v>
      </c>
      <c r="C223" s="11" t="s">
        <v>493</v>
      </c>
      <c r="D223" s="11" t="s">
        <v>494</v>
      </c>
      <c r="F223" s="11" t="s">
        <v>22</v>
      </c>
      <c r="G223" s="38">
        <v>755</v>
      </c>
      <c r="H223" s="650">
        <v>43600</v>
      </c>
      <c r="I223" s="126">
        <v>25801.4</v>
      </c>
      <c r="J223" s="640">
        <f t="shared" si="7"/>
        <v>4644.2520000000004</v>
      </c>
      <c r="K223" s="54">
        <v>0</v>
      </c>
      <c r="L223" s="54">
        <v>2322.1260000000002</v>
      </c>
      <c r="M223" s="54">
        <v>2322.1260000000002</v>
      </c>
      <c r="N223" s="54"/>
      <c r="O223" s="54">
        <f t="shared" si="8"/>
        <v>30445.652000000002</v>
      </c>
    </row>
    <row r="224" spans="1:15" x14ac:dyDescent="0.2">
      <c r="A224" s="33">
        <v>43586</v>
      </c>
      <c r="B224" s="11">
        <v>68</v>
      </c>
      <c r="C224" s="11" t="s">
        <v>601</v>
      </c>
      <c r="D224" s="11" t="s">
        <v>602</v>
      </c>
      <c r="F224" s="11" t="s">
        <v>22</v>
      </c>
      <c r="G224" s="38">
        <v>1130</v>
      </c>
      <c r="H224" s="650">
        <v>43600</v>
      </c>
      <c r="I224" s="126">
        <v>20088</v>
      </c>
      <c r="J224" s="640">
        <f t="shared" si="7"/>
        <v>5624.6399999999994</v>
      </c>
      <c r="K224" s="54">
        <v>0</v>
      </c>
      <c r="L224" s="54">
        <v>2812.3199999999997</v>
      </c>
      <c r="M224" s="54">
        <v>2812.3199999999997</v>
      </c>
      <c r="N224" s="54"/>
      <c r="O224" s="54">
        <f t="shared" si="8"/>
        <v>25712.639999999999</v>
      </c>
    </row>
    <row r="225" spans="1:15" x14ac:dyDescent="0.2">
      <c r="A225" s="33">
        <v>43586</v>
      </c>
      <c r="B225" s="11">
        <v>69</v>
      </c>
      <c r="C225" s="11" t="s">
        <v>554</v>
      </c>
      <c r="D225" s="11" t="s">
        <v>555</v>
      </c>
      <c r="F225" s="11" t="s">
        <v>22</v>
      </c>
      <c r="G225" s="38">
        <v>1573</v>
      </c>
      <c r="H225" s="650">
        <v>43601</v>
      </c>
      <c r="I225" s="126">
        <v>1668</v>
      </c>
      <c r="J225" s="640">
        <f t="shared" si="7"/>
        <v>467.03999999999996</v>
      </c>
      <c r="K225" s="54">
        <v>0</v>
      </c>
      <c r="L225" s="54">
        <v>233.51999999999998</v>
      </c>
      <c r="M225" s="54">
        <v>233.51999999999998</v>
      </c>
      <c r="N225" s="54"/>
      <c r="O225" s="54">
        <f t="shared" si="8"/>
        <v>2135.04</v>
      </c>
    </row>
    <row r="226" spans="1:15" x14ac:dyDescent="0.2">
      <c r="A226" s="33">
        <v>43586</v>
      </c>
      <c r="B226" s="11">
        <v>70</v>
      </c>
      <c r="C226" s="11" t="s">
        <v>471</v>
      </c>
      <c r="D226" s="11" t="s">
        <v>29</v>
      </c>
      <c r="F226" s="11" t="s">
        <v>22</v>
      </c>
      <c r="G226" s="38">
        <v>192001490</v>
      </c>
      <c r="H226" s="650">
        <v>43601</v>
      </c>
      <c r="I226" s="126">
        <v>17483.52</v>
      </c>
      <c r="J226" s="640">
        <f t="shared" si="7"/>
        <v>4895.3856000000005</v>
      </c>
      <c r="K226" s="54">
        <v>0</v>
      </c>
      <c r="L226" s="54">
        <v>2447.6928000000003</v>
      </c>
      <c r="M226" s="54">
        <v>2447.6928000000003</v>
      </c>
      <c r="N226" s="54"/>
      <c r="O226" s="54">
        <f t="shared" si="8"/>
        <v>22378.905600000002</v>
      </c>
    </row>
    <row r="227" spans="1:15" x14ac:dyDescent="0.2">
      <c r="A227" s="33">
        <v>43586</v>
      </c>
      <c r="B227" s="11">
        <v>71</v>
      </c>
      <c r="C227" s="11" t="s">
        <v>471</v>
      </c>
      <c r="D227" s="11" t="s">
        <v>29</v>
      </c>
      <c r="F227" s="11" t="s">
        <v>22</v>
      </c>
      <c r="G227" s="38">
        <v>192001491</v>
      </c>
      <c r="H227" s="650">
        <v>43601</v>
      </c>
      <c r="I227" s="126">
        <v>17483.52</v>
      </c>
      <c r="J227" s="640">
        <f t="shared" si="7"/>
        <v>4895.3856000000005</v>
      </c>
      <c r="K227" s="54">
        <v>0</v>
      </c>
      <c r="L227" s="54">
        <v>2447.6928000000003</v>
      </c>
      <c r="M227" s="54">
        <v>2447.6928000000003</v>
      </c>
      <c r="N227" s="54"/>
      <c r="O227" s="54">
        <f t="shared" si="8"/>
        <v>22378.905600000002</v>
      </c>
    </row>
    <row r="228" spans="1:15" x14ac:dyDescent="0.2">
      <c r="A228" s="33">
        <v>43586</v>
      </c>
      <c r="B228" s="11">
        <v>72</v>
      </c>
      <c r="C228" s="11" t="s">
        <v>495</v>
      </c>
      <c r="D228" s="11" t="s">
        <v>74</v>
      </c>
      <c r="F228" s="11" t="s">
        <v>22</v>
      </c>
      <c r="G228" s="38">
        <v>5510045378</v>
      </c>
      <c r="H228" s="650">
        <v>43601</v>
      </c>
      <c r="I228" s="126">
        <v>71668.800000000003</v>
      </c>
      <c r="J228" s="640">
        <f t="shared" si="7"/>
        <v>12900.384</v>
      </c>
      <c r="K228" s="54">
        <v>0</v>
      </c>
      <c r="L228" s="54">
        <v>6450.192</v>
      </c>
      <c r="M228" s="54">
        <v>6450.192</v>
      </c>
      <c r="N228" s="54"/>
      <c r="O228" s="54">
        <f t="shared" si="8"/>
        <v>84569.184000000008</v>
      </c>
    </row>
    <row r="229" spans="1:15" x14ac:dyDescent="0.2">
      <c r="A229" s="33">
        <v>43586</v>
      </c>
      <c r="B229" s="11">
        <v>73</v>
      </c>
      <c r="C229" s="11" t="s">
        <v>633</v>
      </c>
      <c r="D229" s="11" t="s">
        <v>490</v>
      </c>
      <c r="F229" s="11" t="s">
        <v>22</v>
      </c>
      <c r="G229" s="38">
        <v>7887983123</v>
      </c>
      <c r="H229" s="650">
        <v>43602</v>
      </c>
      <c r="I229" s="126">
        <v>15180</v>
      </c>
      <c r="J229" s="640">
        <f t="shared" si="7"/>
        <v>2732.4</v>
      </c>
      <c r="K229" s="54">
        <v>0</v>
      </c>
      <c r="L229" s="54">
        <v>1366.2</v>
      </c>
      <c r="M229" s="54">
        <v>1366.2</v>
      </c>
      <c r="N229" s="54"/>
      <c r="O229" s="54">
        <f t="shared" si="8"/>
        <v>17912.400000000001</v>
      </c>
    </row>
    <row r="230" spans="1:15" x14ac:dyDescent="0.2">
      <c r="A230" s="33">
        <v>43586</v>
      </c>
      <c r="B230" s="11">
        <v>74</v>
      </c>
      <c r="C230" s="11" t="s">
        <v>634</v>
      </c>
      <c r="D230" s="11" t="s">
        <v>635</v>
      </c>
      <c r="F230" s="11" t="s">
        <v>22</v>
      </c>
      <c r="G230" s="38" t="s">
        <v>636</v>
      </c>
      <c r="H230" s="650">
        <v>43603</v>
      </c>
      <c r="I230" s="126">
        <v>1040</v>
      </c>
      <c r="J230" s="640">
        <f t="shared" si="7"/>
        <v>187.20000000000002</v>
      </c>
      <c r="K230" s="54">
        <v>0</v>
      </c>
      <c r="L230" s="54">
        <v>93.600000000000009</v>
      </c>
      <c r="M230" s="54">
        <v>93.600000000000009</v>
      </c>
      <c r="N230" s="54"/>
      <c r="O230" s="54">
        <f t="shared" si="8"/>
        <v>1227.2</v>
      </c>
    </row>
    <row r="231" spans="1:15" x14ac:dyDescent="0.2">
      <c r="A231" s="33">
        <v>43586</v>
      </c>
      <c r="B231" s="11">
        <v>75</v>
      </c>
      <c r="C231" s="11" t="s">
        <v>471</v>
      </c>
      <c r="D231" s="11" t="s">
        <v>29</v>
      </c>
      <c r="F231" s="11" t="s">
        <v>22</v>
      </c>
      <c r="G231" s="38">
        <v>192001583</v>
      </c>
      <c r="H231" s="650">
        <v>43603</v>
      </c>
      <c r="I231" s="126">
        <v>17483.52</v>
      </c>
      <c r="J231" s="640">
        <f t="shared" si="7"/>
        <v>4895.3856000000005</v>
      </c>
      <c r="K231" s="54">
        <v>0</v>
      </c>
      <c r="L231" s="54">
        <v>2447.6928000000003</v>
      </c>
      <c r="M231" s="54">
        <v>2447.6928000000003</v>
      </c>
      <c r="N231" s="54"/>
      <c r="O231" s="54">
        <f t="shared" si="8"/>
        <v>22378.905600000002</v>
      </c>
    </row>
    <row r="232" spans="1:15" x14ac:dyDescent="0.2">
      <c r="A232" s="33">
        <v>43586</v>
      </c>
      <c r="B232" s="11">
        <v>76</v>
      </c>
      <c r="C232" s="11" t="s">
        <v>471</v>
      </c>
      <c r="D232" s="11" t="s">
        <v>29</v>
      </c>
      <c r="F232" s="11" t="s">
        <v>22</v>
      </c>
      <c r="G232" s="38">
        <v>192001586</v>
      </c>
      <c r="H232" s="650">
        <v>43603</v>
      </c>
      <c r="I232" s="126">
        <v>17483.52</v>
      </c>
      <c r="J232" s="640">
        <f t="shared" si="7"/>
        <v>4895.3856000000005</v>
      </c>
      <c r="K232" s="54">
        <v>0</v>
      </c>
      <c r="L232" s="54">
        <v>2447.6928000000003</v>
      </c>
      <c r="M232" s="54">
        <v>2447.6928000000003</v>
      </c>
      <c r="N232" s="54"/>
      <c r="O232" s="54">
        <f t="shared" si="8"/>
        <v>22378.905600000002</v>
      </c>
    </row>
    <row r="233" spans="1:15" x14ac:dyDescent="0.2">
      <c r="A233" s="33">
        <v>43586</v>
      </c>
      <c r="B233" s="11">
        <v>77</v>
      </c>
      <c r="C233" s="11" t="s">
        <v>495</v>
      </c>
      <c r="D233" s="11" t="s">
        <v>74</v>
      </c>
      <c r="F233" s="11" t="s">
        <v>22</v>
      </c>
      <c r="G233" s="38">
        <v>5510045586</v>
      </c>
      <c r="H233" s="650">
        <v>43603</v>
      </c>
      <c r="I233" s="126">
        <v>53088</v>
      </c>
      <c r="J233" s="640">
        <f t="shared" si="7"/>
        <v>9555.84</v>
      </c>
      <c r="K233" s="54">
        <v>0</v>
      </c>
      <c r="L233" s="54">
        <v>4777.92</v>
      </c>
      <c r="M233" s="54">
        <v>4777.92</v>
      </c>
      <c r="N233" s="54"/>
      <c r="O233" s="54">
        <f t="shared" si="8"/>
        <v>62643.839999999997</v>
      </c>
    </row>
    <row r="234" spans="1:15" x14ac:dyDescent="0.2">
      <c r="A234" s="33">
        <v>43586</v>
      </c>
      <c r="B234" s="11">
        <v>78</v>
      </c>
      <c r="C234" s="11" t="s">
        <v>565</v>
      </c>
      <c r="D234" s="11" t="s">
        <v>566</v>
      </c>
      <c r="F234" s="11" t="s">
        <v>22</v>
      </c>
      <c r="G234" s="38">
        <v>1659</v>
      </c>
      <c r="H234" s="650">
        <v>43602</v>
      </c>
      <c r="I234" s="126">
        <v>11902.42</v>
      </c>
      <c r="J234" s="640">
        <f t="shared" si="7"/>
        <v>1978.16</v>
      </c>
      <c r="K234" s="54">
        <v>0</v>
      </c>
      <c r="L234" s="54">
        <v>989.08</v>
      </c>
      <c r="M234" s="54">
        <v>989.08</v>
      </c>
      <c r="N234" s="54"/>
      <c r="O234" s="54">
        <f t="shared" si="8"/>
        <v>13880.58</v>
      </c>
    </row>
    <row r="235" spans="1:15" x14ac:dyDescent="0.2">
      <c r="A235" s="33">
        <v>43586</v>
      </c>
      <c r="B235" s="11">
        <v>79</v>
      </c>
      <c r="C235" s="11" t="s">
        <v>554</v>
      </c>
      <c r="D235" s="11" t="s">
        <v>555</v>
      </c>
      <c r="F235" s="11" t="s">
        <v>22</v>
      </c>
      <c r="G235" s="38">
        <v>1683</v>
      </c>
      <c r="H235" s="650">
        <v>43605</v>
      </c>
      <c r="I235" s="126">
        <v>1668</v>
      </c>
      <c r="J235" s="640">
        <f t="shared" si="7"/>
        <v>467.03999999999996</v>
      </c>
      <c r="K235" s="54">
        <v>0</v>
      </c>
      <c r="L235" s="54">
        <v>233.51999999999998</v>
      </c>
      <c r="M235" s="54">
        <v>233.51999999999998</v>
      </c>
      <c r="N235" s="54"/>
      <c r="O235" s="54">
        <f t="shared" si="8"/>
        <v>2135.04</v>
      </c>
    </row>
    <row r="236" spans="1:15" x14ac:dyDescent="0.2">
      <c r="A236" s="33">
        <v>43586</v>
      </c>
      <c r="B236" s="11">
        <v>80</v>
      </c>
      <c r="C236" s="11" t="s">
        <v>538</v>
      </c>
      <c r="D236" s="11" t="s">
        <v>539</v>
      </c>
      <c r="F236" s="11" t="s">
        <v>22</v>
      </c>
      <c r="G236" s="38" t="s">
        <v>638</v>
      </c>
      <c r="H236" s="650">
        <v>43605</v>
      </c>
      <c r="I236" s="126">
        <v>205</v>
      </c>
      <c r="J236" s="640">
        <f t="shared" si="7"/>
        <v>36.9</v>
      </c>
      <c r="K236" s="54">
        <v>0</v>
      </c>
      <c r="L236" s="54">
        <v>18.45</v>
      </c>
      <c r="M236" s="54">
        <v>18.45</v>
      </c>
      <c r="N236" s="54"/>
      <c r="O236" s="54">
        <f t="shared" si="8"/>
        <v>241.9</v>
      </c>
    </row>
    <row r="237" spans="1:15" x14ac:dyDescent="0.2">
      <c r="A237" s="33">
        <v>43586</v>
      </c>
      <c r="B237" s="11">
        <v>81</v>
      </c>
      <c r="C237" s="11" t="s">
        <v>633</v>
      </c>
      <c r="D237" s="11" t="s">
        <v>490</v>
      </c>
      <c r="F237" s="11" t="s">
        <v>22</v>
      </c>
      <c r="G237" s="38">
        <v>7887983227</v>
      </c>
      <c r="H237" s="650">
        <v>43605</v>
      </c>
      <c r="I237" s="126">
        <v>17460</v>
      </c>
      <c r="J237" s="640">
        <f t="shared" si="7"/>
        <v>3142.8</v>
      </c>
      <c r="K237" s="54">
        <v>0</v>
      </c>
      <c r="L237" s="54">
        <v>1571.4</v>
      </c>
      <c r="M237" s="54">
        <v>1571.4</v>
      </c>
      <c r="N237" s="54"/>
      <c r="O237" s="54">
        <f t="shared" si="8"/>
        <v>20602.8</v>
      </c>
    </row>
    <row r="238" spans="1:15" x14ac:dyDescent="0.2">
      <c r="A238" s="33">
        <v>43586</v>
      </c>
      <c r="B238" s="11">
        <v>82</v>
      </c>
      <c r="C238" s="11" t="s">
        <v>591</v>
      </c>
      <c r="D238" s="11" t="s">
        <v>592</v>
      </c>
      <c r="F238" s="11" t="s">
        <v>22</v>
      </c>
      <c r="G238" s="38" t="s">
        <v>639</v>
      </c>
      <c r="H238" s="650">
        <v>43605</v>
      </c>
      <c r="I238" s="126">
        <v>8250</v>
      </c>
      <c r="J238" s="640">
        <f t="shared" si="7"/>
        <v>1485</v>
      </c>
      <c r="K238" s="54">
        <v>0</v>
      </c>
      <c r="L238" s="54">
        <v>742.5</v>
      </c>
      <c r="M238" s="54">
        <v>742.5</v>
      </c>
      <c r="N238" s="54"/>
      <c r="O238" s="54">
        <f t="shared" si="8"/>
        <v>9735</v>
      </c>
    </row>
    <row r="239" spans="1:15" x14ac:dyDescent="0.2">
      <c r="A239" s="33">
        <v>43586</v>
      </c>
      <c r="B239" s="11">
        <v>83</v>
      </c>
      <c r="C239" s="11" t="s">
        <v>640</v>
      </c>
      <c r="D239" s="11" t="s">
        <v>641</v>
      </c>
      <c r="F239" s="11" t="s">
        <v>22</v>
      </c>
      <c r="G239" s="38" t="s">
        <v>642</v>
      </c>
      <c r="H239" s="650">
        <v>43596</v>
      </c>
      <c r="I239" s="126">
        <v>38220.379999999997</v>
      </c>
      <c r="J239" s="640">
        <f t="shared" si="7"/>
        <v>6879.6684000000005</v>
      </c>
      <c r="K239" s="54">
        <v>0</v>
      </c>
      <c r="L239" s="54">
        <v>3439.8342000000002</v>
      </c>
      <c r="M239" s="54">
        <v>3439.8342000000002</v>
      </c>
      <c r="N239" s="54"/>
      <c r="O239" s="54">
        <f t="shared" si="8"/>
        <v>45100.0484</v>
      </c>
    </row>
    <row r="240" spans="1:15" x14ac:dyDescent="0.2">
      <c r="A240" s="33">
        <v>43586</v>
      </c>
      <c r="B240" s="11">
        <v>84</v>
      </c>
      <c r="C240" s="11" t="s">
        <v>529</v>
      </c>
      <c r="D240" s="11" t="s">
        <v>530</v>
      </c>
      <c r="F240" s="11" t="s">
        <v>22</v>
      </c>
      <c r="G240" s="38" t="s">
        <v>643</v>
      </c>
      <c r="H240" s="650">
        <v>43605</v>
      </c>
      <c r="I240" s="126">
        <v>24168</v>
      </c>
      <c r="J240" s="640">
        <f t="shared" si="7"/>
        <v>4350.24</v>
      </c>
      <c r="K240" s="54">
        <v>0</v>
      </c>
      <c r="L240" s="54">
        <v>2175.12</v>
      </c>
      <c r="M240" s="54">
        <v>2175.12</v>
      </c>
      <c r="N240" s="54"/>
      <c r="O240" s="54">
        <f t="shared" si="8"/>
        <v>28518.239999999998</v>
      </c>
    </row>
    <row r="241" spans="1:15" x14ac:dyDescent="0.2">
      <c r="A241" s="33">
        <v>43586</v>
      </c>
      <c r="B241" s="11">
        <v>85</v>
      </c>
      <c r="C241" s="11" t="s">
        <v>529</v>
      </c>
      <c r="D241" s="11" t="s">
        <v>530</v>
      </c>
      <c r="F241" s="11" t="s">
        <v>22</v>
      </c>
      <c r="G241" s="38" t="s">
        <v>644</v>
      </c>
      <c r="H241" s="650">
        <v>43605</v>
      </c>
      <c r="I241" s="126">
        <v>4040</v>
      </c>
      <c r="J241" s="640">
        <f t="shared" si="7"/>
        <v>727.19999999999993</v>
      </c>
      <c r="K241" s="54">
        <v>0</v>
      </c>
      <c r="L241" s="54">
        <v>363.59999999999997</v>
      </c>
      <c r="M241" s="54">
        <v>363.59999999999997</v>
      </c>
      <c r="N241" s="54"/>
      <c r="O241" s="54">
        <f t="shared" si="8"/>
        <v>4767.2</v>
      </c>
    </row>
    <row r="242" spans="1:15" x14ac:dyDescent="0.2">
      <c r="A242" s="33">
        <v>43586</v>
      </c>
      <c r="B242" s="11">
        <v>87</v>
      </c>
      <c r="C242" s="11" t="s">
        <v>554</v>
      </c>
      <c r="D242" s="11" t="s">
        <v>555</v>
      </c>
      <c r="F242" s="11" t="s">
        <v>22</v>
      </c>
      <c r="G242" s="38">
        <v>1703</v>
      </c>
      <c r="H242" s="650">
        <v>43605</v>
      </c>
      <c r="I242" s="126">
        <v>1668</v>
      </c>
      <c r="J242" s="640">
        <f t="shared" si="7"/>
        <v>467.03999999999996</v>
      </c>
      <c r="K242" s="54">
        <v>0</v>
      </c>
      <c r="L242" s="54">
        <v>233.51999999999998</v>
      </c>
      <c r="M242" s="54">
        <v>233.51999999999998</v>
      </c>
      <c r="N242" s="54"/>
      <c r="O242" s="54">
        <f t="shared" si="8"/>
        <v>2135.04</v>
      </c>
    </row>
    <row r="243" spans="1:15" x14ac:dyDescent="0.2">
      <c r="A243" s="33">
        <v>43586</v>
      </c>
      <c r="B243" s="11">
        <v>88</v>
      </c>
      <c r="C243" s="11" t="s">
        <v>473</v>
      </c>
      <c r="D243" s="11" t="s">
        <v>41</v>
      </c>
      <c r="F243" s="11" t="s">
        <v>22</v>
      </c>
      <c r="G243" s="38" t="s">
        <v>645</v>
      </c>
      <c r="H243" s="650">
        <v>43605</v>
      </c>
      <c r="I243" s="126">
        <v>7366.25</v>
      </c>
      <c r="J243" s="640">
        <f t="shared" si="7"/>
        <v>2062.5499999999997</v>
      </c>
      <c r="K243" s="54">
        <v>0</v>
      </c>
      <c r="L243" s="54">
        <v>1031.2749999999999</v>
      </c>
      <c r="M243" s="54">
        <v>1031.2749999999999</v>
      </c>
      <c r="N243" s="54"/>
      <c r="O243" s="54">
        <f t="shared" si="8"/>
        <v>9428.7999999999993</v>
      </c>
    </row>
    <row r="244" spans="1:15" x14ac:dyDescent="0.2">
      <c r="A244" s="33">
        <v>43586</v>
      </c>
      <c r="B244" s="11">
        <v>89</v>
      </c>
      <c r="C244" s="11" t="s">
        <v>601</v>
      </c>
      <c r="D244" s="11" t="s">
        <v>602</v>
      </c>
      <c r="F244" s="11" t="s">
        <v>22</v>
      </c>
      <c r="G244" s="38">
        <v>1282</v>
      </c>
      <c r="H244" s="650">
        <v>43605</v>
      </c>
      <c r="I244" s="126">
        <v>17879.400000000001</v>
      </c>
      <c r="J244" s="640">
        <f t="shared" si="7"/>
        <v>5006.232</v>
      </c>
      <c r="K244" s="54">
        <v>0</v>
      </c>
      <c r="L244" s="54">
        <v>2503.116</v>
      </c>
      <c r="M244" s="54">
        <v>2503.116</v>
      </c>
      <c r="N244" s="54"/>
      <c r="O244" s="54">
        <f t="shared" si="8"/>
        <v>22885.632000000001</v>
      </c>
    </row>
    <row r="245" spans="1:15" x14ac:dyDescent="0.2">
      <c r="A245" s="33">
        <v>43586</v>
      </c>
      <c r="B245" s="11">
        <v>90</v>
      </c>
      <c r="C245" s="11" t="s">
        <v>601</v>
      </c>
      <c r="D245" s="11" t="s">
        <v>602</v>
      </c>
      <c r="F245" s="11" t="s">
        <v>22</v>
      </c>
      <c r="G245" s="38">
        <v>1283</v>
      </c>
      <c r="H245" s="650">
        <v>43605</v>
      </c>
      <c r="I245" s="126">
        <v>8035.2</v>
      </c>
      <c r="J245" s="640">
        <f t="shared" si="7"/>
        <v>2249.8560000000002</v>
      </c>
      <c r="K245" s="54">
        <v>0</v>
      </c>
      <c r="L245" s="54">
        <v>1124.9280000000001</v>
      </c>
      <c r="M245" s="54">
        <v>1124.9280000000001</v>
      </c>
      <c r="N245" s="54"/>
      <c r="O245" s="54">
        <f t="shared" si="8"/>
        <v>10285.056</v>
      </c>
    </row>
    <row r="246" spans="1:15" x14ac:dyDescent="0.2">
      <c r="A246" s="33">
        <v>43586</v>
      </c>
      <c r="B246" s="11">
        <v>91</v>
      </c>
      <c r="C246" s="11" t="s">
        <v>495</v>
      </c>
      <c r="D246" s="11" t="s">
        <v>74</v>
      </c>
      <c r="F246" s="11" t="s">
        <v>22</v>
      </c>
      <c r="G246" s="38">
        <v>5510045698</v>
      </c>
      <c r="H246" s="650">
        <v>43605</v>
      </c>
      <c r="I246" s="126">
        <v>26544</v>
      </c>
      <c r="J246" s="640">
        <f t="shared" si="7"/>
        <v>4777.92</v>
      </c>
      <c r="K246" s="54">
        <v>0</v>
      </c>
      <c r="L246" s="54">
        <v>2388.96</v>
      </c>
      <c r="M246" s="54">
        <v>2388.96</v>
      </c>
      <c r="N246" s="54"/>
      <c r="O246" s="54">
        <f t="shared" si="8"/>
        <v>31321.919999999998</v>
      </c>
    </row>
    <row r="247" spans="1:15" x14ac:dyDescent="0.2">
      <c r="A247" s="33">
        <v>43586</v>
      </c>
      <c r="B247" s="11">
        <v>92</v>
      </c>
      <c r="C247" s="11" t="s">
        <v>471</v>
      </c>
      <c r="D247" s="11" t="s">
        <v>29</v>
      </c>
      <c r="F247" s="11" t="s">
        <v>22</v>
      </c>
      <c r="G247" s="38">
        <v>192001630</v>
      </c>
      <c r="H247" s="650">
        <v>43605</v>
      </c>
      <c r="I247" s="126">
        <v>17483.52</v>
      </c>
      <c r="J247" s="640">
        <f t="shared" si="7"/>
        <v>4895.3856000000005</v>
      </c>
      <c r="K247" s="54">
        <v>0</v>
      </c>
      <c r="L247" s="54">
        <v>2447.6928000000003</v>
      </c>
      <c r="M247" s="54">
        <v>2447.6928000000003</v>
      </c>
      <c r="N247" s="54"/>
      <c r="O247" s="54">
        <f t="shared" si="8"/>
        <v>22378.905600000002</v>
      </c>
    </row>
    <row r="248" spans="1:15" x14ac:dyDescent="0.2">
      <c r="A248" s="33">
        <v>43586</v>
      </c>
      <c r="B248" s="11">
        <v>93</v>
      </c>
      <c r="C248" s="11" t="s">
        <v>471</v>
      </c>
      <c r="D248" s="11" t="s">
        <v>29</v>
      </c>
      <c r="F248" s="11" t="s">
        <v>22</v>
      </c>
      <c r="G248" s="38">
        <v>192001631</v>
      </c>
      <c r="H248" s="650">
        <v>43605</v>
      </c>
      <c r="I248" s="126">
        <v>17483.52</v>
      </c>
      <c r="J248" s="640">
        <f t="shared" si="7"/>
        <v>4895.3856000000005</v>
      </c>
      <c r="K248" s="54">
        <v>0</v>
      </c>
      <c r="L248" s="54">
        <v>2447.6928000000003</v>
      </c>
      <c r="M248" s="54">
        <v>2447.6928000000003</v>
      </c>
      <c r="N248" s="54"/>
      <c r="O248" s="54">
        <f t="shared" si="8"/>
        <v>22378.905600000002</v>
      </c>
    </row>
    <row r="249" spans="1:15" x14ac:dyDescent="0.2">
      <c r="A249" s="33">
        <v>43586</v>
      </c>
      <c r="B249" s="11">
        <v>94</v>
      </c>
      <c r="C249" s="11" t="s">
        <v>471</v>
      </c>
      <c r="D249" s="11" t="s">
        <v>29</v>
      </c>
      <c r="F249" s="11" t="s">
        <v>22</v>
      </c>
      <c r="G249" s="38">
        <v>192001682</v>
      </c>
      <c r="H249" s="650">
        <v>43606</v>
      </c>
      <c r="I249" s="126">
        <v>17483.52</v>
      </c>
      <c r="J249" s="640">
        <f t="shared" si="7"/>
        <v>4895.3856000000005</v>
      </c>
      <c r="K249" s="54">
        <v>0</v>
      </c>
      <c r="L249" s="54">
        <v>2447.6928000000003</v>
      </c>
      <c r="M249" s="54">
        <v>2447.6928000000003</v>
      </c>
      <c r="N249" s="54"/>
      <c r="O249" s="54">
        <f t="shared" si="8"/>
        <v>22378.905600000002</v>
      </c>
    </row>
    <row r="250" spans="1:15" x14ac:dyDescent="0.2">
      <c r="A250" s="33">
        <v>43586</v>
      </c>
      <c r="B250" s="11">
        <v>95</v>
      </c>
      <c r="C250" s="11" t="s">
        <v>471</v>
      </c>
      <c r="D250" s="11" t="s">
        <v>29</v>
      </c>
      <c r="F250" s="11" t="s">
        <v>22</v>
      </c>
      <c r="G250" s="38">
        <v>192001689</v>
      </c>
      <c r="H250" s="650">
        <v>43606</v>
      </c>
      <c r="I250" s="126">
        <v>17483.52</v>
      </c>
      <c r="J250" s="640">
        <f t="shared" si="7"/>
        <v>4895.3856000000005</v>
      </c>
      <c r="K250" s="54">
        <v>0</v>
      </c>
      <c r="L250" s="54">
        <v>2447.6928000000003</v>
      </c>
      <c r="M250" s="54">
        <v>2447.6928000000003</v>
      </c>
      <c r="N250" s="54"/>
      <c r="O250" s="54">
        <f t="shared" si="8"/>
        <v>22378.905600000002</v>
      </c>
    </row>
    <row r="251" spans="1:15" x14ac:dyDescent="0.2">
      <c r="A251" s="33">
        <v>43586</v>
      </c>
      <c r="B251" s="11">
        <v>96</v>
      </c>
      <c r="C251" s="11" t="s">
        <v>471</v>
      </c>
      <c r="D251" s="11" t="s">
        <v>29</v>
      </c>
      <c r="F251" s="11" t="s">
        <v>22</v>
      </c>
      <c r="G251" s="38">
        <v>192001690</v>
      </c>
      <c r="H251" s="650">
        <v>43606</v>
      </c>
      <c r="I251" s="126">
        <v>17483.52</v>
      </c>
      <c r="J251" s="640">
        <f t="shared" si="7"/>
        <v>4895.3856000000005</v>
      </c>
      <c r="K251" s="54">
        <v>0</v>
      </c>
      <c r="L251" s="54">
        <v>2447.6928000000003</v>
      </c>
      <c r="M251" s="54">
        <v>2447.6928000000003</v>
      </c>
      <c r="N251" s="54"/>
      <c r="O251" s="54">
        <f t="shared" si="8"/>
        <v>22378.905600000002</v>
      </c>
    </row>
    <row r="252" spans="1:15" x14ac:dyDescent="0.2">
      <c r="A252" s="33">
        <v>43586</v>
      </c>
      <c r="B252" s="11">
        <v>97</v>
      </c>
      <c r="C252" s="11" t="s">
        <v>471</v>
      </c>
      <c r="D252" s="11" t="s">
        <v>29</v>
      </c>
      <c r="F252" s="11" t="s">
        <v>22</v>
      </c>
      <c r="G252" s="38">
        <v>192001691</v>
      </c>
      <c r="H252" s="650">
        <v>43606</v>
      </c>
      <c r="I252" s="126">
        <v>17483.52</v>
      </c>
      <c r="J252" s="640">
        <f t="shared" si="7"/>
        <v>4895.3856000000005</v>
      </c>
      <c r="K252" s="54">
        <v>0</v>
      </c>
      <c r="L252" s="54">
        <v>2447.6928000000003</v>
      </c>
      <c r="M252" s="54">
        <v>2447.6928000000003</v>
      </c>
      <c r="N252" s="54"/>
      <c r="O252" s="54">
        <f t="shared" si="8"/>
        <v>22378.905600000002</v>
      </c>
    </row>
    <row r="253" spans="1:15" x14ac:dyDescent="0.2">
      <c r="A253" s="33">
        <v>43586</v>
      </c>
      <c r="B253" s="11">
        <v>98</v>
      </c>
      <c r="C253" s="11" t="s">
        <v>601</v>
      </c>
      <c r="D253" s="11" t="s">
        <v>602</v>
      </c>
      <c r="F253" s="11" t="s">
        <v>22</v>
      </c>
      <c r="G253" s="38">
        <v>1310</v>
      </c>
      <c r="H253" s="650">
        <v>43606</v>
      </c>
      <c r="I253" s="126">
        <v>6696</v>
      </c>
      <c r="J253" s="640">
        <f t="shared" si="7"/>
        <v>1874.8799999999999</v>
      </c>
      <c r="K253" s="54">
        <v>0</v>
      </c>
      <c r="L253" s="54">
        <v>937.43999999999994</v>
      </c>
      <c r="M253" s="54">
        <v>937.43999999999994</v>
      </c>
      <c r="N253" s="54"/>
      <c r="O253" s="54">
        <f t="shared" si="8"/>
        <v>8570.8799999999992</v>
      </c>
    </row>
    <row r="254" spans="1:15" x14ac:dyDescent="0.2">
      <c r="A254" s="33">
        <v>43586</v>
      </c>
      <c r="B254" s="11">
        <v>99</v>
      </c>
      <c r="C254" s="11" t="s">
        <v>601</v>
      </c>
      <c r="D254" s="11" t="s">
        <v>602</v>
      </c>
      <c r="F254" s="11" t="s">
        <v>22</v>
      </c>
      <c r="G254" s="38">
        <v>1309</v>
      </c>
      <c r="H254" s="650">
        <v>43606</v>
      </c>
      <c r="I254" s="126">
        <v>33204.6</v>
      </c>
      <c r="J254" s="640">
        <f t="shared" si="7"/>
        <v>9297.2880000000005</v>
      </c>
      <c r="K254" s="54">
        <v>0</v>
      </c>
      <c r="L254" s="54">
        <v>4648.6440000000002</v>
      </c>
      <c r="M254" s="54">
        <v>4648.6440000000002</v>
      </c>
      <c r="N254" s="54"/>
      <c r="O254" s="54">
        <f t="shared" si="8"/>
        <v>42501.887999999999</v>
      </c>
    </row>
    <row r="255" spans="1:15" x14ac:dyDescent="0.2">
      <c r="A255" s="33">
        <v>43586</v>
      </c>
      <c r="B255" s="11">
        <v>100</v>
      </c>
      <c r="C255" s="11" t="s">
        <v>493</v>
      </c>
      <c r="D255" s="11" t="s">
        <v>494</v>
      </c>
      <c r="F255" s="11" t="s">
        <v>22</v>
      </c>
      <c r="G255" s="38">
        <v>849</v>
      </c>
      <c r="H255" s="650">
        <v>43606</v>
      </c>
      <c r="I255" s="126">
        <v>43198.21</v>
      </c>
      <c r="J255" s="640">
        <f t="shared" si="7"/>
        <v>7775.6778000000004</v>
      </c>
      <c r="K255" s="54">
        <v>0</v>
      </c>
      <c r="L255" s="54">
        <v>3887.8389000000002</v>
      </c>
      <c r="M255" s="54">
        <v>3887.8389000000002</v>
      </c>
      <c r="N255" s="54"/>
      <c r="O255" s="54">
        <f t="shared" si="8"/>
        <v>50973.887799999997</v>
      </c>
    </row>
    <row r="256" spans="1:15" x14ac:dyDescent="0.2">
      <c r="A256" s="33">
        <v>43586</v>
      </c>
      <c r="B256" s="11">
        <v>101</v>
      </c>
      <c r="C256" s="11" t="s">
        <v>493</v>
      </c>
      <c r="D256" s="11" t="s">
        <v>494</v>
      </c>
      <c r="F256" s="11" t="s">
        <v>22</v>
      </c>
      <c r="G256" s="38">
        <v>850</v>
      </c>
      <c r="H256" s="650">
        <v>43606</v>
      </c>
      <c r="I256" s="126">
        <v>10287.9</v>
      </c>
      <c r="J256" s="640">
        <f t="shared" si="7"/>
        <v>1851.8219999999999</v>
      </c>
      <c r="K256" s="54">
        <v>0</v>
      </c>
      <c r="L256" s="54">
        <v>925.91099999999994</v>
      </c>
      <c r="M256" s="54">
        <v>925.91099999999994</v>
      </c>
      <c r="N256" s="54"/>
      <c r="O256" s="54">
        <f t="shared" si="8"/>
        <v>12139.722</v>
      </c>
    </row>
    <row r="257" spans="1:15" x14ac:dyDescent="0.2">
      <c r="A257" s="33">
        <v>43586</v>
      </c>
      <c r="B257" s="11">
        <v>102</v>
      </c>
      <c r="C257" s="11" t="s">
        <v>506</v>
      </c>
      <c r="D257" s="11" t="s">
        <v>507</v>
      </c>
      <c r="F257" s="11" t="s">
        <v>22</v>
      </c>
      <c r="G257" s="38" t="s">
        <v>646</v>
      </c>
      <c r="H257" s="650">
        <v>43606</v>
      </c>
      <c r="I257" s="126">
        <v>14400</v>
      </c>
      <c r="J257" s="640">
        <f t="shared" si="7"/>
        <v>2592</v>
      </c>
      <c r="K257" s="54">
        <v>0</v>
      </c>
      <c r="L257" s="54">
        <v>1296</v>
      </c>
      <c r="M257" s="54">
        <v>1296</v>
      </c>
      <c r="N257" s="54"/>
      <c r="O257" s="54">
        <f t="shared" si="8"/>
        <v>16992</v>
      </c>
    </row>
    <row r="258" spans="1:15" x14ac:dyDescent="0.2">
      <c r="A258" s="33">
        <v>43586</v>
      </c>
      <c r="B258" s="11">
        <v>103</v>
      </c>
      <c r="C258" s="11" t="s">
        <v>506</v>
      </c>
      <c r="D258" s="11" t="s">
        <v>507</v>
      </c>
      <c r="F258" s="11" t="s">
        <v>22</v>
      </c>
      <c r="G258" s="38" t="s">
        <v>647</v>
      </c>
      <c r="H258" s="650">
        <v>43606</v>
      </c>
      <c r="I258" s="126">
        <v>6600</v>
      </c>
      <c r="J258" s="640">
        <f t="shared" si="7"/>
        <v>1188</v>
      </c>
      <c r="K258" s="54">
        <v>0</v>
      </c>
      <c r="L258" s="54">
        <v>594</v>
      </c>
      <c r="M258" s="54">
        <v>594</v>
      </c>
      <c r="N258" s="54"/>
      <c r="O258" s="54">
        <f t="shared" si="8"/>
        <v>7788</v>
      </c>
    </row>
    <row r="259" spans="1:15" x14ac:dyDescent="0.2">
      <c r="A259" s="33">
        <v>43586</v>
      </c>
      <c r="B259" s="11">
        <v>104</v>
      </c>
      <c r="C259" s="11" t="s">
        <v>506</v>
      </c>
      <c r="D259" s="11" t="s">
        <v>507</v>
      </c>
      <c r="F259" s="11" t="s">
        <v>22</v>
      </c>
      <c r="G259" s="38" t="s">
        <v>648</v>
      </c>
      <c r="H259" s="650">
        <v>43606</v>
      </c>
      <c r="I259" s="126">
        <v>5544</v>
      </c>
      <c r="J259" s="640">
        <f t="shared" si="7"/>
        <v>997.92</v>
      </c>
      <c r="K259" s="54">
        <v>0</v>
      </c>
      <c r="L259" s="54">
        <v>498.96</v>
      </c>
      <c r="M259" s="54">
        <v>498.96</v>
      </c>
      <c r="N259" s="54"/>
      <c r="O259" s="54">
        <f t="shared" si="8"/>
        <v>6541.92</v>
      </c>
    </row>
    <row r="260" spans="1:15" x14ac:dyDescent="0.2">
      <c r="A260" s="33">
        <v>43586</v>
      </c>
      <c r="B260" s="11">
        <v>105</v>
      </c>
      <c r="C260" s="11" t="s">
        <v>601</v>
      </c>
      <c r="D260" s="11" t="s">
        <v>602</v>
      </c>
      <c r="F260" s="11" t="s">
        <v>22</v>
      </c>
      <c r="G260" s="38">
        <v>1367</v>
      </c>
      <c r="H260" s="650">
        <v>43607</v>
      </c>
      <c r="I260" s="126">
        <v>13392</v>
      </c>
      <c r="J260" s="640">
        <f t="shared" ref="J260:J323" si="9">+K260+L260+M260+N260</f>
        <v>3749.7599999999998</v>
      </c>
      <c r="K260" s="54">
        <v>0</v>
      </c>
      <c r="L260" s="54">
        <v>1874.8799999999999</v>
      </c>
      <c r="M260" s="54">
        <v>1874.8799999999999</v>
      </c>
      <c r="N260" s="54"/>
      <c r="O260" s="54">
        <f t="shared" ref="O260:O323" si="10">+I260+J260</f>
        <v>17141.759999999998</v>
      </c>
    </row>
    <row r="261" spans="1:15" x14ac:dyDescent="0.2">
      <c r="A261" s="33">
        <v>43586</v>
      </c>
      <c r="B261" s="11">
        <v>106</v>
      </c>
      <c r="C261" s="11" t="s">
        <v>499</v>
      </c>
      <c r="D261" s="11" t="s">
        <v>500</v>
      </c>
      <c r="F261" s="11" t="s">
        <v>22</v>
      </c>
      <c r="G261" s="38" t="s">
        <v>649</v>
      </c>
      <c r="H261" s="650">
        <v>43608</v>
      </c>
      <c r="I261" s="126">
        <v>3830</v>
      </c>
      <c r="J261" s="640">
        <f t="shared" si="9"/>
        <v>248.7</v>
      </c>
      <c r="K261" s="54">
        <v>0</v>
      </c>
      <c r="L261" s="54">
        <v>124.35</v>
      </c>
      <c r="M261" s="54">
        <v>124.35</v>
      </c>
      <c r="N261" s="54"/>
      <c r="O261" s="54">
        <f t="shared" si="10"/>
        <v>4078.7</v>
      </c>
    </row>
    <row r="262" spans="1:15" x14ac:dyDescent="0.2">
      <c r="A262" s="33">
        <v>43586</v>
      </c>
      <c r="B262" s="11">
        <v>107</v>
      </c>
      <c r="C262" s="11" t="s">
        <v>556</v>
      </c>
      <c r="D262" s="11" t="s">
        <v>557</v>
      </c>
      <c r="F262" s="11" t="s">
        <v>22</v>
      </c>
      <c r="G262" s="38" t="s">
        <v>650</v>
      </c>
      <c r="H262" s="650">
        <v>43605</v>
      </c>
      <c r="I262" s="126">
        <v>2450</v>
      </c>
      <c r="J262" s="640">
        <f t="shared" si="9"/>
        <v>441</v>
      </c>
      <c r="K262" s="54">
        <v>0</v>
      </c>
      <c r="L262" s="54">
        <v>220.5</v>
      </c>
      <c r="M262" s="54">
        <v>220.5</v>
      </c>
      <c r="N262" s="54"/>
      <c r="O262" s="54">
        <f t="shared" si="10"/>
        <v>2891</v>
      </c>
    </row>
    <row r="263" spans="1:15" x14ac:dyDescent="0.2">
      <c r="A263" s="33">
        <v>43586</v>
      </c>
      <c r="B263" s="11">
        <v>108</v>
      </c>
      <c r="C263" s="11" t="s">
        <v>554</v>
      </c>
      <c r="D263" s="11" t="s">
        <v>555</v>
      </c>
      <c r="F263" s="11" t="s">
        <v>22</v>
      </c>
      <c r="G263" s="38">
        <v>1771</v>
      </c>
      <c r="H263" s="650">
        <v>43607</v>
      </c>
      <c r="I263" s="126">
        <v>1946</v>
      </c>
      <c r="J263" s="640">
        <f t="shared" si="9"/>
        <v>544.88</v>
      </c>
      <c r="K263" s="54">
        <v>0</v>
      </c>
      <c r="L263" s="54">
        <v>272.44</v>
      </c>
      <c r="M263" s="54">
        <v>272.44</v>
      </c>
      <c r="N263" s="54"/>
      <c r="O263" s="54">
        <f t="shared" si="10"/>
        <v>2490.88</v>
      </c>
    </row>
    <row r="264" spans="1:15" x14ac:dyDescent="0.2">
      <c r="A264" s="33">
        <v>43586</v>
      </c>
      <c r="B264" s="11">
        <v>109</v>
      </c>
      <c r="C264" s="11" t="s">
        <v>495</v>
      </c>
      <c r="D264" s="11" t="s">
        <v>74</v>
      </c>
      <c r="F264" s="11" t="s">
        <v>22</v>
      </c>
      <c r="G264" s="38">
        <v>5510045999</v>
      </c>
      <c r="H264" s="650">
        <v>43608</v>
      </c>
      <c r="I264" s="126">
        <v>45124.800000000003</v>
      </c>
      <c r="J264" s="640">
        <f t="shared" si="9"/>
        <v>8122.4640000000009</v>
      </c>
      <c r="K264" s="54">
        <v>0</v>
      </c>
      <c r="L264" s="54">
        <v>4061.2320000000004</v>
      </c>
      <c r="M264" s="54">
        <v>4061.2320000000004</v>
      </c>
      <c r="N264" s="54"/>
      <c r="O264" s="54">
        <f t="shared" si="10"/>
        <v>53247.264000000003</v>
      </c>
    </row>
    <row r="265" spans="1:15" x14ac:dyDescent="0.2">
      <c r="A265" s="33">
        <v>43586</v>
      </c>
      <c r="B265" s="11">
        <v>110</v>
      </c>
      <c r="C265" s="11" t="s">
        <v>506</v>
      </c>
      <c r="D265" s="11" t="s">
        <v>507</v>
      </c>
      <c r="F265" s="11" t="s">
        <v>22</v>
      </c>
      <c r="G265" s="38" t="s">
        <v>651</v>
      </c>
      <c r="H265" s="650">
        <v>43607</v>
      </c>
      <c r="I265" s="126">
        <v>34879</v>
      </c>
      <c r="J265" s="640">
        <f t="shared" si="9"/>
        <v>6278.22</v>
      </c>
      <c r="K265" s="54">
        <v>0</v>
      </c>
      <c r="L265" s="54">
        <v>3139.11</v>
      </c>
      <c r="M265" s="54">
        <v>3139.11</v>
      </c>
      <c r="N265" s="54"/>
      <c r="O265" s="54">
        <f t="shared" si="10"/>
        <v>41157.22</v>
      </c>
    </row>
    <row r="266" spans="1:15" x14ac:dyDescent="0.2">
      <c r="A266" s="33">
        <v>43586</v>
      </c>
      <c r="B266" s="11">
        <v>111</v>
      </c>
      <c r="C266" s="11" t="s">
        <v>506</v>
      </c>
      <c r="D266" s="11" t="s">
        <v>507</v>
      </c>
      <c r="F266" s="11" t="s">
        <v>22</v>
      </c>
      <c r="G266" s="38" t="s">
        <v>652</v>
      </c>
      <c r="H266" s="650">
        <v>43607</v>
      </c>
      <c r="I266" s="126">
        <v>3696</v>
      </c>
      <c r="J266" s="640">
        <f t="shared" si="9"/>
        <v>665.28</v>
      </c>
      <c r="K266" s="54">
        <v>0</v>
      </c>
      <c r="L266" s="54">
        <v>332.64</v>
      </c>
      <c r="M266" s="54">
        <v>332.64</v>
      </c>
      <c r="N266" s="54"/>
      <c r="O266" s="54">
        <f t="shared" si="10"/>
        <v>4361.28</v>
      </c>
    </row>
    <row r="267" spans="1:15" x14ac:dyDescent="0.2">
      <c r="A267" s="33">
        <v>43586</v>
      </c>
      <c r="B267" s="11">
        <v>112</v>
      </c>
      <c r="C267" s="11" t="s">
        <v>471</v>
      </c>
      <c r="D267" s="11" t="s">
        <v>29</v>
      </c>
      <c r="F267" s="11" t="s">
        <v>22</v>
      </c>
      <c r="G267" s="38">
        <v>192001808</v>
      </c>
      <c r="H267" s="650">
        <v>43609</v>
      </c>
      <c r="I267" s="126">
        <v>17483.52</v>
      </c>
      <c r="J267" s="640">
        <f t="shared" si="9"/>
        <v>4895.3856000000005</v>
      </c>
      <c r="K267" s="54">
        <v>0</v>
      </c>
      <c r="L267" s="54">
        <v>2447.6928000000003</v>
      </c>
      <c r="M267" s="54">
        <v>2447.6928000000003</v>
      </c>
      <c r="N267" s="54"/>
      <c r="O267" s="54">
        <f t="shared" si="10"/>
        <v>22378.905600000002</v>
      </c>
    </row>
    <row r="268" spans="1:15" x14ac:dyDescent="0.2">
      <c r="A268" s="33">
        <v>43586</v>
      </c>
      <c r="B268" s="11">
        <v>113</v>
      </c>
      <c r="C268" s="11" t="s">
        <v>471</v>
      </c>
      <c r="D268" s="11" t="s">
        <v>29</v>
      </c>
      <c r="F268" s="11" t="s">
        <v>22</v>
      </c>
      <c r="G268" s="38">
        <v>192001809</v>
      </c>
      <c r="H268" s="650">
        <v>43609</v>
      </c>
      <c r="I268" s="126">
        <v>17483.52</v>
      </c>
      <c r="J268" s="640">
        <f t="shared" si="9"/>
        <v>4895.3856000000005</v>
      </c>
      <c r="K268" s="54">
        <v>0</v>
      </c>
      <c r="L268" s="54">
        <v>2447.6928000000003</v>
      </c>
      <c r="M268" s="54">
        <v>2447.6928000000003</v>
      </c>
      <c r="N268" s="54"/>
      <c r="O268" s="54">
        <f t="shared" si="10"/>
        <v>22378.905600000002</v>
      </c>
    </row>
    <row r="269" spans="1:15" x14ac:dyDescent="0.2">
      <c r="A269" s="33">
        <v>43586</v>
      </c>
      <c r="B269" s="11">
        <v>114</v>
      </c>
      <c r="C269" s="11" t="s">
        <v>554</v>
      </c>
      <c r="D269" s="11" t="s">
        <v>555</v>
      </c>
      <c r="F269" s="11" t="s">
        <v>22</v>
      </c>
      <c r="G269" s="38">
        <v>1881</v>
      </c>
      <c r="H269" s="650">
        <v>43609</v>
      </c>
      <c r="I269" s="126">
        <v>2502</v>
      </c>
      <c r="J269" s="640">
        <f t="shared" si="9"/>
        <v>700.56</v>
      </c>
      <c r="K269" s="54">
        <v>0</v>
      </c>
      <c r="L269" s="54">
        <v>350.28</v>
      </c>
      <c r="M269" s="54">
        <v>350.28</v>
      </c>
      <c r="N269" s="54"/>
      <c r="O269" s="54">
        <f t="shared" si="10"/>
        <v>3202.56</v>
      </c>
    </row>
    <row r="270" spans="1:15" x14ac:dyDescent="0.2">
      <c r="A270" s="33">
        <v>43586</v>
      </c>
      <c r="B270" s="11">
        <v>115</v>
      </c>
      <c r="C270" s="11" t="s">
        <v>506</v>
      </c>
      <c r="D270" s="11" t="s">
        <v>507</v>
      </c>
      <c r="F270" s="11" t="s">
        <v>22</v>
      </c>
      <c r="G270" s="38" t="s">
        <v>653</v>
      </c>
      <c r="H270" s="650">
        <v>43609</v>
      </c>
      <c r="I270" s="126">
        <v>69758</v>
      </c>
      <c r="J270" s="640">
        <f t="shared" si="9"/>
        <v>12556.44</v>
      </c>
      <c r="K270" s="54">
        <v>0</v>
      </c>
      <c r="L270" s="54">
        <v>6278.22</v>
      </c>
      <c r="M270" s="54">
        <v>6278.22</v>
      </c>
      <c r="N270" s="54"/>
      <c r="O270" s="54">
        <f t="shared" si="10"/>
        <v>82314.44</v>
      </c>
    </row>
    <row r="271" spans="1:15" x14ac:dyDescent="0.2">
      <c r="A271" s="33">
        <v>43586</v>
      </c>
      <c r="B271" s="11">
        <v>116</v>
      </c>
      <c r="C271" s="11" t="s">
        <v>506</v>
      </c>
      <c r="D271" s="11" t="s">
        <v>507</v>
      </c>
      <c r="F271" s="11" t="s">
        <v>22</v>
      </c>
      <c r="G271" s="38" t="s">
        <v>654</v>
      </c>
      <c r="H271" s="650">
        <v>43609</v>
      </c>
      <c r="I271" s="126">
        <v>9240</v>
      </c>
      <c r="J271" s="640">
        <f t="shared" si="9"/>
        <v>1663.2</v>
      </c>
      <c r="K271" s="54">
        <v>0</v>
      </c>
      <c r="L271" s="54">
        <v>831.6</v>
      </c>
      <c r="M271" s="54">
        <v>831.6</v>
      </c>
      <c r="N271" s="54"/>
      <c r="O271" s="54">
        <f t="shared" si="10"/>
        <v>10903.2</v>
      </c>
    </row>
    <row r="272" spans="1:15" x14ac:dyDescent="0.2">
      <c r="A272" s="33">
        <v>43586</v>
      </c>
      <c r="B272" s="11">
        <v>117</v>
      </c>
      <c r="C272" s="11" t="s">
        <v>471</v>
      </c>
      <c r="D272" s="11" t="s">
        <v>29</v>
      </c>
      <c r="F272" s="11" t="s">
        <v>22</v>
      </c>
      <c r="G272" s="38">
        <v>192001824</v>
      </c>
      <c r="H272" s="650">
        <v>43609</v>
      </c>
      <c r="I272" s="126">
        <v>17483.52</v>
      </c>
      <c r="J272" s="640">
        <f t="shared" si="9"/>
        <v>4895.3856000000005</v>
      </c>
      <c r="K272" s="54">
        <v>0</v>
      </c>
      <c r="L272" s="54">
        <v>2447.6928000000003</v>
      </c>
      <c r="M272" s="54">
        <v>2447.6928000000003</v>
      </c>
      <c r="N272" s="54"/>
      <c r="O272" s="54">
        <f t="shared" si="10"/>
        <v>22378.905600000002</v>
      </c>
    </row>
    <row r="273" spans="1:15" x14ac:dyDescent="0.2">
      <c r="A273" s="33">
        <v>43586</v>
      </c>
      <c r="B273" s="11">
        <v>118</v>
      </c>
      <c r="C273" s="11" t="s">
        <v>471</v>
      </c>
      <c r="D273" s="11" t="s">
        <v>29</v>
      </c>
      <c r="F273" s="11" t="s">
        <v>22</v>
      </c>
      <c r="G273" s="38">
        <v>192001825</v>
      </c>
      <c r="H273" s="650">
        <v>43609</v>
      </c>
      <c r="I273" s="126">
        <v>17483.52</v>
      </c>
      <c r="J273" s="640">
        <f t="shared" si="9"/>
        <v>4895.3856000000005</v>
      </c>
      <c r="K273" s="54">
        <v>0</v>
      </c>
      <c r="L273" s="54">
        <v>2447.6928000000003</v>
      </c>
      <c r="M273" s="54">
        <v>2447.6928000000003</v>
      </c>
      <c r="N273" s="54"/>
      <c r="O273" s="54">
        <f t="shared" si="10"/>
        <v>22378.905600000002</v>
      </c>
    </row>
    <row r="274" spans="1:15" x14ac:dyDescent="0.2">
      <c r="A274" s="33">
        <v>43586</v>
      </c>
      <c r="B274" s="11">
        <v>119</v>
      </c>
      <c r="C274" s="11" t="s">
        <v>551</v>
      </c>
      <c r="D274" s="11" t="s">
        <v>552</v>
      </c>
      <c r="F274" s="11" t="s">
        <v>22</v>
      </c>
      <c r="G274" s="38" t="s">
        <v>655</v>
      </c>
      <c r="H274" s="650">
        <v>43609</v>
      </c>
      <c r="I274" s="126">
        <v>410</v>
      </c>
      <c r="J274" s="640">
        <f t="shared" si="9"/>
        <v>73.8</v>
      </c>
      <c r="K274" s="54">
        <v>0</v>
      </c>
      <c r="L274" s="54">
        <v>36.9</v>
      </c>
      <c r="M274" s="54">
        <v>36.9</v>
      </c>
      <c r="N274" s="54"/>
      <c r="O274" s="54">
        <f t="shared" si="10"/>
        <v>483.8</v>
      </c>
    </row>
    <row r="275" spans="1:15" x14ac:dyDescent="0.2">
      <c r="A275" s="33">
        <v>43586</v>
      </c>
      <c r="B275" s="11">
        <v>120</v>
      </c>
      <c r="C275" s="11" t="s">
        <v>551</v>
      </c>
      <c r="D275" s="11" t="s">
        <v>552</v>
      </c>
      <c r="F275" s="11" t="s">
        <v>22</v>
      </c>
      <c r="G275" s="38" t="s">
        <v>656</v>
      </c>
      <c r="H275" s="650">
        <v>43610</v>
      </c>
      <c r="I275" s="126">
        <v>300</v>
      </c>
      <c r="J275" s="640">
        <f t="shared" si="9"/>
        <v>54</v>
      </c>
      <c r="K275" s="54">
        <v>0</v>
      </c>
      <c r="L275" s="54">
        <v>27</v>
      </c>
      <c r="M275" s="54">
        <v>27</v>
      </c>
      <c r="N275" s="54"/>
      <c r="O275" s="54">
        <f t="shared" si="10"/>
        <v>354</v>
      </c>
    </row>
    <row r="276" spans="1:15" x14ac:dyDescent="0.2">
      <c r="A276" s="33">
        <v>43586</v>
      </c>
      <c r="B276" s="11">
        <v>121</v>
      </c>
      <c r="C276" s="11" t="s">
        <v>527</v>
      </c>
      <c r="D276" s="11" t="s">
        <v>528</v>
      </c>
      <c r="F276" s="11" t="s">
        <v>22</v>
      </c>
      <c r="G276" s="38">
        <v>9330003845</v>
      </c>
      <c r="H276" s="650">
        <v>43610</v>
      </c>
      <c r="I276" s="126">
        <v>13283</v>
      </c>
      <c r="J276" s="640">
        <f t="shared" si="9"/>
        <v>2390.94</v>
      </c>
      <c r="K276" s="54">
        <v>0</v>
      </c>
      <c r="L276" s="54">
        <v>1195.47</v>
      </c>
      <c r="M276" s="54">
        <v>1195.47</v>
      </c>
      <c r="N276" s="54"/>
      <c r="O276" s="54">
        <f t="shared" si="10"/>
        <v>15673.94</v>
      </c>
    </row>
    <row r="277" spans="1:15" x14ac:dyDescent="0.2">
      <c r="A277" s="33">
        <v>43586</v>
      </c>
      <c r="B277" s="11">
        <v>122</v>
      </c>
      <c r="C277" s="11" t="s">
        <v>521</v>
      </c>
      <c r="D277" s="11" t="s">
        <v>522</v>
      </c>
      <c r="F277" s="11" t="s">
        <v>22</v>
      </c>
      <c r="G277" s="38" t="s">
        <v>657</v>
      </c>
      <c r="H277" s="650">
        <v>43593</v>
      </c>
      <c r="I277" s="126">
        <v>65950</v>
      </c>
      <c r="J277" s="640">
        <f t="shared" si="9"/>
        <v>11871</v>
      </c>
      <c r="K277" s="54">
        <v>0</v>
      </c>
      <c r="L277" s="54">
        <v>5935.5</v>
      </c>
      <c r="M277" s="54">
        <v>5935.5</v>
      </c>
      <c r="N277" s="54"/>
      <c r="O277" s="54">
        <f t="shared" si="10"/>
        <v>77821</v>
      </c>
    </row>
    <row r="278" spans="1:15" x14ac:dyDescent="0.2">
      <c r="A278" s="33">
        <v>43586</v>
      </c>
      <c r="B278" s="11">
        <v>123</v>
      </c>
      <c r="C278" s="11" t="s">
        <v>471</v>
      </c>
      <c r="D278" s="11" t="s">
        <v>29</v>
      </c>
      <c r="F278" s="11" t="s">
        <v>22</v>
      </c>
      <c r="G278" s="38">
        <v>192001853</v>
      </c>
      <c r="H278" s="650">
        <v>43593</v>
      </c>
      <c r="I278" s="126">
        <v>17483.52</v>
      </c>
      <c r="J278" s="640">
        <f t="shared" si="9"/>
        <v>4895.3856000000005</v>
      </c>
      <c r="K278" s="54">
        <v>0</v>
      </c>
      <c r="L278" s="54">
        <v>2447.6928000000003</v>
      </c>
      <c r="M278" s="54">
        <v>2447.6928000000003</v>
      </c>
      <c r="N278" s="54"/>
      <c r="O278" s="54">
        <f t="shared" si="10"/>
        <v>22378.905600000002</v>
      </c>
    </row>
    <row r="279" spans="1:15" x14ac:dyDescent="0.2">
      <c r="A279" s="33">
        <v>43586</v>
      </c>
      <c r="B279" s="11">
        <v>124</v>
      </c>
      <c r="C279" s="11" t="s">
        <v>473</v>
      </c>
      <c r="D279" s="11" t="s">
        <v>41</v>
      </c>
      <c r="F279" s="11" t="s">
        <v>22</v>
      </c>
      <c r="G279" s="38" t="s">
        <v>658</v>
      </c>
      <c r="H279" s="650">
        <v>43610</v>
      </c>
      <c r="I279" s="126">
        <v>5770.8</v>
      </c>
      <c r="J279" s="640">
        <f t="shared" si="9"/>
        <v>1615.8240000000001</v>
      </c>
      <c r="K279" s="54">
        <v>0</v>
      </c>
      <c r="L279" s="54">
        <v>807.91200000000003</v>
      </c>
      <c r="M279" s="54">
        <v>807.91200000000003</v>
      </c>
      <c r="N279" s="54"/>
      <c r="O279" s="54">
        <f t="shared" si="10"/>
        <v>7386.6239999999998</v>
      </c>
    </row>
    <row r="280" spans="1:15" x14ac:dyDescent="0.2">
      <c r="A280" s="33">
        <v>43586</v>
      </c>
      <c r="B280" s="11">
        <v>125</v>
      </c>
      <c r="C280" s="11" t="s">
        <v>517</v>
      </c>
      <c r="D280" s="11" t="s">
        <v>256</v>
      </c>
      <c r="F280" s="11" t="s">
        <v>22</v>
      </c>
      <c r="G280" s="38">
        <v>19605190</v>
      </c>
      <c r="H280" s="650">
        <v>43610</v>
      </c>
      <c r="I280" s="126">
        <v>3013.12</v>
      </c>
      <c r="J280" s="640">
        <f t="shared" si="9"/>
        <v>843.67359999999996</v>
      </c>
      <c r="K280" s="54">
        <v>843.67359999999996</v>
      </c>
      <c r="L280" s="54">
        <v>0</v>
      </c>
      <c r="M280" s="54">
        <v>0</v>
      </c>
      <c r="N280" s="54"/>
      <c r="O280" s="54">
        <f t="shared" si="10"/>
        <v>3856.7936</v>
      </c>
    </row>
    <row r="281" spans="1:15" x14ac:dyDescent="0.2">
      <c r="A281" s="33">
        <v>43586</v>
      </c>
      <c r="B281" s="11">
        <v>126</v>
      </c>
      <c r="C281" s="11" t="s">
        <v>601</v>
      </c>
      <c r="D281" s="11" t="s">
        <v>602</v>
      </c>
      <c r="F281" s="11" t="s">
        <v>22</v>
      </c>
      <c r="G281" s="38">
        <v>1458</v>
      </c>
      <c r="H281" s="650">
        <v>43611</v>
      </c>
      <c r="I281" s="126">
        <v>16176.6</v>
      </c>
      <c r="J281" s="640">
        <f t="shared" si="9"/>
        <v>4529.4479999999994</v>
      </c>
      <c r="K281" s="54">
        <v>0</v>
      </c>
      <c r="L281" s="54">
        <v>2264.7239999999997</v>
      </c>
      <c r="M281" s="54">
        <v>2264.7239999999997</v>
      </c>
      <c r="N281" s="54"/>
      <c r="O281" s="54">
        <f t="shared" si="10"/>
        <v>20706.047999999999</v>
      </c>
    </row>
    <row r="282" spans="1:15" x14ac:dyDescent="0.2">
      <c r="A282" s="33">
        <v>43586</v>
      </c>
      <c r="B282" s="11">
        <v>127</v>
      </c>
      <c r="C282" s="11" t="s">
        <v>601</v>
      </c>
      <c r="D282" s="11" t="s">
        <v>602</v>
      </c>
      <c r="F282" s="11" t="s">
        <v>22</v>
      </c>
      <c r="G282" s="38">
        <v>1459</v>
      </c>
      <c r="H282" s="650">
        <v>43611</v>
      </c>
      <c r="I282" s="126">
        <v>17409.599999999999</v>
      </c>
      <c r="J282" s="640">
        <f t="shared" si="9"/>
        <v>4874.6879999999992</v>
      </c>
      <c r="K282" s="54">
        <v>0</v>
      </c>
      <c r="L282" s="54">
        <v>2437.3439999999996</v>
      </c>
      <c r="M282" s="54">
        <v>2437.3439999999996</v>
      </c>
      <c r="N282" s="54"/>
      <c r="O282" s="54">
        <f t="shared" si="10"/>
        <v>22284.287999999997</v>
      </c>
    </row>
    <row r="283" spans="1:15" x14ac:dyDescent="0.2">
      <c r="A283" s="33">
        <v>43586</v>
      </c>
      <c r="B283" s="11">
        <v>128</v>
      </c>
      <c r="C283" s="11" t="s">
        <v>471</v>
      </c>
      <c r="D283" s="11" t="s">
        <v>29</v>
      </c>
      <c r="F283" s="11" t="s">
        <v>22</v>
      </c>
      <c r="G283" s="38">
        <v>192001866</v>
      </c>
      <c r="H283" s="650">
        <v>43612</v>
      </c>
      <c r="I283" s="126">
        <v>17483.52</v>
      </c>
      <c r="J283" s="640">
        <f t="shared" si="9"/>
        <v>4895.3856000000005</v>
      </c>
      <c r="K283" s="54">
        <v>0</v>
      </c>
      <c r="L283" s="54">
        <v>2447.6928000000003</v>
      </c>
      <c r="M283" s="54">
        <v>2447.6928000000003</v>
      </c>
      <c r="N283" s="54"/>
      <c r="O283" s="54">
        <f t="shared" si="10"/>
        <v>22378.905600000002</v>
      </c>
    </row>
    <row r="284" spans="1:15" x14ac:dyDescent="0.2">
      <c r="A284" s="33">
        <v>43586</v>
      </c>
      <c r="B284" s="11">
        <v>129</v>
      </c>
      <c r="C284" s="11" t="s">
        <v>471</v>
      </c>
      <c r="D284" s="11" t="s">
        <v>29</v>
      </c>
      <c r="F284" s="11" t="s">
        <v>22</v>
      </c>
      <c r="G284" s="38">
        <v>192001854</v>
      </c>
      <c r="H284" s="650">
        <v>43610</v>
      </c>
      <c r="I284" s="126">
        <v>17483.52</v>
      </c>
      <c r="J284" s="640">
        <f t="shared" si="9"/>
        <v>4895.3856000000005</v>
      </c>
      <c r="K284" s="54">
        <v>0</v>
      </c>
      <c r="L284" s="54">
        <v>2447.6928000000003</v>
      </c>
      <c r="M284" s="54">
        <v>2447.6928000000003</v>
      </c>
      <c r="N284" s="54"/>
      <c r="O284" s="54">
        <f t="shared" si="10"/>
        <v>22378.905600000002</v>
      </c>
    </row>
    <row r="285" spans="1:15" x14ac:dyDescent="0.2">
      <c r="A285" s="33">
        <v>43586</v>
      </c>
      <c r="B285" s="11">
        <v>130</v>
      </c>
      <c r="C285" s="11" t="s">
        <v>659</v>
      </c>
      <c r="D285" s="11" t="s">
        <v>660</v>
      </c>
      <c r="F285" s="11" t="s">
        <v>22</v>
      </c>
      <c r="G285" s="38" t="s">
        <v>661</v>
      </c>
      <c r="H285" s="650">
        <v>43612</v>
      </c>
      <c r="I285" s="126">
        <v>16320</v>
      </c>
      <c r="J285" s="640">
        <f t="shared" si="9"/>
        <v>2937.6</v>
      </c>
      <c r="K285" s="54">
        <v>0</v>
      </c>
      <c r="L285" s="54">
        <v>1468.8</v>
      </c>
      <c r="M285" s="54">
        <v>1468.8</v>
      </c>
      <c r="N285" s="54"/>
      <c r="O285" s="54">
        <f t="shared" si="10"/>
        <v>19257.599999999999</v>
      </c>
    </row>
    <row r="286" spans="1:15" x14ac:dyDescent="0.2">
      <c r="A286" s="33">
        <v>43586</v>
      </c>
      <c r="B286" s="11">
        <v>131</v>
      </c>
      <c r="C286" s="11" t="s">
        <v>554</v>
      </c>
      <c r="D286" s="11" t="s">
        <v>555</v>
      </c>
      <c r="F286" s="11" t="s">
        <v>22</v>
      </c>
      <c r="G286" s="38">
        <v>1957</v>
      </c>
      <c r="H286" s="650">
        <v>43612</v>
      </c>
      <c r="I286" s="126">
        <v>3336</v>
      </c>
      <c r="J286" s="640">
        <f t="shared" si="9"/>
        <v>934.07999999999993</v>
      </c>
      <c r="K286" s="54">
        <v>0</v>
      </c>
      <c r="L286" s="54">
        <v>467.03999999999996</v>
      </c>
      <c r="M286" s="54">
        <v>467.03999999999996</v>
      </c>
      <c r="N286" s="54"/>
      <c r="O286" s="54">
        <f t="shared" si="10"/>
        <v>4270.08</v>
      </c>
    </row>
    <row r="287" spans="1:15" x14ac:dyDescent="0.2">
      <c r="A287" s="33">
        <v>43586</v>
      </c>
      <c r="B287" s="11">
        <v>132</v>
      </c>
      <c r="C287" s="11" t="s">
        <v>471</v>
      </c>
      <c r="D287" s="11" t="s">
        <v>29</v>
      </c>
      <c r="F287" s="11" t="s">
        <v>22</v>
      </c>
      <c r="G287" s="38">
        <v>192001867</v>
      </c>
      <c r="H287" s="650">
        <v>43612</v>
      </c>
      <c r="I287" s="126">
        <v>17483.52</v>
      </c>
      <c r="J287" s="640">
        <f t="shared" si="9"/>
        <v>4895.3856000000005</v>
      </c>
      <c r="K287" s="54">
        <v>0</v>
      </c>
      <c r="L287" s="54">
        <v>2447.6928000000003</v>
      </c>
      <c r="M287" s="54">
        <v>2447.6928000000003</v>
      </c>
      <c r="N287" s="54"/>
      <c r="O287" s="54">
        <f t="shared" si="10"/>
        <v>22378.905600000002</v>
      </c>
    </row>
    <row r="288" spans="1:15" x14ac:dyDescent="0.2">
      <c r="A288" s="33">
        <v>43586</v>
      </c>
      <c r="B288" s="11">
        <v>133</v>
      </c>
      <c r="C288" s="11" t="s">
        <v>471</v>
      </c>
      <c r="D288" s="11" t="s">
        <v>29</v>
      </c>
      <c r="F288" s="11" t="s">
        <v>22</v>
      </c>
      <c r="G288" s="38">
        <v>192001898</v>
      </c>
      <c r="H288" s="650">
        <v>43612</v>
      </c>
      <c r="I288" s="126">
        <v>17483.52</v>
      </c>
      <c r="J288" s="640">
        <f t="shared" si="9"/>
        <v>4895.3856000000005</v>
      </c>
      <c r="K288" s="54">
        <v>0</v>
      </c>
      <c r="L288" s="54">
        <v>2447.6928000000003</v>
      </c>
      <c r="M288" s="54">
        <v>2447.6928000000003</v>
      </c>
      <c r="N288" s="54"/>
      <c r="O288" s="54">
        <f t="shared" si="10"/>
        <v>22378.905600000002</v>
      </c>
    </row>
    <row r="289" spans="1:15" x14ac:dyDescent="0.2">
      <c r="A289" s="33">
        <v>43586</v>
      </c>
      <c r="B289" s="11">
        <v>134</v>
      </c>
      <c r="C289" s="11" t="s">
        <v>601</v>
      </c>
      <c r="D289" s="11" t="s">
        <v>602</v>
      </c>
      <c r="F289" s="11" t="s">
        <v>22</v>
      </c>
      <c r="G289" s="38">
        <v>1466</v>
      </c>
      <c r="H289" s="650">
        <v>43612</v>
      </c>
      <c r="I289" s="126">
        <v>34056</v>
      </c>
      <c r="J289" s="640">
        <f t="shared" si="9"/>
        <v>9535.68</v>
      </c>
      <c r="K289" s="54">
        <v>0</v>
      </c>
      <c r="L289" s="54">
        <v>4767.84</v>
      </c>
      <c r="M289" s="54">
        <v>4767.84</v>
      </c>
      <c r="N289" s="54"/>
      <c r="O289" s="54">
        <f t="shared" si="10"/>
        <v>43591.68</v>
      </c>
    </row>
    <row r="290" spans="1:15" x14ac:dyDescent="0.2">
      <c r="A290" s="33">
        <v>43586</v>
      </c>
      <c r="B290" s="11">
        <v>135</v>
      </c>
      <c r="C290" s="11" t="s">
        <v>556</v>
      </c>
      <c r="D290" s="11" t="s">
        <v>557</v>
      </c>
      <c r="F290" s="11" t="s">
        <v>22</v>
      </c>
      <c r="G290" s="38" t="s">
        <v>662</v>
      </c>
      <c r="H290" s="650">
        <v>43612</v>
      </c>
      <c r="I290" s="126">
        <v>69300</v>
      </c>
      <c r="J290" s="640">
        <f t="shared" si="9"/>
        <v>12474</v>
      </c>
      <c r="K290" s="54">
        <v>0</v>
      </c>
      <c r="L290" s="54">
        <v>6237</v>
      </c>
      <c r="M290" s="54">
        <v>6237</v>
      </c>
      <c r="N290" s="54"/>
      <c r="O290" s="54">
        <f t="shared" si="10"/>
        <v>81774</v>
      </c>
    </row>
    <row r="291" spans="1:15" x14ac:dyDescent="0.2">
      <c r="A291" s="33">
        <v>43586</v>
      </c>
      <c r="B291" s="11">
        <v>136</v>
      </c>
      <c r="C291" s="11" t="s">
        <v>601</v>
      </c>
      <c r="D291" s="11" t="s">
        <v>602</v>
      </c>
      <c r="F291" s="11" t="s">
        <v>22</v>
      </c>
      <c r="G291" s="38">
        <v>1496</v>
      </c>
      <c r="H291" s="650">
        <v>43613</v>
      </c>
      <c r="I291" s="126">
        <v>46827</v>
      </c>
      <c r="J291" s="640">
        <f t="shared" si="9"/>
        <v>13111.56</v>
      </c>
      <c r="K291" s="54">
        <v>0</v>
      </c>
      <c r="L291" s="54">
        <v>6555.78</v>
      </c>
      <c r="M291" s="54">
        <v>6555.78</v>
      </c>
      <c r="N291" s="54"/>
      <c r="O291" s="54">
        <f t="shared" si="10"/>
        <v>59938.559999999998</v>
      </c>
    </row>
    <row r="292" spans="1:15" x14ac:dyDescent="0.2">
      <c r="A292" s="33">
        <v>43586</v>
      </c>
      <c r="B292" s="11">
        <v>137</v>
      </c>
      <c r="C292" s="11" t="s">
        <v>493</v>
      </c>
      <c r="D292" s="11" t="s">
        <v>494</v>
      </c>
      <c r="F292" s="11" t="s">
        <v>22</v>
      </c>
      <c r="G292" s="38">
        <v>975</v>
      </c>
      <c r="H292" s="650">
        <v>43613</v>
      </c>
      <c r="I292" s="126">
        <v>24898.17</v>
      </c>
      <c r="J292" s="640">
        <f t="shared" si="9"/>
        <v>4481.6705999999995</v>
      </c>
      <c r="K292" s="54">
        <v>0</v>
      </c>
      <c r="L292" s="54">
        <v>2240.8352999999997</v>
      </c>
      <c r="M292" s="54">
        <v>2240.8352999999997</v>
      </c>
      <c r="N292" s="54"/>
      <c r="O292" s="54">
        <f t="shared" si="10"/>
        <v>29379.840599999996</v>
      </c>
    </row>
    <row r="293" spans="1:15" x14ac:dyDescent="0.2">
      <c r="A293" s="33">
        <v>43586</v>
      </c>
      <c r="B293" s="11">
        <v>138</v>
      </c>
      <c r="C293" s="11" t="s">
        <v>554</v>
      </c>
      <c r="D293" s="11" t="s">
        <v>555</v>
      </c>
      <c r="F293" s="11" t="s">
        <v>22</v>
      </c>
      <c r="G293" s="38">
        <v>2007</v>
      </c>
      <c r="H293" s="650">
        <v>43613</v>
      </c>
      <c r="I293" s="126">
        <v>1668</v>
      </c>
      <c r="J293" s="640">
        <f t="shared" si="9"/>
        <v>467.03999999999996</v>
      </c>
      <c r="K293" s="54">
        <v>0</v>
      </c>
      <c r="L293" s="54">
        <v>233.51999999999998</v>
      </c>
      <c r="M293" s="54">
        <v>233.51999999999998</v>
      </c>
      <c r="N293" s="54"/>
      <c r="O293" s="54">
        <f t="shared" si="10"/>
        <v>2135.04</v>
      </c>
    </row>
    <row r="294" spans="1:15" x14ac:dyDescent="0.2">
      <c r="A294" s="33">
        <v>43586</v>
      </c>
      <c r="B294" s="11">
        <v>139</v>
      </c>
      <c r="C294" s="11" t="s">
        <v>554</v>
      </c>
      <c r="D294" s="11" t="s">
        <v>555</v>
      </c>
      <c r="F294" s="11" t="s">
        <v>22</v>
      </c>
      <c r="G294" s="38">
        <v>2035</v>
      </c>
      <c r="H294" s="650">
        <v>43613</v>
      </c>
      <c r="I294" s="126">
        <v>1112</v>
      </c>
      <c r="J294" s="640">
        <f t="shared" si="9"/>
        <v>311.35999999999996</v>
      </c>
      <c r="K294" s="54">
        <v>0</v>
      </c>
      <c r="L294" s="54">
        <v>155.67999999999998</v>
      </c>
      <c r="M294" s="54">
        <v>155.67999999999998</v>
      </c>
      <c r="N294" s="54"/>
      <c r="O294" s="54">
        <f t="shared" si="10"/>
        <v>1423.36</v>
      </c>
    </row>
    <row r="295" spans="1:15" x14ac:dyDescent="0.2">
      <c r="A295" s="33">
        <v>43586</v>
      </c>
      <c r="B295" s="11">
        <v>140</v>
      </c>
      <c r="C295" s="11" t="s">
        <v>521</v>
      </c>
      <c r="D295" s="11" t="s">
        <v>522</v>
      </c>
      <c r="F295" s="11" t="s">
        <v>22</v>
      </c>
      <c r="G295" s="38" t="s">
        <v>663</v>
      </c>
      <c r="H295" s="650">
        <v>43613</v>
      </c>
      <c r="I295" s="126">
        <v>19200</v>
      </c>
      <c r="J295" s="640">
        <f t="shared" si="9"/>
        <v>3456</v>
      </c>
      <c r="K295" s="54">
        <v>0</v>
      </c>
      <c r="L295" s="54">
        <v>1728</v>
      </c>
      <c r="M295" s="54">
        <v>1728</v>
      </c>
      <c r="N295" s="54"/>
      <c r="O295" s="54">
        <f t="shared" si="10"/>
        <v>22656</v>
      </c>
    </row>
    <row r="296" spans="1:15" x14ac:dyDescent="0.2">
      <c r="A296" s="33">
        <v>43586</v>
      </c>
      <c r="B296" s="11">
        <v>141</v>
      </c>
      <c r="C296" s="11" t="s">
        <v>495</v>
      </c>
      <c r="D296" s="11" t="s">
        <v>74</v>
      </c>
      <c r="F296" s="11" t="s">
        <v>22</v>
      </c>
      <c r="G296" s="38">
        <v>5510046442</v>
      </c>
      <c r="H296" s="650">
        <v>43612</v>
      </c>
      <c r="I296" s="126">
        <v>18580.8</v>
      </c>
      <c r="J296" s="640">
        <f t="shared" si="9"/>
        <v>3344.5439999999999</v>
      </c>
      <c r="K296" s="54">
        <v>0</v>
      </c>
      <c r="L296" s="54">
        <v>1672.2719999999999</v>
      </c>
      <c r="M296" s="54">
        <v>1672.2719999999999</v>
      </c>
      <c r="N296" s="54"/>
      <c r="O296" s="54">
        <f t="shared" si="10"/>
        <v>21925.343999999997</v>
      </c>
    </row>
    <row r="297" spans="1:15" x14ac:dyDescent="0.2">
      <c r="A297" s="33">
        <v>43586</v>
      </c>
      <c r="B297" s="11">
        <v>142</v>
      </c>
      <c r="C297" s="11" t="s">
        <v>495</v>
      </c>
      <c r="D297" s="11" t="s">
        <v>74</v>
      </c>
      <c r="F297" s="11" t="s">
        <v>22</v>
      </c>
      <c r="G297" s="38">
        <v>5510046539</v>
      </c>
      <c r="H297" s="650">
        <v>43613</v>
      </c>
      <c r="I297" s="126">
        <v>23889.599999999999</v>
      </c>
      <c r="J297" s="640">
        <f t="shared" si="9"/>
        <v>4300.1279999999997</v>
      </c>
      <c r="K297" s="54">
        <v>0</v>
      </c>
      <c r="L297" s="54">
        <v>2150.0639999999999</v>
      </c>
      <c r="M297" s="54">
        <v>2150.0639999999999</v>
      </c>
      <c r="N297" s="54"/>
      <c r="O297" s="54">
        <f t="shared" si="10"/>
        <v>28189.727999999999</v>
      </c>
    </row>
    <row r="298" spans="1:15" x14ac:dyDescent="0.2">
      <c r="A298" s="33">
        <v>43586</v>
      </c>
      <c r="B298" s="11">
        <v>143</v>
      </c>
      <c r="C298" s="11" t="s">
        <v>591</v>
      </c>
      <c r="D298" s="11" t="s">
        <v>592</v>
      </c>
      <c r="F298" s="11" t="s">
        <v>22</v>
      </c>
      <c r="G298" s="38" t="s">
        <v>664</v>
      </c>
      <c r="H298" s="650">
        <v>43612</v>
      </c>
      <c r="I298" s="126">
        <v>17100</v>
      </c>
      <c r="J298" s="640">
        <f t="shared" si="9"/>
        <v>3078</v>
      </c>
      <c r="K298" s="54">
        <v>0</v>
      </c>
      <c r="L298" s="54">
        <v>1539</v>
      </c>
      <c r="M298" s="54">
        <v>1539</v>
      </c>
      <c r="N298" s="54"/>
      <c r="O298" s="54">
        <f t="shared" si="10"/>
        <v>20178</v>
      </c>
    </row>
    <row r="299" spans="1:15" x14ac:dyDescent="0.2">
      <c r="A299" s="33">
        <v>43586</v>
      </c>
      <c r="B299" s="11">
        <v>144</v>
      </c>
      <c r="C299" s="11" t="s">
        <v>591</v>
      </c>
      <c r="D299" s="11" t="s">
        <v>592</v>
      </c>
      <c r="F299" s="11" t="s">
        <v>22</v>
      </c>
      <c r="G299" s="38" t="s">
        <v>665</v>
      </c>
      <c r="H299" s="650">
        <v>43613</v>
      </c>
      <c r="I299" s="126">
        <v>13500</v>
      </c>
      <c r="J299" s="640">
        <f t="shared" si="9"/>
        <v>2430</v>
      </c>
      <c r="K299" s="54">
        <v>0</v>
      </c>
      <c r="L299" s="54">
        <v>1215</v>
      </c>
      <c r="M299" s="54">
        <v>1215</v>
      </c>
      <c r="N299" s="54"/>
      <c r="O299" s="54">
        <f t="shared" si="10"/>
        <v>15930</v>
      </c>
    </row>
    <row r="300" spans="1:15" x14ac:dyDescent="0.2">
      <c r="A300" s="33">
        <v>43586</v>
      </c>
      <c r="B300" s="11">
        <v>145</v>
      </c>
      <c r="C300" s="11" t="s">
        <v>517</v>
      </c>
      <c r="D300" s="11" t="s">
        <v>256</v>
      </c>
      <c r="F300" s="11" t="s">
        <v>22</v>
      </c>
      <c r="G300" s="38">
        <v>19605297</v>
      </c>
      <c r="H300" s="650">
        <v>43612</v>
      </c>
      <c r="I300" s="126">
        <v>22597.68</v>
      </c>
      <c r="J300" s="640">
        <f t="shared" si="9"/>
        <v>6327.3504000000003</v>
      </c>
      <c r="K300" s="54">
        <v>6327.3504000000003</v>
      </c>
      <c r="L300" s="54">
        <v>0</v>
      </c>
      <c r="M300" s="54">
        <v>0</v>
      </c>
      <c r="N300" s="54"/>
      <c r="O300" s="54">
        <f t="shared" si="10"/>
        <v>28925.0304</v>
      </c>
    </row>
    <row r="301" spans="1:15" x14ac:dyDescent="0.2">
      <c r="A301" s="33">
        <v>43586</v>
      </c>
      <c r="B301" s="11">
        <v>146</v>
      </c>
      <c r="C301" s="11" t="s">
        <v>666</v>
      </c>
      <c r="D301" s="11" t="s">
        <v>667</v>
      </c>
      <c r="F301" s="11" t="s">
        <v>22</v>
      </c>
      <c r="G301" s="38" t="s">
        <v>668</v>
      </c>
      <c r="H301" s="650">
        <v>43614</v>
      </c>
      <c r="I301" s="126">
        <v>78423.75</v>
      </c>
      <c r="J301" s="640">
        <f t="shared" si="9"/>
        <v>21958.649999999998</v>
      </c>
      <c r="K301" s="54">
        <v>0</v>
      </c>
      <c r="L301" s="54">
        <v>10979.324999999999</v>
      </c>
      <c r="M301" s="54">
        <v>10979.324999999999</v>
      </c>
      <c r="N301" s="54"/>
      <c r="O301" s="54">
        <f t="shared" si="10"/>
        <v>100382.39999999999</v>
      </c>
    </row>
    <row r="302" spans="1:15" x14ac:dyDescent="0.2">
      <c r="A302" s="33">
        <v>43586</v>
      </c>
      <c r="B302" s="11">
        <v>147</v>
      </c>
      <c r="C302" s="11" t="s">
        <v>666</v>
      </c>
      <c r="D302" s="11" t="s">
        <v>667</v>
      </c>
      <c r="F302" s="11" t="s">
        <v>22</v>
      </c>
      <c r="G302" s="38" t="s">
        <v>669</v>
      </c>
      <c r="H302" s="650">
        <v>43614</v>
      </c>
      <c r="I302" s="126">
        <v>16000</v>
      </c>
      <c r="J302" s="640">
        <f t="shared" si="9"/>
        <v>4480</v>
      </c>
      <c r="K302" s="54">
        <v>0</v>
      </c>
      <c r="L302" s="54">
        <v>2240</v>
      </c>
      <c r="M302" s="54">
        <v>2240</v>
      </c>
      <c r="N302" s="54"/>
      <c r="O302" s="54">
        <f t="shared" si="10"/>
        <v>20480</v>
      </c>
    </row>
    <row r="303" spans="1:15" x14ac:dyDescent="0.2">
      <c r="A303" s="33">
        <v>43586</v>
      </c>
      <c r="B303" s="11">
        <v>148</v>
      </c>
      <c r="C303" s="11" t="s">
        <v>471</v>
      </c>
      <c r="D303" s="11" t="s">
        <v>29</v>
      </c>
      <c r="F303" s="11" t="s">
        <v>22</v>
      </c>
      <c r="G303" s="38">
        <v>192001932</v>
      </c>
      <c r="H303" s="650">
        <v>43614</v>
      </c>
      <c r="I303" s="126">
        <v>17483.52</v>
      </c>
      <c r="J303" s="640">
        <f t="shared" si="9"/>
        <v>4895.3856000000005</v>
      </c>
      <c r="K303" s="54">
        <v>0</v>
      </c>
      <c r="L303" s="54">
        <v>2447.6928000000003</v>
      </c>
      <c r="M303" s="54">
        <v>2447.6928000000003</v>
      </c>
      <c r="N303" s="54"/>
      <c r="O303" s="54">
        <f t="shared" si="10"/>
        <v>22378.905600000002</v>
      </c>
    </row>
    <row r="304" spans="1:15" x14ac:dyDescent="0.2">
      <c r="A304" s="33">
        <v>43586</v>
      </c>
      <c r="B304" s="11">
        <v>149</v>
      </c>
      <c r="C304" s="11" t="s">
        <v>471</v>
      </c>
      <c r="D304" s="11" t="s">
        <v>29</v>
      </c>
      <c r="F304" s="11" t="s">
        <v>22</v>
      </c>
      <c r="G304" s="38">
        <v>192001933</v>
      </c>
      <c r="H304" s="650">
        <v>43614</v>
      </c>
      <c r="I304" s="126">
        <v>17483.52</v>
      </c>
      <c r="J304" s="640">
        <f t="shared" si="9"/>
        <v>4895.3856000000005</v>
      </c>
      <c r="K304" s="54">
        <v>0</v>
      </c>
      <c r="L304" s="54">
        <v>2447.6928000000003</v>
      </c>
      <c r="M304" s="54">
        <v>2447.6928000000003</v>
      </c>
      <c r="N304" s="54"/>
      <c r="O304" s="54">
        <f t="shared" si="10"/>
        <v>22378.905600000002</v>
      </c>
    </row>
    <row r="305" spans="1:15" x14ac:dyDescent="0.2">
      <c r="A305" s="33">
        <v>43586</v>
      </c>
      <c r="B305" s="11">
        <v>150</v>
      </c>
      <c r="C305" s="11" t="s">
        <v>554</v>
      </c>
      <c r="D305" s="11" t="s">
        <v>555</v>
      </c>
      <c r="F305" s="11" t="s">
        <v>22</v>
      </c>
      <c r="G305" s="38">
        <v>2094</v>
      </c>
      <c r="H305" s="650">
        <v>43614</v>
      </c>
      <c r="I305" s="126">
        <v>1668</v>
      </c>
      <c r="J305" s="640">
        <f t="shared" si="9"/>
        <v>467.03999999999996</v>
      </c>
      <c r="K305" s="54">
        <v>0</v>
      </c>
      <c r="L305" s="54">
        <v>233.51999999999998</v>
      </c>
      <c r="M305" s="54">
        <v>233.51999999999998</v>
      </c>
      <c r="N305" s="54"/>
      <c r="O305" s="54">
        <f t="shared" si="10"/>
        <v>2135.04</v>
      </c>
    </row>
    <row r="306" spans="1:15" x14ac:dyDescent="0.2">
      <c r="A306" s="33">
        <v>43586</v>
      </c>
      <c r="B306" s="11">
        <v>151</v>
      </c>
      <c r="C306" s="11" t="s">
        <v>601</v>
      </c>
      <c r="D306" s="11" t="s">
        <v>602</v>
      </c>
      <c r="F306" s="11" t="s">
        <v>22</v>
      </c>
      <c r="G306" s="38">
        <v>1542</v>
      </c>
      <c r="H306" s="650">
        <v>43614</v>
      </c>
      <c r="I306" s="126">
        <v>17028</v>
      </c>
      <c r="J306" s="640">
        <f t="shared" si="9"/>
        <v>4767.84</v>
      </c>
      <c r="K306" s="54">
        <v>0</v>
      </c>
      <c r="L306" s="54">
        <v>2383.92</v>
      </c>
      <c r="M306" s="54">
        <v>2383.92</v>
      </c>
      <c r="N306" s="54"/>
      <c r="O306" s="54">
        <f t="shared" si="10"/>
        <v>21795.84</v>
      </c>
    </row>
    <row r="307" spans="1:15" x14ac:dyDescent="0.2">
      <c r="A307" s="33">
        <v>43586</v>
      </c>
      <c r="B307" s="11">
        <v>152</v>
      </c>
      <c r="C307" s="11" t="s">
        <v>601</v>
      </c>
      <c r="D307" s="11" t="s">
        <v>602</v>
      </c>
      <c r="F307" s="11" t="s">
        <v>22</v>
      </c>
      <c r="G307" s="38">
        <v>1543</v>
      </c>
      <c r="H307" s="650">
        <v>43614</v>
      </c>
      <c r="I307" s="126">
        <v>17409.599999999999</v>
      </c>
      <c r="J307" s="640">
        <f t="shared" si="9"/>
        <v>4874.6879999999992</v>
      </c>
      <c r="K307" s="54">
        <v>0</v>
      </c>
      <c r="L307" s="54">
        <v>2437.3439999999996</v>
      </c>
      <c r="M307" s="54">
        <v>2437.3439999999996</v>
      </c>
      <c r="N307" s="54"/>
      <c r="O307" s="54">
        <f t="shared" si="10"/>
        <v>22284.287999999997</v>
      </c>
    </row>
    <row r="308" spans="1:15" x14ac:dyDescent="0.2">
      <c r="A308" s="33">
        <v>43586</v>
      </c>
      <c r="B308" s="11">
        <v>153</v>
      </c>
      <c r="C308" s="11" t="s">
        <v>554</v>
      </c>
      <c r="D308" s="11" t="s">
        <v>555</v>
      </c>
      <c r="F308" s="11" t="s">
        <v>22</v>
      </c>
      <c r="G308" s="38">
        <v>2094</v>
      </c>
      <c r="H308" s="650">
        <v>43615</v>
      </c>
      <c r="I308" s="126">
        <v>2224</v>
      </c>
      <c r="J308" s="640">
        <f t="shared" si="9"/>
        <v>622.71999999999991</v>
      </c>
      <c r="K308" s="54">
        <v>0</v>
      </c>
      <c r="L308" s="54">
        <v>311.35999999999996</v>
      </c>
      <c r="M308" s="54">
        <v>311.35999999999996</v>
      </c>
      <c r="N308" s="54"/>
      <c r="O308" s="54">
        <f t="shared" si="10"/>
        <v>2846.72</v>
      </c>
    </row>
    <row r="309" spans="1:15" x14ac:dyDescent="0.2">
      <c r="A309" s="33">
        <v>43586</v>
      </c>
      <c r="B309" s="11">
        <v>154</v>
      </c>
      <c r="C309" s="11" t="s">
        <v>471</v>
      </c>
      <c r="D309" s="11" t="s">
        <v>29</v>
      </c>
      <c r="F309" s="11" t="s">
        <v>22</v>
      </c>
      <c r="G309" s="38">
        <v>192001968</v>
      </c>
      <c r="H309" s="650">
        <v>43615</v>
      </c>
      <c r="I309" s="126">
        <v>17483.52</v>
      </c>
      <c r="J309" s="640">
        <f t="shared" si="9"/>
        <v>4895.3856000000005</v>
      </c>
      <c r="K309" s="54">
        <v>0</v>
      </c>
      <c r="L309" s="54">
        <v>2447.6928000000003</v>
      </c>
      <c r="M309" s="54">
        <v>2447.6928000000003</v>
      </c>
      <c r="N309" s="54"/>
      <c r="O309" s="54">
        <f t="shared" si="10"/>
        <v>22378.905600000002</v>
      </c>
    </row>
    <row r="310" spans="1:15" x14ac:dyDescent="0.2">
      <c r="A310" s="33">
        <v>43586</v>
      </c>
      <c r="B310" s="11">
        <v>155</v>
      </c>
      <c r="C310" s="11" t="s">
        <v>670</v>
      </c>
      <c r="D310" s="11" t="s">
        <v>671</v>
      </c>
      <c r="F310" s="11" t="s">
        <v>22</v>
      </c>
      <c r="G310" s="38" t="s">
        <v>672</v>
      </c>
      <c r="H310" s="650">
        <v>43616</v>
      </c>
      <c r="I310" s="126">
        <v>660</v>
      </c>
      <c r="J310" s="640">
        <f t="shared" si="9"/>
        <v>118.8</v>
      </c>
      <c r="K310" s="54">
        <v>0</v>
      </c>
      <c r="L310" s="54">
        <v>59.4</v>
      </c>
      <c r="M310" s="54">
        <v>59.4</v>
      </c>
      <c r="N310" s="54"/>
      <c r="O310" s="54">
        <f t="shared" si="10"/>
        <v>778.8</v>
      </c>
    </row>
    <row r="311" spans="1:15" x14ac:dyDescent="0.2">
      <c r="A311" s="33">
        <v>43586</v>
      </c>
      <c r="B311" s="11">
        <v>156</v>
      </c>
      <c r="C311" s="11" t="s">
        <v>673</v>
      </c>
      <c r="D311" s="11" t="s">
        <v>674</v>
      </c>
      <c r="F311" s="11" t="s">
        <v>22</v>
      </c>
      <c r="G311" s="38" t="s">
        <v>675</v>
      </c>
      <c r="H311" s="650">
        <v>43614</v>
      </c>
      <c r="I311" s="126">
        <v>23296</v>
      </c>
      <c r="J311" s="640">
        <f t="shared" si="9"/>
        <v>4193.28</v>
      </c>
      <c r="K311" s="54">
        <v>0</v>
      </c>
      <c r="L311" s="54">
        <v>2096.64</v>
      </c>
      <c r="M311" s="54">
        <v>2096.64</v>
      </c>
      <c r="N311" s="54"/>
      <c r="O311" s="54">
        <f t="shared" si="10"/>
        <v>27489.279999999999</v>
      </c>
    </row>
    <row r="312" spans="1:15" x14ac:dyDescent="0.2">
      <c r="A312" s="33">
        <v>43586</v>
      </c>
      <c r="B312" s="11">
        <v>157</v>
      </c>
      <c r="C312" s="11" t="s">
        <v>517</v>
      </c>
      <c r="D312" s="11" t="s">
        <v>256</v>
      </c>
      <c r="F312" s="11" t="s">
        <v>22</v>
      </c>
      <c r="G312" s="38">
        <v>19605541</v>
      </c>
      <c r="H312" s="650">
        <v>43615</v>
      </c>
      <c r="I312" s="126">
        <v>27117</v>
      </c>
      <c r="J312" s="640">
        <f t="shared" si="9"/>
        <v>7592.76</v>
      </c>
      <c r="K312" s="54">
        <v>7592.76</v>
      </c>
      <c r="L312" s="54">
        <v>0</v>
      </c>
      <c r="M312" s="54">
        <v>0</v>
      </c>
      <c r="N312" s="54"/>
      <c r="O312" s="54">
        <f t="shared" si="10"/>
        <v>34709.760000000002</v>
      </c>
    </row>
    <row r="313" spans="1:15" x14ac:dyDescent="0.2">
      <c r="A313" s="33">
        <v>43586</v>
      </c>
      <c r="B313" s="11">
        <v>158</v>
      </c>
      <c r="C313" s="11" t="s">
        <v>677</v>
      </c>
      <c r="D313" s="11" t="s">
        <v>678</v>
      </c>
      <c r="F313" s="11" t="s">
        <v>22</v>
      </c>
      <c r="G313" s="38" t="s">
        <v>679</v>
      </c>
      <c r="H313" s="650">
        <v>43606</v>
      </c>
      <c r="I313" s="126">
        <v>22615</v>
      </c>
      <c r="J313" s="640">
        <f t="shared" si="9"/>
        <v>6332.2</v>
      </c>
      <c r="K313" s="54">
        <v>6332.2</v>
      </c>
      <c r="L313" s="54">
        <v>0</v>
      </c>
      <c r="M313" s="54">
        <v>0</v>
      </c>
      <c r="N313" s="54"/>
      <c r="O313" s="54">
        <f t="shared" si="10"/>
        <v>28947.200000000001</v>
      </c>
    </row>
    <row r="314" spans="1:15" x14ac:dyDescent="0.2">
      <c r="A314" s="33">
        <v>43586</v>
      </c>
      <c r="B314" s="11">
        <v>159</v>
      </c>
      <c r="C314" s="11" t="s">
        <v>589</v>
      </c>
      <c r="D314" s="11" t="s">
        <v>590</v>
      </c>
      <c r="F314" s="11" t="s">
        <v>22</v>
      </c>
      <c r="G314" s="38">
        <v>9</v>
      </c>
      <c r="H314" s="650">
        <v>43616</v>
      </c>
      <c r="I314" s="126">
        <v>202181.4</v>
      </c>
      <c r="J314" s="640">
        <f t="shared" si="9"/>
        <v>36392.651999999995</v>
      </c>
      <c r="K314" s="54">
        <v>0</v>
      </c>
      <c r="L314" s="54">
        <v>18196.325999999997</v>
      </c>
      <c r="M314" s="54">
        <v>18196.325999999997</v>
      </c>
      <c r="N314" s="54"/>
      <c r="O314" s="54">
        <f t="shared" si="10"/>
        <v>238574.052</v>
      </c>
    </row>
    <row r="315" spans="1:15" x14ac:dyDescent="0.2">
      <c r="A315" s="33">
        <v>43586</v>
      </c>
      <c r="B315" s="11">
        <v>160</v>
      </c>
      <c r="C315" s="11" t="s">
        <v>551</v>
      </c>
      <c r="D315" s="11" t="s">
        <v>552</v>
      </c>
      <c r="F315" s="11" t="s">
        <v>22</v>
      </c>
      <c r="G315" s="38" t="s">
        <v>680</v>
      </c>
      <c r="H315" s="650">
        <v>43616</v>
      </c>
      <c r="I315" s="126">
        <v>300</v>
      </c>
      <c r="J315" s="640">
        <f t="shared" si="9"/>
        <v>54</v>
      </c>
      <c r="K315" s="54">
        <v>0</v>
      </c>
      <c r="L315" s="54">
        <v>27</v>
      </c>
      <c r="M315" s="54">
        <v>27</v>
      </c>
      <c r="N315" s="54"/>
      <c r="O315" s="54">
        <f t="shared" si="10"/>
        <v>354</v>
      </c>
    </row>
    <row r="316" spans="1:15" x14ac:dyDescent="0.2">
      <c r="A316" s="33">
        <v>43586</v>
      </c>
      <c r="B316" s="11">
        <v>161</v>
      </c>
      <c r="C316" s="11" t="s">
        <v>514</v>
      </c>
      <c r="D316" s="11" t="s">
        <v>515</v>
      </c>
      <c r="F316" s="11" t="s">
        <v>22</v>
      </c>
      <c r="G316" s="38" t="s">
        <v>681</v>
      </c>
      <c r="H316" s="650">
        <v>43600</v>
      </c>
      <c r="I316" s="126">
        <v>15</v>
      </c>
      <c r="J316" s="640">
        <f t="shared" si="9"/>
        <v>2.6999999999999997</v>
      </c>
      <c r="K316" s="54">
        <v>0</v>
      </c>
      <c r="L316" s="54">
        <v>1.3499999999999999</v>
      </c>
      <c r="M316" s="54">
        <v>1.3499999999999999</v>
      </c>
      <c r="N316" s="54"/>
      <c r="O316" s="54">
        <f t="shared" si="10"/>
        <v>17.7</v>
      </c>
    </row>
    <row r="317" spans="1:15" x14ac:dyDescent="0.2">
      <c r="A317" s="33">
        <v>43586</v>
      </c>
      <c r="B317" s="11">
        <v>162</v>
      </c>
      <c r="C317" s="11" t="s">
        <v>682</v>
      </c>
      <c r="D317" s="11" t="s">
        <v>683</v>
      </c>
      <c r="F317" s="11" t="s">
        <v>22</v>
      </c>
      <c r="G317" s="38" t="s">
        <v>684</v>
      </c>
      <c r="H317" s="650">
        <v>42491</v>
      </c>
      <c r="I317" s="126">
        <v>28892.9</v>
      </c>
      <c r="J317" s="640">
        <f t="shared" si="9"/>
        <v>7697.8</v>
      </c>
      <c r="K317" s="54">
        <v>0</v>
      </c>
      <c r="L317" s="54">
        <v>3848.9</v>
      </c>
      <c r="M317" s="54">
        <v>3848.9</v>
      </c>
      <c r="N317" s="54"/>
      <c r="O317" s="54">
        <f t="shared" si="10"/>
        <v>36590.700000000004</v>
      </c>
    </row>
    <row r="318" spans="1:15" x14ac:dyDescent="0.2">
      <c r="A318" s="33">
        <v>43586</v>
      </c>
      <c r="B318" s="11">
        <v>2</v>
      </c>
      <c r="C318" s="11" t="s">
        <v>600</v>
      </c>
      <c r="D318" s="11">
        <v>2</v>
      </c>
      <c r="F318" s="11" t="s">
        <v>22</v>
      </c>
      <c r="G318" s="38"/>
      <c r="H318" s="650"/>
      <c r="I318" s="126">
        <v>0</v>
      </c>
      <c r="J318" s="640">
        <f t="shared" si="9"/>
        <v>0</v>
      </c>
      <c r="K318" s="54"/>
      <c r="L318" s="54"/>
      <c r="M318" s="54"/>
      <c r="N318" s="54"/>
      <c r="O318" s="54">
        <f t="shared" si="10"/>
        <v>0</v>
      </c>
    </row>
    <row r="319" spans="1:15" x14ac:dyDescent="0.2">
      <c r="A319" s="33">
        <v>43586</v>
      </c>
      <c r="B319" s="11">
        <v>3</v>
      </c>
      <c r="C319" s="11" t="s">
        <v>673</v>
      </c>
      <c r="D319" s="11" t="s">
        <v>674</v>
      </c>
      <c r="F319" s="11" t="s">
        <v>22</v>
      </c>
      <c r="G319" s="38" t="s">
        <v>685</v>
      </c>
      <c r="H319" s="650">
        <v>43601</v>
      </c>
      <c r="I319" s="126">
        <v>0</v>
      </c>
      <c r="J319" s="640">
        <f t="shared" si="9"/>
        <v>0</v>
      </c>
      <c r="K319" s="54"/>
      <c r="L319" s="54"/>
      <c r="M319" s="54"/>
      <c r="N319" s="54"/>
      <c r="O319" s="54">
        <f t="shared" si="10"/>
        <v>0</v>
      </c>
    </row>
    <row r="320" spans="1:15" x14ac:dyDescent="0.2">
      <c r="A320" s="33">
        <v>43586</v>
      </c>
      <c r="B320" s="11">
        <v>4</v>
      </c>
      <c r="C320" s="11" t="s">
        <v>686</v>
      </c>
      <c r="D320" s="11" t="s">
        <v>687</v>
      </c>
      <c r="F320" s="11" t="s">
        <v>22</v>
      </c>
      <c r="G320" s="38">
        <v>1460</v>
      </c>
      <c r="H320" s="650">
        <v>43613</v>
      </c>
      <c r="I320" s="126">
        <v>0</v>
      </c>
      <c r="J320" s="640">
        <f t="shared" si="9"/>
        <v>0</v>
      </c>
      <c r="K320" s="54"/>
      <c r="L320" s="54"/>
      <c r="M320" s="54"/>
      <c r="N320" s="54"/>
      <c r="O320" s="54">
        <f t="shared" si="10"/>
        <v>0</v>
      </c>
    </row>
    <row r="321" spans="1:15" x14ac:dyDescent="0.2">
      <c r="A321" s="33">
        <v>43586</v>
      </c>
      <c r="B321" s="11">
        <v>5</v>
      </c>
      <c r="C321" s="11" t="s">
        <v>686</v>
      </c>
      <c r="D321" s="11" t="s">
        <v>687</v>
      </c>
      <c r="F321" s="11" t="s">
        <v>22</v>
      </c>
      <c r="G321" s="38">
        <v>1423</v>
      </c>
      <c r="H321" s="650">
        <v>43615</v>
      </c>
      <c r="I321" s="126">
        <v>0</v>
      </c>
      <c r="J321" s="640">
        <f t="shared" si="9"/>
        <v>0</v>
      </c>
      <c r="K321" s="54"/>
      <c r="L321" s="54"/>
      <c r="M321" s="54"/>
      <c r="N321" s="54"/>
      <c r="O321" s="54">
        <f t="shared" si="10"/>
        <v>0</v>
      </c>
    </row>
    <row r="322" spans="1:15" x14ac:dyDescent="0.2">
      <c r="A322" s="33">
        <v>43586</v>
      </c>
      <c r="B322" s="11">
        <v>6</v>
      </c>
      <c r="C322" s="11" t="s">
        <v>686</v>
      </c>
      <c r="D322" s="11" t="s">
        <v>687</v>
      </c>
      <c r="F322" s="11" t="s">
        <v>22</v>
      </c>
      <c r="G322" s="38">
        <v>1346</v>
      </c>
      <c r="H322" s="650">
        <v>43615</v>
      </c>
      <c r="I322" s="126">
        <v>0</v>
      </c>
      <c r="J322" s="640">
        <f t="shared" si="9"/>
        <v>0</v>
      </c>
      <c r="K322" s="54"/>
      <c r="L322" s="54"/>
      <c r="M322" s="54"/>
      <c r="N322" s="54"/>
      <c r="O322" s="54">
        <f t="shared" si="10"/>
        <v>0</v>
      </c>
    </row>
    <row r="323" spans="1:15" x14ac:dyDescent="0.2">
      <c r="A323" s="33">
        <v>43586</v>
      </c>
      <c r="B323" s="11">
        <v>7</v>
      </c>
      <c r="C323" s="11" t="s">
        <v>686</v>
      </c>
      <c r="D323" s="11" t="s">
        <v>687</v>
      </c>
      <c r="F323" s="11" t="s">
        <v>22</v>
      </c>
      <c r="G323" s="38">
        <v>1372</v>
      </c>
      <c r="H323" s="650">
        <v>43615</v>
      </c>
      <c r="I323" s="126">
        <v>0</v>
      </c>
      <c r="J323" s="640">
        <f t="shared" si="9"/>
        <v>0</v>
      </c>
      <c r="K323" s="54"/>
      <c r="L323" s="54"/>
      <c r="M323" s="54"/>
      <c r="N323" s="54"/>
      <c r="O323" s="54">
        <f t="shared" si="10"/>
        <v>0</v>
      </c>
    </row>
    <row r="324" spans="1:15" x14ac:dyDescent="0.2">
      <c r="A324" s="33">
        <v>43586</v>
      </c>
      <c r="C324" s="11" t="s">
        <v>688</v>
      </c>
      <c r="D324" s="11">
        <v>1</v>
      </c>
      <c r="F324" s="11" t="s">
        <v>22</v>
      </c>
      <c r="G324" s="38"/>
      <c r="H324" s="650"/>
      <c r="I324" s="126">
        <v>567427.30000000005</v>
      </c>
      <c r="J324" s="640">
        <f t="shared" ref="J324:J387" si="11">+K324+L324+M324+N324</f>
        <v>102136.914</v>
      </c>
      <c r="K324" s="54">
        <v>102136.914</v>
      </c>
      <c r="L324" s="54">
        <v>0</v>
      </c>
      <c r="M324" s="54">
        <v>0</v>
      </c>
      <c r="N324" s="54"/>
      <c r="O324" s="54">
        <f t="shared" ref="O324:O387" si="12">+I324+J324</f>
        <v>669564.21400000004</v>
      </c>
    </row>
    <row r="325" spans="1:15" x14ac:dyDescent="0.2">
      <c r="A325" s="33">
        <v>43586</v>
      </c>
      <c r="C325" s="11" t="s">
        <v>482</v>
      </c>
      <c r="D325" s="11" t="s">
        <v>483</v>
      </c>
      <c r="F325" s="11" t="s">
        <v>228</v>
      </c>
      <c r="G325" s="38">
        <v>1</v>
      </c>
      <c r="H325" s="650">
        <v>43598</v>
      </c>
      <c r="I325" s="126">
        <v>-48816</v>
      </c>
      <c r="J325" s="640">
        <f t="shared" si="11"/>
        <v>-13668.48</v>
      </c>
      <c r="K325" s="54">
        <v>0</v>
      </c>
      <c r="L325" s="54">
        <v>-6834.24</v>
      </c>
      <c r="M325" s="54">
        <v>-6834.24</v>
      </c>
      <c r="N325" s="54"/>
      <c r="O325" s="54">
        <f t="shared" si="12"/>
        <v>-62484.479999999996</v>
      </c>
    </row>
    <row r="326" spans="1:15" x14ac:dyDescent="0.2">
      <c r="A326" s="651"/>
      <c r="B326" s="645"/>
      <c r="C326" s="645"/>
      <c r="D326" s="645"/>
      <c r="E326" s="645"/>
      <c r="F326" s="645"/>
      <c r="G326" s="646"/>
      <c r="H326" s="647"/>
      <c r="I326" s="648">
        <f>SUM(I157:I325)</f>
        <v>4578573.5600000005</v>
      </c>
      <c r="J326" s="649">
        <f t="shared" ref="J326:O326" si="13">SUM(J157:J325)</f>
        <v>1010991.0252000006</v>
      </c>
      <c r="K326" s="649">
        <f t="shared" si="13"/>
        <v>139070.23000000001</v>
      </c>
      <c r="L326" s="649">
        <f t="shared" si="13"/>
        <v>435885.39760000026</v>
      </c>
      <c r="M326" s="649">
        <f t="shared" si="13"/>
        <v>435885.39760000026</v>
      </c>
      <c r="N326" s="649">
        <f t="shared" si="13"/>
        <v>0</v>
      </c>
      <c r="O326" s="649">
        <f t="shared" si="13"/>
        <v>5589564.5852000052</v>
      </c>
    </row>
    <row r="327" spans="1:15" x14ac:dyDescent="0.2">
      <c r="A327" s="33">
        <v>43617</v>
      </c>
      <c r="B327" s="11">
        <v>1</v>
      </c>
      <c r="C327" s="11" t="s">
        <v>554</v>
      </c>
      <c r="D327" s="11" t="s">
        <v>555</v>
      </c>
      <c r="F327" s="11" t="s">
        <v>22</v>
      </c>
      <c r="G327" s="38">
        <v>2190</v>
      </c>
      <c r="H327" s="650">
        <v>43617</v>
      </c>
      <c r="I327" s="126">
        <v>2780</v>
      </c>
      <c r="J327" s="640">
        <f t="shared" si="11"/>
        <v>778.4</v>
      </c>
      <c r="K327" s="54">
        <v>0</v>
      </c>
      <c r="L327" s="54">
        <v>389.2</v>
      </c>
      <c r="M327" s="54">
        <v>389.2</v>
      </c>
      <c r="N327" s="54"/>
      <c r="O327" s="54">
        <f t="shared" si="12"/>
        <v>3558.4</v>
      </c>
    </row>
    <row r="328" spans="1:15" x14ac:dyDescent="0.2">
      <c r="A328" s="33">
        <v>43617</v>
      </c>
      <c r="B328" s="11">
        <v>2</v>
      </c>
      <c r="C328" s="11" t="s">
        <v>601</v>
      </c>
      <c r="D328" s="11" t="s">
        <v>602</v>
      </c>
      <c r="F328" s="11" t="s">
        <v>22</v>
      </c>
      <c r="G328" s="38">
        <v>1602</v>
      </c>
      <c r="H328" s="650">
        <v>43617</v>
      </c>
      <c r="I328" s="126">
        <v>42570</v>
      </c>
      <c r="J328" s="640">
        <f t="shared" si="11"/>
        <v>11919.6</v>
      </c>
      <c r="K328" s="54">
        <v>0</v>
      </c>
      <c r="L328" s="54">
        <v>5959.8</v>
      </c>
      <c r="M328" s="54">
        <v>5959.8</v>
      </c>
      <c r="N328" s="54"/>
      <c r="O328" s="54">
        <f t="shared" si="12"/>
        <v>54489.599999999999</v>
      </c>
    </row>
    <row r="329" spans="1:15" x14ac:dyDescent="0.2">
      <c r="A329" s="33">
        <v>43617</v>
      </c>
      <c r="B329" s="11">
        <v>3</v>
      </c>
      <c r="C329" s="11" t="s">
        <v>601</v>
      </c>
      <c r="D329" s="11" t="s">
        <v>602</v>
      </c>
      <c r="F329" s="11" t="s">
        <v>22</v>
      </c>
      <c r="G329" s="38">
        <v>1603</v>
      </c>
      <c r="H329" s="650">
        <v>43617</v>
      </c>
      <c r="I329" s="126">
        <v>24105.599999999999</v>
      </c>
      <c r="J329" s="640">
        <f t="shared" si="11"/>
        <v>6749.5679999999993</v>
      </c>
      <c r="K329" s="54">
        <v>0</v>
      </c>
      <c r="L329" s="54">
        <v>3374.7839999999997</v>
      </c>
      <c r="M329" s="54">
        <v>3374.7839999999997</v>
      </c>
      <c r="N329" s="54"/>
      <c r="O329" s="54">
        <f t="shared" si="12"/>
        <v>30855.167999999998</v>
      </c>
    </row>
    <row r="330" spans="1:15" x14ac:dyDescent="0.2">
      <c r="A330" s="33">
        <v>43617</v>
      </c>
      <c r="B330" s="11">
        <v>4</v>
      </c>
      <c r="C330" s="11" t="s">
        <v>554</v>
      </c>
      <c r="D330" s="11" t="s">
        <v>555</v>
      </c>
      <c r="F330" s="11" t="s">
        <v>22</v>
      </c>
      <c r="G330" s="38">
        <v>2217</v>
      </c>
      <c r="H330" s="650">
        <v>43617</v>
      </c>
      <c r="I330" s="126">
        <v>1390</v>
      </c>
      <c r="J330" s="640">
        <f t="shared" si="11"/>
        <v>389.2</v>
      </c>
      <c r="K330" s="54">
        <v>0</v>
      </c>
      <c r="L330" s="54">
        <v>194.6</v>
      </c>
      <c r="M330" s="54">
        <v>194.6</v>
      </c>
      <c r="N330" s="54"/>
      <c r="O330" s="54">
        <f t="shared" si="12"/>
        <v>1779.2</v>
      </c>
    </row>
    <row r="331" spans="1:15" x14ac:dyDescent="0.2">
      <c r="A331" s="33">
        <v>43617</v>
      </c>
      <c r="B331" s="11">
        <v>5</v>
      </c>
      <c r="C331" s="11" t="s">
        <v>499</v>
      </c>
      <c r="D331" s="11" t="s">
        <v>500</v>
      </c>
      <c r="F331" s="11" t="s">
        <v>22</v>
      </c>
      <c r="G331" s="38" t="s">
        <v>689</v>
      </c>
      <c r="H331" s="650">
        <v>43619</v>
      </c>
      <c r="I331" s="126">
        <v>4284</v>
      </c>
      <c r="J331" s="640">
        <f t="shared" si="11"/>
        <v>771.12</v>
      </c>
      <c r="K331" s="54">
        <v>0</v>
      </c>
      <c r="L331" s="54">
        <v>385.56</v>
      </c>
      <c r="M331" s="54">
        <v>385.56</v>
      </c>
      <c r="N331" s="54"/>
      <c r="O331" s="54">
        <f t="shared" si="12"/>
        <v>5055.12</v>
      </c>
    </row>
    <row r="332" spans="1:15" x14ac:dyDescent="0.2">
      <c r="A332" s="33">
        <v>43617</v>
      </c>
      <c r="B332" s="11">
        <v>6</v>
      </c>
      <c r="C332" s="11" t="s">
        <v>499</v>
      </c>
      <c r="D332" s="11" t="s">
        <v>500</v>
      </c>
      <c r="F332" s="11" t="s">
        <v>22</v>
      </c>
      <c r="G332" s="38" t="s">
        <v>690</v>
      </c>
      <c r="H332" s="650">
        <v>43619</v>
      </c>
      <c r="I332" s="126">
        <v>8845</v>
      </c>
      <c r="J332" s="640">
        <f t="shared" si="11"/>
        <v>894</v>
      </c>
      <c r="K332" s="54">
        <v>0</v>
      </c>
      <c r="L332" s="54">
        <v>447</v>
      </c>
      <c r="M332" s="54">
        <v>447</v>
      </c>
      <c r="N332" s="54"/>
      <c r="O332" s="54">
        <f t="shared" si="12"/>
        <v>9739</v>
      </c>
    </row>
    <row r="333" spans="1:15" x14ac:dyDescent="0.2">
      <c r="A333" s="33">
        <v>43617</v>
      </c>
      <c r="B333" s="11">
        <v>7</v>
      </c>
      <c r="C333" s="11" t="s">
        <v>591</v>
      </c>
      <c r="D333" s="11" t="s">
        <v>592</v>
      </c>
      <c r="F333" s="11" t="s">
        <v>22</v>
      </c>
      <c r="G333" s="38" t="s">
        <v>691</v>
      </c>
      <c r="H333" s="650">
        <v>43619</v>
      </c>
      <c r="I333" s="126">
        <v>91850</v>
      </c>
      <c r="J333" s="640">
        <f t="shared" si="11"/>
        <v>16534</v>
      </c>
      <c r="K333" s="54">
        <v>0</v>
      </c>
      <c r="L333" s="54">
        <v>8267</v>
      </c>
      <c r="M333" s="54">
        <v>8267</v>
      </c>
      <c r="N333" s="54"/>
      <c r="O333" s="54">
        <f t="shared" si="12"/>
        <v>108384</v>
      </c>
    </row>
    <row r="334" spans="1:15" x14ac:dyDescent="0.2">
      <c r="A334" s="33">
        <v>43617</v>
      </c>
      <c r="B334" s="11">
        <v>8</v>
      </c>
      <c r="C334" s="11" t="s">
        <v>554</v>
      </c>
      <c r="D334" s="11" t="s">
        <v>555</v>
      </c>
      <c r="F334" s="11" t="s">
        <v>22</v>
      </c>
      <c r="G334" s="38">
        <v>2245</v>
      </c>
      <c r="H334" s="650">
        <v>43619</v>
      </c>
      <c r="I334" s="126">
        <v>1825.5</v>
      </c>
      <c r="J334" s="640">
        <f t="shared" si="11"/>
        <v>511.14</v>
      </c>
      <c r="K334" s="54">
        <v>0</v>
      </c>
      <c r="L334" s="54">
        <v>255.57</v>
      </c>
      <c r="M334" s="54">
        <v>255.57</v>
      </c>
      <c r="N334" s="54"/>
      <c r="O334" s="54">
        <f t="shared" si="12"/>
        <v>2336.64</v>
      </c>
    </row>
    <row r="335" spans="1:15" x14ac:dyDescent="0.2">
      <c r="A335" s="33">
        <v>43617</v>
      </c>
      <c r="B335" s="11">
        <v>9</v>
      </c>
      <c r="C335" s="11" t="s">
        <v>554</v>
      </c>
      <c r="D335" s="11" t="s">
        <v>555</v>
      </c>
      <c r="F335" s="11" t="s">
        <v>22</v>
      </c>
      <c r="G335" s="38">
        <v>2279</v>
      </c>
      <c r="H335" s="650">
        <v>43619</v>
      </c>
      <c r="I335" s="126">
        <v>1668</v>
      </c>
      <c r="J335" s="640">
        <f t="shared" si="11"/>
        <v>467.03999999999996</v>
      </c>
      <c r="K335" s="54">
        <v>0</v>
      </c>
      <c r="L335" s="54">
        <v>233.51999999999998</v>
      </c>
      <c r="M335" s="54">
        <v>233.51999999999998</v>
      </c>
      <c r="N335" s="54"/>
      <c r="O335" s="54">
        <f t="shared" si="12"/>
        <v>2135.04</v>
      </c>
    </row>
    <row r="336" spans="1:15" x14ac:dyDescent="0.2">
      <c r="A336" s="33">
        <v>43617</v>
      </c>
      <c r="B336" s="11">
        <v>10</v>
      </c>
      <c r="C336" s="11" t="s">
        <v>554</v>
      </c>
      <c r="D336" s="11" t="s">
        <v>555</v>
      </c>
      <c r="F336" s="11" t="s">
        <v>22</v>
      </c>
      <c r="G336" s="38">
        <v>2280</v>
      </c>
      <c r="H336" s="650">
        <v>43619</v>
      </c>
      <c r="I336" s="126">
        <v>472.5</v>
      </c>
      <c r="J336" s="640">
        <f t="shared" si="11"/>
        <v>132.29999999999998</v>
      </c>
      <c r="K336" s="54">
        <v>0</v>
      </c>
      <c r="L336" s="54">
        <v>66.149999999999991</v>
      </c>
      <c r="M336" s="54">
        <v>66.149999999999991</v>
      </c>
      <c r="N336" s="54"/>
      <c r="O336" s="54">
        <f t="shared" si="12"/>
        <v>604.79999999999995</v>
      </c>
    </row>
    <row r="337" spans="1:15" x14ac:dyDescent="0.2">
      <c r="A337" s="33">
        <v>43617</v>
      </c>
      <c r="B337" s="11">
        <v>11</v>
      </c>
      <c r="C337" s="11" t="s">
        <v>473</v>
      </c>
      <c r="D337" s="11" t="s">
        <v>41</v>
      </c>
      <c r="F337" s="11" t="s">
        <v>22</v>
      </c>
      <c r="G337" s="38" t="s">
        <v>692</v>
      </c>
      <c r="H337" s="650">
        <v>43619</v>
      </c>
      <c r="I337" s="126">
        <v>6251.7</v>
      </c>
      <c r="J337" s="640">
        <f t="shared" si="11"/>
        <v>1750.4759999999999</v>
      </c>
      <c r="K337" s="54">
        <v>0</v>
      </c>
      <c r="L337" s="54">
        <v>875.23799999999994</v>
      </c>
      <c r="M337" s="54">
        <v>875.23799999999994</v>
      </c>
      <c r="N337" s="54"/>
      <c r="O337" s="54">
        <f t="shared" si="12"/>
        <v>8002.1759999999995</v>
      </c>
    </row>
    <row r="338" spans="1:15" x14ac:dyDescent="0.2">
      <c r="A338" s="33">
        <v>43617</v>
      </c>
      <c r="B338" s="11">
        <v>12</v>
      </c>
      <c r="C338" s="11" t="s">
        <v>473</v>
      </c>
      <c r="D338" s="11" t="s">
        <v>41</v>
      </c>
      <c r="F338" s="11" t="s">
        <v>22</v>
      </c>
      <c r="G338" s="38" t="s">
        <v>693</v>
      </c>
      <c r="H338" s="650">
        <v>43619</v>
      </c>
      <c r="I338" s="126">
        <v>138.33000000000001</v>
      </c>
      <c r="J338" s="640">
        <f t="shared" si="11"/>
        <v>38.732400000000005</v>
      </c>
      <c r="K338" s="54">
        <v>0</v>
      </c>
      <c r="L338" s="54">
        <v>19.366200000000003</v>
      </c>
      <c r="M338" s="54">
        <v>19.366200000000003</v>
      </c>
      <c r="N338" s="54"/>
      <c r="O338" s="54">
        <f t="shared" si="12"/>
        <v>177.06240000000003</v>
      </c>
    </row>
    <row r="339" spans="1:15" x14ac:dyDescent="0.2">
      <c r="A339" s="33">
        <v>43617</v>
      </c>
      <c r="B339" s="11">
        <v>13</v>
      </c>
      <c r="C339" s="11" t="s">
        <v>473</v>
      </c>
      <c r="D339" s="11" t="s">
        <v>41</v>
      </c>
      <c r="F339" s="11" t="s">
        <v>22</v>
      </c>
      <c r="G339" s="38" t="s">
        <v>694</v>
      </c>
      <c r="H339" s="650">
        <v>43619</v>
      </c>
      <c r="I339" s="126">
        <v>1576.5</v>
      </c>
      <c r="J339" s="640">
        <f t="shared" si="11"/>
        <v>441.42</v>
      </c>
      <c r="K339" s="54">
        <v>0</v>
      </c>
      <c r="L339" s="54">
        <v>220.71</v>
      </c>
      <c r="M339" s="54">
        <v>220.71</v>
      </c>
      <c r="N339" s="54"/>
      <c r="O339" s="54">
        <f t="shared" si="12"/>
        <v>2017.92</v>
      </c>
    </row>
    <row r="340" spans="1:15" x14ac:dyDescent="0.2">
      <c r="A340" s="33">
        <v>43617</v>
      </c>
      <c r="B340" s="11">
        <v>14</v>
      </c>
      <c r="C340" s="11" t="s">
        <v>601</v>
      </c>
      <c r="D340" s="11" t="s">
        <v>602</v>
      </c>
      <c r="F340" s="11" t="s">
        <v>22</v>
      </c>
      <c r="G340" s="38">
        <v>1634</v>
      </c>
      <c r="H340" s="650">
        <v>43619</v>
      </c>
      <c r="I340" s="126">
        <v>38313</v>
      </c>
      <c r="J340" s="640">
        <f t="shared" si="11"/>
        <v>10727.64</v>
      </c>
      <c r="K340" s="54">
        <v>0</v>
      </c>
      <c r="L340" s="54">
        <v>5363.82</v>
      </c>
      <c r="M340" s="54">
        <v>5363.82</v>
      </c>
      <c r="N340" s="54"/>
      <c r="O340" s="54">
        <f t="shared" si="12"/>
        <v>49040.639999999999</v>
      </c>
    </row>
    <row r="341" spans="1:15" x14ac:dyDescent="0.2">
      <c r="A341" s="33">
        <v>43617</v>
      </c>
      <c r="B341" s="11">
        <v>15</v>
      </c>
      <c r="C341" s="11" t="s">
        <v>601</v>
      </c>
      <c r="D341" s="11" t="s">
        <v>602</v>
      </c>
      <c r="F341" s="11" t="s">
        <v>22</v>
      </c>
      <c r="G341" s="38">
        <v>1635</v>
      </c>
      <c r="H341" s="650">
        <v>43619</v>
      </c>
      <c r="I341" s="126">
        <v>13392</v>
      </c>
      <c r="J341" s="640">
        <f t="shared" si="11"/>
        <v>3749.7599999999998</v>
      </c>
      <c r="K341" s="54">
        <v>0</v>
      </c>
      <c r="L341" s="54">
        <v>1874.8799999999999</v>
      </c>
      <c r="M341" s="54">
        <v>1874.8799999999999</v>
      </c>
      <c r="N341" s="54"/>
      <c r="O341" s="54">
        <f t="shared" si="12"/>
        <v>17141.759999999998</v>
      </c>
    </row>
    <row r="342" spans="1:15" x14ac:dyDescent="0.2">
      <c r="A342" s="33">
        <v>43617</v>
      </c>
      <c r="B342" s="11">
        <v>16</v>
      </c>
      <c r="C342" s="11" t="s">
        <v>601</v>
      </c>
      <c r="D342" s="11" t="s">
        <v>602</v>
      </c>
      <c r="F342" s="11" t="s">
        <v>22</v>
      </c>
      <c r="G342" s="38">
        <v>1616</v>
      </c>
      <c r="H342" s="650">
        <v>43619</v>
      </c>
      <c r="I342" s="126">
        <v>46827</v>
      </c>
      <c r="J342" s="640">
        <f t="shared" si="11"/>
        <v>13111.56</v>
      </c>
      <c r="K342" s="54">
        <v>0</v>
      </c>
      <c r="L342" s="54">
        <v>6555.78</v>
      </c>
      <c r="M342" s="54">
        <v>6555.78</v>
      </c>
      <c r="N342" s="54"/>
      <c r="O342" s="54">
        <f t="shared" si="12"/>
        <v>59938.559999999998</v>
      </c>
    </row>
    <row r="343" spans="1:15" x14ac:dyDescent="0.2">
      <c r="A343" s="33">
        <v>43617</v>
      </c>
      <c r="B343" s="11">
        <v>17</v>
      </c>
      <c r="C343" s="11" t="s">
        <v>489</v>
      </c>
      <c r="D343" s="11" t="s">
        <v>490</v>
      </c>
      <c r="F343" s="11" t="s">
        <v>22</v>
      </c>
      <c r="G343" s="38">
        <v>7887983839</v>
      </c>
      <c r="H343" s="650">
        <v>43617</v>
      </c>
      <c r="I343" s="126">
        <v>8736</v>
      </c>
      <c r="J343" s="640">
        <f t="shared" si="11"/>
        <v>1572.48</v>
      </c>
      <c r="K343" s="54">
        <v>0</v>
      </c>
      <c r="L343" s="54">
        <v>786.24</v>
      </c>
      <c r="M343" s="54">
        <v>786.24</v>
      </c>
      <c r="N343" s="54"/>
      <c r="O343" s="54">
        <f t="shared" si="12"/>
        <v>10308.48</v>
      </c>
    </row>
    <row r="344" spans="1:15" x14ac:dyDescent="0.2">
      <c r="A344" s="33">
        <v>43617</v>
      </c>
      <c r="B344" s="11">
        <v>18</v>
      </c>
      <c r="C344" s="11" t="s">
        <v>489</v>
      </c>
      <c r="D344" s="11" t="s">
        <v>490</v>
      </c>
      <c r="F344" s="11" t="s">
        <v>22</v>
      </c>
      <c r="G344" s="38">
        <v>7887983907</v>
      </c>
      <c r="H344" s="650">
        <v>43619</v>
      </c>
      <c r="I344" s="126">
        <v>56216</v>
      </c>
      <c r="J344" s="640">
        <f t="shared" si="11"/>
        <v>10118.879999999999</v>
      </c>
      <c r="K344" s="54">
        <v>0</v>
      </c>
      <c r="L344" s="54">
        <v>5059.4399999999996</v>
      </c>
      <c r="M344" s="54">
        <v>5059.4399999999996</v>
      </c>
      <c r="N344" s="54"/>
      <c r="O344" s="54">
        <f t="shared" si="12"/>
        <v>66334.880000000005</v>
      </c>
    </row>
    <row r="345" spans="1:15" x14ac:dyDescent="0.2">
      <c r="A345" s="33">
        <v>43617</v>
      </c>
      <c r="B345" s="11">
        <v>19</v>
      </c>
      <c r="C345" s="11" t="s">
        <v>489</v>
      </c>
      <c r="D345" s="11" t="s">
        <v>490</v>
      </c>
      <c r="F345" s="11" t="s">
        <v>22</v>
      </c>
      <c r="G345" s="38">
        <v>7887983908</v>
      </c>
      <c r="H345" s="650">
        <v>43619</v>
      </c>
      <c r="I345" s="126">
        <v>28160</v>
      </c>
      <c r="J345" s="640">
        <f t="shared" si="11"/>
        <v>5068.8</v>
      </c>
      <c r="K345" s="54">
        <v>0</v>
      </c>
      <c r="L345" s="54">
        <v>2534.4</v>
      </c>
      <c r="M345" s="54">
        <v>2534.4</v>
      </c>
      <c r="N345" s="54"/>
      <c r="O345" s="54">
        <f t="shared" si="12"/>
        <v>33228.800000000003</v>
      </c>
    </row>
    <row r="346" spans="1:15" x14ac:dyDescent="0.2">
      <c r="A346" s="33">
        <v>43617</v>
      </c>
      <c r="B346" s="11">
        <v>20</v>
      </c>
      <c r="C346" s="11" t="s">
        <v>695</v>
      </c>
      <c r="D346" s="11" t="s">
        <v>696</v>
      </c>
      <c r="F346" s="11" t="s">
        <v>22</v>
      </c>
      <c r="G346" s="38">
        <v>1</v>
      </c>
      <c r="H346" s="650">
        <v>43617</v>
      </c>
      <c r="I346" s="126">
        <v>17580</v>
      </c>
      <c r="J346" s="640">
        <f t="shared" si="11"/>
        <v>3164.4</v>
      </c>
      <c r="K346" s="54">
        <v>0</v>
      </c>
      <c r="L346" s="54">
        <v>1582.2</v>
      </c>
      <c r="M346" s="54">
        <v>1582.2</v>
      </c>
      <c r="N346" s="54"/>
      <c r="O346" s="54">
        <f t="shared" si="12"/>
        <v>20744.400000000001</v>
      </c>
    </row>
    <row r="347" spans="1:15" x14ac:dyDescent="0.2">
      <c r="A347" s="33">
        <v>43617</v>
      </c>
      <c r="B347" s="11">
        <v>21</v>
      </c>
      <c r="C347" s="11" t="s">
        <v>487</v>
      </c>
      <c r="D347" s="11" t="s">
        <v>488</v>
      </c>
      <c r="F347" s="11" t="s">
        <v>22</v>
      </c>
      <c r="G347" s="38">
        <v>414</v>
      </c>
      <c r="H347" s="650">
        <v>43620</v>
      </c>
      <c r="I347" s="126">
        <v>8000</v>
      </c>
      <c r="J347" s="640">
        <f t="shared" si="11"/>
        <v>1440</v>
      </c>
      <c r="K347" s="54">
        <v>0</v>
      </c>
      <c r="L347" s="54">
        <v>720</v>
      </c>
      <c r="M347" s="54">
        <v>720</v>
      </c>
      <c r="N347" s="54"/>
      <c r="O347" s="54">
        <f t="shared" si="12"/>
        <v>9440</v>
      </c>
    </row>
    <row r="348" spans="1:15" x14ac:dyDescent="0.2">
      <c r="A348" s="33">
        <v>43617</v>
      </c>
      <c r="B348" s="11">
        <v>22</v>
      </c>
      <c r="C348" s="11" t="s">
        <v>521</v>
      </c>
      <c r="D348" s="11" t="s">
        <v>522</v>
      </c>
      <c r="F348" s="11" t="s">
        <v>22</v>
      </c>
      <c r="G348" s="38" t="s">
        <v>697</v>
      </c>
      <c r="H348" s="650">
        <v>43619</v>
      </c>
      <c r="I348" s="126">
        <v>6000</v>
      </c>
      <c r="J348" s="640">
        <f t="shared" si="11"/>
        <v>1080</v>
      </c>
      <c r="K348" s="54">
        <v>0</v>
      </c>
      <c r="L348" s="54">
        <v>540</v>
      </c>
      <c r="M348" s="54">
        <v>540</v>
      </c>
      <c r="N348" s="54"/>
      <c r="O348" s="54">
        <f t="shared" si="12"/>
        <v>7080</v>
      </c>
    </row>
    <row r="349" spans="1:15" x14ac:dyDescent="0.2">
      <c r="A349" s="33">
        <v>43617</v>
      </c>
      <c r="B349" s="11">
        <v>23</v>
      </c>
      <c r="C349" s="11" t="s">
        <v>506</v>
      </c>
      <c r="D349" s="11" t="s">
        <v>507</v>
      </c>
      <c r="F349" s="11" t="s">
        <v>22</v>
      </c>
      <c r="G349" s="38" t="s">
        <v>698</v>
      </c>
      <c r="H349" s="650">
        <v>43619</v>
      </c>
      <c r="I349" s="126">
        <v>69758</v>
      </c>
      <c r="J349" s="640">
        <f t="shared" si="11"/>
        <v>12556.44</v>
      </c>
      <c r="K349" s="54">
        <v>0</v>
      </c>
      <c r="L349" s="54">
        <v>6278.22</v>
      </c>
      <c r="M349" s="54">
        <v>6278.22</v>
      </c>
      <c r="N349" s="54"/>
      <c r="O349" s="54">
        <f t="shared" si="12"/>
        <v>82314.44</v>
      </c>
    </row>
    <row r="350" spans="1:15" x14ac:dyDescent="0.2">
      <c r="A350" s="33">
        <v>43617</v>
      </c>
      <c r="B350" s="11">
        <v>24</v>
      </c>
      <c r="C350" s="11" t="s">
        <v>506</v>
      </c>
      <c r="D350" s="11" t="s">
        <v>507</v>
      </c>
      <c r="F350" s="11" t="s">
        <v>22</v>
      </c>
      <c r="G350" s="38" t="s">
        <v>699</v>
      </c>
      <c r="H350" s="650">
        <v>43619</v>
      </c>
      <c r="I350" s="126">
        <v>13920</v>
      </c>
      <c r="J350" s="640">
        <f t="shared" si="11"/>
        <v>2505.6</v>
      </c>
      <c r="K350" s="54">
        <v>0</v>
      </c>
      <c r="L350" s="54">
        <v>1252.8</v>
      </c>
      <c r="M350" s="54">
        <v>1252.8</v>
      </c>
      <c r="N350" s="54"/>
      <c r="O350" s="54">
        <f t="shared" si="12"/>
        <v>16425.599999999999</v>
      </c>
    </row>
    <row r="351" spans="1:15" x14ac:dyDescent="0.2">
      <c r="A351" s="33">
        <v>43617</v>
      </c>
      <c r="B351" s="11">
        <v>25</v>
      </c>
      <c r="C351" s="11" t="s">
        <v>506</v>
      </c>
      <c r="D351" s="11" t="s">
        <v>507</v>
      </c>
      <c r="F351" s="11" t="s">
        <v>22</v>
      </c>
      <c r="G351" s="38" t="s">
        <v>700</v>
      </c>
      <c r="H351" s="650">
        <v>43619</v>
      </c>
      <c r="I351" s="126">
        <v>18480</v>
      </c>
      <c r="J351" s="640">
        <f t="shared" si="11"/>
        <v>3326.4</v>
      </c>
      <c r="K351" s="54">
        <v>0</v>
      </c>
      <c r="L351" s="54">
        <v>1663.2</v>
      </c>
      <c r="M351" s="54">
        <v>1663.2</v>
      </c>
      <c r="N351" s="54"/>
      <c r="O351" s="54">
        <f t="shared" si="12"/>
        <v>21806.400000000001</v>
      </c>
    </row>
    <row r="352" spans="1:15" x14ac:dyDescent="0.2">
      <c r="A352" s="33">
        <v>43617</v>
      </c>
      <c r="B352" s="11">
        <v>26</v>
      </c>
      <c r="C352" s="11" t="s">
        <v>506</v>
      </c>
      <c r="D352" s="11" t="s">
        <v>507</v>
      </c>
      <c r="F352" s="11" t="s">
        <v>22</v>
      </c>
      <c r="G352" s="38" t="s">
        <v>701</v>
      </c>
      <c r="H352" s="650">
        <v>43619</v>
      </c>
      <c r="I352" s="126">
        <v>2400</v>
      </c>
      <c r="J352" s="640">
        <f t="shared" si="11"/>
        <v>432</v>
      </c>
      <c r="K352" s="54">
        <v>0</v>
      </c>
      <c r="L352" s="54">
        <v>216</v>
      </c>
      <c r="M352" s="54">
        <v>216</v>
      </c>
      <c r="N352" s="54"/>
      <c r="O352" s="54">
        <f t="shared" si="12"/>
        <v>2832</v>
      </c>
    </row>
    <row r="353" spans="1:15" x14ac:dyDescent="0.2">
      <c r="A353" s="33">
        <v>43617</v>
      </c>
      <c r="B353" s="11">
        <v>27</v>
      </c>
      <c r="C353" s="11" t="s">
        <v>554</v>
      </c>
      <c r="D353" s="11" t="s">
        <v>555</v>
      </c>
      <c r="F353" s="11" t="s">
        <v>22</v>
      </c>
      <c r="G353" s="38">
        <v>2294</v>
      </c>
      <c r="H353" s="650">
        <v>43620</v>
      </c>
      <c r="I353" s="126">
        <v>1353</v>
      </c>
      <c r="J353" s="640">
        <f t="shared" si="11"/>
        <v>378.84</v>
      </c>
      <c r="K353" s="54">
        <v>0</v>
      </c>
      <c r="L353" s="54">
        <v>189.42</v>
      </c>
      <c r="M353" s="54">
        <v>189.42</v>
      </c>
      <c r="N353" s="54"/>
      <c r="O353" s="54">
        <f t="shared" si="12"/>
        <v>1731.84</v>
      </c>
    </row>
    <row r="354" spans="1:15" x14ac:dyDescent="0.2">
      <c r="A354" s="33">
        <v>43617</v>
      </c>
      <c r="B354" s="11">
        <v>28</v>
      </c>
      <c r="C354" s="11" t="s">
        <v>493</v>
      </c>
      <c r="D354" s="11" t="s">
        <v>494</v>
      </c>
      <c r="F354" s="11" t="s">
        <v>22</v>
      </c>
      <c r="G354" s="38">
        <v>1105</v>
      </c>
      <c r="H354" s="650">
        <v>43620</v>
      </c>
      <c r="I354" s="126">
        <v>41382</v>
      </c>
      <c r="J354" s="640">
        <f t="shared" si="11"/>
        <v>7448.76</v>
      </c>
      <c r="K354" s="54">
        <v>0</v>
      </c>
      <c r="L354" s="54">
        <v>3724.38</v>
      </c>
      <c r="M354" s="54">
        <v>3724.38</v>
      </c>
      <c r="N354" s="54"/>
      <c r="O354" s="54">
        <f t="shared" si="12"/>
        <v>48830.76</v>
      </c>
    </row>
    <row r="355" spans="1:15" x14ac:dyDescent="0.2">
      <c r="A355" s="33">
        <v>43617</v>
      </c>
      <c r="B355" s="11">
        <v>29</v>
      </c>
      <c r="C355" s="11" t="s">
        <v>554</v>
      </c>
      <c r="D355" s="11" t="s">
        <v>555</v>
      </c>
      <c r="F355" s="11" t="s">
        <v>22</v>
      </c>
      <c r="G355" s="38">
        <v>2326</v>
      </c>
      <c r="H355" s="650">
        <v>43620</v>
      </c>
      <c r="I355" s="126">
        <v>2298</v>
      </c>
      <c r="J355" s="640">
        <f t="shared" si="11"/>
        <v>643.44000000000005</v>
      </c>
      <c r="K355" s="54">
        <v>0</v>
      </c>
      <c r="L355" s="54">
        <v>321.72000000000003</v>
      </c>
      <c r="M355" s="54">
        <v>321.72000000000003</v>
      </c>
      <c r="N355" s="54"/>
      <c r="O355" s="54">
        <f t="shared" si="12"/>
        <v>2941.44</v>
      </c>
    </row>
    <row r="356" spans="1:15" x14ac:dyDescent="0.2">
      <c r="A356" s="33">
        <v>43617</v>
      </c>
      <c r="B356" s="11">
        <v>30</v>
      </c>
      <c r="C356" s="11" t="s">
        <v>554</v>
      </c>
      <c r="D356" s="11" t="s">
        <v>555</v>
      </c>
      <c r="F356" s="11" t="s">
        <v>22</v>
      </c>
      <c r="G356" s="38">
        <v>2335</v>
      </c>
      <c r="H356" s="650">
        <v>43620</v>
      </c>
      <c r="I356" s="126">
        <v>797</v>
      </c>
      <c r="J356" s="640">
        <f t="shared" si="11"/>
        <v>223.16</v>
      </c>
      <c r="K356" s="54">
        <v>0</v>
      </c>
      <c r="L356" s="54">
        <v>111.58</v>
      </c>
      <c r="M356" s="54">
        <v>111.58</v>
      </c>
      <c r="N356" s="54"/>
      <c r="O356" s="54">
        <f t="shared" si="12"/>
        <v>1020.16</v>
      </c>
    </row>
    <row r="357" spans="1:15" x14ac:dyDescent="0.2">
      <c r="A357" s="33">
        <v>43617</v>
      </c>
      <c r="B357" s="11">
        <v>31</v>
      </c>
      <c r="C357" s="11" t="s">
        <v>471</v>
      </c>
      <c r="D357" s="11" t="s">
        <v>29</v>
      </c>
      <c r="F357" s="11" t="s">
        <v>22</v>
      </c>
      <c r="G357" s="38">
        <v>192002128</v>
      </c>
      <c r="H357" s="650">
        <v>43621</v>
      </c>
      <c r="I357" s="126">
        <v>17483.52</v>
      </c>
      <c r="J357" s="640">
        <f t="shared" si="11"/>
        <v>4895.3856000000005</v>
      </c>
      <c r="K357" s="54">
        <v>0</v>
      </c>
      <c r="L357" s="54">
        <v>2447.6928000000003</v>
      </c>
      <c r="M357" s="54">
        <v>2447.6928000000003</v>
      </c>
      <c r="N357" s="54"/>
      <c r="O357" s="54">
        <f t="shared" si="12"/>
        <v>22378.905600000002</v>
      </c>
    </row>
    <row r="358" spans="1:15" x14ac:dyDescent="0.2">
      <c r="A358" s="33">
        <v>43617</v>
      </c>
      <c r="B358" s="11">
        <v>32</v>
      </c>
      <c r="C358" s="11" t="s">
        <v>471</v>
      </c>
      <c r="D358" s="11" t="s">
        <v>29</v>
      </c>
      <c r="F358" s="11" t="s">
        <v>22</v>
      </c>
      <c r="G358" s="38">
        <v>192002129</v>
      </c>
      <c r="H358" s="650">
        <v>43621</v>
      </c>
      <c r="I358" s="126">
        <v>17483.52</v>
      </c>
      <c r="J358" s="640">
        <f t="shared" si="11"/>
        <v>4895.3856000000005</v>
      </c>
      <c r="K358" s="54">
        <v>0</v>
      </c>
      <c r="L358" s="54">
        <v>2447.6928000000003</v>
      </c>
      <c r="M358" s="54">
        <v>2447.6928000000003</v>
      </c>
      <c r="N358" s="54"/>
      <c r="O358" s="54">
        <f t="shared" si="12"/>
        <v>22378.905600000002</v>
      </c>
    </row>
    <row r="359" spans="1:15" x14ac:dyDescent="0.2">
      <c r="A359" s="33">
        <v>43617</v>
      </c>
      <c r="B359" s="11">
        <v>33</v>
      </c>
      <c r="C359" s="11" t="s">
        <v>471</v>
      </c>
      <c r="D359" s="11" t="s">
        <v>29</v>
      </c>
      <c r="F359" s="11" t="s">
        <v>22</v>
      </c>
      <c r="G359" s="38">
        <v>192002136</v>
      </c>
      <c r="H359" s="650">
        <v>43621</v>
      </c>
      <c r="I359" s="126">
        <v>17483.52</v>
      </c>
      <c r="J359" s="640">
        <f t="shared" si="11"/>
        <v>4895.3856000000005</v>
      </c>
      <c r="K359" s="54">
        <v>0</v>
      </c>
      <c r="L359" s="54">
        <v>2447.6928000000003</v>
      </c>
      <c r="M359" s="54">
        <v>2447.6928000000003</v>
      </c>
      <c r="N359" s="54"/>
      <c r="O359" s="54">
        <f t="shared" si="12"/>
        <v>22378.905600000002</v>
      </c>
    </row>
    <row r="360" spans="1:15" x14ac:dyDescent="0.2">
      <c r="A360" s="33">
        <v>43617</v>
      </c>
      <c r="B360" s="11">
        <v>34</v>
      </c>
      <c r="C360" s="11" t="s">
        <v>471</v>
      </c>
      <c r="D360" s="11" t="s">
        <v>29</v>
      </c>
      <c r="F360" s="11" t="s">
        <v>22</v>
      </c>
      <c r="G360" s="38">
        <v>192002146</v>
      </c>
      <c r="H360" s="650">
        <v>43621</v>
      </c>
      <c r="I360" s="126">
        <v>17483.52</v>
      </c>
      <c r="J360" s="640">
        <f t="shared" si="11"/>
        <v>4895.3856000000005</v>
      </c>
      <c r="K360" s="54">
        <v>0</v>
      </c>
      <c r="L360" s="54">
        <v>2447.6928000000003</v>
      </c>
      <c r="M360" s="54">
        <v>2447.6928000000003</v>
      </c>
      <c r="N360" s="54"/>
      <c r="O360" s="54">
        <f t="shared" si="12"/>
        <v>22378.905600000002</v>
      </c>
    </row>
    <row r="361" spans="1:15" x14ac:dyDescent="0.2">
      <c r="A361" s="33">
        <v>43617</v>
      </c>
      <c r="B361" s="11">
        <v>35</v>
      </c>
      <c r="C361" s="11" t="s">
        <v>554</v>
      </c>
      <c r="D361" s="11" t="s">
        <v>555</v>
      </c>
      <c r="F361" s="11" t="s">
        <v>22</v>
      </c>
      <c r="G361" s="38">
        <v>2351</v>
      </c>
      <c r="H361" s="650">
        <v>43621</v>
      </c>
      <c r="I361" s="126">
        <v>2780</v>
      </c>
      <c r="J361" s="640">
        <f t="shared" si="11"/>
        <v>778.4</v>
      </c>
      <c r="K361" s="54">
        <v>0</v>
      </c>
      <c r="L361" s="54">
        <v>389.2</v>
      </c>
      <c r="M361" s="54">
        <v>389.2</v>
      </c>
      <c r="N361" s="54"/>
      <c r="O361" s="54">
        <f t="shared" si="12"/>
        <v>3558.4</v>
      </c>
    </row>
    <row r="362" spans="1:15" x14ac:dyDescent="0.2">
      <c r="A362" s="33">
        <v>43617</v>
      </c>
      <c r="B362" s="11">
        <v>36</v>
      </c>
      <c r="C362" s="11" t="s">
        <v>476</v>
      </c>
      <c r="D362" s="11" t="s">
        <v>477</v>
      </c>
      <c r="F362" s="11" t="s">
        <v>22</v>
      </c>
      <c r="G362" s="38" t="s">
        <v>702</v>
      </c>
      <c r="H362" s="650">
        <v>43617</v>
      </c>
      <c r="I362" s="126">
        <v>376945</v>
      </c>
      <c r="J362" s="640">
        <f t="shared" si="11"/>
        <v>105544.59999999999</v>
      </c>
      <c r="K362" s="54">
        <v>0</v>
      </c>
      <c r="L362" s="54">
        <v>52772.299999999996</v>
      </c>
      <c r="M362" s="54">
        <v>52772.299999999996</v>
      </c>
      <c r="N362" s="54"/>
      <c r="O362" s="54">
        <f t="shared" si="12"/>
        <v>482489.59999999998</v>
      </c>
    </row>
    <row r="363" spans="1:15" x14ac:dyDescent="0.2">
      <c r="A363" s="33">
        <v>43617</v>
      </c>
      <c r="B363" s="11">
        <v>37</v>
      </c>
      <c r="C363" s="11" t="s">
        <v>521</v>
      </c>
      <c r="D363" s="11" t="s">
        <v>522</v>
      </c>
      <c r="F363" s="11" t="s">
        <v>22</v>
      </c>
      <c r="G363" s="38" t="s">
        <v>704</v>
      </c>
      <c r="H363" s="650">
        <v>43621</v>
      </c>
      <c r="I363" s="126">
        <v>4000</v>
      </c>
      <c r="J363" s="640">
        <f t="shared" si="11"/>
        <v>720</v>
      </c>
      <c r="K363" s="54">
        <v>0</v>
      </c>
      <c r="L363" s="54">
        <v>360</v>
      </c>
      <c r="M363" s="54">
        <v>360</v>
      </c>
      <c r="N363" s="54"/>
      <c r="O363" s="54">
        <f t="shared" si="12"/>
        <v>4720</v>
      </c>
    </row>
    <row r="364" spans="1:15" x14ac:dyDescent="0.2">
      <c r="A364" s="33">
        <v>43617</v>
      </c>
      <c r="B364" s="11">
        <v>38</v>
      </c>
      <c r="C364" s="11" t="s">
        <v>705</v>
      </c>
      <c r="D364" s="11" t="s">
        <v>706</v>
      </c>
      <c r="F364" s="11" t="s">
        <v>22</v>
      </c>
      <c r="G364" s="38" t="s">
        <v>707</v>
      </c>
      <c r="H364" s="650">
        <v>43621</v>
      </c>
      <c r="I364" s="126">
        <v>0</v>
      </c>
      <c r="J364" s="640">
        <f t="shared" si="11"/>
        <v>0</v>
      </c>
      <c r="K364" s="54">
        <v>0</v>
      </c>
      <c r="L364" s="54">
        <v>0</v>
      </c>
      <c r="M364" s="54">
        <v>0</v>
      </c>
      <c r="N364" s="54"/>
      <c r="O364" s="54">
        <f t="shared" si="12"/>
        <v>0</v>
      </c>
    </row>
    <row r="365" spans="1:15" x14ac:dyDescent="0.2">
      <c r="A365" s="33">
        <v>43617</v>
      </c>
      <c r="B365" s="11">
        <v>39</v>
      </c>
      <c r="C365" s="11" t="s">
        <v>554</v>
      </c>
      <c r="D365" s="11" t="s">
        <v>555</v>
      </c>
      <c r="F365" s="11" t="s">
        <v>22</v>
      </c>
      <c r="G365" s="38">
        <v>2393</v>
      </c>
      <c r="H365" s="650">
        <v>43621</v>
      </c>
      <c r="I365" s="126">
        <v>964</v>
      </c>
      <c r="J365" s="640">
        <f t="shared" si="11"/>
        <v>269.92</v>
      </c>
      <c r="K365" s="54">
        <v>0</v>
      </c>
      <c r="L365" s="54">
        <v>134.96</v>
      </c>
      <c r="M365" s="54">
        <v>134.96</v>
      </c>
      <c r="N365" s="54"/>
      <c r="O365" s="54">
        <f t="shared" si="12"/>
        <v>1233.92</v>
      </c>
    </row>
    <row r="366" spans="1:15" x14ac:dyDescent="0.2">
      <c r="A366" s="33">
        <v>43617</v>
      </c>
      <c r="B366" s="11">
        <v>40</v>
      </c>
      <c r="C366" s="11" t="s">
        <v>601</v>
      </c>
      <c r="D366" s="11" t="s">
        <v>602</v>
      </c>
      <c r="F366" s="11" t="s">
        <v>22</v>
      </c>
      <c r="G366" s="38">
        <v>1698</v>
      </c>
      <c r="H366" s="650">
        <v>43621</v>
      </c>
      <c r="I366" s="126">
        <v>24105.599999999999</v>
      </c>
      <c r="J366" s="640">
        <f t="shared" si="11"/>
        <v>6749.5679999999993</v>
      </c>
      <c r="K366" s="54">
        <v>0</v>
      </c>
      <c r="L366" s="54">
        <v>3374.7839999999997</v>
      </c>
      <c r="M366" s="54">
        <v>3374.7839999999997</v>
      </c>
      <c r="N366" s="54"/>
      <c r="O366" s="54">
        <f t="shared" si="12"/>
        <v>30855.167999999998</v>
      </c>
    </row>
    <row r="367" spans="1:15" x14ac:dyDescent="0.2">
      <c r="A367" s="33">
        <v>43617</v>
      </c>
      <c r="B367" s="11">
        <v>41</v>
      </c>
      <c r="C367" s="11" t="s">
        <v>601</v>
      </c>
      <c r="D367" s="11" t="s">
        <v>602</v>
      </c>
      <c r="F367" s="11" t="s">
        <v>22</v>
      </c>
      <c r="G367" s="38">
        <v>1699</v>
      </c>
      <c r="H367" s="650">
        <v>43621</v>
      </c>
      <c r="I367" s="126">
        <v>29799</v>
      </c>
      <c r="J367" s="640">
        <f t="shared" si="11"/>
        <v>8343.7200000000012</v>
      </c>
      <c r="K367" s="54">
        <v>0</v>
      </c>
      <c r="L367" s="54">
        <v>4171.8600000000006</v>
      </c>
      <c r="M367" s="54">
        <v>4171.8600000000006</v>
      </c>
      <c r="N367" s="54"/>
      <c r="O367" s="54">
        <f t="shared" si="12"/>
        <v>38142.720000000001</v>
      </c>
    </row>
    <row r="368" spans="1:15" x14ac:dyDescent="0.2">
      <c r="A368" s="33">
        <v>43617</v>
      </c>
      <c r="B368" s="11">
        <v>42</v>
      </c>
      <c r="C368" s="11" t="s">
        <v>471</v>
      </c>
      <c r="D368" s="11" t="s">
        <v>29</v>
      </c>
      <c r="F368" s="11" t="s">
        <v>22</v>
      </c>
      <c r="G368" s="38">
        <v>192002177</v>
      </c>
      <c r="H368" s="650">
        <v>43622</v>
      </c>
      <c r="I368" s="126">
        <v>17483.52</v>
      </c>
      <c r="J368" s="640">
        <f t="shared" si="11"/>
        <v>4895.3856000000005</v>
      </c>
      <c r="K368" s="54">
        <v>0</v>
      </c>
      <c r="L368" s="54">
        <v>2447.6928000000003</v>
      </c>
      <c r="M368" s="54">
        <v>2447.6928000000003</v>
      </c>
      <c r="N368" s="54"/>
      <c r="O368" s="54">
        <f t="shared" si="12"/>
        <v>22378.905600000002</v>
      </c>
    </row>
    <row r="369" spans="1:15" x14ac:dyDescent="0.2">
      <c r="A369" s="33">
        <v>43617</v>
      </c>
      <c r="B369" s="11">
        <v>43</v>
      </c>
      <c r="C369" s="11" t="s">
        <v>708</v>
      </c>
      <c r="D369" s="11" t="s">
        <v>709</v>
      </c>
      <c r="F369" s="11" t="s">
        <v>22</v>
      </c>
      <c r="G369" s="38">
        <v>7888007473</v>
      </c>
      <c r="H369" s="650">
        <v>43620</v>
      </c>
      <c r="I369" s="126">
        <v>7500</v>
      </c>
      <c r="J369" s="640">
        <f t="shared" si="11"/>
        <v>1350</v>
      </c>
      <c r="K369" s="54">
        <v>1350</v>
      </c>
      <c r="L369" s="54">
        <v>0</v>
      </c>
      <c r="M369" s="54">
        <v>0</v>
      </c>
      <c r="N369" s="54"/>
      <c r="O369" s="54">
        <f t="shared" si="12"/>
        <v>8850</v>
      </c>
    </row>
    <row r="370" spans="1:15" x14ac:dyDescent="0.2">
      <c r="A370" s="33">
        <v>43617</v>
      </c>
      <c r="B370" s="11">
        <v>44</v>
      </c>
      <c r="C370" s="11" t="s">
        <v>710</v>
      </c>
      <c r="D370" s="11" t="s">
        <v>711</v>
      </c>
      <c r="F370" s="11" t="s">
        <v>22</v>
      </c>
      <c r="G370" s="38">
        <v>668</v>
      </c>
      <c r="H370" s="650">
        <v>43621</v>
      </c>
      <c r="I370" s="126">
        <v>7590</v>
      </c>
      <c r="J370" s="640">
        <f t="shared" si="11"/>
        <v>1366.2</v>
      </c>
      <c r="K370" s="54">
        <v>0</v>
      </c>
      <c r="L370" s="54">
        <v>683.1</v>
      </c>
      <c r="M370" s="54">
        <v>683.1</v>
      </c>
      <c r="N370" s="54"/>
      <c r="O370" s="54">
        <f t="shared" si="12"/>
        <v>8956.2000000000007</v>
      </c>
    </row>
    <row r="371" spans="1:15" x14ac:dyDescent="0.2">
      <c r="A371" s="33">
        <v>43617</v>
      </c>
      <c r="B371" s="11">
        <v>45</v>
      </c>
      <c r="C371" s="11" t="s">
        <v>712</v>
      </c>
      <c r="D371" s="11" t="s">
        <v>713</v>
      </c>
      <c r="F371" s="11" t="s">
        <v>22</v>
      </c>
      <c r="G371" s="38" t="s">
        <v>714</v>
      </c>
      <c r="H371" s="650">
        <v>43619</v>
      </c>
      <c r="I371" s="126">
        <v>6912</v>
      </c>
      <c r="J371" s="640">
        <f t="shared" si="11"/>
        <v>1244.1600000000001</v>
      </c>
      <c r="K371" s="54">
        <v>0</v>
      </c>
      <c r="L371" s="54">
        <v>622.08000000000004</v>
      </c>
      <c r="M371" s="54">
        <v>622.08000000000004</v>
      </c>
      <c r="N371" s="54"/>
      <c r="O371" s="54">
        <f t="shared" si="12"/>
        <v>8156.16</v>
      </c>
    </row>
    <row r="372" spans="1:15" x14ac:dyDescent="0.2">
      <c r="A372" s="33">
        <v>43617</v>
      </c>
      <c r="B372" s="11">
        <v>46</v>
      </c>
      <c r="C372" s="11" t="s">
        <v>634</v>
      </c>
      <c r="D372" s="11" t="s">
        <v>635</v>
      </c>
      <c r="F372" s="11" t="s">
        <v>22</v>
      </c>
      <c r="G372" s="38" t="s">
        <v>715</v>
      </c>
      <c r="H372" s="650">
        <v>43622</v>
      </c>
      <c r="I372" s="126">
        <v>5550</v>
      </c>
      <c r="J372" s="640">
        <f t="shared" si="11"/>
        <v>999</v>
      </c>
      <c r="K372" s="54">
        <v>0</v>
      </c>
      <c r="L372" s="54">
        <v>499.5</v>
      </c>
      <c r="M372" s="54">
        <v>499.5</v>
      </c>
      <c r="N372" s="54"/>
      <c r="O372" s="54">
        <f t="shared" si="12"/>
        <v>6549</v>
      </c>
    </row>
    <row r="373" spans="1:15" x14ac:dyDescent="0.2">
      <c r="A373" s="33">
        <v>43617</v>
      </c>
      <c r="B373" s="11">
        <v>47</v>
      </c>
      <c r="C373" s="11" t="s">
        <v>554</v>
      </c>
      <c r="D373" s="11" t="s">
        <v>555</v>
      </c>
      <c r="F373" s="11" t="s">
        <v>22</v>
      </c>
      <c r="G373" s="38">
        <v>2413</v>
      </c>
      <c r="H373" s="650">
        <v>43622</v>
      </c>
      <c r="I373" s="126">
        <v>1668</v>
      </c>
      <c r="J373" s="640">
        <f t="shared" si="11"/>
        <v>467.03999999999996</v>
      </c>
      <c r="K373" s="54">
        <v>0</v>
      </c>
      <c r="L373" s="54">
        <v>233.51999999999998</v>
      </c>
      <c r="M373" s="54">
        <v>233.51999999999998</v>
      </c>
      <c r="N373" s="54"/>
      <c r="O373" s="54">
        <f t="shared" si="12"/>
        <v>2135.04</v>
      </c>
    </row>
    <row r="374" spans="1:15" x14ac:dyDescent="0.2">
      <c r="A374" s="33">
        <v>43617</v>
      </c>
      <c r="B374" s="11">
        <v>48</v>
      </c>
      <c r="C374" s="11" t="s">
        <v>471</v>
      </c>
      <c r="D374" s="11" t="s">
        <v>29</v>
      </c>
      <c r="F374" s="11" t="s">
        <v>22</v>
      </c>
      <c r="G374" s="38">
        <v>192002178</v>
      </c>
      <c r="H374" s="650">
        <v>43622</v>
      </c>
      <c r="I374" s="126">
        <v>17483.52</v>
      </c>
      <c r="J374" s="640">
        <f t="shared" si="11"/>
        <v>4895.3856000000005</v>
      </c>
      <c r="K374" s="54">
        <v>0</v>
      </c>
      <c r="L374" s="54">
        <v>2447.6928000000003</v>
      </c>
      <c r="M374" s="54">
        <v>2447.6928000000003</v>
      </c>
      <c r="N374" s="54"/>
      <c r="O374" s="54">
        <f t="shared" si="12"/>
        <v>22378.905600000002</v>
      </c>
    </row>
    <row r="375" spans="1:15" x14ac:dyDescent="0.2">
      <c r="A375" s="33">
        <v>43617</v>
      </c>
      <c r="B375" s="11">
        <v>49</v>
      </c>
      <c r="C375" s="11" t="s">
        <v>601</v>
      </c>
      <c r="D375" s="11" t="s">
        <v>602</v>
      </c>
      <c r="F375" s="11" t="s">
        <v>22</v>
      </c>
      <c r="G375" s="38">
        <v>1715</v>
      </c>
      <c r="H375" s="650">
        <v>43622</v>
      </c>
      <c r="I375" s="126">
        <v>44272.800000000003</v>
      </c>
      <c r="J375" s="640">
        <f t="shared" si="11"/>
        <v>12396.384</v>
      </c>
      <c r="K375" s="54">
        <v>0</v>
      </c>
      <c r="L375" s="54">
        <v>6198.192</v>
      </c>
      <c r="M375" s="54">
        <v>6198.192</v>
      </c>
      <c r="N375" s="54"/>
      <c r="O375" s="54">
        <f t="shared" si="12"/>
        <v>56669.184000000001</v>
      </c>
    </row>
    <row r="376" spans="1:15" x14ac:dyDescent="0.2">
      <c r="A376" s="33">
        <v>43617</v>
      </c>
      <c r="B376" s="11">
        <v>50</v>
      </c>
      <c r="C376" s="11" t="s">
        <v>511</v>
      </c>
      <c r="D376" s="11" t="s">
        <v>512</v>
      </c>
      <c r="F376" s="11" t="s">
        <v>22</v>
      </c>
      <c r="G376" s="38" t="s">
        <v>716</v>
      </c>
      <c r="H376" s="650">
        <v>43623</v>
      </c>
      <c r="I376" s="126">
        <v>8750</v>
      </c>
      <c r="J376" s="640">
        <f t="shared" si="11"/>
        <v>1575</v>
      </c>
      <c r="K376" s="54">
        <v>0</v>
      </c>
      <c r="L376" s="54">
        <v>787.5</v>
      </c>
      <c r="M376" s="54">
        <v>787.5</v>
      </c>
      <c r="N376" s="54"/>
      <c r="O376" s="54">
        <f t="shared" si="12"/>
        <v>10325</v>
      </c>
    </row>
    <row r="377" spans="1:15" x14ac:dyDescent="0.2">
      <c r="A377" s="33">
        <v>43617</v>
      </c>
      <c r="B377" s="11">
        <v>51</v>
      </c>
      <c r="C377" s="11" t="s">
        <v>489</v>
      </c>
      <c r="D377" s="11" t="s">
        <v>490</v>
      </c>
      <c r="F377" s="11" t="s">
        <v>22</v>
      </c>
      <c r="G377" s="38">
        <v>7887984181</v>
      </c>
      <c r="H377" s="650">
        <v>43623</v>
      </c>
      <c r="I377" s="126">
        <v>17472</v>
      </c>
      <c r="J377" s="640">
        <f t="shared" si="11"/>
        <v>3144.96</v>
      </c>
      <c r="K377" s="54">
        <v>0</v>
      </c>
      <c r="L377" s="54">
        <v>1572.48</v>
      </c>
      <c r="M377" s="54">
        <v>1572.48</v>
      </c>
      <c r="N377" s="54"/>
      <c r="O377" s="54">
        <f t="shared" si="12"/>
        <v>20616.96</v>
      </c>
    </row>
    <row r="378" spans="1:15" x14ac:dyDescent="0.2">
      <c r="A378" s="33">
        <v>43617</v>
      </c>
      <c r="B378" s="11">
        <v>52</v>
      </c>
      <c r="C378" s="11" t="s">
        <v>609</v>
      </c>
      <c r="D378" s="11" t="s">
        <v>610</v>
      </c>
      <c r="F378" s="11" t="s">
        <v>22</v>
      </c>
      <c r="G378" s="38" t="s">
        <v>717</v>
      </c>
      <c r="H378" s="650">
        <v>43617</v>
      </c>
      <c r="I378" s="126">
        <v>24626</v>
      </c>
      <c r="J378" s="640">
        <f t="shared" si="11"/>
        <v>4432.68</v>
      </c>
      <c r="K378" s="54">
        <v>0</v>
      </c>
      <c r="L378" s="54">
        <v>2216.34</v>
      </c>
      <c r="M378" s="54">
        <v>2216.34</v>
      </c>
      <c r="N378" s="54"/>
      <c r="O378" s="54">
        <f t="shared" si="12"/>
        <v>29058.68</v>
      </c>
    </row>
    <row r="379" spans="1:15" x14ac:dyDescent="0.2">
      <c r="A379" s="33">
        <v>43617</v>
      </c>
      <c r="B379" s="11">
        <v>53</v>
      </c>
      <c r="C379" s="11" t="s">
        <v>609</v>
      </c>
      <c r="D379" s="11" t="s">
        <v>610</v>
      </c>
      <c r="F379" s="11" t="s">
        <v>22</v>
      </c>
      <c r="G379" s="38" t="s">
        <v>718</v>
      </c>
      <c r="H379" s="650">
        <v>43617</v>
      </c>
      <c r="I379" s="126">
        <v>758400</v>
      </c>
      <c r="J379" s="640">
        <f t="shared" si="11"/>
        <v>136512</v>
      </c>
      <c r="K379" s="54">
        <v>0</v>
      </c>
      <c r="L379" s="54">
        <v>68256</v>
      </c>
      <c r="M379" s="54">
        <v>68256</v>
      </c>
      <c r="N379" s="54"/>
      <c r="O379" s="54">
        <f t="shared" si="12"/>
        <v>894912</v>
      </c>
    </row>
    <row r="380" spans="1:15" x14ac:dyDescent="0.2">
      <c r="A380" s="33">
        <v>43617</v>
      </c>
      <c r="B380" s="11">
        <v>54</v>
      </c>
      <c r="C380" s="11" t="s">
        <v>591</v>
      </c>
      <c r="D380" s="11" t="s">
        <v>592</v>
      </c>
      <c r="F380" s="11" t="s">
        <v>22</v>
      </c>
      <c r="G380" s="38" t="s">
        <v>719</v>
      </c>
      <c r="H380" s="650">
        <v>43623</v>
      </c>
      <c r="I380" s="126">
        <v>36504</v>
      </c>
      <c r="J380" s="640">
        <f t="shared" si="11"/>
        <v>6570.72</v>
      </c>
      <c r="K380" s="54">
        <v>0</v>
      </c>
      <c r="L380" s="54">
        <v>3285.36</v>
      </c>
      <c r="M380" s="54">
        <v>3285.36</v>
      </c>
      <c r="N380" s="54"/>
      <c r="O380" s="54">
        <f t="shared" si="12"/>
        <v>43074.720000000001</v>
      </c>
    </row>
    <row r="381" spans="1:15" x14ac:dyDescent="0.2">
      <c r="A381" s="33">
        <v>43617</v>
      </c>
      <c r="B381" s="11">
        <v>55</v>
      </c>
      <c r="C381" s="11" t="s">
        <v>471</v>
      </c>
      <c r="D381" s="11" t="s">
        <v>29</v>
      </c>
      <c r="F381" s="11" t="s">
        <v>22</v>
      </c>
      <c r="G381" s="38">
        <v>192002118</v>
      </c>
      <c r="H381" s="650">
        <v>43620</v>
      </c>
      <c r="I381" s="126">
        <v>17483.52</v>
      </c>
      <c r="J381" s="640">
        <f t="shared" si="11"/>
        <v>4895.3856000000005</v>
      </c>
      <c r="K381" s="54">
        <v>0</v>
      </c>
      <c r="L381" s="54">
        <v>2447.6928000000003</v>
      </c>
      <c r="M381" s="54">
        <v>2447.6928000000003</v>
      </c>
      <c r="N381" s="54"/>
      <c r="O381" s="54">
        <f t="shared" si="12"/>
        <v>22378.905600000002</v>
      </c>
    </row>
    <row r="382" spans="1:15" x14ac:dyDescent="0.2">
      <c r="A382" s="33">
        <v>43617</v>
      </c>
      <c r="B382" s="11">
        <v>56</v>
      </c>
      <c r="C382" s="11" t="s">
        <v>471</v>
      </c>
      <c r="D382" s="11" t="s">
        <v>29</v>
      </c>
      <c r="F382" s="11" t="s">
        <v>22</v>
      </c>
      <c r="G382" s="38">
        <v>192002119</v>
      </c>
      <c r="H382" s="650">
        <v>43620</v>
      </c>
      <c r="I382" s="126">
        <v>17483.52</v>
      </c>
      <c r="J382" s="640">
        <f t="shared" si="11"/>
        <v>4895.3856000000005</v>
      </c>
      <c r="K382" s="54">
        <v>0</v>
      </c>
      <c r="L382" s="54">
        <v>2447.6928000000003</v>
      </c>
      <c r="M382" s="54">
        <v>2447.6928000000003</v>
      </c>
      <c r="N382" s="54"/>
      <c r="O382" s="54">
        <f t="shared" si="12"/>
        <v>22378.905600000002</v>
      </c>
    </row>
    <row r="383" spans="1:15" x14ac:dyDescent="0.2">
      <c r="A383" s="33">
        <v>43617</v>
      </c>
      <c r="B383" s="11">
        <v>57</v>
      </c>
      <c r="C383" s="11" t="s">
        <v>720</v>
      </c>
      <c r="D383" s="11" t="s">
        <v>671</v>
      </c>
      <c r="F383" s="11" t="s">
        <v>22</v>
      </c>
      <c r="G383" s="38" t="s">
        <v>721</v>
      </c>
      <c r="H383" s="650">
        <v>43623</v>
      </c>
      <c r="I383" s="126">
        <v>792</v>
      </c>
      <c r="J383" s="640">
        <f t="shared" si="11"/>
        <v>142.56</v>
      </c>
      <c r="K383" s="54">
        <v>0</v>
      </c>
      <c r="L383" s="54">
        <v>71.28</v>
      </c>
      <c r="M383" s="54">
        <v>71.28</v>
      </c>
      <c r="N383" s="54"/>
      <c r="O383" s="54">
        <f t="shared" si="12"/>
        <v>934.56</v>
      </c>
    </row>
    <row r="384" spans="1:15" x14ac:dyDescent="0.2">
      <c r="A384" s="33">
        <v>43617</v>
      </c>
      <c r="B384" s="11">
        <v>58</v>
      </c>
      <c r="C384" s="11" t="s">
        <v>554</v>
      </c>
      <c r="D384" s="11" t="s">
        <v>555</v>
      </c>
      <c r="F384" s="11" t="s">
        <v>22</v>
      </c>
      <c r="G384" s="38">
        <v>2454</v>
      </c>
      <c r="H384" s="650">
        <v>43623</v>
      </c>
      <c r="I384" s="126">
        <v>1742</v>
      </c>
      <c r="J384" s="640">
        <f t="shared" si="11"/>
        <v>487.76000000000005</v>
      </c>
      <c r="K384" s="54">
        <v>0</v>
      </c>
      <c r="L384" s="54">
        <v>243.88000000000002</v>
      </c>
      <c r="M384" s="54">
        <v>243.88000000000002</v>
      </c>
      <c r="N384" s="54"/>
      <c r="O384" s="54">
        <f t="shared" si="12"/>
        <v>2229.7600000000002</v>
      </c>
    </row>
    <row r="385" spans="1:15" x14ac:dyDescent="0.2">
      <c r="A385" s="33">
        <v>43617</v>
      </c>
      <c r="B385" s="11">
        <v>59</v>
      </c>
      <c r="C385" s="11" t="s">
        <v>554</v>
      </c>
      <c r="D385" s="11" t="s">
        <v>555</v>
      </c>
      <c r="F385" s="11" t="s">
        <v>22</v>
      </c>
      <c r="G385" s="38">
        <v>2471</v>
      </c>
      <c r="H385" s="650">
        <v>43623</v>
      </c>
      <c r="I385" s="126">
        <v>1946</v>
      </c>
      <c r="J385" s="640">
        <f t="shared" si="11"/>
        <v>544.88</v>
      </c>
      <c r="K385" s="54">
        <v>0</v>
      </c>
      <c r="L385" s="54">
        <v>272.44</v>
      </c>
      <c r="M385" s="54">
        <v>272.44</v>
      </c>
      <c r="N385" s="54"/>
      <c r="O385" s="54">
        <f t="shared" si="12"/>
        <v>2490.88</v>
      </c>
    </row>
    <row r="386" spans="1:15" x14ac:dyDescent="0.2">
      <c r="A386" s="33">
        <v>43617</v>
      </c>
      <c r="B386" s="11">
        <v>60</v>
      </c>
      <c r="C386" s="11" t="s">
        <v>554</v>
      </c>
      <c r="D386" s="11" t="s">
        <v>555</v>
      </c>
      <c r="F386" s="11" t="s">
        <v>22</v>
      </c>
      <c r="G386" s="38">
        <v>2522</v>
      </c>
      <c r="H386" s="650">
        <v>43624</v>
      </c>
      <c r="I386" s="126">
        <v>1850.25</v>
      </c>
      <c r="J386" s="640">
        <f t="shared" si="11"/>
        <v>518.07000000000005</v>
      </c>
      <c r="K386" s="54">
        <v>0</v>
      </c>
      <c r="L386" s="54">
        <v>259.03500000000003</v>
      </c>
      <c r="M386" s="54">
        <v>259.03500000000003</v>
      </c>
      <c r="N386" s="54"/>
      <c r="O386" s="54">
        <f t="shared" si="12"/>
        <v>2368.3200000000002</v>
      </c>
    </row>
    <row r="387" spans="1:15" x14ac:dyDescent="0.2">
      <c r="A387" s="33">
        <v>43617</v>
      </c>
      <c r="B387" s="11">
        <v>61</v>
      </c>
      <c r="C387" s="11" t="s">
        <v>554</v>
      </c>
      <c r="D387" s="11" t="s">
        <v>555</v>
      </c>
      <c r="F387" s="11" t="s">
        <v>22</v>
      </c>
      <c r="G387" s="38">
        <v>2555</v>
      </c>
      <c r="H387" s="650">
        <v>43624</v>
      </c>
      <c r="I387" s="126">
        <v>2214.5</v>
      </c>
      <c r="J387" s="640">
        <f t="shared" si="11"/>
        <v>620.05999999999995</v>
      </c>
      <c r="K387" s="54">
        <v>0</v>
      </c>
      <c r="L387" s="54">
        <v>310.02999999999997</v>
      </c>
      <c r="M387" s="54">
        <v>310.02999999999997</v>
      </c>
      <c r="N387" s="54"/>
      <c r="O387" s="54">
        <f t="shared" si="12"/>
        <v>2834.56</v>
      </c>
    </row>
    <row r="388" spans="1:15" x14ac:dyDescent="0.2">
      <c r="A388" s="33">
        <v>43617</v>
      </c>
      <c r="B388" s="11">
        <v>62</v>
      </c>
      <c r="C388" s="11" t="s">
        <v>517</v>
      </c>
      <c r="D388" s="11" t="s">
        <v>256</v>
      </c>
      <c r="F388" s="11" t="s">
        <v>22</v>
      </c>
      <c r="G388" s="38">
        <v>19606306</v>
      </c>
      <c r="H388" s="650">
        <v>43623</v>
      </c>
      <c r="I388" s="126">
        <v>19920.900000000001</v>
      </c>
      <c r="J388" s="640">
        <f t="shared" ref="J388:J451" si="14">+K388+L388+M388+N388</f>
        <v>5577.8519999999999</v>
      </c>
      <c r="K388" s="54">
        <v>5577.8519999999999</v>
      </c>
      <c r="L388" s="54">
        <v>0</v>
      </c>
      <c r="M388" s="54">
        <v>0</v>
      </c>
      <c r="N388" s="54"/>
      <c r="O388" s="54">
        <f t="shared" ref="O388:O451" si="15">+I388+J388</f>
        <v>25498.752</v>
      </c>
    </row>
    <row r="389" spans="1:15" x14ac:dyDescent="0.2">
      <c r="A389" s="33">
        <v>43617</v>
      </c>
      <c r="B389" s="11">
        <v>63</v>
      </c>
      <c r="C389" s="11" t="s">
        <v>722</v>
      </c>
      <c r="D389" s="11" t="s">
        <v>723</v>
      </c>
      <c r="F389" s="11" t="s">
        <v>22</v>
      </c>
      <c r="G389" s="38" t="s">
        <v>724</v>
      </c>
      <c r="H389" s="650">
        <v>43626</v>
      </c>
      <c r="I389" s="126">
        <v>6700</v>
      </c>
      <c r="J389" s="640">
        <f t="shared" si="14"/>
        <v>1206</v>
      </c>
      <c r="K389" s="54">
        <v>0</v>
      </c>
      <c r="L389" s="54">
        <v>603</v>
      </c>
      <c r="M389" s="54">
        <v>603</v>
      </c>
      <c r="N389" s="54"/>
      <c r="O389" s="54">
        <f t="shared" si="15"/>
        <v>7906</v>
      </c>
    </row>
    <row r="390" spans="1:15" x14ac:dyDescent="0.2">
      <c r="A390" s="33">
        <v>43617</v>
      </c>
      <c r="B390" s="11">
        <v>64</v>
      </c>
      <c r="C390" s="11" t="s">
        <v>554</v>
      </c>
      <c r="D390" s="11" t="s">
        <v>555</v>
      </c>
      <c r="F390" s="11" t="s">
        <v>22</v>
      </c>
      <c r="G390" s="38">
        <v>2570</v>
      </c>
      <c r="H390" s="650">
        <v>43626</v>
      </c>
      <c r="I390" s="126">
        <v>1687</v>
      </c>
      <c r="J390" s="640">
        <f t="shared" si="14"/>
        <v>472.36</v>
      </c>
      <c r="K390" s="54">
        <v>0</v>
      </c>
      <c r="L390" s="54">
        <v>236.18</v>
      </c>
      <c r="M390" s="54">
        <v>236.18</v>
      </c>
      <c r="N390" s="54"/>
      <c r="O390" s="54">
        <f t="shared" si="15"/>
        <v>2159.36</v>
      </c>
    </row>
    <row r="391" spans="1:15" x14ac:dyDescent="0.2">
      <c r="A391" s="33">
        <v>43617</v>
      </c>
      <c r="B391" s="11">
        <v>65</v>
      </c>
      <c r="C391" s="11" t="s">
        <v>554</v>
      </c>
      <c r="D391" s="11" t="s">
        <v>555</v>
      </c>
      <c r="F391" s="11" t="s">
        <v>22</v>
      </c>
      <c r="G391" s="38">
        <v>2586</v>
      </c>
      <c r="H391" s="650">
        <v>43626</v>
      </c>
      <c r="I391" s="126">
        <v>843.5</v>
      </c>
      <c r="J391" s="640">
        <f t="shared" si="14"/>
        <v>236.18</v>
      </c>
      <c r="K391" s="54">
        <v>0</v>
      </c>
      <c r="L391" s="54">
        <v>118.09</v>
      </c>
      <c r="M391" s="54">
        <v>118.09</v>
      </c>
      <c r="N391" s="54"/>
      <c r="O391" s="54">
        <f t="shared" si="15"/>
        <v>1079.68</v>
      </c>
    </row>
    <row r="392" spans="1:15" x14ac:dyDescent="0.2">
      <c r="A392" s="33">
        <v>43617</v>
      </c>
      <c r="B392" s="11">
        <v>66</v>
      </c>
      <c r="C392" s="11" t="s">
        <v>554</v>
      </c>
      <c r="D392" s="11" t="s">
        <v>555</v>
      </c>
      <c r="F392" s="11" t="s">
        <v>22</v>
      </c>
      <c r="G392" s="38">
        <v>2593</v>
      </c>
      <c r="H392" s="650">
        <v>43626</v>
      </c>
      <c r="I392" s="126">
        <v>945</v>
      </c>
      <c r="J392" s="640">
        <f t="shared" si="14"/>
        <v>264.59999999999997</v>
      </c>
      <c r="K392" s="54">
        <v>0</v>
      </c>
      <c r="L392" s="54">
        <v>132.29999999999998</v>
      </c>
      <c r="M392" s="54">
        <v>132.29999999999998</v>
      </c>
      <c r="N392" s="54"/>
      <c r="O392" s="54">
        <f t="shared" si="15"/>
        <v>1209.5999999999999</v>
      </c>
    </row>
    <row r="393" spans="1:15" x14ac:dyDescent="0.2">
      <c r="A393" s="33">
        <v>43617</v>
      </c>
      <c r="B393" s="11">
        <v>67</v>
      </c>
      <c r="C393" s="11" t="s">
        <v>554</v>
      </c>
      <c r="D393" s="11" t="s">
        <v>555</v>
      </c>
      <c r="F393" s="11" t="s">
        <v>22</v>
      </c>
      <c r="G393" s="38">
        <v>2616</v>
      </c>
      <c r="H393" s="650">
        <v>43626</v>
      </c>
      <c r="I393" s="126">
        <v>787.5</v>
      </c>
      <c r="J393" s="640">
        <f t="shared" si="14"/>
        <v>220.5</v>
      </c>
      <c r="K393" s="54">
        <v>0</v>
      </c>
      <c r="L393" s="54">
        <v>110.25</v>
      </c>
      <c r="M393" s="54">
        <v>110.25</v>
      </c>
      <c r="N393" s="54"/>
      <c r="O393" s="54">
        <f t="shared" si="15"/>
        <v>1008</v>
      </c>
    </row>
    <row r="394" spans="1:15" x14ac:dyDescent="0.2">
      <c r="A394" s="33">
        <v>43617</v>
      </c>
      <c r="B394" s="11">
        <v>68</v>
      </c>
      <c r="C394" s="11" t="s">
        <v>495</v>
      </c>
      <c r="D394" s="11" t="s">
        <v>74</v>
      </c>
      <c r="F394" s="11" t="s">
        <v>22</v>
      </c>
      <c r="G394" s="38">
        <v>5510047957</v>
      </c>
      <c r="H394" s="650">
        <v>43626</v>
      </c>
      <c r="I394" s="126">
        <v>39816</v>
      </c>
      <c r="J394" s="640">
        <f t="shared" si="14"/>
        <v>7166.88</v>
      </c>
      <c r="K394" s="54">
        <v>0</v>
      </c>
      <c r="L394" s="54">
        <v>3583.44</v>
      </c>
      <c r="M394" s="54">
        <v>3583.44</v>
      </c>
      <c r="N394" s="54"/>
      <c r="O394" s="54">
        <f t="shared" si="15"/>
        <v>46982.879999999997</v>
      </c>
    </row>
    <row r="395" spans="1:15" x14ac:dyDescent="0.2">
      <c r="A395" s="33">
        <v>43617</v>
      </c>
      <c r="B395" s="11">
        <v>69</v>
      </c>
      <c r="C395" s="11" t="s">
        <v>601</v>
      </c>
      <c r="D395" s="11" t="s">
        <v>602</v>
      </c>
      <c r="F395" s="11" t="s">
        <v>22</v>
      </c>
      <c r="G395" s="38">
        <v>1801</v>
      </c>
      <c r="H395" s="650">
        <v>43627</v>
      </c>
      <c r="I395" s="126">
        <v>38313</v>
      </c>
      <c r="J395" s="640">
        <f t="shared" si="14"/>
        <v>10727.64</v>
      </c>
      <c r="K395" s="54">
        <v>0</v>
      </c>
      <c r="L395" s="54">
        <v>5363.82</v>
      </c>
      <c r="M395" s="54">
        <v>5363.82</v>
      </c>
      <c r="N395" s="54"/>
      <c r="O395" s="54">
        <f t="shared" si="15"/>
        <v>49040.639999999999</v>
      </c>
    </row>
    <row r="396" spans="1:15" x14ac:dyDescent="0.2">
      <c r="A396" s="33">
        <v>43617</v>
      </c>
      <c r="B396" s="11">
        <v>70</v>
      </c>
      <c r="C396" s="11" t="s">
        <v>601</v>
      </c>
      <c r="D396" s="11" t="s">
        <v>602</v>
      </c>
      <c r="F396" s="11" t="s">
        <v>22</v>
      </c>
      <c r="G396" s="38">
        <v>1802</v>
      </c>
      <c r="H396" s="650">
        <v>43627</v>
      </c>
      <c r="I396" s="126">
        <v>8035.2</v>
      </c>
      <c r="J396" s="640">
        <f t="shared" si="14"/>
        <v>2249.8560000000002</v>
      </c>
      <c r="K396" s="54">
        <v>0</v>
      </c>
      <c r="L396" s="54">
        <v>1124.9280000000001</v>
      </c>
      <c r="M396" s="54">
        <v>1124.9280000000001</v>
      </c>
      <c r="N396" s="54"/>
      <c r="O396" s="54">
        <f t="shared" si="15"/>
        <v>10285.056</v>
      </c>
    </row>
    <row r="397" spans="1:15" x14ac:dyDescent="0.2">
      <c r="A397" s="33">
        <v>43617</v>
      </c>
      <c r="B397" s="11">
        <v>71</v>
      </c>
      <c r="C397" s="11" t="s">
        <v>554</v>
      </c>
      <c r="D397" s="11" t="s">
        <v>555</v>
      </c>
      <c r="F397" s="11" t="s">
        <v>22</v>
      </c>
      <c r="G397" s="38">
        <v>2642</v>
      </c>
      <c r="H397" s="650">
        <v>43627</v>
      </c>
      <c r="I397" s="126">
        <v>241</v>
      </c>
      <c r="J397" s="640">
        <f t="shared" si="14"/>
        <v>67.48</v>
      </c>
      <c r="K397" s="54">
        <v>0</v>
      </c>
      <c r="L397" s="54">
        <v>33.74</v>
      </c>
      <c r="M397" s="54">
        <v>33.74</v>
      </c>
      <c r="N397" s="54"/>
      <c r="O397" s="54">
        <f t="shared" si="15"/>
        <v>308.48</v>
      </c>
    </row>
    <row r="398" spans="1:15" x14ac:dyDescent="0.2">
      <c r="A398" s="33">
        <v>43617</v>
      </c>
      <c r="B398" s="11">
        <v>72</v>
      </c>
      <c r="C398" s="11" t="s">
        <v>554</v>
      </c>
      <c r="D398" s="11" t="s">
        <v>555</v>
      </c>
      <c r="F398" s="11" t="s">
        <v>22</v>
      </c>
      <c r="G398" s="38">
        <v>2627</v>
      </c>
      <c r="H398" s="650">
        <v>43626</v>
      </c>
      <c r="I398" s="126">
        <v>630</v>
      </c>
      <c r="J398" s="640">
        <f t="shared" si="14"/>
        <v>176.4</v>
      </c>
      <c r="K398" s="54">
        <v>0</v>
      </c>
      <c r="L398" s="54">
        <v>88.2</v>
      </c>
      <c r="M398" s="54">
        <v>88.2</v>
      </c>
      <c r="N398" s="54"/>
      <c r="O398" s="54">
        <f t="shared" si="15"/>
        <v>806.4</v>
      </c>
    </row>
    <row r="399" spans="1:15" x14ac:dyDescent="0.2">
      <c r="A399" s="33">
        <v>43617</v>
      </c>
      <c r="B399" s="11">
        <v>73</v>
      </c>
      <c r="C399" s="11" t="s">
        <v>554</v>
      </c>
      <c r="D399" s="11" t="s">
        <v>555</v>
      </c>
      <c r="F399" s="11" t="s">
        <v>22</v>
      </c>
      <c r="G399" s="38">
        <v>2655</v>
      </c>
      <c r="H399" s="650">
        <v>43627</v>
      </c>
      <c r="I399" s="126">
        <v>1909</v>
      </c>
      <c r="J399" s="640">
        <f t="shared" si="14"/>
        <v>534.52</v>
      </c>
      <c r="K399" s="54">
        <v>0</v>
      </c>
      <c r="L399" s="54">
        <v>267.26</v>
      </c>
      <c r="M399" s="54">
        <v>267.26</v>
      </c>
      <c r="N399" s="54"/>
      <c r="O399" s="54">
        <f t="shared" si="15"/>
        <v>2443.52</v>
      </c>
    </row>
    <row r="400" spans="1:15" x14ac:dyDescent="0.2">
      <c r="A400" s="33">
        <v>43617</v>
      </c>
      <c r="B400" s="11">
        <v>74</v>
      </c>
      <c r="C400" s="11" t="s">
        <v>554</v>
      </c>
      <c r="D400" s="11" t="s">
        <v>555</v>
      </c>
      <c r="F400" s="11" t="s">
        <v>22</v>
      </c>
      <c r="G400" s="38">
        <v>2676</v>
      </c>
      <c r="H400" s="650">
        <v>43627</v>
      </c>
      <c r="I400" s="126">
        <v>2465</v>
      </c>
      <c r="J400" s="640">
        <f t="shared" si="14"/>
        <v>690.19999999999993</v>
      </c>
      <c r="K400" s="54">
        <v>0</v>
      </c>
      <c r="L400" s="54">
        <v>345.09999999999997</v>
      </c>
      <c r="M400" s="54">
        <v>345.09999999999997</v>
      </c>
      <c r="N400" s="54"/>
      <c r="O400" s="54">
        <f t="shared" si="15"/>
        <v>3155.2</v>
      </c>
    </row>
    <row r="401" spans="1:15" x14ac:dyDescent="0.2">
      <c r="A401" s="33">
        <v>43617</v>
      </c>
      <c r="B401" s="11">
        <v>75</v>
      </c>
      <c r="C401" s="11" t="s">
        <v>554</v>
      </c>
      <c r="D401" s="11" t="s">
        <v>555</v>
      </c>
      <c r="F401" s="11" t="s">
        <v>22</v>
      </c>
      <c r="G401" s="38">
        <v>2699</v>
      </c>
      <c r="H401" s="650">
        <v>43628</v>
      </c>
      <c r="I401" s="126">
        <v>1668</v>
      </c>
      <c r="J401" s="640">
        <f t="shared" si="14"/>
        <v>467.03999999999996</v>
      </c>
      <c r="K401" s="54">
        <v>0</v>
      </c>
      <c r="L401" s="54">
        <v>233.51999999999998</v>
      </c>
      <c r="M401" s="54">
        <v>233.51999999999998</v>
      </c>
      <c r="N401" s="54"/>
      <c r="O401" s="54">
        <f t="shared" si="15"/>
        <v>2135.04</v>
      </c>
    </row>
    <row r="402" spans="1:15" x14ac:dyDescent="0.2">
      <c r="A402" s="33">
        <v>43617</v>
      </c>
      <c r="B402" s="11">
        <v>76</v>
      </c>
      <c r="C402" s="11" t="s">
        <v>495</v>
      </c>
      <c r="D402" s="11" t="s">
        <v>74</v>
      </c>
      <c r="F402" s="11" t="s">
        <v>22</v>
      </c>
      <c r="G402" s="38">
        <v>5510048179</v>
      </c>
      <c r="H402" s="650">
        <v>43628</v>
      </c>
      <c r="I402" s="126">
        <v>39816</v>
      </c>
      <c r="J402" s="640">
        <f t="shared" si="14"/>
        <v>7166.88</v>
      </c>
      <c r="K402" s="54">
        <v>0</v>
      </c>
      <c r="L402" s="54">
        <v>3583.44</v>
      </c>
      <c r="M402" s="54">
        <v>3583.44</v>
      </c>
      <c r="N402" s="54"/>
      <c r="O402" s="54">
        <f t="shared" si="15"/>
        <v>46982.879999999997</v>
      </c>
    </row>
    <row r="403" spans="1:15" x14ac:dyDescent="0.2">
      <c r="A403" s="33">
        <v>43617</v>
      </c>
      <c r="B403" s="11">
        <v>77</v>
      </c>
      <c r="C403" s="11" t="s">
        <v>554</v>
      </c>
      <c r="D403" s="11" t="s">
        <v>555</v>
      </c>
      <c r="F403" s="11" t="s">
        <v>22</v>
      </c>
      <c r="G403" s="38">
        <v>2737</v>
      </c>
      <c r="H403" s="650">
        <v>43628</v>
      </c>
      <c r="I403" s="126">
        <v>1668</v>
      </c>
      <c r="J403" s="640">
        <f t="shared" si="14"/>
        <v>467.03999999999996</v>
      </c>
      <c r="K403" s="54">
        <v>0</v>
      </c>
      <c r="L403" s="54">
        <v>233.51999999999998</v>
      </c>
      <c r="M403" s="54">
        <v>233.51999999999998</v>
      </c>
      <c r="N403" s="54"/>
      <c r="O403" s="54">
        <f t="shared" si="15"/>
        <v>2135.04</v>
      </c>
    </row>
    <row r="404" spans="1:15" x14ac:dyDescent="0.2">
      <c r="A404" s="33">
        <v>43617</v>
      </c>
      <c r="B404" s="11">
        <v>78</v>
      </c>
      <c r="C404" s="11" t="s">
        <v>601</v>
      </c>
      <c r="D404" s="11" t="s">
        <v>602</v>
      </c>
      <c r="F404" s="11" t="s">
        <v>22</v>
      </c>
      <c r="G404" s="38">
        <v>1883</v>
      </c>
      <c r="H404" s="650">
        <v>43628</v>
      </c>
      <c r="I404" s="126">
        <v>20088</v>
      </c>
      <c r="J404" s="640">
        <f t="shared" si="14"/>
        <v>5624.6399999999994</v>
      </c>
      <c r="K404" s="54">
        <v>0</v>
      </c>
      <c r="L404" s="54">
        <v>2812.3199999999997</v>
      </c>
      <c r="M404" s="54">
        <v>2812.3199999999997</v>
      </c>
      <c r="N404" s="54"/>
      <c r="O404" s="54">
        <f t="shared" si="15"/>
        <v>25712.639999999999</v>
      </c>
    </row>
    <row r="405" spans="1:15" x14ac:dyDescent="0.2">
      <c r="A405" s="33">
        <v>43617</v>
      </c>
      <c r="B405" s="11">
        <v>79</v>
      </c>
      <c r="C405" s="11" t="s">
        <v>551</v>
      </c>
      <c r="D405" s="11" t="s">
        <v>552</v>
      </c>
      <c r="F405" s="11" t="s">
        <v>22</v>
      </c>
      <c r="G405" s="38" t="s">
        <v>725</v>
      </c>
      <c r="H405" s="650">
        <v>43628</v>
      </c>
      <c r="I405" s="126">
        <v>170</v>
      </c>
      <c r="J405" s="640">
        <f t="shared" si="14"/>
        <v>30.599999999999998</v>
      </c>
      <c r="K405" s="54">
        <v>0</v>
      </c>
      <c r="L405" s="54">
        <v>15.299999999999999</v>
      </c>
      <c r="M405" s="54">
        <v>15.299999999999999</v>
      </c>
      <c r="N405" s="54"/>
      <c r="O405" s="54">
        <f t="shared" si="15"/>
        <v>200.6</v>
      </c>
    </row>
    <row r="406" spans="1:15" x14ac:dyDescent="0.2">
      <c r="A406" s="33">
        <v>43617</v>
      </c>
      <c r="B406" s="11">
        <v>80</v>
      </c>
      <c r="C406" s="11" t="s">
        <v>601</v>
      </c>
      <c r="D406" s="11" t="s">
        <v>602</v>
      </c>
      <c r="F406" s="11" t="s">
        <v>22</v>
      </c>
      <c r="G406" s="38">
        <v>1891</v>
      </c>
      <c r="H406" s="650">
        <v>43629</v>
      </c>
      <c r="I406" s="126">
        <v>22766.400000000001</v>
      </c>
      <c r="J406" s="640">
        <f t="shared" si="14"/>
        <v>6374.5920000000006</v>
      </c>
      <c r="K406" s="54">
        <v>0</v>
      </c>
      <c r="L406" s="54">
        <v>3187.2960000000003</v>
      </c>
      <c r="M406" s="54">
        <v>3187.2960000000003</v>
      </c>
      <c r="N406" s="54"/>
      <c r="O406" s="54">
        <f t="shared" si="15"/>
        <v>29140.992000000002</v>
      </c>
    </row>
    <row r="407" spans="1:15" x14ac:dyDescent="0.2">
      <c r="A407" s="33">
        <v>43617</v>
      </c>
      <c r="B407" s="11">
        <v>81</v>
      </c>
      <c r="C407" s="11" t="s">
        <v>556</v>
      </c>
      <c r="D407" s="11" t="s">
        <v>557</v>
      </c>
      <c r="F407" s="11" t="s">
        <v>22</v>
      </c>
      <c r="G407" s="38" t="s">
        <v>726</v>
      </c>
      <c r="H407" s="650">
        <v>43621</v>
      </c>
      <c r="I407" s="126">
        <v>2450</v>
      </c>
      <c r="J407" s="640">
        <f t="shared" si="14"/>
        <v>441</v>
      </c>
      <c r="K407" s="54">
        <v>0</v>
      </c>
      <c r="L407" s="54">
        <v>220.5</v>
      </c>
      <c r="M407" s="54">
        <v>220.5</v>
      </c>
      <c r="N407" s="54"/>
      <c r="O407" s="54">
        <f t="shared" si="15"/>
        <v>2891</v>
      </c>
    </row>
    <row r="408" spans="1:15" x14ac:dyDescent="0.2">
      <c r="A408" s="33">
        <v>43617</v>
      </c>
      <c r="B408" s="11">
        <v>82</v>
      </c>
      <c r="C408" s="11" t="s">
        <v>554</v>
      </c>
      <c r="D408" s="11" t="s">
        <v>555</v>
      </c>
      <c r="F408" s="11" t="s">
        <v>22</v>
      </c>
      <c r="G408" s="38">
        <v>2757</v>
      </c>
      <c r="H408" s="650">
        <v>43629</v>
      </c>
      <c r="I408" s="126">
        <v>1175</v>
      </c>
      <c r="J408" s="640">
        <f t="shared" si="14"/>
        <v>329</v>
      </c>
      <c r="K408" s="54">
        <v>0</v>
      </c>
      <c r="L408" s="54">
        <v>164.5</v>
      </c>
      <c r="M408" s="54">
        <v>164.5</v>
      </c>
      <c r="N408" s="54"/>
      <c r="O408" s="54">
        <f t="shared" si="15"/>
        <v>1504</v>
      </c>
    </row>
    <row r="409" spans="1:15" x14ac:dyDescent="0.2">
      <c r="A409" s="33">
        <v>43617</v>
      </c>
      <c r="B409" s="11">
        <v>83</v>
      </c>
      <c r="C409" s="11" t="s">
        <v>554</v>
      </c>
      <c r="D409" s="11" t="s">
        <v>555</v>
      </c>
      <c r="F409" s="11" t="s">
        <v>22</v>
      </c>
      <c r="G409" s="38">
        <v>2783</v>
      </c>
      <c r="H409" s="650">
        <v>43629</v>
      </c>
      <c r="I409" s="126">
        <v>1668</v>
      </c>
      <c r="J409" s="640">
        <f t="shared" si="14"/>
        <v>467.03999999999996</v>
      </c>
      <c r="K409" s="54">
        <v>0</v>
      </c>
      <c r="L409" s="54">
        <v>233.51999999999998</v>
      </c>
      <c r="M409" s="54">
        <v>233.51999999999998</v>
      </c>
      <c r="N409" s="54"/>
      <c r="O409" s="54">
        <f t="shared" si="15"/>
        <v>2135.04</v>
      </c>
    </row>
    <row r="410" spans="1:15" x14ac:dyDescent="0.2">
      <c r="A410" s="33">
        <v>43617</v>
      </c>
      <c r="B410" s="11">
        <v>84</v>
      </c>
      <c r="C410" s="11" t="s">
        <v>554</v>
      </c>
      <c r="D410" s="11" t="s">
        <v>555</v>
      </c>
      <c r="F410" s="11" t="s">
        <v>22</v>
      </c>
      <c r="G410" s="38">
        <v>2805</v>
      </c>
      <c r="H410" s="650">
        <v>43630</v>
      </c>
      <c r="I410" s="126">
        <v>1668</v>
      </c>
      <c r="J410" s="640">
        <f t="shared" si="14"/>
        <v>467.03999999999996</v>
      </c>
      <c r="K410" s="54">
        <v>0</v>
      </c>
      <c r="L410" s="54">
        <v>233.51999999999998</v>
      </c>
      <c r="M410" s="54">
        <v>233.51999999999998</v>
      </c>
      <c r="N410" s="54"/>
      <c r="O410" s="54">
        <f t="shared" si="15"/>
        <v>2135.04</v>
      </c>
    </row>
    <row r="411" spans="1:15" x14ac:dyDescent="0.2">
      <c r="A411" s="33">
        <v>43617</v>
      </c>
      <c r="B411" s="11">
        <v>85</v>
      </c>
      <c r="C411" s="11" t="s">
        <v>554</v>
      </c>
      <c r="D411" s="11" t="s">
        <v>555</v>
      </c>
      <c r="F411" s="11" t="s">
        <v>22</v>
      </c>
      <c r="G411" s="38">
        <v>2817</v>
      </c>
      <c r="H411" s="650">
        <v>43630</v>
      </c>
      <c r="I411" s="126">
        <v>2368.6</v>
      </c>
      <c r="J411" s="640">
        <f t="shared" si="14"/>
        <v>663.20799999999997</v>
      </c>
      <c r="K411" s="54">
        <v>0</v>
      </c>
      <c r="L411" s="54">
        <v>331.60399999999998</v>
      </c>
      <c r="M411" s="54">
        <v>331.60399999999998</v>
      </c>
      <c r="N411" s="54"/>
      <c r="O411" s="54">
        <f t="shared" si="15"/>
        <v>3031.808</v>
      </c>
    </row>
    <row r="412" spans="1:15" x14ac:dyDescent="0.2">
      <c r="A412" s="33">
        <v>43617</v>
      </c>
      <c r="B412" s="11">
        <v>86</v>
      </c>
      <c r="C412" s="11" t="s">
        <v>493</v>
      </c>
      <c r="D412" s="11" t="s">
        <v>494</v>
      </c>
      <c r="F412" s="11" t="s">
        <v>22</v>
      </c>
      <c r="G412" s="38">
        <v>1310</v>
      </c>
      <c r="H412" s="650">
        <v>43630</v>
      </c>
      <c r="I412" s="126">
        <v>5747.5</v>
      </c>
      <c r="J412" s="640">
        <f t="shared" si="14"/>
        <v>1034.55</v>
      </c>
      <c r="K412" s="54">
        <v>0</v>
      </c>
      <c r="L412" s="54">
        <v>517.27499999999998</v>
      </c>
      <c r="M412" s="54">
        <v>517.27499999999998</v>
      </c>
      <c r="N412" s="54"/>
      <c r="O412" s="54">
        <f t="shared" si="15"/>
        <v>6782.05</v>
      </c>
    </row>
    <row r="413" spans="1:15" x14ac:dyDescent="0.2">
      <c r="A413" s="33">
        <v>43617</v>
      </c>
      <c r="B413" s="11">
        <v>87</v>
      </c>
      <c r="C413" s="11" t="s">
        <v>506</v>
      </c>
      <c r="D413" s="11" t="s">
        <v>507</v>
      </c>
      <c r="F413" s="11" t="s">
        <v>22</v>
      </c>
      <c r="G413" s="38" t="s">
        <v>727</v>
      </c>
      <c r="H413" s="650">
        <v>43630</v>
      </c>
      <c r="I413" s="126">
        <v>69758</v>
      </c>
      <c r="J413" s="640">
        <f t="shared" si="14"/>
        <v>12556.44</v>
      </c>
      <c r="K413" s="54">
        <v>0</v>
      </c>
      <c r="L413" s="54">
        <v>6278.22</v>
      </c>
      <c r="M413" s="54">
        <v>6278.22</v>
      </c>
      <c r="N413" s="54"/>
      <c r="O413" s="54">
        <f t="shared" si="15"/>
        <v>82314.44</v>
      </c>
    </row>
    <row r="414" spans="1:15" x14ac:dyDescent="0.2">
      <c r="A414" s="33">
        <v>43617</v>
      </c>
      <c r="B414" s="11">
        <v>88</v>
      </c>
      <c r="C414" s="11" t="s">
        <v>506</v>
      </c>
      <c r="D414" s="11" t="s">
        <v>507</v>
      </c>
      <c r="F414" s="11" t="s">
        <v>22</v>
      </c>
      <c r="G414" s="38" t="s">
        <v>728</v>
      </c>
      <c r="H414" s="650">
        <v>43630</v>
      </c>
      <c r="I414" s="126">
        <v>9240</v>
      </c>
      <c r="J414" s="640">
        <f t="shared" si="14"/>
        <v>1663.2</v>
      </c>
      <c r="K414" s="54">
        <v>0</v>
      </c>
      <c r="L414" s="54">
        <v>831.6</v>
      </c>
      <c r="M414" s="54">
        <v>831.6</v>
      </c>
      <c r="N414" s="54"/>
      <c r="O414" s="54">
        <f t="shared" si="15"/>
        <v>10903.2</v>
      </c>
    </row>
    <row r="415" spans="1:15" x14ac:dyDescent="0.2">
      <c r="A415" s="33">
        <v>43617</v>
      </c>
      <c r="B415" s="11">
        <v>89</v>
      </c>
      <c r="C415" s="11" t="s">
        <v>527</v>
      </c>
      <c r="D415" s="11" t="s">
        <v>528</v>
      </c>
      <c r="F415" s="11" t="s">
        <v>22</v>
      </c>
      <c r="G415" s="38">
        <v>9330003913</v>
      </c>
      <c r="H415" s="650">
        <v>43629</v>
      </c>
      <c r="I415" s="126">
        <v>2872</v>
      </c>
      <c r="J415" s="640">
        <f t="shared" si="14"/>
        <v>516.96</v>
      </c>
      <c r="K415" s="54">
        <v>0</v>
      </c>
      <c r="L415" s="54">
        <v>258.48</v>
      </c>
      <c r="M415" s="54">
        <v>258.48</v>
      </c>
      <c r="N415" s="54"/>
      <c r="O415" s="54">
        <f t="shared" si="15"/>
        <v>3388.96</v>
      </c>
    </row>
    <row r="416" spans="1:15" x14ac:dyDescent="0.2">
      <c r="A416" s="33">
        <v>43617</v>
      </c>
      <c r="B416" s="11">
        <v>90</v>
      </c>
      <c r="C416" s="11" t="s">
        <v>527</v>
      </c>
      <c r="D416" s="11" t="s">
        <v>528</v>
      </c>
      <c r="F416" s="11" t="s">
        <v>22</v>
      </c>
      <c r="G416" s="38">
        <v>9330003918</v>
      </c>
      <c r="H416" s="650">
        <v>43630</v>
      </c>
      <c r="I416" s="126">
        <v>14360</v>
      </c>
      <c r="J416" s="640">
        <f t="shared" si="14"/>
        <v>2584.7999999999997</v>
      </c>
      <c r="K416" s="54">
        <v>0</v>
      </c>
      <c r="L416" s="54">
        <v>1292.3999999999999</v>
      </c>
      <c r="M416" s="54">
        <v>1292.3999999999999</v>
      </c>
      <c r="N416" s="54"/>
      <c r="O416" s="54">
        <f t="shared" si="15"/>
        <v>16944.8</v>
      </c>
    </row>
    <row r="417" spans="1:15" x14ac:dyDescent="0.2">
      <c r="A417" s="33">
        <v>43617</v>
      </c>
      <c r="B417" s="11">
        <v>91</v>
      </c>
      <c r="C417" s="11" t="s">
        <v>499</v>
      </c>
      <c r="D417" s="11" t="s">
        <v>500</v>
      </c>
      <c r="F417" s="11" t="s">
        <v>22</v>
      </c>
      <c r="G417" s="38" t="s">
        <v>729</v>
      </c>
      <c r="H417" s="650">
        <v>43629</v>
      </c>
      <c r="I417" s="126">
        <v>15720</v>
      </c>
      <c r="J417" s="640">
        <f t="shared" si="14"/>
        <v>786</v>
      </c>
      <c r="K417" s="54">
        <v>0</v>
      </c>
      <c r="L417" s="54">
        <v>393</v>
      </c>
      <c r="M417" s="54">
        <v>393</v>
      </c>
      <c r="N417" s="54"/>
      <c r="O417" s="54">
        <f t="shared" si="15"/>
        <v>16506</v>
      </c>
    </row>
    <row r="418" spans="1:15" x14ac:dyDescent="0.2">
      <c r="A418" s="33">
        <v>43617</v>
      </c>
      <c r="B418" s="11">
        <v>92</v>
      </c>
      <c r="C418" s="11" t="s">
        <v>554</v>
      </c>
      <c r="D418" s="11" t="s">
        <v>555</v>
      </c>
      <c r="F418" s="11" t="s">
        <v>22</v>
      </c>
      <c r="G418" s="38">
        <v>2837</v>
      </c>
      <c r="H418" s="650">
        <v>43630</v>
      </c>
      <c r="I418" s="126">
        <v>1668</v>
      </c>
      <c r="J418" s="640">
        <f t="shared" si="14"/>
        <v>467.03999999999996</v>
      </c>
      <c r="K418" s="54">
        <v>0</v>
      </c>
      <c r="L418" s="54">
        <v>233.51999999999998</v>
      </c>
      <c r="M418" s="54">
        <v>233.51999999999998</v>
      </c>
      <c r="N418" s="54"/>
      <c r="O418" s="54">
        <f t="shared" si="15"/>
        <v>2135.04</v>
      </c>
    </row>
    <row r="419" spans="1:15" x14ac:dyDescent="0.2">
      <c r="A419" s="33">
        <v>43617</v>
      </c>
      <c r="B419" s="11">
        <v>93</v>
      </c>
      <c r="C419" s="11" t="s">
        <v>471</v>
      </c>
      <c r="D419" s="11" t="s">
        <v>29</v>
      </c>
      <c r="F419" s="11" t="s">
        <v>22</v>
      </c>
      <c r="G419" s="38">
        <v>192002478</v>
      </c>
      <c r="H419" s="650">
        <v>43630</v>
      </c>
      <c r="I419" s="126">
        <v>17483.52</v>
      </c>
      <c r="J419" s="640">
        <f t="shared" si="14"/>
        <v>4895.3856000000005</v>
      </c>
      <c r="K419" s="54">
        <v>0</v>
      </c>
      <c r="L419" s="54">
        <v>2447.6928000000003</v>
      </c>
      <c r="M419" s="54">
        <v>2447.6928000000003</v>
      </c>
      <c r="N419" s="54"/>
      <c r="O419" s="54">
        <f t="shared" si="15"/>
        <v>22378.905600000002</v>
      </c>
    </row>
    <row r="420" spans="1:15" x14ac:dyDescent="0.2">
      <c r="A420" s="33">
        <v>43617</v>
      </c>
      <c r="B420" s="11">
        <v>94</v>
      </c>
      <c r="C420" s="11" t="s">
        <v>471</v>
      </c>
      <c r="D420" s="11" t="s">
        <v>29</v>
      </c>
      <c r="F420" s="11" t="s">
        <v>22</v>
      </c>
      <c r="G420" s="38">
        <v>192002179</v>
      </c>
      <c r="H420" s="650">
        <v>43630</v>
      </c>
      <c r="I420" s="126">
        <v>17483.52</v>
      </c>
      <c r="J420" s="640">
        <f t="shared" si="14"/>
        <v>4895.3856000000005</v>
      </c>
      <c r="K420" s="54">
        <v>0</v>
      </c>
      <c r="L420" s="54">
        <v>2447.6928000000003</v>
      </c>
      <c r="M420" s="54">
        <v>2447.6928000000003</v>
      </c>
      <c r="N420" s="54"/>
      <c r="O420" s="54">
        <f t="shared" si="15"/>
        <v>22378.905600000002</v>
      </c>
    </row>
    <row r="421" spans="1:15" x14ac:dyDescent="0.2">
      <c r="A421" s="33">
        <v>43617</v>
      </c>
      <c r="B421" s="11">
        <v>95</v>
      </c>
      <c r="C421" s="11" t="s">
        <v>473</v>
      </c>
      <c r="D421" s="11" t="s">
        <v>41</v>
      </c>
      <c r="F421" s="11" t="s">
        <v>22</v>
      </c>
      <c r="G421" s="38" t="s">
        <v>730</v>
      </c>
      <c r="H421" s="650">
        <v>43630</v>
      </c>
      <c r="I421" s="126">
        <v>10280.84</v>
      </c>
      <c r="J421" s="640">
        <f t="shared" si="14"/>
        <v>2878.6352000000002</v>
      </c>
      <c r="K421" s="54">
        <v>0</v>
      </c>
      <c r="L421" s="54">
        <v>1439.3176000000001</v>
      </c>
      <c r="M421" s="54">
        <v>1439.3176000000001</v>
      </c>
      <c r="N421" s="54"/>
      <c r="O421" s="54">
        <f t="shared" si="15"/>
        <v>13159.475200000001</v>
      </c>
    </row>
    <row r="422" spans="1:15" x14ac:dyDescent="0.2">
      <c r="A422" s="33">
        <v>43617</v>
      </c>
      <c r="B422" s="11">
        <v>96</v>
      </c>
      <c r="C422" s="11" t="s">
        <v>517</v>
      </c>
      <c r="D422" s="11" t="s">
        <v>256</v>
      </c>
      <c r="F422" s="11" t="s">
        <v>22</v>
      </c>
      <c r="G422" s="38">
        <v>19606798</v>
      </c>
      <c r="H422" s="650">
        <v>43629</v>
      </c>
      <c r="I422" s="126">
        <v>23606.92</v>
      </c>
      <c r="J422" s="640">
        <f t="shared" si="14"/>
        <v>6609.9376000000002</v>
      </c>
      <c r="K422" s="54">
        <v>6609.9376000000002</v>
      </c>
      <c r="L422" s="54">
        <v>0</v>
      </c>
      <c r="M422" s="54">
        <v>0</v>
      </c>
      <c r="N422" s="54"/>
      <c r="O422" s="54">
        <f t="shared" si="15"/>
        <v>30216.857599999999</v>
      </c>
    </row>
    <row r="423" spans="1:15" x14ac:dyDescent="0.2">
      <c r="A423" s="33">
        <v>43617</v>
      </c>
      <c r="B423" s="11">
        <v>97</v>
      </c>
      <c r="C423" s="11" t="s">
        <v>517</v>
      </c>
      <c r="D423" s="11" t="s">
        <v>256</v>
      </c>
      <c r="F423" s="11" t="s">
        <v>22</v>
      </c>
      <c r="G423" s="38">
        <v>19606799</v>
      </c>
      <c r="H423" s="650">
        <v>43629</v>
      </c>
      <c r="I423" s="126">
        <v>15065.24</v>
      </c>
      <c r="J423" s="640">
        <f t="shared" si="14"/>
        <v>4218.2672000000002</v>
      </c>
      <c r="K423" s="54">
        <v>4218.2672000000002</v>
      </c>
      <c r="L423" s="54">
        <v>0</v>
      </c>
      <c r="M423" s="54">
        <v>0</v>
      </c>
      <c r="N423" s="54"/>
      <c r="O423" s="54">
        <f t="shared" si="15"/>
        <v>19283.5072</v>
      </c>
    </row>
    <row r="424" spans="1:15" x14ac:dyDescent="0.2">
      <c r="A424" s="33">
        <v>43617</v>
      </c>
      <c r="B424" s="11">
        <v>98</v>
      </c>
      <c r="C424" s="11" t="s">
        <v>476</v>
      </c>
      <c r="D424" s="11" t="s">
        <v>477</v>
      </c>
      <c r="F424" s="11" t="s">
        <v>22</v>
      </c>
      <c r="G424" s="38" t="s">
        <v>731</v>
      </c>
      <c r="H424" s="650">
        <v>43631</v>
      </c>
      <c r="I424" s="126">
        <v>40650</v>
      </c>
      <c r="J424" s="640">
        <f t="shared" si="14"/>
        <v>7317</v>
      </c>
      <c r="K424" s="54">
        <v>0</v>
      </c>
      <c r="L424" s="54">
        <v>3658.5</v>
      </c>
      <c r="M424" s="54">
        <v>3658.5</v>
      </c>
      <c r="N424" s="54"/>
      <c r="O424" s="54">
        <f t="shared" si="15"/>
        <v>47967</v>
      </c>
    </row>
    <row r="425" spans="1:15" x14ac:dyDescent="0.2">
      <c r="A425" s="33">
        <v>43617</v>
      </c>
      <c r="B425" s="11">
        <v>99</v>
      </c>
      <c r="C425" s="11" t="s">
        <v>489</v>
      </c>
      <c r="D425" s="11" t="s">
        <v>490</v>
      </c>
      <c r="F425" s="11" t="s">
        <v>22</v>
      </c>
      <c r="G425" s="38">
        <v>7887984587</v>
      </c>
      <c r="H425" s="650">
        <v>43630</v>
      </c>
      <c r="I425" s="126">
        <v>17676</v>
      </c>
      <c r="J425" s="640">
        <f t="shared" si="14"/>
        <v>3181.68</v>
      </c>
      <c r="K425" s="54">
        <v>0</v>
      </c>
      <c r="L425" s="54">
        <v>1590.84</v>
      </c>
      <c r="M425" s="54">
        <v>1590.84</v>
      </c>
      <c r="N425" s="54"/>
      <c r="O425" s="54">
        <f t="shared" si="15"/>
        <v>20857.68</v>
      </c>
    </row>
    <row r="426" spans="1:15" x14ac:dyDescent="0.2">
      <c r="A426" s="33">
        <v>43617</v>
      </c>
      <c r="B426" s="11">
        <v>100</v>
      </c>
      <c r="C426" s="11" t="s">
        <v>554</v>
      </c>
      <c r="D426" s="11" t="s">
        <v>555</v>
      </c>
      <c r="F426" s="11" t="s">
        <v>22</v>
      </c>
      <c r="G426" s="38">
        <v>2854</v>
      </c>
      <c r="H426" s="650">
        <v>43631</v>
      </c>
      <c r="I426" s="126">
        <v>2224</v>
      </c>
      <c r="J426" s="640">
        <f t="shared" si="14"/>
        <v>622.71999999999991</v>
      </c>
      <c r="K426" s="54">
        <v>0</v>
      </c>
      <c r="L426" s="54">
        <v>311.35999999999996</v>
      </c>
      <c r="M426" s="54">
        <v>311.35999999999996</v>
      </c>
      <c r="N426" s="54"/>
      <c r="O426" s="54">
        <f t="shared" si="15"/>
        <v>2846.72</v>
      </c>
    </row>
    <row r="427" spans="1:15" x14ac:dyDescent="0.2">
      <c r="A427" s="33">
        <v>43617</v>
      </c>
      <c r="B427" s="11">
        <v>101</v>
      </c>
      <c r="C427" s="11" t="s">
        <v>554</v>
      </c>
      <c r="D427" s="11" t="s">
        <v>555</v>
      </c>
      <c r="F427" s="11" t="s">
        <v>22</v>
      </c>
      <c r="G427" s="38">
        <v>2870</v>
      </c>
      <c r="H427" s="650">
        <v>43631</v>
      </c>
      <c r="I427" s="126">
        <v>2780</v>
      </c>
      <c r="J427" s="640">
        <f t="shared" si="14"/>
        <v>778.4</v>
      </c>
      <c r="K427" s="54">
        <v>0</v>
      </c>
      <c r="L427" s="54">
        <v>389.2</v>
      </c>
      <c r="M427" s="54">
        <v>389.2</v>
      </c>
      <c r="N427" s="54"/>
      <c r="O427" s="54">
        <f t="shared" si="15"/>
        <v>3558.4</v>
      </c>
    </row>
    <row r="428" spans="1:15" x14ac:dyDescent="0.2">
      <c r="A428" s="33">
        <v>43617</v>
      </c>
      <c r="B428" s="11">
        <v>102</v>
      </c>
      <c r="C428" s="11" t="s">
        <v>493</v>
      </c>
      <c r="D428" s="11" t="s">
        <v>494</v>
      </c>
      <c r="F428" s="11" t="s">
        <v>22</v>
      </c>
      <c r="G428" s="38">
        <v>1325</v>
      </c>
      <c r="H428" s="650">
        <v>43631</v>
      </c>
      <c r="I428" s="126">
        <v>28737.5</v>
      </c>
      <c r="J428" s="640">
        <f t="shared" si="14"/>
        <v>5172.75</v>
      </c>
      <c r="K428" s="54">
        <v>0</v>
      </c>
      <c r="L428" s="54">
        <v>2586.375</v>
      </c>
      <c r="M428" s="54">
        <v>2586.375</v>
      </c>
      <c r="N428" s="54"/>
      <c r="O428" s="54">
        <f t="shared" si="15"/>
        <v>33910.25</v>
      </c>
    </row>
    <row r="429" spans="1:15" x14ac:dyDescent="0.2">
      <c r="A429" s="33">
        <v>43617</v>
      </c>
      <c r="B429" s="11">
        <v>103</v>
      </c>
      <c r="C429" s="11" t="s">
        <v>489</v>
      </c>
      <c r="D429" s="11" t="s">
        <v>490</v>
      </c>
      <c r="F429" s="11" t="s">
        <v>22</v>
      </c>
      <c r="G429" s="38">
        <v>7887984262</v>
      </c>
      <c r="H429" s="650">
        <v>43624</v>
      </c>
      <c r="I429" s="126">
        <v>2251</v>
      </c>
      <c r="J429" s="640">
        <f t="shared" si="14"/>
        <v>405.18</v>
      </c>
      <c r="K429" s="54">
        <v>0</v>
      </c>
      <c r="L429" s="54">
        <v>202.59</v>
      </c>
      <c r="M429" s="54">
        <v>202.59</v>
      </c>
      <c r="N429" s="54"/>
      <c r="O429" s="54">
        <f t="shared" si="15"/>
        <v>2656.18</v>
      </c>
    </row>
    <row r="430" spans="1:15" x14ac:dyDescent="0.2">
      <c r="A430" s="33">
        <v>43617</v>
      </c>
      <c r="B430" s="11">
        <v>104</v>
      </c>
      <c r="C430" s="11" t="s">
        <v>489</v>
      </c>
      <c r="D430" s="11" t="s">
        <v>490</v>
      </c>
      <c r="F430" s="11" t="s">
        <v>22</v>
      </c>
      <c r="G430" s="38">
        <v>7887984424</v>
      </c>
      <c r="H430" s="650">
        <v>43628</v>
      </c>
      <c r="I430" s="126">
        <v>3274</v>
      </c>
      <c r="J430" s="640">
        <f t="shared" si="14"/>
        <v>589.32000000000005</v>
      </c>
      <c r="K430" s="54">
        <v>0</v>
      </c>
      <c r="L430" s="54">
        <v>294.66000000000003</v>
      </c>
      <c r="M430" s="54">
        <v>294.66000000000003</v>
      </c>
      <c r="N430" s="54"/>
      <c r="O430" s="54">
        <f t="shared" si="15"/>
        <v>3863.32</v>
      </c>
    </row>
    <row r="431" spans="1:15" x14ac:dyDescent="0.2">
      <c r="A431" s="33">
        <v>43617</v>
      </c>
      <c r="B431" s="11">
        <v>105</v>
      </c>
      <c r="C431" s="11" t="s">
        <v>489</v>
      </c>
      <c r="D431" s="11" t="s">
        <v>490</v>
      </c>
      <c r="F431" s="11" t="s">
        <v>22</v>
      </c>
      <c r="G431" s="38">
        <v>7887984630</v>
      </c>
      <c r="H431" s="650">
        <v>43631</v>
      </c>
      <c r="I431" s="126">
        <v>35350</v>
      </c>
      <c r="J431" s="640">
        <f t="shared" si="14"/>
        <v>6363</v>
      </c>
      <c r="K431" s="54">
        <v>0</v>
      </c>
      <c r="L431" s="54">
        <v>3181.5</v>
      </c>
      <c r="M431" s="54">
        <v>3181.5</v>
      </c>
      <c r="N431" s="54"/>
      <c r="O431" s="54">
        <f t="shared" si="15"/>
        <v>41713</v>
      </c>
    </row>
    <row r="432" spans="1:15" x14ac:dyDescent="0.2">
      <c r="A432" s="33">
        <v>43617</v>
      </c>
      <c r="B432" s="11">
        <v>106</v>
      </c>
      <c r="C432" s="11" t="s">
        <v>489</v>
      </c>
      <c r="D432" s="11" t="s">
        <v>490</v>
      </c>
      <c r="F432" s="11" t="s">
        <v>22</v>
      </c>
      <c r="G432" s="38">
        <v>7887984631</v>
      </c>
      <c r="H432" s="650">
        <v>43631</v>
      </c>
      <c r="I432" s="126">
        <v>17472</v>
      </c>
      <c r="J432" s="640">
        <f t="shared" si="14"/>
        <v>3144.96</v>
      </c>
      <c r="K432" s="54">
        <v>0</v>
      </c>
      <c r="L432" s="54">
        <v>1572.48</v>
      </c>
      <c r="M432" s="54">
        <v>1572.48</v>
      </c>
      <c r="N432" s="54"/>
      <c r="O432" s="54">
        <f t="shared" si="15"/>
        <v>20616.96</v>
      </c>
    </row>
    <row r="433" spans="1:15" x14ac:dyDescent="0.2">
      <c r="A433" s="33">
        <v>43617</v>
      </c>
      <c r="B433" s="11">
        <v>107</v>
      </c>
      <c r="C433" s="11" t="s">
        <v>499</v>
      </c>
      <c r="D433" s="11" t="s">
        <v>500</v>
      </c>
      <c r="F433" s="11" t="s">
        <v>22</v>
      </c>
      <c r="G433" s="38" t="s">
        <v>733</v>
      </c>
      <c r="H433" s="650">
        <v>43631</v>
      </c>
      <c r="I433" s="126">
        <v>11718</v>
      </c>
      <c r="J433" s="640">
        <f t="shared" si="14"/>
        <v>585.90000000000009</v>
      </c>
      <c r="K433" s="54">
        <v>0</v>
      </c>
      <c r="L433" s="54">
        <v>292.95000000000005</v>
      </c>
      <c r="M433" s="54">
        <v>292.95000000000005</v>
      </c>
      <c r="N433" s="54"/>
      <c r="O433" s="54">
        <f t="shared" si="15"/>
        <v>12303.9</v>
      </c>
    </row>
    <row r="434" spans="1:15" x14ac:dyDescent="0.2">
      <c r="A434" s="33">
        <v>43617</v>
      </c>
      <c r="B434" s="11">
        <v>108</v>
      </c>
      <c r="C434" s="11" t="s">
        <v>471</v>
      </c>
      <c r="D434" s="11" t="s">
        <v>29</v>
      </c>
      <c r="F434" s="11" t="s">
        <v>22</v>
      </c>
      <c r="G434" s="38">
        <v>192002521</v>
      </c>
      <c r="H434" s="650">
        <v>43631</v>
      </c>
      <c r="I434" s="126">
        <v>17483.52</v>
      </c>
      <c r="J434" s="640">
        <f t="shared" si="14"/>
        <v>4895.3856000000005</v>
      </c>
      <c r="K434" s="54">
        <v>0</v>
      </c>
      <c r="L434" s="54">
        <v>2447.6928000000003</v>
      </c>
      <c r="M434" s="54">
        <v>2447.6928000000003</v>
      </c>
      <c r="N434" s="54"/>
      <c r="O434" s="54">
        <f t="shared" si="15"/>
        <v>22378.905600000002</v>
      </c>
    </row>
    <row r="435" spans="1:15" x14ac:dyDescent="0.2">
      <c r="A435" s="33">
        <v>43617</v>
      </c>
      <c r="B435" s="11">
        <v>109</v>
      </c>
      <c r="C435" s="11" t="s">
        <v>554</v>
      </c>
      <c r="D435" s="11" t="s">
        <v>555</v>
      </c>
      <c r="F435" s="11" t="s">
        <v>22</v>
      </c>
      <c r="G435" s="38">
        <v>2898</v>
      </c>
      <c r="H435" s="650">
        <v>43631</v>
      </c>
      <c r="I435" s="126">
        <v>4368.3</v>
      </c>
      <c r="J435" s="640">
        <f t="shared" si="14"/>
        <v>1223.124</v>
      </c>
      <c r="K435" s="54">
        <v>0</v>
      </c>
      <c r="L435" s="54">
        <v>611.56200000000001</v>
      </c>
      <c r="M435" s="54">
        <v>611.56200000000001</v>
      </c>
      <c r="N435" s="54"/>
      <c r="O435" s="54">
        <f t="shared" si="15"/>
        <v>5591.424</v>
      </c>
    </row>
    <row r="436" spans="1:15" x14ac:dyDescent="0.2">
      <c r="A436" s="33">
        <v>43617</v>
      </c>
      <c r="B436" s="11">
        <v>110</v>
      </c>
      <c r="C436" s="11" t="s">
        <v>601</v>
      </c>
      <c r="D436" s="11" t="s">
        <v>602</v>
      </c>
      <c r="F436" s="11" t="s">
        <v>22</v>
      </c>
      <c r="G436" s="38">
        <v>1998</v>
      </c>
      <c r="H436" s="650">
        <v>43631</v>
      </c>
      <c r="I436" s="126">
        <v>40176</v>
      </c>
      <c r="J436" s="640">
        <f t="shared" si="14"/>
        <v>11249.279999999999</v>
      </c>
      <c r="K436" s="54">
        <v>0</v>
      </c>
      <c r="L436" s="54">
        <v>5624.6399999999994</v>
      </c>
      <c r="M436" s="54">
        <v>5624.6399999999994</v>
      </c>
      <c r="N436" s="54"/>
      <c r="O436" s="54">
        <f t="shared" si="15"/>
        <v>51425.279999999999</v>
      </c>
    </row>
    <row r="437" spans="1:15" x14ac:dyDescent="0.2">
      <c r="A437" s="33">
        <v>43617</v>
      </c>
      <c r="B437" s="11">
        <v>111</v>
      </c>
      <c r="C437" s="11" t="s">
        <v>601</v>
      </c>
      <c r="D437" s="11" t="s">
        <v>602</v>
      </c>
      <c r="F437" s="11" t="s">
        <v>22</v>
      </c>
      <c r="G437" s="38">
        <v>1999</v>
      </c>
      <c r="H437" s="650">
        <v>43631</v>
      </c>
      <c r="I437" s="126">
        <v>35758.800000000003</v>
      </c>
      <c r="J437" s="640">
        <f t="shared" si="14"/>
        <v>10012.464</v>
      </c>
      <c r="K437" s="54">
        <v>0</v>
      </c>
      <c r="L437" s="54">
        <v>5006.232</v>
      </c>
      <c r="M437" s="54">
        <v>5006.232</v>
      </c>
      <c r="N437" s="54"/>
      <c r="O437" s="54">
        <f t="shared" si="15"/>
        <v>45771.264000000003</v>
      </c>
    </row>
    <row r="438" spans="1:15" x14ac:dyDescent="0.2">
      <c r="A438" s="33">
        <v>43617</v>
      </c>
      <c r="B438" s="11">
        <v>112</v>
      </c>
      <c r="C438" s="11" t="s">
        <v>495</v>
      </c>
      <c r="D438" s="11" t="s">
        <v>74</v>
      </c>
      <c r="F438" s="11" t="s">
        <v>22</v>
      </c>
      <c r="G438" s="38">
        <v>5510048530</v>
      </c>
      <c r="H438" s="650">
        <v>43631</v>
      </c>
      <c r="I438" s="126">
        <v>7963.2</v>
      </c>
      <c r="J438" s="640">
        <f t="shared" si="14"/>
        <v>1433.3760000000002</v>
      </c>
      <c r="K438" s="54">
        <v>0</v>
      </c>
      <c r="L438" s="54">
        <v>716.6880000000001</v>
      </c>
      <c r="M438" s="54">
        <v>716.6880000000001</v>
      </c>
      <c r="N438" s="54"/>
      <c r="O438" s="54">
        <f t="shared" si="15"/>
        <v>9396.5760000000009</v>
      </c>
    </row>
    <row r="439" spans="1:15" x14ac:dyDescent="0.2">
      <c r="A439" s="33">
        <v>43617</v>
      </c>
      <c r="B439" s="11">
        <v>113</v>
      </c>
      <c r="C439" s="11" t="s">
        <v>495</v>
      </c>
      <c r="D439" s="11" t="s">
        <v>74</v>
      </c>
      <c r="F439" s="11" t="s">
        <v>22</v>
      </c>
      <c r="G439" s="38">
        <v>5510048564</v>
      </c>
      <c r="H439" s="650">
        <v>43631</v>
      </c>
      <c r="I439" s="126">
        <v>21235.200000000001</v>
      </c>
      <c r="J439" s="640">
        <f t="shared" si="14"/>
        <v>3822.3360000000002</v>
      </c>
      <c r="K439" s="54">
        <v>0</v>
      </c>
      <c r="L439" s="54">
        <v>1911.1680000000001</v>
      </c>
      <c r="M439" s="54">
        <v>1911.1680000000001</v>
      </c>
      <c r="N439" s="54"/>
      <c r="O439" s="54">
        <f t="shared" si="15"/>
        <v>25057.536</v>
      </c>
    </row>
    <row r="440" spans="1:15" x14ac:dyDescent="0.2">
      <c r="A440" s="33">
        <v>43617</v>
      </c>
      <c r="B440" s="11">
        <v>114</v>
      </c>
      <c r="C440" s="11" t="s">
        <v>541</v>
      </c>
      <c r="D440" s="11" t="s">
        <v>542</v>
      </c>
      <c r="F440" s="11" t="s">
        <v>22</v>
      </c>
      <c r="G440" s="38" t="s">
        <v>734</v>
      </c>
      <c r="H440" s="650">
        <v>43617</v>
      </c>
      <c r="I440" s="126">
        <v>3500</v>
      </c>
      <c r="J440" s="640">
        <f t="shared" si="14"/>
        <v>630</v>
      </c>
      <c r="K440" s="54">
        <v>0</v>
      </c>
      <c r="L440" s="54">
        <v>315</v>
      </c>
      <c r="M440" s="54">
        <v>315</v>
      </c>
      <c r="N440" s="54"/>
      <c r="O440" s="54">
        <f t="shared" si="15"/>
        <v>4130</v>
      </c>
    </row>
    <row r="441" spans="1:15" x14ac:dyDescent="0.2">
      <c r="A441" s="33">
        <v>43617</v>
      </c>
      <c r="B441" s="11">
        <v>115</v>
      </c>
      <c r="C441" s="11" t="s">
        <v>493</v>
      </c>
      <c r="D441" s="11" t="s">
        <v>494</v>
      </c>
      <c r="F441" s="11" t="s">
        <v>22</v>
      </c>
      <c r="G441" s="38">
        <v>1348</v>
      </c>
      <c r="H441" s="650">
        <v>43632</v>
      </c>
      <c r="I441" s="126">
        <v>53336.800000000003</v>
      </c>
      <c r="J441" s="640">
        <f t="shared" si="14"/>
        <v>9600.6240000000016</v>
      </c>
      <c r="K441" s="54">
        <v>0</v>
      </c>
      <c r="L441" s="54">
        <v>4800.3120000000008</v>
      </c>
      <c r="M441" s="54">
        <v>4800.3120000000008</v>
      </c>
      <c r="N441" s="54"/>
      <c r="O441" s="54">
        <f t="shared" si="15"/>
        <v>62937.424000000006</v>
      </c>
    </row>
    <row r="442" spans="1:15" x14ac:dyDescent="0.2">
      <c r="A442" s="33">
        <v>43617</v>
      </c>
      <c r="B442" s="11">
        <v>116</v>
      </c>
      <c r="C442" s="11" t="s">
        <v>471</v>
      </c>
      <c r="D442" s="11" t="s">
        <v>29</v>
      </c>
      <c r="F442" s="11" t="s">
        <v>22</v>
      </c>
      <c r="G442" s="38">
        <v>192002522</v>
      </c>
      <c r="H442" s="650">
        <v>43631</v>
      </c>
      <c r="I442" s="126">
        <v>17483.52</v>
      </c>
      <c r="J442" s="640">
        <f t="shared" si="14"/>
        <v>4895.3856000000005</v>
      </c>
      <c r="K442" s="54">
        <v>0</v>
      </c>
      <c r="L442" s="54">
        <v>2447.6928000000003</v>
      </c>
      <c r="M442" s="54">
        <v>2447.6928000000003</v>
      </c>
      <c r="N442" s="54"/>
      <c r="O442" s="54">
        <f t="shared" si="15"/>
        <v>22378.905600000002</v>
      </c>
    </row>
    <row r="443" spans="1:15" x14ac:dyDescent="0.2">
      <c r="A443" s="33">
        <v>43617</v>
      </c>
      <c r="B443" s="11">
        <v>117</v>
      </c>
      <c r="C443" s="11" t="s">
        <v>471</v>
      </c>
      <c r="D443" s="11" t="s">
        <v>29</v>
      </c>
      <c r="F443" s="11" t="s">
        <v>22</v>
      </c>
      <c r="G443" s="38">
        <v>192002537</v>
      </c>
      <c r="H443" s="650">
        <v>43633</v>
      </c>
      <c r="I443" s="126">
        <v>17483.52</v>
      </c>
      <c r="J443" s="640">
        <f t="shared" si="14"/>
        <v>4895.3856000000005</v>
      </c>
      <c r="K443" s="54">
        <v>0</v>
      </c>
      <c r="L443" s="54">
        <v>2447.6928000000003</v>
      </c>
      <c r="M443" s="54">
        <v>2447.6928000000003</v>
      </c>
      <c r="N443" s="54"/>
      <c r="O443" s="54">
        <f t="shared" si="15"/>
        <v>22378.905600000002</v>
      </c>
    </row>
    <row r="444" spans="1:15" x14ac:dyDescent="0.2">
      <c r="A444" s="33">
        <v>43617</v>
      </c>
      <c r="B444" s="11">
        <v>118</v>
      </c>
      <c r="C444" s="11" t="s">
        <v>708</v>
      </c>
      <c r="D444" s="11" t="s">
        <v>709</v>
      </c>
      <c r="F444" s="11" t="s">
        <v>22</v>
      </c>
      <c r="G444" s="38">
        <v>78880008096</v>
      </c>
      <c r="H444" s="650">
        <v>43630</v>
      </c>
      <c r="I444" s="126">
        <v>14648</v>
      </c>
      <c r="J444" s="640">
        <f t="shared" si="14"/>
        <v>2636.64</v>
      </c>
      <c r="K444" s="54">
        <v>2636.64</v>
      </c>
      <c r="L444" s="54">
        <v>0</v>
      </c>
      <c r="M444" s="54">
        <v>0</v>
      </c>
      <c r="N444" s="54"/>
      <c r="O444" s="54">
        <f t="shared" si="15"/>
        <v>17284.64</v>
      </c>
    </row>
    <row r="445" spans="1:15" x14ac:dyDescent="0.2">
      <c r="A445" s="33">
        <v>43617</v>
      </c>
      <c r="B445" s="11">
        <v>119</v>
      </c>
      <c r="C445" s="11" t="s">
        <v>554</v>
      </c>
      <c r="D445" s="11" t="s">
        <v>555</v>
      </c>
      <c r="F445" s="11" t="s">
        <v>22</v>
      </c>
      <c r="G445" s="38">
        <v>2912</v>
      </c>
      <c r="H445" s="650">
        <v>43633</v>
      </c>
      <c r="I445" s="126">
        <v>1112</v>
      </c>
      <c r="J445" s="640">
        <f t="shared" si="14"/>
        <v>311.35999999999996</v>
      </c>
      <c r="K445" s="54">
        <v>0</v>
      </c>
      <c r="L445" s="54">
        <v>155.67999999999998</v>
      </c>
      <c r="M445" s="54">
        <v>155.67999999999998</v>
      </c>
      <c r="N445" s="54"/>
      <c r="O445" s="54">
        <f t="shared" si="15"/>
        <v>1423.36</v>
      </c>
    </row>
    <row r="446" spans="1:15" x14ac:dyDescent="0.2">
      <c r="A446" s="33">
        <v>43617</v>
      </c>
      <c r="B446" s="11">
        <v>120</v>
      </c>
      <c r="C446" s="11" t="s">
        <v>554</v>
      </c>
      <c r="D446" s="11" t="s">
        <v>555</v>
      </c>
      <c r="F446" s="11" t="s">
        <v>22</v>
      </c>
      <c r="G446" s="38">
        <v>2920</v>
      </c>
      <c r="H446" s="650">
        <v>43633</v>
      </c>
      <c r="I446" s="126">
        <v>1668</v>
      </c>
      <c r="J446" s="640">
        <f t="shared" si="14"/>
        <v>467.03999999999996</v>
      </c>
      <c r="K446" s="54">
        <v>0</v>
      </c>
      <c r="L446" s="54">
        <v>233.51999999999998</v>
      </c>
      <c r="M446" s="54">
        <v>233.51999999999998</v>
      </c>
      <c r="N446" s="54"/>
      <c r="O446" s="54">
        <f t="shared" si="15"/>
        <v>2135.04</v>
      </c>
    </row>
    <row r="447" spans="1:15" x14ac:dyDescent="0.2">
      <c r="A447" s="33">
        <v>43617</v>
      </c>
      <c r="B447" s="11">
        <v>121</v>
      </c>
      <c r="C447" s="11" t="s">
        <v>554</v>
      </c>
      <c r="D447" s="11" t="s">
        <v>555</v>
      </c>
      <c r="F447" s="11" t="s">
        <v>22</v>
      </c>
      <c r="G447" s="38">
        <v>2926</v>
      </c>
      <c r="H447" s="650">
        <v>43633</v>
      </c>
      <c r="I447" s="126">
        <v>5004</v>
      </c>
      <c r="J447" s="640">
        <f t="shared" si="14"/>
        <v>1401.12</v>
      </c>
      <c r="K447" s="54">
        <v>0</v>
      </c>
      <c r="L447" s="54">
        <v>700.56</v>
      </c>
      <c r="M447" s="54">
        <v>700.56</v>
      </c>
      <c r="N447" s="54"/>
      <c r="O447" s="54">
        <f t="shared" si="15"/>
        <v>6405.12</v>
      </c>
    </row>
    <row r="448" spans="1:15" x14ac:dyDescent="0.2">
      <c r="A448" s="33">
        <v>43617</v>
      </c>
      <c r="B448" s="11">
        <v>122</v>
      </c>
      <c r="C448" s="11" t="s">
        <v>554</v>
      </c>
      <c r="D448" s="11" t="s">
        <v>555</v>
      </c>
      <c r="F448" s="11" t="s">
        <v>22</v>
      </c>
      <c r="G448" s="38">
        <v>2960</v>
      </c>
      <c r="H448" s="650">
        <v>43633</v>
      </c>
      <c r="I448" s="126">
        <v>1668</v>
      </c>
      <c r="J448" s="640">
        <f t="shared" si="14"/>
        <v>467.03999999999996</v>
      </c>
      <c r="K448" s="54">
        <v>0</v>
      </c>
      <c r="L448" s="54">
        <v>233.51999999999998</v>
      </c>
      <c r="M448" s="54">
        <v>233.51999999999998</v>
      </c>
      <c r="N448" s="54"/>
      <c r="O448" s="54">
        <f t="shared" si="15"/>
        <v>2135.04</v>
      </c>
    </row>
    <row r="449" spans="1:15" x14ac:dyDescent="0.2">
      <c r="A449" s="33">
        <v>43617</v>
      </c>
      <c r="B449" s="11">
        <v>123</v>
      </c>
      <c r="C449" s="11" t="s">
        <v>514</v>
      </c>
      <c r="D449" s="11" t="s">
        <v>515</v>
      </c>
      <c r="F449" s="11" t="s">
        <v>22</v>
      </c>
      <c r="G449" s="38" t="s">
        <v>735</v>
      </c>
      <c r="H449" s="650">
        <v>43633</v>
      </c>
      <c r="I449" s="126">
        <v>50</v>
      </c>
      <c r="J449" s="640">
        <f t="shared" si="14"/>
        <v>9</v>
      </c>
      <c r="K449" s="54">
        <v>0</v>
      </c>
      <c r="L449" s="54">
        <v>4.5</v>
      </c>
      <c r="M449" s="54">
        <v>4.5</v>
      </c>
      <c r="N449" s="54"/>
      <c r="O449" s="54">
        <f t="shared" si="15"/>
        <v>59</v>
      </c>
    </row>
    <row r="450" spans="1:15" x14ac:dyDescent="0.2">
      <c r="A450" s="33">
        <v>43617</v>
      </c>
      <c r="B450" s="11">
        <v>124</v>
      </c>
      <c r="C450" s="11" t="s">
        <v>708</v>
      </c>
      <c r="D450" s="11" t="s">
        <v>709</v>
      </c>
      <c r="F450" s="11" t="s">
        <v>22</v>
      </c>
      <c r="G450" s="38">
        <v>7888008265</v>
      </c>
      <c r="H450" s="650">
        <v>43633</v>
      </c>
      <c r="I450" s="126">
        <v>15534</v>
      </c>
      <c r="J450" s="640">
        <f t="shared" si="14"/>
        <v>2796.12</v>
      </c>
      <c r="K450" s="54">
        <v>2796.12</v>
      </c>
      <c r="L450" s="54">
        <v>0</v>
      </c>
      <c r="M450" s="54">
        <v>0</v>
      </c>
      <c r="N450" s="54"/>
      <c r="O450" s="54">
        <f t="shared" si="15"/>
        <v>18330.12</v>
      </c>
    </row>
    <row r="451" spans="1:15" x14ac:dyDescent="0.2">
      <c r="A451" s="33">
        <v>43617</v>
      </c>
      <c r="B451" s="11">
        <v>125</v>
      </c>
      <c r="C451" s="11" t="s">
        <v>471</v>
      </c>
      <c r="D451" s="11" t="s">
        <v>29</v>
      </c>
      <c r="F451" s="11" t="s">
        <v>22</v>
      </c>
      <c r="G451" s="38">
        <v>192002539</v>
      </c>
      <c r="H451" s="650">
        <v>43633</v>
      </c>
      <c r="I451" s="126">
        <v>17483.52</v>
      </c>
      <c r="J451" s="640">
        <f t="shared" si="14"/>
        <v>4895.3856000000005</v>
      </c>
      <c r="K451" s="54">
        <v>0</v>
      </c>
      <c r="L451" s="54">
        <v>2447.6928000000003</v>
      </c>
      <c r="M451" s="54">
        <v>2447.6928000000003</v>
      </c>
      <c r="N451" s="54"/>
      <c r="O451" s="54">
        <f t="shared" si="15"/>
        <v>22378.905600000002</v>
      </c>
    </row>
    <row r="452" spans="1:15" x14ac:dyDescent="0.2">
      <c r="A452" s="33">
        <v>43617</v>
      </c>
      <c r="B452" s="11">
        <v>126</v>
      </c>
      <c r="C452" s="11" t="s">
        <v>514</v>
      </c>
      <c r="D452" s="11" t="s">
        <v>515</v>
      </c>
      <c r="F452" s="11" t="s">
        <v>22</v>
      </c>
      <c r="G452" s="38">
        <v>0</v>
      </c>
      <c r="H452" s="650">
        <v>43633</v>
      </c>
      <c r="I452" s="126">
        <v>2000</v>
      </c>
      <c r="J452" s="640">
        <f t="shared" ref="J452:J515" si="16">+K452+L452+M452+N452</f>
        <v>360</v>
      </c>
      <c r="K452" s="54">
        <v>0</v>
      </c>
      <c r="L452" s="54">
        <v>180</v>
      </c>
      <c r="M452" s="54">
        <v>180</v>
      </c>
      <c r="N452" s="54"/>
      <c r="O452" s="54">
        <f t="shared" ref="O452:O515" si="17">+I452+J452</f>
        <v>2360</v>
      </c>
    </row>
    <row r="453" spans="1:15" x14ac:dyDescent="0.2">
      <c r="A453" s="33">
        <v>43617</v>
      </c>
      <c r="B453" s="11">
        <v>127</v>
      </c>
      <c r="C453" s="11" t="s">
        <v>514</v>
      </c>
      <c r="D453" s="11" t="s">
        <v>515</v>
      </c>
      <c r="F453" s="11" t="s">
        <v>22</v>
      </c>
      <c r="G453" s="38" t="s">
        <v>736</v>
      </c>
      <c r="H453" s="650">
        <v>43633</v>
      </c>
      <c r="I453" s="126">
        <v>1529.22</v>
      </c>
      <c r="J453" s="640">
        <f t="shared" si="16"/>
        <v>275.25960000000003</v>
      </c>
      <c r="K453" s="54">
        <v>0</v>
      </c>
      <c r="L453" s="54">
        <v>137.62980000000002</v>
      </c>
      <c r="M453" s="54">
        <v>137.62980000000002</v>
      </c>
      <c r="N453" s="54"/>
      <c r="O453" s="54">
        <f t="shared" si="17"/>
        <v>1804.4796000000001</v>
      </c>
    </row>
    <row r="454" spans="1:15" x14ac:dyDescent="0.2">
      <c r="A454" s="33">
        <v>43617</v>
      </c>
      <c r="B454" s="11">
        <v>128</v>
      </c>
      <c r="C454" s="11" t="s">
        <v>514</v>
      </c>
      <c r="D454" s="11" t="s">
        <v>515</v>
      </c>
      <c r="F454" s="11" t="s">
        <v>22</v>
      </c>
      <c r="G454" s="38" t="s">
        <v>737</v>
      </c>
      <c r="H454" s="650">
        <v>43633</v>
      </c>
      <c r="I454" s="126">
        <v>500</v>
      </c>
      <c r="J454" s="640">
        <f t="shared" si="16"/>
        <v>90</v>
      </c>
      <c r="K454" s="54">
        <v>0</v>
      </c>
      <c r="L454" s="54">
        <v>45</v>
      </c>
      <c r="M454" s="54">
        <v>45</v>
      </c>
      <c r="N454" s="54"/>
      <c r="O454" s="54">
        <f t="shared" si="17"/>
        <v>590</v>
      </c>
    </row>
    <row r="455" spans="1:15" x14ac:dyDescent="0.2">
      <c r="A455" s="33">
        <v>43617</v>
      </c>
      <c r="B455" s="11">
        <v>129</v>
      </c>
      <c r="C455" s="11" t="s">
        <v>551</v>
      </c>
      <c r="D455" s="11" t="s">
        <v>552</v>
      </c>
      <c r="F455" s="11" t="s">
        <v>22</v>
      </c>
      <c r="G455" s="38" t="s">
        <v>738</v>
      </c>
      <c r="H455" s="650">
        <v>43633</v>
      </c>
      <c r="I455" s="126">
        <v>400</v>
      </c>
      <c r="J455" s="640">
        <f t="shared" si="16"/>
        <v>72</v>
      </c>
      <c r="K455" s="54">
        <v>0</v>
      </c>
      <c r="L455" s="54">
        <v>36</v>
      </c>
      <c r="M455" s="54">
        <v>36</v>
      </c>
      <c r="N455" s="54"/>
      <c r="O455" s="54">
        <f t="shared" si="17"/>
        <v>472</v>
      </c>
    </row>
    <row r="456" spans="1:15" x14ac:dyDescent="0.2">
      <c r="A456" s="33">
        <v>43617</v>
      </c>
      <c r="B456" s="11">
        <v>130</v>
      </c>
      <c r="C456" s="11" t="s">
        <v>471</v>
      </c>
      <c r="D456" s="11" t="s">
        <v>29</v>
      </c>
      <c r="F456" s="11" t="s">
        <v>22</v>
      </c>
      <c r="G456" s="38">
        <v>192002538</v>
      </c>
      <c r="H456" s="650">
        <v>43633</v>
      </c>
      <c r="I456" s="126">
        <v>17483.52</v>
      </c>
      <c r="J456" s="640">
        <f t="shared" si="16"/>
        <v>4895.3856000000005</v>
      </c>
      <c r="K456" s="54">
        <v>0</v>
      </c>
      <c r="L456" s="54">
        <v>2447.6928000000003</v>
      </c>
      <c r="M456" s="54">
        <v>2447.6928000000003</v>
      </c>
      <c r="N456" s="54"/>
      <c r="O456" s="54">
        <f t="shared" si="17"/>
        <v>22378.905600000002</v>
      </c>
    </row>
    <row r="457" spans="1:15" x14ac:dyDescent="0.2">
      <c r="A457" s="33">
        <v>43617</v>
      </c>
      <c r="B457" s="11">
        <v>131</v>
      </c>
      <c r="C457" s="11" t="s">
        <v>554</v>
      </c>
      <c r="D457" s="11" t="s">
        <v>555</v>
      </c>
      <c r="F457" s="11" t="s">
        <v>22</v>
      </c>
      <c r="G457" s="38">
        <v>2969</v>
      </c>
      <c r="H457" s="650">
        <v>43634</v>
      </c>
      <c r="I457" s="126">
        <v>1699.67</v>
      </c>
      <c r="J457" s="640">
        <f t="shared" si="16"/>
        <v>475.9076</v>
      </c>
      <c r="K457" s="54">
        <v>0</v>
      </c>
      <c r="L457" s="54">
        <v>237.9538</v>
      </c>
      <c r="M457" s="54">
        <v>237.9538</v>
      </c>
      <c r="N457" s="54"/>
      <c r="O457" s="54">
        <f t="shared" si="17"/>
        <v>2175.5776000000001</v>
      </c>
    </row>
    <row r="458" spans="1:15" x14ac:dyDescent="0.2">
      <c r="A458" s="33">
        <v>43617</v>
      </c>
      <c r="B458" s="11">
        <v>132</v>
      </c>
      <c r="C458" s="11" t="s">
        <v>554</v>
      </c>
      <c r="D458" s="11" t="s">
        <v>555</v>
      </c>
      <c r="F458" s="11" t="s">
        <v>22</v>
      </c>
      <c r="G458" s="38">
        <v>2983</v>
      </c>
      <c r="H458" s="650">
        <v>43634</v>
      </c>
      <c r="I458" s="126">
        <v>1668</v>
      </c>
      <c r="J458" s="640">
        <f t="shared" si="16"/>
        <v>467.03999999999996</v>
      </c>
      <c r="K458" s="54">
        <v>0</v>
      </c>
      <c r="L458" s="54">
        <v>233.51999999999998</v>
      </c>
      <c r="M458" s="54">
        <v>233.51999999999998</v>
      </c>
      <c r="N458" s="54"/>
      <c r="O458" s="54">
        <f t="shared" si="17"/>
        <v>2135.04</v>
      </c>
    </row>
    <row r="459" spans="1:15" x14ac:dyDescent="0.2">
      <c r="A459" s="33">
        <v>43617</v>
      </c>
      <c r="B459" s="11">
        <v>133</v>
      </c>
      <c r="C459" s="11" t="s">
        <v>739</v>
      </c>
      <c r="D459" s="11" t="s">
        <v>740</v>
      </c>
      <c r="F459" s="11" t="s">
        <v>22</v>
      </c>
      <c r="G459" s="38">
        <v>330219003574</v>
      </c>
      <c r="H459" s="650">
        <v>43633</v>
      </c>
      <c r="I459" s="126">
        <v>24587</v>
      </c>
      <c r="J459" s="640">
        <f t="shared" si="16"/>
        <v>4425.66</v>
      </c>
      <c r="K459" s="54">
        <v>0</v>
      </c>
      <c r="L459" s="54">
        <v>2212.83</v>
      </c>
      <c r="M459" s="54">
        <v>2212.83</v>
      </c>
      <c r="N459" s="54"/>
      <c r="O459" s="54">
        <f t="shared" si="17"/>
        <v>29012.66</v>
      </c>
    </row>
    <row r="460" spans="1:15" x14ac:dyDescent="0.2">
      <c r="A460" s="33">
        <v>43617</v>
      </c>
      <c r="B460" s="11">
        <v>134</v>
      </c>
      <c r="C460" s="11" t="s">
        <v>554</v>
      </c>
      <c r="D460" s="11" t="s">
        <v>555</v>
      </c>
      <c r="F460" s="11" t="s">
        <v>22</v>
      </c>
      <c r="G460" s="38">
        <v>2994</v>
      </c>
      <c r="H460" s="650">
        <v>43634</v>
      </c>
      <c r="I460" s="126">
        <v>2224</v>
      </c>
      <c r="J460" s="640">
        <f t="shared" si="16"/>
        <v>622.71999999999991</v>
      </c>
      <c r="K460" s="54">
        <v>0</v>
      </c>
      <c r="L460" s="54">
        <v>311.35999999999996</v>
      </c>
      <c r="M460" s="54">
        <v>311.35999999999996</v>
      </c>
      <c r="N460" s="54"/>
      <c r="O460" s="54">
        <f t="shared" si="17"/>
        <v>2846.72</v>
      </c>
    </row>
    <row r="461" spans="1:15" x14ac:dyDescent="0.2">
      <c r="A461" s="33">
        <v>43617</v>
      </c>
      <c r="B461" s="11">
        <v>135</v>
      </c>
      <c r="C461" s="11" t="s">
        <v>741</v>
      </c>
      <c r="D461" s="11" t="s">
        <v>225</v>
      </c>
      <c r="F461" s="11" t="s">
        <v>22</v>
      </c>
      <c r="G461" s="38">
        <v>2240087224</v>
      </c>
      <c r="H461" s="650">
        <v>43634</v>
      </c>
      <c r="I461" s="126">
        <v>35268</v>
      </c>
      <c r="J461" s="640">
        <f t="shared" si="16"/>
        <v>9875.0400000000009</v>
      </c>
      <c r="K461" s="54">
        <v>0</v>
      </c>
      <c r="L461" s="54">
        <v>4937.5200000000004</v>
      </c>
      <c r="M461" s="54">
        <v>4937.5200000000004</v>
      </c>
      <c r="N461" s="54"/>
      <c r="O461" s="54">
        <f t="shared" si="17"/>
        <v>45143.040000000001</v>
      </c>
    </row>
    <row r="462" spans="1:15" x14ac:dyDescent="0.2">
      <c r="A462" s="33">
        <v>43617</v>
      </c>
      <c r="B462" s="11">
        <v>136</v>
      </c>
      <c r="C462" s="11" t="s">
        <v>741</v>
      </c>
      <c r="D462" s="11" t="s">
        <v>225</v>
      </c>
      <c r="F462" s="11" t="s">
        <v>22</v>
      </c>
      <c r="G462" s="38">
        <v>2240087225</v>
      </c>
      <c r="H462" s="650">
        <v>43634</v>
      </c>
      <c r="I462" s="126">
        <v>10157.4</v>
      </c>
      <c r="J462" s="640">
        <f t="shared" si="16"/>
        <v>2844.0720000000001</v>
      </c>
      <c r="K462" s="54">
        <v>0</v>
      </c>
      <c r="L462" s="54">
        <v>1422.0360000000001</v>
      </c>
      <c r="M462" s="54">
        <v>1422.0360000000001</v>
      </c>
      <c r="N462" s="54"/>
      <c r="O462" s="54">
        <f t="shared" si="17"/>
        <v>13001.472</v>
      </c>
    </row>
    <row r="463" spans="1:15" x14ac:dyDescent="0.2">
      <c r="A463" s="33">
        <v>43617</v>
      </c>
      <c r="B463" s="11">
        <v>137</v>
      </c>
      <c r="C463" s="11" t="s">
        <v>554</v>
      </c>
      <c r="D463" s="11" t="s">
        <v>555</v>
      </c>
      <c r="F463" s="11" t="s">
        <v>22</v>
      </c>
      <c r="G463" s="38">
        <v>3008</v>
      </c>
      <c r="H463" s="650">
        <v>43635</v>
      </c>
      <c r="I463" s="126">
        <v>1779.2</v>
      </c>
      <c r="J463" s="640">
        <f t="shared" si="16"/>
        <v>498.17600000000004</v>
      </c>
      <c r="K463" s="54">
        <v>0</v>
      </c>
      <c r="L463" s="54">
        <v>249.08800000000002</v>
      </c>
      <c r="M463" s="54">
        <v>249.08800000000002</v>
      </c>
      <c r="N463" s="54"/>
      <c r="O463" s="54">
        <f t="shared" si="17"/>
        <v>2277.3760000000002</v>
      </c>
    </row>
    <row r="464" spans="1:15" x14ac:dyDescent="0.2">
      <c r="A464" s="33">
        <v>43617</v>
      </c>
      <c r="B464" s="11">
        <v>138</v>
      </c>
      <c r="C464" s="11" t="s">
        <v>554</v>
      </c>
      <c r="D464" s="11" t="s">
        <v>555</v>
      </c>
      <c r="F464" s="11" t="s">
        <v>22</v>
      </c>
      <c r="G464" s="38">
        <v>3024</v>
      </c>
      <c r="H464" s="650">
        <v>43635</v>
      </c>
      <c r="I464" s="126">
        <v>1890.4</v>
      </c>
      <c r="J464" s="640">
        <f t="shared" si="16"/>
        <v>529.31200000000001</v>
      </c>
      <c r="K464" s="54">
        <v>0</v>
      </c>
      <c r="L464" s="54">
        <v>264.65600000000001</v>
      </c>
      <c r="M464" s="54">
        <v>264.65600000000001</v>
      </c>
      <c r="N464" s="54"/>
      <c r="O464" s="54">
        <f t="shared" si="17"/>
        <v>2419.712</v>
      </c>
    </row>
    <row r="465" spans="1:15" x14ac:dyDescent="0.2">
      <c r="A465" s="33">
        <v>43617</v>
      </c>
      <c r="B465" s="11">
        <v>139</v>
      </c>
      <c r="C465" s="11" t="s">
        <v>591</v>
      </c>
      <c r="D465" s="11" t="s">
        <v>592</v>
      </c>
      <c r="F465" s="11" t="s">
        <v>22</v>
      </c>
      <c r="G465" s="38" t="s">
        <v>742</v>
      </c>
      <c r="H465" s="650">
        <v>43634</v>
      </c>
      <c r="I465" s="126">
        <v>30900</v>
      </c>
      <c r="J465" s="640">
        <f t="shared" si="16"/>
        <v>5562</v>
      </c>
      <c r="K465" s="54">
        <v>0</v>
      </c>
      <c r="L465" s="54">
        <v>2781</v>
      </c>
      <c r="M465" s="54">
        <v>2781</v>
      </c>
      <c r="N465" s="54"/>
      <c r="O465" s="54">
        <f t="shared" si="17"/>
        <v>36462</v>
      </c>
    </row>
    <row r="466" spans="1:15" x14ac:dyDescent="0.2">
      <c r="A466" s="33">
        <v>43617</v>
      </c>
      <c r="B466" s="11">
        <v>140</v>
      </c>
      <c r="C466" s="11" t="s">
        <v>511</v>
      </c>
      <c r="D466" s="11" t="s">
        <v>512</v>
      </c>
      <c r="F466" s="11" t="s">
        <v>22</v>
      </c>
      <c r="G466" s="38" t="s">
        <v>743</v>
      </c>
      <c r="H466" s="650">
        <v>43635</v>
      </c>
      <c r="I466" s="126">
        <v>4500</v>
      </c>
      <c r="J466" s="640">
        <f t="shared" si="16"/>
        <v>810</v>
      </c>
      <c r="K466" s="54">
        <v>0</v>
      </c>
      <c r="L466" s="54">
        <v>405</v>
      </c>
      <c r="M466" s="54">
        <v>405</v>
      </c>
      <c r="N466" s="54"/>
      <c r="O466" s="54">
        <f t="shared" si="17"/>
        <v>5310</v>
      </c>
    </row>
    <row r="467" spans="1:15" x14ac:dyDescent="0.2">
      <c r="A467" s="33">
        <v>43617</v>
      </c>
      <c r="B467" s="11">
        <v>141</v>
      </c>
      <c r="C467" s="11" t="s">
        <v>554</v>
      </c>
      <c r="D467" s="11" t="s">
        <v>555</v>
      </c>
      <c r="F467" s="11" t="s">
        <v>22</v>
      </c>
      <c r="G467" s="38">
        <v>3033</v>
      </c>
      <c r="H467" s="650">
        <v>43635</v>
      </c>
      <c r="I467" s="126">
        <v>1306.5999999999999</v>
      </c>
      <c r="J467" s="640">
        <f t="shared" si="16"/>
        <v>365.84799999999996</v>
      </c>
      <c r="K467" s="54">
        <v>0</v>
      </c>
      <c r="L467" s="54">
        <v>182.92399999999998</v>
      </c>
      <c r="M467" s="54">
        <v>182.92399999999998</v>
      </c>
      <c r="N467" s="54"/>
      <c r="O467" s="54">
        <f t="shared" si="17"/>
        <v>1672.4479999999999</v>
      </c>
    </row>
    <row r="468" spans="1:15" x14ac:dyDescent="0.2">
      <c r="A468" s="33">
        <v>43617</v>
      </c>
      <c r="B468" s="11">
        <v>142</v>
      </c>
      <c r="C468" s="11" t="s">
        <v>471</v>
      </c>
      <c r="D468" s="11" t="s">
        <v>29</v>
      </c>
      <c r="F468" s="11" t="s">
        <v>22</v>
      </c>
      <c r="G468" s="38">
        <v>192002627</v>
      </c>
      <c r="H468" s="650">
        <v>43635</v>
      </c>
      <c r="I468" s="126">
        <v>17483.52</v>
      </c>
      <c r="J468" s="640">
        <f t="shared" si="16"/>
        <v>4895.3856000000005</v>
      </c>
      <c r="K468" s="54">
        <v>0</v>
      </c>
      <c r="L468" s="54">
        <v>2447.6928000000003</v>
      </c>
      <c r="M468" s="54">
        <v>2447.6928000000003</v>
      </c>
      <c r="N468" s="54"/>
      <c r="O468" s="54">
        <f t="shared" si="17"/>
        <v>22378.905600000002</v>
      </c>
    </row>
    <row r="469" spans="1:15" x14ac:dyDescent="0.2">
      <c r="A469" s="33">
        <v>43617</v>
      </c>
      <c r="B469" s="11">
        <v>143</v>
      </c>
      <c r="C469" s="11" t="s">
        <v>471</v>
      </c>
      <c r="D469" s="11" t="s">
        <v>29</v>
      </c>
      <c r="F469" s="11" t="s">
        <v>22</v>
      </c>
      <c r="G469" s="38">
        <v>192002628</v>
      </c>
      <c r="H469" s="650">
        <v>43635</v>
      </c>
      <c r="I469" s="126">
        <v>17483.52</v>
      </c>
      <c r="J469" s="640">
        <f t="shared" si="16"/>
        <v>4895.3856000000005</v>
      </c>
      <c r="K469" s="54">
        <v>0</v>
      </c>
      <c r="L469" s="54">
        <v>2447.6928000000003</v>
      </c>
      <c r="M469" s="54">
        <v>2447.6928000000003</v>
      </c>
      <c r="N469" s="54"/>
      <c r="O469" s="54">
        <f t="shared" si="17"/>
        <v>22378.905600000002</v>
      </c>
    </row>
    <row r="470" spans="1:15" x14ac:dyDescent="0.2">
      <c r="A470" s="33">
        <v>43617</v>
      </c>
      <c r="B470" s="11">
        <v>144</v>
      </c>
      <c r="C470" s="11" t="s">
        <v>495</v>
      </c>
      <c r="D470" s="11" t="s">
        <v>74</v>
      </c>
      <c r="F470" s="11" t="s">
        <v>22</v>
      </c>
      <c r="G470" s="38">
        <v>5510048900</v>
      </c>
      <c r="H470" s="650">
        <v>43635</v>
      </c>
      <c r="I470" s="126">
        <v>31852.799999999999</v>
      </c>
      <c r="J470" s="640">
        <f t="shared" si="16"/>
        <v>5733.5040000000008</v>
      </c>
      <c r="K470" s="54">
        <v>0</v>
      </c>
      <c r="L470" s="54">
        <v>2866.7520000000004</v>
      </c>
      <c r="M470" s="54">
        <v>2866.7520000000004</v>
      </c>
      <c r="N470" s="54"/>
      <c r="O470" s="54">
        <f t="shared" si="17"/>
        <v>37586.304000000004</v>
      </c>
    </row>
    <row r="471" spans="1:15" x14ac:dyDescent="0.2">
      <c r="A471" s="33">
        <v>43617</v>
      </c>
      <c r="B471" s="11">
        <v>145</v>
      </c>
      <c r="C471" s="11" t="s">
        <v>489</v>
      </c>
      <c r="D471" s="11" t="s">
        <v>490</v>
      </c>
      <c r="F471" s="11" t="s">
        <v>22</v>
      </c>
      <c r="G471" s="38">
        <v>7887984827</v>
      </c>
      <c r="H471" s="650">
        <v>43635</v>
      </c>
      <c r="I471" s="126">
        <v>12720</v>
      </c>
      <c r="J471" s="640">
        <f t="shared" si="16"/>
        <v>2289.6</v>
      </c>
      <c r="K471" s="54">
        <v>0</v>
      </c>
      <c r="L471" s="54">
        <v>1144.8</v>
      </c>
      <c r="M471" s="54">
        <v>1144.8</v>
      </c>
      <c r="N471" s="54"/>
      <c r="O471" s="54">
        <f t="shared" si="17"/>
        <v>15009.6</v>
      </c>
    </row>
    <row r="472" spans="1:15" x14ac:dyDescent="0.2">
      <c r="A472" s="33">
        <v>43617</v>
      </c>
      <c r="B472" s="11">
        <v>146</v>
      </c>
      <c r="C472" s="11" t="s">
        <v>554</v>
      </c>
      <c r="D472" s="11" t="s">
        <v>555</v>
      </c>
      <c r="F472" s="11" t="s">
        <v>22</v>
      </c>
      <c r="G472" s="38">
        <v>3067</v>
      </c>
      <c r="H472" s="650">
        <v>43636</v>
      </c>
      <c r="I472" s="126">
        <v>5560</v>
      </c>
      <c r="J472" s="640">
        <f t="shared" si="16"/>
        <v>1556.8</v>
      </c>
      <c r="K472" s="54">
        <v>0</v>
      </c>
      <c r="L472" s="54">
        <v>778.4</v>
      </c>
      <c r="M472" s="54">
        <v>778.4</v>
      </c>
      <c r="N472" s="54"/>
      <c r="O472" s="54">
        <f t="shared" si="17"/>
        <v>7116.8</v>
      </c>
    </row>
    <row r="473" spans="1:15" x14ac:dyDescent="0.2">
      <c r="A473" s="33">
        <v>43617</v>
      </c>
      <c r="B473" s="11">
        <v>147</v>
      </c>
      <c r="C473" s="11" t="s">
        <v>499</v>
      </c>
      <c r="D473" s="11" t="s">
        <v>500</v>
      </c>
      <c r="F473" s="11" t="s">
        <v>22</v>
      </c>
      <c r="G473" s="38" t="s">
        <v>744</v>
      </c>
      <c r="H473" s="650">
        <v>43636</v>
      </c>
      <c r="I473" s="126">
        <v>577.20000000000005</v>
      </c>
      <c r="J473" s="640">
        <f t="shared" si="16"/>
        <v>83.3</v>
      </c>
      <c r="K473" s="54">
        <v>0</v>
      </c>
      <c r="L473" s="54">
        <v>41.65</v>
      </c>
      <c r="M473" s="54">
        <v>41.65</v>
      </c>
      <c r="N473" s="54"/>
      <c r="O473" s="54">
        <f t="shared" si="17"/>
        <v>660.5</v>
      </c>
    </row>
    <row r="474" spans="1:15" x14ac:dyDescent="0.2">
      <c r="A474" s="33">
        <v>43617</v>
      </c>
      <c r="B474" s="11">
        <v>148</v>
      </c>
      <c r="C474" s="11" t="s">
        <v>499</v>
      </c>
      <c r="D474" s="11" t="s">
        <v>500</v>
      </c>
      <c r="F474" s="11" t="s">
        <v>22</v>
      </c>
      <c r="G474" s="38" t="s">
        <v>745</v>
      </c>
      <c r="H474" s="650">
        <v>43636</v>
      </c>
      <c r="I474" s="126">
        <v>420</v>
      </c>
      <c r="J474" s="640">
        <f t="shared" si="16"/>
        <v>75.600000000000009</v>
      </c>
      <c r="K474" s="54">
        <v>0</v>
      </c>
      <c r="L474" s="54">
        <v>37.800000000000004</v>
      </c>
      <c r="M474" s="54">
        <v>37.800000000000004</v>
      </c>
      <c r="N474" s="54"/>
      <c r="O474" s="54">
        <f t="shared" si="17"/>
        <v>495.6</v>
      </c>
    </row>
    <row r="475" spans="1:15" x14ac:dyDescent="0.2">
      <c r="A475" s="33">
        <v>43617</v>
      </c>
      <c r="B475" s="11">
        <v>149</v>
      </c>
      <c r="C475" s="11" t="s">
        <v>554</v>
      </c>
      <c r="D475" s="11" t="s">
        <v>555</v>
      </c>
      <c r="F475" s="11" t="s">
        <v>22</v>
      </c>
      <c r="G475" s="38">
        <v>3109</v>
      </c>
      <c r="H475" s="650">
        <v>43636</v>
      </c>
      <c r="I475" s="126">
        <v>4726</v>
      </c>
      <c r="J475" s="640">
        <f t="shared" si="16"/>
        <v>1323.28</v>
      </c>
      <c r="K475" s="54">
        <v>0</v>
      </c>
      <c r="L475" s="54">
        <v>661.64</v>
      </c>
      <c r="M475" s="54">
        <v>661.64</v>
      </c>
      <c r="N475" s="54"/>
      <c r="O475" s="54">
        <f t="shared" si="17"/>
        <v>6049.28</v>
      </c>
    </row>
    <row r="476" spans="1:15" x14ac:dyDescent="0.2">
      <c r="A476" s="33">
        <v>43617</v>
      </c>
      <c r="B476" s="11">
        <v>150</v>
      </c>
      <c r="C476" s="11" t="s">
        <v>471</v>
      </c>
      <c r="D476" s="11" t="s">
        <v>29</v>
      </c>
      <c r="F476" s="11" t="s">
        <v>22</v>
      </c>
      <c r="G476" s="38">
        <v>192002650</v>
      </c>
      <c r="H476" s="650">
        <v>43635</v>
      </c>
      <c r="I476" s="126">
        <v>17483.52</v>
      </c>
      <c r="J476" s="640">
        <f t="shared" si="16"/>
        <v>4895.3856000000005</v>
      </c>
      <c r="K476" s="54">
        <v>0</v>
      </c>
      <c r="L476" s="54">
        <v>2447.6928000000003</v>
      </c>
      <c r="M476" s="54">
        <v>2447.6928000000003</v>
      </c>
      <c r="N476" s="54"/>
      <c r="O476" s="54">
        <f t="shared" si="17"/>
        <v>22378.905600000002</v>
      </c>
    </row>
    <row r="477" spans="1:15" x14ac:dyDescent="0.2">
      <c r="A477" s="33">
        <v>43617</v>
      </c>
      <c r="B477" s="11">
        <v>151</v>
      </c>
      <c r="C477" s="11" t="s">
        <v>471</v>
      </c>
      <c r="D477" s="11" t="s">
        <v>29</v>
      </c>
      <c r="F477" s="11" t="s">
        <v>22</v>
      </c>
      <c r="G477" s="38">
        <v>192002657</v>
      </c>
      <c r="H477" s="650">
        <v>43636</v>
      </c>
      <c r="I477" s="126">
        <v>17483.52</v>
      </c>
      <c r="J477" s="640">
        <f t="shared" si="16"/>
        <v>4895.3856000000005</v>
      </c>
      <c r="K477" s="54">
        <v>0</v>
      </c>
      <c r="L477" s="54">
        <v>2447.6928000000003</v>
      </c>
      <c r="M477" s="54">
        <v>2447.6928000000003</v>
      </c>
      <c r="N477" s="54"/>
      <c r="O477" s="54">
        <f t="shared" si="17"/>
        <v>22378.905600000002</v>
      </c>
    </row>
    <row r="478" spans="1:15" x14ac:dyDescent="0.2">
      <c r="A478" s="33">
        <v>43617</v>
      </c>
      <c r="B478" s="11">
        <v>152</v>
      </c>
      <c r="C478" s="11" t="s">
        <v>495</v>
      </c>
      <c r="D478" s="11" t="s">
        <v>74</v>
      </c>
      <c r="F478" s="11" t="s">
        <v>22</v>
      </c>
      <c r="G478" s="38">
        <v>5510049069</v>
      </c>
      <c r="H478" s="650">
        <v>43636</v>
      </c>
      <c r="I478" s="126">
        <v>39816</v>
      </c>
      <c r="J478" s="640">
        <f t="shared" si="16"/>
        <v>7166.88</v>
      </c>
      <c r="K478" s="54">
        <v>0</v>
      </c>
      <c r="L478" s="54">
        <v>3583.44</v>
      </c>
      <c r="M478" s="54">
        <v>3583.44</v>
      </c>
      <c r="N478" s="54"/>
      <c r="O478" s="54">
        <f t="shared" si="17"/>
        <v>46982.879999999997</v>
      </c>
    </row>
    <row r="479" spans="1:15" x14ac:dyDescent="0.2">
      <c r="A479" s="33">
        <v>43617</v>
      </c>
      <c r="B479" s="11">
        <v>153</v>
      </c>
      <c r="C479" s="11" t="s">
        <v>708</v>
      </c>
      <c r="D479" s="11" t="s">
        <v>709</v>
      </c>
      <c r="F479" s="11" t="s">
        <v>22</v>
      </c>
      <c r="G479" s="38">
        <v>7888008462</v>
      </c>
      <c r="H479" s="650">
        <v>43636</v>
      </c>
      <c r="I479" s="126">
        <v>8860</v>
      </c>
      <c r="J479" s="640">
        <f t="shared" si="16"/>
        <v>1594.8</v>
      </c>
      <c r="K479" s="54">
        <v>1594.8</v>
      </c>
      <c r="L479" s="54">
        <v>0</v>
      </c>
      <c r="M479" s="54">
        <v>0</v>
      </c>
      <c r="N479" s="54"/>
      <c r="O479" s="54">
        <f t="shared" si="17"/>
        <v>10454.799999999999</v>
      </c>
    </row>
    <row r="480" spans="1:15" x14ac:dyDescent="0.2">
      <c r="A480" s="33">
        <v>43617</v>
      </c>
      <c r="B480" s="11">
        <v>154</v>
      </c>
      <c r="C480" s="11" t="s">
        <v>554</v>
      </c>
      <c r="D480" s="11" t="s">
        <v>555</v>
      </c>
      <c r="F480" s="11" t="s">
        <v>22</v>
      </c>
      <c r="G480" s="38">
        <v>3135</v>
      </c>
      <c r="H480" s="650">
        <v>43637</v>
      </c>
      <c r="I480" s="126">
        <v>7784</v>
      </c>
      <c r="J480" s="640">
        <f t="shared" si="16"/>
        <v>2179.52</v>
      </c>
      <c r="K480" s="54">
        <v>0</v>
      </c>
      <c r="L480" s="54">
        <v>1089.76</v>
      </c>
      <c r="M480" s="54">
        <v>1089.76</v>
      </c>
      <c r="N480" s="54"/>
      <c r="O480" s="54">
        <f t="shared" si="17"/>
        <v>9963.52</v>
      </c>
    </row>
    <row r="481" spans="1:15" x14ac:dyDescent="0.2">
      <c r="A481" s="33">
        <v>43617</v>
      </c>
      <c r="B481" s="11">
        <v>155</v>
      </c>
      <c r="C481" s="11" t="s">
        <v>554</v>
      </c>
      <c r="D481" s="11" t="s">
        <v>555</v>
      </c>
      <c r="F481" s="11" t="s">
        <v>22</v>
      </c>
      <c r="G481" s="38">
        <v>3150</v>
      </c>
      <c r="H481" s="650">
        <v>43637</v>
      </c>
      <c r="I481" s="126">
        <v>4448</v>
      </c>
      <c r="J481" s="640">
        <f t="shared" si="16"/>
        <v>1245.4399999999998</v>
      </c>
      <c r="K481" s="54">
        <v>0</v>
      </c>
      <c r="L481" s="54">
        <v>622.71999999999991</v>
      </c>
      <c r="M481" s="54">
        <v>622.71999999999991</v>
      </c>
      <c r="N481" s="54"/>
      <c r="O481" s="54">
        <f t="shared" si="17"/>
        <v>5693.44</v>
      </c>
    </row>
    <row r="482" spans="1:15" x14ac:dyDescent="0.2">
      <c r="A482" s="33">
        <v>43617</v>
      </c>
      <c r="B482" s="11">
        <v>156</v>
      </c>
      <c r="C482" s="11" t="s">
        <v>471</v>
      </c>
      <c r="D482" s="11" t="s">
        <v>29</v>
      </c>
      <c r="F482" s="11" t="s">
        <v>22</v>
      </c>
      <c r="G482" s="38">
        <v>192002692</v>
      </c>
      <c r="H482" s="650">
        <v>43637</v>
      </c>
      <c r="I482" s="126">
        <v>17483.52</v>
      </c>
      <c r="J482" s="640">
        <f t="shared" si="16"/>
        <v>4895.3856000000005</v>
      </c>
      <c r="K482" s="54">
        <v>0</v>
      </c>
      <c r="L482" s="54">
        <v>2447.6928000000003</v>
      </c>
      <c r="M482" s="54">
        <v>2447.6928000000003</v>
      </c>
      <c r="N482" s="54"/>
      <c r="O482" s="54">
        <f t="shared" si="17"/>
        <v>22378.905600000002</v>
      </c>
    </row>
    <row r="483" spans="1:15" x14ac:dyDescent="0.2">
      <c r="A483" s="33">
        <v>43617</v>
      </c>
      <c r="B483" s="11">
        <v>157</v>
      </c>
      <c r="C483" s="11" t="s">
        <v>471</v>
      </c>
      <c r="D483" s="11" t="s">
        <v>29</v>
      </c>
      <c r="F483" s="11" t="s">
        <v>22</v>
      </c>
      <c r="G483" s="38">
        <v>192002699</v>
      </c>
      <c r="H483" s="650">
        <v>43637</v>
      </c>
      <c r="I483" s="126">
        <v>17483.52</v>
      </c>
      <c r="J483" s="640">
        <f t="shared" si="16"/>
        <v>4895.3856000000005</v>
      </c>
      <c r="K483" s="54">
        <v>0</v>
      </c>
      <c r="L483" s="54">
        <v>2447.6928000000003</v>
      </c>
      <c r="M483" s="54">
        <v>2447.6928000000003</v>
      </c>
      <c r="N483" s="54"/>
      <c r="O483" s="54">
        <f t="shared" si="17"/>
        <v>22378.905600000002</v>
      </c>
    </row>
    <row r="484" spans="1:15" x14ac:dyDescent="0.2">
      <c r="A484" s="33">
        <v>43617</v>
      </c>
      <c r="B484" s="11">
        <v>158</v>
      </c>
      <c r="C484" s="11" t="s">
        <v>473</v>
      </c>
      <c r="D484" s="11" t="s">
        <v>41</v>
      </c>
      <c r="F484" s="11" t="s">
        <v>22</v>
      </c>
      <c r="G484" s="38" t="s">
        <v>746</v>
      </c>
      <c r="H484" s="650">
        <v>43637</v>
      </c>
      <c r="I484" s="126">
        <v>6223.2</v>
      </c>
      <c r="J484" s="640">
        <f t="shared" si="16"/>
        <v>1742.4960000000001</v>
      </c>
      <c r="K484" s="54">
        <v>0</v>
      </c>
      <c r="L484" s="54">
        <v>871.24800000000005</v>
      </c>
      <c r="M484" s="54">
        <v>871.24800000000005</v>
      </c>
      <c r="N484" s="54"/>
      <c r="O484" s="54">
        <f t="shared" si="17"/>
        <v>7965.6959999999999</v>
      </c>
    </row>
    <row r="485" spans="1:15" x14ac:dyDescent="0.2">
      <c r="A485" s="33">
        <v>43617</v>
      </c>
      <c r="B485" s="11">
        <v>159</v>
      </c>
      <c r="C485" s="11" t="s">
        <v>747</v>
      </c>
      <c r="D485" s="11" t="s">
        <v>748</v>
      </c>
      <c r="F485" s="11" t="s">
        <v>22</v>
      </c>
      <c r="G485" s="38" t="s">
        <v>749</v>
      </c>
      <c r="H485" s="650">
        <v>43637</v>
      </c>
      <c r="I485" s="126">
        <v>24000</v>
      </c>
      <c r="J485" s="640">
        <f t="shared" si="16"/>
        <v>4320</v>
      </c>
      <c r="K485" s="54">
        <v>0</v>
      </c>
      <c r="L485" s="54">
        <v>2160</v>
      </c>
      <c r="M485" s="54">
        <v>2160</v>
      </c>
      <c r="N485" s="54"/>
      <c r="O485" s="54">
        <f t="shared" si="17"/>
        <v>28320</v>
      </c>
    </row>
    <row r="486" spans="1:15" x14ac:dyDescent="0.2">
      <c r="A486" s="33">
        <v>43617</v>
      </c>
      <c r="B486" s="11">
        <v>160</v>
      </c>
      <c r="C486" s="11" t="s">
        <v>517</v>
      </c>
      <c r="D486" s="11" t="s">
        <v>256</v>
      </c>
      <c r="F486" s="11" t="s">
        <v>22</v>
      </c>
      <c r="G486" s="38">
        <v>19607357</v>
      </c>
      <c r="H486" s="650">
        <v>43636</v>
      </c>
      <c r="I486" s="126">
        <v>12571</v>
      </c>
      <c r="J486" s="640">
        <f t="shared" si="16"/>
        <v>3519.8799999999997</v>
      </c>
      <c r="K486" s="54">
        <v>3519.8799999999997</v>
      </c>
      <c r="L486" s="54">
        <v>0</v>
      </c>
      <c r="M486" s="54">
        <v>0</v>
      </c>
      <c r="N486" s="54"/>
      <c r="O486" s="54">
        <f t="shared" si="17"/>
        <v>16090.88</v>
      </c>
    </row>
    <row r="487" spans="1:15" x14ac:dyDescent="0.2">
      <c r="A487" s="33">
        <v>43617</v>
      </c>
      <c r="B487" s="11">
        <v>161</v>
      </c>
      <c r="C487" s="11" t="s">
        <v>489</v>
      </c>
      <c r="D487" s="11" t="s">
        <v>490</v>
      </c>
      <c r="F487" s="11" t="s">
        <v>22</v>
      </c>
      <c r="G487" s="38">
        <v>7887984925</v>
      </c>
      <c r="H487" s="650">
        <v>43637</v>
      </c>
      <c r="I487" s="126">
        <v>7000</v>
      </c>
      <c r="J487" s="640">
        <f t="shared" si="16"/>
        <v>1260</v>
      </c>
      <c r="K487" s="54">
        <v>0</v>
      </c>
      <c r="L487" s="54">
        <v>630</v>
      </c>
      <c r="M487" s="54">
        <v>630</v>
      </c>
      <c r="N487" s="54"/>
      <c r="O487" s="54">
        <f t="shared" si="17"/>
        <v>8260</v>
      </c>
    </row>
    <row r="488" spans="1:15" x14ac:dyDescent="0.2">
      <c r="A488" s="33">
        <v>43617</v>
      </c>
      <c r="B488" s="11">
        <v>162</v>
      </c>
      <c r="C488" s="11" t="s">
        <v>489</v>
      </c>
      <c r="D488" s="11" t="s">
        <v>490</v>
      </c>
      <c r="F488" s="11" t="s">
        <v>22</v>
      </c>
      <c r="G488" s="38">
        <v>7887984955</v>
      </c>
      <c r="H488" s="650">
        <v>43638</v>
      </c>
      <c r="I488" s="126">
        <v>52416</v>
      </c>
      <c r="J488" s="640">
        <f t="shared" si="16"/>
        <v>9434.8799999999992</v>
      </c>
      <c r="K488" s="54">
        <v>0</v>
      </c>
      <c r="L488" s="54">
        <v>4717.4399999999996</v>
      </c>
      <c r="M488" s="54">
        <v>4717.4399999999996</v>
      </c>
      <c r="N488" s="54"/>
      <c r="O488" s="54">
        <f t="shared" si="17"/>
        <v>61850.879999999997</v>
      </c>
    </row>
    <row r="489" spans="1:15" x14ac:dyDescent="0.2">
      <c r="A489" s="33">
        <v>43617</v>
      </c>
      <c r="B489" s="11">
        <v>163</v>
      </c>
      <c r="C489" s="11" t="s">
        <v>554</v>
      </c>
      <c r="D489" s="11" t="s">
        <v>555</v>
      </c>
      <c r="F489" s="11" t="s">
        <v>22</v>
      </c>
      <c r="G489" s="38">
        <v>3184</v>
      </c>
      <c r="H489" s="650">
        <v>43638</v>
      </c>
      <c r="I489" s="126">
        <v>7506</v>
      </c>
      <c r="J489" s="640">
        <f t="shared" si="16"/>
        <v>2101.6800000000003</v>
      </c>
      <c r="K489" s="54">
        <v>0</v>
      </c>
      <c r="L489" s="54">
        <v>1050.8400000000001</v>
      </c>
      <c r="M489" s="54">
        <v>1050.8400000000001</v>
      </c>
      <c r="N489" s="54"/>
      <c r="O489" s="54">
        <f t="shared" si="17"/>
        <v>9607.68</v>
      </c>
    </row>
    <row r="490" spans="1:15" x14ac:dyDescent="0.2">
      <c r="A490" s="33">
        <v>43617</v>
      </c>
      <c r="B490" s="11">
        <v>164</v>
      </c>
      <c r="C490" s="11" t="s">
        <v>554</v>
      </c>
      <c r="D490" s="11" t="s">
        <v>555</v>
      </c>
      <c r="F490" s="11" t="s">
        <v>22</v>
      </c>
      <c r="G490" s="38">
        <v>3207</v>
      </c>
      <c r="H490" s="650">
        <v>43638</v>
      </c>
      <c r="I490" s="126">
        <v>3058</v>
      </c>
      <c r="J490" s="640">
        <f t="shared" si="16"/>
        <v>856.24</v>
      </c>
      <c r="K490" s="54">
        <v>0</v>
      </c>
      <c r="L490" s="54">
        <v>428.12</v>
      </c>
      <c r="M490" s="54">
        <v>428.12</v>
      </c>
      <c r="N490" s="54"/>
      <c r="O490" s="54">
        <f t="shared" si="17"/>
        <v>3914.24</v>
      </c>
    </row>
    <row r="491" spans="1:15" x14ac:dyDescent="0.2">
      <c r="A491" s="33">
        <v>43617</v>
      </c>
      <c r="B491" s="11">
        <v>165</v>
      </c>
      <c r="C491" s="11" t="s">
        <v>554</v>
      </c>
      <c r="D491" s="11" t="s">
        <v>555</v>
      </c>
      <c r="F491" s="11" t="s">
        <v>22</v>
      </c>
      <c r="G491" s="38">
        <v>3221</v>
      </c>
      <c r="H491" s="650">
        <v>43638</v>
      </c>
      <c r="I491" s="126">
        <v>4281</v>
      </c>
      <c r="J491" s="640">
        <f t="shared" si="16"/>
        <v>1198.68</v>
      </c>
      <c r="K491" s="54">
        <v>0</v>
      </c>
      <c r="L491" s="54">
        <v>599.34</v>
      </c>
      <c r="M491" s="54">
        <v>599.34</v>
      </c>
      <c r="N491" s="54"/>
      <c r="O491" s="54">
        <f t="shared" si="17"/>
        <v>5479.68</v>
      </c>
    </row>
    <row r="492" spans="1:15" x14ac:dyDescent="0.2">
      <c r="A492" s="33">
        <v>43617</v>
      </c>
      <c r="B492" s="11">
        <v>166</v>
      </c>
      <c r="C492" s="11" t="s">
        <v>554</v>
      </c>
      <c r="D492" s="11" t="s">
        <v>555</v>
      </c>
      <c r="F492" s="11" t="s">
        <v>22</v>
      </c>
      <c r="G492" s="38">
        <v>3222</v>
      </c>
      <c r="H492" s="650">
        <v>43638</v>
      </c>
      <c r="I492" s="126">
        <v>4059</v>
      </c>
      <c r="J492" s="640">
        <f t="shared" si="16"/>
        <v>1136.52</v>
      </c>
      <c r="K492" s="54">
        <v>0</v>
      </c>
      <c r="L492" s="54">
        <v>568.26</v>
      </c>
      <c r="M492" s="54">
        <v>568.26</v>
      </c>
      <c r="N492" s="54"/>
      <c r="O492" s="54">
        <f t="shared" si="17"/>
        <v>5195.5200000000004</v>
      </c>
    </row>
    <row r="493" spans="1:15" x14ac:dyDescent="0.2">
      <c r="A493" s="33">
        <v>43617</v>
      </c>
      <c r="B493" s="11">
        <v>167</v>
      </c>
      <c r="C493" s="11" t="s">
        <v>666</v>
      </c>
      <c r="D493" s="11" t="s">
        <v>667</v>
      </c>
      <c r="F493" s="11" t="s">
        <v>22</v>
      </c>
      <c r="G493" s="38" t="s">
        <v>750</v>
      </c>
      <c r="H493" s="650">
        <v>43638</v>
      </c>
      <c r="I493" s="126">
        <v>87137.5</v>
      </c>
      <c r="J493" s="640">
        <f t="shared" si="16"/>
        <v>24398.5</v>
      </c>
      <c r="K493" s="54">
        <v>0</v>
      </c>
      <c r="L493" s="54">
        <v>12199.25</v>
      </c>
      <c r="M493" s="54">
        <v>12199.25</v>
      </c>
      <c r="N493" s="54"/>
      <c r="O493" s="54">
        <f t="shared" si="17"/>
        <v>111536</v>
      </c>
    </row>
    <row r="494" spans="1:15" x14ac:dyDescent="0.2">
      <c r="A494" s="33">
        <v>43617</v>
      </c>
      <c r="B494" s="11">
        <v>168</v>
      </c>
      <c r="C494" s="11" t="s">
        <v>666</v>
      </c>
      <c r="D494" s="11" t="s">
        <v>667</v>
      </c>
      <c r="F494" s="11" t="s">
        <v>22</v>
      </c>
      <c r="G494" s="38" t="s">
        <v>751</v>
      </c>
      <c r="H494" s="650">
        <v>43638</v>
      </c>
      <c r="I494" s="126">
        <v>24000</v>
      </c>
      <c r="J494" s="640">
        <f t="shared" si="16"/>
        <v>6720</v>
      </c>
      <c r="K494" s="54">
        <v>0</v>
      </c>
      <c r="L494" s="54">
        <v>3360</v>
      </c>
      <c r="M494" s="54">
        <v>3360</v>
      </c>
      <c r="N494" s="54"/>
      <c r="O494" s="54">
        <f t="shared" si="17"/>
        <v>30720</v>
      </c>
    </row>
    <row r="495" spans="1:15" x14ac:dyDescent="0.2">
      <c r="A495" s="33">
        <v>43617</v>
      </c>
      <c r="B495" s="11">
        <v>169</v>
      </c>
      <c r="C495" s="11" t="s">
        <v>601</v>
      </c>
      <c r="D495" s="11" t="s">
        <v>602</v>
      </c>
      <c r="F495" s="11" t="s">
        <v>22</v>
      </c>
      <c r="G495" s="38">
        <v>2204</v>
      </c>
      <c r="H495" s="650">
        <v>43638</v>
      </c>
      <c r="I495" s="126">
        <v>50666.400000000001</v>
      </c>
      <c r="J495" s="640">
        <f t="shared" si="16"/>
        <v>14186.592000000001</v>
      </c>
      <c r="K495" s="54">
        <v>0</v>
      </c>
      <c r="L495" s="54">
        <v>7093.2960000000003</v>
      </c>
      <c r="M495" s="54">
        <v>7093.2960000000003</v>
      </c>
      <c r="N495" s="54"/>
      <c r="O495" s="54">
        <f t="shared" si="17"/>
        <v>64852.991999999998</v>
      </c>
    </row>
    <row r="496" spans="1:15" x14ac:dyDescent="0.2">
      <c r="A496" s="33">
        <v>43617</v>
      </c>
      <c r="B496" s="11">
        <v>170</v>
      </c>
      <c r="C496" s="11" t="s">
        <v>554</v>
      </c>
      <c r="D496" s="11" t="s">
        <v>555</v>
      </c>
      <c r="F496" s="11" t="s">
        <v>22</v>
      </c>
      <c r="G496" s="38">
        <v>3238</v>
      </c>
      <c r="H496" s="650">
        <v>43639</v>
      </c>
      <c r="I496" s="126">
        <v>1946</v>
      </c>
      <c r="J496" s="640">
        <f t="shared" si="16"/>
        <v>544.88</v>
      </c>
      <c r="K496" s="54">
        <v>0</v>
      </c>
      <c r="L496" s="54">
        <v>272.44</v>
      </c>
      <c r="M496" s="54">
        <v>272.44</v>
      </c>
      <c r="N496" s="54"/>
      <c r="O496" s="54">
        <f t="shared" si="17"/>
        <v>2490.88</v>
      </c>
    </row>
    <row r="497" spans="1:15" x14ac:dyDescent="0.2">
      <c r="A497" s="33">
        <v>43617</v>
      </c>
      <c r="B497" s="11">
        <v>171</v>
      </c>
      <c r="C497" s="11" t="s">
        <v>495</v>
      </c>
      <c r="D497" s="11" t="s">
        <v>74</v>
      </c>
      <c r="F497" s="11" t="s">
        <v>22</v>
      </c>
      <c r="G497" s="38">
        <v>510049340</v>
      </c>
      <c r="H497" s="650">
        <v>43638</v>
      </c>
      <c r="I497" s="126">
        <v>13272</v>
      </c>
      <c r="J497" s="640">
        <f t="shared" si="16"/>
        <v>2388.96</v>
      </c>
      <c r="K497" s="54">
        <v>0</v>
      </c>
      <c r="L497" s="54">
        <v>1194.48</v>
      </c>
      <c r="M497" s="54">
        <v>1194.48</v>
      </c>
      <c r="N497" s="54"/>
      <c r="O497" s="54">
        <f t="shared" si="17"/>
        <v>15660.96</v>
      </c>
    </row>
    <row r="498" spans="1:15" x14ac:dyDescent="0.2">
      <c r="A498" s="33">
        <v>43617</v>
      </c>
      <c r="B498" s="11">
        <v>172</v>
      </c>
      <c r="C498" s="11" t="s">
        <v>708</v>
      </c>
      <c r="D498" s="11" t="s">
        <v>709</v>
      </c>
      <c r="F498" s="11" t="s">
        <v>22</v>
      </c>
      <c r="G498" s="38">
        <v>7888008632</v>
      </c>
      <c r="H498" s="650">
        <v>43638</v>
      </c>
      <c r="I498" s="126">
        <v>320900</v>
      </c>
      <c r="J498" s="640">
        <f t="shared" si="16"/>
        <v>57762</v>
      </c>
      <c r="K498" s="54">
        <v>57762</v>
      </c>
      <c r="L498" s="54">
        <v>0</v>
      </c>
      <c r="M498" s="54">
        <v>0</v>
      </c>
      <c r="N498" s="54"/>
      <c r="O498" s="54">
        <f t="shared" si="17"/>
        <v>378662</v>
      </c>
    </row>
    <row r="499" spans="1:15" x14ac:dyDescent="0.2">
      <c r="A499" s="33">
        <v>43617</v>
      </c>
      <c r="B499" s="11">
        <v>173</v>
      </c>
      <c r="C499" s="11" t="s">
        <v>554</v>
      </c>
      <c r="D499" s="11" t="s">
        <v>555</v>
      </c>
      <c r="F499" s="11" t="s">
        <v>22</v>
      </c>
      <c r="G499" s="38">
        <v>3268</v>
      </c>
      <c r="H499" s="650">
        <v>43640</v>
      </c>
      <c r="I499" s="126">
        <v>7124</v>
      </c>
      <c r="J499" s="640">
        <f t="shared" si="16"/>
        <v>1994.7199999999998</v>
      </c>
      <c r="K499" s="54">
        <v>0</v>
      </c>
      <c r="L499" s="54">
        <v>997.3599999999999</v>
      </c>
      <c r="M499" s="54">
        <v>997.3599999999999</v>
      </c>
      <c r="N499" s="54"/>
      <c r="O499" s="54">
        <f t="shared" si="17"/>
        <v>9118.7199999999993</v>
      </c>
    </row>
    <row r="500" spans="1:15" x14ac:dyDescent="0.2">
      <c r="A500" s="33">
        <v>43617</v>
      </c>
      <c r="B500" s="11">
        <v>174</v>
      </c>
      <c r="C500" s="11" t="s">
        <v>554</v>
      </c>
      <c r="D500" s="11" t="s">
        <v>555</v>
      </c>
      <c r="F500" s="11" t="s">
        <v>22</v>
      </c>
      <c r="G500" s="38">
        <v>3309</v>
      </c>
      <c r="H500" s="650">
        <v>43640</v>
      </c>
      <c r="I500" s="126">
        <v>3936.8</v>
      </c>
      <c r="J500" s="640">
        <f t="shared" si="16"/>
        <v>1102.3040000000001</v>
      </c>
      <c r="K500" s="54">
        <v>0</v>
      </c>
      <c r="L500" s="54">
        <v>551.15200000000004</v>
      </c>
      <c r="M500" s="54">
        <v>551.15200000000004</v>
      </c>
      <c r="N500" s="54"/>
      <c r="O500" s="54">
        <f t="shared" si="17"/>
        <v>5039.1040000000003</v>
      </c>
    </row>
    <row r="501" spans="1:15" x14ac:dyDescent="0.2">
      <c r="A501" s="33">
        <v>43617</v>
      </c>
      <c r="B501" s="11">
        <v>175</v>
      </c>
      <c r="C501" s="11" t="s">
        <v>471</v>
      </c>
      <c r="D501" s="11" t="s">
        <v>29</v>
      </c>
      <c r="F501" s="11" t="s">
        <v>22</v>
      </c>
      <c r="G501" s="38">
        <v>192002816</v>
      </c>
      <c r="H501" s="650">
        <v>43640</v>
      </c>
      <c r="I501" s="126">
        <v>17483.52</v>
      </c>
      <c r="J501" s="640">
        <f t="shared" si="16"/>
        <v>4895.3856000000005</v>
      </c>
      <c r="K501" s="54">
        <v>0</v>
      </c>
      <c r="L501" s="54">
        <v>2447.6928000000003</v>
      </c>
      <c r="M501" s="54">
        <v>2447.6928000000003</v>
      </c>
      <c r="N501" s="54"/>
      <c r="O501" s="54">
        <f t="shared" si="17"/>
        <v>22378.905600000002</v>
      </c>
    </row>
    <row r="502" spans="1:15" x14ac:dyDescent="0.2">
      <c r="A502" s="33">
        <v>43617</v>
      </c>
      <c r="B502" s="11">
        <v>176</v>
      </c>
      <c r="C502" s="11" t="s">
        <v>471</v>
      </c>
      <c r="D502" s="11" t="s">
        <v>29</v>
      </c>
      <c r="F502" s="11" t="s">
        <v>22</v>
      </c>
      <c r="G502" s="38">
        <v>192002834</v>
      </c>
      <c r="H502" s="650">
        <v>43640</v>
      </c>
      <c r="I502" s="126">
        <v>17483.52</v>
      </c>
      <c r="J502" s="640">
        <f t="shared" si="16"/>
        <v>4895.3856000000005</v>
      </c>
      <c r="K502" s="54">
        <v>0</v>
      </c>
      <c r="L502" s="54">
        <v>2447.6928000000003</v>
      </c>
      <c r="M502" s="54">
        <v>2447.6928000000003</v>
      </c>
      <c r="N502" s="54"/>
      <c r="O502" s="54">
        <f t="shared" si="17"/>
        <v>22378.905600000002</v>
      </c>
    </row>
    <row r="503" spans="1:15" x14ac:dyDescent="0.2">
      <c r="A503" s="33">
        <v>43617</v>
      </c>
      <c r="B503" s="11">
        <v>177</v>
      </c>
      <c r="C503" s="11" t="s">
        <v>705</v>
      </c>
      <c r="D503" s="11" t="s">
        <v>706</v>
      </c>
      <c r="F503" s="11" t="s">
        <v>22</v>
      </c>
      <c r="G503" s="38" t="s">
        <v>752</v>
      </c>
      <c r="H503" s="650">
        <v>43640</v>
      </c>
      <c r="I503" s="126">
        <v>2601.5</v>
      </c>
      <c r="J503" s="640">
        <f t="shared" si="16"/>
        <v>728.42000000000007</v>
      </c>
      <c r="K503" s="54">
        <v>0</v>
      </c>
      <c r="L503" s="54">
        <v>364.21000000000004</v>
      </c>
      <c r="M503" s="54">
        <v>364.21000000000004</v>
      </c>
      <c r="N503" s="54"/>
      <c r="O503" s="54">
        <f t="shared" si="17"/>
        <v>3329.92</v>
      </c>
    </row>
    <row r="504" spans="1:15" x14ac:dyDescent="0.2">
      <c r="A504" s="33">
        <v>43617</v>
      </c>
      <c r="B504" s="11">
        <v>178</v>
      </c>
      <c r="C504" s="11" t="s">
        <v>551</v>
      </c>
      <c r="D504" s="11" t="s">
        <v>552</v>
      </c>
      <c r="F504" s="11" t="s">
        <v>22</v>
      </c>
      <c r="G504" s="38" t="s">
        <v>753</v>
      </c>
      <c r="H504" s="650">
        <v>43641</v>
      </c>
      <c r="I504" s="126">
        <v>300</v>
      </c>
      <c r="J504" s="640">
        <f t="shared" si="16"/>
        <v>54</v>
      </c>
      <c r="K504" s="54">
        <v>0</v>
      </c>
      <c r="L504" s="54">
        <v>27</v>
      </c>
      <c r="M504" s="54">
        <v>27</v>
      </c>
      <c r="N504" s="54"/>
      <c r="O504" s="54">
        <f t="shared" si="17"/>
        <v>354</v>
      </c>
    </row>
    <row r="505" spans="1:15" x14ac:dyDescent="0.2">
      <c r="A505" s="33">
        <v>43617</v>
      </c>
      <c r="B505" s="11">
        <v>179</v>
      </c>
      <c r="C505" s="11" t="s">
        <v>489</v>
      </c>
      <c r="D505" s="11" t="s">
        <v>490</v>
      </c>
      <c r="F505" s="11" t="s">
        <v>22</v>
      </c>
      <c r="G505" s="38">
        <v>7887985095</v>
      </c>
      <c r="H505" s="650">
        <v>43641</v>
      </c>
      <c r="I505" s="126">
        <v>7520</v>
      </c>
      <c r="J505" s="640">
        <f t="shared" si="16"/>
        <v>1353.6000000000001</v>
      </c>
      <c r="K505" s="54">
        <v>0</v>
      </c>
      <c r="L505" s="54">
        <v>676.80000000000007</v>
      </c>
      <c r="M505" s="54">
        <v>676.80000000000007</v>
      </c>
      <c r="N505" s="54"/>
      <c r="O505" s="54">
        <f t="shared" si="17"/>
        <v>8873.6</v>
      </c>
    </row>
    <row r="506" spans="1:15" x14ac:dyDescent="0.2">
      <c r="A506" s="33">
        <v>43617</v>
      </c>
      <c r="B506" s="11">
        <v>180</v>
      </c>
      <c r="C506" s="11" t="s">
        <v>554</v>
      </c>
      <c r="D506" s="11" t="s">
        <v>555</v>
      </c>
      <c r="F506" s="11" t="s">
        <v>22</v>
      </c>
      <c r="G506" s="38">
        <v>3370</v>
      </c>
      <c r="H506" s="650">
        <v>43641</v>
      </c>
      <c r="I506" s="126">
        <v>4825.3500000000004</v>
      </c>
      <c r="J506" s="640">
        <f t="shared" si="16"/>
        <v>1351.098</v>
      </c>
      <c r="K506" s="54">
        <v>0</v>
      </c>
      <c r="L506" s="54">
        <v>675.54899999999998</v>
      </c>
      <c r="M506" s="54">
        <v>675.54899999999998</v>
      </c>
      <c r="N506" s="54"/>
      <c r="O506" s="54">
        <f t="shared" si="17"/>
        <v>6176.4480000000003</v>
      </c>
    </row>
    <row r="507" spans="1:15" x14ac:dyDescent="0.2">
      <c r="A507" s="33">
        <v>43617</v>
      </c>
      <c r="B507" s="11">
        <v>181</v>
      </c>
      <c r="C507" s="11" t="s">
        <v>473</v>
      </c>
      <c r="D507" s="11" t="s">
        <v>41</v>
      </c>
      <c r="F507" s="11" t="s">
        <v>22</v>
      </c>
      <c r="G507" s="38" t="s">
        <v>754</v>
      </c>
      <c r="H507" s="650">
        <v>43641</v>
      </c>
      <c r="I507" s="126">
        <v>12253.85</v>
      </c>
      <c r="J507" s="640">
        <f t="shared" si="16"/>
        <v>3431.078</v>
      </c>
      <c r="K507" s="54">
        <v>0</v>
      </c>
      <c r="L507" s="54">
        <v>1715.539</v>
      </c>
      <c r="M507" s="54">
        <v>1715.539</v>
      </c>
      <c r="N507" s="54"/>
      <c r="O507" s="54">
        <f t="shared" si="17"/>
        <v>15684.928</v>
      </c>
    </row>
    <row r="508" spans="1:15" x14ac:dyDescent="0.2">
      <c r="A508" s="33">
        <v>43617</v>
      </c>
      <c r="B508" s="11">
        <v>182</v>
      </c>
      <c r="C508" s="11" t="s">
        <v>747</v>
      </c>
      <c r="D508" s="11" t="s">
        <v>748</v>
      </c>
      <c r="F508" s="11" t="s">
        <v>22</v>
      </c>
      <c r="G508" s="38" t="s">
        <v>755</v>
      </c>
      <c r="H508" s="650">
        <v>43641</v>
      </c>
      <c r="I508" s="126">
        <v>22500</v>
      </c>
      <c r="J508" s="640">
        <f t="shared" si="16"/>
        <v>4050</v>
      </c>
      <c r="K508" s="54">
        <v>0</v>
      </c>
      <c r="L508" s="54">
        <v>2025</v>
      </c>
      <c r="M508" s="54">
        <v>2025</v>
      </c>
      <c r="N508" s="54"/>
      <c r="O508" s="54">
        <f t="shared" si="17"/>
        <v>26550</v>
      </c>
    </row>
    <row r="509" spans="1:15" x14ac:dyDescent="0.2">
      <c r="A509" s="33">
        <v>43617</v>
      </c>
      <c r="B509" s="11">
        <v>183</v>
      </c>
      <c r="C509" s="11" t="s">
        <v>556</v>
      </c>
      <c r="D509" s="11" t="s">
        <v>557</v>
      </c>
      <c r="F509" s="11" t="s">
        <v>22</v>
      </c>
      <c r="G509" s="38" t="s">
        <v>756</v>
      </c>
      <c r="H509" s="650">
        <v>43640</v>
      </c>
      <c r="I509" s="126">
        <v>81500</v>
      </c>
      <c r="J509" s="640">
        <f t="shared" si="16"/>
        <v>14670</v>
      </c>
      <c r="K509" s="54">
        <v>0</v>
      </c>
      <c r="L509" s="54">
        <v>7335</v>
      </c>
      <c r="M509" s="54">
        <v>7335</v>
      </c>
      <c r="N509" s="54"/>
      <c r="O509" s="54">
        <f t="shared" si="17"/>
        <v>96170</v>
      </c>
    </row>
    <row r="510" spans="1:15" x14ac:dyDescent="0.2">
      <c r="A510" s="33">
        <v>43617</v>
      </c>
      <c r="B510" s="11">
        <v>184</v>
      </c>
      <c r="C510" s="11" t="s">
        <v>506</v>
      </c>
      <c r="D510" s="11" t="s">
        <v>507</v>
      </c>
      <c r="F510" s="11" t="s">
        <v>22</v>
      </c>
      <c r="G510" s="38" t="s">
        <v>757</v>
      </c>
      <c r="H510" s="650">
        <v>43641</v>
      </c>
      <c r="I510" s="126">
        <v>34879</v>
      </c>
      <c r="J510" s="640">
        <f t="shared" si="16"/>
        <v>6278.22</v>
      </c>
      <c r="K510" s="54">
        <v>0</v>
      </c>
      <c r="L510" s="54">
        <v>3139.11</v>
      </c>
      <c r="M510" s="54">
        <v>3139.11</v>
      </c>
      <c r="N510" s="54"/>
      <c r="O510" s="54">
        <f t="shared" si="17"/>
        <v>41157.22</v>
      </c>
    </row>
    <row r="511" spans="1:15" x14ac:dyDescent="0.2">
      <c r="A511" s="33">
        <v>43617</v>
      </c>
      <c r="B511" s="11">
        <v>185</v>
      </c>
      <c r="C511" s="11" t="s">
        <v>506</v>
      </c>
      <c r="D511" s="11" t="s">
        <v>507</v>
      </c>
      <c r="F511" s="11" t="s">
        <v>22</v>
      </c>
      <c r="G511" s="38" t="s">
        <v>758</v>
      </c>
      <c r="H511" s="650">
        <v>43641</v>
      </c>
      <c r="I511" s="126">
        <v>18480</v>
      </c>
      <c r="J511" s="640">
        <f t="shared" si="16"/>
        <v>3326.4</v>
      </c>
      <c r="K511" s="54">
        <v>0</v>
      </c>
      <c r="L511" s="54">
        <v>1663.2</v>
      </c>
      <c r="M511" s="54">
        <v>1663.2</v>
      </c>
      <c r="N511" s="54"/>
      <c r="O511" s="54">
        <f t="shared" si="17"/>
        <v>21806.400000000001</v>
      </c>
    </row>
    <row r="512" spans="1:15" x14ac:dyDescent="0.2">
      <c r="A512" s="33">
        <v>43617</v>
      </c>
      <c r="B512" s="11">
        <v>186</v>
      </c>
      <c r="C512" s="11" t="s">
        <v>493</v>
      </c>
      <c r="D512" s="11" t="s">
        <v>494</v>
      </c>
      <c r="F512" s="11" t="s">
        <v>22</v>
      </c>
      <c r="G512" s="38">
        <v>1557</v>
      </c>
      <c r="H512" s="650">
        <v>43642</v>
      </c>
      <c r="I512" s="126">
        <v>26438.5</v>
      </c>
      <c r="J512" s="640">
        <f t="shared" si="16"/>
        <v>4758.93</v>
      </c>
      <c r="K512" s="54">
        <v>0</v>
      </c>
      <c r="L512" s="54">
        <v>2379.4650000000001</v>
      </c>
      <c r="M512" s="54">
        <v>2379.4650000000001</v>
      </c>
      <c r="N512" s="54"/>
      <c r="O512" s="54">
        <f t="shared" si="17"/>
        <v>31197.43</v>
      </c>
    </row>
    <row r="513" spans="1:15" x14ac:dyDescent="0.2">
      <c r="A513" s="33">
        <v>43617</v>
      </c>
      <c r="B513" s="11">
        <v>187</v>
      </c>
      <c r="C513" s="11" t="s">
        <v>479</v>
      </c>
      <c r="D513" s="11" t="s">
        <v>480</v>
      </c>
      <c r="F513" s="11" t="s">
        <v>22</v>
      </c>
      <c r="G513" s="38">
        <v>1111</v>
      </c>
      <c r="H513" s="650">
        <v>43642</v>
      </c>
      <c r="I513" s="126">
        <v>261.3</v>
      </c>
      <c r="J513" s="640">
        <f t="shared" si="16"/>
        <v>47.033999999999999</v>
      </c>
      <c r="K513" s="54">
        <v>0</v>
      </c>
      <c r="L513" s="54">
        <v>23.516999999999999</v>
      </c>
      <c r="M513" s="54">
        <v>23.516999999999999</v>
      </c>
      <c r="N513" s="54"/>
      <c r="O513" s="54">
        <f t="shared" si="17"/>
        <v>308.334</v>
      </c>
    </row>
    <row r="514" spans="1:15" x14ac:dyDescent="0.2">
      <c r="A514" s="33">
        <v>43617</v>
      </c>
      <c r="B514" s="11">
        <v>188</v>
      </c>
      <c r="C514" s="11" t="s">
        <v>554</v>
      </c>
      <c r="D514" s="11" t="s">
        <v>555</v>
      </c>
      <c r="F514" s="11" t="s">
        <v>22</v>
      </c>
      <c r="G514" s="38">
        <v>3410</v>
      </c>
      <c r="H514" s="650">
        <v>43642</v>
      </c>
      <c r="I514" s="126">
        <v>3985</v>
      </c>
      <c r="J514" s="640">
        <f t="shared" si="16"/>
        <v>1115.8</v>
      </c>
      <c r="K514" s="54">
        <v>0</v>
      </c>
      <c r="L514" s="54">
        <v>557.9</v>
      </c>
      <c r="M514" s="54">
        <v>557.9</v>
      </c>
      <c r="N514" s="54"/>
      <c r="O514" s="54">
        <f t="shared" si="17"/>
        <v>5100.8</v>
      </c>
    </row>
    <row r="515" spans="1:15" x14ac:dyDescent="0.2">
      <c r="A515" s="33">
        <v>43617</v>
      </c>
      <c r="B515" s="11">
        <v>189</v>
      </c>
      <c r="C515" s="11" t="s">
        <v>471</v>
      </c>
      <c r="D515" s="11" t="s">
        <v>29</v>
      </c>
      <c r="F515" s="11" t="s">
        <v>22</v>
      </c>
      <c r="G515" s="38">
        <v>192002894</v>
      </c>
      <c r="H515" s="650">
        <v>43642</v>
      </c>
      <c r="I515" s="126">
        <v>17483.52</v>
      </c>
      <c r="J515" s="640">
        <f t="shared" si="16"/>
        <v>4895.3856000000005</v>
      </c>
      <c r="K515" s="54">
        <v>0</v>
      </c>
      <c r="L515" s="54">
        <v>2447.6928000000003</v>
      </c>
      <c r="M515" s="54">
        <v>2447.6928000000003</v>
      </c>
      <c r="N515" s="54"/>
      <c r="O515" s="54">
        <f t="shared" si="17"/>
        <v>22378.905600000002</v>
      </c>
    </row>
    <row r="516" spans="1:15" x14ac:dyDescent="0.2">
      <c r="A516" s="33">
        <v>43617</v>
      </c>
      <c r="B516" s="11">
        <v>190</v>
      </c>
      <c r="C516" s="11" t="s">
        <v>471</v>
      </c>
      <c r="D516" s="11" t="s">
        <v>29</v>
      </c>
      <c r="F516" s="11" t="s">
        <v>22</v>
      </c>
      <c r="G516" s="38">
        <v>192002900</v>
      </c>
      <c r="H516" s="650">
        <v>43642</v>
      </c>
      <c r="I516" s="126">
        <v>17483.52</v>
      </c>
      <c r="J516" s="640">
        <f t="shared" ref="J516:J579" si="18">+K516+L516+M516+N516</f>
        <v>4895.3856000000005</v>
      </c>
      <c r="K516" s="54">
        <v>0</v>
      </c>
      <c r="L516" s="54">
        <v>2447.6928000000003</v>
      </c>
      <c r="M516" s="54">
        <v>2447.6928000000003</v>
      </c>
      <c r="N516" s="54"/>
      <c r="O516" s="54">
        <f t="shared" ref="O516:O579" si="19">+I516+J516</f>
        <v>22378.905600000002</v>
      </c>
    </row>
    <row r="517" spans="1:15" x14ac:dyDescent="0.2">
      <c r="A517" s="33">
        <v>43617</v>
      </c>
      <c r="B517" s="11">
        <v>191</v>
      </c>
      <c r="C517" s="11" t="s">
        <v>495</v>
      </c>
      <c r="D517" s="11" t="s">
        <v>74</v>
      </c>
      <c r="F517" s="11" t="s">
        <v>22</v>
      </c>
      <c r="G517" s="38">
        <v>5510049676</v>
      </c>
      <c r="H517" s="650">
        <v>43642</v>
      </c>
      <c r="I517" s="126">
        <v>18580.8</v>
      </c>
      <c r="J517" s="640">
        <f t="shared" si="18"/>
        <v>3344.5439999999999</v>
      </c>
      <c r="K517" s="54">
        <v>0</v>
      </c>
      <c r="L517" s="54">
        <v>1672.2719999999999</v>
      </c>
      <c r="M517" s="54">
        <v>1672.2719999999999</v>
      </c>
      <c r="N517" s="54"/>
      <c r="O517" s="54">
        <f t="shared" si="19"/>
        <v>21925.343999999997</v>
      </c>
    </row>
    <row r="518" spans="1:15" x14ac:dyDescent="0.2">
      <c r="A518" s="33">
        <v>43617</v>
      </c>
      <c r="B518" s="11">
        <v>192</v>
      </c>
      <c r="C518" s="11" t="s">
        <v>471</v>
      </c>
      <c r="D518" s="11" t="s">
        <v>29</v>
      </c>
      <c r="F518" s="11" t="s">
        <v>22</v>
      </c>
      <c r="G518" s="38">
        <v>192002925</v>
      </c>
      <c r="H518" s="650">
        <v>43643</v>
      </c>
      <c r="I518" s="126">
        <v>17483.52</v>
      </c>
      <c r="J518" s="640">
        <f t="shared" si="18"/>
        <v>4895.3856000000005</v>
      </c>
      <c r="K518" s="54">
        <v>0</v>
      </c>
      <c r="L518" s="54">
        <v>2447.6928000000003</v>
      </c>
      <c r="M518" s="54">
        <v>2447.6928000000003</v>
      </c>
      <c r="N518" s="54"/>
      <c r="O518" s="54">
        <f t="shared" si="19"/>
        <v>22378.905600000002</v>
      </c>
    </row>
    <row r="519" spans="1:15" x14ac:dyDescent="0.2">
      <c r="A519" s="33">
        <v>43617</v>
      </c>
      <c r="B519" s="11">
        <v>193</v>
      </c>
      <c r="C519" s="11" t="s">
        <v>471</v>
      </c>
      <c r="D519" s="11" t="s">
        <v>29</v>
      </c>
      <c r="F519" s="11" t="s">
        <v>22</v>
      </c>
      <c r="G519" s="38">
        <v>192002936</v>
      </c>
      <c r="H519" s="650">
        <v>43643</v>
      </c>
      <c r="I519" s="126">
        <v>17483.52</v>
      </c>
      <c r="J519" s="640">
        <f t="shared" si="18"/>
        <v>4895.3856000000005</v>
      </c>
      <c r="K519" s="54">
        <v>0</v>
      </c>
      <c r="L519" s="54">
        <v>2447.6928000000003</v>
      </c>
      <c r="M519" s="54">
        <v>2447.6928000000003</v>
      </c>
      <c r="N519" s="54"/>
      <c r="O519" s="54">
        <f t="shared" si="19"/>
        <v>22378.905600000002</v>
      </c>
    </row>
    <row r="520" spans="1:15" x14ac:dyDescent="0.2">
      <c r="A520" s="33">
        <v>43617</v>
      </c>
      <c r="B520" s="11">
        <v>194</v>
      </c>
      <c r="C520" s="11" t="s">
        <v>554</v>
      </c>
      <c r="D520" s="11" t="s">
        <v>555</v>
      </c>
      <c r="F520" s="11" t="s">
        <v>22</v>
      </c>
      <c r="G520" s="38">
        <v>3438</v>
      </c>
      <c r="H520" s="650">
        <v>43643</v>
      </c>
      <c r="I520" s="126">
        <v>4528.5</v>
      </c>
      <c r="J520" s="640">
        <f t="shared" si="18"/>
        <v>1267.98</v>
      </c>
      <c r="K520" s="54">
        <v>0</v>
      </c>
      <c r="L520" s="54">
        <v>633.99</v>
      </c>
      <c r="M520" s="54">
        <v>633.99</v>
      </c>
      <c r="N520" s="54"/>
      <c r="O520" s="54">
        <f t="shared" si="19"/>
        <v>5796.48</v>
      </c>
    </row>
    <row r="521" spans="1:15" x14ac:dyDescent="0.2">
      <c r="A521" s="33">
        <v>43617</v>
      </c>
      <c r="B521" s="11">
        <v>195</v>
      </c>
      <c r="C521" s="11" t="s">
        <v>554</v>
      </c>
      <c r="D521" s="11" t="s">
        <v>555</v>
      </c>
      <c r="F521" s="11" t="s">
        <v>22</v>
      </c>
      <c r="G521" s="38">
        <v>3445</v>
      </c>
      <c r="H521" s="650">
        <v>43643</v>
      </c>
      <c r="I521" s="126">
        <v>3530.5</v>
      </c>
      <c r="J521" s="640">
        <f t="shared" si="18"/>
        <v>988.54</v>
      </c>
      <c r="K521" s="54">
        <v>0</v>
      </c>
      <c r="L521" s="54">
        <v>494.27</v>
      </c>
      <c r="M521" s="54">
        <v>494.27</v>
      </c>
      <c r="N521" s="54"/>
      <c r="O521" s="54">
        <f t="shared" si="19"/>
        <v>4519.04</v>
      </c>
    </row>
    <row r="522" spans="1:15" x14ac:dyDescent="0.2">
      <c r="A522" s="33">
        <v>43617</v>
      </c>
      <c r="B522" s="11">
        <v>196</v>
      </c>
      <c r="C522" s="11" t="s">
        <v>554</v>
      </c>
      <c r="D522" s="11" t="s">
        <v>555</v>
      </c>
      <c r="F522" s="11" t="s">
        <v>22</v>
      </c>
      <c r="G522" s="38">
        <v>3494</v>
      </c>
      <c r="H522" s="650">
        <v>43644</v>
      </c>
      <c r="I522" s="126">
        <v>4095</v>
      </c>
      <c r="J522" s="640">
        <f t="shared" si="18"/>
        <v>1146.6000000000001</v>
      </c>
      <c r="K522" s="54">
        <v>0</v>
      </c>
      <c r="L522" s="54">
        <v>573.30000000000007</v>
      </c>
      <c r="M522" s="54">
        <v>573.30000000000007</v>
      </c>
      <c r="N522" s="54"/>
      <c r="O522" s="54">
        <f t="shared" si="19"/>
        <v>5241.6000000000004</v>
      </c>
    </row>
    <row r="523" spans="1:15" x14ac:dyDescent="0.2">
      <c r="A523" s="33">
        <v>43617</v>
      </c>
      <c r="B523" s="11">
        <v>197</v>
      </c>
      <c r="C523" s="11" t="s">
        <v>554</v>
      </c>
      <c r="D523" s="11" t="s">
        <v>555</v>
      </c>
      <c r="F523" s="11" t="s">
        <v>22</v>
      </c>
      <c r="G523" s="38">
        <v>3495</v>
      </c>
      <c r="H523" s="650">
        <v>43644</v>
      </c>
      <c r="I523" s="126">
        <v>482</v>
      </c>
      <c r="J523" s="640">
        <f t="shared" si="18"/>
        <v>134.96</v>
      </c>
      <c r="K523" s="54">
        <v>0</v>
      </c>
      <c r="L523" s="54">
        <v>67.48</v>
      </c>
      <c r="M523" s="54">
        <v>67.48</v>
      </c>
      <c r="N523" s="54"/>
      <c r="O523" s="54">
        <f t="shared" si="19"/>
        <v>616.96</v>
      </c>
    </row>
    <row r="524" spans="1:15" x14ac:dyDescent="0.2">
      <c r="A524" s="33">
        <v>43617</v>
      </c>
      <c r="B524" s="11">
        <v>198</v>
      </c>
      <c r="C524" s="11" t="s">
        <v>554</v>
      </c>
      <c r="D524" s="11" t="s">
        <v>555</v>
      </c>
      <c r="F524" s="11" t="s">
        <v>22</v>
      </c>
      <c r="G524" s="38">
        <v>3499</v>
      </c>
      <c r="H524" s="650">
        <v>43644</v>
      </c>
      <c r="I524" s="126">
        <v>5319</v>
      </c>
      <c r="J524" s="640">
        <f t="shared" si="18"/>
        <v>1489.32</v>
      </c>
      <c r="K524" s="54">
        <v>0</v>
      </c>
      <c r="L524" s="54">
        <v>744.66</v>
      </c>
      <c r="M524" s="54">
        <v>744.66</v>
      </c>
      <c r="N524" s="54"/>
      <c r="O524" s="54">
        <f t="shared" si="19"/>
        <v>6808.32</v>
      </c>
    </row>
    <row r="525" spans="1:15" x14ac:dyDescent="0.2">
      <c r="A525" s="33">
        <v>43617</v>
      </c>
      <c r="B525" s="11">
        <v>199</v>
      </c>
      <c r="C525" s="11" t="s">
        <v>493</v>
      </c>
      <c r="D525" s="11" t="s">
        <v>494</v>
      </c>
      <c r="F525" s="11" t="s">
        <v>22</v>
      </c>
      <c r="G525" s="38">
        <v>1601</v>
      </c>
      <c r="H525" s="650">
        <v>43644</v>
      </c>
      <c r="I525" s="126">
        <v>11931.81</v>
      </c>
      <c r="J525" s="640">
        <f t="shared" si="18"/>
        <v>2147.7258000000002</v>
      </c>
      <c r="K525" s="54">
        <v>0</v>
      </c>
      <c r="L525" s="54">
        <v>1073.8629000000001</v>
      </c>
      <c r="M525" s="54">
        <v>1073.8629000000001</v>
      </c>
      <c r="N525" s="54"/>
      <c r="O525" s="54">
        <f t="shared" si="19"/>
        <v>14079.5358</v>
      </c>
    </row>
    <row r="526" spans="1:15" x14ac:dyDescent="0.2">
      <c r="A526" s="33">
        <v>43617</v>
      </c>
      <c r="B526" s="11">
        <v>200</v>
      </c>
      <c r="C526" s="11" t="s">
        <v>495</v>
      </c>
      <c r="D526" s="11" t="s">
        <v>74</v>
      </c>
      <c r="F526" s="11" t="s">
        <v>22</v>
      </c>
      <c r="G526" s="38">
        <v>5510049947</v>
      </c>
      <c r="H526" s="650">
        <v>43644</v>
      </c>
      <c r="I526" s="126">
        <v>26544</v>
      </c>
      <c r="J526" s="640">
        <f t="shared" si="18"/>
        <v>4777.92</v>
      </c>
      <c r="K526" s="54">
        <v>0</v>
      </c>
      <c r="L526" s="54">
        <v>2388.96</v>
      </c>
      <c r="M526" s="54">
        <v>2388.96</v>
      </c>
      <c r="N526" s="54"/>
      <c r="O526" s="54">
        <f t="shared" si="19"/>
        <v>31321.919999999998</v>
      </c>
    </row>
    <row r="527" spans="1:15" x14ac:dyDescent="0.2">
      <c r="A527" s="33">
        <v>43617</v>
      </c>
      <c r="B527" s="11">
        <v>201</v>
      </c>
      <c r="C527" s="11" t="s">
        <v>554</v>
      </c>
      <c r="D527" s="11" t="s">
        <v>555</v>
      </c>
      <c r="F527" s="11" t="s">
        <v>22</v>
      </c>
      <c r="G527" s="38">
        <v>3554</v>
      </c>
      <c r="H527" s="650">
        <v>43645</v>
      </c>
      <c r="I527" s="126">
        <v>2539</v>
      </c>
      <c r="J527" s="640">
        <f t="shared" si="18"/>
        <v>710.92000000000007</v>
      </c>
      <c r="K527" s="54">
        <v>0</v>
      </c>
      <c r="L527" s="54">
        <v>355.46000000000004</v>
      </c>
      <c r="M527" s="54">
        <v>355.46000000000004</v>
      </c>
      <c r="N527" s="54"/>
      <c r="O527" s="54">
        <f t="shared" si="19"/>
        <v>3249.92</v>
      </c>
    </row>
    <row r="528" spans="1:15" x14ac:dyDescent="0.2">
      <c r="A528" s="33">
        <v>43617</v>
      </c>
      <c r="B528" s="11">
        <v>202</v>
      </c>
      <c r="C528" s="11" t="s">
        <v>554</v>
      </c>
      <c r="D528" s="11" t="s">
        <v>555</v>
      </c>
      <c r="F528" s="11" t="s">
        <v>22</v>
      </c>
      <c r="G528" s="38">
        <v>3555</v>
      </c>
      <c r="H528" s="650">
        <v>43645</v>
      </c>
      <c r="I528" s="126">
        <v>2585.5</v>
      </c>
      <c r="J528" s="640">
        <f t="shared" si="18"/>
        <v>723.94</v>
      </c>
      <c r="K528" s="54">
        <v>0</v>
      </c>
      <c r="L528" s="54">
        <v>361.97</v>
      </c>
      <c r="M528" s="54">
        <v>361.97</v>
      </c>
      <c r="N528" s="54"/>
      <c r="O528" s="54">
        <f t="shared" si="19"/>
        <v>3309.44</v>
      </c>
    </row>
    <row r="529" spans="1:15" x14ac:dyDescent="0.2">
      <c r="A529" s="33">
        <v>43617</v>
      </c>
      <c r="B529" s="11">
        <v>203</v>
      </c>
      <c r="C529" s="11" t="s">
        <v>551</v>
      </c>
      <c r="D529" s="11" t="s">
        <v>552</v>
      </c>
      <c r="F529" s="11" t="s">
        <v>22</v>
      </c>
      <c r="G529" s="38" t="s">
        <v>759</v>
      </c>
      <c r="H529" s="650">
        <v>43645</v>
      </c>
      <c r="I529" s="126">
        <v>300</v>
      </c>
      <c r="J529" s="640">
        <f t="shared" si="18"/>
        <v>54</v>
      </c>
      <c r="K529" s="54">
        <v>0</v>
      </c>
      <c r="L529" s="54">
        <v>27</v>
      </c>
      <c r="M529" s="54">
        <v>27</v>
      </c>
      <c r="N529" s="54"/>
      <c r="O529" s="54">
        <f t="shared" si="19"/>
        <v>354</v>
      </c>
    </row>
    <row r="530" spans="1:15" x14ac:dyDescent="0.2">
      <c r="A530" s="33">
        <v>43617</v>
      </c>
      <c r="B530" s="11">
        <v>204</v>
      </c>
      <c r="C530" s="11" t="s">
        <v>471</v>
      </c>
      <c r="D530" s="11" t="s">
        <v>29</v>
      </c>
      <c r="F530" s="11" t="s">
        <v>22</v>
      </c>
      <c r="G530" s="38">
        <v>192002988</v>
      </c>
      <c r="H530" s="650">
        <v>43645</v>
      </c>
      <c r="I530" s="126">
        <v>17483.52</v>
      </c>
      <c r="J530" s="640">
        <f t="shared" si="18"/>
        <v>4895.3856000000005</v>
      </c>
      <c r="K530" s="54">
        <v>0</v>
      </c>
      <c r="L530" s="54">
        <v>2447.6928000000003</v>
      </c>
      <c r="M530" s="54">
        <v>2447.6928000000003</v>
      </c>
      <c r="N530" s="54"/>
      <c r="O530" s="54">
        <f t="shared" si="19"/>
        <v>22378.905600000002</v>
      </c>
    </row>
    <row r="531" spans="1:15" x14ac:dyDescent="0.2">
      <c r="A531" s="33">
        <v>43617</v>
      </c>
      <c r="B531" s="11">
        <v>205</v>
      </c>
      <c r="C531" s="11" t="s">
        <v>471</v>
      </c>
      <c r="D531" s="11" t="s">
        <v>29</v>
      </c>
      <c r="F531" s="11" t="s">
        <v>22</v>
      </c>
      <c r="G531" s="38">
        <v>192003004</v>
      </c>
      <c r="H531" s="650">
        <v>43645</v>
      </c>
      <c r="I531" s="126">
        <v>17483.52</v>
      </c>
      <c r="J531" s="640">
        <f t="shared" si="18"/>
        <v>4895.3856000000005</v>
      </c>
      <c r="K531" s="54">
        <v>0</v>
      </c>
      <c r="L531" s="54">
        <v>2447.6928000000003</v>
      </c>
      <c r="M531" s="54">
        <v>2447.6928000000003</v>
      </c>
      <c r="N531" s="54"/>
      <c r="O531" s="54">
        <f t="shared" si="19"/>
        <v>22378.905600000002</v>
      </c>
    </row>
    <row r="532" spans="1:15" x14ac:dyDescent="0.2">
      <c r="A532" s="33">
        <v>43617</v>
      </c>
      <c r="B532" s="11">
        <v>206</v>
      </c>
      <c r="C532" s="11" t="s">
        <v>495</v>
      </c>
      <c r="D532" s="11" t="s">
        <v>74</v>
      </c>
      <c r="F532" s="11" t="s">
        <v>22</v>
      </c>
      <c r="G532" s="38">
        <v>5510050108</v>
      </c>
      <c r="H532" s="650">
        <v>43645</v>
      </c>
      <c r="I532" s="126">
        <v>31852.799999999999</v>
      </c>
      <c r="J532" s="640">
        <f t="shared" si="18"/>
        <v>5733.5040000000008</v>
      </c>
      <c r="K532" s="54">
        <v>0</v>
      </c>
      <c r="L532" s="54">
        <v>2866.7520000000004</v>
      </c>
      <c r="M532" s="54">
        <v>2866.7520000000004</v>
      </c>
      <c r="N532" s="54"/>
      <c r="O532" s="54">
        <f t="shared" si="19"/>
        <v>37586.304000000004</v>
      </c>
    </row>
    <row r="533" spans="1:15" x14ac:dyDescent="0.2">
      <c r="A533" s="33">
        <v>43617</v>
      </c>
      <c r="B533" s="11">
        <v>207</v>
      </c>
      <c r="C533" s="11" t="s">
        <v>554</v>
      </c>
      <c r="D533" s="11" t="s">
        <v>555</v>
      </c>
      <c r="F533" s="11" t="s">
        <v>22</v>
      </c>
      <c r="G533" s="38">
        <v>3597</v>
      </c>
      <c r="H533" s="650">
        <v>43645</v>
      </c>
      <c r="I533" s="126">
        <v>4227.5</v>
      </c>
      <c r="J533" s="640">
        <f t="shared" si="18"/>
        <v>1183.7</v>
      </c>
      <c r="K533" s="54">
        <v>0</v>
      </c>
      <c r="L533" s="54">
        <v>591.85</v>
      </c>
      <c r="M533" s="54">
        <v>591.85</v>
      </c>
      <c r="N533" s="54"/>
      <c r="O533" s="54">
        <f t="shared" si="19"/>
        <v>5411.2</v>
      </c>
    </row>
    <row r="534" spans="1:15" x14ac:dyDescent="0.2">
      <c r="A534" s="33">
        <v>43617</v>
      </c>
      <c r="B534" s="11">
        <v>208</v>
      </c>
      <c r="C534" s="11" t="s">
        <v>518</v>
      </c>
      <c r="D534" s="11" t="s">
        <v>519</v>
      </c>
      <c r="F534" s="11" t="s">
        <v>22</v>
      </c>
      <c r="G534" s="38" t="s">
        <v>760</v>
      </c>
      <c r="H534" s="650">
        <v>43628</v>
      </c>
      <c r="I534" s="126">
        <v>4935.16</v>
      </c>
      <c r="J534" s="640">
        <f t="shared" si="18"/>
        <v>888.3288</v>
      </c>
      <c r="K534" s="54">
        <v>0</v>
      </c>
      <c r="L534" s="54">
        <v>444.1644</v>
      </c>
      <c r="M534" s="54">
        <v>444.1644</v>
      </c>
      <c r="N534" s="54"/>
      <c r="O534" s="54">
        <f t="shared" si="19"/>
        <v>5823.4888000000001</v>
      </c>
    </row>
    <row r="535" spans="1:15" x14ac:dyDescent="0.2">
      <c r="A535" s="33">
        <v>43617</v>
      </c>
      <c r="B535" s="11">
        <v>209</v>
      </c>
      <c r="C535" s="11" t="s">
        <v>479</v>
      </c>
      <c r="D535" s="11" t="s">
        <v>480</v>
      </c>
      <c r="F535" s="11" t="s">
        <v>22</v>
      </c>
      <c r="G535" s="38">
        <v>1105</v>
      </c>
      <c r="H535" s="650">
        <v>43635</v>
      </c>
      <c r="I535" s="126">
        <v>1295</v>
      </c>
      <c r="J535" s="640">
        <f t="shared" si="18"/>
        <v>233.1</v>
      </c>
      <c r="K535" s="54">
        <v>0</v>
      </c>
      <c r="L535" s="54">
        <v>116.55</v>
      </c>
      <c r="M535" s="54">
        <v>116.55</v>
      </c>
      <c r="N535" s="54"/>
      <c r="O535" s="54">
        <f t="shared" si="19"/>
        <v>1528.1</v>
      </c>
    </row>
    <row r="536" spans="1:15" x14ac:dyDescent="0.2">
      <c r="A536" s="33">
        <v>43617</v>
      </c>
      <c r="B536" s="11">
        <v>210</v>
      </c>
      <c r="C536" s="11" t="s">
        <v>589</v>
      </c>
      <c r="D536" s="11" t="s">
        <v>590</v>
      </c>
      <c r="F536" s="11" t="s">
        <v>22</v>
      </c>
      <c r="G536" s="38">
        <v>10</v>
      </c>
      <c r="H536" s="650">
        <v>43646</v>
      </c>
      <c r="I536" s="126">
        <v>156583.95000000001</v>
      </c>
      <c r="J536" s="640">
        <f t="shared" si="18"/>
        <v>28185.111000000001</v>
      </c>
      <c r="K536" s="54">
        <v>0</v>
      </c>
      <c r="L536" s="54">
        <v>14092.5555</v>
      </c>
      <c r="M536" s="54">
        <v>14092.5555</v>
      </c>
      <c r="N536" s="54"/>
      <c r="O536" s="54">
        <f t="shared" si="19"/>
        <v>184769.06100000002</v>
      </c>
    </row>
    <row r="537" spans="1:15" x14ac:dyDescent="0.2">
      <c r="A537" s="33">
        <v>43617</v>
      </c>
      <c r="B537" s="11">
        <v>211</v>
      </c>
      <c r="C537" s="11" t="s">
        <v>517</v>
      </c>
      <c r="D537" s="11" t="s">
        <v>256</v>
      </c>
      <c r="F537" s="11" t="s">
        <v>22</v>
      </c>
      <c r="G537" s="38">
        <v>19608078</v>
      </c>
      <c r="H537" s="650">
        <v>43644</v>
      </c>
      <c r="I537" s="126">
        <v>12571</v>
      </c>
      <c r="J537" s="640">
        <f t="shared" si="18"/>
        <v>3519.8799999999997</v>
      </c>
      <c r="K537" s="54">
        <v>3519.8799999999997</v>
      </c>
      <c r="L537" s="54">
        <v>0</v>
      </c>
      <c r="M537" s="54">
        <v>0</v>
      </c>
      <c r="N537" s="54"/>
      <c r="O537" s="54">
        <f t="shared" si="19"/>
        <v>16090.88</v>
      </c>
    </row>
    <row r="538" spans="1:15" x14ac:dyDescent="0.2">
      <c r="A538" s="33">
        <v>43617</v>
      </c>
      <c r="B538" s="11">
        <v>212</v>
      </c>
      <c r="C538" s="11" t="s">
        <v>761</v>
      </c>
      <c r="D538" s="11" t="s">
        <v>762</v>
      </c>
      <c r="F538" s="11" t="s">
        <v>22</v>
      </c>
      <c r="G538" s="38" t="s">
        <v>763</v>
      </c>
      <c r="H538" s="650">
        <v>43635</v>
      </c>
      <c r="I538" s="126">
        <v>4200</v>
      </c>
      <c r="J538" s="640">
        <f t="shared" si="18"/>
        <v>756</v>
      </c>
      <c r="K538" s="54">
        <v>0</v>
      </c>
      <c r="L538" s="54">
        <v>378</v>
      </c>
      <c r="M538" s="54">
        <v>378</v>
      </c>
      <c r="N538" s="54"/>
      <c r="O538" s="54">
        <f t="shared" si="19"/>
        <v>4956</v>
      </c>
    </row>
    <row r="539" spans="1:15" x14ac:dyDescent="0.2">
      <c r="A539" s="33">
        <v>43617</v>
      </c>
      <c r="B539" s="11">
        <v>213</v>
      </c>
      <c r="C539" s="11" t="s">
        <v>551</v>
      </c>
      <c r="D539" s="11" t="s">
        <v>552</v>
      </c>
      <c r="F539" s="11" t="s">
        <v>22</v>
      </c>
      <c r="G539" s="38" t="s">
        <v>764</v>
      </c>
      <c r="H539" s="650">
        <v>43642</v>
      </c>
      <c r="I539" s="126">
        <v>950</v>
      </c>
      <c r="J539" s="640">
        <f t="shared" si="18"/>
        <v>171</v>
      </c>
      <c r="K539" s="54">
        <v>0</v>
      </c>
      <c r="L539" s="54">
        <v>85.5</v>
      </c>
      <c r="M539" s="54">
        <v>85.5</v>
      </c>
      <c r="N539" s="54"/>
      <c r="O539" s="54">
        <f t="shared" si="19"/>
        <v>1121</v>
      </c>
    </row>
    <row r="540" spans="1:15" x14ac:dyDescent="0.2">
      <c r="A540" s="33">
        <v>43617</v>
      </c>
      <c r="B540" s="11">
        <v>214</v>
      </c>
      <c r="C540" s="11" t="s">
        <v>565</v>
      </c>
      <c r="D540" s="11" t="s">
        <v>566</v>
      </c>
      <c r="F540" s="11" t="s">
        <v>22</v>
      </c>
      <c r="G540" s="38">
        <v>4766</v>
      </c>
      <c r="H540" s="650">
        <v>43628</v>
      </c>
      <c r="I540" s="126">
        <v>9020.81</v>
      </c>
      <c r="J540" s="640">
        <f t="shared" si="18"/>
        <v>1582.18</v>
      </c>
      <c r="K540" s="54">
        <v>0</v>
      </c>
      <c r="L540" s="54">
        <v>791.09</v>
      </c>
      <c r="M540" s="54">
        <v>791.09</v>
      </c>
      <c r="N540" s="54"/>
      <c r="O540" s="54">
        <f t="shared" si="19"/>
        <v>10602.99</v>
      </c>
    </row>
    <row r="541" spans="1:15" x14ac:dyDescent="0.2">
      <c r="A541" s="33">
        <v>43617</v>
      </c>
      <c r="B541" s="11">
        <v>215</v>
      </c>
      <c r="C541" s="11" t="s">
        <v>556</v>
      </c>
      <c r="D541" s="11" t="s">
        <v>557</v>
      </c>
      <c r="F541" s="11" t="s">
        <v>22</v>
      </c>
      <c r="G541" s="38" t="s">
        <v>765</v>
      </c>
      <c r="H541" s="650">
        <v>43645</v>
      </c>
      <c r="I541" s="126">
        <v>12200</v>
      </c>
      <c r="J541" s="640">
        <f t="shared" si="18"/>
        <v>2196</v>
      </c>
      <c r="K541" s="54">
        <v>0</v>
      </c>
      <c r="L541" s="54">
        <v>1098</v>
      </c>
      <c r="M541" s="54">
        <v>1098</v>
      </c>
      <c r="N541" s="54"/>
      <c r="O541" s="54">
        <f t="shared" si="19"/>
        <v>14396</v>
      </c>
    </row>
    <row r="542" spans="1:15" x14ac:dyDescent="0.2">
      <c r="A542" s="33">
        <v>43617</v>
      </c>
      <c r="B542" s="11">
        <v>216</v>
      </c>
      <c r="C542" s="11" t="s">
        <v>514</v>
      </c>
      <c r="D542" s="11" t="s">
        <v>515</v>
      </c>
      <c r="F542" s="11" t="s">
        <v>22</v>
      </c>
      <c r="G542" s="38" t="s">
        <v>766</v>
      </c>
      <c r="H542" s="650">
        <v>43621</v>
      </c>
      <c r="I542" s="126">
        <v>5</v>
      </c>
      <c r="J542" s="640">
        <f t="shared" si="18"/>
        <v>0.9</v>
      </c>
      <c r="K542" s="54">
        <v>0</v>
      </c>
      <c r="L542" s="54">
        <v>0.45</v>
      </c>
      <c r="M542" s="54">
        <v>0.45</v>
      </c>
      <c r="N542" s="54"/>
      <c r="O542" s="54">
        <f t="shared" si="19"/>
        <v>5.9</v>
      </c>
    </row>
    <row r="543" spans="1:15" x14ac:dyDescent="0.2">
      <c r="A543" s="33">
        <v>43617</v>
      </c>
      <c r="B543" s="11">
        <v>217</v>
      </c>
      <c r="C543" s="11" t="s">
        <v>514</v>
      </c>
      <c r="D543" s="11" t="s">
        <v>515</v>
      </c>
      <c r="F543" s="11" t="s">
        <v>22</v>
      </c>
      <c r="G543" s="38" t="s">
        <v>767</v>
      </c>
      <c r="H543" s="650">
        <v>43633</v>
      </c>
      <c r="I543" s="126">
        <v>1022.6</v>
      </c>
      <c r="J543" s="640">
        <f t="shared" si="18"/>
        <v>184.06800000000001</v>
      </c>
      <c r="K543" s="54">
        <v>0</v>
      </c>
      <c r="L543" s="54">
        <v>92.034000000000006</v>
      </c>
      <c r="M543" s="54">
        <v>92.034000000000006</v>
      </c>
      <c r="N543" s="54"/>
      <c r="O543" s="54">
        <f t="shared" si="19"/>
        <v>1206.6680000000001</v>
      </c>
    </row>
    <row r="544" spans="1:15" x14ac:dyDescent="0.2">
      <c r="A544" s="33">
        <v>43617</v>
      </c>
      <c r="B544" s="11">
        <v>8</v>
      </c>
      <c r="C544" s="11" t="s">
        <v>600</v>
      </c>
      <c r="D544" s="11">
        <v>2</v>
      </c>
      <c r="F544" s="11" t="s">
        <v>392</v>
      </c>
      <c r="G544" s="38"/>
      <c r="H544" s="650"/>
      <c r="I544" s="126"/>
      <c r="J544" s="640">
        <f t="shared" si="18"/>
        <v>0</v>
      </c>
      <c r="K544" s="54">
        <v>0</v>
      </c>
      <c r="L544" s="54">
        <v>0</v>
      </c>
      <c r="M544" s="54">
        <v>0</v>
      </c>
      <c r="N544" s="54"/>
      <c r="O544" s="54">
        <f t="shared" si="19"/>
        <v>0</v>
      </c>
    </row>
    <row r="545" spans="1:15" x14ac:dyDescent="0.2">
      <c r="A545" s="33">
        <v>43617</v>
      </c>
      <c r="G545" s="34"/>
      <c r="H545" s="643"/>
      <c r="I545" s="126"/>
      <c r="J545" s="640">
        <f t="shared" si="18"/>
        <v>0</v>
      </c>
      <c r="K545" s="54"/>
      <c r="L545" s="54"/>
      <c r="M545" s="54"/>
      <c r="N545" s="54"/>
      <c r="O545" s="54">
        <f t="shared" si="19"/>
        <v>0</v>
      </c>
    </row>
    <row r="546" spans="1:15" x14ac:dyDescent="0.2">
      <c r="A546" s="33">
        <v>43617</v>
      </c>
      <c r="C546" s="11" t="s">
        <v>489</v>
      </c>
      <c r="D546" s="11" t="s">
        <v>490</v>
      </c>
      <c r="F546" s="11" t="s">
        <v>228</v>
      </c>
      <c r="G546" s="38">
        <v>2</v>
      </c>
      <c r="H546" s="650" t="s">
        <v>768</v>
      </c>
      <c r="I546" s="126">
        <v>-2251</v>
      </c>
      <c r="J546" s="640">
        <f t="shared" si="18"/>
        <v>-405.18</v>
      </c>
      <c r="K546" s="54">
        <v>0</v>
      </c>
      <c r="L546" s="54">
        <v>-202.59</v>
      </c>
      <c r="M546" s="54">
        <v>-202.59</v>
      </c>
      <c r="N546" s="54"/>
      <c r="O546" s="54">
        <f t="shared" si="19"/>
        <v>-2656.18</v>
      </c>
    </row>
    <row r="547" spans="1:15" x14ac:dyDescent="0.2">
      <c r="A547" s="33"/>
      <c r="C547" s="11" t="s">
        <v>489</v>
      </c>
      <c r="D547" s="11" t="s">
        <v>490</v>
      </c>
      <c r="F547" s="11" t="s">
        <v>228</v>
      </c>
      <c r="G547" s="38">
        <v>3</v>
      </c>
      <c r="H547" s="650" t="s">
        <v>768</v>
      </c>
      <c r="I547" s="126">
        <v>-3274</v>
      </c>
      <c r="J547" s="640">
        <f t="shared" si="18"/>
        <v>-589.32000000000005</v>
      </c>
      <c r="K547" s="54">
        <v>0</v>
      </c>
      <c r="L547" s="54">
        <v>-294.66000000000003</v>
      </c>
      <c r="M547" s="54">
        <v>-294.66000000000003</v>
      </c>
      <c r="N547" s="54"/>
      <c r="O547" s="54">
        <f t="shared" si="19"/>
        <v>-3863.32</v>
      </c>
    </row>
    <row r="548" spans="1:15" x14ac:dyDescent="0.2">
      <c r="A548" s="646"/>
      <c r="B548" s="645"/>
      <c r="C548" s="645"/>
      <c r="D548" s="645" t="e">
        <v>#N/A</v>
      </c>
      <c r="E548" s="645"/>
      <c r="F548" s="645" t="s">
        <v>22</v>
      </c>
      <c r="G548" s="646"/>
      <c r="H548" s="647"/>
      <c r="I548" s="648">
        <f>SUM(I327:I547)</f>
        <v>4585636.5799999973</v>
      </c>
      <c r="J548" s="649">
        <f t="shared" ref="J548:M548" si="20">SUM(J327:J547)</f>
        <v>1002074.2256000011</v>
      </c>
      <c r="K548" s="649">
        <f t="shared" si="20"/>
        <v>89585.376799999998</v>
      </c>
      <c r="L548" s="649">
        <f t="shared" si="20"/>
        <v>456244.42440000048</v>
      </c>
      <c r="M548" s="649">
        <f t="shared" si="20"/>
        <v>456244.42440000048</v>
      </c>
      <c r="N548" s="649"/>
      <c r="O548" s="649">
        <f t="shared" si="19"/>
        <v>5587710.8055999987</v>
      </c>
    </row>
    <row r="549" spans="1:15" x14ac:dyDescent="0.2">
      <c r="A549" s="33">
        <v>43647</v>
      </c>
      <c r="B549" s="11">
        <v>1</v>
      </c>
      <c r="C549" s="11" t="s">
        <v>601</v>
      </c>
      <c r="D549" s="11" t="s">
        <v>602</v>
      </c>
      <c r="F549" s="11" t="s">
        <v>22</v>
      </c>
      <c r="G549" s="38">
        <v>2442</v>
      </c>
      <c r="H549" s="650">
        <v>43647</v>
      </c>
      <c r="I549" s="126">
        <v>10713.6</v>
      </c>
      <c r="J549" s="640">
        <f t="shared" si="18"/>
        <v>2999.8080000000004</v>
      </c>
      <c r="K549" s="54">
        <v>0</v>
      </c>
      <c r="L549" s="54">
        <v>1499.9040000000002</v>
      </c>
      <c r="M549" s="54">
        <v>1499.9040000000002</v>
      </c>
      <c r="N549" s="54"/>
      <c r="O549" s="54">
        <f t="shared" si="19"/>
        <v>13713.408000000001</v>
      </c>
    </row>
    <row r="550" spans="1:15" x14ac:dyDescent="0.2">
      <c r="A550" s="33">
        <v>43647</v>
      </c>
      <c r="B550" s="11">
        <v>2</v>
      </c>
      <c r="C550" s="11" t="s">
        <v>601</v>
      </c>
      <c r="D550" s="11" t="s">
        <v>602</v>
      </c>
      <c r="F550" s="11" t="s">
        <v>22</v>
      </c>
      <c r="G550" s="38">
        <v>2443</v>
      </c>
      <c r="H550" s="650">
        <v>43647</v>
      </c>
      <c r="I550" s="126">
        <v>21285</v>
      </c>
      <c r="J550" s="640">
        <f t="shared" si="18"/>
        <v>5959.8</v>
      </c>
      <c r="K550" s="54">
        <v>0</v>
      </c>
      <c r="L550" s="54">
        <v>2979.9</v>
      </c>
      <c r="M550" s="54">
        <v>2979.9</v>
      </c>
      <c r="N550" s="54"/>
      <c r="O550" s="54">
        <f t="shared" si="19"/>
        <v>27244.799999999999</v>
      </c>
    </row>
    <row r="551" spans="1:15" x14ac:dyDescent="0.2">
      <c r="A551" s="33">
        <v>43647</v>
      </c>
      <c r="B551" s="11">
        <v>3</v>
      </c>
      <c r="C551" s="11" t="s">
        <v>495</v>
      </c>
      <c r="D551" s="11" t="s">
        <v>74</v>
      </c>
      <c r="F551" s="11" t="s">
        <v>22</v>
      </c>
      <c r="G551" s="38">
        <v>5510050272</v>
      </c>
      <c r="H551" s="650">
        <v>43647</v>
      </c>
      <c r="I551" s="126">
        <v>45124.800000000003</v>
      </c>
      <c r="J551" s="640">
        <f t="shared" si="18"/>
        <v>8122.4840000000013</v>
      </c>
      <c r="K551" s="54">
        <v>0</v>
      </c>
      <c r="L551" s="54">
        <v>4061.2420000000006</v>
      </c>
      <c r="M551" s="54">
        <v>4061.2420000000006</v>
      </c>
      <c r="N551" s="54"/>
      <c r="O551" s="54">
        <f t="shared" si="19"/>
        <v>53247.284000000007</v>
      </c>
    </row>
    <row r="552" spans="1:15" x14ac:dyDescent="0.2">
      <c r="A552" s="33">
        <v>43647</v>
      </c>
      <c r="B552" s="11">
        <v>4</v>
      </c>
      <c r="C552" s="11" t="s">
        <v>554</v>
      </c>
      <c r="D552" s="11" t="s">
        <v>555</v>
      </c>
      <c r="F552" s="11" t="s">
        <v>22</v>
      </c>
      <c r="G552" s="38">
        <v>3633</v>
      </c>
      <c r="H552" s="650">
        <v>43647</v>
      </c>
      <c r="I552" s="126">
        <v>2622.5</v>
      </c>
      <c r="J552" s="640">
        <f t="shared" si="18"/>
        <v>734.30000000000007</v>
      </c>
      <c r="K552" s="54">
        <v>0</v>
      </c>
      <c r="L552" s="54">
        <v>367.15000000000003</v>
      </c>
      <c r="M552" s="54">
        <v>367.15000000000003</v>
      </c>
      <c r="N552" s="54"/>
      <c r="O552" s="54">
        <f t="shared" si="19"/>
        <v>3356.8</v>
      </c>
    </row>
    <row r="553" spans="1:15" x14ac:dyDescent="0.2">
      <c r="A553" s="33">
        <v>43647</v>
      </c>
      <c r="B553" s="11">
        <v>5</v>
      </c>
      <c r="C553" s="11" t="s">
        <v>554</v>
      </c>
      <c r="D553" s="11" t="s">
        <v>555</v>
      </c>
      <c r="F553" s="11" t="s">
        <v>22</v>
      </c>
      <c r="G553" s="38">
        <v>3655</v>
      </c>
      <c r="H553" s="650">
        <v>43647</v>
      </c>
      <c r="I553" s="126">
        <v>2780</v>
      </c>
      <c r="J553" s="640">
        <f t="shared" si="18"/>
        <v>778.4</v>
      </c>
      <c r="K553" s="54">
        <v>0</v>
      </c>
      <c r="L553" s="54">
        <v>389.2</v>
      </c>
      <c r="M553" s="54">
        <v>389.2</v>
      </c>
      <c r="N553" s="54"/>
      <c r="O553" s="54">
        <f t="shared" si="19"/>
        <v>3558.4</v>
      </c>
    </row>
    <row r="554" spans="1:15" x14ac:dyDescent="0.2">
      <c r="A554" s="33">
        <v>43647</v>
      </c>
      <c r="B554" s="11">
        <v>6</v>
      </c>
      <c r="C554" s="11" t="s">
        <v>473</v>
      </c>
      <c r="D554" s="11" t="s">
        <v>41</v>
      </c>
      <c r="F554" s="11" t="s">
        <v>22</v>
      </c>
      <c r="G554" s="38" t="s">
        <v>769</v>
      </c>
      <c r="H554" s="650">
        <v>43647</v>
      </c>
      <c r="I554" s="126">
        <v>6412</v>
      </c>
      <c r="J554" s="640">
        <f t="shared" si="18"/>
        <v>1796.0000000000002</v>
      </c>
      <c r="K554" s="54">
        <v>0</v>
      </c>
      <c r="L554" s="54">
        <v>898.00000000000011</v>
      </c>
      <c r="M554" s="54">
        <v>898.00000000000011</v>
      </c>
      <c r="N554" s="54"/>
      <c r="O554" s="54">
        <f t="shared" si="19"/>
        <v>8208</v>
      </c>
    </row>
    <row r="555" spans="1:15" x14ac:dyDescent="0.2">
      <c r="A555" s="33">
        <v>43647</v>
      </c>
      <c r="B555" s="11">
        <v>7</v>
      </c>
      <c r="C555" s="11" t="s">
        <v>473</v>
      </c>
      <c r="D555" s="11" t="s">
        <v>41</v>
      </c>
      <c r="F555" s="11" t="s">
        <v>22</v>
      </c>
      <c r="G555" s="38" t="s">
        <v>770</v>
      </c>
      <c r="H555" s="650">
        <v>43647</v>
      </c>
      <c r="I555" s="126">
        <v>562.04999999999995</v>
      </c>
      <c r="J555" s="640">
        <f t="shared" si="18"/>
        <v>157.994</v>
      </c>
      <c r="K555" s="54">
        <v>0</v>
      </c>
      <c r="L555" s="54">
        <v>78.997</v>
      </c>
      <c r="M555" s="54">
        <v>78.997</v>
      </c>
      <c r="N555" s="54"/>
      <c r="O555" s="54">
        <f t="shared" si="19"/>
        <v>720.04399999999998</v>
      </c>
    </row>
    <row r="556" spans="1:15" x14ac:dyDescent="0.2">
      <c r="A556" s="33">
        <v>43647</v>
      </c>
      <c r="B556" s="11">
        <v>8</v>
      </c>
      <c r="C556" s="11" t="s">
        <v>705</v>
      </c>
      <c r="D556" s="11" t="s">
        <v>706</v>
      </c>
      <c r="F556" s="11" t="s">
        <v>22</v>
      </c>
      <c r="G556" s="38" t="s">
        <v>771</v>
      </c>
      <c r="H556" s="650">
        <v>43647</v>
      </c>
      <c r="I556" s="126">
        <v>2150</v>
      </c>
      <c r="J556" s="640">
        <f t="shared" si="18"/>
        <v>602</v>
      </c>
      <c r="K556" s="54">
        <v>0</v>
      </c>
      <c r="L556" s="54">
        <v>301</v>
      </c>
      <c r="M556" s="54">
        <v>301</v>
      </c>
      <c r="N556" s="54"/>
      <c r="O556" s="54">
        <f t="shared" si="19"/>
        <v>2752</v>
      </c>
    </row>
    <row r="557" spans="1:15" x14ac:dyDescent="0.2">
      <c r="A557" s="33">
        <v>43647</v>
      </c>
      <c r="B557" s="11">
        <v>9</v>
      </c>
      <c r="C557" s="11" t="s">
        <v>551</v>
      </c>
      <c r="D557" s="11" t="s">
        <v>552</v>
      </c>
      <c r="F557" s="11" t="s">
        <v>22</v>
      </c>
      <c r="G557" s="38" t="s">
        <v>772</v>
      </c>
      <c r="H557" s="650">
        <v>43647</v>
      </c>
      <c r="I557" s="126">
        <v>170</v>
      </c>
      <c r="J557" s="640">
        <f t="shared" si="18"/>
        <v>30.599999999999998</v>
      </c>
      <c r="K557" s="54">
        <v>0</v>
      </c>
      <c r="L557" s="54">
        <v>15.299999999999999</v>
      </c>
      <c r="M557" s="54">
        <v>15.299999999999999</v>
      </c>
      <c r="N557" s="54"/>
      <c r="O557" s="54">
        <f t="shared" si="19"/>
        <v>200.6</v>
      </c>
    </row>
    <row r="558" spans="1:15" x14ac:dyDescent="0.2">
      <c r="A558" s="33">
        <v>43647</v>
      </c>
      <c r="B558" s="11">
        <v>10</v>
      </c>
      <c r="C558" s="11" t="s">
        <v>479</v>
      </c>
      <c r="D558" s="11" t="s">
        <v>480</v>
      </c>
      <c r="F558" s="11" t="s">
        <v>22</v>
      </c>
      <c r="G558" s="38">
        <v>1116</v>
      </c>
      <c r="H558" s="650">
        <v>43647</v>
      </c>
      <c r="I558" s="126">
        <v>900</v>
      </c>
      <c r="J558" s="640">
        <f t="shared" si="18"/>
        <v>162</v>
      </c>
      <c r="K558" s="54">
        <v>0</v>
      </c>
      <c r="L558" s="54">
        <v>81</v>
      </c>
      <c r="M558" s="54">
        <v>81</v>
      </c>
      <c r="N558" s="54"/>
      <c r="O558" s="54">
        <f t="shared" si="19"/>
        <v>1062</v>
      </c>
    </row>
    <row r="559" spans="1:15" x14ac:dyDescent="0.2">
      <c r="A559" s="33">
        <v>43647</v>
      </c>
      <c r="B559" s="11">
        <v>11</v>
      </c>
      <c r="C559" s="11" t="s">
        <v>499</v>
      </c>
      <c r="D559" s="11" t="s">
        <v>500</v>
      </c>
      <c r="F559" s="11" t="s">
        <v>22</v>
      </c>
      <c r="G559" s="38" t="s">
        <v>773</v>
      </c>
      <c r="H559" s="650">
        <v>43647</v>
      </c>
      <c r="I559" s="126">
        <v>8003</v>
      </c>
      <c r="J559" s="640">
        <f t="shared" si="18"/>
        <v>1440.54</v>
      </c>
      <c r="K559" s="54">
        <v>0</v>
      </c>
      <c r="L559" s="54">
        <v>720.27</v>
      </c>
      <c r="M559" s="54">
        <v>720.27</v>
      </c>
      <c r="N559" s="54"/>
      <c r="O559" s="54">
        <f t="shared" si="19"/>
        <v>9443.5400000000009</v>
      </c>
    </row>
    <row r="560" spans="1:15" x14ac:dyDescent="0.2">
      <c r="A560" s="33">
        <v>43647</v>
      </c>
      <c r="B560" s="11">
        <v>12</v>
      </c>
      <c r="C560" s="11" t="s">
        <v>499</v>
      </c>
      <c r="D560" s="11" t="s">
        <v>500</v>
      </c>
      <c r="F560" s="11" t="s">
        <v>22</v>
      </c>
      <c r="G560" s="38" t="s">
        <v>774</v>
      </c>
      <c r="H560" s="650">
        <v>43647</v>
      </c>
      <c r="I560" s="126">
        <v>9990</v>
      </c>
      <c r="J560" s="640">
        <f t="shared" si="18"/>
        <v>967.8</v>
      </c>
      <c r="K560" s="54">
        <v>0</v>
      </c>
      <c r="L560" s="54">
        <v>483.9</v>
      </c>
      <c r="M560" s="54">
        <v>483.9</v>
      </c>
      <c r="N560" s="54"/>
      <c r="O560" s="54">
        <f t="shared" si="19"/>
        <v>10957.8</v>
      </c>
    </row>
    <row r="561" spans="1:15" x14ac:dyDescent="0.2">
      <c r="A561" s="33">
        <v>43647</v>
      </c>
      <c r="B561" s="11">
        <v>13</v>
      </c>
      <c r="C561" s="11" t="s">
        <v>554</v>
      </c>
      <c r="D561" s="11" t="s">
        <v>555</v>
      </c>
      <c r="F561" s="11" t="s">
        <v>22</v>
      </c>
      <c r="G561" s="38">
        <v>3681</v>
      </c>
      <c r="H561" s="650">
        <v>43648</v>
      </c>
      <c r="I561" s="126">
        <v>3188.55</v>
      </c>
      <c r="J561" s="640">
        <f t="shared" si="18"/>
        <v>892.79399999999998</v>
      </c>
      <c r="K561" s="54">
        <v>0</v>
      </c>
      <c r="L561" s="54">
        <v>446.39699999999999</v>
      </c>
      <c r="M561" s="54">
        <v>446.39699999999999</v>
      </c>
      <c r="N561" s="54"/>
      <c r="O561" s="54">
        <f t="shared" si="19"/>
        <v>4081.3440000000001</v>
      </c>
    </row>
    <row r="562" spans="1:15" x14ac:dyDescent="0.2">
      <c r="A562" s="33">
        <v>43647</v>
      </c>
      <c r="B562" s="11">
        <v>14</v>
      </c>
      <c r="C562" s="11" t="s">
        <v>554</v>
      </c>
      <c r="D562" s="11" t="s">
        <v>555</v>
      </c>
      <c r="F562" s="11" t="s">
        <v>22</v>
      </c>
      <c r="G562" s="38">
        <v>3682</v>
      </c>
      <c r="H562" s="650">
        <v>43648</v>
      </c>
      <c r="I562" s="126">
        <v>1427</v>
      </c>
      <c r="J562" s="640">
        <f t="shared" si="18"/>
        <v>399.56</v>
      </c>
      <c r="K562" s="54">
        <v>0</v>
      </c>
      <c r="L562" s="54">
        <v>199.78</v>
      </c>
      <c r="M562" s="54">
        <v>199.78</v>
      </c>
      <c r="N562" s="54"/>
      <c r="O562" s="54">
        <f t="shared" si="19"/>
        <v>1826.56</v>
      </c>
    </row>
    <row r="563" spans="1:15" x14ac:dyDescent="0.2">
      <c r="A563" s="33">
        <v>43647</v>
      </c>
      <c r="B563" s="11">
        <v>15</v>
      </c>
      <c r="C563" s="11" t="s">
        <v>471</v>
      </c>
      <c r="D563" s="11" t="s">
        <v>29</v>
      </c>
      <c r="F563" s="11" t="s">
        <v>22</v>
      </c>
      <c r="G563" s="38">
        <v>192003070</v>
      </c>
      <c r="H563" s="650">
        <v>43648</v>
      </c>
      <c r="I563" s="126">
        <v>17483.52</v>
      </c>
      <c r="J563" s="640">
        <f t="shared" si="18"/>
        <v>4895.3856000000005</v>
      </c>
      <c r="K563" s="54">
        <v>0</v>
      </c>
      <c r="L563" s="54">
        <v>2447.6928000000003</v>
      </c>
      <c r="M563" s="54">
        <v>2447.6928000000003</v>
      </c>
      <c r="N563" s="54"/>
      <c r="O563" s="54">
        <f t="shared" si="19"/>
        <v>22378.905600000002</v>
      </c>
    </row>
    <row r="564" spans="1:15" x14ac:dyDescent="0.2">
      <c r="A564" s="33">
        <v>43647</v>
      </c>
      <c r="B564" s="11">
        <v>16</v>
      </c>
      <c r="C564" s="11" t="s">
        <v>471</v>
      </c>
      <c r="D564" s="11" t="s">
        <v>29</v>
      </c>
      <c r="F564" s="11" t="s">
        <v>22</v>
      </c>
      <c r="G564" s="38">
        <v>192003071</v>
      </c>
      <c r="H564" s="650">
        <v>43648</v>
      </c>
      <c r="I564" s="126">
        <v>17483.52</v>
      </c>
      <c r="J564" s="640">
        <f t="shared" si="18"/>
        <v>4895.3856000000005</v>
      </c>
      <c r="K564" s="54">
        <v>0</v>
      </c>
      <c r="L564" s="54">
        <v>2447.6928000000003</v>
      </c>
      <c r="M564" s="54">
        <v>2447.6928000000003</v>
      </c>
      <c r="N564" s="54"/>
      <c r="O564" s="54">
        <f t="shared" si="19"/>
        <v>22378.905600000002</v>
      </c>
    </row>
    <row r="565" spans="1:15" x14ac:dyDescent="0.2">
      <c r="A565" s="33">
        <v>43647</v>
      </c>
      <c r="B565" s="11">
        <v>17</v>
      </c>
      <c r="C565" s="11" t="s">
        <v>601</v>
      </c>
      <c r="D565" s="11" t="s">
        <v>602</v>
      </c>
      <c r="F565" s="11" t="s">
        <v>22</v>
      </c>
      <c r="G565" s="38">
        <v>2475</v>
      </c>
      <c r="H565" s="650">
        <v>43648</v>
      </c>
      <c r="I565" s="126">
        <v>29799</v>
      </c>
      <c r="J565" s="640">
        <f t="shared" si="18"/>
        <v>8343.7200000000012</v>
      </c>
      <c r="K565" s="54">
        <v>0</v>
      </c>
      <c r="L565" s="54">
        <v>4171.8600000000006</v>
      </c>
      <c r="M565" s="54">
        <v>4171.8600000000006</v>
      </c>
      <c r="N565" s="54"/>
      <c r="O565" s="54">
        <f t="shared" si="19"/>
        <v>38142.720000000001</v>
      </c>
    </row>
    <row r="566" spans="1:15" x14ac:dyDescent="0.2">
      <c r="A566" s="33">
        <v>43647</v>
      </c>
      <c r="B566" s="11">
        <v>18</v>
      </c>
      <c r="C566" s="11" t="s">
        <v>688</v>
      </c>
      <c r="D566" s="11">
        <v>1</v>
      </c>
      <c r="F566" s="11" t="s">
        <v>22</v>
      </c>
      <c r="G566" s="38">
        <v>3783796</v>
      </c>
      <c r="H566" s="650">
        <v>43640</v>
      </c>
      <c r="I566" s="126">
        <v>252144</v>
      </c>
      <c r="J566" s="640">
        <f t="shared" si="18"/>
        <v>45385.919999999998</v>
      </c>
      <c r="K566" s="54">
        <v>45385.919999999998</v>
      </c>
      <c r="L566" s="54">
        <v>0</v>
      </c>
      <c r="M566" s="54">
        <v>0</v>
      </c>
      <c r="N566" s="54"/>
      <c r="O566" s="54">
        <f t="shared" si="19"/>
        <v>297529.92</v>
      </c>
    </row>
    <row r="567" spans="1:15" x14ac:dyDescent="0.2">
      <c r="A567" s="33">
        <v>43647</v>
      </c>
      <c r="B567" s="11">
        <v>19</v>
      </c>
      <c r="C567" s="11" t="s">
        <v>479</v>
      </c>
      <c r="D567" s="11" t="s">
        <v>480</v>
      </c>
      <c r="F567" s="11" t="s">
        <v>22</v>
      </c>
      <c r="G567" s="38">
        <v>1120</v>
      </c>
      <c r="H567" s="650">
        <v>43648</v>
      </c>
      <c r="I567" s="126">
        <v>4000</v>
      </c>
      <c r="J567" s="640">
        <f t="shared" si="18"/>
        <v>720</v>
      </c>
      <c r="K567" s="54">
        <v>0</v>
      </c>
      <c r="L567" s="54">
        <v>360</v>
      </c>
      <c r="M567" s="54">
        <v>360</v>
      </c>
      <c r="N567" s="54"/>
      <c r="O567" s="54">
        <f t="shared" si="19"/>
        <v>4720</v>
      </c>
    </row>
    <row r="568" spans="1:15" x14ac:dyDescent="0.2">
      <c r="A568" s="33">
        <v>43647</v>
      </c>
      <c r="B568" s="11">
        <v>20</v>
      </c>
      <c r="C568" s="11" t="s">
        <v>554</v>
      </c>
      <c r="D568" s="11" t="s">
        <v>555</v>
      </c>
      <c r="F568" s="11" t="s">
        <v>22</v>
      </c>
      <c r="G568" s="38">
        <v>3719</v>
      </c>
      <c r="H568" s="650">
        <v>43648</v>
      </c>
      <c r="I568" s="126">
        <v>6012</v>
      </c>
      <c r="J568" s="640">
        <f t="shared" si="18"/>
        <v>1683.36</v>
      </c>
      <c r="K568" s="54">
        <v>0</v>
      </c>
      <c r="L568" s="54">
        <v>841.68</v>
      </c>
      <c r="M568" s="54">
        <v>841.68</v>
      </c>
      <c r="N568" s="54"/>
      <c r="O568" s="54">
        <f t="shared" si="19"/>
        <v>7695.36</v>
      </c>
    </row>
    <row r="569" spans="1:15" x14ac:dyDescent="0.2">
      <c r="A569" s="33">
        <v>43647</v>
      </c>
      <c r="B569" s="11">
        <v>21</v>
      </c>
      <c r="C569" s="11" t="s">
        <v>471</v>
      </c>
      <c r="D569" s="11" t="s">
        <v>29</v>
      </c>
      <c r="F569" s="11" t="s">
        <v>22</v>
      </c>
      <c r="G569" s="38">
        <v>192003074</v>
      </c>
      <c r="H569" s="650">
        <v>43648</v>
      </c>
      <c r="I569" s="126">
        <v>17483.52</v>
      </c>
      <c r="J569" s="640">
        <f t="shared" si="18"/>
        <v>4895.3856000000005</v>
      </c>
      <c r="K569" s="54">
        <v>0</v>
      </c>
      <c r="L569" s="54">
        <v>2447.6928000000003</v>
      </c>
      <c r="M569" s="54">
        <v>2447.6928000000003</v>
      </c>
      <c r="N569" s="54"/>
      <c r="O569" s="54">
        <f t="shared" si="19"/>
        <v>22378.905600000002</v>
      </c>
    </row>
    <row r="570" spans="1:15" x14ac:dyDescent="0.2">
      <c r="A570" s="33">
        <v>43647</v>
      </c>
      <c r="B570" s="11">
        <v>22</v>
      </c>
      <c r="C570" s="11" t="s">
        <v>489</v>
      </c>
      <c r="D570" s="11" t="s">
        <v>490</v>
      </c>
      <c r="F570" s="11" t="s">
        <v>22</v>
      </c>
      <c r="G570" s="38">
        <v>7887985414</v>
      </c>
      <c r="H570" s="650">
        <v>43648</v>
      </c>
      <c r="I570" s="126">
        <v>198088</v>
      </c>
      <c r="J570" s="640">
        <f t="shared" si="18"/>
        <v>35655.839999999997</v>
      </c>
      <c r="K570" s="54">
        <v>0</v>
      </c>
      <c r="L570" s="54">
        <v>17827.919999999998</v>
      </c>
      <c r="M570" s="54">
        <v>17827.919999999998</v>
      </c>
      <c r="N570" s="54"/>
      <c r="O570" s="54">
        <f t="shared" si="19"/>
        <v>233743.84</v>
      </c>
    </row>
    <row r="571" spans="1:15" x14ac:dyDescent="0.2">
      <c r="A571" s="33">
        <v>43647</v>
      </c>
      <c r="B571" s="11">
        <v>23</v>
      </c>
      <c r="C571" s="11" t="s">
        <v>489</v>
      </c>
      <c r="D571" s="11" t="s">
        <v>490</v>
      </c>
      <c r="F571" s="11" t="s">
        <v>22</v>
      </c>
      <c r="G571" s="38">
        <v>7887985415</v>
      </c>
      <c r="H571" s="650">
        <v>43648</v>
      </c>
      <c r="I571" s="126">
        <v>22000</v>
      </c>
      <c r="J571" s="640">
        <f t="shared" si="18"/>
        <v>3960</v>
      </c>
      <c r="K571" s="54">
        <v>0</v>
      </c>
      <c r="L571" s="54">
        <v>1980</v>
      </c>
      <c r="M571" s="54">
        <v>1980</v>
      </c>
      <c r="N571" s="54"/>
      <c r="O571" s="54">
        <f t="shared" si="19"/>
        <v>25960</v>
      </c>
    </row>
    <row r="572" spans="1:15" x14ac:dyDescent="0.2">
      <c r="A572" s="33">
        <v>43647</v>
      </c>
      <c r="B572" s="11">
        <v>24</v>
      </c>
      <c r="C572" s="11" t="s">
        <v>489</v>
      </c>
      <c r="D572" s="11" t="s">
        <v>490</v>
      </c>
      <c r="F572" s="11" t="s">
        <v>22</v>
      </c>
      <c r="G572" s="38">
        <v>7887985416</v>
      </c>
      <c r="H572" s="650">
        <v>43648</v>
      </c>
      <c r="I572" s="126">
        <v>5100</v>
      </c>
      <c r="J572" s="640">
        <f t="shared" si="18"/>
        <v>918</v>
      </c>
      <c r="K572" s="54">
        <v>0</v>
      </c>
      <c r="L572" s="54">
        <v>459</v>
      </c>
      <c r="M572" s="54">
        <v>459</v>
      </c>
      <c r="N572" s="54"/>
      <c r="O572" s="54">
        <f t="shared" si="19"/>
        <v>6018</v>
      </c>
    </row>
    <row r="573" spans="1:15" x14ac:dyDescent="0.2">
      <c r="A573" s="33">
        <v>43647</v>
      </c>
      <c r="B573" s="11">
        <v>25</v>
      </c>
      <c r="C573" s="11" t="s">
        <v>493</v>
      </c>
      <c r="D573" s="11" t="s">
        <v>494</v>
      </c>
      <c r="F573" s="11" t="s">
        <v>22</v>
      </c>
      <c r="G573" s="38">
        <v>1671</v>
      </c>
      <c r="H573" s="650">
        <v>43648</v>
      </c>
      <c r="I573" s="126">
        <v>10345.5</v>
      </c>
      <c r="J573" s="640">
        <f t="shared" si="18"/>
        <v>1862.19</v>
      </c>
      <c r="K573" s="54">
        <v>0</v>
      </c>
      <c r="L573" s="54">
        <v>931.09500000000003</v>
      </c>
      <c r="M573" s="54">
        <v>931.09500000000003</v>
      </c>
      <c r="N573" s="54"/>
      <c r="O573" s="54">
        <f t="shared" si="19"/>
        <v>12207.69</v>
      </c>
    </row>
    <row r="574" spans="1:15" x14ac:dyDescent="0.2">
      <c r="A574" s="33">
        <v>43647</v>
      </c>
      <c r="B574" s="11">
        <v>26</v>
      </c>
      <c r="C574" s="11" t="s">
        <v>493</v>
      </c>
      <c r="D574" s="11" t="s">
        <v>494</v>
      </c>
      <c r="F574" s="11" t="s">
        <v>22</v>
      </c>
      <c r="G574" s="38">
        <v>1686</v>
      </c>
      <c r="H574" s="650">
        <v>43649</v>
      </c>
      <c r="I574" s="126">
        <v>29887</v>
      </c>
      <c r="J574" s="640">
        <f t="shared" si="18"/>
        <v>5379.66</v>
      </c>
      <c r="K574" s="54">
        <v>0</v>
      </c>
      <c r="L574" s="54">
        <v>2689.83</v>
      </c>
      <c r="M574" s="54">
        <v>2689.83</v>
      </c>
      <c r="N574" s="54"/>
      <c r="O574" s="54">
        <f t="shared" si="19"/>
        <v>35266.660000000003</v>
      </c>
    </row>
    <row r="575" spans="1:15" x14ac:dyDescent="0.2">
      <c r="A575" s="33">
        <v>43647</v>
      </c>
      <c r="B575" s="11">
        <v>27</v>
      </c>
      <c r="C575" s="11" t="s">
        <v>554</v>
      </c>
      <c r="D575" s="11" t="s">
        <v>555</v>
      </c>
      <c r="F575" s="11" t="s">
        <v>22</v>
      </c>
      <c r="G575" s="38">
        <v>3745</v>
      </c>
      <c r="H575" s="650">
        <v>43649</v>
      </c>
      <c r="I575" s="126">
        <v>3663.9</v>
      </c>
      <c r="J575" s="640">
        <f t="shared" si="18"/>
        <v>1025.8920000000001</v>
      </c>
      <c r="K575" s="54">
        <v>0</v>
      </c>
      <c r="L575" s="54">
        <v>512.94600000000003</v>
      </c>
      <c r="M575" s="54">
        <v>512.94600000000003</v>
      </c>
      <c r="N575" s="54"/>
      <c r="O575" s="54">
        <f t="shared" si="19"/>
        <v>4689.7920000000004</v>
      </c>
    </row>
    <row r="576" spans="1:15" x14ac:dyDescent="0.2">
      <c r="A576" s="33">
        <v>43647</v>
      </c>
      <c r="B576" s="11">
        <v>28</v>
      </c>
      <c r="C576" s="11" t="s">
        <v>554</v>
      </c>
      <c r="D576" s="11" t="s">
        <v>555</v>
      </c>
      <c r="F576" s="11" t="s">
        <v>22</v>
      </c>
      <c r="G576" s="38">
        <v>3770</v>
      </c>
      <c r="H576" s="650">
        <v>43649</v>
      </c>
      <c r="I576" s="126">
        <v>5534.2</v>
      </c>
      <c r="J576" s="640">
        <f t="shared" si="18"/>
        <v>1549.576</v>
      </c>
      <c r="K576" s="54">
        <v>0</v>
      </c>
      <c r="L576" s="54">
        <v>774.78800000000001</v>
      </c>
      <c r="M576" s="54">
        <v>774.78800000000001</v>
      </c>
      <c r="N576" s="54"/>
      <c r="O576" s="54">
        <f t="shared" si="19"/>
        <v>7083.7759999999998</v>
      </c>
    </row>
    <row r="577" spans="1:15" x14ac:dyDescent="0.2">
      <c r="A577" s="33">
        <v>43647</v>
      </c>
      <c r="B577" s="11">
        <v>29</v>
      </c>
      <c r="C577" s="11" t="s">
        <v>471</v>
      </c>
      <c r="D577" s="11" t="s">
        <v>29</v>
      </c>
      <c r="F577" s="11" t="s">
        <v>22</v>
      </c>
      <c r="G577" s="38">
        <v>192003095</v>
      </c>
      <c r="H577" s="650">
        <v>43649</v>
      </c>
      <c r="I577" s="126">
        <v>17483.52</v>
      </c>
      <c r="J577" s="640">
        <f t="shared" si="18"/>
        <v>4895.3856000000005</v>
      </c>
      <c r="K577" s="54">
        <v>0</v>
      </c>
      <c r="L577" s="54">
        <v>2447.6928000000003</v>
      </c>
      <c r="M577" s="54">
        <v>2447.6928000000003</v>
      </c>
      <c r="N577" s="54"/>
      <c r="O577" s="54">
        <f t="shared" si="19"/>
        <v>22378.905600000002</v>
      </c>
    </row>
    <row r="578" spans="1:15" x14ac:dyDescent="0.2">
      <c r="A578" s="33">
        <v>43647</v>
      </c>
      <c r="B578" s="11">
        <v>30</v>
      </c>
      <c r="C578" s="11" t="s">
        <v>601</v>
      </c>
      <c r="D578" s="11" t="s">
        <v>602</v>
      </c>
      <c r="F578" s="11" t="s">
        <v>22</v>
      </c>
      <c r="G578" s="38">
        <v>2505</v>
      </c>
      <c r="H578" s="650">
        <v>43649</v>
      </c>
      <c r="I578" s="126">
        <v>45975.6</v>
      </c>
      <c r="J578" s="640">
        <f t="shared" si="18"/>
        <v>12873.168</v>
      </c>
      <c r="K578" s="54">
        <v>0</v>
      </c>
      <c r="L578" s="54">
        <v>6436.5839999999998</v>
      </c>
      <c r="M578" s="54">
        <v>6436.5839999999998</v>
      </c>
      <c r="N578" s="54"/>
      <c r="O578" s="54">
        <f t="shared" si="19"/>
        <v>58848.767999999996</v>
      </c>
    </row>
    <row r="579" spans="1:15" x14ac:dyDescent="0.2">
      <c r="A579" s="33">
        <v>43647</v>
      </c>
      <c r="B579" s="11">
        <v>31</v>
      </c>
      <c r="C579" s="11" t="s">
        <v>527</v>
      </c>
      <c r="D579" s="11" t="s">
        <v>528</v>
      </c>
      <c r="F579" s="11" t="s">
        <v>22</v>
      </c>
      <c r="G579" s="38">
        <v>9330003981</v>
      </c>
      <c r="H579" s="650">
        <v>43648</v>
      </c>
      <c r="I579" s="126">
        <v>20065</v>
      </c>
      <c r="J579" s="640">
        <f t="shared" si="18"/>
        <v>3611.7</v>
      </c>
      <c r="K579" s="54">
        <v>0</v>
      </c>
      <c r="L579" s="54">
        <v>1805.85</v>
      </c>
      <c r="M579" s="54">
        <v>1805.85</v>
      </c>
      <c r="N579" s="54"/>
      <c r="O579" s="54">
        <f t="shared" si="19"/>
        <v>23676.7</v>
      </c>
    </row>
    <row r="580" spans="1:15" x14ac:dyDescent="0.2">
      <c r="A580" s="33">
        <v>43647</v>
      </c>
      <c r="B580" s="11">
        <v>32</v>
      </c>
      <c r="C580" s="11" t="s">
        <v>489</v>
      </c>
      <c r="D580" s="11" t="s">
        <v>490</v>
      </c>
      <c r="F580" s="11" t="s">
        <v>22</v>
      </c>
      <c r="G580" s="38">
        <v>7887985472</v>
      </c>
      <c r="H580" s="650">
        <v>43649</v>
      </c>
      <c r="I580" s="126">
        <v>3920</v>
      </c>
      <c r="J580" s="640">
        <f t="shared" ref="J580:J643" si="21">+K580+L580+M580+N580</f>
        <v>705.6</v>
      </c>
      <c r="K580" s="54">
        <v>0</v>
      </c>
      <c r="L580" s="54">
        <v>352.8</v>
      </c>
      <c r="M580" s="54">
        <v>352.8</v>
      </c>
      <c r="N580" s="54"/>
      <c r="O580" s="54">
        <f t="shared" ref="O580:O643" si="22">+I580+J580</f>
        <v>4625.6000000000004</v>
      </c>
    </row>
    <row r="581" spans="1:15" x14ac:dyDescent="0.2">
      <c r="A581" s="33">
        <v>43647</v>
      </c>
      <c r="B581" s="11">
        <v>33</v>
      </c>
      <c r="C581" s="11" t="s">
        <v>554</v>
      </c>
      <c r="D581" s="11" t="s">
        <v>555</v>
      </c>
      <c r="F581" s="11" t="s">
        <v>22</v>
      </c>
      <c r="G581" s="38">
        <v>3804</v>
      </c>
      <c r="H581" s="650">
        <v>43650</v>
      </c>
      <c r="I581" s="126">
        <v>4227.5</v>
      </c>
      <c r="J581" s="640">
        <f t="shared" si="21"/>
        <v>1183.7</v>
      </c>
      <c r="K581" s="54">
        <v>0</v>
      </c>
      <c r="L581" s="54">
        <v>591.85</v>
      </c>
      <c r="M581" s="54">
        <v>591.85</v>
      </c>
      <c r="N581" s="54"/>
      <c r="O581" s="54">
        <f t="shared" si="22"/>
        <v>5411.2</v>
      </c>
    </row>
    <row r="582" spans="1:15" x14ac:dyDescent="0.2">
      <c r="A582" s="33">
        <v>43647</v>
      </c>
      <c r="B582" s="11">
        <v>34</v>
      </c>
      <c r="C582" s="11" t="s">
        <v>493</v>
      </c>
      <c r="D582" s="11" t="s">
        <v>494</v>
      </c>
      <c r="F582" s="11" t="s">
        <v>22</v>
      </c>
      <c r="G582" s="38">
        <v>1715</v>
      </c>
      <c r="H582" s="650">
        <v>43650</v>
      </c>
      <c r="I582" s="126">
        <v>4758.93</v>
      </c>
      <c r="J582" s="640">
        <f t="shared" si="21"/>
        <v>856.60739999999998</v>
      </c>
      <c r="K582" s="54">
        <v>0</v>
      </c>
      <c r="L582" s="54">
        <v>428.30369999999999</v>
      </c>
      <c r="M582" s="54">
        <v>428.30369999999999</v>
      </c>
      <c r="N582" s="54"/>
      <c r="O582" s="54">
        <f t="shared" si="22"/>
        <v>5615.5374000000002</v>
      </c>
    </row>
    <row r="583" spans="1:15" x14ac:dyDescent="0.2">
      <c r="A583" s="33">
        <v>43647</v>
      </c>
      <c r="B583" s="11">
        <v>35</v>
      </c>
      <c r="C583" s="11" t="s">
        <v>506</v>
      </c>
      <c r="D583" s="11" t="s">
        <v>507</v>
      </c>
      <c r="F583" s="11" t="s">
        <v>22</v>
      </c>
      <c r="G583" s="38" t="s">
        <v>775</v>
      </c>
      <c r="H583" s="650">
        <v>43649</v>
      </c>
      <c r="I583" s="126">
        <v>69758</v>
      </c>
      <c r="J583" s="640">
        <f t="shared" si="21"/>
        <v>12556.44</v>
      </c>
      <c r="K583" s="54">
        <v>0</v>
      </c>
      <c r="L583" s="54">
        <v>6278.22</v>
      </c>
      <c r="M583" s="54">
        <v>6278.22</v>
      </c>
      <c r="N583" s="54"/>
      <c r="O583" s="54">
        <f t="shared" si="22"/>
        <v>82314.44</v>
      </c>
    </row>
    <row r="584" spans="1:15" x14ac:dyDescent="0.2">
      <c r="A584" s="33">
        <v>43647</v>
      </c>
      <c r="B584" s="11">
        <v>36</v>
      </c>
      <c r="C584" s="11" t="s">
        <v>506</v>
      </c>
      <c r="D584" s="11" t="s">
        <v>507</v>
      </c>
      <c r="F584" s="11" t="s">
        <v>22</v>
      </c>
      <c r="G584" s="38" t="s">
        <v>776</v>
      </c>
      <c r="H584" s="650">
        <v>43649</v>
      </c>
      <c r="I584" s="126">
        <v>9240</v>
      </c>
      <c r="J584" s="640">
        <f t="shared" si="21"/>
        <v>1663.2</v>
      </c>
      <c r="K584" s="54">
        <v>0</v>
      </c>
      <c r="L584" s="54">
        <v>831.6</v>
      </c>
      <c r="M584" s="54">
        <v>831.6</v>
      </c>
      <c r="N584" s="54"/>
      <c r="O584" s="54">
        <f t="shared" si="22"/>
        <v>10903.2</v>
      </c>
    </row>
    <row r="585" spans="1:15" x14ac:dyDescent="0.2">
      <c r="A585" s="33">
        <v>43647</v>
      </c>
      <c r="B585" s="11">
        <v>37</v>
      </c>
      <c r="C585" s="11" t="s">
        <v>506</v>
      </c>
      <c r="D585" s="11" t="s">
        <v>507</v>
      </c>
      <c r="F585" s="11" t="s">
        <v>22</v>
      </c>
      <c r="G585" s="38" t="s">
        <v>777</v>
      </c>
      <c r="H585" s="650">
        <v>43649</v>
      </c>
      <c r="I585" s="126">
        <v>2400</v>
      </c>
      <c r="J585" s="640">
        <f t="shared" si="21"/>
        <v>432</v>
      </c>
      <c r="K585" s="54">
        <v>0</v>
      </c>
      <c r="L585" s="54">
        <v>216</v>
      </c>
      <c r="M585" s="54">
        <v>216</v>
      </c>
      <c r="N585" s="54"/>
      <c r="O585" s="54">
        <f t="shared" si="22"/>
        <v>2832</v>
      </c>
    </row>
    <row r="586" spans="1:15" x14ac:dyDescent="0.2">
      <c r="A586" s="630">
        <v>43647</v>
      </c>
      <c r="B586" s="11">
        <v>38</v>
      </c>
      <c r="C586" s="11" t="s">
        <v>541</v>
      </c>
      <c r="D586" s="11" t="s">
        <v>542</v>
      </c>
      <c r="F586" s="11" t="s">
        <v>22</v>
      </c>
      <c r="G586" s="38" t="s">
        <v>778</v>
      </c>
      <c r="H586" s="650">
        <v>43647</v>
      </c>
      <c r="I586" s="126">
        <v>3500</v>
      </c>
      <c r="J586" s="640">
        <f t="shared" si="21"/>
        <v>630</v>
      </c>
      <c r="K586" s="54">
        <v>0</v>
      </c>
      <c r="L586" s="54">
        <v>315</v>
      </c>
      <c r="M586" s="54">
        <v>315</v>
      </c>
      <c r="N586" s="54"/>
      <c r="O586" s="54">
        <f t="shared" si="22"/>
        <v>4130</v>
      </c>
    </row>
    <row r="587" spans="1:15" x14ac:dyDescent="0.2">
      <c r="A587" s="33">
        <v>43647</v>
      </c>
      <c r="B587" s="11">
        <v>39</v>
      </c>
      <c r="C587" s="11" t="s">
        <v>779</v>
      </c>
      <c r="D587" s="11" t="s">
        <v>780</v>
      </c>
      <c r="F587" s="11" t="s">
        <v>22</v>
      </c>
      <c r="G587" s="38" t="s">
        <v>781</v>
      </c>
      <c r="H587" s="650">
        <v>43649</v>
      </c>
      <c r="I587" s="126">
        <v>592000</v>
      </c>
      <c r="J587" s="640">
        <f t="shared" si="21"/>
        <v>106560</v>
      </c>
      <c r="K587" s="54">
        <v>0</v>
      </c>
      <c r="L587" s="54">
        <v>53280</v>
      </c>
      <c r="M587" s="54">
        <v>53280</v>
      </c>
      <c r="N587" s="54"/>
      <c r="O587" s="54">
        <f t="shared" si="22"/>
        <v>698560</v>
      </c>
    </row>
    <row r="588" spans="1:15" x14ac:dyDescent="0.2">
      <c r="A588" s="33">
        <v>43647</v>
      </c>
      <c r="B588" s="11">
        <v>40</v>
      </c>
      <c r="C588" s="11" t="s">
        <v>495</v>
      </c>
      <c r="D588" s="11" t="s">
        <v>74</v>
      </c>
      <c r="F588" s="11" t="s">
        <v>22</v>
      </c>
      <c r="G588" s="38">
        <v>5510050623</v>
      </c>
      <c r="H588" s="650">
        <v>43650</v>
      </c>
      <c r="I588" s="126">
        <v>21235.200000000001</v>
      </c>
      <c r="J588" s="640">
        <f t="shared" si="21"/>
        <v>3822.3160000000003</v>
      </c>
      <c r="K588" s="54">
        <v>0</v>
      </c>
      <c r="L588" s="54">
        <v>1911.1580000000001</v>
      </c>
      <c r="M588" s="54">
        <v>1911.1580000000001</v>
      </c>
      <c r="N588" s="54"/>
      <c r="O588" s="54">
        <f t="shared" si="22"/>
        <v>25057.516</v>
      </c>
    </row>
    <row r="589" spans="1:15" x14ac:dyDescent="0.2">
      <c r="A589" s="33">
        <v>43647</v>
      </c>
      <c r="B589" s="11">
        <v>41</v>
      </c>
      <c r="C589" s="11" t="s">
        <v>473</v>
      </c>
      <c r="D589" s="11" t="s">
        <v>41</v>
      </c>
      <c r="F589" s="11" t="s">
        <v>22</v>
      </c>
      <c r="G589" s="38" t="s">
        <v>782</v>
      </c>
      <c r="H589" s="650">
        <v>43650</v>
      </c>
      <c r="I589" s="126">
        <v>9229.6</v>
      </c>
      <c r="J589" s="640">
        <f t="shared" si="21"/>
        <v>2584.0079999999998</v>
      </c>
      <c r="K589" s="54">
        <v>0</v>
      </c>
      <c r="L589" s="54">
        <v>1292.0039999999999</v>
      </c>
      <c r="M589" s="54">
        <v>1292.0039999999999</v>
      </c>
      <c r="N589" s="54"/>
      <c r="O589" s="54">
        <f t="shared" si="22"/>
        <v>11813.608</v>
      </c>
    </row>
    <row r="590" spans="1:15" x14ac:dyDescent="0.2">
      <c r="A590" s="33">
        <v>43647</v>
      </c>
      <c r="B590" s="11">
        <v>42</v>
      </c>
      <c r="C590" s="11" t="s">
        <v>514</v>
      </c>
      <c r="D590" s="11" t="s">
        <v>515</v>
      </c>
      <c r="F590" s="11" t="s">
        <v>22</v>
      </c>
      <c r="G590" s="38" t="s">
        <v>783</v>
      </c>
      <c r="H590" s="650">
        <v>43650</v>
      </c>
      <c r="I590" s="126">
        <v>5</v>
      </c>
      <c r="J590" s="640">
        <f t="shared" si="21"/>
        <v>0.9</v>
      </c>
      <c r="K590" s="54">
        <v>0</v>
      </c>
      <c r="L590" s="54">
        <v>0.45</v>
      </c>
      <c r="M590" s="54">
        <v>0.45</v>
      </c>
      <c r="N590" s="54"/>
      <c r="O590" s="54">
        <f t="shared" si="22"/>
        <v>5.9</v>
      </c>
    </row>
    <row r="591" spans="1:15" x14ac:dyDescent="0.2">
      <c r="A591" s="33">
        <v>43647</v>
      </c>
      <c r="B591" s="11">
        <v>43</v>
      </c>
      <c r="C591" s="11" t="s">
        <v>784</v>
      </c>
      <c r="D591" s="11" t="s">
        <v>785</v>
      </c>
      <c r="F591" s="11" t="s">
        <v>22</v>
      </c>
      <c r="G591" s="38" t="s">
        <v>786</v>
      </c>
      <c r="H591" s="650">
        <v>43651</v>
      </c>
      <c r="I591" s="126">
        <v>10800</v>
      </c>
      <c r="J591" s="640">
        <f t="shared" si="21"/>
        <v>1944</v>
      </c>
      <c r="K591" s="54">
        <v>1944</v>
      </c>
      <c r="L591" s="54">
        <v>0</v>
      </c>
      <c r="M591" s="54">
        <v>0</v>
      </c>
      <c r="N591" s="54"/>
      <c r="O591" s="54">
        <f t="shared" si="22"/>
        <v>12744</v>
      </c>
    </row>
    <row r="592" spans="1:15" x14ac:dyDescent="0.2">
      <c r="A592" s="33">
        <v>43647</v>
      </c>
      <c r="B592" s="11">
        <v>44</v>
      </c>
      <c r="C592" s="11" t="s">
        <v>554</v>
      </c>
      <c r="D592" s="11" t="s">
        <v>555</v>
      </c>
      <c r="F592" s="11" t="s">
        <v>22</v>
      </c>
      <c r="G592" s="38">
        <v>3875</v>
      </c>
      <c r="H592" s="650">
        <v>43651</v>
      </c>
      <c r="I592" s="126">
        <v>7532</v>
      </c>
      <c r="J592" s="640">
        <f t="shared" si="21"/>
        <v>2108.96</v>
      </c>
      <c r="K592" s="54">
        <v>0</v>
      </c>
      <c r="L592" s="54">
        <v>1054.48</v>
      </c>
      <c r="M592" s="54">
        <v>1054.48</v>
      </c>
      <c r="N592" s="54"/>
      <c r="O592" s="54">
        <f t="shared" si="22"/>
        <v>9640.9599999999991</v>
      </c>
    </row>
    <row r="593" spans="1:15" x14ac:dyDescent="0.2">
      <c r="A593" s="33">
        <v>43647</v>
      </c>
      <c r="B593" s="11">
        <v>45</v>
      </c>
      <c r="C593" s="11" t="s">
        <v>471</v>
      </c>
      <c r="D593" s="11" t="s">
        <v>29</v>
      </c>
      <c r="F593" s="11" t="s">
        <v>22</v>
      </c>
      <c r="G593" s="38">
        <v>192003228</v>
      </c>
      <c r="H593" s="650">
        <v>43651</v>
      </c>
      <c r="I593" s="126">
        <v>17483.52</v>
      </c>
      <c r="J593" s="640">
        <f t="shared" si="21"/>
        <v>4895.3856000000005</v>
      </c>
      <c r="K593" s="54">
        <v>0</v>
      </c>
      <c r="L593" s="54">
        <v>2447.6928000000003</v>
      </c>
      <c r="M593" s="54">
        <v>2447.6928000000003</v>
      </c>
      <c r="N593" s="54"/>
      <c r="O593" s="54">
        <f t="shared" si="22"/>
        <v>22378.905600000002</v>
      </c>
    </row>
    <row r="594" spans="1:15" x14ac:dyDescent="0.2">
      <c r="A594" s="33">
        <v>43647</v>
      </c>
      <c r="B594" s="11">
        <v>46</v>
      </c>
      <c r="C594" s="11" t="s">
        <v>606</v>
      </c>
      <c r="D594" s="11" t="s">
        <v>607</v>
      </c>
      <c r="F594" s="11" t="s">
        <v>22</v>
      </c>
      <c r="G594" s="38" t="s">
        <v>787</v>
      </c>
      <c r="H594" s="650">
        <v>43649</v>
      </c>
      <c r="I594" s="126">
        <v>10000</v>
      </c>
      <c r="J594" s="640">
        <f t="shared" si="21"/>
        <v>1800</v>
      </c>
      <c r="K594" s="54">
        <v>0</v>
      </c>
      <c r="L594" s="54">
        <v>900</v>
      </c>
      <c r="M594" s="54">
        <v>900</v>
      </c>
      <c r="N594" s="54"/>
      <c r="O594" s="54">
        <f t="shared" si="22"/>
        <v>11800</v>
      </c>
    </row>
    <row r="595" spans="1:15" x14ac:dyDescent="0.2">
      <c r="A595" s="33">
        <v>43647</v>
      </c>
      <c r="B595" s="11">
        <v>47</v>
      </c>
      <c r="C595" s="11" t="s">
        <v>788</v>
      </c>
      <c r="D595" s="11" t="s">
        <v>789</v>
      </c>
      <c r="F595" s="11" t="s">
        <v>22</v>
      </c>
      <c r="G595" s="38" t="s">
        <v>790</v>
      </c>
      <c r="H595" s="650">
        <v>43649</v>
      </c>
      <c r="I595" s="126">
        <v>80300</v>
      </c>
      <c r="J595" s="640">
        <f t="shared" si="21"/>
        <v>14454</v>
      </c>
      <c r="K595" s="54">
        <v>0</v>
      </c>
      <c r="L595" s="54">
        <v>7227</v>
      </c>
      <c r="M595" s="54">
        <v>7227</v>
      </c>
      <c r="N595" s="54"/>
      <c r="O595" s="54">
        <f t="shared" si="22"/>
        <v>94754</v>
      </c>
    </row>
    <row r="596" spans="1:15" x14ac:dyDescent="0.2">
      <c r="A596" s="33">
        <v>43647</v>
      </c>
      <c r="B596" s="11">
        <v>48</v>
      </c>
      <c r="C596" s="11" t="s">
        <v>609</v>
      </c>
      <c r="D596" s="11" t="s">
        <v>610</v>
      </c>
      <c r="F596" s="11" t="s">
        <v>22</v>
      </c>
      <c r="G596" s="38" t="s">
        <v>791</v>
      </c>
      <c r="H596" s="650">
        <v>43647</v>
      </c>
      <c r="I596" s="126">
        <v>24008</v>
      </c>
      <c r="J596" s="640">
        <f t="shared" si="21"/>
        <v>4321.4400000000005</v>
      </c>
      <c r="K596" s="54">
        <v>0</v>
      </c>
      <c r="L596" s="54">
        <v>2160.7200000000003</v>
      </c>
      <c r="M596" s="54">
        <v>2160.7200000000003</v>
      </c>
      <c r="N596" s="54"/>
      <c r="O596" s="54">
        <f t="shared" si="22"/>
        <v>28329.440000000002</v>
      </c>
    </row>
    <row r="597" spans="1:15" x14ac:dyDescent="0.2">
      <c r="A597" s="33">
        <v>43647</v>
      </c>
      <c r="B597" s="11">
        <v>49</v>
      </c>
      <c r="C597" s="11" t="s">
        <v>473</v>
      </c>
      <c r="D597" s="11" t="s">
        <v>41</v>
      </c>
      <c r="F597" s="11" t="s">
        <v>22</v>
      </c>
      <c r="G597" s="38" t="s">
        <v>792</v>
      </c>
      <c r="H597" s="650">
        <v>43651</v>
      </c>
      <c r="I597" s="126">
        <v>7032.5</v>
      </c>
      <c r="J597" s="640">
        <f t="shared" si="21"/>
        <v>1970.0000000000002</v>
      </c>
      <c r="K597" s="54">
        <v>0</v>
      </c>
      <c r="L597" s="54">
        <v>985.00000000000011</v>
      </c>
      <c r="M597" s="54">
        <v>985.00000000000011</v>
      </c>
      <c r="N597" s="54"/>
      <c r="O597" s="54">
        <f t="shared" si="22"/>
        <v>9002.5</v>
      </c>
    </row>
    <row r="598" spans="1:15" x14ac:dyDescent="0.2">
      <c r="A598" s="33">
        <v>43647</v>
      </c>
      <c r="B598" s="11">
        <v>50</v>
      </c>
      <c r="C598" s="11" t="s">
        <v>609</v>
      </c>
      <c r="D598" s="11" t="s">
        <v>610</v>
      </c>
      <c r="F598" s="11" t="s">
        <v>22</v>
      </c>
      <c r="G598" s="38" t="s">
        <v>793</v>
      </c>
      <c r="H598" s="650">
        <v>43647</v>
      </c>
      <c r="I598" s="126">
        <v>798440</v>
      </c>
      <c r="J598" s="640">
        <f t="shared" si="21"/>
        <v>143719.19999999998</v>
      </c>
      <c r="K598" s="54">
        <v>0</v>
      </c>
      <c r="L598" s="54">
        <v>71859.599999999991</v>
      </c>
      <c r="M598" s="54">
        <v>71859.599999999991</v>
      </c>
      <c r="N598" s="54"/>
      <c r="O598" s="54">
        <f t="shared" si="22"/>
        <v>942159.2</v>
      </c>
    </row>
    <row r="599" spans="1:15" x14ac:dyDescent="0.2">
      <c r="A599" s="33">
        <v>43647</v>
      </c>
      <c r="B599" s="11">
        <v>51</v>
      </c>
      <c r="C599" s="11" t="s">
        <v>473</v>
      </c>
      <c r="D599" s="11" t="s">
        <v>41</v>
      </c>
      <c r="F599" s="11" t="s">
        <v>22</v>
      </c>
      <c r="G599" s="38" t="s">
        <v>794</v>
      </c>
      <c r="H599" s="650">
        <v>43651</v>
      </c>
      <c r="I599" s="126">
        <v>12011.06</v>
      </c>
      <c r="J599" s="640">
        <f t="shared" si="21"/>
        <v>3363.9967999999999</v>
      </c>
      <c r="K599" s="54">
        <v>0</v>
      </c>
      <c r="L599" s="54">
        <v>1681.9983999999999</v>
      </c>
      <c r="M599" s="54">
        <v>1681.9983999999999</v>
      </c>
      <c r="N599" s="54"/>
      <c r="O599" s="54">
        <f t="shared" si="22"/>
        <v>15375.056799999998</v>
      </c>
    </row>
    <row r="600" spans="1:15" x14ac:dyDescent="0.2">
      <c r="A600" s="33">
        <v>43647</v>
      </c>
      <c r="B600" s="11">
        <v>52</v>
      </c>
      <c r="C600" s="11" t="s">
        <v>554</v>
      </c>
      <c r="D600" s="11" t="s">
        <v>555</v>
      </c>
      <c r="F600" s="11" t="s">
        <v>22</v>
      </c>
      <c r="G600" s="38">
        <v>3911</v>
      </c>
      <c r="H600" s="650">
        <v>43651</v>
      </c>
      <c r="I600" s="126">
        <v>10564</v>
      </c>
      <c r="J600" s="640">
        <f t="shared" si="21"/>
        <v>2957.92</v>
      </c>
      <c r="K600" s="54">
        <v>0</v>
      </c>
      <c r="L600" s="54">
        <v>1478.96</v>
      </c>
      <c r="M600" s="54">
        <v>1478.96</v>
      </c>
      <c r="N600" s="54"/>
      <c r="O600" s="54">
        <f t="shared" si="22"/>
        <v>13521.92</v>
      </c>
    </row>
    <row r="601" spans="1:15" x14ac:dyDescent="0.2">
      <c r="A601" s="33">
        <v>43647</v>
      </c>
      <c r="B601" s="11">
        <v>53</v>
      </c>
      <c r="C601" s="11" t="s">
        <v>471</v>
      </c>
      <c r="D601" s="11" t="s">
        <v>29</v>
      </c>
      <c r="F601" s="11" t="s">
        <v>22</v>
      </c>
      <c r="G601" s="38">
        <v>192003248</v>
      </c>
      <c r="H601" s="650">
        <v>43651</v>
      </c>
      <c r="I601" s="126">
        <v>17483.52</v>
      </c>
      <c r="J601" s="640">
        <f t="shared" si="21"/>
        <v>4895.3856000000005</v>
      </c>
      <c r="K601" s="54">
        <v>0</v>
      </c>
      <c r="L601" s="54">
        <v>2447.6928000000003</v>
      </c>
      <c r="M601" s="54">
        <v>2447.6928000000003</v>
      </c>
      <c r="N601" s="54"/>
      <c r="O601" s="54">
        <f t="shared" si="22"/>
        <v>22378.905600000002</v>
      </c>
    </row>
    <row r="602" spans="1:15" x14ac:dyDescent="0.2">
      <c r="A602" s="33">
        <v>43647</v>
      </c>
      <c r="B602" s="11">
        <v>54</v>
      </c>
      <c r="C602" s="11" t="s">
        <v>495</v>
      </c>
      <c r="D602" s="11" t="s">
        <v>74</v>
      </c>
      <c r="F602" s="11" t="s">
        <v>22</v>
      </c>
      <c r="G602" s="38">
        <v>5510050742</v>
      </c>
      <c r="H602" s="650">
        <v>43651</v>
      </c>
      <c r="I602" s="126">
        <v>23889.599999999999</v>
      </c>
      <c r="J602" s="640">
        <f t="shared" si="21"/>
        <v>4300.1279999999997</v>
      </c>
      <c r="K602" s="54">
        <v>0</v>
      </c>
      <c r="L602" s="54">
        <v>2150.0639999999999</v>
      </c>
      <c r="M602" s="54">
        <v>2150.0639999999999</v>
      </c>
      <c r="N602" s="54"/>
      <c r="O602" s="54">
        <f t="shared" si="22"/>
        <v>28189.727999999999</v>
      </c>
    </row>
    <row r="603" spans="1:15" x14ac:dyDescent="0.2">
      <c r="A603" s="33">
        <v>43647</v>
      </c>
      <c r="B603" s="11">
        <v>55</v>
      </c>
      <c r="C603" s="11" t="s">
        <v>517</v>
      </c>
      <c r="D603" s="11" t="s">
        <v>256</v>
      </c>
      <c r="F603" s="11" t="s">
        <v>22</v>
      </c>
      <c r="G603" s="38">
        <v>19608702</v>
      </c>
      <c r="H603" s="650">
        <v>43651</v>
      </c>
      <c r="I603" s="126">
        <v>29700.880000000001</v>
      </c>
      <c r="J603" s="640">
        <f t="shared" si="21"/>
        <v>8316.2464</v>
      </c>
      <c r="K603" s="54">
        <v>8316.2464</v>
      </c>
      <c r="L603" s="54">
        <v>0</v>
      </c>
      <c r="M603" s="54">
        <v>0</v>
      </c>
      <c r="N603" s="54"/>
      <c r="O603" s="54">
        <f t="shared" si="22"/>
        <v>38017.126400000001</v>
      </c>
    </row>
    <row r="604" spans="1:15" x14ac:dyDescent="0.2">
      <c r="A604" s="33">
        <v>43647</v>
      </c>
      <c r="B604" s="11">
        <v>56</v>
      </c>
      <c r="C604" s="11" t="s">
        <v>479</v>
      </c>
      <c r="D604" s="11" t="s">
        <v>480</v>
      </c>
      <c r="F604" s="11" t="s">
        <v>22</v>
      </c>
      <c r="G604" s="38">
        <v>1123</v>
      </c>
      <c r="H604" s="650">
        <v>43651</v>
      </c>
      <c r="I604" s="126">
        <v>3424.05</v>
      </c>
      <c r="J604" s="640">
        <f t="shared" si="21"/>
        <v>616.32900000000006</v>
      </c>
      <c r="K604" s="54">
        <v>0</v>
      </c>
      <c r="L604" s="54">
        <v>308.16450000000003</v>
      </c>
      <c r="M604" s="54">
        <v>308.16450000000003</v>
      </c>
      <c r="N604" s="54"/>
      <c r="O604" s="54">
        <f t="shared" si="22"/>
        <v>4040.3790000000004</v>
      </c>
    </row>
    <row r="605" spans="1:15" x14ac:dyDescent="0.2">
      <c r="A605" s="33">
        <v>43647</v>
      </c>
      <c r="B605" s="11">
        <v>57</v>
      </c>
      <c r="C605" s="11" t="s">
        <v>554</v>
      </c>
      <c r="D605" s="11" t="s">
        <v>555</v>
      </c>
      <c r="F605" s="11" t="s">
        <v>22</v>
      </c>
      <c r="G605" s="38">
        <v>3974</v>
      </c>
      <c r="H605" s="650">
        <v>43652</v>
      </c>
      <c r="I605" s="126">
        <v>7217</v>
      </c>
      <c r="J605" s="640">
        <f t="shared" si="21"/>
        <v>2020.76</v>
      </c>
      <c r="K605" s="54">
        <v>0</v>
      </c>
      <c r="L605" s="54">
        <v>1010.38</v>
      </c>
      <c r="M605" s="54">
        <v>1010.38</v>
      </c>
      <c r="N605" s="54"/>
      <c r="O605" s="54">
        <f t="shared" si="22"/>
        <v>9237.76</v>
      </c>
    </row>
    <row r="606" spans="1:15" x14ac:dyDescent="0.2">
      <c r="A606" s="33">
        <v>43647</v>
      </c>
      <c r="B606" s="11">
        <v>58</v>
      </c>
      <c r="C606" s="11" t="s">
        <v>677</v>
      </c>
      <c r="D606" s="11" t="s">
        <v>678</v>
      </c>
      <c r="F606" s="11" t="s">
        <v>22</v>
      </c>
      <c r="G606" s="38" t="s">
        <v>795</v>
      </c>
      <c r="H606" s="650">
        <v>43648</v>
      </c>
      <c r="I606" s="126">
        <v>22615</v>
      </c>
      <c r="J606" s="640">
        <f t="shared" si="21"/>
        <v>6332.2</v>
      </c>
      <c r="K606" s="54">
        <v>6332.2</v>
      </c>
      <c r="L606" s="54">
        <v>0</v>
      </c>
      <c r="M606" s="54">
        <v>0</v>
      </c>
      <c r="N606" s="54"/>
      <c r="O606" s="54">
        <f t="shared" si="22"/>
        <v>28947.200000000001</v>
      </c>
    </row>
    <row r="607" spans="1:15" x14ac:dyDescent="0.2">
      <c r="A607" s="33">
        <v>43647</v>
      </c>
      <c r="B607" s="11">
        <v>59</v>
      </c>
      <c r="C607" s="11" t="s">
        <v>495</v>
      </c>
      <c r="D607" s="11" t="s">
        <v>74</v>
      </c>
      <c r="F607" s="11" t="s">
        <v>22</v>
      </c>
      <c r="G607" s="38">
        <v>5510050883</v>
      </c>
      <c r="H607" s="650">
        <v>43652</v>
      </c>
      <c r="I607" s="126">
        <v>26544</v>
      </c>
      <c r="J607" s="640">
        <f t="shared" si="21"/>
        <v>4777.92</v>
      </c>
      <c r="K607" s="54">
        <v>0</v>
      </c>
      <c r="L607" s="54">
        <v>2388.96</v>
      </c>
      <c r="M607" s="54">
        <v>2388.96</v>
      </c>
      <c r="N607" s="54"/>
      <c r="O607" s="54">
        <f t="shared" si="22"/>
        <v>31321.919999999998</v>
      </c>
    </row>
    <row r="608" spans="1:15" x14ac:dyDescent="0.2">
      <c r="A608" s="33">
        <v>43647</v>
      </c>
      <c r="B608" s="11">
        <v>60</v>
      </c>
      <c r="C608" s="11" t="s">
        <v>554</v>
      </c>
      <c r="D608" s="11" t="s">
        <v>555</v>
      </c>
      <c r="F608" s="11" t="s">
        <v>22</v>
      </c>
      <c r="G608" s="38">
        <v>4007</v>
      </c>
      <c r="H608" s="650">
        <v>43653</v>
      </c>
      <c r="I608" s="126">
        <v>5560</v>
      </c>
      <c r="J608" s="640">
        <f t="shared" si="21"/>
        <v>1556.8</v>
      </c>
      <c r="K608" s="54">
        <v>0</v>
      </c>
      <c r="L608" s="54">
        <v>778.4</v>
      </c>
      <c r="M608" s="54">
        <v>778.4</v>
      </c>
      <c r="N608" s="54"/>
      <c r="O608" s="54">
        <f t="shared" si="22"/>
        <v>7116.8</v>
      </c>
    </row>
    <row r="609" spans="1:15" x14ac:dyDescent="0.2">
      <c r="A609" s="33">
        <v>43647</v>
      </c>
      <c r="B609" s="11">
        <v>61</v>
      </c>
      <c r="C609" s="11" t="s">
        <v>493</v>
      </c>
      <c r="D609" s="11" t="s">
        <v>494</v>
      </c>
      <c r="F609" s="11" t="s">
        <v>22</v>
      </c>
      <c r="G609" s="38">
        <v>1797</v>
      </c>
      <c r="H609" s="650">
        <v>43653</v>
      </c>
      <c r="I609" s="126">
        <v>27588</v>
      </c>
      <c r="J609" s="640">
        <f t="shared" si="21"/>
        <v>4965.84</v>
      </c>
      <c r="K609" s="54">
        <v>0</v>
      </c>
      <c r="L609" s="54">
        <v>2482.92</v>
      </c>
      <c r="M609" s="54">
        <v>2482.92</v>
      </c>
      <c r="N609" s="54"/>
      <c r="O609" s="54">
        <f t="shared" si="22"/>
        <v>32553.84</v>
      </c>
    </row>
    <row r="610" spans="1:15" x14ac:dyDescent="0.2">
      <c r="A610" s="33">
        <v>43647</v>
      </c>
      <c r="B610" s="11">
        <v>62</v>
      </c>
      <c r="C610" s="11" t="s">
        <v>493</v>
      </c>
      <c r="D610" s="11" t="s">
        <v>494</v>
      </c>
      <c r="F610" s="11" t="s">
        <v>22</v>
      </c>
      <c r="G610" s="38">
        <v>1798</v>
      </c>
      <c r="H610" s="650">
        <v>43653</v>
      </c>
      <c r="I610" s="126">
        <v>43274.5</v>
      </c>
      <c r="J610" s="640">
        <f t="shared" si="21"/>
        <v>7789.41</v>
      </c>
      <c r="K610" s="54">
        <v>0</v>
      </c>
      <c r="L610" s="54">
        <v>3894.7049999999999</v>
      </c>
      <c r="M610" s="54">
        <v>3894.7049999999999</v>
      </c>
      <c r="N610" s="54"/>
      <c r="O610" s="54">
        <f t="shared" si="22"/>
        <v>51063.91</v>
      </c>
    </row>
    <row r="611" spans="1:15" x14ac:dyDescent="0.2">
      <c r="A611" s="33">
        <v>43647</v>
      </c>
      <c r="B611" s="11">
        <v>63</v>
      </c>
      <c r="C611" s="11" t="s">
        <v>479</v>
      </c>
      <c r="D611" s="11" t="s">
        <v>480</v>
      </c>
      <c r="F611" s="11" t="s">
        <v>22</v>
      </c>
      <c r="G611" s="38">
        <v>1130</v>
      </c>
      <c r="H611" s="650">
        <v>43654</v>
      </c>
      <c r="I611" s="126">
        <v>135</v>
      </c>
      <c r="J611" s="640">
        <f t="shared" si="21"/>
        <v>24.3</v>
      </c>
      <c r="K611" s="54">
        <v>0</v>
      </c>
      <c r="L611" s="54">
        <v>12.15</v>
      </c>
      <c r="M611" s="54">
        <v>12.15</v>
      </c>
      <c r="N611" s="54"/>
      <c r="O611" s="54">
        <f t="shared" si="22"/>
        <v>159.30000000000001</v>
      </c>
    </row>
    <row r="612" spans="1:15" x14ac:dyDescent="0.2">
      <c r="A612" s="33">
        <v>43647</v>
      </c>
      <c r="B612" s="11">
        <v>64</v>
      </c>
      <c r="C612" s="11" t="s">
        <v>554</v>
      </c>
      <c r="D612" s="11" t="s">
        <v>555</v>
      </c>
      <c r="F612" s="11" t="s">
        <v>22</v>
      </c>
      <c r="G612" s="38">
        <v>4042</v>
      </c>
      <c r="H612" s="650">
        <v>43654</v>
      </c>
      <c r="I612" s="126">
        <v>8896</v>
      </c>
      <c r="J612" s="640">
        <f t="shared" si="21"/>
        <v>2490.8799999999997</v>
      </c>
      <c r="K612" s="54">
        <v>0</v>
      </c>
      <c r="L612" s="54">
        <v>1245.4399999999998</v>
      </c>
      <c r="M612" s="54">
        <v>1245.4399999999998</v>
      </c>
      <c r="N612" s="54"/>
      <c r="O612" s="54">
        <f t="shared" si="22"/>
        <v>11386.88</v>
      </c>
    </row>
    <row r="613" spans="1:15" x14ac:dyDescent="0.2">
      <c r="A613" s="33">
        <v>43647</v>
      </c>
      <c r="B613" s="11">
        <v>65</v>
      </c>
      <c r="C613" s="11" t="s">
        <v>489</v>
      </c>
      <c r="D613" s="11" t="s">
        <v>490</v>
      </c>
      <c r="F613" s="11" t="s">
        <v>22</v>
      </c>
      <c r="G613" s="38">
        <v>7887985722</v>
      </c>
      <c r="H613" s="650">
        <v>43654</v>
      </c>
      <c r="I613" s="126">
        <v>12640</v>
      </c>
      <c r="J613" s="640">
        <f t="shared" si="21"/>
        <v>2275.2000000000003</v>
      </c>
      <c r="K613" s="54">
        <v>0</v>
      </c>
      <c r="L613" s="54">
        <v>1137.6000000000001</v>
      </c>
      <c r="M613" s="54">
        <v>1137.6000000000001</v>
      </c>
      <c r="N613" s="54"/>
      <c r="O613" s="54">
        <f t="shared" si="22"/>
        <v>14915.2</v>
      </c>
    </row>
    <row r="614" spans="1:15" x14ac:dyDescent="0.2">
      <c r="A614" s="33">
        <v>43647</v>
      </c>
      <c r="B614" s="11">
        <v>66</v>
      </c>
      <c r="C614" s="11" t="s">
        <v>473</v>
      </c>
      <c r="D614" s="11" t="s">
        <v>41</v>
      </c>
      <c r="F614" s="11" t="s">
        <v>22</v>
      </c>
      <c r="G614" s="38" t="s">
        <v>796</v>
      </c>
      <c r="H614" s="650">
        <v>43654</v>
      </c>
      <c r="I614" s="126">
        <v>5448.34</v>
      </c>
      <c r="J614" s="640">
        <f t="shared" si="21"/>
        <v>1523.9952000000001</v>
      </c>
      <c r="K614" s="54">
        <v>0</v>
      </c>
      <c r="L614" s="54">
        <v>761.99760000000003</v>
      </c>
      <c r="M614" s="54">
        <v>761.99760000000003</v>
      </c>
      <c r="N614" s="54"/>
      <c r="O614" s="54">
        <f t="shared" si="22"/>
        <v>6972.3352000000004</v>
      </c>
    </row>
    <row r="615" spans="1:15" x14ac:dyDescent="0.2">
      <c r="A615" s="33">
        <v>43647</v>
      </c>
      <c r="B615" s="11">
        <v>67</v>
      </c>
      <c r="C615" s="11" t="s">
        <v>601</v>
      </c>
      <c r="D615" s="11" t="s">
        <v>602</v>
      </c>
      <c r="F615" s="11" t="s">
        <v>22</v>
      </c>
      <c r="G615" s="38">
        <v>2623</v>
      </c>
      <c r="H615" s="650">
        <v>43654</v>
      </c>
      <c r="I615" s="126">
        <v>21427.200000000001</v>
      </c>
      <c r="J615" s="640">
        <f t="shared" si="21"/>
        <v>5999.6160000000009</v>
      </c>
      <c r="K615" s="54">
        <v>0</v>
      </c>
      <c r="L615" s="54">
        <v>2999.8080000000004</v>
      </c>
      <c r="M615" s="54">
        <v>2999.8080000000004</v>
      </c>
      <c r="N615" s="54"/>
      <c r="O615" s="54">
        <f t="shared" si="22"/>
        <v>27426.816000000003</v>
      </c>
    </row>
    <row r="616" spans="1:15" x14ac:dyDescent="0.2">
      <c r="A616" s="33">
        <v>43647</v>
      </c>
      <c r="B616" s="11">
        <v>68</v>
      </c>
      <c r="C616" s="11" t="s">
        <v>601</v>
      </c>
      <c r="D616" s="11" t="s">
        <v>602</v>
      </c>
      <c r="F616" s="11" t="s">
        <v>22</v>
      </c>
      <c r="G616" s="38">
        <v>2622</v>
      </c>
      <c r="H616" s="650">
        <v>43654</v>
      </c>
      <c r="I616" s="126">
        <v>17028</v>
      </c>
      <c r="J616" s="640">
        <f t="shared" si="21"/>
        <v>4767.84</v>
      </c>
      <c r="K616" s="54">
        <v>0</v>
      </c>
      <c r="L616" s="54">
        <v>2383.92</v>
      </c>
      <c r="M616" s="54">
        <v>2383.92</v>
      </c>
      <c r="N616" s="54"/>
      <c r="O616" s="54">
        <f t="shared" si="22"/>
        <v>21795.84</v>
      </c>
    </row>
    <row r="617" spans="1:15" x14ac:dyDescent="0.2">
      <c r="A617" s="33">
        <v>43647</v>
      </c>
      <c r="B617" s="11">
        <v>69</v>
      </c>
      <c r="C617" s="11" t="s">
        <v>495</v>
      </c>
      <c r="D617" s="11" t="s">
        <v>74</v>
      </c>
      <c r="F617" s="11" t="s">
        <v>22</v>
      </c>
      <c r="G617" s="38">
        <v>5510050976</v>
      </c>
      <c r="H617" s="650">
        <v>43654</v>
      </c>
      <c r="I617" s="126">
        <v>42470.400000000001</v>
      </c>
      <c r="J617" s="640">
        <f t="shared" si="21"/>
        <v>7644.6720000000005</v>
      </c>
      <c r="K617" s="54">
        <v>0</v>
      </c>
      <c r="L617" s="54">
        <v>3822.3360000000002</v>
      </c>
      <c r="M617" s="54">
        <v>3822.3360000000002</v>
      </c>
      <c r="N617" s="54"/>
      <c r="O617" s="54">
        <f t="shared" si="22"/>
        <v>50115.072</v>
      </c>
    </row>
    <row r="618" spans="1:15" x14ac:dyDescent="0.2">
      <c r="A618" s="33">
        <v>43647</v>
      </c>
      <c r="B618" s="11">
        <v>70</v>
      </c>
      <c r="C618" s="11" t="s">
        <v>471</v>
      </c>
      <c r="D618" s="11" t="s">
        <v>29</v>
      </c>
      <c r="F618" s="11" t="s">
        <v>22</v>
      </c>
      <c r="G618" s="38">
        <v>192003339</v>
      </c>
      <c r="H618" s="650">
        <v>43654</v>
      </c>
      <c r="I618" s="126">
        <v>17483.52</v>
      </c>
      <c r="J618" s="640">
        <f t="shared" si="21"/>
        <v>4895.3856000000005</v>
      </c>
      <c r="K618" s="54">
        <v>0</v>
      </c>
      <c r="L618" s="54">
        <v>2447.6928000000003</v>
      </c>
      <c r="M618" s="54">
        <v>2447.6928000000003</v>
      </c>
      <c r="N618" s="54"/>
      <c r="O618" s="54">
        <f t="shared" si="22"/>
        <v>22378.905600000002</v>
      </c>
    </row>
    <row r="619" spans="1:15" x14ac:dyDescent="0.2">
      <c r="A619" s="33">
        <v>43647</v>
      </c>
      <c r="B619" s="11">
        <v>71</v>
      </c>
      <c r="C619" s="11" t="s">
        <v>471</v>
      </c>
      <c r="D619" s="11" t="s">
        <v>29</v>
      </c>
      <c r="F619" s="11" t="s">
        <v>22</v>
      </c>
      <c r="G619" s="38">
        <v>192003342</v>
      </c>
      <c r="H619" s="650">
        <v>43654</v>
      </c>
      <c r="I619" s="126">
        <v>17483.52</v>
      </c>
      <c r="J619" s="640">
        <f t="shared" si="21"/>
        <v>4895.3856000000005</v>
      </c>
      <c r="K619" s="54">
        <v>0</v>
      </c>
      <c r="L619" s="54">
        <v>2447.6928000000003</v>
      </c>
      <c r="M619" s="54">
        <v>2447.6928000000003</v>
      </c>
      <c r="N619" s="54"/>
      <c r="O619" s="54">
        <f t="shared" si="22"/>
        <v>22378.905600000002</v>
      </c>
    </row>
    <row r="620" spans="1:15" x14ac:dyDescent="0.2">
      <c r="A620" s="33">
        <v>43647</v>
      </c>
      <c r="B620" s="11">
        <v>72</v>
      </c>
      <c r="C620" s="11" t="s">
        <v>554</v>
      </c>
      <c r="D620" s="11" t="s">
        <v>555</v>
      </c>
      <c r="F620" s="11" t="s">
        <v>22</v>
      </c>
      <c r="G620" s="38">
        <v>4103</v>
      </c>
      <c r="H620" s="650">
        <v>43655</v>
      </c>
      <c r="I620" s="126">
        <v>6097</v>
      </c>
      <c r="J620" s="640">
        <f t="shared" si="21"/>
        <v>1707.1599999999999</v>
      </c>
      <c r="K620" s="54">
        <v>0</v>
      </c>
      <c r="L620" s="54">
        <v>853.57999999999993</v>
      </c>
      <c r="M620" s="54">
        <v>853.57999999999993</v>
      </c>
      <c r="N620" s="54"/>
      <c r="O620" s="54">
        <f t="shared" si="22"/>
        <v>7804.16</v>
      </c>
    </row>
    <row r="621" spans="1:15" x14ac:dyDescent="0.2">
      <c r="A621" s="33">
        <v>43647</v>
      </c>
      <c r="B621" s="11">
        <v>73</v>
      </c>
      <c r="C621" s="11" t="s">
        <v>601</v>
      </c>
      <c r="D621" s="11" t="s">
        <v>602</v>
      </c>
      <c r="F621" s="11" t="s">
        <v>22</v>
      </c>
      <c r="G621" s="38">
        <v>2645</v>
      </c>
      <c r="H621" s="650">
        <v>43655</v>
      </c>
      <c r="I621" s="126">
        <v>21285</v>
      </c>
      <c r="J621" s="640">
        <f t="shared" si="21"/>
        <v>5959.8</v>
      </c>
      <c r="K621" s="54">
        <v>0</v>
      </c>
      <c r="L621" s="54">
        <v>2979.9</v>
      </c>
      <c r="M621" s="54">
        <v>2979.9</v>
      </c>
      <c r="N621" s="54"/>
      <c r="O621" s="54">
        <f t="shared" si="22"/>
        <v>27244.799999999999</v>
      </c>
    </row>
    <row r="622" spans="1:15" x14ac:dyDescent="0.2">
      <c r="A622" s="33">
        <v>43647</v>
      </c>
      <c r="B622" s="11">
        <v>74</v>
      </c>
      <c r="C622" s="11" t="s">
        <v>601</v>
      </c>
      <c r="D622" s="11" t="s">
        <v>602</v>
      </c>
      <c r="F622" s="11" t="s">
        <v>22</v>
      </c>
      <c r="G622" s="38">
        <v>2646</v>
      </c>
      <c r="H622" s="650">
        <v>43655</v>
      </c>
      <c r="I622" s="126">
        <v>17409.599999999999</v>
      </c>
      <c r="J622" s="640">
        <f t="shared" si="21"/>
        <v>4874.6879999999992</v>
      </c>
      <c r="K622" s="54">
        <v>0</v>
      </c>
      <c r="L622" s="54">
        <v>2437.3439999999996</v>
      </c>
      <c r="M622" s="54">
        <v>2437.3439999999996</v>
      </c>
      <c r="N622" s="54"/>
      <c r="O622" s="54">
        <f t="shared" si="22"/>
        <v>22284.287999999997</v>
      </c>
    </row>
    <row r="623" spans="1:15" x14ac:dyDescent="0.2">
      <c r="A623" s="33">
        <v>43647</v>
      </c>
      <c r="B623" s="11">
        <v>75</v>
      </c>
      <c r="C623" s="11" t="s">
        <v>554</v>
      </c>
      <c r="D623" s="11" t="s">
        <v>555</v>
      </c>
      <c r="F623" s="11" t="s">
        <v>22</v>
      </c>
      <c r="G623" s="38">
        <v>4116</v>
      </c>
      <c r="H623" s="650">
        <v>43655</v>
      </c>
      <c r="I623" s="126">
        <v>8952</v>
      </c>
      <c r="J623" s="640">
        <f t="shared" si="21"/>
        <v>2506.56</v>
      </c>
      <c r="K623" s="54">
        <v>0</v>
      </c>
      <c r="L623" s="54">
        <v>1253.28</v>
      </c>
      <c r="M623" s="54">
        <v>1253.28</v>
      </c>
      <c r="N623" s="54"/>
      <c r="O623" s="54">
        <f t="shared" si="22"/>
        <v>11458.56</v>
      </c>
    </row>
    <row r="624" spans="1:15" x14ac:dyDescent="0.2">
      <c r="A624" s="33">
        <v>43647</v>
      </c>
      <c r="B624" s="11">
        <v>76</v>
      </c>
      <c r="C624" s="11" t="s">
        <v>476</v>
      </c>
      <c r="D624" s="11" t="s">
        <v>477</v>
      </c>
      <c r="F624" s="11" t="s">
        <v>22</v>
      </c>
      <c r="G624" s="38" t="s">
        <v>797</v>
      </c>
      <c r="H624" s="650">
        <v>43617</v>
      </c>
      <c r="I624" s="126">
        <v>376945</v>
      </c>
      <c r="J624" s="640">
        <f t="shared" si="21"/>
        <v>105544.59999999999</v>
      </c>
      <c r="K624" s="54">
        <v>0</v>
      </c>
      <c r="L624" s="54">
        <v>52772.299999999996</v>
      </c>
      <c r="M624" s="54">
        <v>52772.299999999996</v>
      </c>
      <c r="N624" s="54"/>
      <c r="O624" s="54">
        <f t="shared" si="22"/>
        <v>482489.59999999998</v>
      </c>
    </row>
    <row r="625" spans="1:15" x14ac:dyDescent="0.2">
      <c r="A625" s="33">
        <v>43647</v>
      </c>
      <c r="B625" s="11">
        <v>77</v>
      </c>
      <c r="C625" s="11" t="s">
        <v>473</v>
      </c>
      <c r="D625" s="11" t="s">
        <v>41</v>
      </c>
      <c r="F625" s="11" t="s">
        <v>22</v>
      </c>
      <c r="G625" s="38" t="s">
        <v>798</v>
      </c>
      <c r="H625" s="650">
        <v>43654</v>
      </c>
      <c r="I625" s="126">
        <v>7053.2</v>
      </c>
      <c r="J625" s="640">
        <f t="shared" si="21"/>
        <v>1973.9959999999999</v>
      </c>
      <c r="K625" s="54">
        <v>0</v>
      </c>
      <c r="L625" s="54">
        <v>986.99799999999993</v>
      </c>
      <c r="M625" s="54">
        <v>986.99799999999993</v>
      </c>
      <c r="N625" s="54"/>
      <c r="O625" s="54">
        <f t="shared" si="22"/>
        <v>9027.1959999999999</v>
      </c>
    </row>
    <row r="626" spans="1:15" x14ac:dyDescent="0.2">
      <c r="A626" s="33">
        <v>43647</v>
      </c>
      <c r="B626" s="11">
        <v>78</v>
      </c>
      <c r="C626" s="11" t="s">
        <v>479</v>
      </c>
      <c r="D626" s="11" t="s">
        <v>480</v>
      </c>
      <c r="F626" s="11" t="s">
        <v>22</v>
      </c>
      <c r="G626" s="38">
        <v>1135</v>
      </c>
      <c r="H626" s="650">
        <v>43655</v>
      </c>
      <c r="I626" s="126">
        <v>270</v>
      </c>
      <c r="J626" s="640">
        <f t="shared" si="21"/>
        <v>48.6</v>
      </c>
      <c r="K626" s="54">
        <v>0</v>
      </c>
      <c r="L626" s="54">
        <v>24.3</v>
      </c>
      <c r="M626" s="54">
        <v>24.3</v>
      </c>
      <c r="N626" s="54"/>
      <c r="O626" s="54">
        <f t="shared" si="22"/>
        <v>318.60000000000002</v>
      </c>
    </row>
    <row r="627" spans="1:15" x14ac:dyDescent="0.2">
      <c r="A627" s="33">
        <v>43647</v>
      </c>
      <c r="B627" s="11">
        <v>79</v>
      </c>
      <c r="C627" s="11" t="s">
        <v>489</v>
      </c>
      <c r="D627" s="11" t="s">
        <v>490</v>
      </c>
      <c r="F627" s="11" t="s">
        <v>22</v>
      </c>
      <c r="G627" s="38">
        <v>7887985820</v>
      </c>
      <c r="H627" s="650">
        <v>43656</v>
      </c>
      <c r="I627" s="126">
        <v>2560</v>
      </c>
      <c r="J627" s="640">
        <f t="shared" si="21"/>
        <v>460.8</v>
      </c>
      <c r="K627" s="54">
        <v>0</v>
      </c>
      <c r="L627" s="54">
        <v>230.4</v>
      </c>
      <c r="M627" s="54">
        <v>230.4</v>
      </c>
      <c r="N627" s="54"/>
      <c r="O627" s="54">
        <f t="shared" si="22"/>
        <v>3020.8</v>
      </c>
    </row>
    <row r="628" spans="1:15" x14ac:dyDescent="0.2">
      <c r="A628" s="33">
        <v>43647</v>
      </c>
      <c r="B628" s="11">
        <v>80</v>
      </c>
      <c r="C628" s="11" t="s">
        <v>499</v>
      </c>
      <c r="D628" s="11" t="s">
        <v>500</v>
      </c>
      <c r="F628" s="11" t="s">
        <v>22</v>
      </c>
      <c r="G628" s="38" t="s">
        <v>799</v>
      </c>
      <c r="H628" s="650">
        <v>43654</v>
      </c>
      <c r="I628" s="126">
        <v>5240</v>
      </c>
      <c r="J628" s="640">
        <f t="shared" si="21"/>
        <v>262</v>
      </c>
      <c r="K628" s="54">
        <v>0</v>
      </c>
      <c r="L628" s="54">
        <v>131</v>
      </c>
      <c r="M628" s="54">
        <v>131</v>
      </c>
      <c r="N628" s="54"/>
      <c r="O628" s="54">
        <f t="shared" si="22"/>
        <v>5502</v>
      </c>
    </row>
    <row r="629" spans="1:15" x14ac:dyDescent="0.2">
      <c r="A629" s="33">
        <v>43647</v>
      </c>
      <c r="B629" s="11">
        <v>81</v>
      </c>
      <c r="C629" s="11" t="s">
        <v>666</v>
      </c>
      <c r="D629" s="11" t="s">
        <v>667</v>
      </c>
      <c r="F629" s="11" t="s">
        <v>22</v>
      </c>
      <c r="G629" s="38" t="s">
        <v>800</v>
      </c>
      <c r="H629" s="650">
        <v>43656</v>
      </c>
      <c r="I629" s="126">
        <v>73195.5</v>
      </c>
      <c r="J629" s="640">
        <f t="shared" si="21"/>
        <v>20494.740000000002</v>
      </c>
      <c r="K629" s="54">
        <v>0</v>
      </c>
      <c r="L629" s="54">
        <v>10247.370000000001</v>
      </c>
      <c r="M629" s="54">
        <v>10247.370000000001</v>
      </c>
      <c r="N629" s="54"/>
      <c r="O629" s="54">
        <f t="shared" si="22"/>
        <v>93690.240000000005</v>
      </c>
    </row>
    <row r="630" spans="1:15" x14ac:dyDescent="0.2">
      <c r="A630" s="33">
        <v>43647</v>
      </c>
      <c r="B630" s="11">
        <v>82</v>
      </c>
      <c r="C630" s="11" t="s">
        <v>473</v>
      </c>
      <c r="D630" s="11" t="s">
        <v>41</v>
      </c>
      <c r="F630" s="11" t="s">
        <v>22</v>
      </c>
      <c r="G630" s="38" t="s">
        <v>801</v>
      </c>
      <c r="H630" s="650">
        <v>43656</v>
      </c>
      <c r="I630" s="126">
        <v>7472.2</v>
      </c>
      <c r="J630" s="640">
        <f t="shared" si="21"/>
        <v>2091.9960000000001</v>
      </c>
      <c r="K630" s="54">
        <v>0</v>
      </c>
      <c r="L630" s="54">
        <v>1045.998</v>
      </c>
      <c r="M630" s="54">
        <v>1045.998</v>
      </c>
      <c r="N630" s="54"/>
      <c r="O630" s="54">
        <f t="shared" si="22"/>
        <v>9564.1959999999999</v>
      </c>
    </row>
    <row r="631" spans="1:15" x14ac:dyDescent="0.2">
      <c r="A631" s="33">
        <v>43647</v>
      </c>
      <c r="B631" s="11">
        <v>83</v>
      </c>
      <c r="C631" s="11" t="s">
        <v>495</v>
      </c>
      <c r="D631" s="11" t="s">
        <v>74</v>
      </c>
      <c r="F631" s="11" t="s">
        <v>22</v>
      </c>
      <c r="G631" s="38">
        <v>5510051227</v>
      </c>
      <c r="H631" s="650">
        <v>43656</v>
      </c>
      <c r="I631" s="126">
        <v>26544</v>
      </c>
      <c r="J631" s="640">
        <f t="shared" si="21"/>
        <v>4777.92</v>
      </c>
      <c r="K631" s="54">
        <v>0</v>
      </c>
      <c r="L631" s="54">
        <v>2388.96</v>
      </c>
      <c r="M631" s="54">
        <v>2388.96</v>
      </c>
      <c r="N631" s="54"/>
      <c r="O631" s="54">
        <f t="shared" si="22"/>
        <v>31321.919999999998</v>
      </c>
    </row>
    <row r="632" spans="1:15" x14ac:dyDescent="0.2">
      <c r="A632" s="33">
        <v>43647</v>
      </c>
      <c r="B632" s="11">
        <v>84</v>
      </c>
      <c r="C632" s="11" t="s">
        <v>471</v>
      </c>
      <c r="D632" s="11" t="s">
        <v>29</v>
      </c>
      <c r="F632" s="11" t="s">
        <v>22</v>
      </c>
      <c r="G632" s="38">
        <v>192003423</v>
      </c>
      <c r="H632" s="650">
        <v>43656</v>
      </c>
      <c r="I632" s="126">
        <v>17483.52</v>
      </c>
      <c r="J632" s="640">
        <f t="shared" si="21"/>
        <v>4895.3856000000005</v>
      </c>
      <c r="K632" s="54">
        <v>0</v>
      </c>
      <c r="L632" s="54">
        <v>2447.6928000000003</v>
      </c>
      <c r="M632" s="54">
        <v>2447.6928000000003</v>
      </c>
      <c r="N632" s="54"/>
      <c r="O632" s="54">
        <f t="shared" si="22"/>
        <v>22378.905600000002</v>
      </c>
    </row>
    <row r="633" spans="1:15" x14ac:dyDescent="0.2">
      <c r="A633" s="33">
        <v>43647</v>
      </c>
      <c r="B633" s="11">
        <v>85</v>
      </c>
      <c r="C633" s="11" t="s">
        <v>471</v>
      </c>
      <c r="D633" s="11" t="s">
        <v>29</v>
      </c>
      <c r="F633" s="11" t="s">
        <v>22</v>
      </c>
      <c r="G633" s="38">
        <v>192003431</v>
      </c>
      <c r="H633" s="650">
        <v>43656</v>
      </c>
      <c r="I633" s="126">
        <v>17483.52</v>
      </c>
      <c r="J633" s="640">
        <f t="shared" si="21"/>
        <v>4895.3856000000005</v>
      </c>
      <c r="K633" s="54">
        <v>0</v>
      </c>
      <c r="L633" s="54">
        <v>2447.6928000000003</v>
      </c>
      <c r="M633" s="54">
        <v>2447.6928000000003</v>
      </c>
      <c r="N633" s="54"/>
      <c r="O633" s="54">
        <f t="shared" si="22"/>
        <v>22378.905600000002</v>
      </c>
    </row>
    <row r="634" spans="1:15" x14ac:dyDescent="0.2">
      <c r="A634" s="33">
        <v>43647</v>
      </c>
      <c r="B634" s="11">
        <v>86</v>
      </c>
      <c r="C634" s="11" t="s">
        <v>601</v>
      </c>
      <c r="D634" s="11" t="s">
        <v>602</v>
      </c>
      <c r="F634" s="11" t="s">
        <v>22</v>
      </c>
      <c r="G634" s="38">
        <v>2687</v>
      </c>
      <c r="H634" s="650">
        <v>43656</v>
      </c>
      <c r="I634" s="126">
        <v>29799</v>
      </c>
      <c r="J634" s="640">
        <f t="shared" si="21"/>
        <v>8343.7200000000012</v>
      </c>
      <c r="K634" s="54">
        <v>0</v>
      </c>
      <c r="L634" s="54">
        <v>4171.8600000000006</v>
      </c>
      <c r="M634" s="54">
        <v>4171.8600000000006</v>
      </c>
      <c r="N634" s="54"/>
      <c r="O634" s="54">
        <f t="shared" si="22"/>
        <v>38142.720000000001</v>
      </c>
    </row>
    <row r="635" spans="1:15" x14ac:dyDescent="0.2">
      <c r="A635" s="33">
        <v>43647</v>
      </c>
      <c r="B635" s="11">
        <v>87</v>
      </c>
      <c r="C635" s="11" t="s">
        <v>493</v>
      </c>
      <c r="D635" s="11" t="s">
        <v>494</v>
      </c>
      <c r="F635" s="11" t="s">
        <v>22</v>
      </c>
      <c r="G635" s="38">
        <v>1849</v>
      </c>
      <c r="H635" s="650">
        <v>43656</v>
      </c>
      <c r="I635" s="126">
        <v>10575.4</v>
      </c>
      <c r="J635" s="640">
        <f t="shared" si="21"/>
        <v>1903.5719999999999</v>
      </c>
      <c r="K635" s="54">
        <v>0</v>
      </c>
      <c r="L635" s="54">
        <v>951.78599999999994</v>
      </c>
      <c r="M635" s="54">
        <v>951.78599999999994</v>
      </c>
      <c r="N635" s="54"/>
      <c r="O635" s="54">
        <f t="shared" si="22"/>
        <v>12478.972</v>
      </c>
    </row>
    <row r="636" spans="1:15" x14ac:dyDescent="0.2">
      <c r="A636" s="33">
        <v>43647</v>
      </c>
      <c r="B636" s="11">
        <v>88</v>
      </c>
      <c r="C636" s="11" t="s">
        <v>554</v>
      </c>
      <c r="D636" s="11" t="s">
        <v>555</v>
      </c>
      <c r="F636" s="11" t="s">
        <v>22</v>
      </c>
      <c r="G636" s="38">
        <v>4186</v>
      </c>
      <c r="H636" s="650">
        <v>43656</v>
      </c>
      <c r="I636" s="126">
        <v>8896</v>
      </c>
      <c r="J636" s="640">
        <f t="shared" si="21"/>
        <v>2490.8799999999997</v>
      </c>
      <c r="K636" s="54">
        <v>0</v>
      </c>
      <c r="L636" s="54">
        <v>1245.4399999999998</v>
      </c>
      <c r="M636" s="54">
        <v>1245.4399999999998</v>
      </c>
      <c r="N636" s="54"/>
      <c r="O636" s="54">
        <f t="shared" si="22"/>
        <v>11386.88</v>
      </c>
    </row>
    <row r="637" spans="1:15" x14ac:dyDescent="0.2">
      <c r="A637" s="33">
        <v>43647</v>
      </c>
      <c r="B637" s="11">
        <v>89</v>
      </c>
      <c r="C637" s="11" t="s">
        <v>554</v>
      </c>
      <c r="D637" s="11" t="s">
        <v>555</v>
      </c>
      <c r="F637" s="11" t="s">
        <v>22</v>
      </c>
      <c r="G637" s="38">
        <v>4230</v>
      </c>
      <c r="H637" s="650">
        <v>43656</v>
      </c>
      <c r="I637" s="126">
        <v>5654.5</v>
      </c>
      <c r="J637" s="640">
        <f t="shared" si="21"/>
        <v>1583.26</v>
      </c>
      <c r="K637" s="54">
        <v>0</v>
      </c>
      <c r="L637" s="54">
        <v>791.63</v>
      </c>
      <c r="M637" s="54">
        <v>791.63</v>
      </c>
      <c r="N637" s="54"/>
      <c r="O637" s="54">
        <f t="shared" si="22"/>
        <v>7237.76</v>
      </c>
    </row>
    <row r="638" spans="1:15" x14ac:dyDescent="0.2">
      <c r="A638" s="33">
        <v>43647</v>
      </c>
      <c r="B638" s="11">
        <v>90</v>
      </c>
      <c r="C638" s="11" t="s">
        <v>471</v>
      </c>
      <c r="D638" s="11" t="s">
        <v>29</v>
      </c>
      <c r="F638" s="11" t="s">
        <v>22</v>
      </c>
      <c r="G638" s="38">
        <v>192003475</v>
      </c>
      <c r="H638" s="650">
        <v>43656</v>
      </c>
      <c r="I638" s="126">
        <v>17483.52</v>
      </c>
      <c r="J638" s="640">
        <f t="shared" si="21"/>
        <v>4895.3856000000005</v>
      </c>
      <c r="K638" s="54">
        <v>0</v>
      </c>
      <c r="L638" s="54">
        <v>2447.6928000000003</v>
      </c>
      <c r="M638" s="54">
        <v>2447.6928000000003</v>
      </c>
      <c r="N638" s="54"/>
      <c r="O638" s="54">
        <f t="shared" si="22"/>
        <v>22378.905600000002</v>
      </c>
    </row>
    <row r="639" spans="1:15" x14ac:dyDescent="0.2">
      <c r="A639" s="33">
        <v>43647</v>
      </c>
      <c r="B639" s="11">
        <v>91</v>
      </c>
      <c r="C639" s="11" t="s">
        <v>705</v>
      </c>
      <c r="D639" s="11" t="s">
        <v>706</v>
      </c>
      <c r="F639" s="11" t="s">
        <v>22</v>
      </c>
      <c r="G639" s="38" t="s">
        <v>802</v>
      </c>
      <c r="H639" s="650">
        <v>43657</v>
      </c>
      <c r="I639" s="126">
        <v>2150</v>
      </c>
      <c r="J639" s="640">
        <f t="shared" si="21"/>
        <v>602</v>
      </c>
      <c r="K639" s="54">
        <v>0</v>
      </c>
      <c r="L639" s="54">
        <v>301</v>
      </c>
      <c r="M639" s="54">
        <v>301</v>
      </c>
      <c r="N639" s="54"/>
      <c r="O639" s="54">
        <f t="shared" si="22"/>
        <v>2752</v>
      </c>
    </row>
    <row r="640" spans="1:15" x14ac:dyDescent="0.2">
      <c r="A640" s="33">
        <v>43647</v>
      </c>
      <c r="B640" s="11">
        <v>92</v>
      </c>
      <c r="C640" s="11" t="s">
        <v>554</v>
      </c>
      <c r="D640" s="11" t="s">
        <v>555</v>
      </c>
      <c r="F640" s="11" t="s">
        <v>22</v>
      </c>
      <c r="G640" s="38">
        <v>4254</v>
      </c>
      <c r="H640" s="650">
        <v>43657</v>
      </c>
      <c r="I640" s="126">
        <v>6672</v>
      </c>
      <c r="J640" s="640">
        <f t="shared" si="21"/>
        <v>1868.1599999999999</v>
      </c>
      <c r="K640" s="54">
        <v>0</v>
      </c>
      <c r="L640" s="54">
        <v>934.07999999999993</v>
      </c>
      <c r="M640" s="54">
        <v>934.07999999999993</v>
      </c>
      <c r="N640" s="54"/>
      <c r="O640" s="54">
        <f t="shared" si="22"/>
        <v>8540.16</v>
      </c>
    </row>
    <row r="641" spans="1:15" x14ac:dyDescent="0.2">
      <c r="A641" s="33">
        <v>43647</v>
      </c>
      <c r="B641" s="11">
        <v>93</v>
      </c>
      <c r="C641" s="11" t="s">
        <v>471</v>
      </c>
      <c r="D641" s="11" t="s">
        <v>29</v>
      </c>
      <c r="F641" s="11" t="s">
        <v>22</v>
      </c>
      <c r="G641" s="38">
        <v>192003483</v>
      </c>
      <c r="H641" s="650">
        <v>43657</v>
      </c>
      <c r="I641" s="126">
        <v>17483.52</v>
      </c>
      <c r="J641" s="640">
        <f t="shared" si="21"/>
        <v>4895.3856000000005</v>
      </c>
      <c r="K641" s="54">
        <v>0</v>
      </c>
      <c r="L641" s="54">
        <v>2447.6928000000003</v>
      </c>
      <c r="M641" s="54">
        <v>2447.6928000000003</v>
      </c>
      <c r="N641" s="54"/>
      <c r="O641" s="54">
        <f t="shared" si="22"/>
        <v>22378.905600000002</v>
      </c>
    </row>
    <row r="642" spans="1:15" x14ac:dyDescent="0.2">
      <c r="A642" s="33">
        <v>43647</v>
      </c>
      <c r="B642" s="11">
        <v>94</v>
      </c>
      <c r="C642" s="11" t="s">
        <v>489</v>
      </c>
      <c r="D642" s="11" t="s">
        <v>490</v>
      </c>
      <c r="F642" s="11" t="s">
        <v>22</v>
      </c>
      <c r="G642" s="38">
        <v>7887985906</v>
      </c>
      <c r="H642" s="650">
        <v>43657</v>
      </c>
      <c r="I642" s="126">
        <v>30720</v>
      </c>
      <c r="J642" s="640">
        <f t="shared" si="21"/>
        <v>5529.5999999999995</v>
      </c>
      <c r="K642" s="54">
        <v>0</v>
      </c>
      <c r="L642" s="54">
        <v>2764.7999999999997</v>
      </c>
      <c r="M642" s="54">
        <v>2764.7999999999997</v>
      </c>
      <c r="N642" s="54"/>
      <c r="O642" s="54">
        <f t="shared" si="22"/>
        <v>36249.599999999999</v>
      </c>
    </row>
    <row r="643" spans="1:15" x14ac:dyDescent="0.2">
      <c r="A643" s="33">
        <v>43647</v>
      </c>
      <c r="B643" s="11">
        <v>95</v>
      </c>
      <c r="C643" s="11" t="s">
        <v>489</v>
      </c>
      <c r="D643" s="11" t="s">
        <v>490</v>
      </c>
      <c r="F643" s="11" t="s">
        <v>22</v>
      </c>
      <c r="G643" s="38">
        <v>7887985907</v>
      </c>
      <c r="H643" s="650">
        <v>43657</v>
      </c>
      <c r="I643" s="126">
        <v>91400</v>
      </c>
      <c r="J643" s="640">
        <f t="shared" si="21"/>
        <v>16452</v>
      </c>
      <c r="K643" s="54">
        <v>0</v>
      </c>
      <c r="L643" s="54">
        <v>8226</v>
      </c>
      <c r="M643" s="54">
        <v>8226</v>
      </c>
      <c r="N643" s="54"/>
      <c r="O643" s="54">
        <f t="shared" si="22"/>
        <v>107852</v>
      </c>
    </row>
    <row r="644" spans="1:15" x14ac:dyDescent="0.2">
      <c r="A644" s="33">
        <v>43647</v>
      </c>
      <c r="B644" s="11">
        <v>96</v>
      </c>
      <c r="C644" s="11" t="s">
        <v>601</v>
      </c>
      <c r="D644" s="11" t="s">
        <v>602</v>
      </c>
      <c r="F644" s="11" t="s">
        <v>22</v>
      </c>
      <c r="G644" s="38">
        <v>2736</v>
      </c>
      <c r="H644" s="650">
        <v>43657</v>
      </c>
      <c r="I644" s="126">
        <v>20433.599999999999</v>
      </c>
      <c r="J644" s="640">
        <f t="shared" ref="J644:J707" si="23">+K644+L644+M644+N644</f>
        <v>5721.4079999999994</v>
      </c>
      <c r="K644" s="54">
        <v>0</v>
      </c>
      <c r="L644" s="54">
        <v>2860.7039999999997</v>
      </c>
      <c r="M644" s="54">
        <v>2860.7039999999997</v>
      </c>
      <c r="N644" s="54"/>
      <c r="O644" s="54">
        <f t="shared" ref="O644:O707" si="24">+I644+J644</f>
        <v>26155.007999999998</v>
      </c>
    </row>
    <row r="645" spans="1:15" x14ac:dyDescent="0.2">
      <c r="A645" s="33">
        <v>43647</v>
      </c>
      <c r="B645" s="11">
        <v>97</v>
      </c>
      <c r="C645" s="11" t="s">
        <v>601</v>
      </c>
      <c r="D645" s="11" t="s">
        <v>602</v>
      </c>
      <c r="F645" s="11" t="s">
        <v>22</v>
      </c>
      <c r="G645" s="38">
        <v>2737</v>
      </c>
      <c r="H645" s="650">
        <v>43657</v>
      </c>
      <c r="I645" s="126">
        <v>13392</v>
      </c>
      <c r="J645" s="640">
        <f t="shared" si="23"/>
        <v>3749.7599999999998</v>
      </c>
      <c r="K645" s="54">
        <v>0</v>
      </c>
      <c r="L645" s="54">
        <v>1874.8799999999999</v>
      </c>
      <c r="M645" s="54">
        <v>1874.8799999999999</v>
      </c>
      <c r="N645" s="54"/>
      <c r="O645" s="54">
        <f t="shared" si="24"/>
        <v>17141.759999999998</v>
      </c>
    </row>
    <row r="646" spans="1:15" x14ac:dyDescent="0.2">
      <c r="A646" s="33">
        <v>43647</v>
      </c>
      <c r="B646" s="11">
        <v>98</v>
      </c>
      <c r="C646" s="11" t="s">
        <v>506</v>
      </c>
      <c r="D646" s="11" t="s">
        <v>507</v>
      </c>
      <c r="F646" s="11" t="s">
        <v>22</v>
      </c>
      <c r="G646" s="38" t="s">
        <v>803</v>
      </c>
      <c r="H646" s="650">
        <v>43657</v>
      </c>
      <c r="I646" s="126">
        <v>69758</v>
      </c>
      <c r="J646" s="640">
        <f t="shared" si="23"/>
        <v>12556.44</v>
      </c>
      <c r="K646" s="54">
        <v>0</v>
      </c>
      <c r="L646" s="54">
        <v>6278.22</v>
      </c>
      <c r="M646" s="54">
        <v>6278.22</v>
      </c>
      <c r="N646" s="54"/>
      <c r="O646" s="54">
        <f t="shared" si="24"/>
        <v>82314.44</v>
      </c>
    </row>
    <row r="647" spans="1:15" x14ac:dyDescent="0.2">
      <c r="A647" s="33">
        <v>43647</v>
      </c>
      <c r="B647" s="11">
        <v>99</v>
      </c>
      <c r="C647" s="11" t="s">
        <v>506</v>
      </c>
      <c r="D647" s="11" t="s">
        <v>507</v>
      </c>
      <c r="F647" s="11" t="s">
        <v>22</v>
      </c>
      <c r="G647" s="38" t="s">
        <v>804</v>
      </c>
      <c r="H647" s="650">
        <v>43657</v>
      </c>
      <c r="I647" s="126">
        <v>9240</v>
      </c>
      <c r="J647" s="640">
        <f t="shared" si="23"/>
        <v>1663.2</v>
      </c>
      <c r="K647" s="54">
        <v>0</v>
      </c>
      <c r="L647" s="54">
        <v>831.6</v>
      </c>
      <c r="M647" s="54">
        <v>831.6</v>
      </c>
      <c r="N647" s="54"/>
      <c r="O647" s="54">
        <f t="shared" si="24"/>
        <v>10903.2</v>
      </c>
    </row>
    <row r="648" spans="1:15" x14ac:dyDescent="0.2">
      <c r="A648" s="33">
        <v>43647</v>
      </c>
      <c r="B648" s="11">
        <v>100</v>
      </c>
      <c r="C648" s="11" t="s">
        <v>518</v>
      </c>
      <c r="D648" s="11" t="s">
        <v>519</v>
      </c>
      <c r="F648" s="11" t="s">
        <v>22</v>
      </c>
      <c r="G648" s="38" t="s">
        <v>805</v>
      </c>
      <c r="H648" s="650">
        <v>43658</v>
      </c>
      <c r="I648" s="126">
        <v>4871</v>
      </c>
      <c r="J648" s="640">
        <f t="shared" si="23"/>
        <v>876.78</v>
      </c>
      <c r="K648" s="54">
        <v>0</v>
      </c>
      <c r="L648" s="54">
        <v>438.39</v>
      </c>
      <c r="M648" s="54">
        <v>438.39</v>
      </c>
      <c r="N648" s="54"/>
      <c r="O648" s="54">
        <f t="shared" si="24"/>
        <v>5747.78</v>
      </c>
    </row>
    <row r="649" spans="1:15" x14ac:dyDescent="0.2">
      <c r="A649" s="33">
        <v>43647</v>
      </c>
      <c r="B649" s="11">
        <v>101</v>
      </c>
      <c r="C649" s="11" t="s">
        <v>554</v>
      </c>
      <c r="D649" s="11" t="s">
        <v>555</v>
      </c>
      <c r="F649" s="11" t="s">
        <v>22</v>
      </c>
      <c r="G649" s="38">
        <v>4301</v>
      </c>
      <c r="H649" s="650">
        <v>43658</v>
      </c>
      <c r="I649" s="126">
        <v>4448</v>
      </c>
      <c r="J649" s="640">
        <f t="shared" si="23"/>
        <v>1245.4399999999998</v>
      </c>
      <c r="K649" s="54">
        <v>0</v>
      </c>
      <c r="L649" s="54">
        <v>622.71999999999991</v>
      </c>
      <c r="M649" s="54">
        <v>622.71999999999991</v>
      </c>
      <c r="N649" s="54"/>
      <c r="O649" s="54">
        <f t="shared" si="24"/>
        <v>5693.44</v>
      </c>
    </row>
    <row r="650" spans="1:15" x14ac:dyDescent="0.2">
      <c r="A650" s="33">
        <v>43647</v>
      </c>
      <c r="B650" s="11">
        <v>102</v>
      </c>
      <c r="C650" s="11" t="s">
        <v>473</v>
      </c>
      <c r="D650" s="11" t="s">
        <v>41</v>
      </c>
      <c r="F650" s="11" t="s">
        <v>22</v>
      </c>
      <c r="G650" s="38" t="s">
        <v>806</v>
      </c>
      <c r="H650" s="650">
        <v>43658</v>
      </c>
      <c r="I650" s="126">
        <v>6216.25</v>
      </c>
      <c r="J650" s="640">
        <f t="shared" si="23"/>
        <v>1741.99</v>
      </c>
      <c r="K650" s="54">
        <v>0</v>
      </c>
      <c r="L650" s="54">
        <v>870.995</v>
      </c>
      <c r="M650" s="54">
        <v>870.995</v>
      </c>
      <c r="N650" s="54"/>
      <c r="O650" s="54">
        <f t="shared" si="24"/>
        <v>7958.24</v>
      </c>
    </row>
    <row r="651" spans="1:15" x14ac:dyDescent="0.2">
      <c r="A651" s="33">
        <v>43647</v>
      </c>
      <c r="B651" s="11">
        <v>103</v>
      </c>
      <c r="C651" s="11" t="s">
        <v>489</v>
      </c>
      <c r="D651" s="11" t="s">
        <v>490</v>
      </c>
      <c r="F651" s="11" t="s">
        <v>22</v>
      </c>
      <c r="G651" s="38">
        <v>7887985942</v>
      </c>
      <c r="H651" s="650">
        <v>43658</v>
      </c>
      <c r="I651" s="126">
        <v>2560</v>
      </c>
      <c r="J651" s="640">
        <f t="shared" si="23"/>
        <v>460.8</v>
      </c>
      <c r="K651" s="54">
        <v>0</v>
      </c>
      <c r="L651" s="54">
        <v>230.4</v>
      </c>
      <c r="M651" s="54">
        <v>230.4</v>
      </c>
      <c r="N651" s="54"/>
      <c r="O651" s="54">
        <f t="shared" si="24"/>
        <v>3020.8</v>
      </c>
    </row>
    <row r="652" spans="1:15" x14ac:dyDescent="0.2">
      <c r="A652" s="33">
        <v>43647</v>
      </c>
      <c r="B652" s="11">
        <v>104</v>
      </c>
      <c r="C652" s="11" t="s">
        <v>479</v>
      </c>
      <c r="D652" s="11" t="s">
        <v>480</v>
      </c>
      <c r="F652" s="11" t="s">
        <v>22</v>
      </c>
      <c r="G652" s="38">
        <v>1137</v>
      </c>
      <c r="H652" s="650">
        <v>43656</v>
      </c>
      <c r="I652" s="126">
        <v>1220.4000000000001</v>
      </c>
      <c r="J652" s="640">
        <f t="shared" si="23"/>
        <v>219.68</v>
      </c>
      <c r="K652" s="54">
        <v>0</v>
      </c>
      <c r="L652" s="54">
        <v>109.84</v>
      </c>
      <c r="M652" s="54">
        <v>109.84</v>
      </c>
      <c r="N652" s="54"/>
      <c r="O652" s="54">
        <f t="shared" si="24"/>
        <v>1440.0800000000002</v>
      </c>
    </row>
    <row r="653" spans="1:15" x14ac:dyDescent="0.2">
      <c r="A653" s="33">
        <v>43647</v>
      </c>
      <c r="B653" s="11">
        <v>105</v>
      </c>
      <c r="C653" s="11" t="s">
        <v>554</v>
      </c>
      <c r="D653" s="11" t="s">
        <v>555</v>
      </c>
      <c r="F653" s="11" t="s">
        <v>22</v>
      </c>
      <c r="G653" s="38">
        <v>4330</v>
      </c>
      <c r="H653" s="650">
        <v>43658</v>
      </c>
      <c r="I653" s="126">
        <v>6672</v>
      </c>
      <c r="J653" s="640">
        <f t="shared" si="23"/>
        <v>1868.1599999999999</v>
      </c>
      <c r="K653" s="54">
        <v>0</v>
      </c>
      <c r="L653" s="54">
        <v>934.07999999999993</v>
      </c>
      <c r="M653" s="54">
        <v>934.07999999999993</v>
      </c>
      <c r="N653" s="54"/>
      <c r="O653" s="54">
        <f t="shared" si="24"/>
        <v>8540.16</v>
      </c>
    </row>
    <row r="654" spans="1:15" x14ac:dyDescent="0.2">
      <c r="A654" s="33">
        <v>43647</v>
      </c>
      <c r="B654" s="11">
        <v>106</v>
      </c>
      <c r="C654" s="11" t="s">
        <v>471</v>
      </c>
      <c r="D654" s="11" t="s">
        <v>29</v>
      </c>
      <c r="F654" s="11" t="s">
        <v>22</v>
      </c>
      <c r="G654" s="38">
        <v>192003516</v>
      </c>
      <c r="H654" s="650">
        <v>43658</v>
      </c>
      <c r="I654" s="126">
        <v>17483.52</v>
      </c>
      <c r="J654" s="640">
        <f t="shared" si="23"/>
        <v>4895.3856000000005</v>
      </c>
      <c r="K654" s="54">
        <v>0</v>
      </c>
      <c r="L654" s="54">
        <v>2447.6928000000003</v>
      </c>
      <c r="M654" s="54">
        <v>2447.6928000000003</v>
      </c>
      <c r="N654" s="54"/>
      <c r="O654" s="54">
        <f t="shared" si="24"/>
        <v>22378.905600000002</v>
      </c>
    </row>
    <row r="655" spans="1:15" x14ac:dyDescent="0.2">
      <c r="A655" s="33">
        <v>43647</v>
      </c>
      <c r="B655" s="11">
        <v>107</v>
      </c>
      <c r="C655" s="11" t="s">
        <v>471</v>
      </c>
      <c r="D655" s="11" t="s">
        <v>29</v>
      </c>
      <c r="F655" s="11" t="s">
        <v>22</v>
      </c>
      <c r="G655" s="38">
        <v>192003521</v>
      </c>
      <c r="H655" s="650">
        <v>43658</v>
      </c>
      <c r="I655" s="126">
        <v>17483.52</v>
      </c>
      <c r="J655" s="640">
        <f t="shared" si="23"/>
        <v>4895.3856000000005</v>
      </c>
      <c r="K655" s="54">
        <v>0</v>
      </c>
      <c r="L655" s="54">
        <v>2447.6928000000003</v>
      </c>
      <c r="M655" s="54">
        <v>2447.6928000000003</v>
      </c>
      <c r="N655" s="54"/>
      <c r="O655" s="54">
        <f t="shared" si="24"/>
        <v>22378.905600000002</v>
      </c>
    </row>
    <row r="656" spans="1:15" x14ac:dyDescent="0.2">
      <c r="A656" s="33">
        <v>43647</v>
      </c>
      <c r="B656" s="11">
        <v>108</v>
      </c>
      <c r="C656" s="11" t="s">
        <v>495</v>
      </c>
      <c r="D656" s="11" t="s">
        <v>74</v>
      </c>
      <c r="F656" s="11" t="s">
        <v>22</v>
      </c>
      <c r="G656" s="38">
        <v>5510051400</v>
      </c>
      <c r="H656" s="650">
        <v>43658</v>
      </c>
      <c r="I656" s="126">
        <v>26544</v>
      </c>
      <c r="J656" s="640">
        <f t="shared" si="23"/>
        <v>4777.92</v>
      </c>
      <c r="K656" s="54">
        <v>0</v>
      </c>
      <c r="L656" s="54">
        <v>2388.96</v>
      </c>
      <c r="M656" s="54">
        <v>2388.96</v>
      </c>
      <c r="N656" s="54"/>
      <c r="O656" s="54">
        <f t="shared" si="24"/>
        <v>31321.919999999998</v>
      </c>
    </row>
    <row r="657" spans="1:15" x14ac:dyDescent="0.2">
      <c r="A657" s="33">
        <v>43647</v>
      </c>
      <c r="B657" s="11">
        <v>109</v>
      </c>
      <c r="C657" s="11" t="s">
        <v>554</v>
      </c>
      <c r="D657" s="11" t="s">
        <v>555</v>
      </c>
      <c r="F657" s="11" t="s">
        <v>22</v>
      </c>
      <c r="G657" s="38">
        <v>4371</v>
      </c>
      <c r="H657" s="650">
        <v>43659</v>
      </c>
      <c r="I657" s="126">
        <v>5560</v>
      </c>
      <c r="J657" s="640">
        <f t="shared" si="23"/>
        <v>1556.8</v>
      </c>
      <c r="K657" s="54">
        <v>0</v>
      </c>
      <c r="L657" s="54">
        <v>778.4</v>
      </c>
      <c r="M657" s="54">
        <v>778.4</v>
      </c>
      <c r="N657" s="54"/>
      <c r="O657" s="54">
        <f t="shared" si="24"/>
        <v>7116.8</v>
      </c>
    </row>
    <row r="658" spans="1:15" x14ac:dyDescent="0.2">
      <c r="A658" s="33">
        <v>43647</v>
      </c>
      <c r="B658" s="11">
        <v>110</v>
      </c>
      <c r="C658" s="11" t="s">
        <v>591</v>
      </c>
      <c r="D658" s="11" t="s">
        <v>592</v>
      </c>
      <c r="F658" s="11" t="s">
        <v>22</v>
      </c>
      <c r="G658" s="38" t="s">
        <v>807</v>
      </c>
      <c r="H658" s="650">
        <v>43658</v>
      </c>
      <c r="I658" s="126">
        <v>42660</v>
      </c>
      <c r="J658" s="640">
        <f t="shared" si="23"/>
        <v>7678.8</v>
      </c>
      <c r="K658" s="54">
        <v>0</v>
      </c>
      <c r="L658" s="54">
        <v>3839.4</v>
      </c>
      <c r="M658" s="54">
        <v>3839.4</v>
      </c>
      <c r="N658" s="54"/>
      <c r="O658" s="54">
        <f t="shared" si="24"/>
        <v>50338.8</v>
      </c>
    </row>
    <row r="659" spans="1:15" x14ac:dyDescent="0.2">
      <c r="A659" s="33">
        <v>43647</v>
      </c>
      <c r="B659" s="11">
        <v>111</v>
      </c>
      <c r="C659" s="11" t="s">
        <v>479</v>
      </c>
      <c r="D659" s="11" t="s">
        <v>480</v>
      </c>
      <c r="F659" s="11" t="s">
        <v>22</v>
      </c>
      <c r="G659" s="38">
        <v>1140</v>
      </c>
      <c r="H659" s="650">
        <v>43659</v>
      </c>
      <c r="I659" s="126">
        <v>8145</v>
      </c>
      <c r="J659" s="640">
        <f t="shared" si="23"/>
        <v>1466.1</v>
      </c>
      <c r="K659" s="54">
        <v>0</v>
      </c>
      <c r="L659" s="54">
        <v>733.05</v>
      </c>
      <c r="M659" s="54">
        <v>733.05</v>
      </c>
      <c r="N659" s="54"/>
      <c r="O659" s="54">
        <f t="shared" si="24"/>
        <v>9611.1</v>
      </c>
    </row>
    <row r="660" spans="1:15" x14ac:dyDescent="0.2">
      <c r="A660" s="33">
        <v>43647</v>
      </c>
      <c r="B660" s="11">
        <v>112</v>
      </c>
      <c r="C660" s="11" t="s">
        <v>495</v>
      </c>
      <c r="D660" s="11" t="s">
        <v>74</v>
      </c>
      <c r="F660" s="11" t="s">
        <v>22</v>
      </c>
      <c r="G660" s="38">
        <v>5510051510</v>
      </c>
      <c r="H660" s="650">
        <v>43659</v>
      </c>
      <c r="I660" s="126">
        <v>29198.400000000001</v>
      </c>
      <c r="J660" s="640">
        <f t="shared" si="23"/>
        <v>5255.7120000000004</v>
      </c>
      <c r="K660" s="54">
        <v>0</v>
      </c>
      <c r="L660" s="54">
        <v>2627.8560000000002</v>
      </c>
      <c r="M660" s="54">
        <v>2627.8560000000002</v>
      </c>
      <c r="N660" s="54"/>
      <c r="O660" s="54">
        <f t="shared" si="24"/>
        <v>34454.112000000001</v>
      </c>
    </row>
    <row r="661" spans="1:15" x14ac:dyDescent="0.2">
      <c r="A661" s="33">
        <v>43647</v>
      </c>
      <c r="B661" s="11">
        <v>113</v>
      </c>
      <c r="C661" s="11" t="s">
        <v>471</v>
      </c>
      <c r="D661" s="11" t="s">
        <v>29</v>
      </c>
      <c r="F661" s="11" t="s">
        <v>22</v>
      </c>
      <c r="G661" s="38">
        <v>192003561</v>
      </c>
      <c r="H661" s="650">
        <v>43659</v>
      </c>
      <c r="I661" s="126">
        <v>17483.52</v>
      </c>
      <c r="J661" s="640">
        <f t="shared" si="23"/>
        <v>4895.3856000000005</v>
      </c>
      <c r="K661" s="54">
        <v>0</v>
      </c>
      <c r="L661" s="54">
        <v>2447.6928000000003</v>
      </c>
      <c r="M661" s="54">
        <v>2447.6928000000003</v>
      </c>
      <c r="N661" s="54"/>
      <c r="O661" s="54">
        <f t="shared" si="24"/>
        <v>22378.905600000002</v>
      </c>
    </row>
    <row r="662" spans="1:15" x14ac:dyDescent="0.2">
      <c r="A662" s="33">
        <v>43647</v>
      </c>
      <c r="B662" s="11">
        <v>114</v>
      </c>
      <c r="C662" s="11" t="s">
        <v>471</v>
      </c>
      <c r="D662" s="11" t="s">
        <v>29</v>
      </c>
      <c r="F662" s="11" t="s">
        <v>22</v>
      </c>
      <c r="G662" s="38">
        <v>192003562</v>
      </c>
      <c r="H662" s="650">
        <v>43659</v>
      </c>
      <c r="I662" s="126">
        <v>17483.52</v>
      </c>
      <c r="J662" s="640">
        <f t="shared" si="23"/>
        <v>4895.3856000000005</v>
      </c>
      <c r="K662" s="54">
        <v>0</v>
      </c>
      <c r="L662" s="54">
        <v>2447.6928000000003</v>
      </c>
      <c r="M662" s="54">
        <v>2447.6928000000003</v>
      </c>
      <c r="N662" s="54"/>
      <c r="O662" s="54">
        <f t="shared" si="24"/>
        <v>22378.905600000002</v>
      </c>
    </row>
    <row r="663" spans="1:15" x14ac:dyDescent="0.2">
      <c r="A663" s="33">
        <v>43647</v>
      </c>
      <c r="B663" s="11">
        <v>115</v>
      </c>
      <c r="C663" s="11" t="s">
        <v>554</v>
      </c>
      <c r="D663" s="11" t="s">
        <v>555</v>
      </c>
      <c r="F663" s="11" t="s">
        <v>22</v>
      </c>
      <c r="G663" s="38">
        <v>4417</v>
      </c>
      <c r="H663" s="650">
        <v>43659</v>
      </c>
      <c r="I663" s="126">
        <v>7395</v>
      </c>
      <c r="J663" s="640">
        <f t="shared" si="23"/>
        <v>2070.6</v>
      </c>
      <c r="K663" s="54">
        <v>0</v>
      </c>
      <c r="L663" s="54">
        <v>1035.3</v>
      </c>
      <c r="M663" s="54">
        <v>1035.3</v>
      </c>
      <c r="N663" s="54"/>
      <c r="O663" s="54">
        <f t="shared" si="24"/>
        <v>9465.6</v>
      </c>
    </row>
    <row r="664" spans="1:15" x14ac:dyDescent="0.2">
      <c r="A664" s="33">
        <v>43647</v>
      </c>
      <c r="B664" s="11">
        <v>116</v>
      </c>
      <c r="C664" s="11" t="s">
        <v>493</v>
      </c>
      <c r="D664" s="11" t="s">
        <v>494</v>
      </c>
      <c r="F664" s="11" t="s">
        <v>22</v>
      </c>
      <c r="G664" s="38">
        <v>1923</v>
      </c>
      <c r="H664" s="650">
        <v>43659</v>
      </c>
      <c r="I664" s="126">
        <v>11150.15</v>
      </c>
      <c r="J664" s="640">
        <f t="shared" si="23"/>
        <v>2007.0269999999998</v>
      </c>
      <c r="K664" s="54">
        <v>0</v>
      </c>
      <c r="L664" s="54">
        <v>1003.5134999999999</v>
      </c>
      <c r="M664" s="54">
        <v>1003.5134999999999</v>
      </c>
      <c r="N664" s="54"/>
      <c r="O664" s="54">
        <f t="shared" si="24"/>
        <v>13157.177</v>
      </c>
    </row>
    <row r="665" spans="1:15" x14ac:dyDescent="0.2">
      <c r="A665" s="33">
        <v>43647</v>
      </c>
      <c r="B665" s="11">
        <v>117</v>
      </c>
      <c r="C665" s="11" t="s">
        <v>514</v>
      </c>
      <c r="D665" s="11" t="s">
        <v>515</v>
      </c>
      <c r="F665" s="11" t="s">
        <v>22</v>
      </c>
      <c r="G665" s="38" t="s">
        <v>808</v>
      </c>
      <c r="H665" s="650">
        <v>43659</v>
      </c>
      <c r="I665" s="126">
        <v>50</v>
      </c>
      <c r="J665" s="640">
        <f t="shared" si="23"/>
        <v>9</v>
      </c>
      <c r="K665" s="54">
        <v>0</v>
      </c>
      <c r="L665" s="54">
        <v>4.5</v>
      </c>
      <c r="M665" s="54">
        <v>4.5</v>
      </c>
      <c r="N665" s="54"/>
      <c r="O665" s="54">
        <f t="shared" si="24"/>
        <v>59</v>
      </c>
    </row>
    <row r="666" spans="1:15" x14ac:dyDescent="0.2">
      <c r="A666" s="33">
        <v>43647</v>
      </c>
      <c r="B666" s="11">
        <v>118</v>
      </c>
      <c r="C666" s="11" t="s">
        <v>554</v>
      </c>
      <c r="D666" s="11" t="s">
        <v>555</v>
      </c>
      <c r="F666" s="11" t="s">
        <v>22</v>
      </c>
      <c r="G666" s="38">
        <v>4445</v>
      </c>
      <c r="H666" s="650">
        <v>43660</v>
      </c>
      <c r="I666" s="126">
        <v>8896</v>
      </c>
      <c r="J666" s="640">
        <f t="shared" si="23"/>
        <v>2490.8799999999997</v>
      </c>
      <c r="K666" s="54">
        <v>0</v>
      </c>
      <c r="L666" s="54">
        <v>1245.4399999999998</v>
      </c>
      <c r="M666" s="54">
        <v>1245.4399999999998</v>
      </c>
      <c r="N666" s="54"/>
      <c r="O666" s="54">
        <f t="shared" si="24"/>
        <v>11386.88</v>
      </c>
    </row>
    <row r="667" spans="1:15" x14ac:dyDescent="0.2">
      <c r="A667" s="33">
        <v>43647</v>
      </c>
      <c r="B667" s="11">
        <v>119</v>
      </c>
      <c r="C667" s="11" t="s">
        <v>493</v>
      </c>
      <c r="D667" s="11" t="s">
        <v>494</v>
      </c>
      <c r="F667" s="11" t="s">
        <v>22</v>
      </c>
      <c r="G667" s="38">
        <v>1934</v>
      </c>
      <c r="H667" s="650">
        <v>43660</v>
      </c>
      <c r="I667" s="126">
        <v>37358.75</v>
      </c>
      <c r="J667" s="640">
        <f t="shared" si="23"/>
        <v>6724.5749999999998</v>
      </c>
      <c r="K667" s="54">
        <v>0</v>
      </c>
      <c r="L667" s="54">
        <v>3362.2874999999999</v>
      </c>
      <c r="M667" s="54">
        <v>3362.2874999999999</v>
      </c>
      <c r="N667" s="54"/>
      <c r="O667" s="54">
        <f t="shared" si="24"/>
        <v>44083.324999999997</v>
      </c>
    </row>
    <row r="668" spans="1:15" x14ac:dyDescent="0.2">
      <c r="A668" s="33">
        <v>43647</v>
      </c>
      <c r="B668" s="11">
        <v>120</v>
      </c>
      <c r="C668" s="11" t="s">
        <v>476</v>
      </c>
      <c r="D668" s="11" t="s">
        <v>477</v>
      </c>
      <c r="F668" s="11" t="s">
        <v>22</v>
      </c>
      <c r="G668" s="38" t="s">
        <v>809</v>
      </c>
      <c r="H668" s="650">
        <v>43661</v>
      </c>
      <c r="I668" s="126">
        <v>40650</v>
      </c>
      <c r="J668" s="640">
        <f t="shared" si="23"/>
        <v>7317</v>
      </c>
      <c r="K668" s="54">
        <v>0</v>
      </c>
      <c r="L668" s="54">
        <v>3658.5</v>
      </c>
      <c r="M668" s="54">
        <v>3658.5</v>
      </c>
      <c r="N668" s="54"/>
      <c r="O668" s="54">
        <f t="shared" si="24"/>
        <v>47967</v>
      </c>
    </row>
    <row r="669" spans="1:15" x14ac:dyDescent="0.2">
      <c r="A669" s="33">
        <v>43647</v>
      </c>
      <c r="B669" s="11">
        <v>121</v>
      </c>
      <c r="C669" s="11" t="s">
        <v>613</v>
      </c>
      <c r="D669" s="11" t="s">
        <v>614</v>
      </c>
      <c r="F669" s="11" t="s">
        <v>22</v>
      </c>
      <c r="G669" s="38">
        <v>19618</v>
      </c>
      <c r="H669" s="650">
        <v>43661</v>
      </c>
      <c r="I669" s="126">
        <v>31500</v>
      </c>
      <c r="J669" s="640">
        <f t="shared" si="23"/>
        <v>5670</v>
      </c>
      <c r="K669" s="54">
        <v>0</v>
      </c>
      <c r="L669" s="54">
        <v>2835</v>
      </c>
      <c r="M669" s="54">
        <v>2835</v>
      </c>
      <c r="N669" s="54"/>
      <c r="O669" s="54">
        <f t="shared" si="24"/>
        <v>37170</v>
      </c>
    </row>
    <row r="670" spans="1:15" x14ac:dyDescent="0.2">
      <c r="A670" s="33">
        <v>43647</v>
      </c>
      <c r="B670" s="11">
        <v>122</v>
      </c>
      <c r="C670" s="11" t="s">
        <v>527</v>
      </c>
      <c r="D670" s="11" t="s">
        <v>528</v>
      </c>
      <c r="F670" s="11" t="s">
        <v>22</v>
      </c>
      <c r="G670" s="38">
        <v>9330004013</v>
      </c>
      <c r="H670" s="650">
        <v>43659</v>
      </c>
      <c r="I670" s="126">
        <v>64241</v>
      </c>
      <c r="J670" s="640">
        <f t="shared" si="23"/>
        <v>11563.38</v>
      </c>
      <c r="K670" s="54">
        <v>0</v>
      </c>
      <c r="L670" s="54">
        <v>5781.69</v>
      </c>
      <c r="M670" s="54">
        <v>5781.69</v>
      </c>
      <c r="N670" s="54"/>
      <c r="O670" s="54">
        <f t="shared" si="24"/>
        <v>75804.38</v>
      </c>
    </row>
    <row r="671" spans="1:15" x14ac:dyDescent="0.2">
      <c r="A671" s="33">
        <v>43647</v>
      </c>
      <c r="B671" s="11">
        <v>123</v>
      </c>
      <c r="C671" s="11" t="s">
        <v>554</v>
      </c>
      <c r="D671" s="11" t="s">
        <v>555</v>
      </c>
      <c r="F671" s="11" t="s">
        <v>22</v>
      </c>
      <c r="G671" s="38">
        <v>4489</v>
      </c>
      <c r="H671" s="650">
        <v>43661</v>
      </c>
      <c r="I671" s="126">
        <v>11027</v>
      </c>
      <c r="J671" s="640">
        <f t="shared" si="23"/>
        <v>3087.56</v>
      </c>
      <c r="K671" s="54">
        <v>0</v>
      </c>
      <c r="L671" s="54">
        <v>1543.78</v>
      </c>
      <c r="M671" s="54">
        <v>1543.78</v>
      </c>
      <c r="N671" s="54"/>
      <c r="O671" s="54">
        <f t="shared" si="24"/>
        <v>14114.56</v>
      </c>
    </row>
    <row r="672" spans="1:15" x14ac:dyDescent="0.2">
      <c r="A672" s="33">
        <v>43647</v>
      </c>
      <c r="B672" s="11">
        <v>124</v>
      </c>
      <c r="C672" s="11" t="s">
        <v>471</v>
      </c>
      <c r="D672" s="11" t="s">
        <v>29</v>
      </c>
      <c r="F672" s="11" t="s">
        <v>22</v>
      </c>
      <c r="G672" s="38">
        <v>192003604</v>
      </c>
      <c r="H672" s="650">
        <v>43661</v>
      </c>
      <c r="I672" s="126">
        <v>17483.52</v>
      </c>
      <c r="J672" s="640">
        <f t="shared" si="23"/>
        <v>4895.3856000000005</v>
      </c>
      <c r="K672" s="54">
        <v>0</v>
      </c>
      <c r="L672" s="54">
        <v>2447.6928000000003</v>
      </c>
      <c r="M672" s="54">
        <v>2447.6928000000003</v>
      </c>
      <c r="N672" s="54"/>
      <c r="O672" s="54">
        <f t="shared" si="24"/>
        <v>22378.905600000002</v>
      </c>
    </row>
    <row r="673" spans="1:15" x14ac:dyDescent="0.2">
      <c r="A673" s="33">
        <v>43647</v>
      </c>
      <c r="B673" s="11">
        <v>125</v>
      </c>
      <c r="C673" s="11" t="s">
        <v>471</v>
      </c>
      <c r="D673" s="11" t="s">
        <v>29</v>
      </c>
      <c r="F673" s="11" t="s">
        <v>22</v>
      </c>
      <c r="G673" s="38">
        <v>192003609</v>
      </c>
      <c r="H673" s="650">
        <v>43661</v>
      </c>
      <c r="I673" s="126">
        <v>17483.52</v>
      </c>
      <c r="J673" s="640">
        <f t="shared" si="23"/>
        <v>4895.3856000000005</v>
      </c>
      <c r="K673" s="54">
        <v>0</v>
      </c>
      <c r="L673" s="54">
        <v>2447.6928000000003</v>
      </c>
      <c r="M673" s="54">
        <v>2447.6928000000003</v>
      </c>
      <c r="N673" s="54"/>
      <c r="O673" s="54">
        <f t="shared" si="24"/>
        <v>22378.905600000002</v>
      </c>
    </row>
    <row r="674" spans="1:15" x14ac:dyDescent="0.2">
      <c r="A674" s="33">
        <v>43647</v>
      </c>
      <c r="B674" s="11">
        <v>126</v>
      </c>
      <c r="C674" s="11" t="s">
        <v>601</v>
      </c>
      <c r="D674" s="11" t="s">
        <v>602</v>
      </c>
      <c r="F674" s="11" t="s">
        <v>22</v>
      </c>
      <c r="G674" s="38">
        <v>2816</v>
      </c>
      <c r="H674" s="650">
        <v>43661</v>
      </c>
      <c r="I674" s="126">
        <v>46827</v>
      </c>
      <c r="J674" s="640">
        <f t="shared" si="23"/>
        <v>13111.56</v>
      </c>
      <c r="K674" s="54">
        <v>0</v>
      </c>
      <c r="L674" s="54">
        <v>6555.78</v>
      </c>
      <c r="M674" s="54">
        <v>6555.78</v>
      </c>
      <c r="N674" s="54"/>
      <c r="O674" s="54">
        <f t="shared" si="24"/>
        <v>59938.559999999998</v>
      </c>
    </row>
    <row r="675" spans="1:15" x14ac:dyDescent="0.2">
      <c r="A675" s="33">
        <v>43647</v>
      </c>
      <c r="B675" s="11">
        <v>127</v>
      </c>
      <c r="C675" s="11" t="s">
        <v>473</v>
      </c>
      <c r="D675" s="11" t="s">
        <v>41</v>
      </c>
      <c r="F675" s="11" t="s">
        <v>22</v>
      </c>
      <c r="G675" s="38" t="s">
        <v>810</v>
      </c>
      <c r="H675" s="650">
        <v>43661</v>
      </c>
      <c r="I675" s="126">
        <v>7053.2</v>
      </c>
      <c r="J675" s="640">
        <f t="shared" si="23"/>
        <v>1973.9959999999999</v>
      </c>
      <c r="K675" s="54">
        <v>0</v>
      </c>
      <c r="L675" s="54">
        <v>986.99799999999993</v>
      </c>
      <c r="M675" s="54">
        <v>986.99799999999993</v>
      </c>
      <c r="N675" s="54"/>
      <c r="O675" s="54">
        <f t="shared" si="24"/>
        <v>9027.1959999999999</v>
      </c>
    </row>
    <row r="676" spans="1:15" x14ac:dyDescent="0.2">
      <c r="A676" s="33">
        <v>43647</v>
      </c>
      <c r="B676" s="11">
        <v>128</v>
      </c>
      <c r="C676" s="11" t="s">
        <v>473</v>
      </c>
      <c r="D676" s="11" t="s">
        <v>41</v>
      </c>
      <c r="F676" s="11" t="s">
        <v>22</v>
      </c>
      <c r="G676" s="38" t="s">
        <v>811</v>
      </c>
      <c r="H676" s="650">
        <v>43661</v>
      </c>
      <c r="I676" s="126">
        <v>10586.66</v>
      </c>
      <c r="J676" s="640">
        <f t="shared" si="23"/>
        <v>2966.0047999999997</v>
      </c>
      <c r="K676" s="54">
        <v>0</v>
      </c>
      <c r="L676" s="54">
        <v>1483.0023999999999</v>
      </c>
      <c r="M676" s="54">
        <v>1483.0023999999999</v>
      </c>
      <c r="N676" s="54"/>
      <c r="O676" s="54">
        <f t="shared" si="24"/>
        <v>13552.664799999999</v>
      </c>
    </row>
    <row r="677" spans="1:15" x14ac:dyDescent="0.2">
      <c r="A677" s="33">
        <v>43647</v>
      </c>
      <c r="B677" s="11">
        <v>129</v>
      </c>
      <c r="C677" s="11" t="s">
        <v>554</v>
      </c>
      <c r="D677" s="11" t="s">
        <v>555</v>
      </c>
      <c r="F677" s="11" t="s">
        <v>22</v>
      </c>
      <c r="G677" s="38">
        <v>4510</v>
      </c>
      <c r="H677" s="650">
        <v>43662</v>
      </c>
      <c r="I677" s="126">
        <v>2780</v>
      </c>
      <c r="J677" s="640">
        <f t="shared" si="23"/>
        <v>778.4</v>
      </c>
      <c r="K677" s="54">
        <v>0</v>
      </c>
      <c r="L677" s="54">
        <v>389.2</v>
      </c>
      <c r="M677" s="54">
        <v>389.2</v>
      </c>
      <c r="N677" s="54"/>
      <c r="O677" s="54">
        <f t="shared" si="24"/>
        <v>3558.4</v>
      </c>
    </row>
    <row r="678" spans="1:15" x14ac:dyDescent="0.2">
      <c r="A678" s="33">
        <v>43647</v>
      </c>
      <c r="B678" s="11">
        <v>130</v>
      </c>
      <c r="C678" s="11" t="s">
        <v>554</v>
      </c>
      <c r="D678" s="11" t="s">
        <v>555</v>
      </c>
      <c r="F678" s="11" t="s">
        <v>22</v>
      </c>
      <c r="G678" s="38">
        <v>4559</v>
      </c>
      <c r="H678" s="650">
        <v>43662</v>
      </c>
      <c r="I678" s="126">
        <v>7880.4</v>
      </c>
      <c r="J678" s="640">
        <f t="shared" si="23"/>
        <v>2206.5120000000002</v>
      </c>
      <c r="K678" s="54">
        <v>0</v>
      </c>
      <c r="L678" s="54">
        <v>1103.2560000000001</v>
      </c>
      <c r="M678" s="54">
        <v>1103.2560000000001</v>
      </c>
      <c r="N678" s="54"/>
      <c r="O678" s="54">
        <f t="shared" si="24"/>
        <v>10086.912</v>
      </c>
    </row>
    <row r="679" spans="1:15" x14ac:dyDescent="0.2">
      <c r="A679" s="33">
        <v>43647</v>
      </c>
      <c r="B679" s="11">
        <v>131</v>
      </c>
      <c r="C679" s="11" t="s">
        <v>495</v>
      </c>
      <c r="D679" s="11" t="s">
        <v>74</v>
      </c>
      <c r="F679" s="11" t="s">
        <v>22</v>
      </c>
      <c r="G679" s="38">
        <v>5510051662</v>
      </c>
      <c r="H679" s="650">
        <v>43661</v>
      </c>
      <c r="I679" s="126">
        <v>31852.799999999999</v>
      </c>
      <c r="J679" s="640">
        <f t="shared" si="23"/>
        <v>5733.5240000000013</v>
      </c>
      <c r="K679" s="54">
        <v>0</v>
      </c>
      <c r="L679" s="54">
        <v>2866.7620000000006</v>
      </c>
      <c r="M679" s="54">
        <v>2866.7620000000006</v>
      </c>
      <c r="N679" s="54"/>
      <c r="O679" s="54">
        <f t="shared" si="24"/>
        <v>37586.324000000001</v>
      </c>
    </row>
    <row r="680" spans="1:15" x14ac:dyDescent="0.2">
      <c r="A680" s="33">
        <v>43647</v>
      </c>
      <c r="B680" s="11">
        <v>132</v>
      </c>
      <c r="C680" s="11" t="s">
        <v>495</v>
      </c>
      <c r="D680" s="11" t="s">
        <v>74</v>
      </c>
      <c r="F680" s="11" t="s">
        <v>22</v>
      </c>
      <c r="G680" s="38">
        <v>5510051791</v>
      </c>
      <c r="H680" s="650">
        <v>43661</v>
      </c>
      <c r="I680" s="126">
        <v>26544</v>
      </c>
      <c r="J680" s="640">
        <f t="shared" si="23"/>
        <v>4777.92</v>
      </c>
      <c r="K680" s="54">
        <v>0</v>
      </c>
      <c r="L680" s="54">
        <v>2388.96</v>
      </c>
      <c r="M680" s="54">
        <v>2388.96</v>
      </c>
      <c r="N680" s="54"/>
      <c r="O680" s="54">
        <f t="shared" si="24"/>
        <v>31321.919999999998</v>
      </c>
    </row>
    <row r="681" spans="1:15" x14ac:dyDescent="0.2">
      <c r="A681" s="33">
        <v>43647</v>
      </c>
      <c r="B681" s="11">
        <v>133</v>
      </c>
      <c r="C681" s="11" t="s">
        <v>471</v>
      </c>
      <c r="D681" s="11" t="s">
        <v>29</v>
      </c>
      <c r="F681" s="11" t="s">
        <v>22</v>
      </c>
      <c r="G681" s="38">
        <v>192003656</v>
      </c>
      <c r="H681" s="650">
        <v>43662</v>
      </c>
      <c r="I681" s="126">
        <v>17483.52</v>
      </c>
      <c r="J681" s="640">
        <f t="shared" si="23"/>
        <v>4895.3856000000005</v>
      </c>
      <c r="K681" s="54">
        <v>0</v>
      </c>
      <c r="L681" s="54">
        <v>2447.6928000000003</v>
      </c>
      <c r="M681" s="54">
        <v>2447.6928000000003</v>
      </c>
      <c r="N681" s="54"/>
      <c r="O681" s="54">
        <f t="shared" si="24"/>
        <v>22378.905600000002</v>
      </c>
    </row>
    <row r="682" spans="1:15" x14ac:dyDescent="0.2">
      <c r="A682" s="33">
        <v>43647</v>
      </c>
      <c r="B682" s="11">
        <v>134</v>
      </c>
      <c r="C682" s="11" t="s">
        <v>471</v>
      </c>
      <c r="D682" s="11" t="s">
        <v>29</v>
      </c>
      <c r="F682" s="11" t="s">
        <v>22</v>
      </c>
      <c r="G682" s="38">
        <v>192003657</v>
      </c>
      <c r="H682" s="650">
        <v>43662</v>
      </c>
      <c r="I682" s="126">
        <v>17483.52</v>
      </c>
      <c r="J682" s="640">
        <f t="shared" si="23"/>
        <v>4895.3856000000005</v>
      </c>
      <c r="K682" s="54">
        <v>0</v>
      </c>
      <c r="L682" s="54">
        <v>2447.6928000000003</v>
      </c>
      <c r="M682" s="54">
        <v>2447.6928000000003</v>
      </c>
      <c r="N682" s="54"/>
      <c r="O682" s="54">
        <f t="shared" si="24"/>
        <v>22378.905600000002</v>
      </c>
    </row>
    <row r="683" spans="1:15" x14ac:dyDescent="0.2">
      <c r="A683" s="33">
        <v>43647</v>
      </c>
      <c r="B683" s="11">
        <v>135</v>
      </c>
      <c r="C683" s="11" t="s">
        <v>479</v>
      </c>
      <c r="D683" s="11" t="s">
        <v>480</v>
      </c>
      <c r="F683" s="11" t="s">
        <v>22</v>
      </c>
      <c r="G683" s="38">
        <v>1143</v>
      </c>
      <c r="H683" s="650">
        <v>43662</v>
      </c>
      <c r="I683" s="126">
        <v>7119.6</v>
      </c>
      <c r="J683" s="640">
        <f t="shared" si="23"/>
        <v>1281.52</v>
      </c>
      <c r="K683" s="54">
        <v>0</v>
      </c>
      <c r="L683" s="54">
        <v>640.76</v>
      </c>
      <c r="M683" s="54">
        <v>640.76</v>
      </c>
      <c r="N683" s="54"/>
      <c r="O683" s="54">
        <f t="shared" si="24"/>
        <v>8401.1200000000008</v>
      </c>
    </row>
    <row r="684" spans="1:15" x14ac:dyDescent="0.2">
      <c r="A684" s="33">
        <v>43647</v>
      </c>
      <c r="B684" s="11">
        <v>136</v>
      </c>
      <c r="C684" s="11" t="s">
        <v>499</v>
      </c>
      <c r="D684" s="11" t="s">
        <v>500</v>
      </c>
      <c r="F684" s="11" t="s">
        <v>22</v>
      </c>
      <c r="G684" s="38" t="s">
        <v>812</v>
      </c>
      <c r="H684" s="650">
        <v>43661</v>
      </c>
      <c r="I684" s="126">
        <v>8034</v>
      </c>
      <c r="J684" s="640">
        <f t="shared" si="23"/>
        <v>1075.6199999999999</v>
      </c>
      <c r="K684" s="54">
        <v>0</v>
      </c>
      <c r="L684" s="54">
        <v>537.80999999999995</v>
      </c>
      <c r="M684" s="54">
        <v>537.80999999999995</v>
      </c>
      <c r="N684" s="54"/>
      <c r="O684" s="54">
        <f t="shared" si="24"/>
        <v>9109.619999999999</v>
      </c>
    </row>
    <row r="685" spans="1:15" x14ac:dyDescent="0.2">
      <c r="A685" s="33">
        <v>43647</v>
      </c>
      <c r="B685" s="11">
        <v>137</v>
      </c>
      <c r="C685" s="11" t="s">
        <v>722</v>
      </c>
      <c r="D685" s="11" t="s">
        <v>723</v>
      </c>
      <c r="F685" s="11" t="s">
        <v>22</v>
      </c>
      <c r="G685" s="38" t="s">
        <v>813</v>
      </c>
      <c r="H685" s="650">
        <v>43655</v>
      </c>
      <c r="I685" s="126">
        <v>23800</v>
      </c>
      <c r="J685" s="640">
        <f t="shared" si="23"/>
        <v>4284</v>
      </c>
      <c r="K685" s="54">
        <v>0</v>
      </c>
      <c r="L685" s="54">
        <v>2142</v>
      </c>
      <c r="M685" s="54">
        <v>2142</v>
      </c>
      <c r="N685" s="54"/>
      <c r="O685" s="54">
        <f t="shared" si="24"/>
        <v>28084</v>
      </c>
    </row>
    <row r="686" spans="1:15" x14ac:dyDescent="0.2">
      <c r="A686" s="33">
        <v>43647</v>
      </c>
      <c r="B686" s="11">
        <v>138</v>
      </c>
      <c r="C686" s="11" t="s">
        <v>634</v>
      </c>
      <c r="D686" s="11" t="s">
        <v>635</v>
      </c>
      <c r="F686" s="11" t="s">
        <v>22</v>
      </c>
      <c r="G686" s="38" t="s">
        <v>814</v>
      </c>
      <c r="H686" s="650">
        <v>43662</v>
      </c>
      <c r="I686" s="126">
        <v>6710</v>
      </c>
      <c r="J686" s="640">
        <f t="shared" si="23"/>
        <v>1207.8</v>
      </c>
      <c r="K686" s="54">
        <v>0</v>
      </c>
      <c r="L686" s="54">
        <v>603.9</v>
      </c>
      <c r="M686" s="54">
        <v>603.9</v>
      </c>
      <c r="N686" s="54"/>
      <c r="O686" s="54">
        <f t="shared" si="24"/>
        <v>7917.8</v>
      </c>
    </row>
    <row r="687" spans="1:15" x14ac:dyDescent="0.2">
      <c r="A687" s="33">
        <v>43647</v>
      </c>
      <c r="B687" s="11">
        <v>139</v>
      </c>
      <c r="C687" s="11" t="s">
        <v>554</v>
      </c>
      <c r="D687" s="11" t="s">
        <v>555</v>
      </c>
      <c r="F687" s="11" t="s">
        <v>22</v>
      </c>
      <c r="G687" s="38">
        <v>4573</v>
      </c>
      <c r="H687" s="650">
        <v>43663</v>
      </c>
      <c r="I687" s="126">
        <v>3818</v>
      </c>
      <c r="J687" s="640">
        <f t="shared" si="23"/>
        <v>1069.04</v>
      </c>
      <c r="K687" s="54">
        <v>0</v>
      </c>
      <c r="L687" s="54">
        <v>534.52</v>
      </c>
      <c r="M687" s="54">
        <v>534.52</v>
      </c>
      <c r="N687" s="54"/>
      <c r="O687" s="54">
        <f t="shared" si="24"/>
        <v>4887.04</v>
      </c>
    </row>
    <row r="688" spans="1:15" x14ac:dyDescent="0.2">
      <c r="A688" s="33">
        <v>43647</v>
      </c>
      <c r="B688" s="11">
        <v>140</v>
      </c>
      <c r="C688" s="11" t="s">
        <v>554</v>
      </c>
      <c r="D688" s="11" t="s">
        <v>555</v>
      </c>
      <c r="F688" s="11" t="s">
        <v>22</v>
      </c>
      <c r="G688" s="38">
        <v>4597</v>
      </c>
      <c r="H688" s="650">
        <v>43663</v>
      </c>
      <c r="I688" s="126">
        <v>5875</v>
      </c>
      <c r="J688" s="640">
        <f t="shared" si="23"/>
        <v>1645</v>
      </c>
      <c r="K688" s="54">
        <v>0</v>
      </c>
      <c r="L688" s="54">
        <v>822.5</v>
      </c>
      <c r="M688" s="54">
        <v>822.5</v>
      </c>
      <c r="N688" s="54"/>
      <c r="O688" s="54">
        <f t="shared" si="24"/>
        <v>7520</v>
      </c>
    </row>
    <row r="689" spans="1:15" x14ac:dyDescent="0.2">
      <c r="A689" s="33">
        <v>43647</v>
      </c>
      <c r="B689" s="11">
        <v>141</v>
      </c>
      <c r="C689" s="11" t="s">
        <v>471</v>
      </c>
      <c r="D689" s="11" t="s">
        <v>29</v>
      </c>
      <c r="F689" s="11" t="s">
        <v>22</v>
      </c>
      <c r="G689" s="38">
        <v>192003723</v>
      </c>
      <c r="H689" s="650">
        <v>43663</v>
      </c>
      <c r="I689" s="126">
        <v>17483.52</v>
      </c>
      <c r="J689" s="640">
        <f t="shared" si="23"/>
        <v>4895.3856000000005</v>
      </c>
      <c r="K689" s="54">
        <v>0</v>
      </c>
      <c r="L689" s="54">
        <v>2447.6928000000003</v>
      </c>
      <c r="M689" s="54">
        <v>2447.6928000000003</v>
      </c>
      <c r="N689" s="54"/>
      <c r="O689" s="54">
        <f t="shared" si="24"/>
        <v>22378.905600000002</v>
      </c>
    </row>
    <row r="690" spans="1:15" x14ac:dyDescent="0.2">
      <c r="A690" s="33">
        <v>43647</v>
      </c>
      <c r="B690" s="11">
        <v>142</v>
      </c>
      <c r="C690" s="11" t="s">
        <v>601</v>
      </c>
      <c r="D690" s="11" t="s">
        <v>602</v>
      </c>
      <c r="F690" s="11" t="s">
        <v>22</v>
      </c>
      <c r="G690" s="38">
        <v>2890</v>
      </c>
      <c r="H690" s="650">
        <v>43663</v>
      </c>
      <c r="I690" s="126">
        <v>10216.799999999999</v>
      </c>
      <c r="J690" s="640">
        <f t="shared" si="23"/>
        <v>2860.7039999999997</v>
      </c>
      <c r="K690" s="54">
        <v>0</v>
      </c>
      <c r="L690" s="54">
        <v>1430.3519999999999</v>
      </c>
      <c r="M690" s="54">
        <v>1430.3519999999999</v>
      </c>
      <c r="N690" s="54"/>
      <c r="O690" s="54">
        <f t="shared" si="24"/>
        <v>13077.503999999999</v>
      </c>
    </row>
    <row r="691" spans="1:15" x14ac:dyDescent="0.2">
      <c r="A691" s="33">
        <v>43647</v>
      </c>
      <c r="B691" s="11">
        <v>143</v>
      </c>
      <c r="C691" s="11" t="s">
        <v>601</v>
      </c>
      <c r="D691" s="11" t="s">
        <v>602</v>
      </c>
      <c r="F691" s="11" t="s">
        <v>22</v>
      </c>
      <c r="G691" s="38">
        <v>2891</v>
      </c>
      <c r="H691" s="650">
        <v>43663</v>
      </c>
      <c r="I691" s="126">
        <v>13392</v>
      </c>
      <c r="J691" s="640">
        <f t="shared" si="23"/>
        <v>3749.7599999999998</v>
      </c>
      <c r="K691" s="54">
        <v>0</v>
      </c>
      <c r="L691" s="54">
        <v>1874.8799999999999</v>
      </c>
      <c r="M691" s="54">
        <v>1874.8799999999999</v>
      </c>
      <c r="N691" s="54"/>
      <c r="O691" s="54">
        <f t="shared" si="24"/>
        <v>17141.759999999998</v>
      </c>
    </row>
    <row r="692" spans="1:15" x14ac:dyDescent="0.2">
      <c r="A692" s="33">
        <v>43647</v>
      </c>
      <c r="B692" s="11">
        <v>144</v>
      </c>
      <c r="C692" s="11" t="s">
        <v>473</v>
      </c>
      <c r="D692" s="11" t="s">
        <v>41</v>
      </c>
      <c r="F692" s="11" t="s">
        <v>22</v>
      </c>
      <c r="G692" s="38" t="s">
        <v>815</v>
      </c>
      <c r="H692" s="650">
        <v>43663</v>
      </c>
      <c r="I692" s="126">
        <v>4894.3999999999996</v>
      </c>
      <c r="J692" s="640">
        <f t="shared" si="23"/>
        <v>1371.9919999999997</v>
      </c>
      <c r="K692" s="54">
        <v>0</v>
      </c>
      <c r="L692" s="54">
        <v>685.99599999999987</v>
      </c>
      <c r="M692" s="54">
        <v>685.99599999999987</v>
      </c>
      <c r="N692" s="54"/>
      <c r="O692" s="54">
        <f t="shared" si="24"/>
        <v>6266.3919999999998</v>
      </c>
    </row>
    <row r="693" spans="1:15" x14ac:dyDescent="0.2">
      <c r="A693" s="33">
        <v>43647</v>
      </c>
      <c r="B693" s="11">
        <v>145</v>
      </c>
      <c r="C693" s="11" t="s">
        <v>591</v>
      </c>
      <c r="D693" s="11" t="s">
        <v>592</v>
      </c>
      <c r="F693" s="11" t="s">
        <v>22</v>
      </c>
      <c r="G693" s="38" t="s">
        <v>816</v>
      </c>
      <c r="H693" s="650">
        <v>43651</v>
      </c>
      <c r="I693" s="126">
        <v>40500</v>
      </c>
      <c r="J693" s="640">
        <f t="shared" si="23"/>
        <v>7290</v>
      </c>
      <c r="K693" s="54">
        <v>0</v>
      </c>
      <c r="L693" s="54">
        <v>3645</v>
      </c>
      <c r="M693" s="54">
        <v>3645</v>
      </c>
      <c r="N693" s="54"/>
      <c r="O693" s="54">
        <f t="shared" si="24"/>
        <v>47790</v>
      </c>
    </row>
    <row r="694" spans="1:15" x14ac:dyDescent="0.2">
      <c r="A694" s="33">
        <v>43647</v>
      </c>
      <c r="B694" s="11">
        <v>146</v>
      </c>
      <c r="C694" s="11" t="s">
        <v>591</v>
      </c>
      <c r="D694" s="11" t="s">
        <v>592</v>
      </c>
      <c r="F694" s="11" t="s">
        <v>22</v>
      </c>
      <c r="G694" s="38" t="s">
        <v>817</v>
      </c>
      <c r="H694" s="650">
        <v>43663</v>
      </c>
      <c r="I694" s="126">
        <v>27000</v>
      </c>
      <c r="J694" s="640">
        <f t="shared" si="23"/>
        <v>4860</v>
      </c>
      <c r="K694" s="54">
        <v>0</v>
      </c>
      <c r="L694" s="54">
        <v>2430</v>
      </c>
      <c r="M694" s="54">
        <v>2430</v>
      </c>
      <c r="N694" s="54"/>
      <c r="O694" s="54">
        <f t="shared" si="24"/>
        <v>31860</v>
      </c>
    </row>
    <row r="695" spans="1:15" x14ac:dyDescent="0.2">
      <c r="A695" s="33">
        <v>43647</v>
      </c>
      <c r="B695" s="11">
        <v>147</v>
      </c>
      <c r="C695" s="11" t="s">
        <v>591</v>
      </c>
      <c r="D695" s="11" t="s">
        <v>592</v>
      </c>
      <c r="F695" s="11" t="s">
        <v>22</v>
      </c>
      <c r="G695" s="38" t="s">
        <v>818</v>
      </c>
      <c r="H695" s="650">
        <v>43663</v>
      </c>
      <c r="I695" s="126">
        <v>8260</v>
      </c>
      <c r="J695" s="640">
        <f t="shared" si="23"/>
        <v>1486.8</v>
      </c>
      <c r="K695" s="54">
        <v>0</v>
      </c>
      <c r="L695" s="54">
        <v>743.4</v>
      </c>
      <c r="M695" s="54">
        <v>743.4</v>
      </c>
      <c r="N695" s="54"/>
      <c r="O695" s="54">
        <f t="shared" si="24"/>
        <v>9746.7999999999993</v>
      </c>
    </row>
    <row r="696" spans="1:15" x14ac:dyDescent="0.2">
      <c r="A696" s="33">
        <v>43647</v>
      </c>
      <c r="B696" s="11">
        <v>148</v>
      </c>
      <c r="C696" s="11" t="s">
        <v>554</v>
      </c>
      <c r="D696" s="11" t="s">
        <v>555</v>
      </c>
      <c r="F696" s="11" t="s">
        <v>22</v>
      </c>
      <c r="G696" s="38">
        <v>4613</v>
      </c>
      <c r="H696" s="650">
        <v>43664</v>
      </c>
      <c r="I696" s="126">
        <v>5235.5</v>
      </c>
      <c r="J696" s="640">
        <f t="shared" si="23"/>
        <v>1465.9399999999998</v>
      </c>
      <c r="K696" s="54">
        <v>0</v>
      </c>
      <c r="L696" s="54">
        <v>732.96999999999991</v>
      </c>
      <c r="M696" s="54">
        <v>732.96999999999991</v>
      </c>
      <c r="N696" s="54"/>
      <c r="O696" s="54">
        <f t="shared" si="24"/>
        <v>6701.44</v>
      </c>
    </row>
    <row r="697" spans="1:15" x14ac:dyDescent="0.2">
      <c r="A697" s="33">
        <v>43647</v>
      </c>
      <c r="B697" s="11">
        <v>149</v>
      </c>
      <c r="C697" s="11" t="s">
        <v>471</v>
      </c>
      <c r="D697" s="11" t="s">
        <v>29</v>
      </c>
      <c r="F697" s="11" t="s">
        <v>22</v>
      </c>
      <c r="G697" s="38">
        <v>192003724</v>
      </c>
      <c r="H697" s="650">
        <v>43663</v>
      </c>
      <c r="I697" s="126">
        <v>17483.52</v>
      </c>
      <c r="J697" s="640">
        <f t="shared" si="23"/>
        <v>4895.3856000000005</v>
      </c>
      <c r="K697" s="54">
        <v>0</v>
      </c>
      <c r="L697" s="54">
        <v>2447.6928000000003</v>
      </c>
      <c r="M697" s="54">
        <v>2447.6928000000003</v>
      </c>
      <c r="N697" s="54"/>
      <c r="O697" s="54">
        <f t="shared" si="24"/>
        <v>22378.905600000002</v>
      </c>
    </row>
    <row r="698" spans="1:15" x14ac:dyDescent="0.2">
      <c r="A698" s="33">
        <v>43647</v>
      </c>
      <c r="B698" s="11">
        <v>150</v>
      </c>
      <c r="C698" s="11" t="s">
        <v>471</v>
      </c>
      <c r="D698" s="11" t="s">
        <v>29</v>
      </c>
      <c r="F698" s="11" t="s">
        <v>22</v>
      </c>
      <c r="G698" s="38">
        <v>192003731</v>
      </c>
      <c r="H698" s="650">
        <v>43663</v>
      </c>
      <c r="I698" s="126">
        <v>13112.64</v>
      </c>
      <c r="J698" s="640">
        <f t="shared" si="23"/>
        <v>3671.5391999999997</v>
      </c>
      <c r="K698" s="54">
        <v>0</v>
      </c>
      <c r="L698" s="54">
        <v>1835.7695999999999</v>
      </c>
      <c r="M698" s="54">
        <v>1835.7695999999999</v>
      </c>
      <c r="N698" s="54"/>
      <c r="O698" s="54">
        <f t="shared" si="24"/>
        <v>16784.179199999999</v>
      </c>
    </row>
    <row r="699" spans="1:15" x14ac:dyDescent="0.2">
      <c r="A699" s="33">
        <v>43647</v>
      </c>
      <c r="B699" s="11">
        <v>151</v>
      </c>
      <c r="C699" s="11" t="s">
        <v>511</v>
      </c>
      <c r="D699" s="11" t="s">
        <v>512</v>
      </c>
      <c r="F699" s="11" t="s">
        <v>22</v>
      </c>
      <c r="G699" s="38" t="s">
        <v>819</v>
      </c>
      <c r="H699" s="650">
        <v>43664</v>
      </c>
      <c r="I699" s="126">
        <v>26500</v>
      </c>
      <c r="J699" s="640">
        <f t="shared" si="23"/>
        <v>4770</v>
      </c>
      <c r="K699" s="54">
        <v>0</v>
      </c>
      <c r="L699" s="54">
        <v>2385</v>
      </c>
      <c r="M699" s="54">
        <v>2385</v>
      </c>
      <c r="N699" s="54"/>
      <c r="O699" s="54">
        <f t="shared" si="24"/>
        <v>31270</v>
      </c>
    </row>
    <row r="700" spans="1:15" x14ac:dyDescent="0.2">
      <c r="A700" s="33">
        <v>43647</v>
      </c>
      <c r="B700" s="11">
        <v>152</v>
      </c>
      <c r="C700" s="11" t="s">
        <v>511</v>
      </c>
      <c r="D700" s="11" t="s">
        <v>512</v>
      </c>
      <c r="F700" s="11" t="s">
        <v>22</v>
      </c>
      <c r="G700" s="38" t="s">
        <v>820</v>
      </c>
      <c r="H700" s="650">
        <v>43664</v>
      </c>
      <c r="I700" s="126">
        <v>4500</v>
      </c>
      <c r="J700" s="640">
        <f t="shared" si="23"/>
        <v>810</v>
      </c>
      <c r="K700" s="54">
        <v>0</v>
      </c>
      <c r="L700" s="54">
        <v>405</v>
      </c>
      <c r="M700" s="54">
        <v>405</v>
      </c>
      <c r="N700" s="54"/>
      <c r="O700" s="54">
        <f t="shared" si="24"/>
        <v>5310</v>
      </c>
    </row>
    <row r="701" spans="1:15" x14ac:dyDescent="0.2">
      <c r="A701" s="33">
        <v>43647</v>
      </c>
      <c r="B701" s="11">
        <v>153</v>
      </c>
      <c r="C701" s="11" t="s">
        <v>529</v>
      </c>
      <c r="D701" s="11" t="s">
        <v>530</v>
      </c>
      <c r="F701" s="11" t="s">
        <v>22</v>
      </c>
      <c r="G701" s="38" t="s">
        <v>821</v>
      </c>
      <c r="H701" s="650">
        <v>43664</v>
      </c>
      <c r="I701" s="126">
        <v>9667.2000000000007</v>
      </c>
      <c r="J701" s="640">
        <f t="shared" si="23"/>
        <v>1740.0960000000002</v>
      </c>
      <c r="K701" s="54">
        <v>0</v>
      </c>
      <c r="L701" s="54">
        <v>870.04800000000012</v>
      </c>
      <c r="M701" s="54">
        <v>870.04800000000012</v>
      </c>
      <c r="N701" s="54"/>
      <c r="O701" s="54">
        <f t="shared" si="24"/>
        <v>11407.296</v>
      </c>
    </row>
    <row r="702" spans="1:15" x14ac:dyDescent="0.2">
      <c r="A702" s="33">
        <v>43647</v>
      </c>
      <c r="B702" s="11">
        <v>154</v>
      </c>
      <c r="C702" s="11" t="s">
        <v>529</v>
      </c>
      <c r="D702" s="11" t="s">
        <v>530</v>
      </c>
      <c r="F702" s="11" t="s">
        <v>22</v>
      </c>
      <c r="G702" s="38" t="s">
        <v>822</v>
      </c>
      <c r="H702" s="650">
        <v>43664</v>
      </c>
      <c r="I702" s="126">
        <v>8080</v>
      </c>
      <c r="J702" s="640">
        <f t="shared" si="23"/>
        <v>1454.3999999999999</v>
      </c>
      <c r="K702" s="54">
        <v>0</v>
      </c>
      <c r="L702" s="54">
        <v>727.19999999999993</v>
      </c>
      <c r="M702" s="54">
        <v>727.19999999999993</v>
      </c>
      <c r="N702" s="54"/>
      <c r="O702" s="54">
        <f t="shared" si="24"/>
        <v>9534.4</v>
      </c>
    </row>
    <row r="703" spans="1:15" x14ac:dyDescent="0.2">
      <c r="A703" s="33">
        <v>43647</v>
      </c>
      <c r="B703" s="11">
        <v>155</v>
      </c>
      <c r="C703" s="11" t="s">
        <v>506</v>
      </c>
      <c r="D703" s="11" t="s">
        <v>507</v>
      </c>
      <c r="F703" s="11" t="s">
        <v>22</v>
      </c>
      <c r="G703" s="38" t="s">
        <v>823</v>
      </c>
      <c r="H703" s="650">
        <v>43664</v>
      </c>
      <c r="I703" s="126">
        <v>69758</v>
      </c>
      <c r="J703" s="640">
        <f t="shared" si="23"/>
        <v>12556.44</v>
      </c>
      <c r="K703" s="54">
        <v>0</v>
      </c>
      <c r="L703" s="54">
        <v>6278.22</v>
      </c>
      <c r="M703" s="54">
        <v>6278.22</v>
      </c>
      <c r="N703" s="54"/>
      <c r="O703" s="54">
        <f t="shared" si="24"/>
        <v>82314.44</v>
      </c>
    </row>
    <row r="704" spans="1:15" x14ac:dyDescent="0.2">
      <c r="A704" s="33">
        <v>43647</v>
      </c>
      <c r="B704" s="11">
        <v>156</v>
      </c>
      <c r="C704" s="11" t="s">
        <v>506</v>
      </c>
      <c r="D704" s="11" t="s">
        <v>507</v>
      </c>
      <c r="F704" s="11" t="s">
        <v>22</v>
      </c>
      <c r="G704" s="38" t="s">
        <v>824</v>
      </c>
      <c r="H704" s="650">
        <v>43664</v>
      </c>
      <c r="I704" s="126">
        <v>3696</v>
      </c>
      <c r="J704" s="640">
        <f t="shared" si="23"/>
        <v>665.28</v>
      </c>
      <c r="K704" s="54">
        <v>0</v>
      </c>
      <c r="L704" s="54">
        <v>332.64</v>
      </c>
      <c r="M704" s="54">
        <v>332.64</v>
      </c>
      <c r="N704" s="54"/>
      <c r="O704" s="54">
        <f t="shared" si="24"/>
        <v>4361.28</v>
      </c>
    </row>
    <row r="705" spans="1:15" x14ac:dyDescent="0.2">
      <c r="A705" s="33">
        <v>43647</v>
      </c>
      <c r="B705" s="11">
        <v>157</v>
      </c>
      <c r="C705" s="11" t="s">
        <v>506</v>
      </c>
      <c r="D705" s="11" t="s">
        <v>507</v>
      </c>
      <c r="F705" s="11" t="s">
        <v>22</v>
      </c>
      <c r="G705" s="38" t="s">
        <v>825</v>
      </c>
      <c r="H705" s="650">
        <v>43664</v>
      </c>
      <c r="I705" s="126">
        <v>14784</v>
      </c>
      <c r="J705" s="640">
        <f t="shared" si="23"/>
        <v>2661.12</v>
      </c>
      <c r="K705" s="54">
        <v>0</v>
      </c>
      <c r="L705" s="54">
        <v>1330.56</v>
      </c>
      <c r="M705" s="54">
        <v>1330.56</v>
      </c>
      <c r="N705" s="54"/>
      <c r="O705" s="54">
        <f t="shared" si="24"/>
        <v>17445.12</v>
      </c>
    </row>
    <row r="706" spans="1:15" x14ac:dyDescent="0.2">
      <c r="A706" s="33">
        <v>43647</v>
      </c>
      <c r="B706" s="11">
        <v>158</v>
      </c>
      <c r="C706" s="11" t="s">
        <v>479</v>
      </c>
      <c r="D706" s="11" t="s">
        <v>480</v>
      </c>
      <c r="F706" s="11" t="s">
        <v>22</v>
      </c>
      <c r="G706" s="38">
        <v>1148</v>
      </c>
      <c r="H706" s="650">
        <v>43665</v>
      </c>
      <c r="I706" s="126">
        <v>3600</v>
      </c>
      <c r="J706" s="640">
        <f t="shared" si="23"/>
        <v>648</v>
      </c>
      <c r="K706" s="54">
        <v>0</v>
      </c>
      <c r="L706" s="54">
        <v>324</v>
      </c>
      <c r="M706" s="54">
        <v>324</v>
      </c>
      <c r="N706" s="54"/>
      <c r="O706" s="54">
        <f t="shared" si="24"/>
        <v>4248</v>
      </c>
    </row>
    <row r="707" spans="1:15" x14ac:dyDescent="0.2">
      <c r="A707" s="33">
        <v>43647</v>
      </c>
      <c r="B707" s="11">
        <v>159</v>
      </c>
      <c r="C707" s="11" t="s">
        <v>554</v>
      </c>
      <c r="D707" s="11" t="s">
        <v>555</v>
      </c>
      <c r="F707" s="11" t="s">
        <v>22</v>
      </c>
      <c r="G707" s="38">
        <v>4678</v>
      </c>
      <c r="H707" s="650">
        <v>43665</v>
      </c>
      <c r="I707" s="126">
        <v>7710</v>
      </c>
      <c r="J707" s="640">
        <f t="shared" si="23"/>
        <v>2158.7999999999997</v>
      </c>
      <c r="K707" s="54">
        <v>0</v>
      </c>
      <c r="L707" s="54">
        <v>1079.3999999999999</v>
      </c>
      <c r="M707" s="54">
        <v>1079.3999999999999</v>
      </c>
      <c r="N707" s="54"/>
      <c r="O707" s="54">
        <f t="shared" si="24"/>
        <v>9868.7999999999993</v>
      </c>
    </row>
    <row r="708" spans="1:15" x14ac:dyDescent="0.2">
      <c r="A708" s="33">
        <v>43647</v>
      </c>
      <c r="B708" s="11">
        <v>160</v>
      </c>
      <c r="C708" s="11" t="s">
        <v>554</v>
      </c>
      <c r="D708" s="11" t="s">
        <v>555</v>
      </c>
      <c r="F708" s="11" t="s">
        <v>22</v>
      </c>
      <c r="G708" s="38">
        <v>4693</v>
      </c>
      <c r="H708" s="650">
        <v>43665</v>
      </c>
      <c r="I708" s="126">
        <v>5319</v>
      </c>
      <c r="J708" s="640">
        <f t="shared" ref="J708:J771" si="25">+K708+L708+M708+N708</f>
        <v>1489.32</v>
      </c>
      <c r="K708" s="54">
        <v>0</v>
      </c>
      <c r="L708" s="54">
        <v>744.66</v>
      </c>
      <c r="M708" s="54">
        <v>744.66</v>
      </c>
      <c r="N708" s="54"/>
      <c r="O708" s="54">
        <f t="shared" ref="O708:O771" si="26">+I708+J708</f>
        <v>6808.32</v>
      </c>
    </row>
    <row r="709" spans="1:15" x14ac:dyDescent="0.2">
      <c r="A709" s="33">
        <v>43647</v>
      </c>
      <c r="B709" s="11">
        <v>161</v>
      </c>
      <c r="C709" s="11" t="s">
        <v>493</v>
      </c>
      <c r="D709" s="11" t="s">
        <v>494</v>
      </c>
      <c r="F709" s="11" t="s">
        <v>22</v>
      </c>
      <c r="G709" s="38">
        <v>2028</v>
      </c>
      <c r="H709" s="650">
        <v>43665</v>
      </c>
      <c r="I709" s="126">
        <v>39887.65</v>
      </c>
      <c r="J709" s="640">
        <f t="shared" si="25"/>
        <v>7179.777</v>
      </c>
      <c r="K709" s="54">
        <v>0</v>
      </c>
      <c r="L709" s="54">
        <v>3589.8885</v>
      </c>
      <c r="M709" s="54">
        <v>3589.8885</v>
      </c>
      <c r="N709" s="54"/>
      <c r="O709" s="54">
        <f t="shared" si="26"/>
        <v>47067.427000000003</v>
      </c>
    </row>
    <row r="710" spans="1:15" x14ac:dyDescent="0.2">
      <c r="A710" s="33">
        <v>43647</v>
      </c>
      <c r="B710" s="11">
        <v>162</v>
      </c>
      <c r="C710" s="11" t="s">
        <v>495</v>
      </c>
      <c r="D710" s="11" t="s">
        <v>74</v>
      </c>
      <c r="F710" s="11" t="s">
        <v>22</v>
      </c>
      <c r="G710" s="38">
        <v>5510052123</v>
      </c>
      <c r="H710" s="650">
        <v>43665</v>
      </c>
      <c r="I710" s="126">
        <v>26544</v>
      </c>
      <c r="J710" s="640">
        <f t="shared" si="25"/>
        <v>4777.92</v>
      </c>
      <c r="K710" s="54">
        <v>0</v>
      </c>
      <c r="L710" s="54">
        <v>2388.96</v>
      </c>
      <c r="M710" s="54">
        <v>2388.96</v>
      </c>
      <c r="N710" s="54"/>
      <c r="O710" s="54">
        <f t="shared" si="26"/>
        <v>31321.919999999998</v>
      </c>
    </row>
    <row r="711" spans="1:15" x14ac:dyDescent="0.2">
      <c r="A711" s="33">
        <v>43647</v>
      </c>
      <c r="B711" s="11">
        <v>163</v>
      </c>
      <c r="C711" s="11" t="s">
        <v>473</v>
      </c>
      <c r="D711" s="11" t="s">
        <v>41</v>
      </c>
      <c r="F711" s="11" t="s">
        <v>22</v>
      </c>
      <c r="G711" s="38" t="s">
        <v>826</v>
      </c>
      <c r="H711" s="650">
        <v>43665</v>
      </c>
      <c r="I711" s="126">
        <v>8015</v>
      </c>
      <c r="J711" s="640">
        <f t="shared" si="25"/>
        <v>2244.0000000000005</v>
      </c>
      <c r="K711" s="54">
        <v>0</v>
      </c>
      <c r="L711" s="54">
        <v>1122.0000000000002</v>
      </c>
      <c r="M711" s="54">
        <v>1122.0000000000002</v>
      </c>
      <c r="N711" s="54"/>
      <c r="O711" s="54">
        <f t="shared" si="26"/>
        <v>10259</v>
      </c>
    </row>
    <row r="712" spans="1:15" x14ac:dyDescent="0.2">
      <c r="A712" s="33">
        <v>43647</v>
      </c>
      <c r="B712" s="11">
        <v>164</v>
      </c>
      <c r="C712" s="11" t="s">
        <v>471</v>
      </c>
      <c r="D712" s="11" t="s">
        <v>29</v>
      </c>
      <c r="F712" s="11" t="s">
        <v>22</v>
      </c>
      <c r="G712" s="38">
        <v>192003821</v>
      </c>
      <c r="H712" s="650">
        <v>43666</v>
      </c>
      <c r="I712" s="126">
        <v>17483.52</v>
      </c>
      <c r="J712" s="640">
        <f t="shared" si="25"/>
        <v>4895.3856000000005</v>
      </c>
      <c r="K712" s="54">
        <v>0</v>
      </c>
      <c r="L712" s="54">
        <v>2447.6928000000003</v>
      </c>
      <c r="M712" s="54">
        <v>2447.6928000000003</v>
      </c>
      <c r="N712" s="54"/>
      <c r="O712" s="54">
        <f t="shared" si="26"/>
        <v>22378.905600000002</v>
      </c>
    </row>
    <row r="713" spans="1:15" x14ac:dyDescent="0.2">
      <c r="A713" s="33">
        <v>43647</v>
      </c>
      <c r="B713" s="11">
        <v>165</v>
      </c>
      <c r="C713" s="11" t="s">
        <v>471</v>
      </c>
      <c r="D713" s="11" t="s">
        <v>29</v>
      </c>
      <c r="F713" s="11" t="s">
        <v>22</v>
      </c>
      <c r="G713" s="38">
        <v>192003822</v>
      </c>
      <c r="H713" s="650">
        <v>43666</v>
      </c>
      <c r="I713" s="126">
        <v>17483.52</v>
      </c>
      <c r="J713" s="640">
        <f t="shared" si="25"/>
        <v>4895.3856000000005</v>
      </c>
      <c r="K713" s="54">
        <v>0</v>
      </c>
      <c r="L713" s="54">
        <v>2447.6928000000003</v>
      </c>
      <c r="M713" s="54">
        <v>2447.6928000000003</v>
      </c>
      <c r="N713" s="54"/>
      <c r="O713" s="54">
        <f t="shared" si="26"/>
        <v>22378.905600000002</v>
      </c>
    </row>
    <row r="714" spans="1:15" x14ac:dyDescent="0.2">
      <c r="A714" s="33">
        <v>43647</v>
      </c>
      <c r="B714" s="11">
        <v>166</v>
      </c>
      <c r="C714" s="11" t="s">
        <v>554</v>
      </c>
      <c r="D714" s="11" t="s">
        <v>555</v>
      </c>
      <c r="F714" s="11" t="s">
        <v>22</v>
      </c>
      <c r="G714" s="38">
        <v>4731</v>
      </c>
      <c r="H714" s="650">
        <v>43666</v>
      </c>
      <c r="I714" s="126">
        <v>5560</v>
      </c>
      <c r="J714" s="640">
        <f t="shared" si="25"/>
        <v>1556.8</v>
      </c>
      <c r="K714" s="54">
        <v>0</v>
      </c>
      <c r="L714" s="54">
        <v>778.4</v>
      </c>
      <c r="M714" s="54">
        <v>778.4</v>
      </c>
      <c r="N714" s="54"/>
      <c r="O714" s="54">
        <f t="shared" si="26"/>
        <v>7116.8</v>
      </c>
    </row>
    <row r="715" spans="1:15" x14ac:dyDescent="0.2">
      <c r="A715" s="33">
        <v>43647</v>
      </c>
      <c r="B715" s="11">
        <v>167</v>
      </c>
      <c r="C715" s="11" t="s">
        <v>554</v>
      </c>
      <c r="D715" s="11" t="s">
        <v>555</v>
      </c>
      <c r="F715" s="11" t="s">
        <v>22</v>
      </c>
      <c r="G715" s="38">
        <v>4735</v>
      </c>
      <c r="H715" s="650">
        <v>43666</v>
      </c>
      <c r="I715" s="126">
        <v>2780</v>
      </c>
      <c r="J715" s="640">
        <f t="shared" si="25"/>
        <v>778.4</v>
      </c>
      <c r="K715" s="54">
        <v>0</v>
      </c>
      <c r="L715" s="54">
        <v>389.2</v>
      </c>
      <c r="M715" s="54">
        <v>389.2</v>
      </c>
      <c r="N715" s="54"/>
      <c r="O715" s="54">
        <f t="shared" si="26"/>
        <v>3558.4</v>
      </c>
    </row>
    <row r="716" spans="1:15" x14ac:dyDescent="0.2">
      <c r="A716" s="33">
        <v>43647</v>
      </c>
      <c r="B716" s="11">
        <v>168</v>
      </c>
      <c r="C716" s="11" t="s">
        <v>479</v>
      </c>
      <c r="D716" s="11" t="s">
        <v>480</v>
      </c>
      <c r="F716" s="11" t="s">
        <v>22</v>
      </c>
      <c r="G716" s="38">
        <v>1149</v>
      </c>
      <c r="H716" s="650">
        <v>43666</v>
      </c>
      <c r="I716" s="126">
        <v>3340.8</v>
      </c>
      <c r="J716" s="640">
        <f t="shared" si="25"/>
        <v>601.34</v>
      </c>
      <c r="K716" s="54">
        <v>0</v>
      </c>
      <c r="L716" s="54">
        <v>300.67</v>
      </c>
      <c r="M716" s="54">
        <v>300.67</v>
      </c>
      <c r="N716" s="54"/>
      <c r="O716" s="54">
        <f t="shared" si="26"/>
        <v>3942.1400000000003</v>
      </c>
    </row>
    <row r="717" spans="1:15" x14ac:dyDescent="0.2">
      <c r="A717" s="33">
        <v>43647</v>
      </c>
      <c r="B717" s="11">
        <v>169</v>
      </c>
      <c r="C717" s="11" t="s">
        <v>705</v>
      </c>
      <c r="D717" s="11" t="s">
        <v>706</v>
      </c>
      <c r="F717" s="11" t="s">
        <v>22</v>
      </c>
      <c r="G717" s="38" t="s">
        <v>827</v>
      </c>
      <c r="H717" s="650">
        <v>43666</v>
      </c>
      <c r="I717" s="126">
        <v>4300</v>
      </c>
      <c r="J717" s="640">
        <f t="shared" si="25"/>
        <v>1204</v>
      </c>
      <c r="K717" s="54">
        <v>0</v>
      </c>
      <c r="L717" s="54">
        <v>602</v>
      </c>
      <c r="M717" s="54">
        <v>602</v>
      </c>
      <c r="N717" s="54"/>
      <c r="O717" s="54">
        <f t="shared" si="26"/>
        <v>5504</v>
      </c>
    </row>
    <row r="718" spans="1:15" x14ac:dyDescent="0.2">
      <c r="A718" s="33">
        <v>43647</v>
      </c>
      <c r="B718" s="11">
        <v>170</v>
      </c>
      <c r="C718" s="11" t="s">
        <v>705</v>
      </c>
      <c r="D718" s="11" t="s">
        <v>706</v>
      </c>
      <c r="F718" s="11" t="s">
        <v>22</v>
      </c>
      <c r="G718" s="38" t="s">
        <v>828</v>
      </c>
      <c r="H718" s="650">
        <v>43666</v>
      </c>
      <c r="I718" s="126">
        <v>2150</v>
      </c>
      <c r="J718" s="640">
        <f t="shared" si="25"/>
        <v>602</v>
      </c>
      <c r="K718" s="54">
        <v>0</v>
      </c>
      <c r="L718" s="54">
        <v>301</v>
      </c>
      <c r="M718" s="54">
        <v>301</v>
      </c>
      <c r="N718" s="54"/>
      <c r="O718" s="54">
        <f t="shared" si="26"/>
        <v>2752</v>
      </c>
    </row>
    <row r="719" spans="1:15" x14ac:dyDescent="0.2">
      <c r="A719" s="33">
        <v>43647</v>
      </c>
      <c r="B719" s="11">
        <v>171</v>
      </c>
      <c r="C719" s="11" t="s">
        <v>554</v>
      </c>
      <c r="D719" s="11" t="s">
        <v>555</v>
      </c>
      <c r="F719" s="11" t="s">
        <v>22</v>
      </c>
      <c r="G719" s="38">
        <v>4762</v>
      </c>
      <c r="H719" s="650">
        <v>43666</v>
      </c>
      <c r="I719" s="126">
        <v>5563.4</v>
      </c>
      <c r="J719" s="640">
        <f t="shared" si="25"/>
        <v>1557.7519999999997</v>
      </c>
      <c r="K719" s="54">
        <v>0</v>
      </c>
      <c r="L719" s="54">
        <v>778.87599999999986</v>
      </c>
      <c r="M719" s="54">
        <v>778.87599999999986</v>
      </c>
      <c r="N719" s="54"/>
      <c r="O719" s="54">
        <f t="shared" si="26"/>
        <v>7121.1519999999991</v>
      </c>
    </row>
    <row r="720" spans="1:15" x14ac:dyDescent="0.2">
      <c r="A720" s="33">
        <v>43647</v>
      </c>
      <c r="B720" s="11">
        <v>172</v>
      </c>
      <c r="C720" s="11" t="s">
        <v>601</v>
      </c>
      <c r="D720" s="11" t="s">
        <v>602</v>
      </c>
      <c r="F720" s="11" t="s">
        <v>22</v>
      </c>
      <c r="G720" s="38">
        <v>3004</v>
      </c>
      <c r="H720" s="650">
        <v>43666</v>
      </c>
      <c r="I720" s="126">
        <v>57585.599999999999</v>
      </c>
      <c r="J720" s="640">
        <f t="shared" si="25"/>
        <v>16123.968000000001</v>
      </c>
      <c r="K720" s="54">
        <v>0</v>
      </c>
      <c r="L720" s="54">
        <v>8061.9840000000004</v>
      </c>
      <c r="M720" s="54">
        <v>8061.9840000000004</v>
      </c>
      <c r="N720" s="54"/>
      <c r="O720" s="54">
        <f t="shared" si="26"/>
        <v>73709.567999999999</v>
      </c>
    </row>
    <row r="721" spans="1:15" x14ac:dyDescent="0.2">
      <c r="A721" s="33">
        <v>43647</v>
      </c>
      <c r="B721" s="11">
        <v>173</v>
      </c>
      <c r="C721" s="11" t="s">
        <v>479</v>
      </c>
      <c r="D721" s="11" t="s">
        <v>480</v>
      </c>
      <c r="F721" s="11" t="s">
        <v>22</v>
      </c>
      <c r="G721" s="38">
        <v>1153</v>
      </c>
      <c r="H721" s="650">
        <v>43667</v>
      </c>
      <c r="I721" s="126">
        <v>3780</v>
      </c>
      <c r="J721" s="640">
        <f t="shared" si="25"/>
        <v>680.4</v>
      </c>
      <c r="K721" s="54">
        <v>0</v>
      </c>
      <c r="L721" s="54">
        <v>340.2</v>
      </c>
      <c r="M721" s="54">
        <v>340.2</v>
      </c>
      <c r="N721" s="54"/>
      <c r="O721" s="54">
        <f t="shared" si="26"/>
        <v>4460.3999999999996</v>
      </c>
    </row>
    <row r="722" spans="1:15" x14ac:dyDescent="0.2">
      <c r="A722" s="33">
        <v>43647</v>
      </c>
      <c r="B722" s="11">
        <v>174</v>
      </c>
      <c r="C722" s="11" t="s">
        <v>829</v>
      </c>
      <c r="D722" s="11" t="s">
        <v>830</v>
      </c>
      <c r="F722" s="11" t="s">
        <v>22</v>
      </c>
      <c r="G722" s="38">
        <v>472</v>
      </c>
      <c r="H722" s="650">
        <v>43667</v>
      </c>
      <c r="I722" s="126">
        <v>1185</v>
      </c>
      <c r="J722" s="640">
        <f t="shared" si="25"/>
        <v>213.29999999999998</v>
      </c>
      <c r="K722" s="54">
        <v>0</v>
      </c>
      <c r="L722" s="54">
        <v>106.64999999999999</v>
      </c>
      <c r="M722" s="54">
        <v>106.64999999999999</v>
      </c>
      <c r="N722" s="54"/>
      <c r="O722" s="54">
        <f t="shared" si="26"/>
        <v>1398.3</v>
      </c>
    </row>
    <row r="723" spans="1:15" x14ac:dyDescent="0.2">
      <c r="A723" s="33">
        <v>43647</v>
      </c>
      <c r="B723" s="11">
        <v>175</v>
      </c>
      <c r="C723" s="11" t="s">
        <v>554</v>
      </c>
      <c r="D723" s="11" t="s">
        <v>555</v>
      </c>
      <c r="F723" s="11" t="s">
        <v>22</v>
      </c>
      <c r="G723" s="38">
        <v>4812</v>
      </c>
      <c r="H723" s="650">
        <v>43668</v>
      </c>
      <c r="I723" s="126">
        <v>7473</v>
      </c>
      <c r="J723" s="640">
        <f t="shared" si="25"/>
        <v>2092.44</v>
      </c>
      <c r="K723" s="54">
        <v>0</v>
      </c>
      <c r="L723" s="54">
        <v>1046.22</v>
      </c>
      <c r="M723" s="54">
        <v>1046.22</v>
      </c>
      <c r="N723" s="54"/>
      <c r="O723" s="54">
        <f t="shared" si="26"/>
        <v>9565.44</v>
      </c>
    </row>
    <row r="724" spans="1:15" x14ac:dyDescent="0.2">
      <c r="A724" s="33">
        <v>43647</v>
      </c>
      <c r="B724" s="11">
        <v>176</v>
      </c>
      <c r="C724" s="11" t="s">
        <v>551</v>
      </c>
      <c r="D724" s="11" t="s">
        <v>552</v>
      </c>
      <c r="F724" s="11" t="s">
        <v>22</v>
      </c>
      <c r="G724" s="38" t="s">
        <v>831</v>
      </c>
      <c r="H724" s="650">
        <v>43668</v>
      </c>
      <c r="I724" s="126">
        <v>300</v>
      </c>
      <c r="J724" s="640">
        <f t="shared" si="25"/>
        <v>54</v>
      </c>
      <c r="K724" s="54">
        <v>0</v>
      </c>
      <c r="L724" s="54">
        <v>27</v>
      </c>
      <c r="M724" s="54">
        <v>27</v>
      </c>
      <c r="N724" s="54"/>
      <c r="O724" s="54">
        <f t="shared" si="26"/>
        <v>354</v>
      </c>
    </row>
    <row r="725" spans="1:15" x14ac:dyDescent="0.2">
      <c r="A725" s="33">
        <v>43647</v>
      </c>
      <c r="B725" s="11">
        <v>177</v>
      </c>
      <c r="C725" s="11" t="s">
        <v>666</v>
      </c>
      <c r="D725" s="11" t="s">
        <v>667</v>
      </c>
      <c r="F725" s="11" t="s">
        <v>22</v>
      </c>
      <c r="G725" s="38" t="s">
        <v>832</v>
      </c>
      <c r="H725" s="650">
        <v>43668</v>
      </c>
      <c r="I725" s="126">
        <v>78423.75</v>
      </c>
      <c r="J725" s="640">
        <f t="shared" si="25"/>
        <v>21958.649999999998</v>
      </c>
      <c r="K725" s="54">
        <v>0</v>
      </c>
      <c r="L725" s="54">
        <v>10979.324999999999</v>
      </c>
      <c r="M725" s="54">
        <v>10979.324999999999</v>
      </c>
      <c r="N725" s="54"/>
      <c r="O725" s="54">
        <f t="shared" si="26"/>
        <v>100382.39999999999</v>
      </c>
    </row>
    <row r="726" spans="1:15" x14ac:dyDescent="0.2">
      <c r="A726" s="33">
        <v>43647</v>
      </c>
      <c r="B726" s="11">
        <v>178</v>
      </c>
      <c r="C726" s="11" t="s">
        <v>471</v>
      </c>
      <c r="D726" s="11" t="s">
        <v>29</v>
      </c>
      <c r="F726" s="11" t="s">
        <v>22</v>
      </c>
      <c r="G726" s="38">
        <v>192003867</v>
      </c>
      <c r="H726" s="650">
        <v>43668</v>
      </c>
      <c r="I726" s="126">
        <v>17483.52</v>
      </c>
      <c r="J726" s="640">
        <f t="shared" si="25"/>
        <v>4895.3856000000005</v>
      </c>
      <c r="K726" s="54">
        <v>0</v>
      </c>
      <c r="L726" s="54">
        <v>2447.6928000000003</v>
      </c>
      <c r="M726" s="54">
        <v>2447.6928000000003</v>
      </c>
      <c r="N726" s="54"/>
      <c r="O726" s="54">
        <f t="shared" si="26"/>
        <v>22378.905600000002</v>
      </c>
    </row>
    <row r="727" spans="1:15" x14ac:dyDescent="0.2">
      <c r="A727" s="33">
        <v>43647</v>
      </c>
      <c r="B727" s="11">
        <v>179</v>
      </c>
      <c r="C727" s="11" t="s">
        <v>471</v>
      </c>
      <c r="D727" s="11" t="s">
        <v>29</v>
      </c>
      <c r="F727" s="11" t="s">
        <v>22</v>
      </c>
      <c r="G727" s="38">
        <v>192003879</v>
      </c>
      <c r="H727" s="650">
        <v>43668</v>
      </c>
      <c r="I727" s="126">
        <v>17483.52</v>
      </c>
      <c r="J727" s="640">
        <f t="shared" si="25"/>
        <v>4895.3856000000005</v>
      </c>
      <c r="K727" s="54">
        <v>0</v>
      </c>
      <c r="L727" s="54">
        <v>2447.6928000000003</v>
      </c>
      <c r="M727" s="54">
        <v>2447.6928000000003</v>
      </c>
      <c r="N727" s="54"/>
      <c r="O727" s="54">
        <f t="shared" si="26"/>
        <v>22378.905600000002</v>
      </c>
    </row>
    <row r="728" spans="1:15" x14ac:dyDescent="0.2">
      <c r="A728" s="33">
        <v>43647</v>
      </c>
      <c r="B728" s="11">
        <v>180</v>
      </c>
      <c r="C728" s="11" t="s">
        <v>473</v>
      </c>
      <c r="D728" s="11" t="s">
        <v>41</v>
      </c>
      <c r="F728" s="11" t="s">
        <v>22</v>
      </c>
      <c r="G728" s="38" t="s">
        <v>833</v>
      </c>
      <c r="H728" s="650">
        <v>43668</v>
      </c>
      <c r="I728" s="126">
        <v>6012.8</v>
      </c>
      <c r="J728" s="640">
        <f t="shared" si="25"/>
        <v>1684.0040000000001</v>
      </c>
      <c r="K728" s="54">
        <v>0</v>
      </c>
      <c r="L728" s="54">
        <v>842.00200000000007</v>
      </c>
      <c r="M728" s="54">
        <v>842.00200000000007</v>
      </c>
      <c r="N728" s="54"/>
      <c r="O728" s="54">
        <f t="shared" si="26"/>
        <v>7696.8040000000001</v>
      </c>
    </row>
    <row r="729" spans="1:15" x14ac:dyDescent="0.2">
      <c r="A729" s="33">
        <v>43647</v>
      </c>
      <c r="B729" s="11">
        <v>181</v>
      </c>
      <c r="C729" s="11" t="s">
        <v>666</v>
      </c>
      <c r="D729" s="11" t="s">
        <v>667</v>
      </c>
      <c r="F729" s="11" t="s">
        <v>22</v>
      </c>
      <c r="G729" s="38" t="s">
        <v>834</v>
      </c>
      <c r="H729" s="650">
        <v>43668</v>
      </c>
      <c r="I729" s="126">
        <v>32000</v>
      </c>
      <c r="J729" s="640">
        <f t="shared" si="25"/>
        <v>8960</v>
      </c>
      <c r="K729" s="54">
        <v>0</v>
      </c>
      <c r="L729" s="54">
        <v>4480</v>
      </c>
      <c r="M729" s="54">
        <v>4480</v>
      </c>
      <c r="N729" s="54"/>
      <c r="O729" s="54">
        <f t="shared" si="26"/>
        <v>40960</v>
      </c>
    </row>
    <row r="730" spans="1:15" x14ac:dyDescent="0.2">
      <c r="A730" s="33">
        <v>43647</v>
      </c>
      <c r="B730" s="11">
        <v>182</v>
      </c>
      <c r="C730" s="11" t="s">
        <v>551</v>
      </c>
      <c r="D730" s="11" t="s">
        <v>552</v>
      </c>
      <c r="F730" s="11" t="s">
        <v>22</v>
      </c>
      <c r="G730" s="38" t="s">
        <v>835</v>
      </c>
      <c r="H730" s="650">
        <v>43668</v>
      </c>
      <c r="I730" s="126">
        <v>1200</v>
      </c>
      <c r="J730" s="640">
        <f t="shared" si="25"/>
        <v>216</v>
      </c>
      <c r="K730" s="54">
        <v>0</v>
      </c>
      <c r="L730" s="54">
        <v>108</v>
      </c>
      <c r="M730" s="54">
        <v>108</v>
      </c>
      <c r="N730" s="54"/>
      <c r="O730" s="54">
        <f t="shared" si="26"/>
        <v>1416</v>
      </c>
    </row>
    <row r="731" spans="1:15" x14ac:dyDescent="0.2">
      <c r="A731" s="33">
        <v>43647</v>
      </c>
      <c r="B731" s="11">
        <v>183</v>
      </c>
      <c r="C731" s="11" t="s">
        <v>591</v>
      </c>
      <c r="D731" s="11" t="s">
        <v>592</v>
      </c>
      <c r="F731" s="11" t="s">
        <v>22</v>
      </c>
      <c r="G731" s="38" t="s">
        <v>836</v>
      </c>
      <c r="H731" s="650">
        <v>43668</v>
      </c>
      <c r="I731" s="126">
        <v>67500</v>
      </c>
      <c r="J731" s="640">
        <f t="shared" si="25"/>
        <v>12150</v>
      </c>
      <c r="K731" s="54">
        <v>0</v>
      </c>
      <c r="L731" s="54">
        <v>6075</v>
      </c>
      <c r="M731" s="54">
        <v>6075</v>
      </c>
      <c r="N731" s="54"/>
      <c r="O731" s="54">
        <f t="shared" si="26"/>
        <v>79650</v>
      </c>
    </row>
    <row r="732" spans="1:15" x14ac:dyDescent="0.2">
      <c r="A732" s="33">
        <v>43647</v>
      </c>
      <c r="B732" s="11">
        <v>184</v>
      </c>
      <c r="C732" s="11" t="s">
        <v>837</v>
      </c>
      <c r="D732" s="11" t="s">
        <v>838</v>
      </c>
      <c r="F732" s="11" t="s">
        <v>22</v>
      </c>
      <c r="G732" s="38">
        <v>20190299</v>
      </c>
      <c r="H732" s="650">
        <v>43669</v>
      </c>
      <c r="I732" s="126">
        <v>5900</v>
      </c>
      <c r="J732" s="640">
        <f t="shared" si="25"/>
        <v>1062</v>
      </c>
      <c r="K732" s="54">
        <v>0</v>
      </c>
      <c r="L732" s="54">
        <v>531</v>
      </c>
      <c r="M732" s="54">
        <v>531</v>
      </c>
      <c r="N732" s="54"/>
      <c r="O732" s="54">
        <f t="shared" si="26"/>
        <v>6962</v>
      </c>
    </row>
    <row r="733" spans="1:15" x14ac:dyDescent="0.2">
      <c r="A733" s="33">
        <v>43647</v>
      </c>
      <c r="B733" s="11">
        <v>185</v>
      </c>
      <c r="C733" s="11" t="s">
        <v>554</v>
      </c>
      <c r="D733" s="11" t="s">
        <v>555</v>
      </c>
      <c r="F733" s="11" t="s">
        <v>22</v>
      </c>
      <c r="G733" s="38">
        <v>4866</v>
      </c>
      <c r="H733" s="650">
        <v>43669</v>
      </c>
      <c r="I733" s="126">
        <v>5467</v>
      </c>
      <c r="J733" s="640">
        <f t="shared" si="25"/>
        <v>1530.76</v>
      </c>
      <c r="K733" s="54">
        <v>0</v>
      </c>
      <c r="L733" s="54">
        <v>765.38</v>
      </c>
      <c r="M733" s="54">
        <v>765.38</v>
      </c>
      <c r="N733" s="54"/>
      <c r="O733" s="54">
        <f t="shared" si="26"/>
        <v>6997.76</v>
      </c>
    </row>
    <row r="734" spans="1:15" x14ac:dyDescent="0.2">
      <c r="A734" s="33">
        <v>43647</v>
      </c>
      <c r="B734" s="11">
        <v>186</v>
      </c>
      <c r="C734" s="11" t="s">
        <v>554</v>
      </c>
      <c r="D734" s="11" t="s">
        <v>555</v>
      </c>
      <c r="F734" s="11" t="s">
        <v>22</v>
      </c>
      <c r="G734" s="38">
        <v>4919</v>
      </c>
      <c r="H734" s="650">
        <v>43669</v>
      </c>
      <c r="I734" s="126">
        <v>8562</v>
      </c>
      <c r="J734" s="640">
        <f t="shared" si="25"/>
        <v>2397.36</v>
      </c>
      <c r="K734" s="54">
        <v>0</v>
      </c>
      <c r="L734" s="54">
        <v>1198.68</v>
      </c>
      <c r="M734" s="54">
        <v>1198.68</v>
      </c>
      <c r="N734" s="54"/>
      <c r="O734" s="54">
        <f t="shared" si="26"/>
        <v>10959.36</v>
      </c>
    </row>
    <row r="735" spans="1:15" x14ac:dyDescent="0.2">
      <c r="A735" s="33">
        <v>43647</v>
      </c>
      <c r="B735" s="11">
        <v>187</v>
      </c>
      <c r="C735" s="11" t="s">
        <v>471</v>
      </c>
      <c r="D735" s="11" t="s">
        <v>29</v>
      </c>
      <c r="F735" s="11" t="s">
        <v>22</v>
      </c>
      <c r="G735" s="38">
        <v>192003935</v>
      </c>
      <c r="H735" s="650">
        <v>43669</v>
      </c>
      <c r="I735" s="126">
        <v>17483.52</v>
      </c>
      <c r="J735" s="640">
        <f t="shared" si="25"/>
        <v>4895.3856000000005</v>
      </c>
      <c r="K735" s="54">
        <v>0</v>
      </c>
      <c r="L735" s="54">
        <v>2447.6928000000003</v>
      </c>
      <c r="M735" s="54">
        <v>2447.6928000000003</v>
      </c>
      <c r="N735" s="54"/>
      <c r="O735" s="54">
        <f t="shared" si="26"/>
        <v>22378.905600000002</v>
      </c>
    </row>
    <row r="736" spans="1:15" x14ac:dyDescent="0.2">
      <c r="A736" s="33">
        <v>43647</v>
      </c>
      <c r="B736" s="11">
        <v>188</v>
      </c>
      <c r="C736" s="11" t="s">
        <v>473</v>
      </c>
      <c r="D736" s="11" t="s">
        <v>41</v>
      </c>
      <c r="F736" s="11" t="s">
        <v>22</v>
      </c>
      <c r="G736" s="38" t="s">
        <v>839</v>
      </c>
      <c r="H736" s="650">
        <v>43669</v>
      </c>
      <c r="I736" s="126">
        <v>6412</v>
      </c>
      <c r="J736" s="640">
        <f t="shared" si="25"/>
        <v>1796.0000000000002</v>
      </c>
      <c r="K736" s="54">
        <v>0</v>
      </c>
      <c r="L736" s="54">
        <v>898.00000000000011</v>
      </c>
      <c r="M736" s="54">
        <v>898.00000000000011</v>
      </c>
      <c r="N736" s="54"/>
      <c r="O736" s="54">
        <f t="shared" si="26"/>
        <v>8208</v>
      </c>
    </row>
    <row r="737" spans="1:15" x14ac:dyDescent="0.2">
      <c r="A737" s="33">
        <v>43647</v>
      </c>
      <c r="B737" s="11">
        <v>189</v>
      </c>
      <c r="C737" s="11" t="s">
        <v>473</v>
      </c>
      <c r="D737" s="11" t="s">
        <v>41</v>
      </c>
      <c r="F737" s="11" t="s">
        <v>22</v>
      </c>
      <c r="G737" s="38" t="s">
        <v>840</v>
      </c>
      <c r="H737" s="650">
        <v>43669</v>
      </c>
      <c r="I737" s="126">
        <v>5511.68</v>
      </c>
      <c r="J737" s="640">
        <f t="shared" si="25"/>
        <v>1543.9904000000001</v>
      </c>
      <c r="K737" s="54">
        <v>0</v>
      </c>
      <c r="L737" s="54">
        <v>771.99520000000007</v>
      </c>
      <c r="M737" s="54">
        <v>771.99520000000007</v>
      </c>
      <c r="N737" s="54"/>
      <c r="O737" s="54">
        <f t="shared" si="26"/>
        <v>7055.6704000000009</v>
      </c>
    </row>
    <row r="738" spans="1:15" x14ac:dyDescent="0.2">
      <c r="A738" s="33">
        <v>43647</v>
      </c>
      <c r="B738" s="11">
        <v>190</v>
      </c>
      <c r="C738" s="11" t="s">
        <v>495</v>
      </c>
      <c r="D738" s="11" t="s">
        <v>74</v>
      </c>
      <c r="F738" s="11" t="s">
        <v>22</v>
      </c>
      <c r="G738" s="38">
        <v>5510052433</v>
      </c>
      <c r="H738" s="650">
        <v>43669</v>
      </c>
      <c r="I738" s="126">
        <v>31852.799999999999</v>
      </c>
      <c r="J738" s="640">
        <f t="shared" si="25"/>
        <v>5733.5240000000013</v>
      </c>
      <c r="K738" s="54">
        <v>0</v>
      </c>
      <c r="L738" s="54">
        <v>2866.7620000000006</v>
      </c>
      <c r="M738" s="54">
        <v>2866.7620000000006</v>
      </c>
      <c r="N738" s="54"/>
      <c r="O738" s="54">
        <f t="shared" si="26"/>
        <v>37586.324000000001</v>
      </c>
    </row>
    <row r="739" spans="1:15" x14ac:dyDescent="0.2">
      <c r="A739" s="33">
        <v>43647</v>
      </c>
      <c r="B739" s="11">
        <v>191</v>
      </c>
      <c r="C739" s="11" t="s">
        <v>517</v>
      </c>
      <c r="D739" s="11" t="s">
        <v>256</v>
      </c>
      <c r="F739" s="11" t="s">
        <v>22</v>
      </c>
      <c r="G739" s="38">
        <v>19612307</v>
      </c>
      <c r="H739" s="650">
        <v>43666</v>
      </c>
      <c r="I739" s="126">
        <v>26097.119999999999</v>
      </c>
      <c r="J739" s="640">
        <f t="shared" si="25"/>
        <v>7307.1936000000005</v>
      </c>
      <c r="K739" s="54">
        <v>7307.1936000000005</v>
      </c>
      <c r="L739" s="54">
        <v>0</v>
      </c>
      <c r="M739" s="54">
        <v>0</v>
      </c>
      <c r="N739" s="54"/>
      <c r="O739" s="54">
        <f t="shared" si="26"/>
        <v>33404.313600000001</v>
      </c>
    </row>
    <row r="740" spans="1:15" x14ac:dyDescent="0.2">
      <c r="A740" s="33">
        <v>43647</v>
      </c>
      <c r="B740" s="11">
        <v>192</v>
      </c>
      <c r="C740" s="11" t="s">
        <v>471</v>
      </c>
      <c r="D740" s="11" t="s">
        <v>29</v>
      </c>
      <c r="F740" s="11" t="s">
        <v>22</v>
      </c>
      <c r="G740" s="38">
        <v>192003936</v>
      </c>
      <c r="H740" s="650">
        <v>43669</v>
      </c>
      <c r="I740" s="126">
        <v>17483.52</v>
      </c>
      <c r="J740" s="640">
        <f t="shared" si="25"/>
        <v>4895.3856000000005</v>
      </c>
      <c r="K740" s="54">
        <v>0</v>
      </c>
      <c r="L740" s="54">
        <v>2447.6928000000003</v>
      </c>
      <c r="M740" s="54">
        <v>2447.6928000000003</v>
      </c>
      <c r="N740" s="54"/>
      <c r="O740" s="54">
        <f t="shared" si="26"/>
        <v>22378.905600000002</v>
      </c>
    </row>
    <row r="741" spans="1:15" x14ac:dyDescent="0.2">
      <c r="A741" s="33">
        <v>43647</v>
      </c>
      <c r="B741" s="11">
        <v>193</v>
      </c>
      <c r="C741" s="11" t="s">
        <v>471</v>
      </c>
      <c r="D741" s="11" t="s">
        <v>29</v>
      </c>
      <c r="F741" s="11" t="s">
        <v>22</v>
      </c>
      <c r="G741" s="38">
        <v>192003945</v>
      </c>
      <c r="H741" s="650">
        <v>43670</v>
      </c>
      <c r="I741" s="126">
        <v>17483.52</v>
      </c>
      <c r="J741" s="640">
        <f t="shared" si="25"/>
        <v>4895.3856000000005</v>
      </c>
      <c r="K741" s="54">
        <v>0</v>
      </c>
      <c r="L741" s="54">
        <v>2447.6928000000003</v>
      </c>
      <c r="M741" s="54">
        <v>2447.6928000000003</v>
      </c>
      <c r="N741" s="54"/>
      <c r="O741" s="54">
        <f t="shared" si="26"/>
        <v>22378.905600000002</v>
      </c>
    </row>
    <row r="742" spans="1:15" x14ac:dyDescent="0.2">
      <c r="A742" s="33">
        <v>43647</v>
      </c>
      <c r="B742" s="11">
        <v>194</v>
      </c>
      <c r="C742" s="11" t="s">
        <v>479</v>
      </c>
      <c r="D742" s="11" t="s">
        <v>480</v>
      </c>
      <c r="F742" s="11" t="s">
        <v>22</v>
      </c>
      <c r="G742" s="38">
        <v>1163</v>
      </c>
      <c r="H742" s="650">
        <v>43670</v>
      </c>
      <c r="I742" s="126">
        <v>1360.8</v>
      </c>
      <c r="J742" s="640">
        <f t="shared" si="25"/>
        <v>244.94399999999999</v>
      </c>
      <c r="K742" s="54">
        <v>0</v>
      </c>
      <c r="L742" s="54">
        <v>122.47199999999999</v>
      </c>
      <c r="M742" s="54">
        <v>122.47199999999999</v>
      </c>
      <c r="N742" s="54"/>
      <c r="O742" s="54">
        <f t="shared" si="26"/>
        <v>1605.7439999999999</v>
      </c>
    </row>
    <row r="743" spans="1:15" x14ac:dyDescent="0.2">
      <c r="A743" s="33">
        <v>43647</v>
      </c>
      <c r="B743" s="11">
        <v>195</v>
      </c>
      <c r="C743" s="11" t="s">
        <v>489</v>
      </c>
      <c r="D743" s="11" t="s">
        <v>490</v>
      </c>
      <c r="F743" s="11" t="s">
        <v>22</v>
      </c>
      <c r="G743" s="38">
        <v>7887986510</v>
      </c>
      <c r="H743" s="650">
        <v>43670</v>
      </c>
      <c r="I743" s="126">
        <v>7650</v>
      </c>
      <c r="J743" s="640">
        <f t="shared" si="25"/>
        <v>1377</v>
      </c>
      <c r="K743" s="54">
        <v>0</v>
      </c>
      <c r="L743" s="54">
        <v>688.5</v>
      </c>
      <c r="M743" s="54">
        <v>688.5</v>
      </c>
      <c r="N743" s="54"/>
      <c r="O743" s="54">
        <f t="shared" si="26"/>
        <v>9027</v>
      </c>
    </row>
    <row r="744" spans="1:15" x14ac:dyDescent="0.2">
      <c r="A744" s="33">
        <v>43647</v>
      </c>
      <c r="B744" s="11">
        <v>196</v>
      </c>
      <c r="C744" s="11" t="s">
        <v>489</v>
      </c>
      <c r="D744" s="11" t="s">
        <v>490</v>
      </c>
      <c r="F744" s="11" t="s">
        <v>22</v>
      </c>
      <c r="G744" s="38">
        <v>7887986512</v>
      </c>
      <c r="H744" s="650">
        <v>43670</v>
      </c>
      <c r="I744" s="126">
        <v>30828</v>
      </c>
      <c r="J744" s="640">
        <f t="shared" si="25"/>
        <v>5549.04</v>
      </c>
      <c r="K744" s="54">
        <v>0</v>
      </c>
      <c r="L744" s="54">
        <v>2774.52</v>
      </c>
      <c r="M744" s="54">
        <v>2774.52</v>
      </c>
      <c r="N744" s="54"/>
      <c r="O744" s="54">
        <f t="shared" si="26"/>
        <v>36377.040000000001</v>
      </c>
    </row>
    <row r="745" spans="1:15" x14ac:dyDescent="0.2">
      <c r="A745" s="33">
        <v>43647</v>
      </c>
      <c r="B745" s="11">
        <v>197</v>
      </c>
      <c r="C745" s="11" t="s">
        <v>489</v>
      </c>
      <c r="D745" s="11" t="s">
        <v>490</v>
      </c>
      <c r="F745" s="11" t="s">
        <v>22</v>
      </c>
      <c r="G745" s="38">
        <v>7887986513</v>
      </c>
      <c r="H745" s="650">
        <v>43670</v>
      </c>
      <c r="I745" s="126">
        <v>41137</v>
      </c>
      <c r="J745" s="640">
        <f t="shared" si="25"/>
        <v>7404.66</v>
      </c>
      <c r="K745" s="54">
        <v>0</v>
      </c>
      <c r="L745" s="54">
        <v>3702.33</v>
      </c>
      <c r="M745" s="54">
        <v>3702.33</v>
      </c>
      <c r="N745" s="54"/>
      <c r="O745" s="54">
        <f t="shared" si="26"/>
        <v>48541.66</v>
      </c>
    </row>
    <row r="746" spans="1:15" x14ac:dyDescent="0.2">
      <c r="A746" s="33">
        <v>43647</v>
      </c>
      <c r="B746" s="11">
        <v>198</v>
      </c>
      <c r="C746" s="11" t="s">
        <v>489</v>
      </c>
      <c r="D746" s="11" t="s">
        <v>490</v>
      </c>
      <c r="F746" s="11" t="s">
        <v>22</v>
      </c>
      <c r="G746" s="38">
        <v>7887986552</v>
      </c>
      <c r="H746" s="650">
        <v>43670</v>
      </c>
      <c r="I746" s="126">
        <v>12500</v>
      </c>
      <c r="J746" s="640">
        <f t="shared" si="25"/>
        <v>2250</v>
      </c>
      <c r="K746" s="54">
        <v>0</v>
      </c>
      <c r="L746" s="54">
        <v>1125</v>
      </c>
      <c r="M746" s="54">
        <v>1125</v>
      </c>
      <c r="N746" s="54"/>
      <c r="O746" s="54">
        <f t="shared" si="26"/>
        <v>14750</v>
      </c>
    </row>
    <row r="747" spans="1:15" x14ac:dyDescent="0.2">
      <c r="A747" s="33">
        <v>43647</v>
      </c>
      <c r="B747" s="11">
        <v>199</v>
      </c>
      <c r="C747" s="11" t="s">
        <v>473</v>
      </c>
      <c r="D747" s="11" t="s">
        <v>41</v>
      </c>
      <c r="F747" s="11" t="s">
        <v>22</v>
      </c>
      <c r="G747" s="38" t="s">
        <v>841</v>
      </c>
      <c r="H747" s="650">
        <v>43670</v>
      </c>
      <c r="I747" s="126">
        <v>8015</v>
      </c>
      <c r="J747" s="640">
        <f t="shared" si="25"/>
        <v>2244.0000000000005</v>
      </c>
      <c r="K747" s="54">
        <v>0</v>
      </c>
      <c r="L747" s="54">
        <v>1122.0000000000002</v>
      </c>
      <c r="M747" s="54">
        <v>1122.0000000000002</v>
      </c>
      <c r="N747" s="54"/>
      <c r="O747" s="54">
        <f t="shared" si="26"/>
        <v>10259</v>
      </c>
    </row>
    <row r="748" spans="1:15" x14ac:dyDescent="0.2">
      <c r="A748" s="33">
        <v>43647</v>
      </c>
      <c r="B748" s="11">
        <v>200</v>
      </c>
      <c r="C748" s="11" t="s">
        <v>473</v>
      </c>
      <c r="D748" s="11" t="s">
        <v>41</v>
      </c>
      <c r="F748" s="11" t="s">
        <v>22</v>
      </c>
      <c r="G748" s="38" t="s">
        <v>842</v>
      </c>
      <c r="H748" s="650">
        <v>43670</v>
      </c>
      <c r="I748" s="126">
        <v>4208.96</v>
      </c>
      <c r="J748" s="640">
        <f t="shared" si="25"/>
        <v>1178.0087999999998</v>
      </c>
      <c r="K748" s="54">
        <v>0</v>
      </c>
      <c r="L748" s="54">
        <v>589.00439999999992</v>
      </c>
      <c r="M748" s="54">
        <v>589.00439999999992</v>
      </c>
      <c r="N748" s="54"/>
      <c r="O748" s="54">
        <f t="shared" si="26"/>
        <v>5386.9687999999996</v>
      </c>
    </row>
    <row r="749" spans="1:15" x14ac:dyDescent="0.2">
      <c r="A749" s="33">
        <v>43647</v>
      </c>
      <c r="B749" s="11">
        <v>201</v>
      </c>
      <c r="C749" s="11" t="s">
        <v>741</v>
      </c>
      <c r="D749" s="11" t="s">
        <v>225</v>
      </c>
      <c r="F749" s="11" t="s">
        <v>22</v>
      </c>
      <c r="G749" s="38">
        <v>2240094439</v>
      </c>
      <c r="H749" s="650">
        <v>43670</v>
      </c>
      <c r="I749" s="126">
        <v>4514.3999999999996</v>
      </c>
      <c r="J749" s="640">
        <f t="shared" si="25"/>
        <v>1264.0319999999999</v>
      </c>
      <c r="K749" s="54">
        <v>0</v>
      </c>
      <c r="L749" s="54">
        <v>632.01599999999996</v>
      </c>
      <c r="M749" s="54">
        <v>632.01599999999996</v>
      </c>
      <c r="N749" s="54"/>
      <c r="O749" s="54">
        <f t="shared" si="26"/>
        <v>5778.4319999999998</v>
      </c>
    </row>
    <row r="750" spans="1:15" x14ac:dyDescent="0.2">
      <c r="A750" s="33">
        <v>43647</v>
      </c>
      <c r="B750" s="11">
        <v>202</v>
      </c>
      <c r="C750" s="11" t="s">
        <v>741</v>
      </c>
      <c r="D750" s="11" t="s">
        <v>225</v>
      </c>
      <c r="F750" s="11" t="s">
        <v>22</v>
      </c>
      <c r="G750" s="38">
        <v>2240094440</v>
      </c>
      <c r="H750" s="650">
        <v>43670</v>
      </c>
      <c r="I750" s="126">
        <v>47611.8</v>
      </c>
      <c r="J750" s="640">
        <f t="shared" si="25"/>
        <v>13331.324000000002</v>
      </c>
      <c r="K750" s="54">
        <v>0</v>
      </c>
      <c r="L750" s="54">
        <v>6665.6620000000012</v>
      </c>
      <c r="M750" s="54">
        <v>6665.6620000000012</v>
      </c>
      <c r="N750" s="54"/>
      <c r="O750" s="54">
        <f t="shared" si="26"/>
        <v>60943.124000000003</v>
      </c>
    </row>
    <row r="751" spans="1:15" x14ac:dyDescent="0.2">
      <c r="A751" s="33">
        <v>43647</v>
      </c>
      <c r="B751" s="11">
        <v>203</v>
      </c>
      <c r="C751" s="11" t="s">
        <v>554</v>
      </c>
      <c r="D751" s="11" t="s">
        <v>555</v>
      </c>
      <c r="F751" s="11" t="s">
        <v>22</v>
      </c>
      <c r="G751" s="38">
        <v>4961</v>
      </c>
      <c r="H751" s="650">
        <v>43670</v>
      </c>
      <c r="I751" s="126">
        <v>7217.5</v>
      </c>
      <c r="J751" s="640">
        <f t="shared" si="25"/>
        <v>2020.8999999999999</v>
      </c>
      <c r="K751" s="54">
        <v>0</v>
      </c>
      <c r="L751" s="54">
        <v>1010.4499999999999</v>
      </c>
      <c r="M751" s="54">
        <v>1010.4499999999999</v>
      </c>
      <c r="N751" s="54"/>
      <c r="O751" s="54">
        <f t="shared" si="26"/>
        <v>9238.4</v>
      </c>
    </row>
    <row r="752" spans="1:15" x14ac:dyDescent="0.2">
      <c r="A752" s="33">
        <v>43647</v>
      </c>
      <c r="B752" s="11">
        <v>204</v>
      </c>
      <c r="C752" s="11" t="s">
        <v>554</v>
      </c>
      <c r="D752" s="11" t="s">
        <v>555</v>
      </c>
      <c r="F752" s="11" t="s">
        <v>22</v>
      </c>
      <c r="G752" s="38">
        <v>4979</v>
      </c>
      <c r="H752" s="650">
        <v>43671</v>
      </c>
      <c r="I752" s="126">
        <v>7488</v>
      </c>
      <c r="J752" s="640">
        <f t="shared" si="25"/>
        <v>2096.64</v>
      </c>
      <c r="K752" s="54">
        <v>0</v>
      </c>
      <c r="L752" s="54">
        <v>1048.32</v>
      </c>
      <c r="M752" s="54">
        <v>1048.32</v>
      </c>
      <c r="N752" s="54"/>
      <c r="O752" s="54">
        <f t="shared" si="26"/>
        <v>9584.64</v>
      </c>
    </row>
    <row r="753" spans="1:15" x14ac:dyDescent="0.2">
      <c r="A753" s="33">
        <v>43647</v>
      </c>
      <c r="B753" s="11">
        <v>205</v>
      </c>
      <c r="C753" s="11" t="s">
        <v>479</v>
      </c>
      <c r="D753" s="11" t="s">
        <v>480</v>
      </c>
      <c r="F753" s="11" t="s">
        <v>22</v>
      </c>
      <c r="G753" s="38">
        <v>1165</v>
      </c>
      <c r="H753" s="650">
        <v>43671</v>
      </c>
      <c r="I753" s="126">
        <v>1358.1</v>
      </c>
      <c r="J753" s="640">
        <f t="shared" si="25"/>
        <v>244.458</v>
      </c>
      <c r="K753" s="54">
        <v>0</v>
      </c>
      <c r="L753" s="54">
        <v>122.229</v>
      </c>
      <c r="M753" s="54">
        <v>122.229</v>
      </c>
      <c r="N753" s="54"/>
      <c r="O753" s="54">
        <f t="shared" si="26"/>
        <v>1602.558</v>
      </c>
    </row>
    <row r="754" spans="1:15" x14ac:dyDescent="0.2">
      <c r="A754" s="33">
        <v>43647</v>
      </c>
      <c r="B754" s="11">
        <v>206</v>
      </c>
      <c r="C754" s="11" t="s">
        <v>489</v>
      </c>
      <c r="D754" s="11" t="s">
        <v>490</v>
      </c>
      <c r="F754" s="11" t="s">
        <v>22</v>
      </c>
      <c r="G754" s="38">
        <v>7887986596</v>
      </c>
      <c r="H754" s="650">
        <v>43671</v>
      </c>
      <c r="I754" s="126">
        <v>9000</v>
      </c>
      <c r="J754" s="640">
        <f t="shared" si="25"/>
        <v>1620</v>
      </c>
      <c r="K754" s="54">
        <v>0</v>
      </c>
      <c r="L754" s="54">
        <v>810</v>
      </c>
      <c r="M754" s="54">
        <v>810</v>
      </c>
      <c r="N754" s="54"/>
      <c r="O754" s="54">
        <f t="shared" si="26"/>
        <v>10620</v>
      </c>
    </row>
    <row r="755" spans="1:15" x14ac:dyDescent="0.2">
      <c r="A755" s="33">
        <v>43647</v>
      </c>
      <c r="B755" s="11">
        <v>207</v>
      </c>
      <c r="C755" s="11" t="s">
        <v>471</v>
      </c>
      <c r="D755" s="11" t="s">
        <v>29</v>
      </c>
      <c r="F755" s="11" t="s">
        <v>22</v>
      </c>
      <c r="G755" s="38">
        <v>192003998</v>
      </c>
      <c r="H755" s="650">
        <v>43672</v>
      </c>
      <c r="I755" s="126">
        <v>14569.6</v>
      </c>
      <c r="J755" s="640">
        <f t="shared" si="25"/>
        <v>4079.4879999999998</v>
      </c>
      <c r="K755" s="54">
        <v>0</v>
      </c>
      <c r="L755" s="54">
        <v>2039.7439999999999</v>
      </c>
      <c r="M755" s="54">
        <v>2039.7439999999999</v>
      </c>
      <c r="N755" s="54"/>
      <c r="O755" s="54">
        <f t="shared" si="26"/>
        <v>18649.088</v>
      </c>
    </row>
    <row r="756" spans="1:15" x14ac:dyDescent="0.2">
      <c r="A756" s="33">
        <v>43647</v>
      </c>
      <c r="B756" s="11">
        <v>208</v>
      </c>
      <c r="C756" s="11" t="s">
        <v>471</v>
      </c>
      <c r="D756" s="11" t="s">
        <v>29</v>
      </c>
      <c r="F756" s="11" t="s">
        <v>22</v>
      </c>
      <c r="G756" s="38">
        <v>192004008</v>
      </c>
      <c r="H756" s="650">
        <v>43672</v>
      </c>
      <c r="I756" s="126">
        <v>17483.52</v>
      </c>
      <c r="J756" s="640">
        <f t="shared" si="25"/>
        <v>4895.3856000000005</v>
      </c>
      <c r="K756" s="54">
        <v>0</v>
      </c>
      <c r="L756" s="54">
        <v>2447.6928000000003</v>
      </c>
      <c r="M756" s="54">
        <v>2447.6928000000003</v>
      </c>
      <c r="N756" s="54"/>
      <c r="O756" s="54">
        <f t="shared" si="26"/>
        <v>22378.905600000002</v>
      </c>
    </row>
    <row r="757" spans="1:15" x14ac:dyDescent="0.2">
      <c r="A757" s="33">
        <v>43647</v>
      </c>
      <c r="B757" s="11">
        <v>209</v>
      </c>
      <c r="C757" s="11" t="s">
        <v>471</v>
      </c>
      <c r="D757" s="11" t="s">
        <v>29</v>
      </c>
      <c r="F757" s="11" t="s">
        <v>22</v>
      </c>
      <c r="G757" s="38">
        <v>192004011</v>
      </c>
      <c r="H757" s="650">
        <v>43672</v>
      </c>
      <c r="I757" s="126">
        <v>17483.52</v>
      </c>
      <c r="J757" s="640">
        <f t="shared" si="25"/>
        <v>4895.3856000000005</v>
      </c>
      <c r="K757" s="54">
        <v>0</v>
      </c>
      <c r="L757" s="54">
        <v>2447.6928000000003</v>
      </c>
      <c r="M757" s="54">
        <v>2447.6928000000003</v>
      </c>
      <c r="N757" s="54"/>
      <c r="O757" s="54">
        <f t="shared" si="26"/>
        <v>22378.905600000002</v>
      </c>
    </row>
    <row r="758" spans="1:15" x14ac:dyDescent="0.2">
      <c r="A758" s="33">
        <v>43647</v>
      </c>
      <c r="B758" s="11">
        <v>210</v>
      </c>
      <c r="C758" s="11" t="s">
        <v>506</v>
      </c>
      <c r="D758" s="11" t="s">
        <v>507</v>
      </c>
      <c r="F758" s="11" t="s">
        <v>22</v>
      </c>
      <c r="G758" s="38" t="s">
        <v>843</v>
      </c>
      <c r="H758" s="650">
        <v>43671</v>
      </c>
      <c r="I758" s="126">
        <v>18480</v>
      </c>
      <c r="J758" s="640">
        <f t="shared" si="25"/>
        <v>3326.4</v>
      </c>
      <c r="K758" s="54">
        <v>0</v>
      </c>
      <c r="L758" s="54">
        <v>1663.2</v>
      </c>
      <c r="M758" s="54">
        <v>1663.2</v>
      </c>
      <c r="N758" s="54"/>
      <c r="O758" s="54">
        <f t="shared" si="26"/>
        <v>21806.400000000001</v>
      </c>
    </row>
    <row r="759" spans="1:15" x14ac:dyDescent="0.2">
      <c r="A759" s="33">
        <v>43647</v>
      </c>
      <c r="B759" s="11">
        <v>211</v>
      </c>
      <c r="C759" s="11" t="s">
        <v>506</v>
      </c>
      <c r="D759" s="11" t="s">
        <v>507</v>
      </c>
      <c r="F759" s="11" t="s">
        <v>22</v>
      </c>
      <c r="G759" s="38" t="s">
        <v>844</v>
      </c>
      <c r="H759" s="650">
        <v>43671</v>
      </c>
      <c r="I759" s="126">
        <v>146664</v>
      </c>
      <c r="J759" s="640">
        <f t="shared" si="25"/>
        <v>26399.52</v>
      </c>
      <c r="K759" s="54">
        <v>0</v>
      </c>
      <c r="L759" s="54">
        <v>13199.76</v>
      </c>
      <c r="M759" s="54">
        <v>13199.76</v>
      </c>
      <c r="N759" s="54"/>
      <c r="O759" s="54">
        <f t="shared" si="26"/>
        <v>173063.52</v>
      </c>
    </row>
    <row r="760" spans="1:15" x14ac:dyDescent="0.2">
      <c r="A760" s="33">
        <v>43647</v>
      </c>
      <c r="B760" s="11">
        <v>212</v>
      </c>
      <c r="C760" s="11" t="s">
        <v>601</v>
      </c>
      <c r="D760" s="11" t="s">
        <v>602</v>
      </c>
      <c r="F760" s="11" t="s">
        <v>22</v>
      </c>
      <c r="G760" s="38">
        <v>3142</v>
      </c>
      <c r="H760" s="650">
        <v>43672</v>
      </c>
      <c r="I760" s="126">
        <v>43421.4</v>
      </c>
      <c r="J760" s="640">
        <f t="shared" si="25"/>
        <v>12157.992</v>
      </c>
      <c r="K760" s="54">
        <v>0</v>
      </c>
      <c r="L760" s="54">
        <v>6078.9960000000001</v>
      </c>
      <c r="M760" s="54">
        <v>6078.9960000000001</v>
      </c>
      <c r="N760" s="54"/>
      <c r="O760" s="54">
        <f t="shared" si="26"/>
        <v>55579.392</v>
      </c>
    </row>
    <row r="761" spans="1:15" x14ac:dyDescent="0.2">
      <c r="A761" s="33">
        <v>43647</v>
      </c>
      <c r="B761" s="11">
        <v>213</v>
      </c>
      <c r="C761" s="11" t="s">
        <v>554</v>
      </c>
      <c r="D761" s="11" t="s">
        <v>555</v>
      </c>
      <c r="F761" s="11" t="s">
        <v>22</v>
      </c>
      <c r="G761" s="38">
        <v>5040</v>
      </c>
      <c r="H761" s="650">
        <v>43672</v>
      </c>
      <c r="I761" s="126">
        <v>14088</v>
      </c>
      <c r="J761" s="640">
        <f t="shared" si="25"/>
        <v>3944.64</v>
      </c>
      <c r="K761" s="54">
        <v>0</v>
      </c>
      <c r="L761" s="54">
        <v>1972.32</v>
      </c>
      <c r="M761" s="54">
        <v>1972.32</v>
      </c>
      <c r="N761" s="54"/>
      <c r="O761" s="54">
        <f t="shared" si="26"/>
        <v>18032.64</v>
      </c>
    </row>
    <row r="762" spans="1:15" x14ac:dyDescent="0.2">
      <c r="A762" s="33">
        <v>43647</v>
      </c>
      <c r="B762" s="11">
        <v>214</v>
      </c>
      <c r="C762" s="11" t="s">
        <v>554</v>
      </c>
      <c r="D762" s="11" t="s">
        <v>555</v>
      </c>
      <c r="F762" s="11" t="s">
        <v>22</v>
      </c>
      <c r="G762" s="38">
        <v>5070</v>
      </c>
      <c r="H762" s="650">
        <v>43672</v>
      </c>
      <c r="I762" s="126">
        <v>7953</v>
      </c>
      <c r="J762" s="640">
        <f t="shared" si="25"/>
        <v>2226.84</v>
      </c>
      <c r="K762" s="54">
        <v>0</v>
      </c>
      <c r="L762" s="54">
        <v>1113.42</v>
      </c>
      <c r="M762" s="54">
        <v>1113.42</v>
      </c>
      <c r="N762" s="54"/>
      <c r="O762" s="54">
        <f t="shared" si="26"/>
        <v>10179.84</v>
      </c>
    </row>
    <row r="763" spans="1:15" x14ac:dyDescent="0.2">
      <c r="A763" s="33">
        <v>43647</v>
      </c>
      <c r="B763" s="11">
        <v>215</v>
      </c>
      <c r="C763" s="11" t="s">
        <v>495</v>
      </c>
      <c r="D763" s="11" t="s">
        <v>74</v>
      </c>
      <c r="F763" s="11" t="s">
        <v>22</v>
      </c>
      <c r="G763" s="38">
        <v>5510052777</v>
      </c>
      <c r="H763" s="650">
        <v>43672</v>
      </c>
      <c r="I763" s="126">
        <v>39816</v>
      </c>
      <c r="J763" s="640">
        <f t="shared" si="25"/>
        <v>7166.88</v>
      </c>
      <c r="K763" s="54">
        <v>0</v>
      </c>
      <c r="L763" s="54">
        <v>3583.44</v>
      </c>
      <c r="M763" s="54">
        <v>3583.44</v>
      </c>
      <c r="N763" s="54"/>
      <c r="O763" s="54">
        <f t="shared" si="26"/>
        <v>46982.879999999997</v>
      </c>
    </row>
    <row r="764" spans="1:15" x14ac:dyDescent="0.2">
      <c r="A764" s="33">
        <v>43647</v>
      </c>
      <c r="B764" s="11">
        <v>216</v>
      </c>
      <c r="C764" s="11" t="s">
        <v>845</v>
      </c>
      <c r="D764" s="11" t="s">
        <v>846</v>
      </c>
      <c r="F764" s="11" t="s">
        <v>22</v>
      </c>
      <c r="G764" s="38" t="s">
        <v>847</v>
      </c>
      <c r="H764" s="650">
        <v>43673</v>
      </c>
      <c r="I764" s="126">
        <v>898.4</v>
      </c>
      <c r="J764" s="640">
        <f t="shared" si="25"/>
        <v>161.71199999999999</v>
      </c>
      <c r="K764" s="54">
        <v>0</v>
      </c>
      <c r="L764" s="54">
        <v>80.855999999999995</v>
      </c>
      <c r="M764" s="54">
        <v>80.855999999999995</v>
      </c>
      <c r="N764" s="54"/>
      <c r="O764" s="54">
        <f t="shared" si="26"/>
        <v>1060.1120000000001</v>
      </c>
    </row>
    <row r="765" spans="1:15" x14ac:dyDescent="0.2">
      <c r="A765" s="33">
        <v>43647</v>
      </c>
      <c r="B765" s="11">
        <v>217</v>
      </c>
      <c r="C765" s="11" t="s">
        <v>471</v>
      </c>
      <c r="D765" s="11" t="s">
        <v>29</v>
      </c>
      <c r="F765" s="11" t="s">
        <v>22</v>
      </c>
      <c r="G765" s="38">
        <v>192004047</v>
      </c>
      <c r="H765" s="650">
        <v>43673</v>
      </c>
      <c r="I765" s="126">
        <v>17483.52</v>
      </c>
      <c r="J765" s="640">
        <f t="shared" si="25"/>
        <v>4895.3856000000005</v>
      </c>
      <c r="K765" s="54">
        <v>0</v>
      </c>
      <c r="L765" s="54">
        <v>2447.6928000000003</v>
      </c>
      <c r="M765" s="54">
        <v>2447.6928000000003</v>
      </c>
      <c r="N765" s="54"/>
      <c r="O765" s="54">
        <f t="shared" si="26"/>
        <v>22378.905600000002</v>
      </c>
    </row>
    <row r="766" spans="1:15" x14ac:dyDescent="0.2">
      <c r="A766" s="33">
        <v>43647</v>
      </c>
      <c r="B766" s="11">
        <v>218</v>
      </c>
      <c r="C766" s="11" t="s">
        <v>471</v>
      </c>
      <c r="D766" s="11" t="s">
        <v>29</v>
      </c>
      <c r="F766" s="11" t="s">
        <v>22</v>
      </c>
      <c r="G766" s="38">
        <v>192004048</v>
      </c>
      <c r="H766" s="650">
        <v>43673</v>
      </c>
      <c r="I766" s="126">
        <v>17483.52</v>
      </c>
      <c r="J766" s="640">
        <f t="shared" si="25"/>
        <v>4895.3856000000005</v>
      </c>
      <c r="K766" s="54">
        <v>0</v>
      </c>
      <c r="L766" s="54">
        <v>2447.6928000000003</v>
      </c>
      <c r="M766" s="54">
        <v>2447.6928000000003</v>
      </c>
      <c r="N766" s="54"/>
      <c r="O766" s="54">
        <f t="shared" si="26"/>
        <v>22378.905600000002</v>
      </c>
    </row>
    <row r="767" spans="1:15" x14ac:dyDescent="0.2">
      <c r="A767" s="33">
        <v>43647</v>
      </c>
      <c r="B767" s="11">
        <v>219</v>
      </c>
      <c r="C767" s="11" t="s">
        <v>473</v>
      </c>
      <c r="D767" s="11" t="s">
        <v>41</v>
      </c>
      <c r="F767" s="11" t="s">
        <v>22</v>
      </c>
      <c r="G767" s="38" t="s">
        <v>848</v>
      </c>
      <c r="H767" s="650">
        <v>43673</v>
      </c>
      <c r="I767" s="126">
        <v>5129.6000000000004</v>
      </c>
      <c r="J767" s="640">
        <f t="shared" si="25"/>
        <v>1436.0080000000003</v>
      </c>
      <c r="K767" s="54">
        <v>0</v>
      </c>
      <c r="L767" s="54">
        <v>718.00400000000013</v>
      </c>
      <c r="M767" s="54">
        <v>718.00400000000013</v>
      </c>
      <c r="N767" s="54"/>
      <c r="O767" s="54">
        <f t="shared" si="26"/>
        <v>6565.6080000000002</v>
      </c>
    </row>
    <row r="768" spans="1:15" x14ac:dyDescent="0.2">
      <c r="A768" s="33">
        <v>43647</v>
      </c>
      <c r="B768" s="11">
        <v>220</v>
      </c>
      <c r="C768" s="11" t="s">
        <v>473</v>
      </c>
      <c r="D768" s="11" t="s">
        <v>41</v>
      </c>
      <c r="F768" s="11" t="s">
        <v>22</v>
      </c>
      <c r="G768" s="38" t="s">
        <v>849</v>
      </c>
      <c r="H768" s="650">
        <v>43673</v>
      </c>
      <c r="I768" s="126">
        <v>6012.8</v>
      </c>
      <c r="J768" s="640">
        <f t="shared" si="25"/>
        <v>1684.0040000000001</v>
      </c>
      <c r="K768" s="54">
        <v>0</v>
      </c>
      <c r="L768" s="54">
        <v>842.00200000000007</v>
      </c>
      <c r="M768" s="54">
        <v>842.00200000000007</v>
      </c>
      <c r="N768" s="54"/>
      <c r="O768" s="54">
        <f t="shared" si="26"/>
        <v>7696.8040000000001</v>
      </c>
    </row>
    <row r="769" spans="1:15" x14ac:dyDescent="0.2">
      <c r="A769" s="33">
        <v>43647</v>
      </c>
      <c r="B769" s="11">
        <v>221</v>
      </c>
      <c r="C769" s="11" t="s">
        <v>850</v>
      </c>
      <c r="D769" s="11" t="s">
        <v>851</v>
      </c>
      <c r="F769" s="11" t="s">
        <v>22</v>
      </c>
      <c r="G769" s="38" t="s">
        <v>852</v>
      </c>
      <c r="H769" s="650">
        <v>43674</v>
      </c>
      <c r="I769" s="126">
        <v>3780</v>
      </c>
      <c r="J769" s="640">
        <f t="shared" si="25"/>
        <v>681.24</v>
      </c>
      <c r="K769" s="54">
        <v>0</v>
      </c>
      <c r="L769" s="54">
        <v>340.62</v>
      </c>
      <c r="M769" s="54">
        <v>340.62</v>
      </c>
      <c r="N769" s="54"/>
      <c r="O769" s="54">
        <f t="shared" si="26"/>
        <v>4461.24</v>
      </c>
    </row>
    <row r="770" spans="1:15" x14ac:dyDescent="0.2">
      <c r="A770" s="33">
        <v>43647</v>
      </c>
      <c r="B770" s="11">
        <v>222</v>
      </c>
      <c r="C770" s="11" t="s">
        <v>471</v>
      </c>
      <c r="D770" s="11" t="s">
        <v>29</v>
      </c>
      <c r="F770" s="11" t="s">
        <v>22</v>
      </c>
      <c r="G770" s="38">
        <v>192004075</v>
      </c>
      <c r="H770" s="650">
        <v>43675</v>
      </c>
      <c r="I770" s="126">
        <v>17483.52</v>
      </c>
      <c r="J770" s="640">
        <f t="shared" si="25"/>
        <v>4895.3856000000005</v>
      </c>
      <c r="K770" s="54">
        <v>0</v>
      </c>
      <c r="L770" s="54">
        <v>2447.6928000000003</v>
      </c>
      <c r="M770" s="54">
        <v>2447.6928000000003</v>
      </c>
      <c r="N770" s="54"/>
      <c r="O770" s="54">
        <f t="shared" si="26"/>
        <v>22378.905600000002</v>
      </c>
    </row>
    <row r="771" spans="1:15" x14ac:dyDescent="0.2">
      <c r="A771" s="33">
        <v>43647</v>
      </c>
      <c r="B771" s="11">
        <v>223</v>
      </c>
      <c r="C771" s="11" t="s">
        <v>853</v>
      </c>
      <c r="D771" s="11" t="s">
        <v>854</v>
      </c>
      <c r="F771" s="11" t="s">
        <v>22</v>
      </c>
      <c r="G771" s="38">
        <v>1130</v>
      </c>
      <c r="H771" s="650">
        <v>43675</v>
      </c>
      <c r="I771" s="126">
        <v>8316.1</v>
      </c>
      <c r="J771" s="640">
        <f t="shared" si="25"/>
        <v>1496.8980000000001</v>
      </c>
      <c r="K771" s="54">
        <v>0</v>
      </c>
      <c r="L771" s="54">
        <v>748.44900000000007</v>
      </c>
      <c r="M771" s="54">
        <v>748.44900000000007</v>
      </c>
      <c r="N771" s="54"/>
      <c r="O771" s="54">
        <f t="shared" si="26"/>
        <v>9812.9979999999996</v>
      </c>
    </row>
    <row r="772" spans="1:15" x14ac:dyDescent="0.2">
      <c r="A772" s="33">
        <v>43647</v>
      </c>
      <c r="B772" s="11">
        <v>224</v>
      </c>
      <c r="C772" s="11" t="s">
        <v>479</v>
      </c>
      <c r="D772" s="11" t="s">
        <v>480</v>
      </c>
      <c r="F772" s="11" t="s">
        <v>22</v>
      </c>
      <c r="G772" s="38">
        <v>1157</v>
      </c>
      <c r="H772" s="650">
        <v>43674</v>
      </c>
      <c r="I772" s="126">
        <v>720.9</v>
      </c>
      <c r="J772" s="640">
        <f t="shared" ref="J772:J835" si="27">+K772+L772+M772+N772</f>
        <v>129.762</v>
      </c>
      <c r="K772" s="54">
        <v>0</v>
      </c>
      <c r="L772" s="54">
        <v>64.881</v>
      </c>
      <c r="M772" s="54">
        <v>64.881</v>
      </c>
      <c r="N772" s="54"/>
      <c r="O772" s="54">
        <f t="shared" ref="O772:O835" si="28">+I772+J772</f>
        <v>850.66200000000003</v>
      </c>
    </row>
    <row r="773" spans="1:15" x14ac:dyDescent="0.2">
      <c r="A773" s="33">
        <v>43647</v>
      </c>
      <c r="B773" s="11">
        <v>225</v>
      </c>
      <c r="C773" s="11" t="s">
        <v>554</v>
      </c>
      <c r="D773" s="11" t="s">
        <v>555</v>
      </c>
      <c r="F773" s="11" t="s">
        <v>22</v>
      </c>
      <c r="G773" s="38">
        <v>10033</v>
      </c>
      <c r="H773" s="650">
        <v>43675</v>
      </c>
      <c r="I773" s="126">
        <v>27491</v>
      </c>
      <c r="J773" s="640">
        <f t="shared" si="27"/>
        <v>7697.4800000000005</v>
      </c>
      <c r="K773" s="54">
        <v>0</v>
      </c>
      <c r="L773" s="54">
        <v>3848.7400000000002</v>
      </c>
      <c r="M773" s="54">
        <v>3848.7400000000002</v>
      </c>
      <c r="N773" s="54"/>
      <c r="O773" s="54">
        <f t="shared" si="28"/>
        <v>35188.480000000003</v>
      </c>
    </row>
    <row r="774" spans="1:15" x14ac:dyDescent="0.2">
      <c r="A774" s="33">
        <v>43647</v>
      </c>
      <c r="B774" s="11">
        <v>226</v>
      </c>
      <c r="C774" s="11" t="s">
        <v>471</v>
      </c>
      <c r="D774" s="11" t="s">
        <v>29</v>
      </c>
      <c r="F774" s="11" t="s">
        <v>22</v>
      </c>
      <c r="G774" s="38">
        <v>192004084</v>
      </c>
      <c r="H774" s="650">
        <v>43675</v>
      </c>
      <c r="I774" s="126">
        <v>17483.52</v>
      </c>
      <c r="J774" s="640">
        <f t="shared" si="27"/>
        <v>4895.3856000000005</v>
      </c>
      <c r="K774" s="54">
        <v>0</v>
      </c>
      <c r="L774" s="54">
        <v>2447.6928000000003</v>
      </c>
      <c r="M774" s="54">
        <v>2447.6928000000003</v>
      </c>
      <c r="N774" s="54"/>
      <c r="O774" s="54">
        <f t="shared" si="28"/>
        <v>22378.905600000002</v>
      </c>
    </row>
    <row r="775" spans="1:15" x14ac:dyDescent="0.2">
      <c r="A775" s="33">
        <v>43647</v>
      </c>
      <c r="B775" s="11">
        <v>227</v>
      </c>
      <c r="C775" s="11" t="s">
        <v>747</v>
      </c>
      <c r="D775" s="11" t="s">
        <v>748</v>
      </c>
      <c r="F775" s="11" t="s">
        <v>22</v>
      </c>
      <c r="G775" s="38" t="s">
        <v>855</v>
      </c>
      <c r="H775" s="650">
        <v>43675</v>
      </c>
      <c r="I775" s="126">
        <v>52750</v>
      </c>
      <c r="J775" s="640">
        <f t="shared" si="27"/>
        <v>9495</v>
      </c>
      <c r="K775" s="54">
        <v>0</v>
      </c>
      <c r="L775" s="54">
        <v>4747.5</v>
      </c>
      <c r="M775" s="54">
        <v>4747.5</v>
      </c>
      <c r="N775" s="54"/>
      <c r="O775" s="54">
        <f t="shared" si="28"/>
        <v>62245</v>
      </c>
    </row>
    <row r="776" spans="1:15" x14ac:dyDescent="0.2">
      <c r="A776" s="33">
        <v>43647</v>
      </c>
      <c r="B776" s="11">
        <v>228</v>
      </c>
      <c r="C776" s="11" t="s">
        <v>529</v>
      </c>
      <c r="D776" s="11" t="s">
        <v>530</v>
      </c>
      <c r="F776" s="11" t="s">
        <v>22</v>
      </c>
      <c r="G776" s="38" t="s">
        <v>856</v>
      </c>
      <c r="H776" s="650">
        <v>43675</v>
      </c>
      <c r="I776" s="126">
        <v>28000</v>
      </c>
      <c r="J776" s="640">
        <f t="shared" si="27"/>
        <v>5040</v>
      </c>
      <c r="K776" s="54">
        <v>0</v>
      </c>
      <c r="L776" s="54">
        <v>2520</v>
      </c>
      <c r="M776" s="54">
        <v>2520</v>
      </c>
      <c r="N776" s="54"/>
      <c r="O776" s="54">
        <f t="shared" si="28"/>
        <v>33040</v>
      </c>
    </row>
    <row r="777" spans="1:15" x14ac:dyDescent="0.2">
      <c r="A777" s="33"/>
      <c r="G777" s="38"/>
      <c r="H777" s="650"/>
      <c r="I777" s="126"/>
      <c r="J777" s="640"/>
      <c r="K777" s="54"/>
      <c r="L777" s="54"/>
      <c r="M777" s="54"/>
      <c r="N777" s="54"/>
      <c r="O777" s="54"/>
    </row>
    <row r="778" spans="1:15" x14ac:dyDescent="0.2">
      <c r="A778" s="33">
        <v>43647</v>
      </c>
      <c r="B778" s="11">
        <v>230</v>
      </c>
      <c r="C778" s="11" t="s">
        <v>591</v>
      </c>
      <c r="D778" s="11" t="s">
        <v>592</v>
      </c>
      <c r="F778" s="11" t="s">
        <v>22</v>
      </c>
      <c r="G778" s="38" t="s">
        <v>859</v>
      </c>
      <c r="H778" s="650">
        <v>43673</v>
      </c>
      <c r="I778" s="126">
        <v>11300</v>
      </c>
      <c r="J778" s="640">
        <f t="shared" si="27"/>
        <v>2034</v>
      </c>
      <c r="K778" s="54">
        <v>0</v>
      </c>
      <c r="L778" s="54">
        <v>1017</v>
      </c>
      <c r="M778" s="54">
        <v>1017</v>
      </c>
      <c r="N778" s="54"/>
      <c r="O778" s="54">
        <f t="shared" si="28"/>
        <v>13334</v>
      </c>
    </row>
    <row r="779" spans="1:15" x14ac:dyDescent="0.2">
      <c r="A779" s="33">
        <v>43647</v>
      </c>
      <c r="B779" s="11">
        <v>231</v>
      </c>
      <c r="C779" s="11" t="s">
        <v>556</v>
      </c>
      <c r="D779" s="11" t="s">
        <v>557</v>
      </c>
      <c r="F779" s="11" t="s">
        <v>22</v>
      </c>
      <c r="G779" s="38" t="s">
        <v>860</v>
      </c>
      <c r="H779" s="650">
        <v>43643</v>
      </c>
      <c r="I779" s="126">
        <v>82280</v>
      </c>
      <c r="J779" s="640">
        <f t="shared" si="27"/>
        <v>14810</v>
      </c>
      <c r="K779" s="54">
        <v>0</v>
      </c>
      <c r="L779" s="54">
        <v>7405</v>
      </c>
      <c r="M779" s="54">
        <v>7405</v>
      </c>
      <c r="N779" s="54"/>
      <c r="O779" s="54">
        <f t="shared" si="28"/>
        <v>97090</v>
      </c>
    </row>
    <row r="780" spans="1:15" x14ac:dyDescent="0.2">
      <c r="A780" s="33">
        <v>43647</v>
      </c>
      <c r="B780" s="11">
        <v>232</v>
      </c>
      <c r="C780" s="11" t="s">
        <v>554</v>
      </c>
      <c r="D780" s="11" t="s">
        <v>555</v>
      </c>
      <c r="F780" s="11" t="s">
        <v>22</v>
      </c>
      <c r="G780" s="38">
        <v>10074</v>
      </c>
      <c r="H780" s="650">
        <v>43676</v>
      </c>
      <c r="I780" s="126">
        <v>10335.5</v>
      </c>
      <c r="J780" s="640">
        <f t="shared" si="27"/>
        <v>2893.94</v>
      </c>
      <c r="K780" s="54">
        <v>0</v>
      </c>
      <c r="L780" s="54">
        <v>1446.97</v>
      </c>
      <c r="M780" s="54">
        <v>1446.97</v>
      </c>
      <c r="N780" s="54"/>
      <c r="O780" s="54">
        <f t="shared" si="28"/>
        <v>13229.44</v>
      </c>
    </row>
    <row r="781" spans="1:15" x14ac:dyDescent="0.2">
      <c r="A781" s="33">
        <v>43647</v>
      </c>
      <c r="B781" s="11">
        <v>233</v>
      </c>
      <c r="C781" s="11" t="s">
        <v>495</v>
      </c>
      <c r="D781" s="11" t="s">
        <v>74</v>
      </c>
      <c r="F781" s="11" t="s">
        <v>22</v>
      </c>
      <c r="G781" s="38">
        <v>5510053030</v>
      </c>
      <c r="H781" s="650">
        <v>43676</v>
      </c>
      <c r="I781" s="126">
        <v>10617.6</v>
      </c>
      <c r="J781" s="640">
        <f t="shared" si="27"/>
        <v>1911.1680000000001</v>
      </c>
      <c r="K781" s="54">
        <v>0</v>
      </c>
      <c r="L781" s="54">
        <v>955.58400000000006</v>
      </c>
      <c r="M781" s="54">
        <v>955.58400000000006</v>
      </c>
      <c r="N781" s="54"/>
      <c r="O781" s="54">
        <f t="shared" si="28"/>
        <v>12528.768</v>
      </c>
    </row>
    <row r="782" spans="1:15" x14ac:dyDescent="0.2">
      <c r="A782" s="33">
        <v>43647</v>
      </c>
      <c r="B782" s="11">
        <v>234</v>
      </c>
      <c r="C782" s="11" t="s">
        <v>471</v>
      </c>
      <c r="D782" s="11" t="s">
        <v>29</v>
      </c>
      <c r="F782" s="11" t="s">
        <v>22</v>
      </c>
      <c r="G782" s="38">
        <v>192004130</v>
      </c>
      <c r="H782" s="650">
        <v>43676</v>
      </c>
      <c r="I782" s="126">
        <v>17483.52</v>
      </c>
      <c r="J782" s="640">
        <f t="shared" si="27"/>
        <v>4895.3856000000005</v>
      </c>
      <c r="K782" s="54">
        <v>0</v>
      </c>
      <c r="L782" s="54">
        <v>2447.6928000000003</v>
      </c>
      <c r="M782" s="54">
        <v>2447.6928000000003</v>
      </c>
      <c r="N782" s="54"/>
      <c r="O782" s="54">
        <f t="shared" si="28"/>
        <v>22378.905600000002</v>
      </c>
    </row>
    <row r="783" spans="1:15" x14ac:dyDescent="0.2">
      <c r="A783" s="33">
        <v>43647</v>
      </c>
      <c r="B783" s="11">
        <v>235</v>
      </c>
      <c r="C783" s="11" t="s">
        <v>471</v>
      </c>
      <c r="D783" s="11" t="s">
        <v>29</v>
      </c>
      <c r="F783" s="11" t="s">
        <v>22</v>
      </c>
      <c r="G783" s="38">
        <v>192004133</v>
      </c>
      <c r="H783" s="650">
        <v>43676</v>
      </c>
      <c r="I783" s="126">
        <v>17483.52</v>
      </c>
      <c r="J783" s="640">
        <f t="shared" si="27"/>
        <v>4895.3856000000005</v>
      </c>
      <c r="K783" s="54">
        <v>0</v>
      </c>
      <c r="L783" s="54">
        <v>2447.6928000000003</v>
      </c>
      <c r="M783" s="54">
        <v>2447.6928000000003</v>
      </c>
      <c r="N783" s="54"/>
      <c r="O783" s="54">
        <f t="shared" si="28"/>
        <v>22378.905600000002</v>
      </c>
    </row>
    <row r="784" spans="1:15" x14ac:dyDescent="0.2">
      <c r="A784" s="33">
        <v>43647</v>
      </c>
      <c r="B784" s="11">
        <v>236</v>
      </c>
      <c r="C784" s="11" t="s">
        <v>471</v>
      </c>
      <c r="D784" s="11" t="s">
        <v>29</v>
      </c>
      <c r="F784" s="11" t="s">
        <v>22</v>
      </c>
      <c r="G784" s="38">
        <v>192004135</v>
      </c>
      <c r="H784" s="650">
        <v>43676</v>
      </c>
      <c r="I784" s="126">
        <v>10198.719999999999</v>
      </c>
      <c r="J784" s="640">
        <f t="shared" si="27"/>
        <v>2855.6415999999995</v>
      </c>
      <c r="K784" s="54">
        <v>0</v>
      </c>
      <c r="L784" s="54">
        <v>1427.8207999999997</v>
      </c>
      <c r="M784" s="54">
        <v>1427.8207999999997</v>
      </c>
      <c r="N784" s="54"/>
      <c r="O784" s="54">
        <f t="shared" si="28"/>
        <v>13054.361599999998</v>
      </c>
    </row>
    <row r="785" spans="1:15" x14ac:dyDescent="0.2">
      <c r="A785" s="33">
        <v>43647</v>
      </c>
      <c r="B785" s="11">
        <v>237</v>
      </c>
      <c r="C785" s="11" t="s">
        <v>554</v>
      </c>
      <c r="D785" s="11" t="s">
        <v>555</v>
      </c>
      <c r="F785" s="11" t="s">
        <v>22</v>
      </c>
      <c r="G785" s="38">
        <v>10102</v>
      </c>
      <c r="H785" s="650">
        <v>43676</v>
      </c>
      <c r="I785" s="126">
        <v>600.48</v>
      </c>
      <c r="J785" s="640">
        <f t="shared" si="27"/>
        <v>168.1344</v>
      </c>
      <c r="K785" s="54">
        <v>0</v>
      </c>
      <c r="L785" s="54">
        <v>84.0672</v>
      </c>
      <c r="M785" s="54">
        <v>84.0672</v>
      </c>
      <c r="N785" s="54"/>
      <c r="O785" s="54">
        <f t="shared" si="28"/>
        <v>768.61440000000005</v>
      </c>
    </row>
    <row r="786" spans="1:15" x14ac:dyDescent="0.2">
      <c r="A786" s="33">
        <v>43647</v>
      </c>
      <c r="B786" s="11">
        <v>238</v>
      </c>
      <c r="C786" s="11" t="s">
        <v>554</v>
      </c>
      <c r="D786" s="11" t="s">
        <v>555</v>
      </c>
      <c r="F786" s="11" t="s">
        <v>22</v>
      </c>
      <c r="G786" s="38">
        <v>10108</v>
      </c>
      <c r="H786" s="650">
        <v>43677</v>
      </c>
      <c r="I786" s="126">
        <v>6930</v>
      </c>
      <c r="J786" s="640">
        <f t="shared" si="27"/>
        <v>1940.3999999999999</v>
      </c>
      <c r="K786" s="54">
        <v>0</v>
      </c>
      <c r="L786" s="54">
        <v>970.19999999999993</v>
      </c>
      <c r="M786" s="54">
        <v>970.19999999999993</v>
      </c>
      <c r="N786" s="54"/>
      <c r="O786" s="54">
        <f t="shared" si="28"/>
        <v>8870.4</v>
      </c>
    </row>
    <row r="787" spans="1:15" x14ac:dyDescent="0.2">
      <c r="A787" s="33">
        <v>43647</v>
      </c>
      <c r="B787" s="11">
        <v>239</v>
      </c>
      <c r="C787" s="11" t="s">
        <v>495</v>
      </c>
      <c r="D787" s="11" t="s">
        <v>74</v>
      </c>
      <c r="F787" s="11" t="s">
        <v>22</v>
      </c>
      <c r="G787" s="38">
        <v>5510053236</v>
      </c>
      <c r="H787" s="650">
        <v>43677</v>
      </c>
      <c r="I787" s="126">
        <v>26544</v>
      </c>
      <c r="J787" s="640">
        <f t="shared" si="27"/>
        <v>4777.92</v>
      </c>
      <c r="K787" s="54">
        <v>0</v>
      </c>
      <c r="L787" s="54">
        <v>2388.96</v>
      </c>
      <c r="M787" s="54">
        <v>2388.96</v>
      </c>
      <c r="N787" s="54"/>
      <c r="O787" s="54">
        <f t="shared" si="28"/>
        <v>31321.919999999998</v>
      </c>
    </row>
    <row r="788" spans="1:15" x14ac:dyDescent="0.2">
      <c r="A788" s="33">
        <v>43647</v>
      </c>
      <c r="B788" s="11">
        <v>240</v>
      </c>
      <c r="C788" s="11" t="s">
        <v>514</v>
      </c>
      <c r="D788" s="11" t="s">
        <v>515</v>
      </c>
      <c r="F788" s="11" t="s">
        <v>22</v>
      </c>
      <c r="G788" s="38" t="s">
        <v>861</v>
      </c>
      <c r="H788" s="650">
        <v>43677</v>
      </c>
      <c r="I788" s="126">
        <v>15</v>
      </c>
      <c r="J788" s="640">
        <f t="shared" si="27"/>
        <v>2.6999999999999997</v>
      </c>
      <c r="K788" s="54">
        <v>0</v>
      </c>
      <c r="L788" s="54">
        <v>1.3499999999999999</v>
      </c>
      <c r="M788" s="54">
        <v>1.3499999999999999</v>
      </c>
      <c r="N788" s="54"/>
      <c r="O788" s="54">
        <f t="shared" si="28"/>
        <v>17.7</v>
      </c>
    </row>
    <row r="789" spans="1:15" x14ac:dyDescent="0.2">
      <c r="A789" s="33">
        <v>43647</v>
      </c>
      <c r="B789" s="11">
        <v>241</v>
      </c>
      <c r="C789" s="11" t="s">
        <v>514</v>
      </c>
      <c r="D789" s="11" t="s">
        <v>515</v>
      </c>
      <c r="F789" s="11" t="s">
        <v>22</v>
      </c>
      <c r="G789" s="38" t="s">
        <v>862</v>
      </c>
      <c r="H789" s="650">
        <v>43675</v>
      </c>
      <c r="I789" s="126">
        <v>2934.22</v>
      </c>
      <c r="J789" s="640">
        <f t="shared" si="27"/>
        <v>528.15959999999995</v>
      </c>
      <c r="K789" s="54">
        <v>0</v>
      </c>
      <c r="L789" s="54">
        <v>264.07979999999998</v>
      </c>
      <c r="M789" s="54">
        <v>264.07979999999998</v>
      </c>
      <c r="N789" s="54"/>
      <c r="O789" s="54">
        <f t="shared" si="28"/>
        <v>3462.3795999999998</v>
      </c>
    </row>
    <row r="790" spans="1:15" x14ac:dyDescent="0.2">
      <c r="A790" s="33">
        <v>43647</v>
      </c>
      <c r="B790" s="11">
        <v>242</v>
      </c>
      <c r="C790" s="11" t="s">
        <v>514</v>
      </c>
      <c r="D790" s="11" t="s">
        <v>515</v>
      </c>
      <c r="F790" s="11" t="s">
        <v>22</v>
      </c>
      <c r="G790" s="38" t="s">
        <v>863</v>
      </c>
      <c r="H790" s="650">
        <v>43675</v>
      </c>
      <c r="I790" s="126">
        <v>500</v>
      </c>
      <c r="J790" s="640">
        <f t="shared" si="27"/>
        <v>90</v>
      </c>
      <c r="K790" s="54">
        <v>0</v>
      </c>
      <c r="L790" s="54">
        <v>45</v>
      </c>
      <c r="M790" s="54">
        <v>45</v>
      </c>
      <c r="N790" s="54"/>
      <c r="O790" s="54">
        <f t="shared" si="28"/>
        <v>590</v>
      </c>
    </row>
    <row r="791" spans="1:15" x14ac:dyDescent="0.2">
      <c r="A791" s="33">
        <v>43647</v>
      </c>
      <c r="B791" s="11">
        <v>243</v>
      </c>
      <c r="C791" s="11" t="s">
        <v>514</v>
      </c>
      <c r="D791" s="11" t="s">
        <v>515</v>
      </c>
      <c r="F791" s="11" t="s">
        <v>22</v>
      </c>
      <c r="G791" s="38" t="s">
        <v>864</v>
      </c>
      <c r="H791" s="650">
        <v>43675</v>
      </c>
      <c r="I791" s="126">
        <v>1602.83</v>
      </c>
      <c r="J791" s="640">
        <f t="shared" si="27"/>
        <v>288.50939999999997</v>
      </c>
      <c r="K791" s="54">
        <v>0</v>
      </c>
      <c r="L791" s="54">
        <v>144.25469999999999</v>
      </c>
      <c r="M791" s="54">
        <v>144.25469999999999</v>
      </c>
      <c r="N791" s="54"/>
      <c r="O791" s="54">
        <f t="shared" si="28"/>
        <v>1891.3393999999998</v>
      </c>
    </row>
    <row r="792" spans="1:15" x14ac:dyDescent="0.2">
      <c r="A792" s="33">
        <v>43647</v>
      </c>
      <c r="B792" s="11">
        <v>244</v>
      </c>
      <c r="C792" s="11" t="s">
        <v>514</v>
      </c>
      <c r="D792" s="11" t="s">
        <v>515</v>
      </c>
      <c r="F792" s="11" t="s">
        <v>22</v>
      </c>
      <c r="G792" s="38" t="s">
        <v>865</v>
      </c>
      <c r="H792" s="650">
        <v>43675</v>
      </c>
      <c r="I792" s="126">
        <v>2000</v>
      </c>
      <c r="J792" s="640">
        <f t="shared" si="27"/>
        <v>360</v>
      </c>
      <c r="K792" s="54">
        <v>0</v>
      </c>
      <c r="L792" s="54">
        <v>180</v>
      </c>
      <c r="M792" s="54">
        <v>180</v>
      </c>
      <c r="N792" s="54"/>
      <c r="O792" s="54">
        <f t="shared" si="28"/>
        <v>2360</v>
      </c>
    </row>
    <row r="793" spans="1:15" x14ac:dyDescent="0.2">
      <c r="A793" s="33">
        <v>43647</v>
      </c>
      <c r="B793" s="11">
        <v>245</v>
      </c>
      <c r="C793" s="11" t="s">
        <v>589</v>
      </c>
      <c r="D793" s="11" t="s">
        <v>590</v>
      </c>
      <c r="F793" s="11" t="s">
        <v>22</v>
      </c>
      <c r="G793" s="38">
        <v>11</v>
      </c>
      <c r="H793" s="650">
        <v>43677</v>
      </c>
      <c r="I793" s="126">
        <v>65474.400000000001</v>
      </c>
      <c r="J793" s="640">
        <f t="shared" si="27"/>
        <v>11785.392</v>
      </c>
      <c r="K793" s="54">
        <v>0</v>
      </c>
      <c r="L793" s="54">
        <v>5892.6959999999999</v>
      </c>
      <c r="M793" s="54">
        <v>5892.6959999999999</v>
      </c>
      <c r="N793" s="54"/>
      <c r="O793" s="54">
        <f t="shared" si="28"/>
        <v>77259.792000000001</v>
      </c>
    </row>
    <row r="794" spans="1:15" x14ac:dyDescent="0.2">
      <c r="A794" s="33">
        <v>43647</v>
      </c>
      <c r="B794" s="11">
        <v>246</v>
      </c>
      <c r="C794" s="11" t="s">
        <v>866</v>
      </c>
      <c r="D794" s="11" t="s">
        <v>867</v>
      </c>
      <c r="F794" s="11" t="s">
        <v>22</v>
      </c>
      <c r="G794" s="38" t="s">
        <v>868</v>
      </c>
      <c r="H794" s="650">
        <v>43668</v>
      </c>
      <c r="I794" s="126">
        <v>35300</v>
      </c>
      <c r="J794" s="640">
        <f t="shared" si="27"/>
        <v>6354</v>
      </c>
      <c r="K794" s="54">
        <v>0</v>
      </c>
      <c r="L794" s="54">
        <v>3177</v>
      </c>
      <c r="M794" s="54">
        <v>3177</v>
      </c>
      <c r="N794" s="54"/>
      <c r="O794" s="54">
        <f t="shared" si="28"/>
        <v>41654</v>
      </c>
    </row>
    <row r="795" spans="1:15" x14ac:dyDescent="0.2">
      <c r="A795" s="33">
        <v>43647</v>
      </c>
      <c r="B795" s="11">
        <v>9</v>
      </c>
      <c r="C795" s="11" t="s">
        <v>600</v>
      </c>
      <c r="D795" s="11">
        <v>2</v>
      </c>
      <c r="F795" s="11" t="s">
        <v>392</v>
      </c>
      <c r="G795" s="38">
        <v>402</v>
      </c>
      <c r="H795" s="650">
        <v>43659</v>
      </c>
      <c r="I795" s="126"/>
      <c r="J795" s="640">
        <f t="shared" si="27"/>
        <v>0</v>
      </c>
      <c r="K795" s="54">
        <v>0</v>
      </c>
      <c r="L795" s="54">
        <v>0</v>
      </c>
      <c r="M795" s="54">
        <v>0</v>
      </c>
      <c r="N795" s="54"/>
      <c r="O795" s="54">
        <f t="shared" si="28"/>
        <v>0</v>
      </c>
    </row>
    <row r="796" spans="1:15" x14ac:dyDescent="0.2">
      <c r="A796" s="33">
        <v>43647</v>
      </c>
      <c r="B796" s="11">
        <v>10</v>
      </c>
      <c r="C796" s="11" t="s">
        <v>686</v>
      </c>
      <c r="D796" s="11" t="s">
        <v>687</v>
      </c>
      <c r="F796" s="11" t="s">
        <v>392</v>
      </c>
      <c r="G796" s="38">
        <v>1513</v>
      </c>
      <c r="H796" s="650">
        <v>43664</v>
      </c>
      <c r="I796" s="126"/>
      <c r="J796" s="640">
        <f t="shared" si="27"/>
        <v>0</v>
      </c>
      <c r="K796" s="54">
        <v>0</v>
      </c>
      <c r="L796" s="54">
        <v>0</v>
      </c>
      <c r="M796" s="54">
        <v>0</v>
      </c>
      <c r="N796" s="54"/>
      <c r="O796" s="54">
        <f t="shared" si="28"/>
        <v>0</v>
      </c>
    </row>
    <row r="797" spans="1:15" x14ac:dyDescent="0.2">
      <c r="A797" s="33">
        <v>43647</v>
      </c>
      <c r="B797" s="11">
        <v>11</v>
      </c>
      <c r="C797" s="11" t="s">
        <v>686</v>
      </c>
      <c r="D797" s="11" t="s">
        <v>687</v>
      </c>
      <c r="F797" s="11" t="s">
        <v>392</v>
      </c>
      <c r="G797" s="38">
        <v>1518</v>
      </c>
      <c r="H797" s="650">
        <v>43665</v>
      </c>
      <c r="I797" s="126"/>
      <c r="J797" s="640">
        <f t="shared" si="27"/>
        <v>0</v>
      </c>
      <c r="K797" s="54">
        <v>0</v>
      </c>
      <c r="L797" s="54">
        <v>0</v>
      </c>
      <c r="M797" s="54">
        <v>0</v>
      </c>
      <c r="N797" s="54"/>
      <c r="O797" s="54">
        <f t="shared" si="28"/>
        <v>0</v>
      </c>
    </row>
    <row r="798" spans="1:15" x14ac:dyDescent="0.2">
      <c r="A798" s="34"/>
      <c r="D798" s="11" t="e">
        <v>#N/A</v>
      </c>
      <c r="G798" s="38"/>
      <c r="H798" s="650"/>
      <c r="I798" s="126"/>
      <c r="J798" s="640">
        <f t="shared" si="27"/>
        <v>0</v>
      </c>
      <c r="K798" s="54"/>
      <c r="L798" s="54"/>
      <c r="M798" s="54"/>
      <c r="N798" s="54"/>
      <c r="O798" s="54">
        <f t="shared" si="28"/>
        <v>0</v>
      </c>
    </row>
    <row r="799" spans="1:15" x14ac:dyDescent="0.2">
      <c r="A799" s="646"/>
      <c r="B799" s="645"/>
      <c r="C799" s="645"/>
      <c r="D799" s="645" t="e">
        <v>#N/A</v>
      </c>
      <c r="E799" s="645"/>
      <c r="F799" s="645"/>
      <c r="G799" s="646"/>
      <c r="H799" s="647"/>
      <c r="I799" s="648">
        <f>SUM(I549:I798)</f>
        <v>6351852.5599999903</v>
      </c>
      <c r="J799" s="648">
        <f t="shared" ref="J799:N799" si="29">SUM(J549:J798)</f>
        <v>1366009.3647999999</v>
      </c>
      <c r="K799" s="648">
        <f t="shared" si="29"/>
        <v>69285.56</v>
      </c>
      <c r="L799" s="648">
        <f t="shared" si="29"/>
        <v>648361.9023999999</v>
      </c>
      <c r="M799" s="648">
        <f t="shared" si="29"/>
        <v>648361.9023999999</v>
      </c>
      <c r="N799" s="648">
        <f t="shared" si="29"/>
        <v>0</v>
      </c>
      <c r="O799" s="649">
        <f t="shared" si="28"/>
        <v>7717861.9247999899</v>
      </c>
    </row>
    <row r="800" spans="1:15" x14ac:dyDescent="0.2">
      <c r="A800" s="33">
        <v>43678</v>
      </c>
      <c r="B800" s="11">
        <v>1</v>
      </c>
      <c r="C800" s="11" t="s">
        <v>554</v>
      </c>
      <c r="D800" s="11" t="s">
        <v>555</v>
      </c>
      <c r="F800" s="11" t="s">
        <v>22</v>
      </c>
      <c r="G800" s="38">
        <v>10152</v>
      </c>
      <c r="H800" s="650">
        <v>43678</v>
      </c>
      <c r="I800" s="126">
        <v>10552.5</v>
      </c>
      <c r="J800" s="640">
        <f t="shared" si="27"/>
        <v>2954.7000000000003</v>
      </c>
      <c r="K800" s="54">
        <v>0</v>
      </c>
      <c r="L800" s="54">
        <v>1477.3500000000001</v>
      </c>
      <c r="M800" s="54">
        <v>1477.3500000000001</v>
      </c>
      <c r="N800" s="54"/>
      <c r="O800" s="54">
        <f t="shared" si="28"/>
        <v>13507.2</v>
      </c>
    </row>
    <row r="801" spans="1:15" x14ac:dyDescent="0.2">
      <c r="A801" s="33">
        <v>43678</v>
      </c>
      <c r="B801" s="11">
        <v>2</v>
      </c>
      <c r="C801" s="11" t="s">
        <v>473</v>
      </c>
      <c r="D801" s="11" t="s">
        <v>41</v>
      </c>
      <c r="F801" s="11" t="s">
        <v>22</v>
      </c>
      <c r="G801" s="38" t="s">
        <v>869</v>
      </c>
      <c r="H801" s="650">
        <v>43678</v>
      </c>
      <c r="I801" s="126">
        <v>9618</v>
      </c>
      <c r="J801" s="640">
        <f t="shared" si="27"/>
        <v>2693.04</v>
      </c>
      <c r="K801" s="54">
        <v>0</v>
      </c>
      <c r="L801" s="54">
        <v>1346.52</v>
      </c>
      <c r="M801" s="54">
        <v>1346.52</v>
      </c>
      <c r="N801" s="54"/>
      <c r="O801" s="54">
        <f t="shared" si="28"/>
        <v>12311.04</v>
      </c>
    </row>
    <row r="802" spans="1:15" x14ac:dyDescent="0.2">
      <c r="A802" s="33">
        <v>43678</v>
      </c>
      <c r="B802" s="11">
        <v>3</v>
      </c>
      <c r="C802" s="11" t="s">
        <v>473</v>
      </c>
      <c r="D802" s="11" t="s">
        <v>41</v>
      </c>
      <c r="F802" s="11" t="s">
        <v>22</v>
      </c>
      <c r="G802" s="38" t="s">
        <v>870</v>
      </c>
      <c r="H802" s="650">
        <v>43678</v>
      </c>
      <c r="I802" s="126">
        <v>2295.09</v>
      </c>
      <c r="J802" s="640">
        <f t="shared" si="27"/>
        <v>642.62520000000006</v>
      </c>
      <c r="K802" s="54">
        <v>0</v>
      </c>
      <c r="L802" s="54">
        <v>321.31260000000003</v>
      </c>
      <c r="M802" s="54">
        <v>321.31260000000003</v>
      </c>
      <c r="N802" s="54"/>
      <c r="O802" s="54">
        <f t="shared" si="28"/>
        <v>2937.7152000000001</v>
      </c>
    </row>
    <row r="803" spans="1:15" x14ac:dyDescent="0.2">
      <c r="A803" s="33">
        <v>43678</v>
      </c>
      <c r="B803" s="11">
        <v>4</v>
      </c>
      <c r="C803" s="11" t="s">
        <v>554</v>
      </c>
      <c r="D803" s="11" t="s">
        <v>555</v>
      </c>
      <c r="F803" s="11" t="s">
        <v>22</v>
      </c>
      <c r="G803" s="38">
        <v>10193</v>
      </c>
      <c r="H803" s="650">
        <v>43679</v>
      </c>
      <c r="I803" s="126">
        <v>10606.94</v>
      </c>
      <c r="J803" s="640">
        <f t="shared" si="27"/>
        <v>2969.9432000000002</v>
      </c>
      <c r="K803" s="54">
        <v>0</v>
      </c>
      <c r="L803" s="54">
        <v>1484.9716000000001</v>
      </c>
      <c r="M803" s="54">
        <v>1484.9716000000001</v>
      </c>
      <c r="N803" s="54"/>
      <c r="O803" s="54">
        <f t="shared" si="28"/>
        <v>13576.8832</v>
      </c>
    </row>
    <row r="804" spans="1:15" x14ac:dyDescent="0.2">
      <c r="A804" s="33">
        <v>43678</v>
      </c>
      <c r="B804" s="11">
        <v>5</v>
      </c>
      <c r="C804" s="11" t="s">
        <v>495</v>
      </c>
      <c r="D804" s="11" t="s">
        <v>74</v>
      </c>
      <c r="F804" s="11" t="s">
        <v>22</v>
      </c>
      <c r="G804" s="38">
        <v>5510053426</v>
      </c>
      <c r="H804" s="650">
        <v>43679</v>
      </c>
      <c r="I804" s="126">
        <v>39816</v>
      </c>
      <c r="J804" s="640">
        <f t="shared" si="27"/>
        <v>7166.88</v>
      </c>
      <c r="K804" s="54">
        <v>0</v>
      </c>
      <c r="L804" s="54">
        <v>3583.44</v>
      </c>
      <c r="M804" s="54">
        <v>3583.44</v>
      </c>
      <c r="N804" s="54"/>
      <c r="O804" s="54">
        <f t="shared" si="28"/>
        <v>46982.879999999997</v>
      </c>
    </row>
    <row r="805" spans="1:15" x14ac:dyDescent="0.2">
      <c r="A805" s="33">
        <v>43678</v>
      </c>
      <c r="B805" s="11">
        <v>6</v>
      </c>
      <c r="C805" s="11" t="s">
        <v>489</v>
      </c>
      <c r="D805" s="11" t="s">
        <v>490</v>
      </c>
      <c r="F805" s="11" t="s">
        <v>22</v>
      </c>
      <c r="G805" s="38">
        <v>7887986921</v>
      </c>
      <c r="H805" s="650">
        <v>43679</v>
      </c>
      <c r="I805" s="126">
        <v>119392</v>
      </c>
      <c r="J805" s="640">
        <f t="shared" si="27"/>
        <v>21490.560000000001</v>
      </c>
      <c r="K805" s="54">
        <v>0</v>
      </c>
      <c r="L805" s="54">
        <v>10745.28</v>
      </c>
      <c r="M805" s="54">
        <v>10745.28</v>
      </c>
      <c r="N805" s="54"/>
      <c r="O805" s="54">
        <f t="shared" si="28"/>
        <v>140882.56</v>
      </c>
    </row>
    <row r="806" spans="1:15" x14ac:dyDescent="0.2">
      <c r="A806" s="33">
        <v>43678</v>
      </c>
      <c r="B806" s="11">
        <v>7</v>
      </c>
      <c r="C806" s="11" t="s">
        <v>489</v>
      </c>
      <c r="D806" s="11" t="s">
        <v>490</v>
      </c>
      <c r="F806" s="11" t="s">
        <v>22</v>
      </c>
      <c r="G806" s="38">
        <v>7887986922</v>
      </c>
      <c r="H806" s="650">
        <v>43679</v>
      </c>
      <c r="I806" s="126">
        <v>58786</v>
      </c>
      <c r="J806" s="640">
        <f t="shared" si="27"/>
        <v>10581.48</v>
      </c>
      <c r="K806" s="54">
        <v>0</v>
      </c>
      <c r="L806" s="54">
        <v>5290.74</v>
      </c>
      <c r="M806" s="54">
        <v>5290.74</v>
      </c>
      <c r="N806" s="54"/>
      <c r="O806" s="54">
        <f t="shared" si="28"/>
        <v>69367.48</v>
      </c>
    </row>
    <row r="807" spans="1:15" x14ac:dyDescent="0.2">
      <c r="A807" s="33">
        <v>43678</v>
      </c>
      <c r="B807" s="11">
        <v>8</v>
      </c>
      <c r="C807" s="11" t="s">
        <v>499</v>
      </c>
      <c r="D807" s="11" t="s">
        <v>500</v>
      </c>
      <c r="F807" s="11" t="s">
        <v>22</v>
      </c>
      <c r="G807" s="38" t="s">
        <v>871</v>
      </c>
      <c r="H807" s="650">
        <v>43679</v>
      </c>
      <c r="I807" s="126">
        <v>18469</v>
      </c>
      <c r="J807" s="640">
        <f t="shared" si="27"/>
        <v>923.46</v>
      </c>
      <c r="K807" s="54">
        <v>0</v>
      </c>
      <c r="L807" s="54">
        <v>461.73</v>
      </c>
      <c r="M807" s="54">
        <v>461.73</v>
      </c>
      <c r="N807" s="54"/>
      <c r="O807" s="54">
        <f t="shared" si="28"/>
        <v>19392.46</v>
      </c>
    </row>
    <row r="808" spans="1:15" x14ac:dyDescent="0.2">
      <c r="A808" s="33">
        <v>43678</v>
      </c>
      <c r="B808" s="11">
        <v>9</v>
      </c>
      <c r="C808" s="11" t="s">
        <v>499</v>
      </c>
      <c r="D808" s="11" t="s">
        <v>500</v>
      </c>
      <c r="F808" s="11" t="s">
        <v>22</v>
      </c>
      <c r="G808" s="38" t="s">
        <v>872</v>
      </c>
      <c r="H808" s="650">
        <v>43679</v>
      </c>
      <c r="I808" s="126">
        <v>1849.2</v>
      </c>
      <c r="J808" s="640">
        <f t="shared" si="27"/>
        <v>329.66</v>
      </c>
      <c r="K808" s="54">
        <v>0</v>
      </c>
      <c r="L808" s="54">
        <v>164.83</v>
      </c>
      <c r="M808" s="54">
        <v>164.83</v>
      </c>
      <c r="N808" s="54"/>
      <c r="O808" s="54">
        <f t="shared" si="28"/>
        <v>2178.86</v>
      </c>
    </row>
    <row r="809" spans="1:15" x14ac:dyDescent="0.2">
      <c r="A809" s="33">
        <v>43678</v>
      </c>
      <c r="B809" s="11">
        <v>10</v>
      </c>
      <c r="C809" s="11" t="s">
        <v>499</v>
      </c>
      <c r="D809" s="11" t="s">
        <v>500</v>
      </c>
      <c r="F809" s="11" t="s">
        <v>22</v>
      </c>
      <c r="G809" s="38" t="s">
        <v>873</v>
      </c>
      <c r="H809" s="650">
        <v>43679</v>
      </c>
      <c r="I809" s="126">
        <v>10572</v>
      </c>
      <c r="J809" s="640">
        <f t="shared" si="27"/>
        <v>1902.96</v>
      </c>
      <c r="K809" s="54">
        <v>0</v>
      </c>
      <c r="L809" s="54">
        <v>951.48</v>
      </c>
      <c r="M809" s="54">
        <v>951.48</v>
      </c>
      <c r="N809" s="54"/>
      <c r="O809" s="54">
        <f t="shared" si="28"/>
        <v>12474.96</v>
      </c>
    </row>
    <row r="810" spans="1:15" x14ac:dyDescent="0.2">
      <c r="A810" s="33">
        <v>43678</v>
      </c>
      <c r="B810" s="11">
        <v>11</v>
      </c>
      <c r="C810" s="11" t="s">
        <v>506</v>
      </c>
      <c r="D810" s="11" t="s">
        <v>507</v>
      </c>
      <c r="F810" s="11" t="s">
        <v>22</v>
      </c>
      <c r="G810" s="38" t="s">
        <v>874</v>
      </c>
      <c r="H810" s="650">
        <v>43679</v>
      </c>
      <c r="I810" s="126">
        <v>17400</v>
      </c>
      <c r="J810" s="640">
        <f t="shared" si="27"/>
        <v>3132</v>
      </c>
      <c r="K810" s="54">
        <v>0</v>
      </c>
      <c r="L810" s="54">
        <v>1566</v>
      </c>
      <c r="M810" s="54">
        <v>1566</v>
      </c>
      <c r="N810" s="54"/>
      <c r="O810" s="54">
        <f t="shared" si="28"/>
        <v>20532</v>
      </c>
    </row>
    <row r="811" spans="1:15" x14ac:dyDescent="0.2">
      <c r="A811" s="33">
        <v>43678</v>
      </c>
      <c r="B811" s="11">
        <v>12</v>
      </c>
      <c r="C811" s="11" t="s">
        <v>506</v>
      </c>
      <c r="D811" s="11" t="s">
        <v>507</v>
      </c>
      <c r="F811" s="11" t="s">
        <v>22</v>
      </c>
      <c r="G811" s="38" t="s">
        <v>875</v>
      </c>
      <c r="H811" s="650">
        <v>43679</v>
      </c>
      <c r="I811" s="126">
        <v>7920</v>
      </c>
      <c r="J811" s="640">
        <f t="shared" si="27"/>
        <v>1425.6000000000001</v>
      </c>
      <c r="K811" s="54">
        <v>0</v>
      </c>
      <c r="L811" s="54">
        <v>712.80000000000007</v>
      </c>
      <c r="M811" s="54">
        <v>712.80000000000007</v>
      </c>
      <c r="N811" s="54"/>
      <c r="O811" s="54">
        <f t="shared" si="28"/>
        <v>9345.6</v>
      </c>
    </row>
    <row r="812" spans="1:15" x14ac:dyDescent="0.2">
      <c r="A812" s="33">
        <v>43678</v>
      </c>
      <c r="B812" s="11">
        <v>13</v>
      </c>
      <c r="C812" s="11" t="s">
        <v>506</v>
      </c>
      <c r="D812" s="11" t="s">
        <v>507</v>
      </c>
      <c r="F812" s="11" t="s">
        <v>22</v>
      </c>
      <c r="G812" s="38" t="s">
        <v>876</v>
      </c>
      <c r="H812" s="650">
        <v>43679</v>
      </c>
      <c r="I812" s="126">
        <v>4800</v>
      </c>
      <c r="J812" s="640">
        <f t="shared" si="27"/>
        <v>864</v>
      </c>
      <c r="K812" s="54">
        <v>0</v>
      </c>
      <c r="L812" s="54">
        <v>432</v>
      </c>
      <c r="M812" s="54">
        <v>432</v>
      </c>
      <c r="N812" s="54"/>
      <c r="O812" s="54">
        <f t="shared" si="28"/>
        <v>5664</v>
      </c>
    </row>
    <row r="813" spans="1:15" x14ac:dyDescent="0.2">
      <c r="A813" s="33">
        <v>43678</v>
      </c>
      <c r="B813" s="11">
        <v>14</v>
      </c>
      <c r="C813" s="11" t="s">
        <v>554</v>
      </c>
      <c r="D813" s="11" t="s">
        <v>555</v>
      </c>
      <c r="F813" s="11" t="s">
        <v>22</v>
      </c>
      <c r="G813" s="38">
        <v>10254</v>
      </c>
      <c r="H813" s="650">
        <v>43680</v>
      </c>
      <c r="I813" s="126">
        <v>9922.5</v>
      </c>
      <c r="J813" s="640">
        <f t="shared" si="27"/>
        <v>2778.2999999999997</v>
      </c>
      <c r="K813" s="54">
        <v>0</v>
      </c>
      <c r="L813" s="54">
        <v>1389.1499999999999</v>
      </c>
      <c r="M813" s="54">
        <v>1389.1499999999999</v>
      </c>
      <c r="N813" s="54"/>
      <c r="O813" s="54">
        <f t="shared" si="28"/>
        <v>12700.8</v>
      </c>
    </row>
    <row r="814" spans="1:15" x14ac:dyDescent="0.2">
      <c r="A814" s="33">
        <v>43678</v>
      </c>
      <c r="B814" s="11">
        <v>15</v>
      </c>
      <c r="C814" s="11" t="s">
        <v>554</v>
      </c>
      <c r="D814" s="11" t="s">
        <v>555</v>
      </c>
      <c r="F814" s="11" t="s">
        <v>22</v>
      </c>
      <c r="G814" s="38">
        <v>10270</v>
      </c>
      <c r="H814" s="650">
        <v>43680</v>
      </c>
      <c r="I814" s="126">
        <v>3150</v>
      </c>
      <c r="J814" s="640">
        <f t="shared" si="27"/>
        <v>882</v>
      </c>
      <c r="K814" s="54">
        <v>0</v>
      </c>
      <c r="L814" s="54">
        <v>441</v>
      </c>
      <c r="M814" s="54">
        <v>441</v>
      </c>
      <c r="N814" s="54"/>
      <c r="O814" s="54">
        <f t="shared" si="28"/>
        <v>4032</v>
      </c>
    </row>
    <row r="815" spans="1:15" x14ac:dyDescent="0.2">
      <c r="A815" s="33">
        <v>43678</v>
      </c>
      <c r="B815" s="11">
        <v>16</v>
      </c>
      <c r="C815" s="11" t="s">
        <v>471</v>
      </c>
      <c r="D815" s="11" t="s">
        <v>29</v>
      </c>
      <c r="F815" s="11" t="s">
        <v>22</v>
      </c>
      <c r="G815" s="38">
        <v>192004303</v>
      </c>
      <c r="H815" s="650">
        <v>43680</v>
      </c>
      <c r="I815" s="126">
        <v>17483.52</v>
      </c>
      <c r="J815" s="640">
        <f t="shared" si="27"/>
        <v>4895.3856000000005</v>
      </c>
      <c r="K815" s="54">
        <v>0</v>
      </c>
      <c r="L815" s="54">
        <v>2447.6928000000003</v>
      </c>
      <c r="M815" s="54">
        <v>2447.6928000000003</v>
      </c>
      <c r="N815" s="54"/>
      <c r="O815" s="54">
        <f t="shared" si="28"/>
        <v>22378.905600000002</v>
      </c>
    </row>
    <row r="816" spans="1:15" x14ac:dyDescent="0.2">
      <c r="A816" s="33">
        <v>43678</v>
      </c>
      <c r="B816" s="11">
        <v>17</v>
      </c>
      <c r="C816" s="11" t="s">
        <v>471</v>
      </c>
      <c r="D816" s="11" t="s">
        <v>29</v>
      </c>
      <c r="F816" s="11" t="s">
        <v>22</v>
      </c>
      <c r="G816" s="38">
        <v>192004302</v>
      </c>
      <c r="H816" s="650">
        <v>43680</v>
      </c>
      <c r="I816" s="126">
        <v>17483.52</v>
      </c>
      <c r="J816" s="640">
        <f t="shared" si="27"/>
        <v>4895.3856000000005</v>
      </c>
      <c r="K816" s="54">
        <v>0</v>
      </c>
      <c r="L816" s="54">
        <v>2447.6928000000003</v>
      </c>
      <c r="M816" s="54">
        <v>2447.6928000000003</v>
      </c>
      <c r="N816" s="54"/>
      <c r="O816" s="54">
        <f t="shared" si="28"/>
        <v>22378.905600000002</v>
      </c>
    </row>
    <row r="817" spans="1:15" x14ac:dyDescent="0.2">
      <c r="A817" s="33">
        <v>43678</v>
      </c>
      <c r="B817" s="11">
        <v>18</v>
      </c>
      <c r="C817" s="11" t="s">
        <v>471</v>
      </c>
      <c r="D817" s="11" t="s">
        <v>29</v>
      </c>
      <c r="F817" s="11" t="s">
        <v>22</v>
      </c>
      <c r="G817" s="38">
        <v>192004304</v>
      </c>
      <c r="H817" s="650">
        <v>43680</v>
      </c>
      <c r="I817" s="126">
        <v>8741.76</v>
      </c>
      <c r="J817" s="640">
        <f t="shared" si="27"/>
        <v>2447.6928000000003</v>
      </c>
      <c r="K817" s="54">
        <v>0</v>
      </c>
      <c r="L817" s="54">
        <v>1223.8464000000001</v>
      </c>
      <c r="M817" s="54">
        <v>1223.8464000000001</v>
      </c>
      <c r="N817" s="54"/>
      <c r="O817" s="54">
        <f t="shared" si="28"/>
        <v>11189.452800000001</v>
      </c>
    </row>
    <row r="818" spans="1:15" x14ac:dyDescent="0.2">
      <c r="A818" s="33">
        <v>43678</v>
      </c>
      <c r="B818" s="11">
        <v>19</v>
      </c>
      <c r="C818" s="11" t="s">
        <v>471</v>
      </c>
      <c r="D818" s="11" t="s">
        <v>29</v>
      </c>
      <c r="F818" s="11" t="s">
        <v>22</v>
      </c>
      <c r="G818" s="38">
        <v>192004305</v>
      </c>
      <c r="H818" s="650">
        <v>43680</v>
      </c>
      <c r="I818" s="126">
        <v>8741.76</v>
      </c>
      <c r="J818" s="640">
        <f t="shared" si="27"/>
        <v>2447.6928000000003</v>
      </c>
      <c r="K818" s="54">
        <v>0</v>
      </c>
      <c r="L818" s="54">
        <v>1223.8464000000001</v>
      </c>
      <c r="M818" s="54">
        <v>1223.8464000000001</v>
      </c>
      <c r="N818" s="54"/>
      <c r="O818" s="54">
        <f t="shared" si="28"/>
        <v>11189.452800000001</v>
      </c>
    </row>
    <row r="819" spans="1:15" x14ac:dyDescent="0.2">
      <c r="A819" s="33">
        <v>43678</v>
      </c>
      <c r="B819" s="11">
        <v>20</v>
      </c>
      <c r="C819" s="11" t="s">
        <v>495</v>
      </c>
      <c r="D819" s="11" t="s">
        <v>74</v>
      </c>
      <c r="F819" s="11" t="s">
        <v>22</v>
      </c>
      <c r="G819" s="38">
        <v>5510053571</v>
      </c>
      <c r="H819" s="650">
        <v>43680</v>
      </c>
      <c r="I819" s="126">
        <v>39816</v>
      </c>
      <c r="J819" s="640">
        <f t="shared" si="27"/>
        <v>7166.88</v>
      </c>
      <c r="K819" s="54">
        <v>0</v>
      </c>
      <c r="L819" s="54">
        <v>3583.44</v>
      </c>
      <c r="M819" s="54">
        <v>3583.44</v>
      </c>
      <c r="N819" s="54"/>
      <c r="O819" s="54">
        <f t="shared" si="28"/>
        <v>46982.879999999997</v>
      </c>
    </row>
    <row r="820" spans="1:15" x14ac:dyDescent="0.2">
      <c r="A820" s="33">
        <v>43678</v>
      </c>
      <c r="B820" s="11">
        <v>21</v>
      </c>
      <c r="C820" s="11" t="s">
        <v>479</v>
      </c>
      <c r="D820" s="11" t="s">
        <v>480</v>
      </c>
      <c r="F820" s="11" t="s">
        <v>22</v>
      </c>
      <c r="G820" s="38">
        <v>1188</v>
      </c>
      <c r="H820" s="650">
        <v>43682</v>
      </c>
      <c r="I820" s="126">
        <v>2000</v>
      </c>
      <c r="J820" s="640">
        <f t="shared" si="27"/>
        <v>360</v>
      </c>
      <c r="K820" s="54">
        <v>0</v>
      </c>
      <c r="L820" s="54">
        <v>180</v>
      </c>
      <c r="M820" s="54">
        <v>180</v>
      </c>
      <c r="N820" s="54"/>
      <c r="O820" s="54">
        <f t="shared" si="28"/>
        <v>2360</v>
      </c>
    </row>
    <row r="821" spans="1:15" x14ac:dyDescent="0.2">
      <c r="A821" s="33">
        <v>43678</v>
      </c>
      <c r="B821" s="11">
        <v>22</v>
      </c>
      <c r="C821" s="11" t="s">
        <v>479</v>
      </c>
      <c r="D821" s="11" t="s">
        <v>480</v>
      </c>
      <c r="F821" s="11" t="s">
        <v>22</v>
      </c>
      <c r="G821" s="38">
        <v>1191</v>
      </c>
      <c r="H821" s="650">
        <v>43682</v>
      </c>
      <c r="I821" s="126">
        <v>2000</v>
      </c>
      <c r="J821" s="640">
        <f t="shared" si="27"/>
        <v>360</v>
      </c>
      <c r="K821" s="54">
        <v>0</v>
      </c>
      <c r="L821" s="54">
        <v>180</v>
      </c>
      <c r="M821" s="54">
        <v>180</v>
      </c>
      <c r="N821" s="54"/>
      <c r="O821" s="54">
        <f t="shared" si="28"/>
        <v>2360</v>
      </c>
    </row>
    <row r="822" spans="1:15" x14ac:dyDescent="0.2">
      <c r="A822" s="33">
        <v>43678</v>
      </c>
      <c r="B822" s="11">
        <v>23</v>
      </c>
      <c r="C822" s="11" t="s">
        <v>489</v>
      </c>
      <c r="D822" s="11" t="s">
        <v>490</v>
      </c>
      <c r="F822" s="11" t="s">
        <v>22</v>
      </c>
      <c r="G822" s="38">
        <v>7887987024</v>
      </c>
      <c r="H822" s="650">
        <v>43682</v>
      </c>
      <c r="I822" s="126">
        <v>69888</v>
      </c>
      <c r="J822" s="640">
        <f t="shared" si="27"/>
        <v>12579.84</v>
      </c>
      <c r="K822" s="54">
        <v>0</v>
      </c>
      <c r="L822" s="54">
        <v>6289.92</v>
      </c>
      <c r="M822" s="54">
        <v>6289.92</v>
      </c>
      <c r="N822" s="54"/>
      <c r="O822" s="54">
        <f t="shared" si="28"/>
        <v>82467.839999999997</v>
      </c>
    </row>
    <row r="823" spans="1:15" x14ac:dyDescent="0.2">
      <c r="A823" s="33">
        <v>43678</v>
      </c>
      <c r="B823" s="11">
        <v>24</v>
      </c>
      <c r="C823" s="11" t="s">
        <v>601</v>
      </c>
      <c r="D823" s="11" t="s">
        <v>602</v>
      </c>
      <c r="F823" s="11" t="s">
        <v>22</v>
      </c>
      <c r="G823" s="38">
        <v>3378</v>
      </c>
      <c r="H823" s="650">
        <v>43682</v>
      </c>
      <c r="I823" s="126">
        <v>21285</v>
      </c>
      <c r="J823" s="640">
        <f t="shared" si="27"/>
        <v>5959.8</v>
      </c>
      <c r="K823" s="54">
        <v>0</v>
      </c>
      <c r="L823" s="54">
        <v>2979.9</v>
      </c>
      <c r="M823" s="54">
        <v>2979.9</v>
      </c>
      <c r="N823" s="54"/>
      <c r="O823" s="54">
        <f t="shared" si="28"/>
        <v>27244.799999999999</v>
      </c>
    </row>
    <row r="824" spans="1:15" x14ac:dyDescent="0.2">
      <c r="A824" s="33">
        <v>43678</v>
      </c>
      <c r="B824" s="11">
        <v>25</v>
      </c>
      <c r="C824" s="11" t="s">
        <v>601</v>
      </c>
      <c r="D824" s="11" t="s">
        <v>602</v>
      </c>
      <c r="F824" s="11" t="s">
        <v>22</v>
      </c>
      <c r="G824" s="38">
        <v>3379</v>
      </c>
      <c r="H824" s="650">
        <v>43682</v>
      </c>
      <c r="I824" s="126">
        <v>36158.400000000001</v>
      </c>
      <c r="J824" s="640">
        <f t="shared" si="27"/>
        <v>10124.352000000001</v>
      </c>
      <c r="K824" s="54">
        <v>0</v>
      </c>
      <c r="L824" s="54">
        <v>5062.1760000000004</v>
      </c>
      <c r="M824" s="54">
        <v>5062.1760000000004</v>
      </c>
      <c r="N824" s="54"/>
      <c r="O824" s="54">
        <f t="shared" si="28"/>
        <v>46282.752</v>
      </c>
    </row>
    <row r="825" spans="1:15" x14ac:dyDescent="0.2">
      <c r="A825" s="33">
        <v>43678</v>
      </c>
      <c r="B825" s="11">
        <v>26</v>
      </c>
      <c r="C825" s="11" t="s">
        <v>471</v>
      </c>
      <c r="D825" s="11" t="s">
        <v>29</v>
      </c>
      <c r="F825" s="11" t="s">
        <v>22</v>
      </c>
      <c r="G825" s="38">
        <v>192004325</v>
      </c>
      <c r="H825" s="650">
        <v>43682</v>
      </c>
      <c r="I825" s="126">
        <v>17483.52</v>
      </c>
      <c r="J825" s="640">
        <f t="shared" si="27"/>
        <v>4895.3856000000005</v>
      </c>
      <c r="K825" s="54">
        <v>0</v>
      </c>
      <c r="L825" s="54">
        <v>2447.6928000000003</v>
      </c>
      <c r="M825" s="54">
        <v>2447.6928000000003</v>
      </c>
      <c r="N825" s="54"/>
      <c r="O825" s="54">
        <f t="shared" si="28"/>
        <v>22378.905600000002</v>
      </c>
    </row>
    <row r="826" spans="1:15" x14ac:dyDescent="0.2">
      <c r="A826" s="33">
        <v>43678</v>
      </c>
      <c r="B826" s="11">
        <v>27</v>
      </c>
      <c r="C826" s="11" t="s">
        <v>471</v>
      </c>
      <c r="D826" s="11" t="s">
        <v>29</v>
      </c>
      <c r="F826" s="11" t="s">
        <v>22</v>
      </c>
      <c r="G826" s="38">
        <v>192004326</v>
      </c>
      <c r="H826" s="650">
        <v>43682</v>
      </c>
      <c r="I826" s="126">
        <v>17483.52</v>
      </c>
      <c r="J826" s="640">
        <f t="shared" si="27"/>
        <v>4895.3856000000005</v>
      </c>
      <c r="K826" s="54">
        <v>0</v>
      </c>
      <c r="L826" s="54">
        <v>2447.6928000000003</v>
      </c>
      <c r="M826" s="54">
        <v>2447.6928000000003</v>
      </c>
      <c r="N826" s="54"/>
      <c r="O826" s="54">
        <f t="shared" si="28"/>
        <v>22378.905600000002</v>
      </c>
    </row>
    <row r="827" spans="1:15" x14ac:dyDescent="0.2">
      <c r="A827" s="33">
        <v>43678</v>
      </c>
      <c r="B827" s="11">
        <v>28</v>
      </c>
      <c r="C827" s="11" t="s">
        <v>609</v>
      </c>
      <c r="D827" s="11" t="s">
        <v>610</v>
      </c>
      <c r="F827" s="11" t="s">
        <v>22</v>
      </c>
      <c r="G827" s="38" t="s">
        <v>877</v>
      </c>
      <c r="H827" s="650">
        <v>43678</v>
      </c>
      <c r="I827" s="126">
        <v>23936</v>
      </c>
      <c r="J827" s="640">
        <f t="shared" si="27"/>
        <v>4308.4800000000005</v>
      </c>
      <c r="K827" s="54">
        <v>0</v>
      </c>
      <c r="L827" s="54">
        <v>2154.2400000000002</v>
      </c>
      <c r="M827" s="54">
        <v>2154.2400000000002</v>
      </c>
      <c r="N827" s="54"/>
      <c r="O827" s="54">
        <f t="shared" si="28"/>
        <v>28244.48</v>
      </c>
    </row>
    <row r="828" spans="1:15" x14ac:dyDescent="0.2">
      <c r="A828" s="33">
        <v>43678</v>
      </c>
      <c r="B828" s="11">
        <v>29</v>
      </c>
      <c r="C828" s="11" t="s">
        <v>609</v>
      </c>
      <c r="D828" s="11" t="s">
        <v>610</v>
      </c>
      <c r="F828" s="11" t="s">
        <v>22</v>
      </c>
      <c r="G828" s="38" t="s">
        <v>878</v>
      </c>
      <c r="H828" s="650">
        <v>43678</v>
      </c>
      <c r="I828" s="126">
        <v>920176</v>
      </c>
      <c r="J828" s="640">
        <f t="shared" si="27"/>
        <v>165631.67999999999</v>
      </c>
      <c r="K828" s="54">
        <v>0</v>
      </c>
      <c r="L828" s="54">
        <v>82815.839999999997</v>
      </c>
      <c r="M828" s="54">
        <v>82815.839999999997</v>
      </c>
      <c r="N828" s="54"/>
      <c r="O828" s="54">
        <f t="shared" si="28"/>
        <v>1085807.68</v>
      </c>
    </row>
    <row r="829" spans="1:15" x14ac:dyDescent="0.2">
      <c r="A829" s="33">
        <v>43678</v>
      </c>
      <c r="B829" s="11">
        <v>30</v>
      </c>
      <c r="C829" s="11" t="s">
        <v>554</v>
      </c>
      <c r="D829" s="11" t="s">
        <v>555</v>
      </c>
      <c r="F829" s="11" t="s">
        <v>22</v>
      </c>
      <c r="G829" s="38">
        <v>10383</v>
      </c>
      <c r="H829" s="650">
        <v>43683</v>
      </c>
      <c r="I829" s="126">
        <v>11845</v>
      </c>
      <c r="J829" s="640">
        <f t="shared" si="27"/>
        <v>3316.6</v>
      </c>
      <c r="K829" s="54">
        <v>0</v>
      </c>
      <c r="L829" s="54">
        <v>1658.3</v>
      </c>
      <c r="M829" s="54">
        <v>1658.3</v>
      </c>
      <c r="N829" s="54"/>
      <c r="O829" s="54">
        <f t="shared" si="28"/>
        <v>15161.6</v>
      </c>
    </row>
    <row r="830" spans="1:15" x14ac:dyDescent="0.2">
      <c r="A830" s="33">
        <v>43678</v>
      </c>
      <c r="B830" s="11">
        <v>31</v>
      </c>
      <c r="C830" s="11" t="s">
        <v>471</v>
      </c>
      <c r="D830" s="11" t="s">
        <v>29</v>
      </c>
      <c r="F830" s="11" t="s">
        <v>22</v>
      </c>
      <c r="G830" s="38">
        <v>192004348</v>
      </c>
      <c r="H830" s="650">
        <v>43683</v>
      </c>
      <c r="I830" s="126">
        <v>17483.52</v>
      </c>
      <c r="J830" s="640">
        <f t="shared" si="27"/>
        <v>4895.3856000000005</v>
      </c>
      <c r="K830" s="54">
        <v>0</v>
      </c>
      <c r="L830" s="54">
        <v>2447.6928000000003</v>
      </c>
      <c r="M830" s="54">
        <v>2447.6928000000003</v>
      </c>
      <c r="N830" s="54"/>
      <c r="O830" s="54">
        <f t="shared" si="28"/>
        <v>22378.905600000002</v>
      </c>
    </row>
    <row r="831" spans="1:15" x14ac:dyDescent="0.2">
      <c r="A831" s="33">
        <v>43678</v>
      </c>
      <c r="B831" s="11">
        <v>32</v>
      </c>
      <c r="C831" s="11" t="s">
        <v>473</v>
      </c>
      <c r="D831" s="11" t="s">
        <v>41</v>
      </c>
      <c r="F831" s="11" t="s">
        <v>22</v>
      </c>
      <c r="G831" s="38" t="s">
        <v>879</v>
      </c>
      <c r="H831" s="650">
        <v>43683</v>
      </c>
      <c r="I831" s="126">
        <v>8976.7999999999993</v>
      </c>
      <c r="J831" s="640">
        <f t="shared" si="27"/>
        <v>2513.5039999999995</v>
      </c>
      <c r="K831" s="54">
        <v>0</v>
      </c>
      <c r="L831" s="54">
        <v>1256.7519999999997</v>
      </c>
      <c r="M831" s="54">
        <v>1256.7519999999997</v>
      </c>
      <c r="N831" s="54"/>
      <c r="O831" s="54">
        <f t="shared" si="28"/>
        <v>11490.303999999998</v>
      </c>
    </row>
    <row r="832" spans="1:15" x14ac:dyDescent="0.2">
      <c r="A832" s="33">
        <v>43678</v>
      </c>
      <c r="B832" s="11">
        <v>33</v>
      </c>
      <c r="C832" s="11" t="s">
        <v>473</v>
      </c>
      <c r="D832" s="11" t="s">
        <v>41</v>
      </c>
      <c r="F832" s="11" t="s">
        <v>22</v>
      </c>
      <c r="G832" s="38" t="s">
        <v>880</v>
      </c>
      <c r="H832" s="650">
        <v>43683</v>
      </c>
      <c r="I832" s="126">
        <v>6012.8</v>
      </c>
      <c r="J832" s="640">
        <f t="shared" si="27"/>
        <v>1683.5840000000001</v>
      </c>
      <c r="K832" s="54">
        <v>0</v>
      </c>
      <c r="L832" s="54">
        <v>841.79200000000003</v>
      </c>
      <c r="M832" s="54">
        <v>841.79200000000003</v>
      </c>
      <c r="N832" s="54"/>
      <c r="O832" s="54">
        <f t="shared" si="28"/>
        <v>7696.384</v>
      </c>
    </row>
    <row r="833" spans="1:15" x14ac:dyDescent="0.2">
      <c r="A833" s="33">
        <v>43678</v>
      </c>
      <c r="B833" s="11">
        <v>34</v>
      </c>
      <c r="C833" s="11" t="s">
        <v>471</v>
      </c>
      <c r="D833" s="11" t="s">
        <v>29</v>
      </c>
      <c r="F833" s="11" t="s">
        <v>22</v>
      </c>
      <c r="G833" s="38">
        <v>192004349</v>
      </c>
      <c r="H833" s="650">
        <v>43683</v>
      </c>
      <c r="I833" s="126">
        <v>17483.52</v>
      </c>
      <c r="J833" s="640">
        <f t="shared" si="27"/>
        <v>4895.3856000000005</v>
      </c>
      <c r="K833" s="54">
        <v>0</v>
      </c>
      <c r="L833" s="54">
        <v>2447.6928000000003</v>
      </c>
      <c r="M833" s="54">
        <v>2447.6928000000003</v>
      </c>
      <c r="N833" s="54"/>
      <c r="O833" s="54">
        <f t="shared" si="28"/>
        <v>22378.905600000002</v>
      </c>
    </row>
    <row r="834" spans="1:15" x14ac:dyDescent="0.2">
      <c r="A834" s="33">
        <v>43678</v>
      </c>
      <c r="B834" s="11">
        <v>35</v>
      </c>
      <c r="C834" s="11" t="s">
        <v>601</v>
      </c>
      <c r="D834" s="11" t="s">
        <v>602</v>
      </c>
      <c r="F834" s="11" t="s">
        <v>22</v>
      </c>
      <c r="G834" s="38">
        <v>3403</v>
      </c>
      <c r="H834" s="650">
        <v>43683</v>
      </c>
      <c r="I834" s="126">
        <v>44272.800000000003</v>
      </c>
      <c r="J834" s="640">
        <f t="shared" si="27"/>
        <v>12396.384</v>
      </c>
      <c r="K834" s="54">
        <v>0</v>
      </c>
      <c r="L834" s="54">
        <v>6198.192</v>
      </c>
      <c r="M834" s="54">
        <v>6198.192</v>
      </c>
      <c r="N834" s="54"/>
      <c r="O834" s="54">
        <f t="shared" si="28"/>
        <v>56669.184000000001</v>
      </c>
    </row>
    <row r="835" spans="1:15" x14ac:dyDescent="0.2">
      <c r="A835" s="33">
        <v>43678</v>
      </c>
      <c r="B835" s="11">
        <v>36</v>
      </c>
      <c r="C835" s="11" t="s">
        <v>479</v>
      </c>
      <c r="D835" s="11" t="s">
        <v>480</v>
      </c>
      <c r="F835" s="11" t="s">
        <v>22</v>
      </c>
      <c r="G835" s="38">
        <v>1196</v>
      </c>
      <c r="H835" s="650">
        <v>43684</v>
      </c>
      <c r="I835" s="126">
        <v>2000</v>
      </c>
      <c r="J835" s="640">
        <f t="shared" si="27"/>
        <v>360</v>
      </c>
      <c r="K835" s="54">
        <v>0</v>
      </c>
      <c r="L835" s="54">
        <v>180</v>
      </c>
      <c r="M835" s="54">
        <v>180</v>
      </c>
      <c r="N835" s="54"/>
      <c r="O835" s="54">
        <f t="shared" si="28"/>
        <v>2360</v>
      </c>
    </row>
    <row r="836" spans="1:15" x14ac:dyDescent="0.2">
      <c r="A836" s="33">
        <v>43678</v>
      </c>
      <c r="B836" s="11">
        <v>37</v>
      </c>
      <c r="C836" s="11" t="s">
        <v>471</v>
      </c>
      <c r="D836" s="11" t="s">
        <v>29</v>
      </c>
      <c r="F836" s="11" t="s">
        <v>22</v>
      </c>
      <c r="G836" s="38">
        <v>192004372</v>
      </c>
      <c r="H836" s="650">
        <v>43684</v>
      </c>
      <c r="I836" s="126">
        <v>17483.52</v>
      </c>
      <c r="J836" s="640">
        <f t="shared" ref="J836:J899" si="30">+K836+L836+M836+N836</f>
        <v>4895.3856000000005</v>
      </c>
      <c r="K836" s="54">
        <v>0</v>
      </c>
      <c r="L836" s="54">
        <v>2447.6928000000003</v>
      </c>
      <c r="M836" s="54">
        <v>2447.6928000000003</v>
      </c>
      <c r="N836" s="54"/>
      <c r="O836" s="54">
        <f t="shared" ref="O836:O899" si="31">+I836+J836</f>
        <v>22378.905600000002</v>
      </c>
    </row>
    <row r="837" spans="1:15" x14ac:dyDescent="0.2">
      <c r="A837" s="33">
        <v>43678</v>
      </c>
      <c r="B837" s="11">
        <v>38</v>
      </c>
      <c r="C837" s="11" t="s">
        <v>471</v>
      </c>
      <c r="D837" s="11" t="s">
        <v>29</v>
      </c>
      <c r="F837" s="11" t="s">
        <v>22</v>
      </c>
      <c r="G837" s="38">
        <v>192004373</v>
      </c>
      <c r="H837" s="650">
        <v>43684</v>
      </c>
      <c r="I837" s="126">
        <v>17483.52</v>
      </c>
      <c r="J837" s="640">
        <f t="shared" si="30"/>
        <v>4895.3856000000005</v>
      </c>
      <c r="K837" s="54">
        <v>0</v>
      </c>
      <c r="L837" s="54">
        <v>2447.6928000000003</v>
      </c>
      <c r="M837" s="54">
        <v>2447.6928000000003</v>
      </c>
      <c r="N837" s="54"/>
      <c r="O837" s="54">
        <f t="shared" si="31"/>
        <v>22378.905600000002</v>
      </c>
    </row>
    <row r="838" spans="1:15" x14ac:dyDescent="0.2">
      <c r="A838" s="33">
        <v>43678</v>
      </c>
      <c r="B838" s="11">
        <v>39</v>
      </c>
      <c r="C838" s="11" t="s">
        <v>881</v>
      </c>
      <c r="D838" s="11" t="s">
        <v>882</v>
      </c>
      <c r="F838" s="11" t="s">
        <v>22</v>
      </c>
      <c r="G838" s="38" t="s">
        <v>883</v>
      </c>
      <c r="H838" s="650">
        <v>43678</v>
      </c>
      <c r="I838" s="126">
        <v>15000</v>
      </c>
      <c r="J838" s="640">
        <f t="shared" si="30"/>
        <v>2700</v>
      </c>
      <c r="K838" s="54">
        <v>0</v>
      </c>
      <c r="L838" s="54">
        <v>1350</v>
      </c>
      <c r="M838" s="54">
        <v>1350</v>
      </c>
      <c r="N838" s="54"/>
      <c r="O838" s="54">
        <f t="shared" si="31"/>
        <v>17700</v>
      </c>
    </row>
    <row r="839" spans="1:15" x14ac:dyDescent="0.2">
      <c r="A839" s="33">
        <v>43678</v>
      </c>
      <c r="B839" s="11">
        <v>40</v>
      </c>
      <c r="C839" s="11" t="s">
        <v>705</v>
      </c>
      <c r="D839" s="11" t="s">
        <v>706</v>
      </c>
      <c r="F839" s="11" t="s">
        <v>22</v>
      </c>
      <c r="G839" s="38" t="s">
        <v>884</v>
      </c>
      <c r="H839" s="650">
        <v>43684</v>
      </c>
      <c r="I839" s="126">
        <v>2924</v>
      </c>
      <c r="J839" s="640">
        <f t="shared" si="30"/>
        <v>818.71999999999991</v>
      </c>
      <c r="K839" s="54">
        <v>0</v>
      </c>
      <c r="L839" s="54">
        <v>409.35999999999996</v>
      </c>
      <c r="M839" s="54">
        <v>409.35999999999996</v>
      </c>
      <c r="N839" s="54"/>
      <c r="O839" s="54">
        <f t="shared" si="31"/>
        <v>3742.72</v>
      </c>
    </row>
    <row r="840" spans="1:15" x14ac:dyDescent="0.2">
      <c r="A840" s="33">
        <v>43678</v>
      </c>
      <c r="B840" s="11">
        <v>41</v>
      </c>
      <c r="C840" s="11" t="s">
        <v>495</v>
      </c>
      <c r="D840" s="11" t="s">
        <v>74</v>
      </c>
      <c r="F840" s="11" t="s">
        <v>22</v>
      </c>
      <c r="G840" s="38">
        <v>5510053896</v>
      </c>
      <c r="H840" s="650">
        <v>43684</v>
      </c>
      <c r="I840" s="126">
        <v>39816</v>
      </c>
      <c r="J840" s="640">
        <f t="shared" si="30"/>
        <v>7166.88</v>
      </c>
      <c r="K840" s="54">
        <v>0</v>
      </c>
      <c r="L840" s="54">
        <v>3583.44</v>
      </c>
      <c r="M840" s="54">
        <v>3583.44</v>
      </c>
      <c r="N840" s="54"/>
      <c r="O840" s="54">
        <f t="shared" si="31"/>
        <v>46982.879999999997</v>
      </c>
    </row>
    <row r="841" spans="1:15" x14ac:dyDescent="0.2">
      <c r="A841" s="33">
        <v>43678</v>
      </c>
      <c r="B841" s="11">
        <v>42</v>
      </c>
      <c r="C841" s="11" t="s">
        <v>554</v>
      </c>
      <c r="D841" s="11" t="s">
        <v>555</v>
      </c>
      <c r="F841" s="11" t="s">
        <v>22</v>
      </c>
      <c r="G841" s="38">
        <v>10451</v>
      </c>
      <c r="H841" s="650">
        <v>43684</v>
      </c>
      <c r="I841" s="126">
        <v>189</v>
      </c>
      <c r="J841" s="640">
        <f t="shared" si="30"/>
        <v>52.919999999999995</v>
      </c>
      <c r="K841" s="54">
        <v>0</v>
      </c>
      <c r="L841" s="54">
        <v>26.459999999999997</v>
      </c>
      <c r="M841" s="54">
        <v>26.459999999999997</v>
      </c>
      <c r="N841" s="54"/>
      <c r="O841" s="54">
        <f t="shared" si="31"/>
        <v>241.92</v>
      </c>
    </row>
    <row r="842" spans="1:15" x14ac:dyDescent="0.2">
      <c r="A842" s="33">
        <v>43678</v>
      </c>
      <c r="B842" s="11">
        <v>43</v>
      </c>
      <c r="C842" s="11" t="s">
        <v>476</v>
      </c>
      <c r="D842" s="11" t="s">
        <v>477</v>
      </c>
      <c r="F842" s="11" t="s">
        <v>22</v>
      </c>
      <c r="G842" s="38" t="s">
        <v>885</v>
      </c>
      <c r="H842" s="650">
        <v>43678</v>
      </c>
      <c r="I842" s="126">
        <v>376945</v>
      </c>
      <c r="J842" s="640">
        <f t="shared" si="30"/>
        <v>105544.59999999999</v>
      </c>
      <c r="K842" s="54">
        <v>0</v>
      </c>
      <c r="L842" s="54">
        <v>52772.299999999996</v>
      </c>
      <c r="M842" s="54">
        <v>52772.299999999996</v>
      </c>
      <c r="N842" s="54"/>
      <c r="O842" s="54">
        <f t="shared" si="31"/>
        <v>482489.59999999998</v>
      </c>
    </row>
    <row r="843" spans="1:15" x14ac:dyDescent="0.2">
      <c r="A843" s="33">
        <v>43678</v>
      </c>
      <c r="B843" s="11">
        <v>44</v>
      </c>
      <c r="C843" s="11" t="s">
        <v>489</v>
      </c>
      <c r="D843" s="11" t="s">
        <v>490</v>
      </c>
      <c r="F843" s="11" t="s">
        <v>22</v>
      </c>
      <c r="G843" s="38">
        <v>7887987202</v>
      </c>
      <c r="H843" s="650">
        <v>43685</v>
      </c>
      <c r="I843" s="126">
        <v>13160</v>
      </c>
      <c r="J843" s="640">
        <f t="shared" si="30"/>
        <v>2368.7999999999997</v>
      </c>
      <c r="K843" s="54">
        <v>0</v>
      </c>
      <c r="L843" s="54">
        <v>1184.3999999999999</v>
      </c>
      <c r="M843" s="54">
        <v>1184.3999999999999</v>
      </c>
      <c r="N843" s="54"/>
      <c r="O843" s="54">
        <f t="shared" si="31"/>
        <v>15528.8</v>
      </c>
    </row>
    <row r="844" spans="1:15" x14ac:dyDescent="0.2">
      <c r="A844" s="33">
        <v>43678</v>
      </c>
      <c r="B844" s="11">
        <v>45</v>
      </c>
      <c r="C844" s="11" t="s">
        <v>489</v>
      </c>
      <c r="D844" s="11" t="s">
        <v>490</v>
      </c>
      <c r="F844" s="11" t="s">
        <v>22</v>
      </c>
      <c r="G844" s="38">
        <v>7887987203</v>
      </c>
      <c r="H844" s="650">
        <v>43685</v>
      </c>
      <c r="I844" s="126">
        <v>7960</v>
      </c>
      <c r="J844" s="640">
        <f t="shared" si="30"/>
        <v>1432.8</v>
      </c>
      <c r="K844" s="54">
        <v>0</v>
      </c>
      <c r="L844" s="54">
        <v>716.4</v>
      </c>
      <c r="M844" s="54">
        <v>716.4</v>
      </c>
      <c r="N844" s="54"/>
      <c r="O844" s="54">
        <f t="shared" si="31"/>
        <v>9392.7999999999993</v>
      </c>
    </row>
    <row r="845" spans="1:15" x14ac:dyDescent="0.2">
      <c r="A845" s="33">
        <v>43678</v>
      </c>
      <c r="B845" s="11">
        <v>46</v>
      </c>
      <c r="C845" s="11" t="s">
        <v>471</v>
      </c>
      <c r="D845" s="11" t="s">
        <v>29</v>
      </c>
      <c r="F845" s="11" t="s">
        <v>22</v>
      </c>
      <c r="G845" s="38">
        <v>192004424</v>
      </c>
      <c r="H845" s="650">
        <v>43685</v>
      </c>
      <c r="I845" s="126">
        <v>17483.52</v>
      </c>
      <c r="J845" s="640">
        <f t="shared" si="30"/>
        <v>4895.3856000000005</v>
      </c>
      <c r="K845" s="54">
        <v>0</v>
      </c>
      <c r="L845" s="54">
        <v>2447.6928000000003</v>
      </c>
      <c r="M845" s="54">
        <v>2447.6928000000003</v>
      </c>
      <c r="N845" s="54"/>
      <c r="O845" s="54">
        <f t="shared" si="31"/>
        <v>22378.905600000002</v>
      </c>
    </row>
    <row r="846" spans="1:15" x14ac:dyDescent="0.2">
      <c r="A846" s="33">
        <v>43678</v>
      </c>
      <c r="B846" s="11">
        <v>47</v>
      </c>
      <c r="C846" s="11" t="s">
        <v>471</v>
      </c>
      <c r="D846" s="11" t="s">
        <v>29</v>
      </c>
      <c r="F846" s="11" t="s">
        <v>22</v>
      </c>
      <c r="G846" s="38">
        <v>192004425</v>
      </c>
      <c r="H846" s="650">
        <v>43685</v>
      </c>
      <c r="I846" s="126">
        <v>17483.52</v>
      </c>
      <c r="J846" s="640">
        <f t="shared" si="30"/>
        <v>4895.3856000000005</v>
      </c>
      <c r="K846" s="54">
        <v>0</v>
      </c>
      <c r="L846" s="54">
        <v>2447.6928000000003</v>
      </c>
      <c r="M846" s="54">
        <v>2447.6928000000003</v>
      </c>
      <c r="N846" s="54"/>
      <c r="O846" s="54">
        <f t="shared" si="31"/>
        <v>22378.905600000002</v>
      </c>
    </row>
    <row r="847" spans="1:15" x14ac:dyDescent="0.2">
      <c r="A847" s="33">
        <v>43678</v>
      </c>
      <c r="B847" s="11">
        <v>48</v>
      </c>
      <c r="C847" s="11" t="s">
        <v>554</v>
      </c>
      <c r="D847" s="11" t="s">
        <v>555</v>
      </c>
      <c r="F847" s="11" t="s">
        <v>22</v>
      </c>
      <c r="G847" s="38">
        <v>10541</v>
      </c>
      <c r="H847" s="650">
        <v>43685</v>
      </c>
      <c r="I847" s="126">
        <v>15646</v>
      </c>
      <c r="J847" s="640">
        <f t="shared" si="30"/>
        <v>4380.88</v>
      </c>
      <c r="K847" s="54">
        <v>0</v>
      </c>
      <c r="L847" s="54">
        <v>2190.44</v>
      </c>
      <c r="M847" s="54">
        <v>2190.44</v>
      </c>
      <c r="N847" s="54"/>
      <c r="O847" s="54">
        <f t="shared" si="31"/>
        <v>20026.88</v>
      </c>
    </row>
    <row r="848" spans="1:15" x14ac:dyDescent="0.2">
      <c r="A848" s="33">
        <v>43678</v>
      </c>
      <c r="B848" s="11">
        <v>49</v>
      </c>
      <c r="C848" s="11" t="s">
        <v>493</v>
      </c>
      <c r="D848" s="11" t="s">
        <v>494</v>
      </c>
      <c r="F848" s="11" t="s">
        <v>22</v>
      </c>
      <c r="G848" s="38">
        <v>2345</v>
      </c>
      <c r="H848" s="650">
        <v>43685</v>
      </c>
      <c r="I848" s="126">
        <v>38623.199999999997</v>
      </c>
      <c r="J848" s="640">
        <f t="shared" si="30"/>
        <v>6952.1759999999995</v>
      </c>
      <c r="K848" s="54">
        <v>0</v>
      </c>
      <c r="L848" s="54">
        <v>3476.0879999999997</v>
      </c>
      <c r="M848" s="54">
        <v>3476.0879999999997</v>
      </c>
      <c r="N848" s="54"/>
      <c r="O848" s="54">
        <f t="shared" si="31"/>
        <v>45575.375999999997</v>
      </c>
    </row>
    <row r="849" spans="1:15" x14ac:dyDescent="0.2">
      <c r="A849" s="33">
        <v>43678</v>
      </c>
      <c r="B849" s="11">
        <v>50</v>
      </c>
      <c r="C849" s="11" t="s">
        <v>541</v>
      </c>
      <c r="D849" s="11" t="s">
        <v>542</v>
      </c>
      <c r="F849" s="11" t="s">
        <v>22</v>
      </c>
      <c r="G849" s="38" t="s">
        <v>886</v>
      </c>
      <c r="H849" s="650">
        <v>43678</v>
      </c>
      <c r="I849" s="126">
        <v>3500</v>
      </c>
      <c r="J849" s="640">
        <f t="shared" si="30"/>
        <v>630</v>
      </c>
      <c r="K849" s="54">
        <v>0</v>
      </c>
      <c r="L849" s="54">
        <v>315</v>
      </c>
      <c r="M849" s="54">
        <v>315</v>
      </c>
      <c r="N849" s="54"/>
      <c r="O849" s="54">
        <f t="shared" si="31"/>
        <v>4130</v>
      </c>
    </row>
    <row r="850" spans="1:15" x14ac:dyDescent="0.2">
      <c r="A850" s="33">
        <v>43678</v>
      </c>
      <c r="B850" s="11">
        <v>51</v>
      </c>
      <c r="C850" s="11" t="s">
        <v>479</v>
      </c>
      <c r="D850" s="11" t="s">
        <v>480</v>
      </c>
      <c r="F850" s="11" t="s">
        <v>22</v>
      </c>
      <c r="G850" s="38">
        <v>1197</v>
      </c>
      <c r="H850" s="650">
        <v>43684</v>
      </c>
      <c r="I850" s="126">
        <v>2900</v>
      </c>
      <c r="J850" s="640">
        <f t="shared" si="30"/>
        <v>522</v>
      </c>
      <c r="K850" s="54">
        <v>0</v>
      </c>
      <c r="L850" s="54">
        <v>261</v>
      </c>
      <c r="M850" s="54">
        <v>261</v>
      </c>
      <c r="N850" s="54"/>
      <c r="O850" s="54">
        <f t="shared" si="31"/>
        <v>3422</v>
      </c>
    </row>
    <row r="851" spans="1:15" x14ac:dyDescent="0.2">
      <c r="A851" s="33">
        <v>43678</v>
      </c>
      <c r="B851" s="11">
        <v>52</v>
      </c>
      <c r="C851" s="11" t="s">
        <v>554</v>
      </c>
      <c r="D851" s="11" t="s">
        <v>555</v>
      </c>
      <c r="F851" s="11" t="s">
        <v>22</v>
      </c>
      <c r="G851" s="38">
        <v>10565</v>
      </c>
      <c r="H851" s="650">
        <v>43686</v>
      </c>
      <c r="I851" s="126">
        <v>11148.5</v>
      </c>
      <c r="J851" s="640">
        <f t="shared" si="30"/>
        <v>3121.58</v>
      </c>
      <c r="K851" s="54">
        <v>0</v>
      </c>
      <c r="L851" s="54">
        <v>1560.79</v>
      </c>
      <c r="M851" s="54">
        <v>1560.79</v>
      </c>
      <c r="N851" s="54"/>
      <c r="O851" s="54">
        <f t="shared" si="31"/>
        <v>14270.08</v>
      </c>
    </row>
    <row r="852" spans="1:15" x14ac:dyDescent="0.2">
      <c r="A852" s="33">
        <v>43678</v>
      </c>
      <c r="B852" s="11">
        <v>53</v>
      </c>
      <c r="C852" s="11" t="s">
        <v>489</v>
      </c>
      <c r="D852" s="11" t="s">
        <v>490</v>
      </c>
      <c r="F852" s="11" t="s">
        <v>22</v>
      </c>
      <c r="G852" s="38">
        <v>7887987194</v>
      </c>
      <c r="H852" s="650">
        <v>43685</v>
      </c>
      <c r="I852" s="126">
        <v>45000</v>
      </c>
      <c r="J852" s="640">
        <f t="shared" si="30"/>
        <v>8100</v>
      </c>
      <c r="K852" s="54">
        <v>0</v>
      </c>
      <c r="L852" s="54">
        <v>4050</v>
      </c>
      <c r="M852" s="54">
        <v>4050</v>
      </c>
      <c r="N852" s="54"/>
      <c r="O852" s="54">
        <f t="shared" si="31"/>
        <v>53100</v>
      </c>
    </row>
    <row r="853" spans="1:15" x14ac:dyDescent="0.2">
      <c r="A853" s="33">
        <v>43678</v>
      </c>
      <c r="B853" s="11">
        <v>54</v>
      </c>
      <c r="C853" s="11" t="s">
        <v>499</v>
      </c>
      <c r="D853" s="11" t="s">
        <v>500</v>
      </c>
      <c r="F853" s="11" t="s">
        <v>22</v>
      </c>
      <c r="G853" s="38" t="s">
        <v>887</v>
      </c>
      <c r="H853" s="650">
        <v>43679</v>
      </c>
      <c r="I853" s="126">
        <v>675</v>
      </c>
      <c r="J853" s="640">
        <f t="shared" si="30"/>
        <v>121.5</v>
      </c>
      <c r="K853" s="54">
        <v>0</v>
      </c>
      <c r="L853" s="54">
        <v>60.75</v>
      </c>
      <c r="M853" s="54">
        <v>60.75</v>
      </c>
      <c r="N853" s="54"/>
      <c r="O853" s="54">
        <f t="shared" si="31"/>
        <v>796.5</v>
      </c>
    </row>
    <row r="854" spans="1:15" x14ac:dyDescent="0.2">
      <c r="A854" s="33">
        <v>43678</v>
      </c>
      <c r="B854" s="11">
        <v>55</v>
      </c>
      <c r="C854" s="11" t="s">
        <v>499</v>
      </c>
      <c r="D854" s="11" t="s">
        <v>500</v>
      </c>
      <c r="F854" s="11" t="s">
        <v>22</v>
      </c>
      <c r="G854" s="38" t="s">
        <v>888</v>
      </c>
      <c r="H854" s="650">
        <v>43685</v>
      </c>
      <c r="I854" s="126">
        <v>1780</v>
      </c>
      <c r="J854" s="640">
        <f t="shared" si="30"/>
        <v>320.40000000000003</v>
      </c>
      <c r="K854" s="54">
        <v>0</v>
      </c>
      <c r="L854" s="54">
        <v>160.20000000000002</v>
      </c>
      <c r="M854" s="54">
        <v>160.20000000000002</v>
      </c>
      <c r="N854" s="54"/>
      <c r="O854" s="54">
        <f t="shared" si="31"/>
        <v>2100.4</v>
      </c>
    </row>
    <row r="855" spans="1:15" x14ac:dyDescent="0.2">
      <c r="A855" s="33">
        <v>43678</v>
      </c>
      <c r="B855" s="11">
        <v>56</v>
      </c>
      <c r="C855" s="11" t="s">
        <v>499</v>
      </c>
      <c r="D855" s="11" t="s">
        <v>500</v>
      </c>
      <c r="F855" s="11" t="s">
        <v>22</v>
      </c>
      <c r="G855" s="38" t="s">
        <v>889</v>
      </c>
      <c r="H855" s="650">
        <v>43685</v>
      </c>
      <c r="I855" s="126">
        <v>3948</v>
      </c>
      <c r="J855" s="640">
        <f t="shared" si="30"/>
        <v>281.64</v>
      </c>
      <c r="K855" s="54">
        <v>0</v>
      </c>
      <c r="L855" s="54">
        <v>140.82</v>
      </c>
      <c r="M855" s="54">
        <v>140.82</v>
      </c>
      <c r="N855" s="54"/>
      <c r="O855" s="54">
        <f t="shared" si="31"/>
        <v>4229.6400000000003</v>
      </c>
    </row>
    <row r="856" spans="1:15" x14ac:dyDescent="0.2">
      <c r="A856" s="33">
        <v>43678</v>
      </c>
      <c r="B856" s="11">
        <v>57</v>
      </c>
      <c r="C856" s="11" t="s">
        <v>499</v>
      </c>
      <c r="D856" s="11" t="s">
        <v>500</v>
      </c>
      <c r="F856" s="11" t="s">
        <v>22</v>
      </c>
      <c r="G856" s="38" t="s">
        <v>890</v>
      </c>
      <c r="H856" s="650">
        <v>43686</v>
      </c>
      <c r="I856" s="126">
        <v>7135</v>
      </c>
      <c r="J856" s="640">
        <f t="shared" si="30"/>
        <v>909.9</v>
      </c>
      <c r="K856" s="54">
        <v>0</v>
      </c>
      <c r="L856" s="54">
        <v>454.95</v>
      </c>
      <c r="M856" s="54">
        <v>454.95</v>
      </c>
      <c r="N856" s="54"/>
      <c r="O856" s="54">
        <f t="shared" si="31"/>
        <v>8044.9</v>
      </c>
    </row>
    <row r="857" spans="1:15" x14ac:dyDescent="0.2">
      <c r="A857" s="33">
        <v>43678</v>
      </c>
      <c r="B857" s="11">
        <v>58</v>
      </c>
      <c r="C857" s="11" t="s">
        <v>499</v>
      </c>
      <c r="D857" s="11" t="s">
        <v>500</v>
      </c>
      <c r="F857" s="11" t="s">
        <v>22</v>
      </c>
      <c r="G857" s="38" t="s">
        <v>891</v>
      </c>
      <c r="H857" s="650">
        <v>43686</v>
      </c>
      <c r="I857" s="126">
        <v>440</v>
      </c>
      <c r="J857" s="640">
        <f t="shared" si="30"/>
        <v>70.2</v>
      </c>
      <c r="K857" s="54">
        <v>0</v>
      </c>
      <c r="L857" s="54">
        <v>35.1</v>
      </c>
      <c r="M857" s="54">
        <v>35.1</v>
      </c>
      <c r="N857" s="54"/>
      <c r="O857" s="54">
        <f t="shared" si="31"/>
        <v>510.2</v>
      </c>
    </row>
    <row r="858" spans="1:15" x14ac:dyDescent="0.2">
      <c r="A858" s="33">
        <v>43678</v>
      </c>
      <c r="B858" s="11">
        <v>59</v>
      </c>
      <c r="C858" s="11" t="s">
        <v>479</v>
      </c>
      <c r="D858" s="11" t="s">
        <v>480</v>
      </c>
      <c r="F858" s="11" t="s">
        <v>22</v>
      </c>
      <c r="G858" s="38">
        <v>1200</v>
      </c>
      <c r="H858" s="650">
        <v>43686</v>
      </c>
      <c r="I858" s="126">
        <v>4000</v>
      </c>
      <c r="J858" s="640">
        <f t="shared" si="30"/>
        <v>720</v>
      </c>
      <c r="K858" s="54">
        <v>0</v>
      </c>
      <c r="L858" s="54">
        <v>360</v>
      </c>
      <c r="M858" s="54">
        <v>360</v>
      </c>
      <c r="N858" s="54"/>
      <c r="O858" s="54">
        <f t="shared" si="31"/>
        <v>4720</v>
      </c>
    </row>
    <row r="859" spans="1:15" x14ac:dyDescent="0.2">
      <c r="A859" s="33">
        <v>43678</v>
      </c>
      <c r="B859" s="11">
        <v>60</v>
      </c>
      <c r="C859" s="11" t="s">
        <v>892</v>
      </c>
      <c r="D859" s="11" t="s">
        <v>893</v>
      </c>
      <c r="F859" s="11" t="s">
        <v>22</v>
      </c>
      <c r="G859" s="38" t="s">
        <v>894</v>
      </c>
      <c r="H859" s="650">
        <v>43686</v>
      </c>
      <c r="I859" s="126">
        <v>10000</v>
      </c>
      <c r="J859" s="640">
        <f t="shared" si="30"/>
        <v>1800</v>
      </c>
      <c r="K859" s="54">
        <v>0</v>
      </c>
      <c r="L859" s="54">
        <v>900</v>
      </c>
      <c r="M859" s="54">
        <v>900</v>
      </c>
      <c r="N859" s="54"/>
      <c r="O859" s="54">
        <f t="shared" si="31"/>
        <v>11800</v>
      </c>
    </row>
    <row r="860" spans="1:15" x14ac:dyDescent="0.2">
      <c r="A860" s="33">
        <v>43678</v>
      </c>
      <c r="B860" s="11">
        <v>61</v>
      </c>
      <c r="C860" s="11" t="s">
        <v>495</v>
      </c>
      <c r="D860" s="11" t="s">
        <v>74</v>
      </c>
      <c r="F860" s="11" t="s">
        <v>22</v>
      </c>
      <c r="G860" s="38">
        <v>5510054124</v>
      </c>
      <c r="H860" s="650">
        <v>43686</v>
      </c>
      <c r="I860" s="126">
        <v>47779.199999999997</v>
      </c>
      <c r="J860" s="640">
        <f t="shared" si="30"/>
        <v>8600.2559999999994</v>
      </c>
      <c r="K860" s="54">
        <v>0</v>
      </c>
      <c r="L860" s="54">
        <v>4300.1279999999997</v>
      </c>
      <c r="M860" s="54">
        <v>4300.1279999999997</v>
      </c>
      <c r="N860" s="54"/>
      <c r="O860" s="54">
        <f t="shared" si="31"/>
        <v>56379.455999999998</v>
      </c>
    </row>
    <row r="861" spans="1:15" x14ac:dyDescent="0.2">
      <c r="A861" s="33">
        <v>43678</v>
      </c>
      <c r="B861" s="11">
        <v>62</v>
      </c>
      <c r="C861" s="11" t="s">
        <v>747</v>
      </c>
      <c r="D861" s="11" t="s">
        <v>748</v>
      </c>
      <c r="F861" s="11" t="s">
        <v>22</v>
      </c>
      <c r="G861" s="38" t="s">
        <v>895</v>
      </c>
      <c r="H861" s="650">
        <v>43686</v>
      </c>
      <c r="I861" s="126">
        <v>650</v>
      </c>
      <c r="J861" s="640">
        <f t="shared" si="30"/>
        <v>117</v>
      </c>
      <c r="K861" s="54">
        <v>0</v>
      </c>
      <c r="L861" s="54">
        <v>58.5</v>
      </c>
      <c r="M861" s="54">
        <v>58.5</v>
      </c>
      <c r="N861" s="54"/>
      <c r="O861" s="54">
        <f t="shared" si="31"/>
        <v>767</v>
      </c>
    </row>
    <row r="862" spans="1:15" x14ac:dyDescent="0.2">
      <c r="A862" s="33">
        <v>43678</v>
      </c>
      <c r="B862" s="11">
        <v>63</v>
      </c>
      <c r="C862" s="11" t="s">
        <v>554</v>
      </c>
      <c r="D862" s="11" t="s">
        <v>555</v>
      </c>
      <c r="F862" s="11" t="s">
        <v>22</v>
      </c>
      <c r="G862" s="38">
        <v>10608</v>
      </c>
      <c r="H862" s="650">
        <v>43687</v>
      </c>
      <c r="I862" s="126">
        <v>4725</v>
      </c>
      <c r="J862" s="640">
        <f t="shared" si="30"/>
        <v>1323</v>
      </c>
      <c r="K862" s="54">
        <v>0</v>
      </c>
      <c r="L862" s="54">
        <v>661.5</v>
      </c>
      <c r="M862" s="54">
        <v>661.5</v>
      </c>
      <c r="N862" s="54"/>
      <c r="O862" s="54">
        <f t="shared" si="31"/>
        <v>6048</v>
      </c>
    </row>
    <row r="863" spans="1:15" x14ac:dyDescent="0.2">
      <c r="A863" s="33">
        <v>43678</v>
      </c>
      <c r="B863" s="11">
        <v>64</v>
      </c>
      <c r="C863" s="11" t="s">
        <v>489</v>
      </c>
      <c r="D863" s="11" t="s">
        <v>490</v>
      </c>
      <c r="F863" s="11" t="s">
        <v>22</v>
      </c>
      <c r="G863" s="38">
        <v>7887987272</v>
      </c>
      <c r="H863" s="650">
        <v>43687</v>
      </c>
      <c r="I863" s="126">
        <v>35396</v>
      </c>
      <c r="J863" s="640">
        <f t="shared" si="30"/>
        <v>6371.28</v>
      </c>
      <c r="K863" s="54">
        <v>0</v>
      </c>
      <c r="L863" s="54">
        <v>3185.64</v>
      </c>
      <c r="M863" s="54">
        <v>3185.64</v>
      </c>
      <c r="N863" s="54"/>
      <c r="O863" s="54">
        <f t="shared" si="31"/>
        <v>41767.279999999999</v>
      </c>
    </row>
    <row r="864" spans="1:15" x14ac:dyDescent="0.2">
      <c r="A864" s="33">
        <v>43678</v>
      </c>
      <c r="B864" s="11">
        <v>65</v>
      </c>
      <c r="C864" s="11" t="s">
        <v>489</v>
      </c>
      <c r="D864" s="11" t="s">
        <v>490</v>
      </c>
      <c r="F864" s="11" t="s">
        <v>22</v>
      </c>
      <c r="G864" s="38">
        <v>7887987274</v>
      </c>
      <c r="H864" s="650">
        <v>43687</v>
      </c>
      <c r="I864" s="126">
        <v>7960</v>
      </c>
      <c r="J864" s="640">
        <f t="shared" si="30"/>
        <v>1432.8</v>
      </c>
      <c r="K864" s="54">
        <v>0</v>
      </c>
      <c r="L864" s="54">
        <v>716.4</v>
      </c>
      <c r="M864" s="54">
        <v>716.4</v>
      </c>
      <c r="N864" s="54"/>
      <c r="O864" s="54">
        <f t="shared" si="31"/>
        <v>9392.7999999999993</v>
      </c>
    </row>
    <row r="865" spans="1:15" x14ac:dyDescent="0.2">
      <c r="A865" s="33">
        <v>43678</v>
      </c>
      <c r="B865" s="11">
        <v>66</v>
      </c>
      <c r="C865" s="11" t="s">
        <v>479</v>
      </c>
      <c r="D865" s="11" t="s">
        <v>480</v>
      </c>
      <c r="F865" s="11" t="s">
        <v>22</v>
      </c>
      <c r="G865" s="38">
        <v>1204</v>
      </c>
      <c r="H865" s="650">
        <v>43687</v>
      </c>
      <c r="I865" s="126">
        <v>8000</v>
      </c>
      <c r="J865" s="640">
        <f t="shared" si="30"/>
        <v>1440</v>
      </c>
      <c r="K865" s="54">
        <v>0</v>
      </c>
      <c r="L865" s="54">
        <v>720</v>
      </c>
      <c r="M865" s="54">
        <v>720</v>
      </c>
      <c r="N865" s="54"/>
      <c r="O865" s="54">
        <f t="shared" si="31"/>
        <v>9440</v>
      </c>
    </row>
    <row r="866" spans="1:15" x14ac:dyDescent="0.2">
      <c r="A866" s="33">
        <v>43678</v>
      </c>
      <c r="B866" s="11">
        <v>67</v>
      </c>
      <c r="C866" s="11" t="s">
        <v>517</v>
      </c>
      <c r="D866" s="11" t="s">
        <v>256</v>
      </c>
      <c r="F866" s="11" t="s">
        <v>22</v>
      </c>
      <c r="G866" s="38">
        <v>19614537</v>
      </c>
      <c r="H866" s="650">
        <v>43687</v>
      </c>
      <c r="I866" s="126">
        <v>738.89</v>
      </c>
      <c r="J866" s="640">
        <f t="shared" si="30"/>
        <v>206.88919999999999</v>
      </c>
      <c r="K866" s="54">
        <v>206.88919999999999</v>
      </c>
      <c r="L866" s="54">
        <v>0</v>
      </c>
      <c r="M866" s="54">
        <v>0</v>
      </c>
      <c r="N866" s="54"/>
      <c r="O866" s="54">
        <f t="shared" si="31"/>
        <v>945.77919999999995</v>
      </c>
    </row>
    <row r="867" spans="1:15" x14ac:dyDescent="0.2">
      <c r="A867" s="33">
        <v>43678</v>
      </c>
      <c r="B867" s="11">
        <v>68</v>
      </c>
      <c r="C867" s="11" t="s">
        <v>554</v>
      </c>
      <c r="D867" s="11" t="s">
        <v>555</v>
      </c>
      <c r="F867" s="11" t="s">
        <v>22</v>
      </c>
      <c r="G867" s="38">
        <v>10652</v>
      </c>
      <c r="H867" s="650">
        <v>43689</v>
      </c>
      <c r="I867" s="126">
        <v>9450</v>
      </c>
      <c r="J867" s="640">
        <f t="shared" si="30"/>
        <v>2646</v>
      </c>
      <c r="K867" s="54">
        <v>0</v>
      </c>
      <c r="L867" s="54">
        <v>1323</v>
      </c>
      <c r="M867" s="54">
        <v>1323</v>
      </c>
      <c r="N867" s="54"/>
      <c r="O867" s="54">
        <f t="shared" si="31"/>
        <v>12096</v>
      </c>
    </row>
    <row r="868" spans="1:15" x14ac:dyDescent="0.2">
      <c r="A868" s="33">
        <v>43678</v>
      </c>
      <c r="B868" s="11">
        <v>69</v>
      </c>
      <c r="C868" s="11" t="s">
        <v>471</v>
      </c>
      <c r="D868" s="11" t="s">
        <v>29</v>
      </c>
      <c r="F868" s="11" t="s">
        <v>22</v>
      </c>
      <c r="G868" s="38">
        <v>192004478</v>
      </c>
      <c r="H868" s="650">
        <v>43689</v>
      </c>
      <c r="I868" s="126">
        <v>17483.52</v>
      </c>
      <c r="J868" s="640">
        <f t="shared" si="30"/>
        <v>4895.3856000000005</v>
      </c>
      <c r="K868" s="54">
        <v>0</v>
      </c>
      <c r="L868" s="54">
        <v>2447.6928000000003</v>
      </c>
      <c r="M868" s="54">
        <v>2447.6928000000003</v>
      </c>
      <c r="N868" s="54"/>
      <c r="O868" s="54">
        <f t="shared" si="31"/>
        <v>22378.905600000002</v>
      </c>
    </row>
    <row r="869" spans="1:15" x14ac:dyDescent="0.2">
      <c r="A869" s="33">
        <v>43678</v>
      </c>
      <c r="B869" s="11">
        <v>70</v>
      </c>
      <c r="C869" s="11" t="s">
        <v>601</v>
      </c>
      <c r="D869" s="11" t="s">
        <v>602</v>
      </c>
      <c r="F869" s="11" t="s">
        <v>22</v>
      </c>
      <c r="G869" s="38">
        <v>3534</v>
      </c>
      <c r="H869" s="650">
        <v>43689</v>
      </c>
      <c r="I869" s="126">
        <v>35758.800000000003</v>
      </c>
      <c r="J869" s="640">
        <f t="shared" si="30"/>
        <v>10012.464</v>
      </c>
      <c r="K869" s="54">
        <v>0</v>
      </c>
      <c r="L869" s="54">
        <v>5006.232</v>
      </c>
      <c r="M869" s="54">
        <v>5006.232</v>
      </c>
      <c r="N869" s="54"/>
      <c r="O869" s="54">
        <f t="shared" si="31"/>
        <v>45771.264000000003</v>
      </c>
    </row>
    <row r="870" spans="1:15" x14ac:dyDescent="0.2">
      <c r="A870" s="33">
        <v>43678</v>
      </c>
      <c r="B870" s="11">
        <v>71</v>
      </c>
      <c r="C870" s="11" t="s">
        <v>601</v>
      </c>
      <c r="D870" s="11" t="s">
        <v>602</v>
      </c>
      <c r="F870" s="11" t="s">
        <v>22</v>
      </c>
      <c r="G870" s="38">
        <v>3535</v>
      </c>
      <c r="H870" s="650">
        <v>43689</v>
      </c>
      <c r="I870" s="126">
        <v>10713.6</v>
      </c>
      <c r="J870" s="640">
        <f t="shared" si="30"/>
        <v>2999.8080000000004</v>
      </c>
      <c r="K870" s="54">
        <v>0</v>
      </c>
      <c r="L870" s="54">
        <v>1499.9040000000002</v>
      </c>
      <c r="M870" s="54">
        <v>1499.9040000000002</v>
      </c>
      <c r="N870" s="54"/>
      <c r="O870" s="54">
        <f t="shared" si="31"/>
        <v>13713.408000000001</v>
      </c>
    </row>
    <row r="871" spans="1:15" x14ac:dyDescent="0.2">
      <c r="A871" s="33">
        <v>43678</v>
      </c>
      <c r="B871" s="11">
        <v>72</v>
      </c>
      <c r="C871" s="11" t="s">
        <v>857</v>
      </c>
      <c r="D871" s="11" t="s">
        <v>858</v>
      </c>
      <c r="F871" s="11" t="s">
        <v>22</v>
      </c>
      <c r="G871" s="38" t="s">
        <v>896</v>
      </c>
      <c r="H871" s="650">
        <v>43689</v>
      </c>
      <c r="I871" s="126">
        <v>10000</v>
      </c>
      <c r="J871" s="640">
        <f t="shared" si="30"/>
        <v>1800</v>
      </c>
      <c r="K871" s="54">
        <v>0</v>
      </c>
      <c r="L871" s="54">
        <v>900</v>
      </c>
      <c r="M871" s="54">
        <v>900</v>
      </c>
      <c r="N871" s="54"/>
      <c r="O871" s="54">
        <f t="shared" si="31"/>
        <v>11800</v>
      </c>
    </row>
    <row r="872" spans="1:15" x14ac:dyDescent="0.2">
      <c r="A872" s="33">
        <v>43678</v>
      </c>
      <c r="B872" s="11">
        <v>73</v>
      </c>
      <c r="C872" s="11" t="s">
        <v>554</v>
      </c>
      <c r="D872" s="11" t="s">
        <v>555</v>
      </c>
      <c r="F872" s="11" t="s">
        <v>22</v>
      </c>
      <c r="G872" s="38">
        <v>10709</v>
      </c>
      <c r="H872" s="650">
        <v>43689</v>
      </c>
      <c r="I872" s="126">
        <v>13683.4</v>
      </c>
      <c r="J872" s="640">
        <f t="shared" si="30"/>
        <v>3831.3519999999999</v>
      </c>
      <c r="K872" s="54">
        <v>0</v>
      </c>
      <c r="L872" s="54">
        <v>1915.6759999999999</v>
      </c>
      <c r="M872" s="54">
        <v>1915.6759999999999</v>
      </c>
      <c r="N872" s="54"/>
      <c r="O872" s="54">
        <f t="shared" si="31"/>
        <v>17514.752</v>
      </c>
    </row>
    <row r="873" spans="1:15" x14ac:dyDescent="0.2">
      <c r="A873" s="33">
        <v>43678</v>
      </c>
      <c r="B873" s="11">
        <v>74</v>
      </c>
      <c r="C873" s="11" t="s">
        <v>471</v>
      </c>
      <c r="D873" s="11" t="s">
        <v>29</v>
      </c>
      <c r="F873" s="11" t="s">
        <v>22</v>
      </c>
      <c r="G873" s="38">
        <v>192004510</v>
      </c>
      <c r="H873" s="650">
        <v>43690</v>
      </c>
      <c r="I873" s="126">
        <v>14569.6</v>
      </c>
      <c r="J873" s="640">
        <f t="shared" si="30"/>
        <v>4079.4879999999998</v>
      </c>
      <c r="K873" s="54">
        <v>0</v>
      </c>
      <c r="L873" s="54">
        <v>2039.7439999999999</v>
      </c>
      <c r="M873" s="54">
        <v>2039.7439999999999</v>
      </c>
      <c r="N873" s="54"/>
      <c r="O873" s="54">
        <f t="shared" si="31"/>
        <v>18649.088</v>
      </c>
    </row>
    <row r="874" spans="1:15" x14ac:dyDescent="0.2">
      <c r="A874" s="33">
        <v>43678</v>
      </c>
      <c r="B874" s="11">
        <v>75</v>
      </c>
      <c r="C874" s="11" t="s">
        <v>495</v>
      </c>
      <c r="D874" s="11" t="s">
        <v>74</v>
      </c>
      <c r="F874" s="11" t="s">
        <v>22</v>
      </c>
      <c r="G874" s="38">
        <v>5510054414</v>
      </c>
      <c r="H874" s="650">
        <v>43690</v>
      </c>
      <c r="I874" s="126">
        <v>31852.799999999999</v>
      </c>
      <c r="J874" s="640">
        <f t="shared" si="30"/>
        <v>5733.5040000000008</v>
      </c>
      <c r="K874" s="54">
        <v>0</v>
      </c>
      <c r="L874" s="54">
        <v>2866.7520000000004</v>
      </c>
      <c r="M874" s="54">
        <v>2866.7520000000004</v>
      </c>
      <c r="N874" s="54"/>
      <c r="O874" s="54">
        <f t="shared" si="31"/>
        <v>37586.304000000004</v>
      </c>
    </row>
    <row r="875" spans="1:15" x14ac:dyDescent="0.2">
      <c r="A875" s="33">
        <v>43678</v>
      </c>
      <c r="B875" s="11">
        <v>76</v>
      </c>
      <c r="C875" s="11" t="s">
        <v>473</v>
      </c>
      <c r="D875" s="11" t="s">
        <v>41</v>
      </c>
      <c r="F875" s="11" t="s">
        <v>22</v>
      </c>
      <c r="G875" s="38" t="s">
        <v>897</v>
      </c>
      <c r="H875" s="650">
        <v>43690</v>
      </c>
      <c r="I875" s="126">
        <v>8015</v>
      </c>
      <c r="J875" s="640">
        <f t="shared" si="30"/>
        <v>2244.2000000000003</v>
      </c>
      <c r="K875" s="54">
        <v>0</v>
      </c>
      <c r="L875" s="54">
        <v>1122.1000000000001</v>
      </c>
      <c r="M875" s="54">
        <v>1122.1000000000001</v>
      </c>
      <c r="N875" s="54"/>
      <c r="O875" s="54">
        <f t="shared" si="31"/>
        <v>10259.200000000001</v>
      </c>
    </row>
    <row r="876" spans="1:15" x14ac:dyDescent="0.2">
      <c r="A876" s="33">
        <v>43678</v>
      </c>
      <c r="B876" s="11">
        <v>77</v>
      </c>
      <c r="C876" s="11" t="s">
        <v>473</v>
      </c>
      <c r="D876" s="11" t="s">
        <v>41</v>
      </c>
      <c r="F876" s="11" t="s">
        <v>22</v>
      </c>
      <c r="G876" s="38" t="s">
        <v>898</v>
      </c>
      <c r="H876" s="650">
        <v>43690</v>
      </c>
      <c r="I876" s="126">
        <v>1217.45</v>
      </c>
      <c r="J876" s="640">
        <f t="shared" si="30"/>
        <v>340.88600000000002</v>
      </c>
      <c r="K876" s="54">
        <v>0</v>
      </c>
      <c r="L876" s="54">
        <v>170.44300000000001</v>
      </c>
      <c r="M876" s="54">
        <v>170.44300000000001</v>
      </c>
      <c r="N876" s="54"/>
      <c r="O876" s="54">
        <f t="shared" si="31"/>
        <v>1558.336</v>
      </c>
    </row>
    <row r="877" spans="1:15" x14ac:dyDescent="0.2">
      <c r="A877" s="33">
        <v>43678</v>
      </c>
      <c r="B877" s="11">
        <v>78</v>
      </c>
      <c r="C877" s="11" t="s">
        <v>747</v>
      </c>
      <c r="D877" s="11" t="s">
        <v>748</v>
      </c>
      <c r="F877" s="11" t="s">
        <v>22</v>
      </c>
      <c r="G877" s="38" t="s">
        <v>899</v>
      </c>
      <c r="H877" s="650">
        <v>43690</v>
      </c>
      <c r="I877" s="126">
        <v>11250</v>
      </c>
      <c r="J877" s="640">
        <f t="shared" si="30"/>
        <v>2025</v>
      </c>
      <c r="K877" s="54">
        <v>0</v>
      </c>
      <c r="L877" s="54">
        <v>1012.5</v>
      </c>
      <c r="M877" s="54">
        <v>1012.5</v>
      </c>
      <c r="N877" s="54"/>
      <c r="O877" s="54">
        <f t="shared" si="31"/>
        <v>13275</v>
      </c>
    </row>
    <row r="878" spans="1:15" x14ac:dyDescent="0.2">
      <c r="A878" s="33">
        <v>43678</v>
      </c>
      <c r="B878" s="11">
        <v>79</v>
      </c>
      <c r="C878" s="11" t="s">
        <v>900</v>
      </c>
      <c r="D878" s="11" t="s">
        <v>901</v>
      </c>
      <c r="F878" s="11" t="s">
        <v>22</v>
      </c>
      <c r="G878" s="38" t="s">
        <v>902</v>
      </c>
      <c r="H878" s="650">
        <v>43690</v>
      </c>
      <c r="I878" s="126">
        <v>20175</v>
      </c>
      <c r="J878" s="640">
        <f t="shared" si="30"/>
        <v>3631.5</v>
      </c>
      <c r="K878" s="54">
        <v>0</v>
      </c>
      <c r="L878" s="54">
        <v>1815.75</v>
      </c>
      <c r="M878" s="54">
        <v>1815.75</v>
      </c>
      <c r="N878" s="54"/>
      <c r="O878" s="54">
        <f t="shared" si="31"/>
        <v>23806.5</v>
      </c>
    </row>
    <row r="879" spans="1:15" x14ac:dyDescent="0.2">
      <c r="A879" s="33">
        <v>43678</v>
      </c>
      <c r="B879" s="11">
        <v>80</v>
      </c>
      <c r="C879" s="11" t="s">
        <v>554</v>
      </c>
      <c r="D879" s="11" t="s">
        <v>555</v>
      </c>
      <c r="F879" s="11" t="s">
        <v>22</v>
      </c>
      <c r="G879" s="38">
        <v>10752</v>
      </c>
      <c r="H879" s="650">
        <v>43691</v>
      </c>
      <c r="I879" s="126">
        <v>9091.0499999999993</v>
      </c>
      <c r="J879" s="640">
        <f t="shared" si="30"/>
        <v>2545.4940000000001</v>
      </c>
      <c r="K879" s="54">
        <v>0</v>
      </c>
      <c r="L879" s="54">
        <v>1272.7470000000001</v>
      </c>
      <c r="M879" s="54">
        <v>1272.7470000000001</v>
      </c>
      <c r="N879" s="54"/>
      <c r="O879" s="54">
        <f t="shared" si="31"/>
        <v>11636.544</v>
      </c>
    </row>
    <row r="880" spans="1:15" x14ac:dyDescent="0.2">
      <c r="A880" s="33">
        <v>43678</v>
      </c>
      <c r="B880" s="11">
        <v>81</v>
      </c>
      <c r="C880" s="11" t="s">
        <v>493</v>
      </c>
      <c r="D880" s="11" t="s">
        <v>494</v>
      </c>
      <c r="F880" s="11" t="s">
        <v>22</v>
      </c>
      <c r="G880" s="38">
        <v>2432</v>
      </c>
      <c r="H880" s="650">
        <v>43691</v>
      </c>
      <c r="I880" s="126">
        <v>24093.52</v>
      </c>
      <c r="J880" s="640">
        <f t="shared" si="30"/>
        <v>4336.8335999999999</v>
      </c>
      <c r="K880" s="54">
        <v>0</v>
      </c>
      <c r="L880" s="54">
        <v>2168.4168</v>
      </c>
      <c r="M880" s="54">
        <v>2168.4168</v>
      </c>
      <c r="N880" s="54"/>
      <c r="O880" s="54">
        <f t="shared" si="31"/>
        <v>28430.353600000002</v>
      </c>
    </row>
    <row r="881" spans="1:15" x14ac:dyDescent="0.2">
      <c r="A881" s="33">
        <v>43678</v>
      </c>
      <c r="B881" s="11">
        <v>82</v>
      </c>
      <c r="C881" s="11" t="s">
        <v>476</v>
      </c>
      <c r="D881" s="11" t="s">
        <v>477</v>
      </c>
      <c r="F881" s="11" t="s">
        <v>22</v>
      </c>
      <c r="G881" s="38" t="s">
        <v>903</v>
      </c>
      <c r="H881" s="650">
        <v>43691</v>
      </c>
      <c r="I881" s="126">
        <v>40650</v>
      </c>
      <c r="J881" s="640">
        <f t="shared" si="30"/>
        <v>7317</v>
      </c>
      <c r="K881" s="54">
        <v>0</v>
      </c>
      <c r="L881" s="54">
        <v>3658.5</v>
      </c>
      <c r="M881" s="54">
        <v>3658.5</v>
      </c>
      <c r="N881" s="54"/>
      <c r="O881" s="54">
        <f t="shared" si="31"/>
        <v>47967</v>
      </c>
    </row>
    <row r="882" spans="1:15" x14ac:dyDescent="0.2">
      <c r="A882" s="33">
        <v>43678</v>
      </c>
      <c r="B882" s="11">
        <v>83</v>
      </c>
      <c r="C882" s="11" t="s">
        <v>554</v>
      </c>
      <c r="D882" s="11" t="s">
        <v>555</v>
      </c>
      <c r="F882" s="11" t="s">
        <v>22</v>
      </c>
      <c r="G882" s="38">
        <v>10795</v>
      </c>
      <c r="H882" s="650">
        <v>43691</v>
      </c>
      <c r="I882" s="126">
        <v>4725</v>
      </c>
      <c r="J882" s="640">
        <f t="shared" si="30"/>
        <v>1323</v>
      </c>
      <c r="K882" s="54">
        <v>0</v>
      </c>
      <c r="L882" s="54">
        <v>661.5</v>
      </c>
      <c r="M882" s="54">
        <v>661.5</v>
      </c>
      <c r="N882" s="54"/>
      <c r="O882" s="54">
        <f t="shared" si="31"/>
        <v>6048</v>
      </c>
    </row>
    <row r="883" spans="1:15" x14ac:dyDescent="0.2">
      <c r="A883" s="33">
        <v>43678</v>
      </c>
      <c r="B883" s="11">
        <v>84</v>
      </c>
      <c r="C883" s="11" t="s">
        <v>495</v>
      </c>
      <c r="D883" s="11" t="s">
        <v>74</v>
      </c>
      <c r="F883" s="11" t="s">
        <v>22</v>
      </c>
      <c r="G883" s="38">
        <v>5510054545</v>
      </c>
      <c r="H883" s="650">
        <v>43693</v>
      </c>
      <c r="I883" s="126">
        <v>21235.200000000001</v>
      </c>
      <c r="J883" s="640">
        <f t="shared" si="30"/>
        <v>3822.3360000000002</v>
      </c>
      <c r="K883" s="54">
        <v>0</v>
      </c>
      <c r="L883" s="54">
        <v>1911.1680000000001</v>
      </c>
      <c r="M883" s="54">
        <v>1911.1680000000001</v>
      </c>
      <c r="N883" s="54"/>
      <c r="O883" s="54">
        <f t="shared" si="31"/>
        <v>25057.536</v>
      </c>
    </row>
    <row r="884" spans="1:15" x14ac:dyDescent="0.2">
      <c r="A884" s="33">
        <v>43678</v>
      </c>
      <c r="B884" s="11">
        <v>85</v>
      </c>
      <c r="C884" s="11" t="s">
        <v>471</v>
      </c>
      <c r="D884" s="11" t="s">
        <v>29</v>
      </c>
      <c r="F884" s="11" t="s">
        <v>22</v>
      </c>
      <c r="G884" s="38">
        <v>192004568</v>
      </c>
      <c r="H884" s="650">
        <v>43693</v>
      </c>
      <c r="I884" s="126">
        <v>17483.52</v>
      </c>
      <c r="J884" s="640">
        <f t="shared" si="30"/>
        <v>4895.3856000000005</v>
      </c>
      <c r="K884" s="54">
        <v>0</v>
      </c>
      <c r="L884" s="54">
        <v>2447.6928000000003</v>
      </c>
      <c r="M884" s="54">
        <v>2447.6928000000003</v>
      </c>
      <c r="N884" s="54"/>
      <c r="O884" s="54">
        <f t="shared" si="31"/>
        <v>22378.905600000002</v>
      </c>
    </row>
    <row r="885" spans="1:15" x14ac:dyDescent="0.2">
      <c r="A885" s="33">
        <v>43678</v>
      </c>
      <c r="B885" s="11">
        <v>86</v>
      </c>
      <c r="C885" s="11" t="s">
        <v>471</v>
      </c>
      <c r="D885" s="11" t="s">
        <v>29</v>
      </c>
      <c r="F885" s="11" t="s">
        <v>22</v>
      </c>
      <c r="G885" s="38">
        <v>192004569</v>
      </c>
      <c r="H885" s="650">
        <v>43693</v>
      </c>
      <c r="I885" s="126">
        <v>17483.52</v>
      </c>
      <c r="J885" s="640">
        <f t="shared" si="30"/>
        <v>4895.3856000000005</v>
      </c>
      <c r="K885" s="54">
        <v>0</v>
      </c>
      <c r="L885" s="54">
        <v>2447.6928000000003</v>
      </c>
      <c r="M885" s="54">
        <v>2447.6928000000003</v>
      </c>
      <c r="N885" s="54"/>
      <c r="O885" s="54">
        <f t="shared" si="31"/>
        <v>22378.905600000002</v>
      </c>
    </row>
    <row r="886" spans="1:15" x14ac:dyDescent="0.2">
      <c r="A886" s="33">
        <v>43678</v>
      </c>
      <c r="B886" s="11">
        <v>87</v>
      </c>
      <c r="C886" s="11" t="s">
        <v>601</v>
      </c>
      <c r="D886" s="11" t="s">
        <v>602</v>
      </c>
      <c r="F886" s="11" t="s">
        <v>22</v>
      </c>
      <c r="G886" s="38">
        <v>3630</v>
      </c>
      <c r="H886" s="650">
        <v>43693</v>
      </c>
      <c r="I886" s="126">
        <v>56246.400000000001</v>
      </c>
      <c r="J886" s="640">
        <f t="shared" si="30"/>
        <v>15748.992000000002</v>
      </c>
      <c r="K886" s="54">
        <v>0</v>
      </c>
      <c r="L886" s="54">
        <v>7874.496000000001</v>
      </c>
      <c r="M886" s="54">
        <v>7874.496000000001</v>
      </c>
      <c r="N886" s="54"/>
      <c r="O886" s="54">
        <f t="shared" si="31"/>
        <v>71995.392000000007</v>
      </c>
    </row>
    <row r="887" spans="1:15" x14ac:dyDescent="0.2">
      <c r="A887" s="33">
        <v>43678</v>
      </c>
      <c r="B887" s="11">
        <v>88</v>
      </c>
      <c r="C887" s="11" t="s">
        <v>554</v>
      </c>
      <c r="D887" s="11" t="s">
        <v>555</v>
      </c>
      <c r="F887" s="11" t="s">
        <v>22</v>
      </c>
      <c r="G887" s="38">
        <v>10844</v>
      </c>
      <c r="H887" s="650">
        <v>43694</v>
      </c>
      <c r="I887" s="126">
        <v>6300</v>
      </c>
      <c r="J887" s="640">
        <f t="shared" si="30"/>
        <v>1764</v>
      </c>
      <c r="K887" s="54">
        <v>0</v>
      </c>
      <c r="L887" s="54">
        <v>882</v>
      </c>
      <c r="M887" s="54">
        <v>882</v>
      </c>
      <c r="N887" s="54"/>
      <c r="O887" s="54">
        <f t="shared" si="31"/>
        <v>8064</v>
      </c>
    </row>
    <row r="888" spans="1:15" x14ac:dyDescent="0.2">
      <c r="A888" s="33">
        <v>43678</v>
      </c>
      <c r="B888" s="11">
        <v>89</v>
      </c>
      <c r="C888" s="11" t="s">
        <v>554</v>
      </c>
      <c r="D888" s="11" t="s">
        <v>555</v>
      </c>
      <c r="F888" s="11" t="s">
        <v>22</v>
      </c>
      <c r="G888" s="38">
        <v>10847</v>
      </c>
      <c r="H888" s="650">
        <v>43694</v>
      </c>
      <c r="I888" s="126">
        <v>1205</v>
      </c>
      <c r="J888" s="640">
        <f t="shared" si="30"/>
        <v>337.40000000000003</v>
      </c>
      <c r="K888" s="54">
        <v>0</v>
      </c>
      <c r="L888" s="54">
        <v>168.70000000000002</v>
      </c>
      <c r="M888" s="54">
        <v>168.70000000000002</v>
      </c>
      <c r="N888" s="54"/>
      <c r="O888" s="54">
        <f t="shared" si="31"/>
        <v>1542.4</v>
      </c>
    </row>
    <row r="889" spans="1:15" x14ac:dyDescent="0.2">
      <c r="A889" s="33">
        <v>43678</v>
      </c>
      <c r="B889" s="11">
        <v>90</v>
      </c>
      <c r="C889" s="11" t="s">
        <v>533</v>
      </c>
      <c r="D889" s="11" t="s">
        <v>534</v>
      </c>
      <c r="F889" s="11" t="s">
        <v>22</v>
      </c>
      <c r="G889" s="38" t="s">
        <v>904</v>
      </c>
      <c r="H889" s="650">
        <v>43694</v>
      </c>
      <c r="I889" s="126">
        <v>3100.5</v>
      </c>
      <c r="J889" s="640">
        <f t="shared" si="30"/>
        <v>558.09</v>
      </c>
      <c r="K889" s="54">
        <v>0</v>
      </c>
      <c r="L889" s="54">
        <v>279.04500000000002</v>
      </c>
      <c r="M889" s="54">
        <v>279.04500000000002</v>
      </c>
      <c r="N889" s="54"/>
      <c r="O889" s="54">
        <f t="shared" si="31"/>
        <v>3658.59</v>
      </c>
    </row>
    <row r="890" spans="1:15" x14ac:dyDescent="0.2">
      <c r="A890" s="33">
        <v>43678</v>
      </c>
      <c r="B890" s="11">
        <v>91</v>
      </c>
      <c r="C890" s="11" t="s">
        <v>606</v>
      </c>
      <c r="D890" s="11" t="s">
        <v>607</v>
      </c>
      <c r="F890" s="11" t="s">
        <v>22</v>
      </c>
      <c r="G890" s="38" t="s">
        <v>905</v>
      </c>
      <c r="H890" s="650">
        <v>43686</v>
      </c>
      <c r="I890" s="126">
        <v>10852</v>
      </c>
      <c r="J890" s="640">
        <f t="shared" si="30"/>
        <v>1953.36</v>
      </c>
      <c r="K890" s="54">
        <v>0</v>
      </c>
      <c r="L890" s="54">
        <v>976.68</v>
      </c>
      <c r="M890" s="54">
        <v>976.68</v>
      </c>
      <c r="N890" s="54"/>
      <c r="O890" s="54">
        <f t="shared" si="31"/>
        <v>12805.36</v>
      </c>
    </row>
    <row r="891" spans="1:15" x14ac:dyDescent="0.2">
      <c r="A891" s="33">
        <v>43678</v>
      </c>
      <c r="B891" s="11">
        <v>92</v>
      </c>
      <c r="C891" s="11" t="s">
        <v>518</v>
      </c>
      <c r="D891" s="11" t="s">
        <v>519</v>
      </c>
      <c r="F891" s="11" t="s">
        <v>22</v>
      </c>
      <c r="G891" s="38" t="s">
        <v>906</v>
      </c>
      <c r="H891" s="650">
        <v>43689</v>
      </c>
      <c r="I891" s="126">
        <v>4822</v>
      </c>
      <c r="J891" s="640">
        <f t="shared" si="30"/>
        <v>867.96</v>
      </c>
      <c r="K891" s="54">
        <v>0</v>
      </c>
      <c r="L891" s="54">
        <v>433.98</v>
      </c>
      <c r="M891" s="54">
        <v>433.98</v>
      </c>
      <c r="N891" s="54"/>
      <c r="O891" s="54">
        <f t="shared" si="31"/>
        <v>5689.96</v>
      </c>
    </row>
    <row r="892" spans="1:15" x14ac:dyDescent="0.2">
      <c r="A892" s="33">
        <v>43678</v>
      </c>
      <c r="B892" s="11">
        <v>93</v>
      </c>
      <c r="C892" s="11" t="s">
        <v>471</v>
      </c>
      <c r="D892" s="11" t="s">
        <v>29</v>
      </c>
      <c r="F892" s="11" t="s">
        <v>22</v>
      </c>
      <c r="G892" s="38">
        <v>192004584</v>
      </c>
      <c r="H892" s="650">
        <v>43694</v>
      </c>
      <c r="I892" s="126">
        <v>17483.52</v>
      </c>
      <c r="J892" s="640">
        <f t="shared" si="30"/>
        <v>4895.3856000000005</v>
      </c>
      <c r="K892" s="54">
        <v>0</v>
      </c>
      <c r="L892" s="54">
        <v>2447.6928000000003</v>
      </c>
      <c r="M892" s="54">
        <v>2447.6928000000003</v>
      </c>
      <c r="N892" s="54"/>
      <c r="O892" s="54">
        <f t="shared" si="31"/>
        <v>22378.905600000002</v>
      </c>
    </row>
    <row r="893" spans="1:15" x14ac:dyDescent="0.2">
      <c r="A893" s="33">
        <v>43678</v>
      </c>
      <c r="B893" s="11">
        <v>94</v>
      </c>
      <c r="C893" s="11" t="s">
        <v>471</v>
      </c>
      <c r="D893" s="11" t="s">
        <v>29</v>
      </c>
      <c r="F893" s="11" t="s">
        <v>22</v>
      </c>
      <c r="G893" s="38">
        <v>192004598</v>
      </c>
      <c r="H893" s="650">
        <v>43694</v>
      </c>
      <c r="I893" s="126">
        <v>17483.52</v>
      </c>
      <c r="J893" s="640">
        <f t="shared" si="30"/>
        <v>4895.3856000000005</v>
      </c>
      <c r="K893" s="54">
        <v>0</v>
      </c>
      <c r="L893" s="54">
        <v>2447.6928000000003</v>
      </c>
      <c r="M893" s="54">
        <v>2447.6928000000003</v>
      </c>
      <c r="N893" s="54"/>
      <c r="O893" s="54">
        <f t="shared" si="31"/>
        <v>22378.905600000002</v>
      </c>
    </row>
    <row r="894" spans="1:15" x14ac:dyDescent="0.2">
      <c r="A894" s="33">
        <v>43678</v>
      </c>
      <c r="B894" s="11">
        <v>95</v>
      </c>
      <c r="C894" s="11" t="s">
        <v>479</v>
      </c>
      <c r="D894" s="11" t="s">
        <v>480</v>
      </c>
      <c r="F894" s="11" t="s">
        <v>22</v>
      </c>
      <c r="G894" s="38">
        <v>1219</v>
      </c>
      <c r="H894" s="650">
        <v>43695</v>
      </c>
      <c r="I894" s="126">
        <v>8000</v>
      </c>
      <c r="J894" s="640">
        <f t="shared" si="30"/>
        <v>1440</v>
      </c>
      <c r="K894" s="54">
        <v>0</v>
      </c>
      <c r="L894" s="54">
        <v>720</v>
      </c>
      <c r="M894" s="54">
        <v>720</v>
      </c>
      <c r="N894" s="54"/>
      <c r="O894" s="54">
        <f t="shared" si="31"/>
        <v>9440</v>
      </c>
    </row>
    <row r="895" spans="1:15" x14ac:dyDescent="0.2">
      <c r="A895" s="33">
        <v>43678</v>
      </c>
      <c r="B895" s="11">
        <v>96</v>
      </c>
      <c r="C895" s="11" t="s">
        <v>554</v>
      </c>
      <c r="D895" s="11" t="s">
        <v>555</v>
      </c>
      <c r="F895" s="11" t="s">
        <v>22</v>
      </c>
      <c r="G895" s="38">
        <v>10896</v>
      </c>
      <c r="H895" s="650">
        <v>43695</v>
      </c>
      <c r="I895" s="126">
        <v>6025</v>
      </c>
      <c r="J895" s="640">
        <f t="shared" si="30"/>
        <v>1687</v>
      </c>
      <c r="K895" s="54">
        <v>0</v>
      </c>
      <c r="L895" s="54">
        <v>843.5</v>
      </c>
      <c r="M895" s="54">
        <v>843.5</v>
      </c>
      <c r="N895" s="54"/>
      <c r="O895" s="54">
        <f t="shared" si="31"/>
        <v>7712</v>
      </c>
    </row>
    <row r="896" spans="1:15" x14ac:dyDescent="0.2">
      <c r="A896" s="33">
        <v>43678</v>
      </c>
      <c r="B896" s="11">
        <v>97</v>
      </c>
      <c r="C896" s="11" t="s">
        <v>514</v>
      </c>
      <c r="D896" s="11" t="s">
        <v>515</v>
      </c>
      <c r="F896" s="11" t="s">
        <v>22</v>
      </c>
      <c r="G896" s="38" t="s">
        <v>907</v>
      </c>
      <c r="H896" s="650">
        <v>43687</v>
      </c>
      <c r="I896" s="126">
        <v>50</v>
      </c>
      <c r="J896" s="640">
        <f t="shared" si="30"/>
        <v>9</v>
      </c>
      <c r="K896" s="54">
        <v>0</v>
      </c>
      <c r="L896" s="54">
        <v>4.5</v>
      </c>
      <c r="M896" s="54">
        <v>4.5</v>
      </c>
      <c r="N896" s="54"/>
      <c r="O896" s="54">
        <f t="shared" si="31"/>
        <v>59</v>
      </c>
    </row>
    <row r="897" spans="1:15" x14ac:dyDescent="0.2">
      <c r="A897" s="33">
        <v>43678</v>
      </c>
      <c r="B897" s="11">
        <v>98</v>
      </c>
      <c r="C897" s="11" t="s">
        <v>634</v>
      </c>
      <c r="D897" s="11" t="s">
        <v>635</v>
      </c>
      <c r="F897" s="11" t="s">
        <v>22</v>
      </c>
      <c r="G897" s="38" t="s">
        <v>908</v>
      </c>
      <c r="H897" s="650">
        <v>43695</v>
      </c>
      <c r="I897" s="126">
        <v>34430</v>
      </c>
      <c r="J897" s="640">
        <f t="shared" si="30"/>
        <v>6197.4000000000005</v>
      </c>
      <c r="K897" s="54">
        <v>0</v>
      </c>
      <c r="L897" s="54">
        <v>3098.7000000000003</v>
      </c>
      <c r="M897" s="54">
        <v>3098.7000000000003</v>
      </c>
      <c r="N897" s="54"/>
      <c r="O897" s="54">
        <f t="shared" si="31"/>
        <v>40627.4</v>
      </c>
    </row>
    <row r="898" spans="1:15" x14ac:dyDescent="0.2">
      <c r="A898" s="33">
        <v>43678</v>
      </c>
      <c r="B898" s="11">
        <v>99</v>
      </c>
      <c r="C898" s="11" t="s">
        <v>514</v>
      </c>
      <c r="D898" s="11" t="s">
        <v>515</v>
      </c>
      <c r="F898" s="11" t="s">
        <v>22</v>
      </c>
      <c r="G898" s="38"/>
      <c r="H898" s="650">
        <v>43695</v>
      </c>
      <c r="I898" s="126">
        <v>37</v>
      </c>
      <c r="J898" s="640">
        <f t="shared" si="30"/>
        <v>6.66</v>
      </c>
      <c r="K898" s="54">
        <v>0</v>
      </c>
      <c r="L898" s="54">
        <v>3.33</v>
      </c>
      <c r="M898" s="54">
        <v>3.33</v>
      </c>
      <c r="N898" s="54"/>
      <c r="O898" s="54">
        <f t="shared" si="31"/>
        <v>43.66</v>
      </c>
    </row>
    <row r="899" spans="1:15" x14ac:dyDescent="0.2">
      <c r="A899" s="33">
        <v>43678</v>
      </c>
      <c r="B899" s="11">
        <v>100</v>
      </c>
      <c r="C899" s="11" t="s">
        <v>506</v>
      </c>
      <c r="D899" s="11" t="s">
        <v>507</v>
      </c>
      <c r="F899" s="11" t="s">
        <v>22</v>
      </c>
      <c r="G899" s="38" t="s">
        <v>909</v>
      </c>
      <c r="H899" s="650">
        <v>43696</v>
      </c>
      <c r="I899" s="126">
        <v>1400</v>
      </c>
      <c r="J899" s="640">
        <f t="shared" si="30"/>
        <v>252</v>
      </c>
      <c r="K899" s="54">
        <v>0</v>
      </c>
      <c r="L899" s="54">
        <v>126</v>
      </c>
      <c r="M899" s="54">
        <v>126</v>
      </c>
      <c r="N899" s="54"/>
      <c r="O899" s="54">
        <f t="shared" si="31"/>
        <v>1652</v>
      </c>
    </row>
    <row r="900" spans="1:15" x14ac:dyDescent="0.2">
      <c r="A900" s="33">
        <v>43678</v>
      </c>
      <c r="B900" s="11">
        <v>101</v>
      </c>
      <c r="C900" s="11" t="s">
        <v>479</v>
      </c>
      <c r="D900" s="11" t="s">
        <v>480</v>
      </c>
      <c r="F900" s="11" t="s">
        <v>22</v>
      </c>
      <c r="G900" s="38">
        <v>1227</v>
      </c>
      <c r="H900" s="650">
        <v>43696</v>
      </c>
      <c r="I900" s="126">
        <v>9000</v>
      </c>
      <c r="J900" s="640">
        <f t="shared" ref="J900:J963" si="32">+K900+L900+M900+N900</f>
        <v>1620</v>
      </c>
      <c r="K900" s="54">
        <v>0</v>
      </c>
      <c r="L900" s="54">
        <v>810</v>
      </c>
      <c r="M900" s="54">
        <v>810</v>
      </c>
      <c r="N900" s="54"/>
      <c r="O900" s="54">
        <f t="shared" ref="O900:O963" si="33">+I900+J900</f>
        <v>10620</v>
      </c>
    </row>
    <row r="901" spans="1:15" x14ac:dyDescent="0.2">
      <c r="A901" s="33">
        <v>43678</v>
      </c>
      <c r="B901" s="11">
        <v>102</v>
      </c>
      <c r="C901" s="11" t="s">
        <v>514</v>
      </c>
      <c r="D901" s="11" t="s">
        <v>515</v>
      </c>
      <c r="F901" s="11" t="s">
        <v>22</v>
      </c>
      <c r="G901" s="38" t="s">
        <v>910</v>
      </c>
      <c r="H901" s="650">
        <v>43690</v>
      </c>
      <c r="I901" s="126">
        <v>15</v>
      </c>
      <c r="J901" s="640">
        <f t="shared" si="32"/>
        <v>2.6999999999999997</v>
      </c>
      <c r="K901" s="54">
        <v>0</v>
      </c>
      <c r="L901" s="54">
        <v>1.3499999999999999</v>
      </c>
      <c r="M901" s="54">
        <v>1.3499999999999999</v>
      </c>
      <c r="N901" s="54"/>
      <c r="O901" s="54">
        <f t="shared" si="33"/>
        <v>17.7</v>
      </c>
    </row>
    <row r="902" spans="1:15" x14ac:dyDescent="0.2">
      <c r="A902" s="33">
        <v>43678</v>
      </c>
      <c r="B902" s="11">
        <v>103</v>
      </c>
      <c r="C902" s="11" t="s">
        <v>747</v>
      </c>
      <c r="D902" s="11" t="s">
        <v>748</v>
      </c>
      <c r="F902" s="11" t="s">
        <v>22</v>
      </c>
      <c r="G902" s="38" t="s">
        <v>911</v>
      </c>
      <c r="H902" s="650">
        <v>43696</v>
      </c>
      <c r="I902" s="126">
        <v>13750</v>
      </c>
      <c r="J902" s="640">
        <f t="shared" si="32"/>
        <v>2475</v>
      </c>
      <c r="K902" s="54">
        <v>0</v>
      </c>
      <c r="L902" s="54">
        <v>1237.5</v>
      </c>
      <c r="M902" s="54">
        <v>1237.5</v>
      </c>
      <c r="N902" s="54"/>
      <c r="O902" s="54">
        <f t="shared" si="33"/>
        <v>16225</v>
      </c>
    </row>
    <row r="903" spans="1:15" x14ac:dyDescent="0.2">
      <c r="A903" s="33">
        <v>43678</v>
      </c>
      <c r="B903" s="11">
        <v>104</v>
      </c>
      <c r="C903" s="11" t="s">
        <v>747</v>
      </c>
      <c r="D903" s="11" t="s">
        <v>748</v>
      </c>
      <c r="F903" s="11" t="s">
        <v>22</v>
      </c>
      <c r="G903" s="38" t="s">
        <v>912</v>
      </c>
      <c r="H903" s="650">
        <v>43693</v>
      </c>
      <c r="I903" s="126">
        <v>27320</v>
      </c>
      <c r="J903" s="640">
        <f t="shared" si="32"/>
        <v>4917.5999999999995</v>
      </c>
      <c r="K903" s="54">
        <v>0</v>
      </c>
      <c r="L903" s="54">
        <v>2458.7999999999997</v>
      </c>
      <c r="M903" s="54">
        <v>2458.7999999999997</v>
      </c>
      <c r="N903" s="54"/>
      <c r="O903" s="54">
        <f t="shared" si="33"/>
        <v>32237.599999999999</v>
      </c>
    </row>
    <row r="904" spans="1:15" x14ac:dyDescent="0.2">
      <c r="A904" s="33">
        <v>43678</v>
      </c>
      <c r="B904" s="11">
        <v>105</v>
      </c>
      <c r="C904" s="11" t="s">
        <v>554</v>
      </c>
      <c r="D904" s="11" t="s">
        <v>555</v>
      </c>
      <c r="F904" s="11" t="s">
        <v>22</v>
      </c>
      <c r="G904" s="38">
        <v>10944</v>
      </c>
      <c r="H904" s="650">
        <v>43696</v>
      </c>
      <c r="I904" s="126">
        <v>3374</v>
      </c>
      <c r="J904" s="640">
        <f t="shared" si="32"/>
        <v>944.72</v>
      </c>
      <c r="K904" s="54">
        <v>0</v>
      </c>
      <c r="L904" s="54">
        <v>472.36</v>
      </c>
      <c r="M904" s="54">
        <v>472.36</v>
      </c>
      <c r="N904" s="54"/>
      <c r="O904" s="54">
        <f t="shared" si="33"/>
        <v>4318.72</v>
      </c>
    </row>
    <row r="905" spans="1:15" x14ac:dyDescent="0.2">
      <c r="A905" s="33">
        <v>43678</v>
      </c>
      <c r="B905" s="11">
        <v>106</v>
      </c>
      <c r="C905" s="11" t="s">
        <v>493</v>
      </c>
      <c r="D905" s="11" t="s">
        <v>494</v>
      </c>
      <c r="F905" s="11" t="s">
        <v>22</v>
      </c>
      <c r="G905" s="38">
        <v>2481</v>
      </c>
      <c r="H905" s="650">
        <v>43696</v>
      </c>
      <c r="I905" s="126">
        <v>29524.639999999999</v>
      </c>
      <c r="J905" s="640">
        <f t="shared" si="32"/>
        <v>5314.4351999999999</v>
      </c>
      <c r="K905" s="54">
        <v>0</v>
      </c>
      <c r="L905" s="54">
        <v>2657.2175999999999</v>
      </c>
      <c r="M905" s="54">
        <v>2657.2175999999999</v>
      </c>
      <c r="N905" s="54"/>
      <c r="O905" s="54">
        <f t="shared" si="33"/>
        <v>34839.075199999999</v>
      </c>
    </row>
    <row r="906" spans="1:15" x14ac:dyDescent="0.2">
      <c r="A906" s="33">
        <v>43678</v>
      </c>
      <c r="B906" s="11">
        <v>107</v>
      </c>
      <c r="C906" s="11" t="s">
        <v>493</v>
      </c>
      <c r="D906" s="11" t="s">
        <v>494</v>
      </c>
      <c r="F906" s="11" t="s">
        <v>22</v>
      </c>
      <c r="G906" s="38">
        <v>2482</v>
      </c>
      <c r="H906" s="650">
        <v>43696</v>
      </c>
      <c r="I906" s="126">
        <v>41382</v>
      </c>
      <c r="J906" s="640">
        <f t="shared" si="32"/>
        <v>7448.76</v>
      </c>
      <c r="K906" s="54">
        <v>0</v>
      </c>
      <c r="L906" s="54">
        <v>3724.38</v>
      </c>
      <c r="M906" s="54">
        <v>3724.38</v>
      </c>
      <c r="N906" s="54"/>
      <c r="O906" s="54">
        <f t="shared" si="33"/>
        <v>48830.76</v>
      </c>
    </row>
    <row r="907" spans="1:15" x14ac:dyDescent="0.2">
      <c r="A907" s="33">
        <v>43678</v>
      </c>
      <c r="B907" s="11">
        <v>108</v>
      </c>
      <c r="C907" s="11" t="s">
        <v>479</v>
      </c>
      <c r="D907" s="11" t="s">
        <v>480</v>
      </c>
      <c r="F907" s="11" t="s">
        <v>22</v>
      </c>
      <c r="G907" s="38">
        <v>1229</v>
      </c>
      <c r="H907" s="650">
        <v>43696</v>
      </c>
      <c r="I907" s="126">
        <v>9000</v>
      </c>
      <c r="J907" s="640">
        <f t="shared" si="32"/>
        <v>1620</v>
      </c>
      <c r="K907" s="54">
        <v>0</v>
      </c>
      <c r="L907" s="54">
        <v>810</v>
      </c>
      <c r="M907" s="54">
        <v>810</v>
      </c>
      <c r="N907" s="54"/>
      <c r="O907" s="54">
        <f t="shared" si="33"/>
        <v>10620</v>
      </c>
    </row>
    <row r="908" spans="1:15" x14ac:dyDescent="0.2">
      <c r="A908" s="33">
        <v>43678</v>
      </c>
      <c r="B908" s="11">
        <v>109</v>
      </c>
      <c r="C908" s="11" t="s">
        <v>554</v>
      </c>
      <c r="D908" s="11" t="s">
        <v>555</v>
      </c>
      <c r="F908" s="11" t="s">
        <v>22</v>
      </c>
      <c r="G908" s="38">
        <v>10970</v>
      </c>
      <c r="H908" s="650">
        <v>43697</v>
      </c>
      <c r="I908" s="126">
        <v>6228</v>
      </c>
      <c r="J908" s="640">
        <f t="shared" si="32"/>
        <v>1743.8400000000001</v>
      </c>
      <c r="K908" s="54">
        <v>0</v>
      </c>
      <c r="L908" s="54">
        <v>871.92000000000007</v>
      </c>
      <c r="M908" s="54">
        <v>871.92000000000007</v>
      </c>
      <c r="N908" s="54"/>
      <c r="O908" s="54">
        <f t="shared" si="33"/>
        <v>7971.84</v>
      </c>
    </row>
    <row r="909" spans="1:15" x14ac:dyDescent="0.2">
      <c r="A909" s="33">
        <v>43678</v>
      </c>
      <c r="B909" s="11">
        <v>110</v>
      </c>
      <c r="C909" s="11" t="s">
        <v>556</v>
      </c>
      <c r="D909" s="11" t="s">
        <v>557</v>
      </c>
      <c r="F909" s="11" t="s">
        <v>22</v>
      </c>
      <c r="G909" s="38" t="s">
        <v>913</v>
      </c>
      <c r="H909" s="650">
        <v>43693</v>
      </c>
      <c r="I909" s="126">
        <v>2450</v>
      </c>
      <c r="J909" s="640">
        <f t="shared" si="32"/>
        <v>442</v>
      </c>
      <c r="K909" s="54">
        <v>0</v>
      </c>
      <c r="L909" s="54">
        <v>221</v>
      </c>
      <c r="M909" s="54">
        <v>221</v>
      </c>
      <c r="N909" s="54"/>
      <c r="O909" s="54">
        <f t="shared" si="33"/>
        <v>2892</v>
      </c>
    </row>
    <row r="910" spans="1:15" x14ac:dyDescent="0.2">
      <c r="A910" s="33">
        <v>43678</v>
      </c>
      <c r="B910" s="11">
        <v>111</v>
      </c>
      <c r="C910" s="11" t="s">
        <v>914</v>
      </c>
      <c r="D910" s="11" t="s">
        <v>915</v>
      </c>
      <c r="F910" s="11" t="s">
        <v>22</v>
      </c>
      <c r="G910" s="38">
        <v>235</v>
      </c>
      <c r="H910" s="650">
        <v>43697</v>
      </c>
      <c r="I910" s="126">
        <v>3000</v>
      </c>
      <c r="J910" s="640">
        <f t="shared" si="32"/>
        <v>540</v>
      </c>
      <c r="K910" s="54">
        <v>0</v>
      </c>
      <c r="L910" s="54">
        <v>270</v>
      </c>
      <c r="M910" s="54">
        <v>270</v>
      </c>
      <c r="N910" s="54"/>
      <c r="O910" s="54">
        <f t="shared" si="33"/>
        <v>3540</v>
      </c>
    </row>
    <row r="911" spans="1:15" x14ac:dyDescent="0.2">
      <c r="A911" s="33">
        <v>43678</v>
      </c>
      <c r="B911" s="11">
        <v>112</v>
      </c>
      <c r="C911" s="11" t="s">
        <v>471</v>
      </c>
      <c r="D911" s="11" t="s">
        <v>29</v>
      </c>
      <c r="F911" s="11" t="s">
        <v>22</v>
      </c>
      <c r="G911" s="38">
        <v>192004694</v>
      </c>
      <c r="H911" s="650">
        <v>43697</v>
      </c>
      <c r="I911" s="126">
        <v>17483.52</v>
      </c>
      <c r="J911" s="640">
        <f t="shared" si="32"/>
        <v>4895.3856000000005</v>
      </c>
      <c r="K911" s="54">
        <v>0</v>
      </c>
      <c r="L911" s="54">
        <v>2447.6928000000003</v>
      </c>
      <c r="M911" s="54">
        <v>2447.6928000000003</v>
      </c>
      <c r="N911" s="54"/>
      <c r="O911" s="54">
        <f t="shared" si="33"/>
        <v>22378.905600000002</v>
      </c>
    </row>
    <row r="912" spans="1:15" x14ac:dyDescent="0.2">
      <c r="A912" s="33">
        <v>43678</v>
      </c>
      <c r="B912" s="11">
        <v>113</v>
      </c>
      <c r="C912" s="11" t="s">
        <v>634</v>
      </c>
      <c r="D912" s="11" t="s">
        <v>635</v>
      </c>
      <c r="F912" s="11" t="s">
        <v>22</v>
      </c>
      <c r="G912" s="38" t="s">
        <v>916</v>
      </c>
      <c r="H912" s="650">
        <v>43697</v>
      </c>
      <c r="I912" s="126">
        <v>3195</v>
      </c>
      <c r="J912" s="640">
        <f t="shared" si="32"/>
        <v>575.1</v>
      </c>
      <c r="K912" s="54">
        <v>0</v>
      </c>
      <c r="L912" s="54">
        <v>287.55</v>
      </c>
      <c r="M912" s="54">
        <v>287.55</v>
      </c>
      <c r="N912" s="54"/>
      <c r="O912" s="54">
        <f t="shared" si="33"/>
        <v>3770.1</v>
      </c>
    </row>
    <row r="913" spans="1:15" x14ac:dyDescent="0.2">
      <c r="A913" s="33">
        <v>43678</v>
      </c>
      <c r="B913" s="11">
        <v>114</v>
      </c>
      <c r="C913" s="564" t="s">
        <v>688</v>
      </c>
      <c r="D913" s="11">
        <v>1</v>
      </c>
      <c r="F913" s="11" t="s">
        <v>22</v>
      </c>
      <c r="G913" s="38">
        <v>4460174</v>
      </c>
      <c r="H913" s="650">
        <v>43689</v>
      </c>
      <c r="I913" s="126">
        <v>570047</v>
      </c>
      <c r="J913" s="640">
        <v>102608.46</v>
      </c>
      <c r="K913" s="54">
        <v>0</v>
      </c>
      <c r="L913" s="54">
        <v>0</v>
      </c>
      <c r="M913" s="54">
        <v>0</v>
      </c>
      <c r="N913" s="54"/>
      <c r="O913" s="54">
        <f t="shared" si="33"/>
        <v>672655.46</v>
      </c>
    </row>
    <row r="914" spans="1:15" x14ac:dyDescent="0.2">
      <c r="A914" s="33">
        <v>43678</v>
      </c>
      <c r="B914" s="11">
        <v>115</v>
      </c>
      <c r="C914" s="11" t="s">
        <v>554</v>
      </c>
      <c r="D914" s="11" t="s">
        <v>555</v>
      </c>
      <c r="F914" s="11" t="s">
        <v>22</v>
      </c>
      <c r="G914" s="38">
        <v>11017</v>
      </c>
      <c r="H914" s="650">
        <v>43698</v>
      </c>
      <c r="I914" s="126">
        <v>7784</v>
      </c>
      <c r="J914" s="640">
        <f t="shared" si="32"/>
        <v>2179.52</v>
      </c>
      <c r="K914" s="54">
        <v>0</v>
      </c>
      <c r="L914" s="54">
        <v>1089.76</v>
      </c>
      <c r="M914" s="54">
        <v>1089.76</v>
      </c>
      <c r="N914" s="54"/>
      <c r="O914" s="54">
        <f t="shared" si="33"/>
        <v>9963.52</v>
      </c>
    </row>
    <row r="915" spans="1:15" x14ac:dyDescent="0.2">
      <c r="A915" s="33">
        <v>43678</v>
      </c>
      <c r="B915" s="11">
        <v>116</v>
      </c>
      <c r="C915" s="11" t="s">
        <v>479</v>
      </c>
      <c r="D915" s="11" t="s">
        <v>480</v>
      </c>
      <c r="F915" s="11" t="s">
        <v>22</v>
      </c>
      <c r="G915" s="38">
        <v>1235</v>
      </c>
      <c r="H915" s="650">
        <v>43698</v>
      </c>
      <c r="I915" s="126">
        <v>2000</v>
      </c>
      <c r="J915" s="640">
        <f t="shared" si="32"/>
        <v>360</v>
      </c>
      <c r="K915" s="54">
        <v>0</v>
      </c>
      <c r="L915" s="54">
        <v>180</v>
      </c>
      <c r="M915" s="54">
        <v>180</v>
      </c>
      <c r="N915" s="54"/>
      <c r="O915" s="54">
        <f t="shared" si="33"/>
        <v>2360</v>
      </c>
    </row>
    <row r="916" spans="1:15" x14ac:dyDescent="0.2">
      <c r="A916" s="33">
        <v>43678</v>
      </c>
      <c r="B916" s="11">
        <v>117</v>
      </c>
      <c r="C916" s="11" t="s">
        <v>471</v>
      </c>
      <c r="D916" s="11" t="s">
        <v>29</v>
      </c>
      <c r="F916" s="11" t="s">
        <v>22</v>
      </c>
      <c r="G916" s="38">
        <v>192004710</v>
      </c>
      <c r="H916" s="650">
        <v>43697</v>
      </c>
      <c r="I916" s="126">
        <v>17483.52</v>
      </c>
      <c r="J916" s="640">
        <f t="shared" si="32"/>
        <v>4895.3856000000005</v>
      </c>
      <c r="K916" s="54">
        <v>0</v>
      </c>
      <c r="L916" s="54">
        <v>2447.6928000000003</v>
      </c>
      <c r="M916" s="54">
        <v>2447.6928000000003</v>
      </c>
      <c r="N916" s="54"/>
      <c r="O916" s="54">
        <f t="shared" si="33"/>
        <v>22378.905600000002</v>
      </c>
    </row>
    <row r="917" spans="1:15" x14ac:dyDescent="0.2">
      <c r="A917" s="33">
        <v>43678</v>
      </c>
      <c r="B917" s="11">
        <v>118</v>
      </c>
      <c r="C917" s="11" t="s">
        <v>473</v>
      </c>
      <c r="D917" s="11" t="s">
        <v>41</v>
      </c>
      <c r="F917" s="11" t="s">
        <v>22</v>
      </c>
      <c r="G917" s="38" t="s">
        <v>917</v>
      </c>
      <c r="H917" s="650">
        <v>43698</v>
      </c>
      <c r="I917" s="126">
        <v>9517.8700000000008</v>
      </c>
      <c r="J917" s="640">
        <f t="shared" si="32"/>
        <v>2664.0036</v>
      </c>
      <c r="K917" s="54">
        <v>0</v>
      </c>
      <c r="L917" s="54">
        <v>1332.0018</v>
      </c>
      <c r="M917" s="54">
        <v>1332.0018</v>
      </c>
      <c r="N917" s="54"/>
      <c r="O917" s="54">
        <f t="shared" si="33"/>
        <v>12181.873600000001</v>
      </c>
    </row>
    <row r="918" spans="1:15" x14ac:dyDescent="0.2">
      <c r="A918" s="33">
        <v>43678</v>
      </c>
      <c r="B918" s="11">
        <v>119</v>
      </c>
      <c r="C918" s="11" t="s">
        <v>747</v>
      </c>
      <c r="D918" s="11" t="s">
        <v>748</v>
      </c>
      <c r="F918" s="11" t="s">
        <v>22</v>
      </c>
      <c r="G918" s="38" t="s">
        <v>918</v>
      </c>
      <c r="H918" s="650">
        <v>43698</v>
      </c>
      <c r="I918" s="126">
        <v>13750</v>
      </c>
      <c r="J918" s="640">
        <f t="shared" si="32"/>
        <v>2475</v>
      </c>
      <c r="K918" s="54">
        <v>0</v>
      </c>
      <c r="L918" s="54">
        <v>1237.5</v>
      </c>
      <c r="M918" s="54">
        <v>1237.5</v>
      </c>
      <c r="N918" s="54"/>
      <c r="O918" s="54">
        <f t="shared" si="33"/>
        <v>16225</v>
      </c>
    </row>
    <row r="919" spans="1:15" x14ac:dyDescent="0.2">
      <c r="A919" s="33">
        <v>43678</v>
      </c>
      <c r="B919" s="11">
        <v>120</v>
      </c>
      <c r="C919" s="11" t="s">
        <v>554</v>
      </c>
      <c r="D919" s="11" t="s">
        <v>555</v>
      </c>
      <c r="F919" s="11" t="s">
        <v>22</v>
      </c>
      <c r="G919" s="38">
        <v>11071</v>
      </c>
      <c r="H919" s="650">
        <v>43699</v>
      </c>
      <c r="I919" s="126">
        <v>7237.5</v>
      </c>
      <c r="J919" s="640">
        <f t="shared" si="32"/>
        <v>2026.5</v>
      </c>
      <c r="K919" s="54">
        <v>0</v>
      </c>
      <c r="L919" s="54">
        <v>1013.25</v>
      </c>
      <c r="M919" s="54">
        <v>1013.25</v>
      </c>
      <c r="N919" s="54"/>
      <c r="O919" s="54">
        <f t="shared" si="33"/>
        <v>9264</v>
      </c>
    </row>
    <row r="920" spans="1:15" x14ac:dyDescent="0.2">
      <c r="A920" s="33">
        <v>43678</v>
      </c>
      <c r="B920" s="11">
        <v>121</v>
      </c>
      <c r="C920" s="11" t="s">
        <v>554</v>
      </c>
      <c r="D920" s="11" t="s">
        <v>555</v>
      </c>
      <c r="F920" s="11" t="s">
        <v>22</v>
      </c>
      <c r="G920" s="38">
        <v>11116</v>
      </c>
      <c r="H920" s="650">
        <v>43699</v>
      </c>
      <c r="I920" s="126">
        <v>7710</v>
      </c>
      <c r="J920" s="640">
        <f t="shared" si="32"/>
        <v>2158.7999999999997</v>
      </c>
      <c r="K920" s="54">
        <v>0</v>
      </c>
      <c r="L920" s="54">
        <v>1079.3999999999999</v>
      </c>
      <c r="M920" s="54">
        <v>1079.3999999999999</v>
      </c>
      <c r="N920" s="54"/>
      <c r="O920" s="54">
        <f t="shared" si="33"/>
        <v>9868.7999999999993</v>
      </c>
    </row>
    <row r="921" spans="1:15" x14ac:dyDescent="0.2">
      <c r="A921" s="33">
        <v>43678</v>
      </c>
      <c r="B921" s="11">
        <v>122</v>
      </c>
      <c r="C921" s="11" t="s">
        <v>471</v>
      </c>
      <c r="D921" s="11" t="s">
        <v>29</v>
      </c>
      <c r="F921" s="11" t="s">
        <v>22</v>
      </c>
      <c r="G921" s="38">
        <v>192004763</v>
      </c>
      <c r="H921" s="650">
        <v>43699</v>
      </c>
      <c r="I921" s="126">
        <v>17483.52</v>
      </c>
      <c r="J921" s="640">
        <f t="shared" si="32"/>
        <v>4895.3856000000005</v>
      </c>
      <c r="K921" s="54">
        <v>0</v>
      </c>
      <c r="L921" s="54">
        <v>2447.6928000000003</v>
      </c>
      <c r="M921" s="54">
        <v>2447.6928000000003</v>
      </c>
      <c r="N921" s="54"/>
      <c r="O921" s="54">
        <f t="shared" si="33"/>
        <v>22378.905600000002</v>
      </c>
    </row>
    <row r="922" spans="1:15" x14ac:dyDescent="0.2">
      <c r="A922" s="33">
        <v>43678</v>
      </c>
      <c r="B922" s="11">
        <v>123</v>
      </c>
      <c r="C922" s="11" t="s">
        <v>471</v>
      </c>
      <c r="D922" s="11" t="s">
        <v>29</v>
      </c>
      <c r="F922" s="11" t="s">
        <v>22</v>
      </c>
      <c r="G922" s="38">
        <v>192004764</v>
      </c>
      <c r="H922" s="650">
        <v>43699</v>
      </c>
      <c r="I922" s="126">
        <v>17483.52</v>
      </c>
      <c r="J922" s="640">
        <f t="shared" si="32"/>
        <v>4895.3856000000005</v>
      </c>
      <c r="K922" s="54">
        <v>0</v>
      </c>
      <c r="L922" s="54">
        <v>2447.6928000000003</v>
      </c>
      <c r="M922" s="54">
        <v>2447.6928000000003</v>
      </c>
      <c r="N922" s="54"/>
      <c r="O922" s="54">
        <f t="shared" si="33"/>
        <v>22378.905600000002</v>
      </c>
    </row>
    <row r="923" spans="1:15" x14ac:dyDescent="0.2">
      <c r="A923" s="33">
        <v>43678</v>
      </c>
      <c r="B923" s="11">
        <v>124</v>
      </c>
      <c r="C923" s="11" t="s">
        <v>479</v>
      </c>
      <c r="D923" s="11" t="s">
        <v>480</v>
      </c>
      <c r="F923" s="11" t="s">
        <v>22</v>
      </c>
      <c r="G923" s="38">
        <v>1239</v>
      </c>
      <c r="H923" s="650">
        <v>43700</v>
      </c>
      <c r="I923" s="126">
        <v>2000</v>
      </c>
      <c r="J923" s="640">
        <f t="shared" si="32"/>
        <v>360</v>
      </c>
      <c r="K923" s="54">
        <v>0</v>
      </c>
      <c r="L923" s="54">
        <v>180</v>
      </c>
      <c r="M923" s="54">
        <v>180</v>
      </c>
      <c r="N923" s="54"/>
      <c r="O923" s="54">
        <f t="shared" si="33"/>
        <v>2360</v>
      </c>
    </row>
    <row r="924" spans="1:15" x14ac:dyDescent="0.2">
      <c r="A924" s="33">
        <v>43678</v>
      </c>
      <c r="B924" s="11">
        <v>125</v>
      </c>
      <c r="C924" s="11" t="s">
        <v>554</v>
      </c>
      <c r="D924" s="11" t="s">
        <v>555</v>
      </c>
      <c r="F924" s="11" t="s">
        <v>22</v>
      </c>
      <c r="G924" s="38">
        <v>11130</v>
      </c>
      <c r="H924" s="650">
        <v>43700</v>
      </c>
      <c r="I924" s="126">
        <v>7302</v>
      </c>
      <c r="J924" s="640">
        <f t="shared" si="32"/>
        <v>2044.56</v>
      </c>
      <c r="K924" s="54">
        <v>0</v>
      </c>
      <c r="L924" s="54">
        <v>1022.28</v>
      </c>
      <c r="M924" s="54">
        <v>1022.28</v>
      </c>
      <c r="N924" s="54"/>
      <c r="O924" s="54">
        <f t="shared" si="33"/>
        <v>9346.56</v>
      </c>
    </row>
    <row r="925" spans="1:15" x14ac:dyDescent="0.2">
      <c r="A925" s="33">
        <v>43678</v>
      </c>
      <c r="B925" s="11">
        <v>126</v>
      </c>
      <c r="C925" s="11" t="s">
        <v>554</v>
      </c>
      <c r="D925" s="11" t="s">
        <v>555</v>
      </c>
      <c r="F925" s="11" t="s">
        <v>22</v>
      </c>
      <c r="G925" s="38">
        <v>11170</v>
      </c>
      <c r="H925" s="650">
        <v>43701</v>
      </c>
      <c r="I925" s="126">
        <v>5156.75</v>
      </c>
      <c r="J925" s="640">
        <f t="shared" si="32"/>
        <v>1443.89</v>
      </c>
      <c r="K925" s="54">
        <v>0</v>
      </c>
      <c r="L925" s="54">
        <v>721.94500000000005</v>
      </c>
      <c r="M925" s="54">
        <v>721.94500000000005</v>
      </c>
      <c r="N925" s="54"/>
      <c r="O925" s="54">
        <f t="shared" si="33"/>
        <v>6600.64</v>
      </c>
    </row>
    <row r="926" spans="1:15" x14ac:dyDescent="0.2">
      <c r="A926" s="33">
        <v>43678</v>
      </c>
      <c r="B926" s="11">
        <v>127</v>
      </c>
      <c r="C926" s="11" t="s">
        <v>479</v>
      </c>
      <c r="D926" s="11" t="s">
        <v>480</v>
      </c>
      <c r="F926" s="11" t="s">
        <v>22</v>
      </c>
      <c r="G926" s="38">
        <v>1240</v>
      </c>
      <c r="H926" s="650">
        <v>43701</v>
      </c>
      <c r="I926" s="126">
        <v>3600</v>
      </c>
      <c r="J926" s="640">
        <f t="shared" si="32"/>
        <v>648</v>
      </c>
      <c r="K926" s="54">
        <v>0</v>
      </c>
      <c r="L926" s="54">
        <v>324</v>
      </c>
      <c r="M926" s="54">
        <v>324</v>
      </c>
      <c r="N926" s="54"/>
      <c r="O926" s="54">
        <f t="shared" si="33"/>
        <v>4248</v>
      </c>
    </row>
    <row r="927" spans="1:15" x14ac:dyDescent="0.2">
      <c r="A927" s="33">
        <v>43678</v>
      </c>
      <c r="B927" s="11">
        <v>128</v>
      </c>
      <c r="C927" s="11" t="s">
        <v>471</v>
      </c>
      <c r="D927" s="11" t="s">
        <v>29</v>
      </c>
      <c r="F927" s="11" t="s">
        <v>22</v>
      </c>
      <c r="G927" s="38">
        <v>192004831</v>
      </c>
      <c r="H927" s="650">
        <v>43701</v>
      </c>
      <c r="I927" s="126">
        <v>24768.32</v>
      </c>
      <c r="J927" s="640">
        <f t="shared" si="32"/>
        <v>6935.1296000000002</v>
      </c>
      <c r="K927" s="54">
        <v>0</v>
      </c>
      <c r="L927" s="54">
        <v>3467.5648000000001</v>
      </c>
      <c r="M927" s="54">
        <v>3467.5648000000001</v>
      </c>
      <c r="N927" s="54"/>
      <c r="O927" s="54">
        <f t="shared" si="33"/>
        <v>31703.4496</v>
      </c>
    </row>
    <row r="928" spans="1:15" x14ac:dyDescent="0.2">
      <c r="A928" s="33">
        <v>43678</v>
      </c>
      <c r="B928" s="11">
        <v>129</v>
      </c>
      <c r="C928" s="11" t="s">
        <v>554</v>
      </c>
      <c r="D928" s="11" t="s">
        <v>555</v>
      </c>
      <c r="F928" s="11" t="s">
        <v>22</v>
      </c>
      <c r="G928" s="38">
        <v>11211</v>
      </c>
      <c r="H928" s="650">
        <v>43701</v>
      </c>
      <c r="I928" s="126">
        <v>4958.5</v>
      </c>
      <c r="J928" s="640">
        <f t="shared" si="32"/>
        <v>1388.38</v>
      </c>
      <c r="K928" s="54">
        <v>0</v>
      </c>
      <c r="L928" s="54">
        <v>694.19</v>
      </c>
      <c r="M928" s="54">
        <v>694.19</v>
      </c>
      <c r="N928" s="54"/>
      <c r="O928" s="54">
        <f t="shared" si="33"/>
        <v>6346.88</v>
      </c>
    </row>
    <row r="929" spans="1:15" x14ac:dyDescent="0.2">
      <c r="A929" s="33">
        <v>43678</v>
      </c>
      <c r="B929" s="11">
        <v>130</v>
      </c>
      <c r="C929" s="11" t="s">
        <v>919</v>
      </c>
      <c r="D929" s="11" t="s">
        <v>920</v>
      </c>
      <c r="F929" s="11" t="s">
        <v>22</v>
      </c>
      <c r="G929" s="38" t="s">
        <v>921</v>
      </c>
      <c r="H929" s="650">
        <v>43700</v>
      </c>
      <c r="I929" s="126">
        <v>1560</v>
      </c>
      <c r="J929" s="640">
        <f t="shared" si="32"/>
        <v>280.8</v>
      </c>
      <c r="K929" s="54">
        <v>0</v>
      </c>
      <c r="L929" s="54">
        <v>140.4</v>
      </c>
      <c r="M929" s="54">
        <v>140.4</v>
      </c>
      <c r="N929" s="54"/>
      <c r="O929" s="54">
        <f t="shared" si="33"/>
        <v>1840.8</v>
      </c>
    </row>
    <row r="930" spans="1:15" x14ac:dyDescent="0.2">
      <c r="A930" s="33">
        <v>43678</v>
      </c>
      <c r="B930" s="11">
        <v>131</v>
      </c>
      <c r="C930" s="11" t="s">
        <v>479</v>
      </c>
      <c r="D930" s="11" t="s">
        <v>480</v>
      </c>
      <c r="F930" s="11" t="s">
        <v>22</v>
      </c>
      <c r="G930" s="38">
        <v>1242</v>
      </c>
      <c r="H930" s="650">
        <v>43701</v>
      </c>
      <c r="I930" s="126">
        <v>1358.1</v>
      </c>
      <c r="J930" s="640">
        <f t="shared" si="32"/>
        <v>244.458</v>
      </c>
      <c r="K930" s="54">
        <v>0</v>
      </c>
      <c r="L930" s="54">
        <v>122.229</v>
      </c>
      <c r="M930" s="54">
        <v>122.229</v>
      </c>
      <c r="N930" s="54"/>
      <c r="O930" s="54">
        <f t="shared" si="33"/>
        <v>1602.558</v>
      </c>
    </row>
    <row r="931" spans="1:15" x14ac:dyDescent="0.2">
      <c r="A931" s="33">
        <v>43678</v>
      </c>
      <c r="B931" s="11">
        <v>132</v>
      </c>
      <c r="C931" s="11" t="s">
        <v>554</v>
      </c>
      <c r="D931" s="11" t="s">
        <v>555</v>
      </c>
      <c r="F931" s="11" t="s">
        <v>22</v>
      </c>
      <c r="G931" s="38">
        <v>11229</v>
      </c>
      <c r="H931" s="650">
        <v>43703</v>
      </c>
      <c r="I931" s="126">
        <v>6568.8</v>
      </c>
      <c r="J931" s="640">
        <f t="shared" si="32"/>
        <v>1839.2640000000001</v>
      </c>
      <c r="K931" s="54">
        <v>0</v>
      </c>
      <c r="L931" s="54">
        <v>919.63200000000006</v>
      </c>
      <c r="M931" s="54">
        <v>919.63200000000006</v>
      </c>
      <c r="N931" s="54"/>
      <c r="O931" s="54">
        <f t="shared" si="33"/>
        <v>8408.0640000000003</v>
      </c>
    </row>
    <row r="932" spans="1:15" x14ac:dyDescent="0.2">
      <c r="A932" s="33">
        <v>43678</v>
      </c>
      <c r="B932" s="11">
        <v>133</v>
      </c>
      <c r="C932" s="11" t="s">
        <v>479</v>
      </c>
      <c r="D932" s="11" t="s">
        <v>480</v>
      </c>
      <c r="F932" s="11" t="s">
        <v>22</v>
      </c>
      <c r="G932" s="38">
        <v>1245</v>
      </c>
      <c r="H932" s="650">
        <v>43703</v>
      </c>
      <c r="I932" s="126">
        <v>15600</v>
      </c>
      <c r="J932" s="640">
        <f t="shared" si="32"/>
        <v>2808</v>
      </c>
      <c r="K932" s="54">
        <v>0</v>
      </c>
      <c r="L932" s="54">
        <v>1404</v>
      </c>
      <c r="M932" s="54">
        <v>1404</v>
      </c>
      <c r="N932" s="54"/>
      <c r="O932" s="54">
        <f t="shared" si="33"/>
        <v>18408</v>
      </c>
    </row>
    <row r="933" spans="1:15" x14ac:dyDescent="0.2">
      <c r="A933" s="33">
        <v>43678</v>
      </c>
      <c r="B933" s="11">
        <v>134</v>
      </c>
      <c r="C933" s="11" t="s">
        <v>473</v>
      </c>
      <c r="D933" s="11" t="s">
        <v>41</v>
      </c>
      <c r="F933" s="11" t="s">
        <v>22</v>
      </c>
      <c r="G933" s="38" t="s">
        <v>922</v>
      </c>
      <c r="H933" s="650">
        <v>43703</v>
      </c>
      <c r="I933" s="126">
        <v>7215.36</v>
      </c>
      <c r="J933" s="640">
        <f t="shared" si="32"/>
        <v>2020.0008</v>
      </c>
      <c r="K933" s="54">
        <v>0</v>
      </c>
      <c r="L933" s="54">
        <v>1010.0004</v>
      </c>
      <c r="M933" s="54">
        <v>1010.0004</v>
      </c>
      <c r="N933" s="54"/>
      <c r="O933" s="54">
        <f t="shared" si="33"/>
        <v>9235.3608000000004</v>
      </c>
    </row>
    <row r="934" spans="1:15" x14ac:dyDescent="0.2">
      <c r="A934" s="33">
        <v>43678</v>
      </c>
      <c r="B934" s="11">
        <v>135</v>
      </c>
      <c r="C934" s="11" t="s">
        <v>473</v>
      </c>
      <c r="D934" s="11" t="s">
        <v>41</v>
      </c>
      <c r="F934" s="11" t="s">
        <v>22</v>
      </c>
      <c r="G934" s="38" t="s">
        <v>923</v>
      </c>
      <c r="H934" s="650">
        <v>43703</v>
      </c>
      <c r="I934" s="126">
        <v>1249</v>
      </c>
      <c r="J934" s="640">
        <f t="shared" si="32"/>
        <v>350</v>
      </c>
      <c r="K934" s="54">
        <v>0</v>
      </c>
      <c r="L934" s="54">
        <v>175</v>
      </c>
      <c r="M934" s="54">
        <v>175</v>
      </c>
      <c r="N934" s="54"/>
      <c r="O934" s="54">
        <f t="shared" si="33"/>
        <v>1599</v>
      </c>
    </row>
    <row r="935" spans="1:15" x14ac:dyDescent="0.2">
      <c r="A935" s="33">
        <v>43678</v>
      </c>
      <c r="B935" s="11">
        <v>136</v>
      </c>
      <c r="C935" s="11" t="s">
        <v>554</v>
      </c>
      <c r="D935" s="11" t="s">
        <v>555</v>
      </c>
      <c r="F935" s="11" t="s">
        <v>22</v>
      </c>
      <c r="G935" s="38">
        <v>11274</v>
      </c>
      <c r="H935" s="650">
        <v>43704</v>
      </c>
      <c r="I935" s="126">
        <v>11970</v>
      </c>
      <c r="J935" s="640">
        <f t="shared" si="32"/>
        <v>3351.6</v>
      </c>
      <c r="K935" s="54">
        <v>0</v>
      </c>
      <c r="L935" s="54">
        <v>1675.8</v>
      </c>
      <c r="M935" s="54">
        <v>1675.8</v>
      </c>
      <c r="N935" s="54"/>
      <c r="O935" s="54">
        <f t="shared" si="33"/>
        <v>15321.6</v>
      </c>
    </row>
    <row r="936" spans="1:15" x14ac:dyDescent="0.2">
      <c r="A936" s="33">
        <v>43678</v>
      </c>
      <c r="B936" s="11">
        <v>137</v>
      </c>
      <c r="C936" s="11" t="s">
        <v>473</v>
      </c>
      <c r="D936" s="11" t="s">
        <v>41</v>
      </c>
      <c r="F936" s="11" t="s">
        <v>22</v>
      </c>
      <c r="G936" s="38" t="s">
        <v>924</v>
      </c>
      <c r="H936" s="650">
        <v>43704</v>
      </c>
      <c r="I936" s="126">
        <v>11252</v>
      </c>
      <c r="J936" s="640">
        <f t="shared" si="32"/>
        <v>3150</v>
      </c>
      <c r="K936" s="54">
        <v>0</v>
      </c>
      <c r="L936" s="54">
        <v>1575</v>
      </c>
      <c r="M936" s="54">
        <v>1575</v>
      </c>
      <c r="N936" s="54"/>
      <c r="O936" s="54">
        <f t="shared" si="33"/>
        <v>14402</v>
      </c>
    </row>
    <row r="937" spans="1:15" x14ac:dyDescent="0.2">
      <c r="A937" s="33">
        <v>43678</v>
      </c>
      <c r="B937" s="11">
        <v>138</v>
      </c>
      <c r="C937" s="11" t="s">
        <v>554</v>
      </c>
      <c r="D937" s="11" t="s">
        <v>555</v>
      </c>
      <c r="F937" s="11" t="s">
        <v>22</v>
      </c>
      <c r="G937" s="38">
        <v>11318</v>
      </c>
      <c r="H937" s="650">
        <v>43705</v>
      </c>
      <c r="I937" s="126">
        <v>10395</v>
      </c>
      <c r="J937" s="640">
        <f t="shared" si="32"/>
        <v>2910.6</v>
      </c>
      <c r="K937" s="54">
        <v>0</v>
      </c>
      <c r="L937" s="54">
        <v>1455.3</v>
      </c>
      <c r="M937" s="54">
        <v>1455.3</v>
      </c>
      <c r="N937" s="54"/>
      <c r="O937" s="54">
        <f t="shared" si="33"/>
        <v>13305.6</v>
      </c>
    </row>
    <row r="938" spans="1:15" x14ac:dyDescent="0.2">
      <c r="A938" s="33">
        <v>43678</v>
      </c>
      <c r="B938" s="11">
        <v>139</v>
      </c>
      <c r="C938" s="11" t="s">
        <v>747</v>
      </c>
      <c r="D938" s="11" t="s">
        <v>748</v>
      </c>
      <c r="F938" s="11" t="s">
        <v>22</v>
      </c>
      <c r="G938" s="38" t="s">
        <v>925</v>
      </c>
      <c r="H938" s="650">
        <v>43703</v>
      </c>
      <c r="I938" s="126">
        <v>27500</v>
      </c>
      <c r="J938" s="640">
        <f t="shared" si="32"/>
        <v>4950</v>
      </c>
      <c r="K938" s="54">
        <v>0</v>
      </c>
      <c r="L938" s="54">
        <v>2475</v>
      </c>
      <c r="M938" s="54">
        <v>2475</v>
      </c>
      <c r="N938" s="54"/>
      <c r="O938" s="54">
        <f t="shared" si="33"/>
        <v>32450</v>
      </c>
    </row>
    <row r="939" spans="1:15" x14ac:dyDescent="0.2">
      <c r="A939" s="33">
        <v>43678</v>
      </c>
      <c r="B939" s="11">
        <v>140</v>
      </c>
      <c r="C939" s="11" t="s">
        <v>747</v>
      </c>
      <c r="D939" s="11" t="s">
        <v>748</v>
      </c>
      <c r="F939" s="11" t="s">
        <v>22</v>
      </c>
      <c r="G939" s="38" t="s">
        <v>926</v>
      </c>
      <c r="H939" s="650">
        <v>43703</v>
      </c>
      <c r="I939" s="126">
        <v>2500</v>
      </c>
      <c r="J939" s="640">
        <f t="shared" si="32"/>
        <v>450</v>
      </c>
      <c r="K939" s="54">
        <v>0</v>
      </c>
      <c r="L939" s="54">
        <v>225</v>
      </c>
      <c r="M939" s="54">
        <v>225</v>
      </c>
      <c r="N939" s="54"/>
      <c r="O939" s="54">
        <f t="shared" si="33"/>
        <v>2950</v>
      </c>
    </row>
    <row r="940" spans="1:15" x14ac:dyDescent="0.2">
      <c r="A940" s="33">
        <v>43678</v>
      </c>
      <c r="B940" s="11">
        <v>141</v>
      </c>
      <c r="C940" s="11" t="s">
        <v>747</v>
      </c>
      <c r="D940" s="11" t="s">
        <v>748</v>
      </c>
      <c r="F940" s="11" t="s">
        <v>22</v>
      </c>
      <c r="G940" s="38" t="s">
        <v>927</v>
      </c>
      <c r="H940" s="650">
        <v>43703</v>
      </c>
      <c r="I940" s="126">
        <v>19500</v>
      </c>
      <c r="J940" s="640">
        <f t="shared" si="32"/>
        <v>3510</v>
      </c>
      <c r="K940" s="54">
        <v>0</v>
      </c>
      <c r="L940" s="54">
        <v>1755</v>
      </c>
      <c r="M940" s="54">
        <v>1755</v>
      </c>
      <c r="N940" s="54"/>
      <c r="O940" s="54">
        <f t="shared" si="33"/>
        <v>23010</v>
      </c>
    </row>
    <row r="941" spans="1:15" x14ac:dyDescent="0.2">
      <c r="A941" s="33">
        <v>43678</v>
      </c>
      <c r="B941" s="11">
        <v>142</v>
      </c>
      <c r="C941" s="11" t="s">
        <v>928</v>
      </c>
      <c r="D941" s="11" t="s">
        <v>929</v>
      </c>
      <c r="F941" s="11" t="s">
        <v>22</v>
      </c>
      <c r="G941" s="38" t="s">
        <v>930</v>
      </c>
      <c r="H941" s="650">
        <v>43694</v>
      </c>
      <c r="I941" s="126">
        <v>7250</v>
      </c>
      <c r="J941" s="640">
        <f t="shared" si="32"/>
        <v>1305</v>
      </c>
      <c r="K941" s="54">
        <v>1305</v>
      </c>
      <c r="L941" s="54">
        <v>0</v>
      </c>
      <c r="M941" s="54">
        <v>0</v>
      </c>
      <c r="N941" s="54"/>
      <c r="O941" s="54">
        <f t="shared" si="33"/>
        <v>8555</v>
      </c>
    </row>
    <row r="942" spans="1:15" x14ac:dyDescent="0.2">
      <c r="A942" s="33">
        <v>43678</v>
      </c>
      <c r="B942" s="11">
        <v>143</v>
      </c>
      <c r="C942" s="11" t="s">
        <v>556</v>
      </c>
      <c r="D942" s="11" t="s">
        <v>557</v>
      </c>
      <c r="F942" s="11" t="s">
        <v>22</v>
      </c>
      <c r="G942" s="38" t="s">
        <v>931</v>
      </c>
      <c r="H942" s="650">
        <v>43703</v>
      </c>
      <c r="I942" s="126">
        <v>69300</v>
      </c>
      <c r="J942" s="640">
        <f t="shared" si="32"/>
        <v>12474</v>
      </c>
      <c r="K942" s="54">
        <v>0</v>
      </c>
      <c r="L942" s="54">
        <v>6237</v>
      </c>
      <c r="M942" s="54">
        <v>6237</v>
      </c>
      <c r="N942" s="54"/>
      <c r="O942" s="54">
        <f t="shared" si="33"/>
        <v>81774</v>
      </c>
    </row>
    <row r="943" spans="1:15" x14ac:dyDescent="0.2">
      <c r="A943" s="33">
        <v>43678</v>
      </c>
      <c r="B943" s="11">
        <v>144</v>
      </c>
      <c r="C943" s="11" t="s">
        <v>489</v>
      </c>
      <c r="D943" s="11" t="s">
        <v>490</v>
      </c>
      <c r="F943" s="11" t="s">
        <v>22</v>
      </c>
      <c r="G943" s="38">
        <v>7887987825</v>
      </c>
      <c r="H943" s="650">
        <v>43705</v>
      </c>
      <c r="I943" s="126">
        <v>10240</v>
      </c>
      <c r="J943" s="640">
        <f t="shared" si="32"/>
        <v>1843.2</v>
      </c>
      <c r="K943" s="54">
        <v>0</v>
      </c>
      <c r="L943" s="54">
        <v>921.6</v>
      </c>
      <c r="M943" s="54">
        <v>921.6</v>
      </c>
      <c r="N943" s="54"/>
      <c r="O943" s="54">
        <f t="shared" si="33"/>
        <v>12083.2</v>
      </c>
    </row>
    <row r="944" spans="1:15" x14ac:dyDescent="0.2">
      <c r="A944" s="33">
        <v>43678</v>
      </c>
      <c r="B944" s="11">
        <v>145</v>
      </c>
      <c r="C944" s="11" t="s">
        <v>473</v>
      </c>
      <c r="D944" s="11" t="s">
        <v>41</v>
      </c>
      <c r="F944" s="11" t="s">
        <v>22</v>
      </c>
      <c r="G944" s="38" t="s">
        <v>932</v>
      </c>
      <c r="H944" s="650">
        <v>43705</v>
      </c>
      <c r="I944" s="126">
        <v>6412</v>
      </c>
      <c r="J944" s="640">
        <f t="shared" si="32"/>
        <v>1796.0000000000002</v>
      </c>
      <c r="K944" s="54">
        <v>0</v>
      </c>
      <c r="L944" s="54">
        <v>898.00000000000011</v>
      </c>
      <c r="M944" s="54">
        <v>898.00000000000011</v>
      </c>
      <c r="N944" s="54"/>
      <c r="O944" s="54">
        <f t="shared" si="33"/>
        <v>8208</v>
      </c>
    </row>
    <row r="945" spans="1:15" x14ac:dyDescent="0.2">
      <c r="A945" s="33">
        <v>43678</v>
      </c>
      <c r="B945" s="11">
        <v>146</v>
      </c>
      <c r="C945" s="11" t="s">
        <v>471</v>
      </c>
      <c r="D945" s="11" t="s">
        <v>29</v>
      </c>
      <c r="F945" s="11" t="s">
        <v>22</v>
      </c>
      <c r="G945" s="38">
        <v>192004897</v>
      </c>
      <c r="H945" s="650">
        <v>43705</v>
      </c>
      <c r="I945" s="126">
        <v>17483.52</v>
      </c>
      <c r="J945" s="640">
        <f t="shared" si="32"/>
        <v>4895.3856000000005</v>
      </c>
      <c r="K945" s="54">
        <v>0</v>
      </c>
      <c r="L945" s="54">
        <v>2447.6928000000003</v>
      </c>
      <c r="M945" s="54">
        <v>2447.6928000000003</v>
      </c>
      <c r="N945" s="54"/>
      <c r="O945" s="54">
        <f t="shared" si="33"/>
        <v>22378.905600000002</v>
      </c>
    </row>
    <row r="946" spans="1:15" x14ac:dyDescent="0.2">
      <c r="A946" s="33">
        <v>43678</v>
      </c>
      <c r="B946" s="11">
        <v>147</v>
      </c>
      <c r="C946" s="11" t="s">
        <v>471</v>
      </c>
      <c r="D946" s="11" t="s">
        <v>29</v>
      </c>
      <c r="F946" s="11" t="s">
        <v>22</v>
      </c>
      <c r="G946" s="38">
        <v>192004896</v>
      </c>
      <c r="H946" s="650">
        <v>43705</v>
      </c>
      <c r="I946" s="126">
        <v>17483.52</v>
      </c>
      <c r="J946" s="640">
        <f t="shared" si="32"/>
        <v>4895.3856000000005</v>
      </c>
      <c r="K946" s="54">
        <v>0</v>
      </c>
      <c r="L946" s="54">
        <v>2447.6928000000003</v>
      </c>
      <c r="M946" s="54">
        <v>2447.6928000000003</v>
      </c>
      <c r="N946" s="54"/>
      <c r="O946" s="54">
        <f t="shared" si="33"/>
        <v>22378.905600000002</v>
      </c>
    </row>
    <row r="947" spans="1:15" x14ac:dyDescent="0.2">
      <c r="A947" s="33">
        <v>43678</v>
      </c>
      <c r="B947" s="11">
        <v>148</v>
      </c>
      <c r="C947" s="11" t="s">
        <v>554</v>
      </c>
      <c r="D947" s="11" t="s">
        <v>555</v>
      </c>
      <c r="F947" s="11" t="s">
        <v>22</v>
      </c>
      <c r="G947" s="38">
        <v>11334</v>
      </c>
      <c r="H947" s="650">
        <v>43705</v>
      </c>
      <c r="I947" s="126">
        <v>9135</v>
      </c>
      <c r="J947" s="640">
        <f t="shared" si="32"/>
        <v>2557.7999999999997</v>
      </c>
      <c r="K947" s="54">
        <v>0</v>
      </c>
      <c r="L947" s="54">
        <v>1278.8999999999999</v>
      </c>
      <c r="M947" s="54">
        <v>1278.8999999999999</v>
      </c>
      <c r="N947" s="54"/>
      <c r="O947" s="54">
        <f t="shared" si="33"/>
        <v>11692.8</v>
      </c>
    </row>
    <row r="948" spans="1:15" x14ac:dyDescent="0.2">
      <c r="A948" s="33">
        <v>43678</v>
      </c>
      <c r="B948" s="11">
        <v>149</v>
      </c>
      <c r="C948" s="11" t="s">
        <v>634</v>
      </c>
      <c r="D948" s="11" t="s">
        <v>635</v>
      </c>
      <c r="F948" s="11" t="s">
        <v>22</v>
      </c>
      <c r="G948" s="38" t="s">
        <v>933</v>
      </c>
      <c r="H948" s="650">
        <v>43705</v>
      </c>
      <c r="I948" s="126">
        <v>10414</v>
      </c>
      <c r="J948" s="640">
        <f t="shared" si="32"/>
        <v>1874.52</v>
      </c>
      <c r="K948" s="54">
        <v>0</v>
      </c>
      <c r="L948" s="54">
        <v>937.26</v>
      </c>
      <c r="M948" s="54">
        <v>937.26</v>
      </c>
      <c r="N948" s="54"/>
      <c r="O948" s="54">
        <f t="shared" si="33"/>
        <v>12288.52</v>
      </c>
    </row>
    <row r="949" spans="1:15" x14ac:dyDescent="0.2">
      <c r="A949" s="33">
        <v>43678</v>
      </c>
      <c r="B949" s="11">
        <v>150</v>
      </c>
      <c r="C949" s="11" t="s">
        <v>517</v>
      </c>
      <c r="D949" s="11" t="s">
        <v>256</v>
      </c>
      <c r="F949" s="11" t="s">
        <v>22</v>
      </c>
      <c r="G949" s="38">
        <v>19615596</v>
      </c>
      <c r="H949" s="650">
        <v>43705</v>
      </c>
      <c r="I949" s="126">
        <v>12571</v>
      </c>
      <c r="J949" s="640">
        <f t="shared" si="32"/>
        <v>3519.8799999999997</v>
      </c>
      <c r="K949" s="54">
        <v>3519.8799999999997</v>
      </c>
      <c r="L949" s="54">
        <v>0</v>
      </c>
      <c r="M949" s="54">
        <v>0</v>
      </c>
      <c r="N949" s="54"/>
      <c r="O949" s="54">
        <f t="shared" si="33"/>
        <v>16090.88</v>
      </c>
    </row>
    <row r="950" spans="1:15" x14ac:dyDescent="0.2">
      <c r="A950" s="33">
        <v>43678</v>
      </c>
      <c r="B950" s="11">
        <v>151</v>
      </c>
      <c r="C950" s="11" t="s">
        <v>517</v>
      </c>
      <c r="D950" s="11" t="s">
        <v>256</v>
      </c>
      <c r="F950" s="11" t="s">
        <v>22</v>
      </c>
      <c r="G950" s="38">
        <v>19615597</v>
      </c>
      <c r="H950" s="650">
        <v>43705</v>
      </c>
      <c r="I950" s="126">
        <v>2377.2600000000002</v>
      </c>
      <c r="J950" s="640">
        <f t="shared" si="32"/>
        <v>665.63279999999997</v>
      </c>
      <c r="K950" s="54">
        <v>665.63279999999997</v>
      </c>
      <c r="L950" s="54">
        <v>0</v>
      </c>
      <c r="M950" s="54">
        <v>0</v>
      </c>
      <c r="N950" s="54"/>
      <c r="O950" s="54">
        <f t="shared" si="33"/>
        <v>3042.8928000000001</v>
      </c>
    </row>
    <row r="951" spans="1:15" x14ac:dyDescent="0.2">
      <c r="A951" s="33">
        <v>43678</v>
      </c>
      <c r="B951" s="11">
        <v>152</v>
      </c>
      <c r="C951" s="11" t="s">
        <v>495</v>
      </c>
      <c r="D951" s="11" t="s">
        <v>74</v>
      </c>
      <c r="F951" s="11" t="s">
        <v>22</v>
      </c>
      <c r="G951" s="38">
        <v>5510055946</v>
      </c>
      <c r="H951" s="650">
        <v>43706</v>
      </c>
      <c r="I951" s="126">
        <v>26544</v>
      </c>
      <c r="J951" s="640">
        <f t="shared" si="32"/>
        <v>4777.92</v>
      </c>
      <c r="K951" s="54">
        <v>0</v>
      </c>
      <c r="L951" s="54">
        <v>2388.96</v>
      </c>
      <c r="M951" s="54">
        <v>2388.96</v>
      </c>
      <c r="N951" s="54"/>
      <c r="O951" s="54">
        <f t="shared" si="33"/>
        <v>31321.919999999998</v>
      </c>
    </row>
    <row r="952" spans="1:15" x14ac:dyDescent="0.2">
      <c r="A952" s="33">
        <v>43678</v>
      </c>
      <c r="B952" s="11">
        <v>153</v>
      </c>
      <c r="C952" s="11" t="s">
        <v>471</v>
      </c>
      <c r="D952" s="11" t="s">
        <v>29</v>
      </c>
      <c r="F952" s="11" t="s">
        <v>22</v>
      </c>
      <c r="G952" s="38">
        <v>192004925</v>
      </c>
      <c r="H952" s="650">
        <v>43706</v>
      </c>
      <c r="I952" s="126">
        <v>17483.52</v>
      </c>
      <c r="J952" s="640">
        <f t="shared" si="32"/>
        <v>4895.3856000000005</v>
      </c>
      <c r="K952" s="54">
        <v>0</v>
      </c>
      <c r="L952" s="54">
        <v>2447.6928000000003</v>
      </c>
      <c r="M952" s="54">
        <v>2447.6928000000003</v>
      </c>
      <c r="N952" s="54"/>
      <c r="O952" s="54">
        <f t="shared" si="33"/>
        <v>22378.905600000002</v>
      </c>
    </row>
    <row r="953" spans="1:15" x14ac:dyDescent="0.2">
      <c r="A953" s="33">
        <v>43678</v>
      </c>
      <c r="B953" s="11">
        <v>154</v>
      </c>
      <c r="C953" s="11" t="s">
        <v>554</v>
      </c>
      <c r="D953" s="11" t="s">
        <v>555</v>
      </c>
      <c r="F953" s="11" t="s">
        <v>22</v>
      </c>
      <c r="G953" s="38">
        <v>11413</v>
      </c>
      <c r="H953" s="650">
        <v>43707</v>
      </c>
      <c r="I953" s="126">
        <v>6300</v>
      </c>
      <c r="J953" s="640">
        <f t="shared" si="32"/>
        <v>1764</v>
      </c>
      <c r="K953" s="54">
        <v>0</v>
      </c>
      <c r="L953" s="54">
        <v>882</v>
      </c>
      <c r="M953" s="54">
        <v>882</v>
      </c>
      <c r="N953" s="54"/>
      <c r="O953" s="54">
        <f t="shared" si="33"/>
        <v>8064</v>
      </c>
    </row>
    <row r="954" spans="1:15" x14ac:dyDescent="0.2">
      <c r="A954" s="33">
        <v>43678</v>
      </c>
      <c r="B954" s="11">
        <v>155</v>
      </c>
      <c r="C954" s="11" t="s">
        <v>479</v>
      </c>
      <c r="D954" s="11" t="s">
        <v>480</v>
      </c>
      <c r="F954" s="11" t="s">
        <v>22</v>
      </c>
      <c r="G954" s="38">
        <v>1246</v>
      </c>
      <c r="H954" s="650">
        <v>43703</v>
      </c>
      <c r="I954" s="126">
        <v>12000</v>
      </c>
      <c r="J954" s="640">
        <f t="shared" si="32"/>
        <v>2160</v>
      </c>
      <c r="K954" s="54">
        <v>0</v>
      </c>
      <c r="L954" s="54">
        <v>1080</v>
      </c>
      <c r="M954" s="54">
        <v>1080</v>
      </c>
      <c r="N954" s="54"/>
      <c r="O954" s="54">
        <f t="shared" si="33"/>
        <v>14160</v>
      </c>
    </row>
    <row r="955" spans="1:15" x14ac:dyDescent="0.2">
      <c r="A955" s="33">
        <v>43678</v>
      </c>
      <c r="B955" s="11">
        <v>156</v>
      </c>
      <c r="C955" s="11" t="s">
        <v>471</v>
      </c>
      <c r="D955" s="11" t="s">
        <v>29</v>
      </c>
      <c r="F955" s="11" t="s">
        <v>22</v>
      </c>
      <c r="G955" s="38">
        <v>192004944</v>
      </c>
      <c r="H955" s="650">
        <v>43707</v>
      </c>
      <c r="I955" s="126">
        <v>17483.52</v>
      </c>
      <c r="J955" s="640">
        <f t="shared" si="32"/>
        <v>4895.3856000000005</v>
      </c>
      <c r="K955" s="54">
        <v>0</v>
      </c>
      <c r="L955" s="54">
        <v>2447.6928000000003</v>
      </c>
      <c r="M955" s="54">
        <v>2447.6928000000003</v>
      </c>
      <c r="N955" s="54"/>
      <c r="O955" s="54">
        <f t="shared" si="33"/>
        <v>22378.905600000002</v>
      </c>
    </row>
    <row r="956" spans="1:15" x14ac:dyDescent="0.2">
      <c r="A956" s="33">
        <v>43678</v>
      </c>
      <c r="B956" s="11">
        <v>157</v>
      </c>
      <c r="C956" s="11" t="s">
        <v>473</v>
      </c>
      <c r="D956" s="11" t="s">
        <v>41</v>
      </c>
      <c r="F956" s="11" t="s">
        <v>22</v>
      </c>
      <c r="G956" s="38" t="s">
        <v>934</v>
      </c>
      <c r="H956" s="650">
        <v>43707</v>
      </c>
      <c r="I956" s="126">
        <v>6478.25</v>
      </c>
      <c r="J956" s="640">
        <f t="shared" si="32"/>
        <v>1813.9899999999998</v>
      </c>
      <c r="K956" s="54">
        <v>0</v>
      </c>
      <c r="L956" s="54">
        <v>906.99499999999989</v>
      </c>
      <c r="M956" s="54">
        <v>906.99499999999989</v>
      </c>
      <c r="N956" s="54"/>
      <c r="O956" s="54">
        <f t="shared" si="33"/>
        <v>8292.24</v>
      </c>
    </row>
    <row r="957" spans="1:15" x14ac:dyDescent="0.2">
      <c r="A957" s="33">
        <v>43678</v>
      </c>
      <c r="B957" s="11">
        <v>158</v>
      </c>
      <c r="C957" s="11" t="s">
        <v>554</v>
      </c>
      <c r="D957" s="11" t="s">
        <v>555</v>
      </c>
      <c r="F957" s="11" t="s">
        <v>22</v>
      </c>
      <c r="G957" s="38">
        <v>11470</v>
      </c>
      <c r="H957" s="650">
        <v>43708</v>
      </c>
      <c r="I957" s="126">
        <v>6300</v>
      </c>
      <c r="J957" s="640">
        <f t="shared" si="32"/>
        <v>1764</v>
      </c>
      <c r="K957" s="54">
        <v>0</v>
      </c>
      <c r="L957" s="54">
        <v>882</v>
      </c>
      <c r="M957" s="54">
        <v>882</v>
      </c>
      <c r="N957" s="54"/>
      <c r="O957" s="54">
        <f t="shared" si="33"/>
        <v>8064</v>
      </c>
    </row>
    <row r="958" spans="1:15" x14ac:dyDescent="0.2">
      <c r="A958" s="33">
        <v>43678</v>
      </c>
      <c r="B958" s="11">
        <v>159</v>
      </c>
      <c r="C958" s="11" t="s">
        <v>471</v>
      </c>
      <c r="D958" s="11" t="s">
        <v>29</v>
      </c>
      <c r="F958" s="11" t="s">
        <v>22</v>
      </c>
      <c r="G958" s="38">
        <v>192004977</v>
      </c>
      <c r="H958" s="650">
        <v>43708</v>
      </c>
      <c r="I958" s="126">
        <v>17483.52</v>
      </c>
      <c r="J958" s="640">
        <f t="shared" si="32"/>
        <v>4895.3856000000005</v>
      </c>
      <c r="K958" s="54">
        <v>0</v>
      </c>
      <c r="L958" s="54">
        <v>2447.6928000000003</v>
      </c>
      <c r="M958" s="54">
        <v>2447.6928000000003</v>
      </c>
      <c r="N958" s="54"/>
      <c r="O958" s="54">
        <f t="shared" si="33"/>
        <v>22378.905600000002</v>
      </c>
    </row>
    <row r="959" spans="1:15" x14ac:dyDescent="0.2">
      <c r="A959" s="33">
        <v>43678</v>
      </c>
      <c r="B959" s="11">
        <v>160</v>
      </c>
      <c r="C959" s="11" t="s">
        <v>471</v>
      </c>
      <c r="D959" s="11" t="s">
        <v>29</v>
      </c>
      <c r="F959" s="11" t="s">
        <v>22</v>
      </c>
      <c r="G959" s="38">
        <v>192004980</v>
      </c>
      <c r="H959" s="650">
        <v>43708</v>
      </c>
      <c r="I959" s="126">
        <v>17483.52</v>
      </c>
      <c r="J959" s="640">
        <f t="shared" si="32"/>
        <v>4895.3856000000005</v>
      </c>
      <c r="K959" s="54">
        <v>0</v>
      </c>
      <c r="L959" s="54">
        <v>2447.6928000000003</v>
      </c>
      <c r="M959" s="54">
        <v>2447.6928000000003</v>
      </c>
      <c r="N959" s="54"/>
      <c r="O959" s="54">
        <f t="shared" si="33"/>
        <v>22378.905600000002</v>
      </c>
    </row>
    <row r="960" spans="1:15" x14ac:dyDescent="0.2">
      <c r="A960" s="33">
        <v>43678</v>
      </c>
      <c r="B960" s="11">
        <v>161</v>
      </c>
      <c r="C960" s="11" t="s">
        <v>556</v>
      </c>
      <c r="D960" s="11" t="s">
        <v>557</v>
      </c>
      <c r="F960" s="11" t="s">
        <v>22</v>
      </c>
      <c r="G960" s="38" t="s">
        <v>935</v>
      </c>
      <c r="H960" s="650">
        <v>43705</v>
      </c>
      <c r="I960" s="126">
        <v>24400</v>
      </c>
      <c r="J960" s="640">
        <f t="shared" si="32"/>
        <v>4392</v>
      </c>
      <c r="K960" s="54">
        <v>0</v>
      </c>
      <c r="L960" s="54">
        <v>2196</v>
      </c>
      <c r="M960" s="54">
        <v>2196</v>
      </c>
      <c r="N960" s="54"/>
      <c r="O960" s="54">
        <f t="shared" si="33"/>
        <v>28792</v>
      </c>
    </row>
    <row r="961" spans="1:15" x14ac:dyDescent="0.2">
      <c r="A961" s="33">
        <v>43678</v>
      </c>
      <c r="B961" s="11">
        <v>162</v>
      </c>
      <c r="C961" s="11" t="s">
        <v>589</v>
      </c>
      <c r="D961" s="11" t="s">
        <v>590</v>
      </c>
      <c r="F961" s="11" t="s">
        <v>22</v>
      </c>
      <c r="G961" s="38">
        <v>12</v>
      </c>
      <c r="H961" s="650">
        <v>43708</v>
      </c>
      <c r="I961" s="126">
        <v>98326.2</v>
      </c>
      <c r="J961" s="640">
        <f t="shared" si="32"/>
        <v>17698.716</v>
      </c>
      <c r="K961" s="54">
        <v>0</v>
      </c>
      <c r="L961" s="54">
        <v>8849.3580000000002</v>
      </c>
      <c r="M961" s="54">
        <v>8849.3580000000002</v>
      </c>
      <c r="N961" s="54"/>
      <c r="O961" s="54">
        <f t="shared" si="33"/>
        <v>116024.916</v>
      </c>
    </row>
    <row r="962" spans="1:15" x14ac:dyDescent="0.2">
      <c r="A962" s="33">
        <v>43678</v>
      </c>
      <c r="B962" s="11">
        <v>163</v>
      </c>
      <c r="C962" s="11" t="s">
        <v>506</v>
      </c>
      <c r="D962" s="11" t="s">
        <v>507</v>
      </c>
      <c r="F962" s="11" t="s">
        <v>22</v>
      </c>
      <c r="G962" s="38" t="s">
        <v>936</v>
      </c>
      <c r="H962" s="650">
        <v>43708</v>
      </c>
      <c r="I962" s="126">
        <v>7300</v>
      </c>
      <c r="J962" s="640">
        <f t="shared" si="32"/>
        <v>1314</v>
      </c>
      <c r="K962" s="54">
        <v>0</v>
      </c>
      <c r="L962" s="54">
        <v>657</v>
      </c>
      <c r="M962" s="54">
        <v>657</v>
      </c>
      <c r="N962" s="54"/>
      <c r="O962" s="54">
        <f t="shared" si="33"/>
        <v>8614</v>
      </c>
    </row>
    <row r="963" spans="1:15" x14ac:dyDescent="0.2">
      <c r="A963" s="33">
        <v>43678</v>
      </c>
      <c r="B963" s="11">
        <v>164</v>
      </c>
      <c r="C963" s="11" t="s">
        <v>506</v>
      </c>
      <c r="D963" s="11" t="s">
        <v>507</v>
      </c>
      <c r="F963" s="11" t="s">
        <v>22</v>
      </c>
      <c r="G963" s="38" t="s">
        <v>937</v>
      </c>
      <c r="H963" s="650">
        <v>43708</v>
      </c>
      <c r="I963" s="126">
        <v>3500</v>
      </c>
      <c r="J963" s="640">
        <f t="shared" si="32"/>
        <v>630</v>
      </c>
      <c r="K963" s="54">
        <v>0</v>
      </c>
      <c r="L963" s="54">
        <v>315</v>
      </c>
      <c r="M963" s="54">
        <v>315</v>
      </c>
      <c r="N963" s="54"/>
      <c r="O963" s="54">
        <f t="shared" si="33"/>
        <v>4130</v>
      </c>
    </row>
    <row r="964" spans="1:15" x14ac:dyDescent="0.2">
      <c r="A964" s="33">
        <v>43678</v>
      </c>
      <c r="B964" s="11">
        <v>165</v>
      </c>
      <c r="C964" s="11" t="s">
        <v>561</v>
      </c>
      <c r="D964" s="11" t="s">
        <v>562</v>
      </c>
      <c r="F964" s="11" t="s">
        <v>22</v>
      </c>
      <c r="G964" s="38" t="s">
        <v>938</v>
      </c>
      <c r="H964" s="650">
        <v>43704</v>
      </c>
      <c r="I964" s="126">
        <v>9425</v>
      </c>
      <c r="J964" s="640">
        <f t="shared" ref="J964:J1027" si="34">+K964+L964+M964+N964</f>
        <v>1696.5</v>
      </c>
      <c r="K964" s="54">
        <v>0</v>
      </c>
      <c r="L964" s="54">
        <v>848.25</v>
      </c>
      <c r="M964" s="54">
        <v>848.25</v>
      </c>
      <c r="N964" s="54"/>
      <c r="O964" s="54">
        <f t="shared" ref="O964:O1027" si="35">+I964+J964</f>
        <v>11121.5</v>
      </c>
    </row>
    <row r="965" spans="1:15" x14ac:dyDescent="0.2">
      <c r="A965" s="33">
        <v>43678</v>
      </c>
      <c r="B965" s="11">
        <v>166</v>
      </c>
      <c r="C965" s="11" t="s">
        <v>102</v>
      </c>
      <c r="D965" s="11" t="s">
        <v>103</v>
      </c>
      <c r="F965" s="11" t="s">
        <v>22</v>
      </c>
      <c r="G965" s="38" t="s">
        <v>939</v>
      </c>
      <c r="H965" s="650">
        <v>43686</v>
      </c>
      <c r="I965" s="126">
        <v>2030.87</v>
      </c>
      <c r="J965" s="640">
        <f t="shared" si="34"/>
        <v>568.64359999999999</v>
      </c>
      <c r="K965" s="54">
        <v>568.64359999999999</v>
      </c>
      <c r="L965" s="54">
        <v>0</v>
      </c>
      <c r="M965" s="54">
        <v>0</v>
      </c>
      <c r="N965" s="54"/>
      <c r="O965" s="54">
        <f t="shared" si="35"/>
        <v>2599.5135999999998</v>
      </c>
    </row>
    <row r="966" spans="1:15" x14ac:dyDescent="0.2">
      <c r="A966" s="33">
        <v>43678</v>
      </c>
      <c r="B966" s="11">
        <v>167</v>
      </c>
      <c r="C966" s="11" t="s">
        <v>102</v>
      </c>
      <c r="D966" s="11" t="s">
        <v>103</v>
      </c>
      <c r="F966" s="11" t="s">
        <v>22</v>
      </c>
      <c r="G966" s="38" t="s">
        <v>940</v>
      </c>
      <c r="H966" s="650">
        <v>43686</v>
      </c>
      <c r="I966" s="126">
        <v>12204.66</v>
      </c>
      <c r="J966" s="640">
        <f t="shared" si="34"/>
        <v>3417.3047999999999</v>
      </c>
      <c r="K966" s="54">
        <v>3417.3047999999999</v>
      </c>
      <c r="L966" s="54">
        <v>0</v>
      </c>
      <c r="M966" s="54">
        <v>0</v>
      </c>
      <c r="N966" s="54"/>
      <c r="O966" s="54">
        <f t="shared" si="35"/>
        <v>15621.9648</v>
      </c>
    </row>
    <row r="967" spans="1:15" x14ac:dyDescent="0.2">
      <c r="A967" s="33">
        <v>43678</v>
      </c>
      <c r="B967" s="11">
        <v>168</v>
      </c>
      <c r="C967" s="11" t="s">
        <v>102</v>
      </c>
      <c r="D967" s="11" t="s">
        <v>103</v>
      </c>
      <c r="F967" s="11" t="s">
        <v>22</v>
      </c>
      <c r="G967" s="38" t="s">
        <v>941</v>
      </c>
      <c r="H967" s="650">
        <v>43695</v>
      </c>
      <c r="I967" s="126">
        <v>325.70999999999998</v>
      </c>
      <c r="J967" s="640">
        <f t="shared" si="34"/>
        <v>91.198799999999991</v>
      </c>
      <c r="K967" s="54">
        <v>91.198799999999991</v>
      </c>
      <c r="L967" s="54">
        <v>0</v>
      </c>
      <c r="M967" s="54">
        <v>0</v>
      </c>
      <c r="N967" s="54"/>
      <c r="O967" s="54">
        <f t="shared" si="35"/>
        <v>416.90879999999999</v>
      </c>
    </row>
    <row r="968" spans="1:15" x14ac:dyDescent="0.2">
      <c r="A968" s="33">
        <v>43678</v>
      </c>
      <c r="B968" s="11">
        <v>169</v>
      </c>
      <c r="C968" s="11" t="s">
        <v>102</v>
      </c>
      <c r="D968" s="11" t="s">
        <v>103</v>
      </c>
      <c r="F968" s="11" t="s">
        <v>22</v>
      </c>
      <c r="G968" s="38" t="s">
        <v>942</v>
      </c>
      <c r="H968" s="650">
        <v>43695</v>
      </c>
      <c r="I968" s="126">
        <v>4297.6000000000004</v>
      </c>
      <c r="J968" s="640">
        <f t="shared" si="34"/>
        <v>1203.3280000000002</v>
      </c>
      <c r="K968" s="54">
        <v>1203.3280000000002</v>
      </c>
      <c r="L968" s="54">
        <v>0</v>
      </c>
      <c r="M968" s="54">
        <v>0</v>
      </c>
      <c r="N968" s="54"/>
      <c r="O968" s="54">
        <f t="shared" si="35"/>
        <v>5500.9280000000008</v>
      </c>
    </row>
    <row r="969" spans="1:15" x14ac:dyDescent="0.2">
      <c r="A969" s="33">
        <v>43678</v>
      </c>
      <c r="B969" s="11">
        <v>9</v>
      </c>
      <c r="C969" s="11" t="s">
        <v>473</v>
      </c>
      <c r="D969" s="11" t="s">
        <v>41</v>
      </c>
      <c r="F969" s="11" t="s">
        <v>228</v>
      </c>
      <c r="G969" s="38">
        <v>9</v>
      </c>
      <c r="H969" s="650">
        <v>43705</v>
      </c>
      <c r="I969" s="126">
        <v>-2250.4</v>
      </c>
      <c r="J969" s="640">
        <f t="shared" si="34"/>
        <v>-630.11200000000008</v>
      </c>
      <c r="K969" s="54">
        <v>0</v>
      </c>
      <c r="L969" s="54">
        <v>-315.05600000000004</v>
      </c>
      <c r="M969" s="54">
        <v>-315.05600000000004</v>
      </c>
      <c r="N969" s="54"/>
      <c r="O969" s="54">
        <f t="shared" si="35"/>
        <v>-2880.5120000000002</v>
      </c>
    </row>
    <row r="970" spans="1:15" x14ac:dyDescent="0.2">
      <c r="A970" s="33">
        <v>43678</v>
      </c>
      <c r="B970" s="11">
        <v>12</v>
      </c>
      <c r="C970" s="11" t="s">
        <v>600</v>
      </c>
      <c r="D970" s="11">
        <v>2</v>
      </c>
      <c r="F970" s="11" t="s">
        <v>392</v>
      </c>
      <c r="G970" s="38">
        <v>26</v>
      </c>
      <c r="H970" s="650">
        <v>43682</v>
      </c>
      <c r="I970" s="126"/>
      <c r="J970" s="640">
        <f t="shared" si="34"/>
        <v>0</v>
      </c>
      <c r="K970" s="54">
        <v>0</v>
      </c>
      <c r="L970" s="54">
        <v>0</v>
      </c>
      <c r="M970" s="54">
        <v>0</v>
      </c>
      <c r="N970" s="54"/>
      <c r="O970" s="54">
        <f t="shared" si="35"/>
        <v>0</v>
      </c>
    </row>
    <row r="971" spans="1:15" x14ac:dyDescent="0.2">
      <c r="A971" s="33">
        <v>43678</v>
      </c>
      <c r="B971" s="11">
        <v>13</v>
      </c>
      <c r="C971" s="11" t="s">
        <v>686</v>
      </c>
      <c r="D971" s="11" t="s">
        <v>687</v>
      </c>
      <c r="F971" s="11" t="s">
        <v>392</v>
      </c>
      <c r="G971" s="38">
        <v>1559</v>
      </c>
      <c r="H971" s="650">
        <v>43690</v>
      </c>
      <c r="I971" s="126"/>
      <c r="J971" s="640">
        <f t="shared" si="34"/>
        <v>0</v>
      </c>
      <c r="K971" s="54">
        <v>0</v>
      </c>
      <c r="L971" s="54">
        <v>0</v>
      </c>
      <c r="M971" s="54">
        <v>0</v>
      </c>
      <c r="N971" s="54"/>
      <c r="O971" s="54">
        <f t="shared" si="35"/>
        <v>0</v>
      </c>
    </row>
    <row r="972" spans="1:15" x14ac:dyDescent="0.2">
      <c r="A972" s="646"/>
      <c r="B972" s="645"/>
      <c r="C972" s="645"/>
      <c r="D972" s="645" t="e">
        <v>#N/A</v>
      </c>
      <c r="E972" s="645"/>
      <c r="F972" s="645"/>
      <c r="G972" s="646"/>
      <c r="H972" s="647"/>
      <c r="I972" s="648">
        <f>SUM(I800:I971)</f>
        <v>4348694.6499999994</v>
      </c>
      <c r="J972" s="648">
        <f t="shared" ref="J972:N972" si="36">SUM(J800:J971)</f>
        <v>921293.93000000017</v>
      </c>
      <c r="K972" s="648">
        <f t="shared" si="36"/>
        <v>10977.877199999999</v>
      </c>
      <c r="L972" s="648">
        <f t="shared" si="36"/>
        <v>403853.79640000011</v>
      </c>
      <c r="M972" s="648">
        <f t="shared" si="36"/>
        <v>403853.79640000011</v>
      </c>
      <c r="N972" s="648">
        <f t="shared" si="36"/>
        <v>0</v>
      </c>
      <c r="O972" s="649">
        <f t="shared" si="35"/>
        <v>5269988.58</v>
      </c>
    </row>
    <row r="973" spans="1:15" x14ac:dyDescent="0.2">
      <c r="A973" s="51">
        <v>43709</v>
      </c>
      <c r="B973" s="11">
        <v>1</v>
      </c>
      <c r="C973" s="11" t="s">
        <v>499</v>
      </c>
      <c r="D973" s="11" t="s">
        <v>500</v>
      </c>
      <c r="F973" s="11" t="s">
        <v>22</v>
      </c>
      <c r="G973" s="38" t="s">
        <v>943</v>
      </c>
      <c r="H973" s="650">
        <v>43711</v>
      </c>
      <c r="I973" s="126">
        <v>2365</v>
      </c>
      <c r="J973" s="640">
        <f t="shared" si="34"/>
        <v>315.3</v>
      </c>
      <c r="K973" s="54">
        <v>0</v>
      </c>
      <c r="L973" s="54">
        <v>157.65</v>
      </c>
      <c r="M973" s="54">
        <v>157.65</v>
      </c>
      <c r="N973" s="54"/>
      <c r="O973" s="54">
        <f t="shared" si="35"/>
        <v>2680.3</v>
      </c>
    </row>
    <row r="974" spans="1:15" x14ac:dyDescent="0.2">
      <c r="A974" s="51">
        <v>43709</v>
      </c>
      <c r="B974" s="11">
        <v>2</v>
      </c>
      <c r="C974" s="11" t="s">
        <v>499</v>
      </c>
      <c r="D974" s="11" t="s">
        <v>500</v>
      </c>
      <c r="F974" s="11" t="s">
        <v>22</v>
      </c>
      <c r="G974" s="38" t="s">
        <v>944</v>
      </c>
      <c r="H974" s="650">
        <v>43711</v>
      </c>
      <c r="I974" s="126">
        <v>3859</v>
      </c>
      <c r="J974" s="640">
        <f t="shared" si="34"/>
        <v>192.95000000000002</v>
      </c>
      <c r="K974" s="54">
        <v>0</v>
      </c>
      <c r="L974" s="54">
        <v>96.475000000000009</v>
      </c>
      <c r="M974" s="54">
        <v>96.475000000000009</v>
      </c>
      <c r="N974" s="54"/>
      <c r="O974" s="54">
        <f t="shared" si="35"/>
        <v>4051.95</v>
      </c>
    </row>
    <row r="975" spans="1:15" x14ac:dyDescent="0.2">
      <c r="A975" s="51">
        <v>43709</v>
      </c>
      <c r="B975" s="11">
        <v>3</v>
      </c>
      <c r="C975" s="11" t="s">
        <v>659</v>
      </c>
      <c r="D975" s="11" t="s">
        <v>660</v>
      </c>
      <c r="F975" s="11" t="s">
        <v>22</v>
      </c>
      <c r="G975" s="38" t="s">
        <v>945</v>
      </c>
      <c r="H975" s="650">
        <v>43711</v>
      </c>
      <c r="I975" s="126">
        <v>16320</v>
      </c>
      <c r="J975" s="640">
        <f t="shared" si="34"/>
        <v>2937.6</v>
      </c>
      <c r="K975" s="54">
        <v>0</v>
      </c>
      <c r="L975" s="54">
        <v>1468.8</v>
      </c>
      <c r="M975" s="54">
        <v>1468.8</v>
      </c>
      <c r="N975" s="54"/>
      <c r="O975" s="54">
        <f t="shared" si="35"/>
        <v>19257.599999999999</v>
      </c>
    </row>
    <row r="976" spans="1:15" x14ac:dyDescent="0.2">
      <c r="A976" s="51">
        <v>43709</v>
      </c>
      <c r="B976" s="11">
        <v>4</v>
      </c>
      <c r="C976" s="11" t="s">
        <v>565</v>
      </c>
      <c r="D976" s="11" t="s">
        <v>566</v>
      </c>
      <c r="F976" s="11" t="s">
        <v>22</v>
      </c>
      <c r="G976" s="38">
        <v>4922</v>
      </c>
      <c r="H976" s="650">
        <v>43679</v>
      </c>
      <c r="I976" s="126">
        <v>26210.61</v>
      </c>
      <c r="J976" s="640">
        <f t="shared" si="34"/>
        <v>4707.18</v>
      </c>
      <c r="K976" s="54">
        <v>0</v>
      </c>
      <c r="L976" s="54">
        <v>2353.59</v>
      </c>
      <c r="M976" s="54">
        <v>2353.59</v>
      </c>
      <c r="N976" s="54"/>
      <c r="O976" s="54">
        <f t="shared" si="35"/>
        <v>30917.79</v>
      </c>
    </row>
    <row r="977" spans="1:15" x14ac:dyDescent="0.2">
      <c r="A977" s="51">
        <v>43709</v>
      </c>
      <c r="B977" s="11">
        <v>5</v>
      </c>
      <c r="C977" s="11" t="s">
        <v>554</v>
      </c>
      <c r="D977" s="11" t="s">
        <v>555</v>
      </c>
      <c r="F977" s="11" t="s">
        <v>22</v>
      </c>
      <c r="G977" s="38">
        <v>11531</v>
      </c>
      <c r="H977" s="650">
        <v>43711</v>
      </c>
      <c r="I977" s="126">
        <v>15849</v>
      </c>
      <c r="J977" s="640">
        <f t="shared" si="34"/>
        <v>4437.72</v>
      </c>
      <c r="K977" s="54">
        <v>0</v>
      </c>
      <c r="L977" s="54">
        <v>2218.86</v>
      </c>
      <c r="M977" s="54">
        <v>2218.86</v>
      </c>
      <c r="N977" s="54"/>
      <c r="O977" s="54">
        <f t="shared" si="35"/>
        <v>20286.72</v>
      </c>
    </row>
    <row r="978" spans="1:15" x14ac:dyDescent="0.2">
      <c r="A978" s="51">
        <v>43709</v>
      </c>
      <c r="B978" s="11">
        <v>6</v>
      </c>
      <c r="C978" s="11" t="s">
        <v>601</v>
      </c>
      <c r="D978" s="11" t="s">
        <v>602</v>
      </c>
      <c r="F978" s="11" t="s">
        <v>22</v>
      </c>
      <c r="G978" s="38">
        <v>3933</v>
      </c>
      <c r="H978" s="650">
        <v>43711</v>
      </c>
      <c r="I978" s="126">
        <v>46827</v>
      </c>
      <c r="J978" s="640">
        <f t="shared" si="34"/>
        <v>13111.56</v>
      </c>
      <c r="K978" s="54">
        <v>0</v>
      </c>
      <c r="L978" s="54">
        <v>6555.78</v>
      </c>
      <c r="M978" s="54">
        <v>6555.78</v>
      </c>
      <c r="N978" s="54"/>
      <c r="O978" s="54">
        <f t="shared" si="35"/>
        <v>59938.559999999998</v>
      </c>
    </row>
    <row r="979" spans="1:15" x14ac:dyDescent="0.2">
      <c r="A979" s="51">
        <v>43709</v>
      </c>
      <c r="B979" s="11">
        <v>7</v>
      </c>
      <c r="C979" s="11" t="s">
        <v>747</v>
      </c>
      <c r="D979" s="11" t="s">
        <v>748</v>
      </c>
      <c r="F979" s="11" t="s">
        <v>22</v>
      </c>
      <c r="G979" s="38" t="s">
        <v>946</v>
      </c>
      <c r="H979" s="650">
        <v>43711</v>
      </c>
      <c r="I979" s="126">
        <v>41250</v>
      </c>
      <c r="J979" s="640">
        <f t="shared" si="34"/>
        <v>7425</v>
      </c>
      <c r="K979" s="54">
        <v>0</v>
      </c>
      <c r="L979" s="54">
        <v>3712.5</v>
      </c>
      <c r="M979" s="54">
        <v>3712.5</v>
      </c>
      <c r="N979" s="54"/>
      <c r="O979" s="54">
        <f t="shared" si="35"/>
        <v>48675</v>
      </c>
    </row>
    <row r="980" spans="1:15" x14ac:dyDescent="0.2">
      <c r="A980" s="51">
        <v>43709</v>
      </c>
      <c r="B980" s="11">
        <v>8</v>
      </c>
      <c r="C980" s="11" t="s">
        <v>489</v>
      </c>
      <c r="D980" s="11" t="s">
        <v>490</v>
      </c>
      <c r="F980" s="11" t="s">
        <v>22</v>
      </c>
      <c r="G980" s="38">
        <v>7887988066</v>
      </c>
      <c r="H980" s="650">
        <v>43711</v>
      </c>
      <c r="I980" s="126">
        <v>104900</v>
      </c>
      <c r="J980" s="640">
        <f t="shared" si="34"/>
        <v>18882</v>
      </c>
      <c r="K980" s="54">
        <v>0</v>
      </c>
      <c r="L980" s="54">
        <v>9441</v>
      </c>
      <c r="M980" s="54">
        <v>9441</v>
      </c>
      <c r="N980" s="54"/>
      <c r="O980" s="54">
        <f t="shared" si="35"/>
        <v>123782</v>
      </c>
    </row>
    <row r="981" spans="1:15" x14ac:dyDescent="0.2">
      <c r="A981" s="51">
        <v>43709</v>
      </c>
      <c r="B981" s="11">
        <v>9</v>
      </c>
      <c r="C981" s="11" t="s">
        <v>489</v>
      </c>
      <c r="D981" s="11" t="s">
        <v>490</v>
      </c>
      <c r="F981" s="11" t="s">
        <v>22</v>
      </c>
      <c r="G981" s="38">
        <v>7887988068</v>
      </c>
      <c r="H981" s="650">
        <v>43711</v>
      </c>
      <c r="I981" s="126">
        <v>45498</v>
      </c>
      <c r="J981" s="640">
        <f t="shared" si="34"/>
        <v>8189.64</v>
      </c>
      <c r="K981" s="54">
        <v>0</v>
      </c>
      <c r="L981" s="54">
        <v>4094.82</v>
      </c>
      <c r="M981" s="54">
        <v>4094.82</v>
      </c>
      <c r="N981" s="54"/>
      <c r="O981" s="54">
        <f t="shared" si="35"/>
        <v>53687.64</v>
      </c>
    </row>
    <row r="982" spans="1:15" x14ac:dyDescent="0.2">
      <c r="A982" s="51">
        <v>43709</v>
      </c>
      <c r="B982" s="11">
        <v>10</v>
      </c>
      <c r="C982" s="11" t="s">
        <v>489</v>
      </c>
      <c r="D982" s="11" t="s">
        <v>490</v>
      </c>
      <c r="F982" s="11" t="s">
        <v>22</v>
      </c>
      <c r="G982" s="38">
        <v>7887988077</v>
      </c>
      <c r="H982" s="650">
        <v>43711</v>
      </c>
      <c r="I982" s="126">
        <v>32852</v>
      </c>
      <c r="J982" s="640">
        <f t="shared" si="34"/>
        <v>5913.36</v>
      </c>
      <c r="K982" s="54">
        <v>0</v>
      </c>
      <c r="L982" s="54">
        <v>2956.68</v>
      </c>
      <c r="M982" s="54">
        <v>2956.68</v>
      </c>
      <c r="N982" s="54"/>
      <c r="O982" s="54">
        <f t="shared" si="35"/>
        <v>38765.360000000001</v>
      </c>
    </row>
    <row r="983" spans="1:15" x14ac:dyDescent="0.2">
      <c r="A983" s="51">
        <v>43709</v>
      </c>
      <c r="B983" s="11">
        <v>11</v>
      </c>
      <c r="C983" s="11" t="s">
        <v>479</v>
      </c>
      <c r="D983" s="11" t="s">
        <v>480</v>
      </c>
      <c r="F983" s="11" t="s">
        <v>22</v>
      </c>
      <c r="G983" s="38">
        <v>1254</v>
      </c>
      <c r="H983" s="650">
        <v>43712</v>
      </c>
      <c r="I983" s="126">
        <v>20492.400000000001</v>
      </c>
      <c r="J983" s="640">
        <f t="shared" si="34"/>
        <v>3688.64</v>
      </c>
      <c r="K983" s="54">
        <v>0</v>
      </c>
      <c r="L983" s="54">
        <v>1844.32</v>
      </c>
      <c r="M983" s="54">
        <v>1844.32</v>
      </c>
      <c r="N983" s="54"/>
      <c r="O983" s="54">
        <f t="shared" si="35"/>
        <v>24181.040000000001</v>
      </c>
    </row>
    <row r="984" spans="1:15" x14ac:dyDescent="0.2">
      <c r="A984" s="51">
        <v>43709</v>
      </c>
      <c r="B984" s="11">
        <v>12</v>
      </c>
      <c r="C984" s="11" t="s">
        <v>506</v>
      </c>
      <c r="D984" s="11" t="s">
        <v>507</v>
      </c>
      <c r="F984" s="11" t="s">
        <v>22</v>
      </c>
      <c r="G984" s="38" t="s">
        <v>947</v>
      </c>
      <c r="H984" s="650">
        <v>43712</v>
      </c>
      <c r="I984" s="126">
        <v>18480</v>
      </c>
      <c r="J984" s="640">
        <f t="shared" si="34"/>
        <v>3326.4</v>
      </c>
      <c r="K984" s="54">
        <v>0</v>
      </c>
      <c r="L984" s="54">
        <v>1663.2</v>
      </c>
      <c r="M984" s="54">
        <v>1663.2</v>
      </c>
      <c r="N984" s="54"/>
      <c r="O984" s="54">
        <f t="shared" si="35"/>
        <v>21806.400000000001</v>
      </c>
    </row>
    <row r="985" spans="1:15" x14ac:dyDescent="0.2">
      <c r="A985" s="51">
        <v>43709</v>
      </c>
      <c r="B985" s="11">
        <v>13</v>
      </c>
      <c r="C985" s="11" t="s">
        <v>506</v>
      </c>
      <c r="D985" s="11" t="s">
        <v>507</v>
      </c>
      <c r="F985" s="11" t="s">
        <v>22</v>
      </c>
      <c r="G985" s="38" t="s">
        <v>948</v>
      </c>
      <c r="H985" s="650">
        <v>43712</v>
      </c>
      <c r="I985" s="126">
        <v>9280</v>
      </c>
      <c r="J985" s="640">
        <f t="shared" si="34"/>
        <v>1670.3999999999999</v>
      </c>
      <c r="K985" s="54">
        <v>0</v>
      </c>
      <c r="L985" s="54">
        <v>835.19999999999993</v>
      </c>
      <c r="M985" s="54">
        <v>835.19999999999993</v>
      </c>
      <c r="N985" s="54"/>
      <c r="O985" s="54">
        <f t="shared" si="35"/>
        <v>10950.4</v>
      </c>
    </row>
    <row r="986" spans="1:15" x14ac:dyDescent="0.2">
      <c r="A986" s="51">
        <v>43709</v>
      </c>
      <c r="B986" s="11">
        <v>14</v>
      </c>
      <c r="C986" s="11" t="s">
        <v>506</v>
      </c>
      <c r="D986" s="11" t="s">
        <v>507</v>
      </c>
      <c r="F986" s="11" t="s">
        <v>22</v>
      </c>
      <c r="G986" s="38" t="s">
        <v>3376</v>
      </c>
      <c r="H986" s="650">
        <v>43712</v>
      </c>
      <c r="I986" s="126">
        <v>14000</v>
      </c>
      <c r="J986" s="640">
        <f t="shared" si="34"/>
        <v>2520</v>
      </c>
      <c r="K986" s="54">
        <v>0</v>
      </c>
      <c r="L986" s="54">
        <v>1260</v>
      </c>
      <c r="M986" s="54">
        <v>1260</v>
      </c>
      <c r="N986" s="54"/>
      <c r="O986" s="54">
        <f t="shared" si="35"/>
        <v>16520</v>
      </c>
    </row>
    <row r="987" spans="1:15" x14ac:dyDescent="0.2">
      <c r="A987" s="51">
        <v>43709</v>
      </c>
      <c r="B987" s="11">
        <v>15</v>
      </c>
      <c r="C987" s="11" t="s">
        <v>506</v>
      </c>
      <c r="D987" s="11" t="s">
        <v>507</v>
      </c>
      <c r="F987" s="11" t="s">
        <v>22</v>
      </c>
      <c r="G987" s="38" t="s">
        <v>3377</v>
      </c>
      <c r="H987" s="650">
        <v>43712</v>
      </c>
      <c r="I987" s="126">
        <v>14600</v>
      </c>
      <c r="J987" s="640">
        <f t="shared" si="34"/>
        <v>2628</v>
      </c>
      <c r="K987" s="54">
        <v>0</v>
      </c>
      <c r="L987" s="54">
        <v>1314</v>
      </c>
      <c r="M987" s="54">
        <v>1314</v>
      </c>
      <c r="N987" s="54"/>
      <c r="O987" s="54">
        <f t="shared" si="35"/>
        <v>17228</v>
      </c>
    </row>
    <row r="988" spans="1:15" x14ac:dyDescent="0.2">
      <c r="A988" s="51">
        <v>43709</v>
      </c>
      <c r="B988" s="11">
        <v>16</v>
      </c>
      <c r="C988" s="11" t="s">
        <v>541</v>
      </c>
      <c r="D988" s="11" t="s">
        <v>542</v>
      </c>
      <c r="F988" s="11" t="s">
        <v>22</v>
      </c>
      <c r="G988" s="38" t="s">
        <v>949</v>
      </c>
      <c r="H988" s="650">
        <v>43709</v>
      </c>
      <c r="I988" s="126">
        <v>3500</v>
      </c>
      <c r="J988" s="640">
        <f t="shared" si="34"/>
        <v>630</v>
      </c>
      <c r="K988" s="54">
        <v>0</v>
      </c>
      <c r="L988" s="54">
        <v>315</v>
      </c>
      <c r="M988" s="54">
        <v>315</v>
      </c>
      <c r="N988" s="54"/>
      <c r="O988" s="54">
        <f t="shared" si="35"/>
        <v>4130</v>
      </c>
    </row>
    <row r="989" spans="1:15" x14ac:dyDescent="0.2">
      <c r="A989" s="51">
        <v>43709</v>
      </c>
      <c r="B989" s="11">
        <v>17</v>
      </c>
      <c r="C989" s="11" t="s">
        <v>471</v>
      </c>
      <c r="D989" s="11" t="s">
        <v>29</v>
      </c>
      <c r="F989" s="11" t="s">
        <v>22</v>
      </c>
      <c r="G989" s="38">
        <v>192005039</v>
      </c>
      <c r="H989" s="650">
        <v>43712</v>
      </c>
      <c r="I989" s="126">
        <v>17483.52</v>
      </c>
      <c r="J989" s="640">
        <f t="shared" si="34"/>
        <v>4895.3856000000005</v>
      </c>
      <c r="K989" s="54">
        <v>0</v>
      </c>
      <c r="L989" s="54">
        <v>2447.6928000000003</v>
      </c>
      <c r="M989" s="54">
        <v>2447.6928000000003</v>
      </c>
      <c r="N989" s="54"/>
      <c r="O989" s="54">
        <f t="shared" si="35"/>
        <v>22378.905600000002</v>
      </c>
    </row>
    <row r="990" spans="1:15" x14ac:dyDescent="0.2">
      <c r="A990" s="51">
        <v>43709</v>
      </c>
      <c r="B990" s="11">
        <v>18</v>
      </c>
      <c r="C990" s="11" t="s">
        <v>471</v>
      </c>
      <c r="D990" s="11" t="s">
        <v>29</v>
      </c>
      <c r="F990" s="11" t="s">
        <v>22</v>
      </c>
      <c r="G990" s="38">
        <v>192005044</v>
      </c>
      <c r="H990" s="650">
        <v>43712</v>
      </c>
      <c r="I990" s="126">
        <v>17483.52</v>
      </c>
      <c r="J990" s="640">
        <f t="shared" si="34"/>
        <v>4895.3856000000005</v>
      </c>
      <c r="K990" s="54">
        <v>0</v>
      </c>
      <c r="L990" s="54">
        <v>2447.6928000000003</v>
      </c>
      <c r="M990" s="54">
        <v>2447.6928000000003</v>
      </c>
      <c r="N990" s="54"/>
      <c r="O990" s="54">
        <f t="shared" si="35"/>
        <v>22378.905600000002</v>
      </c>
    </row>
    <row r="991" spans="1:15" x14ac:dyDescent="0.2">
      <c r="A991" s="51">
        <v>43709</v>
      </c>
      <c r="B991" s="11">
        <v>19</v>
      </c>
      <c r="C991" s="11" t="s">
        <v>601</v>
      </c>
      <c r="D991" s="11" t="s">
        <v>602</v>
      </c>
      <c r="F991" s="11" t="s">
        <v>22</v>
      </c>
      <c r="G991" s="38">
        <v>3946</v>
      </c>
      <c r="H991" s="650">
        <v>43711</v>
      </c>
      <c r="I991" s="126">
        <v>27244.799999999999</v>
      </c>
      <c r="J991" s="640">
        <f t="shared" si="34"/>
        <v>7628.5439999999999</v>
      </c>
      <c r="K991" s="54">
        <v>0</v>
      </c>
      <c r="L991" s="54">
        <v>3814.2719999999999</v>
      </c>
      <c r="M991" s="54">
        <v>3814.2719999999999</v>
      </c>
      <c r="N991" s="54"/>
      <c r="O991" s="54">
        <f t="shared" si="35"/>
        <v>34873.343999999997</v>
      </c>
    </row>
    <row r="992" spans="1:15" x14ac:dyDescent="0.2">
      <c r="A992" s="51">
        <v>43709</v>
      </c>
      <c r="B992" s="11">
        <v>20</v>
      </c>
      <c r="C992" s="11" t="s">
        <v>601</v>
      </c>
      <c r="D992" s="11" t="s">
        <v>602</v>
      </c>
      <c r="F992" s="11" t="s">
        <v>22</v>
      </c>
      <c r="G992" s="38">
        <v>3947</v>
      </c>
      <c r="H992" s="650">
        <v>43712</v>
      </c>
      <c r="I992" s="126">
        <v>25444.799999999999</v>
      </c>
      <c r="J992" s="640">
        <f t="shared" si="34"/>
        <v>7124.5439999999999</v>
      </c>
      <c r="K992" s="54">
        <v>0</v>
      </c>
      <c r="L992" s="54">
        <v>3562.2719999999999</v>
      </c>
      <c r="M992" s="54">
        <v>3562.2719999999999</v>
      </c>
      <c r="N992" s="54"/>
      <c r="O992" s="54">
        <f t="shared" si="35"/>
        <v>32569.343999999997</v>
      </c>
    </row>
    <row r="993" spans="1:15" x14ac:dyDescent="0.2">
      <c r="A993" s="51">
        <v>43709</v>
      </c>
      <c r="B993" s="11">
        <v>21</v>
      </c>
      <c r="C993" s="11" t="s">
        <v>517</v>
      </c>
      <c r="D993" s="11" t="s">
        <v>256</v>
      </c>
      <c r="F993" s="11" t="s">
        <v>22</v>
      </c>
      <c r="G993" s="38">
        <v>19616017</v>
      </c>
      <c r="H993" s="650">
        <v>43711</v>
      </c>
      <c r="I993" s="126">
        <v>18791.759999999998</v>
      </c>
      <c r="J993" s="640">
        <f t="shared" si="34"/>
        <v>5261.7028</v>
      </c>
      <c r="K993" s="54">
        <v>5261.7028</v>
      </c>
      <c r="L993" s="54">
        <v>0</v>
      </c>
      <c r="M993" s="54">
        <v>0</v>
      </c>
      <c r="N993" s="54"/>
      <c r="O993" s="54">
        <f t="shared" si="35"/>
        <v>24053.462799999998</v>
      </c>
    </row>
    <row r="994" spans="1:15" x14ac:dyDescent="0.2">
      <c r="A994" s="51">
        <v>43709</v>
      </c>
      <c r="B994" s="11">
        <v>22</v>
      </c>
      <c r="C994" s="11" t="s">
        <v>493</v>
      </c>
      <c r="D994" s="11" t="s">
        <v>494</v>
      </c>
      <c r="F994" s="11" t="s">
        <v>22</v>
      </c>
      <c r="G994" s="38">
        <v>2728</v>
      </c>
      <c r="H994" s="650">
        <v>43713</v>
      </c>
      <c r="I994" s="126">
        <v>11495</v>
      </c>
      <c r="J994" s="640">
        <f t="shared" si="34"/>
        <v>2069.1</v>
      </c>
      <c r="K994" s="54">
        <v>0</v>
      </c>
      <c r="L994" s="54">
        <v>1034.55</v>
      </c>
      <c r="M994" s="54">
        <v>1034.55</v>
      </c>
      <c r="N994" s="54"/>
      <c r="O994" s="54">
        <f t="shared" si="35"/>
        <v>13564.1</v>
      </c>
    </row>
    <row r="995" spans="1:15" x14ac:dyDescent="0.2">
      <c r="A995" s="51">
        <v>43709</v>
      </c>
      <c r="B995" s="11">
        <v>23</v>
      </c>
      <c r="C995" s="11" t="s">
        <v>479</v>
      </c>
      <c r="D995" s="11" t="s">
        <v>480</v>
      </c>
      <c r="F995" s="11" t="s">
        <v>22</v>
      </c>
      <c r="G995" s="38">
        <v>1258</v>
      </c>
      <c r="H995" s="650">
        <v>43714</v>
      </c>
      <c r="I995" s="126">
        <v>2764.8</v>
      </c>
      <c r="J995" s="640">
        <f t="shared" si="34"/>
        <v>497.66400000000004</v>
      </c>
      <c r="K995" s="54">
        <v>0</v>
      </c>
      <c r="L995" s="54">
        <v>248.83200000000002</v>
      </c>
      <c r="M995" s="54">
        <v>248.83200000000002</v>
      </c>
      <c r="N995" s="54"/>
      <c r="O995" s="54">
        <f t="shared" si="35"/>
        <v>3262.4640000000004</v>
      </c>
    </row>
    <row r="996" spans="1:15" x14ac:dyDescent="0.2">
      <c r="A996" s="51">
        <v>43709</v>
      </c>
      <c r="B996" s="11">
        <v>24</v>
      </c>
      <c r="C996" s="11" t="s">
        <v>479</v>
      </c>
      <c r="D996" s="11" t="s">
        <v>480</v>
      </c>
      <c r="F996" s="11" t="s">
        <v>22</v>
      </c>
      <c r="G996" s="38">
        <v>1257</v>
      </c>
      <c r="H996" s="650">
        <v>43714</v>
      </c>
      <c r="I996" s="126">
        <v>6410</v>
      </c>
      <c r="J996" s="640">
        <f t="shared" si="34"/>
        <v>1153.8</v>
      </c>
      <c r="K996" s="54">
        <v>0</v>
      </c>
      <c r="L996" s="54">
        <v>576.9</v>
      </c>
      <c r="M996" s="54">
        <v>576.9</v>
      </c>
      <c r="N996" s="54"/>
      <c r="O996" s="54">
        <f t="shared" si="35"/>
        <v>7563.8</v>
      </c>
    </row>
    <row r="997" spans="1:15" x14ac:dyDescent="0.2">
      <c r="A997" s="51">
        <v>43709</v>
      </c>
      <c r="B997" s="11">
        <v>25</v>
      </c>
      <c r="C997" s="11" t="s">
        <v>511</v>
      </c>
      <c r="D997" s="11" t="s">
        <v>512</v>
      </c>
      <c r="F997" s="11" t="s">
        <v>22</v>
      </c>
      <c r="G997" s="38" t="s">
        <v>950</v>
      </c>
      <c r="H997" s="650">
        <v>43712</v>
      </c>
      <c r="I997" s="126">
        <v>4320</v>
      </c>
      <c r="J997" s="640">
        <f t="shared" si="34"/>
        <v>777.6</v>
      </c>
      <c r="K997" s="54">
        <v>0</v>
      </c>
      <c r="L997" s="54">
        <v>388.8</v>
      </c>
      <c r="M997" s="54">
        <v>388.8</v>
      </c>
      <c r="N997" s="54"/>
      <c r="O997" s="54">
        <f t="shared" si="35"/>
        <v>5097.6000000000004</v>
      </c>
    </row>
    <row r="998" spans="1:15" x14ac:dyDescent="0.2">
      <c r="A998" s="51">
        <v>43709</v>
      </c>
      <c r="B998" s="11">
        <v>26</v>
      </c>
      <c r="C998" s="11" t="s">
        <v>554</v>
      </c>
      <c r="D998" s="11" t="s">
        <v>555</v>
      </c>
      <c r="F998" s="11" t="s">
        <v>22</v>
      </c>
      <c r="G998" s="38">
        <v>11716</v>
      </c>
      <c r="H998" s="650">
        <v>43714</v>
      </c>
      <c r="I998" s="126">
        <v>1575</v>
      </c>
      <c r="J998" s="640">
        <f t="shared" si="34"/>
        <v>441</v>
      </c>
      <c r="K998" s="54">
        <v>0</v>
      </c>
      <c r="L998" s="54">
        <v>220.5</v>
      </c>
      <c r="M998" s="54">
        <v>220.5</v>
      </c>
      <c r="N998" s="54"/>
      <c r="O998" s="54">
        <f t="shared" si="35"/>
        <v>2016</v>
      </c>
    </row>
    <row r="999" spans="1:15" x14ac:dyDescent="0.2">
      <c r="A999" s="51">
        <v>43709</v>
      </c>
      <c r="B999" s="11">
        <v>27</v>
      </c>
      <c r="C999" s="11" t="s">
        <v>609</v>
      </c>
      <c r="D999" s="11" t="s">
        <v>610</v>
      </c>
      <c r="F999" s="11" t="s">
        <v>22</v>
      </c>
      <c r="G999" s="38" t="s">
        <v>951</v>
      </c>
      <c r="H999" s="650">
        <v>43709</v>
      </c>
      <c r="I999" s="126">
        <v>24626</v>
      </c>
      <c r="J999" s="640">
        <f t="shared" si="34"/>
        <v>4432.68</v>
      </c>
      <c r="K999" s="54">
        <v>0</v>
      </c>
      <c r="L999" s="54">
        <v>2216.34</v>
      </c>
      <c r="M999" s="54">
        <v>2216.34</v>
      </c>
      <c r="N999" s="54"/>
      <c r="O999" s="54">
        <f t="shared" si="35"/>
        <v>29058.68</v>
      </c>
    </row>
    <row r="1000" spans="1:15" x14ac:dyDescent="0.2">
      <c r="A1000" s="51">
        <v>43709</v>
      </c>
      <c r="B1000" s="11">
        <v>28</v>
      </c>
      <c r="C1000" s="11" t="s">
        <v>609</v>
      </c>
      <c r="D1000" s="11" t="s">
        <v>610</v>
      </c>
      <c r="F1000" s="11" t="s">
        <v>22</v>
      </c>
      <c r="G1000" s="38" t="s">
        <v>952</v>
      </c>
      <c r="H1000" s="650">
        <v>43709</v>
      </c>
      <c r="I1000" s="126">
        <v>826838</v>
      </c>
      <c r="J1000" s="640">
        <f t="shared" si="34"/>
        <v>148830.84</v>
      </c>
      <c r="K1000" s="54">
        <v>0</v>
      </c>
      <c r="L1000" s="54">
        <v>74415.42</v>
      </c>
      <c r="M1000" s="54">
        <v>74415.42</v>
      </c>
      <c r="N1000" s="54"/>
      <c r="O1000" s="54">
        <f t="shared" si="35"/>
        <v>975668.84</v>
      </c>
    </row>
    <row r="1001" spans="1:15" x14ac:dyDescent="0.2">
      <c r="A1001" s="51">
        <v>43709</v>
      </c>
      <c r="B1001" s="11">
        <v>29</v>
      </c>
      <c r="C1001" s="11" t="s">
        <v>554</v>
      </c>
      <c r="D1001" s="11" t="s">
        <v>555</v>
      </c>
      <c r="F1001" s="11" t="s">
        <v>22</v>
      </c>
      <c r="G1001" s="38">
        <v>11758</v>
      </c>
      <c r="H1001" s="650">
        <v>43715</v>
      </c>
      <c r="I1001" s="126">
        <v>7087.5</v>
      </c>
      <c r="J1001" s="640">
        <f t="shared" si="34"/>
        <v>1984.5</v>
      </c>
      <c r="K1001" s="54">
        <v>0</v>
      </c>
      <c r="L1001" s="54">
        <v>992.25</v>
      </c>
      <c r="M1001" s="54">
        <v>992.25</v>
      </c>
      <c r="N1001" s="54"/>
      <c r="O1001" s="54">
        <f t="shared" si="35"/>
        <v>9072</v>
      </c>
    </row>
    <row r="1002" spans="1:15" x14ac:dyDescent="0.2">
      <c r="A1002" s="51">
        <v>43709</v>
      </c>
      <c r="B1002" s="11">
        <v>30</v>
      </c>
      <c r="C1002" s="11" t="s">
        <v>741</v>
      </c>
      <c r="D1002" s="11" t="s">
        <v>225</v>
      </c>
      <c r="F1002" s="11" t="s">
        <v>22</v>
      </c>
      <c r="G1002" s="38">
        <v>2240102681</v>
      </c>
      <c r="H1002" s="650">
        <v>43715</v>
      </c>
      <c r="I1002" s="126">
        <v>9234</v>
      </c>
      <c r="J1002" s="640">
        <f t="shared" si="34"/>
        <v>2585.52</v>
      </c>
      <c r="K1002" s="54">
        <v>0</v>
      </c>
      <c r="L1002" s="54">
        <v>1292.76</v>
      </c>
      <c r="M1002" s="54">
        <v>1292.76</v>
      </c>
      <c r="N1002" s="54"/>
      <c r="O1002" s="54">
        <f t="shared" si="35"/>
        <v>11819.52</v>
      </c>
    </row>
    <row r="1003" spans="1:15" x14ac:dyDescent="0.2">
      <c r="A1003" s="51">
        <v>43709</v>
      </c>
      <c r="B1003" s="11">
        <v>31</v>
      </c>
      <c r="C1003" s="11" t="s">
        <v>741</v>
      </c>
      <c r="D1003" s="11" t="s">
        <v>225</v>
      </c>
      <c r="F1003" s="11" t="s">
        <v>22</v>
      </c>
      <c r="G1003" s="38">
        <v>2240102682</v>
      </c>
      <c r="H1003" s="650">
        <v>43715</v>
      </c>
      <c r="I1003" s="126">
        <v>31741.200000000001</v>
      </c>
      <c r="J1003" s="640">
        <f t="shared" si="34"/>
        <v>8887.5360000000001</v>
      </c>
      <c r="K1003" s="54">
        <v>0</v>
      </c>
      <c r="L1003" s="54">
        <v>4443.768</v>
      </c>
      <c r="M1003" s="54">
        <v>4443.768</v>
      </c>
      <c r="N1003" s="54"/>
      <c r="O1003" s="54">
        <f t="shared" si="35"/>
        <v>40628.736000000004</v>
      </c>
    </row>
    <row r="1004" spans="1:15" x14ac:dyDescent="0.2">
      <c r="A1004" s="51">
        <v>43709</v>
      </c>
      <c r="B1004" s="11">
        <v>32</v>
      </c>
      <c r="C1004" s="11" t="s">
        <v>479</v>
      </c>
      <c r="D1004" s="11" t="s">
        <v>480</v>
      </c>
      <c r="F1004" s="11" t="s">
        <v>22</v>
      </c>
      <c r="G1004" s="38">
        <v>1261</v>
      </c>
      <c r="H1004" s="650">
        <v>43715</v>
      </c>
      <c r="I1004" s="126">
        <v>16000</v>
      </c>
      <c r="J1004" s="640">
        <f t="shared" si="34"/>
        <v>2880</v>
      </c>
      <c r="K1004" s="54">
        <v>0</v>
      </c>
      <c r="L1004" s="54">
        <v>1440</v>
      </c>
      <c r="M1004" s="54">
        <v>1440</v>
      </c>
      <c r="N1004" s="54"/>
      <c r="O1004" s="54">
        <f t="shared" si="35"/>
        <v>18880</v>
      </c>
    </row>
    <row r="1005" spans="1:15" x14ac:dyDescent="0.2">
      <c r="A1005" s="51">
        <v>43709</v>
      </c>
      <c r="B1005" s="11">
        <v>33</v>
      </c>
      <c r="C1005" s="11" t="s">
        <v>493</v>
      </c>
      <c r="D1005" s="11" t="s">
        <v>494</v>
      </c>
      <c r="F1005" s="11" t="s">
        <v>22</v>
      </c>
      <c r="G1005" s="38">
        <v>2805</v>
      </c>
      <c r="H1005" s="650">
        <v>43717</v>
      </c>
      <c r="I1005" s="126">
        <v>29887</v>
      </c>
      <c r="J1005" s="640">
        <f t="shared" si="34"/>
        <v>5379.66</v>
      </c>
      <c r="K1005" s="54">
        <v>0</v>
      </c>
      <c r="L1005" s="54">
        <v>2689.83</v>
      </c>
      <c r="M1005" s="54">
        <v>2689.83</v>
      </c>
      <c r="N1005" s="54"/>
      <c r="O1005" s="54">
        <f t="shared" si="35"/>
        <v>35266.660000000003</v>
      </c>
    </row>
    <row r="1006" spans="1:15" x14ac:dyDescent="0.2">
      <c r="A1006" s="51">
        <v>43709</v>
      </c>
      <c r="B1006" s="11">
        <v>34</v>
      </c>
      <c r="C1006" s="11" t="s">
        <v>499</v>
      </c>
      <c r="D1006" s="11" t="s">
        <v>500</v>
      </c>
      <c r="F1006" s="11" t="s">
        <v>22</v>
      </c>
      <c r="G1006" s="38" t="s">
        <v>953</v>
      </c>
      <c r="H1006" s="650">
        <v>43713</v>
      </c>
      <c r="I1006" s="126">
        <v>1584</v>
      </c>
      <c r="J1006" s="640">
        <f t="shared" si="34"/>
        <v>285.12</v>
      </c>
      <c r="K1006" s="54">
        <v>0</v>
      </c>
      <c r="L1006" s="54">
        <v>142.56</v>
      </c>
      <c r="M1006" s="54">
        <v>142.56</v>
      </c>
      <c r="N1006" s="54"/>
      <c r="O1006" s="54">
        <f t="shared" si="35"/>
        <v>1869.12</v>
      </c>
    </row>
    <row r="1007" spans="1:15" x14ac:dyDescent="0.2">
      <c r="A1007" s="51">
        <v>43709</v>
      </c>
      <c r="B1007" s="11">
        <v>35</v>
      </c>
      <c r="C1007" s="11" t="s">
        <v>499</v>
      </c>
      <c r="D1007" s="11" t="s">
        <v>500</v>
      </c>
      <c r="F1007" s="11" t="s">
        <v>22</v>
      </c>
      <c r="G1007" s="38" t="s">
        <v>954</v>
      </c>
      <c r="H1007" s="650">
        <v>43715</v>
      </c>
      <c r="I1007" s="126">
        <v>19710</v>
      </c>
      <c r="J1007" s="640">
        <f t="shared" si="34"/>
        <v>985.5</v>
      </c>
      <c r="K1007" s="54">
        <v>0</v>
      </c>
      <c r="L1007" s="54">
        <v>492.75</v>
      </c>
      <c r="M1007" s="54">
        <v>492.75</v>
      </c>
      <c r="N1007" s="54"/>
      <c r="O1007" s="54">
        <f t="shared" si="35"/>
        <v>20695.5</v>
      </c>
    </row>
    <row r="1008" spans="1:15" x14ac:dyDescent="0.2">
      <c r="A1008" s="51">
        <v>43709</v>
      </c>
      <c r="B1008" s="11">
        <v>36</v>
      </c>
      <c r="C1008" s="11" t="s">
        <v>499</v>
      </c>
      <c r="D1008" s="11" t="s">
        <v>500</v>
      </c>
      <c r="F1008" s="11" t="s">
        <v>22</v>
      </c>
      <c r="G1008" s="38" t="s">
        <v>955</v>
      </c>
      <c r="H1008" s="650">
        <v>43717</v>
      </c>
      <c r="I1008" s="126">
        <v>210</v>
      </c>
      <c r="J1008" s="640">
        <f t="shared" si="34"/>
        <v>37.800000000000004</v>
      </c>
      <c r="K1008" s="54">
        <v>0</v>
      </c>
      <c r="L1008" s="54">
        <v>18.900000000000002</v>
      </c>
      <c r="M1008" s="54">
        <v>18.900000000000002</v>
      </c>
      <c r="N1008" s="54"/>
      <c r="O1008" s="54">
        <f t="shared" si="35"/>
        <v>247.8</v>
      </c>
    </row>
    <row r="1009" spans="1:15" x14ac:dyDescent="0.2">
      <c r="A1009" s="51">
        <v>43709</v>
      </c>
      <c r="B1009" s="11">
        <v>37</v>
      </c>
      <c r="C1009" s="11" t="s">
        <v>554</v>
      </c>
      <c r="D1009" s="11" t="s">
        <v>555</v>
      </c>
      <c r="F1009" s="11" t="s">
        <v>22</v>
      </c>
      <c r="G1009" s="38">
        <v>11811</v>
      </c>
      <c r="H1009" s="650">
        <v>43717</v>
      </c>
      <c r="I1009" s="126">
        <v>5976.8</v>
      </c>
      <c r="J1009" s="640">
        <f t="shared" si="34"/>
        <v>1673.5039999999999</v>
      </c>
      <c r="K1009" s="54">
        <v>0</v>
      </c>
      <c r="L1009" s="54">
        <v>836.75199999999995</v>
      </c>
      <c r="M1009" s="54">
        <v>836.75199999999995</v>
      </c>
      <c r="N1009" s="54"/>
      <c r="O1009" s="54">
        <f t="shared" si="35"/>
        <v>7650.3040000000001</v>
      </c>
    </row>
    <row r="1010" spans="1:15" x14ac:dyDescent="0.2">
      <c r="A1010" s="51">
        <v>43709</v>
      </c>
      <c r="B1010" s="11">
        <v>38</v>
      </c>
      <c r="C1010" s="11" t="s">
        <v>554</v>
      </c>
      <c r="D1010" s="11" t="s">
        <v>555</v>
      </c>
      <c r="F1010" s="11" t="s">
        <v>22</v>
      </c>
      <c r="G1010" s="38">
        <v>11815</v>
      </c>
      <c r="H1010" s="650">
        <v>43717</v>
      </c>
      <c r="I1010" s="126">
        <v>5670</v>
      </c>
      <c r="J1010" s="640">
        <f t="shared" si="34"/>
        <v>1587.6000000000001</v>
      </c>
      <c r="K1010" s="54">
        <v>0</v>
      </c>
      <c r="L1010" s="54">
        <v>793.80000000000007</v>
      </c>
      <c r="M1010" s="54">
        <v>793.80000000000007</v>
      </c>
      <c r="N1010" s="54"/>
      <c r="O1010" s="54">
        <f t="shared" si="35"/>
        <v>7257.6</v>
      </c>
    </row>
    <row r="1011" spans="1:15" x14ac:dyDescent="0.2">
      <c r="A1011" s="51">
        <v>43709</v>
      </c>
      <c r="B1011" s="11">
        <v>39</v>
      </c>
      <c r="C1011" s="11" t="s">
        <v>601</v>
      </c>
      <c r="D1011" s="11" t="s">
        <v>602</v>
      </c>
      <c r="F1011" s="11" t="s">
        <v>22</v>
      </c>
      <c r="G1011" s="38">
        <v>4037</v>
      </c>
      <c r="H1011" s="650">
        <v>43717</v>
      </c>
      <c r="I1011" s="126">
        <v>13622.4</v>
      </c>
      <c r="J1011" s="640">
        <f t="shared" si="34"/>
        <v>3814.2719999999999</v>
      </c>
      <c r="K1011" s="54">
        <v>0</v>
      </c>
      <c r="L1011" s="54">
        <v>1907.136</v>
      </c>
      <c r="M1011" s="54">
        <v>1907.136</v>
      </c>
      <c r="N1011" s="54"/>
      <c r="O1011" s="54">
        <f t="shared" si="35"/>
        <v>17436.671999999999</v>
      </c>
    </row>
    <row r="1012" spans="1:15" x14ac:dyDescent="0.2">
      <c r="A1012" s="51">
        <v>43709</v>
      </c>
      <c r="B1012" s="11">
        <v>40</v>
      </c>
      <c r="C1012" s="11" t="s">
        <v>601</v>
      </c>
      <c r="D1012" s="11" t="s">
        <v>602</v>
      </c>
      <c r="F1012" s="11" t="s">
        <v>22</v>
      </c>
      <c r="G1012" s="38">
        <v>4038</v>
      </c>
      <c r="H1012" s="650">
        <v>43717</v>
      </c>
      <c r="I1012" s="126">
        <v>26784</v>
      </c>
      <c r="J1012" s="640">
        <f t="shared" si="34"/>
        <v>7499.5199999999995</v>
      </c>
      <c r="K1012" s="54">
        <v>0</v>
      </c>
      <c r="L1012" s="54">
        <v>3749.7599999999998</v>
      </c>
      <c r="M1012" s="54">
        <v>3749.7599999999998</v>
      </c>
      <c r="N1012" s="54"/>
      <c r="O1012" s="54">
        <f t="shared" si="35"/>
        <v>34283.519999999997</v>
      </c>
    </row>
    <row r="1013" spans="1:15" x14ac:dyDescent="0.2">
      <c r="A1013" s="51">
        <v>43709</v>
      </c>
      <c r="B1013" s="11">
        <v>41</v>
      </c>
      <c r="C1013" s="11" t="s">
        <v>473</v>
      </c>
      <c r="D1013" s="11" t="s">
        <v>41</v>
      </c>
      <c r="F1013" s="11" t="s">
        <v>22</v>
      </c>
      <c r="G1013" s="38" t="s">
        <v>956</v>
      </c>
      <c r="H1013" s="650">
        <v>43717</v>
      </c>
      <c r="I1013" s="126">
        <v>8015</v>
      </c>
      <c r="J1013" s="640">
        <f t="shared" si="34"/>
        <v>2244.0000000000005</v>
      </c>
      <c r="K1013" s="54">
        <v>0</v>
      </c>
      <c r="L1013" s="54">
        <v>1122.0000000000002</v>
      </c>
      <c r="M1013" s="54">
        <v>1122.0000000000002</v>
      </c>
      <c r="N1013" s="54"/>
      <c r="O1013" s="54">
        <f t="shared" si="35"/>
        <v>10259</v>
      </c>
    </row>
    <row r="1014" spans="1:15" x14ac:dyDescent="0.2">
      <c r="A1014" s="51">
        <v>43709</v>
      </c>
      <c r="B1014" s="11">
        <v>42</v>
      </c>
      <c r="C1014" s="11" t="s">
        <v>473</v>
      </c>
      <c r="D1014" s="11" t="s">
        <v>41</v>
      </c>
      <c r="F1014" s="11" t="s">
        <v>22</v>
      </c>
      <c r="G1014" s="38" t="s">
        <v>957</v>
      </c>
      <c r="H1014" s="650">
        <v>43717</v>
      </c>
      <c r="I1014" s="126">
        <v>9124.4</v>
      </c>
      <c r="J1014" s="640">
        <f t="shared" si="34"/>
        <v>2555.9919999999997</v>
      </c>
      <c r="K1014" s="54">
        <v>0</v>
      </c>
      <c r="L1014" s="54">
        <v>1277.9959999999999</v>
      </c>
      <c r="M1014" s="54">
        <v>1277.9959999999999</v>
      </c>
      <c r="N1014" s="54"/>
      <c r="O1014" s="54">
        <f t="shared" si="35"/>
        <v>11680.392</v>
      </c>
    </row>
    <row r="1015" spans="1:15" x14ac:dyDescent="0.2">
      <c r="A1015" s="51">
        <v>43709</v>
      </c>
      <c r="B1015" s="11">
        <v>43</v>
      </c>
      <c r="C1015" s="11" t="s">
        <v>517</v>
      </c>
      <c r="D1015" s="11" t="s">
        <v>256</v>
      </c>
      <c r="F1015" s="11" t="s">
        <v>22</v>
      </c>
      <c r="G1015" s="38">
        <v>19616379</v>
      </c>
      <c r="H1015" s="650">
        <v>43715</v>
      </c>
      <c r="I1015" s="126">
        <v>13050.2</v>
      </c>
      <c r="J1015" s="640">
        <f t="shared" si="34"/>
        <v>3654.0560000000005</v>
      </c>
      <c r="K1015" s="54">
        <v>3654.0560000000005</v>
      </c>
      <c r="L1015" s="54">
        <v>0</v>
      </c>
      <c r="M1015" s="54">
        <v>0</v>
      </c>
      <c r="N1015" s="54"/>
      <c r="O1015" s="54">
        <f t="shared" si="35"/>
        <v>16704.256000000001</v>
      </c>
    </row>
    <row r="1016" spans="1:15" x14ac:dyDescent="0.2">
      <c r="A1016" s="51">
        <v>43709</v>
      </c>
      <c r="B1016" s="11">
        <v>44</v>
      </c>
      <c r="C1016" s="11" t="s">
        <v>517</v>
      </c>
      <c r="D1016" s="11" t="s">
        <v>256</v>
      </c>
      <c r="F1016" s="11" t="s">
        <v>22</v>
      </c>
      <c r="G1016" s="38">
        <v>19616380</v>
      </c>
      <c r="H1016" s="650">
        <v>43715</v>
      </c>
      <c r="I1016" s="126">
        <v>3693.1</v>
      </c>
      <c r="J1016" s="640">
        <f t="shared" si="34"/>
        <v>1034.068</v>
      </c>
      <c r="K1016" s="54">
        <v>1034.068</v>
      </c>
      <c r="L1016" s="54">
        <v>0</v>
      </c>
      <c r="M1016" s="54">
        <v>0</v>
      </c>
      <c r="N1016" s="54"/>
      <c r="O1016" s="54">
        <f t="shared" si="35"/>
        <v>4727.1679999999997</v>
      </c>
    </row>
    <row r="1017" spans="1:15" x14ac:dyDescent="0.2">
      <c r="A1017" s="51">
        <v>43709</v>
      </c>
      <c r="B1017" s="11">
        <v>45</v>
      </c>
      <c r="C1017" s="11" t="s">
        <v>489</v>
      </c>
      <c r="D1017" s="11" t="s">
        <v>490</v>
      </c>
      <c r="F1017" s="11" t="s">
        <v>22</v>
      </c>
      <c r="G1017" s="38">
        <v>7887988253</v>
      </c>
      <c r="H1017" s="650">
        <v>43717</v>
      </c>
      <c r="I1017" s="126">
        <v>1944</v>
      </c>
      <c r="J1017" s="640">
        <f t="shared" si="34"/>
        <v>349.92</v>
      </c>
      <c r="K1017" s="54">
        <v>0</v>
      </c>
      <c r="L1017" s="54">
        <v>174.96</v>
      </c>
      <c r="M1017" s="54">
        <v>174.96</v>
      </c>
      <c r="N1017" s="54"/>
      <c r="O1017" s="54">
        <f t="shared" si="35"/>
        <v>2293.92</v>
      </c>
    </row>
    <row r="1018" spans="1:15" x14ac:dyDescent="0.2">
      <c r="A1018" s="51">
        <v>43709</v>
      </c>
      <c r="B1018" s="11">
        <v>46</v>
      </c>
      <c r="C1018" s="11" t="s">
        <v>476</v>
      </c>
      <c r="D1018" s="11" t="s">
        <v>477</v>
      </c>
      <c r="F1018" s="11" t="s">
        <v>22</v>
      </c>
      <c r="G1018" s="38" t="s">
        <v>958</v>
      </c>
      <c r="H1018" s="650">
        <v>43709</v>
      </c>
      <c r="I1018" s="126">
        <v>376945</v>
      </c>
      <c r="J1018" s="640">
        <f t="shared" si="34"/>
        <v>105544.59999999999</v>
      </c>
      <c r="K1018" s="54">
        <v>0</v>
      </c>
      <c r="L1018" s="54">
        <v>52772.299999999996</v>
      </c>
      <c r="M1018" s="54">
        <v>52772.299999999996</v>
      </c>
      <c r="N1018" s="54"/>
      <c r="O1018" s="54">
        <f t="shared" si="35"/>
        <v>482489.59999999998</v>
      </c>
    </row>
    <row r="1019" spans="1:15" x14ac:dyDescent="0.2">
      <c r="A1019" s="51">
        <v>43709</v>
      </c>
      <c r="B1019" s="11">
        <v>47</v>
      </c>
      <c r="C1019" s="11" t="s">
        <v>551</v>
      </c>
      <c r="D1019" s="11" t="s">
        <v>552</v>
      </c>
      <c r="F1019" s="11" t="s">
        <v>22</v>
      </c>
      <c r="G1019" s="38" t="s">
        <v>959</v>
      </c>
      <c r="H1019" s="650">
        <v>43717</v>
      </c>
      <c r="I1019" s="126">
        <v>18000</v>
      </c>
      <c r="J1019" s="640">
        <f t="shared" si="34"/>
        <v>3240</v>
      </c>
      <c r="K1019" s="54">
        <v>0</v>
      </c>
      <c r="L1019" s="54">
        <v>1620</v>
      </c>
      <c r="M1019" s="54">
        <v>1620</v>
      </c>
      <c r="N1019" s="54"/>
      <c r="O1019" s="54">
        <f t="shared" si="35"/>
        <v>21240</v>
      </c>
    </row>
    <row r="1020" spans="1:15" x14ac:dyDescent="0.2">
      <c r="A1020" s="51">
        <v>43709</v>
      </c>
      <c r="B1020" s="11">
        <v>48</v>
      </c>
      <c r="C1020" s="11" t="s">
        <v>554</v>
      </c>
      <c r="D1020" s="11" t="s">
        <v>555</v>
      </c>
      <c r="F1020" s="11" t="s">
        <v>22</v>
      </c>
      <c r="G1020" s="38">
        <v>11861</v>
      </c>
      <c r="H1020" s="650">
        <v>43718</v>
      </c>
      <c r="I1020" s="126">
        <v>11201.5</v>
      </c>
      <c r="J1020" s="640">
        <f t="shared" si="34"/>
        <v>3136.42</v>
      </c>
      <c r="K1020" s="54">
        <v>0</v>
      </c>
      <c r="L1020" s="54">
        <v>1568.21</v>
      </c>
      <c r="M1020" s="54">
        <v>1568.21</v>
      </c>
      <c r="N1020" s="54"/>
      <c r="O1020" s="54">
        <f t="shared" si="35"/>
        <v>14337.92</v>
      </c>
    </row>
    <row r="1021" spans="1:15" x14ac:dyDescent="0.2">
      <c r="A1021" s="51">
        <v>43709</v>
      </c>
      <c r="B1021" s="11">
        <v>49</v>
      </c>
      <c r="C1021" s="11" t="s">
        <v>493</v>
      </c>
      <c r="D1021" s="11" t="s">
        <v>494</v>
      </c>
      <c r="F1021" s="11" t="s">
        <v>22</v>
      </c>
      <c r="G1021" s="38">
        <v>2811</v>
      </c>
      <c r="H1021" s="650">
        <v>43718</v>
      </c>
      <c r="I1021" s="126">
        <v>16897.650000000001</v>
      </c>
      <c r="J1021" s="640">
        <f t="shared" si="34"/>
        <v>3041.5770000000002</v>
      </c>
      <c r="K1021" s="54">
        <v>0</v>
      </c>
      <c r="L1021" s="54">
        <v>1520.7885000000001</v>
      </c>
      <c r="M1021" s="54">
        <v>1520.7885000000001</v>
      </c>
      <c r="N1021" s="54"/>
      <c r="O1021" s="54">
        <f t="shared" si="35"/>
        <v>19939.227000000003</v>
      </c>
    </row>
    <row r="1022" spans="1:15" x14ac:dyDescent="0.2">
      <c r="A1022" s="51">
        <v>43709</v>
      </c>
      <c r="B1022" s="11">
        <v>50</v>
      </c>
      <c r="C1022" s="11" t="s">
        <v>601</v>
      </c>
      <c r="D1022" s="11" t="s">
        <v>602</v>
      </c>
      <c r="F1022" s="11" t="s">
        <v>22</v>
      </c>
      <c r="G1022" s="38">
        <v>4080</v>
      </c>
      <c r="H1022" s="650">
        <v>43718</v>
      </c>
      <c r="I1022" s="126">
        <v>34819.199999999997</v>
      </c>
      <c r="J1022" s="640">
        <f t="shared" si="34"/>
        <v>9749.3759999999984</v>
      </c>
      <c r="K1022" s="54">
        <v>0</v>
      </c>
      <c r="L1022" s="54">
        <v>4874.6879999999992</v>
      </c>
      <c r="M1022" s="54">
        <v>4874.6879999999992</v>
      </c>
      <c r="N1022" s="54"/>
      <c r="O1022" s="54">
        <f t="shared" si="35"/>
        <v>44568.575999999994</v>
      </c>
    </row>
    <row r="1023" spans="1:15" x14ac:dyDescent="0.2">
      <c r="A1023" s="51">
        <v>43709</v>
      </c>
      <c r="B1023" s="11">
        <v>51</v>
      </c>
      <c r="C1023" s="11" t="s">
        <v>601</v>
      </c>
      <c r="D1023" s="11" t="s">
        <v>602</v>
      </c>
      <c r="F1023" s="11" t="s">
        <v>22</v>
      </c>
      <c r="G1023" s="38">
        <v>4081</v>
      </c>
      <c r="H1023" s="650">
        <v>43718</v>
      </c>
      <c r="I1023" s="126">
        <v>17028</v>
      </c>
      <c r="J1023" s="640">
        <f t="shared" si="34"/>
        <v>4767.84</v>
      </c>
      <c r="K1023" s="54">
        <v>0</v>
      </c>
      <c r="L1023" s="54">
        <v>2383.92</v>
      </c>
      <c r="M1023" s="54">
        <v>2383.92</v>
      </c>
      <c r="N1023" s="54"/>
      <c r="O1023" s="54">
        <f t="shared" si="35"/>
        <v>21795.84</v>
      </c>
    </row>
    <row r="1024" spans="1:15" x14ac:dyDescent="0.2">
      <c r="A1024" s="51">
        <v>43709</v>
      </c>
      <c r="B1024" s="11">
        <v>52</v>
      </c>
      <c r="C1024" s="11" t="s">
        <v>489</v>
      </c>
      <c r="D1024" s="11" t="s">
        <v>490</v>
      </c>
      <c r="F1024" s="11" t="s">
        <v>22</v>
      </c>
      <c r="G1024" s="38">
        <v>7887988327</v>
      </c>
      <c r="H1024" s="650">
        <v>43718</v>
      </c>
      <c r="I1024" s="126">
        <v>3990</v>
      </c>
      <c r="J1024" s="640">
        <f t="shared" si="34"/>
        <v>718.19999999999993</v>
      </c>
      <c r="K1024" s="54">
        <v>0</v>
      </c>
      <c r="L1024" s="54">
        <v>359.09999999999997</v>
      </c>
      <c r="M1024" s="54">
        <v>359.09999999999997</v>
      </c>
      <c r="N1024" s="54"/>
      <c r="O1024" s="54">
        <f t="shared" si="35"/>
        <v>4708.2</v>
      </c>
    </row>
    <row r="1025" spans="1:15" x14ac:dyDescent="0.2">
      <c r="A1025" s="51">
        <v>43709</v>
      </c>
      <c r="B1025" s="11">
        <v>53</v>
      </c>
      <c r="C1025" s="11" t="s">
        <v>591</v>
      </c>
      <c r="D1025" s="11" t="s">
        <v>592</v>
      </c>
      <c r="F1025" s="11" t="s">
        <v>22</v>
      </c>
      <c r="G1025" s="38" t="s">
        <v>960</v>
      </c>
      <c r="H1025" s="650">
        <v>43718</v>
      </c>
      <c r="I1025" s="126">
        <v>130590</v>
      </c>
      <c r="J1025" s="640">
        <f t="shared" si="34"/>
        <v>23506.2</v>
      </c>
      <c r="K1025" s="54">
        <v>0</v>
      </c>
      <c r="L1025" s="54">
        <v>11753.1</v>
      </c>
      <c r="M1025" s="54">
        <v>11753.1</v>
      </c>
      <c r="N1025" s="54"/>
      <c r="O1025" s="54">
        <f t="shared" si="35"/>
        <v>154096.20000000001</v>
      </c>
    </row>
    <row r="1026" spans="1:15" x14ac:dyDescent="0.2">
      <c r="A1026" s="51">
        <v>43709</v>
      </c>
      <c r="B1026" s="11">
        <v>54</v>
      </c>
      <c r="C1026" s="11" t="s">
        <v>479</v>
      </c>
      <c r="D1026" s="11" t="s">
        <v>480</v>
      </c>
      <c r="F1026" s="11" t="s">
        <v>22</v>
      </c>
      <c r="G1026" s="38">
        <v>1269</v>
      </c>
      <c r="H1026" s="650">
        <v>43719</v>
      </c>
      <c r="I1026" s="126">
        <v>9000</v>
      </c>
      <c r="J1026" s="640">
        <f t="shared" si="34"/>
        <v>1620</v>
      </c>
      <c r="K1026" s="54">
        <v>0</v>
      </c>
      <c r="L1026" s="54">
        <v>810</v>
      </c>
      <c r="M1026" s="54">
        <v>810</v>
      </c>
      <c r="N1026" s="54"/>
      <c r="O1026" s="54">
        <f t="shared" si="35"/>
        <v>10620</v>
      </c>
    </row>
    <row r="1027" spans="1:15" x14ac:dyDescent="0.2">
      <c r="A1027" s="51">
        <v>43709</v>
      </c>
      <c r="B1027" s="11">
        <v>55</v>
      </c>
      <c r="C1027" s="11" t="s">
        <v>747</v>
      </c>
      <c r="D1027" s="11" t="s">
        <v>748</v>
      </c>
      <c r="F1027" s="11" t="s">
        <v>22</v>
      </c>
      <c r="G1027" s="38" t="s">
        <v>961</v>
      </c>
      <c r="H1027" s="650">
        <v>43719</v>
      </c>
      <c r="I1027" s="126">
        <v>5125</v>
      </c>
      <c r="J1027" s="640">
        <f t="shared" si="34"/>
        <v>922.5</v>
      </c>
      <c r="K1027" s="54">
        <v>0</v>
      </c>
      <c r="L1027" s="54">
        <v>461.25</v>
      </c>
      <c r="M1027" s="54">
        <v>461.25</v>
      </c>
      <c r="N1027" s="54"/>
      <c r="O1027" s="54">
        <f t="shared" si="35"/>
        <v>6047.5</v>
      </c>
    </row>
    <row r="1028" spans="1:15" x14ac:dyDescent="0.2">
      <c r="A1028" s="51">
        <v>43709</v>
      </c>
      <c r="B1028" s="11">
        <v>56</v>
      </c>
      <c r="C1028" s="11" t="s">
        <v>473</v>
      </c>
      <c r="D1028" s="11" t="s">
        <v>41</v>
      </c>
      <c r="F1028" s="11" t="s">
        <v>22</v>
      </c>
      <c r="G1028" s="38" t="s">
        <v>962</v>
      </c>
      <c r="H1028" s="650">
        <v>43719</v>
      </c>
      <c r="I1028" s="126">
        <v>5667.69</v>
      </c>
      <c r="J1028" s="640">
        <f t="shared" ref="J1028:J1091" si="37">+K1028+L1028+M1028+N1028</f>
        <v>1587.9931999999999</v>
      </c>
      <c r="K1028" s="54">
        <v>0</v>
      </c>
      <c r="L1028" s="54">
        <v>793.99659999999994</v>
      </c>
      <c r="M1028" s="54">
        <v>793.99659999999994</v>
      </c>
      <c r="N1028" s="54"/>
      <c r="O1028" s="54">
        <f t="shared" ref="O1028:O1091" si="38">+I1028+J1028</f>
        <v>7255.6831999999995</v>
      </c>
    </row>
    <row r="1029" spans="1:15" x14ac:dyDescent="0.2">
      <c r="A1029" s="51">
        <v>43709</v>
      </c>
      <c r="B1029" s="11">
        <v>57</v>
      </c>
      <c r="C1029" s="11" t="s">
        <v>963</v>
      </c>
      <c r="D1029" s="11" t="s">
        <v>964</v>
      </c>
      <c r="F1029" s="11" t="s">
        <v>22</v>
      </c>
      <c r="G1029" s="38" t="s">
        <v>965</v>
      </c>
      <c r="H1029" s="650">
        <v>43714</v>
      </c>
      <c r="I1029" s="126">
        <v>1500</v>
      </c>
      <c r="J1029" s="640">
        <f t="shared" si="37"/>
        <v>270</v>
      </c>
      <c r="K1029" s="54">
        <v>0</v>
      </c>
      <c r="L1029" s="54">
        <v>135</v>
      </c>
      <c r="M1029" s="54">
        <v>135</v>
      </c>
      <c r="N1029" s="54"/>
      <c r="O1029" s="54">
        <f t="shared" si="38"/>
        <v>1770</v>
      </c>
    </row>
    <row r="1030" spans="1:15" x14ac:dyDescent="0.2">
      <c r="A1030" s="51">
        <v>43709</v>
      </c>
      <c r="B1030" s="11">
        <v>58</v>
      </c>
      <c r="C1030" s="11" t="s">
        <v>518</v>
      </c>
      <c r="D1030" s="11" t="s">
        <v>519</v>
      </c>
      <c r="F1030" s="11" t="s">
        <v>22</v>
      </c>
      <c r="G1030" s="38" t="s">
        <v>966</v>
      </c>
      <c r="H1030" s="650">
        <v>43720</v>
      </c>
      <c r="I1030" s="126">
        <v>4796</v>
      </c>
      <c r="J1030" s="640">
        <f t="shared" si="37"/>
        <v>863.28</v>
      </c>
      <c r="K1030" s="54">
        <v>0</v>
      </c>
      <c r="L1030" s="54">
        <v>431.64</v>
      </c>
      <c r="M1030" s="54">
        <v>431.64</v>
      </c>
      <c r="N1030" s="54"/>
      <c r="O1030" s="54">
        <f t="shared" si="38"/>
        <v>5659.28</v>
      </c>
    </row>
    <row r="1031" spans="1:15" x14ac:dyDescent="0.2">
      <c r="A1031" s="51">
        <v>43709</v>
      </c>
      <c r="B1031" s="11">
        <v>59</v>
      </c>
      <c r="C1031" s="11" t="s">
        <v>551</v>
      </c>
      <c r="D1031" s="11" t="s">
        <v>552</v>
      </c>
      <c r="F1031" s="11" t="s">
        <v>22</v>
      </c>
      <c r="G1031" s="38" t="s">
        <v>967</v>
      </c>
      <c r="H1031" s="650">
        <v>43720</v>
      </c>
      <c r="I1031" s="126">
        <v>1300</v>
      </c>
      <c r="J1031" s="640">
        <f t="shared" si="37"/>
        <v>234</v>
      </c>
      <c r="K1031" s="54">
        <v>0</v>
      </c>
      <c r="L1031" s="54">
        <v>117</v>
      </c>
      <c r="M1031" s="54">
        <v>117</v>
      </c>
      <c r="N1031" s="54"/>
      <c r="O1031" s="54">
        <f t="shared" si="38"/>
        <v>1534</v>
      </c>
    </row>
    <row r="1032" spans="1:15" x14ac:dyDescent="0.2">
      <c r="A1032" s="51">
        <v>43709</v>
      </c>
      <c r="B1032" s="11">
        <v>60</v>
      </c>
      <c r="C1032" s="11" t="s">
        <v>514</v>
      </c>
      <c r="D1032" s="11" t="s">
        <v>515</v>
      </c>
      <c r="F1032" s="11" t="s">
        <v>22</v>
      </c>
      <c r="G1032" s="38" t="s">
        <v>968</v>
      </c>
      <c r="H1032" s="650">
        <v>43719</v>
      </c>
      <c r="I1032" s="126">
        <v>15</v>
      </c>
      <c r="J1032" s="640">
        <f t="shared" si="37"/>
        <v>2.6999999999999997</v>
      </c>
      <c r="K1032" s="54">
        <v>0</v>
      </c>
      <c r="L1032" s="54">
        <v>1.3499999999999999</v>
      </c>
      <c r="M1032" s="54">
        <v>1.3499999999999999</v>
      </c>
      <c r="N1032" s="54"/>
      <c r="O1032" s="54">
        <f t="shared" si="38"/>
        <v>17.7</v>
      </c>
    </row>
    <row r="1033" spans="1:15" x14ac:dyDescent="0.2">
      <c r="A1033" s="51">
        <v>43709</v>
      </c>
      <c r="B1033" s="11">
        <v>61</v>
      </c>
      <c r="C1033" s="11" t="s">
        <v>514</v>
      </c>
      <c r="D1033" s="11" t="s">
        <v>515</v>
      </c>
      <c r="F1033" s="11" t="s">
        <v>22</v>
      </c>
      <c r="G1033" s="38" t="s">
        <v>969</v>
      </c>
      <c r="H1033" s="650">
        <v>43719</v>
      </c>
      <c r="I1033" s="126">
        <v>15</v>
      </c>
      <c r="J1033" s="640">
        <f t="shared" si="37"/>
        <v>2.6999999999999997</v>
      </c>
      <c r="K1033" s="54">
        <v>0</v>
      </c>
      <c r="L1033" s="54">
        <v>1.3499999999999999</v>
      </c>
      <c r="M1033" s="54">
        <v>1.3499999999999999</v>
      </c>
      <c r="N1033" s="54"/>
      <c r="O1033" s="54">
        <f t="shared" si="38"/>
        <v>17.7</v>
      </c>
    </row>
    <row r="1034" spans="1:15" x14ac:dyDescent="0.2">
      <c r="A1034" s="51">
        <v>43709</v>
      </c>
      <c r="B1034" s="11">
        <v>62</v>
      </c>
      <c r="C1034" s="11" t="s">
        <v>514</v>
      </c>
      <c r="D1034" s="11" t="s">
        <v>515</v>
      </c>
      <c r="F1034" s="11" t="s">
        <v>22</v>
      </c>
      <c r="G1034" s="38" t="s">
        <v>970</v>
      </c>
      <c r="H1034" s="650">
        <v>43719</v>
      </c>
      <c r="I1034" s="126">
        <v>15</v>
      </c>
      <c r="J1034" s="640">
        <f t="shared" si="37"/>
        <v>2.6999999999999997</v>
      </c>
      <c r="K1034" s="54">
        <v>0</v>
      </c>
      <c r="L1034" s="54">
        <v>1.3499999999999999</v>
      </c>
      <c r="M1034" s="54">
        <v>1.3499999999999999</v>
      </c>
      <c r="N1034" s="54"/>
      <c r="O1034" s="54">
        <f t="shared" si="38"/>
        <v>17.7</v>
      </c>
    </row>
    <row r="1035" spans="1:15" x14ac:dyDescent="0.2">
      <c r="A1035" s="51">
        <v>43709</v>
      </c>
      <c r="B1035" s="11">
        <v>63</v>
      </c>
      <c r="C1035" s="11" t="s">
        <v>514</v>
      </c>
      <c r="D1035" s="11" t="s">
        <v>515</v>
      </c>
      <c r="F1035" s="11" t="s">
        <v>22</v>
      </c>
      <c r="G1035" s="38" t="s">
        <v>971</v>
      </c>
      <c r="H1035" s="650">
        <v>43719</v>
      </c>
      <c r="I1035" s="126">
        <v>15</v>
      </c>
      <c r="J1035" s="640">
        <f t="shared" si="37"/>
        <v>2.6999999999999997</v>
      </c>
      <c r="K1035" s="54">
        <v>0</v>
      </c>
      <c r="L1035" s="54">
        <v>1.3499999999999999</v>
      </c>
      <c r="M1035" s="54">
        <v>1.3499999999999999</v>
      </c>
      <c r="N1035" s="54"/>
      <c r="O1035" s="54">
        <f t="shared" si="38"/>
        <v>17.7</v>
      </c>
    </row>
    <row r="1036" spans="1:15" x14ac:dyDescent="0.2">
      <c r="A1036" s="51">
        <v>43709</v>
      </c>
      <c r="B1036" s="11">
        <v>64</v>
      </c>
      <c r="C1036" s="11" t="s">
        <v>514</v>
      </c>
      <c r="D1036" s="11" t="s">
        <v>515</v>
      </c>
      <c r="F1036" s="11" t="s">
        <v>22</v>
      </c>
      <c r="G1036" s="38" t="s">
        <v>972</v>
      </c>
      <c r="H1036" s="650">
        <v>43719</v>
      </c>
      <c r="I1036" s="126">
        <v>15</v>
      </c>
      <c r="J1036" s="640">
        <f t="shared" si="37"/>
        <v>2.6999999999999997</v>
      </c>
      <c r="K1036" s="54">
        <v>0</v>
      </c>
      <c r="L1036" s="54">
        <v>1.3499999999999999</v>
      </c>
      <c r="M1036" s="54">
        <v>1.3499999999999999</v>
      </c>
      <c r="N1036" s="54"/>
      <c r="O1036" s="54">
        <f t="shared" si="38"/>
        <v>17.7</v>
      </c>
    </row>
    <row r="1037" spans="1:15" x14ac:dyDescent="0.2">
      <c r="A1037" s="51">
        <v>43709</v>
      </c>
      <c r="B1037" s="11">
        <v>65</v>
      </c>
      <c r="C1037" s="11" t="s">
        <v>514</v>
      </c>
      <c r="D1037" s="11" t="s">
        <v>515</v>
      </c>
      <c r="F1037" s="11" t="s">
        <v>22</v>
      </c>
      <c r="G1037" s="38" t="s">
        <v>973</v>
      </c>
      <c r="H1037" s="650">
        <v>43719</v>
      </c>
      <c r="I1037" s="126">
        <v>15</v>
      </c>
      <c r="J1037" s="640">
        <f t="shared" si="37"/>
        <v>2.6999999999999997</v>
      </c>
      <c r="K1037" s="54">
        <v>0</v>
      </c>
      <c r="L1037" s="54">
        <v>1.3499999999999999</v>
      </c>
      <c r="M1037" s="54">
        <v>1.3499999999999999</v>
      </c>
      <c r="N1037" s="54"/>
      <c r="O1037" s="54">
        <f t="shared" si="38"/>
        <v>17.7</v>
      </c>
    </row>
    <row r="1038" spans="1:15" x14ac:dyDescent="0.2">
      <c r="A1038" s="51">
        <v>43709</v>
      </c>
      <c r="B1038" s="11">
        <v>66</v>
      </c>
      <c r="C1038" s="11" t="s">
        <v>471</v>
      </c>
      <c r="D1038" s="11" t="s">
        <v>29</v>
      </c>
      <c r="F1038" s="11" t="s">
        <v>22</v>
      </c>
      <c r="G1038" s="38">
        <v>192005218</v>
      </c>
      <c r="H1038" s="650">
        <v>43720</v>
      </c>
      <c r="I1038" s="126">
        <v>17483.52</v>
      </c>
      <c r="J1038" s="640">
        <f t="shared" si="37"/>
        <v>4895.3856000000005</v>
      </c>
      <c r="K1038" s="54">
        <v>0</v>
      </c>
      <c r="L1038" s="54">
        <v>2447.6928000000003</v>
      </c>
      <c r="M1038" s="54">
        <v>2447.6928000000003</v>
      </c>
      <c r="N1038" s="54"/>
      <c r="O1038" s="54">
        <f t="shared" si="38"/>
        <v>22378.905600000002</v>
      </c>
    </row>
    <row r="1039" spans="1:15" x14ac:dyDescent="0.2">
      <c r="A1039" s="51">
        <v>43709</v>
      </c>
      <c r="B1039" s="11">
        <v>67</v>
      </c>
      <c r="C1039" s="11" t="s">
        <v>471</v>
      </c>
      <c r="D1039" s="11" t="s">
        <v>29</v>
      </c>
      <c r="F1039" s="11" t="s">
        <v>22</v>
      </c>
      <c r="G1039" s="38">
        <v>192005223</v>
      </c>
      <c r="H1039" s="650">
        <v>43720</v>
      </c>
      <c r="I1039" s="126">
        <v>17483.52</v>
      </c>
      <c r="J1039" s="640">
        <f t="shared" si="37"/>
        <v>4895.3856000000005</v>
      </c>
      <c r="K1039" s="54">
        <v>0</v>
      </c>
      <c r="L1039" s="54">
        <v>2447.6928000000003</v>
      </c>
      <c r="M1039" s="54">
        <v>2447.6928000000003</v>
      </c>
      <c r="N1039" s="54"/>
      <c r="O1039" s="54">
        <f t="shared" si="38"/>
        <v>22378.905600000002</v>
      </c>
    </row>
    <row r="1040" spans="1:15" x14ac:dyDescent="0.2">
      <c r="A1040" s="51">
        <v>43709</v>
      </c>
      <c r="B1040" s="11">
        <v>68</v>
      </c>
      <c r="C1040" s="11" t="s">
        <v>554</v>
      </c>
      <c r="D1040" s="11" t="s">
        <v>555</v>
      </c>
      <c r="F1040" s="11" t="s">
        <v>22</v>
      </c>
      <c r="G1040" s="38">
        <v>11971</v>
      </c>
      <c r="H1040" s="650">
        <v>43720</v>
      </c>
      <c r="I1040" s="126">
        <v>18238</v>
      </c>
      <c r="J1040" s="640">
        <f t="shared" si="37"/>
        <v>5106.6399999999994</v>
      </c>
      <c r="K1040" s="54">
        <v>0</v>
      </c>
      <c r="L1040" s="54">
        <v>2553.3199999999997</v>
      </c>
      <c r="M1040" s="54">
        <v>2553.3199999999997</v>
      </c>
      <c r="N1040" s="54"/>
      <c r="O1040" s="54">
        <f t="shared" si="38"/>
        <v>23344.639999999999</v>
      </c>
    </row>
    <row r="1041" spans="1:15" x14ac:dyDescent="0.2">
      <c r="A1041" s="51">
        <v>43709</v>
      </c>
      <c r="B1041" s="11">
        <v>69</v>
      </c>
      <c r="C1041" s="11" t="s">
        <v>601</v>
      </c>
      <c r="D1041" s="11" t="s">
        <v>602</v>
      </c>
      <c r="F1041" s="11" t="s">
        <v>22</v>
      </c>
      <c r="G1041" s="38">
        <v>4110</v>
      </c>
      <c r="H1041" s="650">
        <v>43720</v>
      </c>
      <c r="I1041" s="126">
        <v>42570</v>
      </c>
      <c r="J1041" s="640">
        <f t="shared" si="37"/>
        <v>11919.6</v>
      </c>
      <c r="K1041" s="54">
        <v>0</v>
      </c>
      <c r="L1041" s="54">
        <v>5959.8</v>
      </c>
      <c r="M1041" s="54">
        <v>5959.8</v>
      </c>
      <c r="N1041" s="54"/>
      <c r="O1041" s="54">
        <f t="shared" si="38"/>
        <v>54489.599999999999</v>
      </c>
    </row>
    <row r="1042" spans="1:15" x14ac:dyDescent="0.2">
      <c r="A1042" s="51">
        <v>43709</v>
      </c>
      <c r="B1042" s="11">
        <v>70</v>
      </c>
      <c r="C1042" s="11" t="s">
        <v>473</v>
      </c>
      <c r="D1042" s="11" t="s">
        <v>41</v>
      </c>
      <c r="F1042" s="11" t="s">
        <v>22</v>
      </c>
      <c r="G1042" s="38" t="s">
        <v>974</v>
      </c>
      <c r="H1042" s="650">
        <v>43721</v>
      </c>
      <c r="I1042" s="126">
        <v>8315.65</v>
      </c>
      <c r="J1042" s="640">
        <f t="shared" si="37"/>
        <v>2330.0019999999995</v>
      </c>
      <c r="K1042" s="54">
        <v>0</v>
      </c>
      <c r="L1042" s="54">
        <v>1165.0009999999997</v>
      </c>
      <c r="M1042" s="54">
        <v>1165.0009999999997</v>
      </c>
      <c r="N1042" s="54"/>
      <c r="O1042" s="54">
        <f t="shared" si="38"/>
        <v>10645.651999999998</v>
      </c>
    </row>
    <row r="1043" spans="1:15" x14ac:dyDescent="0.2">
      <c r="A1043" s="51">
        <v>43709</v>
      </c>
      <c r="B1043" s="11">
        <v>71</v>
      </c>
      <c r="C1043" s="11" t="s">
        <v>495</v>
      </c>
      <c r="D1043" s="11" t="s">
        <v>74</v>
      </c>
      <c r="F1043" s="11" t="s">
        <v>22</v>
      </c>
      <c r="G1043" s="38">
        <v>5510057272</v>
      </c>
      <c r="H1043" s="650">
        <v>43721</v>
      </c>
      <c r="I1043" s="126">
        <v>53088</v>
      </c>
      <c r="J1043" s="640">
        <f t="shared" si="37"/>
        <v>9555.84</v>
      </c>
      <c r="K1043" s="54">
        <v>0</v>
      </c>
      <c r="L1043" s="54">
        <v>4777.92</v>
      </c>
      <c r="M1043" s="54">
        <v>4777.92</v>
      </c>
      <c r="N1043" s="54"/>
      <c r="O1043" s="54">
        <f t="shared" si="38"/>
        <v>62643.839999999997</v>
      </c>
    </row>
    <row r="1044" spans="1:15" x14ac:dyDescent="0.2">
      <c r="A1044" s="51">
        <v>43709</v>
      </c>
      <c r="B1044" s="11">
        <v>72</v>
      </c>
      <c r="C1044" s="11" t="s">
        <v>495</v>
      </c>
      <c r="D1044" s="11" t="s">
        <v>74</v>
      </c>
      <c r="F1044" s="11" t="s">
        <v>22</v>
      </c>
      <c r="G1044" s="38">
        <v>5510057326</v>
      </c>
      <c r="H1044" s="650">
        <v>43721</v>
      </c>
      <c r="I1044" s="126">
        <v>53088</v>
      </c>
      <c r="J1044" s="640">
        <f t="shared" si="37"/>
        <v>9555.84</v>
      </c>
      <c r="K1044" s="54">
        <v>0</v>
      </c>
      <c r="L1044" s="54">
        <v>4777.92</v>
      </c>
      <c r="M1044" s="54">
        <v>4777.92</v>
      </c>
      <c r="N1044" s="54"/>
      <c r="O1044" s="54">
        <f t="shared" si="38"/>
        <v>62643.839999999997</v>
      </c>
    </row>
    <row r="1045" spans="1:15" x14ac:dyDescent="0.2">
      <c r="A1045" s="51">
        <v>43709</v>
      </c>
      <c r="B1045" s="11">
        <v>73</v>
      </c>
      <c r="C1045" s="11" t="s">
        <v>489</v>
      </c>
      <c r="D1045" s="11" t="s">
        <v>490</v>
      </c>
      <c r="F1045" s="11" t="s">
        <v>22</v>
      </c>
      <c r="G1045" s="38">
        <v>7887988435</v>
      </c>
      <c r="H1045" s="650">
        <v>43721</v>
      </c>
      <c r="I1045" s="126">
        <v>20176</v>
      </c>
      <c r="J1045" s="640">
        <f t="shared" si="37"/>
        <v>3631.68</v>
      </c>
      <c r="K1045" s="54">
        <v>0</v>
      </c>
      <c r="L1045" s="54">
        <v>1815.84</v>
      </c>
      <c r="M1045" s="54">
        <v>1815.84</v>
      </c>
      <c r="N1045" s="54"/>
      <c r="O1045" s="54">
        <f t="shared" si="38"/>
        <v>23807.68</v>
      </c>
    </row>
    <row r="1046" spans="1:15" x14ac:dyDescent="0.2">
      <c r="A1046" s="51">
        <v>43709</v>
      </c>
      <c r="B1046" s="11">
        <v>74</v>
      </c>
      <c r="C1046" s="11" t="s">
        <v>489</v>
      </c>
      <c r="D1046" s="11" t="s">
        <v>490</v>
      </c>
      <c r="F1046" s="11" t="s">
        <v>22</v>
      </c>
      <c r="G1046" s="38">
        <v>7887988420</v>
      </c>
      <c r="H1046" s="650">
        <v>43721</v>
      </c>
      <c r="I1046" s="126">
        <v>131000</v>
      </c>
      <c r="J1046" s="640">
        <f t="shared" si="37"/>
        <v>23580</v>
      </c>
      <c r="K1046" s="54">
        <v>0</v>
      </c>
      <c r="L1046" s="54">
        <v>11790</v>
      </c>
      <c r="M1046" s="54">
        <v>11790</v>
      </c>
      <c r="N1046" s="54"/>
      <c r="O1046" s="54">
        <f t="shared" si="38"/>
        <v>154580</v>
      </c>
    </row>
    <row r="1047" spans="1:15" x14ac:dyDescent="0.2">
      <c r="A1047" s="51">
        <v>43709</v>
      </c>
      <c r="B1047" s="11">
        <v>75</v>
      </c>
      <c r="C1047" s="11" t="s">
        <v>975</v>
      </c>
      <c r="D1047" s="11" t="s">
        <v>976</v>
      </c>
      <c r="F1047" s="11" t="s">
        <v>22</v>
      </c>
      <c r="G1047" s="38">
        <v>186</v>
      </c>
      <c r="H1047" s="650">
        <v>43722</v>
      </c>
      <c r="I1047" s="126">
        <v>38600</v>
      </c>
      <c r="J1047" s="640">
        <f t="shared" si="37"/>
        <v>6948</v>
      </c>
      <c r="K1047" s="54">
        <v>0</v>
      </c>
      <c r="L1047" s="54">
        <v>3474</v>
      </c>
      <c r="M1047" s="54">
        <v>3474</v>
      </c>
      <c r="N1047" s="54"/>
      <c r="O1047" s="54">
        <f t="shared" si="38"/>
        <v>45548</v>
      </c>
    </row>
    <row r="1048" spans="1:15" x14ac:dyDescent="0.2">
      <c r="A1048" s="51">
        <v>43709</v>
      </c>
      <c r="B1048" s="11">
        <v>76</v>
      </c>
      <c r="C1048" s="11" t="s">
        <v>499</v>
      </c>
      <c r="D1048" s="11" t="s">
        <v>500</v>
      </c>
      <c r="F1048" s="11" t="s">
        <v>22</v>
      </c>
      <c r="G1048" s="38" t="s">
        <v>977</v>
      </c>
      <c r="H1048" s="650">
        <v>43720</v>
      </c>
      <c r="I1048" s="126">
        <v>1197</v>
      </c>
      <c r="J1048" s="640">
        <f t="shared" si="37"/>
        <v>215.46</v>
      </c>
      <c r="K1048" s="54">
        <v>0</v>
      </c>
      <c r="L1048" s="54">
        <v>107.73</v>
      </c>
      <c r="M1048" s="54">
        <v>107.73</v>
      </c>
      <c r="N1048" s="54"/>
      <c r="O1048" s="54">
        <f t="shared" si="38"/>
        <v>1412.46</v>
      </c>
    </row>
    <row r="1049" spans="1:15" x14ac:dyDescent="0.2">
      <c r="A1049" s="51">
        <v>43709</v>
      </c>
      <c r="B1049" s="11">
        <v>77</v>
      </c>
      <c r="C1049" s="11" t="s">
        <v>499</v>
      </c>
      <c r="D1049" s="11" t="s">
        <v>500</v>
      </c>
      <c r="F1049" s="11" t="s">
        <v>22</v>
      </c>
      <c r="G1049" s="38" t="s">
        <v>978</v>
      </c>
      <c r="H1049" s="650">
        <v>43721</v>
      </c>
      <c r="I1049" s="126">
        <v>3500</v>
      </c>
      <c r="J1049" s="640">
        <f t="shared" si="37"/>
        <v>175</v>
      </c>
      <c r="K1049" s="54">
        <v>0</v>
      </c>
      <c r="L1049" s="54">
        <v>87.5</v>
      </c>
      <c r="M1049" s="54">
        <v>87.5</v>
      </c>
      <c r="N1049" s="54"/>
      <c r="O1049" s="54">
        <f t="shared" si="38"/>
        <v>3675</v>
      </c>
    </row>
    <row r="1050" spans="1:15" x14ac:dyDescent="0.2">
      <c r="A1050" s="51">
        <v>43709</v>
      </c>
      <c r="B1050" s="11">
        <v>78</v>
      </c>
      <c r="C1050" s="11" t="s">
        <v>517</v>
      </c>
      <c r="D1050" s="11" t="s">
        <v>256</v>
      </c>
      <c r="F1050" s="11" t="s">
        <v>22</v>
      </c>
      <c r="G1050" s="38">
        <v>19616829</v>
      </c>
      <c r="H1050" s="650">
        <v>43721</v>
      </c>
      <c r="I1050" s="126">
        <v>3766.4</v>
      </c>
      <c r="J1050" s="640">
        <f t="shared" si="37"/>
        <v>1054.5920000000001</v>
      </c>
      <c r="K1050" s="54">
        <v>1054.5920000000001</v>
      </c>
      <c r="L1050" s="54">
        <v>0</v>
      </c>
      <c r="M1050" s="54">
        <v>0</v>
      </c>
      <c r="N1050" s="54"/>
      <c r="O1050" s="54">
        <f t="shared" si="38"/>
        <v>4820.9920000000002</v>
      </c>
    </row>
    <row r="1051" spans="1:15" x14ac:dyDescent="0.2">
      <c r="A1051" s="51">
        <v>43709</v>
      </c>
      <c r="B1051" s="11">
        <v>79</v>
      </c>
      <c r="C1051" s="11" t="s">
        <v>495</v>
      </c>
      <c r="D1051" s="11" t="s">
        <v>74</v>
      </c>
      <c r="F1051" s="11" t="s">
        <v>22</v>
      </c>
      <c r="G1051" s="38">
        <v>5510057379</v>
      </c>
      <c r="H1051" s="650">
        <v>43722</v>
      </c>
      <c r="I1051" s="126">
        <v>53088</v>
      </c>
      <c r="J1051" s="640">
        <f t="shared" si="37"/>
        <v>9555.84</v>
      </c>
      <c r="K1051" s="54">
        <v>0</v>
      </c>
      <c r="L1051" s="54">
        <v>4777.92</v>
      </c>
      <c r="M1051" s="54">
        <v>4777.92</v>
      </c>
      <c r="N1051" s="54"/>
      <c r="O1051" s="54">
        <f t="shared" si="38"/>
        <v>62643.839999999997</v>
      </c>
    </row>
    <row r="1052" spans="1:15" x14ac:dyDescent="0.2">
      <c r="A1052" s="51">
        <v>43709</v>
      </c>
      <c r="B1052" s="11">
        <v>80</v>
      </c>
      <c r="C1052" s="11" t="s">
        <v>476</v>
      </c>
      <c r="D1052" s="11" t="s">
        <v>477</v>
      </c>
      <c r="F1052" s="11" t="s">
        <v>22</v>
      </c>
      <c r="G1052" s="38" t="s">
        <v>979</v>
      </c>
      <c r="H1052" s="650">
        <v>43723</v>
      </c>
      <c r="I1052" s="126">
        <v>40650</v>
      </c>
      <c r="J1052" s="640">
        <f t="shared" si="37"/>
        <v>7317</v>
      </c>
      <c r="K1052" s="54">
        <v>0</v>
      </c>
      <c r="L1052" s="54">
        <v>3658.5</v>
      </c>
      <c r="M1052" s="54">
        <v>3658.5</v>
      </c>
      <c r="N1052" s="54"/>
      <c r="O1052" s="54">
        <f t="shared" si="38"/>
        <v>47967</v>
      </c>
    </row>
    <row r="1053" spans="1:15" x14ac:dyDescent="0.2">
      <c r="A1053" s="51">
        <v>43709</v>
      </c>
      <c r="B1053" s="11">
        <v>81</v>
      </c>
      <c r="C1053" s="11" t="s">
        <v>479</v>
      </c>
      <c r="D1053" s="11" t="s">
        <v>480</v>
      </c>
      <c r="F1053" s="11" t="s">
        <v>22</v>
      </c>
      <c r="G1053" s="38">
        <v>1278</v>
      </c>
      <c r="H1053" s="650">
        <v>43724</v>
      </c>
      <c r="I1053" s="126">
        <v>2716.2</v>
      </c>
      <c r="J1053" s="640">
        <f t="shared" si="37"/>
        <v>488.916</v>
      </c>
      <c r="K1053" s="54">
        <v>0</v>
      </c>
      <c r="L1053" s="54">
        <v>244.458</v>
      </c>
      <c r="M1053" s="54">
        <v>244.458</v>
      </c>
      <c r="N1053" s="54"/>
      <c r="O1053" s="54">
        <f t="shared" si="38"/>
        <v>3205.116</v>
      </c>
    </row>
    <row r="1054" spans="1:15" x14ac:dyDescent="0.2">
      <c r="A1054" s="51">
        <v>43709</v>
      </c>
      <c r="B1054" s="11">
        <v>82</v>
      </c>
      <c r="C1054" s="11" t="s">
        <v>514</v>
      </c>
      <c r="D1054" s="11" t="s">
        <v>515</v>
      </c>
      <c r="F1054" s="11" t="s">
        <v>22</v>
      </c>
      <c r="G1054" s="38" t="s">
        <v>980</v>
      </c>
      <c r="H1054" s="650">
        <v>43722</v>
      </c>
      <c r="I1054" s="126">
        <v>50</v>
      </c>
      <c r="J1054" s="640">
        <f t="shared" si="37"/>
        <v>9</v>
      </c>
      <c r="K1054" s="54">
        <v>0</v>
      </c>
      <c r="L1054" s="54">
        <v>4.5</v>
      </c>
      <c r="M1054" s="54">
        <v>4.5</v>
      </c>
      <c r="N1054" s="54"/>
      <c r="O1054" s="54">
        <f t="shared" si="38"/>
        <v>59</v>
      </c>
    </row>
    <row r="1055" spans="1:15" x14ac:dyDescent="0.2">
      <c r="A1055" s="51">
        <v>43709</v>
      </c>
      <c r="B1055" s="11">
        <v>83</v>
      </c>
      <c r="C1055" s="11" t="s">
        <v>747</v>
      </c>
      <c r="D1055" s="11" t="s">
        <v>748</v>
      </c>
      <c r="F1055" s="11" t="s">
        <v>22</v>
      </c>
      <c r="G1055" s="38" t="s">
        <v>981</v>
      </c>
      <c r="H1055" s="650">
        <v>43724</v>
      </c>
      <c r="I1055" s="126">
        <v>18750</v>
      </c>
      <c r="J1055" s="640">
        <f t="shared" si="37"/>
        <v>3375</v>
      </c>
      <c r="K1055" s="54">
        <v>0</v>
      </c>
      <c r="L1055" s="54">
        <v>1687.5</v>
      </c>
      <c r="M1055" s="54">
        <v>1687.5</v>
      </c>
      <c r="N1055" s="54"/>
      <c r="O1055" s="54">
        <f t="shared" si="38"/>
        <v>22125</v>
      </c>
    </row>
    <row r="1056" spans="1:15" x14ac:dyDescent="0.2">
      <c r="A1056" s="51">
        <v>43709</v>
      </c>
      <c r="B1056" s="11">
        <v>84</v>
      </c>
      <c r="C1056" s="11" t="s">
        <v>506</v>
      </c>
      <c r="D1056" s="11" t="s">
        <v>507</v>
      </c>
      <c r="F1056" s="11" t="s">
        <v>22</v>
      </c>
      <c r="G1056" s="38" t="s">
        <v>982</v>
      </c>
      <c r="H1056" s="650">
        <v>43724</v>
      </c>
      <c r="I1056" s="126">
        <v>18480</v>
      </c>
      <c r="J1056" s="640">
        <f t="shared" si="37"/>
        <v>3326.4</v>
      </c>
      <c r="K1056" s="54">
        <v>0</v>
      </c>
      <c r="L1056" s="54">
        <v>1663.2</v>
      </c>
      <c r="M1056" s="54">
        <v>1663.2</v>
      </c>
      <c r="N1056" s="54"/>
      <c r="O1056" s="54">
        <f t="shared" si="38"/>
        <v>21806.400000000001</v>
      </c>
    </row>
    <row r="1057" spans="1:15" x14ac:dyDescent="0.2">
      <c r="A1057" s="51">
        <v>43709</v>
      </c>
      <c r="B1057" s="11">
        <v>85</v>
      </c>
      <c r="C1057" s="11" t="s">
        <v>489</v>
      </c>
      <c r="D1057" s="11" t="s">
        <v>490</v>
      </c>
      <c r="F1057" s="11" t="s">
        <v>22</v>
      </c>
      <c r="G1057" s="38">
        <v>7887988608</v>
      </c>
      <c r="H1057" s="650">
        <v>43725</v>
      </c>
      <c r="I1057" s="126">
        <v>7040</v>
      </c>
      <c r="J1057" s="640">
        <f t="shared" si="37"/>
        <v>1267.2</v>
      </c>
      <c r="K1057" s="54">
        <v>0</v>
      </c>
      <c r="L1057" s="54">
        <v>633.6</v>
      </c>
      <c r="M1057" s="54">
        <v>633.6</v>
      </c>
      <c r="N1057" s="54"/>
      <c r="O1057" s="54">
        <f t="shared" si="38"/>
        <v>8307.2000000000007</v>
      </c>
    </row>
    <row r="1058" spans="1:15" x14ac:dyDescent="0.2">
      <c r="A1058" s="51">
        <v>43709</v>
      </c>
      <c r="B1058" s="11">
        <v>86</v>
      </c>
      <c r="C1058" s="11" t="s">
        <v>471</v>
      </c>
      <c r="D1058" s="11" t="s">
        <v>29</v>
      </c>
      <c r="F1058" s="11" t="s">
        <v>22</v>
      </c>
      <c r="G1058" s="38">
        <v>192005357</v>
      </c>
      <c r="H1058" s="650">
        <v>43725</v>
      </c>
      <c r="I1058" s="126">
        <v>17483.52</v>
      </c>
      <c r="J1058" s="640">
        <f t="shared" si="37"/>
        <v>4895.3856000000005</v>
      </c>
      <c r="K1058" s="54">
        <v>0</v>
      </c>
      <c r="L1058" s="54">
        <v>2447.6928000000003</v>
      </c>
      <c r="M1058" s="54">
        <v>2447.6928000000003</v>
      </c>
      <c r="N1058" s="54"/>
      <c r="O1058" s="54">
        <f t="shared" si="38"/>
        <v>22378.905600000002</v>
      </c>
    </row>
    <row r="1059" spans="1:15" x14ac:dyDescent="0.2">
      <c r="A1059" s="51">
        <v>43709</v>
      </c>
      <c r="B1059" s="11">
        <v>87</v>
      </c>
      <c r="C1059" s="11" t="s">
        <v>471</v>
      </c>
      <c r="D1059" s="11" t="s">
        <v>29</v>
      </c>
      <c r="F1059" s="11" t="s">
        <v>22</v>
      </c>
      <c r="G1059" s="38">
        <v>192005358</v>
      </c>
      <c r="H1059" s="650">
        <v>43725</v>
      </c>
      <c r="I1059" s="126">
        <v>17483.52</v>
      </c>
      <c r="J1059" s="640">
        <f t="shared" si="37"/>
        <v>4895.3856000000005</v>
      </c>
      <c r="K1059" s="54">
        <v>0</v>
      </c>
      <c r="L1059" s="54">
        <v>2447.6928000000003</v>
      </c>
      <c r="M1059" s="54">
        <v>2447.6928000000003</v>
      </c>
      <c r="N1059" s="54"/>
      <c r="O1059" s="54">
        <f t="shared" si="38"/>
        <v>22378.905600000002</v>
      </c>
    </row>
    <row r="1060" spans="1:15" x14ac:dyDescent="0.2">
      <c r="A1060" s="51">
        <v>43709</v>
      </c>
      <c r="B1060" s="11">
        <v>88</v>
      </c>
      <c r="C1060" s="11" t="s">
        <v>517</v>
      </c>
      <c r="D1060" s="11" t="s">
        <v>256</v>
      </c>
      <c r="F1060" s="11" t="s">
        <v>22</v>
      </c>
      <c r="G1060" s="38">
        <v>19616987</v>
      </c>
      <c r="H1060" s="650">
        <v>43724</v>
      </c>
      <c r="I1060" s="126">
        <v>12571</v>
      </c>
      <c r="J1060" s="640">
        <f t="shared" si="37"/>
        <v>3519.8799999999997</v>
      </c>
      <c r="K1060" s="54">
        <v>3519.8799999999997</v>
      </c>
      <c r="L1060" s="54">
        <v>0</v>
      </c>
      <c r="M1060" s="54">
        <v>0</v>
      </c>
      <c r="N1060" s="54"/>
      <c r="O1060" s="54">
        <f t="shared" si="38"/>
        <v>16090.88</v>
      </c>
    </row>
    <row r="1061" spans="1:15" x14ac:dyDescent="0.2">
      <c r="A1061" s="51">
        <v>43709</v>
      </c>
      <c r="B1061" s="11">
        <v>89</v>
      </c>
      <c r="C1061" s="11" t="s">
        <v>554</v>
      </c>
      <c r="D1061" s="11" t="s">
        <v>555</v>
      </c>
      <c r="F1061" s="11" t="s">
        <v>22</v>
      </c>
      <c r="G1061" s="38">
        <v>12213</v>
      </c>
      <c r="H1061" s="650">
        <v>43726</v>
      </c>
      <c r="I1061" s="126">
        <v>22169</v>
      </c>
      <c r="J1061" s="640">
        <f t="shared" si="37"/>
        <v>6207.32</v>
      </c>
      <c r="K1061" s="54">
        <v>0</v>
      </c>
      <c r="L1061" s="54">
        <v>3103.66</v>
      </c>
      <c r="M1061" s="54">
        <v>3103.66</v>
      </c>
      <c r="N1061" s="54"/>
      <c r="O1061" s="54">
        <f t="shared" si="38"/>
        <v>28376.32</v>
      </c>
    </row>
    <row r="1062" spans="1:15" x14ac:dyDescent="0.2">
      <c r="A1062" s="51">
        <v>43709</v>
      </c>
      <c r="B1062" s="11">
        <v>90</v>
      </c>
      <c r="C1062" s="11" t="s">
        <v>479</v>
      </c>
      <c r="D1062" s="11" t="s">
        <v>480</v>
      </c>
      <c r="F1062" s="11" t="s">
        <v>22</v>
      </c>
      <c r="G1062" s="38">
        <v>1282</v>
      </c>
      <c r="H1062" s="650">
        <v>43726</v>
      </c>
      <c r="I1062" s="126">
        <v>9000</v>
      </c>
      <c r="J1062" s="640">
        <f t="shared" si="37"/>
        <v>1620</v>
      </c>
      <c r="K1062" s="54">
        <v>0</v>
      </c>
      <c r="L1062" s="54">
        <v>810</v>
      </c>
      <c r="M1062" s="54">
        <v>810</v>
      </c>
      <c r="N1062" s="54"/>
      <c r="O1062" s="54">
        <f t="shared" si="38"/>
        <v>10620</v>
      </c>
    </row>
    <row r="1063" spans="1:15" x14ac:dyDescent="0.2">
      <c r="A1063" s="51">
        <v>43709</v>
      </c>
      <c r="B1063" s="11">
        <v>91</v>
      </c>
      <c r="C1063" s="11" t="s">
        <v>479</v>
      </c>
      <c r="D1063" s="11" t="s">
        <v>480</v>
      </c>
      <c r="F1063" s="11" t="s">
        <v>22</v>
      </c>
      <c r="G1063" s="38">
        <v>1283</v>
      </c>
      <c r="H1063" s="650">
        <v>43726</v>
      </c>
      <c r="I1063" s="126">
        <v>16000</v>
      </c>
      <c r="J1063" s="640">
        <f t="shared" si="37"/>
        <v>2880</v>
      </c>
      <c r="K1063" s="54">
        <v>0</v>
      </c>
      <c r="L1063" s="54">
        <v>1440</v>
      </c>
      <c r="M1063" s="54">
        <v>1440</v>
      </c>
      <c r="N1063" s="54"/>
      <c r="O1063" s="54">
        <f t="shared" si="38"/>
        <v>18880</v>
      </c>
    </row>
    <row r="1064" spans="1:15" x14ac:dyDescent="0.2">
      <c r="A1064" s="51">
        <v>43709</v>
      </c>
      <c r="B1064" s="11">
        <v>92</v>
      </c>
      <c r="C1064" s="11" t="s">
        <v>747</v>
      </c>
      <c r="D1064" s="11" t="s">
        <v>748</v>
      </c>
      <c r="F1064" s="11" t="s">
        <v>22</v>
      </c>
      <c r="G1064" s="38" t="s">
        <v>983</v>
      </c>
      <c r="H1064" s="650">
        <v>43726</v>
      </c>
      <c r="I1064" s="126">
        <v>10400</v>
      </c>
      <c r="J1064" s="640">
        <f t="shared" si="37"/>
        <v>1872</v>
      </c>
      <c r="K1064" s="54">
        <v>0</v>
      </c>
      <c r="L1064" s="54">
        <v>936</v>
      </c>
      <c r="M1064" s="54">
        <v>936</v>
      </c>
      <c r="N1064" s="54"/>
      <c r="O1064" s="54">
        <f t="shared" si="38"/>
        <v>12272</v>
      </c>
    </row>
    <row r="1065" spans="1:15" x14ac:dyDescent="0.2">
      <c r="A1065" s="51">
        <v>43709</v>
      </c>
      <c r="B1065" s="11">
        <v>93</v>
      </c>
      <c r="C1065" s="11" t="s">
        <v>601</v>
      </c>
      <c r="D1065" s="11" t="s">
        <v>602</v>
      </c>
      <c r="F1065" s="11" t="s">
        <v>22</v>
      </c>
      <c r="G1065" s="38">
        <v>4211</v>
      </c>
      <c r="H1065" s="650">
        <v>43726</v>
      </c>
      <c r="I1065" s="126">
        <v>46827</v>
      </c>
      <c r="J1065" s="640">
        <f t="shared" si="37"/>
        <v>13111.56</v>
      </c>
      <c r="K1065" s="54">
        <v>0</v>
      </c>
      <c r="L1065" s="54">
        <v>6555.78</v>
      </c>
      <c r="M1065" s="54">
        <v>6555.78</v>
      </c>
      <c r="N1065" s="54"/>
      <c r="O1065" s="54">
        <f t="shared" si="38"/>
        <v>59938.559999999998</v>
      </c>
    </row>
    <row r="1066" spans="1:15" x14ac:dyDescent="0.2">
      <c r="A1066" s="51">
        <v>43709</v>
      </c>
      <c r="B1066" s="11">
        <v>94</v>
      </c>
      <c r="C1066" s="11" t="s">
        <v>556</v>
      </c>
      <c r="D1066" s="11" t="s">
        <v>557</v>
      </c>
      <c r="F1066" s="11" t="s">
        <v>22</v>
      </c>
      <c r="G1066" s="38" t="s">
        <v>984</v>
      </c>
      <c r="H1066" s="650">
        <v>43724</v>
      </c>
      <c r="I1066" s="126">
        <v>4900</v>
      </c>
      <c r="J1066" s="640">
        <f t="shared" si="37"/>
        <v>882</v>
      </c>
      <c r="K1066" s="54">
        <v>0</v>
      </c>
      <c r="L1066" s="54">
        <v>441</v>
      </c>
      <c r="M1066" s="54">
        <v>441</v>
      </c>
      <c r="N1066" s="54"/>
      <c r="O1066" s="54">
        <f t="shared" si="38"/>
        <v>5782</v>
      </c>
    </row>
    <row r="1067" spans="1:15" x14ac:dyDescent="0.2">
      <c r="A1067" s="51">
        <v>43709</v>
      </c>
      <c r="B1067" s="11">
        <v>95</v>
      </c>
      <c r="C1067" s="11" t="s">
        <v>473</v>
      </c>
      <c r="D1067" s="11" t="s">
        <v>41</v>
      </c>
      <c r="F1067" s="11" t="s">
        <v>22</v>
      </c>
      <c r="G1067" s="38" t="s">
        <v>985</v>
      </c>
      <c r="H1067" s="650">
        <v>43727</v>
      </c>
      <c r="I1067" s="126">
        <v>8976.7999999999993</v>
      </c>
      <c r="J1067" s="640">
        <f t="shared" si="37"/>
        <v>2514.0039999999995</v>
      </c>
      <c r="K1067" s="54">
        <v>0</v>
      </c>
      <c r="L1067" s="54">
        <v>1257.0019999999997</v>
      </c>
      <c r="M1067" s="54">
        <v>1257.0019999999997</v>
      </c>
      <c r="N1067" s="54"/>
      <c r="O1067" s="54">
        <f t="shared" si="38"/>
        <v>11490.803999999998</v>
      </c>
    </row>
    <row r="1068" spans="1:15" x14ac:dyDescent="0.2">
      <c r="A1068" s="51">
        <v>43709</v>
      </c>
      <c r="B1068" s="11">
        <v>96</v>
      </c>
      <c r="C1068" s="11" t="s">
        <v>473</v>
      </c>
      <c r="D1068" s="11" t="s">
        <v>41</v>
      </c>
      <c r="F1068" s="11" t="s">
        <v>22</v>
      </c>
      <c r="G1068" s="38" t="s">
        <v>986</v>
      </c>
      <c r="H1068" s="650">
        <v>43727</v>
      </c>
      <c r="I1068" s="126">
        <v>5270.61</v>
      </c>
      <c r="J1068" s="640">
        <f t="shared" si="37"/>
        <v>1475.9908</v>
      </c>
      <c r="K1068" s="54">
        <v>0</v>
      </c>
      <c r="L1068" s="54">
        <v>737.99540000000002</v>
      </c>
      <c r="M1068" s="54">
        <v>737.99540000000002</v>
      </c>
      <c r="N1068" s="54"/>
      <c r="O1068" s="54">
        <f t="shared" si="38"/>
        <v>6746.6008000000002</v>
      </c>
    </row>
    <row r="1069" spans="1:15" x14ac:dyDescent="0.2">
      <c r="A1069" s="51">
        <v>43709</v>
      </c>
      <c r="B1069" s="11">
        <v>97</v>
      </c>
      <c r="C1069" s="11" t="s">
        <v>554</v>
      </c>
      <c r="D1069" s="11" t="s">
        <v>555</v>
      </c>
      <c r="F1069" s="11" t="s">
        <v>22</v>
      </c>
      <c r="G1069" s="38">
        <v>12236</v>
      </c>
      <c r="H1069" s="650">
        <v>43727</v>
      </c>
      <c r="I1069" s="126">
        <v>18719.7</v>
      </c>
      <c r="J1069" s="640">
        <f t="shared" si="37"/>
        <v>5241.5159999999996</v>
      </c>
      <c r="K1069" s="54">
        <v>0</v>
      </c>
      <c r="L1069" s="54">
        <v>2620.7579999999998</v>
      </c>
      <c r="M1069" s="54">
        <v>2620.7579999999998</v>
      </c>
      <c r="N1069" s="54"/>
      <c r="O1069" s="54">
        <f t="shared" si="38"/>
        <v>23961.216</v>
      </c>
    </row>
    <row r="1070" spans="1:15" x14ac:dyDescent="0.2">
      <c r="A1070" s="51">
        <v>43709</v>
      </c>
      <c r="B1070" s="11">
        <v>98</v>
      </c>
      <c r="C1070" s="11" t="s">
        <v>493</v>
      </c>
      <c r="D1070" s="11" t="s">
        <v>494</v>
      </c>
      <c r="F1070" s="11" t="s">
        <v>22</v>
      </c>
      <c r="G1070" s="38">
        <v>2950</v>
      </c>
      <c r="H1070" s="650">
        <v>43727</v>
      </c>
      <c r="I1070" s="126">
        <v>20691</v>
      </c>
      <c r="J1070" s="640">
        <f t="shared" si="37"/>
        <v>3724.38</v>
      </c>
      <c r="K1070" s="54">
        <v>0</v>
      </c>
      <c r="L1070" s="54">
        <v>1862.19</v>
      </c>
      <c r="M1070" s="54">
        <v>1862.19</v>
      </c>
      <c r="N1070" s="54"/>
      <c r="O1070" s="54">
        <f t="shared" si="38"/>
        <v>24415.38</v>
      </c>
    </row>
    <row r="1071" spans="1:15" x14ac:dyDescent="0.2">
      <c r="A1071" s="51">
        <v>43709</v>
      </c>
      <c r="B1071" s="11">
        <v>99</v>
      </c>
      <c r="C1071" s="11" t="s">
        <v>489</v>
      </c>
      <c r="D1071" s="11" t="s">
        <v>490</v>
      </c>
      <c r="F1071" s="11" t="s">
        <v>22</v>
      </c>
      <c r="G1071" s="38">
        <v>7887988665</v>
      </c>
      <c r="H1071" s="650">
        <v>43727</v>
      </c>
      <c r="I1071" s="126">
        <v>8800</v>
      </c>
      <c r="J1071" s="640">
        <f t="shared" si="37"/>
        <v>1584</v>
      </c>
      <c r="K1071" s="54">
        <v>0</v>
      </c>
      <c r="L1071" s="54">
        <v>792</v>
      </c>
      <c r="M1071" s="54">
        <v>792</v>
      </c>
      <c r="N1071" s="54"/>
      <c r="O1071" s="54">
        <f t="shared" si="38"/>
        <v>10384</v>
      </c>
    </row>
    <row r="1072" spans="1:15" x14ac:dyDescent="0.2">
      <c r="A1072" s="51">
        <v>43709</v>
      </c>
      <c r="B1072" s="11">
        <v>100</v>
      </c>
      <c r="C1072" s="11" t="s">
        <v>495</v>
      </c>
      <c r="D1072" s="11" t="s">
        <v>74</v>
      </c>
      <c r="F1072" s="11" t="s">
        <v>22</v>
      </c>
      <c r="G1072" s="38">
        <v>5510058092</v>
      </c>
      <c r="H1072" s="650">
        <v>43728</v>
      </c>
      <c r="I1072" s="126">
        <v>667.2</v>
      </c>
      <c r="J1072" s="640">
        <f t="shared" si="37"/>
        <v>120.07600000000001</v>
      </c>
      <c r="K1072" s="54">
        <v>0</v>
      </c>
      <c r="L1072" s="54">
        <v>60.038000000000004</v>
      </c>
      <c r="M1072" s="54">
        <v>60.038000000000004</v>
      </c>
      <c r="N1072" s="54"/>
      <c r="O1072" s="54">
        <f t="shared" si="38"/>
        <v>787.27600000000007</v>
      </c>
    </row>
    <row r="1073" spans="1:15" x14ac:dyDescent="0.2">
      <c r="A1073" s="51">
        <v>43709</v>
      </c>
      <c r="B1073" s="11">
        <v>101</v>
      </c>
      <c r="C1073" s="11" t="s">
        <v>489</v>
      </c>
      <c r="D1073" s="11" t="s">
        <v>490</v>
      </c>
      <c r="F1073" s="11" t="s">
        <v>22</v>
      </c>
      <c r="G1073" s="38">
        <v>7887988738</v>
      </c>
      <c r="H1073" s="650">
        <v>43728</v>
      </c>
      <c r="I1073" s="126">
        <v>25220</v>
      </c>
      <c r="J1073" s="640">
        <f t="shared" si="37"/>
        <v>4539.6000000000004</v>
      </c>
      <c r="K1073" s="54">
        <v>0</v>
      </c>
      <c r="L1073" s="54">
        <v>2269.8000000000002</v>
      </c>
      <c r="M1073" s="54">
        <v>2269.8000000000002</v>
      </c>
      <c r="N1073" s="54"/>
      <c r="O1073" s="54">
        <f t="shared" si="38"/>
        <v>29759.599999999999</v>
      </c>
    </row>
    <row r="1074" spans="1:15" x14ac:dyDescent="0.2">
      <c r="A1074" s="51">
        <v>43709</v>
      </c>
      <c r="B1074" s="11">
        <v>102</v>
      </c>
      <c r="C1074" s="11" t="s">
        <v>493</v>
      </c>
      <c r="D1074" s="11" t="s">
        <v>494</v>
      </c>
      <c r="F1074" s="11" t="s">
        <v>22</v>
      </c>
      <c r="G1074" s="38">
        <v>2953</v>
      </c>
      <c r="H1074" s="650">
        <v>43728</v>
      </c>
      <c r="I1074" s="126">
        <v>34944.800000000003</v>
      </c>
      <c r="J1074" s="640">
        <f t="shared" si="37"/>
        <v>6290.0640000000003</v>
      </c>
      <c r="K1074" s="54">
        <v>0</v>
      </c>
      <c r="L1074" s="54">
        <v>3145.0320000000002</v>
      </c>
      <c r="M1074" s="54">
        <v>3145.0320000000002</v>
      </c>
      <c r="N1074" s="54"/>
      <c r="O1074" s="54">
        <f t="shared" si="38"/>
        <v>41234.864000000001</v>
      </c>
    </row>
    <row r="1075" spans="1:15" x14ac:dyDescent="0.2">
      <c r="A1075" s="51">
        <v>43709</v>
      </c>
      <c r="B1075" s="11">
        <v>103</v>
      </c>
      <c r="C1075" s="11" t="s">
        <v>517</v>
      </c>
      <c r="D1075" s="11" t="s">
        <v>256</v>
      </c>
      <c r="F1075" s="11" t="s">
        <v>22</v>
      </c>
      <c r="G1075" s="38">
        <v>19617131</v>
      </c>
      <c r="H1075" s="650">
        <v>43727</v>
      </c>
      <c r="I1075" s="126">
        <v>3766.4</v>
      </c>
      <c r="J1075" s="640">
        <f t="shared" si="37"/>
        <v>1054.5920000000001</v>
      </c>
      <c r="K1075" s="54">
        <v>1054.5920000000001</v>
      </c>
      <c r="L1075" s="54">
        <v>0</v>
      </c>
      <c r="M1075" s="54">
        <v>0</v>
      </c>
      <c r="N1075" s="54"/>
      <c r="O1075" s="54">
        <f t="shared" si="38"/>
        <v>4820.9920000000002</v>
      </c>
    </row>
    <row r="1076" spans="1:15" x14ac:dyDescent="0.2">
      <c r="A1076" s="51">
        <v>43709</v>
      </c>
      <c r="B1076" s="11">
        <v>104</v>
      </c>
      <c r="C1076" s="11" t="s">
        <v>493</v>
      </c>
      <c r="D1076" s="11" t="s">
        <v>494</v>
      </c>
      <c r="F1076" s="11" t="s">
        <v>22</v>
      </c>
      <c r="G1076" s="38">
        <v>2968</v>
      </c>
      <c r="H1076" s="650">
        <v>43729</v>
      </c>
      <c r="I1076" s="126">
        <v>30537.1</v>
      </c>
      <c r="J1076" s="640">
        <f t="shared" si="37"/>
        <v>5496.6779999999999</v>
      </c>
      <c r="K1076" s="54">
        <v>0</v>
      </c>
      <c r="L1076" s="54">
        <v>2748.3389999999999</v>
      </c>
      <c r="M1076" s="54">
        <v>2748.3389999999999</v>
      </c>
      <c r="N1076" s="54"/>
      <c r="O1076" s="54">
        <f t="shared" si="38"/>
        <v>36033.777999999998</v>
      </c>
    </row>
    <row r="1077" spans="1:15" x14ac:dyDescent="0.2">
      <c r="A1077" s="51">
        <v>43709</v>
      </c>
      <c r="B1077" s="11">
        <v>105</v>
      </c>
      <c r="C1077" s="11" t="s">
        <v>479</v>
      </c>
      <c r="D1077" s="11" t="s">
        <v>480</v>
      </c>
      <c r="F1077" s="11" t="s">
        <v>22</v>
      </c>
      <c r="G1077" s="38">
        <v>1286</v>
      </c>
      <c r="H1077" s="650">
        <v>43729</v>
      </c>
      <c r="I1077" s="126">
        <v>12000</v>
      </c>
      <c r="J1077" s="640">
        <f t="shared" si="37"/>
        <v>2160</v>
      </c>
      <c r="K1077" s="54">
        <v>0</v>
      </c>
      <c r="L1077" s="54">
        <v>1080</v>
      </c>
      <c r="M1077" s="54">
        <v>1080</v>
      </c>
      <c r="N1077" s="54"/>
      <c r="O1077" s="54">
        <f t="shared" si="38"/>
        <v>14160</v>
      </c>
    </row>
    <row r="1078" spans="1:15" x14ac:dyDescent="0.2">
      <c r="A1078" s="51">
        <v>43709</v>
      </c>
      <c r="B1078" s="11">
        <v>106</v>
      </c>
      <c r="C1078" s="11" t="s">
        <v>511</v>
      </c>
      <c r="D1078" s="11" t="s">
        <v>512</v>
      </c>
      <c r="F1078" s="11" t="s">
        <v>22</v>
      </c>
      <c r="G1078" s="38" t="s">
        <v>987</v>
      </c>
      <c r="H1078" s="650">
        <v>43729</v>
      </c>
      <c r="I1078" s="126">
        <v>8750</v>
      </c>
      <c r="J1078" s="640">
        <f t="shared" si="37"/>
        <v>1575</v>
      </c>
      <c r="K1078" s="54">
        <v>0</v>
      </c>
      <c r="L1078" s="54">
        <v>787.5</v>
      </c>
      <c r="M1078" s="54">
        <v>787.5</v>
      </c>
      <c r="N1078" s="54"/>
      <c r="O1078" s="54">
        <f t="shared" si="38"/>
        <v>10325</v>
      </c>
    </row>
    <row r="1079" spans="1:15" x14ac:dyDescent="0.2">
      <c r="A1079" s="51">
        <v>43709</v>
      </c>
      <c r="B1079" s="11">
        <v>107</v>
      </c>
      <c r="C1079" s="11" t="s">
        <v>527</v>
      </c>
      <c r="D1079" s="11" t="s">
        <v>528</v>
      </c>
      <c r="F1079" s="11" t="s">
        <v>22</v>
      </c>
      <c r="G1079" s="38">
        <v>9330004249</v>
      </c>
      <c r="H1079" s="650">
        <v>43728</v>
      </c>
      <c r="I1079" s="126">
        <v>31968</v>
      </c>
      <c r="J1079" s="640">
        <f t="shared" si="37"/>
        <v>5754.24</v>
      </c>
      <c r="K1079" s="54">
        <v>0</v>
      </c>
      <c r="L1079" s="54">
        <v>2877.12</v>
      </c>
      <c r="M1079" s="54">
        <v>2877.12</v>
      </c>
      <c r="N1079" s="54"/>
      <c r="O1079" s="54">
        <f t="shared" si="38"/>
        <v>37722.239999999998</v>
      </c>
    </row>
    <row r="1080" spans="1:15" x14ac:dyDescent="0.2">
      <c r="A1080" s="51">
        <v>43709</v>
      </c>
      <c r="B1080" s="11">
        <v>108</v>
      </c>
      <c r="C1080" s="11" t="s">
        <v>506</v>
      </c>
      <c r="D1080" s="11" t="s">
        <v>507</v>
      </c>
      <c r="F1080" s="11" t="s">
        <v>22</v>
      </c>
      <c r="G1080" s="38" t="s">
        <v>3378</v>
      </c>
      <c r="H1080" s="650">
        <v>43729</v>
      </c>
      <c r="I1080" s="126">
        <v>21000</v>
      </c>
      <c r="J1080" s="640">
        <f t="shared" si="37"/>
        <v>3780</v>
      </c>
      <c r="K1080" s="54">
        <v>0</v>
      </c>
      <c r="L1080" s="54">
        <v>1890</v>
      </c>
      <c r="M1080" s="54">
        <v>1890</v>
      </c>
      <c r="N1080" s="54"/>
      <c r="O1080" s="54">
        <f t="shared" si="38"/>
        <v>24780</v>
      </c>
    </row>
    <row r="1081" spans="1:15" x14ac:dyDescent="0.2">
      <c r="A1081" s="51">
        <v>43709</v>
      </c>
      <c r="B1081" s="11">
        <v>109</v>
      </c>
      <c r="C1081" s="11" t="s">
        <v>495</v>
      </c>
      <c r="D1081" s="11" t="s">
        <v>74</v>
      </c>
      <c r="F1081" s="11" t="s">
        <v>22</v>
      </c>
      <c r="G1081" s="38">
        <v>5510058228</v>
      </c>
      <c r="H1081" s="650">
        <v>43729</v>
      </c>
      <c r="I1081" s="126">
        <v>500.4</v>
      </c>
      <c r="J1081" s="640">
        <f t="shared" si="37"/>
        <v>90.071999999999989</v>
      </c>
      <c r="K1081" s="54">
        <v>0</v>
      </c>
      <c r="L1081" s="54">
        <v>45.035999999999994</v>
      </c>
      <c r="M1081" s="54">
        <v>45.035999999999994</v>
      </c>
      <c r="N1081" s="54"/>
      <c r="O1081" s="54">
        <f t="shared" si="38"/>
        <v>590.47199999999998</v>
      </c>
    </row>
    <row r="1082" spans="1:15" x14ac:dyDescent="0.2">
      <c r="A1082" s="51">
        <v>43709</v>
      </c>
      <c r="B1082" s="11">
        <v>110</v>
      </c>
      <c r="C1082" s="11" t="s">
        <v>517</v>
      </c>
      <c r="D1082" s="11" t="s">
        <v>256</v>
      </c>
      <c r="F1082" s="11" t="s">
        <v>22</v>
      </c>
      <c r="G1082" s="38">
        <v>19617191</v>
      </c>
      <c r="H1082" s="650">
        <v>43728</v>
      </c>
      <c r="I1082" s="126">
        <v>56242.1</v>
      </c>
      <c r="J1082" s="640">
        <f t="shared" si="37"/>
        <v>15747.787999999999</v>
      </c>
      <c r="K1082" s="54">
        <v>15747.787999999999</v>
      </c>
      <c r="L1082" s="54">
        <v>0</v>
      </c>
      <c r="M1082" s="54">
        <v>0</v>
      </c>
      <c r="N1082" s="54"/>
      <c r="O1082" s="54">
        <f t="shared" si="38"/>
        <v>71989.887999999992</v>
      </c>
    </row>
    <row r="1083" spans="1:15" x14ac:dyDescent="0.2">
      <c r="A1083" s="51">
        <v>43709</v>
      </c>
      <c r="B1083" s="11">
        <v>111</v>
      </c>
      <c r="C1083" s="11" t="s">
        <v>471</v>
      </c>
      <c r="D1083" s="11" t="s">
        <v>29</v>
      </c>
      <c r="F1083" s="11" t="s">
        <v>22</v>
      </c>
      <c r="G1083" s="38">
        <v>192005549</v>
      </c>
      <c r="H1083" s="650">
        <v>43731</v>
      </c>
      <c r="I1083" s="126">
        <v>17483.52</v>
      </c>
      <c r="J1083" s="640">
        <f t="shared" si="37"/>
        <v>4895.3856000000005</v>
      </c>
      <c r="K1083" s="54">
        <v>0</v>
      </c>
      <c r="L1083" s="54">
        <v>2447.6928000000003</v>
      </c>
      <c r="M1083" s="54">
        <v>2447.6928000000003</v>
      </c>
      <c r="N1083" s="54"/>
      <c r="O1083" s="54">
        <f t="shared" si="38"/>
        <v>22378.905600000002</v>
      </c>
    </row>
    <row r="1084" spans="1:15" x14ac:dyDescent="0.2">
      <c r="A1084" s="51">
        <v>43709</v>
      </c>
      <c r="B1084" s="11">
        <v>112</v>
      </c>
      <c r="C1084" s="11" t="s">
        <v>473</v>
      </c>
      <c r="D1084" s="11" t="s">
        <v>41</v>
      </c>
      <c r="F1084" s="11" t="s">
        <v>22</v>
      </c>
      <c r="G1084" s="38" t="s">
        <v>988</v>
      </c>
      <c r="H1084" s="650">
        <v>43731</v>
      </c>
      <c r="I1084" s="126">
        <v>6412</v>
      </c>
      <c r="J1084" s="640">
        <f t="shared" si="37"/>
        <v>1796.0000000000002</v>
      </c>
      <c r="K1084" s="54">
        <v>0</v>
      </c>
      <c r="L1084" s="54">
        <v>898.00000000000011</v>
      </c>
      <c r="M1084" s="54">
        <v>898.00000000000011</v>
      </c>
      <c r="N1084" s="54"/>
      <c r="O1084" s="54">
        <f t="shared" si="38"/>
        <v>8208</v>
      </c>
    </row>
    <row r="1085" spans="1:15" x14ac:dyDescent="0.2">
      <c r="A1085" s="51">
        <v>43709</v>
      </c>
      <c r="B1085" s="11">
        <v>113</v>
      </c>
      <c r="C1085" s="11" t="s">
        <v>473</v>
      </c>
      <c r="D1085" s="11" t="s">
        <v>41</v>
      </c>
      <c r="F1085" s="11" t="s">
        <v>22</v>
      </c>
      <c r="G1085" s="38" t="s">
        <v>989</v>
      </c>
      <c r="H1085" s="650">
        <v>43731</v>
      </c>
      <c r="I1085" s="126">
        <v>6012.8</v>
      </c>
      <c r="J1085" s="640">
        <f t="shared" si="37"/>
        <v>1684.0040000000001</v>
      </c>
      <c r="K1085" s="54">
        <v>0</v>
      </c>
      <c r="L1085" s="54">
        <v>842.00200000000007</v>
      </c>
      <c r="M1085" s="54">
        <v>842.00200000000007</v>
      </c>
      <c r="N1085" s="54"/>
      <c r="O1085" s="54">
        <f t="shared" si="38"/>
        <v>7696.8040000000001</v>
      </c>
    </row>
    <row r="1086" spans="1:15" x14ac:dyDescent="0.2">
      <c r="A1086" s="51">
        <v>43709</v>
      </c>
      <c r="B1086" s="11">
        <v>114</v>
      </c>
      <c r="C1086" s="11" t="s">
        <v>554</v>
      </c>
      <c r="D1086" s="11" t="s">
        <v>555</v>
      </c>
      <c r="F1086" s="11" t="s">
        <v>22</v>
      </c>
      <c r="G1086" s="38">
        <v>12345</v>
      </c>
      <c r="H1086" s="650">
        <v>43729</v>
      </c>
      <c r="I1086" s="126">
        <v>8562</v>
      </c>
      <c r="J1086" s="640">
        <f t="shared" si="37"/>
        <v>2397.36</v>
      </c>
      <c r="K1086" s="54">
        <v>0</v>
      </c>
      <c r="L1086" s="54">
        <v>1198.68</v>
      </c>
      <c r="M1086" s="54">
        <v>1198.68</v>
      </c>
      <c r="N1086" s="54"/>
      <c r="O1086" s="54">
        <f t="shared" si="38"/>
        <v>10959.36</v>
      </c>
    </row>
    <row r="1087" spans="1:15" x14ac:dyDescent="0.2">
      <c r="A1087" s="51">
        <v>43709</v>
      </c>
      <c r="B1087" s="11">
        <v>115</v>
      </c>
      <c r="C1087" s="11" t="s">
        <v>554</v>
      </c>
      <c r="D1087" s="11" t="s">
        <v>555</v>
      </c>
      <c r="F1087" s="11" t="s">
        <v>22</v>
      </c>
      <c r="G1087" s="38">
        <v>12422</v>
      </c>
      <c r="H1087" s="650">
        <v>43732</v>
      </c>
      <c r="I1087" s="126">
        <v>4338</v>
      </c>
      <c r="J1087" s="640">
        <f t="shared" si="37"/>
        <v>1214.6400000000001</v>
      </c>
      <c r="K1087" s="54">
        <v>0</v>
      </c>
      <c r="L1087" s="54">
        <v>607.32000000000005</v>
      </c>
      <c r="M1087" s="54">
        <v>607.32000000000005</v>
      </c>
      <c r="N1087" s="54"/>
      <c r="O1087" s="54">
        <f t="shared" si="38"/>
        <v>5552.64</v>
      </c>
    </row>
    <row r="1088" spans="1:15" x14ac:dyDescent="0.2">
      <c r="A1088" s="51">
        <v>43709</v>
      </c>
      <c r="B1088" s="11">
        <v>116</v>
      </c>
      <c r="C1088" s="11" t="s">
        <v>601</v>
      </c>
      <c r="D1088" s="11" t="s">
        <v>602</v>
      </c>
      <c r="F1088" s="11" t="s">
        <v>22</v>
      </c>
      <c r="G1088" s="38">
        <v>4342</v>
      </c>
      <c r="H1088" s="650">
        <v>43732</v>
      </c>
      <c r="I1088" s="126">
        <v>20433.599999999999</v>
      </c>
      <c r="J1088" s="640">
        <f t="shared" si="37"/>
        <v>5721.4079999999994</v>
      </c>
      <c r="K1088" s="54">
        <v>0</v>
      </c>
      <c r="L1088" s="54">
        <v>2860.7039999999997</v>
      </c>
      <c r="M1088" s="54">
        <v>2860.7039999999997</v>
      </c>
      <c r="N1088" s="54"/>
      <c r="O1088" s="54">
        <f t="shared" si="38"/>
        <v>26155.007999999998</v>
      </c>
    </row>
    <row r="1089" spans="1:15" x14ac:dyDescent="0.2">
      <c r="A1089" s="51">
        <v>43709</v>
      </c>
      <c r="B1089" s="11">
        <v>117</v>
      </c>
      <c r="C1089" s="11" t="s">
        <v>601</v>
      </c>
      <c r="D1089" s="11" t="s">
        <v>602</v>
      </c>
      <c r="F1089" s="11" t="s">
        <v>22</v>
      </c>
      <c r="G1089" s="38">
        <v>4341</v>
      </c>
      <c r="H1089" s="650">
        <v>43732</v>
      </c>
      <c r="I1089" s="126">
        <v>41515.199999999997</v>
      </c>
      <c r="J1089" s="640">
        <f t="shared" si="37"/>
        <v>11624.255999999999</v>
      </c>
      <c r="K1089" s="54">
        <v>0</v>
      </c>
      <c r="L1089" s="54">
        <v>5812.1279999999997</v>
      </c>
      <c r="M1089" s="54">
        <v>5812.1279999999997</v>
      </c>
      <c r="N1089" s="54"/>
      <c r="O1089" s="54">
        <f t="shared" si="38"/>
        <v>53139.455999999998</v>
      </c>
    </row>
    <row r="1090" spans="1:15" x14ac:dyDescent="0.2">
      <c r="A1090" s="51">
        <v>43709</v>
      </c>
      <c r="B1090" s="11">
        <v>118</v>
      </c>
      <c r="C1090" s="11" t="s">
        <v>506</v>
      </c>
      <c r="D1090" s="11" t="s">
        <v>507</v>
      </c>
      <c r="F1090" s="11" t="s">
        <v>22</v>
      </c>
      <c r="G1090" s="38" t="s">
        <v>990</v>
      </c>
      <c r="H1090" s="650">
        <v>43732</v>
      </c>
      <c r="I1090" s="126">
        <v>35000</v>
      </c>
      <c r="J1090" s="640">
        <f t="shared" si="37"/>
        <v>6300</v>
      </c>
      <c r="K1090" s="54">
        <v>0</v>
      </c>
      <c r="L1090" s="54">
        <v>3150</v>
      </c>
      <c r="M1090" s="54">
        <v>3150</v>
      </c>
      <c r="N1090" s="54"/>
      <c r="O1090" s="54">
        <f t="shared" si="38"/>
        <v>41300</v>
      </c>
    </row>
    <row r="1091" spans="1:15" x14ac:dyDescent="0.2">
      <c r="A1091" s="51">
        <v>43709</v>
      </c>
      <c r="B1091" s="11">
        <v>119</v>
      </c>
      <c r="C1091" s="11" t="s">
        <v>506</v>
      </c>
      <c r="D1091" s="11" t="s">
        <v>507</v>
      </c>
      <c r="F1091" s="11" t="s">
        <v>22</v>
      </c>
      <c r="G1091" s="38" t="s">
        <v>991</v>
      </c>
      <c r="H1091" s="650">
        <v>43732</v>
      </c>
      <c r="I1091" s="126">
        <v>9240</v>
      </c>
      <c r="J1091" s="640">
        <f t="shared" si="37"/>
        <v>1663.2</v>
      </c>
      <c r="K1091" s="54">
        <v>0</v>
      </c>
      <c r="L1091" s="54">
        <v>831.6</v>
      </c>
      <c r="M1091" s="54">
        <v>831.6</v>
      </c>
      <c r="N1091" s="54"/>
      <c r="O1091" s="54">
        <f t="shared" si="38"/>
        <v>10903.2</v>
      </c>
    </row>
    <row r="1092" spans="1:15" x14ac:dyDescent="0.2">
      <c r="A1092" s="51">
        <v>43709</v>
      </c>
      <c r="B1092" s="11">
        <v>120</v>
      </c>
      <c r="C1092" s="11" t="s">
        <v>471</v>
      </c>
      <c r="D1092" s="11" t="s">
        <v>29</v>
      </c>
      <c r="F1092" s="11" t="s">
        <v>22</v>
      </c>
      <c r="G1092" s="38">
        <v>192005570</v>
      </c>
      <c r="H1092" s="650">
        <v>43732</v>
      </c>
      <c r="I1092" s="126">
        <v>17483.52</v>
      </c>
      <c r="J1092" s="640">
        <f t="shared" ref="J1092:J1137" si="39">+K1092+L1092+M1092+N1092</f>
        <v>4895.3856000000005</v>
      </c>
      <c r="K1092" s="54">
        <v>0</v>
      </c>
      <c r="L1092" s="54">
        <v>2447.6928000000003</v>
      </c>
      <c r="M1092" s="54">
        <v>2447.6928000000003</v>
      </c>
      <c r="N1092" s="54"/>
      <c r="O1092" s="54">
        <f t="shared" ref="O1092:O1155" si="40">+I1092+J1092</f>
        <v>22378.905600000002</v>
      </c>
    </row>
    <row r="1093" spans="1:15" x14ac:dyDescent="0.2">
      <c r="A1093" s="51">
        <v>43709</v>
      </c>
      <c r="B1093" s="11">
        <v>121</v>
      </c>
      <c r="C1093" s="11" t="s">
        <v>554</v>
      </c>
      <c r="D1093" s="11" t="s">
        <v>555</v>
      </c>
      <c r="F1093" s="11" t="s">
        <v>22</v>
      </c>
      <c r="G1093" s="38">
        <v>12443</v>
      </c>
      <c r="H1093" s="650">
        <v>43733</v>
      </c>
      <c r="I1093" s="126">
        <v>7832.5</v>
      </c>
      <c r="J1093" s="640">
        <f t="shared" si="39"/>
        <v>2193.1</v>
      </c>
      <c r="K1093" s="54">
        <v>0</v>
      </c>
      <c r="L1093" s="54">
        <v>1096.55</v>
      </c>
      <c r="M1093" s="54">
        <v>1096.55</v>
      </c>
      <c r="N1093" s="54"/>
      <c r="O1093" s="54">
        <f t="shared" si="40"/>
        <v>10025.6</v>
      </c>
    </row>
    <row r="1094" spans="1:15" x14ac:dyDescent="0.2">
      <c r="A1094" s="51">
        <v>43709</v>
      </c>
      <c r="B1094" s="11">
        <v>122</v>
      </c>
      <c r="C1094" s="11" t="s">
        <v>471</v>
      </c>
      <c r="D1094" s="11" t="s">
        <v>29</v>
      </c>
      <c r="F1094" s="11" t="s">
        <v>22</v>
      </c>
      <c r="G1094" s="38">
        <v>192005603</v>
      </c>
      <c r="H1094" s="650">
        <v>43733</v>
      </c>
      <c r="I1094" s="126">
        <v>17483.52</v>
      </c>
      <c r="J1094" s="640">
        <f t="shared" si="39"/>
        <v>4895.3856000000005</v>
      </c>
      <c r="K1094" s="54">
        <v>0</v>
      </c>
      <c r="L1094" s="54">
        <v>2447.6928000000003</v>
      </c>
      <c r="M1094" s="54">
        <v>2447.6928000000003</v>
      </c>
      <c r="N1094" s="54"/>
      <c r="O1094" s="54">
        <f t="shared" si="40"/>
        <v>22378.905600000002</v>
      </c>
    </row>
    <row r="1095" spans="1:15" x14ac:dyDescent="0.2">
      <c r="A1095" s="51">
        <v>43709</v>
      </c>
      <c r="B1095" s="11">
        <v>123</v>
      </c>
      <c r="C1095" s="11" t="s">
        <v>471</v>
      </c>
      <c r="D1095" s="11" t="s">
        <v>29</v>
      </c>
      <c r="F1095" s="11" t="s">
        <v>22</v>
      </c>
      <c r="G1095" s="38">
        <v>192005638</v>
      </c>
      <c r="H1095" s="650">
        <v>43734</v>
      </c>
      <c r="I1095" s="126">
        <v>17483.52</v>
      </c>
      <c r="J1095" s="640">
        <f t="shared" si="39"/>
        <v>4895.3856000000005</v>
      </c>
      <c r="K1095" s="54">
        <v>0</v>
      </c>
      <c r="L1095" s="54">
        <v>2447.6928000000003</v>
      </c>
      <c r="M1095" s="54">
        <v>2447.6928000000003</v>
      </c>
      <c r="N1095" s="54"/>
      <c r="O1095" s="54">
        <f t="shared" si="40"/>
        <v>22378.905600000002</v>
      </c>
    </row>
    <row r="1096" spans="1:15" x14ac:dyDescent="0.2">
      <c r="A1096" s="51">
        <v>43709</v>
      </c>
      <c r="B1096" s="11">
        <v>124</v>
      </c>
      <c r="C1096" s="11" t="s">
        <v>473</v>
      </c>
      <c r="D1096" s="11" t="s">
        <v>41</v>
      </c>
      <c r="F1096" s="11" t="s">
        <v>22</v>
      </c>
      <c r="G1096" s="38" t="s">
        <v>992</v>
      </c>
      <c r="H1096" s="650">
        <v>43734</v>
      </c>
      <c r="I1096" s="126">
        <v>10442.700000000001</v>
      </c>
      <c r="J1096" s="640">
        <f t="shared" si="39"/>
        <v>2923.9960000000001</v>
      </c>
      <c r="K1096" s="54">
        <v>0</v>
      </c>
      <c r="L1096" s="54">
        <v>1461.998</v>
      </c>
      <c r="M1096" s="54">
        <v>1461.998</v>
      </c>
      <c r="N1096" s="54"/>
      <c r="O1096" s="54">
        <f t="shared" si="40"/>
        <v>13366.696</v>
      </c>
    </row>
    <row r="1097" spans="1:15" x14ac:dyDescent="0.2">
      <c r="A1097" s="51">
        <v>43709</v>
      </c>
      <c r="B1097" s="11">
        <v>125</v>
      </c>
      <c r="C1097" s="11" t="s">
        <v>517</v>
      </c>
      <c r="D1097" s="11" t="s">
        <v>256</v>
      </c>
      <c r="F1097" s="11" t="s">
        <v>22</v>
      </c>
      <c r="G1097" s="38">
        <v>19617464</v>
      </c>
      <c r="H1097" s="650">
        <v>43732</v>
      </c>
      <c r="I1097" s="126">
        <v>44915</v>
      </c>
      <c r="J1097" s="640">
        <f t="shared" si="39"/>
        <v>12576.199999999999</v>
      </c>
      <c r="K1097" s="54">
        <v>12576.199999999999</v>
      </c>
      <c r="L1097" s="54">
        <v>0</v>
      </c>
      <c r="M1097" s="54">
        <v>0</v>
      </c>
      <c r="N1097" s="54"/>
      <c r="O1097" s="54">
        <f t="shared" si="40"/>
        <v>57491.199999999997</v>
      </c>
    </row>
    <row r="1098" spans="1:15" x14ac:dyDescent="0.2">
      <c r="A1098" s="51">
        <v>43709</v>
      </c>
      <c r="B1098" s="11">
        <v>126</v>
      </c>
      <c r="C1098" s="11" t="s">
        <v>556</v>
      </c>
      <c r="D1098" s="11" t="s">
        <v>557</v>
      </c>
      <c r="F1098" s="11" t="s">
        <v>22</v>
      </c>
      <c r="G1098" s="38" t="s">
        <v>993</v>
      </c>
      <c r="H1098" s="650">
        <v>43733</v>
      </c>
      <c r="I1098" s="126">
        <v>96140</v>
      </c>
      <c r="J1098" s="640">
        <f t="shared" si="39"/>
        <v>17306</v>
      </c>
      <c r="K1098" s="54">
        <v>0</v>
      </c>
      <c r="L1098" s="54">
        <v>8653</v>
      </c>
      <c r="M1098" s="54">
        <v>8653</v>
      </c>
      <c r="N1098" s="54"/>
      <c r="O1098" s="54">
        <f t="shared" si="40"/>
        <v>113446</v>
      </c>
    </row>
    <row r="1099" spans="1:15" x14ac:dyDescent="0.2">
      <c r="A1099" s="51">
        <v>43709</v>
      </c>
      <c r="B1099" s="11">
        <v>127</v>
      </c>
      <c r="C1099" s="11" t="s">
        <v>514</v>
      </c>
      <c r="D1099" s="11" t="s">
        <v>515</v>
      </c>
      <c r="F1099" s="11" t="s">
        <v>22</v>
      </c>
      <c r="G1099" s="38" t="s">
        <v>994</v>
      </c>
      <c r="H1099" s="650">
        <v>43717</v>
      </c>
      <c r="I1099" s="126">
        <v>436.44</v>
      </c>
      <c r="J1099" s="640">
        <f t="shared" si="39"/>
        <v>78.559200000000004</v>
      </c>
      <c r="K1099" s="54">
        <v>0</v>
      </c>
      <c r="L1099" s="54">
        <v>39.279600000000002</v>
      </c>
      <c r="M1099" s="54">
        <v>39.279600000000002</v>
      </c>
      <c r="N1099" s="54"/>
      <c r="O1099" s="54">
        <f t="shared" si="40"/>
        <v>514.99919999999997</v>
      </c>
    </row>
    <row r="1100" spans="1:15" x14ac:dyDescent="0.2">
      <c r="A1100" s="51">
        <v>43709</v>
      </c>
      <c r="B1100" s="11">
        <v>128</v>
      </c>
      <c r="C1100" s="11" t="s">
        <v>514</v>
      </c>
      <c r="D1100" s="11" t="s">
        <v>515</v>
      </c>
      <c r="F1100" s="11" t="s">
        <v>22</v>
      </c>
      <c r="G1100" s="38" t="s">
        <v>995</v>
      </c>
      <c r="H1100" s="650">
        <v>43717</v>
      </c>
      <c r="I1100" s="126">
        <v>2725</v>
      </c>
      <c r="J1100" s="640">
        <f t="shared" si="39"/>
        <v>490.5</v>
      </c>
      <c r="K1100" s="54">
        <v>0</v>
      </c>
      <c r="L1100" s="54">
        <v>245.25</v>
      </c>
      <c r="M1100" s="54">
        <v>245.25</v>
      </c>
      <c r="N1100" s="54"/>
      <c r="O1100" s="54">
        <f t="shared" si="40"/>
        <v>3215.5</v>
      </c>
    </row>
    <row r="1101" spans="1:15" x14ac:dyDescent="0.2">
      <c r="A1101" s="51">
        <v>43709</v>
      </c>
      <c r="B1101" s="11">
        <v>129</v>
      </c>
      <c r="C1101" s="11" t="s">
        <v>551</v>
      </c>
      <c r="D1101" s="11" t="s">
        <v>552</v>
      </c>
      <c r="F1101" s="11" t="s">
        <v>22</v>
      </c>
      <c r="G1101" s="38" t="s">
        <v>996</v>
      </c>
      <c r="H1101" s="650">
        <v>43735</v>
      </c>
      <c r="I1101" s="126">
        <v>950</v>
      </c>
      <c r="J1101" s="640">
        <f t="shared" si="39"/>
        <v>171</v>
      </c>
      <c r="K1101" s="54">
        <v>0</v>
      </c>
      <c r="L1101" s="54">
        <v>85.5</v>
      </c>
      <c r="M1101" s="54">
        <v>85.5</v>
      </c>
      <c r="N1101" s="54"/>
      <c r="O1101" s="54">
        <f t="shared" si="40"/>
        <v>1121</v>
      </c>
    </row>
    <row r="1102" spans="1:15" x14ac:dyDescent="0.2">
      <c r="A1102" s="51">
        <v>43709</v>
      </c>
      <c r="B1102" s="11">
        <v>130</v>
      </c>
      <c r="C1102" s="11" t="s">
        <v>479</v>
      </c>
      <c r="D1102" s="11" t="s">
        <v>480</v>
      </c>
      <c r="F1102" s="11" t="s">
        <v>22</v>
      </c>
      <c r="G1102" s="38">
        <v>1300</v>
      </c>
      <c r="H1102" s="650">
        <v>43735</v>
      </c>
      <c r="I1102" s="126">
        <v>7400.1</v>
      </c>
      <c r="J1102" s="640">
        <f t="shared" si="39"/>
        <v>1332.018</v>
      </c>
      <c r="K1102" s="54">
        <v>0</v>
      </c>
      <c r="L1102" s="54">
        <v>666.00900000000001</v>
      </c>
      <c r="M1102" s="54">
        <v>666.00900000000001</v>
      </c>
      <c r="N1102" s="54"/>
      <c r="O1102" s="54">
        <f t="shared" si="40"/>
        <v>8732.1180000000004</v>
      </c>
    </row>
    <row r="1103" spans="1:15" x14ac:dyDescent="0.2">
      <c r="A1103" s="51">
        <v>43709</v>
      </c>
      <c r="B1103" s="11">
        <v>131</v>
      </c>
      <c r="C1103" s="11" t="s">
        <v>900</v>
      </c>
      <c r="D1103" s="11" t="s">
        <v>901</v>
      </c>
      <c r="F1103" s="11" t="s">
        <v>22</v>
      </c>
      <c r="G1103" s="38" t="s">
        <v>997</v>
      </c>
      <c r="H1103" s="650">
        <v>43704</v>
      </c>
      <c r="I1103" s="126">
        <v>5175</v>
      </c>
      <c r="J1103" s="640">
        <f t="shared" si="39"/>
        <v>931.5</v>
      </c>
      <c r="K1103" s="54">
        <v>0</v>
      </c>
      <c r="L1103" s="54">
        <v>465.75</v>
      </c>
      <c r="M1103" s="54">
        <v>465.75</v>
      </c>
      <c r="N1103" s="54"/>
      <c r="O1103" s="54">
        <f t="shared" si="40"/>
        <v>6106.5</v>
      </c>
    </row>
    <row r="1104" spans="1:15" x14ac:dyDescent="0.2">
      <c r="A1104" s="51">
        <v>43709</v>
      </c>
      <c r="B1104" s="11">
        <v>132</v>
      </c>
      <c r="C1104" s="11" t="s">
        <v>634</v>
      </c>
      <c r="D1104" s="11" t="s">
        <v>635</v>
      </c>
      <c r="F1104" s="11" t="s">
        <v>22</v>
      </c>
      <c r="G1104" s="38" t="s">
        <v>998</v>
      </c>
      <c r="H1104" s="650">
        <v>43735</v>
      </c>
      <c r="I1104" s="126">
        <v>3120</v>
      </c>
      <c r="J1104" s="640">
        <f t="shared" si="39"/>
        <v>374.4</v>
      </c>
      <c r="K1104" s="54">
        <v>0</v>
      </c>
      <c r="L1104" s="54">
        <v>187.2</v>
      </c>
      <c r="M1104" s="54">
        <v>187.2</v>
      </c>
      <c r="N1104" s="54"/>
      <c r="O1104" s="54">
        <f t="shared" si="40"/>
        <v>3494.4</v>
      </c>
    </row>
    <row r="1105" spans="1:15" x14ac:dyDescent="0.2">
      <c r="A1105" s="51">
        <v>43709</v>
      </c>
      <c r="B1105" s="11">
        <v>133</v>
      </c>
      <c r="C1105" s="11" t="s">
        <v>999</v>
      </c>
      <c r="D1105" s="11" t="s">
        <v>1000</v>
      </c>
      <c r="F1105" s="11" t="s">
        <v>22</v>
      </c>
      <c r="G1105" s="38">
        <v>227</v>
      </c>
      <c r="H1105" s="650">
        <v>43736</v>
      </c>
      <c r="I1105" s="126">
        <v>3120</v>
      </c>
      <c r="J1105" s="640">
        <f t="shared" si="39"/>
        <v>374.4</v>
      </c>
      <c r="K1105" s="54">
        <v>0</v>
      </c>
      <c r="L1105" s="54">
        <v>187.2</v>
      </c>
      <c r="M1105" s="54">
        <v>187.2</v>
      </c>
      <c r="N1105" s="54"/>
      <c r="O1105" s="54">
        <f t="shared" si="40"/>
        <v>3494.4</v>
      </c>
    </row>
    <row r="1106" spans="1:15" x14ac:dyDescent="0.2">
      <c r="A1106" s="51">
        <v>43709</v>
      </c>
      <c r="B1106" s="11">
        <v>134</v>
      </c>
      <c r="C1106" s="11" t="s">
        <v>1001</v>
      </c>
      <c r="D1106" s="11" t="s">
        <v>1002</v>
      </c>
      <c r="F1106" s="11" t="s">
        <v>22</v>
      </c>
      <c r="G1106" s="38" t="s">
        <v>1003</v>
      </c>
      <c r="H1106" s="650">
        <v>43732</v>
      </c>
      <c r="I1106" s="126">
        <v>3120</v>
      </c>
      <c r="J1106" s="640">
        <f t="shared" si="39"/>
        <v>374.4</v>
      </c>
      <c r="K1106" s="54">
        <v>0</v>
      </c>
      <c r="L1106" s="54">
        <v>187.2</v>
      </c>
      <c r="M1106" s="54">
        <v>187.2</v>
      </c>
      <c r="N1106" s="54"/>
      <c r="O1106" s="54">
        <f t="shared" si="40"/>
        <v>3494.4</v>
      </c>
    </row>
    <row r="1107" spans="1:15" x14ac:dyDescent="0.2">
      <c r="A1107" s="51">
        <v>43709</v>
      </c>
      <c r="B1107" s="11">
        <v>135</v>
      </c>
      <c r="C1107" s="11" t="s">
        <v>1004</v>
      </c>
      <c r="D1107" s="11" t="s">
        <v>1005</v>
      </c>
      <c r="F1107" s="11" t="s">
        <v>22</v>
      </c>
      <c r="G1107" s="38" t="s">
        <v>1006</v>
      </c>
      <c r="H1107" s="650">
        <v>43736</v>
      </c>
      <c r="I1107" s="126">
        <v>3120</v>
      </c>
      <c r="J1107" s="640">
        <f t="shared" si="39"/>
        <v>374.4</v>
      </c>
      <c r="K1107" s="54">
        <v>0</v>
      </c>
      <c r="L1107" s="54">
        <v>187.2</v>
      </c>
      <c r="M1107" s="54">
        <v>187.2</v>
      </c>
      <c r="N1107" s="54"/>
      <c r="O1107" s="54">
        <f t="shared" si="40"/>
        <v>3494.4</v>
      </c>
    </row>
    <row r="1108" spans="1:15" x14ac:dyDescent="0.2">
      <c r="A1108" s="51">
        <v>43709</v>
      </c>
      <c r="B1108" s="11">
        <v>136</v>
      </c>
      <c r="C1108" s="11" t="s">
        <v>634</v>
      </c>
      <c r="D1108" s="11" t="s">
        <v>635</v>
      </c>
      <c r="F1108" s="11" t="s">
        <v>22</v>
      </c>
      <c r="G1108" s="38" t="s">
        <v>1007</v>
      </c>
      <c r="H1108" s="650">
        <v>43736</v>
      </c>
      <c r="I1108" s="126">
        <v>3030</v>
      </c>
      <c r="J1108" s="640">
        <f t="shared" si="39"/>
        <v>363.6</v>
      </c>
      <c r="K1108" s="54">
        <v>0</v>
      </c>
      <c r="L1108" s="54">
        <v>181.8</v>
      </c>
      <c r="M1108" s="54">
        <v>181.8</v>
      </c>
      <c r="N1108" s="54"/>
      <c r="O1108" s="54">
        <f t="shared" si="40"/>
        <v>3393.6</v>
      </c>
    </row>
    <row r="1109" spans="1:15" x14ac:dyDescent="0.2">
      <c r="A1109" s="51">
        <v>43709</v>
      </c>
      <c r="B1109" s="11">
        <v>137</v>
      </c>
      <c r="C1109" s="11" t="s">
        <v>489</v>
      </c>
      <c r="D1109" s="11" t="s">
        <v>490</v>
      </c>
      <c r="F1109" s="11" t="s">
        <v>22</v>
      </c>
      <c r="G1109" s="38">
        <v>7887989175</v>
      </c>
      <c r="H1109" s="650">
        <v>43736</v>
      </c>
      <c r="I1109" s="126">
        <v>40400</v>
      </c>
      <c r="J1109" s="640">
        <f t="shared" si="39"/>
        <v>7272</v>
      </c>
      <c r="K1109" s="54">
        <v>0</v>
      </c>
      <c r="L1109" s="54">
        <v>3636</v>
      </c>
      <c r="M1109" s="54">
        <v>3636</v>
      </c>
      <c r="N1109" s="54"/>
      <c r="O1109" s="54">
        <f t="shared" si="40"/>
        <v>47672</v>
      </c>
    </row>
    <row r="1110" spans="1:15" x14ac:dyDescent="0.2">
      <c r="A1110" s="51">
        <v>43709</v>
      </c>
      <c r="B1110" s="11">
        <v>138</v>
      </c>
      <c r="C1110" s="11" t="s">
        <v>514</v>
      </c>
      <c r="D1110" s="11" t="s">
        <v>515</v>
      </c>
      <c r="F1110" s="11" t="s">
        <v>22</v>
      </c>
      <c r="G1110" s="38" t="s">
        <v>1008</v>
      </c>
      <c r="H1110" s="650">
        <v>43728</v>
      </c>
      <c r="I1110" s="126">
        <v>3888.44</v>
      </c>
      <c r="J1110" s="640">
        <f t="shared" si="39"/>
        <v>699.91920000000005</v>
      </c>
      <c r="K1110" s="54">
        <v>0</v>
      </c>
      <c r="L1110" s="54">
        <v>349.95960000000002</v>
      </c>
      <c r="M1110" s="54">
        <v>349.95960000000002</v>
      </c>
      <c r="N1110" s="54"/>
      <c r="O1110" s="54">
        <f t="shared" si="40"/>
        <v>4588.3591999999999</v>
      </c>
    </row>
    <row r="1111" spans="1:15" x14ac:dyDescent="0.2">
      <c r="A1111" s="51">
        <v>43709</v>
      </c>
      <c r="B1111" s="11">
        <v>139</v>
      </c>
      <c r="C1111" s="11" t="s">
        <v>102</v>
      </c>
      <c r="D1111" s="11" t="s">
        <v>103</v>
      </c>
      <c r="F1111" s="11" t="s">
        <v>22</v>
      </c>
      <c r="G1111" s="38" t="s">
        <v>1009</v>
      </c>
      <c r="H1111" s="650">
        <v>43634</v>
      </c>
      <c r="I1111" s="126">
        <v>4061.74</v>
      </c>
      <c r="J1111" s="640">
        <f t="shared" si="39"/>
        <v>1137.2872</v>
      </c>
      <c r="K1111" s="54">
        <v>1137.2872</v>
      </c>
      <c r="L1111" s="54">
        <v>0</v>
      </c>
      <c r="M1111" s="54">
        <v>0</v>
      </c>
      <c r="N1111" s="54"/>
      <c r="O1111" s="54">
        <f t="shared" si="40"/>
        <v>5199.0271999999995</v>
      </c>
    </row>
    <row r="1112" spans="1:15" x14ac:dyDescent="0.2">
      <c r="A1112" s="51">
        <v>43709</v>
      </c>
      <c r="B1112" s="11">
        <v>140</v>
      </c>
      <c r="C1112" s="11" t="s">
        <v>102</v>
      </c>
      <c r="D1112" s="11" t="s">
        <v>103</v>
      </c>
      <c r="F1112" s="11" t="s">
        <v>22</v>
      </c>
      <c r="G1112" s="38" t="s">
        <v>1010</v>
      </c>
      <c r="H1112" s="650">
        <v>43726</v>
      </c>
      <c r="I1112" s="126">
        <v>2021.5</v>
      </c>
      <c r="J1112" s="640">
        <f t="shared" si="39"/>
        <v>566.02</v>
      </c>
      <c r="K1112" s="54">
        <v>566.02</v>
      </c>
      <c r="L1112" s="54">
        <v>0</v>
      </c>
      <c r="M1112" s="54">
        <v>0</v>
      </c>
      <c r="N1112" s="54"/>
      <c r="O1112" s="54">
        <f t="shared" si="40"/>
        <v>2587.52</v>
      </c>
    </row>
    <row r="1113" spans="1:15" x14ac:dyDescent="0.2">
      <c r="A1113" s="51">
        <v>43709</v>
      </c>
      <c r="B1113" s="11">
        <v>141</v>
      </c>
      <c r="C1113" s="11" t="s">
        <v>102</v>
      </c>
      <c r="D1113" s="11" t="s">
        <v>103</v>
      </c>
      <c r="F1113" s="11" t="s">
        <v>22</v>
      </c>
      <c r="G1113" s="38" t="s">
        <v>1011</v>
      </c>
      <c r="H1113" s="650">
        <v>43726</v>
      </c>
      <c r="I1113" s="126">
        <v>2021.5</v>
      </c>
      <c r="J1113" s="640">
        <f t="shared" si="39"/>
        <v>566.02</v>
      </c>
      <c r="K1113" s="54">
        <v>566.02</v>
      </c>
      <c r="L1113" s="54">
        <v>0</v>
      </c>
      <c r="M1113" s="54">
        <v>0</v>
      </c>
      <c r="N1113" s="54"/>
      <c r="O1113" s="54">
        <f t="shared" si="40"/>
        <v>2587.52</v>
      </c>
    </row>
    <row r="1114" spans="1:15" x14ac:dyDescent="0.2">
      <c r="A1114" s="51">
        <v>43709</v>
      </c>
      <c r="B1114" s="11">
        <v>142</v>
      </c>
      <c r="C1114" s="11" t="s">
        <v>102</v>
      </c>
      <c r="D1114" s="11" t="s">
        <v>103</v>
      </c>
      <c r="F1114" s="11" t="s">
        <v>22</v>
      </c>
      <c r="G1114" s="38" t="s">
        <v>1012</v>
      </c>
      <c r="H1114" s="650">
        <v>43726</v>
      </c>
      <c r="I1114" s="126">
        <v>2021.5</v>
      </c>
      <c r="J1114" s="640">
        <f t="shared" si="39"/>
        <v>566.02</v>
      </c>
      <c r="K1114" s="54">
        <v>566.02</v>
      </c>
      <c r="L1114" s="54">
        <v>0</v>
      </c>
      <c r="M1114" s="54">
        <v>0</v>
      </c>
      <c r="N1114" s="54"/>
      <c r="O1114" s="54">
        <f t="shared" si="40"/>
        <v>2587.52</v>
      </c>
    </row>
    <row r="1115" spans="1:15" x14ac:dyDescent="0.2">
      <c r="A1115" s="51">
        <v>43709</v>
      </c>
      <c r="B1115" s="11">
        <v>143</v>
      </c>
      <c r="C1115" s="11" t="s">
        <v>102</v>
      </c>
      <c r="D1115" s="11" t="s">
        <v>103</v>
      </c>
      <c r="F1115" s="11" t="s">
        <v>22</v>
      </c>
      <c r="G1115" s="38" t="s">
        <v>1013</v>
      </c>
      <c r="H1115" s="650">
        <v>43726</v>
      </c>
      <c r="I1115" s="126">
        <v>2030.87</v>
      </c>
      <c r="J1115" s="640">
        <f t="shared" si="39"/>
        <v>568.64359999999999</v>
      </c>
      <c r="K1115" s="54">
        <v>568.64359999999999</v>
      </c>
      <c r="L1115" s="54">
        <v>0</v>
      </c>
      <c r="M1115" s="54">
        <v>0</v>
      </c>
      <c r="N1115" s="54"/>
      <c r="O1115" s="54">
        <f t="shared" si="40"/>
        <v>2599.5135999999998</v>
      </c>
    </row>
    <row r="1116" spans="1:15" x14ac:dyDescent="0.2">
      <c r="A1116" s="51">
        <v>43709</v>
      </c>
      <c r="B1116" s="11">
        <v>144</v>
      </c>
      <c r="C1116" s="11" t="s">
        <v>102</v>
      </c>
      <c r="D1116" s="11" t="s">
        <v>103</v>
      </c>
      <c r="F1116" s="11" t="s">
        <v>22</v>
      </c>
      <c r="G1116" s="38" t="s">
        <v>1014</v>
      </c>
      <c r="H1116" s="650">
        <v>43728</v>
      </c>
      <c r="I1116" s="126">
        <v>4043</v>
      </c>
      <c r="J1116" s="640">
        <f t="shared" si="39"/>
        <v>1132.04</v>
      </c>
      <c r="K1116" s="54">
        <v>1132.04</v>
      </c>
      <c r="L1116" s="54">
        <v>0</v>
      </c>
      <c r="M1116" s="54">
        <v>0</v>
      </c>
      <c r="N1116" s="54"/>
      <c r="O1116" s="54">
        <f t="shared" si="40"/>
        <v>5175.04</v>
      </c>
    </row>
    <row r="1117" spans="1:15" x14ac:dyDescent="0.2">
      <c r="A1117" s="51">
        <v>43709</v>
      </c>
      <c r="B1117" s="11">
        <v>145</v>
      </c>
      <c r="C1117" s="11" t="s">
        <v>102</v>
      </c>
      <c r="D1117" s="11" t="s">
        <v>103</v>
      </c>
      <c r="F1117" s="11" t="s">
        <v>22</v>
      </c>
      <c r="G1117" s="38" t="s">
        <v>1015</v>
      </c>
      <c r="H1117" s="650">
        <v>43733</v>
      </c>
      <c r="I1117" s="126">
        <v>4043</v>
      </c>
      <c r="J1117" s="640">
        <f t="shared" si="39"/>
        <v>1132.04</v>
      </c>
      <c r="K1117" s="54">
        <v>1132.04</v>
      </c>
      <c r="L1117" s="54">
        <v>0</v>
      </c>
      <c r="M1117" s="54">
        <v>0</v>
      </c>
      <c r="N1117" s="54"/>
      <c r="O1117" s="54">
        <f t="shared" si="40"/>
        <v>5175.04</v>
      </c>
    </row>
    <row r="1118" spans="1:15" x14ac:dyDescent="0.2">
      <c r="A1118" s="51">
        <v>43709</v>
      </c>
      <c r="B1118" s="11">
        <v>146</v>
      </c>
      <c r="C1118" s="11" t="s">
        <v>102</v>
      </c>
      <c r="D1118" s="11" t="s">
        <v>103</v>
      </c>
      <c r="F1118" s="11" t="s">
        <v>22</v>
      </c>
      <c r="G1118" s="38" t="s">
        <v>1016</v>
      </c>
      <c r="H1118" s="650">
        <v>43736</v>
      </c>
      <c r="I1118" s="126">
        <v>651.41999999999996</v>
      </c>
      <c r="J1118" s="640">
        <f t="shared" si="39"/>
        <v>182.39759999999998</v>
      </c>
      <c r="K1118" s="54">
        <v>182.39759999999998</v>
      </c>
      <c r="L1118" s="54">
        <v>0</v>
      </c>
      <c r="M1118" s="54">
        <v>0</v>
      </c>
      <c r="N1118" s="54"/>
      <c r="O1118" s="54">
        <f t="shared" si="40"/>
        <v>833.81759999999997</v>
      </c>
    </row>
    <row r="1119" spans="1:15" x14ac:dyDescent="0.2">
      <c r="A1119" s="51">
        <v>43709</v>
      </c>
      <c r="B1119" s="11">
        <v>147</v>
      </c>
      <c r="C1119" s="11" t="s">
        <v>102</v>
      </c>
      <c r="D1119" s="11" t="s">
        <v>103</v>
      </c>
      <c r="F1119" s="11" t="s">
        <v>22</v>
      </c>
      <c r="G1119" s="38" t="s">
        <v>1017</v>
      </c>
      <c r="H1119" s="650">
        <v>43736</v>
      </c>
      <c r="I1119" s="126">
        <v>2030.87</v>
      </c>
      <c r="J1119" s="640">
        <f t="shared" si="39"/>
        <v>568.64359999999999</v>
      </c>
      <c r="K1119" s="54">
        <v>568.64359999999999</v>
      </c>
      <c r="L1119" s="54">
        <v>0</v>
      </c>
      <c r="M1119" s="54">
        <v>0</v>
      </c>
      <c r="N1119" s="54"/>
      <c r="O1119" s="54">
        <f t="shared" si="40"/>
        <v>2599.5135999999998</v>
      </c>
    </row>
    <row r="1120" spans="1:15" x14ac:dyDescent="0.2">
      <c r="A1120" s="51">
        <v>43709</v>
      </c>
      <c r="B1120" s="11">
        <v>148</v>
      </c>
      <c r="C1120" s="11" t="s">
        <v>517</v>
      </c>
      <c r="D1120" s="11" t="s">
        <v>256</v>
      </c>
      <c r="F1120" s="11" t="s">
        <v>22</v>
      </c>
      <c r="G1120" s="38">
        <v>19618907</v>
      </c>
      <c r="H1120" s="650">
        <v>43736</v>
      </c>
      <c r="I1120" s="126">
        <v>6390</v>
      </c>
      <c r="J1120" s="640">
        <f t="shared" si="39"/>
        <v>1789.2</v>
      </c>
      <c r="K1120" s="54">
        <v>1789.2</v>
      </c>
      <c r="L1120" s="54">
        <v>0</v>
      </c>
      <c r="M1120" s="54">
        <v>0</v>
      </c>
      <c r="N1120" s="54"/>
      <c r="O1120" s="54">
        <f t="shared" si="40"/>
        <v>8179.2</v>
      </c>
    </row>
    <row r="1121" spans="1:15" x14ac:dyDescent="0.2">
      <c r="A1121" s="51">
        <v>43709</v>
      </c>
      <c r="B1121" s="11">
        <v>149</v>
      </c>
      <c r="C1121" s="11" t="s">
        <v>517</v>
      </c>
      <c r="D1121" s="11" t="s">
        <v>256</v>
      </c>
      <c r="F1121" s="11" t="s">
        <v>22</v>
      </c>
      <c r="G1121" s="38">
        <v>19618908</v>
      </c>
      <c r="H1121" s="650">
        <v>43736</v>
      </c>
      <c r="I1121" s="126">
        <v>19115.759999999998</v>
      </c>
      <c r="J1121" s="640">
        <f t="shared" si="39"/>
        <v>5352.4127999999992</v>
      </c>
      <c r="K1121" s="54">
        <v>5352.4127999999992</v>
      </c>
      <c r="L1121" s="54">
        <v>0</v>
      </c>
      <c r="M1121" s="54">
        <v>0</v>
      </c>
      <c r="N1121" s="54"/>
      <c r="O1121" s="54">
        <f t="shared" si="40"/>
        <v>24468.172799999997</v>
      </c>
    </row>
    <row r="1122" spans="1:15" x14ac:dyDescent="0.2">
      <c r="A1122" s="51">
        <v>43709</v>
      </c>
      <c r="B1122" s="11">
        <v>150</v>
      </c>
      <c r="C1122" s="11" t="s">
        <v>629</v>
      </c>
      <c r="D1122" s="11" t="s">
        <v>630</v>
      </c>
      <c r="F1122" s="11" t="s">
        <v>22</v>
      </c>
      <c r="G1122" s="38">
        <v>475</v>
      </c>
      <c r="H1122" s="650">
        <v>43731</v>
      </c>
      <c r="I1122" s="126">
        <v>600</v>
      </c>
      <c r="J1122" s="640">
        <f t="shared" si="39"/>
        <v>108</v>
      </c>
      <c r="K1122" s="54">
        <v>0</v>
      </c>
      <c r="L1122" s="54">
        <v>54</v>
      </c>
      <c r="M1122" s="54">
        <v>54</v>
      </c>
      <c r="N1122" s="54"/>
      <c r="O1122" s="54">
        <f t="shared" si="40"/>
        <v>708</v>
      </c>
    </row>
    <row r="1123" spans="1:15" x14ac:dyDescent="0.2">
      <c r="A1123" s="51">
        <v>43709</v>
      </c>
      <c r="B1123" s="11">
        <v>151</v>
      </c>
      <c r="C1123" s="11" t="s">
        <v>673</v>
      </c>
      <c r="D1123" s="11" t="s">
        <v>674</v>
      </c>
      <c r="F1123" s="11" t="s">
        <v>22</v>
      </c>
      <c r="G1123" s="38" t="s">
        <v>1018</v>
      </c>
      <c r="H1123" s="650">
        <v>43738</v>
      </c>
      <c r="I1123" s="126">
        <v>20545</v>
      </c>
      <c r="J1123" s="640">
        <f t="shared" si="39"/>
        <v>3698</v>
      </c>
      <c r="K1123" s="54">
        <v>0</v>
      </c>
      <c r="L1123" s="54">
        <v>1849</v>
      </c>
      <c r="M1123" s="54">
        <v>1849</v>
      </c>
      <c r="N1123" s="54"/>
      <c r="O1123" s="54">
        <f t="shared" si="40"/>
        <v>24243</v>
      </c>
    </row>
    <row r="1124" spans="1:15" x14ac:dyDescent="0.2">
      <c r="A1124" s="51">
        <v>43709</v>
      </c>
      <c r="B1124" s="11">
        <v>152</v>
      </c>
      <c r="C1124" s="11" t="s">
        <v>673</v>
      </c>
      <c r="D1124" s="11" t="s">
        <v>674</v>
      </c>
      <c r="F1124" s="11" t="s">
        <v>22</v>
      </c>
      <c r="G1124" s="38" t="s">
        <v>3584</v>
      </c>
      <c r="H1124" s="650">
        <v>43738</v>
      </c>
      <c r="I1124" s="126">
        <v>19740</v>
      </c>
      <c r="J1124" s="640">
        <f t="shared" si="39"/>
        <v>3554.0000000000005</v>
      </c>
      <c r="K1124" s="54">
        <v>0</v>
      </c>
      <c r="L1124" s="54">
        <v>1777.0000000000002</v>
      </c>
      <c r="M1124" s="54">
        <v>1777.0000000000002</v>
      </c>
      <c r="N1124" s="54"/>
      <c r="O1124" s="54">
        <f t="shared" si="40"/>
        <v>23294</v>
      </c>
    </row>
    <row r="1125" spans="1:15" x14ac:dyDescent="0.2">
      <c r="A1125" s="51">
        <v>43709</v>
      </c>
      <c r="B1125" s="11">
        <v>153</v>
      </c>
      <c r="C1125" s="11" t="s">
        <v>514</v>
      </c>
      <c r="D1125" s="11" t="s">
        <v>515</v>
      </c>
      <c r="F1125" s="11" t="s">
        <v>22</v>
      </c>
      <c r="G1125" s="38" t="s">
        <v>1019</v>
      </c>
      <c r="H1125" s="650">
        <v>43728</v>
      </c>
      <c r="I1125" s="126">
        <v>2000</v>
      </c>
      <c r="J1125" s="640">
        <f t="shared" si="39"/>
        <v>360</v>
      </c>
      <c r="K1125" s="54">
        <v>0</v>
      </c>
      <c r="L1125" s="54">
        <v>180</v>
      </c>
      <c r="M1125" s="54">
        <v>180</v>
      </c>
      <c r="N1125" s="54"/>
      <c r="O1125" s="54">
        <f t="shared" si="40"/>
        <v>2360</v>
      </c>
    </row>
    <row r="1126" spans="1:15" x14ac:dyDescent="0.2">
      <c r="A1126" s="51">
        <v>43709</v>
      </c>
      <c r="B1126" s="11">
        <v>154</v>
      </c>
      <c r="C1126" s="11" t="s">
        <v>514</v>
      </c>
      <c r="D1126" s="11" t="s">
        <v>515</v>
      </c>
      <c r="F1126" s="11" t="s">
        <v>22</v>
      </c>
      <c r="G1126" s="38" t="s">
        <v>1020</v>
      </c>
      <c r="H1126" s="650">
        <v>43728</v>
      </c>
      <c r="I1126" s="126">
        <v>500</v>
      </c>
      <c r="J1126" s="640">
        <f t="shared" si="39"/>
        <v>90</v>
      </c>
      <c r="K1126" s="54">
        <v>0</v>
      </c>
      <c r="L1126" s="54">
        <v>45</v>
      </c>
      <c r="M1126" s="54">
        <v>45</v>
      </c>
      <c r="N1126" s="54"/>
      <c r="O1126" s="54">
        <f t="shared" si="40"/>
        <v>590</v>
      </c>
    </row>
    <row r="1127" spans="1:15" x14ac:dyDescent="0.2">
      <c r="A1127" s="51">
        <v>43709</v>
      </c>
      <c r="B1127" s="11">
        <v>155</v>
      </c>
      <c r="C1127" s="11" t="s">
        <v>514</v>
      </c>
      <c r="D1127" s="11" t="s">
        <v>515</v>
      </c>
      <c r="F1127" s="11" t="s">
        <v>22</v>
      </c>
      <c r="G1127" s="38" t="s">
        <v>1021</v>
      </c>
      <c r="H1127" s="650">
        <v>43728</v>
      </c>
      <c r="I1127" s="126">
        <v>1949.67</v>
      </c>
      <c r="J1127" s="640">
        <f t="shared" si="39"/>
        <v>350.94060000000002</v>
      </c>
      <c r="K1127" s="54">
        <v>0</v>
      </c>
      <c r="L1127" s="54">
        <v>175.47030000000001</v>
      </c>
      <c r="M1127" s="54">
        <v>175.47030000000001</v>
      </c>
      <c r="N1127" s="54"/>
      <c r="O1127" s="54">
        <f t="shared" si="40"/>
        <v>2300.6106</v>
      </c>
    </row>
    <row r="1128" spans="1:15" x14ac:dyDescent="0.2">
      <c r="A1128" s="51">
        <v>43709</v>
      </c>
      <c r="B1128" s="11">
        <v>156</v>
      </c>
      <c r="C1128" s="11" t="s">
        <v>565</v>
      </c>
      <c r="D1128" s="11" t="s">
        <v>566</v>
      </c>
      <c r="F1128" s="11" t="s">
        <v>22</v>
      </c>
      <c r="G1128" s="38">
        <v>5066</v>
      </c>
      <c r="H1128" s="650">
        <v>43731</v>
      </c>
      <c r="I1128" s="126">
        <v>2963.45</v>
      </c>
      <c r="J1128" s="640">
        <f t="shared" si="39"/>
        <v>509.44</v>
      </c>
      <c r="K1128" s="54">
        <v>0</v>
      </c>
      <c r="L1128" s="54">
        <v>254.72</v>
      </c>
      <c r="M1128" s="54">
        <v>254.72</v>
      </c>
      <c r="N1128" s="54"/>
      <c r="O1128" s="54">
        <f t="shared" si="40"/>
        <v>3472.89</v>
      </c>
    </row>
    <row r="1129" spans="1:15" x14ac:dyDescent="0.2">
      <c r="A1129" s="51">
        <v>43709</v>
      </c>
      <c r="B1129" s="11">
        <v>157</v>
      </c>
      <c r="C1129" s="11" t="s">
        <v>589</v>
      </c>
      <c r="D1129" s="11" t="s">
        <v>590</v>
      </c>
      <c r="F1129" s="11" t="s">
        <v>22</v>
      </c>
      <c r="G1129" s="38">
        <v>13</v>
      </c>
      <c r="H1129" s="650">
        <v>43738</v>
      </c>
      <c r="I1129" s="126">
        <v>83385.5</v>
      </c>
      <c r="J1129" s="640">
        <f t="shared" si="39"/>
        <v>15009.39</v>
      </c>
      <c r="K1129" s="54">
        <v>0</v>
      </c>
      <c r="L1129" s="54">
        <v>7504.6949999999997</v>
      </c>
      <c r="M1129" s="54">
        <v>7504.6949999999997</v>
      </c>
      <c r="N1129" s="54"/>
      <c r="O1129" s="54">
        <f t="shared" si="40"/>
        <v>98394.89</v>
      </c>
    </row>
    <row r="1130" spans="1:15" x14ac:dyDescent="0.2">
      <c r="A1130" s="51">
        <v>43709</v>
      </c>
      <c r="B1130" s="11">
        <v>158</v>
      </c>
      <c r="C1130" s="11" t="s">
        <v>1022</v>
      </c>
      <c r="D1130" s="11" t="s">
        <v>1023</v>
      </c>
      <c r="F1130" s="11" t="s">
        <v>22</v>
      </c>
      <c r="G1130" s="38">
        <v>80</v>
      </c>
      <c r="H1130" s="650">
        <v>43595</v>
      </c>
      <c r="I1130" s="126">
        <v>76050</v>
      </c>
      <c r="J1130" s="640">
        <f t="shared" si="39"/>
        <v>21294</v>
      </c>
      <c r="K1130" s="54">
        <v>0</v>
      </c>
      <c r="L1130" s="54">
        <v>10647</v>
      </c>
      <c r="M1130" s="54">
        <v>10647</v>
      </c>
      <c r="N1130" s="54"/>
      <c r="O1130" s="54">
        <f t="shared" si="40"/>
        <v>97344</v>
      </c>
    </row>
    <row r="1131" spans="1:15" x14ac:dyDescent="0.2">
      <c r="A1131" s="51">
        <v>43709</v>
      </c>
      <c r="B1131" s="11">
        <v>159</v>
      </c>
      <c r="C1131" s="11" t="s">
        <v>1024</v>
      </c>
      <c r="D1131" s="11" t="s">
        <v>1025</v>
      </c>
      <c r="F1131" s="11" t="s">
        <v>22</v>
      </c>
      <c r="G1131" s="38">
        <v>374</v>
      </c>
      <c r="H1131" s="650">
        <v>43726</v>
      </c>
      <c r="I1131" s="126">
        <v>73305.289999999994</v>
      </c>
      <c r="J1131" s="640">
        <f t="shared" si="39"/>
        <v>13194.952199999998</v>
      </c>
      <c r="K1131" s="54">
        <v>0</v>
      </c>
      <c r="L1131" s="54">
        <v>6597.476099999999</v>
      </c>
      <c r="M1131" s="54">
        <v>6597.476099999999</v>
      </c>
      <c r="N1131" s="54"/>
      <c r="O1131" s="54">
        <f t="shared" si="40"/>
        <v>86500.242199999993</v>
      </c>
    </row>
    <row r="1132" spans="1:15" x14ac:dyDescent="0.2">
      <c r="A1132" s="51">
        <v>43709</v>
      </c>
      <c r="B1132" s="11">
        <v>14</v>
      </c>
      <c r="C1132" s="11" t="s">
        <v>600</v>
      </c>
      <c r="D1132" s="11">
        <v>2</v>
      </c>
      <c r="F1132" s="11" t="s">
        <v>392</v>
      </c>
      <c r="G1132" s="38">
        <v>27</v>
      </c>
      <c r="H1132" s="650">
        <v>43714</v>
      </c>
      <c r="I1132" s="126"/>
      <c r="J1132" s="640">
        <f t="shared" si="39"/>
        <v>0</v>
      </c>
      <c r="K1132" s="54">
        <v>0</v>
      </c>
      <c r="L1132" s="54">
        <v>0</v>
      </c>
      <c r="M1132" s="54">
        <v>0</v>
      </c>
      <c r="N1132" s="54"/>
      <c r="O1132" s="54">
        <f t="shared" si="40"/>
        <v>0</v>
      </c>
    </row>
    <row r="1133" spans="1:15" x14ac:dyDescent="0.2">
      <c r="A1133" s="51">
        <v>43709</v>
      </c>
      <c r="B1133" s="11">
        <v>15</v>
      </c>
      <c r="C1133" s="11" t="s">
        <v>686</v>
      </c>
      <c r="D1133" s="11" t="s">
        <v>687</v>
      </c>
      <c r="F1133" s="11" t="s">
        <v>392</v>
      </c>
      <c r="G1133" s="38">
        <v>1625</v>
      </c>
      <c r="H1133" s="650">
        <v>43725</v>
      </c>
      <c r="I1133" s="126"/>
      <c r="J1133" s="640">
        <f t="shared" si="39"/>
        <v>0</v>
      </c>
      <c r="K1133" s="54">
        <v>0</v>
      </c>
      <c r="L1133" s="54">
        <v>0</v>
      </c>
      <c r="M1133" s="54">
        <v>0</v>
      </c>
      <c r="N1133" s="54"/>
      <c r="O1133" s="54">
        <f t="shared" si="40"/>
        <v>0</v>
      </c>
    </row>
    <row r="1134" spans="1:15" x14ac:dyDescent="0.2">
      <c r="A1134" s="51">
        <v>43709</v>
      </c>
      <c r="B1134" s="11">
        <v>16</v>
      </c>
      <c r="C1134" s="11" t="s">
        <v>686</v>
      </c>
      <c r="D1134" s="11" t="s">
        <v>687</v>
      </c>
      <c r="F1134" s="11" t="s">
        <v>392</v>
      </c>
      <c r="G1134" s="38">
        <v>1639</v>
      </c>
      <c r="H1134" s="650">
        <v>43729</v>
      </c>
      <c r="I1134" s="126"/>
      <c r="J1134" s="640">
        <f t="shared" si="39"/>
        <v>0</v>
      </c>
      <c r="K1134" s="54">
        <v>0</v>
      </c>
      <c r="L1134" s="54">
        <v>0</v>
      </c>
      <c r="M1134" s="54">
        <v>0</v>
      </c>
      <c r="N1134" s="54"/>
      <c r="O1134" s="54">
        <f t="shared" si="40"/>
        <v>0</v>
      </c>
    </row>
    <row r="1135" spans="1:15" x14ac:dyDescent="0.2">
      <c r="A1135" s="51">
        <v>43709</v>
      </c>
      <c r="B1135" s="11">
        <v>17</v>
      </c>
      <c r="C1135" s="11" t="s">
        <v>673</v>
      </c>
      <c r="D1135" s="11" t="s">
        <v>674</v>
      </c>
      <c r="F1135" s="11" t="s">
        <v>392</v>
      </c>
      <c r="G1135" s="38" t="s">
        <v>1026</v>
      </c>
      <c r="H1135" s="650">
        <v>43732</v>
      </c>
      <c r="I1135" s="126"/>
      <c r="J1135" s="640">
        <f t="shared" si="39"/>
        <v>0</v>
      </c>
      <c r="K1135" s="54">
        <v>0</v>
      </c>
      <c r="L1135" s="54">
        <v>0</v>
      </c>
      <c r="M1135" s="54">
        <v>0</v>
      </c>
      <c r="N1135" s="54"/>
      <c r="O1135" s="54">
        <f t="shared" si="40"/>
        <v>0</v>
      </c>
    </row>
    <row r="1136" spans="1:15" x14ac:dyDescent="0.2">
      <c r="A1136" s="51">
        <v>43709</v>
      </c>
      <c r="B1136" s="11">
        <v>18</v>
      </c>
      <c r="C1136" s="11" t="s">
        <v>686</v>
      </c>
      <c r="D1136" s="11" t="s">
        <v>687</v>
      </c>
      <c r="F1136" s="11" t="s">
        <v>392</v>
      </c>
      <c r="G1136" s="38" t="s">
        <v>1027</v>
      </c>
      <c r="H1136" s="650">
        <v>43735</v>
      </c>
      <c r="I1136" s="126"/>
      <c r="J1136" s="640">
        <f t="shared" si="39"/>
        <v>0</v>
      </c>
      <c r="K1136" s="54">
        <v>0</v>
      </c>
      <c r="L1136" s="54">
        <v>0</v>
      </c>
      <c r="M1136" s="54">
        <v>0</v>
      </c>
      <c r="N1136" s="54"/>
      <c r="O1136" s="54">
        <f t="shared" si="40"/>
        <v>0</v>
      </c>
    </row>
    <row r="1137" spans="1:15" x14ac:dyDescent="0.2">
      <c r="A1137" s="34"/>
      <c r="D1137" s="11" t="e">
        <v>#N/A</v>
      </c>
      <c r="G1137" s="38"/>
      <c r="H1137" s="650"/>
      <c r="I1137" s="126"/>
      <c r="J1137" s="640">
        <f t="shared" si="39"/>
        <v>0</v>
      </c>
      <c r="K1137" s="54"/>
      <c r="L1137" s="54"/>
      <c r="M1137" s="54"/>
      <c r="N1137" s="54"/>
      <c r="O1137" s="54">
        <f t="shared" si="40"/>
        <v>0</v>
      </c>
    </row>
    <row r="1138" spans="1:15" x14ac:dyDescent="0.2">
      <c r="A1138" s="646"/>
      <c r="B1138" s="645"/>
      <c r="C1138" s="645"/>
      <c r="D1138" s="645" t="e">
        <v>#N/A</v>
      </c>
      <c r="E1138" s="645"/>
      <c r="F1138" s="645"/>
      <c r="G1138" s="646"/>
      <c r="H1138" s="647"/>
      <c r="I1138" s="648">
        <f>SUM(I973:I1137)</f>
        <v>4001945.22</v>
      </c>
      <c r="J1138" s="648">
        <f t="shared" ref="J1138:N1138" si="41">SUM(J973:J1137)</f>
        <v>857022.9138000001</v>
      </c>
      <c r="K1138" s="648">
        <f t="shared" si="41"/>
        <v>57463.603599999988</v>
      </c>
      <c r="L1138" s="648">
        <f t="shared" si="41"/>
        <v>399779.65510000003</v>
      </c>
      <c r="M1138" s="648">
        <f t="shared" si="41"/>
        <v>399779.65510000003</v>
      </c>
      <c r="N1138" s="648">
        <f t="shared" si="41"/>
        <v>0</v>
      </c>
      <c r="O1138" s="649">
        <f t="shared" si="40"/>
        <v>4858968.1338</v>
      </c>
    </row>
    <row r="1139" spans="1:15" x14ac:dyDescent="0.2">
      <c r="A1139" s="51">
        <v>43739</v>
      </c>
      <c r="B1139" s="11">
        <v>1</v>
      </c>
      <c r="C1139" s="11" t="s">
        <v>487</v>
      </c>
      <c r="D1139" s="11" t="s">
        <v>488</v>
      </c>
      <c r="F1139" s="11" t="s">
        <v>22</v>
      </c>
      <c r="G1139" s="38">
        <v>1215</v>
      </c>
      <c r="H1139" s="650">
        <v>43739</v>
      </c>
      <c r="I1139" s="126">
        <v>8000</v>
      </c>
      <c r="J1139" s="640">
        <f t="shared" ref="J1139:J1202" si="42">+K1139+L1139+M1139+N1139</f>
        <v>1440</v>
      </c>
      <c r="K1139" s="54">
        <v>0</v>
      </c>
      <c r="L1139" s="54">
        <v>720</v>
      </c>
      <c r="M1139" s="54">
        <v>720</v>
      </c>
      <c r="N1139" s="54"/>
      <c r="O1139" s="54">
        <f t="shared" si="40"/>
        <v>9440</v>
      </c>
    </row>
    <row r="1140" spans="1:15" x14ac:dyDescent="0.2">
      <c r="A1140" s="51">
        <v>43739</v>
      </c>
      <c r="B1140" s="11">
        <v>2</v>
      </c>
      <c r="C1140" s="11" t="s">
        <v>473</v>
      </c>
      <c r="D1140" s="11" t="s">
        <v>41</v>
      </c>
      <c r="F1140" s="11" t="s">
        <v>22</v>
      </c>
      <c r="G1140" s="38" t="s">
        <v>2442</v>
      </c>
      <c r="H1140" s="650">
        <v>43739</v>
      </c>
      <c r="I1140" s="126">
        <v>6412</v>
      </c>
      <c r="J1140" s="640">
        <f t="shared" si="42"/>
        <v>1795.3600000000001</v>
      </c>
      <c r="K1140" s="54">
        <v>0</v>
      </c>
      <c r="L1140" s="54">
        <v>897.68000000000006</v>
      </c>
      <c r="M1140" s="54">
        <v>897.68000000000006</v>
      </c>
      <c r="N1140" s="54"/>
      <c r="O1140" s="54">
        <f t="shared" si="40"/>
        <v>8207.36</v>
      </c>
    </row>
    <row r="1141" spans="1:15" x14ac:dyDescent="0.2">
      <c r="A1141" s="51">
        <v>43739</v>
      </c>
      <c r="B1141" s="11">
        <v>3</v>
      </c>
      <c r="C1141" s="11" t="s">
        <v>473</v>
      </c>
      <c r="D1141" s="11" t="s">
        <v>41</v>
      </c>
      <c r="F1141" s="11" t="s">
        <v>22</v>
      </c>
      <c r="G1141" s="38" t="s">
        <v>2443</v>
      </c>
      <c r="H1141" s="650">
        <v>43739</v>
      </c>
      <c r="I1141" s="126">
        <v>3656.9</v>
      </c>
      <c r="J1141" s="640">
        <f t="shared" si="42"/>
        <v>1023.932</v>
      </c>
      <c r="K1141" s="54">
        <v>0</v>
      </c>
      <c r="L1141" s="54">
        <v>511.96600000000001</v>
      </c>
      <c r="M1141" s="54">
        <v>511.96600000000001</v>
      </c>
      <c r="N1141" s="54"/>
      <c r="O1141" s="54">
        <f t="shared" si="40"/>
        <v>4680.8320000000003</v>
      </c>
    </row>
    <row r="1142" spans="1:15" x14ac:dyDescent="0.2">
      <c r="A1142" s="51">
        <v>43739</v>
      </c>
      <c r="B1142" s="11">
        <v>4</v>
      </c>
      <c r="C1142" s="11" t="s">
        <v>479</v>
      </c>
      <c r="D1142" s="11" t="s">
        <v>480</v>
      </c>
      <c r="F1142" s="11" t="s">
        <v>22</v>
      </c>
      <c r="G1142" s="38">
        <v>1310</v>
      </c>
      <c r="H1142" s="650">
        <v>43739</v>
      </c>
      <c r="I1142" s="126">
        <v>29500</v>
      </c>
      <c r="J1142" s="640">
        <f t="shared" si="42"/>
        <v>5310</v>
      </c>
      <c r="K1142" s="54">
        <v>0</v>
      </c>
      <c r="L1142" s="54">
        <v>2655</v>
      </c>
      <c r="M1142" s="54">
        <v>2655</v>
      </c>
      <c r="N1142" s="54"/>
      <c r="O1142" s="54">
        <f t="shared" si="40"/>
        <v>34810</v>
      </c>
    </row>
    <row r="1143" spans="1:15" x14ac:dyDescent="0.2">
      <c r="A1143" s="51">
        <v>43739</v>
      </c>
      <c r="B1143" s="11">
        <v>5</v>
      </c>
      <c r="C1143" s="11" t="s">
        <v>489</v>
      </c>
      <c r="D1143" s="11" t="s">
        <v>490</v>
      </c>
      <c r="F1143" s="11" t="s">
        <v>22</v>
      </c>
      <c r="G1143" s="38">
        <v>7887989209</v>
      </c>
      <c r="H1143" s="650">
        <v>43739</v>
      </c>
      <c r="I1143" s="126">
        <v>35088</v>
      </c>
      <c r="J1143" s="640">
        <f t="shared" si="42"/>
        <v>6315.84</v>
      </c>
      <c r="K1143" s="54">
        <v>0</v>
      </c>
      <c r="L1143" s="54">
        <v>3157.92</v>
      </c>
      <c r="M1143" s="54">
        <v>3157.92</v>
      </c>
      <c r="N1143" s="54"/>
      <c r="O1143" s="54">
        <f t="shared" si="40"/>
        <v>41403.839999999997</v>
      </c>
    </row>
    <row r="1144" spans="1:15" x14ac:dyDescent="0.2">
      <c r="A1144" s="51">
        <v>43739</v>
      </c>
      <c r="B1144" s="11">
        <v>6</v>
      </c>
      <c r="C1144" s="11" t="s">
        <v>489</v>
      </c>
      <c r="D1144" s="11" t="s">
        <v>490</v>
      </c>
      <c r="F1144" s="11" t="s">
        <v>22</v>
      </c>
      <c r="G1144" s="38">
        <v>7887989210</v>
      </c>
      <c r="H1144" s="650">
        <v>43739</v>
      </c>
      <c r="I1144" s="126">
        <v>33020</v>
      </c>
      <c r="J1144" s="640">
        <f t="shared" si="42"/>
        <v>5943.6</v>
      </c>
      <c r="K1144" s="54">
        <v>0</v>
      </c>
      <c r="L1144" s="54">
        <v>2971.8</v>
      </c>
      <c r="M1144" s="54">
        <v>2971.8</v>
      </c>
      <c r="N1144" s="54"/>
      <c r="O1144" s="54">
        <f t="shared" si="40"/>
        <v>38963.599999999999</v>
      </c>
    </row>
    <row r="1145" spans="1:15" x14ac:dyDescent="0.2">
      <c r="A1145" s="51">
        <v>43739</v>
      </c>
      <c r="B1145" s="11">
        <v>7</v>
      </c>
      <c r="C1145" s="11" t="s">
        <v>506</v>
      </c>
      <c r="D1145" s="11" t="s">
        <v>507</v>
      </c>
      <c r="F1145" s="11" t="s">
        <v>22</v>
      </c>
      <c r="G1145" s="38" t="s">
        <v>2444</v>
      </c>
      <c r="H1145" s="650">
        <v>43739</v>
      </c>
      <c r="I1145" s="126">
        <v>21900</v>
      </c>
      <c r="J1145" s="640">
        <f t="shared" si="42"/>
        <v>3942</v>
      </c>
      <c r="K1145" s="54">
        <v>0</v>
      </c>
      <c r="L1145" s="54">
        <v>1971</v>
      </c>
      <c r="M1145" s="54">
        <v>1971</v>
      </c>
      <c r="N1145" s="54"/>
      <c r="O1145" s="54">
        <f t="shared" si="40"/>
        <v>25842</v>
      </c>
    </row>
    <row r="1146" spans="1:15" x14ac:dyDescent="0.2">
      <c r="A1146" s="51">
        <v>43739</v>
      </c>
      <c r="B1146" s="11">
        <v>8</v>
      </c>
      <c r="C1146" s="11" t="s">
        <v>499</v>
      </c>
      <c r="D1146" s="11" t="s">
        <v>500</v>
      </c>
      <c r="F1146" s="11" t="s">
        <v>22</v>
      </c>
      <c r="G1146" s="38" t="s">
        <v>2445</v>
      </c>
      <c r="H1146" s="650">
        <v>43739</v>
      </c>
      <c r="I1146" s="126">
        <v>4373</v>
      </c>
      <c r="J1146" s="640">
        <f t="shared" si="42"/>
        <v>787.14</v>
      </c>
      <c r="K1146" s="54">
        <v>0</v>
      </c>
      <c r="L1146" s="54">
        <v>393.57</v>
      </c>
      <c r="M1146" s="54">
        <v>393.57</v>
      </c>
      <c r="N1146" s="54"/>
      <c r="O1146" s="54">
        <f t="shared" si="40"/>
        <v>5160.1400000000003</v>
      </c>
    </row>
    <row r="1147" spans="1:15" x14ac:dyDescent="0.2">
      <c r="A1147" s="51">
        <v>43739</v>
      </c>
      <c r="B1147" s="11">
        <v>9</v>
      </c>
      <c r="C1147" s="11" t="s">
        <v>499</v>
      </c>
      <c r="D1147" s="11" t="s">
        <v>500</v>
      </c>
      <c r="F1147" s="11" t="s">
        <v>22</v>
      </c>
      <c r="G1147" s="38" t="s">
        <v>2446</v>
      </c>
      <c r="H1147" s="650">
        <v>43739</v>
      </c>
      <c r="I1147" s="126">
        <v>930</v>
      </c>
      <c r="J1147" s="640">
        <f t="shared" si="42"/>
        <v>167.4</v>
      </c>
      <c r="K1147" s="54">
        <v>0</v>
      </c>
      <c r="L1147" s="54">
        <v>83.7</v>
      </c>
      <c r="M1147" s="54">
        <v>83.7</v>
      </c>
      <c r="N1147" s="54"/>
      <c r="O1147" s="54">
        <f t="shared" si="40"/>
        <v>1097.4000000000001</v>
      </c>
    </row>
    <row r="1148" spans="1:15" x14ac:dyDescent="0.2">
      <c r="A1148" s="51">
        <v>43739</v>
      </c>
      <c r="B1148" s="11">
        <v>10</v>
      </c>
      <c r="C1148" s="11" t="s">
        <v>499</v>
      </c>
      <c r="D1148" s="11" t="s">
        <v>500</v>
      </c>
      <c r="F1148" s="11" t="s">
        <v>22</v>
      </c>
      <c r="G1148" s="38" t="s">
        <v>2447</v>
      </c>
      <c r="H1148" s="650">
        <v>43739</v>
      </c>
      <c r="I1148" s="126">
        <v>4375</v>
      </c>
      <c r="J1148" s="640">
        <f t="shared" si="42"/>
        <v>525</v>
      </c>
      <c r="K1148" s="54">
        <v>0</v>
      </c>
      <c r="L1148" s="54">
        <v>262.5</v>
      </c>
      <c r="M1148" s="54">
        <v>262.5</v>
      </c>
      <c r="N1148" s="54"/>
      <c r="O1148" s="54">
        <f t="shared" si="40"/>
        <v>4900</v>
      </c>
    </row>
    <row r="1149" spans="1:15" x14ac:dyDescent="0.2">
      <c r="A1149" s="51">
        <v>43739</v>
      </c>
      <c r="B1149" s="11">
        <v>11</v>
      </c>
      <c r="C1149" s="11" t="s">
        <v>499</v>
      </c>
      <c r="D1149" s="11" t="s">
        <v>500</v>
      </c>
      <c r="F1149" s="11" t="s">
        <v>22</v>
      </c>
      <c r="G1149" s="38" t="s">
        <v>2448</v>
      </c>
      <c r="H1149" s="650">
        <v>43739</v>
      </c>
      <c r="I1149" s="126">
        <v>18340</v>
      </c>
      <c r="J1149" s="640">
        <f t="shared" si="42"/>
        <v>917</v>
      </c>
      <c r="K1149" s="54">
        <v>0</v>
      </c>
      <c r="L1149" s="54">
        <v>458.5</v>
      </c>
      <c r="M1149" s="54">
        <v>458.5</v>
      </c>
      <c r="N1149" s="54"/>
      <c r="O1149" s="54">
        <f t="shared" si="40"/>
        <v>19257</v>
      </c>
    </row>
    <row r="1150" spans="1:15" x14ac:dyDescent="0.2">
      <c r="A1150" s="51">
        <v>43739</v>
      </c>
      <c r="B1150" s="11">
        <v>12</v>
      </c>
      <c r="C1150" s="11" t="s">
        <v>499</v>
      </c>
      <c r="D1150" s="11" t="s">
        <v>500</v>
      </c>
      <c r="F1150" s="11" t="s">
        <v>22</v>
      </c>
      <c r="G1150" s="38" t="s">
        <v>2449</v>
      </c>
      <c r="H1150" s="650">
        <v>43739</v>
      </c>
      <c r="I1150" s="126">
        <v>250</v>
      </c>
      <c r="J1150" s="640">
        <f t="shared" si="42"/>
        <v>0</v>
      </c>
      <c r="K1150" s="54">
        <v>0</v>
      </c>
      <c r="L1150" s="54">
        <v>0</v>
      </c>
      <c r="M1150" s="54">
        <v>0</v>
      </c>
      <c r="N1150" s="54"/>
      <c r="O1150" s="54">
        <f t="shared" si="40"/>
        <v>250</v>
      </c>
    </row>
    <row r="1151" spans="1:15" x14ac:dyDescent="0.2">
      <c r="A1151" s="51">
        <v>43739</v>
      </c>
      <c r="B1151" s="11">
        <v>13</v>
      </c>
      <c r="C1151" s="11" t="s">
        <v>499</v>
      </c>
      <c r="D1151" s="11" t="s">
        <v>500</v>
      </c>
      <c r="F1151" s="11" t="s">
        <v>22</v>
      </c>
      <c r="G1151" s="38" t="s">
        <v>2450</v>
      </c>
      <c r="H1151" s="650">
        <v>43739</v>
      </c>
      <c r="I1151" s="126">
        <v>5184</v>
      </c>
      <c r="J1151" s="640">
        <f t="shared" si="42"/>
        <v>933.12000000000012</v>
      </c>
      <c r="K1151" s="54">
        <v>0</v>
      </c>
      <c r="L1151" s="54">
        <v>466.56000000000006</v>
      </c>
      <c r="M1151" s="54">
        <v>466.56000000000006</v>
      </c>
      <c r="N1151" s="54"/>
      <c r="O1151" s="54">
        <f t="shared" si="40"/>
        <v>6117.12</v>
      </c>
    </row>
    <row r="1152" spans="1:15" x14ac:dyDescent="0.2">
      <c r="A1152" s="51">
        <v>43739</v>
      </c>
      <c r="B1152" s="11">
        <v>14</v>
      </c>
      <c r="C1152" s="11" t="s">
        <v>710</v>
      </c>
      <c r="D1152" s="11" t="s">
        <v>711</v>
      </c>
      <c r="F1152" s="11" t="s">
        <v>22</v>
      </c>
      <c r="G1152" s="38">
        <v>758</v>
      </c>
      <c r="H1152" s="650">
        <v>43740</v>
      </c>
      <c r="I1152" s="126">
        <v>7990</v>
      </c>
      <c r="J1152" s="640">
        <f t="shared" si="42"/>
        <v>1438.2</v>
      </c>
      <c r="K1152" s="54">
        <v>0</v>
      </c>
      <c r="L1152" s="54">
        <v>719.1</v>
      </c>
      <c r="M1152" s="54">
        <v>719.1</v>
      </c>
      <c r="N1152" s="54"/>
      <c r="O1152" s="54">
        <f t="shared" si="40"/>
        <v>9428.2000000000007</v>
      </c>
    </row>
    <row r="1153" spans="1:15" x14ac:dyDescent="0.2">
      <c r="A1153" s="51">
        <v>43739</v>
      </c>
      <c r="B1153" s="11">
        <v>15</v>
      </c>
      <c r="C1153" s="11" t="s">
        <v>554</v>
      </c>
      <c r="D1153" s="11" t="s">
        <v>555</v>
      </c>
      <c r="F1153" s="11" t="s">
        <v>22</v>
      </c>
      <c r="G1153" s="38">
        <v>12638</v>
      </c>
      <c r="H1153" s="650">
        <v>43740</v>
      </c>
      <c r="I1153" s="126">
        <v>14821.5</v>
      </c>
      <c r="J1153" s="640">
        <f t="shared" si="42"/>
        <v>4150.0200000000004</v>
      </c>
      <c r="K1153" s="54">
        <v>0</v>
      </c>
      <c r="L1153" s="54">
        <v>2075.0100000000002</v>
      </c>
      <c r="M1153" s="54">
        <v>2075.0100000000002</v>
      </c>
      <c r="N1153" s="54"/>
      <c r="O1153" s="54">
        <f t="shared" si="40"/>
        <v>18971.52</v>
      </c>
    </row>
    <row r="1154" spans="1:15" x14ac:dyDescent="0.2">
      <c r="A1154" s="51">
        <v>43739</v>
      </c>
      <c r="B1154" s="11">
        <v>16</v>
      </c>
      <c r="C1154" s="11" t="s">
        <v>517</v>
      </c>
      <c r="D1154" s="11" t="s">
        <v>256</v>
      </c>
      <c r="F1154" s="11" t="s">
        <v>22</v>
      </c>
      <c r="G1154" s="38">
        <v>19619035</v>
      </c>
      <c r="H1154" s="650">
        <v>43739</v>
      </c>
      <c r="I1154" s="126">
        <v>11873</v>
      </c>
      <c r="J1154" s="640">
        <f t="shared" si="42"/>
        <v>3324.44</v>
      </c>
      <c r="K1154" s="54">
        <v>3324.44</v>
      </c>
      <c r="L1154" s="54">
        <v>0</v>
      </c>
      <c r="M1154" s="54">
        <v>0</v>
      </c>
      <c r="N1154" s="54"/>
      <c r="O1154" s="54">
        <f t="shared" si="40"/>
        <v>15197.44</v>
      </c>
    </row>
    <row r="1155" spans="1:15" x14ac:dyDescent="0.2">
      <c r="A1155" s="51">
        <v>43739</v>
      </c>
      <c r="B1155" s="11">
        <v>17</v>
      </c>
      <c r="C1155" s="11" t="s">
        <v>473</v>
      </c>
      <c r="D1155" s="11" t="s">
        <v>41</v>
      </c>
      <c r="F1155" s="11" t="s">
        <v>22</v>
      </c>
      <c r="G1155" s="38" t="s">
        <v>2451</v>
      </c>
      <c r="H1155" s="650">
        <v>43741</v>
      </c>
      <c r="I1155" s="126">
        <v>3206</v>
      </c>
      <c r="J1155" s="640">
        <f t="shared" si="42"/>
        <v>897.68000000000006</v>
      </c>
      <c r="K1155" s="54">
        <v>0</v>
      </c>
      <c r="L1155" s="54">
        <v>448.84000000000003</v>
      </c>
      <c r="M1155" s="54">
        <v>448.84000000000003</v>
      </c>
      <c r="N1155" s="54"/>
      <c r="O1155" s="54">
        <f t="shared" si="40"/>
        <v>4103.68</v>
      </c>
    </row>
    <row r="1156" spans="1:15" x14ac:dyDescent="0.2">
      <c r="A1156" s="51">
        <v>43739</v>
      </c>
      <c r="B1156" s="11">
        <v>18</v>
      </c>
      <c r="C1156" s="11" t="s">
        <v>473</v>
      </c>
      <c r="D1156" s="11" t="s">
        <v>41</v>
      </c>
      <c r="F1156" s="11" t="s">
        <v>22</v>
      </c>
      <c r="G1156" s="38" t="s">
        <v>2452</v>
      </c>
      <c r="H1156" s="650">
        <v>43741</v>
      </c>
      <c r="I1156" s="126">
        <v>7936.45</v>
      </c>
      <c r="J1156" s="640">
        <f t="shared" si="42"/>
        <v>2222.2059999999997</v>
      </c>
      <c r="K1156" s="54">
        <v>0</v>
      </c>
      <c r="L1156" s="54">
        <v>1111.1029999999998</v>
      </c>
      <c r="M1156" s="54">
        <v>1111.1029999999998</v>
      </c>
      <c r="N1156" s="54"/>
      <c r="O1156" s="54">
        <f t="shared" ref="O1156:O1219" si="43">+I1156+J1156</f>
        <v>10158.655999999999</v>
      </c>
    </row>
    <row r="1157" spans="1:15" x14ac:dyDescent="0.2">
      <c r="A1157" s="51">
        <v>43739</v>
      </c>
      <c r="B1157" s="11">
        <v>19</v>
      </c>
      <c r="C1157" s="11" t="s">
        <v>609</v>
      </c>
      <c r="D1157" s="11" t="s">
        <v>610</v>
      </c>
      <c r="F1157" s="11" t="s">
        <v>22</v>
      </c>
      <c r="G1157" s="38" t="s">
        <v>2453</v>
      </c>
      <c r="H1157" s="650">
        <v>43739</v>
      </c>
      <c r="I1157" s="126">
        <v>24649</v>
      </c>
      <c r="J1157" s="640">
        <f t="shared" si="42"/>
        <v>4436.82</v>
      </c>
      <c r="K1157" s="54">
        <v>0</v>
      </c>
      <c r="L1157" s="54">
        <v>2218.41</v>
      </c>
      <c r="M1157" s="54">
        <v>2218.41</v>
      </c>
      <c r="N1157" s="54"/>
      <c r="O1157" s="54">
        <f t="shared" si="43"/>
        <v>29085.82</v>
      </c>
    </row>
    <row r="1158" spans="1:15" x14ac:dyDescent="0.2">
      <c r="A1158" s="51">
        <v>43739</v>
      </c>
      <c r="B1158" s="11">
        <v>20</v>
      </c>
      <c r="C1158" s="11" t="s">
        <v>609</v>
      </c>
      <c r="D1158" s="11" t="s">
        <v>610</v>
      </c>
      <c r="F1158" s="11" t="s">
        <v>22</v>
      </c>
      <c r="G1158" s="38" t="s">
        <v>2454</v>
      </c>
      <c r="H1158" s="650">
        <v>43739</v>
      </c>
      <c r="I1158" s="126">
        <v>917679</v>
      </c>
      <c r="J1158" s="640">
        <f t="shared" si="42"/>
        <v>165182.22000000003</v>
      </c>
      <c r="K1158" s="54">
        <v>0</v>
      </c>
      <c r="L1158" s="54">
        <v>82591.110000000015</v>
      </c>
      <c r="M1158" s="54">
        <v>82591.110000000015</v>
      </c>
      <c r="N1158" s="54"/>
      <c r="O1158" s="54">
        <f t="shared" si="43"/>
        <v>1082861.22</v>
      </c>
    </row>
    <row r="1159" spans="1:15" x14ac:dyDescent="0.2">
      <c r="A1159" s="51">
        <v>43739</v>
      </c>
      <c r="B1159" s="11">
        <v>21</v>
      </c>
      <c r="C1159" s="11" t="s">
        <v>476</v>
      </c>
      <c r="D1159" s="11" t="s">
        <v>477</v>
      </c>
      <c r="F1159" s="11" t="s">
        <v>22</v>
      </c>
      <c r="G1159" s="38" t="s">
        <v>2455</v>
      </c>
      <c r="H1159" s="650">
        <v>43739</v>
      </c>
      <c r="I1159" s="126">
        <v>376945</v>
      </c>
      <c r="J1159" s="640">
        <f t="shared" si="42"/>
        <v>105544.59999999999</v>
      </c>
      <c r="K1159" s="54">
        <v>0</v>
      </c>
      <c r="L1159" s="54">
        <v>52772.299999999996</v>
      </c>
      <c r="M1159" s="54">
        <v>52772.299999999996</v>
      </c>
      <c r="N1159" s="54"/>
      <c r="O1159" s="54">
        <f t="shared" si="43"/>
        <v>482489.59999999998</v>
      </c>
    </row>
    <row r="1160" spans="1:15" x14ac:dyDescent="0.2">
      <c r="A1160" s="51">
        <v>43739</v>
      </c>
      <c r="B1160" s="11">
        <v>22</v>
      </c>
      <c r="C1160" s="11" t="s">
        <v>747</v>
      </c>
      <c r="D1160" s="11" t="s">
        <v>748</v>
      </c>
      <c r="F1160" s="11" t="s">
        <v>22</v>
      </c>
      <c r="G1160" s="38" t="s">
        <v>2456</v>
      </c>
      <c r="H1160" s="650">
        <v>43742</v>
      </c>
      <c r="I1160" s="126">
        <v>16800</v>
      </c>
      <c r="J1160" s="640">
        <f t="shared" si="42"/>
        <v>3024</v>
      </c>
      <c r="K1160" s="54">
        <v>0</v>
      </c>
      <c r="L1160" s="54">
        <v>1512</v>
      </c>
      <c r="M1160" s="54">
        <v>1512</v>
      </c>
      <c r="N1160" s="54"/>
      <c r="O1160" s="54">
        <f t="shared" si="43"/>
        <v>19824</v>
      </c>
    </row>
    <row r="1161" spans="1:15" x14ac:dyDescent="0.2">
      <c r="A1161" s="51">
        <v>43739</v>
      </c>
      <c r="B1161" s="11">
        <v>23</v>
      </c>
      <c r="C1161" s="11" t="s">
        <v>554</v>
      </c>
      <c r="D1161" s="11" t="s">
        <v>555</v>
      </c>
      <c r="F1161" s="11" t="s">
        <v>22</v>
      </c>
      <c r="G1161" s="38">
        <v>12747</v>
      </c>
      <c r="H1161" s="650">
        <v>43742</v>
      </c>
      <c r="I1161" s="126">
        <v>16695</v>
      </c>
      <c r="J1161" s="640">
        <f t="shared" si="42"/>
        <v>4674.5999999999995</v>
      </c>
      <c r="K1161" s="54">
        <v>0</v>
      </c>
      <c r="L1161" s="54">
        <v>2337.2999999999997</v>
      </c>
      <c r="M1161" s="54">
        <v>2337.2999999999997</v>
      </c>
      <c r="N1161" s="54"/>
      <c r="O1161" s="54">
        <f t="shared" si="43"/>
        <v>21369.599999999999</v>
      </c>
    </row>
    <row r="1162" spans="1:15" x14ac:dyDescent="0.2">
      <c r="A1162" s="51">
        <v>43739</v>
      </c>
      <c r="B1162" s="11">
        <v>24</v>
      </c>
      <c r="C1162" s="11" t="s">
        <v>493</v>
      </c>
      <c r="D1162" s="11" t="s">
        <v>494</v>
      </c>
      <c r="F1162" s="11" t="s">
        <v>22</v>
      </c>
      <c r="G1162" s="38">
        <v>3171</v>
      </c>
      <c r="H1162" s="650">
        <v>43743</v>
      </c>
      <c r="I1162" s="126">
        <v>31726.2</v>
      </c>
      <c r="J1162" s="640">
        <f t="shared" si="42"/>
        <v>5710.7160000000003</v>
      </c>
      <c r="K1162" s="54">
        <v>0</v>
      </c>
      <c r="L1162" s="54">
        <v>2855.3580000000002</v>
      </c>
      <c r="M1162" s="54">
        <v>2855.3580000000002</v>
      </c>
      <c r="N1162" s="54"/>
      <c r="O1162" s="54">
        <f t="shared" si="43"/>
        <v>37436.915999999997</v>
      </c>
    </row>
    <row r="1163" spans="1:15" x14ac:dyDescent="0.2">
      <c r="A1163" s="51">
        <v>43739</v>
      </c>
      <c r="B1163" s="11">
        <v>25</v>
      </c>
      <c r="C1163" s="11" t="s">
        <v>493</v>
      </c>
      <c r="D1163" s="11" t="s">
        <v>494</v>
      </c>
      <c r="F1163" s="11" t="s">
        <v>22</v>
      </c>
      <c r="G1163" s="38">
        <v>3197</v>
      </c>
      <c r="H1163" s="650">
        <v>43744</v>
      </c>
      <c r="I1163" s="126">
        <v>51037.8</v>
      </c>
      <c r="J1163" s="640">
        <f t="shared" si="42"/>
        <v>9186.8040000000001</v>
      </c>
      <c r="K1163" s="54">
        <v>0</v>
      </c>
      <c r="L1163" s="54">
        <v>4593.402</v>
      </c>
      <c r="M1163" s="54">
        <v>4593.402</v>
      </c>
      <c r="N1163" s="54"/>
      <c r="O1163" s="54">
        <f t="shared" si="43"/>
        <v>60224.604000000007</v>
      </c>
    </row>
    <row r="1164" spans="1:15" x14ac:dyDescent="0.2">
      <c r="A1164" s="51">
        <v>43739</v>
      </c>
      <c r="B1164" s="11">
        <v>26</v>
      </c>
      <c r="C1164" s="11" t="s">
        <v>495</v>
      </c>
      <c r="D1164" s="11" t="s">
        <v>74</v>
      </c>
      <c r="F1164" s="11" t="s">
        <v>22</v>
      </c>
      <c r="G1164" s="38">
        <v>5510059794</v>
      </c>
      <c r="H1164" s="650">
        <v>43745</v>
      </c>
      <c r="I1164" s="126">
        <v>26544</v>
      </c>
      <c r="J1164" s="640">
        <f t="shared" si="42"/>
        <v>4777.92</v>
      </c>
      <c r="K1164" s="54">
        <v>0</v>
      </c>
      <c r="L1164" s="54">
        <v>2388.96</v>
      </c>
      <c r="M1164" s="54">
        <v>2388.96</v>
      </c>
      <c r="N1164" s="54"/>
      <c r="O1164" s="54">
        <f t="shared" si="43"/>
        <v>31321.919999999998</v>
      </c>
    </row>
    <row r="1165" spans="1:15" x14ac:dyDescent="0.2">
      <c r="A1165" s="51">
        <v>43739</v>
      </c>
      <c r="B1165" s="11">
        <v>27</v>
      </c>
      <c r="C1165" s="11" t="s">
        <v>606</v>
      </c>
      <c r="D1165" s="11" t="s">
        <v>607</v>
      </c>
      <c r="F1165" s="11" t="s">
        <v>22</v>
      </c>
      <c r="G1165" s="38" t="s">
        <v>2457</v>
      </c>
      <c r="H1165" s="650">
        <v>43743</v>
      </c>
      <c r="I1165" s="126">
        <v>42000</v>
      </c>
      <c r="J1165" s="640">
        <f t="shared" si="42"/>
        <v>7560</v>
      </c>
      <c r="K1165" s="54">
        <v>0</v>
      </c>
      <c r="L1165" s="54">
        <v>3780</v>
      </c>
      <c r="M1165" s="54">
        <v>3780</v>
      </c>
      <c r="N1165" s="54"/>
      <c r="O1165" s="54">
        <f t="shared" si="43"/>
        <v>49560</v>
      </c>
    </row>
    <row r="1166" spans="1:15" x14ac:dyDescent="0.2">
      <c r="A1166" s="51">
        <v>43739</v>
      </c>
      <c r="B1166" s="11">
        <v>28</v>
      </c>
      <c r="C1166" s="11" t="s">
        <v>601</v>
      </c>
      <c r="D1166" s="11" t="s">
        <v>602</v>
      </c>
      <c r="F1166" s="11" t="s">
        <v>22</v>
      </c>
      <c r="G1166" s="38">
        <v>4687</v>
      </c>
      <c r="H1166" s="650">
        <v>43747</v>
      </c>
      <c r="I1166" s="126">
        <v>46827</v>
      </c>
      <c r="J1166" s="640">
        <f t="shared" si="42"/>
        <v>13111.56</v>
      </c>
      <c r="K1166" s="54">
        <v>0</v>
      </c>
      <c r="L1166" s="54">
        <v>6555.78</v>
      </c>
      <c r="M1166" s="54">
        <v>6555.78</v>
      </c>
      <c r="N1166" s="54"/>
      <c r="O1166" s="54">
        <f t="shared" si="43"/>
        <v>59938.559999999998</v>
      </c>
    </row>
    <row r="1167" spans="1:15" x14ac:dyDescent="0.2">
      <c r="A1167" s="51">
        <v>43739</v>
      </c>
      <c r="B1167" s="11">
        <v>29</v>
      </c>
      <c r="C1167" s="11" t="s">
        <v>554</v>
      </c>
      <c r="D1167" s="11" t="s">
        <v>555</v>
      </c>
      <c r="F1167" s="11" t="s">
        <v>22</v>
      </c>
      <c r="G1167" s="38">
        <v>12922</v>
      </c>
      <c r="H1167" s="650">
        <v>43747</v>
      </c>
      <c r="I1167" s="126">
        <v>4820</v>
      </c>
      <c r="J1167" s="640">
        <f t="shared" si="42"/>
        <v>1349.6000000000001</v>
      </c>
      <c r="K1167" s="54">
        <v>0</v>
      </c>
      <c r="L1167" s="54">
        <v>674.80000000000007</v>
      </c>
      <c r="M1167" s="54">
        <v>674.80000000000007</v>
      </c>
      <c r="N1167" s="54"/>
      <c r="O1167" s="54">
        <f t="shared" si="43"/>
        <v>6169.6</v>
      </c>
    </row>
    <row r="1168" spans="1:15" x14ac:dyDescent="0.2">
      <c r="A1168" s="51">
        <v>43739</v>
      </c>
      <c r="B1168" s="11">
        <v>30</v>
      </c>
      <c r="C1168" s="11" t="s">
        <v>541</v>
      </c>
      <c r="D1168" s="11" t="s">
        <v>542</v>
      </c>
      <c r="F1168" s="11" t="s">
        <v>22</v>
      </c>
      <c r="G1168" s="38" t="s">
        <v>2458</v>
      </c>
      <c r="H1168" s="650">
        <v>43739</v>
      </c>
      <c r="I1168" s="126">
        <v>3500</v>
      </c>
      <c r="J1168" s="640">
        <f t="shared" si="42"/>
        <v>630</v>
      </c>
      <c r="K1168" s="54">
        <v>0</v>
      </c>
      <c r="L1168" s="54">
        <v>315</v>
      </c>
      <c r="M1168" s="54">
        <v>315</v>
      </c>
      <c r="N1168" s="54"/>
      <c r="O1168" s="54">
        <f t="shared" si="43"/>
        <v>4130</v>
      </c>
    </row>
    <row r="1169" spans="1:15" x14ac:dyDescent="0.2">
      <c r="A1169" s="51">
        <v>43739</v>
      </c>
      <c r="B1169" s="11">
        <v>31</v>
      </c>
      <c r="C1169" s="11" t="s">
        <v>747</v>
      </c>
      <c r="D1169" s="11" t="s">
        <v>748</v>
      </c>
      <c r="F1169" s="11" t="s">
        <v>22</v>
      </c>
      <c r="G1169" s="38" t="s">
        <v>2459</v>
      </c>
      <c r="H1169" s="650">
        <v>43747</v>
      </c>
      <c r="I1169" s="126">
        <v>11900</v>
      </c>
      <c r="J1169" s="640">
        <f t="shared" si="42"/>
        <v>2142</v>
      </c>
      <c r="K1169" s="54">
        <v>0</v>
      </c>
      <c r="L1169" s="54">
        <v>1071</v>
      </c>
      <c r="M1169" s="54">
        <v>1071</v>
      </c>
      <c r="N1169" s="54"/>
      <c r="O1169" s="54">
        <f t="shared" si="43"/>
        <v>14042</v>
      </c>
    </row>
    <row r="1170" spans="1:15" x14ac:dyDescent="0.2">
      <c r="A1170" s="51">
        <v>43739</v>
      </c>
      <c r="B1170" s="11">
        <v>32</v>
      </c>
      <c r="C1170" s="11" t="s">
        <v>499</v>
      </c>
      <c r="D1170" s="11" t="s">
        <v>500</v>
      </c>
      <c r="F1170" s="11" t="s">
        <v>22</v>
      </c>
      <c r="G1170" s="38" t="s">
        <v>2460</v>
      </c>
      <c r="H1170" s="650">
        <v>43747</v>
      </c>
      <c r="I1170" s="126">
        <v>5200</v>
      </c>
      <c r="J1170" s="640">
        <f t="shared" si="42"/>
        <v>624</v>
      </c>
      <c r="K1170" s="54">
        <v>0</v>
      </c>
      <c r="L1170" s="54">
        <v>312</v>
      </c>
      <c r="M1170" s="54">
        <v>312</v>
      </c>
      <c r="N1170" s="54"/>
      <c r="O1170" s="54">
        <f t="shared" si="43"/>
        <v>5824</v>
      </c>
    </row>
    <row r="1171" spans="1:15" x14ac:dyDescent="0.2">
      <c r="A1171" s="51">
        <v>43739</v>
      </c>
      <c r="B1171" s="11">
        <v>33</v>
      </c>
      <c r="C1171" s="11" t="s">
        <v>499</v>
      </c>
      <c r="D1171" s="11" t="s">
        <v>500</v>
      </c>
      <c r="F1171" s="11" t="s">
        <v>22</v>
      </c>
      <c r="G1171" s="38" t="s">
        <v>2461</v>
      </c>
      <c r="H1171" s="650">
        <v>43745</v>
      </c>
      <c r="I1171" s="126">
        <v>5240</v>
      </c>
      <c r="J1171" s="640">
        <f t="shared" si="42"/>
        <v>262</v>
      </c>
      <c r="K1171" s="54">
        <v>0</v>
      </c>
      <c r="L1171" s="54">
        <v>131</v>
      </c>
      <c r="M1171" s="54">
        <v>131</v>
      </c>
      <c r="N1171" s="54"/>
      <c r="O1171" s="54">
        <f t="shared" si="43"/>
        <v>5502</v>
      </c>
    </row>
    <row r="1172" spans="1:15" x14ac:dyDescent="0.2">
      <c r="A1172" s="51">
        <v>43739</v>
      </c>
      <c r="B1172" s="11">
        <v>34</v>
      </c>
      <c r="C1172" s="11" t="s">
        <v>499</v>
      </c>
      <c r="D1172" s="11" t="s">
        <v>500</v>
      </c>
      <c r="F1172" s="11" t="s">
        <v>22</v>
      </c>
      <c r="G1172" s="38" t="s">
        <v>2462</v>
      </c>
      <c r="H1172" s="650">
        <v>43745</v>
      </c>
      <c r="I1172" s="126">
        <v>360</v>
      </c>
      <c r="J1172" s="640">
        <f t="shared" si="42"/>
        <v>64.8</v>
      </c>
      <c r="K1172" s="54">
        <v>0</v>
      </c>
      <c r="L1172" s="54">
        <v>32.4</v>
      </c>
      <c r="M1172" s="54">
        <v>32.4</v>
      </c>
      <c r="N1172" s="54"/>
      <c r="O1172" s="54">
        <f t="shared" si="43"/>
        <v>424.8</v>
      </c>
    </row>
    <row r="1173" spans="1:15" x14ac:dyDescent="0.2">
      <c r="A1173" s="51">
        <v>43739</v>
      </c>
      <c r="B1173" s="11">
        <v>35</v>
      </c>
      <c r="C1173" s="11" t="s">
        <v>489</v>
      </c>
      <c r="D1173" s="11" t="s">
        <v>490</v>
      </c>
      <c r="F1173" s="11" t="s">
        <v>22</v>
      </c>
      <c r="G1173" s="38">
        <v>7887989514</v>
      </c>
      <c r="H1173" s="650">
        <v>43747</v>
      </c>
      <c r="I1173" s="126">
        <v>61200</v>
      </c>
      <c r="J1173" s="640">
        <f t="shared" si="42"/>
        <v>11016</v>
      </c>
      <c r="K1173" s="54">
        <v>0</v>
      </c>
      <c r="L1173" s="54">
        <v>5508</v>
      </c>
      <c r="M1173" s="54">
        <v>5508</v>
      </c>
      <c r="N1173" s="54"/>
      <c r="O1173" s="54">
        <f t="shared" si="43"/>
        <v>72216</v>
      </c>
    </row>
    <row r="1174" spans="1:15" x14ac:dyDescent="0.2">
      <c r="A1174" s="51">
        <v>43739</v>
      </c>
      <c r="B1174" s="11">
        <v>36</v>
      </c>
      <c r="C1174" s="11" t="s">
        <v>554</v>
      </c>
      <c r="D1174" s="11" t="s">
        <v>555</v>
      </c>
      <c r="F1174" s="11" t="s">
        <v>22</v>
      </c>
      <c r="G1174" s="38">
        <v>12966</v>
      </c>
      <c r="H1174" s="650">
        <v>43748</v>
      </c>
      <c r="I1174" s="126">
        <v>11158.3</v>
      </c>
      <c r="J1174" s="640">
        <f t="shared" si="42"/>
        <v>3124.3240000000001</v>
      </c>
      <c r="K1174" s="54">
        <v>0</v>
      </c>
      <c r="L1174" s="54">
        <v>1562.162</v>
      </c>
      <c r="M1174" s="54">
        <v>1562.162</v>
      </c>
      <c r="N1174" s="54"/>
      <c r="O1174" s="54">
        <f t="shared" si="43"/>
        <v>14282.624</v>
      </c>
    </row>
    <row r="1175" spans="1:15" x14ac:dyDescent="0.2">
      <c r="A1175" s="51">
        <v>43739</v>
      </c>
      <c r="B1175" s="11">
        <v>37</v>
      </c>
      <c r="C1175" s="11" t="s">
        <v>489</v>
      </c>
      <c r="D1175" s="11" t="s">
        <v>490</v>
      </c>
      <c r="F1175" s="11" t="s">
        <v>22</v>
      </c>
      <c r="G1175" s="38">
        <v>7887989573</v>
      </c>
      <c r="H1175" s="650">
        <v>43748</v>
      </c>
      <c r="I1175" s="126">
        <v>12800</v>
      </c>
      <c r="J1175" s="640">
        <f t="shared" si="42"/>
        <v>2304</v>
      </c>
      <c r="K1175" s="54">
        <v>0</v>
      </c>
      <c r="L1175" s="54">
        <v>1152</v>
      </c>
      <c r="M1175" s="54">
        <v>1152</v>
      </c>
      <c r="N1175" s="54"/>
      <c r="O1175" s="54">
        <f t="shared" si="43"/>
        <v>15104</v>
      </c>
    </row>
    <row r="1176" spans="1:15" x14ac:dyDescent="0.2">
      <c r="A1176" s="51">
        <v>43739</v>
      </c>
      <c r="B1176" s="11">
        <v>38</v>
      </c>
      <c r="C1176" s="11" t="s">
        <v>506</v>
      </c>
      <c r="D1176" s="11" t="s">
        <v>507</v>
      </c>
      <c r="F1176" s="11" t="s">
        <v>22</v>
      </c>
      <c r="G1176" s="38" t="s">
        <v>2463</v>
      </c>
      <c r="H1176" s="650">
        <v>43748</v>
      </c>
      <c r="I1176" s="126">
        <v>69758</v>
      </c>
      <c r="J1176" s="640">
        <f t="shared" si="42"/>
        <v>12556.44</v>
      </c>
      <c r="K1176" s="54">
        <v>0</v>
      </c>
      <c r="L1176" s="54">
        <v>6278.22</v>
      </c>
      <c r="M1176" s="54">
        <v>6278.22</v>
      </c>
      <c r="N1176" s="54"/>
      <c r="O1176" s="54">
        <f t="shared" si="43"/>
        <v>82314.44</v>
      </c>
    </row>
    <row r="1177" spans="1:15" x14ac:dyDescent="0.2">
      <c r="A1177" s="51">
        <v>43739</v>
      </c>
      <c r="B1177" s="11">
        <v>39</v>
      </c>
      <c r="C1177" s="11" t="s">
        <v>506</v>
      </c>
      <c r="D1177" s="11" t="s">
        <v>507</v>
      </c>
      <c r="F1177" s="11" t="s">
        <v>22</v>
      </c>
      <c r="G1177" s="38" t="s">
        <v>2464</v>
      </c>
      <c r="H1177" s="650">
        <v>43748</v>
      </c>
      <c r="I1177" s="126">
        <v>18480</v>
      </c>
      <c r="J1177" s="640">
        <f t="shared" si="42"/>
        <v>3326.4</v>
      </c>
      <c r="K1177" s="54">
        <v>0</v>
      </c>
      <c r="L1177" s="54">
        <v>1663.2</v>
      </c>
      <c r="M1177" s="54">
        <v>1663.2</v>
      </c>
      <c r="N1177" s="54"/>
      <c r="O1177" s="54">
        <f t="shared" si="43"/>
        <v>21806.400000000001</v>
      </c>
    </row>
    <row r="1178" spans="1:15" x14ac:dyDescent="0.2">
      <c r="A1178" s="51">
        <v>43739</v>
      </c>
      <c r="B1178" s="11">
        <v>40</v>
      </c>
      <c r="C1178" s="11" t="s">
        <v>473</v>
      </c>
      <c r="D1178" s="11" t="s">
        <v>41</v>
      </c>
      <c r="F1178" s="11" t="s">
        <v>22</v>
      </c>
      <c r="G1178" s="38" t="s">
        <v>2465</v>
      </c>
      <c r="H1178" s="650">
        <v>43748</v>
      </c>
      <c r="I1178" s="126">
        <v>3206</v>
      </c>
      <c r="J1178" s="640">
        <f t="shared" si="42"/>
        <v>897.68000000000006</v>
      </c>
      <c r="K1178" s="54">
        <v>0</v>
      </c>
      <c r="L1178" s="54">
        <v>448.84000000000003</v>
      </c>
      <c r="M1178" s="54">
        <v>448.84000000000003</v>
      </c>
      <c r="N1178" s="54"/>
      <c r="O1178" s="54">
        <f t="shared" si="43"/>
        <v>4103.68</v>
      </c>
    </row>
    <row r="1179" spans="1:15" x14ac:dyDescent="0.2">
      <c r="A1179" s="51">
        <v>43739</v>
      </c>
      <c r="B1179" s="11">
        <v>41</v>
      </c>
      <c r="C1179" s="11" t="s">
        <v>473</v>
      </c>
      <c r="D1179" s="11" t="s">
        <v>41</v>
      </c>
      <c r="F1179" s="11" t="s">
        <v>22</v>
      </c>
      <c r="G1179" s="38" t="s">
        <v>2466</v>
      </c>
      <c r="H1179" s="650">
        <v>43748</v>
      </c>
      <c r="I1179" s="126">
        <v>6423.9</v>
      </c>
      <c r="J1179" s="640">
        <f t="shared" si="42"/>
        <v>1798.6919999999998</v>
      </c>
      <c r="K1179" s="54">
        <v>0</v>
      </c>
      <c r="L1179" s="54">
        <v>899.34599999999989</v>
      </c>
      <c r="M1179" s="54">
        <v>899.34599999999989</v>
      </c>
      <c r="N1179" s="54"/>
      <c r="O1179" s="54">
        <f t="shared" si="43"/>
        <v>8222.5919999999987</v>
      </c>
    </row>
    <row r="1180" spans="1:15" x14ac:dyDescent="0.2">
      <c r="A1180" s="51">
        <v>43739</v>
      </c>
      <c r="B1180" s="11">
        <v>42</v>
      </c>
      <c r="C1180" s="11" t="s">
        <v>517</v>
      </c>
      <c r="D1180" s="11" t="s">
        <v>256</v>
      </c>
      <c r="F1180" s="11" t="s">
        <v>22</v>
      </c>
      <c r="G1180" s="38">
        <v>19619570</v>
      </c>
      <c r="H1180" s="650">
        <v>43747</v>
      </c>
      <c r="I1180" s="126">
        <v>20152.8</v>
      </c>
      <c r="J1180" s="640">
        <f t="shared" si="42"/>
        <v>5642.7839999999997</v>
      </c>
      <c r="K1180" s="54">
        <v>5642.7839999999997</v>
      </c>
      <c r="L1180" s="54">
        <v>0</v>
      </c>
      <c r="M1180" s="54">
        <v>0</v>
      </c>
      <c r="N1180" s="54"/>
      <c r="O1180" s="54">
        <f t="shared" si="43"/>
        <v>25795.583999999999</v>
      </c>
    </row>
    <row r="1181" spans="1:15" x14ac:dyDescent="0.2">
      <c r="A1181" s="51">
        <v>43739</v>
      </c>
      <c r="B1181" s="11">
        <v>43</v>
      </c>
      <c r="C1181" s="11" t="s">
        <v>1127</v>
      </c>
      <c r="D1181" s="11" t="s">
        <v>1128</v>
      </c>
      <c r="F1181" s="11" t="s">
        <v>22</v>
      </c>
      <c r="G1181" s="38">
        <v>280219122518</v>
      </c>
      <c r="H1181" s="650">
        <v>43750</v>
      </c>
      <c r="I1181" s="126">
        <v>2625.6</v>
      </c>
      <c r="J1181" s="640">
        <f t="shared" si="42"/>
        <v>315.072</v>
      </c>
      <c r="K1181" s="54">
        <v>0</v>
      </c>
      <c r="L1181" s="54">
        <v>157.536</v>
      </c>
      <c r="M1181" s="54">
        <v>157.536</v>
      </c>
      <c r="N1181" s="54"/>
      <c r="O1181" s="54">
        <f t="shared" si="43"/>
        <v>2940.672</v>
      </c>
    </row>
    <row r="1182" spans="1:15" x14ac:dyDescent="0.2">
      <c r="A1182" s="51">
        <v>43739</v>
      </c>
      <c r="B1182" s="11">
        <v>44</v>
      </c>
      <c r="C1182" s="11" t="s">
        <v>609</v>
      </c>
      <c r="D1182" s="11" t="s">
        <v>610</v>
      </c>
      <c r="F1182" s="11" t="s">
        <v>22</v>
      </c>
      <c r="G1182" s="38" t="s">
        <v>2467</v>
      </c>
      <c r="H1182" s="650">
        <v>43739</v>
      </c>
      <c r="I1182" s="126">
        <v>509332</v>
      </c>
      <c r="J1182" s="640">
        <f t="shared" si="42"/>
        <v>91679.76</v>
      </c>
      <c r="K1182" s="54">
        <v>0</v>
      </c>
      <c r="L1182" s="54">
        <v>45839.88</v>
      </c>
      <c r="M1182" s="54">
        <v>45839.88</v>
      </c>
      <c r="N1182" s="54"/>
      <c r="O1182" s="54">
        <f t="shared" si="43"/>
        <v>601011.76</v>
      </c>
    </row>
    <row r="1183" spans="1:15" x14ac:dyDescent="0.2">
      <c r="A1183" s="51">
        <v>43739</v>
      </c>
      <c r="B1183" s="11">
        <v>45</v>
      </c>
      <c r="C1183" s="11" t="s">
        <v>677</v>
      </c>
      <c r="D1183" s="11" t="s">
        <v>678</v>
      </c>
      <c r="F1183" s="11" t="s">
        <v>22</v>
      </c>
      <c r="G1183" s="38" t="s">
        <v>2468</v>
      </c>
      <c r="H1183" s="650">
        <v>43745</v>
      </c>
      <c r="I1183" s="126">
        <v>9046</v>
      </c>
      <c r="J1183" s="640">
        <f t="shared" si="42"/>
        <v>2532.8799999999997</v>
      </c>
      <c r="K1183" s="54">
        <v>2532.8799999999997</v>
      </c>
      <c r="L1183" s="54">
        <v>0</v>
      </c>
      <c r="M1183" s="54">
        <v>0</v>
      </c>
      <c r="N1183" s="54"/>
      <c r="O1183" s="54">
        <f t="shared" si="43"/>
        <v>11578.88</v>
      </c>
    </row>
    <row r="1184" spans="1:15" x14ac:dyDescent="0.2">
      <c r="A1184" s="51">
        <v>43739</v>
      </c>
      <c r="B1184" s="11">
        <v>46</v>
      </c>
      <c r="C1184" s="11" t="s">
        <v>479</v>
      </c>
      <c r="D1184" s="11" t="s">
        <v>480</v>
      </c>
      <c r="F1184" s="11" t="s">
        <v>22</v>
      </c>
      <c r="G1184" s="38">
        <v>1346</v>
      </c>
      <c r="H1184" s="650">
        <v>43750</v>
      </c>
      <c r="I1184" s="126">
        <v>6000</v>
      </c>
      <c r="J1184" s="640">
        <f t="shared" si="42"/>
        <v>1080</v>
      </c>
      <c r="K1184" s="54">
        <v>0</v>
      </c>
      <c r="L1184" s="54">
        <v>540</v>
      </c>
      <c r="M1184" s="54">
        <v>540</v>
      </c>
      <c r="N1184" s="54"/>
      <c r="O1184" s="54">
        <f t="shared" si="43"/>
        <v>7080</v>
      </c>
    </row>
    <row r="1185" spans="1:15" x14ac:dyDescent="0.2">
      <c r="A1185" s="51">
        <v>43739</v>
      </c>
      <c r="B1185" s="11">
        <v>47</v>
      </c>
      <c r="C1185" s="11" t="s">
        <v>518</v>
      </c>
      <c r="D1185" s="11" t="s">
        <v>519</v>
      </c>
      <c r="F1185" s="11" t="s">
        <v>22</v>
      </c>
      <c r="G1185" s="38" t="s">
        <v>2469</v>
      </c>
      <c r="H1185" s="650">
        <v>43750</v>
      </c>
      <c r="I1185" s="126">
        <v>4797</v>
      </c>
      <c r="J1185" s="640">
        <f t="shared" si="42"/>
        <v>863.46</v>
      </c>
      <c r="K1185" s="54">
        <v>0</v>
      </c>
      <c r="L1185" s="54">
        <v>431.73</v>
      </c>
      <c r="M1185" s="54">
        <v>431.73</v>
      </c>
      <c r="N1185" s="54"/>
      <c r="O1185" s="54">
        <f t="shared" si="43"/>
        <v>5660.46</v>
      </c>
    </row>
    <row r="1186" spans="1:15" x14ac:dyDescent="0.2">
      <c r="A1186" s="51">
        <v>43739</v>
      </c>
      <c r="B1186" s="11">
        <v>48</v>
      </c>
      <c r="C1186" s="11" t="s">
        <v>471</v>
      </c>
      <c r="D1186" s="11" t="s">
        <v>29</v>
      </c>
      <c r="F1186" s="11" t="s">
        <v>22</v>
      </c>
      <c r="G1186" s="38">
        <v>192006065</v>
      </c>
      <c r="H1186" s="650">
        <v>43750</v>
      </c>
      <c r="I1186" s="126">
        <v>17483.52</v>
      </c>
      <c r="J1186" s="640">
        <f t="shared" si="42"/>
        <v>4895.3856000000005</v>
      </c>
      <c r="K1186" s="54">
        <v>0</v>
      </c>
      <c r="L1186" s="54">
        <v>2447.6928000000003</v>
      </c>
      <c r="M1186" s="54">
        <v>2447.6928000000003</v>
      </c>
      <c r="N1186" s="54"/>
      <c r="O1186" s="54">
        <f t="shared" si="43"/>
        <v>22378.905600000002</v>
      </c>
    </row>
    <row r="1187" spans="1:15" x14ac:dyDescent="0.2">
      <c r="A1187" s="51">
        <v>43739</v>
      </c>
      <c r="B1187" s="11">
        <v>49</v>
      </c>
      <c r="C1187" s="11" t="s">
        <v>471</v>
      </c>
      <c r="D1187" s="11" t="s">
        <v>29</v>
      </c>
      <c r="F1187" s="11" t="s">
        <v>22</v>
      </c>
      <c r="G1187" s="38">
        <v>192006060</v>
      </c>
      <c r="H1187" s="650">
        <v>43750</v>
      </c>
      <c r="I1187" s="126">
        <v>17483.52</v>
      </c>
      <c r="J1187" s="640">
        <f t="shared" si="42"/>
        <v>4895.3856000000005</v>
      </c>
      <c r="K1187" s="54">
        <v>0</v>
      </c>
      <c r="L1187" s="54">
        <v>2447.6928000000003</v>
      </c>
      <c r="M1187" s="54">
        <v>2447.6928000000003</v>
      </c>
      <c r="N1187" s="54"/>
      <c r="O1187" s="54">
        <f t="shared" si="43"/>
        <v>22378.905600000002</v>
      </c>
    </row>
    <row r="1188" spans="1:15" x14ac:dyDescent="0.2">
      <c r="A1188" s="51">
        <v>43739</v>
      </c>
      <c r="B1188" s="11">
        <v>50</v>
      </c>
      <c r="C1188" s="11" t="s">
        <v>554</v>
      </c>
      <c r="D1188" s="11" t="s">
        <v>555</v>
      </c>
      <c r="F1188" s="11" t="s">
        <v>22</v>
      </c>
      <c r="G1188" s="38">
        <v>13087</v>
      </c>
      <c r="H1188" s="650">
        <v>43750</v>
      </c>
      <c r="I1188" s="126">
        <v>3615</v>
      </c>
      <c r="J1188" s="640">
        <f t="shared" si="42"/>
        <v>1012.1999999999999</v>
      </c>
      <c r="K1188" s="54">
        <v>0</v>
      </c>
      <c r="L1188" s="54">
        <v>506.09999999999997</v>
      </c>
      <c r="M1188" s="54">
        <v>506.09999999999997</v>
      </c>
      <c r="N1188" s="54"/>
      <c r="O1188" s="54">
        <f t="shared" si="43"/>
        <v>4627.2</v>
      </c>
    </row>
    <row r="1189" spans="1:15" x14ac:dyDescent="0.2">
      <c r="A1189" s="51">
        <v>43739</v>
      </c>
      <c r="B1189" s="11">
        <v>51</v>
      </c>
      <c r="C1189" s="11" t="s">
        <v>495</v>
      </c>
      <c r="D1189" s="11" t="s">
        <v>74</v>
      </c>
      <c r="F1189" s="11" t="s">
        <v>22</v>
      </c>
      <c r="G1189" s="38">
        <v>5510060314</v>
      </c>
      <c r="H1189" s="650">
        <v>43750</v>
      </c>
      <c r="I1189" s="126">
        <v>26544</v>
      </c>
      <c r="J1189" s="640">
        <f t="shared" si="42"/>
        <v>4777.92</v>
      </c>
      <c r="K1189" s="54">
        <v>0</v>
      </c>
      <c r="L1189" s="54">
        <v>2388.96</v>
      </c>
      <c r="M1189" s="54">
        <v>2388.96</v>
      </c>
      <c r="N1189" s="54"/>
      <c r="O1189" s="54">
        <f t="shared" si="43"/>
        <v>31321.919999999998</v>
      </c>
    </row>
    <row r="1190" spans="1:15" x14ac:dyDescent="0.2">
      <c r="A1190" s="51">
        <v>43739</v>
      </c>
      <c r="B1190" s="11">
        <v>52</v>
      </c>
      <c r="C1190" s="11" t="s">
        <v>601</v>
      </c>
      <c r="D1190" s="11" t="s">
        <v>602</v>
      </c>
      <c r="F1190" s="11" t="s">
        <v>22</v>
      </c>
      <c r="G1190" s="38">
        <v>4833</v>
      </c>
      <c r="H1190" s="650">
        <v>43750</v>
      </c>
      <c r="I1190" s="126">
        <v>19582.2</v>
      </c>
      <c r="J1190" s="640">
        <f t="shared" si="42"/>
        <v>5483.0159999999996</v>
      </c>
      <c r="K1190" s="54">
        <v>0</v>
      </c>
      <c r="L1190" s="54">
        <v>2741.5079999999998</v>
      </c>
      <c r="M1190" s="54">
        <v>2741.5079999999998</v>
      </c>
      <c r="N1190" s="54"/>
      <c r="O1190" s="54">
        <f t="shared" si="43"/>
        <v>25065.216</v>
      </c>
    </row>
    <row r="1191" spans="1:15" x14ac:dyDescent="0.2">
      <c r="A1191" s="51">
        <v>43739</v>
      </c>
      <c r="B1191" s="11">
        <v>53</v>
      </c>
      <c r="C1191" s="11" t="s">
        <v>601</v>
      </c>
      <c r="D1191" s="11" t="s">
        <v>602</v>
      </c>
      <c r="F1191" s="11" t="s">
        <v>22</v>
      </c>
      <c r="G1191" s="38">
        <v>4834</v>
      </c>
      <c r="H1191" s="650">
        <v>43750</v>
      </c>
      <c r="I1191" s="126">
        <v>8035.2</v>
      </c>
      <c r="J1191" s="640">
        <f t="shared" si="42"/>
        <v>2249.8560000000002</v>
      </c>
      <c r="K1191" s="54">
        <v>0</v>
      </c>
      <c r="L1191" s="54">
        <v>1124.9280000000001</v>
      </c>
      <c r="M1191" s="54">
        <v>1124.9280000000001</v>
      </c>
      <c r="N1191" s="54"/>
      <c r="O1191" s="54">
        <f t="shared" si="43"/>
        <v>10285.056</v>
      </c>
    </row>
    <row r="1192" spans="1:15" x14ac:dyDescent="0.2">
      <c r="A1192" s="51">
        <v>43739</v>
      </c>
      <c r="B1192" s="11">
        <v>54</v>
      </c>
      <c r="C1192" s="11" t="s">
        <v>514</v>
      </c>
      <c r="D1192" s="11" t="s">
        <v>515</v>
      </c>
      <c r="F1192" s="11" t="s">
        <v>22</v>
      </c>
      <c r="G1192" s="38"/>
      <c r="H1192" s="650">
        <v>43750</v>
      </c>
      <c r="I1192" s="126">
        <v>150</v>
      </c>
      <c r="J1192" s="640">
        <f t="shared" si="42"/>
        <v>27</v>
      </c>
      <c r="K1192" s="54">
        <v>0</v>
      </c>
      <c r="L1192" s="54">
        <v>13.5</v>
      </c>
      <c r="M1192" s="54">
        <v>13.5</v>
      </c>
      <c r="N1192" s="54"/>
      <c r="O1192" s="54">
        <f t="shared" si="43"/>
        <v>177</v>
      </c>
    </row>
    <row r="1193" spans="1:15" x14ac:dyDescent="0.2">
      <c r="A1193" s="51">
        <v>43739</v>
      </c>
      <c r="B1193" s="11">
        <v>55</v>
      </c>
      <c r="C1193" s="11" t="s">
        <v>747</v>
      </c>
      <c r="D1193" s="11" t="s">
        <v>748</v>
      </c>
      <c r="F1193" s="11" t="s">
        <v>22</v>
      </c>
      <c r="G1193" s="38" t="s">
        <v>2470</v>
      </c>
      <c r="H1193" s="650">
        <v>43752</v>
      </c>
      <c r="I1193" s="126">
        <v>14000</v>
      </c>
      <c r="J1193" s="640">
        <f t="shared" si="42"/>
        <v>2520</v>
      </c>
      <c r="K1193" s="54">
        <v>0</v>
      </c>
      <c r="L1193" s="54">
        <v>1260</v>
      </c>
      <c r="M1193" s="54">
        <v>1260</v>
      </c>
      <c r="N1193" s="54"/>
      <c r="O1193" s="54">
        <f t="shared" si="43"/>
        <v>16520</v>
      </c>
    </row>
    <row r="1194" spans="1:15" x14ac:dyDescent="0.2">
      <c r="A1194" s="51">
        <v>43739</v>
      </c>
      <c r="B1194" s="11">
        <v>56</v>
      </c>
      <c r="C1194" s="11" t="s">
        <v>506</v>
      </c>
      <c r="D1194" s="11" t="s">
        <v>507</v>
      </c>
      <c r="F1194" s="11" t="s">
        <v>22</v>
      </c>
      <c r="G1194" s="38" t="s">
        <v>2471</v>
      </c>
      <c r="H1194" s="650">
        <v>43752</v>
      </c>
      <c r="I1194" s="126">
        <v>21000</v>
      </c>
      <c r="J1194" s="640">
        <f t="shared" si="42"/>
        <v>3780</v>
      </c>
      <c r="K1194" s="54">
        <v>0</v>
      </c>
      <c r="L1194" s="54">
        <v>1890</v>
      </c>
      <c r="M1194" s="54">
        <v>1890</v>
      </c>
      <c r="N1194" s="54"/>
      <c r="O1194" s="54">
        <f t="shared" si="43"/>
        <v>24780</v>
      </c>
    </row>
    <row r="1195" spans="1:15" x14ac:dyDescent="0.2">
      <c r="A1195" s="51">
        <v>43739</v>
      </c>
      <c r="B1195" s="11">
        <v>57</v>
      </c>
      <c r="C1195" s="11" t="s">
        <v>479</v>
      </c>
      <c r="D1195" s="11" t="s">
        <v>480</v>
      </c>
      <c r="F1195" s="11" t="s">
        <v>22</v>
      </c>
      <c r="G1195" s="38">
        <v>1352</v>
      </c>
      <c r="H1195" s="650">
        <v>43752</v>
      </c>
      <c r="I1195" s="126">
        <v>16000</v>
      </c>
      <c r="J1195" s="640">
        <f t="shared" si="42"/>
        <v>2880</v>
      </c>
      <c r="K1195" s="54">
        <v>0</v>
      </c>
      <c r="L1195" s="54">
        <v>1440</v>
      </c>
      <c r="M1195" s="54">
        <v>1440</v>
      </c>
      <c r="N1195" s="54"/>
      <c r="O1195" s="54">
        <f t="shared" si="43"/>
        <v>18880</v>
      </c>
    </row>
    <row r="1196" spans="1:15" x14ac:dyDescent="0.2">
      <c r="A1196" s="51">
        <v>43739</v>
      </c>
      <c r="B1196" s="11">
        <v>58</v>
      </c>
      <c r="C1196" s="11" t="s">
        <v>495</v>
      </c>
      <c r="D1196" s="11" t="s">
        <v>74</v>
      </c>
      <c r="F1196" s="11" t="s">
        <v>22</v>
      </c>
      <c r="G1196" s="38">
        <v>5510060446</v>
      </c>
      <c r="H1196" s="650">
        <v>43752</v>
      </c>
      <c r="I1196" s="126">
        <v>26544</v>
      </c>
      <c r="J1196" s="640">
        <f t="shared" si="42"/>
        <v>4777.92</v>
      </c>
      <c r="K1196" s="54">
        <v>0</v>
      </c>
      <c r="L1196" s="54">
        <v>2388.96</v>
      </c>
      <c r="M1196" s="54">
        <v>2388.96</v>
      </c>
      <c r="N1196" s="54"/>
      <c r="O1196" s="54">
        <f t="shared" si="43"/>
        <v>31321.919999999998</v>
      </c>
    </row>
    <row r="1197" spans="1:15" x14ac:dyDescent="0.2">
      <c r="A1197" s="51">
        <v>43739</v>
      </c>
      <c r="B1197" s="11">
        <v>59</v>
      </c>
      <c r="C1197" s="11" t="s">
        <v>493</v>
      </c>
      <c r="D1197" s="11" t="s">
        <v>494</v>
      </c>
      <c r="F1197" s="11" t="s">
        <v>22</v>
      </c>
      <c r="G1197" s="38">
        <v>3306</v>
      </c>
      <c r="H1197" s="650">
        <v>43752</v>
      </c>
      <c r="I1197" s="126">
        <v>7356.8</v>
      </c>
      <c r="J1197" s="640">
        <f t="shared" si="42"/>
        <v>1324.2239999999999</v>
      </c>
      <c r="K1197" s="54">
        <v>0</v>
      </c>
      <c r="L1197" s="54">
        <v>662.11199999999997</v>
      </c>
      <c r="M1197" s="54">
        <v>662.11199999999997</v>
      </c>
      <c r="N1197" s="54"/>
      <c r="O1197" s="54">
        <f t="shared" si="43"/>
        <v>8681.0239999999994</v>
      </c>
    </row>
    <row r="1198" spans="1:15" x14ac:dyDescent="0.2">
      <c r="A1198" s="51">
        <v>43739</v>
      </c>
      <c r="B1198" s="11">
        <v>60</v>
      </c>
      <c r="C1198" s="11" t="s">
        <v>601</v>
      </c>
      <c r="D1198" s="11" t="s">
        <v>602</v>
      </c>
      <c r="F1198" s="11" t="s">
        <v>22</v>
      </c>
      <c r="G1198" s="38">
        <v>4843</v>
      </c>
      <c r="H1198" s="650">
        <v>43752</v>
      </c>
      <c r="I1198" s="126">
        <v>19582.2</v>
      </c>
      <c r="J1198" s="640">
        <f t="shared" si="42"/>
        <v>5483.0159999999996</v>
      </c>
      <c r="K1198" s="54">
        <v>0</v>
      </c>
      <c r="L1198" s="54">
        <v>2741.5079999999998</v>
      </c>
      <c r="M1198" s="54">
        <v>2741.5079999999998</v>
      </c>
      <c r="N1198" s="54"/>
      <c r="O1198" s="54">
        <f t="shared" si="43"/>
        <v>25065.216</v>
      </c>
    </row>
    <row r="1199" spans="1:15" x14ac:dyDescent="0.2">
      <c r="A1199" s="51">
        <v>43739</v>
      </c>
      <c r="B1199" s="11">
        <v>61</v>
      </c>
      <c r="C1199" s="11" t="s">
        <v>473</v>
      </c>
      <c r="D1199" s="11" t="s">
        <v>41</v>
      </c>
      <c r="F1199" s="11" t="s">
        <v>22</v>
      </c>
      <c r="G1199" s="38" t="s">
        <v>2472</v>
      </c>
      <c r="H1199" s="650">
        <v>43752</v>
      </c>
      <c r="I1199" s="126">
        <v>6412</v>
      </c>
      <c r="J1199" s="640">
        <f t="shared" si="42"/>
        <v>1795.3600000000001</v>
      </c>
      <c r="K1199" s="54">
        <v>0</v>
      </c>
      <c r="L1199" s="54">
        <v>897.68000000000006</v>
      </c>
      <c r="M1199" s="54">
        <v>897.68000000000006</v>
      </c>
      <c r="N1199" s="54"/>
      <c r="O1199" s="54">
        <f t="shared" si="43"/>
        <v>8207.36</v>
      </c>
    </row>
    <row r="1200" spans="1:15" x14ac:dyDescent="0.2">
      <c r="A1200" s="51">
        <v>43739</v>
      </c>
      <c r="B1200" s="11">
        <v>62</v>
      </c>
      <c r="C1200" s="11" t="s">
        <v>473</v>
      </c>
      <c r="D1200" s="11" t="s">
        <v>41</v>
      </c>
      <c r="F1200" s="11" t="s">
        <v>22</v>
      </c>
      <c r="G1200" s="38" t="s">
        <v>2473</v>
      </c>
      <c r="H1200" s="650">
        <v>43752</v>
      </c>
      <c r="I1200" s="126">
        <v>7261.8</v>
      </c>
      <c r="J1200" s="640">
        <f t="shared" si="42"/>
        <v>2033.3039999999999</v>
      </c>
      <c r="K1200" s="54">
        <v>0</v>
      </c>
      <c r="L1200" s="54">
        <v>1016.6519999999999</v>
      </c>
      <c r="M1200" s="54">
        <v>1016.6519999999999</v>
      </c>
      <c r="N1200" s="54"/>
      <c r="O1200" s="54">
        <f t="shared" si="43"/>
        <v>9295.1039999999994</v>
      </c>
    </row>
    <row r="1201" spans="1:15" x14ac:dyDescent="0.2">
      <c r="A1201" s="51">
        <v>43739</v>
      </c>
      <c r="B1201" s="11">
        <v>63</v>
      </c>
      <c r="C1201" s="11" t="s">
        <v>471</v>
      </c>
      <c r="D1201" s="11" t="s">
        <v>29</v>
      </c>
      <c r="F1201" s="11" t="s">
        <v>22</v>
      </c>
      <c r="G1201" s="38">
        <v>192006113</v>
      </c>
      <c r="H1201" s="650">
        <v>43752</v>
      </c>
      <c r="I1201" s="126">
        <v>17483.52</v>
      </c>
      <c r="J1201" s="640">
        <f t="shared" si="42"/>
        <v>4895.3856000000005</v>
      </c>
      <c r="K1201" s="54">
        <v>0</v>
      </c>
      <c r="L1201" s="54">
        <v>2447.6928000000003</v>
      </c>
      <c r="M1201" s="54">
        <v>2447.6928000000003</v>
      </c>
      <c r="N1201" s="54"/>
      <c r="O1201" s="54">
        <f t="shared" si="43"/>
        <v>22378.905600000002</v>
      </c>
    </row>
    <row r="1202" spans="1:15" x14ac:dyDescent="0.2">
      <c r="A1202" s="51">
        <v>43739</v>
      </c>
      <c r="B1202" s="11">
        <v>64</v>
      </c>
      <c r="C1202" s="11" t="s">
        <v>471</v>
      </c>
      <c r="D1202" s="11" t="s">
        <v>29</v>
      </c>
      <c r="F1202" s="11" t="s">
        <v>22</v>
      </c>
      <c r="G1202" s="38">
        <v>192006114</v>
      </c>
      <c r="H1202" s="650">
        <v>43752</v>
      </c>
      <c r="I1202" s="126">
        <v>17483.52</v>
      </c>
      <c r="J1202" s="640">
        <f t="shared" si="42"/>
        <v>4895.3856000000005</v>
      </c>
      <c r="K1202" s="54">
        <v>0</v>
      </c>
      <c r="L1202" s="54">
        <v>2447.6928000000003</v>
      </c>
      <c r="M1202" s="54">
        <v>2447.6928000000003</v>
      </c>
      <c r="N1202" s="54"/>
      <c r="O1202" s="54">
        <f t="shared" si="43"/>
        <v>22378.905600000002</v>
      </c>
    </row>
    <row r="1203" spans="1:15" x14ac:dyDescent="0.2">
      <c r="A1203" s="51">
        <v>43739</v>
      </c>
      <c r="B1203" s="11">
        <v>65</v>
      </c>
      <c r="C1203" s="11" t="s">
        <v>747</v>
      </c>
      <c r="D1203" s="11" t="s">
        <v>748</v>
      </c>
      <c r="F1203" s="11" t="s">
        <v>22</v>
      </c>
      <c r="G1203" s="38" t="s">
        <v>2474</v>
      </c>
      <c r="H1203" s="650">
        <v>43753</v>
      </c>
      <c r="I1203" s="126">
        <v>14700</v>
      </c>
      <c r="J1203" s="640">
        <f t="shared" ref="J1203:J1266" si="44">+K1203+L1203+M1203+N1203</f>
        <v>2646</v>
      </c>
      <c r="K1203" s="54">
        <v>0</v>
      </c>
      <c r="L1203" s="54">
        <v>1323</v>
      </c>
      <c r="M1203" s="54">
        <v>1323</v>
      </c>
      <c r="N1203" s="54"/>
      <c r="O1203" s="54">
        <f t="shared" si="43"/>
        <v>17346</v>
      </c>
    </row>
    <row r="1204" spans="1:15" x14ac:dyDescent="0.2">
      <c r="A1204" s="51">
        <v>43739</v>
      </c>
      <c r="B1204" s="11">
        <v>66</v>
      </c>
      <c r="C1204" s="11" t="s">
        <v>495</v>
      </c>
      <c r="D1204" s="11" t="s">
        <v>74</v>
      </c>
      <c r="F1204" s="11" t="s">
        <v>22</v>
      </c>
      <c r="G1204" s="38">
        <v>5510060630</v>
      </c>
      <c r="H1204" s="650">
        <v>43753</v>
      </c>
      <c r="I1204" s="126">
        <v>26544</v>
      </c>
      <c r="J1204" s="640">
        <f t="shared" si="44"/>
        <v>4777.92</v>
      </c>
      <c r="K1204" s="54">
        <v>0</v>
      </c>
      <c r="L1204" s="54">
        <v>2388.96</v>
      </c>
      <c r="M1204" s="54">
        <v>2388.96</v>
      </c>
      <c r="N1204" s="54"/>
      <c r="O1204" s="54">
        <f t="shared" si="43"/>
        <v>31321.919999999998</v>
      </c>
    </row>
    <row r="1205" spans="1:15" x14ac:dyDescent="0.2">
      <c r="A1205" s="51">
        <v>43739</v>
      </c>
      <c r="B1205" s="11">
        <v>67</v>
      </c>
      <c r="C1205" s="11" t="s">
        <v>688</v>
      </c>
      <c r="D1205" s="11">
        <v>1</v>
      </c>
      <c r="F1205" s="11" t="s">
        <v>22</v>
      </c>
      <c r="G1205" s="38">
        <v>5279454</v>
      </c>
      <c r="H1205" s="650">
        <v>43752</v>
      </c>
      <c r="I1205" s="126">
        <v>784326</v>
      </c>
      <c r="J1205" s="640">
        <f t="shared" si="44"/>
        <v>141178.68</v>
      </c>
      <c r="K1205" s="54">
        <v>141178.68</v>
      </c>
      <c r="L1205" s="54">
        <v>0</v>
      </c>
      <c r="M1205" s="54">
        <v>0</v>
      </c>
      <c r="N1205" s="54"/>
      <c r="O1205" s="54">
        <f t="shared" si="43"/>
        <v>925504.67999999993</v>
      </c>
    </row>
    <row r="1206" spans="1:15" x14ac:dyDescent="0.2">
      <c r="A1206" s="51">
        <v>43739</v>
      </c>
      <c r="B1206" s="11">
        <v>68</v>
      </c>
      <c r="C1206" s="11" t="s">
        <v>900</v>
      </c>
      <c r="D1206" s="11" t="s">
        <v>901</v>
      </c>
      <c r="F1206" s="11" t="s">
        <v>22</v>
      </c>
      <c r="G1206" s="38" t="s">
        <v>2475</v>
      </c>
      <c r="H1206" s="650">
        <v>43754</v>
      </c>
      <c r="I1206" s="126">
        <v>2500</v>
      </c>
      <c r="J1206" s="640">
        <f t="shared" si="44"/>
        <v>450</v>
      </c>
      <c r="K1206" s="54">
        <v>0</v>
      </c>
      <c r="L1206" s="54">
        <v>225</v>
      </c>
      <c r="M1206" s="54">
        <v>225</v>
      </c>
      <c r="N1206" s="54"/>
      <c r="O1206" s="54">
        <f t="shared" si="43"/>
        <v>2950</v>
      </c>
    </row>
    <row r="1207" spans="1:15" x14ac:dyDescent="0.2">
      <c r="A1207" s="51">
        <v>43739</v>
      </c>
      <c r="B1207" s="11">
        <v>69</v>
      </c>
      <c r="C1207" s="11" t="s">
        <v>554</v>
      </c>
      <c r="D1207" s="11" t="s">
        <v>555</v>
      </c>
      <c r="F1207" s="11" t="s">
        <v>22</v>
      </c>
      <c r="G1207" s="38">
        <v>13227</v>
      </c>
      <c r="H1207" s="650">
        <v>43754</v>
      </c>
      <c r="I1207" s="126">
        <v>8820</v>
      </c>
      <c r="J1207" s="640">
        <f t="shared" si="44"/>
        <v>2469.6</v>
      </c>
      <c r="K1207" s="54">
        <v>0</v>
      </c>
      <c r="L1207" s="54">
        <v>1234.8</v>
      </c>
      <c r="M1207" s="54">
        <v>1234.8</v>
      </c>
      <c r="N1207" s="54"/>
      <c r="O1207" s="54">
        <f t="shared" si="43"/>
        <v>11289.6</v>
      </c>
    </row>
    <row r="1208" spans="1:15" x14ac:dyDescent="0.2">
      <c r="A1208" s="51">
        <v>43739</v>
      </c>
      <c r="B1208" s="11">
        <v>70</v>
      </c>
      <c r="C1208" s="11" t="s">
        <v>493</v>
      </c>
      <c r="D1208" s="11" t="s">
        <v>494</v>
      </c>
      <c r="F1208" s="11" t="s">
        <v>22</v>
      </c>
      <c r="G1208" s="38">
        <v>3333</v>
      </c>
      <c r="H1208" s="650">
        <v>43754</v>
      </c>
      <c r="I1208" s="126">
        <v>21840.5</v>
      </c>
      <c r="J1208" s="640">
        <f t="shared" si="44"/>
        <v>3931.29</v>
      </c>
      <c r="K1208" s="54">
        <v>0</v>
      </c>
      <c r="L1208" s="54">
        <v>1965.645</v>
      </c>
      <c r="M1208" s="54">
        <v>1965.645</v>
      </c>
      <c r="N1208" s="54"/>
      <c r="O1208" s="54">
        <f t="shared" si="43"/>
        <v>25771.79</v>
      </c>
    </row>
    <row r="1209" spans="1:15" x14ac:dyDescent="0.2">
      <c r="A1209" s="51">
        <v>43739</v>
      </c>
      <c r="B1209" s="11">
        <v>71</v>
      </c>
      <c r="C1209" s="11" t="s">
        <v>601</v>
      </c>
      <c r="D1209" s="11" t="s">
        <v>602</v>
      </c>
      <c r="F1209" s="11" t="s">
        <v>22</v>
      </c>
      <c r="G1209" s="38">
        <v>4919</v>
      </c>
      <c r="H1209" s="650">
        <v>43754</v>
      </c>
      <c r="I1209" s="126">
        <v>17028</v>
      </c>
      <c r="J1209" s="640">
        <f t="shared" si="44"/>
        <v>4767.84</v>
      </c>
      <c r="K1209" s="54">
        <v>0</v>
      </c>
      <c r="L1209" s="54">
        <v>2383.92</v>
      </c>
      <c r="M1209" s="54">
        <v>2383.92</v>
      </c>
      <c r="N1209" s="54"/>
      <c r="O1209" s="54">
        <f t="shared" si="43"/>
        <v>21795.84</v>
      </c>
    </row>
    <row r="1210" spans="1:15" x14ac:dyDescent="0.2">
      <c r="A1210" s="51">
        <v>43739</v>
      </c>
      <c r="B1210" s="11">
        <v>72</v>
      </c>
      <c r="C1210" s="11" t="s">
        <v>601</v>
      </c>
      <c r="D1210" s="11" t="s">
        <v>602</v>
      </c>
      <c r="F1210" s="11" t="s">
        <v>22</v>
      </c>
      <c r="G1210" s="38">
        <v>4920</v>
      </c>
      <c r="H1210" s="650">
        <v>43754</v>
      </c>
      <c r="I1210" s="126">
        <v>20088</v>
      </c>
      <c r="J1210" s="640">
        <f t="shared" si="44"/>
        <v>5624.6399999999994</v>
      </c>
      <c r="K1210" s="54">
        <v>0</v>
      </c>
      <c r="L1210" s="54">
        <v>2812.3199999999997</v>
      </c>
      <c r="M1210" s="54">
        <v>2812.3199999999997</v>
      </c>
      <c r="N1210" s="54"/>
      <c r="O1210" s="54">
        <f t="shared" si="43"/>
        <v>25712.639999999999</v>
      </c>
    </row>
    <row r="1211" spans="1:15" x14ac:dyDescent="0.2">
      <c r="A1211" s="51">
        <v>43739</v>
      </c>
      <c r="B1211" s="11">
        <v>73</v>
      </c>
      <c r="C1211" s="11" t="s">
        <v>479</v>
      </c>
      <c r="D1211" s="11" t="s">
        <v>480</v>
      </c>
      <c r="F1211" s="11" t="s">
        <v>22</v>
      </c>
      <c r="G1211" s="38">
        <v>1364</v>
      </c>
      <c r="H1211" s="650">
        <v>43755</v>
      </c>
      <c r="I1211" s="126">
        <v>2835</v>
      </c>
      <c r="J1211" s="640">
        <f t="shared" si="44"/>
        <v>510.3</v>
      </c>
      <c r="K1211" s="54">
        <v>0</v>
      </c>
      <c r="L1211" s="54">
        <v>255.15</v>
      </c>
      <c r="M1211" s="54">
        <v>255.15</v>
      </c>
      <c r="N1211" s="54"/>
      <c r="O1211" s="54">
        <f t="shared" si="43"/>
        <v>3345.3</v>
      </c>
    </row>
    <row r="1212" spans="1:15" x14ac:dyDescent="0.2">
      <c r="A1212" s="51">
        <v>43739</v>
      </c>
      <c r="B1212" s="11">
        <v>74</v>
      </c>
      <c r="C1212" s="11" t="s">
        <v>554</v>
      </c>
      <c r="D1212" s="11" t="s">
        <v>555</v>
      </c>
      <c r="F1212" s="11" t="s">
        <v>22</v>
      </c>
      <c r="G1212" s="38">
        <v>13277</v>
      </c>
      <c r="H1212" s="650">
        <v>43755</v>
      </c>
      <c r="I1212" s="126">
        <v>3856</v>
      </c>
      <c r="J1212" s="640">
        <f t="shared" si="44"/>
        <v>1079.68</v>
      </c>
      <c r="K1212" s="54">
        <v>0</v>
      </c>
      <c r="L1212" s="54">
        <v>539.84</v>
      </c>
      <c r="M1212" s="54">
        <v>539.84</v>
      </c>
      <c r="N1212" s="54"/>
      <c r="O1212" s="54">
        <f t="shared" si="43"/>
        <v>4935.68</v>
      </c>
    </row>
    <row r="1213" spans="1:15" x14ac:dyDescent="0.2">
      <c r="A1213" s="51">
        <v>43739</v>
      </c>
      <c r="B1213" s="11">
        <v>75</v>
      </c>
      <c r="C1213" s="11" t="s">
        <v>473</v>
      </c>
      <c r="D1213" s="11" t="s">
        <v>41</v>
      </c>
      <c r="F1213" s="11" t="s">
        <v>22</v>
      </c>
      <c r="G1213" s="38" t="s">
        <v>2476</v>
      </c>
      <c r="H1213" s="650">
        <v>43755</v>
      </c>
      <c r="I1213" s="126">
        <v>9377.2199999999993</v>
      </c>
      <c r="J1213" s="640">
        <f t="shared" si="44"/>
        <v>2625.6215999999999</v>
      </c>
      <c r="K1213" s="54">
        <v>0</v>
      </c>
      <c r="L1213" s="54">
        <v>1312.8108</v>
      </c>
      <c r="M1213" s="54">
        <v>1312.8108</v>
      </c>
      <c r="N1213" s="54"/>
      <c r="O1213" s="54">
        <f t="shared" si="43"/>
        <v>12002.8416</v>
      </c>
    </row>
    <row r="1214" spans="1:15" x14ac:dyDescent="0.2">
      <c r="A1214" s="51">
        <v>43739</v>
      </c>
      <c r="B1214" s="11">
        <v>76</v>
      </c>
      <c r="C1214" s="11" t="s">
        <v>629</v>
      </c>
      <c r="D1214" s="11" t="s">
        <v>630</v>
      </c>
      <c r="F1214" s="11" t="s">
        <v>22</v>
      </c>
      <c r="G1214" s="38">
        <v>563</v>
      </c>
      <c r="H1214" s="650">
        <v>43755</v>
      </c>
      <c r="I1214" s="126">
        <v>2400</v>
      </c>
      <c r="J1214" s="640">
        <f t="shared" si="44"/>
        <v>432</v>
      </c>
      <c r="K1214" s="54">
        <v>0</v>
      </c>
      <c r="L1214" s="54">
        <v>216</v>
      </c>
      <c r="M1214" s="54">
        <v>216</v>
      </c>
      <c r="N1214" s="54"/>
      <c r="O1214" s="54">
        <f t="shared" si="43"/>
        <v>2832</v>
      </c>
    </row>
    <row r="1215" spans="1:15" x14ac:dyDescent="0.2">
      <c r="A1215" s="51">
        <v>43739</v>
      </c>
      <c r="B1215" s="11">
        <v>77</v>
      </c>
      <c r="C1215" s="11" t="s">
        <v>551</v>
      </c>
      <c r="D1215" s="11" t="s">
        <v>552</v>
      </c>
      <c r="F1215" s="11" t="s">
        <v>22</v>
      </c>
      <c r="G1215" s="38" t="s">
        <v>2477</v>
      </c>
      <c r="H1215" s="650">
        <v>43756</v>
      </c>
      <c r="I1215" s="126">
        <v>1700</v>
      </c>
      <c r="J1215" s="640">
        <f t="shared" si="44"/>
        <v>306</v>
      </c>
      <c r="K1215" s="54">
        <v>0</v>
      </c>
      <c r="L1215" s="54">
        <v>153</v>
      </c>
      <c r="M1215" s="54">
        <v>153</v>
      </c>
      <c r="N1215" s="54"/>
      <c r="O1215" s="54">
        <f t="shared" si="43"/>
        <v>2006</v>
      </c>
    </row>
    <row r="1216" spans="1:15" x14ac:dyDescent="0.2">
      <c r="A1216" s="51">
        <v>43739</v>
      </c>
      <c r="B1216" s="11">
        <v>78</v>
      </c>
      <c r="C1216" s="11" t="s">
        <v>634</v>
      </c>
      <c r="D1216" s="11" t="s">
        <v>635</v>
      </c>
      <c r="F1216" s="11" t="s">
        <v>22</v>
      </c>
      <c r="G1216" s="38" t="s">
        <v>2478</v>
      </c>
      <c r="H1216" s="650">
        <v>43756</v>
      </c>
      <c r="I1216" s="126">
        <v>1695</v>
      </c>
      <c r="J1216" s="640">
        <f t="shared" si="44"/>
        <v>305.09999999999997</v>
      </c>
      <c r="K1216" s="54">
        <v>0</v>
      </c>
      <c r="L1216" s="54">
        <v>152.54999999999998</v>
      </c>
      <c r="M1216" s="54">
        <v>152.54999999999998</v>
      </c>
      <c r="N1216" s="54"/>
      <c r="O1216" s="54">
        <f t="shared" si="43"/>
        <v>2000.1</v>
      </c>
    </row>
    <row r="1217" spans="1:15" x14ac:dyDescent="0.2">
      <c r="A1217" s="51">
        <v>43739</v>
      </c>
      <c r="B1217" s="11">
        <v>79</v>
      </c>
      <c r="C1217" s="11" t="s">
        <v>556</v>
      </c>
      <c r="D1217" s="11" t="s">
        <v>557</v>
      </c>
      <c r="F1217" s="11" t="s">
        <v>22</v>
      </c>
      <c r="G1217" s="38" t="s">
        <v>2479</v>
      </c>
      <c r="H1217" s="650">
        <v>43755</v>
      </c>
      <c r="I1217" s="126">
        <v>65980</v>
      </c>
      <c r="J1217" s="640">
        <f t="shared" si="44"/>
        <v>11876</v>
      </c>
      <c r="K1217" s="54">
        <v>0</v>
      </c>
      <c r="L1217" s="54">
        <v>5938</v>
      </c>
      <c r="M1217" s="54">
        <v>5938</v>
      </c>
      <c r="N1217" s="54"/>
      <c r="O1217" s="54">
        <f t="shared" si="43"/>
        <v>77856</v>
      </c>
    </row>
    <row r="1218" spans="1:15" x14ac:dyDescent="0.2">
      <c r="A1218" s="51">
        <v>43739</v>
      </c>
      <c r="B1218" s="11">
        <v>80</v>
      </c>
      <c r="C1218" s="11" t="s">
        <v>473</v>
      </c>
      <c r="D1218" s="11" t="s">
        <v>41</v>
      </c>
      <c r="F1218" s="11" t="s">
        <v>22</v>
      </c>
      <c r="G1218" s="38" t="s">
        <v>2480</v>
      </c>
      <c r="H1218" s="650">
        <v>43756</v>
      </c>
      <c r="I1218" s="126">
        <v>425.75</v>
      </c>
      <c r="J1218" s="640">
        <f t="shared" si="44"/>
        <v>119.21000000000001</v>
      </c>
      <c r="K1218" s="54">
        <v>0</v>
      </c>
      <c r="L1218" s="54">
        <v>59.605000000000004</v>
      </c>
      <c r="M1218" s="54">
        <v>59.605000000000004</v>
      </c>
      <c r="N1218" s="54"/>
      <c r="O1218" s="54">
        <f t="shared" si="43"/>
        <v>544.96</v>
      </c>
    </row>
    <row r="1219" spans="1:15" x14ac:dyDescent="0.2">
      <c r="A1219" s="51">
        <v>43739</v>
      </c>
      <c r="B1219" s="11">
        <v>81</v>
      </c>
      <c r="C1219" s="11" t="s">
        <v>471</v>
      </c>
      <c r="D1219" s="11" t="s">
        <v>29</v>
      </c>
      <c r="F1219" s="11" t="s">
        <v>22</v>
      </c>
      <c r="G1219" s="38">
        <v>192006279</v>
      </c>
      <c r="H1219" s="650">
        <v>43756</v>
      </c>
      <c r="I1219" s="126">
        <v>17483.52</v>
      </c>
      <c r="J1219" s="640">
        <f t="shared" si="44"/>
        <v>4895.3856000000005</v>
      </c>
      <c r="K1219" s="54">
        <v>0</v>
      </c>
      <c r="L1219" s="54">
        <v>2447.6928000000003</v>
      </c>
      <c r="M1219" s="54">
        <v>2447.6928000000003</v>
      </c>
      <c r="N1219" s="54"/>
      <c r="O1219" s="54">
        <f t="shared" si="43"/>
        <v>22378.905600000002</v>
      </c>
    </row>
    <row r="1220" spans="1:15" x14ac:dyDescent="0.2">
      <c r="A1220" s="51">
        <v>43739</v>
      </c>
      <c r="B1220" s="11">
        <v>82</v>
      </c>
      <c r="C1220" s="11" t="s">
        <v>601</v>
      </c>
      <c r="D1220" s="11" t="s">
        <v>602</v>
      </c>
      <c r="F1220" s="11" t="s">
        <v>22</v>
      </c>
      <c r="G1220" s="38">
        <v>5014</v>
      </c>
      <c r="H1220" s="650">
        <v>43756</v>
      </c>
      <c r="I1220" s="126">
        <v>13622.4</v>
      </c>
      <c r="J1220" s="640">
        <f t="shared" si="44"/>
        <v>3814.2719999999999</v>
      </c>
      <c r="K1220" s="54">
        <v>0</v>
      </c>
      <c r="L1220" s="54">
        <v>1907.136</v>
      </c>
      <c r="M1220" s="54">
        <v>1907.136</v>
      </c>
      <c r="N1220" s="54"/>
      <c r="O1220" s="54">
        <f t="shared" ref="O1220:O1264" si="45">+I1220+J1220</f>
        <v>17436.671999999999</v>
      </c>
    </row>
    <row r="1221" spans="1:15" x14ac:dyDescent="0.2">
      <c r="A1221" s="51">
        <v>43739</v>
      </c>
      <c r="B1221" s="11">
        <v>83</v>
      </c>
      <c r="C1221" s="11" t="s">
        <v>601</v>
      </c>
      <c r="D1221" s="11" t="s">
        <v>602</v>
      </c>
      <c r="F1221" s="11" t="s">
        <v>22</v>
      </c>
      <c r="G1221" s="38">
        <v>5015</v>
      </c>
      <c r="H1221" s="650">
        <v>43756</v>
      </c>
      <c r="I1221" s="126">
        <v>20088</v>
      </c>
      <c r="J1221" s="640">
        <f t="shared" si="44"/>
        <v>5624.6399999999994</v>
      </c>
      <c r="K1221" s="54">
        <v>0</v>
      </c>
      <c r="L1221" s="54">
        <v>2812.3199999999997</v>
      </c>
      <c r="M1221" s="54">
        <v>2812.3199999999997</v>
      </c>
      <c r="N1221" s="54"/>
      <c r="O1221" s="54">
        <f t="shared" si="45"/>
        <v>25712.639999999999</v>
      </c>
    </row>
    <row r="1222" spans="1:15" x14ac:dyDescent="0.2">
      <c r="A1222" s="51">
        <v>43739</v>
      </c>
      <c r="B1222" s="11">
        <v>84</v>
      </c>
      <c r="C1222" s="11" t="s">
        <v>499</v>
      </c>
      <c r="D1222" s="11" t="s">
        <v>500</v>
      </c>
      <c r="F1222" s="11" t="s">
        <v>22</v>
      </c>
      <c r="G1222" s="38" t="s">
        <v>2481</v>
      </c>
      <c r="H1222" s="650">
        <v>43757</v>
      </c>
      <c r="I1222" s="126">
        <v>2100</v>
      </c>
      <c r="J1222" s="640">
        <f t="shared" si="44"/>
        <v>105</v>
      </c>
      <c r="K1222" s="54">
        <v>0</v>
      </c>
      <c r="L1222" s="54">
        <v>52.5</v>
      </c>
      <c r="M1222" s="54">
        <v>52.5</v>
      </c>
      <c r="N1222" s="54"/>
      <c r="O1222" s="54">
        <f t="shared" si="45"/>
        <v>2205</v>
      </c>
    </row>
    <row r="1223" spans="1:15" x14ac:dyDescent="0.2">
      <c r="A1223" s="51">
        <v>43739</v>
      </c>
      <c r="B1223" s="11">
        <v>85</v>
      </c>
      <c r="C1223" s="11" t="s">
        <v>499</v>
      </c>
      <c r="D1223" s="11" t="s">
        <v>500</v>
      </c>
      <c r="F1223" s="11" t="s">
        <v>22</v>
      </c>
      <c r="G1223" s="38" t="s">
        <v>2482</v>
      </c>
      <c r="H1223" s="650">
        <v>43757</v>
      </c>
      <c r="I1223" s="126">
        <v>360</v>
      </c>
      <c r="J1223" s="640">
        <f t="shared" si="44"/>
        <v>64.8</v>
      </c>
      <c r="K1223" s="54">
        <v>0</v>
      </c>
      <c r="L1223" s="54">
        <v>32.4</v>
      </c>
      <c r="M1223" s="54">
        <v>32.4</v>
      </c>
      <c r="N1223" s="54"/>
      <c r="O1223" s="54">
        <f t="shared" si="45"/>
        <v>424.8</v>
      </c>
    </row>
    <row r="1224" spans="1:15" x14ac:dyDescent="0.2">
      <c r="A1224" s="51">
        <v>43739</v>
      </c>
      <c r="B1224" s="11">
        <v>86</v>
      </c>
      <c r="C1224" s="11" t="s">
        <v>517</v>
      </c>
      <c r="D1224" s="11" t="s">
        <v>256</v>
      </c>
      <c r="F1224" s="11" t="s">
        <v>22</v>
      </c>
      <c r="G1224" s="38">
        <v>19621723</v>
      </c>
      <c r="H1224" s="650">
        <v>43756</v>
      </c>
      <c r="I1224" s="126">
        <v>19053.12</v>
      </c>
      <c r="J1224" s="640">
        <f t="shared" si="44"/>
        <v>5334.8735999999999</v>
      </c>
      <c r="K1224" s="54">
        <v>5334.8735999999999</v>
      </c>
      <c r="L1224" s="54">
        <v>0</v>
      </c>
      <c r="M1224" s="54">
        <v>0</v>
      </c>
      <c r="N1224" s="54"/>
      <c r="O1224" s="54">
        <f t="shared" si="45"/>
        <v>24387.993599999998</v>
      </c>
    </row>
    <row r="1225" spans="1:15" x14ac:dyDescent="0.2">
      <c r="A1225" s="51">
        <v>43739</v>
      </c>
      <c r="B1225" s="11">
        <v>87</v>
      </c>
      <c r="C1225" s="11" t="s">
        <v>471</v>
      </c>
      <c r="D1225" s="11" t="s">
        <v>29</v>
      </c>
      <c r="F1225" s="11" t="s">
        <v>22</v>
      </c>
      <c r="G1225" s="38">
        <v>192006324</v>
      </c>
      <c r="H1225" s="650">
        <v>43757</v>
      </c>
      <c r="I1225" s="126">
        <v>17483.52</v>
      </c>
      <c r="J1225" s="640">
        <f t="shared" si="44"/>
        <v>4895.3856000000005</v>
      </c>
      <c r="K1225" s="54">
        <v>0</v>
      </c>
      <c r="L1225" s="54">
        <v>2447.6928000000003</v>
      </c>
      <c r="M1225" s="54">
        <v>2447.6928000000003</v>
      </c>
      <c r="N1225" s="54"/>
      <c r="O1225" s="54">
        <f t="shared" si="45"/>
        <v>22378.905600000002</v>
      </c>
    </row>
    <row r="1226" spans="1:15" x14ac:dyDescent="0.2">
      <c r="A1226" s="51">
        <v>43739</v>
      </c>
      <c r="B1226" s="11">
        <v>88</v>
      </c>
      <c r="C1226" s="11" t="s">
        <v>471</v>
      </c>
      <c r="D1226" s="11" t="s">
        <v>29</v>
      </c>
      <c r="F1226" s="11" t="s">
        <v>22</v>
      </c>
      <c r="G1226" s="38">
        <v>192006326</v>
      </c>
      <c r="H1226" s="650">
        <v>43757</v>
      </c>
      <c r="I1226" s="126">
        <v>16026.56</v>
      </c>
      <c r="J1226" s="640">
        <f t="shared" si="44"/>
        <v>4487.4368000000004</v>
      </c>
      <c r="K1226" s="54">
        <v>0</v>
      </c>
      <c r="L1226" s="54">
        <v>2243.7184000000002</v>
      </c>
      <c r="M1226" s="54">
        <v>2243.7184000000002</v>
      </c>
      <c r="N1226" s="54"/>
      <c r="O1226" s="54">
        <f t="shared" si="45"/>
        <v>20513.996800000001</v>
      </c>
    </row>
    <row r="1227" spans="1:15" x14ac:dyDescent="0.2">
      <c r="A1227" s="51">
        <v>43739</v>
      </c>
      <c r="B1227" s="11">
        <v>89</v>
      </c>
      <c r="C1227" s="11" t="s">
        <v>495</v>
      </c>
      <c r="D1227" s="11" t="s">
        <v>74</v>
      </c>
      <c r="F1227" s="11" t="s">
        <v>22</v>
      </c>
      <c r="G1227" s="38">
        <v>5510061109</v>
      </c>
      <c r="H1227" s="650">
        <v>43757</v>
      </c>
      <c r="I1227" s="126">
        <v>47779.199999999997</v>
      </c>
      <c r="J1227" s="640">
        <f t="shared" si="44"/>
        <v>8600.2559999999994</v>
      </c>
      <c r="K1227" s="54">
        <v>0</v>
      </c>
      <c r="L1227" s="54">
        <v>4300.1279999999997</v>
      </c>
      <c r="M1227" s="54">
        <v>4300.1279999999997</v>
      </c>
      <c r="N1227" s="54"/>
      <c r="O1227" s="54">
        <f t="shared" si="45"/>
        <v>56379.455999999998</v>
      </c>
    </row>
    <row r="1228" spans="1:15" x14ac:dyDescent="0.2">
      <c r="A1228" s="51">
        <v>43739</v>
      </c>
      <c r="B1228" s="11">
        <v>90</v>
      </c>
      <c r="C1228" s="11" t="s">
        <v>473</v>
      </c>
      <c r="D1228" s="11" t="s">
        <v>41</v>
      </c>
      <c r="F1228" s="11" t="s">
        <v>22</v>
      </c>
      <c r="G1228" s="38" t="s">
        <v>2483</v>
      </c>
      <c r="H1228" s="650">
        <v>43758</v>
      </c>
      <c r="I1228" s="126">
        <v>1249</v>
      </c>
      <c r="J1228" s="640">
        <f t="shared" si="44"/>
        <v>349.72</v>
      </c>
      <c r="K1228" s="54">
        <v>0</v>
      </c>
      <c r="L1228" s="54">
        <v>174.86</v>
      </c>
      <c r="M1228" s="54">
        <v>174.86</v>
      </c>
      <c r="N1228" s="54"/>
      <c r="O1228" s="54">
        <f t="shared" si="45"/>
        <v>1598.72</v>
      </c>
    </row>
    <row r="1229" spans="1:15" x14ac:dyDescent="0.2">
      <c r="A1229" s="51">
        <v>43739</v>
      </c>
      <c r="B1229" s="11">
        <v>91</v>
      </c>
      <c r="C1229" s="11" t="s">
        <v>476</v>
      </c>
      <c r="D1229" s="11" t="s">
        <v>477</v>
      </c>
      <c r="F1229" s="11" t="s">
        <v>22</v>
      </c>
      <c r="G1229" s="38" t="s">
        <v>2484</v>
      </c>
      <c r="H1229" s="650">
        <v>43753</v>
      </c>
      <c r="I1229" s="126">
        <v>40650</v>
      </c>
      <c r="J1229" s="640">
        <f t="shared" si="44"/>
        <v>7317</v>
      </c>
      <c r="K1229" s="54">
        <v>0</v>
      </c>
      <c r="L1229" s="54">
        <v>3658.5</v>
      </c>
      <c r="M1229" s="54">
        <v>3658.5</v>
      </c>
      <c r="N1229" s="54"/>
      <c r="O1229" s="54">
        <f t="shared" si="45"/>
        <v>47967</v>
      </c>
    </row>
    <row r="1230" spans="1:15" x14ac:dyDescent="0.2">
      <c r="A1230" s="51">
        <v>43739</v>
      </c>
      <c r="B1230" s="11">
        <v>92</v>
      </c>
      <c r="C1230" s="11" t="s">
        <v>506</v>
      </c>
      <c r="D1230" s="11" t="s">
        <v>507</v>
      </c>
      <c r="F1230" s="11" t="s">
        <v>22</v>
      </c>
      <c r="G1230" s="38" t="s">
        <v>2485</v>
      </c>
      <c r="H1230" s="650">
        <v>43759</v>
      </c>
      <c r="I1230" s="126">
        <v>73245.899999999994</v>
      </c>
      <c r="J1230" s="640">
        <f t="shared" si="44"/>
        <v>13184.261999999999</v>
      </c>
      <c r="K1230" s="54">
        <v>0</v>
      </c>
      <c r="L1230" s="54">
        <v>6592.1309999999994</v>
      </c>
      <c r="M1230" s="54">
        <v>6592.1309999999994</v>
      </c>
      <c r="N1230" s="54"/>
      <c r="O1230" s="54">
        <f t="shared" si="45"/>
        <v>86430.161999999997</v>
      </c>
    </row>
    <row r="1231" spans="1:15" x14ac:dyDescent="0.2">
      <c r="A1231" s="51">
        <v>43739</v>
      </c>
      <c r="B1231" s="11">
        <v>93</v>
      </c>
      <c r="C1231" s="11" t="s">
        <v>506</v>
      </c>
      <c r="D1231" s="11" t="s">
        <v>507</v>
      </c>
      <c r="F1231" s="11" t="s">
        <v>22</v>
      </c>
      <c r="G1231" s="38" t="s">
        <v>2486</v>
      </c>
      <c r="H1231" s="650">
        <v>43759</v>
      </c>
      <c r="I1231" s="126">
        <v>31391.1</v>
      </c>
      <c r="J1231" s="640">
        <f t="shared" si="44"/>
        <v>5650.3980000000001</v>
      </c>
      <c r="K1231" s="54">
        <v>0</v>
      </c>
      <c r="L1231" s="54">
        <v>2825.1990000000001</v>
      </c>
      <c r="M1231" s="54">
        <v>2825.1990000000001</v>
      </c>
      <c r="N1231" s="54"/>
      <c r="O1231" s="54">
        <f t="shared" si="45"/>
        <v>37041.498</v>
      </c>
    </row>
    <row r="1232" spans="1:15" x14ac:dyDescent="0.2">
      <c r="A1232" s="51">
        <v>43739</v>
      </c>
      <c r="B1232" s="11">
        <v>94</v>
      </c>
      <c r="C1232" s="11" t="s">
        <v>506</v>
      </c>
      <c r="D1232" s="11" t="s">
        <v>507</v>
      </c>
      <c r="F1232" s="11" t="s">
        <v>22</v>
      </c>
      <c r="G1232" s="38" t="s">
        <v>2487</v>
      </c>
      <c r="H1232" s="650">
        <v>43759</v>
      </c>
      <c r="I1232" s="126">
        <v>18480</v>
      </c>
      <c r="J1232" s="640">
        <f t="shared" si="44"/>
        <v>3326.4</v>
      </c>
      <c r="K1232" s="54">
        <v>0</v>
      </c>
      <c r="L1232" s="54">
        <v>1663.2</v>
      </c>
      <c r="M1232" s="54">
        <v>1663.2</v>
      </c>
      <c r="N1232" s="54"/>
      <c r="O1232" s="54">
        <f t="shared" si="45"/>
        <v>21806.400000000001</v>
      </c>
    </row>
    <row r="1233" spans="1:15" x14ac:dyDescent="0.2">
      <c r="A1233" s="51">
        <v>43739</v>
      </c>
      <c r="B1233" s="11">
        <v>95</v>
      </c>
      <c r="C1233" s="11" t="s">
        <v>2438</v>
      </c>
      <c r="D1233" s="11" t="s">
        <v>2439</v>
      </c>
      <c r="F1233" s="11" t="s">
        <v>22</v>
      </c>
      <c r="G1233" s="38" t="s">
        <v>2488</v>
      </c>
      <c r="H1233" s="650">
        <v>43760</v>
      </c>
      <c r="I1233" s="126">
        <v>4134.8999999999996</v>
      </c>
      <c r="J1233" s="640">
        <f t="shared" si="44"/>
        <v>744.28199999999993</v>
      </c>
      <c r="K1233" s="54">
        <v>0</v>
      </c>
      <c r="L1233" s="54">
        <v>372.14099999999996</v>
      </c>
      <c r="M1233" s="54">
        <v>372.14099999999996</v>
      </c>
      <c r="N1233" s="54"/>
      <c r="O1233" s="54">
        <f t="shared" si="45"/>
        <v>4879.1819999999998</v>
      </c>
    </row>
    <row r="1234" spans="1:15" x14ac:dyDescent="0.2">
      <c r="A1234" s="51">
        <v>43739</v>
      </c>
      <c r="B1234" s="11">
        <v>96</v>
      </c>
      <c r="C1234" s="11" t="s">
        <v>473</v>
      </c>
      <c r="D1234" s="11" t="s">
        <v>41</v>
      </c>
      <c r="F1234" s="11" t="s">
        <v>22</v>
      </c>
      <c r="G1234" s="38" t="s">
        <v>2489</v>
      </c>
      <c r="H1234" s="650">
        <v>43760</v>
      </c>
      <c r="I1234" s="126">
        <v>7169.24</v>
      </c>
      <c r="J1234" s="640">
        <f t="shared" si="44"/>
        <v>2007.3871999999997</v>
      </c>
      <c r="K1234" s="54">
        <v>0</v>
      </c>
      <c r="L1234" s="54">
        <v>1003.6935999999998</v>
      </c>
      <c r="M1234" s="54">
        <v>1003.6935999999998</v>
      </c>
      <c r="N1234" s="54"/>
      <c r="O1234" s="54">
        <f t="shared" si="45"/>
        <v>9176.627199999999</v>
      </c>
    </row>
    <row r="1235" spans="1:15" x14ac:dyDescent="0.2">
      <c r="A1235" s="51">
        <v>43739</v>
      </c>
      <c r="B1235" s="11">
        <v>97</v>
      </c>
      <c r="C1235" s="11" t="s">
        <v>554</v>
      </c>
      <c r="D1235" s="11" t="s">
        <v>555</v>
      </c>
      <c r="F1235" s="11" t="s">
        <v>22</v>
      </c>
      <c r="G1235" s="38">
        <v>13429</v>
      </c>
      <c r="H1235" s="650">
        <v>43760</v>
      </c>
      <c r="I1235" s="126">
        <v>6552</v>
      </c>
      <c r="J1235" s="640">
        <f t="shared" si="44"/>
        <v>1834.56</v>
      </c>
      <c r="K1235" s="54">
        <v>0</v>
      </c>
      <c r="L1235" s="54">
        <v>917.28</v>
      </c>
      <c r="M1235" s="54">
        <v>917.28</v>
      </c>
      <c r="N1235" s="54"/>
      <c r="O1235" s="54">
        <f t="shared" si="45"/>
        <v>8386.56</v>
      </c>
    </row>
    <row r="1236" spans="1:15" x14ac:dyDescent="0.2">
      <c r="A1236" s="51">
        <v>43739</v>
      </c>
      <c r="B1236" s="11">
        <v>98</v>
      </c>
      <c r="C1236" s="11" t="s">
        <v>747</v>
      </c>
      <c r="D1236" s="11" t="s">
        <v>748</v>
      </c>
      <c r="F1236" s="11" t="s">
        <v>22</v>
      </c>
      <c r="G1236" s="38" t="s">
        <v>2490</v>
      </c>
      <c r="H1236" s="650">
        <v>43760</v>
      </c>
      <c r="I1236" s="126">
        <v>19950</v>
      </c>
      <c r="J1236" s="640">
        <f t="shared" si="44"/>
        <v>3591</v>
      </c>
      <c r="K1236" s="54">
        <v>0</v>
      </c>
      <c r="L1236" s="54">
        <v>1795.5</v>
      </c>
      <c r="M1236" s="54">
        <v>1795.5</v>
      </c>
      <c r="N1236" s="54"/>
      <c r="O1236" s="54">
        <f t="shared" si="45"/>
        <v>23541</v>
      </c>
    </row>
    <row r="1237" spans="1:15" x14ac:dyDescent="0.2">
      <c r="A1237" s="51">
        <v>43739</v>
      </c>
      <c r="B1237" s="11">
        <v>99</v>
      </c>
      <c r="C1237" s="11" t="s">
        <v>601</v>
      </c>
      <c r="D1237" s="11" t="s">
        <v>602</v>
      </c>
      <c r="F1237" s="11" t="s">
        <v>22</v>
      </c>
      <c r="G1237" s="38">
        <v>5133</v>
      </c>
      <c r="H1237" s="650">
        <v>43760</v>
      </c>
      <c r="I1237" s="126">
        <v>38836.800000000003</v>
      </c>
      <c r="J1237" s="640">
        <f t="shared" si="44"/>
        <v>10874.304000000002</v>
      </c>
      <c r="K1237" s="54">
        <v>0</v>
      </c>
      <c r="L1237" s="54">
        <v>5437.152000000001</v>
      </c>
      <c r="M1237" s="54">
        <v>5437.152000000001</v>
      </c>
      <c r="N1237" s="54"/>
      <c r="O1237" s="54">
        <f t="shared" si="45"/>
        <v>49711.104000000007</v>
      </c>
    </row>
    <row r="1238" spans="1:15" x14ac:dyDescent="0.2">
      <c r="A1238" s="51">
        <v>43739</v>
      </c>
      <c r="B1238" s="11">
        <v>100</v>
      </c>
      <c r="C1238" s="11" t="s">
        <v>533</v>
      </c>
      <c r="D1238" s="11" t="s">
        <v>534</v>
      </c>
      <c r="F1238" s="11" t="s">
        <v>22</v>
      </c>
      <c r="G1238" s="38" t="s">
        <v>2491</v>
      </c>
      <c r="H1238" s="650">
        <v>43759</v>
      </c>
      <c r="I1238" s="126">
        <v>2560</v>
      </c>
      <c r="J1238" s="640">
        <f t="shared" si="44"/>
        <v>460.8</v>
      </c>
      <c r="K1238" s="54">
        <v>0</v>
      </c>
      <c r="L1238" s="54">
        <v>230.4</v>
      </c>
      <c r="M1238" s="54">
        <v>230.4</v>
      </c>
      <c r="N1238" s="54"/>
      <c r="O1238" s="54">
        <f t="shared" si="45"/>
        <v>3020.8</v>
      </c>
    </row>
    <row r="1239" spans="1:15" x14ac:dyDescent="0.2">
      <c r="A1239" s="51">
        <v>43739</v>
      </c>
      <c r="B1239" s="11">
        <v>101</v>
      </c>
      <c r="C1239" s="11" t="s">
        <v>517</v>
      </c>
      <c r="D1239" s="11" t="s">
        <v>256</v>
      </c>
      <c r="F1239" s="11" t="s">
        <v>22</v>
      </c>
      <c r="G1239" s="38">
        <v>19619930</v>
      </c>
      <c r="H1239" s="650">
        <v>43752</v>
      </c>
      <c r="I1239" s="126">
        <v>39174.6</v>
      </c>
      <c r="J1239" s="640">
        <f t="shared" si="44"/>
        <v>10968.887999999999</v>
      </c>
      <c r="K1239" s="54">
        <v>10968.887999999999</v>
      </c>
      <c r="L1239" s="54">
        <v>0</v>
      </c>
      <c r="M1239" s="54">
        <v>0</v>
      </c>
      <c r="N1239" s="54"/>
      <c r="O1239" s="54">
        <f t="shared" si="45"/>
        <v>50143.487999999998</v>
      </c>
    </row>
    <row r="1240" spans="1:15" x14ac:dyDescent="0.2">
      <c r="A1240" s="51">
        <v>43739</v>
      </c>
      <c r="B1240" s="11">
        <v>102</v>
      </c>
      <c r="C1240" s="11" t="s">
        <v>517</v>
      </c>
      <c r="D1240" s="11" t="s">
        <v>256</v>
      </c>
      <c r="F1240" s="11" t="s">
        <v>22</v>
      </c>
      <c r="G1240" s="38">
        <v>19621553</v>
      </c>
      <c r="H1240" s="650">
        <v>43754</v>
      </c>
      <c r="I1240" s="126">
        <v>26116.400000000001</v>
      </c>
      <c r="J1240" s="640">
        <f t="shared" si="44"/>
        <v>7312.5919999999996</v>
      </c>
      <c r="K1240" s="54">
        <v>7312.5919999999996</v>
      </c>
      <c r="L1240" s="54">
        <v>0</v>
      </c>
      <c r="M1240" s="54">
        <v>0</v>
      </c>
      <c r="N1240" s="54"/>
      <c r="O1240" s="54">
        <f t="shared" si="45"/>
        <v>33428.991999999998</v>
      </c>
    </row>
    <row r="1241" spans="1:15" x14ac:dyDescent="0.2">
      <c r="A1241" s="51">
        <v>43739</v>
      </c>
      <c r="B1241" s="11">
        <v>103</v>
      </c>
      <c r="C1241" s="11" t="s">
        <v>514</v>
      </c>
      <c r="D1241" s="11" t="s">
        <v>515</v>
      </c>
      <c r="F1241" s="11" t="s">
        <v>22</v>
      </c>
      <c r="G1241" s="38" t="s">
        <v>2492</v>
      </c>
      <c r="H1241" s="650">
        <v>43743</v>
      </c>
      <c r="I1241" s="126">
        <v>5</v>
      </c>
      <c r="J1241" s="640">
        <f t="shared" si="44"/>
        <v>0.9</v>
      </c>
      <c r="K1241" s="54">
        <v>0</v>
      </c>
      <c r="L1241" s="54">
        <v>0.45</v>
      </c>
      <c r="M1241" s="54">
        <v>0.45</v>
      </c>
      <c r="N1241" s="54"/>
      <c r="O1241" s="54">
        <f t="shared" si="45"/>
        <v>5.9</v>
      </c>
    </row>
    <row r="1242" spans="1:15" x14ac:dyDescent="0.2">
      <c r="A1242" s="51">
        <v>43739</v>
      </c>
      <c r="B1242" s="11">
        <v>104</v>
      </c>
      <c r="C1242" s="11" t="s">
        <v>601</v>
      </c>
      <c r="D1242" s="11" t="s">
        <v>602</v>
      </c>
      <c r="F1242" s="11" t="s">
        <v>22</v>
      </c>
      <c r="G1242" s="38">
        <v>5197</v>
      </c>
      <c r="H1242" s="650">
        <v>43761</v>
      </c>
      <c r="I1242" s="126">
        <v>25542</v>
      </c>
      <c r="J1242" s="640">
        <f t="shared" si="44"/>
        <v>7151.7599999999993</v>
      </c>
      <c r="K1242" s="54">
        <v>0</v>
      </c>
      <c r="L1242" s="54">
        <v>3575.8799999999997</v>
      </c>
      <c r="M1242" s="54">
        <v>3575.8799999999997</v>
      </c>
      <c r="N1242" s="54"/>
      <c r="O1242" s="54">
        <f t="shared" si="45"/>
        <v>32693.759999999998</v>
      </c>
    </row>
    <row r="1243" spans="1:15" x14ac:dyDescent="0.2">
      <c r="A1243" s="51">
        <v>43739</v>
      </c>
      <c r="B1243" s="11">
        <v>105</v>
      </c>
      <c r="C1243" s="11" t="s">
        <v>601</v>
      </c>
      <c r="D1243" s="11" t="s">
        <v>602</v>
      </c>
      <c r="F1243" s="11" t="s">
        <v>22</v>
      </c>
      <c r="G1243" s="38">
        <v>5218</v>
      </c>
      <c r="H1243" s="650">
        <v>43761</v>
      </c>
      <c r="I1243" s="126">
        <v>21285</v>
      </c>
      <c r="J1243" s="640">
        <f t="shared" si="44"/>
        <v>5959.8</v>
      </c>
      <c r="K1243" s="54">
        <v>0</v>
      </c>
      <c r="L1243" s="54">
        <v>2979.9</v>
      </c>
      <c r="M1243" s="54">
        <v>2979.9</v>
      </c>
      <c r="N1243" s="54"/>
      <c r="O1243" s="54">
        <f t="shared" si="45"/>
        <v>27244.799999999999</v>
      </c>
    </row>
    <row r="1244" spans="1:15" x14ac:dyDescent="0.2">
      <c r="A1244" s="51">
        <v>43739</v>
      </c>
      <c r="B1244" s="11">
        <v>106</v>
      </c>
      <c r="C1244" s="11" t="s">
        <v>601</v>
      </c>
      <c r="D1244" s="11" t="s">
        <v>602</v>
      </c>
      <c r="F1244" s="11" t="s">
        <v>22</v>
      </c>
      <c r="G1244" s="38">
        <v>5219</v>
      </c>
      <c r="H1244" s="650">
        <v>43761</v>
      </c>
      <c r="I1244" s="126">
        <v>32140.799999999999</v>
      </c>
      <c r="J1244" s="640">
        <f t="shared" si="44"/>
        <v>8999.4240000000009</v>
      </c>
      <c r="K1244" s="54">
        <v>0</v>
      </c>
      <c r="L1244" s="54">
        <v>4499.7120000000004</v>
      </c>
      <c r="M1244" s="54">
        <v>4499.7120000000004</v>
      </c>
      <c r="N1244" s="54"/>
      <c r="O1244" s="54">
        <f t="shared" si="45"/>
        <v>41140.224000000002</v>
      </c>
    </row>
    <row r="1245" spans="1:15" x14ac:dyDescent="0.2">
      <c r="A1245" s="51">
        <v>43739</v>
      </c>
      <c r="B1245" s="11">
        <v>107</v>
      </c>
      <c r="C1245" s="11" t="s">
        <v>473</v>
      </c>
      <c r="D1245" s="11" t="s">
        <v>41</v>
      </c>
      <c r="F1245" s="11" t="s">
        <v>22</v>
      </c>
      <c r="G1245" s="38" t="s">
        <v>2493</v>
      </c>
      <c r="H1245" s="650">
        <v>43761</v>
      </c>
      <c r="I1245" s="126">
        <v>5643.3</v>
      </c>
      <c r="J1245" s="640">
        <f t="shared" si="44"/>
        <v>1580.124</v>
      </c>
      <c r="K1245" s="54">
        <v>0</v>
      </c>
      <c r="L1245" s="54">
        <v>790.06200000000001</v>
      </c>
      <c r="M1245" s="54">
        <v>790.06200000000001</v>
      </c>
      <c r="N1245" s="54"/>
      <c r="O1245" s="54">
        <f t="shared" si="45"/>
        <v>7223.424</v>
      </c>
    </row>
    <row r="1246" spans="1:15" x14ac:dyDescent="0.2">
      <c r="A1246" s="51">
        <v>43739</v>
      </c>
      <c r="B1246" s="11">
        <v>108</v>
      </c>
      <c r="C1246" s="11" t="s">
        <v>473</v>
      </c>
      <c r="D1246" s="11" t="s">
        <v>41</v>
      </c>
      <c r="F1246" s="11" t="s">
        <v>22</v>
      </c>
      <c r="G1246" s="38" t="s">
        <v>2494</v>
      </c>
      <c r="H1246" s="650">
        <v>43761</v>
      </c>
      <c r="I1246" s="126">
        <v>5129.6000000000004</v>
      </c>
      <c r="J1246" s="640">
        <f t="shared" si="44"/>
        <v>1436.2880000000002</v>
      </c>
      <c r="K1246" s="54">
        <v>0</v>
      </c>
      <c r="L1246" s="54">
        <v>718.14400000000012</v>
      </c>
      <c r="M1246" s="54">
        <v>718.14400000000012</v>
      </c>
      <c r="N1246" s="54"/>
      <c r="O1246" s="54">
        <f t="shared" si="45"/>
        <v>6565.8880000000008</v>
      </c>
    </row>
    <row r="1247" spans="1:15" x14ac:dyDescent="0.2">
      <c r="A1247" s="51">
        <v>43739</v>
      </c>
      <c r="B1247" s="11">
        <v>109</v>
      </c>
      <c r="C1247" s="11" t="s">
        <v>591</v>
      </c>
      <c r="D1247" s="11" t="s">
        <v>592</v>
      </c>
      <c r="F1247" s="11" t="s">
        <v>22</v>
      </c>
      <c r="G1247" s="38" t="s">
        <v>2495</v>
      </c>
      <c r="H1247" s="650">
        <v>43761</v>
      </c>
      <c r="I1247" s="126">
        <v>40500</v>
      </c>
      <c r="J1247" s="640">
        <f t="shared" si="44"/>
        <v>7290</v>
      </c>
      <c r="K1247" s="54">
        <v>0</v>
      </c>
      <c r="L1247" s="54">
        <v>3645</v>
      </c>
      <c r="M1247" s="54">
        <v>3645</v>
      </c>
      <c r="N1247" s="54"/>
      <c r="O1247" s="54">
        <f t="shared" si="45"/>
        <v>47790</v>
      </c>
    </row>
    <row r="1248" spans="1:15" x14ac:dyDescent="0.2">
      <c r="A1248" s="51">
        <v>43739</v>
      </c>
      <c r="B1248" s="11">
        <v>110</v>
      </c>
      <c r="C1248" s="11" t="s">
        <v>2440</v>
      </c>
      <c r="D1248" s="11" t="s">
        <v>2441</v>
      </c>
      <c r="F1248" s="11" t="s">
        <v>22</v>
      </c>
      <c r="G1248" s="38" t="s">
        <v>2496</v>
      </c>
      <c r="H1248" s="650">
        <v>43742</v>
      </c>
      <c r="I1248" s="126">
        <v>29464.6</v>
      </c>
      <c r="J1248" s="640">
        <f t="shared" si="44"/>
        <v>3535.7519999999995</v>
      </c>
      <c r="K1248" s="54">
        <v>0</v>
      </c>
      <c r="L1248" s="54">
        <v>1767.8759999999997</v>
      </c>
      <c r="M1248" s="54">
        <v>1767.8759999999997</v>
      </c>
      <c r="N1248" s="54"/>
      <c r="O1248" s="54">
        <f t="shared" si="45"/>
        <v>33000.351999999999</v>
      </c>
    </row>
    <row r="1249" spans="1:15" x14ac:dyDescent="0.2">
      <c r="A1249" s="51">
        <v>43739</v>
      </c>
      <c r="B1249" s="11">
        <v>111</v>
      </c>
      <c r="C1249" s="11" t="s">
        <v>473</v>
      </c>
      <c r="D1249" s="11" t="s">
        <v>41</v>
      </c>
      <c r="F1249" s="11" t="s">
        <v>22</v>
      </c>
      <c r="G1249" s="38" t="s">
        <v>2497</v>
      </c>
      <c r="H1249" s="650">
        <v>43762</v>
      </c>
      <c r="I1249" s="126">
        <v>11442.18</v>
      </c>
      <c r="J1249" s="640">
        <f t="shared" si="44"/>
        <v>3203.8104000000003</v>
      </c>
      <c r="K1249" s="54">
        <v>0</v>
      </c>
      <c r="L1249" s="54">
        <v>1601.9052000000001</v>
      </c>
      <c r="M1249" s="54">
        <v>1601.9052000000001</v>
      </c>
      <c r="N1249" s="54"/>
      <c r="O1249" s="54">
        <f t="shared" si="45"/>
        <v>14645.990400000001</v>
      </c>
    </row>
    <row r="1250" spans="1:15" x14ac:dyDescent="0.2">
      <c r="A1250" s="51">
        <v>43739</v>
      </c>
      <c r="B1250" s="11">
        <v>112</v>
      </c>
      <c r="C1250" s="11" t="s">
        <v>554</v>
      </c>
      <c r="D1250" s="11" t="s">
        <v>555</v>
      </c>
      <c r="F1250" s="11" t="s">
        <v>22</v>
      </c>
      <c r="G1250" s="38">
        <v>13493</v>
      </c>
      <c r="H1250" s="650">
        <v>43761</v>
      </c>
      <c r="I1250" s="126">
        <v>6583.5</v>
      </c>
      <c r="J1250" s="640">
        <f t="shared" si="44"/>
        <v>1843.3799999999999</v>
      </c>
      <c r="K1250" s="54">
        <v>0</v>
      </c>
      <c r="L1250" s="54">
        <v>921.68999999999994</v>
      </c>
      <c r="M1250" s="54">
        <v>921.68999999999994</v>
      </c>
      <c r="N1250" s="54"/>
      <c r="O1250" s="54">
        <f t="shared" si="45"/>
        <v>8426.8799999999992</v>
      </c>
    </row>
    <row r="1251" spans="1:15" x14ac:dyDescent="0.2">
      <c r="A1251" s="51">
        <v>43739</v>
      </c>
      <c r="B1251" s="11">
        <v>113</v>
      </c>
      <c r="C1251" s="11" t="s">
        <v>493</v>
      </c>
      <c r="D1251" s="11" t="s">
        <v>494</v>
      </c>
      <c r="F1251" s="11" t="s">
        <v>22</v>
      </c>
      <c r="G1251" s="38">
        <v>3462</v>
      </c>
      <c r="H1251" s="650">
        <v>43762</v>
      </c>
      <c r="I1251" s="126">
        <v>7816.6</v>
      </c>
      <c r="J1251" s="640">
        <f t="shared" si="44"/>
        <v>1406.9879999999998</v>
      </c>
      <c r="K1251" s="54">
        <v>0</v>
      </c>
      <c r="L1251" s="54">
        <v>703.49399999999991</v>
      </c>
      <c r="M1251" s="54">
        <v>703.49399999999991</v>
      </c>
      <c r="N1251" s="54"/>
      <c r="O1251" s="54">
        <f t="shared" si="45"/>
        <v>9223.5879999999997</v>
      </c>
    </row>
    <row r="1252" spans="1:15" x14ac:dyDescent="0.2">
      <c r="A1252" s="51">
        <v>43739</v>
      </c>
      <c r="B1252" s="11">
        <v>114</v>
      </c>
      <c r="C1252" s="11" t="s">
        <v>489</v>
      </c>
      <c r="D1252" s="11" t="s">
        <v>490</v>
      </c>
      <c r="F1252" s="11" t="s">
        <v>22</v>
      </c>
      <c r="G1252" s="38">
        <v>7887990150</v>
      </c>
      <c r="H1252" s="650">
        <v>43763</v>
      </c>
      <c r="I1252" s="126">
        <v>70808</v>
      </c>
      <c r="J1252" s="640">
        <f t="shared" si="44"/>
        <v>12745.44</v>
      </c>
      <c r="K1252" s="54">
        <v>0</v>
      </c>
      <c r="L1252" s="54">
        <v>6372.72</v>
      </c>
      <c r="M1252" s="54">
        <v>6372.72</v>
      </c>
      <c r="N1252" s="54"/>
      <c r="O1252" s="54">
        <f t="shared" si="45"/>
        <v>83553.440000000002</v>
      </c>
    </row>
    <row r="1253" spans="1:15" x14ac:dyDescent="0.2">
      <c r="A1253" s="51">
        <v>43739</v>
      </c>
      <c r="B1253" s="11">
        <v>115</v>
      </c>
      <c r="C1253" s="11" t="s">
        <v>489</v>
      </c>
      <c r="D1253" s="11" t="s">
        <v>490</v>
      </c>
      <c r="F1253" s="11" t="s">
        <v>22</v>
      </c>
      <c r="G1253" s="38">
        <v>7887990151</v>
      </c>
      <c r="H1253" s="650">
        <v>43763</v>
      </c>
      <c r="I1253" s="126">
        <v>37540</v>
      </c>
      <c r="J1253" s="640">
        <f t="shared" si="44"/>
        <v>6757.2</v>
      </c>
      <c r="K1253" s="54">
        <v>0</v>
      </c>
      <c r="L1253" s="54">
        <v>3378.6</v>
      </c>
      <c r="M1253" s="54">
        <v>3378.6</v>
      </c>
      <c r="N1253" s="54"/>
      <c r="O1253" s="54">
        <f t="shared" si="45"/>
        <v>44297.2</v>
      </c>
    </row>
    <row r="1254" spans="1:15" x14ac:dyDescent="0.2">
      <c r="A1254" s="51">
        <v>43739</v>
      </c>
      <c r="B1254" s="11">
        <v>116</v>
      </c>
      <c r="C1254" s="11" t="s">
        <v>601</v>
      </c>
      <c r="D1254" s="11" t="s">
        <v>602</v>
      </c>
      <c r="F1254" s="11" t="s">
        <v>22</v>
      </c>
      <c r="G1254" s="38">
        <v>5255</v>
      </c>
      <c r="H1254" s="650">
        <v>43763</v>
      </c>
      <c r="I1254" s="126">
        <v>25542</v>
      </c>
      <c r="J1254" s="640">
        <f t="shared" si="44"/>
        <v>7151.7599999999993</v>
      </c>
      <c r="K1254" s="54">
        <v>0</v>
      </c>
      <c r="L1254" s="54">
        <v>3575.8799999999997</v>
      </c>
      <c r="M1254" s="54">
        <v>3575.8799999999997</v>
      </c>
      <c r="N1254" s="54"/>
      <c r="O1254" s="54">
        <f t="shared" si="45"/>
        <v>32693.759999999998</v>
      </c>
    </row>
    <row r="1255" spans="1:15" x14ac:dyDescent="0.2">
      <c r="A1255" s="51">
        <v>43739</v>
      </c>
      <c r="B1255" s="11">
        <v>117</v>
      </c>
      <c r="C1255" s="11" t="s">
        <v>601</v>
      </c>
      <c r="D1255" s="11" t="s">
        <v>602</v>
      </c>
      <c r="F1255" s="11" t="s">
        <v>22</v>
      </c>
      <c r="G1255" s="38">
        <v>5256</v>
      </c>
      <c r="H1255" s="650">
        <v>43763</v>
      </c>
      <c r="I1255" s="126">
        <v>9374.4</v>
      </c>
      <c r="J1255" s="640">
        <f t="shared" si="44"/>
        <v>2624.8319999999999</v>
      </c>
      <c r="K1255" s="54">
        <v>0</v>
      </c>
      <c r="L1255" s="54">
        <v>1312.4159999999999</v>
      </c>
      <c r="M1255" s="54">
        <v>1312.4159999999999</v>
      </c>
      <c r="N1255" s="54"/>
      <c r="O1255" s="54">
        <f t="shared" si="45"/>
        <v>11999.232</v>
      </c>
    </row>
    <row r="1256" spans="1:15" x14ac:dyDescent="0.2">
      <c r="A1256" s="51">
        <v>43739</v>
      </c>
      <c r="B1256" s="11">
        <v>118</v>
      </c>
      <c r="C1256" s="11" t="s">
        <v>102</v>
      </c>
      <c r="D1256" s="11" t="s">
        <v>103</v>
      </c>
      <c r="F1256" s="11" t="s">
        <v>22</v>
      </c>
      <c r="G1256" s="38" t="s">
        <v>3339</v>
      </c>
      <c r="H1256" s="650">
        <v>43759</v>
      </c>
      <c r="I1256" s="126">
        <v>2030.87</v>
      </c>
      <c r="J1256" s="640">
        <f t="shared" si="44"/>
        <v>568.64359999999999</v>
      </c>
      <c r="K1256" s="54">
        <v>568.64359999999999</v>
      </c>
      <c r="L1256" s="54">
        <v>0</v>
      </c>
      <c r="M1256" s="54">
        <v>0</v>
      </c>
      <c r="N1256" s="54"/>
      <c r="O1256" s="54">
        <f t="shared" si="45"/>
        <v>2599.5135999999998</v>
      </c>
    </row>
    <row r="1257" spans="1:15" x14ac:dyDescent="0.2">
      <c r="A1257" s="51">
        <v>43739</v>
      </c>
      <c r="B1257" s="11">
        <v>119</v>
      </c>
      <c r="C1257" s="11" t="s">
        <v>102</v>
      </c>
      <c r="D1257" s="11" t="s">
        <v>103</v>
      </c>
      <c r="F1257" s="11" t="s">
        <v>22</v>
      </c>
      <c r="G1257" s="38" t="s">
        <v>3340</v>
      </c>
      <c r="H1257" s="650">
        <v>43759</v>
      </c>
      <c r="I1257" s="126">
        <v>325.70999999999998</v>
      </c>
      <c r="J1257" s="640">
        <f t="shared" si="44"/>
        <v>91.198799999999991</v>
      </c>
      <c r="K1257" s="54">
        <v>91.198799999999991</v>
      </c>
      <c r="L1257" s="54">
        <v>0</v>
      </c>
      <c r="M1257" s="54">
        <v>0</v>
      </c>
      <c r="N1257" s="54"/>
      <c r="O1257" s="54">
        <f t="shared" si="45"/>
        <v>416.90879999999999</v>
      </c>
    </row>
    <row r="1258" spans="1:15" x14ac:dyDescent="0.2">
      <c r="A1258" s="51">
        <v>43739</v>
      </c>
      <c r="B1258" s="11">
        <v>120</v>
      </c>
      <c r="C1258" s="11" t="s">
        <v>829</v>
      </c>
      <c r="D1258" s="11" t="s">
        <v>830</v>
      </c>
      <c r="F1258" s="11" t="s">
        <v>22</v>
      </c>
      <c r="G1258" s="38">
        <v>1798</v>
      </c>
      <c r="H1258" s="650">
        <v>43768</v>
      </c>
      <c r="I1258" s="126">
        <v>4524</v>
      </c>
      <c r="J1258" s="640">
        <f t="shared" si="44"/>
        <v>814.32</v>
      </c>
      <c r="K1258" s="54">
        <v>0</v>
      </c>
      <c r="L1258" s="54">
        <v>407.16</v>
      </c>
      <c r="M1258" s="54">
        <v>407.16</v>
      </c>
      <c r="N1258" s="54"/>
      <c r="O1258" s="54">
        <f t="shared" si="45"/>
        <v>5338.32</v>
      </c>
    </row>
    <row r="1259" spans="1:15" x14ac:dyDescent="0.2">
      <c r="A1259" s="51">
        <v>43739</v>
      </c>
      <c r="B1259" s="11">
        <v>121</v>
      </c>
      <c r="C1259" s="11" t="s">
        <v>589</v>
      </c>
      <c r="D1259" s="11" t="s">
        <v>590</v>
      </c>
      <c r="F1259" s="11" t="s">
        <v>22</v>
      </c>
      <c r="G1259" s="38">
        <v>14</v>
      </c>
      <c r="H1259" s="650">
        <v>43769</v>
      </c>
      <c r="I1259" s="126">
        <v>22813.5</v>
      </c>
      <c r="J1259" s="640">
        <f t="shared" si="44"/>
        <v>4106.43</v>
      </c>
      <c r="K1259" s="54">
        <v>0</v>
      </c>
      <c r="L1259" s="54">
        <v>2053.2150000000001</v>
      </c>
      <c r="M1259" s="54">
        <v>2053.2150000000001</v>
      </c>
      <c r="N1259" s="54"/>
      <c r="O1259" s="54">
        <f t="shared" si="45"/>
        <v>26919.93</v>
      </c>
    </row>
    <row r="1260" spans="1:15" x14ac:dyDescent="0.2">
      <c r="A1260" s="51">
        <v>43739</v>
      </c>
      <c r="B1260" s="11">
        <v>122</v>
      </c>
      <c r="C1260" s="11" t="s">
        <v>551</v>
      </c>
      <c r="D1260" s="11" t="s">
        <v>552</v>
      </c>
      <c r="F1260" s="11" t="s">
        <v>22</v>
      </c>
      <c r="G1260" s="38" t="s">
        <v>3375</v>
      </c>
      <c r="H1260" s="650">
        <v>43762</v>
      </c>
      <c r="I1260" s="126">
        <v>300</v>
      </c>
      <c r="J1260" s="640">
        <f t="shared" si="44"/>
        <v>54</v>
      </c>
      <c r="K1260" s="54">
        <v>0</v>
      </c>
      <c r="L1260" s="54">
        <v>27</v>
      </c>
      <c r="M1260" s="54">
        <v>27</v>
      </c>
      <c r="N1260" s="54"/>
      <c r="O1260" s="54">
        <f t="shared" si="45"/>
        <v>354</v>
      </c>
    </row>
    <row r="1261" spans="1:15" x14ac:dyDescent="0.2">
      <c r="A1261" s="51">
        <v>43739</v>
      </c>
      <c r="B1261" s="11">
        <v>123</v>
      </c>
      <c r="C1261" s="11" t="s">
        <v>495</v>
      </c>
      <c r="D1261" s="11" t="s">
        <v>74</v>
      </c>
      <c r="F1261" s="11" t="s">
        <v>22</v>
      </c>
      <c r="G1261" s="38">
        <v>5510061348</v>
      </c>
      <c r="H1261" s="650">
        <v>43760</v>
      </c>
      <c r="I1261" s="126">
        <v>606.41999999999996</v>
      </c>
      <c r="J1261" s="640">
        <f t="shared" si="44"/>
        <v>109.15559999999999</v>
      </c>
      <c r="K1261" s="54">
        <v>0</v>
      </c>
      <c r="L1261" s="54">
        <v>54.577799999999996</v>
      </c>
      <c r="M1261" s="54">
        <v>54.577799999999996</v>
      </c>
      <c r="N1261" s="54"/>
      <c r="O1261" s="54">
        <f t="shared" si="45"/>
        <v>715.57559999999989</v>
      </c>
    </row>
    <row r="1262" spans="1:15" x14ac:dyDescent="0.2">
      <c r="A1262" s="51">
        <v>43739</v>
      </c>
      <c r="B1262" s="11">
        <v>19</v>
      </c>
      <c r="C1262" s="11" t="s">
        <v>600</v>
      </c>
      <c r="D1262" s="11">
        <v>2</v>
      </c>
      <c r="F1262" s="11" t="s">
        <v>394</v>
      </c>
      <c r="G1262" s="38">
        <v>28</v>
      </c>
      <c r="H1262" s="650">
        <v>43745</v>
      </c>
      <c r="I1262" s="126"/>
      <c r="J1262" s="640">
        <f t="shared" si="44"/>
        <v>0</v>
      </c>
      <c r="K1262" s="54">
        <v>0</v>
      </c>
      <c r="L1262" s="54">
        <v>0</v>
      </c>
      <c r="M1262" s="54">
        <v>0</v>
      </c>
      <c r="N1262" s="54"/>
      <c r="O1262" s="54">
        <f t="shared" si="45"/>
        <v>0</v>
      </c>
    </row>
    <row r="1263" spans="1:15" x14ac:dyDescent="0.2">
      <c r="A1263" s="51">
        <v>43739</v>
      </c>
      <c r="B1263" s="11">
        <v>20</v>
      </c>
      <c r="C1263" s="11" t="s">
        <v>686</v>
      </c>
      <c r="D1263" s="11" t="s">
        <v>687</v>
      </c>
      <c r="F1263" s="11" t="s">
        <v>394</v>
      </c>
      <c r="G1263" s="38">
        <v>1647</v>
      </c>
      <c r="H1263" s="650">
        <v>43738</v>
      </c>
      <c r="I1263" s="126"/>
      <c r="J1263" s="640">
        <f t="shared" si="44"/>
        <v>0</v>
      </c>
      <c r="K1263" s="54">
        <v>0</v>
      </c>
      <c r="L1263" s="54">
        <v>0</v>
      </c>
      <c r="M1263" s="54">
        <v>0</v>
      </c>
      <c r="N1263" s="54"/>
      <c r="O1263" s="54">
        <f t="shared" si="45"/>
        <v>0</v>
      </c>
    </row>
    <row r="1264" spans="1:15" x14ac:dyDescent="0.2">
      <c r="A1264" s="51">
        <v>43739</v>
      </c>
      <c r="B1264" s="11">
        <v>21</v>
      </c>
      <c r="C1264" s="11" t="s">
        <v>686</v>
      </c>
      <c r="D1264" s="11" t="s">
        <v>687</v>
      </c>
      <c r="F1264" s="11" t="s">
        <v>394</v>
      </c>
      <c r="G1264" s="38" t="s">
        <v>2498</v>
      </c>
      <c r="H1264" s="650">
        <v>43748</v>
      </c>
      <c r="I1264" s="126"/>
      <c r="J1264" s="640">
        <f t="shared" si="44"/>
        <v>0</v>
      </c>
      <c r="K1264" s="54">
        <v>0</v>
      </c>
      <c r="L1264" s="54">
        <v>0</v>
      </c>
      <c r="M1264" s="54">
        <v>0</v>
      </c>
      <c r="N1264" s="54"/>
      <c r="O1264" s="54">
        <f t="shared" si="45"/>
        <v>0</v>
      </c>
    </row>
    <row r="1265" spans="1:15" x14ac:dyDescent="0.2">
      <c r="G1265" s="34"/>
      <c r="H1265" s="643"/>
      <c r="I1265" s="34"/>
      <c r="J1265" s="640">
        <f t="shared" si="44"/>
        <v>0</v>
      </c>
    </row>
    <row r="1266" spans="1:15" x14ac:dyDescent="0.2">
      <c r="A1266" s="51">
        <v>43770</v>
      </c>
      <c r="B1266" s="11">
        <v>1</v>
      </c>
      <c r="C1266" s="35" t="s">
        <v>541</v>
      </c>
      <c r="D1266" s="34" t="str">
        <f>VLOOKUP(C1266,'[2]PUR-PARTY MASTER'!$B$4:$E$2009,2,FALSE)</f>
        <v>27AYCPB9228K1ZA</v>
      </c>
      <c r="F1266" s="34" t="s">
        <v>22</v>
      </c>
      <c r="G1266" s="136" t="s">
        <v>4441</v>
      </c>
      <c r="H1266" s="37">
        <v>43770</v>
      </c>
      <c r="I1266" s="126">
        <v>3500</v>
      </c>
      <c r="J1266" s="640">
        <f t="shared" si="44"/>
        <v>630</v>
      </c>
      <c r="K1266" s="11">
        <v>0</v>
      </c>
      <c r="L1266" s="11">
        <v>315</v>
      </c>
      <c r="M1266" s="11">
        <v>315</v>
      </c>
      <c r="N1266" s="54"/>
      <c r="O1266" s="54">
        <f t="shared" ref="O1266:O1313" si="46">+I1266+J1266</f>
        <v>4130</v>
      </c>
    </row>
    <row r="1267" spans="1:15" x14ac:dyDescent="0.2">
      <c r="A1267" s="51">
        <v>43770</v>
      </c>
      <c r="B1267" s="11">
        <v>2</v>
      </c>
      <c r="C1267" s="35" t="s">
        <v>493</v>
      </c>
      <c r="D1267" s="34" t="str">
        <f>VLOOKUP(C1267,'[2]PUR-PARTY MASTER'!$B$4:$E$2009,2,FALSE)</f>
        <v>27AMMPB3648M1ZO</v>
      </c>
      <c r="F1267" s="34" t="s">
        <v>22</v>
      </c>
      <c r="G1267" s="134">
        <v>3513</v>
      </c>
      <c r="H1267" s="37">
        <v>43770</v>
      </c>
      <c r="I1267" s="126">
        <v>4781.92</v>
      </c>
      <c r="J1267" s="640">
        <f t="shared" ref="J1267:J1330" si="47">+K1267+L1267+M1267+N1267</f>
        <v>860.74560000000008</v>
      </c>
      <c r="K1267" s="11">
        <v>0</v>
      </c>
      <c r="L1267" s="11">
        <v>430.37280000000004</v>
      </c>
      <c r="M1267" s="11">
        <v>430.37280000000004</v>
      </c>
      <c r="N1267" s="54"/>
      <c r="O1267" s="54">
        <f t="shared" si="46"/>
        <v>5642.6656000000003</v>
      </c>
    </row>
    <row r="1268" spans="1:15" x14ac:dyDescent="0.2">
      <c r="A1268" s="51">
        <v>43770</v>
      </c>
      <c r="B1268" s="11">
        <v>3</v>
      </c>
      <c r="C1268" s="35" t="s">
        <v>499</v>
      </c>
      <c r="D1268" s="34" t="str">
        <f>VLOOKUP(C1268,'[2]PUR-PARTY MASTER'!$B$4:$E$2009,2,FALSE)</f>
        <v>27AAHFP1154B1ZN</v>
      </c>
      <c r="F1268" s="34" t="s">
        <v>22</v>
      </c>
      <c r="G1268" s="136" t="s">
        <v>4442</v>
      </c>
      <c r="H1268" s="37">
        <v>43770</v>
      </c>
      <c r="I1268" s="126">
        <v>3744</v>
      </c>
      <c r="J1268" s="640">
        <f t="shared" si="47"/>
        <v>673.92</v>
      </c>
      <c r="K1268" s="11">
        <v>0</v>
      </c>
      <c r="L1268" s="11">
        <v>336.96</v>
      </c>
      <c r="M1268" s="11">
        <v>336.96</v>
      </c>
      <c r="N1268" s="54"/>
      <c r="O1268" s="54">
        <f>+I1268+J1268+0.08</f>
        <v>4418</v>
      </c>
    </row>
    <row r="1269" spans="1:15" x14ac:dyDescent="0.2">
      <c r="A1269" s="51">
        <v>43770</v>
      </c>
      <c r="B1269" s="11">
        <v>4</v>
      </c>
      <c r="C1269" s="35" t="s">
        <v>499</v>
      </c>
      <c r="D1269" s="34" t="str">
        <f>VLOOKUP(C1269,'[2]PUR-PARTY MASTER'!$B$4:$E$2009,2,FALSE)</f>
        <v>27AAHFP1154B1ZN</v>
      </c>
      <c r="F1269" s="34" t="s">
        <v>22</v>
      </c>
      <c r="G1269" s="136" t="s">
        <v>4443</v>
      </c>
      <c r="H1269" s="37">
        <v>43770</v>
      </c>
      <c r="I1269" s="126">
        <v>5093.2</v>
      </c>
      <c r="J1269" s="640">
        <f t="shared" si="47"/>
        <v>278.68</v>
      </c>
      <c r="K1269" s="11">
        <v>0</v>
      </c>
      <c r="L1269" s="11">
        <v>139.34</v>
      </c>
      <c r="M1269" s="11">
        <v>139.34</v>
      </c>
      <c r="N1269" s="54"/>
      <c r="O1269" s="54">
        <f>+I1269+J1269+0.12</f>
        <v>5372</v>
      </c>
    </row>
    <row r="1270" spans="1:15" x14ac:dyDescent="0.2">
      <c r="A1270" s="51">
        <v>43770</v>
      </c>
      <c r="B1270" s="11">
        <v>5</v>
      </c>
      <c r="C1270" s="35" t="s">
        <v>499</v>
      </c>
      <c r="D1270" s="34" t="str">
        <f>VLOOKUP(C1270,'[2]PUR-PARTY MASTER'!$B$4:$E$2009,2,FALSE)</f>
        <v>27AAHFP1154B1ZN</v>
      </c>
      <c r="F1270" s="34" t="s">
        <v>22</v>
      </c>
      <c r="G1270" s="136" t="s">
        <v>4444</v>
      </c>
      <c r="H1270" s="37">
        <v>43770</v>
      </c>
      <c r="I1270" s="126">
        <v>180</v>
      </c>
      <c r="J1270" s="640">
        <f t="shared" si="47"/>
        <v>0</v>
      </c>
      <c r="K1270" s="11">
        <v>0</v>
      </c>
      <c r="L1270" s="11">
        <v>0</v>
      </c>
      <c r="M1270" s="11">
        <v>0</v>
      </c>
      <c r="N1270" s="54"/>
      <c r="O1270" s="54">
        <f t="shared" si="46"/>
        <v>180</v>
      </c>
    </row>
    <row r="1271" spans="1:15" x14ac:dyDescent="0.2">
      <c r="A1271" s="51">
        <v>43770</v>
      </c>
      <c r="B1271" s="11">
        <v>6</v>
      </c>
      <c r="C1271" s="35" t="s">
        <v>493</v>
      </c>
      <c r="D1271" s="34" t="str">
        <f>VLOOKUP(C1271,'[2]PUR-PARTY MASTER'!$B$4:$E$2009,2,FALSE)</f>
        <v>27AMMPB3648M1ZO</v>
      </c>
      <c r="F1271" s="34" t="s">
        <v>22</v>
      </c>
      <c r="G1271" s="134">
        <v>3737</v>
      </c>
      <c r="H1271" s="37">
        <v>43771</v>
      </c>
      <c r="I1271" s="126">
        <v>13794</v>
      </c>
      <c r="J1271" s="640">
        <f t="shared" si="47"/>
        <v>2482.92</v>
      </c>
      <c r="K1271" s="11">
        <v>0</v>
      </c>
      <c r="L1271" s="11">
        <v>1241.46</v>
      </c>
      <c r="M1271" s="11">
        <v>1241.46</v>
      </c>
      <c r="N1271" s="54"/>
      <c r="O1271" s="54">
        <f t="shared" si="46"/>
        <v>16276.92</v>
      </c>
    </row>
    <row r="1272" spans="1:15" x14ac:dyDescent="0.2">
      <c r="A1272" s="51">
        <v>43770</v>
      </c>
      <c r="B1272" s="11">
        <v>7</v>
      </c>
      <c r="C1272" s="34" t="s">
        <v>601</v>
      </c>
      <c r="D1272" s="34" t="str">
        <f>VLOOKUP(C1272,'[2]PUR-PARTY MASTER'!$B$4:$E$2009,2,FALSE)</f>
        <v>27AAZFM6461A1ZY</v>
      </c>
      <c r="F1272" s="34" t="s">
        <v>22</v>
      </c>
      <c r="G1272" s="134">
        <v>5355</v>
      </c>
      <c r="H1272" s="37">
        <v>43771</v>
      </c>
      <c r="I1272" s="39">
        <v>22987.8</v>
      </c>
      <c r="J1272" s="640">
        <f t="shared" si="47"/>
        <v>6436.5839999999998</v>
      </c>
      <c r="K1272" s="11">
        <v>0</v>
      </c>
      <c r="L1272" s="11">
        <v>3218.2919999999999</v>
      </c>
      <c r="M1272" s="11">
        <v>3218.2919999999999</v>
      </c>
      <c r="N1272" s="54"/>
      <c r="O1272" s="54">
        <f t="shared" si="46"/>
        <v>29424.383999999998</v>
      </c>
    </row>
    <row r="1273" spans="1:15" x14ac:dyDescent="0.2">
      <c r="A1273" s="51">
        <v>43770</v>
      </c>
      <c r="B1273" s="11">
        <v>8</v>
      </c>
      <c r="C1273" s="35" t="s">
        <v>476</v>
      </c>
      <c r="D1273" s="34" t="str">
        <f>VLOOKUP(C1273,'[2]PUR-PARTY MASTER'!$B$4:$E$2009,2,FALSE)</f>
        <v>27AABCO8467D1ZA</v>
      </c>
      <c r="F1273" s="34" t="s">
        <v>22</v>
      </c>
      <c r="G1273" s="136" t="s">
        <v>4445</v>
      </c>
      <c r="H1273" s="37">
        <v>43770</v>
      </c>
      <c r="I1273" s="126">
        <v>376945</v>
      </c>
      <c r="J1273" s="640">
        <f t="shared" si="47"/>
        <v>105544.59999999999</v>
      </c>
      <c r="K1273" s="11">
        <v>0</v>
      </c>
      <c r="L1273" s="11">
        <v>52772.299999999996</v>
      </c>
      <c r="M1273" s="11">
        <v>52772.299999999996</v>
      </c>
      <c r="N1273" s="54"/>
      <c r="O1273" s="54">
        <f t="shared" si="46"/>
        <v>482489.59999999998</v>
      </c>
    </row>
    <row r="1274" spans="1:15" x14ac:dyDescent="0.2">
      <c r="A1274" s="51">
        <v>43770</v>
      </c>
      <c r="B1274" s="11">
        <v>9</v>
      </c>
      <c r="C1274" s="35" t="s">
        <v>479</v>
      </c>
      <c r="D1274" s="34" t="str">
        <f>VLOOKUP(C1274,'[2]PUR-PARTY MASTER'!$B$4:$E$2009,2,FALSE)</f>
        <v>27AAMFC2124K1ZG</v>
      </c>
      <c r="F1274" s="34" t="s">
        <v>22</v>
      </c>
      <c r="G1274" s="134">
        <v>1394</v>
      </c>
      <c r="H1274" s="37">
        <v>43773</v>
      </c>
      <c r="I1274" s="126">
        <v>6740</v>
      </c>
      <c r="J1274" s="640">
        <f t="shared" si="47"/>
        <v>1213.2</v>
      </c>
      <c r="K1274" s="11">
        <v>0</v>
      </c>
      <c r="L1274" s="11">
        <v>606.6</v>
      </c>
      <c r="M1274" s="11">
        <v>606.6</v>
      </c>
      <c r="N1274" s="54"/>
      <c r="O1274" s="54">
        <f t="shared" si="46"/>
        <v>7953.2</v>
      </c>
    </row>
    <row r="1275" spans="1:15" x14ac:dyDescent="0.2">
      <c r="A1275" s="51">
        <v>43770</v>
      </c>
      <c r="B1275" s="11">
        <v>10</v>
      </c>
      <c r="C1275" s="35" t="s">
        <v>517</v>
      </c>
      <c r="D1275" s="34" t="str">
        <f>VLOOKUP(C1275,'[2]PUR-PARTY MASTER'!$B$4:$E$2009,2,FALSE)</f>
        <v>23AAACT6376M1ZZ</v>
      </c>
      <c r="F1275" s="34" t="s">
        <v>22</v>
      </c>
      <c r="G1275" s="134">
        <v>19622513</v>
      </c>
      <c r="H1275" s="37">
        <v>43771</v>
      </c>
      <c r="I1275" s="126">
        <v>25474.22</v>
      </c>
      <c r="J1275" s="640">
        <f t="shared" si="47"/>
        <v>7132.7916000000005</v>
      </c>
      <c r="K1275" s="11">
        <v>7132.7916000000005</v>
      </c>
      <c r="L1275" s="11">
        <v>0</v>
      </c>
      <c r="M1275" s="11">
        <v>0</v>
      </c>
      <c r="N1275" s="54"/>
      <c r="O1275" s="54">
        <f t="shared" si="46"/>
        <v>32607.011600000002</v>
      </c>
    </row>
    <row r="1276" spans="1:15" x14ac:dyDescent="0.2">
      <c r="A1276" s="51">
        <v>43770</v>
      </c>
      <c r="B1276" s="11">
        <v>11</v>
      </c>
      <c r="C1276" s="35" t="s">
        <v>473</v>
      </c>
      <c r="D1276" s="34" t="str">
        <f>VLOOKUP(C1276,'[2]PUR-PARTY MASTER'!$B$4:$E$2009,2,FALSE)</f>
        <v>27AAACT1848E1ZH</v>
      </c>
      <c r="F1276" s="34" t="s">
        <v>22</v>
      </c>
      <c r="G1276" s="136" t="s">
        <v>4446</v>
      </c>
      <c r="H1276" s="37">
        <v>43773</v>
      </c>
      <c r="I1276" s="126">
        <v>6412</v>
      </c>
      <c r="J1276" s="640">
        <f t="shared" si="47"/>
        <v>1796.0000000000002</v>
      </c>
      <c r="K1276" s="11">
        <v>0</v>
      </c>
      <c r="L1276" s="11">
        <v>898.00000000000011</v>
      </c>
      <c r="M1276" s="11">
        <v>898.00000000000011</v>
      </c>
      <c r="N1276" s="54"/>
      <c r="O1276" s="54">
        <f t="shared" si="46"/>
        <v>8208</v>
      </c>
    </row>
    <row r="1277" spans="1:15" x14ac:dyDescent="0.2">
      <c r="A1277" s="51">
        <v>43770</v>
      </c>
      <c r="B1277" s="11">
        <v>12</v>
      </c>
      <c r="C1277" s="35" t="s">
        <v>473</v>
      </c>
      <c r="D1277" s="34" t="str">
        <f>VLOOKUP(C1277,'[2]PUR-PARTY MASTER'!$B$4:$E$2009,2,FALSE)</f>
        <v>27AAACT1848E1ZH</v>
      </c>
      <c r="F1277" s="34" t="s">
        <v>22</v>
      </c>
      <c r="G1277" s="136" t="s">
        <v>4447</v>
      </c>
      <c r="H1277" s="37">
        <v>43773</v>
      </c>
      <c r="I1277" s="126">
        <v>3333.9</v>
      </c>
      <c r="J1277" s="640">
        <f t="shared" si="47"/>
        <v>933.99199999999996</v>
      </c>
      <c r="K1277" s="11">
        <v>0</v>
      </c>
      <c r="L1277" s="11">
        <v>466.99599999999998</v>
      </c>
      <c r="M1277" s="11">
        <v>466.99599999999998</v>
      </c>
      <c r="N1277" s="54"/>
      <c r="O1277" s="54">
        <f t="shared" si="46"/>
        <v>4267.8919999999998</v>
      </c>
    </row>
    <row r="1278" spans="1:15" x14ac:dyDescent="0.2">
      <c r="A1278" s="51">
        <v>43770</v>
      </c>
      <c r="B1278" s="11">
        <v>13</v>
      </c>
      <c r="C1278" s="35" t="s">
        <v>554</v>
      </c>
      <c r="D1278" s="34" t="str">
        <f>VLOOKUP(C1278,'[2]PUR-PARTY MASTER'!$B$4:$E$2009,2,FALSE)</f>
        <v>27AACFA1881H1ZL</v>
      </c>
      <c r="F1278" s="34" t="s">
        <v>22</v>
      </c>
      <c r="G1278" s="134">
        <v>13767</v>
      </c>
      <c r="H1278" s="37">
        <v>43773</v>
      </c>
      <c r="I1278" s="126">
        <v>9841</v>
      </c>
      <c r="J1278" s="640">
        <f t="shared" si="47"/>
        <v>2755.48</v>
      </c>
      <c r="K1278" s="11">
        <v>0</v>
      </c>
      <c r="L1278" s="11">
        <v>1377.74</v>
      </c>
      <c r="M1278" s="11">
        <v>1377.74</v>
      </c>
      <c r="N1278" s="54"/>
      <c r="O1278" s="54">
        <f t="shared" si="46"/>
        <v>12596.48</v>
      </c>
    </row>
    <row r="1279" spans="1:15" x14ac:dyDescent="0.2">
      <c r="A1279" s="51">
        <v>43770</v>
      </c>
      <c r="B1279" s="11">
        <v>14</v>
      </c>
      <c r="C1279" s="35" t="s">
        <v>495</v>
      </c>
      <c r="D1279" s="34" t="str">
        <f>VLOOKUP(C1279,'[2]PUR-PARTY MASTER'!$B$4:$E$2009,2,FALSE)</f>
        <v>27AAACH4211R1ZF</v>
      </c>
      <c r="F1279" s="34" t="s">
        <v>22</v>
      </c>
      <c r="G1279" s="134">
        <v>5510062357</v>
      </c>
      <c r="H1279" s="37">
        <v>43773</v>
      </c>
      <c r="I1279" s="126">
        <v>21235.200000000001</v>
      </c>
      <c r="J1279" s="640">
        <f t="shared" si="47"/>
        <v>3822.3160000000003</v>
      </c>
      <c r="K1279" s="11">
        <v>0</v>
      </c>
      <c r="L1279" s="11">
        <v>1911.1580000000001</v>
      </c>
      <c r="M1279" s="11">
        <v>1911.1580000000001</v>
      </c>
      <c r="N1279" s="54"/>
      <c r="O1279" s="54">
        <f t="shared" si="46"/>
        <v>25057.516</v>
      </c>
    </row>
    <row r="1280" spans="1:15" x14ac:dyDescent="0.2">
      <c r="A1280" s="51">
        <v>43770</v>
      </c>
      <c r="B1280" s="11">
        <v>15</v>
      </c>
      <c r="C1280" s="35" t="s">
        <v>609</v>
      </c>
      <c r="D1280" s="34" t="str">
        <f>VLOOKUP(C1280,'[2]PUR-PARTY MASTER'!$B$4:$E$2009,2,FALSE)</f>
        <v>27AASCS9231J1ZO</v>
      </c>
      <c r="F1280" s="34" t="s">
        <v>22</v>
      </c>
      <c r="G1280" s="136" t="s">
        <v>4448</v>
      </c>
      <c r="H1280" s="37">
        <v>43770</v>
      </c>
      <c r="I1280" s="126">
        <v>26697</v>
      </c>
      <c r="J1280" s="640">
        <f t="shared" si="47"/>
        <v>4805.4600000000009</v>
      </c>
      <c r="K1280" s="11">
        <v>0</v>
      </c>
      <c r="L1280" s="11">
        <v>2402.7300000000005</v>
      </c>
      <c r="M1280" s="11">
        <v>2402.7300000000005</v>
      </c>
      <c r="N1280" s="54"/>
      <c r="O1280" s="54">
        <f t="shared" si="46"/>
        <v>31502.46</v>
      </c>
    </row>
    <row r="1281" spans="1:15" x14ac:dyDescent="0.2">
      <c r="A1281" s="51">
        <v>43770</v>
      </c>
      <c r="B1281" s="11">
        <v>16</v>
      </c>
      <c r="C1281" s="35" t="s">
        <v>609</v>
      </c>
      <c r="D1281" s="34" t="str">
        <f>VLOOKUP(C1281,'[2]PUR-PARTY MASTER'!$B$4:$E$2009,2,FALSE)</f>
        <v>27AASCS9231J1ZO</v>
      </c>
      <c r="F1281" s="34" t="s">
        <v>22</v>
      </c>
      <c r="G1281" s="136" t="s">
        <v>4449</v>
      </c>
      <c r="H1281" s="37">
        <v>43770</v>
      </c>
      <c r="I1281" s="126">
        <v>801135</v>
      </c>
      <c r="J1281" s="640">
        <f t="shared" si="47"/>
        <v>144204.30000000002</v>
      </c>
      <c r="K1281" s="11">
        <v>0</v>
      </c>
      <c r="L1281" s="11">
        <v>72102.150000000009</v>
      </c>
      <c r="M1281" s="11">
        <v>72102.150000000009</v>
      </c>
      <c r="N1281" s="54"/>
      <c r="O1281" s="54">
        <f t="shared" si="46"/>
        <v>945339.3</v>
      </c>
    </row>
    <row r="1282" spans="1:15" x14ac:dyDescent="0.2">
      <c r="A1282" s="51">
        <v>43770</v>
      </c>
      <c r="B1282" s="11">
        <v>17</v>
      </c>
      <c r="C1282" s="35" t="s">
        <v>493</v>
      </c>
      <c r="D1282" s="34" t="str">
        <f>VLOOKUP(C1282,'[2]PUR-PARTY MASTER'!$B$4:$E$2009,2,FALSE)</f>
        <v>27AMMPB3648M1ZO</v>
      </c>
      <c r="F1282" s="34" t="s">
        <v>22</v>
      </c>
      <c r="G1282" s="134">
        <v>3555</v>
      </c>
      <c r="H1282" s="37">
        <v>43773</v>
      </c>
      <c r="I1282" s="126">
        <v>58624.5</v>
      </c>
      <c r="J1282" s="640">
        <f t="shared" si="47"/>
        <v>10552.41</v>
      </c>
      <c r="K1282" s="11">
        <v>0</v>
      </c>
      <c r="L1282" s="11">
        <v>5276.2049999999999</v>
      </c>
      <c r="M1282" s="11">
        <v>5276.2049999999999</v>
      </c>
      <c r="N1282" s="54"/>
      <c r="O1282" s="54">
        <f t="shared" si="46"/>
        <v>69176.91</v>
      </c>
    </row>
    <row r="1283" spans="1:15" x14ac:dyDescent="0.2">
      <c r="A1283" s="51">
        <v>43770</v>
      </c>
      <c r="B1283" s="11">
        <v>18</v>
      </c>
      <c r="C1283" s="35" t="s">
        <v>495</v>
      </c>
      <c r="D1283" s="34" t="str">
        <f>VLOOKUP(C1283,'[2]PUR-PARTY MASTER'!$B$4:$E$2009,2,FALSE)</f>
        <v>27AAACH4211R1ZF</v>
      </c>
      <c r="F1283" s="34" t="s">
        <v>22</v>
      </c>
      <c r="G1283" s="134">
        <v>5510062451</v>
      </c>
      <c r="H1283" s="37">
        <v>43774</v>
      </c>
      <c r="I1283" s="126">
        <v>63705.599999999999</v>
      </c>
      <c r="J1283" s="640">
        <f t="shared" si="47"/>
        <v>11467.008000000002</v>
      </c>
      <c r="K1283" s="11">
        <v>0</v>
      </c>
      <c r="L1283" s="11">
        <v>5733.5040000000008</v>
      </c>
      <c r="M1283" s="11">
        <v>5733.5040000000008</v>
      </c>
      <c r="N1283" s="54"/>
      <c r="O1283" s="54">
        <f t="shared" si="46"/>
        <v>75172.608000000007</v>
      </c>
    </row>
    <row r="1284" spans="1:15" x14ac:dyDescent="0.2">
      <c r="A1284" s="51">
        <v>43770</v>
      </c>
      <c r="B1284" s="11">
        <v>19</v>
      </c>
      <c r="C1284" s="632" t="s">
        <v>741</v>
      </c>
      <c r="D1284" s="34" t="str">
        <f>VLOOKUP(C1284,'[2]PUR-PARTY MASTER'!$B$4:$E$2009,2,FALSE)</f>
        <v>27AAACV2420J1ZI</v>
      </c>
      <c r="F1284" s="34" t="s">
        <v>22</v>
      </c>
      <c r="G1284" s="136">
        <v>2240112879</v>
      </c>
      <c r="H1284" s="37">
        <v>43774</v>
      </c>
      <c r="I1284" s="40">
        <v>9234</v>
      </c>
      <c r="J1284" s="640">
        <f t="shared" si="47"/>
        <v>2585.52</v>
      </c>
      <c r="K1284" s="11">
        <v>0</v>
      </c>
      <c r="L1284" s="11">
        <v>1292.76</v>
      </c>
      <c r="M1284" s="11">
        <v>1292.76</v>
      </c>
      <c r="N1284" s="54"/>
      <c r="O1284" s="54">
        <f t="shared" si="46"/>
        <v>11819.52</v>
      </c>
    </row>
    <row r="1285" spans="1:15" x14ac:dyDescent="0.2">
      <c r="A1285" s="51">
        <v>43770</v>
      </c>
      <c r="B1285" s="11">
        <v>20</v>
      </c>
      <c r="C1285" s="632" t="s">
        <v>741</v>
      </c>
      <c r="D1285" s="34" t="str">
        <f>VLOOKUP(C1285,'[2]PUR-PARTY MASTER'!$B$4:$E$2009,2,FALSE)</f>
        <v>27AAACV2420J1ZI</v>
      </c>
      <c r="F1285" s="34" t="s">
        <v>22</v>
      </c>
      <c r="G1285" s="136">
        <v>2240112882</v>
      </c>
      <c r="H1285" s="37">
        <v>43774</v>
      </c>
      <c r="I1285" s="40">
        <v>10580.4</v>
      </c>
      <c r="J1285" s="640">
        <f t="shared" si="47"/>
        <v>2962.5120000000002</v>
      </c>
      <c r="K1285" s="11">
        <v>0</v>
      </c>
      <c r="L1285" s="11">
        <v>1481.2560000000001</v>
      </c>
      <c r="M1285" s="11">
        <v>1481.2560000000001</v>
      </c>
      <c r="N1285" s="54"/>
      <c r="O1285" s="54">
        <f t="shared" si="46"/>
        <v>13542.912</v>
      </c>
    </row>
    <row r="1286" spans="1:15" x14ac:dyDescent="0.2">
      <c r="A1286" s="51">
        <v>43770</v>
      </c>
      <c r="B1286" s="11">
        <v>21</v>
      </c>
      <c r="C1286" s="34" t="s">
        <v>829</v>
      </c>
      <c r="D1286" s="34" t="str">
        <f>VLOOKUP(C1286,'[2]PUR-PARTY MASTER'!$B$4:$E$2009,2,FALSE)</f>
        <v>27AATPC2316A1Z7</v>
      </c>
      <c r="F1286" s="34" t="s">
        <v>22</v>
      </c>
      <c r="G1286" s="134">
        <v>1850</v>
      </c>
      <c r="H1286" s="37">
        <v>43775</v>
      </c>
      <c r="I1286" s="40">
        <v>8048</v>
      </c>
      <c r="J1286" s="640">
        <f t="shared" si="47"/>
        <v>1448.64</v>
      </c>
      <c r="K1286" s="11">
        <v>0</v>
      </c>
      <c r="L1286" s="11">
        <v>724.32</v>
      </c>
      <c r="M1286" s="11">
        <v>724.32</v>
      </c>
      <c r="N1286" s="54"/>
      <c r="O1286" s="54">
        <f>+I1286+J1286+0.36</f>
        <v>9497</v>
      </c>
    </row>
    <row r="1287" spans="1:15" x14ac:dyDescent="0.2">
      <c r="A1287" s="51">
        <v>43770</v>
      </c>
      <c r="B1287" s="11">
        <v>22</v>
      </c>
      <c r="C1287" s="35" t="s">
        <v>473</v>
      </c>
      <c r="D1287" s="34" t="str">
        <f>VLOOKUP(C1287,'[2]PUR-PARTY MASTER'!$B$4:$E$2009,2,FALSE)</f>
        <v>27AAACT1848E1ZH</v>
      </c>
      <c r="F1287" s="34" t="s">
        <v>22</v>
      </c>
      <c r="G1287" s="136" t="s">
        <v>4450</v>
      </c>
      <c r="H1287" s="37">
        <v>43775</v>
      </c>
      <c r="I1287" s="126">
        <v>16030</v>
      </c>
      <c r="J1287" s="640">
        <f t="shared" si="47"/>
        <v>4488.0000000000009</v>
      </c>
      <c r="K1287" s="11">
        <v>0</v>
      </c>
      <c r="L1287" s="11">
        <v>2244.0000000000005</v>
      </c>
      <c r="M1287" s="11">
        <v>2244.0000000000005</v>
      </c>
      <c r="N1287" s="54"/>
      <c r="O1287" s="54">
        <f t="shared" si="46"/>
        <v>20518</v>
      </c>
    </row>
    <row r="1288" spans="1:15" x14ac:dyDescent="0.2">
      <c r="A1288" s="51">
        <v>43770</v>
      </c>
      <c r="B1288" s="11">
        <v>23</v>
      </c>
      <c r="C1288" s="35" t="s">
        <v>551</v>
      </c>
      <c r="D1288" s="34" t="str">
        <f>VLOOKUP(C1288,'[2]PUR-PARTY MASTER'!$B$4:$E$2009,2,FALSE)</f>
        <v>27AHVPG8951G1ZQ</v>
      </c>
      <c r="F1288" s="34" t="s">
        <v>22</v>
      </c>
      <c r="G1288" s="136" t="s">
        <v>4451</v>
      </c>
      <c r="H1288" s="37">
        <v>43774</v>
      </c>
      <c r="I1288" s="40">
        <v>150</v>
      </c>
      <c r="J1288" s="640">
        <f t="shared" si="47"/>
        <v>27</v>
      </c>
      <c r="K1288" s="11">
        <v>0</v>
      </c>
      <c r="L1288" s="11">
        <v>13.5</v>
      </c>
      <c r="M1288" s="11">
        <v>13.5</v>
      </c>
      <c r="N1288" s="54"/>
      <c r="O1288" s="54">
        <f t="shared" si="46"/>
        <v>177</v>
      </c>
    </row>
    <row r="1289" spans="1:15" x14ac:dyDescent="0.2">
      <c r="A1289" s="51">
        <v>43770</v>
      </c>
      <c r="B1289" s="11">
        <v>24</v>
      </c>
      <c r="C1289" s="35" t="s">
        <v>591</v>
      </c>
      <c r="D1289" s="34" t="str">
        <f>VLOOKUP(C1289,'[2]PUR-PARTY MASTER'!$B$4:$E$2009,2,FALSE)</f>
        <v>27AAACI6297A1ZN</v>
      </c>
      <c r="F1289" s="34" t="s">
        <v>22</v>
      </c>
      <c r="G1289" s="136" t="s">
        <v>4452</v>
      </c>
      <c r="H1289" s="37">
        <v>43775</v>
      </c>
      <c r="I1289" s="40">
        <v>40500</v>
      </c>
      <c r="J1289" s="640">
        <f t="shared" si="47"/>
        <v>7290</v>
      </c>
      <c r="K1289" s="11">
        <v>0</v>
      </c>
      <c r="L1289" s="11">
        <v>3645</v>
      </c>
      <c r="M1289" s="11">
        <v>3645</v>
      </c>
      <c r="N1289" s="54"/>
      <c r="O1289" s="54">
        <f t="shared" si="46"/>
        <v>47790</v>
      </c>
    </row>
    <row r="1290" spans="1:15" x14ac:dyDescent="0.2">
      <c r="A1290" s="51">
        <v>43770</v>
      </c>
      <c r="B1290" s="11">
        <v>25</v>
      </c>
      <c r="C1290" s="35" t="s">
        <v>479</v>
      </c>
      <c r="D1290" s="34" t="str">
        <f>VLOOKUP(C1290,'[2]PUR-PARTY MASTER'!$B$4:$E$2009,2,FALSE)</f>
        <v>27AAMFC2124K1ZG</v>
      </c>
      <c r="F1290" s="34" t="s">
        <v>22</v>
      </c>
      <c r="G1290" s="134">
        <v>1403</v>
      </c>
      <c r="H1290" s="37">
        <v>43776</v>
      </c>
      <c r="I1290" s="126">
        <v>6410</v>
      </c>
      <c r="J1290" s="640">
        <f t="shared" si="47"/>
        <v>1153.8</v>
      </c>
      <c r="K1290" s="11">
        <v>0</v>
      </c>
      <c r="L1290" s="11">
        <v>576.9</v>
      </c>
      <c r="M1290" s="11">
        <v>576.9</v>
      </c>
      <c r="N1290" s="54"/>
      <c r="O1290" s="54">
        <f t="shared" si="46"/>
        <v>7563.8</v>
      </c>
    </row>
    <row r="1291" spans="1:15" x14ac:dyDescent="0.2">
      <c r="A1291" s="51">
        <v>43770</v>
      </c>
      <c r="B1291" s="11">
        <v>26</v>
      </c>
      <c r="C1291" s="35" t="s">
        <v>629</v>
      </c>
      <c r="D1291" s="34" t="str">
        <f>VLOOKUP(C1291,'[2]PUR-PARTY MASTER'!$B$4:$E$2009,2,FALSE)</f>
        <v>27AACPH4424P1ZJ</v>
      </c>
      <c r="F1291" s="34" t="s">
        <v>22</v>
      </c>
      <c r="G1291" s="134">
        <v>589</v>
      </c>
      <c r="H1291" s="37">
        <v>43774</v>
      </c>
      <c r="I1291" s="126">
        <v>1200</v>
      </c>
      <c r="J1291" s="640">
        <f t="shared" si="47"/>
        <v>216</v>
      </c>
      <c r="K1291" s="11">
        <v>0</v>
      </c>
      <c r="L1291" s="11">
        <v>108</v>
      </c>
      <c r="M1291" s="11">
        <v>108</v>
      </c>
      <c r="N1291" s="54"/>
      <c r="O1291" s="54">
        <f t="shared" si="46"/>
        <v>1416</v>
      </c>
    </row>
    <row r="1292" spans="1:15" x14ac:dyDescent="0.2">
      <c r="A1292" s="51">
        <v>43770</v>
      </c>
      <c r="B1292" s="11">
        <v>27</v>
      </c>
      <c r="C1292" s="35" t="s">
        <v>495</v>
      </c>
      <c r="D1292" s="34" t="str">
        <f>VLOOKUP(C1292,'[2]PUR-PARTY MASTER'!$B$4:$E$2009,2,FALSE)</f>
        <v>27AAACH4211R1ZF</v>
      </c>
      <c r="F1292" s="34" t="s">
        <v>22</v>
      </c>
      <c r="G1292" s="134">
        <v>5510062880</v>
      </c>
      <c r="H1292" s="37">
        <v>43777</v>
      </c>
      <c r="I1292" s="126">
        <v>39816</v>
      </c>
      <c r="J1292" s="640">
        <f t="shared" si="47"/>
        <v>7166.88</v>
      </c>
      <c r="K1292" s="11">
        <v>0</v>
      </c>
      <c r="L1292" s="11">
        <v>3583.44</v>
      </c>
      <c r="M1292" s="11">
        <v>3583.44</v>
      </c>
      <c r="N1292" s="54"/>
      <c r="O1292" s="54">
        <f t="shared" si="46"/>
        <v>46982.879999999997</v>
      </c>
    </row>
    <row r="1293" spans="1:15" x14ac:dyDescent="0.2">
      <c r="A1293" s="51">
        <v>43770</v>
      </c>
      <c r="B1293" s="11">
        <v>28</v>
      </c>
      <c r="C1293" s="34" t="s">
        <v>489</v>
      </c>
      <c r="D1293" s="34" t="str">
        <f>VLOOKUP(C1293,'[2]PUR-PARTY MASTER'!$B$4:$E$2009,2,FALSE)</f>
        <v>27AAECD2713N1ZK</v>
      </c>
      <c r="F1293" s="34" t="s">
        <v>22</v>
      </c>
      <c r="G1293" s="134">
        <v>7887990609</v>
      </c>
      <c r="H1293" s="37">
        <v>43777</v>
      </c>
      <c r="I1293" s="39">
        <v>11632</v>
      </c>
      <c r="J1293" s="640">
        <f t="shared" si="47"/>
        <v>2093.7599999999998</v>
      </c>
      <c r="K1293" s="11">
        <v>0</v>
      </c>
      <c r="L1293" s="11">
        <v>1046.8799999999999</v>
      </c>
      <c r="M1293" s="11">
        <v>1046.8799999999999</v>
      </c>
      <c r="N1293" s="54"/>
      <c r="O1293" s="54">
        <f t="shared" si="46"/>
        <v>13725.76</v>
      </c>
    </row>
    <row r="1294" spans="1:15" x14ac:dyDescent="0.2">
      <c r="A1294" s="51">
        <v>43770</v>
      </c>
      <c r="B1294" s="11">
        <v>29</v>
      </c>
      <c r="C1294" s="34" t="s">
        <v>489</v>
      </c>
      <c r="D1294" s="34" t="str">
        <f>VLOOKUP(C1294,'[2]PUR-PARTY MASTER'!$B$4:$E$2009,2,FALSE)</f>
        <v>27AAECD2713N1ZK</v>
      </c>
      <c r="F1294" s="34" t="s">
        <v>22</v>
      </c>
      <c r="G1294" s="134">
        <v>7887990637</v>
      </c>
      <c r="H1294" s="37">
        <v>43777</v>
      </c>
      <c r="I1294" s="39">
        <v>8800</v>
      </c>
      <c r="J1294" s="640">
        <f t="shared" si="47"/>
        <v>1584</v>
      </c>
      <c r="K1294" s="11">
        <v>0</v>
      </c>
      <c r="L1294" s="11">
        <v>792</v>
      </c>
      <c r="M1294" s="11">
        <v>792</v>
      </c>
      <c r="N1294" s="54"/>
      <c r="O1294" s="54">
        <f t="shared" si="46"/>
        <v>10384</v>
      </c>
    </row>
    <row r="1295" spans="1:15" x14ac:dyDescent="0.2">
      <c r="A1295" s="51">
        <v>43770</v>
      </c>
      <c r="B1295" s="11">
        <v>30</v>
      </c>
      <c r="C1295" s="35" t="s">
        <v>625</v>
      </c>
      <c r="D1295" s="34" t="str">
        <f>VLOOKUP(C1295,'[2]PUR-PARTY MASTER'!$B$4:$E$2009,2,FALSE)</f>
        <v>27AAPFA7196J1ZR</v>
      </c>
      <c r="F1295" s="34" t="s">
        <v>22</v>
      </c>
      <c r="G1295" s="136" t="s">
        <v>4453</v>
      </c>
      <c r="H1295" s="37">
        <v>43778</v>
      </c>
      <c r="I1295" s="40">
        <v>4662.3999999999996</v>
      </c>
      <c r="J1295" s="640">
        <f t="shared" si="47"/>
        <v>839.24</v>
      </c>
      <c r="K1295" s="11">
        <v>0</v>
      </c>
      <c r="L1295" s="11">
        <v>419.62</v>
      </c>
      <c r="M1295" s="11">
        <v>419.62</v>
      </c>
      <c r="N1295" s="54"/>
      <c r="O1295" s="54">
        <f>+I1295+J1295+0.36</f>
        <v>5501.9999999999991</v>
      </c>
    </row>
    <row r="1296" spans="1:15" x14ac:dyDescent="0.2">
      <c r="A1296" s="51">
        <v>43770</v>
      </c>
      <c r="B1296" s="11">
        <v>31</v>
      </c>
      <c r="C1296" s="34" t="s">
        <v>829</v>
      </c>
      <c r="D1296" s="34" t="str">
        <f>VLOOKUP(C1296,'[2]PUR-PARTY MASTER'!$B$4:$E$2009,2,FALSE)</f>
        <v>27AATPC2316A1Z7</v>
      </c>
      <c r="F1296" s="34" t="s">
        <v>22</v>
      </c>
      <c r="G1296" s="134">
        <v>1853</v>
      </c>
      <c r="H1296" s="37">
        <v>43777</v>
      </c>
      <c r="I1296" s="40">
        <v>4758</v>
      </c>
      <c r="J1296" s="640">
        <f t="shared" si="47"/>
        <v>856.43999999999994</v>
      </c>
      <c r="K1296" s="11">
        <v>0</v>
      </c>
      <c r="L1296" s="11">
        <v>428.21999999999997</v>
      </c>
      <c r="M1296" s="11">
        <v>428.21999999999997</v>
      </c>
      <c r="N1296" s="54"/>
      <c r="O1296" s="54">
        <f t="shared" si="46"/>
        <v>5614.44</v>
      </c>
    </row>
    <row r="1297" spans="1:15" x14ac:dyDescent="0.2">
      <c r="A1297" s="51">
        <v>43770</v>
      </c>
      <c r="B1297" s="11">
        <v>32</v>
      </c>
      <c r="C1297" s="35" t="s">
        <v>514</v>
      </c>
      <c r="D1297" s="34" t="str">
        <f>VLOOKUP(C1297,'[2]PUR-PARTY MASTER'!$B$4:$E$2009,2,FALSE)</f>
        <v>27AAACU2414K1ZF</v>
      </c>
      <c r="F1297" s="34" t="s">
        <v>22</v>
      </c>
      <c r="G1297" s="136" t="s">
        <v>4454</v>
      </c>
      <c r="H1297" s="37">
        <v>43778</v>
      </c>
      <c r="I1297" s="40">
        <v>100</v>
      </c>
      <c r="J1297" s="640">
        <f t="shared" si="47"/>
        <v>18</v>
      </c>
      <c r="K1297" s="11">
        <v>0</v>
      </c>
      <c r="L1297" s="11">
        <v>9</v>
      </c>
      <c r="M1297" s="11">
        <v>9</v>
      </c>
      <c r="N1297" s="54"/>
      <c r="O1297" s="54">
        <f t="shared" si="46"/>
        <v>118</v>
      </c>
    </row>
    <row r="1298" spans="1:15" x14ac:dyDescent="0.2">
      <c r="A1298" s="51">
        <v>43770</v>
      </c>
      <c r="B1298" s="11">
        <v>33</v>
      </c>
      <c r="C1298" s="35" t="s">
        <v>473</v>
      </c>
      <c r="D1298" s="34" t="str">
        <f>VLOOKUP(C1298,'[2]PUR-PARTY MASTER'!$B$4:$E$2009,2,FALSE)</f>
        <v>27AAACT1848E1ZH</v>
      </c>
      <c r="F1298" s="34" t="s">
        <v>22</v>
      </c>
      <c r="G1298" s="136" t="s">
        <v>4455</v>
      </c>
      <c r="H1298" s="37">
        <v>43778</v>
      </c>
      <c r="I1298" s="126">
        <v>6961.16</v>
      </c>
      <c r="J1298" s="640">
        <f t="shared" si="47"/>
        <v>1950.0047999999999</v>
      </c>
      <c r="K1298" s="11">
        <v>0</v>
      </c>
      <c r="L1298" s="11">
        <v>975.00239999999997</v>
      </c>
      <c r="M1298" s="11">
        <v>975.00239999999997</v>
      </c>
      <c r="N1298" s="54"/>
      <c r="O1298" s="54">
        <f t="shared" si="46"/>
        <v>8911.1648000000005</v>
      </c>
    </row>
    <row r="1299" spans="1:15" x14ac:dyDescent="0.2">
      <c r="A1299" s="51">
        <v>43770</v>
      </c>
      <c r="B1299" s="11">
        <v>34</v>
      </c>
      <c r="C1299" s="35" t="s">
        <v>551</v>
      </c>
      <c r="D1299" s="34" t="str">
        <f>VLOOKUP(C1299,'[2]PUR-PARTY MASTER'!$B$4:$E$2009,2,FALSE)</f>
        <v>27AHVPG8951G1ZQ</v>
      </c>
      <c r="F1299" s="34" t="s">
        <v>22</v>
      </c>
      <c r="G1299" s="136" t="s">
        <v>4456</v>
      </c>
      <c r="H1299" s="37">
        <v>43780</v>
      </c>
      <c r="I1299" s="40">
        <v>850</v>
      </c>
      <c r="J1299" s="640">
        <f t="shared" si="47"/>
        <v>153</v>
      </c>
      <c r="K1299" s="11">
        <v>0</v>
      </c>
      <c r="L1299" s="11">
        <v>76.5</v>
      </c>
      <c r="M1299" s="11">
        <v>76.5</v>
      </c>
      <c r="N1299" s="54"/>
      <c r="O1299" s="54">
        <f t="shared" si="46"/>
        <v>1003</v>
      </c>
    </row>
    <row r="1300" spans="1:15" x14ac:dyDescent="0.2">
      <c r="A1300" s="51">
        <v>43770</v>
      </c>
      <c r="B1300" s="34">
        <v>35</v>
      </c>
      <c r="C1300" s="35" t="s">
        <v>4267</v>
      </c>
      <c r="D1300" s="35" t="s">
        <v>4268</v>
      </c>
      <c r="F1300" s="981" t="s">
        <v>22</v>
      </c>
      <c r="G1300" s="136">
        <v>1920254</v>
      </c>
      <c r="H1300" s="37">
        <v>43780</v>
      </c>
      <c r="I1300" s="40">
        <v>240000</v>
      </c>
      <c r="J1300" s="640">
        <f t="shared" si="47"/>
        <v>43200</v>
      </c>
      <c r="K1300" s="11">
        <v>0</v>
      </c>
      <c r="L1300" s="11">
        <v>21600</v>
      </c>
      <c r="M1300" s="11">
        <v>21600</v>
      </c>
      <c r="N1300" s="54"/>
      <c r="O1300" s="54">
        <f t="shared" si="46"/>
        <v>283200</v>
      </c>
    </row>
    <row r="1301" spans="1:15" x14ac:dyDescent="0.2">
      <c r="A1301" s="51">
        <v>43770</v>
      </c>
      <c r="B1301" s="11">
        <v>36</v>
      </c>
      <c r="C1301" s="34" t="s">
        <v>601</v>
      </c>
      <c r="D1301" s="34" t="str">
        <f>VLOOKUP(C1301,'[2]PUR-PARTY MASTER'!$B$4:$E$2009,2,FALSE)</f>
        <v>27AAZFM6461A1ZY</v>
      </c>
      <c r="F1301" s="34" t="s">
        <v>22</v>
      </c>
      <c r="G1301" s="134">
        <v>5671</v>
      </c>
      <c r="H1301" s="37">
        <v>43780</v>
      </c>
      <c r="I1301" s="39">
        <v>21285</v>
      </c>
      <c r="J1301" s="640">
        <f t="shared" si="47"/>
        <v>5959.8</v>
      </c>
      <c r="K1301" s="11">
        <v>0</v>
      </c>
      <c r="L1301" s="11">
        <v>2979.9</v>
      </c>
      <c r="M1301" s="11">
        <v>2979.9</v>
      </c>
      <c r="N1301" s="54"/>
      <c r="O1301" s="54">
        <f t="shared" si="46"/>
        <v>27244.799999999999</v>
      </c>
    </row>
    <row r="1302" spans="1:15" x14ac:dyDescent="0.2">
      <c r="A1302" s="51">
        <v>43770</v>
      </c>
      <c r="B1302" s="11">
        <v>37</v>
      </c>
      <c r="C1302" s="34" t="s">
        <v>601</v>
      </c>
      <c r="D1302" s="34" t="str">
        <f>VLOOKUP(C1302,'[2]PUR-PARTY MASTER'!$B$4:$E$2009,2,FALSE)</f>
        <v>27AAZFM6461A1ZY</v>
      </c>
      <c r="F1302" s="34" t="s">
        <v>22</v>
      </c>
      <c r="G1302" s="134">
        <v>5672</v>
      </c>
      <c r="H1302" s="37">
        <v>43780</v>
      </c>
      <c r="I1302" s="39">
        <v>32140.799999999999</v>
      </c>
      <c r="J1302" s="640">
        <f t="shared" si="47"/>
        <v>8999.4240000000009</v>
      </c>
      <c r="K1302" s="11">
        <v>0</v>
      </c>
      <c r="L1302" s="11">
        <v>4499.7120000000004</v>
      </c>
      <c r="M1302" s="11">
        <v>4499.7120000000004</v>
      </c>
      <c r="N1302" s="54"/>
      <c r="O1302" s="54">
        <f t="shared" si="46"/>
        <v>41140.224000000002</v>
      </c>
    </row>
    <row r="1303" spans="1:15" x14ac:dyDescent="0.2">
      <c r="A1303" s="51">
        <v>43770</v>
      </c>
      <c r="B1303" s="11">
        <v>38</v>
      </c>
      <c r="C1303" s="35" t="s">
        <v>495</v>
      </c>
      <c r="D1303" s="34" t="str">
        <f>VLOOKUP(C1303,'[2]PUR-PARTY MASTER'!$B$4:$E$2009,2,FALSE)</f>
        <v>27AAACH4211R1ZF</v>
      </c>
      <c r="F1303" s="34" t="s">
        <v>22</v>
      </c>
      <c r="G1303" s="134">
        <v>5510063119</v>
      </c>
      <c r="H1303" s="37">
        <v>43780</v>
      </c>
      <c r="I1303" s="126">
        <v>53088</v>
      </c>
      <c r="J1303" s="640">
        <f t="shared" si="47"/>
        <v>9555.84</v>
      </c>
      <c r="K1303" s="11">
        <v>0</v>
      </c>
      <c r="L1303" s="11">
        <v>4777.92</v>
      </c>
      <c r="M1303" s="11">
        <v>4777.92</v>
      </c>
      <c r="N1303" s="54"/>
      <c r="O1303" s="54">
        <f t="shared" si="46"/>
        <v>62643.839999999997</v>
      </c>
    </row>
    <row r="1304" spans="1:15" x14ac:dyDescent="0.2">
      <c r="A1304" s="51">
        <v>43770</v>
      </c>
      <c r="B1304" s="11">
        <v>39</v>
      </c>
      <c r="C1304" s="35" t="s">
        <v>506</v>
      </c>
      <c r="D1304" s="34" t="str">
        <f>VLOOKUP(C1304,'[2]PUR-PARTY MASTER'!$B$4:$E$2009,2,FALSE)</f>
        <v>27AAACG1376N1ZC</v>
      </c>
      <c r="F1304" s="34" t="s">
        <v>22</v>
      </c>
      <c r="G1304" s="136" t="s">
        <v>4457</v>
      </c>
      <c r="H1304" s="37">
        <v>43780</v>
      </c>
      <c r="I1304" s="126">
        <v>18480</v>
      </c>
      <c r="J1304" s="640">
        <f t="shared" si="47"/>
        <v>3326.4</v>
      </c>
      <c r="K1304" s="11">
        <v>0</v>
      </c>
      <c r="L1304" s="11">
        <v>1663.2</v>
      </c>
      <c r="M1304" s="11">
        <v>1663.2</v>
      </c>
      <c r="N1304" s="54"/>
      <c r="O1304" s="54">
        <f t="shared" si="46"/>
        <v>21806.400000000001</v>
      </c>
    </row>
    <row r="1305" spans="1:15" x14ac:dyDescent="0.2">
      <c r="A1305" s="51">
        <v>43770</v>
      </c>
      <c r="B1305" s="11">
        <v>40</v>
      </c>
      <c r="C1305" s="35" t="s">
        <v>518</v>
      </c>
      <c r="D1305" s="34" t="str">
        <f>VLOOKUP(C1305,'[2]PUR-PARTY MASTER'!$B$4:$E$2009,2,FALSE)</f>
        <v>27AAACB2894G1ZN</v>
      </c>
      <c r="F1305" s="34" t="s">
        <v>22</v>
      </c>
      <c r="G1305" s="136" t="s">
        <v>4458</v>
      </c>
      <c r="H1305" s="37">
        <v>43781</v>
      </c>
      <c r="I1305" s="126">
        <v>4793</v>
      </c>
      <c r="J1305" s="640">
        <f t="shared" si="47"/>
        <v>862.74</v>
      </c>
      <c r="K1305" s="11">
        <v>0</v>
      </c>
      <c r="L1305" s="11">
        <v>431.37</v>
      </c>
      <c r="M1305" s="11">
        <v>431.37</v>
      </c>
      <c r="N1305" s="54"/>
      <c r="O1305" s="54">
        <f t="shared" si="46"/>
        <v>5655.74</v>
      </c>
    </row>
    <row r="1306" spans="1:15" x14ac:dyDescent="0.2">
      <c r="A1306" s="51">
        <v>43770</v>
      </c>
      <c r="B1306" s="11">
        <v>41</v>
      </c>
      <c r="C1306" s="34" t="s">
        <v>829</v>
      </c>
      <c r="D1306" s="34" t="str">
        <f>VLOOKUP(C1306,'[2]PUR-PARTY MASTER'!$B$4:$E$2009,2,FALSE)</f>
        <v>27AATPC2316A1Z7</v>
      </c>
      <c r="F1306" s="34" t="s">
        <v>22</v>
      </c>
      <c r="G1306" s="134">
        <v>1865</v>
      </c>
      <c r="H1306" s="37">
        <v>43781</v>
      </c>
      <c r="I1306" s="40">
        <v>410</v>
      </c>
      <c r="J1306" s="640">
        <f t="shared" si="47"/>
        <v>73.8</v>
      </c>
      <c r="K1306" s="11">
        <v>0</v>
      </c>
      <c r="L1306" s="11">
        <v>36.9</v>
      </c>
      <c r="M1306" s="11">
        <v>36.9</v>
      </c>
      <c r="N1306" s="54"/>
      <c r="O1306" s="54">
        <f>+I1306+J1306+0.2</f>
        <v>484</v>
      </c>
    </row>
    <row r="1307" spans="1:15" x14ac:dyDescent="0.2">
      <c r="A1307" s="51">
        <v>43770</v>
      </c>
      <c r="B1307" s="11">
        <v>42</v>
      </c>
      <c r="C1307" s="632" t="s">
        <v>837</v>
      </c>
      <c r="D1307" s="34" t="str">
        <f>VLOOKUP(C1307,'[2]PUR-PARTY MASTER'!$B$4:$E$2009,2,FALSE)</f>
        <v>27ABXPK1220E1ZS</v>
      </c>
      <c r="F1307" s="34" t="s">
        <v>22</v>
      </c>
      <c r="G1307" s="134">
        <v>20190533</v>
      </c>
      <c r="H1307" s="37">
        <v>43781</v>
      </c>
      <c r="I1307" s="40">
        <v>36550</v>
      </c>
      <c r="J1307" s="640">
        <f t="shared" si="47"/>
        <v>6579</v>
      </c>
      <c r="K1307" s="11">
        <v>0</v>
      </c>
      <c r="L1307" s="11">
        <v>3289.5</v>
      </c>
      <c r="M1307" s="11">
        <v>3289.5</v>
      </c>
      <c r="N1307" s="54"/>
      <c r="O1307" s="54">
        <f t="shared" si="46"/>
        <v>43129</v>
      </c>
    </row>
    <row r="1308" spans="1:15" x14ac:dyDescent="0.2">
      <c r="A1308" s="51">
        <v>43770</v>
      </c>
      <c r="B1308" s="11">
        <v>43</v>
      </c>
      <c r="C1308" s="35" t="s">
        <v>473</v>
      </c>
      <c r="D1308" s="34" t="str">
        <f>VLOOKUP(C1308,'[2]PUR-PARTY MASTER'!$B$4:$E$2009,2,FALSE)</f>
        <v>27AAACT1848E1ZH</v>
      </c>
      <c r="F1308" s="34" t="s">
        <v>22</v>
      </c>
      <c r="G1308" s="136" t="s">
        <v>4459</v>
      </c>
      <c r="H1308" s="37">
        <v>43781</v>
      </c>
      <c r="I1308" s="126">
        <v>6412</v>
      </c>
      <c r="J1308" s="640">
        <f t="shared" si="47"/>
        <v>1796.0000000000002</v>
      </c>
      <c r="K1308" s="11">
        <v>0</v>
      </c>
      <c r="L1308" s="11">
        <v>898.00000000000011</v>
      </c>
      <c r="M1308" s="11">
        <v>898.00000000000011</v>
      </c>
      <c r="N1308" s="54"/>
      <c r="O1308" s="54">
        <f t="shared" si="46"/>
        <v>8208</v>
      </c>
    </row>
    <row r="1309" spans="1:15" x14ac:dyDescent="0.2">
      <c r="A1309" s="51">
        <v>43770</v>
      </c>
      <c r="B1309" s="11">
        <v>44</v>
      </c>
      <c r="C1309" s="35" t="s">
        <v>473</v>
      </c>
      <c r="D1309" s="34" t="str">
        <f>VLOOKUP(C1309,'[2]PUR-PARTY MASTER'!$B$4:$E$2009,2,FALSE)</f>
        <v>27AAACT1848E1ZH</v>
      </c>
      <c r="F1309" s="34" t="s">
        <v>22</v>
      </c>
      <c r="G1309" s="136" t="s">
        <v>4460</v>
      </c>
      <c r="H1309" s="37">
        <v>43781</v>
      </c>
      <c r="I1309" s="126">
        <v>6012.8</v>
      </c>
      <c r="J1309" s="640">
        <f t="shared" si="47"/>
        <v>1684.0040000000001</v>
      </c>
      <c r="K1309" s="11">
        <v>0</v>
      </c>
      <c r="L1309" s="11">
        <v>842.00200000000007</v>
      </c>
      <c r="M1309" s="11">
        <v>842.00200000000007</v>
      </c>
      <c r="N1309" s="54"/>
      <c r="O1309" s="54">
        <f t="shared" si="46"/>
        <v>7696.8040000000001</v>
      </c>
    </row>
    <row r="1310" spans="1:15" x14ac:dyDescent="0.2">
      <c r="A1310" s="51">
        <v>43770</v>
      </c>
      <c r="B1310" s="11">
        <v>45</v>
      </c>
      <c r="C1310" s="632" t="s">
        <v>1082</v>
      </c>
      <c r="D1310" s="633" t="s">
        <v>1083</v>
      </c>
      <c r="F1310" s="34" t="s">
        <v>22</v>
      </c>
      <c r="G1310" s="136">
        <v>579</v>
      </c>
      <c r="H1310" s="37">
        <v>43782</v>
      </c>
      <c r="I1310" s="126">
        <v>18000</v>
      </c>
      <c r="J1310" s="640">
        <f t="shared" si="47"/>
        <v>3240</v>
      </c>
      <c r="K1310" s="11">
        <v>0</v>
      </c>
      <c r="L1310" s="11">
        <v>1620</v>
      </c>
      <c r="M1310" s="11">
        <v>1620</v>
      </c>
      <c r="N1310" s="54"/>
      <c r="O1310" s="54">
        <f t="shared" si="46"/>
        <v>21240</v>
      </c>
    </row>
    <row r="1311" spans="1:15" x14ac:dyDescent="0.2">
      <c r="A1311" s="51">
        <v>43770</v>
      </c>
      <c r="B1311" s="11">
        <v>46</v>
      </c>
      <c r="C1311" s="35" t="s">
        <v>499</v>
      </c>
      <c r="D1311" s="34" t="str">
        <f>VLOOKUP(C1311,'[2]PUR-PARTY MASTER'!$B$4:$E$2009,2,FALSE)</f>
        <v>27AAHFP1154B1ZN</v>
      </c>
      <c r="F1311" s="34" t="s">
        <v>22</v>
      </c>
      <c r="G1311" s="136" t="s">
        <v>4461</v>
      </c>
      <c r="H1311" s="37">
        <v>43781</v>
      </c>
      <c r="I1311" s="126">
        <v>5490</v>
      </c>
      <c r="J1311" s="640">
        <f t="shared" si="47"/>
        <v>773.7</v>
      </c>
      <c r="K1311" s="11">
        <v>0</v>
      </c>
      <c r="L1311" s="11">
        <v>386.85</v>
      </c>
      <c r="M1311" s="11">
        <v>386.85</v>
      </c>
      <c r="N1311" s="54"/>
      <c r="O1311" s="54">
        <f>+I1311+J1311+0.3</f>
        <v>6264</v>
      </c>
    </row>
    <row r="1312" spans="1:15" x14ac:dyDescent="0.2">
      <c r="A1312" s="51">
        <v>43770</v>
      </c>
      <c r="B1312" s="11">
        <v>47</v>
      </c>
      <c r="C1312" s="35" t="s">
        <v>495</v>
      </c>
      <c r="D1312" s="34" t="str">
        <f>VLOOKUP(C1312,'[2]PUR-PARTY MASTER'!$B$4:$E$2009,2,FALSE)</f>
        <v>27AAACH4211R1ZF</v>
      </c>
      <c r="F1312" s="34" t="s">
        <v>22</v>
      </c>
      <c r="G1312" s="134">
        <v>5510063415</v>
      </c>
      <c r="H1312" s="37">
        <v>43782</v>
      </c>
      <c r="I1312" s="126">
        <v>53088</v>
      </c>
      <c r="J1312" s="640">
        <f t="shared" si="47"/>
        <v>9555.84</v>
      </c>
      <c r="K1312" s="11">
        <v>0</v>
      </c>
      <c r="L1312" s="11">
        <v>4777.92</v>
      </c>
      <c r="M1312" s="11">
        <v>4777.92</v>
      </c>
      <c r="N1312" s="54"/>
      <c r="O1312" s="54">
        <f t="shared" si="46"/>
        <v>62643.839999999997</v>
      </c>
    </row>
    <row r="1313" spans="1:15" x14ac:dyDescent="0.2">
      <c r="A1313" s="51">
        <v>43770</v>
      </c>
      <c r="B1313" s="11">
        <v>48</v>
      </c>
      <c r="C1313" s="34" t="s">
        <v>601</v>
      </c>
      <c r="D1313" s="34" t="str">
        <f>VLOOKUP(C1313,'[2]PUR-PARTY MASTER'!$B$4:$E$2009,2,FALSE)</f>
        <v>27AAZFM6461A1ZY</v>
      </c>
      <c r="F1313" s="34" t="s">
        <v>22</v>
      </c>
      <c r="G1313" s="134">
        <v>5784</v>
      </c>
      <c r="H1313" s="37">
        <v>43782</v>
      </c>
      <c r="I1313" s="39">
        <v>27244.799999999999</v>
      </c>
      <c r="J1313" s="640">
        <f t="shared" si="47"/>
        <v>7628.5439999999999</v>
      </c>
      <c r="K1313" s="11">
        <v>0</v>
      </c>
      <c r="L1313" s="11">
        <v>3814.2719999999999</v>
      </c>
      <c r="M1313" s="11">
        <v>3814.2719999999999</v>
      </c>
      <c r="N1313" s="54"/>
      <c r="O1313" s="54">
        <f t="shared" si="46"/>
        <v>34873.343999999997</v>
      </c>
    </row>
    <row r="1314" spans="1:15" x14ac:dyDescent="0.2">
      <c r="A1314" s="51">
        <v>43770</v>
      </c>
      <c r="B1314" s="11">
        <v>49</v>
      </c>
      <c r="C1314" s="35" t="s">
        <v>634</v>
      </c>
      <c r="D1314" s="34" t="str">
        <f>VLOOKUP(C1314,'[2]PUR-PARTY MASTER'!$B$4:$E$2009,2,FALSE)</f>
        <v>27AVIPS7433C1ZF</v>
      </c>
      <c r="F1314" s="34" t="s">
        <v>22</v>
      </c>
      <c r="G1314" s="136" t="s">
        <v>4462</v>
      </c>
      <c r="H1314" s="37">
        <v>43783</v>
      </c>
      <c r="I1314" s="40">
        <v>6606.6</v>
      </c>
      <c r="J1314" s="640">
        <f t="shared" si="47"/>
        <v>1189.18</v>
      </c>
      <c r="K1314" s="11">
        <v>0</v>
      </c>
      <c r="L1314" s="11">
        <v>594.59</v>
      </c>
      <c r="M1314" s="11">
        <v>594.59</v>
      </c>
      <c r="N1314" s="54"/>
      <c r="O1314" s="54">
        <f>+I1314+J1314+0.22</f>
        <v>7796.0000000000009</v>
      </c>
    </row>
    <row r="1315" spans="1:15" x14ac:dyDescent="0.2">
      <c r="A1315" s="51">
        <v>43770</v>
      </c>
      <c r="B1315" s="11">
        <v>50</v>
      </c>
      <c r="C1315" s="35" t="s">
        <v>533</v>
      </c>
      <c r="D1315" s="34" t="str">
        <f>VLOOKUP(C1315,'[2]PUR-PARTY MASTER'!$B$4:$E$2009,2,FALSE)</f>
        <v>27AJAPG7696K1ZP</v>
      </c>
      <c r="F1315" s="34" t="s">
        <v>22</v>
      </c>
      <c r="G1315" s="136" t="s">
        <v>4463</v>
      </c>
      <c r="H1315" s="37">
        <v>43784</v>
      </c>
      <c r="I1315" s="126">
        <v>3250</v>
      </c>
      <c r="J1315" s="640">
        <f t="shared" si="47"/>
        <v>585</v>
      </c>
      <c r="K1315" s="11">
        <v>0</v>
      </c>
      <c r="L1315" s="11">
        <v>292.5</v>
      </c>
      <c r="M1315" s="11">
        <v>292.5</v>
      </c>
      <c r="N1315" s="54"/>
      <c r="O1315" s="54">
        <f t="shared" ref="O1315:O1344" si="48">+I1315+J1315</f>
        <v>3835</v>
      </c>
    </row>
    <row r="1316" spans="1:15" x14ac:dyDescent="0.2">
      <c r="A1316" s="51">
        <v>43770</v>
      </c>
      <c r="B1316" s="11">
        <v>51</v>
      </c>
      <c r="C1316" s="35" t="s">
        <v>511</v>
      </c>
      <c r="D1316" s="34" t="str">
        <f>VLOOKUP(C1316,'[2]PUR-PARTY MASTER'!$B$4:$E$2009,2,FALSE)</f>
        <v>27AABFA1883E1ZQ</v>
      </c>
      <c r="F1316" s="34" t="s">
        <v>22</v>
      </c>
      <c r="G1316" s="136" t="s">
        <v>4464</v>
      </c>
      <c r="H1316" s="37">
        <v>43784</v>
      </c>
      <c r="I1316" s="126">
        <v>8750</v>
      </c>
      <c r="J1316" s="640">
        <f t="shared" si="47"/>
        <v>1575</v>
      </c>
      <c r="K1316" s="11">
        <v>0</v>
      </c>
      <c r="L1316" s="11">
        <v>787.5</v>
      </c>
      <c r="M1316" s="11">
        <v>787.5</v>
      </c>
      <c r="N1316" s="54"/>
      <c r="O1316" s="54">
        <f t="shared" si="48"/>
        <v>10325</v>
      </c>
    </row>
    <row r="1317" spans="1:15" x14ac:dyDescent="0.2">
      <c r="A1317" s="51">
        <v>43770</v>
      </c>
      <c r="B1317" s="11">
        <v>52</v>
      </c>
      <c r="C1317" s="35" t="s">
        <v>556</v>
      </c>
      <c r="D1317" s="34" t="str">
        <f>VLOOKUP(C1317,'[2]PUR-PARTY MASTER'!$B$4:$E$2009,2,FALSE)</f>
        <v>27AAQCS7977M1Z3</v>
      </c>
      <c r="F1317" s="34" t="s">
        <v>22</v>
      </c>
      <c r="G1317" s="136" t="s">
        <v>4465</v>
      </c>
      <c r="H1317" s="37">
        <v>43782</v>
      </c>
      <c r="I1317" s="40">
        <v>68420</v>
      </c>
      <c r="J1317" s="640">
        <f t="shared" si="47"/>
        <v>12316</v>
      </c>
      <c r="K1317" s="11">
        <v>0</v>
      </c>
      <c r="L1317" s="11">
        <v>6158</v>
      </c>
      <c r="M1317" s="11">
        <v>6158</v>
      </c>
      <c r="N1317" s="54"/>
      <c r="O1317" s="54">
        <f t="shared" si="48"/>
        <v>80736</v>
      </c>
    </row>
    <row r="1318" spans="1:15" x14ac:dyDescent="0.2">
      <c r="A1318" s="51">
        <v>43770</v>
      </c>
      <c r="B1318" s="11">
        <v>53</v>
      </c>
      <c r="C1318" s="35" t="s">
        <v>634</v>
      </c>
      <c r="D1318" s="34" t="str">
        <f>VLOOKUP(C1318,'[2]PUR-PARTY MASTER'!$B$4:$E$2009,2,FALSE)</f>
        <v>27AVIPS7433C1ZF</v>
      </c>
      <c r="F1318" s="34" t="s">
        <v>22</v>
      </c>
      <c r="G1318" s="136" t="s">
        <v>4466</v>
      </c>
      <c r="H1318" s="37">
        <v>43784</v>
      </c>
      <c r="I1318" s="40">
        <v>6500</v>
      </c>
      <c r="J1318" s="640">
        <f t="shared" si="47"/>
        <v>1011</v>
      </c>
      <c r="K1318" s="11">
        <v>0</v>
      </c>
      <c r="L1318" s="11">
        <v>505.5</v>
      </c>
      <c r="M1318" s="11">
        <v>505.5</v>
      </c>
      <c r="N1318" s="54"/>
      <c r="O1318" s="54">
        <f t="shared" si="48"/>
        <v>7511</v>
      </c>
    </row>
    <row r="1319" spans="1:15" x14ac:dyDescent="0.2">
      <c r="A1319" s="51">
        <v>43770</v>
      </c>
      <c r="B1319" s="11">
        <v>54</v>
      </c>
      <c r="C1319" s="35" t="s">
        <v>506</v>
      </c>
      <c r="D1319" s="34" t="str">
        <f>VLOOKUP(C1319,'[2]PUR-PARTY MASTER'!$B$4:$E$2009,2,FALSE)</f>
        <v>27AAACG1376N1ZC</v>
      </c>
      <c r="F1319" s="34" t="s">
        <v>22</v>
      </c>
      <c r="G1319" s="136" t="s">
        <v>4467</v>
      </c>
      <c r="H1319" s="37">
        <v>43784</v>
      </c>
      <c r="I1319" s="126">
        <v>21000</v>
      </c>
      <c r="J1319" s="640">
        <f t="shared" si="47"/>
        <v>3780</v>
      </c>
      <c r="K1319" s="11">
        <v>0</v>
      </c>
      <c r="L1319" s="11">
        <v>1890</v>
      </c>
      <c r="M1319" s="11">
        <v>1890</v>
      </c>
      <c r="N1319" s="54"/>
      <c r="O1319" s="54">
        <f t="shared" si="48"/>
        <v>24780</v>
      </c>
    </row>
    <row r="1320" spans="1:15" x14ac:dyDescent="0.2">
      <c r="A1320" s="51">
        <v>43770</v>
      </c>
      <c r="B1320" s="564">
        <v>55</v>
      </c>
      <c r="C1320" s="35" t="s">
        <v>514</v>
      </c>
      <c r="D1320" s="34" t="str">
        <f>VLOOKUP(C1320,'[2]PUR-PARTY MASTER'!$B$4:$E$2009,2,FALSE)</f>
        <v>27AAACU2414K1ZF</v>
      </c>
      <c r="F1320" s="34" t="s">
        <v>22</v>
      </c>
      <c r="G1320" s="136" t="s">
        <v>4468</v>
      </c>
      <c r="H1320" s="37">
        <v>43784</v>
      </c>
      <c r="I1320" s="40">
        <v>120672</v>
      </c>
      <c r="J1320" s="640">
        <f t="shared" si="47"/>
        <v>21720.959999999999</v>
      </c>
      <c r="K1320" s="11">
        <v>0</v>
      </c>
      <c r="L1320" s="11">
        <v>10860.48</v>
      </c>
      <c r="M1320" s="11">
        <v>10860.48</v>
      </c>
      <c r="N1320" s="54"/>
      <c r="O1320" s="54">
        <f t="shared" si="48"/>
        <v>142392.95999999999</v>
      </c>
    </row>
    <row r="1321" spans="1:15" x14ac:dyDescent="0.2">
      <c r="A1321" s="51">
        <v>43770</v>
      </c>
      <c r="B1321" s="11">
        <v>56</v>
      </c>
      <c r="C1321" s="35" t="s">
        <v>473</v>
      </c>
      <c r="D1321" s="34" t="str">
        <f>VLOOKUP(C1321,'[2]PUR-PARTY MASTER'!$B$4:$E$2009,2,FALSE)</f>
        <v>27AAACT1848E1ZH</v>
      </c>
      <c r="F1321" s="34" t="s">
        <v>22</v>
      </c>
      <c r="G1321" s="136" t="s">
        <v>4469</v>
      </c>
      <c r="H1321" s="37">
        <v>43784</v>
      </c>
      <c r="I1321" s="126">
        <v>11286.6</v>
      </c>
      <c r="J1321" s="640">
        <f t="shared" si="47"/>
        <v>3160.0080000000003</v>
      </c>
      <c r="K1321" s="11">
        <v>0</v>
      </c>
      <c r="L1321" s="11">
        <v>1580.0040000000001</v>
      </c>
      <c r="M1321" s="11">
        <v>1580.0040000000001</v>
      </c>
      <c r="N1321" s="54"/>
      <c r="O1321" s="54">
        <f t="shared" si="48"/>
        <v>14446.608</v>
      </c>
    </row>
    <row r="1322" spans="1:15" x14ac:dyDescent="0.2">
      <c r="A1322" s="51">
        <v>43770</v>
      </c>
      <c r="B1322" s="11">
        <v>57</v>
      </c>
      <c r="C1322" s="35" t="s">
        <v>471</v>
      </c>
      <c r="D1322" s="34" t="str">
        <f>VLOOKUP(C1322,'[2]PUR-PARTY MASTER'!$B$4:$E$2009,2,FALSE)</f>
        <v>27AAECM8871A1ZF</v>
      </c>
      <c r="F1322" s="34" t="s">
        <v>22</v>
      </c>
      <c r="G1322" s="134">
        <v>192006929</v>
      </c>
      <c r="H1322" s="37">
        <v>43784</v>
      </c>
      <c r="I1322" s="126">
        <v>17483.52</v>
      </c>
      <c r="J1322" s="640">
        <f t="shared" si="47"/>
        <v>4895.3856000000005</v>
      </c>
      <c r="K1322" s="11">
        <v>0</v>
      </c>
      <c r="L1322" s="11">
        <v>2447.6928000000003</v>
      </c>
      <c r="M1322" s="11">
        <v>2447.6928000000003</v>
      </c>
      <c r="N1322" s="54"/>
      <c r="O1322" s="54">
        <f t="shared" si="48"/>
        <v>22378.905600000002</v>
      </c>
    </row>
    <row r="1323" spans="1:15" x14ac:dyDescent="0.2">
      <c r="A1323" s="51">
        <v>43770</v>
      </c>
      <c r="B1323" s="11">
        <v>58</v>
      </c>
      <c r="C1323" s="35" t="s">
        <v>471</v>
      </c>
      <c r="D1323" s="34" t="str">
        <f>VLOOKUP(C1323,'[2]PUR-PARTY MASTER'!$B$4:$E$2009,2,FALSE)</f>
        <v>27AAECM8871A1ZF</v>
      </c>
      <c r="F1323" s="34" t="s">
        <v>22</v>
      </c>
      <c r="G1323" s="134">
        <v>192006930</v>
      </c>
      <c r="H1323" s="37">
        <v>43784</v>
      </c>
      <c r="I1323" s="126">
        <v>17483.52</v>
      </c>
      <c r="J1323" s="640">
        <f t="shared" si="47"/>
        <v>4895.3856000000005</v>
      </c>
      <c r="K1323" s="11">
        <v>0</v>
      </c>
      <c r="L1323" s="11">
        <v>2447.6928000000003</v>
      </c>
      <c r="M1323" s="11">
        <v>2447.6928000000003</v>
      </c>
      <c r="N1323" s="54"/>
      <c r="O1323" s="54">
        <f t="shared" si="48"/>
        <v>22378.905600000002</v>
      </c>
    </row>
    <row r="1324" spans="1:15" x14ac:dyDescent="0.2">
      <c r="A1324" s="51">
        <v>43770</v>
      </c>
      <c r="B1324" s="11">
        <v>59</v>
      </c>
      <c r="C1324" s="35" t="s">
        <v>493</v>
      </c>
      <c r="D1324" s="34" t="str">
        <f>VLOOKUP(C1324,'[2]PUR-PARTY MASTER'!$B$4:$E$2009,2,FALSE)</f>
        <v>27AMMPB3648M1ZO</v>
      </c>
      <c r="F1324" s="34" t="s">
        <v>22</v>
      </c>
      <c r="G1324" s="134">
        <v>3736</v>
      </c>
      <c r="H1324" s="37">
        <v>43785</v>
      </c>
      <c r="I1324" s="126">
        <v>20608.46</v>
      </c>
      <c r="J1324" s="640">
        <f t="shared" si="47"/>
        <v>3709.5227999999997</v>
      </c>
      <c r="K1324" s="11">
        <v>0</v>
      </c>
      <c r="L1324" s="11">
        <v>1854.7613999999999</v>
      </c>
      <c r="M1324" s="11">
        <v>1854.7613999999999</v>
      </c>
      <c r="N1324" s="54"/>
      <c r="O1324" s="54">
        <f t="shared" si="48"/>
        <v>24317.982799999998</v>
      </c>
    </row>
    <row r="1325" spans="1:15" x14ac:dyDescent="0.2">
      <c r="A1325" s="51">
        <v>43770</v>
      </c>
      <c r="B1325" s="11">
        <v>60</v>
      </c>
      <c r="C1325" s="632" t="s">
        <v>1127</v>
      </c>
      <c r="D1325" s="34" t="str">
        <f>VLOOKUP(C1325,'[2]PUR-PARTY MASTER'!$B$4:$E$2009,2,FALSE)</f>
        <v>27AAACO4716C1ZT</v>
      </c>
      <c r="F1325" s="34" t="s">
        <v>22</v>
      </c>
      <c r="G1325" s="136">
        <v>280219126033</v>
      </c>
      <c r="H1325" s="37">
        <v>43787</v>
      </c>
      <c r="I1325" s="126">
        <v>4154.72</v>
      </c>
      <c r="J1325" s="640">
        <f t="shared" si="47"/>
        <v>498.56640000000004</v>
      </c>
      <c r="K1325" s="11">
        <v>0</v>
      </c>
      <c r="L1325" s="11">
        <v>249.28320000000002</v>
      </c>
      <c r="M1325" s="11">
        <v>249.28320000000002</v>
      </c>
      <c r="N1325" s="54"/>
      <c r="O1325" s="54">
        <f t="shared" si="48"/>
        <v>4653.2864</v>
      </c>
    </row>
    <row r="1326" spans="1:15" x14ac:dyDescent="0.2">
      <c r="A1326" s="51">
        <v>43770</v>
      </c>
      <c r="B1326" s="11">
        <v>61</v>
      </c>
      <c r="C1326" s="35" t="s">
        <v>476</v>
      </c>
      <c r="D1326" s="34" t="str">
        <f>VLOOKUP(C1326,'[2]PUR-PARTY MASTER'!$B$4:$E$2009,2,FALSE)</f>
        <v>27AABCO8467D1ZA</v>
      </c>
      <c r="F1326" s="34" t="s">
        <v>22</v>
      </c>
      <c r="G1326" s="136" t="s">
        <v>4470</v>
      </c>
      <c r="H1326" s="37">
        <v>43787</v>
      </c>
      <c r="I1326" s="40">
        <v>40650</v>
      </c>
      <c r="J1326" s="640">
        <f t="shared" si="47"/>
        <v>7317</v>
      </c>
      <c r="K1326" s="11">
        <v>0</v>
      </c>
      <c r="L1326" s="11">
        <v>3658.5</v>
      </c>
      <c r="M1326" s="11">
        <v>3658.5</v>
      </c>
      <c r="N1326" s="54"/>
      <c r="O1326" s="54">
        <f t="shared" si="48"/>
        <v>47967</v>
      </c>
    </row>
    <row r="1327" spans="1:15" x14ac:dyDescent="0.2">
      <c r="A1327" s="51">
        <v>43770</v>
      </c>
      <c r="B1327" s="11">
        <v>62</v>
      </c>
      <c r="C1327" s="35" t="s">
        <v>487</v>
      </c>
      <c r="D1327" s="34" t="str">
        <f>VLOOKUP(C1327,'[2]PUR-PARTY MASTER'!$B$4:$E$2009,2,FALSE)</f>
        <v>27AFJPK6177Q1ZJ</v>
      </c>
      <c r="F1327" s="34" t="s">
        <v>22</v>
      </c>
      <c r="G1327" s="134">
        <v>1513</v>
      </c>
      <c r="H1327" s="37">
        <v>43787</v>
      </c>
      <c r="I1327" s="40">
        <v>8000</v>
      </c>
      <c r="J1327" s="640">
        <f t="shared" si="47"/>
        <v>1440</v>
      </c>
      <c r="K1327" s="11">
        <v>0</v>
      </c>
      <c r="L1327" s="11">
        <v>720</v>
      </c>
      <c r="M1327" s="11">
        <v>720</v>
      </c>
      <c r="N1327" s="54"/>
      <c r="O1327" s="54">
        <f t="shared" si="48"/>
        <v>9440</v>
      </c>
    </row>
    <row r="1328" spans="1:15" x14ac:dyDescent="0.2">
      <c r="A1328" s="51">
        <v>43770</v>
      </c>
      <c r="B1328" s="11">
        <v>63</v>
      </c>
      <c r="C1328" s="35" t="s">
        <v>677</v>
      </c>
      <c r="D1328" s="34" t="str">
        <f>VLOOKUP(C1328,'[2]PUR-PARTY MASTER'!$B$4:$E$2009,2,FALSE)</f>
        <v>06AAACM6984G1Z9</v>
      </c>
      <c r="F1328" s="34" t="s">
        <v>22</v>
      </c>
      <c r="G1328" s="136" t="s">
        <v>4471</v>
      </c>
      <c r="H1328" s="37">
        <v>43782</v>
      </c>
      <c r="I1328" s="126">
        <v>13569</v>
      </c>
      <c r="J1328" s="640">
        <f t="shared" si="47"/>
        <v>3799.3199999999997</v>
      </c>
      <c r="K1328" s="11">
        <v>3799.3199999999997</v>
      </c>
      <c r="L1328" s="11">
        <v>0</v>
      </c>
      <c r="M1328" s="11">
        <v>0</v>
      </c>
      <c r="N1328" s="54"/>
      <c r="O1328" s="54">
        <f t="shared" si="48"/>
        <v>17368.32</v>
      </c>
    </row>
    <row r="1329" spans="1:15" x14ac:dyDescent="0.2">
      <c r="A1329" s="51">
        <v>43770</v>
      </c>
      <c r="B1329" s="11">
        <v>64</v>
      </c>
      <c r="C1329" s="35" t="s">
        <v>473</v>
      </c>
      <c r="D1329" s="34" t="str">
        <f>VLOOKUP(C1329,'[2]PUR-PARTY MASTER'!$B$4:$E$2009,2,FALSE)</f>
        <v>27AAACT1848E1ZH</v>
      </c>
      <c r="F1329" s="34" t="s">
        <v>22</v>
      </c>
      <c r="G1329" s="136" t="s">
        <v>4472</v>
      </c>
      <c r="H1329" s="37">
        <v>43787</v>
      </c>
      <c r="I1329" s="126">
        <v>3206</v>
      </c>
      <c r="J1329" s="640">
        <f t="shared" si="47"/>
        <v>898.00000000000011</v>
      </c>
      <c r="K1329" s="11">
        <v>0</v>
      </c>
      <c r="L1329" s="11">
        <v>449.00000000000006</v>
      </c>
      <c r="M1329" s="11">
        <v>449.00000000000006</v>
      </c>
      <c r="N1329" s="54"/>
      <c r="O1329" s="54">
        <f t="shared" si="48"/>
        <v>4104</v>
      </c>
    </row>
    <row r="1330" spans="1:15" x14ac:dyDescent="0.2">
      <c r="A1330" s="51">
        <v>43770</v>
      </c>
      <c r="B1330" s="11">
        <v>65</v>
      </c>
      <c r="C1330" s="35" t="s">
        <v>473</v>
      </c>
      <c r="D1330" s="34" t="str">
        <f>VLOOKUP(C1330,'[2]PUR-PARTY MASTER'!$B$4:$E$2009,2,FALSE)</f>
        <v>27AAACT1848E1ZH</v>
      </c>
      <c r="F1330" s="34" t="s">
        <v>22</v>
      </c>
      <c r="G1330" s="136" t="s">
        <v>4473</v>
      </c>
      <c r="H1330" s="37">
        <v>43787</v>
      </c>
      <c r="I1330" s="126">
        <v>5554.65</v>
      </c>
      <c r="J1330" s="640">
        <f t="shared" si="47"/>
        <v>1556.002</v>
      </c>
      <c r="K1330" s="11">
        <v>0</v>
      </c>
      <c r="L1330" s="11">
        <v>778.00099999999998</v>
      </c>
      <c r="M1330" s="11">
        <v>778.00099999999998</v>
      </c>
      <c r="N1330" s="54"/>
      <c r="O1330" s="54">
        <f t="shared" si="48"/>
        <v>7110.652</v>
      </c>
    </row>
    <row r="1331" spans="1:15" x14ac:dyDescent="0.2">
      <c r="A1331" s="51">
        <v>43770</v>
      </c>
      <c r="B1331" s="11">
        <v>66</v>
      </c>
      <c r="C1331" s="34" t="s">
        <v>601</v>
      </c>
      <c r="D1331" s="34" t="str">
        <f>VLOOKUP(C1331,'[2]PUR-PARTY MASTER'!$B$4:$E$2009,2,FALSE)</f>
        <v>27AAZFM6461A1ZY</v>
      </c>
      <c r="F1331" s="34" t="s">
        <v>22</v>
      </c>
      <c r="G1331" s="134">
        <v>5909</v>
      </c>
      <c r="H1331" s="37">
        <v>43787</v>
      </c>
      <c r="I1331" s="39">
        <v>31501.8</v>
      </c>
      <c r="J1331" s="640">
        <f t="shared" ref="J1331:J1394" si="49">+K1331+L1331+M1331+N1331</f>
        <v>8820.503999999999</v>
      </c>
      <c r="K1331" s="11">
        <v>0</v>
      </c>
      <c r="L1331" s="11">
        <v>4410.2519999999995</v>
      </c>
      <c r="M1331" s="11">
        <v>4410.2519999999995</v>
      </c>
      <c r="N1331" s="54"/>
      <c r="O1331" s="54">
        <f t="shared" si="48"/>
        <v>40322.303999999996</v>
      </c>
    </row>
    <row r="1332" spans="1:15" x14ac:dyDescent="0.2">
      <c r="A1332" s="51">
        <v>43770</v>
      </c>
      <c r="B1332" s="11">
        <v>67</v>
      </c>
      <c r="C1332" s="34" t="s">
        <v>601</v>
      </c>
      <c r="D1332" s="34" t="str">
        <f>VLOOKUP(C1332,'[2]PUR-PARTY MASTER'!$B$4:$E$2009,2,FALSE)</f>
        <v>27AAZFM6461A1ZY</v>
      </c>
      <c r="F1332" s="34" t="s">
        <v>22</v>
      </c>
      <c r="G1332" s="134">
        <v>5910</v>
      </c>
      <c r="H1332" s="37">
        <v>43787</v>
      </c>
      <c r="I1332" s="39">
        <v>8035.2</v>
      </c>
      <c r="J1332" s="640">
        <f t="shared" si="49"/>
        <v>2249.8560000000002</v>
      </c>
      <c r="K1332" s="11">
        <v>0</v>
      </c>
      <c r="L1332" s="11">
        <v>1124.9280000000001</v>
      </c>
      <c r="M1332" s="11">
        <v>1124.9280000000001</v>
      </c>
      <c r="N1332" s="54"/>
      <c r="O1332" s="54">
        <f t="shared" si="48"/>
        <v>10285.056</v>
      </c>
    </row>
    <row r="1333" spans="1:15" x14ac:dyDescent="0.2">
      <c r="A1333" s="51">
        <v>43770</v>
      </c>
      <c r="B1333" s="11">
        <v>68</v>
      </c>
      <c r="C1333" s="35" t="s">
        <v>495</v>
      </c>
      <c r="D1333" s="34" t="str">
        <f>VLOOKUP(C1333,'[2]PUR-PARTY MASTER'!$B$4:$E$2009,2,FALSE)</f>
        <v>27AAACH4211R1ZF</v>
      </c>
      <c r="F1333" s="34" t="s">
        <v>22</v>
      </c>
      <c r="G1333" s="134">
        <v>5510063853</v>
      </c>
      <c r="H1333" s="37">
        <v>43787</v>
      </c>
      <c r="I1333" s="126">
        <v>53088</v>
      </c>
      <c r="J1333" s="640">
        <f t="shared" si="49"/>
        <v>9555.84</v>
      </c>
      <c r="K1333" s="11">
        <v>0</v>
      </c>
      <c r="L1333" s="11">
        <v>4777.92</v>
      </c>
      <c r="M1333" s="11">
        <v>4777.92</v>
      </c>
      <c r="N1333" s="54"/>
      <c r="O1333" s="54">
        <f t="shared" si="48"/>
        <v>62643.839999999997</v>
      </c>
    </row>
    <row r="1334" spans="1:15" x14ac:dyDescent="0.2">
      <c r="A1334" s="51">
        <v>43770</v>
      </c>
      <c r="B1334" s="11">
        <v>69</v>
      </c>
      <c r="C1334" s="35" t="s">
        <v>506</v>
      </c>
      <c r="D1334" s="34" t="str">
        <f>VLOOKUP(C1334,'[2]PUR-PARTY MASTER'!$B$4:$E$2009,2,FALSE)</f>
        <v>27AAACG1376N1ZC</v>
      </c>
      <c r="F1334" s="34" t="s">
        <v>22</v>
      </c>
      <c r="G1334" s="136" t="s">
        <v>4474</v>
      </c>
      <c r="H1334" s="37">
        <v>43787</v>
      </c>
      <c r="I1334" s="126">
        <v>69758</v>
      </c>
      <c r="J1334" s="640">
        <f t="shared" si="49"/>
        <v>12556.44</v>
      </c>
      <c r="K1334" s="11">
        <v>0</v>
      </c>
      <c r="L1334" s="11">
        <v>6278.22</v>
      </c>
      <c r="M1334" s="11">
        <v>6278.22</v>
      </c>
      <c r="N1334" s="54"/>
      <c r="O1334" s="54">
        <f t="shared" si="48"/>
        <v>82314.44</v>
      </c>
    </row>
    <row r="1335" spans="1:15" x14ac:dyDescent="0.2">
      <c r="A1335" s="51">
        <v>43770</v>
      </c>
      <c r="B1335" s="11">
        <v>70</v>
      </c>
      <c r="C1335" s="35" t="s">
        <v>506</v>
      </c>
      <c r="D1335" s="34" t="str">
        <f>VLOOKUP(C1335,'[2]PUR-PARTY MASTER'!$B$4:$E$2009,2,FALSE)</f>
        <v>27AAACG1376N1ZC</v>
      </c>
      <c r="F1335" s="34" t="s">
        <v>22</v>
      </c>
      <c r="G1335" s="136" t="s">
        <v>4475</v>
      </c>
      <c r="H1335" s="37">
        <v>43787</v>
      </c>
      <c r="I1335" s="126">
        <v>9240</v>
      </c>
      <c r="J1335" s="640">
        <f t="shared" si="49"/>
        <v>1663.2</v>
      </c>
      <c r="K1335" s="11">
        <v>0</v>
      </c>
      <c r="L1335" s="11">
        <v>831.6</v>
      </c>
      <c r="M1335" s="11">
        <v>831.6</v>
      </c>
      <c r="N1335" s="54"/>
      <c r="O1335" s="54">
        <f t="shared" si="48"/>
        <v>10903.2</v>
      </c>
    </row>
    <row r="1336" spans="1:15" x14ac:dyDescent="0.2">
      <c r="A1336" s="51">
        <v>43770</v>
      </c>
      <c r="B1336" s="34">
        <v>71</v>
      </c>
      <c r="C1336" s="632" t="s">
        <v>1090</v>
      </c>
      <c r="D1336" s="633" t="s">
        <v>1091</v>
      </c>
      <c r="F1336" s="34" t="s">
        <v>22</v>
      </c>
      <c r="G1336" s="136">
        <v>2620</v>
      </c>
      <c r="H1336" s="37">
        <v>43787</v>
      </c>
      <c r="I1336" s="126">
        <v>23046.880000000001</v>
      </c>
      <c r="J1336" s="640">
        <f t="shared" si="49"/>
        <v>6453.1264000000001</v>
      </c>
      <c r="K1336" s="11">
        <v>0</v>
      </c>
      <c r="L1336" s="11">
        <v>3226.5632000000001</v>
      </c>
      <c r="M1336" s="11">
        <v>3226.5632000000001</v>
      </c>
      <c r="N1336" s="54"/>
      <c r="O1336" s="54">
        <f t="shared" si="48"/>
        <v>29500.006400000002</v>
      </c>
    </row>
    <row r="1337" spans="1:15" x14ac:dyDescent="0.2">
      <c r="A1337" s="51">
        <v>43770</v>
      </c>
      <c r="B1337" s="34">
        <v>72</v>
      </c>
      <c r="C1337" s="632" t="s">
        <v>4269</v>
      </c>
      <c r="D1337" s="633" t="s">
        <v>4270</v>
      </c>
      <c r="F1337" s="34" t="s">
        <v>22</v>
      </c>
      <c r="G1337" s="136" t="s">
        <v>4476</v>
      </c>
      <c r="H1337" s="37">
        <v>43788</v>
      </c>
      <c r="I1337" s="126">
        <v>24920</v>
      </c>
      <c r="J1337" s="640">
        <f t="shared" si="49"/>
        <v>2990.3999999999996</v>
      </c>
      <c r="K1337" s="11">
        <v>0</v>
      </c>
      <c r="L1337" s="11">
        <v>1495.1999999999998</v>
      </c>
      <c r="M1337" s="11">
        <v>1495.1999999999998</v>
      </c>
      <c r="N1337" s="54"/>
      <c r="O1337" s="54">
        <f t="shared" si="48"/>
        <v>27910.400000000001</v>
      </c>
    </row>
    <row r="1338" spans="1:15" x14ac:dyDescent="0.2">
      <c r="A1338" s="51">
        <v>43770</v>
      </c>
      <c r="B1338" s="11">
        <v>73</v>
      </c>
      <c r="C1338" s="35" t="s">
        <v>634</v>
      </c>
      <c r="D1338" s="34" t="str">
        <f>VLOOKUP(C1338,'[2]PUR-PARTY MASTER'!$B$4:$E$2009,2,FALSE)</f>
        <v>27AVIPS7433C1ZF</v>
      </c>
      <c r="F1338" s="34" t="s">
        <v>22</v>
      </c>
      <c r="G1338" s="136" t="s">
        <v>4477</v>
      </c>
      <c r="H1338" s="37">
        <v>43781</v>
      </c>
      <c r="I1338" s="40">
        <v>23413.5</v>
      </c>
      <c r="J1338" s="640">
        <f t="shared" si="49"/>
        <v>4214.4399999999996</v>
      </c>
      <c r="K1338" s="11">
        <v>0</v>
      </c>
      <c r="L1338" s="11">
        <v>2107.2199999999998</v>
      </c>
      <c r="M1338" s="11">
        <v>2107.2199999999998</v>
      </c>
      <c r="N1338" s="54"/>
      <c r="O1338" s="54">
        <f>+I1338+J1338+0.06</f>
        <v>27628</v>
      </c>
    </row>
    <row r="1339" spans="1:15" x14ac:dyDescent="0.2">
      <c r="A1339" s="51">
        <v>43770</v>
      </c>
      <c r="B1339" s="11">
        <v>74</v>
      </c>
      <c r="C1339" s="34" t="s">
        <v>601</v>
      </c>
      <c r="D1339" s="34" t="str">
        <f>VLOOKUP(C1339,'[2]PUR-PARTY MASTER'!$B$4:$E$2009,2,FALSE)</f>
        <v>27AAZFM6461A1ZY</v>
      </c>
      <c r="F1339" s="34" t="s">
        <v>22</v>
      </c>
      <c r="G1339" s="134">
        <v>5944</v>
      </c>
      <c r="H1339" s="37">
        <v>43787</v>
      </c>
      <c r="I1339" s="39">
        <v>18730.8</v>
      </c>
      <c r="J1339" s="640">
        <f t="shared" si="49"/>
        <v>5244.6239999999998</v>
      </c>
      <c r="K1339" s="11">
        <v>0</v>
      </c>
      <c r="L1339" s="11">
        <v>2622.3119999999999</v>
      </c>
      <c r="M1339" s="11">
        <v>2622.3119999999999</v>
      </c>
      <c r="N1339" s="54"/>
      <c r="O1339" s="54">
        <f t="shared" si="48"/>
        <v>23975.423999999999</v>
      </c>
    </row>
    <row r="1340" spans="1:15" x14ac:dyDescent="0.2">
      <c r="A1340" s="51">
        <v>43770</v>
      </c>
      <c r="B1340" s="11">
        <v>75</v>
      </c>
      <c r="C1340" s="34" t="s">
        <v>601</v>
      </c>
      <c r="D1340" s="34" t="str">
        <f>VLOOKUP(C1340,'[2]PUR-PARTY MASTER'!$B$4:$E$2009,2,FALSE)</f>
        <v>27AAZFM6461A1ZY</v>
      </c>
      <c r="F1340" s="34" t="s">
        <v>22</v>
      </c>
      <c r="G1340" s="134">
        <v>5945</v>
      </c>
      <c r="H1340" s="37">
        <v>43788</v>
      </c>
      <c r="I1340" s="39">
        <v>22766.400000000001</v>
      </c>
      <c r="J1340" s="640">
        <f t="shared" si="49"/>
        <v>6374.5920000000006</v>
      </c>
      <c r="K1340" s="11">
        <v>0</v>
      </c>
      <c r="L1340" s="11">
        <v>3187.2960000000003</v>
      </c>
      <c r="M1340" s="11">
        <v>3187.2960000000003</v>
      </c>
      <c r="N1340" s="54"/>
      <c r="O1340" s="54">
        <f t="shared" si="48"/>
        <v>29140.992000000002</v>
      </c>
    </row>
    <row r="1341" spans="1:15" x14ac:dyDescent="0.2">
      <c r="A1341" s="51">
        <v>43770</v>
      </c>
      <c r="B1341" s="11">
        <v>76</v>
      </c>
      <c r="C1341" s="35" t="s">
        <v>514</v>
      </c>
      <c r="D1341" s="34" t="str">
        <f>VLOOKUP(C1341,'[2]PUR-PARTY MASTER'!$B$4:$E$2009,2,FALSE)</f>
        <v>27AAACU2414K1ZF</v>
      </c>
      <c r="F1341" s="34" t="s">
        <v>22</v>
      </c>
      <c r="G1341" s="136" t="s">
        <v>4478</v>
      </c>
      <c r="H1341" s="37">
        <v>43788</v>
      </c>
      <c r="I1341" s="40">
        <v>3815</v>
      </c>
      <c r="J1341" s="640">
        <f t="shared" si="49"/>
        <v>686.7</v>
      </c>
      <c r="K1341" s="11">
        <v>0</v>
      </c>
      <c r="L1341" s="11">
        <v>343.35</v>
      </c>
      <c r="M1341" s="11">
        <v>343.35</v>
      </c>
      <c r="N1341" s="54"/>
      <c r="O1341" s="54">
        <f t="shared" si="48"/>
        <v>4501.7</v>
      </c>
    </row>
    <row r="1342" spans="1:15" x14ac:dyDescent="0.2">
      <c r="A1342" s="51">
        <v>43770</v>
      </c>
      <c r="B1342" s="11">
        <v>77</v>
      </c>
      <c r="C1342" s="35" t="s">
        <v>495</v>
      </c>
      <c r="D1342" s="34" t="str">
        <f>VLOOKUP(C1342,'[2]PUR-PARTY MASTER'!$B$4:$E$2009,2,FALSE)</f>
        <v>27AAACH4211R1ZF</v>
      </c>
      <c r="F1342" s="34" t="s">
        <v>22</v>
      </c>
      <c r="G1342" s="134">
        <v>5510064094</v>
      </c>
      <c r="H1342" s="37">
        <v>43789</v>
      </c>
      <c r="I1342" s="126">
        <v>39816</v>
      </c>
      <c r="J1342" s="640">
        <f t="shared" si="49"/>
        <v>7166.88</v>
      </c>
      <c r="K1342" s="11">
        <v>0</v>
      </c>
      <c r="L1342" s="11">
        <v>3583.44</v>
      </c>
      <c r="M1342" s="11">
        <v>3583.44</v>
      </c>
      <c r="N1342" s="54"/>
      <c r="O1342" s="54">
        <f t="shared" si="48"/>
        <v>46982.879999999997</v>
      </c>
    </row>
    <row r="1343" spans="1:15" x14ac:dyDescent="0.2">
      <c r="A1343" s="51">
        <v>43770</v>
      </c>
      <c r="B1343" s="11">
        <v>78</v>
      </c>
      <c r="C1343" s="35" t="s">
        <v>493</v>
      </c>
      <c r="D1343" s="34" t="str">
        <f>VLOOKUP(C1343,'[2]PUR-PARTY MASTER'!$B$4:$E$2009,2,FALSE)</f>
        <v>27AMMPB3648M1ZO</v>
      </c>
      <c r="F1343" s="34" t="s">
        <v>22</v>
      </c>
      <c r="G1343" s="134">
        <v>3805</v>
      </c>
      <c r="H1343" s="37">
        <v>43789</v>
      </c>
      <c r="I1343" s="126">
        <v>24139.5</v>
      </c>
      <c r="J1343" s="640">
        <f t="shared" si="49"/>
        <v>4345.1100000000006</v>
      </c>
      <c r="K1343" s="11">
        <v>0</v>
      </c>
      <c r="L1343" s="11">
        <v>2172.5550000000003</v>
      </c>
      <c r="M1343" s="11">
        <v>2172.5550000000003</v>
      </c>
      <c r="N1343" s="54"/>
      <c r="O1343" s="54">
        <f t="shared" si="48"/>
        <v>28484.61</v>
      </c>
    </row>
    <row r="1344" spans="1:15" x14ac:dyDescent="0.2">
      <c r="A1344" s="51">
        <v>43770</v>
      </c>
      <c r="B1344" s="11">
        <v>79</v>
      </c>
      <c r="C1344" s="35" t="s">
        <v>493</v>
      </c>
      <c r="D1344" s="34" t="str">
        <f>VLOOKUP(C1344,'[2]PUR-PARTY MASTER'!$B$4:$E$2009,2,FALSE)</f>
        <v>27AMMPB3648M1ZO</v>
      </c>
      <c r="F1344" s="34" t="s">
        <v>22</v>
      </c>
      <c r="G1344" s="134">
        <v>3828</v>
      </c>
      <c r="H1344" s="37">
        <v>43790</v>
      </c>
      <c r="I1344" s="126">
        <v>15127.42</v>
      </c>
      <c r="J1344" s="640">
        <f t="shared" si="49"/>
        <v>2722.9356000000002</v>
      </c>
      <c r="K1344" s="11">
        <v>0</v>
      </c>
      <c r="L1344" s="11">
        <v>1361.4678000000001</v>
      </c>
      <c r="M1344" s="11">
        <v>1361.4678000000001</v>
      </c>
      <c r="N1344" s="54"/>
      <c r="O1344" s="54">
        <f t="shared" si="48"/>
        <v>17850.355599999999</v>
      </c>
    </row>
    <row r="1345" spans="1:15" x14ac:dyDescent="0.2">
      <c r="A1345" s="51">
        <v>43770</v>
      </c>
      <c r="B1345" s="11">
        <v>80</v>
      </c>
      <c r="C1345" s="35" t="s">
        <v>565</v>
      </c>
      <c r="D1345" s="34" t="str">
        <f>VLOOKUP(C1345,'[2]PUR-PARTY MASTER'!$B$4:$E$2009,2,FALSE)</f>
        <v>27ADOPJ4418Q1ZV</v>
      </c>
      <c r="F1345" s="34" t="s">
        <v>22</v>
      </c>
      <c r="G1345" s="134">
        <v>5161</v>
      </c>
      <c r="H1345" s="37">
        <v>43782</v>
      </c>
      <c r="I1345" s="40">
        <v>7023.11</v>
      </c>
      <c r="J1345" s="640">
        <f t="shared" si="49"/>
        <v>1252.5</v>
      </c>
      <c r="K1345" s="11">
        <v>0</v>
      </c>
      <c r="L1345" s="11">
        <v>626.25</v>
      </c>
      <c r="M1345" s="11">
        <v>626.25</v>
      </c>
      <c r="N1345" s="54"/>
      <c r="O1345" s="54">
        <f>+I1345+J1345+0.39</f>
        <v>8276</v>
      </c>
    </row>
    <row r="1346" spans="1:15" x14ac:dyDescent="0.2">
      <c r="A1346" s="51">
        <v>43770</v>
      </c>
      <c r="B1346" s="11">
        <v>81</v>
      </c>
      <c r="C1346" s="35" t="s">
        <v>565</v>
      </c>
      <c r="D1346" s="34" t="str">
        <f>VLOOKUP(C1346,'[2]PUR-PARTY MASTER'!$B$4:$E$2009,2,FALSE)</f>
        <v>27ADOPJ4418Q1ZV</v>
      </c>
      <c r="F1346" s="34" t="s">
        <v>22</v>
      </c>
      <c r="G1346" s="134">
        <v>5175</v>
      </c>
      <c r="H1346" s="37">
        <v>43784</v>
      </c>
      <c r="I1346" s="40">
        <v>23925.439999999999</v>
      </c>
      <c r="J1346" s="640">
        <f t="shared" si="49"/>
        <v>4292.2</v>
      </c>
      <c r="K1346" s="11">
        <v>0</v>
      </c>
      <c r="L1346" s="11">
        <v>2146.1</v>
      </c>
      <c r="M1346" s="11">
        <v>2146.1</v>
      </c>
      <c r="N1346" s="54"/>
      <c r="O1346" s="54">
        <f>+I1346+J1346+0.36</f>
        <v>28218</v>
      </c>
    </row>
    <row r="1347" spans="1:15" x14ac:dyDescent="0.2">
      <c r="A1347" s="51">
        <v>43770</v>
      </c>
      <c r="B1347" s="11">
        <v>82</v>
      </c>
      <c r="C1347" s="35" t="s">
        <v>499</v>
      </c>
      <c r="D1347" s="34" t="str">
        <f>VLOOKUP(C1347,'[2]PUR-PARTY MASTER'!$B$4:$E$2009,2,FALSE)</f>
        <v>27AAHFP1154B1ZN</v>
      </c>
      <c r="F1347" s="34" t="s">
        <v>22</v>
      </c>
      <c r="G1347" s="136" t="s">
        <v>4479</v>
      </c>
      <c r="H1347" s="37">
        <v>43791</v>
      </c>
      <c r="I1347" s="126">
        <v>5875</v>
      </c>
      <c r="J1347" s="640">
        <f t="shared" si="49"/>
        <v>745.5</v>
      </c>
      <c r="K1347" s="11">
        <v>0</v>
      </c>
      <c r="L1347" s="11">
        <v>372.75</v>
      </c>
      <c r="M1347" s="11">
        <v>372.75</v>
      </c>
      <c r="N1347" s="54"/>
      <c r="O1347" s="54">
        <f>+I1347+J1347+0.5</f>
        <v>6621</v>
      </c>
    </row>
    <row r="1348" spans="1:15" x14ac:dyDescent="0.2">
      <c r="A1348" s="51">
        <v>43770</v>
      </c>
      <c r="B1348" s="11">
        <v>83</v>
      </c>
      <c r="C1348" s="35" t="s">
        <v>499</v>
      </c>
      <c r="D1348" s="34" t="str">
        <f>VLOOKUP(C1348,'[2]PUR-PARTY MASTER'!$B$4:$E$2009,2,FALSE)</f>
        <v>27AAHFP1154B1ZN</v>
      </c>
      <c r="F1348" s="34" t="s">
        <v>22</v>
      </c>
      <c r="G1348" s="136" t="s">
        <v>4480</v>
      </c>
      <c r="H1348" s="37">
        <v>43791</v>
      </c>
      <c r="I1348" s="126">
        <v>405</v>
      </c>
      <c r="J1348" s="640">
        <f t="shared" si="49"/>
        <v>0</v>
      </c>
      <c r="K1348" s="11">
        <v>0</v>
      </c>
      <c r="L1348" s="11">
        <v>0</v>
      </c>
      <c r="M1348" s="11">
        <v>0</v>
      </c>
      <c r="N1348" s="54"/>
      <c r="O1348" s="54">
        <f t="shared" ref="O1348:O1369" si="50">+I1348+J1348</f>
        <v>405</v>
      </c>
    </row>
    <row r="1349" spans="1:15" x14ac:dyDescent="0.2">
      <c r="A1349" s="51">
        <v>43770</v>
      </c>
      <c r="B1349" s="11">
        <v>84</v>
      </c>
      <c r="C1349" s="35" t="s">
        <v>473</v>
      </c>
      <c r="D1349" s="34" t="str">
        <f>VLOOKUP(C1349,'[2]PUR-PARTY MASTER'!$B$4:$E$2009,2,FALSE)</f>
        <v>27AAACT1848E1ZH</v>
      </c>
      <c r="F1349" s="34" t="s">
        <v>22</v>
      </c>
      <c r="G1349" s="136" t="s">
        <v>4481</v>
      </c>
      <c r="H1349" s="37">
        <v>43791</v>
      </c>
      <c r="I1349" s="126">
        <v>8620.44</v>
      </c>
      <c r="J1349" s="640">
        <f t="shared" si="49"/>
        <v>2414.0032000000006</v>
      </c>
      <c r="K1349" s="11">
        <v>0</v>
      </c>
      <c r="L1349" s="11">
        <v>1207.0016000000003</v>
      </c>
      <c r="M1349" s="11">
        <v>1207.0016000000003</v>
      </c>
      <c r="N1349" s="54"/>
      <c r="O1349" s="54">
        <f t="shared" si="50"/>
        <v>11034.443200000002</v>
      </c>
    </row>
    <row r="1350" spans="1:15" x14ac:dyDescent="0.2">
      <c r="A1350" s="51">
        <v>43770</v>
      </c>
      <c r="B1350" s="11">
        <v>85</v>
      </c>
      <c r="C1350" s="35" t="s">
        <v>495</v>
      </c>
      <c r="D1350" s="34" t="str">
        <f>VLOOKUP(C1350,'[2]PUR-PARTY MASTER'!$B$4:$E$2009,2,FALSE)</f>
        <v>27AAACH4211R1ZF</v>
      </c>
      <c r="F1350" s="34" t="s">
        <v>22</v>
      </c>
      <c r="G1350" s="134">
        <v>5510064283</v>
      </c>
      <c r="H1350" s="37">
        <v>43791</v>
      </c>
      <c r="I1350" s="126">
        <v>31852.799999999999</v>
      </c>
      <c r="J1350" s="640">
        <f t="shared" si="49"/>
        <v>5733.5240000000013</v>
      </c>
      <c r="K1350" s="11">
        <v>0</v>
      </c>
      <c r="L1350" s="11">
        <v>2866.7620000000006</v>
      </c>
      <c r="M1350" s="11">
        <v>2866.7620000000006</v>
      </c>
      <c r="N1350" s="54"/>
      <c r="O1350" s="54">
        <f t="shared" si="50"/>
        <v>37586.324000000001</v>
      </c>
    </row>
    <row r="1351" spans="1:15" x14ac:dyDescent="0.2">
      <c r="A1351" s="51">
        <v>43770</v>
      </c>
      <c r="B1351" s="11">
        <v>86</v>
      </c>
      <c r="C1351" s="35" t="s">
        <v>634</v>
      </c>
      <c r="D1351" s="34" t="str">
        <f>VLOOKUP(C1351,'[2]PUR-PARTY MASTER'!$B$4:$E$2009,2,FALSE)</f>
        <v>27AVIPS7433C1ZF</v>
      </c>
      <c r="F1351" s="34" t="s">
        <v>22</v>
      </c>
      <c r="G1351" s="136" t="s">
        <v>4482</v>
      </c>
      <c r="H1351" s="37">
        <v>43792</v>
      </c>
      <c r="I1351" s="40">
        <v>725</v>
      </c>
      <c r="J1351" s="640">
        <f t="shared" si="49"/>
        <v>130.5</v>
      </c>
      <c r="K1351" s="11">
        <v>0</v>
      </c>
      <c r="L1351" s="11">
        <v>65.25</v>
      </c>
      <c r="M1351" s="11">
        <v>65.25</v>
      </c>
      <c r="N1351" s="54"/>
      <c r="O1351" s="54">
        <f t="shared" si="50"/>
        <v>855.5</v>
      </c>
    </row>
    <row r="1352" spans="1:15" x14ac:dyDescent="0.2">
      <c r="A1352" s="51">
        <v>43770</v>
      </c>
      <c r="B1352" s="11">
        <v>87</v>
      </c>
      <c r="C1352" s="35" t="s">
        <v>473</v>
      </c>
      <c r="D1352" s="34" t="str">
        <f>VLOOKUP(C1352,'[2]PUR-PARTY MASTER'!$B$4:$E$2009,2,FALSE)</f>
        <v>27AAACT1848E1ZH</v>
      </c>
      <c r="F1352" s="34" t="s">
        <v>22</v>
      </c>
      <c r="G1352" s="136" t="s">
        <v>4483</v>
      </c>
      <c r="H1352" s="37">
        <v>43792</v>
      </c>
      <c r="I1352" s="126">
        <v>1249</v>
      </c>
      <c r="J1352" s="640">
        <f t="shared" si="49"/>
        <v>350</v>
      </c>
      <c r="K1352" s="11">
        <v>0</v>
      </c>
      <c r="L1352" s="11">
        <v>175</v>
      </c>
      <c r="M1352" s="11">
        <v>175</v>
      </c>
      <c r="N1352" s="54"/>
      <c r="O1352" s="54">
        <f t="shared" si="50"/>
        <v>1599</v>
      </c>
    </row>
    <row r="1353" spans="1:15" x14ac:dyDescent="0.2">
      <c r="A1353" s="51">
        <v>43770</v>
      </c>
      <c r="B1353" s="11">
        <v>88</v>
      </c>
      <c r="C1353" s="34" t="s">
        <v>601</v>
      </c>
      <c r="D1353" s="34" t="str">
        <f>VLOOKUP(C1353,'[2]PUR-PARTY MASTER'!$B$4:$E$2009,2,FALSE)</f>
        <v>27AAZFM6461A1ZY</v>
      </c>
      <c r="F1353" s="34" t="s">
        <v>22</v>
      </c>
      <c r="G1353" s="134">
        <v>6162</v>
      </c>
      <c r="H1353" s="37">
        <v>43794</v>
      </c>
      <c r="I1353" s="39">
        <v>33204.6</v>
      </c>
      <c r="J1353" s="640">
        <f t="shared" si="49"/>
        <v>9297.2880000000005</v>
      </c>
      <c r="K1353" s="11">
        <v>0</v>
      </c>
      <c r="L1353" s="11">
        <v>4648.6440000000002</v>
      </c>
      <c r="M1353" s="11">
        <v>4648.6440000000002</v>
      </c>
      <c r="N1353" s="54"/>
      <c r="O1353" s="54">
        <f t="shared" si="50"/>
        <v>42501.887999999999</v>
      </c>
    </row>
    <row r="1354" spans="1:15" x14ac:dyDescent="0.2">
      <c r="A1354" s="51">
        <v>43770</v>
      </c>
      <c r="B1354" s="11">
        <v>89</v>
      </c>
      <c r="C1354" s="35" t="s">
        <v>473</v>
      </c>
      <c r="D1354" s="34" t="str">
        <f>VLOOKUP(C1354,'[2]PUR-PARTY MASTER'!$B$4:$E$2009,2,FALSE)</f>
        <v>27AAACT1848E1ZH</v>
      </c>
      <c r="F1354" s="34" t="s">
        <v>22</v>
      </c>
      <c r="G1354" s="136" t="s">
        <v>4484</v>
      </c>
      <c r="H1354" s="37">
        <v>43794</v>
      </c>
      <c r="I1354" s="126">
        <v>6312.4</v>
      </c>
      <c r="J1354" s="640">
        <f t="shared" si="49"/>
        <v>1767.9919999999997</v>
      </c>
      <c r="K1354" s="11">
        <v>0</v>
      </c>
      <c r="L1354" s="11">
        <v>883.99599999999987</v>
      </c>
      <c r="M1354" s="11">
        <v>883.99599999999987</v>
      </c>
      <c r="N1354" s="54"/>
      <c r="O1354" s="54">
        <f t="shared" si="50"/>
        <v>8080.3919999999998</v>
      </c>
    </row>
    <row r="1355" spans="1:15" x14ac:dyDescent="0.2">
      <c r="A1355" s="51">
        <v>43770</v>
      </c>
      <c r="B1355" s="11">
        <v>90</v>
      </c>
      <c r="C1355" s="632" t="s">
        <v>1150</v>
      </c>
      <c r="D1355" s="633" t="s">
        <v>1151</v>
      </c>
      <c r="F1355" s="34" t="s">
        <v>22</v>
      </c>
      <c r="G1355" s="136">
        <v>5567</v>
      </c>
      <c r="H1355" s="37">
        <v>43792</v>
      </c>
      <c r="I1355" s="126">
        <v>3476.85</v>
      </c>
      <c r="J1355" s="640">
        <f t="shared" si="49"/>
        <v>625.83299999999997</v>
      </c>
      <c r="K1355" s="11">
        <v>0</v>
      </c>
      <c r="L1355" s="11">
        <v>312.91649999999998</v>
      </c>
      <c r="M1355" s="11">
        <v>312.91649999999998</v>
      </c>
      <c r="N1355" s="54"/>
      <c r="O1355" s="54">
        <f t="shared" si="50"/>
        <v>4102.683</v>
      </c>
    </row>
    <row r="1356" spans="1:15" x14ac:dyDescent="0.2">
      <c r="A1356" s="51">
        <v>43770</v>
      </c>
      <c r="B1356" s="11">
        <v>91</v>
      </c>
      <c r="C1356" s="35" t="s">
        <v>506</v>
      </c>
      <c r="D1356" s="34" t="str">
        <f>VLOOKUP(C1356,'[2]PUR-PARTY MASTER'!$B$4:$E$2009,2,FALSE)</f>
        <v>27AAACG1376N1ZC</v>
      </c>
      <c r="F1356" s="34" t="s">
        <v>22</v>
      </c>
      <c r="G1356" s="136" t="s">
        <v>4485</v>
      </c>
      <c r="H1356" s="37">
        <v>43794</v>
      </c>
      <c r="I1356" s="126">
        <v>69758</v>
      </c>
      <c r="J1356" s="640">
        <f t="shared" si="49"/>
        <v>12556.44</v>
      </c>
      <c r="K1356" s="11">
        <v>0</v>
      </c>
      <c r="L1356" s="11">
        <v>6278.22</v>
      </c>
      <c r="M1356" s="11">
        <v>6278.22</v>
      </c>
      <c r="N1356" s="54"/>
      <c r="O1356" s="54">
        <f>+I1356+J1356-0.44</f>
        <v>82314</v>
      </c>
    </row>
    <row r="1357" spans="1:15" x14ac:dyDescent="0.2">
      <c r="A1357" s="51">
        <v>43770</v>
      </c>
      <c r="B1357" s="11">
        <v>92</v>
      </c>
      <c r="C1357" s="35" t="s">
        <v>506</v>
      </c>
      <c r="D1357" s="34" t="str">
        <f>VLOOKUP(C1357,'[2]PUR-PARTY MASTER'!$B$4:$E$2009,2,FALSE)</f>
        <v>27AAACG1376N1ZC</v>
      </c>
      <c r="F1357" s="34" t="s">
        <v>22</v>
      </c>
      <c r="G1357" s="136" t="s">
        <v>4486</v>
      </c>
      <c r="H1357" s="37">
        <v>43794</v>
      </c>
      <c r="I1357" s="126">
        <v>9240</v>
      </c>
      <c r="J1357" s="640">
        <f t="shared" si="49"/>
        <v>1663.2</v>
      </c>
      <c r="K1357" s="11">
        <v>0</v>
      </c>
      <c r="L1357" s="11">
        <v>831.6</v>
      </c>
      <c r="M1357" s="11">
        <v>831.6</v>
      </c>
      <c r="N1357" s="54"/>
      <c r="O1357" s="54">
        <f t="shared" si="50"/>
        <v>10903.2</v>
      </c>
    </row>
    <row r="1358" spans="1:15" x14ac:dyDescent="0.2">
      <c r="A1358" s="51">
        <v>43770</v>
      </c>
      <c r="B1358" s="11">
        <v>93</v>
      </c>
      <c r="C1358" s="35" t="s">
        <v>963</v>
      </c>
      <c r="D1358" s="34" t="str">
        <f>VLOOKUP(C1358,'[2]PUR-PARTY MASTER'!$B$4:$E$2009,2,FALSE)</f>
        <v>27AAKFV5974C1ZS</v>
      </c>
      <c r="F1358" s="34" t="s">
        <v>22</v>
      </c>
      <c r="G1358" s="136" t="s">
        <v>4487</v>
      </c>
      <c r="H1358" s="37">
        <v>43771</v>
      </c>
      <c r="I1358" s="126">
        <v>550</v>
      </c>
      <c r="J1358" s="640">
        <f t="shared" si="49"/>
        <v>99</v>
      </c>
      <c r="K1358" s="11">
        <v>0</v>
      </c>
      <c r="L1358" s="11">
        <v>49.5</v>
      </c>
      <c r="M1358" s="11">
        <v>49.5</v>
      </c>
      <c r="N1358" s="54"/>
      <c r="O1358" s="54">
        <f t="shared" si="50"/>
        <v>649</v>
      </c>
    </row>
    <row r="1359" spans="1:15" x14ac:dyDescent="0.2">
      <c r="A1359" s="51">
        <v>43770</v>
      </c>
      <c r="B1359" s="11">
        <v>94</v>
      </c>
      <c r="C1359" s="34" t="s">
        <v>601</v>
      </c>
      <c r="D1359" s="34" t="str">
        <f>VLOOKUP(C1359,'[2]PUR-PARTY MASTER'!$B$4:$E$2009,2,FALSE)</f>
        <v>27AAZFM6461A1ZY</v>
      </c>
      <c r="F1359" s="34" t="s">
        <v>22</v>
      </c>
      <c r="G1359" s="134">
        <v>6271</v>
      </c>
      <c r="H1359" s="37">
        <v>43796</v>
      </c>
      <c r="I1359" s="39">
        <v>28947.599999999999</v>
      </c>
      <c r="J1359" s="640">
        <f t="shared" si="49"/>
        <v>8105.3279999999995</v>
      </c>
      <c r="K1359" s="11">
        <v>0</v>
      </c>
      <c r="L1359" s="11">
        <v>4052.6639999999998</v>
      </c>
      <c r="M1359" s="11">
        <v>4052.6639999999998</v>
      </c>
      <c r="N1359" s="54"/>
      <c r="O1359" s="54">
        <f t="shared" si="50"/>
        <v>37052.928</v>
      </c>
    </row>
    <row r="1360" spans="1:15" x14ac:dyDescent="0.2">
      <c r="A1360" s="51">
        <v>43770</v>
      </c>
      <c r="B1360" s="11">
        <v>95</v>
      </c>
      <c r="C1360" s="34" t="s">
        <v>601</v>
      </c>
      <c r="D1360" s="34" t="str">
        <f>VLOOKUP(C1360,'[2]PUR-PARTY MASTER'!$B$4:$E$2009,2,FALSE)</f>
        <v>27AAZFM6461A1ZY</v>
      </c>
      <c r="F1360" s="34" t="s">
        <v>22</v>
      </c>
      <c r="G1360" s="134">
        <v>6272</v>
      </c>
      <c r="H1360" s="37">
        <v>43796</v>
      </c>
      <c r="I1360" s="39">
        <v>18748.8</v>
      </c>
      <c r="J1360" s="640">
        <f t="shared" si="49"/>
        <v>5249.6639999999998</v>
      </c>
      <c r="K1360" s="11">
        <v>0</v>
      </c>
      <c r="L1360" s="11">
        <v>2624.8319999999999</v>
      </c>
      <c r="M1360" s="11">
        <v>2624.8319999999999</v>
      </c>
      <c r="N1360" s="54"/>
      <c r="O1360" s="54">
        <f t="shared" si="50"/>
        <v>23998.464</v>
      </c>
    </row>
    <row r="1361" spans="1:15" x14ac:dyDescent="0.2">
      <c r="A1361" s="51">
        <v>43770</v>
      </c>
      <c r="B1361" s="11">
        <v>96</v>
      </c>
      <c r="C1361" s="35" t="s">
        <v>495</v>
      </c>
      <c r="D1361" s="34" t="str">
        <f>VLOOKUP(C1361,'[2]PUR-PARTY MASTER'!$B$4:$E$2009,2,FALSE)</f>
        <v>27AAACH4211R1ZF</v>
      </c>
      <c r="F1361" s="34" t="s">
        <v>22</v>
      </c>
      <c r="G1361" s="134">
        <v>5510064778</v>
      </c>
      <c r="H1361" s="37">
        <v>43797</v>
      </c>
      <c r="I1361" s="126">
        <v>53088</v>
      </c>
      <c r="J1361" s="640">
        <f t="shared" si="49"/>
        <v>9555.84</v>
      </c>
      <c r="K1361" s="11">
        <v>0</v>
      </c>
      <c r="L1361" s="11">
        <v>4777.92</v>
      </c>
      <c r="M1361" s="11">
        <v>4777.92</v>
      </c>
      <c r="N1361" s="54"/>
      <c r="O1361" s="54">
        <f t="shared" si="50"/>
        <v>62643.839999999997</v>
      </c>
    </row>
    <row r="1362" spans="1:15" x14ac:dyDescent="0.2">
      <c r="A1362" s="51">
        <v>43770</v>
      </c>
      <c r="B1362" s="11">
        <v>97</v>
      </c>
      <c r="C1362" s="35" t="s">
        <v>495</v>
      </c>
      <c r="D1362" s="34" t="str">
        <f>VLOOKUP(C1362,'[2]PUR-PARTY MASTER'!$B$4:$E$2009,2,FALSE)</f>
        <v>27AAACH4211R1ZF</v>
      </c>
      <c r="F1362" s="34" t="s">
        <v>22</v>
      </c>
      <c r="G1362" s="134">
        <v>5510064857</v>
      </c>
      <c r="H1362" s="37">
        <v>43797</v>
      </c>
      <c r="I1362" s="126">
        <v>1221.5999999999999</v>
      </c>
      <c r="J1362" s="640">
        <f t="shared" si="49"/>
        <v>219.9</v>
      </c>
      <c r="K1362" s="11">
        <v>0</v>
      </c>
      <c r="L1362" s="11">
        <v>109.95</v>
      </c>
      <c r="M1362" s="11">
        <v>109.95</v>
      </c>
      <c r="N1362" s="54"/>
      <c r="O1362" s="54">
        <f t="shared" si="50"/>
        <v>1441.5</v>
      </c>
    </row>
    <row r="1363" spans="1:15" x14ac:dyDescent="0.2">
      <c r="A1363" s="51">
        <v>43770</v>
      </c>
      <c r="B1363" s="11">
        <v>98</v>
      </c>
      <c r="C1363" s="35" t="s">
        <v>495</v>
      </c>
      <c r="D1363" s="34" t="str">
        <f>VLOOKUP(C1363,'[2]PUR-PARTY MASTER'!$B$4:$E$2009,2,FALSE)</f>
        <v>27AAACH4211R1ZF</v>
      </c>
      <c r="F1363" s="34" t="s">
        <v>22</v>
      </c>
      <c r="G1363" s="134">
        <v>5510064858</v>
      </c>
      <c r="H1363" s="37">
        <v>43797</v>
      </c>
      <c r="I1363" s="126">
        <v>500.4</v>
      </c>
      <c r="J1363" s="640">
        <f t="shared" si="49"/>
        <v>90.081999999999994</v>
      </c>
      <c r="K1363" s="11">
        <v>0</v>
      </c>
      <c r="L1363" s="11">
        <v>45.040999999999997</v>
      </c>
      <c r="M1363" s="11">
        <v>45.040999999999997</v>
      </c>
      <c r="N1363" s="54"/>
      <c r="O1363" s="54">
        <f t="shared" si="50"/>
        <v>590.48199999999997</v>
      </c>
    </row>
    <row r="1364" spans="1:15" x14ac:dyDescent="0.2">
      <c r="A1364" s="51">
        <v>43770</v>
      </c>
      <c r="B1364" s="11">
        <v>99</v>
      </c>
      <c r="C1364" s="35" t="s">
        <v>517</v>
      </c>
      <c r="D1364" s="34" t="str">
        <f>VLOOKUP(C1364,'[2]PUR-PARTY MASTER'!$B$4:$E$2009,2,FALSE)</f>
        <v>23AAACT6376M1ZZ</v>
      </c>
      <c r="F1364" s="34" t="s">
        <v>22</v>
      </c>
      <c r="G1364" s="134">
        <v>19624324</v>
      </c>
      <c r="H1364" s="37">
        <v>43797</v>
      </c>
      <c r="I1364" s="126">
        <v>41972.34</v>
      </c>
      <c r="J1364" s="640">
        <f t="shared" si="49"/>
        <v>11752.2552</v>
      </c>
      <c r="K1364" s="11">
        <v>11752.2552</v>
      </c>
      <c r="L1364" s="11">
        <v>0</v>
      </c>
      <c r="M1364" s="11">
        <v>0</v>
      </c>
      <c r="N1364" s="54"/>
      <c r="O1364" s="54">
        <f t="shared" si="50"/>
        <v>53724.595199999996</v>
      </c>
    </row>
    <row r="1365" spans="1:15" x14ac:dyDescent="0.2">
      <c r="A1365" s="51">
        <v>43770</v>
      </c>
      <c r="B1365" s="11">
        <v>100</v>
      </c>
      <c r="C1365" s="632" t="s">
        <v>1090</v>
      </c>
      <c r="D1365" s="633" t="s">
        <v>1091</v>
      </c>
      <c r="F1365" s="34" t="s">
        <v>22</v>
      </c>
      <c r="G1365" s="134">
        <v>2736</v>
      </c>
      <c r="H1365" s="37">
        <v>43799</v>
      </c>
      <c r="I1365" s="126">
        <v>6159.38</v>
      </c>
      <c r="J1365" s="640">
        <f t="shared" si="49"/>
        <v>1724.6264000000001</v>
      </c>
      <c r="K1365" s="11">
        <v>0</v>
      </c>
      <c r="L1365" s="11">
        <v>862.31320000000005</v>
      </c>
      <c r="M1365" s="11">
        <v>862.31320000000005</v>
      </c>
      <c r="N1365" s="54"/>
      <c r="O1365" s="54">
        <f t="shared" si="50"/>
        <v>7884.0064000000002</v>
      </c>
    </row>
    <row r="1366" spans="1:15" x14ac:dyDescent="0.2">
      <c r="A1366" s="51">
        <v>43770</v>
      </c>
      <c r="B1366" s="11">
        <v>101</v>
      </c>
      <c r="C1366" s="35" t="s">
        <v>514</v>
      </c>
      <c r="D1366" s="34" t="str">
        <f>VLOOKUP(C1366,'[2]PUR-PARTY MASTER'!$B$4:$E$2009,2,FALSE)</f>
        <v>27AAACU2414K1ZF</v>
      </c>
      <c r="F1366" s="34" t="s">
        <v>22</v>
      </c>
      <c r="G1366" s="136" t="s">
        <v>4488</v>
      </c>
      <c r="H1366" s="37">
        <v>43799</v>
      </c>
      <c r="I1366" s="40">
        <v>10000</v>
      </c>
      <c r="J1366" s="640">
        <f t="shared" si="49"/>
        <v>1800</v>
      </c>
      <c r="K1366" s="11">
        <v>0</v>
      </c>
      <c r="L1366" s="11">
        <v>900</v>
      </c>
      <c r="M1366" s="11">
        <v>900</v>
      </c>
      <c r="N1366" s="54"/>
      <c r="O1366" s="54">
        <f t="shared" si="50"/>
        <v>11800</v>
      </c>
    </row>
    <row r="1367" spans="1:15" x14ac:dyDescent="0.2">
      <c r="A1367" s="51">
        <v>43770</v>
      </c>
      <c r="B1367" s="11">
        <v>102</v>
      </c>
      <c r="C1367" s="35" t="s">
        <v>565</v>
      </c>
      <c r="D1367" s="34" t="str">
        <f>VLOOKUP(C1367,'[2]PUR-PARTY MASTER'!$B$4:$E$2009,2,FALSE)</f>
        <v>27ADOPJ4418Q1ZV</v>
      </c>
      <c r="F1367" s="34" t="s">
        <v>22</v>
      </c>
      <c r="G1367" s="134">
        <v>5209</v>
      </c>
      <c r="H1367" s="37">
        <v>43795</v>
      </c>
      <c r="I1367" s="40">
        <v>3869.95</v>
      </c>
      <c r="J1367" s="640">
        <f t="shared" si="49"/>
        <v>696.62</v>
      </c>
      <c r="K1367" s="11">
        <v>0</v>
      </c>
      <c r="L1367" s="11">
        <v>348.31</v>
      </c>
      <c r="M1367" s="11">
        <v>348.31</v>
      </c>
      <c r="N1367" s="54"/>
      <c r="O1367" s="54">
        <f>+I1367+J1367+0.43</f>
        <v>4567</v>
      </c>
    </row>
    <row r="1368" spans="1:15" x14ac:dyDescent="0.2">
      <c r="A1368" s="51">
        <v>43770</v>
      </c>
      <c r="B1368" s="11">
        <v>103</v>
      </c>
      <c r="C1368" s="34" t="s">
        <v>589</v>
      </c>
      <c r="D1368" s="34" t="str">
        <f>VLOOKUP(C1368,'[2]PUR-PARTY MASTER'!$B$4:$E$2009,2,FALSE)</f>
        <v>27CVNPK1560R1ZT</v>
      </c>
      <c r="F1368" s="34" t="s">
        <v>22</v>
      </c>
      <c r="G1368" s="134">
        <v>15</v>
      </c>
      <c r="H1368" s="37">
        <v>43799</v>
      </c>
      <c r="I1368" s="39">
        <v>55743.6</v>
      </c>
      <c r="J1368" s="640">
        <f t="shared" si="49"/>
        <v>10033.848</v>
      </c>
      <c r="K1368" s="11">
        <v>0</v>
      </c>
      <c r="L1368" s="11">
        <v>5016.924</v>
      </c>
      <c r="M1368" s="11">
        <v>5016.924</v>
      </c>
      <c r="N1368" s="54"/>
      <c r="O1368" s="54">
        <f t="shared" si="50"/>
        <v>65777.448000000004</v>
      </c>
    </row>
    <row r="1369" spans="1:15" x14ac:dyDescent="0.2">
      <c r="A1369" s="51">
        <v>43770</v>
      </c>
      <c r="B1369" s="11">
        <v>104</v>
      </c>
      <c r="C1369" s="35" t="s">
        <v>561</v>
      </c>
      <c r="D1369" s="34" t="str">
        <f>VLOOKUP(C1369,'[2]PUR-PARTY MASTER'!$B$4:$E$2009,2,FALSE)</f>
        <v>27BUQPM7574N1ZH</v>
      </c>
      <c r="F1369" s="34" t="s">
        <v>22</v>
      </c>
      <c r="G1369" s="136" t="s">
        <v>4489</v>
      </c>
      <c r="H1369" s="37">
        <v>43786</v>
      </c>
      <c r="I1369" s="40">
        <v>27835</v>
      </c>
      <c r="J1369" s="640">
        <f t="shared" si="49"/>
        <v>5010.3</v>
      </c>
      <c r="K1369" s="11">
        <v>0</v>
      </c>
      <c r="L1369" s="11">
        <v>2505.15</v>
      </c>
      <c r="M1369" s="11">
        <v>2505.15</v>
      </c>
      <c r="N1369" s="54"/>
      <c r="O1369" s="54">
        <f t="shared" si="50"/>
        <v>32845.300000000003</v>
      </c>
    </row>
    <row r="1370" spans="1:15" x14ac:dyDescent="0.2">
      <c r="A1370" s="51">
        <v>43770</v>
      </c>
      <c r="B1370" s="11">
        <v>105</v>
      </c>
      <c r="C1370" s="35" t="s">
        <v>499</v>
      </c>
      <c r="D1370" s="34" t="str">
        <f>VLOOKUP(C1370,'[2]PUR-PARTY MASTER'!$B$4:$E$2009,2,FALSE)</f>
        <v>27AAHFP1154B1ZN</v>
      </c>
      <c r="F1370" s="34" t="s">
        <v>22</v>
      </c>
      <c r="G1370" s="136" t="s">
        <v>4490</v>
      </c>
      <c r="H1370" s="37">
        <v>43795</v>
      </c>
      <c r="I1370" s="126">
        <v>6225</v>
      </c>
      <c r="J1370" s="640">
        <f t="shared" si="49"/>
        <v>1120.5</v>
      </c>
      <c r="K1370" s="11">
        <v>0</v>
      </c>
      <c r="L1370" s="11">
        <v>560.25</v>
      </c>
      <c r="M1370" s="11">
        <v>560.25</v>
      </c>
      <c r="N1370" s="54"/>
      <c r="O1370" s="54">
        <f>+I1370+J1370+0.5</f>
        <v>7346</v>
      </c>
    </row>
    <row r="1371" spans="1:15" x14ac:dyDescent="0.2">
      <c r="A1371" s="51">
        <v>43770</v>
      </c>
      <c r="B1371" s="11">
        <v>106</v>
      </c>
      <c r="C1371" s="34" t="s">
        <v>102</v>
      </c>
      <c r="D1371" s="34" t="str">
        <f>VLOOKUP(C1371,'[2]PUR-PARTY MASTER'!$B$4:$E$2009,2,FALSE)</f>
        <v>23AABCE9378F1ZK</v>
      </c>
      <c r="F1371" s="34" t="s">
        <v>22</v>
      </c>
      <c r="G1371" s="634" t="s">
        <v>4491</v>
      </c>
      <c r="H1371" s="37">
        <v>43784</v>
      </c>
      <c r="I1371" s="39">
        <v>19715.22</v>
      </c>
      <c r="J1371" s="640">
        <f t="shared" si="49"/>
        <v>5520.2616000000007</v>
      </c>
      <c r="K1371" s="54">
        <v>5520.2616000000007</v>
      </c>
      <c r="L1371" s="11">
        <v>0</v>
      </c>
      <c r="M1371" s="11">
        <v>0</v>
      </c>
      <c r="N1371" s="54">
        <v>0</v>
      </c>
      <c r="O1371" s="54">
        <v>25235.481600000003</v>
      </c>
    </row>
    <row r="1372" spans="1:15" x14ac:dyDescent="0.2">
      <c r="A1372" s="51">
        <v>43770</v>
      </c>
      <c r="B1372" s="11">
        <v>107</v>
      </c>
      <c r="C1372" s="34" t="s">
        <v>102</v>
      </c>
      <c r="D1372" s="34" t="str">
        <f>VLOOKUP(C1372,'[2]PUR-PARTY MASTER'!$B$4:$E$2009,2,FALSE)</f>
        <v>23AABCE9378F1ZK</v>
      </c>
      <c r="F1372" s="34" t="s">
        <v>22</v>
      </c>
      <c r="G1372" s="634" t="s">
        <v>4492</v>
      </c>
      <c r="H1372" s="37">
        <v>43784</v>
      </c>
      <c r="I1372" s="39">
        <v>938.82</v>
      </c>
      <c r="J1372" s="640">
        <f t="shared" si="49"/>
        <v>262.86960000000005</v>
      </c>
      <c r="K1372" s="54">
        <v>262.86960000000005</v>
      </c>
      <c r="L1372" s="11">
        <v>0</v>
      </c>
      <c r="M1372" s="11">
        <v>0</v>
      </c>
      <c r="N1372" s="54">
        <v>0</v>
      </c>
      <c r="O1372" s="54">
        <v>1201.6896000000002</v>
      </c>
    </row>
    <row r="1373" spans="1:15" x14ac:dyDescent="0.2">
      <c r="G1373" s="34"/>
      <c r="H1373" s="34"/>
      <c r="I1373" s="34"/>
      <c r="J1373" s="640">
        <f t="shared" si="49"/>
        <v>0</v>
      </c>
    </row>
    <row r="1374" spans="1:15" x14ac:dyDescent="0.2">
      <c r="A1374" s="51">
        <v>43800</v>
      </c>
      <c r="B1374" s="11">
        <v>1</v>
      </c>
      <c r="C1374" s="35" t="s">
        <v>476</v>
      </c>
      <c r="D1374" s="34" t="str">
        <f>VLOOKUP(C1374,'[2]PUR-PARTY MASTER'!$B$4:$E$2009,2,FALSE)</f>
        <v>27AABCO8467D1ZA</v>
      </c>
      <c r="F1374" s="34" t="s">
        <v>22</v>
      </c>
      <c r="G1374" s="136" t="s">
        <v>4493</v>
      </c>
      <c r="H1374" s="37">
        <v>43800</v>
      </c>
      <c r="I1374" s="126">
        <v>376945</v>
      </c>
      <c r="J1374" s="640">
        <f t="shared" si="49"/>
        <v>105544.59999999999</v>
      </c>
      <c r="K1374" s="11">
        <v>0</v>
      </c>
      <c r="L1374" s="11">
        <v>52772.299999999996</v>
      </c>
      <c r="M1374" s="11">
        <v>52772.299999999996</v>
      </c>
      <c r="N1374" s="54"/>
      <c r="O1374" s="54">
        <f>+I1374+J1374+0.4</f>
        <v>482490</v>
      </c>
    </row>
    <row r="1375" spans="1:15" x14ac:dyDescent="0.2">
      <c r="A1375" s="51">
        <v>43800</v>
      </c>
      <c r="B1375" s="11">
        <v>2</v>
      </c>
      <c r="C1375" s="35" t="s">
        <v>541</v>
      </c>
      <c r="D1375" s="34" t="str">
        <f>VLOOKUP(C1375,'[2]PUR-PARTY MASTER'!$B$4:$E$2009,2,FALSE)</f>
        <v>27AYCPB9228K1ZA</v>
      </c>
      <c r="F1375" s="34" t="s">
        <v>22</v>
      </c>
      <c r="G1375" s="136" t="s">
        <v>4494</v>
      </c>
      <c r="H1375" s="37">
        <v>43800</v>
      </c>
      <c r="I1375" s="126">
        <v>3500</v>
      </c>
      <c r="J1375" s="640">
        <f t="shared" si="49"/>
        <v>630</v>
      </c>
      <c r="K1375" s="11">
        <v>0</v>
      </c>
      <c r="L1375" s="11">
        <v>315</v>
      </c>
      <c r="M1375" s="11">
        <v>315</v>
      </c>
      <c r="N1375" s="54"/>
      <c r="O1375" s="54">
        <f t="shared" ref="O1375:O1376" si="51">+I1375+J1375</f>
        <v>4130</v>
      </c>
    </row>
    <row r="1376" spans="1:15" x14ac:dyDescent="0.2">
      <c r="A1376" s="51">
        <v>43800</v>
      </c>
      <c r="B1376" s="11">
        <v>3</v>
      </c>
      <c r="C1376" s="632" t="s">
        <v>1090</v>
      </c>
      <c r="D1376" s="633" t="s">
        <v>1091</v>
      </c>
      <c r="F1376" s="34" t="s">
        <v>22</v>
      </c>
      <c r="G1376" s="134">
        <v>2748</v>
      </c>
      <c r="H1376" s="37">
        <v>43801</v>
      </c>
      <c r="I1376" s="126">
        <v>7331.25</v>
      </c>
      <c r="J1376" s="640">
        <f t="shared" si="49"/>
        <v>2052.75</v>
      </c>
      <c r="K1376" s="11">
        <v>0</v>
      </c>
      <c r="L1376" s="54">
        <f>+I1376/100*14</f>
        <v>1026.375</v>
      </c>
      <c r="M1376" s="54">
        <f>+I1376/100*14</f>
        <v>1026.375</v>
      </c>
      <c r="N1376" s="54"/>
      <c r="O1376" s="54">
        <f t="shared" si="51"/>
        <v>9384</v>
      </c>
    </row>
    <row r="1377" spans="1:15" x14ac:dyDescent="0.2">
      <c r="A1377" s="51">
        <v>43800</v>
      </c>
      <c r="B1377" s="11">
        <v>4</v>
      </c>
      <c r="C1377" s="35" t="s">
        <v>634</v>
      </c>
      <c r="D1377" s="34" t="str">
        <f>VLOOKUP(C1377,'[2]PUR-PARTY MASTER'!$B$4:$E$2009,2,FALSE)</f>
        <v>27AVIPS7433C1ZF</v>
      </c>
      <c r="F1377" s="34" t="s">
        <v>22</v>
      </c>
      <c r="G1377" s="136" t="s">
        <v>4495</v>
      </c>
      <c r="H1377" s="37">
        <v>43802</v>
      </c>
      <c r="I1377" s="40">
        <v>6861.45</v>
      </c>
      <c r="J1377" s="640">
        <f t="shared" si="49"/>
        <v>1235.0809999999999</v>
      </c>
      <c r="K1377" s="11">
        <v>0</v>
      </c>
      <c r="L1377" s="54">
        <f>+I1377/100*9+0.01</f>
        <v>617.54049999999995</v>
      </c>
      <c r="M1377" s="54">
        <f>+I1377/100*9+0.01</f>
        <v>617.54049999999995</v>
      </c>
      <c r="N1377" s="54"/>
      <c r="O1377" s="54">
        <f>+I1377+J1377+0.47</f>
        <v>8097.0010000000002</v>
      </c>
    </row>
    <row r="1378" spans="1:15" x14ac:dyDescent="0.2">
      <c r="A1378" s="51">
        <v>43800</v>
      </c>
      <c r="B1378" s="11">
        <v>5</v>
      </c>
      <c r="C1378" s="34" t="s">
        <v>829</v>
      </c>
      <c r="D1378" s="34" t="str">
        <f>VLOOKUP(C1378,'[2]PUR-PARTY MASTER'!$B$4:$E$2009,2,FALSE)</f>
        <v>27AATPC2316A1Z7</v>
      </c>
      <c r="F1378" s="34" t="s">
        <v>22</v>
      </c>
      <c r="G1378" s="134">
        <v>1973</v>
      </c>
      <c r="H1378" s="37">
        <v>43803</v>
      </c>
      <c r="I1378" s="40">
        <v>6496</v>
      </c>
      <c r="J1378" s="640">
        <f t="shared" si="49"/>
        <v>1169.28</v>
      </c>
      <c r="K1378" s="11">
        <v>0</v>
      </c>
      <c r="L1378" s="54">
        <f>+I1378/100*9</f>
        <v>584.64</v>
      </c>
      <c r="M1378" s="54">
        <f>+I1378/100*9</f>
        <v>584.64</v>
      </c>
      <c r="N1378" s="54"/>
      <c r="O1378" s="54">
        <f>+I1378+J1378-0.28</f>
        <v>7665</v>
      </c>
    </row>
    <row r="1379" spans="1:15" x14ac:dyDescent="0.2">
      <c r="A1379" s="51">
        <v>43800</v>
      </c>
      <c r="B1379" s="11">
        <v>6</v>
      </c>
      <c r="C1379" s="35" t="s">
        <v>514</v>
      </c>
      <c r="D1379" s="34" t="str">
        <f>VLOOKUP(C1379,'[2]PUR-PARTY MASTER'!$B$4:$E$2009,2,FALSE)</f>
        <v>27AAACU2414K1ZF</v>
      </c>
      <c r="F1379" s="34" t="s">
        <v>22</v>
      </c>
      <c r="G1379" s="136" t="s">
        <v>4573</v>
      </c>
      <c r="H1379" s="37">
        <v>43803</v>
      </c>
      <c r="I1379" s="40">
        <v>1122.73</v>
      </c>
      <c r="J1379" s="640">
        <f t="shared" si="49"/>
        <v>202.09139999999999</v>
      </c>
      <c r="K1379" s="11">
        <v>0</v>
      </c>
      <c r="L1379" s="54">
        <f t="shared" ref="L1379:L1382" si="52">+I1379/100*9</f>
        <v>101.0457</v>
      </c>
      <c r="M1379" s="54">
        <f t="shared" ref="M1379:M1382" si="53">+I1379/100*9</f>
        <v>101.0457</v>
      </c>
      <c r="N1379" s="54"/>
      <c r="O1379" s="54">
        <f>+I1379+J1379</f>
        <v>1324.8214</v>
      </c>
    </row>
    <row r="1380" spans="1:15" x14ac:dyDescent="0.2">
      <c r="A1380" s="51">
        <v>43800</v>
      </c>
      <c r="B1380" s="11">
        <v>7</v>
      </c>
      <c r="C1380" s="35" t="s">
        <v>514</v>
      </c>
      <c r="D1380" s="34" t="str">
        <f>VLOOKUP(C1380,'[2]PUR-PARTY MASTER'!$B$4:$E$2009,2,FALSE)</f>
        <v>27AAACU2414K1ZF</v>
      </c>
      <c r="F1380" s="34" t="s">
        <v>22</v>
      </c>
      <c r="G1380" s="136" t="s">
        <v>4574</v>
      </c>
      <c r="H1380" s="37">
        <v>43803</v>
      </c>
      <c r="I1380" s="40">
        <v>2000</v>
      </c>
      <c r="J1380" s="640">
        <f t="shared" si="49"/>
        <v>360</v>
      </c>
      <c r="K1380" s="11">
        <v>0</v>
      </c>
      <c r="L1380" s="54">
        <f t="shared" si="52"/>
        <v>180</v>
      </c>
      <c r="M1380" s="54">
        <f t="shared" si="53"/>
        <v>180</v>
      </c>
      <c r="N1380" s="54"/>
      <c r="O1380" s="54">
        <f>+I1380+J1380</f>
        <v>2360</v>
      </c>
    </row>
    <row r="1381" spans="1:15" x14ac:dyDescent="0.2">
      <c r="A1381" s="51">
        <v>43800</v>
      </c>
      <c r="B1381" s="11">
        <v>8</v>
      </c>
      <c r="C1381" s="35" t="s">
        <v>514</v>
      </c>
      <c r="D1381" s="34" t="str">
        <f>VLOOKUP(C1381,'[2]PUR-PARTY MASTER'!$B$4:$E$2009,2,FALSE)</f>
        <v>27AAACU2414K1ZF</v>
      </c>
      <c r="F1381" s="34" t="s">
        <v>22</v>
      </c>
      <c r="G1381" s="136" t="s">
        <v>4575</v>
      </c>
      <c r="H1381" s="37">
        <v>43803</v>
      </c>
      <c r="I1381" s="40">
        <v>1747.92</v>
      </c>
      <c r="J1381" s="640">
        <f t="shared" si="49"/>
        <v>314.62560000000002</v>
      </c>
      <c r="K1381" s="11">
        <v>0</v>
      </c>
      <c r="L1381" s="54">
        <f t="shared" si="52"/>
        <v>157.31280000000001</v>
      </c>
      <c r="M1381" s="54">
        <f t="shared" si="53"/>
        <v>157.31280000000001</v>
      </c>
      <c r="N1381" s="54"/>
      <c r="O1381" s="54">
        <f>+I1381+J1381</f>
        <v>2062.5455999999999</v>
      </c>
    </row>
    <row r="1382" spans="1:15" x14ac:dyDescent="0.2">
      <c r="A1382" s="51">
        <v>43800</v>
      </c>
      <c r="B1382" s="11">
        <v>9</v>
      </c>
      <c r="C1382" s="35" t="s">
        <v>514</v>
      </c>
      <c r="D1382" s="34" t="str">
        <f>VLOOKUP(C1382,'[2]PUR-PARTY MASTER'!$B$4:$E$2009,2,FALSE)</f>
        <v>27AAACU2414K1ZF</v>
      </c>
      <c r="F1382" s="34" t="s">
        <v>22</v>
      </c>
      <c r="G1382" s="136" t="s">
        <v>4576</v>
      </c>
      <c r="H1382" s="37">
        <v>43803</v>
      </c>
      <c r="I1382" s="40">
        <v>500</v>
      </c>
      <c r="J1382" s="640">
        <f t="shared" si="49"/>
        <v>90</v>
      </c>
      <c r="K1382" s="11">
        <v>0</v>
      </c>
      <c r="L1382" s="54">
        <f t="shared" si="52"/>
        <v>45</v>
      </c>
      <c r="M1382" s="54">
        <f t="shared" si="53"/>
        <v>45</v>
      </c>
      <c r="N1382" s="54"/>
      <c r="O1382" s="54">
        <f>+I1382+J1382</f>
        <v>590</v>
      </c>
    </row>
    <row r="1383" spans="1:15" x14ac:dyDescent="0.2">
      <c r="A1383" s="51">
        <v>43800</v>
      </c>
      <c r="B1383" s="11">
        <v>10</v>
      </c>
      <c r="C1383" s="632" t="s">
        <v>1156</v>
      </c>
      <c r="D1383" s="480" t="s">
        <v>1157</v>
      </c>
      <c r="E1383" s="34"/>
      <c r="F1383" s="34" t="s">
        <v>22</v>
      </c>
      <c r="G1383" s="134">
        <v>30</v>
      </c>
      <c r="H1383" s="37">
        <v>43804</v>
      </c>
      <c r="I1383" s="40">
        <v>46000</v>
      </c>
      <c r="J1383" s="640">
        <f t="shared" si="49"/>
        <v>8280</v>
      </c>
      <c r="K1383" s="11">
        <v>0</v>
      </c>
      <c r="L1383" s="54">
        <f>+I1383/100*9</f>
        <v>4140</v>
      </c>
      <c r="M1383" s="54">
        <f>+I1383/100*9</f>
        <v>4140</v>
      </c>
      <c r="N1383" s="54"/>
      <c r="O1383" s="54">
        <f>+I1383+J1383</f>
        <v>54280</v>
      </c>
    </row>
    <row r="1384" spans="1:15" x14ac:dyDescent="0.2">
      <c r="A1384" s="51">
        <v>43800</v>
      </c>
      <c r="B1384" s="11">
        <v>11</v>
      </c>
      <c r="C1384" s="633" t="s">
        <v>4263</v>
      </c>
      <c r="D1384" s="633" t="s">
        <v>4264</v>
      </c>
      <c r="F1384" s="34" t="s">
        <v>22</v>
      </c>
      <c r="G1384" s="134" t="s">
        <v>4496</v>
      </c>
      <c r="H1384" s="37">
        <v>43804</v>
      </c>
      <c r="I1384" s="40">
        <v>1162.54</v>
      </c>
      <c r="J1384" s="640">
        <f t="shared" si="49"/>
        <v>209.25719999999998</v>
      </c>
      <c r="K1384" s="11">
        <v>0</v>
      </c>
      <c r="L1384" s="54">
        <f>+I1384/100*9</f>
        <v>104.62859999999999</v>
      </c>
      <c r="M1384" s="54">
        <f>+I1384/100*9</f>
        <v>104.62859999999999</v>
      </c>
      <c r="N1384" s="54"/>
      <c r="O1384" s="54">
        <f>+I1384+J1384+0.2</f>
        <v>1371.9972</v>
      </c>
    </row>
    <row r="1385" spans="1:15" x14ac:dyDescent="0.2">
      <c r="A1385" s="51">
        <v>43800</v>
      </c>
      <c r="B1385" s="11">
        <v>12</v>
      </c>
      <c r="C1385" s="632" t="s">
        <v>837</v>
      </c>
      <c r="D1385" s="34" t="str">
        <f>VLOOKUP(C1385,'[2]PUR-PARTY MASTER'!$B$4:$E$2009,2,FALSE)</f>
        <v>27ABXPK1220E1ZS</v>
      </c>
      <c r="F1385" s="34" t="s">
        <v>22</v>
      </c>
      <c r="G1385" s="134">
        <v>20190588</v>
      </c>
      <c r="H1385" s="37">
        <v>43804</v>
      </c>
      <c r="I1385" s="40">
        <v>30700</v>
      </c>
      <c r="J1385" s="640">
        <f t="shared" si="49"/>
        <v>5526</v>
      </c>
      <c r="K1385" s="11">
        <v>0</v>
      </c>
      <c r="L1385" s="54">
        <f>+I1385/100*9</f>
        <v>2763</v>
      </c>
      <c r="M1385" s="54">
        <f>+I1385/100*9</f>
        <v>2763</v>
      </c>
      <c r="N1385" s="54"/>
      <c r="O1385" s="54">
        <f>+I1385+J1385</f>
        <v>36226</v>
      </c>
    </row>
    <row r="1386" spans="1:15" x14ac:dyDescent="0.2">
      <c r="A1386" s="51">
        <v>43800</v>
      </c>
      <c r="B1386" s="11">
        <v>13</v>
      </c>
      <c r="C1386" s="35" t="s">
        <v>499</v>
      </c>
      <c r="D1386" s="34" t="str">
        <f>VLOOKUP(C1386,'[2]PUR-PARTY MASTER'!$B$4:$E$2009,2,FALSE)</f>
        <v>27AAHFP1154B1ZN</v>
      </c>
      <c r="F1386" s="34" t="s">
        <v>22</v>
      </c>
      <c r="G1386" s="136" t="s">
        <v>4497</v>
      </c>
      <c r="H1386" s="37">
        <v>43802</v>
      </c>
      <c r="I1386" s="126">
        <v>1665</v>
      </c>
      <c r="J1386" s="640">
        <f t="shared" si="49"/>
        <v>101.56</v>
      </c>
      <c r="K1386" s="11">
        <v>0</v>
      </c>
      <c r="L1386" s="54">
        <v>50.78</v>
      </c>
      <c r="M1386" s="54">
        <v>50.78</v>
      </c>
      <c r="N1386" s="54"/>
      <c r="O1386" s="54">
        <f>+I1386+J1386+0.44</f>
        <v>1767</v>
      </c>
    </row>
    <row r="1387" spans="1:15" x14ac:dyDescent="0.2">
      <c r="A1387" s="51">
        <v>43800</v>
      </c>
      <c r="B1387" s="11">
        <v>14</v>
      </c>
      <c r="C1387" s="35" t="s">
        <v>554</v>
      </c>
      <c r="D1387" s="34" t="str">
        <f>VLOOKUP(C1387,'[2]PUR-PARTY MASTER'!$B$4:$E$2009,2,FALSE)</f>
        <v>27AACFA1881H1ZL</v>
      </c>
      <c r="F1387" s="34" t="s">
        <v>22</v>
      </c>
      <c r="G1387" s="136">
        <v>14913</v>
      </c>
      <c r="H1387" s="37">
        <v>43804</v>
      </c>
      <c r="I1387" s="126">
        <v>14547.8</v>
      </c>
      <c r="J1387" s="640">
        <f t="shared" si="49"/>
        <v>4073.38</v>
      </c>
      <c r="K1387" s="11">
        <v>0</v>
      </c>
      <c r="L1387" s="54">
        <v>2036.69</v>
      </c>
      <c r="M1387" s="54">
        <v>2036.69</v>
      </c>
      <c r="N1387" s="54"/>
      <c r="O1387" s="54">
        <f>+I1387+J1387</f>
        <v>18621.18</v>
      </c>
    </row>
    <row r="1388" spans="1:15" x14ac:dyDescent="0.2">
      <c r="A1388" s="51">
        <v>43800</v>
      </c>
      <c r="B1388" s="11">
        <v>15</v>
      </c>
      <c r="C1388" s="11" t="s">
        <v>471</v>
      </c>
      <c r="D1388" s="11" t="s">
        <v>29</v>
      </c>
      <c r="F1388" s="11" t="s">
        <v>22</v>
      </c>
      <c r="G1388" s="38">
        <v>192007551</v>
      </c>
      <c r="H1388" s="37">
        <v>43804</v>
      </c>
      <c r="I1388" s="126">
        <v>17483.52</v>
      </c>
      <c r="J1388" s="640">
        <f t="shared" si="49"/>
        <v>4895.3856000000005</v>
      </c>
      <c r="K1388" s="54">
        <v>0</v>
      </c>
      <c r="L1388" s="54">
        <v>2447.6928000000003</v>
      </c>
      <c r="M1388" s="54">
        <v>2447.6928000000003</v>
      </c>
      <c r="N1388" s="54"/>
      <c r="O1388" s="54">
        <f>+I1388+J1388-0.01</f>
        <v>22378.895600000003</v>
      </c>
    </row>
    <row r="1389" spans="1:15" x14ac:dyDescent="0.2">
      <c r="A1389" s="51">
        <v>43800</v>
      </c>
      <c r="B1389" s="11">
        <v>16</v>
      </c>
      <c r="C1389" s="35" t="s">
        <v>493</v>
      </c>
      <c r="D1389" s="34" t="str">
        <f>VLOOKUP(C1389,'[2]PUR-PARTY MASTER'!$B$4:$E$2009,2,FALSE)</f>
        <v>27AMMPB3648M1ZO</v>
      </c>
      <c r="F1389" s="11" t="s">
        <v>22</v>
      </c>
      <c r="G1389" s="38">
        <v>4071</v>
      </c>
      <c r="H1389" s="37">
        <v>43804</v>
      </c>
      <c r="I1389" s="126">
        <v>32921.279999999999</v>
      </c>
      <c r="J1389" s="640">
        <f t="shared" si="49"/>
        <v>5925.85</v>
      </c>
      <c r="K1389" s="54">
        <v>0</v>
      </c>
      <c r="L1389" s="54">
        <v>2962.92</v>
      </c>
      <c r="M1389" s="54">
        <v>2962.93</v>
      </c>
      <c r="N1389" s="54"/>
      <c r="O1389" s="54">
        <f>+I1389+J1389-0.13</f>
        <v>38847</v>
      </c>
    </row>
    <row r="1390" spans="1:15" x14ac:dyDescent="0.2">
      <c r="A1390" s="51">
        <v>43800</v>
      </c>
      <c r="B1390" s="11">
        <v>17</v>
      </c>
      <c r="C1390" s="35" t="s">
        <v>570</v>
      </c>
      <c r="D1390" s="34" t="str">
        <f>VLOOKUP(C1390,'[2]PUR-PARTY MASTER'!$B$4:$E$2009,2,FALSE)</f>
        <v>27AAYPA0273F1ZQ</v>
      </c>
      <c r="F1390" s="11" t="s">
        <v>22</v>
      </c>
      <c r="G1390" s="38" t="s">
        <v>4498</v>
      </c>
      <c r="H1390" s="37">
        <v>43804</v>
      </c>
      <c r="I1390" s="126">
        <f>35291.35+400</f>
        <v>35691.35</v>
      </c>
      <c r="J1390" s="640">
        <f t="shared" si="49"/>
        <v>5248.44</v>
      </c>
      <c r="K1390" s="54">
        <v>0</v>
      </c>
      <c r="L1390" s="54">
        <v>2624.22</v>
      </c>
      <c r="M1390" s="54">
        <v>2624.22</v>
      </c>
      <c r="N1390" s="54"/>
      <c r="O1390" s="54">
        <f>+I1390+J1390+0.21</f>
        <v>40940</v>
      </c>
    </row>
    <row r="1391" spans="1:15" x14ac:dyDescent="0.2">
      <c r="A1391" s="51">
        <v>43800</v>
      </c>
      <c r="B1391" s="11">
        <v>18</v>
      </c>
      <c r="C1391" s="35" t="s">
        <v>514</v>
      </c>
      <c r="D1391" s="34" t="str">
        <f>VLOOKUP(C1391,'[2]PUR-PARTY MASTER'!$B$4:$E$2009,2,FALSE)</f>
        <v>27AAACU2414K1ZF</v>
      </c>
      <c r="F1391" s="34" t="s">
        <v>22</v>
      </c>
      <c r="G1391" s="136" t="s">
        <v>4577</v>
      </c>
      <c r="H1391" s="37">
        <v>43804</v>
      </c>
      <c r="I1391" s="40">
        <v>100</v>
      </c>
      <c r="J1391" s="640">
        <f t="shared" si="49"/>
        <v>18</v>
      </c>
      <c r="K1391" s="11">
        <v>0</v>
      </c>
      <c r="L1391" s="11">
        <v>9</v>
      </c>
      <c r="M1391" s="11">
        <v>9</v>
      </c>
      <c r="N1391" s="54"/>
      <c r="O1391" s="54">
        <f t="shared" ref="O1391" si="54">+I1391+J1391</f>
        <v>118</v>
      </c>
    </row>
    <row r="1392" spans="1:15" x14ac:dyDescent="0.2">
      <c r="A1392" s="51">
        <v>43800</v>
      </c>
      <c r="B1392" s="11">
        <v>19</v>
      </c>
      <c r="C1392" s="35" t="s">
        <v>554</v>
      </c>
      <c r="D1392" s="34" t="str">
        <f>VLOOKUP(C1392,'[2]PUR-PARTY MASTER'!$B$4:$E$2009,2,FALSE)</f>
        <v>27AACFA1881H1ZL</v>
      </c>
      <c r="F1392" s="34" t="s">
        <v>22</v>
      </c>
      <c r="G1392" s="136">
        <v>14951</v>
      </c>
      <c r="H1392" s="37">
        <v>43806</v>
      </c>
      <c r="I1392" s="126">
        <v>5337.85</v>
      </c>
      <c r="J1392" s="640">
        <f t="shared" si="49"/>
        <v>1494.6</v>
      </c>
      <c r="K1392" s="11">
        <v>0</v>
      </c>
      <c r="L1392" s="54">
        <v>747.3</v>
      </c>
      <c r="M1392" s="54">
        <v>747.3</v>
      </c>
      <c r="N1392" s="54"/>
      <c r="O1392" s="54">
        <f>+I1392+J1392</f>
        <v>6832.4500000000007</v>
      </c>
    </row>
    <row r="1393" spans="1:15" x14ac:dyDescent="0.2">
      <c r="A1393" s="51">
        <v>43800</v>
      </c>
      <c r="B1393" s="11">
        <v>20</v>
      </c>
      <c r="C1393" s="35" t="s">
        <v>514</v>
      </c>
      <c r="D1393" s="34" t="str">
        <f>VLOOKUP(C1393,'[2]PUR-PARTY MASTER'!$B$4:$E$2009,2,FALSE)</f>
        <v>27AAACU2414K1ZF</v>
      </c>
      <c r="F1393" s="34" t="s">
        <v>22</v>
      </c>
      <c r="G1393" s="136" t="s">
        <v>4578</v>
      </c>
      <c r="H1393" s="37">
        <v>43806</v>
      </c>
      <c r="I1393" s="40">
        <v>5</v>
      </c>
      <c r="J1393" s="640">
        <f t="shared" si="49"/>
        <v>0.9</v>
      </c>
      <c r="K1393" s="11">
        <v>0</v>
      </c>
      <c r="L1393" s="11">
        <v>0.45</v>
      </c>
      <c r="M1393" s="11">
        <v>0.45</v>
      </c>
      <c r="N1393" s="54"/>
      <c r="O1393" s="54">
        <f t="shared" ref="O1393" si="55">+I1393+J1393</f>
        <v>5.9</v>
      </c>
    </row>
    <row r="1394" spans="1:15" x14ac:dyDescent="0.2">
      <c r="A1394" s="51">
        <v>43800</v>
      </c>
      <c r="B1394" s="11">
        <v>21</v>
      </c>
      <c r="C1394" s="35" t="s">
        <v>570</v>
      </c>
      <c r="D1394" s="34" t="str">
        <f>VLOOKUP(C1394,'[2]PUR-PARTY MASTER'!$B$4:$E$2009,2,FALSE)</f>
        <v>27AAYPA0273F1ZQ</v>
      </c>
      <c r="F1394" s="11" t="s">
        <v>22</v>
      </c>
      <c r="G1394" s="38" t="s">
        <v>4499</v>
      </c>
      <c r="H1394" s="37">
        <v>43806</v>
      </c>
      <c r="I1394" s="126">
        <v>417.52</v>
      </c>
      <c r="J1394" s="640">
        <f t="shared" si="49"/>
        <v>75.16</v>
      </c>
      <c r="K1394" s="54">
        <v>0</v>
      </c>
      <c r="L1394" s="54">
        <v>37.58</v>
      </c>
      <c r="M1394" s="54">
        <v>37.58</v>
      </c>
      <c r="N1394" s="54"/>
      <c r="O1394" s="54">
        <f>+I1394+J1394+0.32</f>
        <v>492.99999999999994</v>
      </c>
    </row>
    <row r="1395" spans="1:15" x14ac:dyDescent="0.2">
      <c r="A1395" s="51">
        <v>43800</v>
      </c>
      <c r="B1395" s="11">
        <v>22</v>
      </c>
      <c r="C1395" s="632" t="s">
        <v>779</v>
      </c>
      <c r="D1395" s="34" t="str">
        <f>VLOOKUP(C1395,'[2]PUR-PARTY MASTER'!$B$4:$E$2009,2,FALSE)</f>
        <v>27ACKPT7340N1ZU</v>
      </c>
      <c r="F1395" s="11" t="s">
        <v>22</v>
      </c>
      <c r="G1395" s="38" t="s">
        <v>4579</v>
      </c>
      <c r="H1395" s="37">
        <v>43801</v>
      </c>
      <c r="I1395" s="126">
        <v>18800</v>
      </c>
      <c r="J1395" s="640">
        <f t="shared" ref="J1395:J1458" si="56">+K1395+L1395+M1395+N1395</f>
        <v>3384</v>
      </c>
      <c r="K1395" s="54">
        <v>0</v>
      </c>
      <c r="L1395" s="54">
        <v>1692</v>
      </c>
      <c r="M1395" s="54">
        <v>1692</v>
      </c>
      <c r="N1395" s="54"/>
      <c r="O1395" s="54">
        <f>+I1395+J1395</f>
        <v>22184</v>
      </c>
    </row>
    <row r="1396" spans="1:15" x14ac:dyDescent="0.2">
      <c r="A1396" s="51">
        <v>43800</v>
      </c>
      <c r="B1396" s="11">
        <v>23</v>
      </c>
      <c r="C1396" s="11" t="s">
        <v>471</v>
      </c>
      <c r="D1396" s="11" t="s">
        <v>29</v>
      </c>
      <c r="F1396" s="11" t="s">
        <v>22</v>
      </c>
      <c r="G1396" s="38">
        <v>192007624</v>
      </c>
      <c r="H1396" s="37">
        <v>43806</v>
      </c>
      <c r="I1396" s="126">
        <v>16026.56</v>
      </c>
      <c r="J1396" s="640">
        <f t="shared" si="56"/>
        <v>4487.4399999999996</v>
      </c>
      <c r="K1396" s="54">
        <v>0</v>
      </c>
      <c r="L1396" s="54">
        <v>2243.7199999999998</v>
      </c>
      <c r="M1396" s="54">
        <v>2243.7199999999998</v>
      </c>
      <c r="N1396" s="54"/>
      <c r="O1396" s="54">
        <f>+I1396+J1396</f>
        <v>20514</v>
      </c>
    </row>
    <row r="1397" spans="1:15" x14ac:dyDescent="0.2">
      <c r="A1397" s="51">
        <v>43800</v>
      </c>
      <c r="B1397" s="11">
        <v>24</v>
      </c>
      <c r="C1397" s="35" t="s">
        <v>609</v>
      </c>
      <c r="D1397" s="34" t="str">
        <f>VLOOKUP(C1397,'[2]PUR-PARTY MASTER'!$B$4:$E$2009,2,FALSE)</f>
        <v>27AASCS9231J1ZO</v>
      </c>
      <c r="F1397" s="34" t="s">
        <v>22</v>
      </c>
      <c r="G1397" s="136" t="s">
        <v>4501</v>
      </c>
      <c r="H1397" s="37">
        <v>43800</v>
      </c>
      <c r="I1397" s="126">
        <v>23936</v>
      </c>
      <c r="J1397" s="640">
        <f t="shared" si="56"/>
        <v>4308.4799999999996</v>
      </c>
      <c r="K1397" s="11">
        <v>0</v>
      </c>
      <c r="L1397" s="11">
        <v>2154.2399999999998</v>
      </c>
      <c r="M1397" s="11">
        <v>2154.2399999999998</v>
      </c>
      <c r="N1397" s="54"/>
      <c r="O1397" s="54">
        <f>+I1397+J1397-0.48</f>
        <v>28244</v>
      </c>
    </row>
    <row r="1398" spans="1:15" x14ac:dyDescent="0.2">
      <c r="A1398" s="51">
        <v>43800</v>
      </c>
      <c r="B1398" s="11">
        <v>25</v>
      </c>
      <c r="C1398" s="35" t="s">
        <v>609</v>
      </c>
      <c r="D1398" s="34" t="str">
        <f>VLOOKUP(C1398,'[2]PUR-PARTY MASTER'!$B$4:$E$2009,2,FALSE)</f>
        <v>27AASCS9231J1ZO</v>
      </c>
      <c r="F1398" s="34" t="s">
        <v>22</v>
      </c>
      <c r="G1398" s="136" t="s">
        <v>4502</v>
      </c>
      <c r="H1398" s="37">
        <v>43800</v>
      </c>
      <c r="I1398" s="126">
        <v>677297</v>
      </c>
      <c r="J1398" s="640">
        <f t="shared" si="56"/>
        <v>121913.46</v>
      </c>
      <c r="K1398" s="11">
        <v>0</v>
      </c>
      <c r="L1398" s="11">
        <v>60956.73</v>
      </c>
      <c r="M1398" s="11">
        <v>60956.73</v>
      </c>
      <c r="N1398" s="54"/>
      <c r="O1398" s="54">
        <f>+I1398+J1398-0.46</f>
        <v>799210</v>
      </c>
    </row>
    <row r="1399" spans="1:15" x14ac:dyDescent="0.2">
      <c r="A1399" s="51">
        <v>43800</v>
      </c>
      <c r="B1399" s="11">
        <v>26</v>
      </c>
      <c r="C1399" s="35" t="s">
        <v>554</v>
      </c>
      <c r="D1399" s="34" t="str">
        <f>VLOOKUP(C1399,'[2]PUR-PARTY MASTER'!$B$4:$E$2009,2,FALSE)</f>
        <v>27AACFA1881H1ZL</v>
      </c>
      <c r="F1399" s="34" t="s">
        <v>22</v>
      </c>
      <c r="G1399" s="136">
        <v>14985</v>
      </c>
      <c r="H1399" s="37">
        <v>43808</v>
      </c>
      <c r="I1399" s="126">
        <v>6598</v>
      </c>
      <c r="J1399" s="640">
        <f t="shared" si="56"/>
        <v>1847.44</v>
      </c>
      <c r="K1399" s="11">
        <v>0</v>
      </c>
      <c r="L1399" s="54">
        <v>923.72</v>
      </c>
      <c r="M1399" s="54">
        <v>923.72</v>
      </c>
      <c r="N1399" s="54"/>
      <c r="O1399" s="54">
        <f>+I1399+J1399</f>
        <v>8445.44</v>
      </c>
    </row>
    <row r="1400" spans="1:15" x14ac:dyDescent="0.2">
      <c r="A1400" s="51">
        <v>43800</v>
      </c>
      <c r="B1400" s="11">
        <v>27</v>
      </c>
      <c r="C1400" s="34" t="s">
        <v>601</v>
      </c>
      <c r="D1400" s="34" t="str">
        <f>VLOOKUP(C1400,'[2]PUR-PARTY MASTER'!$B$4:$E$2009,2,FALSE)</f>
        <v>27AAZFM6461A1ZY</v>
      </c>
      <c r="F1400" s="34" t="s">
        <v>22</v>
      </c>
      <c r="G1400" s="134">
        <v>6658</v>
      </c>
      <c r="H1400" s="37">
        <v>43808</v>
      </c>
      <c r="I1400" s="126">
        <v>54907.199999999997</v>
      </c>
      <c r="J1400" s="640">
        <f t="shared" si="56"/>
        <v>15374.02</v>
      </c>
      <c r="K1400" s="11">
        <v>0</v>
      </c>
      <c r="L1400" s="54">
        <v>7687.01</v>
      </c>
      <c r="M1400" s="54">
        <v>7687.01</v>
      </c>
      <c r="O1400" s="54">
        <f t="shared" ref="O1400:O1402" si="57">+I1400+J1400</f>
        <v>70281.22</v>
      </c>
    </row>
    <row r="1401" spans="1:15" x14ac:dyDescent="0.2">
      <c r="A1401" s="51">
        <v>43800</v>
      </c>
      <c r="B1401" s="11">
        <v>28</v>
      </c>
      <c r="C1401" s="35" t="s">
        <v>473</v>
      </c>
      <c r="D1401" s="34" t="str">
        <f>VLOOKUP(C1401,'[2]PUR-PARTY MASTER'!$B$4:$E$2009,2,FALSE)</f>
        <v>27AAACT1848E1ZH</v>
      </c>
      <c r="F1401" s="34" t="s">
        <v>22</v>
      </c>
      <c r="G1401" s="136" t="s">
        <v>4503</v>
      </c>
      <c r="H1401" s="37">
        <v>43808</v>
      </c>
      <c r="I1401" s="126">
        <v>10015.450000000001</v>
      </c>
      <c r="J1401" s="640">
        <f t="shared" si="56"/>
        <v>2802</v>
      </c>
      <c r="K1401" s="11">
        <v>0</v>
      </c>
      <c r="L1401" s="54">
        <v>1401</v>
      </c>
      <c r="M1401" s="54">
        <v>1401</v>
      </c>
      <c r="O1401" s="54">
        <f t="shared" si="57"/>
        <v>12817.45</v>
      </c>
    </row>
    <row r="1402" spans="1:15" x14ac:dyDescent="0.2">
      <c r="A1402" s="51">
        <v>43800</v>
      </c>
      <c r="B1402" s="11">
        <v>29</v>
      </c>
      <c r="C1402" s="35" t="s">
        <v>479</v>
      </c>
      <c r="D1402" s="34" t="str">
        <f>VLOOKUP(C1402,'[2]PUR-PARTY MASTER'!$B$4:$E$2009,2,FALSE)</f>
        <v>27AAMFC2124K1ZG</v>
      </c>
      <c r="F1402" s="34" t="s">
        <v>22</v>
      </c>
      <c r="G1402" s="134">
        <v>1471</v>
      </c>
      <c r="H1402" s="37">
        <v>43808</v>
      </c>
      <c r="I1402" s="126">
        <v>29500</v>
      </c>
      <c r="J1402" s="640">
        <f t="shared" si="56"/>
        <v>5310</v>
      </c>
      <c r="K1402" s="11">
        <v>0</v>
      </c>
      <c r="L1402" s="11">
        <v>2655</v>
      </c>
      <c r="M1402" s="11">
        <v>2655</v>
      </c>
      <c r="N1402" s="54"/>
      <c r="O1402" s="54">
        <f t="shared" si="57"/>
        <v>34810</v>
      </c>
    </row>
    <row r="1403" spans="1:15" x14ac:dyDescent="0.2">
      <c r="A1403" s="51">
        <v>43800</v>
      </c>
      <c r="B1403" s="11">
        <v>30</v>
      </c>
      <c r="C1403" s="632" t="s">
        <v>1090</v>
      </c>
      <c r="D1403" s="633" t="s">
        <v>1091</v>
      </c>
      <c r="F1403" s="34" t="s">
        <v>22</v>
      </c>
      <c r="G1403" s="134">
        <v>2803</v>
      </c>
      <c r="H1403" s="37">
        <v>43807</v>
      </c>
      <c r="I1403" s="126">
        <v>8503.1299999999992</v>
      </c>
      <c r="J1403" s="640">
        <f t="shared" si="56"/>
        <v>2380.8763999999996</v>
      </c>
      <c r="K1403" s="11">
        <v>0</v>
      </c>
      <c r="L1403" s="54">
        <f>+I1403/100*14</f>
        <v>1190.4381999999998</v>
      </c>
      <c r="M1403" s="54">
        <f>+I1403/100*14</f>
        <v>1190.4381999999998</v>
      </c>
      <c r="N1403" s="54"/>
      <c r="O1403" s="54">
        <f>+I1403+J1403-0.01</f>
        <v>10883.996399999998</v>
      </c>
    </row>
    <row r="1404" spans="1:15" x14ac:dyDescent="0.2">
      <c r="A1404" s="51">
        <v>43800</v>
      </c>
      <c r="B1404" s="11">
        <v>31</v>
      </c>
      <c r="C1404" s="34" t="s">
        <v>489</v>
      </c>
      <c r="D1404" s="34" t="str">
        <f>VLOOKUP(C1404,'[2]PUR-PARTY MASTER'!$B$4:$E$2009,2,FALSE)</f>
        <v>27AAECD2713N1ZK</v>
      </c>
      <c r="F1404" s="34" t="s">
        <v>22</v>
      </c>
      <c r="G1404" s="134">
        <v>7887991825</v>
      </c>
      <c r="H1404" s="37">
        <v>43809</v>
      </c>
      <c r="I1404" s="39">
        <v>100340</v>
      </c>
      <c r="J1404" s="640">
        <f t="shared" si="56"/>
        <v>18061.2</v>
      </c>
      <c r="K1404" s="11">
        <v>0</v>
      </c>
      <c r="L1404" s="11">
        <v>9030.6</v>
      </c>
      <c r="M1404" s="11">
        <v>9030.6</v>
      </c>
      <c r="N1404" s="54"/>
      <c r="O1404" s="54">
        <f>+I1404+J1404-0.2</f>
        <v>118401</v>
      </c>
    </row>
    <row r="1405" spans="1:15" x14ac:dyDescent="0.2">
      <c r="A1405" s="51">
        <v>43800</v>
      </c>
      <c r="B1405" s="11">
        <v>32</v>
      </c>
      <c r="C1405" s="34" t="s">
        <v>489</v>
      </c>
      <c r="D1405" s="34" t="str">
        <f>VLOOKUP(C1405,'[2]PUR-PARTY MASTER'!$B$4:$E$2009,2,FALSE)</f>
        <v>27AAECD2713N1ZK</v>
      </c>
      <c r="F1405" s="34" t="s">
        <v>22</v>
      </c>
      <c r="G1405" s="134">
        <v>7887991826</v>
      </c>
      <c r="H1405" s="37">
        <v>43809</v>
      </c>
      <c r="I1405" s="39">
        <v>20100</v>
      </c>
      <c r="J1405" s="640">
        <f t="shared" si="56"/>
        <v>3618</v>
      </c>
      <c r="K1405" s="11">
        <v>0</v>
      </c>
      <c r="L1405" s="11">
        <v>1809</v>
      </c>
      <c r="M1405" s="11">
        <v>1809</v>
      </c>
      <c r="N1405" s="54"/>
      <c r="O1405" s="54">
        <f t="shared" ref="O1405" si="58">+I1405+J1405</f>
        <v>23718</v>
      </c>
    </row>
    <row r="1406" spans="1:15" x14ac:dyDescent="0.2">
      <c r="A1406" s="51">
        <v>43800</v>
      </c>
      <c r="B1406" s="11">
        <v>33</v>
      </c>
      <c r="C1406" s="35" t="s">
        <v>554</v>
      </c>
      <c r="D1406" s="34" t="str">
        <f>VLOOKUP(C1406,'[2]PUR-PARTY MASTER'!$B$4:$E$2009,2,FALSE)</f>
        <v>27AACFA1881H1ZL</v>
      </c>
      <c r="F1406" s="34" t="s">
        <v>22</v>
      </c>
      <c r="G1406" s="136">
        <v>15038</v>
      </c>
      <c r="H1406" s="37">
        <v>43809</v>
      </c>
      <c r="I1406" s="126">
        <v>5928.6</v>
      </c>
      <c r="J1406" s="640">
        <f t="shared" si="56"/>
        <v>1660</v>
      </c>
      <c r="K1406" s="11">
        <v>0</v>
      </c>
      <c r="L1406" s="54">
        <v>830</v>
      </c>
      <c r="M1406" s="54">
        <v>830</v>
      </c>
      <c r="N1406" s="54"/>
      <c r="O1406" s="54">
        <f>+I1406+J1406</f>
        <v>7588.6</v>
      </c>
    </row>
    <row r="1407" spans="1:15" x14ac:dyDescent="0.2">
      <c r="A1407" s="51">
        <v>43800</v>
      </c>
      <c r="B1407" s="11">
        <v>34</v>
      </c>
      <c r="C1407" s="34" t="s">
        <v>829</v>
      </c>
      <c r="D1407" s="34" t="str">
        <f>VLOOKUP(C1407,'[2]PUR-PARTY MASTER'!$B$4:$E$2009,2,FALSE)</f>
        <v>27AATPC2316A1Z7</v>
      </c>
      <c r="F1407" s="34" t="s">
        <v>22</v>
      </c>
      <c r="G1407" s="134">
        <v>1991</v>
      </c>
      <c r="H1407" s="37">
        <v>43810</v>
      </c>
      <c r="I1407" s="40">
        <v>1864</v>
      </c>
      <c r="J1407" s="640">
        <f t="shared" si="56"/>
        <v>335.52</v>
      </c>
      <c r="K1407" s="11">
        <v>0</v>
      </c>
      <c r="L1407" s="54">
        <v>167.76</v>
      </c>
      <c r="M1407" s="54">
        <f>+I1407/100*9</f>
        <v>167.76</v>
      </c>
      <c r="N1407" s="54"/>
      <c r="O1407" s="54">
        <f>+I1407+J1407+0.48</f>
        <v>2200</v>
      </c>
    </row>
    <row r="1408" spans="1:15" x14ac:dyDescent="0.2">
      <c r="A1408" s="51">
        <v>43800</v>
      </c>
      <c r="B1408" s="11">
        <v>35</v>
      </c>
      <c r="C1408" s="35" t="s">
        <v>554</v>
      </c>
      <c r="D1408" s="34" t="str">
        <f>VLOOKUP(C1408,'[2]PUR-PARTY MASTER'!$B$4:$E$2009,2,FALSE)</f>
        <v>27AACFA1881H1ZL</v>
      </c>
      <c r="F1408" s="34" t="s">
        <v>22</v>
      </c>
      <c r="G1408" s="136">
        <v>15066</v>
      </c>
      <c r="H1408" s="37">
        <v>43810</v>
      </c>
      <c r="I1408" s="126">
        <v>5543</v>
      </c>
      <c r="J1408" s="640">
        <f t="shared" si="56"/>
        <v>1552.04</v>
      </c>
      <c r="K1408" s="11">
        <v>0</v>
      </c>
      <c r="L1408" s="54">
        <v>776.02</v>
      </c>
      <c r="M1408" s="54">
        <v>776.02</v>
      </c>
      <c r="N1408" s="54"/>
      <c r="O1408" s="54">
        <f>+I1408+J1408</f>
        <v>7095.04</v>
      </c>
    </row>
    <row r="1409" spans="1:15" x14ac:dyDescent="0.2">
      <c r="A1409" s="51">
        <v>43800</v>
      </c>
      <c r="B1409" s="11">
        <v>36</v>
      </c>
      <c r="C1409" s="34" t="s">
        <v>829</v>
      </c>
      <c r="D1409" s="34" t="str">
        <f>VLOOKUP(C1409,'[2]PUR-PARTY MASTER'!$B$4:$E$2009,2,FALSE)</f>
        <v>27AATPC2316A1Z7</v>
      </c>
      <c r="F1409" s="34" t="s">
        <v>22</v>
      </c>
      <c r="G1409" s="134">
        <v>1998</v>
      </c>
      <c r="H1409" s="37">
        <v>43811</v>
      </c>
      <c r="I1409" s="40">
        <v>1864</v>
      </c>
      <c r="J1409" s="640">
        <f t="shared" si="56"/>
        <v>335.52</v>
      </c>
      <c r="K1409" s="11">
        <v>0</v>
      </c>
      <c r="L1409" s="54">
        <v>167.76</v>
      </c>
      <c r="M1409" s="54">
        <f>+I1409/100*9</f>
        <v>167.76</v>
      </c>
      <c r="N1409" s="54"/>
      <c r="O1409" s="54">
        <f>+I1409+J1409+0.48</f>
        <v>2200</v>
      </c>
    </row>
    <row r="1410" spans="1:15" x14ac:dyDescent="0.2">
      <c r="A1410" s="51">
        <v>43800</v>
      </c>
      <c r="B1410" s="11">
        <v>37</v>
      </c>
      <c r="C1410" s="35" t="s">
        <v>554</v>
      </c>
      <c r="D1410" s="34" t="str">
        <f>VLOOKUP(C1410,'[2]PUR-PARTY MASTER'!$B$4:$E$2009,2,FALSE)</f>
        <v>27AACFA1881H1ZL</v>
      </c>
      <c r="F1410" s="34" t="s">
        <v>22</v>
      </c>
      <c r="G1410" s="136">
        <v>15105</v>
      </c>
      <c r="H1410" s="37">
        <v>43811</v>
      </c>
      <c r="I1410" s="126">
        <v>7350.5</v>
      </c>
      <c r="J1410" s="640">
        <f t="shared" si="56"/>
        <v>2058.14</v>
      </c>
      <c r="K1410" s="11">
        <v>0</v>
      </c>
      <c r="L1410" s="54">
        <v>1029.07</v>
      </c>
      <c r="M1410" s="54">
        <v>1029.07</v>
      </c>
      <c r="N1410" s="54"/>
      <c r="O1410" s="54">
        <f>+I1410+J1410</f>
        <v>9408.64</v>
      </c>
    </row>
    <row r="1411" spans="1:15" x14ac:dyDescent="0.2">
      <c r="A1411" s="51">
        <v>43800</v>
      </c>
      <c r="B1411" s="11">
        <v>38</v>
      </c>
      <c r="C1411" s="35" t="s">
        <v>511</v>
      </c>
      <c r="D1411" s="34" t="str">
        <f>VLOOKUP(C1411,'[2]PUR-PARTY MASTER'!$B$4:$E$2009,2,FALSE)</f>
        <v>27AABFA1883E1ZQ</v>
      </c>
      <c r="F1411" s="34" t="s">
        <v>22</v>
      </c>
      <c r="G1411" s="136" t="s">
        <v>4504</v>
      </c>
      <c r="H1411" s="37">
        <v>43812</v>
      </c>
      <c r="I1411" s="126">
        <v>8750</v>
      </c>
      <c r="J1411" s="640">
        <f t="shared" si="56"/>
        <v>1575</v>
      </c>
      <c r="K1411" s="11">
        <v>0</v>
      </c>
      <c r="L1411" s="54">
        <v>787.5</v>
      </c>
      <c r="M1411" s="54">
        <v>787.5</v>
      </c>
      <c r="N1411" s="54"/>
      <c r="O1411" s="54">
        <f>+I1411+J1411</f>
        <v>10325</v>
      </c>
    </row>
    <row r="1412" spans="1:15" x14ac:dyDescent="0.2">
      <c r="A1412" s="51">
        <v>43800</v>
      </c>
      <c r="B1412" s="11">
        <v>39</v>
      </c>
      <c r="C1412" s="35" t="s">
        <v>518</v>
      </c>
      <c r="D1412" s="34" t="str">
        <f>VLOOKUP(C1412,'[2]PUR-PARTY MASTER'!$B$4:$E$2009,2,FALSE)</f>
        <v>27AAACB2894G1ZN</v>
      </c>
      <c r="F1412" s="34" t="s">
        <v>22</v>
      </c>
      <c r="G1412" s="136" t="s">
        <v>4505</v>
      </c>
      <c r="H1412" s="37">
        <v>43811</v>
      </c>
      <c r="I1412" s="126">
        <v>4791</v>
      </c>
      <c r="J1412" s="640">
        <f t="shared" si="56"/>
        <v>862.38</v>
      </c>
      <c r="K1412" s="11">
        <v>0</v>
      </c>
      <c r="L1412" s="11">
        <v>431.19</v>
      </c>
      <c r="M1412" s="11">
        <v>431.19</v>
      </c>
      <c r="N1412" s="54"/>
      <c r="O1412" s="54">
        <f t="shared" ref="O1412" si="59">+I1412+J1412</f>
        <v>5653.38</v>
      </c>
    </row>
    <row r="1413" spans="1:15" x14ac:dyDescent="0.2">
      <c r="A1413" s="51">
        <v>43800</v>
      </c>
      <c r="B1413" s="11">
        <v>40</v>
      </c>
      <c r="C1413" s="35" t="s">
        <v>554</v>
      </c>
      <c r="D1413" s="34" t="str">
        <f>VLOOKUP(C1413,'[2]PUR-PARTY MASTER'!$B$4:$E$2009,2,FALSE)</f>
        <v>27AACFA1881H1ZL</v>
      </c>
      <c r="F1413" s="34" t="s">
        <v>22</v>
      </c>
      <c r="G1413" s="136">
        <v>15158</v>
      </c>
      <c r="H1413" s="37">
        <v>43812</v>
      </c>
      <c r="I1413" s="126">
        <v>3294.69</v>
      </c>
      <c r="J1413" s="640">
        <f t="shared" si="56"/>
        <v>922.52</v>
      </c>
      <c r="K1413" s="11">
        <v>0</v>
      </c>
      <c r="L1413" s="54">
        <v>461.26</v>
      </c>
      <c r="M1413" s="54">
        <v>461.26</v>
      </c>
      <c r="N1413" s="54"/>
      <c r="O1413" s="54">
        <f>+I1413+J1413</f>
        <v>4217.21</v>
      </c>
    </row>
    <row r="1414" spans="1:15" x14ac:dyDescent="0.2">
      <c r="A1414" s="51">
        <v>43800</v>
      </c>
      <c r="B1414" s="11">
        <v>41</v>
      </c>
      <c r="C1414" s="35" t="s">
        <v>570</v>
      </c>
      <c r="D1414" s="34" t="str">
        <f>VLOOKUP(C1414,'[2]PUR-PARTY MASTER'!$B$4:$E$2009,2,FALSE)</f>
        <v>27AAYPA0273F1ZQ</v>
      </c>
      <c r="F1414" s="11" t="s">
        <v>22</v>
      </c>
      <c r="G1414" s="38" t="s">
        <v>4506</v>
      </c>
      <c r="H1414" s="37">
        <v>43812</v>
      </c>
      <c r="I1414" s="126">
        <f>44534.95+400</f>
        <v>44934.95</v>
      </c>
      <c r="J1414" s="640">
        <f t="shared" si="56"/>
        <v>8088.3</v>
      </c>
      <c r="K1414" s="54">
        <v>0</v>
      </c>
      <c r="L1414" s="54">
        <v>4044.15</v>
      </c>
      <c r="M1414" s="54">
        <v>4044.15</v>
      </c>
      <c r="N1414" s="54"/>
      <c r="O1414" s="54">
        <f>+I1414+J1414-0.25</f>
        <v>53023</v>
      </c>
    </row>
    <row r="1415" spans="1:15" x14ac:dyDescent="0.2">
      <c r="A1415" s="51">
        <v>43800</v>
      </c>
      <c r="B1415" s="11">
        <v>42</v>
      </c>
      <c r="C1415" s="35" t="s">
        <v>554</v>
      </c>
      <c r="D1415" s="34" t="str">
        <f>VLOOKUP(C1415,'[2]PUR-PARTY MASTER'!$B$4:$E$2009,2,FALSE)</f>
        <v>27AACFA1881H1ZL</v>
      </c>
      <c r="F1415" s="34" t="s">
        <v>22</v>
      </c>
      <c r="G1415" s="136">
        <v>15187</v>
      </c>
      <c r="H1415" s="37">
        <v>43813</v>
      </c>
      <c r="I1415" s="126">
        <v>5622.75</v>
      </c>
      <c r="J1415" s="640">
        <f t="shared" si="56"/>
        <v>1574.38</v>
      </c>
      <c r="K1415" s="11">
        <v>0</v>
      </c>
      <c r="L1415" s="54">
        <v>787.19</v>
      </c>
      <c r="M1415" s="54">
        <v>787.19</v>
      </c>
      <c r="N1415" s="54"/>
      <c r="O1415" s="54">
        <f>+I1415+J1415</f>
        <v>7197.13</v>
      </c>
    </row>
    <row r="1416" spans="1:15" x14ac:dyDescent="0.2">
      <c r="A1416" s="51">
        <v>43800</v>
      </c>
      <c r="B1416" s="11">
        <v>43</v>
      </c>
      <c r="C1416" s="35" t="s">
        <v>473</v>
      </c>
      <c r="D1416" s="34" t="str">
        <f>VLOOKUP(C1416,'[2]PUR-PARTY MASTER'!$B$4:$E$2009,2,FALSE)</f>
        <v>27AAACT1848E1ZH</v>
      </c>
      <c r="F1416" s="34" t="s">
        <v>22</v>
      </c>
      <c r="G1416" s="136" t="s">
        <v>4507</v>
      </c>
      <c r="H1416" s="37">
        <v>43813</v>
      </c>
      <c r="I1416" s="126">
        <v>6732.6</v>
      </c>
      <c r="J1416" s="640">
        <f t="shared" si="56"/>
        <v>1886</v>
      </c>
      <c r="K1416" s="11">
        <v>0</v>
      </c>
      <c r="L1416" s="54">
        <v>943</v>
      </c>
      <c r="M1416" s="54">
        <v>943</v>
      </c>
      <c r="O1416" s="54">
        <f t="shared" ref="O1416:O1418" si="60">+I1416+J1416</f>
        <v>8618.6</v>
      </c>
    </row>
    <row r="1417" spans="1:15" x14ac:dyDescent="0.2">
      <c r="A1417" s="51">
        <v>43800</v>
      </c>
      <c r="B1417" s="11">
        <v>44</v>
      </c>
      <c r="C1417" s="35" t="s">
        <v>473</v>
      </c>
      <c r="D1417" s="34" t="str">
        <f>VLOOKUP(C1417,'[2]PUR-PARTY MASTER'!$B$4:$E$2009,2,FALSE)</f>
        <v>27AAACT1848E1ZH</v>
      </c>
      <c r="F1417" s="34" t="s">
        <v>22</v>
      </c>
      <c r="G1417" s="136" t="s">
        <v>4508</v>
      </c>
      <c r="H1417" s="37">
        <v>43813</v>
      </c>
      <c r="I1417" s="126">
        <v>6012.8</v>
      </c>
      <c r="J1417" s="640">
        <f t="shared" si="56"/>
        <v>1684</v>
      </c>
      <c r="K1417" s="11">
        <v>0</v>
      </c>
      <c r="L1417" s="54">
        <v>842</v>
      </c>
      <c r="M1417" s="54">
        <v>842</v>
      </c>
      <c r="O1417" s="54">
        <f t="shared" si="60"/>
        <v>7696.8</v>
      </c>
    </row>
    <row r="1418" spans="1:15" x14ac:dyDescent="0.2">
      <c r="A1418" s="51">
        <v>43800</v>
      </c>
      <c r="B1418" s="11">
        <v>45</v>
      </c>
      <c r="C1418" s="35" t="s">
        <v>506</v>
      </c>
      <c r="D1418" s="34" t="str">
        <f>VLOOKUP(C1418,'[2]PUR-PARTY MASTER'!$B$4:$E$2009,2,FALSE)</f>
        <v>27AAACG1376N1ZC</v>
      </c>
      <c r="F1418" s="34" t="s">
        <v>22</v>
      </c>
      <c r="G1418" s="136" t="s">
        <v>4509</v>
      </c>
      <c r="H1418" s="37">
        <v>43813</v>
      </c>
      <c r="I1418" s="126">
        <v>35000</v>
      </c>
      <c r="J1418" s="640">
        <f t="shared" si="56"/>
        <v>6300</v>
      </c>
      <c r="K1418" s="11">
        <v>0</v>
      </c>
      <c r="L1418" s="11">
        <v>3150</v>
      </c>
      <c r="M1418" s="11">
        <v>3150</v>
      </c>
      <c r="N1418" s="54"/>
      <c r="O1418" s="54">
        <f t="shared" si="60"/>
        <v>41300</v>
      </c>
    </row>
    <row r="1419" spans="1:15" x14ac:dyDescent="0.2">
      <c r="A1419" s="51">
        <v>43800</v>
      </c>
      <c r="B1419" s="11">
        <v>46</v>
      </c>
      <c r="C1419" s="35" t="s">
        <v>506</v>
      </c>
      <c r="D1419" s="34" t="str">
        <f>VLOOKUP(C1419,'[2]PUR-PARTY MASTER'!$B$4:$E$2009,2,FALSE)</f>
        <v>27AAACG1376N1ZC</v>
      </c>
      <c r="F1419" s="34" t="s">
        <v>22</v>
      </c>
      <c r="G1419" s="136" t="s">
        <v>4510</v>
      </c>
      <c r="H1419" s="37">
        <v>43813</v>
      </c>
      <c r="I1419" s="126">
        <v>9240</v>
      </c>
      <c r="J1419" s="640">
        <f t="shared" si="56"/>
        <v>1663.2</v>
      </c>
      <c r="K1419" s="11">
        <v>0</v>
      </c>
      <c r="L1419" s="11">
        <v>831.6</v>
      </c>
      <c r="M1419" s="11">
        <v>831.6</v>
      </c>
      <c r="N1419" s="54"/>
      <c r="O1419" s="54">
        <f>+I1419+J1419-0.2</f>
        <v>10903</v>
      </c>
    </row>
    <row r="1420" spans="1:15" x14ac:dyDescent="0.2">
      <c r="A1420" s="51">
        <v>43800</v>
      </c>
      <c r="B1420" s="11">
        <v>47</v>
      </c>
      <c r="C1420" s="35" t="s">
        <v>570</v>
      </c>
      <c r="D1420" s="34" t="str">
        <f>VLOOKUP(C1420,'[2]PUR-PARTY MASTER'!$B$4:$E$2009,2,FALSE)</f>
        <v>27AAYPA0273F1ZQ</v>
      </c>
      <c r="F1420" s="11" t="s">
        <v>22</v>
      </c>
      <c r="G1420" s="38" t="s">
        <v>4511</v>
      </c>
      <c r="H1420" s="37">
        <v>43813</v>
      </c>
      <c r="I1420" s="126">
        <v>2900</v>
      </c>
      <c r="J1420" s="640">
        <f t="shared" si="56"/>
        <v>522</v>
      </c>
      <c r="K1420" s="54">
        <v>0</v>
      </c>
      <c r="L1420" s="54">
        <v>261</v>
      </c>
      <c r="M1420" s="54">
        <v>261</v>
      </c>
      <c r="N1420" s="54"/>
      <c r="O1420" s="54">
        <f>+I1420+J1420</f>
        <v>3422</v>
      </c>
    </row>
    <row r="1421" spans="1:15" x14ac:dyDescent="0.2">
      <c r="A1421" s="51">
        <v>43800</v>
      </c>
      <c r="B1421" s="11">
        <v>48</v>
      </c>
      <c r="C1421" s="632" t="s">
        <v>4273</v>
      </c>
      <c r="D1421" s="633" t="s">
        <v>4274</v>
      </c>
      <c r="F1421" s="11" t="s">
        <v>22</v>
      </c>
      <c r="G1421" s="38" t="s">
        <v>4512</v>
      </c>
      <c r="H1421" s="37">
        <v>43813</v>
      </c>
      <c r="I1421" s="126">
        <v>190000</v>
      </c>
      <c r="J1421" s="640">
        <f t="shared" si="56"/>
        <v>34200</v>
      </c>
      <c r="K1421" s="54">
        <v>0</v>
      </c>
      <c r="L1421" s="54">
        <v>17100</v>
      </c>
      <c r="M1421" s="54">
        <v>17100</v>
      </c>
      <c r="N1421" s="54"/>
      <c r="O1421" s="54">
        <f>+I1421+J1421</f>
        <v>224200</v>
      </c>
    </row>
    <row r="1422" spans="1:15" x14ac:dyDescent="0.2">
      <c r="A1422" s="51">
        <v>43800</v>
      </c>
      <c r="B1422" s="11">
        <v>49</v>
      </c>
      <c r="C1422" s="35" t="s">
        <v>514</v>
      </c>
      <c r="D1422" s="34" t="str">
        <f>VLOOKUP(C1422,'[2]PUR-PARTY MASTER'!$B$4:$E$2009,2,FALSE)</f>
        <v>27AAACU2414K1ZF</v>
      </c>
      <c r="F1422" s="34" t="s">
        <v>22</v>
      </c>
      <c r="G1422" s="136" t="s">
        <v>4580</v>
      </c>
      <c r="H1422" s="37">
        <v>43813</v>
      </c>
      <c r="I1422" s="40">
        <v>50</v>
      </c>
      <c r="J1422" s="640">
        <f t="shared" si="56"/>
        <v>9</v>
      </c>
      <c r="K1422" s="11">
        <v>0</v>
      </c>
      <c r="L1422" s="11">
        <v>4.5</v>
      </c>
      <c r="M1422" s="11">
        <v>4.5</v>
      </c>
      <c r="N1422" s="54"/>
      <c r="O1422" s="54">
        <f t="shared" ref="O1422:O1423" si="61">+I1422+J1422</f>
        <v>59</v>
      </c>
    </row>
    <row r="1423" spans="1:15" x14ac:dyDescent="0.2">
      <c r="A1423" s="51">
        <v>43800</v>
      </c>
      <c r="B1423" s="11">
        <v>50</v>
      </c>
      <c r="C1423" s="35" t="s">
        <v>476</v>
      </c>
      <c r="D1423" s="34" t="str">
        <f>VLOOKUP(C1423,'[2]PUR-PARTY MASTER'!$B$4:$E$2009,2,FALSE)</f>
        <v>27AABCO8467D1ZA</v>
      </c>
      <c r="F1423" s="34" t="s">
        <v>22</v>
      </c>
      <c r="G1423" s="136" t="s">
        <v>4513</v>
      </c>
      <c r="H1423" s="37">
        <v>43814</v>
      </c>
      <c r="I1423" s="40">
        <v>40650</v>
      </c>
      <c r="J1423" s="640">
        <f t="shared" si="56"/>
        <v>7317</v>
      </c>
      <c r="K1423" s="11">
        <v>0</v>
      </c>
      <c r="L1423" s="11">
        <v>3658.5</v>
      </c>
      <c r="M1423" s="11">
        <v>3658.5</v>
      </c>
      <c r="N1423" s="54"/>
      <c r="O1423" s="54">
        <f t="shared" si="61"/>
        <v>47967</v>
      </c>
    </row>
    <row r="1424" spans="1:15" x14ac:dyDescent="0.2">
      <c r="A1424" s="51">
        <v>43800</v>
      </c>
      <c r="B1424" s="11">
        <v>51</v>
      </c>
      <c r="C1424" s="34" t="s">
        <v>829</v>
      </c>
      <c r="D1424" s="34" t="str">
        <f>VLOOKUP(C1424,'[2]PUR-PARTY MASTER'!$B$4:$E$2009,2,FALSE)</f>
        <v>27AATPC2316A1Z7</v>
      </c>
      <c r="F1424" s="34" t="s">
        <v>22</v>
      </c>
      <c r="G1424" s="134">
        <v>2006</v>
      </c>
      <c r="H1424" s="37">
        <v>43815</v>
      </c>
      <c r="I1424" s="40">
        <v>2071.04</v>
      </c>
      <c r="J1424" s="640">
        <f t="shared" si="56"/>
        <v>372.78</v>
      </c>
      <c r="K1424" s="11">
        <v>0</v>
      </c>
      <c r="L1424" s="54">
        <v>186.39</v>
      </c>
      <c r="M1424" s="54">
        <v>186.39</v>
      </c>
      <c r="N1424" s="54"/>
      <c r="O1424" s="54">
        <f>+I1424+J1424+0.18</f>
        <v>2443.9999999999995</v>
      </c>
    </row>
    <row r="1425" spans="1:15" x14ac:dyDescent="0.2">
      <c r="A1425" s="51">
        <v>43800</v>
      </c>
      <c r="B1425" s="11">
        <v>52</v>
      </c>
      <c r="C1425" s="34" t="s">
        <v>102</v>
      </c>
      <c r="D1425" s="34" t="str">
        <f>VLOOKUP(C1425,'[2]PUR-PARTY MASTER'!$B$4:$E$2009,2,FALSE)</f>
        <v>23AABCE9378F1ZK</v>
      </c>
      <c r="F1425" s="34" t="s">
        <v>22</v>
      </c>
      <c r="G1425" s="634" t="s">
        <v>4491</v>
      </c>
      <c r="H1425" s="37">
        <v>43784</v>
      </c>
      <c r="I1425" s="40">
        <v>2148.8000000000002</v>
      </c>
      <c r="J1425" s="640">
        <f t="shared" si="56"/>
        <v>601.66</v>
      </c>
      <c r="K1425" s="11">
        <v>0</v>
      </c>
      <c r="L1425" s="54">
        <v>601.66</v>
      </c>
      <c r="M1425" s="54">
        <v>0</v>
      </c>
      <c r="N1425" s="54"/>
      <c r="O1425" s="54">
        <f>+I1425+J1425</f>
        <v>2750.46</v>
      </c>
    </row>
    <row r="1426" spans="1:15" x14ac:dyDescent="0.2">
      <c r="A1426" s="51">
        <v>43800</v>
      </c>
      <c r="B1426" s="11">
        <v>53</v>
      </c>
      <c r="C1426" s="34" t="s">
        <v>102</v>
      </c>
      <c r="D1426" s="34" t="str">
        <f>VLOOKUP(C1426,'[2]PUR-PARTY MASTER'!$B$4:$E$2009,2,FALSE)</f>
        <v>23AABCE9378F1ZK</v>
      </c>
      <c r="F1426" s="34" t="s">
        <v>22</v>
      </c>
      <c r="G1426" s="634" t="s">
        <v>4492</v>
      </c>
      <c r="H1426" s="37">
        <v>43784</v>
      </c>
      <c r="I1426" s="40">
        <v>938.82</v>
      </c>
      <c r="J1426" s="640">
        <f t="shared" si="56"/>
        <v>262.87</v>
      </c>
      <c r="K1426" s="11">
        <v>0</v>
      </c>
      <c r="L1426" s="54">
        <v>262.87</v>
      </c>
      <c r="M1426" s="54">
        <v>0</v>
      </c>
      <c r="N1426" s="54"/>
      <c r="O1426" s="54">
        <f>+I1426+J1426</f>
        <v>1201.69</v>
      </c>
    </row>
    <row r="1427" spans="1:15" x14ac:dyDescent="0.2">
      <c r="A1427" s="51">
        <v>43800</v>
      </c>
      <c r="B1427" s="11">
        <v>54</v>
      </c>
      <c r="C1427" s="35" t="s">
        <v>554</v>
      </c>
      <c r="D1427" s="34" t="str">
        <f>VLOOKUP(C1427,'[2]PUR-PARTY MASTER'!$B$4:$E$2009,2,FALSE)</f>
        <v>27AACFA1881H1ZL</v>
      </c>
      <c r="F1427" s="34" t="s">
        <v>22</v>
      </c>
      <c r="G1427" s="136">
        <v>15212</v>
      </c>
      <c r="H1427" s="37">
        <v>43815</v>
      </c>
      <c r="I1427" s="126">
        <v>7465.5</v>
      </c>
      <c r="J1427" s="640">
        <f t="shared" si="56"/>
        <v>2090.34</v>
      </c>
      <c r="K1427" s="11">
        <v>0</v>
      </c>
      <c r="L1427" s="54">
        <v>1045.17</v>
      </c>
      <c r="M1427" s="54">
        <v>1045.17</v>
      </c>
      <c r="N1427" s="54"/>
      <c r="O1427" s="54">
        <f>+I1427+J1427</f>
        <v>9555.84</v>
      </c>
    </row>
    <row r="1428" spans="1:15" x14ac:dyDescent="0.2">
      <c r="A1428" s="51">
        <v>43800</v>
      </c>
      <c r="B1428" s="11">
        <v>55</v>
      </c>
      <c r="C1428" s="632" t="s">
        <v>4271</v>
      </c>
      <c r="D1428" s="633" t="s">
        <v>4272</v>
      </c>
      <c r="F1428" s="34" t="s">
        <v>22</v>
      </c>
      <c r="G1428" s="136" t="s">
        <v>4514</v>
      </c>
      <c r="H1428" s="37">
        <v>43815</v>
      </c>
      <c r="I1428" s="34">
        <v>603500</v>
      </c>
      <c r="J1428" s="640">
        <f t="shared" si="56"/>
        <v>108630</v>
      </c>
      <c r="K1428" s="11">
        <v>0</v>
      </c>
      <c r="L1428" s="54">
        <v>54315</v>
      </c>
      <c r="M1428" s="54">
        <v>54315</v>
      </c>
      <c r="N1428" s="54"/>
      <c r="O1428" s="54">
        <f>+I1428+J1428</f>
        <v>712130</v>
      </c>
    </row>
    <row r="1429" spans="1:15" x14ac:dyDescent="0.2">
      <c r="A1429" s="51">
        <v>43800</v>
      </c>
      <c r="B1429" s="11">
        <v>56</v>
      </c>
      <c r="C1429" s="34" t="s">
        <v>4265</v>
      </c>
      <c r="D1429" s="34" t="s">
        <v>4266</v>
      </c>
      <c r="F1429" s="34" t="s">
        <v>22</v>
      </c>
      <c r="G1429" s="136" t="s">
        <v>4515</v>
      </c>
      <c r="H1429" s="37">
        <v>43815</v>
      </c>
      <c r="I1429" s="34">
        <v>331425</v>
      </c>
      <c r="J1429" s="640">
        <f t="shared" si="56"/>
        <v>59656.5</v>
      </c>
      <c r="K1429" s="11">
        <v>0</v>
      </c>
      <c r="L1429" s="54">
        <v>29828.25</v>
      </c>
      <c r="M1429" s="54">
        <v>29828.25</v>
      </c>
      <c r="N1429" s="54"/>
      <c r="O1429" s="54">
        <f>+I1429+J1429+0.5</f>
        <v>391082</v>
      </c>
    </row>
    <row r="1430" spans="1:15" x14ac:dyDescent="0.2">
      <c r="A1430" s="51">
        <v>43800</v>
      </c>
      <c r="B1430" s="11">
        <v>57</v>
      </c>
      <c r="C1430" s="35" t="s">
        <v>570</v>
      </c>
      <c r="D1430" s="34" t="str">
        <f>VLOOKUP(C1430,'[2]PUR-PARTY MASTER'!$B$4:$E$2009,2,FALSE)</f>
        <v>27AAYPA0273F1ZQ</v>
      </c>
      <c r="F1430" s="34" t="s">
        <v>22</v>
      </c>
      <c r="G1430" s="136" t="s">
        <v>4516</v>
      </c>
      <c r="H1430" s="37">
        <v>43815</v>
      </c>
      <c r="I1430" s="34">
        <v>53818.92</v>
      </c>
      <c r="J1430" s="640">
        <f t="shared" si="56"/>
        <v>9687.42</v>
      </c>
      <c r="K1430" s="11">
        <v>0</v>
      </c>
      <c r="L1430" s="54">
        <v>4843.71</v>
      </c>
      <c r="M1430" s="54">
        <v>4843.71</v>
      </c>
      <c r="N1430" s="54"/>
      <c r="O1430" s="54">
        <f>+I1430+J1430-0.34</f>
        <v>63506</v>
      </c>
    </row>
    <row r="1431" spans="1:15" x14ac:dyDescent="0.2">
      <c r="A1431" s="51">
        <v>43800</v>
      </c>
      <c r="B1431" s="11">
        <v>58</v>
      </c>
      <c r="C1431" s="34" t="s">
        <v>829</v>
      </c>
      <c r="D1431" s="34" t="str">
        <f>VLOOKUP(C1431,'[2]PUR-PARTY MASTER'!$B$4:$E$2009,2,FALSE)</f>
        <v>27AATPC2316A1Z7</v>
      </c>
      <c r="F1431" s="34" t="s">
        <v>22</v>
      </c>
      <c r="G1431" s="134">
        <v>2013</v>
      </c>
      <c r="H1431" s="37">
        <v>43816</v>
      </c>
      <c r="I1431" s="34">
        <v>242.2</v>
      </c>
      <c r="J1431" s="640">
        <f t="shared" si="56"/>
        <v>43.6</v>
      </c>
      <c r="K1431" s="11">
        <v>0</v>
      </c>
      <c r="L1431" s="54">
        <v>21.8</v>
      </c>
      <c r="M1431" s="54">
        <v>21.8</v>
      </c>
      <c r="N1431" s="54"/>
      <c r="O1431" s="54">
        <f>+I1431+J1431+0.2</f>
        <v>286</v>
      </c>
    </row>
    <row r="1432" spans="1:15" x14ac:dyDescent="0.2">
      <c r="A1432" s="51">
        <v>43800</v>
      </c>
      <c r="B1432" s="11">
        <v>59</v>
      </c>
      <c r="C1432" s="629" t="s">
        <v>710</v>
      </c>
      <c r="D1432" s="34" t="str">
        <f>VLOOKUP(C1432,'[2]PUR-PARTY MASTER'!$B$4:$E$2009,2,FALSE)</f>
        <v>27ATWPK5509M1ZV</v>
      </c>
      <c r="F1432" s="34" t="s">
        <v>22</v>
      </c>
      <c r="G1432" s="134">
        <v>833</v>
      </c>
      <c r="H1432" s="37">
        <v>43816</v>
      </c>
      <c r="I1432" s="34">
        <v>10800</v>
      </c>
      <c r="J1432" s="640">
        <f t="shared" si="56"/>
        <v>1944</v>
      </c>
      <c r="K1432" s="11">
        <v>0</v>
      </c>
      <c r="L1432" s="54">
        <v>972</v>
      </c>
      <c r="M1432" s="54">
        <v>972</v>
      </c>
      <c r="N1432" s="54"/>
      <c r="O1432" s="54">
        <f>+I1432+J1432</f>
        <v>12744</v>
      </c>
    </row>
    <row r="1433" spans="1:15" x14ac:dyDescent="0.2">
      <c r="A1433" s="51">
        <v>43800</v>
      </c>
      <c r="B1433" s="11">
        <v>60</v>
      </c>
      <c r="C1433" s="35" t="s">
        <v>629</v>
      </c>
      <c r="D1433" s="34" t="str">
        <f>VLOOKUP(C1433,'[2]PUR-PARTY MASTER'!$B$4:$E$2009,2,FALSE)</f>
        <v>27AACPH4424P1ZJ</v>
      </c>
      <c r="F1433" s="34" t="s">
        <v>22</v>
      </c>
      <c r="G1433" s="134">
        <v>723</v>
      </c>
      <c r="H1433" s="37">
        <v>43816</v>
      </c>
      <c r="I1433" s="34">
        <v>2000</v>
      </c>
      <c r="J1433" s="640">
        <f t="shared" si="56"/>
        <v>360</v>
      </c>
      <c r="K1433" s="11">
        <v>0</v>
      </c>
      <c r="L1433" s="54">
        <v>180</v>
      </c>
      <c r="M1433" s="54">
        <v>180</v>
      </c>
      <c r="N1433" s="54"/>
      <c r="O1433" s="54">
        <f>+I1433+J1433</f>
        <v>2360</v>
      </c>
    </row>
    <row r="1434" spans="1:15" x14ac:dyDescent="0.2">
      <c r="A1434" s="51">
        <v>43800</v>
      </c>
      <c r="B1434" s="11">
        <v>61</v>
      </c>
      <c r="C1434" s="35" t="s">
        <v>554</v>
      </c>
      <c r="D1434" s="34" t="str">
        <f>VLOOKUP(C1434,'[2]PUR-PARTY MASTER'!$B$4:$E$2009,2,FALSE)</f>
        <v>27AACFA1881H1ZL</v>
      </c>
      <c r="F1434" s="34" t="s">
        <v>22</v>
      </c>
      <c r="G1434" s="136">
        <v>15259</v>
      </c>
      <c r="H1434" s="37">
        <v>43816</v>
      </c>
      <c r="I1434" s="126">
        <v>5940.5</v>
      </c>
      <c r="J1434" s="640">
        <f t="shared" si="56"/>
        <v>1663.34</v>
      </c>
      <c r="K1434" s="11">
        <v>0</v>
      </c>
      <c r="L1434" s="54">
        <v>831.67</v>
      </c>
      <c r="M1434" s="54">
        <v>831.67</v>
      </c>
      <c r="N1434" s="54"/>
      <c r="O1434" s="54">
        <f>+I1434+J1434</f>
        <v>7603.84</v>
      </c>
    </row>
    <row r="1435" spans="1:15" x14ac:dyDescent="0.2">
      <c r="A1435" s="51">
        <v>43800</v>
      </c>
      <c r="B1435" s="11">
        <v>62</v>
      </c>
      <c r="C1435" s="35" t="s">
        <v>551</v>
      </c>
      <c r="D1435" s="34" t="str">
        <f>VLOOKUP(C1435,'[2]PUR-PARTY MASTER'!$B$4:$E$2009,2,FALSE)</f>
        <v>27AHVPG8951G1ZQ</v>
      </c>
      <c r="F1435" s="34" t="s">
        <v>22</v>
      </c>
      <c r="G1435" s="136" t="s">
        <v>4517</v>
      </c>
      <c r="H1435" s="37">
        <v>43815</v>
      </c>
      <c r="I1435" s="34">
        <v>300</v>
      </c>
      <c r="J1435" s="640">
        <f t="shared" si="56"/>
        <v>54</v>
      </c>
      <c r="K1435" s="11">
        <v>0</v>
      </c>
      <c r="L1435" s="54">
        <v>27</v>
      </c>
      <c r="M1435" s="54">
        <v>27</v>
      </c>
      <c r="N1435" s="54"/>
      <c r="O1435" s="54">
        <f>+I1435+J1435</f>
        <v>354</v>
      </c>
    </row>
    <row r="1436" spans="1:15" x14ac:dyDescent="0.2">
      <c r="A1436" s="51">
        <v>43800</v>
      </c>
      <c r="B1436" s="11">
        <v>63</v>
      </c>
      <c r="C1436" s="35" t="s">
        <v>473</v>
      </c>
      <c r="D1436" s="34" t="str">
        <f>VLOOKUP(C1436,'[2]PUR-PARTY MASTER'!$B$4:$E$2009,2,FALSE)</f>
        <v>27AAACT1848E1ZH</v>
      </c>
      <c r="F1436" s="34" t="s">
        <v>22</v>
      </c>
      <c r="G1436" s="136" t="s">
        <v>4518</v>
      </c>
      <c r="H1436" s="37">
        <v>43816</v>
      </c>
      <c r="I1436" s="126">
        <v>6412</v>
      </c>
      <c r="J1436" s="640">
        <f t="shared" si="56"/>
        <v>1796.0000000000002</v>
      </c>
      <c r="K1436" s="11">
        <v>0</v>
      </c>
      <c r="L1436" s="11">
        <v>898.00000000000011</v>
      </c>
      <c r="M1436" s="11">
        <v>898.00000000000011</v>
      </c>
      <c r="O1436" s="54">
        <f t="shared" ref="O1436:O1464" si="62">+I1436+J1436</f>
        <v>8208</v>
      </c>
    </row>
    <row r="1437" spans="1:15" x14ac:dyDescent="0.2">
      <c r="A1437" s="51">
        <v>43800</v>
      </c>
      <c r="B1437" s="11">
        <v>64</v>
      </c>
      <c r="C1437" s="35" t="s">
        <v>473</v>
      </c>
      <c r="D1437" s="34" t="str">
        <f>VLOOKUP(C1437,'[2]PUR-PARTY MASTER'!$B$4:$E$2009,2,FALSE)</f>
        <v>27AAACT1848E1ZH</v>
      </c>
      <c r="F1437" s="34" t="s">
        <v>22</v>
      </c>
      <c r="G1437" s="136" t="s">
        <v>4519</v>
      </c>
      <c r="H1437" s="37">
        <v>43816</v>
      </c>
      <c r="I1437" s="126">
        <v>7261.8</v>
      </c>
      <c r="J1437" s="640">
        <f t="shared" si="56"/>
        <v>2034.0039999999999</v>
      </c>
      <c r="K1437" s="11">
        <v>0</v>
      </c>
      <c r="L1437" s="11">
        <v>1017.002</v>
      </c>
      <c r="M1437" s="11">
        <v>1017.002</v>
      </c>
      <c r="O1437" s="54">
        <f t="shared" si="62"/>
        <v>9295.8040000000001</v>
      </c>
    </row>
    <row r="1438" spans="1:15" x14ac:dyDescent="0.2">
      <c r="A1438" s="51">
        <v>43800</v>
      </c>
      <c r="B1438" s="11">
        <v>65</v>
      </c>
      <c r="C1438" s="35" t="s">
        <v>476</v>
      </c>
      <c r="D1438" s="34" t="str">
        <f>VLOOKUP(C1438,'[2]PUR-PARTY MASTER'!$B$4:$E$2009,2,FALSE)</f>
        <v>27AABCO8467D1ZA</v>
      </c>
      <c r="F1438" s="34" t="s">
        <v>22</v>
      </c>
      <c r="G1438" s="136" t="s">
        <v>4520</v>
      </c>
      <c r="H1438" s="37">
        <v>43814</v>
      </c>
      <c r="I1438" s="40">
        <v>103250</v>
      </c>
      <c r="J1438" s="640">
        <f t="shared" si="56"/>
        <v>18585</v>
      </c>
      <c r="K1438" s="11">
        <v>0</v>
      </c>
      <c r="L1438" s="11">
        <v>9292.5</v>
      </c>
      <c r="M1438" s="11">
        <v>9292.5</v>
      </c>
      <c r="O1438" s="54">
        <f t="shared" si="62"/>
        <v>121835</v>
      </c>
    </row>
    <row r="1439" spans="1:15" x14ac:dyDescent="0.2">
      <c r="A1439" s="51">
        <v>43800</v>
      </c>
      <c r="B1439" s="11">
        <v>66</v>
      </c>
      <c r="C1439" s="632" t="s">
        <v>4258</v>
      </c>
      <c r="D1439" s="633" t="s">
        <v>4259</v>
      </c>
      <c r="F1439" s="34" t="s">
        <v>22</v>
      </c>
      <c r="G1439" s="136">
        <v>11016398</v>
      </c>
      <c r="H1439" s="37">
        <v>43810</v>
      </c>
      <c r="I1439" s="40">
        <v>260000</v>
      </c>
      <c r="J1439" s="640">
        <f t="shared" si="56"/>
        <v>46800</v>
      </c>
      <c r="K1439" s="11">
        <v>0</v>
      </c>
      <c r="L1439" s="11">
        <v>23400</v>
      </c>
      <c r="M1439" s="11">
        <v>23400</v>
      </c>
      <c r="O1439" s="54">
        <f t="shared" si="62"/>
        <v>306800</v>
      </c>
    </row>
    <row r="1440" spans="1:15" x14ac:dyDescent="0.2">
      <c r="A1440" s="51">
        <v>43800</v>
      </c>
      <c r="B1440" s="11">
        <v>67</v>
      </c>
      <c r="C1440" s="35" t="s">
        <v>570</v>
      </c>
      <c r="D1440" s="34" t="str">
        <f>VLOOKUP(C1440,'[2]PUR-PARTY MASTER'!$B$4:$E$2009,2,FALSE)</f>
        <v>27AAYPA0273F1ZQ</v>
      </c>
      <c r="F1440" s="34" t="s">
        <v>22</v>
      </c>
      <c r="G1440" s="136" t="s">
        <v>4521</v>
      </c>
      <c r="H1440" s="37">
        <v>43816</v>
      </c>
      <c r="I1440" s="40">
        <v>3644.04</v>
      </c>
      <c r="J1440" s="640">
        <f t="shared" si="56"/>
        <v>655.94</v>
      </c>
      <c r="K1440" s="11">
        <v>0</v>
      </c>
      <c r="L1440" s="11">
        <v>327.97</v>
      </c>
      <c r="M1440" s="11">
        <v>327.97</v>
      </c>
      <c r="O1440" s="54">
        <f>+I1440+J1440+0.02</f>
        <v>4300</v>
      </c>
    </row>
    <row r="1441" spans="1:15" x14ac:dyDescent="0.2">
      <c r="A1441" s="51">
        <v>43800</v>
      </c>
      <c r="B1441" s="11">
        <v>68</v>
      </c>
      <c r="C1441" s="35" t="s">
        <v>479</v>
      </c>
      <c r="D1441" s="34" t="str">
        <f>VLOOKUP(C1441,'[2]PUR-PARTY MASTER'!$B$4:$E$2009,2,FALSE)</f>
        <v>27AAMFC2124K1ZG</v>
      </c>
      <c r="F1441" s="34" t="s">
        <v>22</v>
      </c>
      <c r="G1441" s="136">
        <v>1491</v>
      </c>
      <c r="H1441" s="37">
        <v>43817</v>
      </c>
      <c r="I1441" s="126">
        <v>22150</v>
      </c>
      <c r="J1441" s="640">
        <f t="shared" si="56"/>
        <v>3987</v>
      </c>
      <c r="K1441" s="11">
        <v>0</v>
      </c>
      <c r="L1441" s="11">
        <v>1993.5</v>
      </c>
      <c r="M1441" s="11">
        <v>1993.5</v>
      </c>
      <c r="O1441" s="54">
        <f t="shared" si="62"/>
        <v>26137</v>
      </c>
    </row>
    <row r="1442" spans="1:15" x14ac:dyDescent="0.2">
      <c r="A1442" s="51">
        <v>43800</v>
      </c>
      <c r="B1442" s="11">
        <v>69</v>
      </c>
      <c r="C1442" s="35" t="s">
        <v>554</v>
      </c>
      <c r="D1442" s="34" t="str">
        <f>VLOOKUP(C1442,'[2]PUR-PARTY MASTER'!$B$4:$E$2009,2,FALSE)</f>
        <v>27AACFA1881H1ZL</v>
      </c>
      <c r="F1442" s="34" t="s">
        <v>22</v>
      </c>
      <c r="G1442" s="136">
        <v>15297</v>
      </c>
      <c r="H1442" s="37">
        <v>43817</v>
      </c>
      <c r="I1442" s="126">
        <v>3780</v>
      </c>
      <c r="J1442" s="640">
        <f t="shared" si="56"/>
        <v>1058.3999999999999</v>
      </c>
      <c r="K1442" s="11">
        <v>0</v>
      </c>
      <c r="L1442" s="11">
        <v>529.19999999999993</v>
      </c>
      <c r="M1442" s="11">
        <v>529.19999999999993</v>
      </c>
      <c r="O1442" s="54">
        <f t="shared" si="62"/>
        <v>4838.3999999999996</v>
      </c>
    </row>
    <row r="1443" spans="1:15" x14ac:dyDescent="0.2">
      <c r="A1443" s="51">
        <v>43800</v>
      </c>
      <c r="B1443" s="11">
        <v>70</v>
      </c>
      <c r="C1443" s="34" t="s">
        <v>601</v>
      </c>
      <c r="D1443" s="34" t="str">
        <f>VLOOKUP(C1443,'[2]PUR-PARTY MASTER'!$B$4:$E$2009,2,FALSE)</f>
        <v>27AAZFM6461A1ZY</v>
      </c>
      <c r="F1443" s="34" t="s">
        <v>22</v>
      </c>
      <c r="G1443" s="134">
        <v>6995</v>
      </c>
      <c r="H1443" s="37">
        <v>43817</v>
      </c>
      <c r="I1443" s="39">
        <v>34056</v>
      </c>
      <c r="J1443" s="640">
        <f t="shared" si="56"/>
        <v>9535.68</v>
      </c>
      <c r="K1443" s="11">
        <v>0</v>
      </c>
      <c r="L1443" s="11">
        <v>4767.84</v>
      </c>
      <c r="M1443" s="11">
        <v>4767.84</v>
      </c>
      <c r="O1443" s="54">
        <f t="shared" si="62"/>
        <v>43591.68</v>
      </c>
    </row>
    <row r="1444" spans="1:15" x14ac:dyDescent="0.2">
      <c r="A1444" s="51">
        <v>43800</v>
      </c>
      <c r="B1444" s="11">
        <v>71</v>
      </c>
      <c r="C1444" s="34" t="s">
        <v>601</v>
      </c>
      <c r="D1444" s="34" t="str">
        <f>VLOOKUP(C1444,'[2]PUR-PARTY MASTER'!$B$4:$E$2009,2,FALSE)</f>
        <v>27AAZFM6461A1ZY</v>
      </c>
      <c r="F1444" s="34" t="s">
        <v>22</v>
      </c>
      <c r="G1444" s="134">
        <v>6996</v>
      </c>
      <c r="H1444" s="37">
        <v>43817</v>
      </c>
      <c r="I1444" s="39">
        <v>8035.2</v>
      </c>
      <c r="J1444" s="640">
        <f t="shared" si="56"/>
        <v>2249.8560000000002</v>
      </c>
      <c r="K1444" s="11">
        <v>0</v>
      </c>
      <c r="L1444" s="11">
        <v>1124.9280000000001</v>
      </c>
      <c r="M1444" s="11">
        <v>1124.9280000000001</v>
      </c>
      <c r="O1444" s="54">
        <f t="shared" si="62"/>
        <v>10285.056</v>
      </c>
    </row>
    <row r="1445" spans="1:15" x14ac:dyDescent="0.2">
      <c r="A1445" s="51">
        <v>43800</v>
      </c>
      <c r="B1445" s="11">
        <v>72</v>
      </c>
      <c r="C1445" s="632" t="s">
        <v>4260</v>
      </c>
      <c r="D1445" s="633" t="s">
        <v>4261</v>
      </c>
      <c r="F1445" s="34" t="s">
        <v>22</v>
      </c>
      <c r="G1445" s="134" t="s">
        <v>4522</v>
      </c>
      <c r="H1445" s="37">
        <v>43816</v>
      </c>
      <c r="I1445" s="39">
        <v>1550000</v>
      </c>
      <c r="J1445" s="640">
        <f t="shared" si="56"/>
        <v>279000</v>
      </c>
      <c r="K1445" s="11">
        <v>279000</v>
      </c>
      <c r="L1445" s="11">
        <v>0</v>
      </c>
      <c r="M1445" s="11">
        <v>0</v>
      </c>
      <c r="O1445" s="54">
        <f t="shared" si="62"/>
        <v>1829000</v>
      </c>
    </row>
    <row r="1446" spans="1:15" x14ac:dyDescent="0.2">
      <c r="A1446" s="51">
        <v>43800</v>
      </c>
      <c r="B1446" s="11">
        <v>73</v>
      </c>
      <c r="C1446" s="35" t="s">
        <v>517</v>
      </c>
      <c r="D1446" s="34" t="str">
        <f>VLOOKUP(C1446,'[2]PUR-PARTY MASTER'!$B$4:$E$2009,2,FALSE)</f>
        <v>23AAACT6376M1ZZ</v>
      </c>
      <c r="F1446" s="34" t="s">
        <v>22</v>
      </c>
      <c r="G1446" s="134">
        <v>19625858</v>
      </c>
      <c r="H1446" s="37">
        <v>43817</v>
      </c>
      <c r="I1446" s="126">
        <v>18078</v>
      </c>
      <c r="J1446" s="640">
        <f t="shared" si="56"/>
        <v>5061.84</v>
      </c>
      <c r="K1446" s="11">
        <v>5061.84</v>
      </c>
      <c r="L1446" s="11">
        <v>0</v>
      </c>
      <c r="M1446" s="11">
        <v>0</v>
      </c>
      <c r="O1446" s="54">
        <f t="shared" si="62"/>
        <v>23139.84</v>
      </c>
    </row>
    <row r="1447" spans="1:15" x14ac:dyDescent="0.2">
      <c r="A1447" s="51">
        <v>43800</v>
      </c>
      <c r="B1447" s="11">
        <v>74</v>
      </c>
      <c r="C1447" s="35" t="s">
        <v>625</v>
      </c>
      <c r="D1447" s="34" t="str">
        <f>VLOOKUP(C1447,'[2]PUR-PARTY MASTER'!$B$4:$E$2009,2,FALSE)</f>
        <v>27AAPFA7196J1ZR</v>
      </c>
      <c r="F1447" s="34" t="s">
        <v>22</v>
      </c>
      <c r="G1447" s="136" t="s">
        <v>4523</v>
      </c>
      <c r="H1447" s="37">
        <v>43817</v>
      </c>
      <c r="I1447" s="40">
        <v>2335</v>
      </c>
      <c r="J1447" s="640">
        <f t="shared" si="56"/>
        <v>420.3</v>
      </c>
      <c r="K1447" s="11">
        <v>0</v>
      </c>
      <c r="L1447" s="11">
        <v>210.15</v>
      </c>
      <c r="M1447" s="11">
        <v>210.15</v>
      </c>
      <c r="O1447" s="54">
        <f>+I1447+J1447-0.3</f>
        <v>2755</v>
      </c>
    </row>
    <row r="1448" spans="1:15" x14ac:dyDescent="0.2">
      <c r="A1448" s="51">
        <v>43800</v>
      </c>
      <c r="B1448" s="11">
        <v>75</v>
      </c>
      <c r="C1448" s="35" t="s">
        <v>625</v>
      </c>
      <c r="D1448" s="34" t="str">
        <f>VLOOKUP(C1448,'[2]PUR-PARTY MASTER'!$B$4:$E$2009,2,FALSE)</f>
        <v>27AAPFA7196J1ZR</v>
      </c>
      <c r="F1448" s="34" t="s">
        <v>22</v>
      </c>
      <c r="G1448" s="136" t="s">
        <v>4524</v>
      </c>
      <c r="H1448" s="37">
        <v>43817</v>
      </c>
      <c r="I1448" s="40">
        <v>1135</v>
      </c>
      <c r="J1448" s="640">
        <f t="shared" si="56"/>
        <v>204.3</v>
      </c>
      <c r="K1448" s="11">
        <v>0</v>
      </c>
      <c r="L1448" s="11">
        <v>102.15</v>
      </c>
      <c r="M1448" s="11">
        <v>102.15</v>
      </c>
      <c r="O1448" s="54">
        <f>+I1448+J1448+0.7</f>
        <v>1340</v>
      </c>
    </row>
    <row r="1449" spans="1:15" x14ac:dyDescent="0.2">
      <c r="A1449" s="51">
        <v>43800</v>
      </c>
      <c r="B1449" s="11">
        <v>76</v>
      </c>
      <c r="C1449" s="632" t="s">
        <v>919</v>
      </c>
      <c r="D1449" s="34" t="str">
        <f>VLOOKUP(C1449,'[2]PUR-PARTY MASTER'!$B$4:$E$2009,2,FALSE)</f>
        <v>27AAOPJ7179F1Z8</v>
      </c>
      <c r="F1449" s="34" t="s">
        <v>22</v>
      </c>
      <c r="G1449" s="134" t="s">
        <v>4525</v>
      </c>
      <c r="H1449" s="37">
        <v>43817</v>
      </c>
      <c r="I1449" s="126">
        <v>4125.2</v>
      </c>
      <c r="J1449" s="640">
        <f t="shared" si="56"/>
        <v>742.54</v>
      </c>
      <c r="K1449" s="11">
        <v>0</v>
      </c>
      <c r="L1449" s="11">
        <v>371.27</v>
      </c>
      <c r="M1449" s="11">
        <v>371.27</v>
      </c>
      <c r="O1449" s="54">
        <f>+I1449+J1449+0.26</f>
        <v>4868</v>
      </c>
    </row>
    <row r="1450" spans="1:15" x14ac:dyDescent="0.2">
      <c r="A1450" s="51">
        <v>43800</v>
      </c>
      <c r="B1450" s="11">
        <v>77</v>
      </c>
      <c r="C1450" s="35" t="s">
        <v>551</v>
      </c>
      <c r="D1450" s="34" t="str">
        <f>VLOOKUP(C1450,'[2]PUR-PARTY MASTER'!$B$4:$E$2009,2,FALSE)</f>
        <v>27AHVPG8951G1ZQ</v>
      </c>
      <c r="F1450" s="34" t="s">
        <v>22</v>
      </c>
      <c r="G1450" s="136" t="s">
        <v>4526</v>
      </c>
      <c r="H1450" s="37">
        <v>43818</v>
      </c>
      <c r="I1450" s="40">
        <v>2250</v>
      </c>
      <c r="J1450" s="640">
        <f t="shared" si="56"/>
        <v>405</v>
      </c>
      <c r="K1450" s="11">
        <v>0</v>
      </c>
      <c r="L1450" s="11">
        <v>202.5</v>
      </c>
      <c r="M1450" s="11">
        <v>202.5</v>
      </c>
      <c r="O1450" s="54">
        <f t="shared" si="62"/>
        <v>2655</v>
      </c>
    </row>
    <row r="1451" spans="1:15" x14ac:dyDescent="0.2">
      <c r="A1451" s="51">
        <v>43800</v>
      </c>
      <c r="B1451" s="11">
        <v>78</v>
      </c>
      <c r="C1451" s="633" t="s">
        <v>1166</v>
      </c>
      <c r="D1451" s="633" t="s">
        <v>1167</v>
      </c>
      <c r="F1451" s="34" t="s">
        <v>22</v>
      </c>
      <c r="G1451" s="136">
        <v>927166890</v>
      </c>
      <c r="H1451" s="37">
        <v>43819</v>
      </c>
      <c r="I1451" s="40">
        <v>1800</v>
      </c>
      <c r="J1451" s="640">
        <f t="shared" si="56"/>
        <v>324</v>
      </c>
      <c r="K1451" s="11">
        <v>0</v>
      </c>
      <c r="L1451" s="11">
        <v>162</v>
      </c>
      <c r="M1451" s="11">
        <v>162</v>
      </c>
      <c r="O1451" s="54">
        <f>+I1451+J1451+139</f>
        <v>2263</v>
      </c>
    </row>
    <row r="1452" spans="1:15" x14ac:dyDescent="0.2">
      <c r="A1452" s="51">
        <v>43800</v>
      </c>
      <c r="B1452" s="11">
        <v>79</v>
      </c>
      <c r="C1452" s="34" t="s">
        <v>688</v>
      </c>
      <c r="D1452" s="34">
        <f>VLOOKUP(C1452,'[2]PUR-PARTY MASTER'!$B$4:$E$2009,2,FALSE)</f>
        <v>1</v>
      </c>
      <c r="F1452" s="34" t="s">
        <v>22</v>
      </c>
      <c r="G1452" s="982" t="s">
        <v>4527</v>
      </c>
      <c r="H1452" s="37">
        <v>43811</v>
      </c>
      <c r="I1452" s="39">
        <v>174700.6</v>
      </c>
      <c r="J1452" s="640">
        <f t="shared" si="56"/>
        <v>31446.108</v>
      </c>
      <c r="K1452" s="11">
        <v>31446.108</v>
      </c>
      <c r="L1452" s="11">
        <v>0</v>
      </c>
      <c r="M1452" s="11">
        <v>0</v>
      </c>
      <c r="O1452" s="54">
        <f t="shared" si="62"/>
        <v>206146.70800000001</v>
      </c>
    </row>
    <row r="1453" spans="1:15" x14ac:dyDescent="0.2">
      <c r="A1453" s="51">
        <v>43800</v>
      </c>
      <c r="B1453" s="11">
        <v>80</v>
      </c>
      <c r="C1453" s="35" t="s">
        <v>594</v>
      </c>
      <c r="D1453" s="34" t="str">
        <f>VLOOKUP(C1453,'[2]PUR-PARTY MASTER'!$B$4:$E$2009,2,FALSE)</f>
        <v>27AAHCS2420A1ZX</v>
      </c>
      <c r="F1453" s="34" t="s">
        <v>22</v>
      </c>
      <c r="G1453" s="134">
        <v>191011601</v>
      </c>
      <c r="H1453" s="37">
        <v>43818</v>
      </c>
      <c r="I1453" s="40">
        <v>20393</v>
      </c>
      <c r="J1453" s="640">
        <f t="shared" si="56"/>
        <v>3670.74</v>
      </c>
      <c r="K1453" s="11">
        <v>0</v>
      </c>
      <c r="L1453" s="11">
        <v>1835.37</v>
      </c>
      <c r="M1453" s="11">
        <v>1835.37</v>
      </c>
      <c r="O1453" s="54">
        <f>+I1453+J1453+0.26</f>
        <v>24063.999999999996</v>
      </c>
    </row>
    <row r="1454" spans="1:15" x14ac:dyDescent="0.2">
      <c r="A1454" s="51">
        <v>43800</v>
      </c>
      <c r="B1454" s="11">
        <v>81</v>
      </c>
      <c r="C1454" s="11" t="s">
        <v>155</v>
      </c>
      <c r="D1454" s="34" t="str">
        <f>VLOOKUP(C1454,'[2]SALE PARTY MASTER'!$B$4:$E$501,2,FALSE)</f>
        <v>27AAGCP0139E1ZP</v>
      </c>
      <c r="F1454" s="34" t="s">
        <v>22</v>
      </c>
      <c r="G1454" s="134" t="s">
        <v>4528</v>
      </c>
      <c r="H1454" s="37">
        <v>43799</v>
      </c>
      <c r="I1454" s="40">
        <v>376.85</v>
      </c>
      <c r="J1454" s="640">
        <f t="shared" si="56"/>
        <v>105.51800000000001</v>
      </c>
      <c r="K1454" s="11">
        <v>0</v>
      </c>
      <c r="L1454" s="11">
        <v>52.759000000000007</v>
      </c>
      <c r="M1454" s="11">
        <v>52.759000000000007</v>
      </c>
      <c r="O1454" s="54">
        <f t="shared" si="62"/>
        <v>482.36800000000005</v>
      </c>
    </row>
    <row r="1455" spans="1:15" x14ac:dyDescent="0.2">
      <c r="A1455" s="51">
        <v>43800</v>
      </c>
      <c r="B1455" s="11">
        <v>82</v>
      </c>
      <c r="C1455" s="35" t="s">
        <v>554</v>
      </c>
      <c r="D1455" s="34" t="str">
        <f>VLOOKUP(C1455,'[2]PUR-PARTY MASTER'!$B$4:$E$2009,2,FALSE)</f>
        <v>27AACFA1881H1ZL</v>
      </c>
      <c r="F1455" s="34" t="s">
        <v>22</v>
      </c>
      <c r="G1455" s="136">
        <v>15393</v>
      </c>
      <c r="H1455" s="37">
        <v>43819</v>
      </c>
      <c r="I1455" s="126">
        <v>2976.35</v>
      </c>
      <c r="J1455" s="640">
        <f t="shared" si="56"/>
        <v>833.37800000000004</v>
      </c>
      <c r="K1455" s="11">
        <v>0</v>
      </c>
      <c r="L1455" s="11">
        <v>416.68900000000002</v>
      </c>
      <c r="M1455" s="11">
        <v>416.68900000000002</v>
      </c>
      <c r="O1455" s="54">
        <f t="shared" si="62"/>
        <v>3809.7280000000001</v>
      </c>
    </row>
    <row r="1456" spans="1:15" x14ac:dyDescent="0.2">
      <c r="A1456" s="51">
        <v>43800</v>
      </c>
      <c r="B1456" s="11">
        <v>83</v>
      </c>
      <c r="C1456" s="35" t="s">
        <v>565</v>
      </c>
      <c r="D1456" s="34" t="str">
        <f>VLOOKUP(C1456,'[2]PUR-PARTY MASTER'!$B$4:$E$2009,2,FALSE)</f>
        <v>27ADOPJ4418Q1ZV</v>
      </c>
      <c r="F1456" s="34" t="s">
        <v>22</v>
      </c>
      <c r="G1456" s="134">
        <v>5224</v>
      </c>
      <c r="H1456" s="37">
        <v>43801</v>
      </c>
      <c r="I1456" s="40">
        <v>12273.49</v>
      </c>
      <c r="J1456" s="640">
        <f t="shared" si="56"/>
        <v>2209.3000000000002</v>
      </c>
      <c r="K1456" s="11">
        <v>0</v>
      </c>
      <c r="L1456" s="11">
        <v>1104.6500000000001</v>
      </c>
      <c r="M1456" s="11">
        <v>1104.6500000000001</v>
      </c>
      <c r="O1456" s="54">
        <f>+I1456+J1456+0.21</f>
        <v>14483</v>
      </c>
    </row>
    <row r="1457" spans="1:15" x14ac:dyDescent="0.2">
      <c r="A1457" s="51">
        <v>43800</v>
      </c>
      <c r="B1457" s="11">
        <v>84</v>
      </c>
      <c r="C1457" s="35" t="s">
        <v>487</v>
      </c>
      <c r="D1457" s="34" t="str">
        <f>VLOOKUP(C1457,'[2]PUR-PARTY MASTER'!$B$4:$E$2009,2,FALSE)</f>
        <v>27AFJPK6177Q1ZJ</v>
      </c>
      <c r="F1457" s="34" t="s">
        <v>22</v>
      </c>
      <c r="G1457" s="134">
        <v>1772</v>
      </c>
      <c r="H1457" s="37">
        <v>43820</v>
      </c>
      <c r="I1457" s="40">
        <v>8000</v>
      </c>
      <c r="J1457" s="640">
        <f t="shared" si="56"/>
        <v>1440</v>
      </c>
      <c r="K1457" s="11">
        <v>0</v>
      </c>
      <c r="L1457" s="11">
        <v>720</v>
      </c>
      <c r="M1457" s="11">
        <v>720</v>
      </c>
      <c r="O1457" s="54">
        <f t="shared" si="62"/>
        <v>9440</v>
      </c>
    </row>
    <row r="1458" spans="1:15" x14ac:dyDescent="0.2">
      <c r="A1458" s="51">
        <v>43800</v>
      </c>
      <c r="B1458" s="11">
        <v>85</v>
      </c>
      <c r="C1458" s="35" t="s">
        <v>554</v>
      </c>
      <c r="D1458" s="34" t="str">
        <f>VLOOKUP(C1458,'[2]PUR-PARTY MASTER'!$B$4:$E$2009,2,FALSE)</f>
        <v>27AACFA1881H1ZL</v>
      </c>
      <c r="F1458" s="34" t="s">
        <v>22</v>
      </c>
      <c r="G1458" s="136">
        <v>15436</v>
      </c>
      <c r="H1458" s="37">
        <v>43820</v>
      </c>
      <c r="I1458" s="126">
        <v>5904.5</v>
      </c>
      <c r="J1458" s="640">
        <f t="shared" si="56"/>
        <v>1653.26</v>
      </c>
      <c r="K1458" s="11">
        <v>0</v>
      </c>
      <c r="L1458" s="11">
        <v>826.63</v>
      </c>
      <c r="M1458" s="11">
        <v>826.63</v>
      </c>
      <c r="O1458" s="54">
        <f t="shared" si="62"/>
        <v>7557.76</v>
      </c>
    </row>
    <row r="1459" spans="1:15" x14ac:dyDescent="0.2">
      <c r="A1459" s="51">
        <v>43800</v>
      </c>
      <c r="B1459" s="11">
        <v>86</v>
      </c>
      <c r="C1459" s="35" t="s">
        <v>594</v>
      </c>
      <c r="D1459" s="34" t="str">
        <f>VLOOKUP(C1459,'[2]PUR-PARTY MASTER'!$B$4:$E$2009,2,FALSE)</f>
        <v>27AAHCS2420A1ZX</v>
      </c>
      <c r="F1459" s="34" t="s">
        <v>22</v>
      </c>
      <c r="G1459" s="134">
        <v>191011717</v>
      </c>
      <c r="H1459" s="37">
        <v>43820</v>
      </c>
      <c r="I1459" s="40">
        <v>38160</v>
      </c>
      <c r="J1459" s="640">
        <f t="shared" ref="J1459:J1487" si="63">+K1459+L1459+M1459+N1459</f>
        <v>6868.8</v>
      </c>
      <c r="K1459" s="11">
        <v>0</v>
      </c>
      <c r="L1459" s="11">
        <v>3434.4</v>
      </c>
      <c r="M1459" s="11">
        <v>3434.4</v>
      </c>
      <c r="O1459" s="54">
        <f>+I1459+J1459+0.2</f>
        <v>45029</v>
      </c>
    </row>
    <row r="1460" spans="1:15" x14ac:dyDescent="0.2">
      <c r="A1460" s="51">
        <v>43800</v>
      </c>
      <c r="B1460" s="11">
        <v>87</v>
      </c>
      <c r="C1460" s="35" t="s">
        <v>594</v>
      </c>
      <c r="D1460" s="34" t="str">
        <f>VLOOKUP(C1460,'[2]PUR-PARTY MASTER'!$B$4:$E$2009,2,FALSE)</f>
        <v>27AAHCS2420A1ZX</v>
      </c>
      <c r="F1460" s="34" t="s">
        <v>22</v>
      </c>
      <c r="G1460" s="134">
        <v>191011711</v>
      </c>
      <c r="H1460" s="37">
        <v>43820</v>
      </c>
      <c r="I1460" s="40">
        <v>2800</v>
      </c>
      <c r="J1460" s="640">
        <f t="shared" si="63"/>
        <v>504</v>
      </c>
      <c r="K1460" s="11">
        <v>0</v>
      </c>
      <c r="L1460" s="11">
        <v>252</v>
      </c>
      <c r="M1460" s="11">
        <v>252</v>
      </c>
      <c r="O1460" s="54">
        <f t="shared" si="62"/>
        <v>3304</v>
      </c>
    </row>
    <row r="1461" spans="1:15" x14ac:dyDescent="0.2">
      <c r="A1461" s="51">
        <v>43800</v>
      </c>
      <c r="B1461" s="11">
        <v>88</v>
      </c>
      <c r="C1461" s="35" t="s">
        <v>659</v>
      </c>
      <c r="D1461" s="34" t="str">
        <f>VLOOKUP(C1461,'[2]PUR-PARTY MASTER'!$B$4:$E$2009,2,FALSE)</f>
        <v>27AAZPJ4136D1ZI</v>
      </c>
      <c r="F1461" s="34" t="s">
        <v>22</v>
      </c>
      <c r="G1461" s="136" t="s">
        <v>4529</v>
      </c>
      <c r="H1461" s="37">
        <v>43822</v>
      </c>
      <c r="I1461" s="40">
        <v>16320</v>
      </c>
      <c r="J1461" s="640">
        <f t="shared" si="63"/>
        <v>2937.6</v>
      </c>
      <c r="K1461" s="11">
        <v>0</v>
      </c>
      <c r="L1461" s="11">
        <v>1468.8</v>
      </c>
      <c r="M1461" s="11">
        <v>1468.8</v>
      </c>
      <c r="O1461" s="54">
        <f>+I1461+J1461+0.4</f>
        <v>19258</v>
      </c>
    </row>
    <row r="1462" spans="1:15" x14ac:dyDescent="0.2">
      <c r="A1462" s="51">
        <v>43800</v>
      </c>
      <c r="B1462" s="11">
        <v>89</v>
      </c>
      <c r="C1462" s="35" t="s">
        <v>554</v>
      </c>
      <c r="D1462" s="34" t="str">
        <f>VLOOKUP(C1462,'[2]PUR-PARTY MASTER'!$B$4:$E$2009,2,FALSE)</f>
        <v>27AACFA1881H1ZL</v>
      </c>
      <c r="F1462" s="34" t="s">
        <v>22</v>
      </c>
      <c r="G1462" s="136">
        <v>15494</v>
      </c>
      <c r="H1462" s="37">
        <v>43822</v>
      </c>
      <c r="I1462" s="126">
        <v>3764.25</v>
      </c>
      <c r="J1462" s="640">
        <f t="shared" si="63"/>
        <v>1053.99</v>
      </c>
      <c r="K1462" s="11">
        <v>0</v>
      </c>
      <c r="L1462" s="11">
        <v>526.995</v>
      </c>
      <c r="M1462" s="11">
        <v>526.995</v>
      </c>
      <c r="O1462" s="54">
        <f>+I1462+J1462+0.01</f>
        <v>4818.25</v>
      </c>
    </row>
    <row r="1463" spans="1:15" x14ac:dyDescent="0.2">
      <c r="A1463" s="51">
        <v>43800</v>
      </c>
      <c r="B1463" s="11">
        <v>90</v>
      </c>
      <c r="C1463" s="35" t="s">
        <v>677</v>
      </c>
      <c r="D1463" s="34" t="str">
        <f>VLOOKUP(C1463,'[2]PUR-PARTY MASTER'!$B$4:$E$2009,2,FALSE)</f>
        <v>06AAACM6984G1Z9</v>
      </c>
      <c r="F1463" s="34" t="s">
        <v>22</v>
      </c>
      <c r="G1463" s="136" t="s">
        <v>4530</v>
      </c>
      <c r="H1463" s="37">
        <v>43818</v>
      </c>
      <c r="I1463" s="126">
        <v>13569</v>
      </c>
      <c r="J1463" s="640">
        <f t="shared" si="63"/>
        <v>3799.3199999999997</v>
      </c>
      <c r="K1463" s="11">
        <v>3799.3199999999997</v>
      </c>
      <c r="L1463" s="11">
        <v>0</v>
      </c>
      <c r="M1463" s="11">
        <v>0</v>
      </c>
      <c r="O1463" s="54">
        <f t="shared" si="62"/>
        <v>17368.32</v>
      </c>
    </row>
    <row r="1464" spans="1:15" x14ac:dyDescent="0.2">
      <c r="A1464" s="51">
        <v>43800</v>
      </c>
      <c r="B1464" s="11">
        <v>91</v>
      </c>
      <c r="C1464" s="35" t="s">
        <v>666</v>
      </c>
      <c r="D1464" s="34" t="str">
        <f>VLOOKUP(C1464,'[2]PUR-PARTY MASTER'!$B$4:$E$2009,2,FALSE)</f>
        <v>27AAECP8535C1ZF</v>
      </c>
      <c r="F1464" s="34" t="s">
        <v>22</v>
      </c>
      <c r="G1464" s="136" t="s">
        <v>4531</v>
      </c>
      <c r="H1464" s="37">
        <v>43822</v>
      </c>
      <c r="I1464" s="40">
        <v>16365.2</v>
      </c>
      <c r="J1464" s="640">
        <f t="shared" si="63"/>
        <v>4582.2560000000003</v>
      </c>
      <c r="K1464" s="11">
        <v>0</v>
      </c>
      <c r="L1464" s="11">
        <v>2291.1280000000002</v>
      </c>
      <c r="M1464" s="11">
        <v>2291.1280000000002</v>
      </c>
      <c r="O1464" s="54">
        <f t="shared" si="62"/>
        <v>20947.456000000002</v>
      </c>
    </row>
    <row r="1465" spans="1:15" x14ac:dyDescent="0.2">
      <c r="A1465" s="51">
        <v>43800</v>
      </c>
      <c r="B1465" s="11">
        <v>92</v>
      </c>
      <c r="C1465" s="35" t="s">
        <v>554</v>
      </c>
      <c r="D1465" s="34" t="str">
        <f>VLOOKUP(C1465,'[2]PUR-PARTY MASTER'!$B$4:$E$2009,2,FALSE)</f>
        <v>27AACFA1881H1ZL</v>
      </c>
      <c r="F1465" s="34" t="s">
        <v>22</v>
      </c>
      <c r="G1465" s="136">
        <v>15541</v>
      </c>
      <c r="H1465" s="37">
        <v>43823</v>
      </c>
      <c r="I1465" s="126">
        <v>4282.55</v>
      </c>
      <c r="J1465" s="640">
        <f t="shared" si="63"/>
        <v>1199.114</v>
      </c>
      <c r="K1465" s="11">
        <v>0</v>
      </c>
      <c r="L1465" s="11">
        <v>599.55700000000002</v>
      </c>
      <c r="M1465" s="11">
        <v>599.55700000000002</v>
      </c>
      <c r="O1465" s="54">
        <f>+I1465+J1465+0.01</f>
        <v>5481.6740000000009</v>
      </c>
    </row>
    <row r="1466" spans="1:15" x14ac:dyDescent="0.2">
      <c r="A1466" s="51">
        <v>43800</v>
      </c>
      <c r="B1466" s="11">
        <v>93</v>
      </c>
      <c r="C1466" s="35" t="s">
        <v>570</v>
      </c>
      <c r="D1466" s="34" t="str">
        <f>VLOOKUP(C1466,'[2]PUR-PARTY MASTER'!$B$4:$E$2009,2,FALSE)</f>
        <v>27AAYPA0273F1ZQ</v>
      </c>
      <c r="F1466" s="34" t="s">
        <v>22</v>
      </c>
      <c r="G1466" s="136" t="s">
        <v>4532</v>
      </c>
      <c r="H1466" s="37">
        <v>43823</v>
      </c>
      <c r="I1466" s="40">
        <v>65192.84</v>
      </c>
      <c r="J1466" s="640">
        <f t="shared" si="63"/>
        <v>11092.2</v>
      </c>
      <c r="K1466" s="11">
        <v>0</v>
      </c>
      <c r="L1466" s="11">
        <f>642.51+4903.59</f>
        <v>5546.1</v>
      </c>
      <c r="M1466" s="11">
        <v>5546.1</v>
      </c>
      <c r="O1466" s="54">
        <f>+I1466+J1466-0.04</f>
        <v>76285</v>
      </c>
    </row>
    <row r="1467" spans="1:15" x14ac:dyDescent="0.2">
      <c r="A1467" s="51">
        <v>43800</v>
      </c>
      <c r="B1467" s="11">
        <v>94</v>
      </c>
      <c r="C1467" s="35" t="s">
        <v>666</v>
      </c>
      <c r="D1467" s="34" t="str">
        <f>VLOOKUP(C1467,'[2]PUR-PARTY MASTER'!$B$4:$E$2009,2,FALSE)</f>
        <v>27AAECP8535C1ZF</v>
      </c>
      <c r="F1467" s="34" t="s">
        <v>22</v>
      </c>
      <c r="G1467" s="136" t="s">
        <v>4533</v>
      </c>
      <c r="H1467" s="37">
        <v>43824</v>
      </c>
      <c r="I1467" s="40">
        <v>52282.5</v>
      </c>
      <c r="J1467" s="640">
        <f t="shared" si="63"/>
        <v>14639.100000000002</v>
      </c>
      <c r="K1467" s="11">
        <v>0</v>
      </c>
      <c r="L1467" s="11">
        <v>7319.5500000000011</v>
      </c>
      <c r="M1467" s="11">
        <v>7319.5500000000011</v>
      </c>
      <c r="O1467" s="54">
        <f t="shared" ref="O1467:O1487" si="64">+I1467+J1467</f>
        <v>66921.600000000006</v>
      </c>
    </row>
    <row r="1468" spans="1:15" x14ac:dyDescent="0.2">
      <c r="A1468" s="51">
        <v>43800</v>
      </c>
      <c r="B1468" s="11">
        <v>95</v>
      </c>
      <c r="C1468" s="35" t="s">
        <v>666</v>
      </c>
      <c r="D1468" s="34" t="str">
        <f>VLOOKUP(C1468,'[2]PUR-PARTY MASTER'!$B$4:$E$2009,2,FALSE)</f>
        <v>27AAECP8535C1ZF</v>
      </c>
      <c r="F1468" s="34" t="s">
        <v>22</v>
      </c>
      <c r="G1468" s="136" t="s">
        <v>4534</v>
      </c>
      <c r="H1468" s="37">
        <v>43824</v>
      </c>
      <c r="I1468" s="40">
        <v>26141.25</v>
      </c>
      <c r="J1468" s="640">
        <f t="shared" si="63"/>
        <v>7319.5500000000011</v>
      </c>
      <c r="K1468" s="11">
        <v>0</v>
      </c>
      <c r="L1468" s="11">
        <v>3659.7750000000005</v>
      </c>
      <c r="M1468" s="11">
        <v>3659.7750000000005</v>
      </c>
      <c r="O1468" s="54">
        <f>+I1468+J1468+0.01</f>
        <v>33460.810000000005</v>
      </c>
    </row>
    <row r="1469" spans="1:15" x14ac:dyDescent="0.2">
      <c r="A1469" s="51">
        <v>43800</v>
      </c>
      <c r="B1469" s="11">
        <v>96</v>
      </c>
      <c r="C1469" s="35" t="s">
        <v>666</v>
      </c>
      <c r="D1469" s="34" t="str">
        <f>VLOOKUP(C1469,'[2]PUR-PARTY MASTER'!$B$4:$E$2009,2,FALSE)</f>
        <v>27AAECP8535C1ZF</v>
      </c>
      <c r="F1469" s="34" t="s">
        <v>22</v>
      </c>
      <c r="G1469" s="136" t="s">
        <v>4535</v>
      </c>
      <c r="H1469" s="37">
        <v>43824</v>
      </c>
      <c r="I1469" s="40">
        <v>26141.25</v>
      </c>
      <c r="J1469" s="640">
        <f t="shared" si="63"/>
        <v>7319.5500000000011</v>
      </c>
      <c r="K1469" s="11">
        <v>0</v>
      </c>
      <c r="L1469" s="11">
        <v>3659.7750000000005</v>
      </c>
      <c r="M1469" s="11">
        <v>3659.7750000000005</v>
      </c>
      <c r="O1469" s="54">
        <f>+I1469+J1469+0.01</f>
        <v>33460.810000000005</v>
      </c>
    </row>
    <row r="1470" spans="1:15" x14ac:dyDescent="0.2">
      <c r="A1470" s="51">
        <v>43800</v>
      </c>
      <c r="B1470" s="11">
        <v>97</v>
      </c>
      <c r="C1470" s="35" t="s">
        <v>479</v>
      </c>
      <c r="D1470" s="34" t="str">
        <f>VLOOKUP(C1470,'[2]PUR-PARTY MASTER'!$B$4:$E$2009,2,FALSE)</f>
        <v>27AAMFC2124K1ZG</v>
      </c>
      <c r="F1470" s="34" t="s">
        <v>22</v>
      </c>
      <c r="G1470" s="136">
        <v>1500</v>
      </c>
      <c r="H1470" s="37">
        <v>43823</v>
      </c>
      <c r="I1470" s="126">
        <v>1350</v>
      </c>
      <c r="J1470" s="640">
        <f t="shared" si="63"/>
        <v>243</v>
      </c>
      <c r="K1470" s="11">
        <v>0</v>
      </c>
      <c r="L1470" s="11">
        <v>121.5</v>
      </c>
      <c r="M1470" s="11">
        <v>121.5</v>
      </c>
      <c r="O1470" s="54">
        <f t="shared" si="64"/>
        <v>1593</v>
      </c>
    </row>
    <row r="1471" spans="1:15" x14ac:dyDescent="0.2">
      <c r="A1471" s="51">
        <v>43800</v>
      </c>
      <c r="B1471" s="11">
        <v>98</v>
      </c>
      <c r="C1471" s="35" t="s">
        <v>705</v>
      </c>
      <c r="D1471" s="34" t="str">
        <f>VLOOKUP(C1471,'[2]PUR-PARTY MASTER'!$B$4:$E$2009,2,FALSE)</f>
        <v>27AABFM8397H1ZT</v>
      </c>
      <c r="F1471" s="34" t="s">
        <v>22</v>
      </c>
      <c r="G1471" s="136" t="s">
        <v>4536</v>
      </c>
      <c r="H1471" s="37">
        <v>43824</v>
      </c>
      <c r="I1471" s="126">
        <v>4300</v>
      </c>
      <c r="J1471" s="640">
        <f t="shared" si="63"/>
        <v>1204</v>
      </c>
      <c r="K1471" s="11">
        <v>0</v>
      </c>
      <c r="L1471" s="11">
        <v>602</v>
      </c>
      <c r="M1471" s="11">
        <v>602</v>
      </c>
      <c r="O1471" s="54">
        <f t="shared" si="64"/>
        <v>5504</v>
      </c>
    </row>
    <row r="1472" spans="1:15" x14ac:dyDescent="0.2">
      <c r="A1472" s="51">
        <v>43800</v>
      </c>
      <c r="B1472" s="11">
        <v>99</v>
      </c>
      <c r="C1472" s="35" t="s">
        <v>554</v>
      </c>
      <c r="D1472" s="34" t="str">
        <f>VLOOKUP(C1472,'[2]PUR-PARTY MASTER'!$B$4:$E$2009,2,FALSE)</f>
        <v>27AACFA1881H1ZL</v>
      </c>
      <c r="F1472" s="34" t="s">
        <v>22</v>
      </c>
      <c r="G1472" s="136">
        <v>15565</v>
      </c>
      <c r="H1472" s="37">
        <v>43824</v>
      </c>
      <c r="I1472" s="126">
        <v>5670</v>
      </c>
      <c r="J1472" s="640">
        <f t="shared" si="63"/>
        <v>1587.6000000000001</v>
      </c>
      <c r="K1472" s="11">
        <v>0</v>
      </c>
      <c r="L1472" s="11">
        <v>793.80000000000007</v>
      </c>
      <c r="M1472" s="11">
        <v>793.80000000000007</v>
      </c>
      <c r="O1472" s="54">
        <f t="shared" si="64"/>
        <v>7257.6</v>
      </c>
    </row>
    <row r="1473" spans="1:15" x14ac:dyDescent="0.2">
      <c r="A1473" s="51">
        <v>43800</v>
      </c>
      <c r="B1473" s="11">
        <v>100</v>
      </c>
      <c r="C1473" s="35" t="s">
        <v>570</v>
      </c>
      <c r="D1473" s="34" t="str">
        <f>VLOOKUP(C1473,'[2]PUR-PARTY MASTER'!$B$4:$E$2009,2,FALSE)</f>
        <v>27AAYPA0273F1ZQ</v>
      </c>
      <c r="F1473" s="34" t="s">
        <v>22</v>
      </c>
      <c r="G1473" s="136" t="s">
        <v>4537</v>
      </c>
      <c r="H1473" s="37">
        <v>43826</v>
      </c>
      <c r="I1473" s="40">
        <v>110673.5</v>
      </c>
      <c r="J1473" s="640">
        <f t="shared" si="63"/>
        <v>19921.240000000002</v>
      </c>
      <c r="K1473" s="11">
        <v>0</v>
      </c>
      <c r="L1473" s="11">
        <v>9960.6200000000008</v>
      </c>
      <c r="M1473" s="11">
        <v>9960.6200000000008</v>
      </c>
      <c r="O1473" s="54">
        <f>+I1473+J1473+0.26</f>
        <v>130595</v>
      </c>
    </row>
    <row r="1474" spans="1:15" x14ac:dyDescent="0.2">
      <c r="A1474" s="51">
        <v>43800</v>
      </c>
      <c r="B1474" s="11">
        <v>101</v>
      </c>
      <c r="C1474" s="35" t="s">
        <v>471</v>
      </c>
      <c r="D1474" s="34" t="str">
        <f>VLOOKUP(C1474,'[2]PUR-PARTY MASTER'!$B$4:$E$2009,2,FALSE)</f>
        <v>27AAECM8871A1ZF</v>
      </c>
      <c r="F1474" s="34" t="s">
        <v>22</v>
      </c>
      <c r="G1474" s="134">
        <v>192008193</v>
      </c>
      <c r="H1474" s="37">
        <v>43826</v>
      </c>
      <c r="I1474" s="126">
        <v>17483.52</v>
      </c>
      <c r="J1474" s="640">
        <f t="shared" si="63"/>
        <v>4895.3856000000005</v>
      </c>
      <c r="K1474" s="11">
        <v>0</v>
      </c>
      <c r="L1474" s="54">
        <v>2447.6928000000003</v>
      </c>
      <c r="M1474" s="54">
        <v>2447.6928000000003</v>
      </c>
      <c r="O1474" s="54">
        <f>+I1474+J1474-0.01</f>
        <v>22378.895600000003</v>
      </c>
    </row>
    <row r="1475" spans="1:15" x14ac:dyDescent="0.2">
      <c r="A1475" s="51">
        <v>43800</v>
      </c>
      <c r="B1475" s="11">
        <v>102</v>
      </c>
      <c r="C1475" s="632" t="s">
        <v>4256</v>
      </c>
      <c r="D1475" s="633" t="s">
        <v>4257</v>
      </c>
      <c r="F1475" s="34" t="s">
        <v>22</v>
      </c>
      <c r="G1475" s="134" t="s">
        <v>4538</v>
      </c>
      <c r="H1475" s="37">
        <v>43824</v>
      </c>
      <c r="I1475" s="126">
        <v>625500</v>
      </c>
      <c r="J1475" s="640">
        <f t="shared" si="63"/>
        <v>112590</v>
      </c>
      <c r="K1475" s="11">
        <v>0</v>
      </c>
      <c r="L1475" s="11">
        <v>56295</v>
      </c>
      <c r="M1475" s="11">
        <v>56295</v>
      </c>
      <c r="O1475" s="54">
        <f t="shared" si="64"/>
        <v>738090</v>
      </c>
    </row>
    <row r="1476" spans="1:15" x14ac:dyDescent="0.2">
      <c r="A1476" s="51">
        <v>43800</v>
      </c>
      <c r="B1476" s="11">
        <v>103</v>
      </c>
      <c r="C1476" s="35" t="s">
        <v>634</v>
      </c>
      <c r="D1476" s="34" t="str">
        <f>VLOOKUP(C1476,'[2]PUR-PARTY MASTER'!$B$4:$E$2009,2,FALSE)</f>
        <v>27AVIPS7433C1ZF</v>
      </c>
      <c r="F1476" s="34" t="s">
        <v>22</v>
      </c>
      <c r="G1476" s="136" t="s">
        <v>4539</v>
      </c>
      <c r="H1476" s="37">
        <v>43822</v>
      </c>
      <c r="I1476" s="40">
        <v>1569</v>
      </c>
      <c r="J1476" s="640">
        <f t="shared" si="63"/>
        <v>251.22</v>
      </c>
      <c r="K1476" s="11">
        <v>0</v>
      </c>
      <c r="L1476" s="11">
        <v>125.61</v>
      </c>
      <c r="M1476" s="11">
        <v>125.61</v>
      </c>
      <c r="O1476" s="54">
        <f>+I1476+J1476-0.22</f>
        <v>1820</v>
      </c>
    </row>
    <row r="1477" spans="1:15" x14ac:dyDescent="0.2">
      <c r="A1477" s="51">
        <v>43800</v>
      </c>
      <c r="B1477" s="11">
        <v>104</v>
      </c>
      <c r="C1477" s="35" t="s">
        <v>471</v>
      </c>
      <c r="D1477" s="34" t="str">
        <f>VLOOKUP(C1477,'[2]PUR-PARTY MASTER'!$B$4:$E$2009,2,FALSE)</f>
        <v>27AAECM8871A1ZF</v>
      </c>
      <c r="F1477" s="34" t="s">
        <v>22</v>
      </c>
      <c r="G1477" s="134">
        <v>192008224</v>
      </c>
      <c r="H1477" s="37">
        <v>43827</v>
      </c>
      <c r="I1477" s="126">
        <v>17483.52</v>
      </c>
      <c r="J1477" s="640">
        <f t="shared" si="63"/>
        <v>4895.3856000000005</v>
      </c>
      <c r="K1477" s="11">
        <v>0</v>
      </c>
      <c r="L1477" s="54">
        <v>2447.6928000000003</v>
      </c>
      <c r="M1477" s="54">
        <v>2447.6928000000003</v>
      </c>
      <c r="O1477" s="54">
        <f>+I1477+J1477-0.01</f>
        <v>22378.895600000003</v>
      </c>
    </row>
    <row r="1478" spans="1:15" x14ac:dyDescent="0.2">
      <c r="A1478" s="51">
        <v>43800</v>
      </c>
      <c r="B1478" s="11">
        <v>105</v>
      </c>
      <c r="C1478" s="35" t="s">
        <v>473</v>
      </c>
      <c r="D1478" s="34" t="str">
        <f>VLOOKUP(C1478,'[2]PUR-PARTY MASTER'!$B$4:$E$2009,2,FALSE)</f>
        <v>27AAACT1848E1ZH</v>
      </c>
      <c r="F1478" s="34" t="s">
        <v>22</v>
      </c>
      <c r="G1478" s="136" t="s">
        <v>4540</v>
      </c>
      <c r="H1478" s="37">
        <v>43827</v>
      </c>
      <c r="I1478" s="126">
        <v>8282.7800000000007</v>
      </c>
      <c r="J1478" s="640">
        <f t="shared" si="63"/>
        <v>2319.9984000000004</v>
      </c>
      <c r="K1478" s="11">
        <v>0</v>
      </c>
      <c r="L1478" s="54">
        <v>1159.9992000000002</v>
      </c>
      <c r="M1478" s="54">
        <v>1159.9992000000002</v>
      </c>
      <c r="O1478" s="54">
        <f t="shared" si="64"/>
        <v>10602.778400000001</v>
      </c>
    </row>
    <row r="1479" spans="1:15" x14ac:dyDescent="0.2">
      <c r="A1479" s="51">
        <v>43800</v>
      </c>
      <c r="B1479" s="11">
        <v>106</v>
      </c>
      <c r="C1479" s="35" t="s">
        <v>570</v>
      </c>
      <c r="D1479" s="34" t="str">
        <f>VLOOKUP(C1479,'[2]PUR-PARTY MASTER'!$B$4:$E$2009,2,FALSE)</f>
        <v>27AAYPA0273F1ZQ</v>
      </c>
      <c r="F1479" s="34" t="s">
        <v>22</v>
      </c>
      <c r="G1479" s="136" t="s">
        <v>4541</v>
      </c>
      <c r="H1479" s="37">
        <v>43828</v>
      </c>
      <c r="I1479" s="40">
        <f>34490.45+400</f>
        <v>34890.449999999997</v>
      </c>
      <c r="J1479" s="640">
        <f t="shared" si="63"/>
        <v>6280.28</v>
      </c>
      <c r="K1479" s="11">
        <v>0</v>
      </c>
      <c r="L1479" s="11">
        <v>3140.14</v>
      </c>
      <c r="M1479" s="11">
        <v>3140.14</v>
      </c>
      <c r="O1479" s="54">
        <f>+I1479+J1479+0.27</f>
        <v>41170.999999999993</v>
      </c>
    </row>
    <row r="1480" spans="1:15" x14ac:dyDescent="0.2">
      <c r="A1480" s="51">
        <v>43800</v>
      </c>
      <c r="B1480" s="11">
        <v>107</v>
      </c>
      <c r="C1480" s="632" t="s">
        <v>1090</v>
      </c>
      <c r="D1480" s="633" t="s">
        <v>1091</v>
      </c>
      <c r="F1480" s="34" t="s">
        <v>22</v>
      </c>
      <c r="G1480" s="136">
        <v>3010</v>
      </c>
      <c r="H1480" s="37">
        <v>43829</v>
      </c>
      <c r="I1480" s="126">
        <v>4987.5</v>
      </c>
      <c r="J1480" s="640">
        <f t="shared" si="63"/>
        <v>1396.5</v>
      </c>
      <c r="K1480" s="11">
        <v>0</v>
      </c>
      <c r="L1480" s="11">
        <v>698.25</v>
      </c>
      <c r="M1480" s="11">
        <v>698.25</v>
      </c>
      <c r="O1480" s="54">
        <f t="shared" si="64"/>
        <v>6384</v>
      </c>
    </row>
    <row r="1481" spans="1:15" x14ac:dyDescent="0.2">
      <c r="A1481" s="51">
        <v>43800</v>
      </c>
      <c r="B1481" s="11">
        <v>108</v>
      </c>
      <c r="C1481" s="35" t="s">
        <v>673</v>
      </c>
      <c r="D1481" s="34" t="str">
        <f>VLOOKUP(C1481,'[2]PUR-PARTY MASTER'!$B$4:$E$2009,2,FALSE)</f>
        <v>27AAFCD5233J1ZM</v>
      </c>
      <c r="F1481" s="34" t="s">
        <v>22</v>
      </c>
      <c r="G1481" s="136" t="s">
        <v>4542</v>
      </c>
      <c r="H1481" s="37">
        <v>43829</v>
      </c>
      <c r="I1481" s="40">
        <f>3250+2000+3000+1820+450</f>
        <v>10520</v>
      </c>
      <c r="J1481" s="640">
        <f t="shared" si="63"/>
        <v>1894.0000000000002</v>
      </c>
      <c r="K1481" s="11">
        <v>0</v>
      </c>
      <c r="L1481" s="11">
        <v>947.00000000000011</v>
      </c>
      <c r="M1481" s="11">
        <v>947.00000000000011</v>
      </c>
      <c r="O1481" s="54">
        <f>+I1481+J1481+28638+930</f>
        <v>41982</v>
      </c>
    </row>
    <row r="1482" spans="1:15" x14ac:dyDescent="0.2">
      <c r="A1482" s="51">
        <v>43800</v>
      </c>
      <c r="B1482" s="11">
        <v>109</v>
      </c>
      <c r="C1482" s="35" t="s">
        <v>570</v>
      </c>
      <c r="D1482" s="34" t="str">
        <f>VLOOKUP(C1482,'[2]PUR-PARTY MASTER'!$B$4:$E$2009,2,FALSE)</f>
        <v>27AAYPA0273F1ZQ</v>
      </c>
      <c r="F1482" s="34" t="s">
        <v>22</v>
      </c>
      <c r="G1482" s="136" t="s">
        <v>4543</v>
      </c>
      <c r="H1482" s="37">
        <v>43826</v>
      </c>
      <c r="I1482" s="40">
        <v>149797.75</v>
      </c>
      <c r="J1482" s="640">
        <f t="shared" si="63"/>
        <v>23610.6</v>
      </c>
      <c r="K1482" s="11">
        <v>0</v>
      </c>
      <c r="L1482" s="11">
        <v>11805.3</v>
      </c>
      <c r="M1482" s="11">
        <v>11805.3</v>
      </c>
      <c r="O1482" s="54">
        <f>+I1482+J1482-0.35</f>
        <v>173408</v>
      </c>
    </row>
    <row r="1483" spans="1:15" x14ac:dyDescent="0.2">
      <c r="A1483" s="51">
        <v>43800</v>
      </c>
      <c r="B1483" s="11">
        <v>110</v>
      </c>
      <c r="C1483" s="35" t="s">
        <v>594</v>
      </c>
      <c r="D1483" s="34" t="str">
        <f>VLOOKUP(C1483,'[2]PUR-PARTY MASTER'!$B$4:$E$2009,2,FALSE)</f>
        <v>27AAHCS2420A1ZX</v>
      </c>
      <c r="F1483" s="34" t="s">
        <v>22</v>
      </c>
      <c r="G1483" s="134">
        <v>191012100</v>
      </c>
      <c r="H1483" s="37">
        <v>43830</v>
      </c>
      <c r="I1483" s="40">
        <v>25494</v>
      </c>
      <c r="J1483" s="640">
        <f t="shared" si="63"/>
        <v>4588.92</v>
      </c>
      <c r="K1483" s="11">
        <v>0</v>
      </c>
      <c r="L1483" s="11">
        <v>2294.46</v>
      </c>
      <c r="M1483" s="11">
        <v>2294.46</v>
      </c>
      <c r="O1483" s="54">
        <f>+I1483+J1483+0.08</f>
        <v>30083</v>
      </c>
    </row>
    <row r="1484" spans="1:15" x14ac:dyDescent="0.2">
      <c r="A1484" s="51">
        <v>43800</v>
      </c>
      <c r="B1484" s="11">
        <v>111</v>
      </c>
      <c r="C1484" s="35" t="s">
        <v>594</v>
      </c>
      <c r="D1484" s="34" t="str">
        <f>VLOOKUP(C1484,'[2]PUR-PARTY MASTER'!$B$4:$E$2009,2,FALSE)</f>
        <v>27AAHCS2420A1ZX</v>
      </c>
      <c r="F1484" s="34" t="s">
        <v>22</v>
      </c>
      <c r="G1484" s="134">
        <v>191012105</v>
      </c>
      <c r="H1484" s="37">
        <v>43830</v>
      </c>
      <c r="I1484" s="40">
        <v>31102</v>
      </c>
      <c r="J1484" s="640">
        <f t="shared" si="63"/>
        <v>5598.36</v>
      </c>
      <c r="K1484" s="11">
        <v>0</v>
      </c>
      <c r="L1484" s="11">
        <v>2799.18</v>
      </c>
      <c r="M1484" s="11">
        <v>2799.18</v>
      </c>
      <c r="O1484" s="54">
        <f>+I1484+J1484-0.36</f>
        <v>36700</v>
      </c>
    </row>
    <row r="1485" spans="1:15" x14ac:dyDescent="0.2">
      <c r="A1485" s="51">
        <v>43800</v>
      </c>
      <c r="B1485" s="11">
        <v>112</v>
      </c>
      <c r="C1485" s="34" t="s">
        <v>589</v>
      </c>
      <c r="D1485" s="34" t="str">
        <f>VLOOKUP(C1485,'[2]PUR-PARTY MASTER'!$B$4:$E$2009,2,FALSE)</f>
        <v>27CVNPK1560R1ZT</v>
      </c>
      <c r="F1485" s="34" t="s">
        <v>22</v>
      </c>
      <c r="G1485" s="134">
        <v>16</v>
      </c>
      <c r="H1485" s="37">
        <v>43830</v>
      </c>
      <c r="I1485" s="39">
        <v>48490.09</v>
      </c>
      <c r="J1485" s="640">
        <f t="shared" si="63"/>
        <v>8728.2161999999989</v>
      </c>
      <c r="K1485" s="11">
        <v>0</v>
      </c>
      <c r="L1485" s="54">
        <v>4364.1080999999995</v>
      </c>
      <c r="M1485" s="54">
        <v>4364.1080999999995</v>
      </c>
      <c r="O1485" s="54">
        <f>+I1485+J1485+0.6</f>
        <v>57218.90619999999</v>
      </c>
    </row>
    <row r="1486" spans="1:15" x14ac:dyDescent="0.2">
      <c r="A1486" s="51">
        <v>43800</v>
      </c>
      <c r="B1486" s="11">
        <v>113</v>
      </c>
      <c r="C1486" s="35" t="s">
        <v>476</v>
      </c>
      <c r="D1486" s="34" t="str">
        <f>VLOOKUP(C1486,'[2]PUR-PARTY MASTER'!$B$4:$E$2009,2,FALSE)</f>
        <v>27AABCO8467D1ZA</v>
      </c>
      <c r="F1486" s="34" t="s">
        <v>22</v>
      </c>
      <c r="G1486" s="136" t="s">
        <v>4544</v>
      </c>
      <c r="H1486" s="37">
        <v>43814</v>
      </c>
      <c r="I1486" s="40">
        <v>62042</v>
      </c>
      <c r="J1486" s="640">
        <f t="shared" si="63"/>
        <v>11168</v>
      </c>
      <c r="K1486" s="11">
        <v>0</v>
      </c>
      <c r="L1486" s="11">
        <v>5584</v>
      </c>
      <c r="M1486" s="11">
        <v>5584</v>
      </c>
      <c r="O1486" s="54">
        <f t="shared" si="64"/>
        <v>73210</v>
      </c>
    </row>
    <row r="1487" spans="1:15" x14ac:dyDescent="0.2">
      <c r="A1487" s="51">
        <v>43800</v>
      </c>
      <c r="B1487" s="11">
        <v>114</v>
      </c>
      <c r="C1487" s="11" t="s">
        <v>155</v>
      </c>
      <c r="D1487" s="34" t="str">
        <f>VLOOKUP(C1487,'[2]SALE PARTY MASTER'!$B$4:$E$501,2,FALSE)</f>
        <v>27AAGCP0139E1ZP</v>
      </c>
      <c r="F1487" s="34" t="s">
        <v>22</v>
      </c>
      <c r="G1487" s="136" t="s">
        <v>4545</v>
      </c>
      <c r="H1487" s="37">
        <v>43820</v>
      </c>
      <c r="I1487" s="40">
        <v>94.06</v>
      </c>
      <c r="J1487" s="640">
        <f t="shared" si="63"/>
        <v>26.34</v>
      </c>
      <c r="K1487" s="11">
        <v>0</v>
      </c>
      <c r="L1487" s="11">
        <v>13.17</v>
      </c>
      <c r="M1487" s="11">
        <v>13.17</v>
      </c>
      <c r="O1487" s="54">
        <f t="shared" si="64"/>
        <v>120.4</v>
      </c>
    </row>
    <row r="1488" spans="1:15" x14ac:dyDescent="0.2">
      <c r="G1488" s="34"/>
      <c r="H1488" s="34"/>
      <c r="I1488" s="34"/>
      <c r="J1488" s="640">
        <f t="shared" ref="J1488:J1513" si="65">+K1488+L1488+M1488+N1488</f>
        <v>0</v>
      </c>
    </row>
    <row r="1489" spans="7:10" x14ac:dyDescent="0.2">
      <c r="G1489" s="34"/>
      <c r="H1489" s="34"/>
      <c r="I1489" s="34"/>
      <c r="J1489" s="640">
        <f t="shared" si="65"/>
        <v>0</v>
      </c>
    </row>
    <row r="1490" spans="7:10" x14ac:dyDescent="0.2">
      <c r="G1490" s="34"/>
      <c r="H1490" s="34"/>
      <c r="I1490" s="34"/>
      <c r="J1490" s="640">
        <f t="shared" si="65"/>
        <v>0</v>
      </c>
    </row>
    <row r="1491" spans="7:10" x14ac:dyDescent="0.2">
      <c r="G1491" s="34"/>
      <c r="H1491" s="34"/>
      <c r="I1491" s="34"/>
      <c r="J1491" s="640">
        <f t="shared" si="65"/>
        <v>0</v>
      </c>
    </row>
    <row r="1492" spans="7:10" x14ac:dyDescent="0.2">
      <c r="G1492" s="34"/>
      <c r="H1492" s="34"/>
      <c r="I1492" s="34"/>
      <c r="J1492" s="640">
        <f t="shared" si="65"/>
        <v>0</v>
      </c>
    </row>
    <row r="1493" spans="7:10" x14ac:dyDescent="0.2">
      <c r="G1493" s="34"/>
      <c r="H1493" s="34"/>
      <c r="I1493" s="34"/>
      <c r="J1493" s="640">
        <f t="shared" si="65"/>
        <v>0</v>
      </c>
    </row>
    <row r="1494" spans="7:10" x14ac:dyDescent="0.2">
      <c r="G1494" s="34"/>
      <c r="H1494" s="34"/>
      <c r="I1494" s="34"/>
      <c r="J1494" s="640">
        <f t="shared" si="65"/>
        <v>0</v>
      </c>
    </row>
    <row r="1495" spans="7:10" x14ac:dyDescent="0.2">
      <c r="G1495" s="34"/>
      <c r="H1495" s="34"/>
      <c r="I1495" s="34"/>
      <c r="J1495" s="640">
        <f t="shared" si="65"/>
        <v>0</v>
      </c>
    </row>
    <row r="1496" spans="7:10" x14ac:dyDescent="0.2">
      <c r="G1496" s="34"/>
      <c r="H1496" s="34"/>
      <c r="I1496" s="34"/>
      <c r="J1496" s="640">
        <f t="shared" si="65"/>
        <v>0</v>
      </c>
    </row>
    <row r="1497" spans="7:10" x14ac:dyDescent="0.2">
      <c r="G1497" s="34"/>
      <c r="H1497" s="34"/>
      <c r="I1497" s="34"/>
      <c r="J1497" s="640">
        <f t="shared" si="65"/>
        <v>0</v>
      </c>
    </row>
    <row r="1498" spans="7:10" x14ac:dyDescent="0.2">
      <c r="G1498" s="34"/>
      <c r="H1498" s="34"/>
      <c r="I1498" s="34"/>
      <c r="J1498" s="640">
        <f t="shared" si="65"/>
        <v>0</v>
      </c>
    </row>
    <row r="1499" spans="7:10" x14ac:dyDescent="0.2">
      <c r="G1499" s="34"/>
      <c r="H1499" s="34"/>
      <c r="I1499" s="34"/>
      <c r="J1499" s="640">
        <f t="shared" si="65"/>
        <v>0</v>
      </c>
    </row>
    <row r="1500" spans="7:10" x14ac:dyDescent="0.2">
      <c r="G1500" s="34"/>
      <c r="H1500" s="34"/>
      <c r="I1500" s="34"/>
      <c r="J1500" s="640">
        <f t="shared" si="65"/>
        <v>0</v>
      </c>
    </row>
    <row r="1501" spans="7:10" x14ac:dyDescent="0.2">
      <c r="G1501" s="34"/>
      <c r="H1501" s="34"/>
      <c r="I1501" s="34"/>
      <c r="J1501" s="640">
        <f t="shared" si="65"/>
        <v>0</v>
      </c>
    </row>
    <row r="1502" spans="7:10" x14ac:dyDescent="0.2">
      <c r="G1502" s="34"/>
      <c r="H1502" s="34"/>
      <c r="I1502" s="34"/>
      <c r="J1502" s="640">
        <f t="shared" si="65"/>
        <v>0</v>
      </c>
    </row>
    <row r="1503" spans="7:10" x14ac:dyDescent="0.2">
      <c r="G1503" s="34"/>
      <c r="H1503" s="34"/>
      <c r="I1503" s="34"/>
      <c r="J1503" s="640">
        <f t="shared" si="65"/>
        <v>0</v>
      </c>
    </row>
    <row r="1504" spans="7:10" x14ac:dyDescent="0.2">
      <c r="G1504" s="34"/>
      <c r="H1504" s="34"/>
      <c r="I1504" s="34"/>
      <c r="J1504" s="640">
        <f t="shared" si="65"/>
        <v>0</v>
      </c>
    </row>
    <row r="1505" spans="7:10" x14ac:dyDescent="0.2">
      <c r="G1505" s="34"/>
      <c r="H1505" s="34"/>
      <c r="I1505" s="34"/>
      <c r="J1505" s="640">
        <f t="shared" si="65"/>
        <v>0</v>
      </c>
    </row>
    <row r="1506" spans="7:10" x14ac:dyDescent="0.2">
      <c r="G1506" s="34"/>
      <c r="H1506" s="34"/>
      <c r="I1506" s="34"/>
      <c r="J1506" s="640">
        <f t="shared" si="65"/>
        <v>0</v>
      </c>
    </row>
    <row r="1507" spans="7:10" x14ac:dyDescent="0.2">
      <c r="G1507" s="34"/>
      <c r="H1507" s="34"/>
      <c r="I1507" s="34"/>
      <c r="J1507" s="640">
        <f t="shared" si="65"/>
        <v>0</v>
      </c>
    </row>
    <row r="1508" spans="7:10" x14ac:dyDescent="0.2">
      <c r="G1508" s="34"/>
      <c r="H1508" s="34"/>
      <c r="I1508" s="34"/>
      <c r="J1508" s="640">
        <f t="shared" si="65"/>
        <v>0</v>
      </c>
    </row>
    <row r="1509" spans="7:10" x14ac:dyDescent="0.2">
      <c r="G1509" s="34"/>
      <c r="H1509" s="34"/>
      <c r="I1509" s="34"/>
      <c r="J1509" s="640">
        <f t="shared" si="65"/>
        <v>0</v>
      </c>
    </row>
    <row r="1510" spans="7:10" x14ac:dyDescent="0.2">
      <c r="G1510" s="34"/>
      <c r="H1510" s="34"/>
      <c r="I1510" s="34"/>
      <c r="J1510" s="640">
        <f t="shared" si="65"/>
        <v>0</v>
      </c>
    </row>
    <row r="1511" spans="7:10" x14ac:dyDescent="0.2">
      <c r="G1511" s="34"/>
      <c r="H1511" s="34"/>
      <c r="I1511" s="34"/>
      <c r="J1511" s="640">
        <f t="shared" si="65"/>
        <v>0</v>
      </c>
    </row>
    <row r="1512" spans="7:10" x14ac:dyDescent="0.2">
      <c r="G1512" s="34"/>
      <c r="H1512" s="34"/>
      <c r="I1512" s="34"/>
      <c r="J1512" s="640">
        <f t="shared" si="65"/>
        <v>0</v>
      </c>
    </row>
    <row r="1513" spans="7:10" x14ac:dyDescent="0.2">
      <c r="G1513" s="34"/>
      <c r="H1513" s="34"/>
      <c r="I1513" s="34"/>
      <c r="J1513" s="640">
        <f t="shared" si="65"/>
        <v>0</v>
      </c>
    </row>
  </sheetData>
  <mergeCells count="11">
    <mergeCell ref="F1:F2"/>
    <mergeCell ref="A1:A2"/>
    <mergeCell ref="B1:B2"/>
    <mergeCell ref="C1:C2"/>
    <mergeCell ref="D1:D2"/>
    <mergeCell ref="E1:E2"/>
    <mergeCell ref="G1:G2"/>
    <mergeCell ref="H1:H2"/>
    <mergeCell ref="I1:I2"/>
    <mergeCell ref="J1:J2"/>
    <mergeCell ref="K1:N1"/>
  </mergeCells>
  <conditionalFormatting sqref="C121">
    <cfRule type="duplicateValues" dxfId="641" priority="151"/>
  </conditionalFormatting>
  <conditionalFormatting sqref="C124">
    <cfRule type="duplicateValues" dxfId="640" priority="150"/>
  </conditionalFormatting>
  <conditionalFormatting sqref="G3:G544 G546:G1138 G1488:G1513">
    <cfRule type="duplicateValues" dxfId="639" priority="152"/>
  </conditionalFormatting>
  <conditionalFormatting sqref="G1:G2">
    <cfRule type="duplicateValues" dxfId="638" priority="149"/>
  </conditionalFormatting>
  <conditionalFormatting sqref="G1373 G1139:G1265">
    <cfRule type="duplicateValues" dxfId="637" priority="143"/>
  </conditionalFormatting>
  <conditionalFormatting sqref="C1300">
    <cfRule type="duplicateValues" dxfId="636" priority="142"/>
  </conditionalFormatting>
  <conditionalFormatting sqref="D1300">
    <cfRule type="duplicateValues" dxfId="635" priority="141"/>
  </conditionalFormatting>
  <conditionalFormatting sqref="D1300">
    <cfRule type="duplicateValues" dxfId="634" priority="140"/>
  </conditionalFormatting>
  <conditionalFormatting sqref="D1300">
    <cfRule type="duplicateValues" dxfId="633" priority="139"/>
  </conditionalFormatting>
  <conditionalFormatting sqref="D1300">
    <cfRule type="duplicateValues" dxfId="632" priority="138"/>
  </conditionalFormatting>
  <conditionalFormatting sqref="D1300">
    <cfRule type="duplicateValues" dxfId="631" priority="137"/>
  </conditionalFormatting>
  <conditionalFormatting sqref="C1300:D1300">
    <cfRule type="duplicateValues" dxfId="630" priority="136"/>
  </conditionalFormatting>
  <conditionalFormatting sqref="C1300">
    <cfRule type="duplicateValues" dxfId="629" priority="135"/>
  </conditionalFormatting>
  <conditionalFormatting sqref="C1325">
    <cfRule type="duplicateValues" dxfId="628" priority="134"/>
  </conditionalFormatting>
  <conditionalFormatting sqref="C1325">
    <cfRule type="duplicateValues" dxfId="627" priority="133"/>
  </conditionalFormatting>
  <conditionalFormatting sqref="C1336">
    <cfRule type="duplicateValues" dxfId="626" priority="132"/>
  </conditionalFormatting>
  <conditionalFormatting sqref="D1336">
    <cfRule type="duplicateValues" dxfId="625" priority="131"/>
  </conditionalFormatting>
  <conditionalFormatting sqref="D1336">
    <cfRule type="duplicateValues" dxfId="624" priority="130"/>
  </conditionalFormatting>
  <conditionalFormatting sqref="D1336">
    <cfRule type="duplicateValues" dxfId="623" priority="129"/>
  </conditionalFormatting>
  <conditionalFormatting sqref="C1336:D1336">
    <cfRule type="duplicateValues" dxfId="622" priority="128"/>
  </conditionalFormatting>
  <conditionalFormatting sqref="C1336">
    <cfRule type="duplicateValues" dxfId="621" priority="127"/>
  </conditionalFormatting>
  <conditionalFormatting sqref="C1337">
    <cfRule type="duplicateValues" dxfId="620" priority="126"/>
  </conditionalFormatting>
  <conditionalFormatting sqref="D1337">
    <cfRule type="duplicateValues" dxfId="619" priority="125"/>
  </conditionalFormatting>
  <conditionalFormatting sqref="D1337">
    <cfRule type="duplicateValues" dxfId="618" priority="124"/>
  </conditionalFormatting>
  <conditionalFormatting sqref="D1337">
    <cfRule type="duplicateValues" dxfId="617" priority="123"/>
  </conditionalFormatting>
  <conditionalFormatting sqref="D1337">
    <cfRule type="duplicateValues" dxfId="616" priority="122"/>
  </conditionalFormatting>
  <conditionalFormatting sqref="D1337">
    <cfRule type="duplicateValues" dxfId="615" priority="121"/>
  </conditionalFormatting>
  <conditionalFormatting sqref="C1337:D1337">
    <cfRule type="duplicateValues" dxfId="614" priority="120"/>
  </conditionalFormatting>
  <conditionalFormatting sqref="C1337">
    <cfRule type="duplicateValues" dxfId="613" priority="119"/>
  </conditionalFormatting>
  <conditionalFormatting sqref="C1355">
    <cfRule type="duplicateValues" dxfId="612" priority="118"/>
  </conditionalFormatting>
  <conditionalFormatting sqref="D1355">
    <cfRule type="duplicateValues" dxfId="611" priority="117"/>
  </conditionalFormatting>
  <conditionalFormatting sqref="D1355">
    <cfRule type="duplicateValues" dxfId="610" priority="116"/>
  </conditionalFormatting>
  <conditionalFormatting sqref="D1355">
    <cfRule type="duplicateValues" dxfId="609" priority="115"/>
  </conditionalFormatting>
  <conditionalFormatting sqref="D1355">
    <cfRule type="duplicateValues" dxfId="608" priority="114"/>
  </conditionalFormatting>
  <conditionalFormatting sqref="D1355">
    <cfRule type="duplicateValues" dxfId="607" priority="113"/>
  </conditionalFormatting>
  <conditionalFormatting sqref="C1355:D1355">
    <cfRule type="duplicateValues" dxfId="606" priority="112"/>
  </conditionalFormatting>
  <conditionalFormatting sqref="C1355">
    <cfRule type="duplicateValues" dxfId="605" priority="111"/>
  </conditionalFormatting>
  <conditionalFormatting sqref="C1365">
    <cfRule type="duplicateValues" dxfId="604" priority="110"/>
  </conditionalFormatting>
  <conditionalFormatting sqref="D1365">
    <cfRule type="duplicateValues" dxfId="603" priority="109"/>
  </conditionalFormatting>
  <conditionalFormatting sqref="D1365">
    <cfRule type="duplicateValues" dxfId="602" priority="108"/>
  </conditionalFormatting>
  <conditionalFormatting sqref="D1365">
    <cfRule type="duplicateValues" dxfId="601" priority="107"/>
  </conditionalFormatting>
  <conditionalFormatting sqref="C1365:D1365">
    <cfRule type="duplicateValues" dxfId="600" priority="106"/>
  </conditionalFormatting>
  <conditionalFormatting sqref="C1365">
    <cfRule type="duplicateValues" dxfId="599" priority="105"/>
  </conditionalFormatting>
  <conditionalFormatting sqref="C1307">
    <cfRule type="duplicateValues" dxfId="598" priority="144"/>
  </conditionalFormatting>
  <conditionalFormatting sqref="C1310">
    <cfRule type="duplicateValues" dxfId="597" priority="145"/>
  </conditionalFormatting>
  <conditionalFormatting sqref="D1310">
    <cfRule type="duplicateValues" dxfId="596" priority="146"/>
  </conditionalFormatting>
  <conditionalFormatting sqref="C1310:D1310">
    <cfRule type="duplicateValues" dxfId="595" priority="147"/>
  </conditionalFormatting>
  <conditionalFormatting sqref="C1376">
    <cfRule type="duplicateValues" dxfId="594" priority="104"/>
  </conditionalFormatting>
  <conditionalFormatting sqref="D1376">
    <cfRule type="duplicateValues" dxfId="593" priority="103"/>
  </conditionalFormatting>
  <conditionalFormatting sqref="D1376">
    <cfRule type="duplicateValues" dxfId="592" priority="102"/>
  </conditionalFormatting>
  <conditionalFormatting sqref="D1376">
    <cfRule type="duplicateValues" dxfId="591" priority="101"/>
  </conditionalFormatting>
  <conditionalFormatting sqref="C1376:D1376">
    <cfRule type="duplicateValues" dxfId="590" priority="100"/>
  </conditionalFormatting>
  <conditionalFormatting sqref="C1376">
    <cfRule type="duplicateValues" dxfId="589" priority="99"/>
  </conditionalFormatting>
  <conditionalFormatting sqref="C1383">
    <cfRule type="duplicateValues" dxfId="588" priority="98"/>
  </conditionalFormatting>
  <conditionalFormatting sqref="D1383">
    <cfRule type="duplicateValues" dxfId="587" priority="97"/>
  </conditionalFormatting>
  <conditionalFormatting sqref="D1383">
    <cfRule type="duplicateValues" dxfId="586" priority="96"/>
  </conditionalFormatting>
  <conditionalFormatting sqref="D1383">
    <cfRule type="duplicateValues" dxfId="585" priority="95"/>
  </conditionalFormatting>
  <conditionalFormatting sqref="D1383">
    <cfRule type="duplicateValues" dxfId="584" priority="94"/>
  </conditionalFormatting>
  <conditionalFormatting sqref="D1383">
    <cfRule type="duplicateValues" dxfId="583" priority="93"/>
  </conditionalFormatting>
  <conditionalFormatting sqref="C1383:D1383">
    <cfRule type="duplicateValues" dxfId="582" priority="92"/>
  </conditionalFormatting>
  <conditionalFormatting sqref="C1383">
    <cfRule type="duplicateValues" dxfId="581" priority="91"/>
  </conditionalFormatting>
  <conditionalFormatting sqref="C1384">
    <cfRule type="duplicateValues" dxfId="580" priority="90"/>
  </conditionalFormatting>
  <conditionalFormatting sqref="D1384">
    <cfRule type="duplicateValues" dxfId="579" priority="89"/>
  </conditionalFormatting>
  <conditionalFormatting sqref="D1384">
    <cfRule type="duplicateValues" dxfId="578" priority="88"/>
  </conditionalFormatting>
  <conditionalFormatting sqref="D1384">
    <cfRule type="duplicateValues" dxfId="577" priority="87"/>
  </conditionalFormatting>
  <conditionalFormatting sqref="C1384:D1384">
    <cfRule type="duplicateValues" dxfId="576" priority="86"/>
  </conditionalFormatting>
  <conditionalFormatting sqref="C1384">
    <cfRule type="duplicateValues" dxfId="575" priority="85"/>
  </conditionalFormatting>
  <conditionalFormatting sqref="C1385">
    <cfRule type="duplicateValues" dxfId="574" priority="84"/>
  </conditionalFormatting>
  <conditionalFormatting sqref="G1388">
    <cfRule type="duplicateValues" dxfId="573" priority="83"/>
  </conditionalFormatting>
  <conditionalFormatting sqref="G1389">
    <cfRule type="duplicateValues" dxfId="572" priority="82"/>
  </conditionalFormatting>
  <conditionalFormatting sqref="C1390">
    <cfRule type="duplicateValues" dxfId="571" priority="81"/>
  </conditionalFormatting>
  <conditionalFormatting sqref="G1390">
    <cfRule type="duplicateValues" dxfId="570" priority="80"/>
  </conditionalFormatting>
  <conditionalFormatting sqref="C1394">
    <cfRule type="duplicateValues" dxfId="569" priority="79"/>
  </conditionalFormatting>
  <conditionalFormatting sqref="G1394">
    <cfRule type="duplicateValues" dxfId="568" priority="78"/>
  </conditionalFormatting>
  <conditionalFormatting sqref="G1395">
    <cfRule type="duplicateValues" dxfId="567" priority="77"/>
  </conditionalFormatting>
  <conditionalFormatting sqref="G1396">
    <cfRule type="duplicateValues" dxfId="566" priority="76"/>
  </conditionalFormatting>
  <conditionalFormatting sqref="C1403">
    <cfRule type="duplicateValues" dxfId="565" priority="75"/>
  </conditionalFormatting>
  <conditionalFormatting sqref="D1403">
    <cfRule type="duplicateValues" dxfId="564" priority="74"/>
  </conditionalFormatting>
  <conditionalFormatting sqref="D1403">
    <cfRule type="duplicateValues" dxfId="563" priority="73"/>
  </conditionalFormatting>
  <conditionalFormatting sqref="D1403">
    <cfRule type="duplicateValues" dxfId="562" priority="72"/>
  </conditionalFormatting>
  <conditionalFormatting sqref="C1403:D1403">
    <cfRule type="duplicateValues" dxfId="561" priority="71"/>
  </conditionalFormatting>
  <conditionalFormatting sqref="C1403">
    <cfRule type="duplicateValues" dxfId="560" priority="70"/>
  </conditionalFormatting>
  <conditionalFormatting sqref="C1414">
    <cfRule type="duplicateValues" dxfId="559" priority="69"/>
  </conditionalFormatting>
  <conditionalFormatting sqref="G1414">
    <cfRule type="duplicateValues" dxfId="558" priority="68"/>
  </conditionalFormatting>
  <conditionalFormatting sqref="C1420">
    <cfRule type="duplicateValues" dxfId="557" priority="67"/>
  </conditionalFormatting>
  <conditionalFormatting sqref="G1420">
    <cfRule type="duplicateValues" dxfId="556" priority="66"/>
  </conditionalFormatting>
  <conditionalFormatting sqref="C1421">
    <cfRule type="duplicateValues" dxfId="555" priority="65"/>
  </conditionalFormatting>
  <conditionalFormatting sqref="D1421">
    <cfRule type="duplicateValues" dxfId="554" priority="64"/>
  </conditionalFormatting>
  <conditionalFormatting sqref="D1421">
    <cfRule type="duplicateValues" dxfId="553" priority="63"/>
  </conditionalFormatting>
  <conditionalFormatting sqref="D1421">
    <cfRule type="duplicateValues" dxfId="552" priority="62"/>
  </conditionalFormatting>
  <conditionalFormatting sqref="D1421">
    <cfRule type="duplicateValues" dxfId="551" priority="61"/>
  </conditionalFormatting>
  <conditionalFormatting sqref="D1421">
    <cfRule type="duplicateValues" dxfId="550" priority="60"/>
  </conditionalFormatting>
  <conditionalFormatting sqref="D1421">
    <cfRule type="duplicateValues" dxfId="549" priority="59"/>
  </conditionalFormatting>
  <conditionalFormatting sqref="D1421">
    <cfRule type="duplicateValues" dxfId="548" priority="58"/>
  </conditionalFormatting>
  <conditionalFormatting sqref="C1421:D1421">
    <cfRule type="duplicateValues" dxfId="547" priority="57"/>
  </conditionalFormatting>
  <conditionalFormatting sqref="C1421">
    <cfRule type="duplicateValues" dxfId="546" priority="56"/>
  </conditionalFormatting>
  <conditionalFormatting sqref="G1421">
    <cfRule type="duplicateValues" dxfId="545" priority="55"/>
  </conditionalFormatting>
  <conditionalFormatting sqref="C1428">
    <cfRule type="duplicateValues" dxfId="544" priority="54"/>
  </conditionalFormatting>
  <conditionalFormatting sqref="D1428">
    <cfRule type="duplicateValues" dxfId="543" priority="53"/>
  </conditionalFormatting>
  <conditionalFormatting sqref="D1428">
    <cfRule type="duplicateValues" dxfId="542" priority="52"/>
  </conditionalFormatting>
  <conditionalFormatting sqref="D1428">
    <cfRule type="duplicateValues" dxfId="541" priority="51"/>
  </conditionalFormatting>
  <conditionalFormatting sqref="D1428">
    <cfRule type="duplicateValues" dxfId="540" priority="50"/>
  </conditionalFormatting>
  <conditionalFormatting sqref="D1428">
    <cfRule type="duplicateValues" dxfId="539" priority="49"/>
  </conditionalFormatting>
  <conditionalFormatting sqref="D1428">
    <cfRule type="duplicateValues" dxfId="538" priority="48"/>
  </conditionalFormatting>
  <conditionalFormatting sqref="D1428">
    <cfRule type="duplicateValues" dxfId="537" priority="47"/>
  </conditionalFormatting>
  <conditionalFormatting sqref="C1428:D1428">
    <cfRule type="duplicateValues" dxfId="536" priority="46"/>
  </conditionalFormatting>
  <conditionalFormatting sqref="C1428">
    <cfRule type="duplicateValues" dxfId="535" priority="45"/>
  </conditionalFormatting>
  <conditionalFormatting sqref="C1429">
    <cfRule type="duplicateValues" dxfId="534" priority="44"/>
  </conditionalFormatting>
  <conditionalFormatting sqref="D1429">
    <cfRule type="duplicateValues" dxfId="533" priority="43"/>
  </conditionalFormatting>
  <conditionalFormatting sqref="D1429">
    <cfRule type="duplicateValues" dxfId="532" priority="42"/>
  </conditionalFormatting>
  <conditionalFormatting sqref="D1429">
    <cfRule type="duplicateValues" dxfId="531" priority="41"/>
  </conditionalFormatting>
  <conditionalFormatting sqref="D1429">
    <cfRule type="duplicateValues" dxfId="530" priority="40"/>
  </conditionalFormatting>
  <conditionalFormatting sqref="D1429">
    <cfRule type="duplicateValues" dxfId="529" priority="39"/>
  </conditionalFormatting>
  <conditionalFormatting sqref="C1429:D1429">
    <cfRule type="duplicateValues" dxfId="528" priority="38"/>
  </conditionalFormatting>
  <conditionalFormatting sqref="C1429">
    <cfRule type="duplicateValues" dxfId="527" priority="37"/>
  </conditionalFormatting>
  <conditionalFormatting sqref="C1430">
    <cfRule type="duplicateValues" dxfId="526" priority="36"/>
  </conditionalFormatting>
  <conditionalFormatting sqref="C1439">
    <cfRule type="duplicateValues" dxfId="525" priority="35"/>
  </conditionalFormatting>
  <conditionalFormatting sqref="D1439">
    <cfRule type="duplicateValues" dxfId="524" priority="34"/>
  </conditionalFormatting>
  <conditionalFormatting sqref="D1439">
    <cfRule type="duplicateValues" dxfId="523" priority="33"/>
  </conditionalFormatting>
  <conditionalFormatting sqref="D1439">
    <cfRule type="duplicateValues" dxfId="522" priority="32"/>
  </conditionalFormatting>
  <conditionalFormatting sqref="C1439:D1439">
    <cfRule type="duplicateValues" dxfId="521" priority="31"/>
  </conditionalFormatting>
  <conditionalFormatting sqref="C1439">
    <cfRule type="duplicateValues" dxfId="520" priority="30"/>
  </conditionalFormatting>
  <conditionalFormatting sqref="C1440">
    <cfRule type="duplicateValues" dxfId="519" priority="29"/>
  </conditionalFormatting>
  <conditionalFormatting sqref="C1445">
    <cfRule type="duplicateValues" dxfId="518" priority="28"/>
  </conditionalFormatting>
  <conditionalFormatting sqref="D1445">
    <cfRule type="duplicateValues" dxfId="517" priority="27"/>
  </conditionalFormatting>
  <conditionalFormatting sqref="D1445">
    <cfRule type="duplicateValues" dxfId="516" priority="26"/>
  </conditionalFormatting>
  <conditionalFormatting sqref="D1445">
    <cfRule type="duplicateValues" dxfId="515" priority="25"/>
  </conditionalFormatting>
  <conditionalFormatting sqref="C1445:D1445">
    <cfRule type="duplicateValues" dxfId="514" priority="24"/>
  </conditionalFormatting>
  <conditionalFormatting sqref="C1445">
    <cfRule type="duplicateValues" dxfId="513" priority="23"/>
  </conditionalFormatting>
  <conditionalFormatting sqref="C1449">
    <cfRule type="duplicateValues" dxfId="512" priority="22"/>
  </conditionalFormatting>
  <conditionalFormatting sqref="C1451">
    <cfRule type="duplicateValues" dxfId="511" priority="21"/>
  </conditionalFormatting>
  <conditionalFormatting sqref="D1451">
    <cfRule type="duplicateValues" dxfId="510" priority="20"/>
  </conditionalFormatting>
  <conditionalFormatting sqref="D1451">
    <cfRule type="duplicateValues" dxfId="509" priority="19"/>
  </conditionalFormatting>
  <conditionalFormatting sqref="D1451">
    <cfRule type="duplicateValues" dxfId="508" priority="18"/>
  </conditionalFormatting>
  <conditionalFormatting sqref="C1451:D1451">
    <cfRule type="duplicateValues" dxfId="507" priority="17"/>
  </conditionalFormatting>
  <conditionalFormatting sqref="C1451">
    <cfRule type="duplicateValues" dxfId="506" priority="16"/>
  </conditionalFormatting>
  <conditionalFormatting sqref="C1466">
    <cfRule type="duplicateValues" dxfId="505" priority="15"/>
  </conditionalFormatting>
  <conditionalFormatting sqref="C1473">
    <cfRule type="duplicateValues" dxfId="504" priority="14"/>
  </conditionalFormatting>
  <conditionalFormatting sqref="C1475">
    <cfRule type="duplicateValues" dxfId="503" priority="13"/>
  </conditionalFormatting>
  <conditionalFormatting sqref="D1475">
    <cfRule type="duplicateValues" dxfId="502" priority="12"/>
  </conditionalFormatting>
  <conditionalFormatting sqref="D1475">
    <cfRule type="duplicateValues" dxfId="501" priority="11"/>
  </conditionalFormatting>
  <conditionalFormatting sqref="D1475">
    <cfRule type="duplicateValues" dxfId="500" priority="10"/>
  </conditionalFormatting>
  <conditionalFormatting sqref="C1475:D1475">
    <cfRule type="duplicateValues" dxfId="499" priority="9"/>
  </conditionalFormatting>
  <conditionalFormatting sqref="C1475">
    <cfRule type="duplicateValues" dxfId="498" priority="8"/>
  </conditionalFormatting>
  <conditionalFormatting sqref="C1479">
    <cfRule type="duplicateValues" dxfId="497" priority="7"/>
  </conditionalFormatting>
  <conditionalFormatting sqref="C1480">
    <cfRule type="duplicateValues" dxfId="496" priority="6"/>
  </conditionalFormatting>
  <conditionalFormatting sqref="D1480">
    <cfRule type="duplicateValues" dxfId="495" priority="5"/>
  </conditionalFormatting>
  <conditionalFormatting sqref="D1480">
    <cfRule type="duplicateValues" dxfId="494" priority="4"/>
  </conditionalFormatting>
  <conditionalFormatting sqref="D1480">
    <cfRule type="duplicateValues" dxfId="493" priority="3"/>
  </conditionalFormatting>
  <conditionalFormatting sqref="C1480:D1480">
    <cfRule type="duplicateValues" dxfId="492" priority="2"/>
  </conditionalFormatting>
  <conditionalFormatting sqref="C1480">
    <cfRule type="duplicateValues" dxfId="491" priority="1"/>
  </conditionalFormatting>
  <conditionalFormatting sqref="C1482">
    <cfRule type="duplicateValues" dxfId="490" priority="148"/>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'[1]SALE PARTY MASTER'!#REF!</xm:f>
          </x14:formula1>
          <xm:sqref>C1454 C1487</xm:sqref>
        </x14:dataValidation>
        <x14:dataValidation type="list" allowBlank="1" showInputMessage="1" showErrorMessage="1">
          <x14:formula1>
            <xm:f>'[2]MASTER SALE PUR TYPE'!#REF!</xm:f>
          </x14:formula1>
          <xm:sqref>F1266:F1372 F1422:F1487 F1391:F1393 F1397:F1413 F1415:F1419 F1374:F1387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33"/>
  <sheetViews>
    <sheetView workbookViewId="0"/>
  </sheetViews>
  <sheetFormatPr defaultColWidth="53.33203125" defaultRowHeight="11.4" x14ac:dyDescent="0.2"/>
  <cols>
    <col min="1" max="1" width="2.88671875" style="661" customWidth="1"/>
    <col min="2" max="2" width="45.88671875" style="661" customWidth="1"/>
    <col min="3" max="3" width="11.44140625" style="661" customWidth="1"/>
    <col min="4" max="4" width="12" style="661" customWidth="1"/>
    <col min="5" max="6" width="17.33203125" style="662" customWidth="1"/>
    <col min="7" max="7" width="15.5546875" style="661" customWidth="1"/>
    <col min="8" max="8" width="10.33203125" style="663" customWidth="1"/>
    <col min="9" max="9" width="9.44140625" style="661" customWidth="1"/>
    <col min="10" max="10" width="44.88671875" style="661" bestFit="1" customWidth="1"/>
    <col min="11" max="11" width="9.109375" style="661" customWidth="1"/>
    <col min="12" max="12" width="8.5546875" style="661" customWidth="1"/>
    <col min="13" max="256" width="53.33203125" style="661"/>
    <col min="257" max="257" width="2.88671875" style="661" customWidth="1"/>
    <col min="258" max="258" width="45.88671875" style="661" customWidth="1"/>
    <col min="259" max="259" width="11.44140625" style="661" customWidth="1"/>
    <col min="260" max="260" width="12" style="661" customWidth="1"/>
    <col min="261" max="262" width="17.33203125" style="661" customWidth="1"/>
    <col min="263" max="263" width="15.5546875" style="661" customWidth="1"/>
    <col min="264" max="264" width="10.33203125" style="661" customWidth="1"/>
    <col min="265" max="265" width="9.44140625" style="661" customWidth="1"/>
    <col min="266" max="266" width="44.88671875" style="661" bestFit="1" customWidth="1"/>
    <col min="267" max="267" width="9.109375" style="661" customWidth="1"/>
    <col min="268" max="268" width="8.5546875" style="661" customWidth="1"/>
    <col min="269" max="512" width="53.33203125" style="661"/>
    <col min="513" max="513" width="2.88671875" style="661" customWidth="1"/>
    <col min="514" max="514" width="45.88671875" style="661" customWidth="1"/>
    <col min="515" max="515" width="11.44140625" style="661" customWidth="1"/>
    <col min="516" max="516" width="12" style="661" customWidth="1"/>
    <col min="517" max="518" width="17.33203125" style="661" customWidth="1"/>
    <col min="519" max="519" width="15.5546875" style="661" customWidth="1"/>
    <col min="520" max="520" width="10.33203125" style="661" customWidth="1"/>
    <col min="521" max="521" width="9.44140625" style="661" customWidth="1"/>
    <col min="522" max="522" width="44.88671875" style="661" bestFit="1" customWidth="1"/>
    <col min="523" max="523" width="9.109375" style="661" customWidth="1"/>
    <col min="524" max="524" width="8.5546875" style="661" customWidth="1"/>
    <col min="525" max="768" width="53.33203125" style="661"/>
    <col min="769" max="769" width="2.88671875" style="661" customWidth="1"/>
    <col min="770" max="770" width="45.88671875" style="661" customWidth="1"/>
    <col min="771" max="771" width="11.44140625" style="661" customWidth="1"/>
    <col min="772" max="772" width="12" style="661" customWidth="1"/>
    <col min="773" max="774" width="17.33203125" style="661" customWidth="1"/>
    <col min="775" max="775" width="15.5546875" style="661" customWidth="1"/>
    <col min="776" max="776" width="10.33203125" style="661" customWidth="1"/>
    <col min="777" max="777" width="9.44140625" style="661" customWidth="1"/>
    <col min="778" max="778" width="44.88671875" style="661" bestFit="1" customWidth="1"/>
    <col min="779" max="779" width="9.109375" style="661" customWidth="1"/>
    <col min="780" max="780" width="8.5546875" style="661" customWidth="1"/>
    <col min="781" max="1024" width="53.33203125" style="661"/>
    <col min="1025" max="1025" width="2.88671875" style="661" customWidth="1"/>
    <col min="1026" max="1026" width="45.88671875" style="661" customWidth="1"/>
    <col min="1027" max="1027" width="11.44140625" style="661" customWidth="1"/>
    <col min="1028" max="1028" width="12" style="661" customWidth="1"/>
    <col min="1029" max="1030" width="17.33203125" style="661" customWidth="1"/>
    <col min="1031" max="1031" width="15.5546875" style="661" customWidth="1"/>
    <col min="1032" max="1032" width="10.33203125" style="661" customWidth="1"/>
    <col min="1033" max="1033" width="9.44140625" style="661" customWidth="1"/>
    <col min="1034" max="1034" width="44.88671875" style="661" bestFit="1" customWidth="1"/>
    <col min="1035" max="1035" width="9.109375" style="661" customWidth="1"/>
    <col min="1036" max="1036" width="8.5546875" style="661" customWidth="1"/>
    <col min="1037" max="1280" width="53.33203125" style="661"/>
    <col min="1281" max="1281" width="2.88671875" style="661" customWidth="1"/>
    <col min="1282" max="1282" width="45.88671875" style="661" customWidth="1"/>
    <col min="1283" max="1283" width="11.44140625" style="661" customWidth="1"/>
    <col min="1284" max="1284" width="12" style="661" customWidth="1"/>
    <col min="1285" max="1286" width="17.33203125" style="661" customWidth="1"/>
    <col min="1287" max="1287" width="15.5546875" style="661" customWidth="1"/>
    <col min="1288" max="1288" width="10.33203125" style="661" customWidth="1"/>
    <col min="1289" max="1289" width="9.44140625" style="661" customWidth="1"/>
    <col min="1290" max="1290" width="44.88671875" style="661" bestFit="1" customWidth="1"/>
    <col min="1291" max="1291" width="9.109375" style="661" customWidth="1"/>
    <col min="1292" max="1292" width="8.5546875" style="661" customWidth="1"/>
    <col min="1293" max="1536" width="53.33203125" style="661"/>
    <col min="1537" max="1537" width="2.88671875" style="661" customWidth="1"/>
    <col min="1538" max="1538" width="45.88671875" style="661" customWidth="1"/>
    <col min="1539" max="1539" width="11.44140625" style="661" customWidth="1"/>
    <col min="1540" max="1540" width="12" style="661" customWidth="1"/>
    <col min="1541" max="1542" width="17.33203125" style="661" customWidth="1"/>
    <col min="1543" max="1543" width="15.5546875" style="661" customWidth="1"/>
    <col min="1544" max="1544" width="10.33203125" style="661" customWidth="1"/>
    <col min="1545" max="1545" width="9.44140625" style="661" customWidth="1"/>
    <col min="1546" max="1546" width="44.88671875" style="661" bestFit="1" customWidth="1"/>
    <col min="1547" max="1547" width="9.109375" style="661" customWidth="1"/>
    <col min="1548" max="1548" width="8.5546875" style="661" customWidth="1"/>
    <col min="1549" max="1792" width="53.33203125" style="661"/>
    <col min="1793" max="1793" width="2.88671875" style="661" customWidth="1"/>
    <col min="1794" max="1794" width="45.88671875" style="661" customWidth="1"/>
    <col min="1795" max="1795" width="11.44140625" style="661" customWidth="1"/>
    <col min="1796" max="1796" width="12" style="661" customWidth="1"/>
    <col min="1797" max="1798" width="17.33203125" style="661" customWidth="1"/>
    <col min="1799" max="1799" width="15.5546875" style="661" customWidth="1"/>
    <col min="1800" max="1800" width="10.33203125" style="661" customWidth="1"/>
    <col min="1801" max="1801" width="9.44140625" style="661" customWidth="1"/>
    <col min="1802" max="1802" width="44.88671875" style="661" bestFit="1" customWidth="1"/>
    <col min="1803" max="1803" width="9.109375" style="661" customWidth="1"/>
    <col min="1804" max="1804" width="8.5546875" style="661" customWidth="1"/>
    <col min="1805" max="2048" width="53.33203125" style="661"/>
    <col min="2049" max="2049" width="2.88671875" style="661" customWidth="1"/>
    <col min="2050" max="2050" width="45.88671875" style="661" customWidth="1"/>
    <col min="2051" max="2051" width="11.44140625" style="661" customWidth="1"/>
    <col min="2052" max="2052" width="12" style="661" customWidth="1"/>
    <col min="2053" max="2054" width="17.33203125" style="661" customWidth="1"/>
    <col min="2055" max="2055" width="15.5546875" style="661" customWidth="1"/>
    <col min="2056" max="2056" width="10.33203125" style="661" customWidth="1"/>
    <col min="2057" max="2057" width="9.44140625" style="661" customWidth="1"/>
    <col min="2058" max="2058" width="44.88671875" style="661" bestFit="1" customWidth="1"/>
    <col min="2059" max="2059" width="9.109375" style="661" customWidth="1"/>
    <col min="2060" max="2060" width="8.5546875" style="661" customWidth="1"/>
    <col min="2061" max="2304" width="53.33203125" style="661"/>
    <col min="2305" max="2305" width="2.88671875" style="661" customWidth="1"/>
    <col min="2306" max="2306" width="45.88671875" style="661" customWidth="1"/>
    <col min="2307" max="2307" width="11.44140625" style="661" customWidth="1"/>
    <col min="2308" max="2308" width="12" style="661" customWidth="1"/>
    <col min="2309" max="2310" width="17.33203125" style="661" customWidth="1"/>
    <col min="2311" max="2311" width="15.5546875" style="661" customWidth="1"/>
    <col min="2312" max="2312" width="10.33203125" style="661" customWidth="1"/>
    <col min="2313" max="2313" width="9.44140625" style="661" customWidth="1"/>
    <col min="2314" max="2314" width="44.88671875" style="661" bestFit="1" customWidth="1"/>
    <col min="2315" max="2315" width="9.109375" style="661" customWidth="1"/>
    <col min="2316" max="2316" width="8.5546875" style="661" customWidth="1"/>
    <col min="2317" max="2560" width="53.33203125" style="661"/>
    <col min="2561" max="2561" width="2.88671875" style="661" customWidth="1"/>
    <col min="2562" max="2562" width="45.88671875" style="661" customWidth="1"/>
    <col min="2563" max="2563" width="11.44140625" style="661" customWidth="1"/>
    <col min="2564" max="2564" width="12" style="661" customWidth="1"/>
    <col min="2565" max="2566" width="17.33203125" style="661" customWidth="1"/>
    <col min="2567" max="2567" width="15.5546875" style="661" customWidth="1"/>
    <col min="2568" max="2568" width="10.33203125" style="661" customWidth="1"/>
    <col min="2569" max="2569" width="9.44140625" style="661" customWidth="1"/>
    <col min="2570" max="2570" width="44.88671875" style="661" bestFit="1" customWidth="1"/>
    <col min="2571" max="2571" width="9.109375" style="661" customWidth="1"/>
    <col min="2572" max="2572" width="8.5546875" style="661" customWidth="1"/>
    <col min="2573" max="2816" width="53.33203125" style="661"/>
    <col min="2817" max="2817" width="2.88671875" style="661" customWidth="1"/>
    <col min="2818" max="2818" width="45.88671875" style="661" customWidth="1"/>
    <col min="2819" max="2819" width="11.44140625" style="661" customWidth="1"/>
    <col min="2820" max="2820" width="12" style="661" customWidth="1"/>
    <col min="2821" max="2822" width="17.33203125" style="661" customWidth="1"/>
    <col min="2823" max="2823" width="15.5546875" style="661" customWidth="1"/>
    <col min="2824" max="2824" width="10.33203125" style="661" customWidth="1"/>
    <col min="2825" max="2825" width="9.44140625" style="661" customWidth="1"/>
    <col min="2826" max="2826" width="44.88671875" style="661" bestFit="1" customWidth="1"/>
    <col min="2827" max="2827" width="9.109375" style="661" customWidth="1"/>
    <col min="2828" max="2828" width="8.5546875" style="661" customWidth="1"/>
    <col min="2829" max="3072" width="53.33203125" style="661"/>
    <col min="3073" max="3073" width="2.88671875" style="661" customWidth="1"/>
    <col min="3074" max="3074" width="45.88671875" style="661" customWidth="1"/>
    <col min="3075" max="3075" width="11.44140625" style="661" customWidth="1"/>
    <col min="3076" max="3076" width="12" style="661" customWidth="1"/>
    <col min="3077" max="3078" width="17.33203125" style="661" customWidth="1"/>
    <col min="3079" max="3079" width="15.5546875" style="661" customWidth="1"/>
    <col min="3080" max="3080" width="10.33203125" style="661" customWidth="1"/>
    <col min="3081" max="3081" width="9.44140625" style="661" customWidth="1"/>
    <col min="3082" max="3082" width="44.88671875" style="661" bestFit="1" customWidth="1"/>
    <col min="3083" max="3083" width="9.109375" style="661" customWidth="1"/>
    <col min="3084" max="3084" width="8.5546875" style="661" customWidth="1"/>
    <col min="3085" max="3328" width="53.33203125" style="661"/>
    <col min="3329" max="3329" width="2.88671875" style="661" customWidth="1"/>
    <col min="3330" max="3330" width="45.88671875" style="661" customWidth="1"/>
    <col min="3331" max="3331" width="11.44140625" style="661" customWidth="1"/>
    <col min="3332" max="3332" width="12" style="661" customWidth="1"/>
    <col min="3333" max="3334" width="17.33203125" style="661" customWidth="1"/>
    <col min="3335" max="3335" width="15.5546875" style="661" customWidth="1"/>
    <col min="3336" max="3336" width="10.33203125" style="661" customWidth="1"/>
    <col min="3337" max="3337" width="9.44140625" style="661" customWidth="1"/>
    <col min="3338" max="3338" width="44.88671875" style="661" bestFit="1" customWidth="1"/>
    <col min="3339" max="3339" width="9.109375" style="661" customWidth="1"/>
    <col min="3340" max="3340" width="8.5546875" style="661" customWidth="1"/>
    <col min="3341" max="3584" width="53.33203125" style="661"/>
    <col min="3585" max="3585" width="2.88671875" style="661" customWidth="1"/>
    <col min="3586" max="3586" width="45.88671875" style="661" customWidth="1"/>
    <col min="3587" max="3587" width="11.44140625" style="661" customWidth="1"/>
    <col min="3588" max="3588" width="12" style="661" customWidth="1"/>
    <col min="3589" max="3590" width="17.33203125" style="661" customWidth="1"/>
    <col min="3591" max="3591" width="15.5546875" style="661" customWidth="1"/>
    <col min="3592" max="3592" width="10.33203125" style="661" customWidth="1"/>
    <col min="3593" max="3593" width="9.44140625" style="661" customWidth="1"/>
    <col min="3594" max="3594" width="44.88671875" style="661" bestFit="1" customWidth="1"/>
    <col min="3595" max="3595" width="9.109375" style="661" customWidth="1"/>
    <col min="3596" max="3596" width="8.5546875" style="661" customWidth="1"/>
    <col min="3597" max="3840" width="53.33203125" style="661"/>
    <col min="3841" max="3841" width="2.88671875" style="661" customWidth="1"/>
    <col min="3842" max="3842" width="45.88671875" style="661" customWidth="1"/>
    <col min="3843" max="3843" width="11.44140625" style="661" customWidth="1"/>
    <col min="3844" max="3844" width="12" style="661" customWidth="1"/>
    <col min="3845" max="3846" width="17.33203125" style="661" customWidth="1"/>
    <col min="3847" max="3847" width="15.5546875" style="661" customWidth="1"/>
    <col min="3848" max="3848" width="10.33203125" style="661" customWidth="1"/>
    <col min="3849" max="3849" width="9.44140625" style="661" customWidth="1"/>
    <col min="3850" max="3850" width="44.88671875" style="661" bestFit="1" customWidth="1"/>
    <col min="3851" max="3851" width="9.109375" style="661" customWidth="1"/>
    <col min="3852" max="3852" width="8.5546875" style="661" customWidth="1"/>
    <col min="3853" max="4096" width="53.33203125" style="661"/>
    <col min="4097" max="4097" width="2.88671875" style="661" customWidth="1"/>
    <col min="4098" max="4098" width="45.88671875" style="661" customWidth="1"/>
    <col min="4099" max="4099" width="11.44140625" style="661" customWidth="1"/>
    <col min="4100" max="4100" width="12" style="661" customWidth="1"/>
    <col min="4101" max="4102" width="17.33203125" style="661" customWidth="1"/>
    <col min="4103" max="4103" width="15.5546875" style="661" customWidth="1"/>
    <col min="4104" max="4104" width="10.33203125" style="661" customWidth="1"/>
    <col min="4105" max="4105" width="9.44140625" style="661" customWidth="1"/>
    <col min="4106" max="4106" width="44.88671875" style="661" bestFit="1" customWidth="1"/>
    <col min="4107" max="4107" width="9.109375" style="661" customWidth="1"/>
    <col min="4108" max="4108" width="8.5546875" style="661" customWidth="1"/>
    <col min="4109" max="4352" width="53.33203125" style="661"/>
    <col min="4353" max="4353" width="2.88671875" style="661" customWidth="1"/>
    <col min="4354" max="4354" width="45.88671875" style="661" customWidth="1"/>
    <col min="4355" max="4355" width="11.44140625" style="661" customWidth="1"/>
    <col min="4356" max="4356" width="12" style="661" customWidth="1"/>
    <col min="4357" max="4358" width="17.33203125" style="661" customWidth="1"/>
    <col min="4359" max="4359" width="15.5546875" style="661" customWidth="1"/>
    <col min="4360" max="4360" width="10.33203125" style="661" customWidth="1"/>
    <col min="4361" max="4361" width="9.44140625" style="661" customWidth="1"/>
    <col min="4362" max="4362" width="44.88671875" style="661" bestFit="1" customWidth="1"/>
    <col min="4363" max="4363" width="9.109375" style="661" customWidth="1"/>
    <col min="4364" max="4364" width="8.5546875" style="661" customWidth="1"/>
    <col min="4365" max="4608" width="53.33203125" style="661"/>
    <col min="4609" max="4609" width="2.88671875" style="661" customWidth="1"/>
    <col min="4610" max="4610" width="45.88671875" style="661" customWidth="1"/>
    <col min="4611" max="4611" width="11.44140625" style="661" customWidth="1"/>
    <col min="4612" max="4612" width="12" style="661" customWidth="1"/>
    <col min="4613" max="4614" width="17.33203125" style="661" customWidth="1"/>
    <col min="4615" max="4615" width="15.5546875" style="661" customWidth="1"/>
    <col min="4616" max="4616" width="10.33203125" style="661" customWidth="1"/>
    <col min="4617" max="4617" width="9.44140625" style="661" customWidth="1"/>
    <col min="4618" max="4618" width="44.88671875" style="661" bestFit="1" customWidth="1"/>
    <col min="4619" max="4619" width="9.109375" style="661" customWidth="1"/>
    <col min="4620" max="4620" width="8.5546875" style="661" customWidth="1"/>
    <col min="4621" max="4864" width="53.33203125" style="661"/>
    <col min="4865" max="4865" width="2.88671875" style="661" customWidth="1"/>
    <col min="4866" max="4866" width="45.88671875" style="661" customWidth="1"/>
    <col min="4867" max="4867" width="11.44140625" style="661" customWidth="1"/>
    <col min="4868" max="4868" width="12" style="661" customWidth="1"/>
    <col min="4869" max="4870" width="17.33203125" style="661" customWidth="1"/>
    <col min="4871" max="4871" width="15.5546875" style="661" customWidth="1"/>
    <col min="4872" max="4872" width="10.33203125" style="661" customWidth="1"/>
    <col min="4873" max="4873" width="9.44140625" style="661" customWidth="1"/>
    <col min="4874" max="4874" width="44.88671875" style="661" bestFit="1" customWidth="1"/>
    <col min="4875" max="4875" width="9.109375" style="661" customWidth="1"/>
    <col min="4876" max="4876" width="8.5546875" style="661" customWidth="1"/>
    <col min="4877" max="5120" width="53.33203125" style="661"/>
    <col min="5121" max="5121" width="2.88671875" style="661" customWidth="1"/>
    <col min="5122" max="5122" width="45.88671875" style="661" customWidth="1"/>
    <col min="5123" max="5123" width="11.44140625" style="661" customWidth="1"/>
    <col min="5124" max="5124" width="12" style="661" customWidth="1"/>
    <col min="5125" max="5126" width="17.33203125" style="661" customWidth="1"/>
    <col min="5127" max="5127" width="15.5546875" style="661" customWidth="1"/>
    <col min="5128" max="5128" width="10.33203125" style="661" customWidth="1"/>
    <col min="5129" max="5129" width="9.44140625" style="661" customWidth="1"/>
    <col min="5130" max="5130" width="44.88671875" style="661" bestFit="1" customWidth="1"/>
    <col min="5131" max="5131" width="9.109375" style="661" customWidth="1"/>
    <col min="5132" max="5132" width="8.5546875" style="661" customWidth="1"/>
    <col min="5133" max="5376" width="53.33203125" style="661"/>
    <col min="5377" max="5377" width="2.88671875" style="661" customWidth="1"/>
    <col min="5378" max="5378" width="45.88671875" style="661" customWidth="1"/>
    <col min="5379" max="5379" width="11.44140625" style="661" customWidth="1"/>
    <col min="5380" max="5380" width="12" style="661" customWidth="1"/>
    <col min="5381" max="5382" width="17.33203125" style="661" customWidth="1"/>
    <col min="5383" max="5383" width="15.5546875" style="661" customWidth="1"/>
    <col min="5384" max="5384" width="10.33203125" style="661" customWidth="1"/>
    <col min="5385" max="5385" width="9.44140625" style="661" customWidth="1"/>
    <col min="5386" max="5386" width="44.88671875" style="661" bestFit="1" customWidth="1"/>
    <col min="5387" max="5387" width="9.109375" style="661" customWidth="1"/>
    <col min="5388" max="5388" width="8.5546875" style="661" customWidth="1"/>
    <col min="5389" max="5632" width="53.33203125" style="661"/>
    <col min="5633" max="5633" width="2.88671875" style="661" customWidth="1"/>
    <col min="5634" max="5634" width="45.88671875" style="661" customWidth="1"/>
    <col min="5635" max="5635" width="11.44140625" style="661" customWidth="1"/>
    <col min="5636" max="5636" width="12" style="661" customWidth="1"/>
    <col min="5637" max="5638" width="17.33203125" style="661" customWidth="1"/>
    <col min="5639" max="5639" width="15.5546875" style="661" customWidth="1"/>
    <col min="5640" max="5640" width="10.33203125" style="661" customWidth="1"/>
    <col min="5641" max="5641" width="9.44140625" style="661" customWidth="1"/>
    <col min="5642" max="5642" width="44.88671875" style="661" bestFit="1" customWidth="1"/>
    <col min="5643" max="5643" width="9.109375" style="661" customWidth="1"/>
    <col min="5644" max="5644" width="8.5546875" style="661" customWidth="1"/>
    <col min="5645" max="5888" width="53.33203125" style="661"/>
    <col min="5889" max="5889" width="2.88671875" style="661" customWidth="1"/>
    <col min="5890" max="5890" width="45.88671875" style="661" customWidth="1"/>
    <col min="5891" max="5891" width="11.44140625" style="661" customWidth="1"/>
    <col min="5892" max="5892" width="12" style="661" customWidth="1"/>
    <col min="5893" max="5894" width="17.33203125" style="661" customWidth="1"/>
    <col min="5895" max="5895" width="15.5546875" style="661" customWidth="1"/>
    <col min="5896" max="5896" width="10.33203125" style="661" customWidth="1"/>
    <col min="5897" max="5897" width="9.44140625" style="661" customWidth="1"/>
    <col min="5898" max="5898" width="44.88671875" style="661" bestFit="1" customWidth="1"/>
    <col min="5899" max="5899" width="9.109375" style="661" customWidth="1"/>
    <col min="5900" max="5900" width="8.5546875" style="661" customWidth="1"/>
    <col min="5901" max="6144" width="53.33203125" style="661"/>
    <col min="6145" max="6145" width="2.88671875" style="661" customWidth="1"/>
    <col min="6146" max="6146" width="45.88671875" style="661" customWidth="1"/>
    <col min="6147" max="6147" width="11.44140625" style="661" customWidth="1"/>
    <col min="6148" max="6148" width="12" style="661" customWidth="1"/>
    <col min="6149" max="6150" width="17.33203125" style="661" customWidth="1"/>
    <col min="6151" max="6151" width="15.5546875" style="661" customWidth="1"/>
    <col min="6152" max="6152" width="10.33203125" style="661" customWidth="1"/>
    <col min="6153" max="6153" width="9.44140625" style="661" customWidth="1"/>
    <col min="6154" max="6154" width="44.88671875" style="661" bestFit="1" customWidth="1"/>
    <col min="6155" max="6155" width="9.109375" style="661" customWidth="1"/>
    <col min="6156" max="6156" width="8.5546875" style="661" customWidth="1"/>
    <col min="6157" max="6400" width="53.33203125" style="661"/>
    <col min="6401" max="6401" width="2.88671875" style="661" customWidth="1"/>
    <col min="6402" max="6402" width="45.88671875" style="661" customWidth="1"/>
    <col min="6403" max="6403" width="11.44140625" style="661" customWidth="1"/>
    <col min="6404" max="6404" width="12" style="661" customWidth="1"/>
    <col min="6405" max="6406" width="17.33203125" style="661" customWidth="1"/>
    <col min="6407" max="6407" width="15.5546875" style="661" customWidth="1"/>
    <col min="6408" max="6408" width="10.33203125" style="661" customWidth="1"/>
    <col min="6409" max="6409" width="9.44140625" style="661" customWidth="1"/>
    <col min="6410" max="6410" width="44.88671875" style="661" bestFit="1" customWidth="1"/>
    <col min="6411" max="6411" width="9.109375" style="661" customWidth="1"/>
    <col min="6412" max="6412" width="8.5546875" style="661" customWidth="1"/>
    <col min="6413" max="6656" width="53.33203125" style="661"/>
    <col min="6657" max="6657" width="2.88671875" style="661" customWidth="1"/>
    <col min="6658" max="6658" width="45.88671875" style="661" customWidth="1"/>
    <col min="6659" max="6659" width="11.44140625" style="661" customWidth="1"/>
    <col min="6660" max="6660" width="12" style="661" customWidth="1"/>
    <col min="6661" max="6662" width="17.33203125" style="661" customWidth="1"/>
    <col min="6663" max="6663" width="15.5546875" style="661" customWidth="1"/>
    <col min="6664" max="6664" width="10.33203125" style="661" customWidth="1"/>
    <col min="6665" max="6665" width="9.44140625" style="661" customWidth="1"/>
    <col min="6666" max="6666" width="44.88671875" style="661" bestFit="1" customWidth="1"/>
    <col min="6667" max="6667" width="9.109375" style="661" customWidth="1"/>
    <col min="6668" max="6668" width="8.5546875" style="661" customWidth="1"/>
    <col min="6669" max="6912" width="53.33203125" style="661"/>
    <col min="6913" max="6913" width="2.88671875" style="661" customWidth="1"/>
    <col min="6914" max="6914" width="45.88671875" style="661" customWidth="1"/>
    <col min="6915" max="6915" width="11.44140625" style="661" customWidth="1"/>
    <col min="6916" max="6916" width="12" style="661" customWidth="1"/>
    <col min="6917" max="6918" width="17.33203125" style="661" customWidth="1"/>
    <col min="6919" max="6919" width="15.5546875" style="661" customWidth="1"/>
    <col min="6920" max="6920" width="10.33203125" style="661" customWidth="1"/>
    <col min="6921" max="6921" width="9.44140625" style="661" customWidth="1"/>
    <col min="6922" max="6922" width="44.88671875" style="661" bestFit="1" customWidth="1"/>
    <col min="6923" max="6923" width="9.109375" style="661" customWidth="1"/>
    <col min="6924" max="6924" width="8.5546875" style="661" customWidth="1"/>
    <col min="6925" max="7168" width="53.33203125" style="661"/>
    <col min="7169" max="7169" width="2.88671875" style="661" customWidth="1"/>
    <col min="7170" max="7170" width="45.88671875" style="661" customWidth="1"/>
    <col min="7171" max="7171" width="11.44140625" style="661" customWidth="1"/>
    <col min="7172" max="7172" width="12" style="661" customWidth="1"/>
    <col min="7173" max="7174" width="17.33203125" style="661" customWidth="1"/>
    <col min="7175" max="7175" width="15.5546875" style="661" customWidth="1"/>
    <col min="7176" max="7176" width="10.33203125" style="661" customWidth="1"/>
    <col min="7177" max="7177" width="9.44140625" style="661" customWidth="1"/>
    <col min="7178" max="7178" width="44.88671875" style="661" bestFit="1" customWidth="1"/>
    <col min="7179" max="7179" width="9.109375" style="661" customWidth="1"/>
    <col min="7180" max="7180" width="8.5546875" style="661" customWidth="1"/>
    <col min="7181" max="7424" width="53.33203125" style="661"/>
    <col min="7425" max="7425" width="2.88671875" style="661" customWidth="1"/>
    <col min="7426" max="7426" width="45.88671875" style="661" customWidth="1"/>
    <col min="7427" max="7427" width="11.44140625" style="661" customWidth="1"/>
    <col min="7428" max="7428" width="12" style="661" customWidth="1"/>
    <col min="7429" max="7430" width="17.33203125" style="661" customWidth="1"/>
    <col min="7431" max="7431" width="15.5546875" style="661" customWidth="1"/>
    <col min="7432" max="7432" width="10.33203125" style="661" customWidth="1"/>
    <col min="7433" max="7433" width="9.44140625" style="661" customWidth="1"/>
    <col min="7434" max="7434" width="44.88671875" style="661" bestFit="1" customWidth="1"/>
    <col min="7435" max="7435" width="9.109375" style="661" customWidth="1"/>
    <col min="7436" max="7436" width="8.5546875" style="661" customWidth="1"/>
    <col min="7437" max="7680" width="53.33203125" style="661"/>
    <col min="7681" max="7681" width="2.88671875" style="661" customWidth="1"/>
    <col min="7682" max="7682" width="45.88671875" style="661" customWidth="1"/>
    <col min="7683" max="7683" width="11.44140625" style="661" customWidth="1"/>
    <col min="7684" max="7684" width="12" style="661" customWidth="1"/>
    <col min="7685" max="7686" width="17.33203125" style="661" customWidth="1"/>
    <col min="7687" max="7687" width="15.5546875" style="661" customWidth="1"/>
    <col min="7688" max="7688" width="10.33203125" style="661" customWidth="1"/>
    <col min="7689" max="7689" width="9.44140625" style="661" customWidth="1"/>
    <col min="7690" max="7690" width="44.88671875" style="661" bestFit="1" customWidth="1"/>
    <col min="7691" max="7691" width="9.109375" style="661" customWidth="1"/>
    <col min="7692" max="7692" width="8.5546875" style="661" customWidth="1"/>
    <col min="7693" max="7936" width="53.33203125" style="661"/>
    <col min="7937" max="7937" width="2.88671875" style="661" customWidth="1"/>
    <col min="7938" max="7938" width="45.88671875" style="661" customWidth="1"/>
    <col min="7939" max="7939" width="11.44140625" style="661" customWidth="1"/>
    <col min="7940" max="7940" width="12" style="661" customWidth="1"/>
    <col min="7941" max="7942" width="17.33203125" style="661" customWidth="1"/>
    <col min="7943" max="7943" width="15.5546875" style="661" customWidth="1"/>
    <col min="7944" max="7944" width="10.33203125" style="661" customWidth="1"/>
    <col min="7945" max="7945" width="9.44140625" style="661" customWidth="1"/>
    <col min="7946" max="7946" width="44.88671875" style="661" bestFit="1" customWidth="1"/>
    <col min="7947" max="7947" width="9.109375" style="661" customWidth="1"/>
    <col min="7948" max="7948" width="8.5546875" style="661" customWidth="1"/>
    <col min="7949" max="8192" width="53.33203125" style="661"/>
    <col min="8193" max="8193" width="2.88671875" style="661" customWidth="1"/>
    <col min="8194" max="8194" width="45.88671875" style="661" customWidth="1"/>
    <col min="8195" max="8195" width="11.44140625" style="661" customWidth="1"/>
    <col min="8196" max="8196" width="12" style="661" customWidth="1"/>
    <col min="8197" max="8198" width="17.33203125" style="661" customWidth="1"/>
    <col min="8199" max="8199" width="15.5546875" style="661" customWidth="1"/>
    <col min="8200" max="8200" width="10.33203125" style="661" customWidth="1"/>
    <col min="8201" max="8201" width="9.44140625" style="661" customWidth="1"/>
    <col min="8202" max="8202" width="44.88671875" style="661" bestFit="1" customWidth="1"/>
    <col min="8203" max="8203" width="9.109375" style="661" customWidth="1"/>
    <col min="8204" max="8204" width="8.5546875" style="661" customWidth="1"/>
    <col min="8205" max="8448" width="53.33203125" style="661"/>
    <col min="8449" max="8449" width="2.88671875" style="661" customWidth="1"/>
    <col min="8450" max="8450" width="45.88671875" style="661" customWidth="1"/>
    <col min="8451" max="8451" width="11.44140625" style="661" customWidth="1"/>
    <col min="8452" max="8452" width="12" style="661" customWidth="1"/>
    <col min="8453" max="8454" width="17.33203125" style="661" customWidth="1"/>
    <col min="8455" max="8455" width="15.5546875" style="661" customWidth="1"/>
    <col min="8456" max="8456" width="10.33203125" style="661" customWidth="1"/>
    <col min="8457" max="8457" width="9.44140625" style="661" customWidth="1"/>
    <col min="8458" max="8458" width="44.88671875" style="661" bestFit="1" customWidth="1"/>
    <col min="8459" max="8459" width="9.109375" style="661" customWidth="1"/>
    <col min="8460" max="8460" width="8.5546875" style="661" customWidth="1"/>
    <col min="8461" max="8704" width="53.33203125" style="661"/>
    <col min="8705" max="8705" width="2.88671875" style="661" customWidth="1"/>
    <col min="8706" max="8706" width="45.88671875" style="661" customWidth="1"/>
    <col min="8707" max="8707" width="11.44140625" style="661" customWidth="1"/>
    <col min="8708" max="8708" width="12" style="661" customWidth="1"/>
    <col min="8709" max="8710" width="17.33203125" style="661" customWidth="1"/>
    <col min="8711" max="8711" width="15.5546875" style="661" customWidth="1"/>
    <col min="8712" max="8712" width="10.33203125" style="661" customWidth="1"/>
    <col min="8713" max="8713" width="9.44140625" style="661" customWidth="1"/>
    <col min="8714" max="8714" width="44.88671875" style="661" bestFit="1" customWidth="1"/>
    <col min="8715" max="8715" width="9.109375" style="661" customWidth="1"/>
    <col min="8716" max="8716" width="8.5546875" style="661" customWidth="1"/>
    <col min="8717" max="8960" width="53.33203125" style="661"/>
    <col min="8961" max="8961" width="2.88671875" style="661" customWidth="1"/>
    <col min="8962" max="8962" width="45.88671875" style="661" customWidth="1"/>
    <col min="8963" max="8963" width="11.44140625" style="661" customWidth="1"/>
    <col min="8964" max="8964" width="12" style="661" customWidth="1"/>
    <col min="8965" max="8966" width="17.33203125" style="661" customWidth="1"/>
    <col min="8967" max="8967" width="15.5546875" style="661" customWidth="1"/>
    <col min="8968" max="8968" width="10.33203125" style="661" customWidth="1"/>
    <col min="8969" max="8969" width="9.44140625" style="661" customWidth="1"/>
    <col min="8970" max="8970" width="44.88671875" style="661" bestFit="1" customWidth="1"/>
    <col min="8971" max="8971" width="9.109375" style="661" customWidth="1"/>
    <col min="8972" max="8972" width="8.5546875" style="661" customWidth="1"/>
    <col min="8973" max="9216" width="53.33203125" style="661"/>
    <col min="9217" max="9217" width="2.88671875" style="661" customWidth="1"/>
    <col min="9218" max="9218" width="45.88671875" style="661" customWidth="1"/>
    <col min="9219" max="9219" width="11.44140625" style="661" customWidth="1"/>
    <col min="9220" max="9220" width="12" style="661" customWidth="1"/>
    <col min="9221" max="9222" width="17.33203125" style="661" customWidth="1"/>
    <col min="9223" max="9223" width="15.5546875" style="661" customWidth="1"/>
    <col min="9224" max="9224" width="10.33203125" style="661" customWidth="1"/>
    <col min="9225" max="9225" width="9.44140625" style="661" customWidth="1"/>
    <col min="9226" max="9226" width="44.88671875" style="661" bestFit="1" customWidth="1"/>
    <col min="9227" max="9227" width="9.109375" style="661" customWidth="1"/>
    <col min="9228" max="9228" width="8.5546875" style="661" customWidth="1"/>
    <col min="9229" max="9472" width="53.33203125" style="661"/>
    <col min="9473" max="9473" width="2.88671875" style="661" customWidth="1"/>
    <col min="9474" max="9474" width="45.88671875" style="661" customWidth="1"/>
    <col min="9475" max="9475" width="11.44140625" style="661" customWidth="1"/>
    <col min="9476" max="9476" width="12" style="661" customWidth="1"/>
    <col min="9477" max="9478" width="17.33203125" style="661" customWidth="1"/>
    <col min="9479" max="9479" width="15.5546875" style="661" customWidth="1"/>
    <col min="9480" max="9480" width="10.33203125" style="661" customWidth="1"/>
    <col min="9481" max="9481" width="9.44140625" style="661" customWidth="1"/>
    <col min="9482" max="9482" width="44.88671875" style="661" bestFit="1" customWidth="1"/>
    <col min="9483" max="9483" width="9.109375" style="661" customWidth="1"/>
    <col min="9484" max="9484" width="8.5546875" style="661" customWidth="1"/>
    <col min="9485" max="9728" width="53.33203125" style="661"/>
    <col min="9729" max="9729" width="2.88671875" style="661" customWidth="1"/>
    <col min="9730" max="9730" width="45.88671875" style="661" customWidth="1"/>
    <col min="9731" max="9731" width="11.44140625" style="661" customWidth="1"/>
    <col min="9732" max="9732" width="12" style="661" customWidth="1"/>
    <col min="9733" max="9734" width="17.33203125" style="661" customWidth="1"/>
    <col min="9735" max="9735" width="15.5546875" style="661" customWidth="1"/>
    <col min="9736" max="9736" width="10.33203125" style="661" customWidth="1"/>
    <col min="9737" max="9737" width="9.44140625" style="661" customWidth="1"/>
    <col min="9738" max="9738" width="44.88671875" style="661" bestFit="1" customWidth="1"/>
    <col min="9739" max="9739" width="9.109375" style="661" customWidth="1"/>
    <col min="9740" max="9740" width="8.5546875" style="661" customWidth="1"/>
    <col min="9741" max="9984" width="53.33203125" style="661"/>
    <col min="9985" max="9985" width="2.88671875" style="661" customWidth="1"/>
    <col min="9986" max="9986" width="45.88671875" style="661" customWidth="1"/>
    <col min="9987" max="9987" width="11.44140625" style="661" customWidth="1"/>
    <col min="9988" max="9988" width="12" style="661" customWidth="1"/>
    <col min="9989" max="9990" width="17.33203125" style="661" customWidth="1"/>
    <col min="9991" max="9991" width="15.5546875" style="661" customWidth="1"/>
    <col min="9992" max="9992" width="10.33203125" style="661" customWidth="1"/>
    <col min="9993" max="9993" width="9.44140625" style="661" customWidth="1"/>
    <col min="9994" max="9994" width="44.88671875" style="661" bestFit="1" customWidth="1"/>
    <col min="9995" max="9995" width="9.109375" style="661" customWidth="1"/>
    <col min="9996" max="9996" width="8.5546875" style="661" customWidth="1"/>
    <col min="9997" max="10240" width="53.33203125" style="661"/>
    <col min="10241" max="10241" width="2.88671875" style="661" customWidth="1"/>
    <col min="10242" max="10242" width="45.88671875" style="661" customWidth="1"/>
    <col min="10243" max="10243" width="11.44140625" style="661" customWidth="1"/>
    <col min="10244" max="10244" width="12" style="661" customWidth="1"/>
    <col min="10245" max="10246" width="17.33203125" style="661" customWidth="1"/>
    <col min="10247" max="10247" width="15.5546875" style="661" customWidth="1"/>
    <col min="10248" max="10248" width="10.33203125" style="661" customWidth="1"/>
    <col min="10249" max="10249" width="9.44140625" style="661" customWidth="1"/>
    <col min="10250" max="10250" width="44.88671875" style="661" bestFit="1" customWidth="1"/>
    <col min="10251" max="10251" width="9.109375" style="661" customWidth="1"/>
    <col min="10252" max="10252" width="8.5546875" style="661" customWidth="1"/>
    <col min="10253" max="10496" width="53.33203125" style="661"/>
    <col min="10497" max="10497" width="2.88671875" style="661" customWidth="1"/>
    <col min="10498" max="10498" width="45.88671875" style="661" customWidth="1"/>
    <col min="10499" max="10499" width="11.44140625" style="661" customWidth="1"/>
    <col min="10500" max="10500" width="12" style="661" customWidth="1"/>
    <col min="10501" max="10502" width="17.33203125" style="661" customWidth="1"/>
    <col min="10503" max="10503" width="15.5546875" style="661" customWidth="1"/>
    <col min="10504" max="10504" width="10.33203125" style="661" customWidth="1"/>
    <col min="10505" max="10505" width="9.44140625" style="661" customWidth="1"/>
    <col min="10506" max="10506" width="44.88671875" style="661" bestFit="1" customWidth="1"/>
    <col min="10507" max="10507" width="9.109375" style="661" customWidth="1"/>
    <col min="10508" max="10508" width="8.5546875" style="661" customWidth="1"/>
    <col min="10509" max="10752" width="53.33203125" style="661"/>
    <col min="10753" max="10753" width="2.88671875" style="661" customWidth="1"/>
    <col min="10754" max="10754" width="45.88671875" style="661" customWidth="1"/>
    <col min="10755" max="10755" width="11.44140625" style="661" customWidth="1"/>
    <col min="10756" max="10756" width="12" style="661" customWidth="1"/>
    <col min="10757" max="10758" width="17.33203125" style="661" customWidth="1"/>
    <col min="10759" max="10759" width="15.5546875" style="661" customWidth="1"/>
    <col min="10760" max="10760" width="10.33203125" style="661" customWidth="1"/>
    <col min="10761" max="10761" width="9.44140625" style="661" customWidth="1"/>
    <col min="10762" max="10762" width="44.88671875" style="661" bestFit="1" customWidth="1"/>
    <col min="10763" max="10763" width="9.109375" style="661" customWidth="1"/>
    <col min="10764" max="10764" width="8.5546875" style="661" customWidth="1"/>
    <col min="10765" max="11008" width="53.33203125" style="661"/>
    <col min="11009" max="11009" width="2.88671875" style="661" customWidth="1"/>
    <col min="11010" max="11010" width="45.88671875" style="661" customWidth="1"/>
    <col min="11011" max="11011" width="11.44140625" style="661" customWidth="1"/>
    <col min="11012" max="11012" width="12" style="661" customWidth="1"/>
    <col min="11013" max="11014" width="17.33203125" style="661" customWidth="1"/>
    <col min="11015" max="11015" width="15.5546875" style="661" customWidth="1"/>
    <col min="11016" max="11016" width="10.33203125" style="661" customWidth="1"/>
    <col min="11017" max="11017" width="9.44140625" style="661" customWidth="1"/>
    <col min="11018" max="11018" width="44.88671875" style="661" bestFit="1" customWidth="1"/>
    <col min="11019" max="11019" width="9.109375" style="661" customWidth="1"/>
    <col min="11020" max="11020" width="8.5546875" style="661" customWidth="1"/>
    <col min="11021" max="11264" width="53.33203125" style="661"/>
    <col min="11265" max="11265" width="2.88671875" style="661" customWidth="1"/>
    <col min="11266" max="11266" width="45.88671875" style="661" customWidth="1"/>
    <col min="11267" max="11267" width="11.44140625" style="661" customWidth="1"/>
    <col min="11268" max="11268" width="12" style="661" customWidth="1"/>
    <col min="11269" max="11270" width="17.33203125" style="661" customWidth="1"/>
    <col min="11271" max="11271" width="15.5546875" style="661" customWidth="1"/>
    <col min="11272" max="11272" width="10.33203125" style="661" customWidth="1"/>
    <col min="11273" max="11273" width="9.44140625" style="661" customWidth="1"/>
    <col min="11274" max="11274" width="44.88671875" style="661" bestFit="1" customWidth="1"/>
    <col min="11275" max="11275" width="9.109375" style="661" customWidth="1"/>
    <col min="11276" max="11276" width="8.5546875" style="661" customWidth="1"/>
    <col min="11277" max="11520" width="53.33203125" style="661"/>
    <col min="11521" max="11521" width="2.88671875" style="661" customWidth="1"/>
    <col min="11522" max="11522" width="45.88671875" style="661" customWidth="1"/>
    <col min="11523" max="11523" width="11.44140625" style="661" customWidth="1"/>
    <col min="11524" max="11524" width="12" style="661" customWidth="1"/>
    <col min="11525" max="11526" width="17.33203125" style="661" customWidth="1"/>
    <col min="11527" max="11527" width="15.5546875" style="661" customWidth="1"/>
    <col min="11528" max="11528" width="10.33203125" style="661" customWidth="1"/>
    <col min="11529" max="11529" width="9.44140625" style="661" customWidth="1"/>
    <col min="11530" max="11530" width="44.88671875" style="661" bestFit="1" customWidth="1"/>
    <col min="11531" max="11531" width="9.109375" style="661" customWidth="1"/>
    <col min="11532" max="11532" width="8.5546875" style="661" customWidth="1"/>
    <col min="11533" max="11776" width="53.33203125" style="661"/>
    <col min="11777" max="11777" width="2.88671875" style="661" customWidth="1"/>
    <col min="11778" max="11778" width="45.88671875" style="661" customWidth="1"/>
    <col min="11779" max="11779" width="11.44140625" style="661" customWidth="1"/>
    <col min="11780" max="11780" width="12" style="661" customWidth="1"/>
    <col min="11781" max="11782" width="17.33203125" style="661" customWidth="1"/>
    <col min="11783" max="11783" width="15.5546875" style="661" customWidth="1"/>
    <col min="11784" max="11784" width="10.33203125" style="661" customWidth="1"/>
    <col min="11785" max="11785" width="9.44140625" style="661" customWidth="1"/>
    <col min="11786" max="11786" width="44.88671875" style="661" bestFit="1" customWidth="1"/>
    <col min="11787" max="11787" width="9.109375" style="661" customWidth="1"/>
    <col min="11788" max="11788" width="8.5546875" style="661" customWidth="1"/>
    <col min="11789" max="12032" width="53.33203125" style="661"/>
    <col min="12033" max="12033" width="2.88671875" style="661" customWidth="1"/>
    <col min="12034" max="12034" width="45.88671875" style="661" customWidth="1"/>
    <col min="12035" max="12035" width="11.44140625" style="661" customWidth="1"/>
    <col min="12036" max="12036" width="12" style="661" customWidth="1"/>
    <col min="12037" max="12038" width="17.33203125" style="661" customWidth="1"/>
    <col min="12039" max="12039" width="15.5546875" style="661" customWidth="1"/>
    <col min="12040" max="12040" width="10.33203125" style="661" customWidth="1"/>
    <col min="12041" max="12041" width="9.44140625" style="661" customWidth="1"/>
    <col min="12042" max="12042" width="44.88671875" style="661" bestFit="1" customWidth="1"/>
    <col min="12043" max="12043" width="9.109375" style="661" customWidth="1"/>
    <col min="12044" max="12044" width="8.5546875" style="661" customWidth="1"/>
    <col min="12045" max="12288" width="53.33203125" style="661"/>
    <col min="12289" max="12289" width="2.88671875" style="661" customWidth="1"/>
    <col min="12290" max="12290" width="45.88671875" style="661" customWidth="1"/>
    <col min="12291" max="12291" width="11.44140625" style="661" customWidth="1"/>
    <col min="12292" max="12292" width="12" style="661" customWidth="1"/>
    <col min="12293" max="12294" width="17.33203125" style="661" customWidth="1"/>
    <col min="12295" max="12295" width="15.5546875" style="661" customWidth="1"/>
    <col min="12296" max="12296" width="10.33203125" style="661" customWidth="1"/>
    <col min="12297" max="12297" width="9.44140625" style="661" customWidth="1"/>
    <col min="12298" max="12298" width="44.88671875" style="661" bestFit="1" customWidth="1"/>
    <col min="12299" max="12299" width="9.109375" style="661" customWidth="1"/>
    <col min="12300" max="12300" width="8.5546875" style="661" customWidth="1"/>
    <col min="12301" max="12544" width="53.33203125" style="661"/>
    <col min="12545" max="12545" width="2.88671875" style="661" customWidth="1"/>
    <col min="12546" max="12546" width="45.88671875" style="661" customWidth="1"/>
    <col min="12547" max="12547" width="11.44140625" style="661" customWidth="1"/>
    <col min="12548" max="12548" width="12" style="661" customWidth="1"/>
    <col min="12549" max="12550" width="17.33203125" style="661" customWidth="1"/>
    <col min="12551" max="12551" width="15.5546875" style="661" customWidth="1"/>
    <col min="12552" max="12552" width="10.33203125" style="661" customWidth="1"/>
    <col min="12553" max="12553" width="9.44140625" style="661" customWidth="1"/>
    <col min="12554" max="12554" width="44.88671875" style="661" bestFit="1" customWidth="1"/>
    <col min="12555" max="12555" width="9.109375" style="661" customWidth="1"/>
    <col min="12556" max="12556" width="8.5546875" style="661" customWidth="1"/>
    <col min="12557" max="12800" width="53.33203125" style="661"/>
    <col min="12801" max="12801" width="2.88671875" style="661" customWidth="1"/>
    <col min="12802" max="12802" width="45.88671875" style="661" customWidth="1"/>
    <col min="12803" max="12803" width="11.44140625" style="661" customWidth="1"/>
    <col min="12804" max="12804" width="12" style="661" customWidth="1"/>
    <col min="12805" max="12806" width="17.33203125" style="661" customWidth="1"/>
    <col min="12807" max="12807" width="15.5546875" style="661" customWidth="1"/>
    <col min="12808" max="12808" width="10.33203125" style="661" customWidth="1"/>
    <col min="12809" max="12809" width="9.44140625" style="661" customWidth="1"/>
    <col min="12810" max="12810" width="44.88671875" style="661" bestFit="1" customWidth="1"/>
    <col min="12811" max="12811" width="9.109375" style="661" customWidth="1"/>
    <col min="12812" max="12812" width="8.5546875" style="661" customWidth="1"/>
    <col min="12813" max="13056" width="53.33203125" style="661"/>
    <col min="13057" max="13057" width="2.88671875" style="661" customWidth="1"/>
    <col min="13058" max="13058" width="45.88671875" style="661" customWidth="1"/>
    <col min="13059" max="13059" width="11.44140625" style="661" customWidth="1"/>
    <col min="13060" max="13060" width="12" style="661" customWidth="1"/>
    <col min="13061" max="13062" width="17.33203125" style="661" customWidth="1"/>
    <col min="13063" max="13063" width="15.5546875" style="661" customWidth="1"/>
    <col min="13064" max="13064" width="10.33203125" style="661" customWidth="1"/>
    <col min="13065" max="13065" width="9.44140625" style="661" customWidth="1"/>
    <col min="13066" max="13066" width="44.88671875" style="661" bestFit="1" customWidth="1"/>
    <col min="13067" max="13067" width="9.109375" style="661" customWidth="1"/>
    <col min="13068" max="13068" width="8.5546875" style="661" customWidth="1"/>
    <col min="13069" max="13312" width="53.33203125" style="661"/>
    <col min="13313" max="13313" width="2.88671875" style="661" customWidth="1"/>
    <col min="13314" max="13314" width="45.88671875" style="661" customWidth="1"/>
    <col min="13315" max="13315" width="11.44140625" style="661" customWidth="1"/>
    <col min="13316" max="13316" width="12" style="661" customWidth="1"/>
    <col min="13317" max="13318" width="17.33203125" style="661" customWidth="1"/>
    <col min="13319" max="13319" width="15.5546875" style="661" customWidth="1"/>
    <col min="13320" max="13320" width="10.33203125" style="661" customWidth="1"/>
    <col min="13321" max="13321" width="9.44140625" style="661" customWidth="1"/>
    <col min="13322" max="13322" width="44.88671875" style="661" bestFit="1" customWidth="1"/>
    <col min="13323" max="13323" width="9.109375" style="661" customWidth="1"/>
    <col min="13324" max="13324" width="8.5546875" style="661" customWidth="1"/>
    <col min="13325" max="13568" width="53.33203125" style="661"/>
    <col min="13569" max="13569" width="2.88671875" style="661" customWidth="1"/>
    <col min="13570" max="13570" width="45.88671875" style="661" customWidth="1"/>
    <col min="13571" max="13571" width="11.44140625" style="661" customWidth="1"/>
    <col min="13572" max="13572" width="12" style="661" customWidth="1"/>
    <col min="13573" max="13574" width="17.33203125" style="661" customWidth="1"/>
    <col min="13575" max="13575" width="15.5546875" style="661" customWidth="1"/>
    <col min="13576" max="13576" width="10.33203125" style="661" customWidth="1"/>
    <col min="13577" max="13577" width="9.44140625" style="661" customWidth="1"/>
    <col min="13578" max="13578" width="44.88671875" style="661" bestFit="1" customWidth="1"/>
    <col min="13579" max="13579" width="9.109375" style="661" customWidth="1"/>
    <col min="13580" max="13580" width="8.5546875" style="661" customWidth="1"/>
    <col min="13581" max="13824" width="53.33203125" style="661"/>
    <col min="13825" max="13825" width="2.88671875" style="661" customWidth="1"/>
    <col min="13826" max="13826" width="45.88671875" style="661" customWidth="1"/>
    <col min="13827" max="13827" width="11.44140625" style="661" customWidth="1"/>
    <col min="13828" max="13828" width="12" style="661" customWidth="1"/>
    <col min="13829" max="13830" width="17.33203125" style="661" customWidth="1"/>
    <col min="13831" max="13831" width="15.5546875" style="661" customWidth="1"/>
    <col min="13832" max="13832" width="10.33203125" style="661" customWidth="1"/>
    <col min="13833" max="13833" width="9.44140625" style="661" customWidth="1"/>
    <col min="13834" max="13834" width="44.88671875" style="661" bestFit="1" customWidth="1"/>
    <col min="13835" max="13835" width="9.109375" style="661" customWidth="1"/>
    <col min="13836" max="13836" width="8.5546875" style="661" customWidth="1"/>
    <col min="13837" max="14080" width="53.33203125" style="661"/>
    <col min="14081" max="14081" width="2.88671875" style="661" customWidth="1"/>
    <col min="14082" max="14082" width="45.88671875" style="661" customWidth="1"/>
    <col min="14083" max="14083" width="11.44140625" style="661" customWidth="1"/>
    <col min="14084" max="14084" width="12" style="661" customWidth="1"/>
    <col min="14085" max="14086" width="17.33203125" style="661" customWidth="1"/>
    <col min="14087" max="14087" width="15.5546875" style="661" customWidth="1"/>
    <col min="14088" max="14088" width="10.33203125" style="661" customWidth="1"/>
    <col min="14089" max="14089" width="9.44140625" style="661" customWidth="1"/>
    <col min="14090" max="14090" width="44.88671875" style="661" bestFit="1" customWidth="1"/>
    <col min="14091" max="14091" width="9.109375" style="661" customWidth="1"/>
    <col min="14092" max="14092" width="8.5546875" style="661" customWidth="1"/>
    <col min="14093" max="14336" width="53.33203125" style="661"/>
    <col min="14337" max="14337" width="2.88671875" style="661" customWidth="1"/>
    <col min="14338" max="14338" width="45.88671875" style="661" customWidth="1"/>
    <col min="14339" max="14339" width="11.44140625" style="661" customWidth="1"/>
    <col min="14340" max="14340" width="12" style="661" customWidth="1"/>
    <col min="14341" max="14342" width="17.33203125" style="661" customWidth="1"/>
    <col min="14343" max="14343" width="15.5546875" style="661" customWidth="1"/>
    <col min="14344" max="14344" width="10.33203125" style="661" customWidth="1"/>
    <col min="14345" max="14345" width="9.44140625" style="661" customWidth="1"/>
    <col min="14346" max="14346" width="44.88671875" style="661" bestFit="1" customWidth="1"/>
    <col min="14347" max="14347" width="9.109375" style="661" customWidth="1"/>
    <col min="14348" max="14348" width="8.5546875" style="661" customWidth="1"/>
    <col min="14349" max="14592" width="53.33203125" style="661"/>
    <col min="14593" max="14593" width="2.88671875" style="661" customWidth="1"/>
    <col min="14594" max="14594" width="45.88671875" style="661" customWidth="1"/>
    <col min="14595" max="14595" width="11.44140625" style="661" customWidth="1"/>
    <col min="14596" max="14596" width="12" style="661" customWidth="1"/>
    <col min="14597" max="14598" width="17.33203125" style="661" customWidth="1"/>
    <col min="14599" max="14599" width="15.5546875" style="661" customWidth="1"/>
    <col min="14600" max="14600" width="10.33203125" style="661" customWidth="1"/>
    <col min="14601" max="14601" width="9.44140625" style="661" customWidth="1"/>
    <col min="14602" max="14602" width="44.88671875" style="661" bestFit="1" customWidth="1"/>
    <col min="14603" max="14603" width="9.109375" style="661" customWidth="1"/>
    <col min="14604" max="14604" width="8.5546875" style="661" customWidth="1"/>
    <col min="14605" max="14848" width="53.33203125" style="661"/>
    <col min="14849" max="14849" width="2.88671875" style="661" customWidth="1"/>
    <col min="14850" max="14850" width="45.88671875" style="661" customWidth="1"/>
    <col min="14851" max="14851" width="11.44140625" style="661" customWidth="1"/>
    <col min="14852" max="14852" width="12" style="661" customWidth="1"/>
    <col min="14853" max="14854" width="17.33203125" style="661" customWidth="1"/>
    <col min="14855" max="14855" width="15.5546875" style="661" customWidth="1"/>
    <col min="14856" max="14856" width="10.33203125" style="661" customWidth="1"/>
    <col min="14857" max="14857" width="9.44140625" style="661" customWidth="1"/>
    <col min="14858" max="14858" width="44.88671875" style="661" bestFit="1" customWidth="1"/>
    <col min="14859" max="14859" width="9.109375" style="661" customWidth="1"/>
    <col min="14860" max="14860" width="8.5546875" style="661" customWidth="1"/>
    <col min="14861" max="15104" width="53.33203125" style="661"/>
    <col min="15105" max="15105" width="2.88671875" style="661" customWidth="1"/>
    <col min="15106" max="15106" width="45.88671875" style="661" customWidth="1"/>
    <col min="15107" max="15107" width="11.44140625" style="661" customWidth="1"/>
    <col min="15108" max="15108" width="12" style="661" customWidth="1"/>
    <col min="15109" max="15110" width="17.33203125" style="661" customWidth="1"/>
    <col min="15111" max="15111" width="15.5546875" style="661" customWidth="1"/>
    <col min="15112" max="15112" width="10.33203125" style="661" customWidth="1"/>
    <col min="15113" max="15113" width="9.44140625" style="661" customWidth="1"/>
    <col min="15114" max="15114" width="44.88671875" style="661" bestFit="1" customWidth="1"/>
    <col min="15115" max="15115" width="9.109375" style="661" customWidth="1"/>
    <col min="15116" max="15116" width="8.5546875" style="661" customWidth="1"/>
    <col min="15117" max="15360" width="53.33203125" style="661"/>
    <col min="15361" max="15361" width="2.88671875" style="661" customWidth="1"/>
    <col min="15362" max="15362" width="45.88671875" style="661" customWidth="1"/>
    <col min="15363" max="15363" width="11.44140625" style="661" customWidth="1"/>
    <col min="15364" max="15364" width="12" style="661" customWidth="1"/>
    <col min="15365" max="15366" width="17.33203125" style="661" customWidth="1"/>
    <col min="15367" max="15367" width="15.5546875" style="661" customWidth="1"/>
    <col min="15368" max="15368" width="10.33203125" style="661" customWidth="1"/>
    <col min="15369" max="15369" width="9.44140625" style="661" customWidth="1"/>
    <col min="15370" max="15370" width="44.88671875" style="661" bestFit="1" customWidth="1"/>
    <col min="15371" max="15371" width="9.109375" style="661" customWidth="1"/>
    <col min="15372" max="15372" width="8.5546875" style="661" customWidth="1"/>
    <col min="15373" max="15616" width="53.33203125" style="661"/>
    <col min="15617" max="15617" width="2.88671875" style="661" customWidth="1"/>
    <col min="15618" max="15618" width="45.88671875" style="661" customWidth="1"/>
    <col min="15619" max="15619" width="11.44140625" style="661" customWidth="1"/>
    <col min="15620" max="15620" width="12" style="661" customWidth="1"/>
    <col min="15621" max="15622" width="17.33203125" style="661" customWidth="1"/>
    <col min="15623" max="15623" width="15.5546875" style="661" customWidth="1"/>
    <col min="15624" max="15624" width="10.33203125" style="661" customWidth="1"/>
    <col min="15625" max="15625" width="9.44140625" style="661" customWidth="1"/>
    <col min="15626" max="15626" width="44.88671875" style="661" bestFit="1" customWidth="1"/>
    <col min="15627" max="15627" width="9.109375" style="661" customWidth="1"/>
    <col min="15628" max="15628" width="8.5546875" style="661" customWidth="1"/>
    <col min="15629" max="15872" width="53.33203125" style="661"/>
    <col min="15873" max="15873" width="2.88671875" style="661" customWidth="1"/>
    <col min="15874" max="15874" width="45.88671875" style="661" customWidth="1"/>
    <col min="15875" max="15875" width="11.44140625" style="661" customWidth="1"/>
    <col min="15876" max="15876" width="12" style="661" customWidth="1"/>
    <col min="15877" max="15878" width="17.33203125" style="661" customWidth="1"/>
    <col min="15879" max="15879" width="15.5546875" style="661" customWidth="1"/>
    <col min="15880" max="15880" width="10.33203125" style="661" customWidth="1"/>
    <col min="15881" max="15881" width="9.44140625" style="661" customWidth="1"/>
    <col min="15882" max="15882" width="44.88671875" style="661" bestFit="1" customWidth="1"/>
    <col min="15883" max="15883" width="9.109375" style="661" customWidth="1"/>
    <col min="15884" max="15884" width="8.5546875" style="661" customWidth="1"/>
    <col min="15885" max="16128" width="53.33203125" style="661"/>
    <col min="16129" max="16129" width="2.88671875" style="661" customWidth="1"/>
    <col min="16130" max="16130" width="45.88671875" style="661" customWidth="1"/>
    <col min="16131" max="16131" width="11.44140625" style="661" customWidth="1"/>
    <col min="16132" max="16132" width="12" style="661" customWidth="1"/>
    <col min="16133" max="16134" width="17.33203125" style="661" customWidth="1"/>
    <col min="16135" max="16135" width="15.5546875" style="661" customWidth="1"/>
    <col min="16136" max="16136" width="10.33203125" style="661" customWidth="1"/>
    <col min="16137" max="16137" width="9.44140625" style="661" customWidth="1"/>
    <col min="16138" max="16138" width="44.88671875" style="661" bestFit="1" customWidth="1"/>
    <col min="16139" max="16139" width="9.109375" style="661" customWidth="1"/>
    <col min="16140" max="16140" width="8.5546875" style="661" customWidth="1"/>
    <col min="16141" max="16384" width="53.33203125" style="661"/>
  </cols>
  <sheetData>
    <row r="1" spans="2:8" ht="12" thickBot="1" x14ac:dyDescent="0.25"/>
    <row r="2" spans="2:8" ht="13.2" thickTop="1" thickBot="1" x14ac:dyDescent="0.3">
      <c r="B2" s="1232" t="s">
        <v>3759</v>
      </c>
      <c r="C2" s="1232"/>
      <c r="D2" s="1232"/>
      <c r="E2" s="1233"/>
      <c r="F2" s="1233"/>
    </row>
    <row r="3" spans="2:8" ht="12.6" thickTop="1" x14ac:dyDescent="0.25">
      <c r="B3" s="664" t="s">
        <v>3760</v>
      </c>
      <c r="C3" s="665"/>
      <c r="D3" s="666"/>
      <c r="E3" s="667"/>
      <c r="F3" s="667"/>
    </row>
    <row r="4" spans="2:8" ht="12" x14ac:dyDescent="0.25">
      <c r="B4" s="668" t="s">
        <v>3761</v>
      </c>
      <c r="C4" s="669"/>
      <c r="D4" s="670"/>
      <c r="E4" s="671" t="s">
        <v>3762</v>
      </c>
      <c r="F4" s="671" t="s">
        <v>3763</v>
      </c>
    </row>
    <row r="5" spans="2:8" x14ac:dyDescent="0.2">
      <c r="B5" s="672" t="s">
        <v>3764</v>
      </c>
      <c r="C5" s="673"/>
      <c r="D5" s="674"/>
      <c r="E5" s="675" t="s">
        <v>3765</v>
      </c>
      <c r="F5" s="675" t="s">
        <v>3766</v>
      </c>
    </row>
    <row r="6" spans="2:8" ht="12" x14ac:dyDescent="0.25">
      <c r="B6" s="672" t="s">
        <v>3767</v>
      </c>
      <c r="C6" s="673"/>
      <c r="D6" s="674"/>
      <c r="E6" s="676" t="s">
        <v>3768</v>
      </c>
      <c r="F6" s="676" t="s">
        <v>3769</v>
      </c>
    </row>
    <row r="7" spans="2:8" ht="12" x14ac:dyDescent="0.25">
      <c r="B7" s="672" t="s">
        <v>3770</v>
      </c>
      <c r="C7" s="673"/>
      <c r="D7" s="674"/>
      <c r="E7" s="676" t="s">
        <v>3771</v>
      </c>
      <c r="F7" s="676" t="s">
        <v>3772</v>
      </c>
    </row>
    <row r="8" spans="2:8" ht="12.6" thickBot="1" x14ac:dyDescent="0.3">
      <c r="B8" s="677" t="s">
        <v>3773</v>
      </c>
      <c r="C8" s="678"/>
      <c r="D8" s="679"/>
      <c r="E8" s="680" t="s">
        <v>3774</v>
      </c>
      <c r="F8" s="680" t="s">
        <v>3775</v>
      </c>
    </row>
    <row r="9" spans="2:8" ht="13.2" thickTop="1" thickBot="1" x14ac:dyDescent="0.3">
      <c r="B9" s="1234" t="s">
        <v>3776</v>
      </c>
      <c r="C9" s="1234"/>
      <c r="D9" s="1234"/>
      <c r="E9" s="1234"/>
      <c r="F9" s="1234"/>
    </row>
    <row r="10" spans="2:8" ht="13.2" thickTop="1" thickBot="1" x14ac:dyDescent="0.3">
      <c r="B10" s="681" t="s">
        <v>1517</v>
      </c>
      <c r="C10" s="682"/>
      <c r="D10" s="683"/>
      <c r="E10" s="684" t="s">
        <v>3777</v>
      </c>
      <c r="F10" s="684" t="s">
        <v>3777</v>
      </c>
    </row>
    <row r="11" spans="2:8" ht="12.6" thickTop="1" x14ac:dyDescent="0.25">
      <c r="B11" s="685"/>
      <c r="C11" s="686"/>
      <c r="D11" s="687"/>
      <c r="E11" s="688"/>
      <c r="F11" s="688"/>
    </row>
    <row r="12" spans="2:8" x14ac:dyDescent="0.2">
      <c r="B12" s="689" t="s">
        <v>3778</v>
      </c>
      <c r="C12" s="690"/>
      <c r="D12" s="691"/>
      <c r="E12" s="692"/>
      <c r="F12" s="692"/>
    </row>
    <row r="13" spans="2:8" s="693" customFormat="1" x14ac:dyDescent="0.2">
      <c r="B13" s="694" t="s">
        <v>3779</v>
      </c>
      <c r="C13" s="695"/>
      <c r="D13" s="696"/>
      <c r="E13" s="697">
        <v>-3543180.36</v>
      </c>
      <c r="F13" s="697"/>
      <c r="H13" s="698"/>
    </row>
    <row r="14" spans="2:8" s="693" customFormat="1" x14ac:dyDescent="0.2">
      <c r="B14" s="699"/>
      <c r="C14" s="700"/>
      <c r="D14" s="701"/>
      <c r="E14" s="697"/>
      <c r="F14" s="697">
        <v>-3543180.36</v>
      </c>
      <c r="H14" s="698"/>
    </row>
    <row r="15" spans="2:8" s="693" customFormat="1" x14ac:dyDescent="0.2">
      <c r="B15" s="699" t="s">
        <v>3780</v>
      </c>
      <c r="C15" s="700"/>
      <c r="D15" s="701"/>
      <c r="E15" s="697"/>
      <c r="F15" s="697"/>
      <c r="H15" s="698"/>
    </row>
    <row r="16" spans="2:8" s="693" customFormat="1" x14ac:dyDescent="0.2">
      <c r="B16" s="702" t="s">
        <v>3781</v>
      </c>
      <c r="C16" s="703"/>
      <c r="D16" s="704"/>
      <c r="E16" s="697"/>
      <c r="F16" s="697"/>
      <c r="H16" s="698"/>
    </row>
    <row r="17" spans="2:8" s="693" customFormat="1" x14ac:dyDescent="0.2">
      <c r="B17" s="702" t="s">
        <v>3782</v>
      </c>
      <c r="C17" s="703"/>
      <c r="D17" s="704"/>
      <c r="E17" s="705">
        <v>2575175</v>
      </c>
      <c r="F17" s="697"/>
      <c r="H17" s="698"/>
    </row>
    <row r="18" spans="2:8" s="693" customFormat="1" x14ac:dyDescent="0.2">
      <c r="B18" s="702" t="s">
        <v>3783</v>
      </c>
      <c r="C18" s="703"/>
      <c r="D18" s="704"/>
      <c r="E18" s="705">
        <v>0</v>
      </c>
      <c r="F18" s="697"/>
      <c r="H18" s="698"/>
    </row>
    <row r="19" spans="2:8" s="693" customFormat="1" x14ac:dyDescent="0.2">
      <c r="B19" s="702" t="s">
        <v>3784</v>
      </c>
      <c r="C19" s="703"/>
      <c r="D19" s="704"/>
      <c r="E19" s="705">
        <v>87298</v>
      </c>
      <c r="F19" s="697"/>
      <c r="H19" s="698"/>
    </row>
    <row r="20" spans="2:8" s="693" customFormat="1" x14ac:dyDescent="0.2">
      <c r="B20" s="702" t="s">
        <v>3785</v>
      </c>
      <c r="C20" s="703"/>
      <c r="D20" s="704"/>
      <c r="E20" s="705">
        <v>0</v>
      </c>
      <c r="F20" s="697"/>
      <c r="H20" s="698"/>
    </row>
    <row r="21" spans="2:8" s="693" customFormat="1" x14ac:dyDescent="0.2">
      <c r="B21" s="702" t="s">
        <v>3786</v>
      </c>
      <c r="C21" s="703"/>
      <c r="D21" s="704"/>
      <c r="E21" s="705">
        <v>0</v>
      </c>
      <c r="F21" s="697"/>
      <c r="H21" s="698"/>
    </row>
    <row r="22" spans="2:8" s="693" customFormat="1" x14ac:dyDescent="0.2">
      <c r="B22" s="702" t="s">
        <v>3787</v>
      </c>
      <c r="C22" s="703"/>
      <c r="D22" s="704"/>
      <c r="E22" s="705">
        <v>0</v>
      </c>
      <c r="F22" s="697"/>
      <c r="H22" s="698"/>
    </row>
    <row r="23" spans="2:8" s="693" customFormat="1" x14ac:dyDescent="0.2">
      <c r="B23" s="702" t="s">
        <v>3788</v>
      </c>
      <c r="C23" s="703"/>
      <c r="D23" s="704"/>
      <c r="E23" s="705">
        <v>0</v>
      </c>
      <c r="F23" s="697"/>
      <c r="H23" s="698"/>
    </row>
    <row r="24" spans="2:8" s="693" customFormat="1" x14ac:dyDescent="0.2">
      <c r="B24" s="702" t="s">
        <v>3789</v>
      </c>
      <c r="C24" s="703"/>
      <c r="D24" s="704"/>
      <c r="E24" s="705">
        <v>0</v>
      </c>
      <c r="F24" s="697"/>
      <c r="H24" s="698"/>
    </row>
    <row r="25" spans="2:8" s="693" customFormat="1" x14ac:dyDescent="0.2">
      <c r="B25" s="702" t="s">
        <v>3790</v>
      </c>
      <c r="C25" s="703"/>
      <c r="D25" s="704"/>
      <c r="E25" s="705">
        <v>0</v>
      </c>
      <c r="F25" s="697"/>
      <c r="H25" s="698"/>
    </row>
    <row r="26" spans="2:8" s="693" customFormat="1" x14ac:dyDescent="0.2">
      <c r="B26" s="702" t="s">
        <v>3791</v>
      </c>
      <c r="C26" s="703"/>
      <c r="D26" s="704"/>
      <c r="E26" s="705">
        <v>0</v>
      </c>
      <c r="F26" s="697"/>
      <c r="H26" s="698"/>
    </row>
    <row r="27" spans="2:8" s="693" customFormat="1" x14ac:dyDescent="0.2">
      <c r="B27" s="702" t="s">
        <v>3792</v>
      </c>
      <c r="C27" s="703"/>
      <c r="D27" s="704"/>
      <c r="E27" s="705"/>
      <c r="F27" s="697"/>
      <c r="H27" s="698"/>
    </row>
    <row r="28" spans="2:8" s="693" customFormat="1" x14ac:dyDescent="0.2">
      <c r="B28" s="702" t="s">
        <v>3793</v>
      </c>
      <c r="C28" s="703"/>
      <c r="D28" s="704"/>
      <c r="E28" s="705">
        <v>20272.5</v>
      </c>
      <c r="F28" s="697"/>
      <c r="H28" s="698"/>
    </row>
    <row r="29" spans="2:8" s="693" customFormat="1" x14ac:dyDescent="0.2">
      <c r="B29" s="702" t="s">
        <v>3794</v>
      </c>
      <c r="C29" s="703"/>
      <c r="D29" s="704"/>
      <c r="E29" s="705"/>
      <c r="F29" s="697"/>
      <c r="H29" s="698"/>
    </row>
    <row r="30" spans="2:8" s="693" customFormat="1" x14ac:dyDescent="0.2">
      <c r="B30" s="706">
        <v>2</v>
      </c>
      <c r="C30" s="707"/>
      <c r="D30" s="708"/>
      <c r="E30" s="705"/>
      <c r="F30" s="697"/>
      <c r="H30" s="698"/>
    </row>
    <row r="31" spans="2:8" s="693" customFormat="1" x14ac:dyDescent="0.2">
      <c r="B31" s="702" t="s">
        <v>3795</v>
      </c>
      <c r="C31" s="703"/>
      <c r="D31" s="704"/>
      <c r="E31" s="705"/>
      <c r="F31" s="697"/>
      <c r="H31" s="698"/>
    </row>
    <row r="32" spans="2:8" s="693" customFormat="1" x14ac:dyDescent="0.2">
      <c r="B32" s="702" t="s">
        <v>3796</v>
      </c>
      <c r="C32" s="703"/>
      <c r="D32" s="704"/>
      <c r="E32" s="705"/>
      <c r="F32" s="697"/>
      <c r="H32" s="698"/>
    </row>
    <row r="33" spans="2:8" s="693" customFormat="1" x14ac:dyDescent="0.2">
      <c r="B33" s="702" t="s">
        <v>3797</v>
      </c>
      <c r="C33" s="703"/>
      <c r="D33" s="704"/>
      <c r="E33" s="705"/>
      <c r="F33" s="697"/>
      <c r="H33" s="698"/>
    </row>
    <row r="34" spans="2:8" s="693" customFormat="1" x14ac:dyDescent="0.2">
      <c r="B34" s="706" t="s">
        <v>3798</v>
      </c>
      <c r="C34" s="707"/>
      <c r="D34" s="708"/>
      <c r="E34" s="697"/>
      <c r="F34" s="697"/>
      <c r="H34" s="698"/>
    </row>
    <row r="35" spans="2:8" s="693" customFormat="1" x14ac:dyDescent="0.2">
      <c r="B35" s="709" t="s">
        <v>3799</v>
      </c>
      <c r="C35" s="710"/>
      <c r="D35" s="711"/>
      <c r="E35" s="697"/>
      <c r="F35" s="697"/>
      <c r="H35" s="698"/>
    </row>
    <row r="36" spans="2:8" s="693" customFormat="1" ht="12" x14ac:dyDescent="0.25">
      <c r="B36" s="712" t="s">
        <v>1041</v>
      </c>
      <c r="C36" s="713"/>
      <c r="D36" s="714"/>
      <c r="E36" s="697">
        <v>0</v>
      </c>
      <c r="F36" s="697">
        <v>0</v>
      </c>
      <c r="H36" s="698"/>
    </row>
    <row r="37" spans="2:8" s="693" customFormat="1" ht="12.6" thickBot="1" x14ac:dyDescent="0.3">
      <c r="B37" s="715" t="s">
        <v>3800</v>
      </c>
      <c r="C37" s="716"/>
      <c r="D37" s="717"/>
      <c r="E37" s="697" t="s">
        <v>317</v>
      </c>
      <c r="F37" s="697">
        <v>0</v>
      </c>
      <c r="H37" s="698"/>
    </row>
    <row r="38" spans="2:8" s="693" customFormat="1" ht="13.2" thickTop="1" thickBot="1" x14ac:dyDescent="0.3">
      <c r="B38" s="718" t="s">
        <v>3801</v>
      </c>
      <c r="C38" s="719"/>
      <c r="D38" s="720"/>
      <c r="E38" s="721"/>
      <c r="F38" s="722">
        <v>-3543180.36</v>
      </c>
      <c r="H38" s="698"/>
    </row>
    <row r="39" spans="2:8" s="693" customFormat="1" ht="12.6" thickTop="1" x14ac:dyDescent="0.25">
      <c r="B39" s="723"/>
      <c r="C39" s="724"/>
      <c r="D39" s="725"/>
      <c r="E39" s="697"/>
      <c r="F39" s="697"/>
      <c r="H39" s="698"/>
    </row>
    <row r="40" spans="2:8" s="693" customFormat="1" x14ac:dyDescent="0.2">
      <c r="B40" s="689" t="s">
        <v>3802</v>
      </c>
      <c r="C40" s="690"/>
      <c r="D40" s="691"/>
      <c r="E40" s="697"/>
      <c r="F40" s="697"/>
      <c r="H40" s="698"/>
    </row>
    <row r="41" spans="2:8" s="693" customFormat="1" ht="22.8" x14ac:dyDescent="0.2">
      <c r="B41" s="694" t="s">
        <v>3803</v>
      </c>
      <c r="C41" s="695"/>
      <c r="D41" s="696"/>
      <c r="E41" s="697">
        <v>0</v>
      </c>
      <c r="F41" s="697"/>
      <c r="H41" s="698"/>
    </row>
    <row r="42" spans="2:8" s="693" customFormat="1" x14ac:dyDescent="0.2">
      <c r="B42" s="694"/>
      <c r="C42" s="695"/>
      <c r="D42" s="696"/>
      <c r="E42" s="697">
        <v>0</v>
      </c>
      <c r="F42" s="726"/>
      <c r="H42" s="698"/>
    </row>
    <row r="43" spans="2:8" s="693" customFormat="1" x14ac:dyDescent="0.2">
      <c r="B43" s="694" t="s">
        <v>3804</v>
      </c>
      <c r="C43" s="695"/>
      <c r="D43" s="696"/>
      <c r="E43" s="697">
        <v>0</v>
      </c>
      <c r="F43" s="726"/>
      <c r="H43" s="698"/>
    </row>
    <row r="44" spans="2:8" s="693" customFormat="1" x14ac:dyDescent="0.2">
      <c r="B44" s="694"/>
      <c r="C44" s="695"/>
      <c r="D44" s="696"/>
      <c r="E44" s="697"/>
      <c r="F44" s="726">
        <v>0</v>
      </c>
      <c r="H44" s="698"/>
    </row>
    <row r="45" spans="2:8" s="693" customFormat="1" x14ac:dyDescent="0.2">
      <c r="B45" s="694"/>
      <c r="C45" s="695"/>
      <c r="D45" s="696"/>
      <c r="E45" s="697"/>
      <c r="F45" s="726"/>
      <c r="H45" s="698"/>
    </row>
    <row r="46" spans="2:8" s="693" customFormat="1" x14ac:dyDescent="0.2">
      <c r="B46" s="689" t="s">
        <v>3805</v>
      </c>
      <c r="C46" s="690"/>
      <c r="D46" s="691"/>
      <c r="E46" s="697"/>
      <c r="F46" s="726"/>
      <c r="H46" s="698"/>
    </row>
    <row r="47" spans="2:8" s="693" customFormat="1" x14ac:dyDescent="0.2">
      <c r="B47" s="694" t="s">
        <v>3806</v>
      </c>
      <c r="C47" s="695"/>
      <c r="D47" s="696"/>
      <c r="E47" s="697">
        <v>0</v>
      </c>
      <c r="F47" s="697"/>
      <c r="H47" s="698"/>
    </row>
    <row r="48" spans="2:8" s="693" customFormat="1" x14ac:dyDescent="0.2">
      <c r="B48" s="694" t="s">
        <v>3807</v>
      </c>
      <c r="C48" s="695"/>
      <c r="D48" s="696"/>
      <c r="E48" s="697">
        <v>0</v>
      </c>
      <c r="F48" s="697"/>
      <c r="H48" s="698"/>
    </row>
    <row r="49" spans="2:8" s="693" customFormat="1" x14ac:dyDescent="0.2">
      <c r="B49" s="694" t="s">
        <v>3808</v>
      </c>
      <c r="C49" s="695"/>
      <c r="D49" s="696"/>
      <c r="E49" s="697">
        <v>0</v>
      </c>
      <c r="F49" s="697"/>
      <c r="G49" s="727"/>
      <c r="H49" s="698"/>
    </row>
    <row r="50" spans="2:8" s="693" customFormat="1" x14ac:dyDescent="0.2">
      <c r="B50" s="694" t="s">
        <v>3809</v>
      </c>
      <c r="C50" s="695"/>
      <c r="D50" s="696"/>
      <c r="E50" s="697">
        <v>0</v>
      </c>
      <c r="F50" s="697" t="s">
        <v>3810</v>
      </c>
      <c r="H50" s="698"/>
    </row>
    <row r="51" spans="2:8" s="693" customFormat="1" x14ac:dyDescent="0.2">
      <c r="B51" s="694"/>
      <c r="C51" s="695"/>
      <c r="D51" s="696"/>
      <c r="E51" s="697"/>
      <c r="F51" s="697">
        <v>0</v>
      </c>
      <c r="H51" s="698"/>
    </row>
    <row r="52" spans="2:8" s="693" customFormat="1" x14ac:dyDescent="0.2">
      <c r="B52" s="694"/>
      <c r="C52" s="695"/>
      <c r="D52" s="696"/>
      <c r="E52" s="697"/>
      <c r="F52" s="697"/>
      <c r="H52" s="698"/>
    </row>
    <row r="53" spans="2:8" s="693" customFormat="1" x14ac:dyDescent="0.2">
      <c r="B53" s="689" t="s">
        <v>3811</v>
      </c>
      <c r="C53" s="690"/>
      <c r="D53" s="691"/>
      <c r="E53" s="697"/>
      <c r="F53" s="697"/>
      <c r="H53" s="698"/>
    </row>
    <row r="54" spans="2:8" s="693" customFormat="1" x14ac:dyDescent="0.2">
      <c r="B54" s="694" t="s">
        <v>3812</v>
      </c>
      <c r="C54" s="695"/>
      <c r="D54" s="696"/>
      <c r="E54" s="697">
        <v>0</v>
      </c>
      <c r="F54" s="697"/>
      <c r="H54" s="698"/>
    </row>
    <row r="55" spans="2:8" s="693" customFormat="1" x14ac:dyDescent="0.2">
      <c r="B55" s="694" t="s">
        <v>3813</v>
      </c>
      <c r="C55" s="695"/>
      <c r="D55" s="696"/>
      <c r="E55" s="697">
        <v>0</v>
      </c>
      <c r="F55" s="697"/>
      <c r="H55" s="698"/>
    </row>
    <row r="56" spans="2:8" s="693" customFormat="1" x14ac:dyDescent="0.2">
      <c r="B56" s="694" t="s">
        <v>3814</v>
      </c>
      <c r="C56" s="695"/>
      <c r="D56" s="696"/>
      <c r="E56" s="697">
        <v>0</v>
      </c>
      <c r="F56" s="697"/>
      <c r="H56" s="698"/>
    </row>
    <row r="57" spans="2:8" s="693" customFormat="1" ht="12" x14ac:dyDescent="0.25">
      <c r="B57" s="728"/>
      <c r="C57" s="729"/>
      <c r="D57" s="730"/>
      <c r="E57" s="697"/>
      <c r="F57" s="697">
        <v>0</v>
      </c>
      <c r="H57" s="698"/>
    </row>
    <row r="58" spans="2:8" s="693" customFormat="1" ht="12" thickBot="1" x14ac:dyDescent="0.25">
      <c r="B58" s="731"/>
      <c r="C58" s="732"/>
      <c r="D58" s="733"/>
      <c r="E58" s="697"/>
      <c r="F58" s="697"/>
      <c r="H58" s="698"/>
    </row>
    <row r="59" spans="2:8" ht="13.2" thickTop="1" thickBot="1" x14ac:dyDescent="0.3">
      <c r="B59" s="734" t="s">
        <v>3815</v>
      </c>
      <c r="C59" s="735"/>
      <c r="D59" s="736"/>
      <c r="E59" s="721"/>
      <c r="F59" s="722">
        <v>-3543180.36</v>
      </c>
      <c r="G59" s="662"/>
    </row>
    <row r="60" spans="2:8" ht="14.4" thickTop="1" x14ac:dyDescent="0.25">
      <c r="B60" s="737" t="s">
        <v>3816</v>
      </c>
      <c r="C60" s="738"/>
      <c r="D60" s="739"/>
      <c r="E60" s="697"/>
      <c r="F60" s="740"/>
      <c r="G60" s="662"/>
    </row>
    <row r="61" spans="2:8" ht="13.8" x14ac:dyDescent="0.25">
      <c r="B61" s="741" t="s">
        <v>3817</v>
      </c>
      <c r="C61" s="742"/>
      <c r="D61" s="743"/>
      <c r="E61" s="697"/>
      <c r="F61" s="697"/>
    </row>
    <row r="62" spans="2:8" ht="13.8" x14ac:dyDescent="0.25">
      <c r="B62" s="741" t="s">
        <v>3818</v>
      </c>
      <c r="C62" s="742"/>
      <c r="D62" s="743"/>
      <c r="E62" s="697">
        <v>0</v>
      </c>
      <c r="F62" s="697"/>
    </row>
    <row r="63" spans="2:8" ht="13.8" x14ac:dyDescent="0.25">
      <c r="B63" s="741" t="s">
        <v>3819</v>
      </c>
      <c r="C63" s="742"/>
      <c r="D63" s="743"/>
      <c r="E63" s="697">
        <v>0</v>
      </c>
      <c r="F63" s="697"/>
    </row>
    <row r="64" spans="2:8" ht="13.8" x14ac:dyDescent="0.25">
      <c r="B64" s="741" t="s">
        <v>3820</v>
      </c>
      <c r="C64" s="742"/>
      <c r="D64" s="743"/>
      <c r="E64" s="697"/>
      <c r="F64" s="697"/>
    </row>
    <row r="65" spans="2:8" ht="13.8" x14ac:dyDescent="0.25">
      <c r="B65" s="741" t="s">
        <v>3821</v>
      </c>
      <c r="C65" s="742"/>
      <c r="D65" s="743"/>
      <c r="E65" s="697"/>
      <c r="F65" s="697"/>
    </row>
    <row r="66" spans="2:8" ht="12" thickBot="1" x14ac:dyDescent="0.25">
      <c r="B66" s="744"/>
      <c r="C66" s="745"/>
      <c r="D66" s="746"/>
      <c r="E66" s="697"/>
      <c r="F66" s="697">
        <v>0</v>
      </c>
      <c r="G66" s="747"/>
    </row>
    <row r="67" spans="2:8" ht="13.2" thickTop="1" thickBot="1" x14ac:dyDescent="0.3">
      <c r="B67" s="734" t="s">
        <v>3822</v>
      </c>
      <c r="C67" s="735"/>
      <c r="D67" s="736"/>
      <c r="E67" s="721"/>
      <c r="F67" s="748">
        <v>-3543180.36</v>
      </c>
    </row>
    <row r="68" spans="2:8" ht="12.6" thickTop="1" x14ac:dyDescent="0.25">
      <c r="B68" s="749" t="s">
        <v>3823</v>
      </c>
      <c r="C68" s="750"/>
      <c r="D68" s="751"/>
      <c r="E68" s="697"/>
      <c r="F68" s="752"/>
    </row>
    <row r="69" spans="2:8" ht="12" x14ac:dyDescent="0.25">
      <c r="B69" s="702" t="s">
        <v>3824</v>
      </c>
      <c r="C69" s="703"/>
      <c r="D69" s="704"/>
      <c r="E69" s="753"/>
      <c r="F69" s="752"/>
    </row>
    <row r="70" spans="2:8" ht="12" x14ac:dyDescent="0.25">
      <c r="B70" s="702" t="s">
        <v>3825</v>
      </c>
      <c r="C70" s="703"/>
      <c r="D70" s="704"/>
      <c r="E70" s="753"/>
      <c r="F70" s="752"/>
    </row>
    <row r="71" spans="2:8" ht="12" x14ac:dyDescent="0.25">
      <c r="B71" s="754" t="s">
        <v>3826</v>
      </c>
      <c r="C71" s="755"/>
      <c r="D71" s="756"/>
      <c r="E71" s="697"/>
      <c r="F71" s="697">
        <v>0</v>
      </c>
      <c r="G71" s="662"/>
    </row>
    <row r="72" spans="2:8" ht="12" x14ac:dyDescent="0.25">
      <c r="B72" s="754" t="s">
        <v>3827</v>
      </c>
      <c r="C72" s="755"/>
      <c r="D72" s="756"/>
      <c r="E72" s="697"/>
      <c r="F72" s="697">
        <v>-3543180.36</v>
      </c>
      <c r="G72" s="662"/>
    </row>
    <row r="73" spans="2:8" x14ac:dyDescent="0.2">
      <c r="B73" s="694" t="s">
        <v>3828</v>
      </c>
      <c r="C73" s="695"/>
      <c r="D73" s="696"/>
      <c r="E73" s="697"/>
      <c r="F73" s="692">
        <v>0</v>
      </c>
      <c r="G73" s="747" t="s">
        <v>3810</v>
      </c>
    </row>
    <row r="74" spans="2:8" x14ac:dyDescent="0.2">
      <c r="B74" s="694" t="s">
        <v>3829</v>
      </c>
      <c r="C74" s="695"/>
      <c r="D74" s="696"/>
      <c r="E74" s="697"/>
      <c r="F74" s="692">
        <v>0</v>
      </c>
      <c r="G74" s="747"/>
    </row>
    <row r="75" spans="2:8" x14ac:dyDescent="0.2">
      <c r="B75" s="694" t="s">
        <v>3830</v>
      </c>
      <c r="C75" s="695"/>
      <c r="D75" s="696"/>
      <c r="E75" s="697"/>
      <c r="F75" s="692">
        <v>0</v>
      </c>
      <c r="G75" s="747"/>
    </row>
    <row r="76" spans="2:8" x14ac:dyDescent="0.2">
      <c r="B76" s="699" t="s">
        <v>3831</v>
      </c>
      <c r="C76" s="700"/>
      <c r="D76" s="701"/>
      <c r="E76" s="697"/>
      <c r="F76" s="697">
        <v>0</v>
      </c>
      <c r="G76" s="661" t="s">
        <v>3810</v>
      </c>
      <c r="H76" s="663" t="s">
        <v>3810</v>
      </c>
    </row>
    <row r="77" spans="2:8" x14ac:dyDescent="0.2">
      <c r="B77" s="699"/>
      <c r="C77" s="700"/>
      <c r="D77" s="701"/>
      <c r="E77" s="697"/>
      <c r="F77" s="697">
        <v>0</v>
      </c>
    </row>
    <row r="78" spans="2:8" ht="12" thickBot="1" x14ac:dyDescent="0.25">
      <c r="B78" s="744" t="s">
        <v>3832</v>
      </c>
      <c r="C78" s="745"/>
      <c r="D78" s="746"/>
      <c r="E78" s="697"/>
      <c r="F78" s="697">
        <v>0</v>
      </c>
      <c r="H78" s="663" t="s">
        <v>3810</v>
      </c>
    </row>
    <row r="79" spans="2:8" ht="13.2" thickTop="1" thickBot="1" x14ac:dyDescent="0.3">
      <c r="B79" s="757" t="s">
        <v>3833</v>
      </c>
      <c r="C79" s="758"/>
      <c r="D79" s="759"/>
      <c r="E79" s="721"/>
      <c r="F79" s="722">
        <v>0</v>
      </c>
      <c r="H79" s="663" t="s">
        <v>3810</v>
      </c>
    </row>
    <row r="80" spans="2:8" ht="12" thickTop="1" x14ac:dyDescent="0.2">
      <c r="B80" s="760" t="s">
        <v>3834</v>
      </c>
      <c r="C80" s="761"/>
      <c r="D80" s="762"/>
      <c r="E80" s="697"/>
      <c r="F80" s="697"/>
      <c r="H80" s="663" t="s">
        <v>3810</v>
      </c>
    </row>
    <row r="81" spans="2:8" x14ac:dyDescent="0.2">
      <c r="B81" s="763" t="s">
        <v>3835</v>
      </c>
      <c r="C81" s="764"/>
      <c r="D81" s="765"/>
      <c r="E81" s="697">
        <v>896112</v>
      </c>
      <c r="F81" s="697"/>
    </row>
    <row r="82" spans="2:8" x14ac:dyDescent="0.2">
      <c r="B82" s="763" t="s">
        <v>3836</v>
      </c>
      <c r="C82" s="764"/>
      <c r="D82" s="765"/>
      <c r="E82" s="697">
        <v>0</v>
      </c>
      <c r="F82" s="697"/>
    </row>
    <row r="83" spans="2:8" ht="12" thickBot="1" x14ac:dyDescent="0.25">
      <c r="B83" s="763"/>
      <c r="C83" s="764"/>
      <c r="D83" s="765"/>
      <c r="E83" s="697"/>
      <c r="F83" s="697">
        <v>896112</v>
      </c>
      <c r="G83" s="662"/>
    </row>
    <row r="84" spans="2:8" ht="13.2" thickTop="1" thickBot="1" x14ac:dyDescent="0.3">
      <c r="B84" s="766"/>
      <c r="C84" s="767"/>
      <c r="D84" s="768"/>
      <c r="E84" s="721"/>
      <c r="F84" s="722">
        <v>-896112</v>
      </c>
    </row>
    <row r="85" spans="2:8" ht="12" thickTop="1" x14ac:dyDescent="0.2">
      <c r="B85" s="699" t="s">
        <v>3837</v>
      </c>
      <c r="C85" s="700"/>
      <c r="D85" s="701"/>
      <c r="E85" s="697"/>
      <c r="F85" s="697"/>
    </row>
    <row r="86" spans="2:8" ht="22.8" x14ac:dyDescent="0.2">
      <c r="B86" s="699" t="s">
        <v>3838</v>
      </c>
      <c r="C86" s="700"/>
      <c r="D86" s="701"/>
      <c r="E86" s="697">
        <v>0</v>
      </c>
      <c r="F86" s="697"/>
    </row>
    <row r="87" spans="2:8" ht="22.8" x14ac:dyDescent="0.2">
      <c r="B87" s="699" t="s">
        <v>3839</v>
      </c>
      <c r="C87" s="700"/>
      <c r="D87" s="701"/>
      <c r="E87" s="697">
        <v>0</v>
      </c>
      <c r="F87" s="697"/>
    </row>
    <row r="88" spans="2:8" ht="22.8" x14ac:dyDescent="0.2">
      <c r="B88" s="699" t="s">
        <v>3840</v>
      </c>
      <c r="C88" s="700"/>
      <c r="D88" s="701"/>
      <c r="E88" s="697">
        <v>0</v>
      </c>
      <c r="F88" s="697"/>
    </row>
    <row r="89" spans="2:8" x14ac:dyDescent="0.2">
      <c r="B89" s="699"/>
      <c r="C89" s="700"/>
      <c r="D89" s="701"/>
      <c r="E89" s="697"/>
      <c r="F89" s="769">
        <v>0</v>
      </c>
    </row>
    <row r="90" spans="2:8" ht="12" thickBot="1" x14ac:dyDescent="0.25">
      <c r="B90" s="699"/>
      <c r="C90" s="700"/>
      <c r="D90" s="701"/>
      <c r="E90" s="697"/>
      <c r="F90" s="697"/>
    </row>
    <row r="91" spans="2:8" ht="13.2" thickTop="1" thickBot="1" x14ac:dyDescent="0.3">
      <c r="B91" s="757" t="s">
        <v>3833</v>
      </c>
      <c r="C91" s="758"/>
      <c r="D91" s="759"/>
      <c r="E91" s="721"/>
      <c r="F91" s="722">
        <v>-896112</v>
      </c>
    </row>
    <row r="92" spans="2:8" ht="12" thickTop="1" x14ac:dyDescent="0.2">
      <c r="B92" s="699" t="s">
        <v>3841</v>
      </c>
      <c r="C92" s="700"/>
      <c r="D92" s="701"/>
      <c r="E92" s="697"/>
      <c r="F92" s="697"/>
    </row>
    <row r="93" spans="2:8" x14ac:dyDescent="0.2">
      <c r="B93" s="699" t="s">
        <v>3842</v>
      </c>
      <c r="C93" s="700"/>
      <c r="D93" s="701"/>
      <c r="E93" s="697">
        <v>0</v>
      </c>
      <c r="F93" s="697"/>
    </row>
    <row r="94" spans="2:8" ht="12" thickBot="1" x14ac:dyDescent="0.25">
      <c r="B94" s="699" t="s">
        <v>3843</v>
      </c>
      <c r="C94" s="700"/>
      <c r="D94" s="701"/>
      <c r="E94" s="697">
        <v>0</v>
      </c>
      <c r="F94" s="697">
        <v>0</v>
      </c>
      <c r="G94" s="663"/>
    </row>
    <row r="95" spans="2:8" ht="13.2" thickTop="1" thickBot="1" x14ac:dyDescent="0.3">
      <c r="B95" s="734" t="s">
        <v>3844</v>
      </c>
      <c r="C95" s="735"/>
      <c r="D95" s="736"/>
      <c r="E95" s="721"/>
      <c r="F95" s="722">
        <v>-896112</v>
      </c>
      <c r="G95" s="770"/>
      <c r="H95" s="698"/>
    </row>
    <row r="96" spans="2:8" ht="12" thickTop="1" x14ac:dyDescent="0.2">
      <c r="B96" s="699"/>
      <c r="C96" s="700"/>
      <c r="D96" s="701"/>
      <c r="E96" s="697"/>
      <c r="F96" s="697"/>
    </row>
    <row r="97" spans="2:6" ht="12" thickBot="1" x14ac:dyDescent="0.25">
      <c r="B97" s="699" t="s">
        <v>3845</v>
      </c>
      <c r="C97" s="700"/>
      <c r="D97" s="701"/>
      <c r="E97" s="697"/>
      <c r="F97" s="697">
        <v>0</v>
      </c>
    </row>
    <row r="98" spans="2:6" ht="13.2" thickTop="1" thickBot="1" x14ac:dyDescent="0.3">
      <c r="B98" s="771" t="s">
        <v>3846</v>
      </c>
      <c r="C98" s="772"/>
      <c r="D98" s="773"/>
      <c r="E98" s="684"/>
      <c r="F98" s="774">
        <v>-896112</v>
      </c>
    </row>
    <row r="99" spans="2:6" ht="12.6" thickTop="1" x14ac:dyDescent="0.25">
      <c r="B99" s="754" t="s">
        <v>3847</v>
      </c>
      <c r="C99" s="755"/>
      <c r="D99" s="756"/>
      <c r="E99" s="697"/>
      <c r="F99" s="697"/>
    </row>
    <row r="100" spans="2:6" ht="12" x14ac:dyDescent="0.25">
      <c r="B100" s="694" t="s">
        <v>3848</v>
      </c>
      <c r="C100" s="695"/>
      <c r="D100" s="696"/>
      <c r="E100" s="697"/>
      <c r="F100" s="740">
        <v>0</v>
      </c>
    </row>
    <row r="101" spans="2:6" ht="12" x14ac:dyDescent="0.25">
      <c r="B101" s="754"/>
      <c r="C101" s="755"/>
      <c r="D101" s="756"/>
      <c r="E101" s="697"/>
      <c r="F101" s="697"/>
    </row>
    <row r="102" spans="2:6" ht="12" x14ac:dyDescent="0.25">
      <c r="B102" s="775"/>
      <c r="C102" s="776"/>
      <c r="D102" s="777"/>
      <c r="E102" s="697"/>
      <c r="F102" s="697"/>
    </row>
    <row r="103" spans="2:6" ht="12" x14ac:dyDescent="0.25">
      <c r="B103" s="775"/>
      <c r="C103" s="776"/>
      <c r="D103" s="777"/>
      <c r="E103" s="697"/>
      <c r="F103" s="697"/>
    </row>
    <row r="104" spans="2:6" ht="12.6" thickBot="1" x14ac:dyDescent="0.3">
      <c r="B104" s="778" t="s">
        <v>3849</v>
      </c>
      <c r="C104" s="779"/>
      <c r="D104" s="780"/>
      <c r="E104" s="697"/>
      <c r="F104" s="697"/>
    </row>
    <row r="105" spans="2:6" ht="13.2" thickTop="1" thickBot="1" x14ac:dyDescent="0.3">
      <c r="B105" s="781" t="s">
        <v>3850</v>
      </c>
      <c r="C105" s="684" t="s">
        <v>3851</v>
      </c>
      <c r="D105" s="722" t="s">
        <v>3852</v>
      </c>
      <c r="E105" s="782" t="s">
        <v>1057</v>
      </c>
      <c r="F105" s="783" t="s">
        <v>3853</v>
      </c>
    </row>
    <row r="106" spans="2:6" ht="12.6" thickTop="1" x14ac:dyDescent="0.25">
      <c r="B106" s="784" t="s">
        <v>3854</v>
      </c>
      <c r="C106" s="697"/>
      <c r="D106" s="697"/>
      <c r="E106" s="785"/>
      <c r="F106" s="786"/>
    </row>
    <row r="107" spans="2:6" x14ac:dyDescent="0.2">
      <c r="B107" s="787"/>
      <c r="C107" s="697">
        <v>-896112</v>
      </c>
      <c r="D107" s="697">
        <v>0</v>
      </c>
      <c r="E107" s="692">
        <v>-896112</v>
      </c>
      <c r="F107" s="692">
        <v>0</v>
      </c>
    </row>
    <row r="108" spans="2:6" ht="12" thickBot="1" x14ac:dyDescent="0.25">
      <c r="B108" s="787"/>
      <c r="C108" s="697"/>
      <c r="D108" s="697"/>
      <c r="E108" s="692"/>
      <c r="F108" s="692"/>
    </row>
    <row r="109" spans="2:6" ht="13.2" thickTop="1" thickBot="1" x14ac:dyDescent="0.3">
      <c r="B109" s="788" t="s">
        <v>347</v>
      </c>
      <c r="C109" s="721"/>
      <c r="D109" s="721"/>
      <c r="E109" s="789"/>
      <c r="F109" s="789">
        <v>0</v>
      </c>
    </row>
    <row r="110" spans="2:6" ht="12.6" thickTop="1" x14ac:dyDescent="0.25">
      <c r="B110" s="790" t="s">
        <v>3855</v>
      </c>
      <c r="C110" s="697"/>
      <c r="D110" s="697"/>
      <c r="E110" s="692"/>
      <c r="F110" s="692"/>
    </row>
    <row r="111" spans="2:6" x14ac:dyDescent="0.2">
      <c r="B111" s="787" t="s">
        <v>3856</v>
      </c>
      <c r="C111" s="697">
        <v>-268834</v>
      </c>
      <c r="D111" s="697">
        <v>0</v>
      </c>
      <c r="E111" s="692">
        <v>-268834</v>
      </c>
      <c r="F111" s="692">
        <v>-8065.0199999999995</v>
      </c>
    </row>
    <row r="112" spans="2:6" x14ac:dyDescent="0.2">
      <c r="B112" s="787" t="s">
        <v>3857</v>
      </c>
      <c r="C112" s="697">
        <v>-537667</v>
      </c>
      <c r="D112" s="697">
        <v>0</v>
      </c>
      <c r="E112" s="692">
        <v>-537667</v>
      </c>
      <c r="F112" s="692">
        <v>-16130.01</v>
      </c>
    </row>
    <row r="113" spans="2:6" x14ac:dyDescent="0.2">
      <c r="B113" s="791" t="s">
        <v>3858</v>
      </c>
      <c r="C113" s="697">
        <v>-896112</v>
      </c>
      <c r="D113" s="697">
        <v>0</v>
      </c>
      <c r="E113" s="692">
        <v>-896112</v>
      </c>
      <c r="F113" s="692">
        <v>-8961.1200000000008</v>
      </c>
    </row>
    <row r="114" spans="2:6" ht="12" thickBot="1" x14ac:dyDescent="0.25">
      <c r="B114" s="787" t="s">
        <v>3810</v>
      </c>
      <c r="C114" s="697"/>
      <c r="D114" s="697"/>
      <c r="E114" s="792"/>
      <c r="F114" s="793"/>
    </row>
    <row r="115" spans="2:6" ht="13.2" thickTop="1" thickBot="1" x14ac:dyDescent="0.3">
      <c r="B115" s="788" t="s">
        <v>347</v>
      </c>
      <c r="C115" s="721"/>
      <c r="D115" s="721"/>
      <c r="E115" s="794"/>
      <c r="F115" s="795">
        <v>-33156.15</v>
      </c>
    </row>
    <row r="116" spans="2:6" ht="12" thickTop="1" x14ac:dyDescent="0.2">
      <c r="B116" s="796"/>
      <c r="C116" s="796"/>
      <c r="D116" s="796"/>
      <c r="E116" s="797"/>
      <c r="F116" s="797"/>
    </row>
    <row r="117" spans="2:6" x14ac:dyDescent="0.2">
      <c r="B117" s="796"/>
      <c r="C117" s="796"/>
      <c r="D117" s="796"/>
      <c r="E117" s="797"/>
      <c r="F117" s="797"/>
    </row>
    <row r="118" spans="2:6" x14ac:dyDescent="0.2">
      <c r="B118" s="796"/>
      <c r="C118" s="796"/>
      <c r="D118" s="796"/>
      <c r="E118" s="797"/>
      <c r="F118" s="797"/>
    </row>
    <row r="119" spans="2:6" x14ac:dyDescent="0.2">
      <c r="B119" s="796"/>
      <c r="C119" s="796"/>
      <c r="D119" s="796"/>
      <c r="E119" s="797"/>
      <c r="F119" s="797"/>
    </row>
    <row r="120" spans="2:6" x14ac:dyDescent="0.2">
      <c r="B120" s="796"/>
      <c r="C120" s="796"/>
      <c r="D120" s="796"/>
      <c r="E120" s="797"/>
      <c r="F120" s="797"/>
    </row>
    <row r="121" spans="2:6" x14ac:dyDescent="0.2">
      <c r="B121" s="796"/>
      <c r="C121" s="796"/>
      <c r="D121" s="796"/>
      <c r="E121" s="797"/>
      <c r="F121" s="797"/>
    </row>
    <row r="122" spans="2:6" x14ac:dyDescent="0.2">
      <c r="B122" s="796"/>
      <c r="C122" s="796"/>
      <c r="D122" s="796"/>
      <c r="E122" s="797"/>
      <c r="F122" s="797"/>
    </row>
    <row r="123" spans="2:6" x14ac:dyDescent="0.2">
      <c r="B123" s="796"/>
      <c r="C123" s="796"/>
      <c r="D123" s="796"/>
      <c r="E123" s="797"/>
      <c r="F123" s="797"/>
    </row>
    <row r="124" spans="2:6" x14ac:dyDescent="0.2">
      <c r="B124" s="796"/>
      <c r="C124" s="796"/>
      <c r="D124" s="796"/>
      <c r="E124" s="797"/>
      <c r="F124" s="797"/>
    </row>
    <row r="125" spans="2:6" x14ac:dyDescent="0.2">
      <c r="B125" s="796"/>
      <c r="C125" s="796"/>
      <c r="D125" s="796"/>
      <c r="E125" s="797"/>
      <c r="F125" s="797"/>
    </row>
    <row r="126" spans="2:6" x14ac:dyDescent="0.2">
      <c r="B126" s="796"/>
      <c r="C126" s="796"/>
      <c r="D126" s="796"/>
      <c r="E126" s="797"/>
      <c r="F126" s="797"/>
    </row>
    <row r="127" spans="2:6" x14ac:dyDescent="0.2">
      <c r="B127" s="796"/>
      <c r="C127" s="796"/>
      <c r="D127" s="796"/>
      <c r="E127" s="797"/>
      <c r="F127" s="797"/>
    </row>
    <row r="128" spans="2:6" x14ac:dyDescent="0.2">
      <c r="B128" s="796"/>
      <c r="C128" s="796"/>
      <c r="D128" s="796"/>
      <c r="E128" s="797"/>
      <c r="F128" s="797"/>
    </row>
    <row r="129" spans="2:6" x14ac:dyDescent="0.2">
      <c r="B129" s="796"/>
      <c r="C129" s="796"/>
      <c r="D129" s="796"/>
      <c r="E129" s="797"/>
      <c r="F129" s="797"/>
    </row>
    <row r="130" spans="2:6" x14ac:dyDescent="0.2">
      <c r="B130" s="796"/>
      <c r="C130" s="796"/>
      <c r="D130" s="796"/>
      <c r="E130" s="797"/>
      <c r="F130" s="797"/>
    </row>
    <row r="131" spans="2:6" x14ac:dyDescent="0.2">
      <c r="B131" s="796"/>
      <c r="C131" s="796"/>
      <c r="D131" s="796"/>
      <c r="E131" s="797"/>
      <c r="F131" s="797"/>
    </row>
    <row r="132" spans="2:6" x14ac:dyDescent="0.2">
      <c r="B132" s="796"/>
      <c r="C132" s="796"/>
      <c r="D132" s="796"/>
      <c r="E132" s="797"/>
      <c r="F132" s="797"/>
    </row>
    <row r="133" spans="2:6" x14ac:dyDescent="0.2">
      <c r="B133" s="796"/>
      <c r="C133" s="796"/>
      <c r="D133" s="796"/>
      <c r="E133" s="797"/>
      <c r="F133" s="797"/>
    </row>
  </sheetData>
  <mergeCells count="2">
    <mergeCell ref="B2:F2"/>
    <mergeCell ref="B9:F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FD198"/>
  <sheetViews>
    <sheetView workbookViewId="0"/>
  </sheetViews>
  <sheetFormatPr defaultRowHeight="14.4" x14ac:dyDescent="0.3"/>
  <cols>
    <col min="1" max="1" width="33.44140625" customWidth="1"/>
    <col min="2" max="2" width="15.21875" customWidth="1"/>
    <col min="3" max="3" width="13.21875" customWidth="1"/>
  </cols>
  <sheetData>
    <row r="3" spans="1:13" x14ac:dyDescent="0.3">
      <c r="A3" s="804" t="s">
        <v>4012</v>
      </c>
      <c r="B3" s="832">
        <v>43556</v>
      </c>
      <c r="C3" s="832">
        <v>43586</v>
      </c>
      <c r="D3" s="832">
        <v>43617</v>
      </c>
      <c r="E3" s="832">
        <v>43647</v>
      </c>
      <c r="F3" s="832">
        <v>43678</v>
      </c>
      <c r="G3" s="832">
        <v>43709</v>
      </c>
      <c r="H3" s="832">
        <v>43739</v>
      </c>
      <c r="I3" s="832">
        <v>43770</v>
      </c>
      <c r="J3" s="832">
        <v>43800</v>
      </c>
      <c r="K3" s="832">
        <v>43831</v>
      </c>
      <c r="L3" s="832">
        <v>43862</v>
      </c>
      <c r="M3" s="832">
        <v>43891</v>
      </c>
    </row>
    <row r="4" spans="1:13" x14ac:dyDescent="0.3">
      <c r="A4" s="829" t="s">
        <v>3897</v>
      </c>
      <c r="B4" s="940"/>
      <c r="C4" s="658"/>
      <c r="D4" s="658"/>
      <c r="E4" s="658"/>
      <c r="F4" s="658"/>
      <c r="G4" s="658"/>
      <c r="H4" s="658"/>
      <c r="I4" s="658"/>
      <c r="J4" s="658"/>
      <c r="K4" s="658"/>
      <c r="L4" s="658"/>
      <c r="M4" s="658"/>
    </row>
    <row r="5" spans="1:13" x14ac:dyDescent="0.3">
      <c r="A5" s="831" t="s">
        <v>3898</v>
      </c>
      <c r="B5" s="806">
        <f>+'CAPITAL AC'!B31</f>
        <v>500000</v>
      </c>
      <c r="C5" s="660"/>
      <c r="D5" s="660"/>
      <c r="E5" s="660"/>
      <c r="F5" s="660"/>
      <c r="G5" s="660"/>
      <c r="H5" s="660"/>
      <c r="I5" s="660"/>
      <c r="J5" s="660"/>
      <c r="K5" s="660"/>
      <c r="L5" s="660"/>
      <c r="M5" s="660"/>
    </row>
    <row r="6" spans="1:13" x14ac:dyDescent="0.3">
      <c r="A6" s="831" t="s">
        <v>3899</v>
      </c>
      <c r="B6" s="806">
        <f>+'CAPITAL AC'!B38</f>
        <v>500000</v>
      </c>
      <c r="C6" s="660"/>
      <c r="D6" s="660"/>
      <c r="E6" s="660"/>
      <c r="F6" s="660"/>
      <c r="G6" s="660"/>
      <c r="H6" s="660"/>
      <c r="I6" s="660"/>
      <c r="J6" s="660"/>
      <c r="K6" s="660"/>
      <c r="L6" s="660"/>
      <c r="M6" s="660"/>
    </row>
    <row r="7" spans="1:13" x14ac:dyDescent="0.3">
      <c r="A7" s="932" t="s">
        <v>347</v>
      </c>
      <c r="B7" s="862">
        <f>SUM(B5:B6)</f>
        <v>1000000</v>
      </c>
      <c r="C7" s="931"/>
      <c r="D7" s="931"/>
      <c r="E7" s="931"/>
      <c r="F7" s="931"/>
      <c r="G7" s="931"/>
      <c r="H7" s="931"/>
      <c r="I7" s="931"/>
      <c r="J7" s="931"/>
      <c r="K7" s="931"/>
      <c r="L7" s="931"/>
      <c r="M7" s="931"/>
    </row>
    <row r="8" spans="1:13" x14ac:dyDescent="0.3">
      <c r="A8" s="829" t="s">
        <v>3901</v>
      </c>
      <c r="B8" s="805"/>
      <c r="C8" s="660"/>
      <c r="D8" s="660"/>
      <c r="E8" s="660"/>
      <c r="F8" s="660"/>
      <c r="G8" s="660"/>
      <c r="H8" s="660"/>
      <c r="I8" s="660"/>
      <c r="J8" s="660"/>
      <c r="K8" s="660"/>
      <c r="L8" s="660"/>
      <c r="M8" s="660"/>
    </row>
    <row r="9" spans="1:13" x14ac:dyDescent="0.3">
      <c r="A9" s="831" t="s">
        <v>3898</v>
      </c>
      <c r="B9" s="660">
        <f>+'CAPITAL AC'!B9+'CAPITAL AC'!B10</f>
        <v>5400</v>
      </c>
      <c r="C9" s="660"/>
      <c r="D9" s="660"/>
      <c r="E9" s="660"/>
      <c r="F9" s="660"/>
      <c r="G9" s="660"/>
      <c r="H9" s="660"/>
      <c r="I9" s="660"/>
      <c r="J9" s="660"/>
      <c r="K9" s="660"/>
      <c r="L9" s="660"/>
      <c r="M9" s="660"/>
    </row>
    <row r="10" spans="1:13" x14ac:dyDescent="0.3">
      <c r="A10" s="831" t="s">
        <v>3898</v>
      </c>
      <c r="B10" s="660">
        <f>+'CAPITAL AC'!B12+'CAPITAL AC'!B13</f>
        <v>-790854.24</v>
      </c>
      <c r="C10" s="660"/>
      <c r="D10" s="660"/>
      <c r="E10" s="660"/>
      <c r="F10" s="660"/>
      <c r="G10" s="660"/>
      <c r="H10" s="660"/>
      <c r="I10" s="660"/>
      <c r="J10" s="660"/>
      <c r="K10" s="660"/>
      <c r="L10" s="660"/>
      <c r="M10" s="660"/>
    </row>
    <row r="11" spans="1:13" x14ac:dyDescent="0.3">
      <c r="A11" s="830" t="s">
        <v>3902</v>
      </c>
      <c r="B11" s="808"/>
      <c r="C11" s="660"/>
      <c r="D11" s="660"/>
      <c r="E11" s="660"/>
      <c r="F11" s="660"/>
      <c r="G11" s="660"/>
      <c r="H11" s="660"/>
      <c r="I11" s="660"/>
      <c r="J11" s="660"/>
      <c r="K11" s="660"/>
      <c r="L11" s="660"/>
      <c r="M11" s="660"/>
    </row>
    <row r="12" spans="1:13" x14ac:dyDescent="0.3">
      <c r="A12" s="830" t="s">
        <v>3903</v>
      </c>
      <c r="B12" s="808"/>
      <c r="C12" s="660"/>
      <c r="D12" s="660"/>
      <c r="E12" s="660"/>
      <c r="F12" s="660"/>
      <c r="G12" s="660"/>
      <c r="H12" s="660"/>
      <c r="I12" s="660"/>
      <c r="J12" s="660"/>
      <c r="K12" s="660"/>
      <c r="L12" s="660"/>
      <c r="M12" s="660"/>
    </row>
    <row r="13" spans="1:13" x14ac:dyDescent="0.3">
      <c r="A13" s="932" t="s">
        <v>347</v>
      </c>
      <c r="B13" s="862">
        <f>SUM(B9:B12)</f>
        <v>-785454.24</v>
      </c>
      <c r="C13" s="931"/>
      <c r="D13" s="931"/>
      <c r="E13" s="931"/>
      <c r="F13" s="931"/>
      <c r="G13" s="931"/>
      <c r="H13" s="931"/>
      <c r="I13" s="931"/>
      <c r="J13" s="931"/>
      <c r="K13" s="931"/>
      <c r="L13" s="931"/>
      <c r="M13" s="931"/>
    </row>
    <row r="14" spans="1:13" ht="15.6" x14ac:dyDescent="0.3">
      <c r="A14" s="956" t="s">
        <v>4212</v>
      </c>
      <c r="B14" s="957">
        <f>+B7+B13</f>
        <v>214545.76</v>
      </c>
      <c r="C14" s="957"/>
      <c r="D14" s="957"/>
      <c r="E14" s="957"/>
      <c r="F14" s="957"/>
      <c r="G14" s="957"/>
      <c r="H14" s="957"/>
      <c r="I14" s="957"/>
      <c r="J14" s="957"/>
      <c r="K14" s="957"/>
      <c r="L14" s="957"/>
      <c r="M14" s="957"/>
    </row>
    <row r="15" spans="1:13" x14ac:dyDescent="0.3">
      <c r="A15" s="829" t="s">
        <v>3904</v>
      </c>
      <c r="B15" s="805"/>
      <c r="C15" s="660"/>
      <c r="D15" s="660"/>
      <c r="E15" s="660"/>
      <c r="F15" s="660"/>
      <c r="G15" s="660"/>
      <c r="H15" s="660"/>
      <c r="I15" s="660"/>
      <c r="J15" s="660"/>
      <c r="K15" s="660"/>
      <c r="L15" s="660"/>
      <c r="M15" s="660"/>
    </row>
    <row r="16" spans="1:13" x14ac:dyDescent="0.3">
      <c r="A16" s="830" t="s">
        <v>3905</v>
      </c>
      <c r="B16" s="808"/>
      <c r="C16" s="660"/>
      <c r="D16" s="660"/>
      <c r="E16" s="660"/>
      <c r="F16" s="660"/>
      <c r="G16" s="660"/>
      <c r="H16" s="660"/>
      <c r="I16" s="660"/>
      <c r="J16" s="660"/>
      <c r="K16" s="660"/>
      <c r="L16" s="660"/>
      <c r="M16" s="660"/>
    </row>
    <row r="17" spans="1:13" x14ac:dyDescent="0.3">
      <c r="A17" s="830" t="s">
        <v>3906</v>
      </c>
      <c r="B17" s="659">
        <v>22427688.07</v>
      </c>
      <c r="C17" s="660"/>
      <c r="D17" s="660"/>
      <c r="E17" s="660"/>
      <c r="F17" s="660"/>
      <c r="G17" s="660"/>
      <c r="H17" s="660"/>
      <c r="I17" s="660"/>
      <c r="J17" s="660"/>
      <c r="K17" s="660"/>
      <c r="L17" s="660"/>
      <c r="M17" s="660"/>
    </row>
    <row r="18" spans="1:13" x14ac:dyDescent="0.3">
      <c r="A18" s="830" t="s">
        <v>3907</v>
      </c>
      <c r="B18" s="808"/>
      <c r="C18" s="660"/>
      <c r="D18" s="660"/>
      <c r="E18" s="660"/>
      <c r="F18" s="660"/>
      <c r="G18" s="660"/>
      <c r="H18" s="660"/>
      <c r="I18" s="660"/>
      <c r="J18" s="660"/>
      <c r="K18" s="660"/>
      <c r="L18" s="660"/>
      <c r="M18" s="660"/>
    </row>
    <row r="19" spans="1:13" x14ac:dyDescent="0.3">
      <c r="A19" s="830" t="s">
        <v>3908</v>
      </c>
      <c r="B19" s="808"/>
      <c r="C19" s="660"/>
      <c r="D19" s="660"/>
      <c r="E19" s="660"/>
      <c r="F19" s="660"/>
      <c r="G19" s="660"/>
      <c r="H19" s="660"/>
      <c r="I19" s="660"/>
      <c r="J19" s="660"/>
      <c r="K19" s="660"/>
      <c r="L19" s="660"/>
      <c r="M19" s="660"/>
    </row>
    <row r="20" spans="1:13" x14ac:dyDescent="0.3">
      <c r="A20" s="830" t="s">
        <v>3909</v>
      </c>
      <c r="B20" s="808"/>
      <c r="C20" s="660"/>
      <c r="D20" s="660"/>
      <c r="E20" s="660"/>
      <c r="F20" s="660"/>
      <c r="G20" s="660"/>
      <c r="H20" s="660"/>
      <c r="I20" s="660"/>
      <c r="J20" s="660"/>
      <c r="K20" s="660"/>
      <c r="L20" s="660"/>
      <c r="M20" s="660"/>
    </row>
    <row r="21" spans="1:13" x14ac:dyDescent="0.3">
      <c r="A21" s="830" t="s">
        <v>3910</v>
      </c>
      <c r="B21" s="808"/>
      <c r="C21" s="660"/>
      <c r="D21" s="660"/>
      <c r="E21" s="660"/>
      <c r="F21" s="660"/>
      <c r="G21" s="660"/>
      <c r="H21" s="660"/>
      <c r="I21" s="660"/>
      <c r="J21" s="660"/>
      <c r="K21" s="660"/>
      <c r="L21" s="660"/>
      <c r="M21" s="660"/>
    </row>
    <row r="22" spans="1:13" x14ac:dyDescent="0.3">
      <c r="A22" s="830" t="s">
        <v>4013</v>
      </c>
      <c r="B22" s="808">
        <v>0</v>
      </c>
      <c r="C22" s="660"/>
      <c r="D22" s="660"/>
      <c r="E22" s="660"/>
      <c r="F22" s="660"/>
      <c r="G22" s="660"/>
      <c r="H22" s="660"/>
      <c r="I22" s="660"/>
      <c r="J22" s="660"/>
      <c r="K22" s="660"/>
      <c r="L22" s="660"/>
      <c r="M22" s="660"/>
    </row>
    <row r="23" spans="1:13" x14ac:dyDescent="0.3">
      <c r="A23" s="932" t="s">
        <v>347</v>
      </c>
      <c r="B23" s="862">
        <f>SUM(B16:B22)</f>
        <v>22427688.07</v>
      </c>
      <c r="C23" s="931"/>
      <c r="D23" s="931"/>
      <c r="E23" s="931"/>
      <c r="F23" s="931"/>
      <c r="G23" s="931"/>
      <c r="H23" s="931"/>
      <c r="I23" s="931"/>
      <c r="J23" s="931"/>
      <c r="K23" s="931"/>
      <c r="L23" s="931"/>
      <c r="M23" s="931"/>
    </row>
    <row r="24" spans="1:13" x14ac:dyDescent="0.3">
      <c r="A24" s="831" t="s">
        <v>3911</v>
      </c>
      <c r="B24" s="806"/>
      <c r="C24" s="660"/>
      <c r="D24" s="660"/>
      <c r="E24" s="660"/>
      <c r="F24" s="660"/>
      <c r="G24" s="660"/>
      <c r="H24" s="660"/>
      <c r="I24" s="660"/>
      <c r="J24" s="660"/>
      <c r="K24" s="660"/>
      <c r="L24" s="660"/>
      <c r="M24" s="660"/>
    </row>
    <row r="25" spans="1:13" x14ac:dyDescent="0.3">
      <c r="A25" s="830" t="s">
        <v>3912</v>
      </c>
      <c r="B25" s="808">
        <f>+'DIR LOAN AC'!B11</f>
        <v>2473436.4</v>
      </c>
      <c r="C25" s="660"/>
      <c r="D25" s="660"/>
      <c r="E25" s="660"/>
      <c r="F25" s="660"/>
      <c r="G25" s="660"/>
      <c r="H25" s="660"/>
      <c r="I25" s="660"/>
      <c r="J25" s="660"/>
      <c r="K25" s="660"/>
      <c r="L25" s="660"/>
      <c r="M25" s="660"/>
    </row>
    <row r="26" spans="1:13" x14ac:dyDescent="0.3">
      <c r="A26" s="830" t="s">
        <v>3913</v>
      </c>
      <c r="B26" s="808">
        <f>+'DIR LOAN AC'!B18</f>
        <v>2887441</v>
      </c>
      <c r="C26" s="660"/>
      <c r="D26" s="660"/>
      <c r="E26" s="660"/>
      <c r="F26" s="660"/>
      <c r="G26" s="660"/>
      <c r="H26" s="660"/>
      <c r="I26" s="660"/>
      <c r="J26" s="660"/>
      <c r="K26" s="660"/>
      <c r="L26" s="660"/>
      <c r="M26" s="660"/>
    </row>
    <row r="27" spans="1:13" x14ac:dyDescent="0.3">
      <c r="A27" s="830" t="s">
        <v>3914</v>
      </c>
      <c r="B27" s="808"/>
      <c r="C27" s="660"/>
      <c r="D27" s="660"/>
      <c r="E27" s="660"/>
      <c r="F27" s="660"/>
      <c r="G27" s="660"/>
      <c r="H27" s="660"/>
      <c r="I27" s="660"/>
      <c r="J27" s="660"/>
      <c r="K27" s="660"/>
      <c r="L27" s="660"/>
      <c r="M27" s="660"/>
    </row>
    <row r="28" spans="1:13" x14ac:dyDescent="0.3">
      <c r="A28" s="830" t="s">
        <v>3915</v>
      </c>
      <c r="B28" s="808"/>
      <c r="C28" s="660"/>
      <c r="D28" s="660"/>
      <c r="E28" s="660"/>
      <c r="F28" s="660"/>
      <c r="G28" s="660"/>
      <c r="H28" s="660"/>
      <c r="I28" s="660"/>
      <c r="J28" s="660"/>
      <c r="K28" s="660"/>
      <c r="L28" s="660"/>
      <c r="M28" s="660"/>
    </row>
    <row r="29" spans="1:13" x14ac:dyDescent="0.3">
      <c r="A29" s="830" t="s">
        <v>3916</v>
      </c>
      <c r="B29" s="808"/>
      <c r="C29" s="660"/>
      <c r="D29" s="660"/>
      <c r="E29" s="660"/>
      <c r="F29" s="660"/>
      <c r="G29" s="660"/>
      <c r="H29" s="660"/>
      <c r="I29" s="660"/>
      <c r="J29" s="660"/>
      <c r="K29" s="660"/>
      <c r="L29" s="660"/>
      <c r="M29" s="660"/>
    </row>
    <row r="30" spans="1:13" x14ac:dyDescent="0.3">
      <c r="A30" s="932" t="s">
        <v>347</v>
      </c>
      <c r="B30" s="862">
        <f>SUM(B25:B29)</f>
        <v>5360877.4000000004</v>
      </c>
      <c r="C30" s="931"/>
      <c r="D30" s="931"/>
      <c r="E30" s="931"/>
      <c r="F30" s="931"/>
      <c r="G30" s="931"/>
      <c r="H30" s="931"/>
      <c r="I30" s="931"/>
      <c r="J30" s="931"/>
      <c r="K30" s="931"/>
      <c r="L30" s="931"/>
      <c r="M30" s="931"/>
    </row>
    <row r="31" spans="1:13" x14ac:dyDescent="0.3">
      <c r="A31" s="829" t="s">
        <v>3917</v>
      </c>
      <c r="B31" s="805"/>
      <c r="C31" s="660"/>
      <c r="D31" s="660"/>
      <c r="E31" s="660"/>
      <c r="F31" s="660"/>
      <c r="G31" s="660"/>
      <c r="H31" s="660"/>
      <c r="I31" s="660"/>
      <c r="J31" s="660"/>
      <c r="K31" s="660"/>
      <c r="L31" s="660"/>
      <c r="M31" s="660"/>
    </row>
    <row r="32" spans="1:13" x14ac:dyDescent="0.3">
      <c r="A32" s="831"/>
      <c r="B32" s="806"/>
      <c r="C32" s="660"/>
      <c r="D32" s="660"/>
      <c r="E32" s="660"/>
      <c r="F32" s="660"/>
      <c r="G32" s="660"/>
      <c r="H32" s="660"/>
      <c r="I32" s="660"/>
      <c r="J32" s="660"/>
      <c r="K32" s="660"/>
      <c r="L32" s="660"/>
      <c r="M32" s="660"/>
    </row>
    <row r="33" spans="1:13" x14ac:dyDescent="0.3">
      <c r="A33" s="831" t="s">
        <v>3918</v>
      </c>
      <c r="B33" s="806"/>
      <c r="C33" s="660"/>
      <c r="D33" s="660"/>
      <c r="E33" s="660"/>
      <c r="F33" s="660"/>
      <c r="G33" s="660"/>
      <c r="H33" s="660"/>
      <c r="I33" s="660"/>
      <c r="J33" s="660"/>
      <c r="K33" s="660"/>
      <c r="L33" s="660"/>
      <c r="M33" s="660"/>
    </row>
    <row r="34" spans="1:13" x14ac:dyDescent="0.3">
      <c r="A34" s="830" t="s">
        <v>3919</v>
      </c>
      <c r="B34" s="808"/>
      <c r="C34" s="660"/>
      <c r="D34" s="660"/>
      <c r="E34" s="660"/>
      <c r="F34" s="660"/>
      <c r="G34" s="660"/>
      <c r="H34" s="660"/>
      <c r="I34" s="660"/>
      <c r="J34" s="660"/>
      <c r="K34" s="660"/>
      <c r="L34" s="660"/>
      <c r="M34" s="660"/>
    </row>
    <row r="35" spans="1:13" x14ac:dyDescent="0.3">
      <c r="A35" s="830" t="s">
        <v>3920</v>
      </c>
      <c r="B35" s="808"/>
      <c r="C35" s="660"/>
      <c r="D35" s="660"/>
      <c r="E35" s="660"/>
      <c r="F35" s="660"/>
      <c r="G35" s="660"/>
      <c r="H35" s="660"/>
      <c r="I35" s="660"/>
      <c r="J35" s="660"/>
      <c r="K35" s="660"/>
      <c r="L35" s="660"/>
      <c r="M35" s="660"/>
    </row>
    <row r="36" spans="1:13" x14ac:dyDescent="0.3">
      <c r="A36" s="932" t="s">
        <v>347</v>
      </c>
      <c r="B36" s="862">
        <f>SUM(B34:B35)</f>
        <v>0</v>
      </c>
      <c r="C36" s="931"/>
      <c r="D36" s="931"/>
      <c r="E36" s="931"/>
      <c r="F36" s="931"/>
      <c r="G36" s="931"/>
      <c r="H36" s="931"/>
      <c r="I36" s="931"/>
      <c r="J36" s="931"/>
      <c r="K36" s="931"/>
      <c r="L36" s="931"/>
      <c r="M36" s="931"/>
    </row>
    <row r="37" spans="1:13" x14ac:dyDescent="0.3">
      <c r="A37" s="831" t="s">
        <v>3921</v>
      </c>
      <c r="B37" s="806"/>
      <c r="C37" s="660"/>
      <c r="D37" s="660"/>
      <c r="E37" s="660"/>
      <c r="F37" s="660"/>
      <c r="G37" s="660"/>
      <c r="H37" s="660"/>
      <c r="I37" s="660"/>
      <c r="J37" s="660"/>
      <c r="K37" s="660"/>
      <c r="L37" s="660"/>
      <c r="M37" s="660"/>
    </row>
    <row r="38" spans="1:13" x14ac:dyDescent="0.3">
      <c r="A38" s="830" t="s">
        <v>3922</v>
      </c>
      <c r="B38" s="808"/>
      <c r="C38" s="660"/>
      <c r="D38" s="660"/>
      <c r="E38" s="660"/>
      <c r="F38" s="660"/>
      <c r="G38" s="660"/>
      <c r="H38" s="660"/>
      <c r="I38" s="660"/>
      <c r="J38" s="660"/>
      <c r="K38" s="660"/>
      <c r="L38" s="660"/>
      <c r="M38" s="660"/>
    </row>
    <row r="39" spans="1:13" x14ac:dyDescent="0.3">
      <c r="A39" s="932" t="s">
        <v>347</v>
      </c>
      <c r="B39" s="862">
        <f>SUM(B37:B38)</f>
        <v>0</v>
      </c>
      <c r="C39" s="931"/>
      <c r="D39" s="931"/>
      <c r="E39" s="931"/>
      <c r="F39" s="931"/>
      <c r="G39" s="931"/>
      <c r="H39" s="931"/>
      <c r="I39" s="931"/>
      <c r="J39" s="931"/>
      <c r="K39" s="931"/>
      <c r="L39" s="931"/>
      <c r="M39" s="931"/>
    </row>
    <row r="40" spans="1:13" ht="15.6" x14ac:dyDescent="0.3">
      <c r="A40" s="956" t="s">
        <v>4213</v>
      </c>
      <c r="B40" s="957">
        <f>+B23+B30+B36+B39</f>
        <v>27788565.469999999</v>
      </c>
      <c r="C40" s="958"/>
      <c r="D40" s="958"/>
      <c r="E40" s="958"/>
      <c r="F40" s="958"/>
      <c r="G40" s="958"/>
      <c r="H40" s="958"/>
      <c r="I40" s="958"/>
      <c r="J40" s="958"/>
      <c r="K40" s="958"/>
      <c r="L40" s="958"/>
      <c r="M40" s="958"/>
    </row>
    <row r="41" spans="1:13" x14ac:dyDescent="0.3">
      <c r="A41" s="829" t="s">
        <v>3923</v>
      </c>
      <c r="B41" s="805"/>
      <c r="C41" s="660"/>
      <c r="D41" s="660"/>
      <c r="E41" s="660"/>
      <c r="F41" s="660"/>
      <c r="G41" s="660"/>
      <c r="H41" s="660"/>
      <c r="I41" s="660"/>
      <c r="J41" s="660"/>
      <c r="K41" s="660"/>
      <c r="L41" s="660"/>
      <c r="M41" s="660"/>
    </row>
    <row r="42" spans="1:13" x14ac:dyDescent="0.3">
      <c r="A42" s="831"/>
      <c r="B42" s="806"/>
      <c r="C42" s="660"/>
      <c r="D42" s="660"/>
      <c r="E42" s="660"/>
      <c r="F42" s="660"/>
      <c r="G42" s="660"/>
      <c r="H42" s="660"/>
      <c r="I42" s="660"/>
      <c r="J42" s="660"/>
      <c r="K42" s="660"/>
      <c r="L42" s="660"/>
      <c r="M42" s="660"/>
    </row>
    <row r="43" spans="1:13" x14ac:dyDescent="0.3">
      <c r="A43" s="829" t="s">
        <v>3924</v>
      </c>
      <c r="B43" s="805"/>
      <c r="C43" s="660"/>
      <c r="D43" s="660"/>
      <c r="E43" s="660"/>
      <c r="F43" s="660"/>
      <c r="G43" s="660"/>
      <c r="H43" s="660"/>
      <c r="I43" s="660"/>
      <c r="J43" s="660"/>
      <c r="K43" s="660"/>
      <c r="L43" s="660"/>
      <c r="M43" s="660"/>
    </row>
    <row r="44" spans="1:13" x14ac:dyDescent="0.3">
      <c r="A44" s="830" t="s">
        <v>3925</v>
      </c>
      <c r="B44" s="808"/>
      <c r="C44" s="660"/>
      <c r="D44" s="660"/>
      <c r="E44" s="660"/>
      <c r="F44" s="660"/>
      <c r="G44" s="660"/>
      <c r="H44" s="660"/>
      <c r="I44" s="660"/>
      <c r="J44" s="660"/>
      <c r="K44" s="660"/>
      <c r="L44" s="660"/>
      <c r="M44" s="660"/>
    </row>
    <row r="45" spans="1:13" x14ac:dyDescent="0.3">
      <c r="A45" s="830" t="s">
        <v>3926</v>
      </c>
      <c r="B45" s="808"/>
      <c r="C45" s="660"/>
      <c r="D45" s="660"/>
      <c r="E45" s="660"/>
      <c r="F45" s="660"/>
      <c r="G45" s="660"/>
      <c r="H45" s="660"/>
      <c r="I45" s="660"/>
      <c r="J45" s="660"/>
      <c r="K45" s="660"/>
      <c r="L45" s="660"/>
      <c r="M45" s="660"/>
    </row>
    <row r="46" spans="1:13" x14ac:dyDescent="0.3">
      <c r="A46" s="830" t="s">
        <v>4218</v>
      </c>
      <c r="B46" s="808">
        <v>338388</v>
      </c>
      <c r="C46" s="660"/>
      <c r="D46" s="660"/>
      <c r="E46" s="660"/>
      <c r="F46" s="660"/>
      <c r="G46" s="660"/>
      <c r="H46" s="660"/>
      <c r="I46" s="660"/>
      <c r="J46" s="660"/>
      <c r="K46" s="660"/>
      <c r="L46" s="660"/>
      <c r="M46" s="660"/>
    </row>
    <row r="47" spans="1:13" x14ac:dyDescent="0.3">
      <c r="A47" s="830" t="s">
        <v>4219</v>
      </c>
      <c r="B47" s="808">
        <v>102024</v>
      </c>
      <c r="C47" s="660"/>
      <c r="D47" s="660"/>
      <c r="E47" s="660"/>
      <c r="F47" s="660"/>
      <c r="G47" s="660"/>
      <c r="H47" s="660"/>
      <c r="I47" s="660"/>
      <c r="J47" s="660"/>
      <c r="K47" s="660"/>
      <c r="L47" s="660"/>
      <c r="M47" s="660"/>
    </row>
    <row r="48" spans="1:13" x14ac:dyDescent="0.3">
      <c r="A48" s="830" t="s">
        <v>4220</v>
      </c>
      <c r="B48" s="808">
        <v>13500</v>
      </c>
      <c r="C48" s="660"/>
      <c r="D48" s="660"/>
      <c r="E48" s="660"/>
      <c r="F48" s="660"/>
      <c r="G48" s="660"/>
      <c r="H48" s="660"/>
      <c r="I48" s="660"/>
      <c r="J48" s="660"/>
      <c r="K48" s="660"/>
      <c r="L48" s="660"/>
      <c r="M48" s="660"/>
    </row>
    <row r="49" spans="1:13 16384:16384" x14ac:dyDescent="0.3">
      <c r="A49" s="830" t="s">
        <v>3927</v>
      </c>
      <c r="B49" s="808">
        <v>-381109</v>
      </c>
      <c r="C49" s="660"/>
      <c r="D49" s="660"/>
      <c r="E49" s="660"/>
      <c r="F49" s="660"/>
      <c r="G49" s="660"/>
      <c r="H49" s="660"/>
      <c r="I49" s="660"/>
      <c r="J49" s="660"/>
      <c r="K49" s="660"/>
      <c r="L49" s="660"/>
      <c r="M49" s="660"/>
    </row>
    <row r="50" spans="1:13 16384:16384" x14ac:dyDescent="0.3">
      <c r="A50" s="830" t="s">
        <v>4216</v>
      </c>
      <c r="B50" s="808">
        <v>0</v>
      </c>
      <c r="C50" s="660"/>
      <c r="D50" s="660"/>
      <c r="E50" s="660"/>
      <c r="F50" s="660"/>
      <c r="G50" s="660"/>
      <c r="H50" s="660"/>
      <c r="I50" s="660"/>
      <c r="J50" s="660"/>
      <c r="K50" s="660"/>
      <c r="L50" s="660"/>
      <c r="M50" s="660"/>
    </row>
    <row r="51" spans="1:13 16384:16384" x14ac:dyDescent="0.3">
      <c r="A51" s="830" t="s">
        <v>4217</v>
      </c>
      <c r="B51" s="808">
        <v>0</v>
      </c>
      <c r="C51" s="660"/>
      <c r="D51" s="660"/>
      <c r="E51" s="660"/>
      <c r="F51" s="660"/>
      <c r="G51" s="660"/>
      <c r="H51" s="660"/>
      <c r="I51" s="660"/>
      <c r="J51" s="660"/>
      <c r="K51" s="660"/>
      <c r="L51" s="660"/>
      <c r="M51" s="660"/>
    </row>
    <row r="52" spans="1:13 16384:16384" x14ac:dyDescent="0.3">
      <c r="A52" s="932" t="s">
        <v>347</v>
      </c>
      <c r="B52" s="959">
        <f>SUM(B44:B51)</f>
        <v>72803</v>
      </c>
      <c r="C52" s="931"/>
      <c r="D52" s="931"/>
      <c r="E52" s="931"/>
      <c r="F52" s="931"/>
      <c r="G52" s="931"/>
      <c r="H52" s="931"/>
      <c r="I52" s="931"/>
      <c r="J52" s="931"/>
      <c r="K52" s="931"/>
      <c r="L52" s="931"/>
      <c r="M52" s="931"/>
      <c r="XFD52" s="948">
        <f>SUM(B52:XFC52)</f>
        <v>72803</v>
      </c>
    </row>
    <row r="53" spans="1:13 16384:16384" x14ac:dyDescent="0.3">
      <c r="A53" s="829" t="s">
        <v>3928</v>
      </c>
      <c r="B53" s="805"/>
      <c r="C53" s="660"/>
      <c r="D53" s="660"/>
      <c r="E53" s="660"/>
      <c r="F53" s="660"/>
      <c r="G53" s="660"/>
      <c r="H53" s="660"/>
      <c r="I53" s="660"/>
      <c r="J53" s="660"/>
      <c r="K53" s="660"/>
      <c r="L53" s="660"/>
      <c r="M53" s="660"/>
    </row>
    <row r="54" spans="1:13 16384:16384" x14ac:dyDescent="0.3">
      <c r="A54" s="830" t="s">
        <v>3929</v>
      </c>
      <c r="B54" s="808">
        <v>21379537.690000001</v>
      </c>
      <c r="C54" s="660"/>
      <c r="D54" s="660"/>
      <c r="E54" s="660"/>
      <c r="F54" s="660"/>
      <c r="G54" s="660"/>
      <c r="H54" s="660"/>
      <c r="I54" s="660"/>
      <c r="J54" s="660"/>
      <c r="K54" s="660"/>
      <c r="L54" s="660"/>
      <c r="M54" s="660"/>
    </row>
    <row r="55" spans="1:13 16384:16384" x14ac:dyDescent="0.3">
      <c r="A55" s="830" t="s">
        <v>3930</v>
      </c>
      <c r="B55" s="808"/>
      <c r="C55" s="660"/>
      <c r="D55" s="660"/>
      <c r="E55" s="660"/>
      <c r="F55" s="660"/>
      <c r="G55" s="660"/>
      <c r="H55" s="660"/>
      <c r="I55" s="660"/>
      <c r="J55" s="660"/>
      <c r="K55" s="660"/>
      <c r="L55" s="660"/>
      <c r="M55" s="660"/>
    </row>
    <row r="56" spans="1:13 16384:16384" x14ac:dyDescent="0.3">
      <c r="A56" s="933" t="s">
        <v>3931</v>
      </c>
      <c r="B56" s="809"/>
      <c r="C56" s="660"/>
      <c r="D56" s="660"/>
      <c r="E56" s="660"/>
      <c r="F56" s="660"/>
      <c r="G56" s="660"/>
      <c r="H56" s="660"/>
      <c r="I56" s="660"/>
      <c r="J56" s="660"/>
      <c r="K56" s="660"/>
      <c r="L56" s="660"/>
      <c r="M56" s="660"/>
    </row>
    <row r="57" spans="1:13 16384:16384" x14ac:dyDescent="0.3">
      <c r="A57" s="932" t="s">
        <v>347</v>
      </c>
      <c r="B57" s="959">
        <f>SUM(B54:B56)</f>
        <v>21379537.690000001</v>
      </c>
      <c r="C57" s="931"/>
      <c r="D57" s="931"/>
      <c r="E57" s="931"/>
      <c r="F57" s="931"/>
      <c r="G57" s="931"/>
      <c r="H57" s="931"/>
      <c r="I57" s="931"/>
      <c r="J57" s="931"/>
      <c r="K57" s="931"/>
      <c r="L57" s="931"/>
      <c r="M57" s="931"/>
    </row>
    <row r="58" spans="1:13 16384:16384" x14ac:dyDescent="0.3">
      <c r="A58" s="934" t="s">
        <v>3932</v>
      </c>
      <c r="B58" s="810"/>
      <c r="C58" s="660"/>
      <c r="D58" s="660"/>
      <c r="E58" s="660"/>
      <c r="F58" s="660"/>
      <c r="G58" s="660"/>
      <c r="H58" s="660"/>
      <c r="I58" s="660"/>
      <c r="J58" s="660"/>
      <c r="K58" s="660"/>
      <c r="L58" s="660"/>
      <c r="M58" s="660"/>
    </row>
    <row r="59" spans="1:13 16384:16384" x14ac:dyDescent="0.3">
      <c r="A59" s="830" t="s">
        <v>3927</v>
      </c>
      <c r="B59" s="808">
        <v>382000</v>
      </c>
      <c r="C59" s="660"/>
      <c r="D59" s="660"/>
      <c r="E59" s="660"/>
      <c r="F59" s="660"/>
      <c r="G59" s="660"/>
      <c r="H59" s="660"/>
      <c r="I59" s="660"/>
      <c r="J59" s="660"/>
      <c r="K59" s="660"/>
      <c r="L59" s="660"/>
      <c r="M59" s="660"/>
    </row>
    <row r="60" spans="1:13 16384:16384" x14ac:dyDescent="0.3">
      <c r="A60" s="830" t="s">
        <v>4221</v>
      </c>
      <c r="B60" s="808">
        <f>200+855+503</f>
        <v>1558</v>
      </c>
      <c r="C60" s="660"/>
      <c r="D60" s="660"/>
      <c r="E60" s="660"/>
      <c r="F60" s="660"/>
      <c r="G60" s="660"/>
      <c r="H60" s="660"/>
      <c r="I60" s="660"/>
      <c r="J60" s="660"/>
      <c r="K60" s="660"/>
      <c r="L60" s="660"/>
      <c r="M60" s="660"/>
    </row>
    <row r="61" spans="1:13 16384:16384" x14ac:dyDescent="0.3">
      <c r="A61" s="830" t="s">
        <v>4216</v>
      </c>
      <c r="B61" s="808">
        <f>12069+12069</f>
        <v>24138</v>
      </c>
      <c r="C61" s="660"/>
      <c r="D61" s="660"/>
      <c r="E61" s="660"/>
      <c r="F61" s="660"/>
      <c r="G61" s="660"/>
      <c r="H61" s="660"/>
      <c r="I61" s="660"/>
      <c r="J61" s="660"/>
      <c r="K61" s="660"/>
      <c r="L61" s="660"/>
      <c r="M61" s="660"/>
    </row>
    <row r="62" spans="1:13 16384:16384" x14ac:dyDescent="0.3">
      <c r="A62" s="830" t="s">
        <v>4217</v>
      </c>
      <c r="B62" s="808">
        <v>1400</v>
      </c>
      <c r="C62" s="660"/>
      <c r="D62" s="660"/>
      <c r="E62" s="660"/>
      <c r="F62" s="660"/>
      <c r="G62" s="660"/>
      <c r="H62" s="660"/>
      <c r="I62" s="660"/>
      <c r="J62" s="660"/>
      <c r="K62" s="660"/>
      <c r="L62" s="660"/>
      <c r="M62" s="660"/>
    </row>
    <row r="63" spans="1:13 16384:16384" x14ac:dyDescent="0.3">
      <c r="A63" s="830" t="s">
        <v>3933</v>
      </c>
      <c r="B63" s="808"/>
      <c r="C63" s="660"/>
      <c r="D63" s="660"/>
      <c r="E63" s="660"/>
      <c r="F63" s="660"/>
      <c r="G63" s="660"/>
      <c r="H63" s="660"/>
      <c r="I63" s="660"/>
      <c r="J63" s="660"/>
      <c r="K63" s="660"/>
      <c r="L63" s="660"/>
      <c r="M63" s="660"/>
    </row>
    <row r="64" spans="1:13 16384:16384" x14ac:dyDescent="0.3">
      <c r="A64" s="830" t="s">
        <v>3934</v>
      </c>
      <c r="B64" s="808"/>
      <c r="C64" s="660"/>
      <c r="D64" s="660"/>
      <c r="E64" s="660"/>
      <c r="F64" s="660"/>
      <c r="G64" s="660"/>
      <c r="H64" s="660"/>
      <c r="I64" s="660"/>
      <c r="J64" s="660"/>
      <c r="K64" s="660"/>
      <c r="L64" s="660"/>
      <c r="M64" s="660"/>
    </row>
    <row r="65" spans="1:13" x14ac:dyDescent="0.3">
      <c r="A65" s="830" t="s">
        <v>2562</v>
      </c>
      <c r="B65" s="808"/>
      <c r="C65" s="660"/>
      <c r="D65" s="660"/>
      <c r="E65" s="660"/>
      <c r="F65" s="660"/>
      <c r="G65" s="660"/>
      <c r="H65" s="660"/>
      <c r="I65" s="660"/>
      <c r="J65" s="660"/>
      <c r="K65" s="660"/>
      <c r="L65" s="660"/>
      <c r="M65" s="660"/>
    </row>
    <row r="66" spans="1:13" x14ac:dyDescent="0.3">
      <c r="A66" s="830" t="s">
        <v>3935</v>
      </c>
      <c r="B66" s="808"/>
      <c r="C66" s="660"/>
      <c r="D66" s="660"/>
      <c r="E66" s="660"/>
      <c r="F66" s="660"/>
      <c r="G66" s="660"/>
      <c r="H66" s="660"/>
      <c r="I66" s="660"/>
      <c r="J66" s="660"/>
      <c r="K66" s="660"/>
      <c r="L66" s="660"/>
      <c r="M66" s="660"/>
    </row>
    <row r="67" spans="1:13" x14ac:dyDescent="0.3">
      <c r="A67" s="932" t="s">
        <v>347</v>
      </c>
      <c r="B67" s="959">
        <f>SUM(B59:B66)</f>
        <v>409096</v>
      </c>
      <c r="C67" s="931"/>
      <c r="D67" s="931"/>
      <c r="E67" s="931"/>
      <c r="F67" s="931"/>
      <c r="G67" s="931"/>
      <c r="H67" s="931"/>
      <c r="I67" s="931"/>
      <c r="J67" s="931"/>
      <c r="K67" s="931"/>
      <c r="L67" s="931"/>
      <c r="M67" s="931"/>
    </row>
    <row r="68" spans="1:13" x14ac:dyDescent="0.3">
      <c r="A68" s="949" t="s">
        <v>3757</v>
      </c>
      <c r="B68" s="950"/>
      <c r="C68" s="660"/>
      <c r="D68" s="660"/>
      <c r="E68" s="660"/>
      <c r="F68" s="660"/>
      <c r="G68" s="660"/>
      <c r="H68" s="660"/>
      <c r="I68" s="660"/>
      <c r="J68" s="660"/>
      <c r="K68" s="660"/>
      <c r="L68" s="660"/>
      <c r="M68" s="660"/>
    </row>
    <row r="69" spans="1:13" x14ac:dyDescent="0.3">
      <c r="A69" s="831" t="s">
        <v>2569</v>
      </c>
      <c r="B69" s="806"/>
      <c r="C69" s="660"/>
      <c r="D69" s="660"/>
      <c r="E69" s="660"/>
      <c r="F69" s="660"/>
      <c r="G69" s="660"/>
      <c r="H69" s="660"/>
      <c r="I69" s="660"/>
      <c r="J69" s="660"/>
      <c r="K69" s="660"/>
      <c r="L69" s="660"/>
      <c r="M69" s="660"/>
    </row>
    <row r="70" spans="1:13" x14ac:dyDescent="0.3">
      <c r="A70" s="830" t="s">
        <v>4019</v>
      </c>
      <c r="B70" s="808">
        <f>+'PAYMENT GST &amp;RMC'!B37</f>
        <v>264274.36</v>
      </c>
      <c r="C70" s="660"/>
      <c r="D70" s="660"/>
      <c r="E70" s="660"/>
      <c r="F70" s="660"/>
      <c r="G70" s="660"/>
      <c r="H70" s="660"/>
      <c r="I70" s="660"/>
      <c r="J70" s="660"/>
      <c r="K70" s="660"/>
      <c r="L70" s="660"/>
      <c r="M70" s="660"/>
    </row>
    <row r="71" spans="1:13" x14ac:dyDescent="0.3">
      <c r="A71" s="830" t="s">
        <v>4017</v>
      </c>
      <c r="B71" s="808">
        <f>+'PAYMENT GST &amp;RMC'!C37</f>
        <v>474647.98000000004</v>
      </c>
      <c r="C71" s="660"/>
      <c r="D71" s="660"/>
      <c r="E71" s="660"/>
      <c r="F71" s="660"/>
      <c r="G71" s="660"/>
      <c r="H71" s="660"/>
      <c r="I71" s="660"/>
      <c r="J71" s="660"/>
      <c r="K71" s="660"/>
      <c r="L71" s="660"/>
      <c r="M71" s="660"/>
    </row>
    <row r="72" spans="1:13" x14ac:dyDescent="0.3">
      <c r="A72" s="830" t="s">
        <v>4018</v>
      </c>
      <c r="B72" s="808">
        <f>+'PAYMENT GST &amp;RMC'!D37</f>
        <v>307385.34000000003</v>
      </c>
      <c r="C72" s="660"/>
      <c r="D72" s="660"/>
      <c r="E72" s="660"/>
      <c r="F72" s="660"/>
      <c r="G72" s="660"/>
      <c r="H72" s="660"/>
      <c r="I72" s="660"/>
      <c r="J72" s="660"/>
      <c r="K72" s="660"/>
      <c r="L72" s="660"/>
      <c r="M72" s="660"/>
    </row>
    <row r="73" spans="1:13" x14ac:dyDescent="0.3">
      <c r="A73" s="932" t="s">
        <v>347</v>
      </c>
      <c r="B73" s="947">
        <f>SUM(B70:B72)</f>
        <v>1046307.6800000002</v>
      </c>
      <c r="C73" s="931"/>
      <c r="D73" s="931"/>
      <c r="E73" s="931"/>
      <c r="F73" s="931"/>
      <c r="G73" s="931"/>
      <c r="H73" s="931"/>
      <c r="I73" s="931"/>
      <c r="J73" s="931"/>
      <c r="K73" s="931"/>
      <c r="L73" s="931"/>
      <c r="M73" s="931"/>
    </row>
    <row r="74" spans="1:13" x14ac:dyDescent="0.3">
      <c r="A74" s="831" t="s">
        <v>4023</v>
      </c>
      <c r="B74" s="806"/>
      <c r="C74" s="660"/>
      <c r="D74" s="660"/>
      <c r="E74" s="660"/>
      <c r="F74" s="660"/>
      <c r="G74" s="660"/>
      <c r="H74" s="660"/>
      <c r="I74" s="660"/>
      <c r="J74" s="660"/>
      <c r="K74" s="660"/>
      <c r="L74" s="660"/>
      <c r="M74" s="660"/>
    </row>
    <row r="75" spans="1:13" x14ac:dyDescent="0.3">
      <c r="A75" s="830" t="s">
        <v>4019</v>
      </c>
      <c r="B75" s="941">
        <f>+'PAYMENT GST &amp;RMC'!B43</f>
        <v>0</v>
      </c>
      <c r="C75" s="660"/>
      <c r="D75" s="660"/>
      <c r="E75" s="660"/>
      <c r="F75" s="660"/>
      <c r="G75" s="660"/>
      <c r="H75" s="660"/>
      <c r="I75" s="660"/>
      <c r="J75" s="660"/>
      <c r="K75" s="660"/>
      <c r="L75" s="660"/>
      <c r="M75" s="660"/>
    </row>
    <row r="76" spans="1:13" x14ac:dyDescent="0.3">
      <c r="A76" s="830" t="s">
        <v>4017</v>
      </c>
      <c r="B76" s="941">
        <f>+'PAYMENT GST &amp;RMC'!C43</f>
        <v>1362.5</v>
      </c>
      <c r="C76" s="660"/>
      <c r="D76" s="660"/>
      <c r="E76" s="660"/>
      <c r="F76" s="660"/>
      <c r="G76" s="660"/>
      <c r="H76" s="660"/>
      <c r="I76" s="660"/>
      <c r="J76" s="660"/>
      <c r="K76" s="660"/>
      <c r="L76" s="660"/>
      <c r="M76" s="660"/>
    </row>
    <row r="77" spans="1:13" x14ac:dyDescent="0.3">
      <c r="A77" s="830" t="s">
        <v>4018</v>
      </c>
      <c r="B77" s="941">
        <f>+'PAYMENT GST &amp;RMC'!D43</f>
        <v>1362.5</v>
      </c>
      <c r="C77" s="660"/>
      <c r="D77" s="660"/>
      <c r="E77" s="660"/>
      <c r="F77" s="660"/>
      <c r="G77" s="660"/>
      <c r="H77" s="660"/>
      <c r="I77" s="660"/>
      <c r="J77" s="660"/>
      <c r="K77" s="660"/>
      <c r="L77" s="660"/>
      <c r="M77" s="660"/>
    </row>
    <row r="78" spans="1:13" x14ac:dyDescent="0.3">
      <c r="A78" s="932" t="s">
        <v>347</v>
      </c>
      <c r="B78" s="947">
        <f>SUM(B74:B77)</f>
        <v>2725</v>
      </c>
      <c r="C78" s="931"/>
      <c r="D78" s="931"/>
      <c r="E78" s="931"/>
      <c r="F78" s="931"/>
      <c r="G78" s="931"/>
      <c r="H78" s="931"/>
      <c r="I78" s="931"/>
      <c r="J78" s="931"/>
      <c r="K78" s="931"/>
      <c r="L78" s="931"/>
      <c r="M78" s="931"/>
    </row>
    <row r="79" spans="1:13" x14ac:dyDescent="0.3">
      <c r="A79" s="830" t="s">
        <v>3936</v>
      </c>
      <c r="B79" s="808"/>
      <c r="C79" s="660"/>
      <c r="D79" s="660"/>
      <c r="E79" s="660"/>
      <c r="F79" s="660"/>
      <c r="G79" s="660"/>
      <c r="H79" s="660"/>
      <c r="I79" s="660"/>
      <c r="J79" s="660"/>
      <c r="K79" s="660"/>
      <c r="L79" s="660"/>
      <c r="M79" s="660"/>
    </row>
    <row r="80" spans="1:13" x14ac:dyDescent="0.3">
      <c r="A80" s="830" t="s">
        <v>3937</v>
      </c>
      <c r="B80" s="808"/>
      <c r="C80" s="660"/>
      <c r="D80" s="660"/>
      <c r="E80" s="660"/>
      <c r="F80" s="660"/>
      <c r="G80" s="660"/>
      <c r="H80" s="660"/>
      <c r="I80" s="660"/>
      <c r="J80" s="660"/>
      <c r="K80" s="660"/>
      <c r="L80" s="660"/>
      <c r="M80" s="660"/>
    </row>
    <row r="81" spans="1:13" x14ac:dyDescent="0.3">
      <c r="A81" s="830" t="s">
        <v>3938</v>
      </c>
      <c r="B81" s="808"/>
      <c r="C81" s="660"/>
      <c r="D81" s="660"/>
      <c r="E81" s="660"/>
      <c r="F81" s="660"/>
      <c r="G81" s="660"/>
      <c r="H81" s="660"/>
      <c r="I81" s="660"/>
      <c r="J81" s="660"/>
      <c r="K81" s="660"/>
      <c r="L81" s="660"/>
      <c r="M81" s="660"/>
    </row>
    <row r="82" spans="1:13" x14ac:dyDescent="0.3">
      <c r="A82" s="830" t="s">
        <v>3939</v>
      </c>
      <c r="B82" s="808"/>
      <c r="C82" s="660"/>
      <c r="D82" s="660"/>
      <c r="E82" s="660"/>
      <c r="F82" s="660"/>
      <c r="G82" s="660"/>
      <c r="H82" s="660"/>
      <c r="I82" s="660"/>
      <c r="J82" s="660"/>
      <c r="K82" s="660"/>
      <c r="L82" s="660"/>
      <c r="M82" s="660"/>
    </row>
    <row r="83" spans="1:13" x14ac:dyDescent="0.3">
      <c r="A83" s="831" t="s">
        <v>3940</v>
      </c>
      <c r="B83" s="942"/>
      <c r="C83" s="660"/>
      <c r="D83" s="660"/>
      <c r="E83" s="660"/>
      <c r="F83" s="660"/>
      <c r="G83" s="660"/>
      <c r="H83" s="660"/>
      <c r="I83" s="660"/>
      <c r="J83" s="660"/>
      <c r="K83" s="660"/>
      <c r="L83" s="660"/>
      <c r="M83" s="660"/>
    </row>
    <row r="84" spans="1:13" x14ac:dyDescent="0.3">
      <c r="A84" s="834" t="s">
        <v>4026</v>
      </c>
      <c r="B84" s="943">
        <v>441219</v>
      </c>
      <c r="C84" s="660"/>
      <c r="D84" s="660"/>
      <c r="E84" s="660"/>
      <c r="F84" s="660"/>
      <c r="G84" s="660"/>
      <c r="H84" s="660"/>
      <c r="I84" s="660"/>
      <c r="J84" s="660"/>
      <c r="K84" s="660"/>
      <c r="L84" s="660"/>
      <c r="M84" s="660"/>
    </row>
    <row r="85" spans="1:13" x14ac:dyDescent="0.3">
      <c r="A85" s="834" t="s">
        <v>4027</v>
      </c>
      <c r="B85" s="943">
        <v>198758</v>
      </c>
      <c r="C85" s="660"/>
      <c r="D85" s="660"/>
      <c r="E85" s="660"/>
      <c r="F85" s="660"/>
      <c r="G85" s="660"/>
      <c r="H85" s="660"/>
      <c r="I85" s="660"/>
      <c r="J85" s="660"/>
      <c r="K85" s="660"/>
      <c r="L85" s="660"/>
      <c r="M85" s="660"/>
    </row>
    <row r="86" spans="1:13" x14ac:dyDescent="0.3">
      <c r="A86" s="834" t="s">
        <v>4028</v>
      </c>
      <c r="B86" s="943">
        <v>15922</v>
      </c>
      <c r="C86" s="660"/>
      <c r="D86" s="660"/>
      <c r="E86" s="660"/>
      <c r="F86" s="660"/>
      <c r="G86" s="660"/>
      <c r="H86" s="660"/>
      <c r="I86" s="660"/>
      <c r="J86" s="660"/>
      <c r="K86" s="660"/>
      <c r="L86" s="660"/>
      <c r="M86" s="660"/>
    </row>
    <row r="87" spans="1:13" x14ac:dyDescent="0.3">
      <c r="A87" s="834" t="s">
        <v>4029</v>
      </c>
      <c r="B87" s="943">
        <v>92907</v>
      </c>
      <c r="C87" s="660"/>
      <c r="D87" s="660"/>
      <c r="E87" s="660"/>
      <c r="F87" s="660"/>
      <c r="G87" s="660"/>
      <c r="H87" s="660"/>
      <c r="I87" s="660"/>
      <c r="J87" s="660"/>
      <c r="K87" s="660"/>
      <c r="L87" s="660"/>
      <c r="M87" s="660"/>
    </row>
    <row r="88" spans="1:13" x14ac:dyDescent="0.3">
      <c r="A88" s="932" t="s">
        <v>347</v>
      </c>
      <c r="B88" s="947">
        <f>SUM(B84:B87)</f>
        <v>748806</v>
      </c>
      <c r="C88" s="931"/>
      <c r="D88" s="931"/>
      <c r="E88" s="931"/>
      <c r="F88" s="931"/>
      <c r="G88" s="931"/>
      <c r="H88" s="931"/>
      <c r="I88" s="931"/>
      <c r="J88" s="931"/>
      <c r="K88" s="931"/>
      <c r="L88" s="931"/>
      <c r="M88" s="931"/>
    </row>
    <row r="89" spans="1:13" x14ac:dyDescent="0.3">
      <c r="A89" s="951" t="s">
        <v>4215</v>
      </c>
      <c r="B89" s="959">
        <f>+B88+B78+B73</f>
        <v>1797838.6800000002</v>
      </c>
      <c r="C89" s="931"/>
      <c r="D89" s="931"/>
      <c r="E89" s="931"/>
      <c r="F89" s="931"/>
      <c r="G89" s="931"/>
      <c r="H89" s="931"/>
      <c r="I89" s="931"/>
      <c r="J89" s="931"/>
      <c r="K89" s="931"/>
      <c r="L89" s="931"/>
      <c r="M89" s="931"/>
    </row>
    <row r="90" spans="1:13" x14ac:dyDescent="0.3">
      <c r="A90" s="830" t="s">
        <v>3941</v>
      </c>
      <c r="B90" s="660"/>
      <c r="C90" s="660"/>
      <c r="D90" s="660"/>
      <c r="E90" s="660"/>
      <c r="F90" s="660"/>
      <c r="G90" s="660"/>
      <c r="H90" s="660"/>
      <c r="I90" s="660"/>
      <c r="J90" s="660"/>
      <c r="K90" s="660"/>
      <c r="L90" s="660"/>
      <c r="M90" s="660"/>
    </row>
    <row r="91" spans="1:13" x14ac:dyDescent="0.3">
      <c r="A91" s="830" t="s">
        <v>3942</v>
      </c>
      <c r="B91" s="808"/>
      <c r="C91" s="660"/>
      <c r="D91" s="660"/>
      <c r="E91" s="660"/>
      <c r="F91" s="660"/>
      <c r="G91" s="660"/>
      <c r="H91" s="660"/>
      <c r="I91" s="660"/>
      <c r="J91" s="660"/>
      <c r="K91" s="660"/>
      <c r="L91" s="660"/>
      <c r="M91" s="660"/>
    </row>
    <row r="92" spans="1:13" x14ac:dyDescent="0.3">
      <c r="A92" s="830" t="s">
        <v>3943</v>
      </c>
      <c r="B92" s="808"/>
      <c r="C92" s="660"/>
      <c r="D92" s="660"/>
      <c r="E92" s="660"/>
      <c r="F92" s="660"/>
      <c r="G92" s="660"/>
      <c r="H92" s="660"/>
      <c r="I92" s="660"/>
      <c r="J92" s="660"/>
      <c r="K92" s="660"/>
      <c r="L92" s="660"/>
      <c r="M92" s="660"/>
    </row>
    <row r="93" spans="1:13" x14ac:dyDescent="0.3">
      <c r="A93" s="830" t="s">
        <v>3944</v>
      </c>
      <c r="B93" s="808"/>
      <c r="C93" s="660"/>
      <c r="D93" s="660"/>
      <c r="E93" s="660"/>
      <c r="F93" s="660"/>
      <c r="G93" s="660"/>
      <c r="H93" s="660"/>
      <c r="I93" s="660"/>
      <c r="J93" s="660"/>
      <c r="K93" s="660"/>
      <c r="L93" s="660"/>
      <c r="M93" s="660"/>
    </row>
    <row r="94" spans="1:13" x14ac:dyDescent="0.3">
      <c r="A94" s="829" t="s">
        <v>3945</v>
      </c>
      <c r="B94" s="805"/>
      <c r="C94" s="660"/>
      <c r="D94" s="660"/>
      <c r="E94" s="660"/>
      <c r="F94" s="660"/>
      <c r="G94" s="660"/>
      <c r="H94" s="660"/>
      <c r="I94" s="660"/>
      <c r="J94" s="660"/>
      <c r="K94" s="660"/>
      <c r="L94" s="660"/>
      <c r="M94" s="660"/>
    </row>
    <row r="95" spans="1:13" x14ac:dyDescent="0.3">
      <c r="A95" s="830" t="s">
        <v>3946</v>
      </c>
      <c r="B95" s="808"/>
      <c r="C95" s="660"/>
      <c r="D95" s="660"/>
      <c r="E95" s="660"/>
      <c r="F95" s="660"/>
      <c r="G95" s="660"/>
      <c r="H95" s="660"/>
      <c r="I95" s="660"/>
      <c r="J95" s="660"/>
      <c r="K95" s="660"/>
      <c r="L95" s="660"/>
      <c r="M95" s="660"/>
    </row>
    <row r="96" spans="1:13" x14ac:dyDescent="0.3">
      <c r="A96" s="830" t="s">
        <v>3947</v>
      </c>
      <c r="B96" s="808"/>
      <c r="C96" s="660"/>
      <c r="D96" s="660"/>
      <c r="E96" s="660"/>
      <c r="F96" s="660"/>
      <c r="G96" s="660"/>
      <c r="H96" s="660"/>
      <c r="I96" s="660"/>
      <c r="J96" s="660"/>
      <c r="K96" s="660"/>
      <c r="L96" s="660"/>
      <c r="M96" s="660"/>
    </row>
    <row r="97" spans="1:13" x14ac:dyDescent="0.3">
      <c r="A97" s="932" t="s">
        <v>347</v>
      </c>
      <c r="B97" s="947">
        <f>SUM(B93:B96)</f>
        <v>0</v>
      </c>
      <c r="C97" s="931"/>
      <c r="D97" s="931"/>
      <c r="E97" s="931"/>
      <c r="F97" s="931"/>
      <c r="G97" s="931"/>
      <c r="H97" s="931"/>
      <c r="I97" s="931"/>
      <c r="J97" s="931"/>
      <c r="K97" s="931"/>
      <c r="L97" s="931"/>
      <c r="M97" s="931"/>
    </row>
    <row r="98" spans="1:13" x14ac:dyDescent="0.3">
      <c r="A98" s="935" t="s">
        <v>3948</v>
      </c>
      <c r="B98" s="660">
        <v>38223.81</v>
      </c>
      <c r="C98" s="660"/>
      <c r="D98" s="660"/>
      <c r="E98" s="660"/>
      <c r="F98" s="660"/>
      <c r="G98" s="660"/>
      <c r="H98" s="660"/>
      <c r="I98" s="660"/>
      <c r="J98" s="660"/>
      <c r="K98" s="660"/>
      <c r="L98" s="660"/>
      <c r="M98" s="660"/>
    </row>
    <row r="99" spans="1:13" x14ac:dyDescent="0.3">
      <c r="A99" s="811"/>
      <c r="B99" s="660"/>
      <c r="C99" s="660"/>
      <c r="D99" s="660"/>
      <c r="E99" s="660"/>
      <c r="F99" s="660"/>
      <c r="G99" s="660"/>
      <c r="H99" s="660"/>
      <c r="I99" s="660"/>
      <c r="J99" s="660"/>
      <c r="K99" s="660"/>
      <c r="L99" s="660"/>
      <c r="M99" s="660"/>
    </row>
    <row r="100" spans="1:13" x14ac:dyDescent="0.3">
      <c r="B100" s="660"/>
      <c r="C100" s="660"/>
      <c r="D100" s="660"/>
      <c r="E100" s="660"/>
      <c r="F100" s="660"/>
      <c r="G100" s="660"/>
      <c r="H100" s="660"/>
      <c r="I100" s="660"/>
      <c r="J100" s="660"/>
      <c r="K100" s="660"/>
      <c r="L100" s="660"/>
      <c r="M100" s="660"/>
    </row>
    <row r="101" spans="1:13" x14ac:dyDescent="0.3">
      <c r="A101" s="936" t="s">
        <v>3949</v>
      </c>
      <c r="B101" s="812"/>
      <c r="C101" s="660"/>
      <c r="D101" s="660"/>
      <c r="E101" s="660"/>
      <c r="F101" s="660"/>
      <c r="G101" s="660"/>
      <c r="H101" s="660"/>
      <c r="I101" s="660"/>
      <c r="J101" s="660"/>
      <c r="K101" s="660"/>
      <c r="L101" s="660"/>
      <c r="M101" s="660"/>
    </row>
    <row r="102" spans="1:13" ht="15.6" x14ac:dyDescent="0.3">
      <c r="A102" s="956" t="s">
        <v>4214</v>
      </c>
      <c r="B102" s="960">
        <f>+B97+B89+B67+B57+B52</f>
        <v>23659275.370000001</v>
      </c>
      <c r="C102" s="958"/>
      <c r="D102" s="958"/>
      <c r="E102" s="958"/>
      <c r="F102" s="958"/>
      <c r="G102" s="958"/>
      <c r="H102" s="958"/>
      <c r="I102" s="958"/>
      <c r="J102" s="958"/>
      <c r="K102" s="958"/>
      <c r="L102" s="958"/>
      <c r="M102" s="958"/>
    </row>
    <row r="103" spans="1:13" ht="15" thickBot="1" x14ac:dyDescent="0.35">
      <c r="A103" s="961" t="s">
        <v>4234</v>
      </c>
      <c r="B103" s="962">
        <f>+B102+B40+B14+B98</f>
        <v>51700610.410000004</v>
      </c>
      <c r="C103" s="961"/>
      <c r="D103" s="961"/>
      <c r="E103" s="961"/>
      <c r="F103" s="961"/>
      <c r="G103" s="961"/>
      <c r="H103" s="961"/>
      <c r="I103" s="961"/>
      <c r="J103" s="961"/>
      <c r="K103" s="961"/>
      <c r="L103" s="961"/>
      <c r="M103" s="961"/>
    </row>
    <row r="104" spans="1:13" ht="15" thickTop="1" x14ac:dyDescent="0.3">
      <c r="B104" s="660"/>
      <c r="C104" s="660"/>
      <c r="D104" s="660"/>
      <c r="E104" s="660"/>
      <c r="F104" s="660"/>
      <c r="G104" s="660"/>
      <c r="H104" s="660"/>
      <c r="I104" s="660"/>
      <c r="J104" s="660"/>
      <c r="K104" s="660"/>
      <c r="L104" s="660"/>
      <c r="M104" s="660"/>
    </row>
    <row r="105" spans="1:13" x14ac:dyDescent="0.3">
      <c r="A105" s="937" t="s">
        <v>3950</v>
      </c>
      <c r="B105" s="944"/>
      <c r="C105" s="660"/>
      <c r="D105" s="660"/>
      <c r="E105" s="660"/>
      <c r="F105" s="660"/>
      <c r="G105" s="660"/>
      <c r="H105" s="660"/>
      <c r="I105" s="660"/>
      <c r="J105" s="660"/>
      <c r="K105" s="660"/>
      <c r="L105" s="660"/>
      <c r="M105" s="660"/>
    </row>
    <row r="106" spans="1:13" x14ac:dyDescent="0.3">
      <c r="A106" s="938" t="s">
        <v>3951</v>
      </c>
      <c r="B106" s="813"/>
      <c r="C106" s="660"/>
      <c r="D106" s="660"/>
      <c r="E106" s="660"/>
      <c r="F106" s="660"/>
      <c r="G106" s="660"/>
      <c r="H106" s="660"/>
      <c r="I106" s="660"/>
      <c r="J106" s="660"/>
      <c r="K106" s="660"/>
      <c r="L106" s="660"/>
      <c r="M106" s="660"/>
    </row>
    <row r="107" spans="1:13" x14ac:dyDescent="0.3">
      <c r="A107" s="807" t="s">
        <v>3900</v>
      </c>
      <c r="B107" s="945">
        <v>31614056.34</v>
      </c>
      <c r="C107" s="660"/>
      <c r="D107" s="660"/>
      <c r="E107" s="660"/>
      <c r="F107" s="660"/>
      <c r="G107" s="660"/>
      <c r="H107" s="660"/>
      <c r="I107" s="660"/>
      <c r="J107" s="660"/>
      <c r="K107" s="660"/>
      <c r="L107" s="660"/>
      <c r="M107" s="660"/>
    </row>
    <row r="108" spans="1:13" x14ac:dyDescent="0.3">
      <c r="A108" s="918" t="s">
        <v>4226</v>
      </c>
      <c r="B108" s="812">
        <f>+'PROFIT &amp; LOSS AC'!B130</f>
        <v>0</v>
      </c>
      <c r="C108" s="812">
        <f>+'PROFIT &amp; LOSS AC'!C130</f>
        <v>0</v>
      </c>
      <c r="D108" s="812">
        <f>+'PROFIT &amp; LOSS AC'!D130</f>
        <v>0</v>
      </c>
      <c r="E108" s="812">
        <f>+'PROFIT &amp; LOSS AC'!E130</f>
        <v>0</v>
      </c>
      <c r="F108" s="812">
        <f>+'PROFIT &amp; LOSS AC'!F130</f>
        <v>0</v>
      </c>
      <c r="G108" s="812">
        <f>+'PROFIT &amp; LOSS AC'!G130</f>
        <v>0</v>
      </c>
      <c r="H108" s="812">
        <f>+'PROFIT &amp; LOSS AC'!H130</f>
        <v>0</v>
      </c>
      <c r="I108" s="812">
        <f>+'PROFIT &amp; LOSS AC'!I130</f>
        <v>0</v>
      </c>
      <c r="J108" s="812">
        <f>+'PROFIT &amp; LOSS AC'!J130</f>
        <v>0</v>
      </c>
      <c r="K108" s="812">
        <f>+'PROFIT &amp; LOSS AC'!K130</f>
        <v>0</v>
      </c>
      <c r="L108" s="812">
        <f>+'PROFIT &amp; LOSS AC'!L130</f>
        <v>0</v>
      </c>
      <c r="M108" s="812">
        <f>+'PROFIT &amp; LOSS AC'!M130</f>
        <v>0</v>
      </c>
    </row>
    <row r="109" spans="1:13" x14ac:dyDescent="0.3">
      <c r="A109" s="918" t="s">
        <v>4190</v>
      </c>
      <c r="B109" s="812">
        <f>+'PROFIT &amp; LOSS AC'!B131</f>
        <v>0</v>
      </c>
      <c r="C109" s="812">
        <f>+'PROFIT &amp; LOSS AC'!C131</f>
        <v>0</v>
      </c>
      <c r="D109" s="812">
        <f>+'PROFIT &amp; LOSS AC'!D131</f>
        <v>0</v>
      </c>
      <c r="E109" s="812">
        <f>+'PROFIT &amp; LOSS AC'!E131</f>
        <v>0</v>
      </c>
      <c r="F109" s="812">
        <f>+'PROFIT &amp; LOSS AC'!F131</f>
        <v>0</v>
      </c>
      <c r="G109" s="812">
        <f>+'PROFIT &amp; LOSS AC'!G131</f>
        <v>0</v>
      </c>
      <c r="H109" s="812">
        <f>+'PROFIT &amp; LOSS AC'!H131</f>
        <v>0</v>
      </c>
      <c r="I109" s="812">
        <f>+'PROFIT &amp; LOSS AC'!I131</f>
        <v>0</v>
      </c>
      <c r="J109" s="812">
        <f>+'PROFIT &amp; LOSS AC'!J131</f>
        <v>0</v>
      </c>
      <c r="K109" s="812">
        <f>+'PROFIT &amp; LOSS AC'!K131</f>
        <v>0</v>
      </c>
      <c r="L109" s="812">
        <f>+'PROFIT &amp; LOSS AC'!L131</f>
        <v>0</v>
      </c>
      <c r="M109" s="812">
        <f>+'PROFIT &amp; LOSS AC'!M131</f>
        <v>0</v>
      </c>
    </row>
    <row r="110" spans="1:13" x14ac:dyDescent="0.3">
      <c r="A110" s="918" t="s">
        <v>4191</v>
      </c>
      <c r="B110" s="812">
        <f>+'PROFIT &amp; LOSS AC'!B132</f>
        <v>0</v>
      </c>
      <c r="C110" s="812">
        <f>+'PROFIT &amp; LOSS AC'!C132</f>
        <v>0</v>
      </c>
      <c r="D110" s="812">
        <f>+'PROFIT &amp; LOSS AC'!D132</f>
        <v>0</v>
      </c>
      <c r="E110" s="812">
        <f>+'PROFIT &amp; LOSS AC'!E132</f>
        <v>0</v>
      </c>
      <c r="F110" s="812">
        <f>+'PROFIT &amp; LOSS AC'!F132</f>
        <v>0</v>
      </c>
      <c r="G110" s="812">
        <f>+'PROFIT &amp; LOSS AC'!G132</f>
        <v>0</v>
      </c>
      <c r="H110" s="812">
        <f>+'PROFIT &amp; LOSS AC'!H132</f>
        <v>0</v>
      </c>
      <c r="I110" s="812">
        <f>+'PROFIT &amp; LOSS AC'!I132</f>
        <v>0</v>
      </c>
      <c r="J110" s="812">
        <f>+'PROFIT &amp; LOSS AC'!J132</f>
        <v>0</v>
      </c>
      <c r="K110" s="812">
        <f>+'PROFIT &amp; LOSS AC'!K132</f>
        <v>0</v>
      </c>
      <c r="L110" s="812">
        <f>+'PROFIT &amp; LOSS AC'!L132</f>
        <v>0</v>
      </c>
      <c r="M110" s="812">
        <f>+'PROFIT &amp; LOSS AC'!M132</f>
        <v>0</v>
      </c>
    </row>
    <row r="111" spans="1:13" x14ac:dyDescent="0.3">
      <c r="A111" s="918" t="s">
        <v>4192</v>
      </c>
      <c r="B111" s="812">
        <f>+'PROFIT &amp; LOSS AC'!B133</f>
        <v>0</v>
      </c>
      <c r="C111" s="812">
        <f>+'PROFIT &amp; LOSS AC'!C133</f>
        <v>0</v>
      </c>
      <c r="D111" s="812">
        <f>+'PROFIT &amp; LOSS AC'!D133</f>
        <v>0</v>
      </c>
      <c r="E111" s="812">
        <f>+'PROFIT &amp; LOSS AC'!E133</f>
        <v>0</v>
      </c>
      <c r="F111" s="812">
        <f>+'PROFIT &amp; LOSS AC'!F133</f>
        <v>0</v>
      </c>
      <c r="G111" s="812">
        <f>+'PROFIT &amp; LOSS AC'!G133</f>
        <v>0</v>
      </c>
      <c r="H111" s="812">
        <f>+'PROFIT &amp; LOSS AC'!H133</f>
        <v>0</v>
      </c>
      <c r="I111" s="812">
        <f>+'PROFIT &amp; LOSS AC'!I133</f>
        <v>0</v>
      </c>
      <c r="J111" s="812">
        <f>+'PROFIT &amp; LOSS AC'!J133</f>
        <v>0</v>
      </c>
      <c r="K111" s="812">
        <f>+'PROFIT &amp; LOSS AC'!K133</f>
        <v>0</v>
      </c>
      <c r="L111" s="812">
        <f>+'PROFIT &amp; LOSS AC'!L133</f>
        <v>0</v>
      </c>
      <c r="M111" s="812">
        <f>+'PROFIT &amp; LOSS AC'!M133</f>
        <v>0</v>
      </c>
    </row>
    <row r="112" spans="1:13" x14ac:dyDescent="0.3">
      <c r="A112" s="918" t="s">
        <v>4193</v>
      </c>
      <c r="B112" s="812">
        <f>+'PROFIT &amp; LOSS AC'!B134</f>
        <v>0</v>
      </c>
      <c r="C112" s="812">
        <f>+'PROFIT &amp; LOSS AC'!C134</f>
        <v>0</v>
      </c>
      <c r="D112" s="812">
        <f>+'PROFIT &amp; LOSS AC'!D134</f>
        <v>0</v>
      </c>
      <c r="E112" s="812">
        <f>+'PROFIT &amp; LOSS AC'!E134</f>
        <v>0</v>
      </c>
      <c r="F112" s="812">
        <f>+'PROFIT &amp; LOSS AC'!F134</f>
        <v>0</v>
      </c>
      <c r="G112" s="812">
        <f>+'PROFIT &amp; LOSS AC'!G134</f>
        <v>0</v>
      </c>
      <c r="H112" s="812">
        <f>+'PROFIT &amp; LOSS AC'!H134</f>
        <v>0</v>
      </c>
      <c r="I112" s="812">
        <f>+'PROFIT &amp; LOSS AC'!I134</f>
        <v>0</v>
      </c>
      <c r="J112" s="812">
        <f>+'PROFIT &amp; LOSS AC'!J134</f>
        <v>0</v>
      </c>
      <c r="K112" s="812">
        <f>+'PROFIT &amp; LOSS AC'!K134</f>
        <v>0</v>
      </c>
      <c r="L112" s="812">
        <f>+'PROFIT &amp; LOSS AC'!L134</f>
        <v>0</v>
      </c>
      <c r="M112" s="812">
        <f>+'PROFIT &amp; LOSS AC'!M134</f>
        <v>0</v>
      </c>
    </row>
    <row r="113" spans="1:13" x14ac:dyDescent="0.3">
      <c r="A113" s="918" t="s">
        <v>4194</v>
      </c>
      <c r="B113" s="812">
        <f>+'PROFIT &amp; LOSS AC'!B135</f>
        <v>0</v>
      </c>
      <c r="C113" s="812">
        <f>+'PROFIT &amp; LOSS AC'!C135</f>
        <v>0</v>
      </c>
      <c r="D113" s="812">
        <f>+'PROFIT &amp; LOSS AC'!D135</f>
        <v>0</v>
      </c>
      <c r="E113" s="812">
        <f>+'PROFIT &amp; LOSS AC'!E135</f>
        <v>0</v>
      </c>
      <c r="F113" s="812">
        <f>+'PROFIT &amp; LOSS AC'!F135</f>
        <v>0</v>
      </c>
      <c r="G113" s="812">
        <f>+'PROFIT &amp; LOSS AC'!G135</f>
        <v>0</v>
      </c>
      <c r="H113" s="812">
        <f>+'PROFIT &amp; LOSS AC'!H135</f>
        <v>0</v>
      </c>
      <c r="I113" s="812">
        <f>+'PROFIT &amp; LOSS AC'!I135</f>
        <v>0</v>
      </c>
      <c r="J113" s="812">
        <f>+'PROFIT &amp; LOSS AC'!J135</f>
        <v>0</v>
      </c>
      <c r="K113" s="812">
        <f>+'PROFIT &amp; LOSS AC'!K135</f>
        <v>0</v>
      </c>
      <c r="L113" s="812">
        <f>+'PROFIT &amp; LOSS AC'!L135</f>
        <v>0</v>
      </c>
      <c r="M113" s="812">
        <f>+'PROFIT &amp; LOSS AC'!M135</f>
        <v>0</v>
      </c>
    </row>
    <row r="114" spans="1:13" x14ac:dyDescent="0.3">
      <c r="A114" s="918" t="s">
        <v>4195</v>
      </c>
      <c r="B114" s="812">
        <f>+'PROFIT &amp; LOSS AC'!B136</f>
        <v>0</v>
      </c>
      <c r="C114" s="812">
        <f>+'PROFIT &amp; LOSS AC'!C136</f>
        <v>0</v>
      </c>
      <c r="D114" s="812">
        <f>+'PROFIT &amp; LOSS AC'!D136</f>
        <v>0</v>
      </c>
      <c r="E114" s="812">
        <f>+'PROFIT &amp; LOSS AC'!E136</f>
        <v>0</v>
      </c>
      <c r="F114" s="812">
        <f>+'PROFIT &amp; LOSS AC'!F136</f>
        <v>0</v>
      </c>
      <c r="G114" s="812">
        <f>+'PROFIT &amp; LOSS AC'!G136</f>
        <v>0</v>
      </c>
      <c r="H114" s="812">
        <f>+'PROFIT &amp; LOSS AC'!H136</f>
        <v>0</v>
      </c>
      <c r="I114" s="812">
        <f>+'PROFIT &amp; LOSS AC'!I136</f>
        <v>0</v>
      </c>
      <c r="J114" s="812">
        <f>+'PROFIT &amp; LOSS AC'!J136</f>
        <v>0</v>
      </c>
      <c r="K114" s="812">
        <f>+'PROFIT &amp; LOSS AC'!K136</f>
        <v>0</v>
      </c>
      <c r="L114" s="812">
        <f>+'PROFIT &amp; LOSS AC'!L136</f>
        <v>0</v>
      </c>
      <c r="M114" s="812">
        <f>+'PROFIT &amp; LOSS AC'!M136</f>
        <v>0</v>
      </c>
    </row>
    <row r="115" spans="1:13" x14ac:dyDescent="0.3">
      <c r="A115" s="918" t="s">
        <v>4196</v>
      </c>
      <c r="B115" s="812">
        <f>+'PROFIT &amp; LOSS AC'!B137</f>
        <v>0</v>
      </c>
      <c r="C115" s="812">
        <f>+'PROFIT &amp; LOSS AC'!C137</f>
        <v>0</v>
      </c>
      <c r="D115" s="812">
        <f>+'PROFIT &amp; LOSS AC'!D137</f>
        <v>0</v>
      </c>
      <c r="E115" s="812">
        <f>+'PROFIT &amp; LOSS AC'!E137</f>
        <v>0</v>
      </c>
      <c r="F115" s="812">
        <f>+'PROFIT &amp; LOSS AC'!F137</f>
        <v>0</v>
      </c>
      <c r="G115" s="812">
        <f>+'PROFIT &amp; LOSS AC'!G137</f>
        <v>0</v>
      </c>
      <c r="H115" s="812">
        <f>+'PROFIT &amp; LOSS AC'!H137</f>
        <v>0</v>
      </c>
      <c r="I115" s="812">
        <f>+'PROFIT &amp; LOSS AC'!I137</f>
        <v>0</v>
      </c>
      <c r="J115" s="812">
        <f>+'PROFIT &amp; LOSS AC'!J137</f>
        <v>0</v>
      </c>
      <c r="K115" s="812">
        <f>+'PROFIT &amp; LOSS AC'!K137</f>
        <v>0</v>
      </c>
      <c r="L115" s="812">
        <f>+'PROFIT &amp; LOSS AC'!L137</f>
        <v>0</v>
      </c>
      <c r="M115" s="812">
        <f>+'PROFIT &amp; LOSS AC'!M137</f>
        <v>0</v>
      </c>
    </row>
    <row r="116" spans="1:13" x14ac:dyDescent="0.3">
      <c r="A116" s="918" t="s">
        <v>4197</v>
      </c>
      <c r="B116" s="812">
        <f>+'PROFIT &amp; LOSS AC'!B138</f>
        <v>0</v>
      </c>
      <c r="C116" s="812">
        <f>+'PROFIT &amp; LOSS AC'!C138</f>
        <v>0</v>
      </c>
      <c r="D116" s="812">
        <f>+'PROFIT &amp; LOSS AC'!D138</f>
        <v>0</v>
      </c>
      <c r="E116" s="812">
        <f>+'PROFIT &amp; LOSS AC'!E138</f>
        <v>0</v>
      </c>
      <c r="F116" s="812">
        <f>+'PROFIT &amp; LOSS AC'!F138</f>
        <v>0</v>
      </c>
      <c r="G116" s="812">
        <f>+'PROFIT &amp; LOSS AC'!G138</f>
        <v>0</v>
      </c>
      <c r="H116" s="812">
        <f>+'PROFIT &amp; LOSS AC'!H138</f>
        <v>0</v>
      </c>
      <c r="I116" s="812">
        <f>+'PROFIT &amp; LOSS AC'!I138</f>
        <v>0</v>
      </c>
      <c r="J116" s="812">
        <f>+'PROFIT &amp; LOSS AC'!J138</f>
        <v>0</v>
      </c>
      <c r="K116" s="812">
        <f>+'PROFIT &amp; LOSS AC'!K138</f>
        <v>0</v>
      </c>
      <c r="L116" s="812">
        <f>+'PROFIT &amp; LOSS AC'!L138</f>
        <v>0</v>
      </c>
      <c r="M116" s="812">
        <f>+'PROFIT &amp; LOSS AC'!M138</f>
        <v>0</v>
      </c>
    </row>
    <row r="117" spans="1:13" x14ac:dyDescent="0.3">
      <c r="A117" s="913" t="s">
        <v>4198</v>
      </c>
      <c r="B117" s="812">
        <f>+'PROFIT &amp; LOSS AC'!B139</f>
        <v>0</v>
      </c>
      <c r="C117" s="812">
        <f>+'PROFIT &amp; LOSS AC'!C139</f>
        <v>0</v>
      </c>
      <c r="D117" s="812">
        <f>+'PROFIT &amp; LOSS AC'!D139</f>
        <v>0</v>
      </c>
      <c r="E117" s="812">
        <f>+'PROFIT &amp; LOSS AC'!E139</f>
        <v>0</v>
      </c>
      <c r="F117" s="812">
        <f>+'PROFIT &amp; LOSS AC'!F139</f>
        <v>0</v>
      </c>
      <c r="G117" s="812">
        <f>+'PROFIT &amp; LOSS AC'!G139</f>
        <v>0</v>
      </c>
      <c r="H117" s="812">
        <f>+'PROFIT &amp; LOSS AC'!H139</f>
        <v>0</v>
      </c>
      <c r="I117" s="812">
        <f>+'PROFIT &amp; LOSS AC'!I139</f>
        <v>0</v>
      </c>
      <c r="J117" s="812">
        <f>+'PROFIT &amp; LOSS AC'!J139</f>
        <v>0</v>
      </c>
      <c r="K117" s="812">
        <f>+'PROFIT &amp; LOSS AC'!K139</f>
        <v>0</v>
      </c>
      <c r="L117" s="812">
        <f>+'PROFIT &amp; LOSS AC'!L139</f>
        <v>0</v>
      </c>
      <c r="M117" s="812">
        <f>+'PROFIT &amp; LOSS AC'!M139</f>
        <v>0</v>
      </c>
    </row>
    <row r="118" spans="1:13" ht="15.6" x14ac:dyDescent="0.3">
      <c r="A118" s="956" t="s">
        <v>4235</v>
      </c>
      <c r="B118" s="960">
        <f>SUM(B107:B117)</f>
        <v>31614056.34</v>
      </c>
      <c r="C118" s="958"/>
      <c r="D118" s="958"/>
      <c r="E118" s="958"/>
      <c r="F118" s="958"/>
      <c r="G118" s="958"/>
      <c r="H118" s="958"/>
      <c r="I118" s="958"/>
      <c r="J118" s="958"/>
      <c r="K118" s="958"/>
      <c r="L118" s="958"/>
      <c r="M118" s="958"/>
    </row>
    <row r="119" spans="1:13" x14ac:dyDescent="0.3">
      <c r="A119" s="938" t="s">
        <v>3952</v>
      </c>
      <c r="B119" s="813"/>
      <c r="C119" s="660"/>
      <c r="D119" s="660"/>
      <c r="E119" s="660"/>
      <c r="F119" s="660"/>
      <c r="G119" s="660"/>
      <c r="H119" s="660"/>
      <c r="I119" s="660"/>
      <c r="J119" s="660"/>
      <c r="K119" s="660"/>
      <c r="L119" s="660"/>
      <c r="M119" s="660"/>
    </row>
    <row r="120" spans="1:13" x14ac:dyDescent="0.3">
      <c r="A120" s="936" t="s">
        <v>3953</v>
      </c>
      <c r="B120" s="812"/>
      <c r="C120" s="660"/>
      <c r="D120" s="660"/>
      <c r="E120" s="660"/>
      <c r="F120" s="660"/>
      <c r="G120" s="660"/>
      <c r="H120" s="660"/>
      <c r="I120" s="660"/>
      <c r="J120" s="660"/>
      <c r="K120" s="660"/>
      <c r="L120" s="660"/>
      <c r="M120" s="660"/>
    </row>
    <row r="121" spans="1:13" x14ac:dyDescent="0.3">
      <c r="A121" s="816" t="s">
        <v>3954</v>
      </c>
      <c r="B121" s="801"/>
      <c r="C121" s="660"/>
      <c r="D121" s="660"/>
      <c r="E121" s="660"/>
      <c r="F121" s="660"/>
      <c r="G121" s="660"/>
      <c r="H121" s="660"/>
      <c r="I121" s="660"/>
      <c r="J121" s="660"/>
      <c r="K121" s="660"/>
      <c r="L121" s="660"/>
      <c r="M121" s="660"/>
    </row>
    <row r="122" spans="1:13" x14ac:dyDescent="0.3">
      <c r="A122" s="936" t="s">
        <v>3955</v>
      </c>
      <c r="B122" s="812"/>
      <c r="C122" s="660"/>
      <c r="D122" s="660"/>
      <c r="E122" s="660"/>
      <c r="F122" s="660"/>
      <c r="G122" s="660"/>
      <c r="H122" s="660"/>
      <c r="I122" s="660"/>
      <c r="J122" s="660"/>
      <c r="K122" s="660"/>
      <c r="L122" s="660"/>
      <c r="M122" s="660"/>
    </row>
    <row r="123" spans="1:13" x14ac:dyDescent="0.3">
      <c r="A123" s="816" t="s">
        <v>3956</v>
      </c>
      <c r="B123" s="801"/>
      <c r="C123" s="660"/>
      <c r="D123" s="660"/>
      <c r="E123" s="660"/>
      <c r="F123" s="660"/>
      <c r="G123" s="660"/>
      <c r="H123" s="660"/>
      <c r="I123" s="660"/>
      <c r="J123" s="660"/>
      <c r="K123" s="660"/>
      <c r="L123" s="660"/>
      <c r="M123" s="660"/>
    </row>
    <row r="124" spans="1:13" x14ac:dyDescent="0.3">
      <c r="A124" s="816" t="s">
        <v>3957</v>
      </c>
      <c r="B124" s="801"/>
      <c r="C124" s="660"/>
      <c r="D124" s="660"/>
      <c r="E124" s="660"/>
      <c r="F124" s="660"/>
      <c r="G124" s="660"/>
      <c r="H124" s="660"/>
      <c r="I124" s="660"/>
      <c r="J124" s="660"/>
      <c r="K124" s="660"/>
      <c r="L124" s="660"/>
      <c r="M124" s="660"/>
    </row>
    <row r="125" spans="1:13" ht="15.6" x14ac:dyDescent="0.3">
      <c r="A125" s="956" t="s">
        <v>4245</v>
      </c>
      <c r="B125" s="960">
        <f>SUM(B120:B124)</f>
        <v>0</v>
      </c>
      <c r="C125" s="958"/>
      <c r="D125" s="958"/>
      <c r="E125" s="958"/>
      <c r="F125" s="958"/>
      <c r="G125" s="958"/>
      <c r="H125" s="958"/>
      <c r="I125" s="958"/>
      <c r="J125" s="958"/>
      <c r="K125" s="958"/>
      <c r="L125" s="958"/>
      <c r="M125" s="958"/>
    </row>
    <row r="126" spans="1:13" x14ac:dyDescent="0.3">
      <c r="A126" s="938" t="s">
        <v>3958</v>
      </c>
      <c r="B126" s="813"/>
      <c r="C126" s="660"/>
      <c r="D126" s="660"/>
      <c r="E126" s="660"/>
      <c r="F126" s="660"/>
      <c r="G126" s="660"/>
      <c r="H126" s="660"/>
      <c r="I126" s="660"/>
      <c r="J126" s="660"/>
      <c r="K126" s="660"/>
      <c r="L126" s="660"/>
      <c r="M126" s="660"/>
    </row>
    <row r="127" spans="1:13" x14ac:dyDescent="0.3">
      <c r="A127" s="814" t="s">
        <v>3959</v>
      </c>
      <c r="B127" s="946"/>
      <c r="C127" s="660"/>
      <c r="D127" s="660"/>
      <c r="E127" s="660"/>
      <c r="F127" s="660"/>
      <c r="G127" s="660"/>
      <c r="H127" s="660"/>
      <c r="I127" s="660"/>
      <c r="J127" s="660"/>
      <c r="K127" s="660"/>
      <c r="L127" s="660"/>
      <c r="M127" s="660"/>
    </row>
    <row r="128" spans="1:13" x14ac:dyDescent="0.3">
      <c r="A128" s="936" t="s">
        <v>3959</v>
      </c>
      <c r="B128" s="812"/>
      <c r="C128" s="660"/>
      <c r="D128" s="660"/>
      <c r="E128" s="660"/>
      <c r="F128" s="660"/>
      <c r="G128" s="660"/>
      <c r="H128" s="660"/>
      <c r="I128" s="660"/>
      <c r="J128" s="660"/>
      <c r="K128" s="660"/>
      <c r="L128" s="660"/>
      <c r="M128" s="660"/>
    </row>
    <row r="129" spans="1:13" x14ac:dyDescent="0.3">
      <c r="A129" s="936" t="s">
        <v>3960</v>
      </c>
      <c r="B129" s="812"/>
      <c r="C129" s="660"/>
      <c r="D129" s="660"/>
      <c r="E129" s="660"/>
      <c r="F129" s="660"/>
      <c r="G129" s="660"/>
      <c r="H129" s="660"/>
      <c r="I129" s="660"/>
      <c r="J129" s="660"/>
      <c r="K129" s="660"/>
      <c r="L129" s="660"/>
      <c r="M129" s="660"/>
    </row>
    <row r="130" spans="1:13" x14ac:dyDescent="0.3">
      <c r="A130" s="816" t="s">
        <v>3961</v>
      </c>
      <c r="B130" s="801">
        <v>1445087</v>
      </c>
      <c r="C130" s="660"/>
      <c r="D130" s="660"/>
      <c r="E130" s="660"/>
      <c r="F130" s="660"/>
      <c r="G130" s="660"/>
      <c r="H130" s="660"/>
      <c r="I130" s="660"/>
      <c r="J130" s="660"/>
      <c r="K130" s="660"/>
      <c r="L130" s="660"/>
      <c r="M130" s="660"/>
    </row>
    <row r="131" spans="1:13" x14ac:dyDescent="0.3">
      <c r="A131" s="816" t="s">
        <v>3962</v>
      </c>
      <c r="B131" s="801"/>
      <c r="C131" s="660"/>
      <c r="D131" s="660"/>
      <c r="E131" s="660"/>
      <c r="F131" s="660"/>
      <c r="G131" s="660"/>
      <c r="H131" s="660"/>
      <c r="I131" s="660"/>
      <c r="J131" s="660"/>
      <c r="K131" s="660"/>
      <c r="L131" s="660"/>
      <c r="M131" s="660"/>
    </row>
    <row r="132" spans="1:13" x14ac:dyDescent="0.3">
      <c r="A132" s="816" t="s">
        <v>3963</v>
      </c>
      <c r="B132" s="801"/>
      <c r="C132" s="660"/>
      <c r="D132" s="660"/>
      <c r="E132" s="660"/>
      <c r="F132" s="660"/>
      <c r="G132" s="660"/>
      <c r="H132" s="660"/>
      <c r="I132" s="660"/>
      <c r="J132" s="660"/>
      <c r="K132" s="660"/>
      <c r="L132" s="660"/>
      <c r="M132" s="660"/>
    </row>
    <row r="133" spans="1:13" ht="15.6" x14ac:dyDescent="0.3">
      <c r="A133" s="956" t="s">
        <v>4241</v>
      </c>
      <c r="B133" s="960">
        <f>SUM(B127:B132)</f>
        <v>1445087</v>
      </c>
      <c r="C133" s="958"/>
      <c r="D133" s="958"/>
      <c r="E133" s="958"/>
      <c r="F133" s="958"/>
      <c r="G133" s="958"/>
      <c r="H133" s="958"/>
      <c r="I133" s="958"/>
      <c r="J133" s="958"/>
      <c r="K133" s="958"/>
      <c r="L133" s="958"/>
      <c r="M133" s="958"/>
    </row>
    <row r="134" spans="1:13" x14ac:dyDescent="0.3">
      <c r="A134" s="936" t="s">
        <v>3964</v>
      </c>
      <c r="B134" s="812"/>
      <c r="C134" s="660"/>
      <c r="D134" s="660"/>
      <c r="E134" s="660"/>
      <c r="F134" s="660"/>
      <c r="G134" s="660"/>
      <c r="H134" s="660"/>
      <c r="I134" s="660"/>
      <c r="J134" s="660"/>
      <c r="K134" s="660"/>
      <c r="L134" s="660"/>
      <c r="M134" s="660"/>
    </row>
    <row r="135" spans="1:13" x14ac:dyDescent="0.3">
      <c r="A135" s="816" t="s">
        <v>3965</v>
      </c>
      <c r="B135" s="801"/>
      <c r="C135" s="660"/>
      <c r="D135" s="660"/>
      <c r="E135" s="660"/>
      <c r="F135" s="660"/>
      <c r="G135" s="660"/>
      <c r="H135" s="660"/>
      <c r="I135" s="660"/>
      <c r="J135" s="660"/>
      <c r="K135" s="660"/>
      <c r="L135" s="660"/>
      <c r="M135" s="660"/>
    </row>
    <row r="136" spans="1:13" x14ac:dyDescent="0.3">
      <c r="A136" s="816" t="s">
        <v>3966</v>
      </c>
      <c r="B136" s="801"/>
      <c r="C136" s="660"/>
      <c r="D136" s="660"/>
      <c r="E136" s="660"/>
      <c r="F136" s="660"/>
      <c r="G136" s="660"/>
      <c r="H136" s="660"/>
      <c r="I136" s="660"/>
      <c r="J136" s="660"/>
      <c r="K136" s="660"/>
      <c r="L136" s="660"/>
      <c r="M136" s="660"/>
    </row>
    <row r="137" spans="1:13" x14ac:dyDescent="0.3">
      <c r="A137" s="816" t="s">
        <v>3967</v>
      </c>
      <c r="B137" s="801"/>
      <c r="C137" s="660"/>
      <c r="D137" s="660"/>
      <c r="E137" s="660"/>
      <c r="F137" s="660"/>
      <c r="G137" s="660"/>
      <c r="H137" s="660"/>
      <c r="I137" s="660"/>
      <c r="J137" s="660"/>
      <c r="K137" s="660"/>
      <c r="L137" s="660"/>
      <c r="M137" s="660"/>
    </row>
    <row r="138" spans="1:13" x14ac:dyDescent="0.3">
      <c r="A138" s="936" t="s">
        <v>3968</v>
      </c>
      <c r="B138" s="812"/>
      <c r="C138" s="660"/>
      <c r="D138" s="660"/>
      <c r="E138" s="660"/>
      <c r="F138" s="660"/>
      <c r="G138" s="660"/>
      <c r="H138" s="660"/>
      <c r="I138" s="660"/>
      <c r="J138" s="660"/>
      <c r="K138" s="660"/>
      <c r="L138" s="660"/>
      <c r="M138" s="660"/>
    </row>
    <row r="139" spans="1:13" x14ac:dyDescent="0.3">
      <c r="A139" s="939" t="s">
        <v>3969</v>
      </c>
      <c r="B139" s="815"/>
      <c r="C139" s="660"/>
      <c r="D139" s="660"/>
      <c r="E139" s="660"/>
      <c r="F139" s="660"/>
      <c r="G139" s="660"/>
      <c r="H139" s="660"/>
      <c r="I139" s="660"/>
      <c r="J139" s="660"/>
      <c r="K139" s="660"/>
      <c r="L139" s="660"/>
      <c r="M139" s="660"/>
    </row>
    <row r="140" spans="1:13" x14ac:dyDescent="0.3">
      <c r="A140" s="939" t="s">
        <v>3970</v>
      </c>
      <c r="B140" s="815"/>
      <c r="C140" s="660"/>
      <c r="D140" s="660"/>
      <c r="E140" s="660"/>
      <c r="F140" s="660"/>
      <c r="G140" s="660"/>
      <c r="H140" s="660"/>
      <c r="I140" s="660"/>
      <c r="J140" s="660"/>
      <c r="K140" s="660"/>
      <c r="L140" s="660"/>
      <c r="M140" s="660"/>
    </row>
    <row r="141" spans="1:13" x14ac:dyDescent="0.3">
      <c r="A141" s="939" t="s">
        <v>4232</v>
      </c>
      <c r="B141" s="815">
        <v>81000</v>
      </c>
      <c r="C141" s="660"/>
      <c r="D141" s="660"/>
      <c r="E141" s="660"/>
      <c r="F141" s="660"/>
      <c r="G141" s="660"/>
      <c r="H141" s="660"/>
      <c r="I141" s="660"/>
      <c r="J141" s="660"/>
      <c r="K141" s="660"/>
      <c r="L141" s="660"/>
      <c r="M141" s="660"/>
    </row>
    <row r="142" spans="1:13" ht="15.6" x14ac:dyDescent="0.3">
      <c r="A142" s="956" t="s">
        <v>4238</v>
      </c>
      <c r="B142" s="960">
        <f>SUM(B136:B141)</f>
        <v>81000</v>
      </c>
      <c r="C142" s="958"/>
      <c r="D142" s="958"/>
      <c r="E142" s="958"/>
      <c r="F142" s="958"/>
      <c r="G142" s="958"/>
      <c r="H142" s="958"/>
      <c r="I142" s="958"/>
      <c r="J142" s="958"/>
      <c r="K142" s="958"/>
      <c r="L142" s="958"/>
      <c r="M142" s="958"/>
    </row>
    <row r="143" spans="1:13" x14ac:dyDescent="0.3">
      <c r="A143" s="936" t="s">
        <v>3971</v>
      </c>
      <c r="B143" s="812"/>
      <c r="C143" s="660"/>
      <c r="D143" s="660"/>
      <c r="E143" s="660"/>
      <c r="F143" s="660"/>
      <c r="G143" s="660"/>
      <c r="H143" s="660"/>
      <c r="I143" s="660"/>
      <c r="J143" s="660"/>
      <c r="K143" s="660"/>
      <c r="L143" s="660"/>
      <c r="M143" s="660"/>
    </row>
    <row r="144" spans="1:13" x14ac:dyDescent="0.3">
      <c r="A144" s="816" t="s">
        <v>3972</v>
      </c>
      <c r="B144" s="801"/>
      <c r="C144" s="660"/>
      <c r="D144" s="660"/>
      <c r="E144" s="660"/>
      <c r="F144" s="660"/>
      <c r="G144" s="660"/>
      <c r="H144" s="660"/>
      <c r="I144" s="660"/>
      <c r="J144" s="660"/>
      <c r="K144" s="660"/>
      <c r="L144" s="660"/>
      <c r="M144" s="660"/>
    </row>
    <row r="145" spans="1:13" x14ac:dyDescent="0.3">
      <c r="A145" s="816" t="s">
        <v>3973</v>
      </c>
      <c r="B145" s="801"/>
      <c r="C145" s="660"/>
      <c r="D145" s="660"/>
      <c r="E145" s="660"/>
      <c r="F145" s="660"/>
      <c r="G145" s="660"/>
      <c r="H145" s="660"/>
      <c r="I145" s="660"/>
      <c r="J145" s="660"/>
      <c r="K145" s="660"/>
      <c r="L145" s="660"/>
      <c r="M145" s="660"/>
    </row>
    <row r="146" spans="1:13" x14ac:dyDescent="0.3">
      <c r="A146" s="816" t="s">
        <v>3974</v>
      </c>
      <c r="B146" s="801"/>
      <c r="C146" s="660"/>
      <c r="D146" s="660"/>
      <c r="E146" s="660"/>
      <c r="F146" s="660"/>
      <c r="G146" s="660"/>
      <c r="H146" s="660"/>
      <c r="I146" s="660"/>
      <c r="J146" s="660"/>
      <c r="K146" s="660"/>
      <c r="L146" s="660"/>
      <c r="M146" s="660"/>
    </row>
    <row r="147" spans="1:13" x14ac:dyDescent="0.3">
      <c r="A147" s="816" t="s">
        <v>3975</v>
      </c>
      <c r="B147" s="801"/>
      <c r="C147" s="660"/>
      <c r="D147" s="660"/>
      <c r="E147" s="660"/>
      <c r="F147" s="660"/>
      <c r="G147" s="660"/>
      <c r="H147" s="660"/>
      <c r="I147" s="660"/>
      <c r="J147" s="660"/>
      <c r="K147" s="660"/>
      <c r="L147" s="660"/>
      <c r="M147" s="660"/>
    </row>
    <row r="148" spans="1:13" x14ac:dyDescent="0.3">
      <c r="A148" s="816" t="s">
        <v>3976</v>
      </c>
      <c r="B148" s="801"/>
      <c r="C148" s="660"/>
      <c r="D148" s="660"/>
      <c r="E148" s="660"/>
      <c r="F148" s="660"/>
      <c r="G148" s="660"/>
      <c r="H148" s="660"/>
      <c r="I148" s="660"/>
      <c r="J148" s="660"/>
      <c r="K148" s="660"/>
      <c r="L148" s="660"/>
      <c r="M148" s="660"/>
    </row>
    <row r="149" spans="1:13" x14ac:dyDescent="0.3">
      <c r="A149" s="816" t="s">
        <v>4233</v>
      </c>
      <c r="B149" s="801">
        <v>1800</v>
      </c>
      <c r="C149" s="660"/>
      <c r="D149" s="660"/>
      <c r="E149" s="660"/>
      <c r="F149" s="660"/>
      <c r="G149" s="660"/>
      <c r="H149" s="660"/>
      <c r="I149" s="660"/>
      <c r="J149" s="660"/>
      <c r="K149" s="660"/>
      <c r="L149" s="660"/>
      <c r="M149" s="660"/>
    </row>
    <row r="150" spans="1:13" ht="15.6" x14ac:dyDescent="0.3">
      <c r="A150" s="956" t="s">
        <v>4239</v>
      </c>
      <c r="B150" s="960">
        <f>SUM(B144:B149)</f>
        <v>1800</v>
      </c>
      <c r="C150" s="958"/>
      <c r="D150" s="958"/>
      <c r="E150" s="958"/>
      <c r="F150" s="958"/>
      <c r="G150" s="958"/>
      <c r="H150" s="958"/>
      <c r="I150" s="958"/>
      <c r="J150" s="958"/>
      <c r="K150" s="958"/>
      <c r="L150" s="958"/>
      <c r="M150" s="958"/>
    </row>
    <row r="151" spans="1:13" x14ac:dyDescent="0.3">
      <c r="A151" s="936" t="s">
        <v>4228</v>
      </c>
      <c r="B151" s="812"/>
      <c r="C151" s="660"/>
      <c r="D151" s="660"/>
      <c r="E151" s="660"/>
      <c r="F151" s="660"/>
      <c r="G151" s="660"/>
      <c r="H151" s="660"/>
      <c r="I151" s="660"/>
      <c r="J151" s="660"/>
      <c r="K151" s="660"/>
      <c r="L151" s="660"/>
      <c r="M151" s="660"/>
    </row>
    <row r="152" spans="1:13" x14ac:dyDescent="0.3">
      <c r="A152" s="816" t="s">
        <v>4229</v>
      </c>
      <c r="B152" s="801">
        <v>2972876.36</v>
      </c>
      <c r="C152" s="660"/>
      <c r="D152" s="660"/>
      <c r="E152" s="660"/>
      <c r="F152" s="660"/>
      <c r="G152" s="660"/>
      <c r="H152" s="660"/>
      <c r="I152" s="660"/>
      <c r="J152" s="660"/>
      <c r="K152" s="660"/>
      <c r="L152" s="660"/>
      <c r="M152" s="660"/>
    </row>
    <row r="153" spans="1:13" x14ac:dyDescent="0.3">
      <c r="A153" s="816" t="s">
        <v>4230</v>
      </c>
      <c r="B153" s="801">
        <v>5400</v>
      </c>
      <c r="C153" s="660"/>
      <c r="D153" s="660"/>
      <c r="E153" s="660"/>
      <c r="F153" s="660"/>
      <c r="G153" s="660"/>
      <c r="H153" s="660"/>
      <c r="I153" s="660"/>
      <c r="J153" s="660"/>
      <c r="K153" s="660"/>
      <c r="L153" s="660"/>
      <c r="M153" s="660"/>
    </row>
    <row r="154" spans="1:13" x14ac:dyDescent="0.3">
      <c r="A154" s="816" t="s">
        <v>4231</v>
      </c>
      <c r="B154" s="801">
        <v>278075.02</v>
      </c>
      <c r="C154" s="660"/>
      <c r="D154" s="660"/>
      <c r="E154" s="660"/>
      <c r="F154" s="660"/>
      <c r="G154" s="660"/>
      <c r="H154" s="660"/>
      <c r="I154" s="660"/>
      <c r="J154" s="660"/>
      <c r="K154" s="660"/>
      <c r="L154" s="660"/>
      <c r="M154" s="660"/>
    </row>
    <row r="155" spans="1:13" ht="15.6" x14ac:dyDescent="0.3">
      <c r="A155" s="956" t="s">
        <v>4240</v>
      </c>
      <c r="B155" s="960">
        <f>SUM(B152:B154)</f>
        <v>3256351.38</v>
      </c>
      <c r="C155" s="958"/>
      <c r="D155" s="958"/>
      <c r="E155" s="958"/>
      <c r="F155" s="958"/>
      <c r="G155" s="958"/>
      <c r="H155" s="958"/>
      <c r="I155" s="958"/>
      <c r="J155" s="958"/>
      <c r="K155" s="958"/>
      <c r="L155" s="958"/>
      <c r="M155" s="958"/>
    </row>
    <row r="156" spans="1:13" x14ac:dyDescent="0.3">
      <c r="A156" s="936" t="s">
        <v>3977</v>
      </c>
      <c r="B156" s="812"/>
      <c r="C156" s="660"/>
      <c r="D156" s="660"/>
      <c r="E156" s="660"/>
      <c r="F156" s="660"/>
      <c r="G156" s="660"/>
      <c r="H156" s="660"/>
      <c r="I156" s="660"/>
      <c r="J156" s="660"/>
      <c r="K156" s="660"/>
      <c r="L156" s="660"/>
      <c r="M156" s="660"/>
    </row>
    <row r="157" spans="1:13" x14ac:dyDescent="0.3">
      <c r="A157" s="816" t="s">
        <v>3978</v>
      </c>
      <c r="B157" s="801"/>
      <c r="C157" s="660"/>
      <c r="D157" s="660"/>
      <c r="E157" s="660"/>
      <c r="F157" s="660"/>
      <c r="G157" s="660"/>
      <c r="H157" s="660"/>
      <c r="I157" s="660"/>
      <c r="J157" s="660"/>
      <c r="K157" s="660"/>
      <c r="L157" s="660"/>
      <c r="M157" s="660"/>
    </row>
    <row r="158" spans="1:13" x14ac:dyDescent="0.3">
      <c r="A158" s="816" t="s">
        <v>3979</v>
      </c>
      <c r="B158" s="801">
        <v>281317.13</v>
      </c>
      <c r="C158" s="660"/>
      <c r="D158" s="660"/>
      <c r="E158" s="660"/>
      <c r="F158" s="660"/>
      <c r="G158" s="660"/>
      <c r="H158" s="660"/>
      <c r="I158" s="660"/>
      <c r="J158" s="660"/>
      <c r="K158" s="660"/>
      <c r="L158" s="660"/>
      <c r="M158" s="660"/>
    </row>
    <row r="159" spans="1:13" x14ac:dyDescent="0.3">
      <c r="A159" s="816" t="s">
        <v>3980</v>
      </c>
      <c r="B159" s="801"/>
      <c r="C159" s="660"/>
      <c r="D159" s="660"/>
      <c r="E159" s="660"/>
      <c r="F159" s="660"/>
      <c r="G159" s="660"/>
      <c r="H159" s="660"/>
      <c r="I159" s="660"/>
      <c r="J159" s="660"/>
      <c r="K159" s="660"/>
      <c r="L159" s="660"/>
      <c r="M159" s="660"/>
    </row>
    <row r="160" spans="1:13" ht="15.6" x14ac:dyDescent="0.3">
      <c r="A160" s="956" t="s">
        <v>4238</v>
      </c>
      <c r="B160" s="960">
        <f>SUM(B157:B159)</f>
        <v>281317.13</v>
      </c>
      <c r="C160" s="958"/>
      <c r="D160" s="958"/>
      <c r="E160" s="958"/>
      <c r="F160" s="958"/>
      <c r="G160" s="958"/>
      <c r="H160" s="958"/>
      <c r="I160" s="958"/>
      <c r="J160" s="958"/>
      <c r="K160" s="958"/>
      <c r="L160" s="958"/>
      <c r="M160" s="958"/>
    </row>
    <row r="161" spans="1:13" x14ac:dyDescent="0.3">
      <c r="A161" s="936" t="s">
        <v>3981</v>
      </c>
      <c r="B161" s="812"/>
      <c r="C161" s="660"/>
      <c r="D161" s="660"/>
      <c r="E161" s="660"/>
      <c r="F161" s="660"/>
      <c r="G161" s="660"/>
      <c r="H161" s="660"/>
      <c r="I161" s="660"/>
      <c r="J161" s="660"/>
      <c r="K161" s="660"/>
      <c r="L161" s="660"/>
      <c r="M161" s="660"/>
    </row>
    <row r="162" spans="1:13" x14ac:dyDescent="0.3">
      <c r="A162" s="816" t="s">
        <v>3982</v>
      </c>
      <c r="B162" s="801"/>
      <c r="C162" s="660"/>
      <c r="D162" s="660"/>
      <c r="E162" s="660"/>
      <c r="F162" s="660"/>
      <c r="G162" s="660"/>
      <c r="H162" s="660"/>
      <c r="I162" s="660"/>
      <c r="J162" s="660"/>
      <c r="K162" s="660"/>
      <c r="L162" s="660"/>
      <c r="M162" s="660"/>
    </row>
    <row r="163" spans="1:13" x14ac:dyDescent="0.3">
      <c r="A163" s="816" t="s">
        <v>3983</v>
      </c>
      <c r="B163" s="801">
        <v>0</v>
      </c>
      <c r="C163" s="660"/>
      <c r="D163" s="660"/>
      <c r="E163" s="660"/>
      <c r="F163" s="660"/>
      <c r="G163" s="660"/>
      <c r="H163" s="660"/>
      <c r="I163" s="660"/>
      <c r="J163" s="660"/>
      <c r="K163" s="660"/>
      <c r="L163" s="660"/>
      <c r="M163" s="660"/>
    </row>
    <row r="164" spans="1:13" x14ac:dyDescent="0.3">
      <c r="A164" s="816" t="s">
        <v>4227</v>
      </c>
      <c r="B164" s="801">
        <v>25000</v>
      </c>
      <c r="C164" s="660"/>
      <c r="D164" s="660"/>
      <c r="E164" s="660"/>
      <c r="F164" s="660"/>
      <c r="G164" s="660"/>
      <c r="H164" s="660"/>
      <c r="I164" s="660"/>
      <c r="J164" s="660"/>
      <c r="K164" s="660"/>
      <c r="L164" s="660"/>
      <c r="M164" s="660"/>
    </row>
    <row r="165" spans="1:13" x14ac:dyDescent="0.3">
      <c r="A165" s="816" t="s">
        <v>3984</v>
      </c>
      <c r="B165" s="801"/>
      <c r="C165" s="660"/>
      <c r="D165" s="660"/>
      <c r="E165" s="660"/>
      <c r="F165" s="660"/>
      <c r="G165" s="660"/>
      <c r="H165" s="660"/>
      <c r="I165" s="660"/>
      <c r="J165" s="660"/>
      <c r="K165" s="660"/>
      <c r="L165" s="660"/>
      <c r="M165" s="660"/>
    </row>
    <row r="166" spans="1:13" x14ac:dyDescent="0.3">
      <c r="A166" s="816" t="s">
        <v>3985</v>
      </c>
      <c r="B166" s="801"/>
      <c r="C166" s="660"/>
      <c r="D166" s="660"/>
      <c r="E166" s="660"/>
      <c r="F166" s="660"/>
      <c r="G166" s="660"/>
      <c r="H166" s="660"/>
      <c r="I166" s="660"/>
      <c r="J166" s="660"/>
      <c r="K166" s="660"/>
      <c r="L166" s="660"/>
      <c r="M166" s="660"/>
    </row>
    <row r="167" spans="1:13" x14ac:dyDescent="0.3">
      <c r="A167" s="816" t="s">
        <v>3986</v>
      </c>
      <c r="B167" s="801">
        <v>299662</v>
      </c>
      <c r="C167" s="660"/>
      <c r="D167" s="660"/>
      <c r="E167" s="660"/>
      <c r="F167" s="660"/>
      <c r="G167" s="660"/>
      <c r="H167" s="660"/>
      <c r="I167" s="660"/>
      <c r="J167" s="660"/>
      <c r="K167" s="660"/>
      <c r="L167" s="660"/>
      <c r="M167" s="660"/>
    </row>
    <row r="168" spans="1:13" x14ac:dyDescent="0.3">
      <c r="A168" s="816" t="s">
        <v>3987</v>
      </c>
      <c r="B168" s="801"/>
      <c r="C168" s="660"/>
      <c r="D168" s="660"/>
      <c r="E168" s="660"/>
      <c r="F168" s="660"/>
      <c r="G168" s="660"/>
      <c r="H168" s="660"/>
      <c r="I168" s="660"/>
      <c r="J168" s="660"/>
      <c r="K168" s="660"/>
      <c r="L168" s="660"/>
      <c r="M168" s="660"/>
    </row>
    <row r="169" spans="1:13" x14ac:dyDescent="0.3">
      <c r="A169" s="816" t="s">
        <v>3988</v>
      </c>
      <c r="B169" s="801"/>
      <c r="C169" s="660"/>
      <c r="D169" s="660"/>
      <c r="E169" s="660"/>
      <c r="F169" s="660"/>
      <c r="G169" s="660"/>
      <c r="H169" s="660"/>
      <c r="I169" s="660"/>
      <c r="J169" s="660"/>
      <c r="K169" s="660"/>
      <c r="L169" s="660"/>
      <c r="M169" s="660"/>
    </row>
    <row r="170" spans="1:13" ht="15.6" x14ac:dyDescent="0.3">
      <c r="A170" s="956" t="s">
        <v>4237</v>
      </c>
      <c r="B170" s="960">
        <f>SUM(B162:B169)</f>
        <v>324662</v>
      </c>
      <c r="C170" s="958"/>
      <c r="D170" s="958"/>
      <c r="E170" s="958"/>
      <c r="F170" s="958"/>
      <c r="G170" s="958"/>
      <c r="H170" s="958"/>
      <c r="I170" s="958"/>
      <c r="J170" s="958"/>
      <c r="K170" s="958"/>
      <c r="L170" s="958"/>
      <c r="M170" s="958"/>
    </row>
    <row r="171" spans="1:13" x14ac:dyDescent="0.3">
      <c r="A171" s="936" t="s">
        <v>3989</v>
      </c>
      <c r="B171" s="812"/>
      <c r="C171" s="660"/>
      <c r="D171" s="660"/>
      <c r="E171" s="660"/>
      <c r="F171" s="660"/>
      <c r="G171" s="660"/>
      <c r="H171" s="660"/>
      <c r="I171" s="660"/>
      <c r="J171" s="660"/>
      <c r="K171" s="660"/>
      <c r="L171" s="660"/>
      <c r="M171" s="660"/>
    </row>
    <row r="172" spans="1:13" x14ac:dyDescent="0.3">
      <c r="A172" s="918" t="s">
        <v>4036</v>
      </c>
      <c r="B172" s="801">
        <f>+'PROFIT &amp; LOSS AC'!B56</f>
        <v>1268.97</v>
      </c>
      <c r="C172" s="801">
        <f>+'PROFIT &amp; LOSS AC'!C56</f>
        <v>685.73</v>
      </c>
      <c r="D172" s="801">
        <f>+'PROFIT &amp; LOSS AC'!D56</f>
        <v>0</v>
      </c>
      <c r="E172" s="801">
        <f>+'PROFIT &amp; LOSS AC'!E56</f>
        <v>0</v>
      </c>
      <c r="F172" s="801">
        <f>+'PROFIT &amp; LOSS AC'!F56</f>
        <v>0</v>
      </c>
      <c r="G172" s="801">
        <f>+'PROFIT &amp; LOSS AC'!G56</f>
        <v>0</v>
      </c>
      <c r="H172" s="801">
        <f>+'PROFIT &amp; LOSS AC'!H56</f>
        <v>0</v>
      </c>
      <c r="I172" s="801">
        <f>+'PROFIT &amp; LOSS AC'!I56</f>
        <v>0</v>
      </c>
      <c r="J172" s="801">
        <f>+'PROFIT &amp; LOSS AC'!J56</f>
        <v>0</v>
      </c>
      <c r="K172" s="801">
        <f>+'PROFIT &amp; LOSS AC'!K56</f>
        <v>0</v>
      </c>
      <c r="L172" s="801">
        <f>+'PROFIT &amp; LOSS AC'!L56</f>
        <v>0</v>
      </c>
      <c r="M172" s="801">
        <f>+'PROFIT &amp; LOSS AC'!M56</f>
        <v>0</v>
      </c>
    </row>
    <row r="173" spans="1:13" x14ac:dyDescent="0.3">
      <c r="A173" s="918" t="s">
        <v>4037</v>
      </c>
      <c r="B173" s="801">
        <f>+'PROFIT &amp; LOSS AC'!B57</f>
        <v>773116.14</v>
      </c>
      <c r="C173" s="801">
        <f>+'PROFIT &amp; LOSS AC'!C57</f>
        <v>851288.11</v>
      </c>
      <c r="D173" s="801">
        <f>+'PROFIT &amp; LOSS AC'!D57</f>
        <v>0</v>
      </c>
      <c r="E173" s="801">
        <f>+'PROFIT &amp; LOSS AC'!E57</f>
        <v>0</v>
      </c>
      <c r="F173" s="801">
        <f>+'PROFIT &amp; LOSS AC'!F57</f>
        <v>0</v>
      </c>
      <c r="G173" s="801">
        <f>+'PROFIT &amp; LOSS AC'!G57</f>
        <v>0</v>
      </c>
      <c r="H173" s="801">
        <f>+'PROFIT &amp; LOSS AC'!H57</f>
        <v>0</v>
      </c>
      <c r="I173" s="801">
        <f>+'PROFIT &amp; LOSS AC'!I57</f>
        <v>0</v>
      </c>
      <c r="J173" s="801">
        <f>+'PROFIT &amp; LOSS AC'!J57</f>
        <v>0</v>
      </c>
      <c r="K173" s="801">
        <f>+'PROFIT &amp; LOSS AC'!K57</f>
        <v>0</v>
      </c>
      <c r="L173" s="801">
        <f>+'PROFIT &amp; LOSS AC'!L57</f>
        <v>0</v>
      </c>
      <c r="M173" s="801">
        <f>+'PROFIT &amp; LOSS AC'!M57</f>
        <v>0</v>
      </c>
    </row>
    <row r="174" spans="1:13" x14ac:dyDescent="0.3">
      <c r="A174" s="918" t="s">
        <v>4038</v>
      </c>
      <c r="B174" s="801">
        <f>+'PROFIT &amp; LOSS AC'!B58</f>
        <v>4135356.31</v>
      </c>
      <c r="C174" s="801">
        <f>+'PROFIT &amp; LOSS AC'!C58</f>
        <v>4657091.3600000003</v>
      </c>
      <c r="D174" s="801">
        <f>+'PROFIT &amp; LOSS AC'!D58</f>
        <v>0</v>
      </c>
      <c r="E174" s="801">
        <f>+'PROFIT &amp; LOSS AC'!E58</f>
        <v>0</v>
      </c>
      <c r="F174" s="801">
        <f>+'PROFIT &amp; LOSS AC'!F58</f>
        <v>0</v>
      </c>
      <c r="G174" s="801">
        <f>+'PROFIT &amp; LOSS AC'!G58</f>
        <v>0</v>
      </c>
      <c r="H174" s="801">
        <f>+'PROFIT &amp; LOSS AC'!H58</f>
        <v>0</v>
      </c>
      <c r="I174" s="801">
        <f>+'PROFIT &amp; LOSS AC'!I58</f>
        <v>0</v>
      </c>
      <c r="J174" s="801">
        <f>+'PROFIT &amp; LOSS AC'!J58</f>
        <v>0</v>
      </c>
      <c r="K174" s="801">
        <f>+'PROFIT &amp; LOSS AC'!K58</f>
        <v>0</v>
      </c>
      <c r="L174" s="801">
        <f>+'PROFIT &amp; LOSS AC'!L58</f>
        <v>0</v>
      </c>
      <c r="M174" s="801">
        <f>+'PROFIT &amp; LOSS AC'!M58</f>
        <v>0</v>
      </c>
    </row>
    <row r="175" spans="1:13" x14ac:dyDescent="0.3">
      <c r="A175" s="918" t="s">
        <v>4179</v>
      </c>
      <c r="B175" s="801">
        <f>+'PROFIT &amp; LOSS AC'!B59</f>
        <v>67446</v>
      </c>
      <c r="C175" s="801">
        <f>+'PROFIT &amp; LOSS AC'!C59</f>
        <v>58114</v>
      </c>
      <c r="D175" s="801">
        <f>+'PROFIT &amp; LOSS AC'!D59</f>
        <v>0</v>
      </c>
      <c r="E175" s="801">
        <f>+'PROFIT &amp; LOSS AC'!E59</f>
        <v>0</v>
      </c>
      <c r="F175" s="801">
        <f>+'PROFIT &amp; LOSS AC'!F59</f>
        <v>0</v>
      </c>
      <c r="G175" s="801">
        <f>+'PROFIT &amp; LOSS AC'!G59</f>
        <v>0</v>
      </c>
      <c r="H175" s="801">
        <f>+'PROFIT &amp; LOSS AC'!H59</f>
        <v>0</v>
      </c>
      <c r="I175" s="801">
        <f>+'PROFIT &amp; LOSS AC'!I59</f>
        <v>0</v>
      </c>
      <c r="J175" s="801">
        <f>+'PROFIT &amp; LOSS AC'!J59</f>
        <v>0</v>
      </c>
      <c r="K175" s="801">
        <f>+'PROFIT &amp; LOSS AC'!K59</f>
        <v>0</v>
      </c>
      <c r="L175" s="801">
        <f>+'PROFIT &amp; LOSS AC'!L59</f>
        <v>0</v>
      </c>
      <c r="M175" s="801">
        <f>+'PROFIT &amp; LOSS AC'!M59</f>
        <v>0</v>
      </c>
    </row>
    <row r="176" spans="1:13" x14ac:dyDescent="0.3">
      <c r="A176" s="918" t="s">
        <v>4039</v>
      </c>
      <c r="B176" s="801">
        <f>+'PROFIT &amp; LOSS AC'!B60</f>
        <v>60362.53</v>
      </c>
      <c r="C176" s="801">
        <f>+'PROFIT &amp; LOSS AC'!C60</f>
        <v>75308.91</v>
      </c>
      <c r="D176" s="801">
        <f>+'PROFIT &amp; LOSS AC'!D60</f>
        <v>0</v>
      </c>
      <c r="E176" s="801">
        <f>+'PROFIT &amp; LOSS AC'!E60</f>
        <v>0</v>
      </c>
      <c r="F176" s="801">
        <f>+'PROFIT &amp; LOSS AC'!F60</f>
        <v>0</v>
      </c>
      <c r="G176" s="801">
        <f>+'PROFIT &amp; LOSS AC'!G60</f>
        <v>0</v>
      </c>
      <c r="H176" s="801">
        <f>+'PROFIT &amp; LOSS AC'!H60</f>
        <v>0</v>
      </c>
      <c r="I176" s="801">
        <f>+'PROFIT &amp; LOSS AC'!I60</f>
        <v>0</v>
      </c>
      <c r="J176" s="801">
        <f>+'PROFIT &amp; LOSS AC'!J60</f>
        <v>0</v>
      </c>
      <c r="K176" s="801">
        <f>+'PROFIT &amp; LOSS AC'!K60</f>
        <v>0</v>
      </c>
      <c r="L176" s="801">
        <f>+'PROFIT &amp; LOSS AC'!L60</f>
        <v>0</v>
      </c>
      <c r="M176" s="801">
        <f>+'PROFIT &amp; LOSS AC'!M60</f>
        <v>0</v>
      </c>
    </row>
    <row r="177" spans="1:13" x14ac:dyDescent="0.3">
      <c r="A177" s="918" t="s">
        <v>4180</v>
      </c>
      <c r="B177" s="801">
        <f>+'PROFIT &amp; LOSS AC'!B61</f>
        <v>1045855.67</v>
      </c>
      <c r="C177" s="801">
        <f>+'PROFIT &amp; LOSS AC'!C61</f>
        <v>830800.89</v>
      </c>
      <c r="D177" s="801">
        <f>+'PROFIT &amp; LOSS AC'!D61</f>
        <v>0</v>
      </c>
      <c r="E177" s="801">
        <f>+'PROFIT &amp; LOSS AC'!E61</f>
        <v>0</v>
      </c>
      <c r="F177" s="801">
        <f>+'PROFIT &amp; LOSS AC'!F61</f>
        <v>0</v>
      </c>
      <c r="G177" s="801">
        <f>+'PROFIT &amp; LOSS AC'!G61</f>
        <v>0</v>
      </c>
      <c r="H177" s="801">
        <f>+'PROFIT &amp; LOSS AC'!H61</f>
        <v>0</v>
      </c>
      <c r="I177" s="801">
        <f>+'PROFIT &amp; LOSS AC'!I61</f>
        <v>0</v>
      </c>
      <c r="J177" s="801">
        <f>+'PROFIT &amp; LOSS AC'!J61</f>
        <v>0</v>
      </c>
      <c r="K177" s="801">
        <f>+'PROFIT &amp; LOSS AC'!K61</f>
        <v>0</v>
      </c>
      <c r="L177" s="801">
        <f>+'PROFIT &amp; LOSS AC'!L61</f>
        <v>0</v>
      </c>
      <c r="M177" s="801">
        <f>+'PROFIT &amp; LOSS AC'!M61</f>
        <v>0</v>
      </c>
    </row>
    <row r="178" spans="1:13" x14ac:dyDescent="0.3">
      <c r="A178" s="918" t="s">
        <v>4181</v>
      </c>
      <c r="B178" s="801">
        <f>+'PROFIT &amp; LOSS AC'!B62</f>
        <v>217656.97</v>
      </c>
      <c r="C178" s="801">
        <f>+'PROFIT &amp; LOSS AC'!C62</f>
        <v>288407.96999999997</v>
      </c>
      <c r="D178" s="801">
        <f>+'PROFIT &amp; LOSS AC'!D62</f>
        <v>0</v>
      </c>
      <c r="E178" s="801">
        <f>+'PROFIT &amp; LOSS AC'!E62</f>
        <v>0</v>
      </c>
      <c r="F178" s="801">
        <f>+'PROFIT &amp; LOSS AC'!F62</f>
        <v>0</v>
      </c>
      <c r="G178" s="801">
        <f>+'PROFIT &amp; LOSS AC'!G62</f>
        <v>0</v>
      </c>
      <c r="H178" s="801">
        <f>+'PROFIT &amp; LOSS AC'!H62</f>
        <v>0</v>
      </c>
      <c r="I178" s="801">
        <f>+'PROFIT &amp; LOSS AC'!I62</f>
        <v>0</v>
      </c>
      <c r="J178" s="801">
        <f>+'PROFIT &amp; LOSS AC'!J62</f>
        <v>0</v>
      </c>
      <c r="K178" s="801">
        <f>+'PROFIT &amp; LOSS AC'!K62</f>
        <v>0</v>
      </c>
      <c r="L178" s="801">
        <f>+'PROFIT &amp; LOSS AC'!L62</f>
        <v>0</v>
      </c>
      <c r="M178" s="801">
        <f>+'PROFIT &amp; LOSS AC'!M62</f>
        <v>0</v>
      </c>
    </row>
    <row r="179" spans="1:13" x14ac:dyDescent="0.3">
      <c r="A179" s="918" t="s">
        <v>4040</v>
      </c>
      <c r="B179" s="801">
        <f>+'PROFIT &amp; LOSS AC'!B63</f>
        <v>0</v>
      </c>
      <c r="C179" s="801">
        <f>+'PROFIT &amp; LOSS AC'!C63</f>
        <v>0</v>
      </c>
      <c r="D179" s="801">
        <f>+'PROFIT &amp; LOSS AC'!D63</f>
        <v>0</v>
      </c>
      <c r="E179" s="801">
        <f>+'PROFIT &amp; LOSS AC'!E63</f>
        <v>0</v>
      </c>
      <c r="F179" s="801">
        <f>+'PROFIT &amp; LOSS AC'!F63</f>
        <v>0</v>
      </c>
      <c r="G179" s="801">
        <f>+'PROFIT &amp; LOSS AC'!G63</f>
        <v>0</v>
      </c>
      <c r="H179" s="801">
        <f>+'PROFIT &amp; LOSS AC'!H63</f>
        <v>0</v>
      </c>
      <c r="I179" s="801">
        <f>+'PROFIT &amp; LOSS AC'!I63</f>
        <v>0</v>
      </c>
      <c r="J179" s="801">
        <f>+'PROFIT &amp; LOSS AC'!J63</f>
        <v>0</v>
      </c>
      <c r="K179" s="801">
        <f>+'PROFIT &amp; LOSS AC'!K63</f>
        <v>0</v>
      </c>
      <c r="L179" s="801">
        <f>+'PROFIT &amp; LOSS AC'!L63</f>
        <v>0</v>
      </c>
      <c r="M179" s="801">
        <f>+'PROFIT &amp; LOSS AC'!M63</f>
        <v>0</v>
      </c>
    </row>
    <row r="180" spans="1:13" ht="15.6" x14ac:dyDescent="0.3">
      <c r="A180" s="956" t="s">
        <v>4236</v>
      </c>
      <c r="B180" s="960">
        <f>SUM(B172:B179)</f>
        <v>6301062.5899999999</v>
      </c>
      <c r="C180" s="958"/>
      <c r="D180" s="958"/>
      <c r="E180" s="958"/>
      <c r="F180" s="958"/>
      <c r="G180" s="958"/>
      <c r="H180" s="958"/>
      <c r="I180" s="958"/>
      <c r="J180" s="958"/>
      <c r="K180" s="958"/>
      <c r="L180" s="958"/>
      <c r="M180" s="958"/>
    </row>
    <row r="181" spans="1:13" x14ac:dyDescent="0.3">
      <c r="A181" s="936" t="s">
        <v>3990</v>
      </c>
      <c r="B181" s="812">
        <v>7536358.0300000003</v>
      </c>
      <c r="C181" s="660"/>
      <c r="D181" s="660"/>
      <c r="E181" s="660"/>
      <c r="F181" s="660"/>
      <c r="G181" s="660"/>
      <c r="H181" s="660"/>
      <c r="I181" s="660"/>
      <c r="J181" s="660"/>
      <c r="K181" s="660"/>
      <c r="L181" s="660"/>
      <c r="M181" s="660"/>
    </row>
    <row r="182" spans="1:13" ht="15.6" x14ac:dyDescent="0.3">
      <c r="A182" s="956" t="s">
        <v>4244</v>
      </c>
      <c r="B182" s="960">
        <f>SUM(B181)</f>
        <v>7536358.0300000003</v>
      </c>
      <c r="C182" s="958"/>
      <c r="D182" s="958"/>
      <c r="E182" s="958"/>
      <c r="F182" s="958"/>
      <c r="G182" s="958"/>
      <c r="H182" s="958"/>
      <c r="I182" s="958"/>
      <c r="J182" s="958"/>
      <c r="K182" s="958"/>
      <c r="L182" s="958"/>
      <c r="M182" s="958"/>
    </row>
    <row r="183" spans="1:13" x14ac:dyDescent="0.3">
      <c r="A183" s="936" t="s">
        <v>3991</v>
      </c>
      <c r="B183" s="812"/>
      <c r="C183" s="660"/>
      <c r="D183" s="660"/>
      <c r="E183" s="660"/>
      <c r="F183" s="660"/>
      <c r="G183" s="660"/>
      <c r="H183" s="660"/>
      <c r="I183" s="660"/>
      <c r="J183" s="660"/>
      <c r="K183" s="660"/>
      <c r="L183" s="660"/>
      <c r="M183" s="660"/>
    </row>
    <row r="184" spans="1:13" x14ac:dyDescent="0.3">
      <c r="A184" s="936" t="s">
        <v>3992</v>
      </c>
      <c r="B184" s="812"/>
      <c r="C184" s="660"/>
      <c r="D184" s="660"/>
      <c r="E184" s="660"/>
      <c r="F184" s="660"/>
      <c r="G184" s="660"/>
      <c r="H184" s="660"/>
      <c r="I184" s="660"/>
      <c r="J184" s="660"/>
      <c r="K184" s="660"/>
      <c r="L184" s="660"/>
      <c r="M184" s="660"/>
    </row>
    <row r="185" spans="1:13" x14ac:dyDescent="0.3">
      <c r="A185" s="816" t="s">
        <v>3993</v>
      </c>
      <c r="B185" s="801">
        <v>2520.4299999999998</v>
      </c>
      <c r="C185" s="660"/>
      <c r="D185" s="660"/>
      <c r="E185" s="660"/>
      <c r="F185" s="660"/>
      <c r="G185" s="660"/>
      <c r="H185" s="660"/>
      <c r="I185" s="660"/>
      <c r="J185" s="660"/>
      <c r="K185" s="660"/>
      <c r="L185" s="660"/>
      <c r="M185" s="660"/>
    </row>
    <row r="186" spans="1:13" x14ac:dyDescent="0.3">
      <c r="A186" s="816" t="s">
        <v>3994</v>
      </c>
      <c r="B186" s="801"/>
      <c r="C186" s="660"/>
      <c r="D186" s="660"/>
      <c r="E186" s="660"/>
      <c r="F186" s="660"/>
      <c r="G186" s="660"/>
      <c r="H186" s="660"/>
      <c r="I186" s="660"/>
      <c r="J186" s="660"/>
      <c r="K186" s="660"/>
      <c r="L186" s="660"/>
      <c r="M186" s="660"/>
    </row>
    <row r="187" spans="1:13" x14ac:dyDescent="0.3">
      <c r="A187" s="816" t="s">
        <v>3995</v>
      </c>
      <c r="B187" s="801"/>
      <c r="C187" s="660"/>
      <c r="D187" s="660"/>
      <c r="E187" s="660"/>
      <c r="F187" s="660"/>
      <c r="G187" s="660"/>
      <c r="H187" s="660"/>
      <c r="I187" s="660"/>
      <c r="J187" s="660"/>
      <c r="K187" s="660"/>
      <c r="L187" s="660"/>
      <c r="M187" s="660"/>
    </row>
    <row r="188" spans="1:13" ht="15.6" x14ac:dyDescent="0.3">
      <c r="A188" s="956" t="s">
        <v>4242</v>
      </c>
      <c r="B188" s="960">
        <f>SUM(B185:B187)</f>
        <v>2520.4299999999998</v>
      </c>
      <c r="C188" s="958"/>
      <c r="D188" s="958"/>
      <c r="E188" s="958"/>
      <c r="F188" s="958"/>
      <c r="G188" s="958"/>
      <c r="H188" s="958"/>
      <c r="I188" s="958"/>
      <c r="J188" s="958"/>
      <c r="K188" s="958"/>
      <c r="L188" s="958"/>
      <c r="M188" s="958"/>
    </row>
    <row r="189" spans="1:13" x14ac:dyDescent="0.3">
      <c r="A189" s="936" t="s">
        <v>3996</v>
      </c>
      <c r="B189" s="812"/>
      <c r="C189" s="660"/>
      <c r="D189" s="660"/>
      <c r="E189" s="660"/>
      <c r="F189" s="660"/>
      <c r="G189" s="660"/>
      <c r="H189" s="660"/>
      <c r="I189" s="660"/>
      <c r="J189" s="660"/>
      <c r="K189" s="660"/>
      <c r="L189" s="660"/>
      <c r="M189" s="660"/>
    </row>
    <row r="190" spans="1:13" x14ac:dyDescent="0.3">
      <c r="A190" s="816" t="s">
        <v>3997</v>
      </c>
      <c r="B190" s="801">
        <v>8551.74</v>
      </c>
      <c r="C190" s="660"/>
      <c r="D190" s="660"/>
      <c r="E190" s="660"/>
      <c r="F190" s="660"/>
      <c r="G190" s="660"/>
      <c r="H190" s="660"/>
      <c r="I190" s="660"/>
      <c r="J190" s="660"/>
      <c r="K190" s="660"/>
      <c r="L190" s="660"/>
      <c r="M190" s="660"/>
    </row>
    <row r="191" spans="1:13" x14ac:dyDescent="0.3">
      <c r="A191" s="816" t="s">
        <v>3998</v>
      </c>
      <c r="B191" s="801"/>
      <c r="C191" s="660"/>
      <c r="D191" s="660"/>
      <c r="E191" s="660"/>
      <c r="F191" s="660"/>
      <c r="G191" s="660"/>
      <c r="H191" s="660"/>
      <c r="I191" s="660"/>
      <c r="J191" s="660"/>
      <c r="K191" s="660"/>
      <c r="L191" s="660"/>
      <c r="M191" s="660"/>
    </row>
    <row r="192" spans="1:13" ht="15.6" x14ac:dyDescent="0.3">
      <c r="A192" s="956" t="s">
        <v>4243</v>
      </c>
      <c r="B192" s="960">
        <f>SUM(B190:B191)</f>
        <v>8551.74</v>
      </c>
      <c r="C192" s="958"/>
      <c r="D192" s="958"/>
      <c r="E192" s="958"/>
      <c r="F192" s="958"/>
      <c r="G192" s="958"/>
      <c r="H192" s="958"/>
      <c r="I192" s="958"/>
      <c r="J192" s="958"/>
      <c r="K192" s="958"/>
      <c r="L192" s="958"/>
      <c r="M192" s="958"/>
    </row>
    <row r="193" spans="1:13" x14ac:dyDescent="0.3">
      <c r="A193" s="817"/>
      <c r="B193" s="801"/>
      <c r="C193" s="660"/>
      <c r="D193" s="660"/>
      <c r="E193" s="660"/>
      <c r="F193" s="660"/>
      <c r="G193" s="660"/>
      <c r="H193" s="660"/>
      <c r="I193" s="660"/>
      <c r="J193" s="660"/>
      <c r="K193" s="660"/>
      <c r="L193" s="660"/>
      <c r="M193" s="660"/>
    </row>
    <row r="194" spans="1:13" ht="16.2" thickBot="1" x14ac:dyDescent="0.35">
      <c r="A194" s="956" t="s">
        <v>4246</v>
      </c>
      <c r="B194" s="963">
        <f>+B192+B188+B182+B180+B170+B160+B155+B150+B142+B133</f>
        <v>19238710.300000001</v>
      </c>
      <c r="C194" s="958"/>
      <c r="D194" s="958"/>
      <c r="E194" s="958"/>
      <c r="F194" s="958"/>
      <c r="G194" s="958"/>
      <c r="H194" s="958"/>
      <c r="I194" s="958"/>
      <c r="J194" s="958"/>
      <c r="K194" s="958"/>
      <c r="L194" s="958"/>
      <c r="M194" s="958"/>
    </row>
    <row r="195" spans="1:13" ht="15" thickTop="1" x14ac:dyDescent="0.3">
      <c r="A195" s="936" t="s">
        <v>3949</v>
      </c>
      <c r="B195" s="812">
        <v>847843.77</v>
      </c>
      <c r="C195" s="660"/>
      <c r="D195" s="660"/>
      <c r="E195" s="660"/>
      <c r="F195" s="660"/>
      <c r="G195" s="660"/>
      <c r="H195" s="660"/>
      <c r="I195" s="660"/>
      <c r="J195" s="660"/>
      <c r="K195" s="660"/>
      <c r="L195" s="660"/>
      <c r="M195" s="660"/>
    </row>
    <row r="196" spans="1:13" ht="15" thickBot="1" x14ac:dyDescent="0.35">
      <c r="A196" s="961" t="s">
        <v>4247</v>
      </c>
      <c r="B196" s="964">
        <f>+B195+B194+B118</f>
        <v>51700610.409999996</v>
      </c>
      <c r="C196" s="961"/>
      <c r="D196" s="961"/>
      <c r="E196" s="961"/>
      <c r="F196" s="961"/>
      <c r="G196" s="961"/>
      <c r="H196" s="961"/>
      <c r="I196" s="961"/>
      <c r="J196" s="961"/>
      <c r="K196" s="961"/>
      <c r="L196" s="961"/>
      <c r="M196" s="961"/>
    </row>
    <row r="197" spans="1:13" ht="15.6" thickTop="1" thickBot="1" x14ac:dyDescent="0.35">
      <c r="A197" s="965" t="s">
        <v>457</v>
      </c>
      <c r="B197" s="965">
        <f>+B196-B103</f>
        <v>0</v>
      </c>
      <c r="C197" s="966"/>
      <c r="D197" s="966"/>
      <c r="E197" s="966"/>
      <c r="F197" s="966"/>
      <c r="G197" s="966"/>
      <c r="H197" s="966"/>
      <c r="I197" s="966"/>
      <c r="J197" s="966"/>
      <c r="K197" s="966"/>
      <c r="L197" s="966"/>
      <c r="M197" s="966"/>
    </row>
    <row r="198" spans="1:13" ht="15" thickTop="1"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4"/>
  <sheetViews>
    <sheetView workbookViewId="0">
      <selection sqref="A1:N1"/>
    </sheetView>
  </sheetViews>
  <sheetFormatPr defaultRowHeight="14.4" x14ac:dyDescent="0.3"/>
  <cols>
    <col min="1" max="1" width="42.109375" style="657" customWidth="1"/>
    <col min="2" max="2" width="13.21875" style="657" customWidth="1"/>
    <col min="3" max="3" width="14.44140625" bestFit="1" customWidth="1"/>
    <col min="4" max="4" width="13.6640625" customWidth="1"/>
    <col min="5" max="5" width="12.88671875" customWidth="1"/>
    <col min="6" max="6" width="13.77734375" customWidth="1"/>
    <col min="7" max="7" width="13.44140625" customWidth="1"/>
    <col min="8" max="8" width="14.77734375" customWidth="1"/>
    <col min="9" max="9" width="13" customWidth="1"/>
    <col min="10" max="10" width="13.5546875" bestFit="1" customWidth="1"/>
    <col min="11" max="11" width="12.77734375" bestFit="1" customWidth="1"/>
  </cols>
  <sheetData>
    <row r="1" spans="1:14" ht="15.6" x14ac:dyDescent="0.3">
      <c r="A1" s="1235" t="s">
        <v>3859</v>
      </c>
      <c r="B1" s="1236"/>
      <c r="C1" s="1236"/>
      <c r="D1" s="1236"/>
      <c r="E1" s="1236"/>
      <c r="F1" s="1236"/>
      <c r="G1" s="1236"/>
      <c r="H1" s="1236"/>
      <c r="I1" s="1236"/>
      <c r="J1" s="1236"/>
      <c r="K1" s="1236"/>
      <c r="L1" s="1236"/>
      <c r="M1" s="1236"/>
      <c r="N1" s="1236"/>
    </row>
    <row r="2" spans="1:14" ht="17.399999999999999" x14ac:dyDescent="0.3">
      <c r="A2" s="1237" t="s">
        <v>3860</v>
      </c>
      <c r="B2" s="1238"/>
      <c r="C2" s="1238"/>
      <c r="D2" s="1238"/>
      <c r="E2" s="1238"/>
      <c r="F2" s="1238"/>
      <c r="G2" s="1238"/>
      <c r="H2" s="1238"/>
      <c r="I2" s="1238"/>
      <c r="J2" s="1238"/>
      <c r="K2" s="1238"/>
      <c r="L2" s="1238"/>
      <c r="M2" s="1238"/>
      <c r="N2" s="1238"/>
    </row>
    <row r="3" spans="1:14" x14ac:dyDescent="0.3">
      <c r="A3" s="652" t="s">
        <v>1517</v>
      </c>
      <c r="B3" s="838">
        <v>43556</v>
      </c>
      <c r="C3" s="838">
        <v>43586</v>
      </c>
      <c r="D3" s="838">
        <v>43617</v>
      </c>
      <c r="E3" s="838">
        <v>43647</v>
      </c>
      <c r="F3" s="838">
        <v>43678</v>
      </c>
      <c r="G3" s="838">
        <v>43709</v>
      </c>
      <c r="H3" s="838">
        <v>43739</v>
      </c>
      <c r="I3" s="838">
        <v>43770</v>
      </c>
      <c r="J3" s="838">
        <v>43800</v>
      </c>
      <c r="K3" s="838">
        <v>43831</v>
      </c>
      <c r="L3" s="838">
        <v>43862</v>
      </c>
      <c r="M3" s="838">
        <v>43891</v>
      </c>
      <c r="N3" s="658" t="s">
        <v>347</v>
      </c>
    </row>
    <row r="4" spans="1:14" x14ac:dyDescent="0.3">
      <c r="A4" s="798" t="s">
        <v>4202</v>
      </c>
      <c r="B4" s="845"/>
      <c r="C4" s="655"/>
      <c r="D4" s="655"/>
      <c r="E4" s="655"/>
      <c r="F4" s="655"/>
      <c r="G4" s="655"/>
      <c r="H4" s="655"/>
      <c r="I4" s="655"/>
      <c r="J4" s="655"/>
      <c r="K4" s="655"/>
      <c r="L4" s="655"/>
      <c r="M4" s="655"/>
      <c r="N4" s="655"/>
    </row>
    <row r="5" spans="1:14" x14ac:dyDescent="0.3">
      <c r="A5" s="11" t="s">
        <v>4105</v>
      </c>
      <c r="B5" s="654">
        <f>SUMIFS(SALE!$K$6:$K$10000,SALE!$A$6:$A$10000,B3,SALE!$S$6:$S$10000,$A$5:$A$7)</f>
        <v>2997876.9099999974</v>
      </c>
      <c r="C5" s="654">
        <f>SUMIFS(SALE!$K$6:$K$10000,SALE!$A$6:$A$10000,C3,SALE!$S$6:$S$10000,$A$5:$A$7)</f>
        <v>4057558.6999999983</v>
      </c>
      <c r="D5" s="654">
        <f>SUMIFS(SALE!$K$6:$K$10000,SALE!$A$6:$A$10000,D3,SALE!$S$6:$S$10000,$A$5:$A$7)</f>
        <v>5748383.1739999959</v>
      </c>
      <c r="E5" s="654">
        <f>SUMIFS(SALE!$K$6:$K$10000,SALE!$A$6:$A$10000,E3,SALE!$S$6:$S$10000,$A$5:$A$7)</f>
        <v>6550168.9499999918</v>
      </c>
      <c r="F5" s="654">
        <f>SUMIFS(SALE!$K$6:$K$10000,SALE!$A$6:$A$10000,F3,SALE!$S$6:$S$10000,$A$5:$A$7)</f>
        <v>5362317.6199999955</v>
      </c>
      <c r="G5" s="654">
        <f>SUMIFS(SALE!$K$6:$K$10000,SALE!$A$6:$A$10000,G3,SALE!$S$6:$S$10000,$A$5:$A$7)</f>
        <v>4785767.8899999997</v>
      </c>
      <c r="H5" s="654">
        <f>SUMIFS(SALE!$K$6:$K$10000,SALE!$A$6:$A$10000,H3,SALE!$S$6:$S$10000,$A$5:$A$7)</f>
        <v>4303915.0199999996</v>
      </c>
      <c r="I5" s="654">
        <f>SUMIFS(SALE!$K$6:$K$10000,SALE!$A$6:$A$10000,I3,SALE!$S$6:$S$10000,$A$5:$A$7)</f>
        <v>2528210.6899999995</v>
      </c>
      <c r="J5" s="654">
        <f>SUMIFS(SALE!$K$6:$K$10000,SALE!$A$6:$A$10000,J3,SALE!$S$6:$S$10000,$A$5:$A$7)</f>
        <v>3164150.0799999996</v>
      </c>
      <c r="K5" s="654">
        <f>SUMIFS(SALE!$K$6:$K$10000,SALE!$A$6:$A$10000,K3,SALE!$S$6:$S$10000,$A$5:$A$7)</f>
        <v>1613648.3800000001</v>
      </c>
      <c r="L5" s="654">
        <f>SUMIFS(SALE!$K$6:$K$10000,SALE!$A$6:$A$10000,L3,SALE!$S$6:$S$10000,$A$5:$A$7)</f>
        <v>0</v>
      </c>
      <c r="M5" s="654">
        <f>SUMIFS(SALE!$K$6:$K$10000,SALE!$A$6:$A$10000,M3,SALE!$S$6:$S$10000,$A$5:$A$7)</f>
        <v>0</v>
      </c>
      <c r="N5" s="655"/>
    </row>
    <row r="6" spans="1:14" x14ac:dyDescent="0.3">
      <c r="A6" s="11" t="s">
        <v>4107</v>
      </c>
      <c r="B6" s="654">
        <f>SUMIFS(SALE!$K$6:$K$10000,SALE!$A$6:$A$10000,B3,SALE!$S$6:$S$10000,$A$5:$A$7)</f>
        <v>226015.68999999997</v>
      </c>
      <c r="C6" s="654">
        <f>SUMIFS(SALE!$K$6:$K$10000,SALE!$A$6:$A$10000,C3,SALE!$S$6:$S$10000,$A$5:$A$7)</f>
        <v>0</v>
      </c>
      <c r="D6" s="654">
        <f>SUMIFS(SALE!$K$6:$K$10000,SALE!$A$6:$A$10000,D3,SALE!$S$6:$S$10000,$A$5:$A$7)</f>
        <v>0</v>
      </c>
      <c r="E6" s="654">
        <f>SUMIFS(SALE!$K$6:$K$10000,SALE!$A$6:$A$10000,E3,SALE!$S$6:$S$10000,$A$5:$A$7)</f>
        <v>0</v>
      </c>
      <c r="F6" s="654">
        <f>SUMIFS(SALE!$K$6:$K$10000,SALE!$A$6:$A$10000,F3,SALE!$S$6:$S$10000,$A$5:$A$7)</f>
        <v>0</v>
      </c>
      <c r="G6" s="654">
        <f>SUMIFS(SALE!$K$6:$K$10000,SALE!$A$6:$A$10000,G3,SALE!$S$6:$S$10000,$A$5:$A$7)</f>
        <v>0</v>
      </c>
      <c r="H6" s="654">
        <f>SUMIFS(SALE!$K$6:$K$10000,SALE!$A$6:$A$10000,H3,SALE!$S$6:$S$10000,$A$5:$A$7)</f>
        <v>0</v>
      </c>
      <c r="I6" s="654">
        <f>SUMIFS(SALE!$K$6:$K$10000,SALE!$A$6:$A$10000,I3,SALE!$S$6:$S$10000,$A$5:$A$7)</f>
        <v>0</v>
      </c>
      <c r="J6" s="654">
        <f>SUMIFS(SALE!$K$6:$K$10000,SALE!$A$6:$A$10000,J3,SALE!$S$6:$S$10000,$A$5:$A$7)</f>
        <v>0</v>
      </c>
      <c r="K6" s="654">
        <f>SUMIFS(SALE!$K$6:$K$10000,SALE!$A$6:$A$10000,K3,SALE!$S$6:$S$10000,$A$5:$A$7)</f>
        <v>208312.06</v>
      </c>
      <c r="L6" s="654">
        <f>SUMIFS(SALE!$K$6:$K$10000,SALE!$A$6:$A$10000,L3,SALE!$S$6:$S$10000,$A$5:$A$7)</f>
        <v>0</v>
      </c>
      <c r="M6" s="654">
        <f>SUMIFS(SALE!$K$6:$K$10000,SALE!$A$6:$A$10000,M3,SALE!$S$6:$S$10000,$A$5:$A$7)</f>
        <v>0</v>
      </c>
      <c r="N6" s="655"/>
    </row>
    <row r="7" spans="1:14" x14ac:dyDescent="0.3">
      <c r="A7" s="11" t="s">
        <v>4108</v>
      </c>
      <c r="B7" s="654">
        <f>SUMIFS(SALE!$K$6:$K$10000,SALE!$A$6:$A$10000,B3,SALE!$S$6:$S$10000,$A$5:$A$7)</f>
        <v>130880.77999999998</v>
      </c>
      <c r="C7" s="654">
        <f>SUMIFS(SALE!$K$6:$K$10000,SALE!$A$6:$A$10000,C3,SALE!$S$6:$S$10000,$A$5:$A$7)</f>
        <v>0</v>
      </c>
      <c r="D7" s="654">
        <f>SUMIFS(SALE!$K$6:$K$10000,SALE!$A$6:$A$10000,D3,SALE!$S$6:$S$10000,$A$5:$A$7)</f>
        <v>0</v>
      </c>
      <c r="E7" s="654">
        <f>SUMIFS(SALE!$K$6:$K$10000,SALE!$A$6:$A$10000,E3,SALE!$S$6:$S$10000,$A$5:$A$7)</f>
        <v>0</v>
      </c>
      <c r="F7" s="654">
        <f>SUMIFS(SALE!$K$6:$K$10000,SALE!$A$6:$A$10000,F3,SALE!$S$6:$S$10000,$A$5:$A$7)</f>
        <v>0</v>
      </c>
      <c r="G7" s="654">
        <f>SUMIFS(SALE!$K$6:$K$10000,SALE!$A$6:$A$10000,G3,SALE!$S$6:$S$10000,$A$5:$A$7)</f>
        <v>0</v>
      </c>
      <c r="H7" s="654">
        <f>SUMIFS(SALE!$K$6:$K$10000,SALE!$A$6:$A$10000,H3,SALE!$S$6:$S$10000,$A$5:$A$7)</f>
        <v>0</v>
      </c>
      <c r="I7" s="654">
        <f>SUMIFS(SALE!$K$6:$K$10000,SALE!$A$6:$A$10000,I3,SALE!$S$6:$S$10000,$A$5:$A$7)</f>
        <v>0</v>
      </c>
      <c r="J7" s="654">
        <f>SUMIFS(SALE!$K$6:$K$10000,SALE!$A$6:$A$10000,J3,SALE!$S$6:$S$10000,$A$5:$A$7)</f>
        <v>0</v>
      </c>
      <c r="K7" s="654">
        <f>SUMIFS(SALE!$K$6:$K$10000,SALE!$A$6:$A$10000,K3,SALE!$S$6:$S$10000,$A$5:$A$7)</f>
        <v>138874.5</v>
      </c>
      <c r="L7" s="654">
        <f>SUMIFS(SALE!$K$6:$K$10000,SALE!$A$6:$A$10000,L3,SALE!$S$6:$S$10000,$A$5:$A$7)</f>
        <v>0</v>
      </c>
      <c r="M7" s="654">
        <f>SUMIFS(SALE!$K$6:$K$10000,SALE!$A$6:$A$10000,M3,SALE!$S$6:$S$10000,$A$5:$A$7)</f>
        <v>0</v>
      </c>
      <c r="N7" s="655"/>
    </row>
    <row r="8" spans="1:14" x14ac:dyDescent="0.3">
      <c r="A8" s="11" t="s">
        <v>4182</v>
      </c>
      <c r="B8" s="654">
        <f>SUMIFS(SALE!$K$6:$K$10000,SALE!$A$6:$A$10000,B3,SALE!$S$6:$S$10000,$A$5:$A$7)</f>
        <v>0</v>
      </c>
      <c r="C8" s="654">
        <f>SUMIFS(SALE!$K$6:$K$10000,SALE!$A$6:$A$10000,C3,SALE!$S$6:$S$10000,$A$5:$A$7)</f>
        <v>0</v>
      </c>
      <c r="D8" s="654">
        <f>SUMIFS(SALE!$K$6:$K$10000,SALE!$A$6:$A$10000,D3,SALE!$S$6:$S$10000,$A$5:$A$7)</f>
        <v>0</v>
      </c>
      <c r="E8" s="654">
        <f>SUMIFS(SALE!$K$6:$K$10000,SALE!$A$6:$A$10000,E3,SALE!$S$6:$S$10000,$A$5:$A$7)</f>
        <v>0</v>
      </c>
      <c r="F8" s="654">
        <f>SUMIFS(SALE!$K$6:$K$10000,SALE!$A$6:$A$10000,F3,SALE!$S$6:$S$10000,$A$5:$A$7)</f>
        <v>0</v>
      </c>
      <c r="G8" s="654">
        <f>SUMIFS(SALE!$K$6:$K$10000,SALE!$A$6:$A$10000,G3,SALE!$S$6:$S$10000,$A$5:$A$7)</f>
        <v>0</v>
      </c>
      <c r="H8" s="654">
        <f>SUMIFS(SALE!$K$6:$K$10000,SALE!$A$6:$A$10000,H3,SALE!$S$6:$S$10000,$A$5:$A$7)</f>
        <v>0</v>
      </c>
      <c r="I8" s="654">
        <f>SUMIFS(SALE!$K$6:$K$10000,SALE!$A$6:$A$10000,I3,SALE!$S$6:$S$10000,$A$5:$A$7)</f>
        <v>0</v>
      </c>
      <c r="J8" s="654">
        <f>SUMIFS(SALE!$K$6:$K$10000,SALE!$A$6:$A$10000,J3,SALE!$S$6:$S$10000,$A$5:$A$7)</f>
        <v>0</v>
      </c>
      <c r="K8" s="654">
        <f>SUMIFS(SALE!$K$6:$K$10000,SALE!$A$6:$A$10000,K3,SALE!$S$6:$S$10000,$A$5:$A$7)</f>
        <v>0</v>
      </c>
      <c r="L8" s="654">
        <f>SUMIFS(SALE!$K$6:$K$10000,SALE!$A$6:$A$10000,L3,SALE!$S$6:$S$10000,$A$5:$A$7)</f>
        <v>0</v>
      </c>
      <c r="M8" s="654">
        <f>SUMIFS(SALE!$K$6:$K$10000,SALE!$A$6:$A$10000,M3,SALE!$S$6:$S$10000,$A$5:$A$7)</f>
        <v>0</v>
      </c>
      <c r="N8" s="654">
        <f>SUMIFS(SALE!$K$6:$K$10000,SALE!$A$6:$A$10000,N3,SALE!$S$6:$S$10000,$A$5:$A$7)</f>
        <v>0</v>
      </c>
    </row>
    <row r="9" spans="1:14" x14ac:dyDescent="0.3">
      <c r="A9" s="835" t="s">
        <v>347</v>
      </c>
      <c r="B9" s="653">
        <f>SUM(B5:B7)</f>
        <v>3354773.3799999971</v>
      </c>
      <c r="C9" s="653">
        <f>SUM(C5:C7)</f>
        <v>4057558.6999999983</v>
      </c>
      <c r="D9" s="653">
        <f t="shared" ref="D9:E9" si="0">SUM(D5:D7)</f>
        <v>5748383.1739999959</v>
      </c>
      <c r="E9" s="653">
        <f t="shared" si="0"/>
        <v>6550168.9499999918</v>
      </c>
      <c r="F9" s="653">
        <f t="shared" ref="F9" si="1">SUM(F5:F7)</f>
        <v>5362317.6199999955</v>
      </c>
      <c r="G9" s="653">
        <f t="shared" ref="G9" si="2">SUM(G5:G7)</f>
        <v>4785767.8899999997</v>
      </c>
      <c r="H9" s="653">
        <f t="shared" ref="H9" si="3">SUM(H5:H7)</f>
        <v>4303915.0199999996</v>
      </c>
      <c r="I9" s="653">
        <f t="shared" ref="I9" si="4">SUM(I5:I7)</f>
        <v>2528210.6899999995</v>
      </c>
      <c r="J9" s="653">
        <f t="shared" ref="J9" si="5">SUM(J5:J7)</f>
        <v>3164150.0799999996</v>
      </c>
      <c r="K9" s="653">
        <f t="shared" ref="K9" si="6">SUM(K5:K7)</f>
        <v>1960834.9400000002</v>
      </c>
      <c r="L9" s="653">
        <f t="shared" ref="L9" si="7">SUM(L5:L7)</f>
        <v>0</v>
      </c>
      <c r="M9" s="653">
        <f t="shared" ref="M9" si="8">SUM(M5:M7)</f>
        <v>0</v>
      </c>
      <c r="N9" s="655"/>
    </row>
    <row r="10" spans="1:14" x14ac:dyDescent="0.3">
      <c r="A10" s="798" t="s">
        <v>4203</v>
      </c>
      <c r="B10" s="845"/>
      <c r="C10" s="655"/>
      <c r="D10" s="655"/>
      <c r="E10" s="655"/>
      <c r="F10" s="655"/>
      <c r="G10" s="655"/>
      <c r="H10" s="655"/>
      <c r="I10" s="655"/>
      <c r="J10" s="655"/>
      <c r="K10" s="655"/>
      <c r="L10" s="655"/>
      <c r="M10" s="655"/>
      <c r="N10" s="655"/>
    </row>
    <row r="11" spans="1:14" x14ac:dyDescent="0.3">
      <c r="A11" s="923"/>
      <c r="B11" s="851"/>
      <c r="C11" s="655"/>
      <c r="D11" s="655"/>
      <c r="E11" s="655"/>
      <c r="F11" s="655"/>
      <c r="G11" s="655"/>
      <c r="H11" s="655"/>
      <c r="I11" s="655"/>
      <c r="J11" s="655"/>
      <c r="K11" s="655"/>
      <c r="L11" s="655"/>
      <c r="M11" s="655"/>
      <c r="N11" s="655"/>
    </row>
    <row r="12" spans="1:14" x14ac:dyDescent="0.3">
      <c r="A12" s="923"/>
      <c r="B12" s="851"/>
      <c r="C12" s="655"/>
      <c r="D12" s="655"/>
      <c r="E12" s="655"/>
      <c r="F12" s="655"/>
      <c r="G12" s="655"/>
      <c r="H12" s="655"/>
      <c r="I12" s="655"/>
      <c r="J12" s="655"/>
      <c r="K12" s="655"/>
      <c r="L12" s="655"/>
      <c r="M12" s="655"/>
      <c r="N12" s="655"/>
    </row>
    <row r="13" spans="1:14" x14ac:dyDescent="0.3">
      <c r="A13" s="923"/>
      <c r="B13" s="851"/>
      <c r="C13" s="655"/>
      <c r="D13" s="655"/>
      <c r="E13" s="655"/>
      <c r="F13" s="655"/>
      <c r="G13" s="655"/>
      <c r="H13" s="655"/>
      <c r="I13" s="655"/>
      <c r="J13" s="655"/>
      <c r="K13" s="655"/>
      <c r="L13" s="655"/>
      <c r="M13" s="655"/>
      <c r="N13" s="655"/>
    </row>
    <row r="14" spans="1:14" x14ac:dyDescent="0.3">
      <c r="A14" s="923"/>
      <c r="B14" s="851"/>
      <c r="C14" s="655"/>
      <c r="D14" s="655"/>
      <c r="E14" s="655"/>
      <c r="F14" s="655"/>
      <c r="G14" s="655"/>
      <c r="H14" s="655"/>
      <c r="I14" s="655"/>
      <c r="J14" s="655"/>
      <c r="K14" s="655"/>
      <c r="L14" s="655"/>
      <c r="M14" s="655"/>
      <c r="N14" s="655"/>
    </row>
    <row r="15" spans="1:14" x14ac:dyDescent="0.3">
      <c r="A15" s="835" t="s">
        <v>347</v>
      </c>
      <c r="B15" s="927">
        <f>SUMIFS(SALE!$K$6:$K$10000,SALE!$A$6:$A$10000,$B$3,SALE!$S$6:$S$10000,$A$5:$A$7)</f>
        <v>0</v>
      </c>
      <c r="C15" s="928"/>
      <c r="D15" s="926"/>
      <c r="E15" s="926"/>
      <c r="F15" s="926"/>
      <c r="G15" s="926"/>
      <c r="H15" s="926"/>
      <c r="I15" s="926"/>
      <c r="J15" s="926"/>
      <c r="K15" s="926"/>
      <c r="L15" s="926"/>
      <c r="M15" s="926"/>
      <c r="N15" s="655"/>
    </row>
    <row r="16" spans="1:14" x14ac:dyDescent="0.3">
      <c r="A16" s="924" t="s">
        <v>4204</v>
      </c>
      <c r="B16" s="925"/>
      <c r="C16" s="926"/>
      <c r="D16" s="926"/>
      <c r="E16" s="926"/>
      <c r="F16" s="926"/>
      <c r="G16" s="926"/>
      <c r="H16" s="926"/>
      <c r="I16" s="926"/>
      <c r="J16" s="926"/>
      <c r="K16" s="926"/>
      <c r="L16" s="926"/>
      <c r="M16" s="926"/>
      <c r="N16" s="655"/>
    </row>
    <row r="17" spans="1:14" x14ac:dyDescent="0.3">
      <c r="A17" s="799" t="s">
        <v>3861</v>
      </c>
      <c r="B17" s="837"/>
      <c r="C17" s="655"/>
      <c r="D17" s="655"/>
      <c r="E17" s="655"/>
      <c r="F17" s="655"/>
      <c r="G17" s="655"/>
      <c r="H17" s="655"/>
      <c r="I17" s="655"/>
      <c r="J17" s="655"/>
      <c r="K17" s="655"/>
      <c r="L17" s="655"/>
      <c r="M17" s="655"/>
      <c r="N17" s="655"/>
    </row>
    <row r="18" spans="1:14" x14ac:dyDescent="0.3">
      <c r="A18" s="839" t="s">
        <v>3863</v>
      </c>
      <c r="B18" s="847"/>
      <c r="C18" s="655"/>
      <c r="D18" s="655"/>
      <c r="E18" s="655"/>
      <c r="F18" s="655"/>
      <c r="G18" s="655"/>
      <c r="H18" s="655"/>
      <c r="I18" s="655"/>
      <c r="J18" s="655"/>
      <c r="K18" s="655"/>
      <c r="L18" s="655"/>
      <c r="M18" s="655"/>
      <c r="N18" s="655"/>
    </row>
    <row r="19" spans="1:14" x14ac:dyDescent="0.3">
      <c r="A19" s="839"/>
      <c r="B19" s="847"/>
      <c r="C19" s="655"/>
      <c r="D19" s="655"/>
      <c r="E19" s="655"/>
      <c r="F19" s="655"/>
      <c r="G19" s="655"/>
      <c r="H19" s="655"/>
      <c r="I19" s="655"/>
      <c r="J19" s="655"/>
      <c r="K19" s="655"/>
      <c r="L19" s="655"/>
      <c r="M19" s="655"/>
      <c r="N19" s="655"/>
    </row>
    <row r="20" spans="1:14" x14ac:dyDescent="0.3">
      <c r="A20" s="839" t="s">
        <v>3864</v>
      </c>
      <c r="B20" s="847"/>
      <c r="C20" s="655"/>
      <c r="D20" s="655"/>
      <c r="E20" s="655"/>
      <c r="F20" s="655"/>
      <c r="G20" s="655"/>
      <c r="H20" s="655"/>
      <c r="I20" s="655"/>
      <c r="J20" s="655"/>
      <c r="K20" s="655"/>
      <c r="L20" s="655"/>
      <c r="M20" s="655"/>
      <c r="N20" s="655"/>
    </row>
    <row r="21" spans="1:14" x14ac:dyDescent="0.3">
      <c r="A21" s="839" t="s">
        <v>4043</v>
      </c>
      <c r="B21" s="847">
        <f>+'SALE WORKING'!C8</f>
        <v>36646.618399999999</v>
      </c>
      <c r="C21" s="847">
        <f>+'SALE WORKING'!D8</f>
        <v>55549.74040000001</v>
      </c>
      <c r="D21" s="847">
        <f>+'SALE WORKING'!E8</f>
        <v>149635.80240000002</v>
      </c>
      <c r="E21" s="847">
        <f>+'SALE WORKING'!F8</f>
        <v>66125.387999999992</v>
      </c>
      <c r="F21" s="847">
        <f>+'SALE WORKING'!G8</f>
        <v>30473.3688</v>
      </c>
      <c r="G21" s="847">
        <f>+'SALE WORKING'!H8</f>
        <v>75713.330000000016</v>
      </c>
      <c r="H21" s="847">
        <f>+'SALE WORKING'!I8</f>
        <v>51945.630799999992</v>
      </c>
      <c r="I21" s="847">
        <f>+'SALE WORKING'!J8</f>
        <v>50926.2068</v>
      </c>
      <c r="J21" s="847">
        <f>+'SALE WORKING'!K8</f>
        <v>128383.5336</v>
      </c>
      <c r="K21" s="847">
        <f>+'SALE WORKING'!L8</f>
        <v>38884.86</v>
      </c>
      <c r="L21" s="847">
        <f>+'SALE WORKING'!M8</f>
        <v>0</v>
      </c>
      <c r="M21" s="847">
        <f>+'SALE WORKING'!N8</f>
        <v>0</v>
      </c>
      <c r="N21" s="655"/>
    </row>
    <row r="22" spans="1:14" x14ac:dyDescent="0.3">
      <c r="A22" s="839" t="s">
        <v>4044</v>
      </c>
      <c r="B22" s="847">
        <f>+'SALE WORKING'!C9</f>
        <v>417253.72849999991</v>
      </c>
      <c r="C22" s="847">
        <f>+'SALE WORKING'!D9</f>
        <v>465806.66300000018</v>
      </c>
      <c r="D22" s="847">
        <f>+'SALE WORKING'!E9</f>
        <v>554487.2250600002</v>
      </c>
      <c r="E22" s="847">
        <f>+'SALE WORKING'!F9</f>
        <v>762810.05540000054</v>
      </c>
      <c r="F22" s="847">
        <f>+'SALE WORKING'!G9</f>
        <v>614771.33640000015</v>
      </c>
      <c r="G22" s="847">
        <f>+'SALE WORKING'!H9</f>
        <v>496044.81260000024</v>
      </c>
      <c r="H22" s="847">
        <f>+'SALE WORKING'!I9</f>
        <v>419677.1544</v>
      </c>
      <c r="I22" s="847">
        <f>+'SALE WORKING'!J9</f>
        <v>256975.35380000001</v>
      </c>
      <c r="J22" s="847">
        <f>+'SALE WORKING'!K9</f>
        <v>265592.08979999996</v>
      </c>
      <c r="K22" s="847">
        <f>+'SALE WORKING'!L9</f>
        <v>513531.29960000014</v>
      </c>
      <c r="L22" s="847">
        <f>+'SALE WORKING'!M9</f>
        <v>0</v>
      </c>
      <c r="M22" s="847">
        <f>+'SALE WORKING'!N9</f>
        <v>0</v>
      </c>
      <c r="N22" s="655"/>
    </row>
    <row r="23" spans="1:14" x14ac:dyDescent="0.3">
      <c r="A23" s="839" t="s">
        <v>4045</v>
      </c>
      <c r="B23" s="847">
        <f>+B22</f>
        <v>417253.72849999991</v>
      </c>
      <c r="C23" s="847">
        <f t="shared" ref="C23:M23" si="9">+C22</f>
        <v>465806.66300000018</v>
      </c>
      <c r="D23" s="847">
        <f t="shared" si="9"/>
        <v>554487.2250600002</v>
      </c>
      <c r="E23" s="847">
        <f t="shared" si="9"/>
        <v>762810.05540000054</v>
      </c>
      <c r="F23" s="847">
        <f t="shared" si="9"/>
        <v>614771.33640000015</v>
      </c>
      <c r="G23" s="847">
        <f t="shared" si="9"/>
        <v>496044.81260000024</v>
      </c>
      <c r="H23" s="847">
        <f t="shared" si="9"/>
        <v>419677.1544</v>
      </c>
      <c r="I23" s="847">
        <f t="shared" si="9"/>
        <v>256975.35380000001</v>
      </c>
      <c r="J23" s="847">
        <f t="shared" si="9"/>
        <v>265592.08979999996</v>
      </c>
      <c r="K23" s="847">
        <f t="shared" si="9"/>
        <v>513531.29960000014</v>
      </c>
      <c r="L23" s="847">
        <f t="shared" si="9"/>
        <v>0</v>
      </c>
      <c r="M23" s="847">
        <f t="shared" si="9"/>
        <v>0</v>
      </c>
      <c r="N23" s="655"/>
    </row>
    <row r="24" spans="1:14" x14ac:dyDescent="0.3">
      <c r="A24" s="839" t="s">
        <v>3865</v>
      </c>
      <c r="B24" s="847"/>
      <c r="C24" s="655"/>
      <c r="D24" s="655"/>
      <c r="E24" s="655"/>
      <c r="F24" s="655"/>
      <c r="G24" s="655"/>
      <c r="H24" s="655"/>
      <c r="I24" s="655"/>
      <c r="J24" s="655"/>
      <c r="K24" s="655"/>
      <c r="L24" s="655"/>
      <c r="M24" s="655"/>
      <c r="N24" s="655"/>
    </row>
    <row r="25" spans="1:14" x14ac:dyDescent="0.3">
      <c r="A25" s="660"/>
      <c r="B25" s="655"/>
      <c r="C25" s="655"/>
      <c r="D25" s="655"/>
      <c r="E25" s="655"/>
      <c r="F25" s="655"/>
      <c r="G25" s="655"/>
      <c r="H25" s="655"/>
      <c r="I25" s="655"/>
      <c r="J25" s="655"/>
      <c r="K25" s="655"/>
      <c r="L25" s="655"/>
      <c r="M25" s="655"/>
      <c r="N25" s="655"/>
    </row>
    <row r="26" spans="1:14" x14ac:dyDescent="0.3">
      <c r="A26" s="799" t="s">
        <v>3866</v>
      </c>
      <c r="B26" s="837"/>
      <c r="C26" s="655"/>
      <c r="D26" s="655"/>
      <c r="E26" s="655"/>
      <c r="F26" s="655"/>
      <c r="G26" s="655"/>
      <c r="H26" s="655"/>
      <c r="I26" s="655"/>
      <c r="J26" s="655"/>
      <c r="K26" s="655"/>
      <c r="L26" s="655"/>
      <c r="M26" s="655"/>
      <c r="N26" s="655"/>
    </row>
    <row r="27" spans="1:14" x14ac:dyDescent="0.3">
      <c r="A27" s="799" t="s">
        <v>3867</v>
      </c>
      <c r="B27" s="837"/>
      <c r="C27" s="655"/>
      <c r="D27" s="655"/>
      <c r="E27" s="655"/>
      <c r="F27" s="655"/>
      <c r="G27" s="655"/>
      <c r="H27" s="655"/>
      <c r="I27" s="655"/>
      <c r="J27" s="655"/>
      <c r="K27" s="655"/>
      <c r="L27" s="655"/>
      <c r="M27" s="655"/>
      <c r="N27" s="655"/>
    </row>
    <row r="28" spans="1:14" x14ac:dyDescent="0.3">
      <c r="A28" s="660" t="s">
        <v>3868</v>
      </c>
      <c r="B28" s="655"/>
      <c r="C28" s="655"/>
      <c r="D28" s="655"/>
      <c r="E28" s="655"/>
      <c r="F28" s="655"/>
      <c r="G28" s="655"/>
      <c r="H28" s="655"/>
      <c r="I28" s="655"/>
      <c r="J28" s="655"/>
      <c r="K28" s="655"/>
      <c r="L28" s="655"/>
      <c r="M28" s="655"/>
      <c r="N28" s="655"/>
    </row>
    <row r="29" spans="1:14" s="807" customFormat="1" x14ac:dyDescent="0.3">
      <c r="A29" s="855" t="s">
        <v>347</v>
      </c>
      <c r="B29" s="856">
        <f>SUM(B17:B28)</f>
        <v>871154.07539999974</v>
      </c>
      <c r="C29" s="856">
        <f t="shared" ref="C29:M29" si="10">SUM(C17:C28)</f>
        <v>987163.06640000036</v>
      </c>
      <c r="D29" s="856">
        <f t="shared" si="10"/>
        <v>1258610.2525200006</v>
      </c>
      <c r="E29" s="856">
        <f t="shared" si="10"/>
        <v>1591745.4988000011</v>
      </c>
      <c r="F29" s="856">
        <f t="shared" si="10"/>
        <v>1260016.0416000003</v>
      </c>
      <c r="G29" s="856">
        <f t="shared" si="10"/>
        <v>1067802.9552000004</v>
      </c>
      <c r="H29" s="856">
        <f t="shared" si="10"/>
        <v>891299.93959999993</v>
      </c>
      <c r="I29" s="856">
        <f t="shared" si="10"/>
        <v>564876.91440000001</v>
      </c>
      <c r="J29" s="856">
        <f t="shared" si="10"/>
        <v>659567.71319999988</v>
      </c>
      <c r="K29" s="856">
        <f t="shared" si="10"/>
        <v>1065947.4592000004</v>
      </c>
      <c r="L29" s="856">
        <f t="shared" si="10"/>
        <v>0</v>
      </c>
      <c r="M29" s="856">
        <f t="shared" si="10"/>
        <v>0</v>
      </c>
      <c r="N29" s="846"/>
    </row>
    <row r="30" spans="1:14" s="807" customFormat="1" x14ac:dyDescent="0.3">
      <c r="A30" s="835" t="s">
        <v>4046</v>
      </c>
      <c r="B30" s="653">
        <f>+B29+B9</f>
        <v>4225927.4553999966</v>
      </c>
      <c r="C30" s="653">
        <f t="shared" ref="C30:N30" si="11">+C29+C9</f>
        <v>5044721.7663999982</v>
      </c>
      <c r="D30" s="653">
        <f t="shared" si="11"/>
        <v>7006993.4265199965</v>
      </c>
      <c r="E30" s="653">
        <f t="shared" si="11"/>
        <v>8141914.4487999929</v>
      </c>
      <c r="F30" s="653">
        <f t="shared" si="11"/>
        <v>6622333.6615999956</v>
      </c>
      <c r="G30" s="653">
        <f t="shared" si="11"/>
        <v>5853570.8452000003</v>
      </c>
      <c r="H30" s="653">
        <f t="shared" si="11"/>
        <v>5195214.9595999997</v>
      </c>
      <c r="I30" s="653">
        <f t="shared" si="11"/>
        <v>3093087.6043999996</v>
      </c>
      <c r="J30" s="653">
        <f t="shared" si="11"/>
        <v>3823717.7931999993</v>
      </c>
      <c r="K30" s="653">
        <f t="shared" si="11"/>
        <v>3026782.3992000008</v>
      </c>
      <c r="L30" s="653">
        <f t="shared" si="11"/>
        <v>0</v>
      </c>
      <c r="M30" s="653">
        <f t="shared" si="11"/>
        <v>0</v>
      </c>
      <c r="N30" s="653">
        <f t="shared" si="11"/>
        <v>0</v>
      </c>
    </row>
    <row r="31" spans="1:14" s="807" customFormat="1" x14ac:dyDescent="0.3">
      <c r="A31" s="835" t="s">
        <v>3752</v>
      </c>
      <c r="B31" s="653">
        <v>4225927.6500000004</v>
      </c>
      <c r="C31" s="653">
        <v>5070102.54</v>
      </c>
      <c r="D31" s="653"/>
      <c r="E31" s="653"/>
      <c r="F31" s="653"/>
      <c r="G31" s="653"/>
      <c r="H31" s="653"/>
      <c r="I31" s="653"/>
      <c r="J31" s="653"/>
      <c r="K31" s="653"/>
      <c r="L31" s="653"/>
      <c r="M31" s="653"/>
      <c r="N31" s="653"/>
    </row>
    <row r="32" spans="1:14" s="807" customFormat="1" x14ac:dyDescent="0.3">
      <c r="A32" s="835" t="s">
        <v>457</v>
      </c>
      <c r="B32" s="653">
        <f>+B31-B30</f>
        <v>0.1946000037714839</v>
      </c>
      <c r="C32" s="653">
        <f t="shared" ref="C32:N32" si="12">+C31-C30</f>
        <v>25380.773600001819</v>
      </c>
      <c r="D32" s="653">
        <f t="shared" si="12"/>
        <v>-7006993.4265199965</v>
      </c>
      <c r="E32" s="653">
        <f t="shared" si="12"/>
        <v>-8141914.4487999929</v>
      </c>
      <c r="F32" s="653">
        <f t="shared" si="12"/>
        <v>-6622333.6615999956</v>
      </c>
      <c r="G32" s="653">
        <f t="shared" si="12"/>
        <v>-5853570.8452000003</v>
      </c>
      <c r="H32" s="653">
        <f t="shared" si="12"/>
        <v>-5195214.9595999997</v>
      </c>
      <c r="I32" s="653">
        <f t="shared" si="12"/>
        <v>-3093087.6043999996</v>
      </c>
      <c r="J32" s="653">
        <f t="shared" si="12"/>
        <v>-3823717.7931999993</v>
      </c>
      <c r="K32" s="653">
        <f t="shared" si="12"/>
        <v>-3026782.3992000008</v>
      </c>
      <c r="L32" s="653">
        <f t="shared" si="12"/>
        <v>0</v>
      </c>
      <c r="M32" s="653">
        <f t="shared" si="12"/>
        <v>0</v>
      </c>
      <c r="N32" s="653">
        <f t="shared" si="12"/>
        <v>0</v>
      </c>
    </row>
    <row r="33" spans="1:14" x14ac:dyDescent="0.3">
      <c r="A33" s="929" t="s">
        <v>4205</v>
      </c>
      <c r="B33" s="655"/>
      <c r="C33" s="655"/>
      <c r="D33" s="655"/>
      <c r="E33" s="655"/>
      <c r="F33" s="655"/>
      <c r="G33" s="655"/>
      <c r="H33" s="655"/>
      <c r="I33" s="655"/>
      <c r="J33" s="655"/>
      <c r="K33" s="655"/>
      <c r="L33" s="655"/>
      <c r="M33" s="655"/>
      <c r="N33" s="655"/>
    </row>
    <row r="34" spans="1:14" x14ac:dyDescent="0.3">
      <c r="A34" s="11" t="s">
        <v>4112</v>
      </c>
      <c r="B34" s="654">
        <f>SUMIFS(SALE!$K$6:$K$10000,SALE!$A$6:$A$10000,B3,SALE!$S$6:$S$10000,$A$34:$A$40)</f>
        <v>0</v>
      </c>
      <c r="C34" s="654">
        <f>SUMIFS(SALE!$K$6:$K$10000,SALE!$A$6:$A$10000,C3,SALE!$S$6:$S$10000,$A$34:$A$40)</f>
        <v>0</v>
      </c>
      <c r="D34" s="654">
        <f>SUMIFS(SALE!$K$6:$K$10000,SALE!$A$6:$A$10000,D3,SALE!$S$6:$S$10000,$A$34:$A$40)</f>
        <v>0</v>
      </c>
      <c r="E34" s="654">
        <f>SUMIFS(SALE!$K$6:$K$10000,SALE!$A$6:$A$10000,E3,SALE!$S$6:$S$10000,$A$34:$A$40)</f>
        <v>0</v>
      </c>
      <c r="F34" s="654">
        <f>SUMIFS(SALE!$K$6:$K$10000,SALE!$A$6:$A$10000,F3,SALE!$S$6:$S$10000,$A$34:$A$40)</f>
        <v>0</v>
      </c>
      <c r="G34" s="654">
        <f>SUMIFS(SALE!$K$6:$K$10000,SALE!$A$6:$A$10000,G3,SALE!$S$6:$S$10000,$A$34:$A$40)</f>
        <v>0</v>
      </c>
      <c r="H34" s="654">
        <f>SUMIFS(SALE!$K$6:$K$10000,SALE!$A$6:$A$10000,H3,SALE!$S$6:$S$10000,$A$34:$A$40)</f>
        <v>0</v>
      </c>
      <c r="I34" s="654">
        <f>SUMIFS(SALE!$K$6:$K$10000,SALE!$A$6:$A$10000,I3,SALE!$S$6:$S$10000,$A$34:$A$40)</f>
        <v>0</v>
      </c>
      <c r="J34" s="654">
        <f>SUMIFS(SALE!$K$6:$K$10000,SALE!$A$6:$A$10000,J3,SALE!$S$6:$S$10000,$A$34:$A$40)</f>
        <v>0</v>
      </c>
      <c r="K34" s="654">
        <f>SUMIFS(SALE!$K$6:$K$10000,SALE!$A$6:$A$10000,K3,SALE!$S$6:$S$10000,$A$34:$A$40)</f>
        <v>0</v>
      </c>
      <c r="L34" s="654">
        <f>SUMIFS(SALE!$K$6:$K$10000,SALE!$A$6:$A$10000,L3,SALE!$S$6:$S$10000,$A$34:$A$40)</f>
        <v>0</v>
      </c>
      <c r="M34" s="654">
        <f>SUMIFS(SALE!$K$6:$K$10000,SALE!$A$6:$A$10000,M3,SALE!$S$6:$S$10000,$A$34:$A$40)</f>
        <v>0</v>
      </c>
      <c r="N34" s="655"/>
    </row>
    <row r="35" spans="1:14" x14ac:dyDescent="0.3">
      <c r="A35" s="11" t="s">
        <v>4114</v>
      </c>
      <c r="B35" s="654">
        <f>SUMIFS(SALE!$K$6:$K$10000,SALE!$A$6:$A$10000,B3,SALE!$S$6:$S$10000,$A$34:$A$40)</f>
        <v>-6092.61</v>
      </c>
      <c r="C35" s="654">
        <f>SUMIFS(SALE!$K$6:$K$10000,SALE!$A$6:$A$10000,C3,SALE!$S$6:$S$10000,$A$34:$A$40)</f>
        <v>0</v>
      </c>
      <c r="D35" s="654">
        <f>SUMIFS(SALE!$K$6:$K$10000,SALE!$A$6:$A$10000,D3,SALE!$S$6:$S$10000,$A$34:$A$40)</f>
        <v>0</v>
      </c>
      <c r="E35" s="654">
        <f>SUMIFS(SALE!$K$6:$K$10000,SALE!$A$6:$A$10000,E3,SALE!$S$6:$S$10000,$A$34:$A$40)</f>
        <v>0</v>
      </c>
      <c r="F35" s="654">
        <f>SUMIFS(SALE!$K$6:$K$10000,SALE!$A$6:$A$10000,F3,SALE!$S$6:$S$10000,$A$34:$A$40)</f>
        <v>0</v>
      </c>
      <c r="G35" s="654">
        <f>SUMIFS(SALE!$K$6:$K$10000,SALE!$A$6:$A$10000,G3,SALE!$S$6:$S$10000,$A$34:$A$40)</f>
        <v>0</v>
      </c>
      <c r="H35" s="654">
        <f>SUMIFS(SALE!$K$6:$K$10000,SALE!$A$6:$A$10000,H3,SALE!$S$6:$S$10000,$A$34:$A$40)</f>
        <v>0</v>
      </c>
      <c r="I35" s="654">
        <f>SUMIFS(SALE!$K$6:$K$10000,SALE!$A$6:$A$10000,I3,SALE!$S$6:$S$10000,$A$34:$A$40)</f>
        <v>0</v>
      </c>
      <c r="J35" s="654">
        <f>SUMIFS(SALE!$K$6:$K$10000,SALE!$A$6:$A$10000,J3,SALE!$S$6:$S$10000,$A$34:$A$40)</f>
        <v>0</v>
      </c>
      <c r="K35" s="654">
        <f>SUMIFS(SALE!$K$6:$K$10000,SALE!$A$6:$A$10000,K3,SALE!$S$6:$S$10000,$A$34:$A$40)</f>
        <v>0</v>
      </c>
      <c r="L35" s="654">
        <f>SUMIFS(SALE!$K$6:$K$10000,SALE!$A$6:$A$10000,L3,SALE!$S$6:$S$10000,$A$34:$A$40)</f>
        <v>0</v>
      </c>
      <c r="M35" s="654">
        <f>SUMIFS(SALE!$K$6:$K$10000,SALE!$A$6:$A$10000,M3,SALE!$S$6:$S$10000,$A$34:$A$40)</f>
        <v>0</v>
      </c>
      <c r="N35" s="655"/>
    </row>
    <row r="36" spans="1:14" x14ac:dyDescent="0.3">
      <c r="A36" s="11" t="s">
        <v>4109</v>
      </c>
      <c r="B36" s="654">
        <f>SUMIFS(SALE!$K$6:$K$10000,SALE!$A$6:$A$10000,B3,SALE!$S$6:$S$10000,$A$34:$A$40)</f>
        <v>0</v>
      </c>
      <c r="C36" s="654">
        <f>SUMIFS(SALE!$K$6:$K$10000,SALE!$A$6:$A$10000,C3,SALE!$S$6:$S$10000,$A$34:$A$40)</f>
        <v>0</v>
      </c>
      <c r="D36" s="654">
        <f>SUMIFS(SALE!$K$6:$K$10000,SALE!$A$6:$A$10000,D3,SALE!$S$6:$S$10000,$A$34:$A$40)</f>
        <v>0</v>
      </c>
      <c r="E36" s="654">
        <f>SUMIFS(SALE!$K$6:$K$10000,SALE!$A$6:$A$10000,E3,SALE!$S$6:$S$10000,$A$34:$A$40)</f>
        <v>0</v>
      </c>
      <c r="F36" s="654">
        <f>SUMIFS(SALE!$K$6:$K$10000,SALE!$A$6:$A$10000,F3,SALE!$S$6:$S$10000,$A$34:$A$40)</f>
        <v>0</v>
      </c>
      <c r="G36" s="654">
        <f>SUMIFS(SALE!$K$6:$K$10000,SALE!$A$6:$A$10000,G3,SALE!$S$6:$S$10000,$A$34:$A$40)</f>
        <v>0</v>
      </c>
      <c r="H36" s="654">
        <f>SUMIFS(SALE!$K$6:$K$10000,SALE!$A$6:$A$10000,H3,SALE!$S$6:$S$10000,$A$34:$A$40)</f>
        <v>0</v>
      </c>
      <c r="I36" s="654">
        <f>SUMIFS(SALE!$K$6:$K$10000,SALE!$A$6:$A$10000,I3,SALE!$S$6:$S$10000,$A$34:$A$40)</f>
        <v>0</v>
      </c>
      <c r="J36" s="654">
        <f>SUMIFS(SALE!$K$6:$K$10000,SALE!$A$6:$A$10000,J3,SALE!$S$6:$S$10000,$A$34:$A$40)</f>
        <v>0</v>
      </c>
      <c r="K36" s="654">
        <f>SUMIFS(SALE!$K$6:$K$10000,SALE!$A$6:$A$10000,K3,SALE!$S$6:$S$10000,$A$34:$A$40)</f>
        <v>0</v>
      </c>
      <c r="L36" s="654">
        <f>SUMIFS(SALE!$K$6:$K$10000,SALE!$A$6:$A$10000,L3,SALE!$S$6:$S$10000,$A$34:$A$40)</f>
        <v>0</v>
      </c>
      <c r="M36" s="654">
        <f>SUMIFS(SALE!$K$6:$K$10000,SALE!$A$6:$A$10000,M3,SALE!$S$6:$S$10000,$A$34:$A$40)</f>
        <v>0</v>
      </c>
      <c r="N36" s="655"/>
    </row>
    <row r="37" spans="1:14" x14ac:dyDescent="0.3">
      <c r="A37" s="11" t="s">
        <v>4110</v>
      </c>
      <c r="B37" s="654">
        <f>SUMIFS(SALE!$K$6:$K$10000,SALE!$A$6:$A$10000,B3,SALE!$S$6:$S$10000,$A$34:$A$40)</f>
        <v>0</v>
      </c>
      <c r="C37" s="654">
        <f>SUMIFS(SALE!$K$6:$K$10000,SALE!$A$6:$A$10000,C3,SALE!$S$6:$S$10000,$A$34:$A$40)</f>
        <v>0</v>
      </c>
      <c r="D37" s="654">
        <f>SUMIFS(SALE!$K$6:$K$10000,SALE!$A$6:$A$10000,D3,SALE!$S$6:$S$10000,$A$34:$A$40)</f>
        <v>0</v>
      </c>
      <c r="E37" s="654">
        <f>SUMIFS(SALE!$K$6:$K$10000,SALE!$A$6:$A$10000,E3,SALE!$S$6:$S$10000,$A$34:$A$40)</f>
        <v>0</v>
      </c>
      <c r="F37" s="654">
        <f>SUMIFS(SALE!$K$6:$K$10000,SALE!$A$6:$A$10000,F3,SALE!$S$6:$S$10000,$A$34:$A$40)</f>
        <v>0</v>
      </c>
      <c r="G37" s="654">
        <f>SUMIFS(SALE!$K$6:$K$10000,SALE!$A$6:$A$10000,G3,SALE!$S$6:$S$10000,$A$34:$A$40)</f>
        <v>0</v>
      </c>
      <c r="H37" s="654">
        <f>SUMIFS(SALE!$K$6:$K$10000,SALE!$A$6:$A$10000,H3,SALE!$S$6:$S$10000,$A$34:$A$40)</f>
        <v>0</v>
      </c>
      <c r="I37" s="654">
        <f>SUMIFS(SALE!$K$6:$K$10000,SALE!$A$6:$A$10000,I3,SALE!$S$6:$S$10000,$A$34:$A$40)</f>
        <v>0</v>
      </c>
      <c r="J37" s="654">
        <f>SUMIFS(SALE!$K$6:$K$10000,SALE!$A$6:$A$10000,J3,SALE!$S$6:$S$10000,$A$34:$A$40)</f>
        <v>0</v>
      </c>
      <c r="K37" s="654">
        <f>SUMIFS(SALE!$K$6:$K$10000,SALE!$A$6:$A$10000,K3,SALE!$S$6:$S$10000,$A$34:$A$40)</f>
        <v>0</v>
      </c>
      <c r="L37" s="654">
        <f>SUMIFS(SALE!$K$6:$K$10000,SALE!$A$6:$A$10000,L3,SALE!$S$6:$S$10000,$A$34:$A$40)</f>
        <v>0</v>
      </c>
      <c r="M37" s="654">
        <f>SUMIFS(SALE!$K$6:$K$10000,SALE!$A$6:$A$10000,M3,SALE!$S$6:$S$10000,$A$34:$A$40)</f>
        <v>0</v>
      </c>
      <c r="N37" s="655"/>
    </row>
    <row r="38" spans="1:14" x14ac:dyDescent="0.3">
      <c r="A38" s="11" t="s">
        <v>4115</v>
      </c>
      <c r="B38" s="654">
        <f>SUMIFS(SALE!$K$6:$K$10000,SALE!$A$6:$A$10000,B3,SALE!$S$6:$S$10000,$A$34:$A$40)</f>
        <v>0</v>
      </c>
      <c r="C38" s="654">
        <f>SUMIFS(SALE!$K$6:$K$10000,SALE!$A$6:$A$10000,C3,SALE!$S$6:$S$10000,$A$34:$A$40)</f>
        <v>0</v>
      </c>
      <c r="D38" s="654">
        <f>SUMIFS(SALE!$K$6:$K$10000,SALE!$A$6:$A$10000,D3,SALE!$S$6:$S$10000,$A$34:$A$40)</f>
        <v>0</v>
      </c>
      <c r="E38" s="654">
        <f>SUMIFS(SALE!$K$6:$K$10000,SALE!$A$6:$A$10000,E3,SALE!$S$6:$S$10000,$A$34:$A$40)</f>
        <v>0</v>
      </c>
      <c r="F38" s="654">
        <f>SUMIFS(SALE!$K$6:$K$10000,SALE!$A$6:$A$10000,F3,SALE!$S$6:$S$10000,$A$34:$A$40)</f>
        <v>0</v>
      </c>
      <c r="G38" s="654">
        <f>SUMIFS(SALE!$K$6:$K$10000,SALE!$A$6:$A$10000,G3,SALE!$S$6:$S$10000,$A$34:$A$40)</f>
        <v>0</v>
      </c>
      <c r="H38" s="654">
        <f>SUMIFS(SALE!$K$6:$K$10000,SALE!$A$6:$A$10000,H3,SALE!$S$6:$S$10000,$A$34:$A$40)</f>
        <v>0</v>
      </c>
      <c r="I38" s="654">
        <f>SUMIFS(SALE!$K$6:$K$10000,SALE!$A$6:$A$10000,I3,SALE!$S$6:$S$10000,$A$34:$A$40)</f>
        <v>0</v>
      </c>
      <c r="J38" s="654">
        <f>SUMIFS(SALE!$K$6:$K$10000,SALE!$A$6:$A$10000,J3,SALE!$S$6:$S$10000,$A$34:$A$40)</f>
        <v>0</v>
      </c>
      <c r="K38" s="654">
        <f>SUMIFS(SALE!$K$6:$K$10000,SALE!$A$6:$A$10000,K3,SALE!$S$6:$S$10000,$A$34:$A$40)</f>
        <v>0</v>
      </c>
      <c r="L38" s="654">
        <f>SUMIFS(SALE!$K$6:$K$10000,SALE!$A$6:$A$10000,L3,SALE!$S$6:$S$10000,$A$34:$A$40)</f>
        <v>0</v>
      </c>
      <c r="M38" s="654">
        <f>SUMIFS(SALE!$K$6:$K$10000,SALE!$A$6:$A$10000,M3,SALE!$S$6:$S$10000,$A$34:$A$40)</f>
        <v>0</v>
      </c>
      <c r="N38" s="655"/>
    </row>
    <row r="39" spans="1:14" x14ac:dyDescent="0.3">
      <c r="A39" s="11"/>
      <c r="B39" s="654">
        <f>SUMIFS(SALE!$K$6:$K$10000,SALE!$A$6:$A$10000,B3,SALE!$S$6:$S$10000,$A$34:$A$40)</f>
        <v>0</v>
      </c>
      <c r="C39" s="654">
        <f>SUMIFS(SALE!$K$6:$K$10000,SALE!$A$6:$A$10000,C3,SALE!$S$6:$S$10000,$A$34:$A$40)</f>
        <v>0</v>
      </c>
      <c r="D39" s="654">
        <f>SUMIFS(SALE!$K$6:$K$10000,SALE!$A$6:$A$10000,D3,SALE!$S$6:$S$10000,$A$34:$A$40)</f>
        <v>0</v>
      </c>
      <c r="E39" s="654">
        <f>SUMIFS(SALE!$K$6:$K$10000,SALE!$A$6:$A$10000,E3,SALE!$S$6:$S$10000,$A$34:$A$40)</f>
        <v>0</v>
      </c>
      <c r="F39" s="654">
        <f>SUMIFS(SALE!$K$6:$K$10000,SALE!$A$6:$A$10000,F3,SALE!$S$6:$S$10000,$A$34:$A$40)</f>
        <v>0</v>
      </c>
      <c r="G39" s="654">
        <f>SUMIFS(SALE!$K$6:$K$10000,SALE!$A$6:$A$10000,G3,SALE!$S$6:$S$10000,$A$34:$A$40)</f>
        <v>0</v>
      </c>
      <c r="H39" s="654">
        <f>SUMIFS(SALE!$K$6:$K$10000,SALE!$A$6:$A$10000,H3,SALE!$S$6:$S$10000,$A$34:$A$40)</f>
        <v>0</v>
      </c>
      <c r="I39" s="654">
        <f>SUMIFS(SALE!$K$6:$K$10000,SALE!$A$6:$A$10000,I3,SALE!$S$6:$S$10000,$A$34:$A$40)</f>
        <v>0</v>
      </c>
      <c r="J39" s="654">
        <f>SUMIFS(SALE!$K$6:$K$10000,SALE!$A$6:$A$10000,J3,SALE!$S$6:$S$10000,$A$34:$A$40)</f>
        <v>0</v>
      </c>
      <c r="K39" s="654">
        <f>SUMIFS(SALE!$K$6:$K$10000,SALE!$A$6:$A$10000,K3,SALE!$S$6:$S$10000,$A$34:$A$40)</f>
        <v>0</v>
      </c>
      <c r="L39" s="654">
        <f>SUMIFS(SALE!$K$6:$K$10000,SALE!$A$6:$A$10000,L3,SALE!$S$6:$S$10000,$A$34:$A$40)</f>
        <v>0</v>
      </c>
      <c r="M39" s="654">
        <f>SUMIFS(SALE!$K$6:$K$10000,SALE!$A$6:$A$10000,M3,SALE!$S$6:$S$10000,$A$34:$A$40)</f>
        <v>0</v>
      </c>
      <c r="N39" s="655"/>
    </row>
    <row r="40" spans="1:14" x14ac:dyDescent="0.3">
      <c r="A40" s="11"/>
      <c r="B40" s="654">
        <f>SUMIFS(SALE!$K$6:$K$10000,SALE!$A$6:$A$10000,B3,SALE!$S$6:$S$10000,$A$34:$A$40)</f>
        <v>0</v>
      </c>
      <c r="C40" s="654">
        <f>SUMIFS(SALE!$K$6:$K$10000,SALE!$A$6:$A$10000,C3,SALE!$S$6:$S$10000,$A$34:$A$40)</f>
        <v>0</v>
      </c>
      <c r="D40" s="654">
        <f>SUMIFS(SALE!$K$6:$K$10000,SALE!$A$6:$A$10000,D3,SALE!$S$6:$S$10000,$A$34:$A$40)</f>
        <v>0</v>
      </c>
      <c r="E40" s="654">
        <f>SUMIFS(SALE!$K$6:$K$10000,SALE!$A$6:$A$10000,E3,SALE!$S$6:$S$10000,$A$34:$A$40)</f>
        <v>0</v>
      </c>
      <c r="F40" s="654">
        <f>SUMIFS(SALE!$K$6:$K$10000,SALE!$A$6:$A$10000,F3,SALE!$S$6:$S$10000,$A$34:$A$40)</f>
        <v>0</v>
      </c>
      <c r="G40" s="654">
        <f>SUMIFS(SALE!$K$6:$K$10000,SALE!$A$6:$A$10000,G3,SALE!$S$6:$S$10000,$A$34:$A$40)</f>
        <v>0</v>
      </c>
      <c r="H40" s="654">
        <f>SUMIFS(SALE!$K$6:$K$10000,SALE!$A$6:$A$10000,H3,SALE!$S$6:$S$10000,$A$34:$A$40)</f>
        <v>0</v>
      </c>
      <c r="I40" s="654">
        <f>SUMIFS(SALE!$K$6:$K$10000,SALE!$A$6:$A$10000,I3,SALE!$S$6:$S$10000,$A$34:$A$40)</f>
        <v>0</v>
      </c>
      <c r="J40" s="654">
        <f>SUMIFS(SALE!$K$6:$K$10000,SALE!$A$6:$A$10000,J3,SALE!$S$6:$S$10000,$A$34:$A$40)</f>
        <v>0</v>
      </c>
      <c r="K40" s="654">
        <f>SUMIFS(SALE!$K$6:$K$10000,SALE!$A$6:$A$10000,K3,SALE!$S$6:$S$10000,$A$34:$A$40)</f>
        <v>0</v>
      </c>
      <c r="L40" s="654">
        <f>SUMIFS(SALE!$K$6:$K$10000,SALE!$A$6:$A$10000,L3,SALE!$S$6:$S$10000,$A$34:$A$40)</f>
        <v>0</v>
      </c>
      <c r="M40" s="654">
        <f>SUMIFS(SALE!$K$6:$K$10000,SALE!$A$6:$A$10000,M3,SALE!$S$6:$S$10000,$A$34:$A$40)</f>
        <v>0</v>
      </c>
      <c r="N40" s="655"/>
    </row>
    <row r="41" spans="1:14" s="807" customFormat="1" x14ac:dyDescent="0.3">
      <c r="A41" s="835" t="s">
        <v>347</v>
      </c>
      <c r="B41" s="653">
        <f t="shared" ref="B41:M41" si="13">SUM(B34:B40)</f>
        <v>-6092.61</v>
      </c>
      <c r="C41" s="653">
        <f t="shared" si="13"/>
        <v>0</v>
      </c>
      <c r="D41" s="653">
        <f t="shared" si="13"/>
        <v>0</v>
      </c>
      <c r="E41" s="653">
        <f t="shared" si="13"/>
        <v>0</v>
      </c>
      <c r="F41" s="653">
        <f t="shared" si="13"/>
        <v>0</v>
      </c>
      <c r="G41" s="653">
        <f t="shared" si="13"/>
        <v>0</v>
      </c>
      <c r="H41" s="653">
        <f t="shared" si="13"/>
        <v>0</v>
      </c>
      <c r="I41" s="653">
        <f t="shared" si="13"/>
        <v>0</v>
      </c>
      <c r="J41" s="653">
        <f t="shared" si="13"/>
        <v>0</v>
      </c>
      <c r="K41" s="653">
        <f t="shared" si="13"/>
        <v>0</v>
      </c>
      <c r="L41" s="653">
        <f t="shared" si="13"/>
        <v>0</v>
      </c>
      <c r="M41" s="653">
        <f t="shared" si="13"/>
        <v>0</v>
      </c>
      <c r="N41" s="846"/>
    </row>
    <row r="42" spans="1:14" s="807" customFormat="1" x14ac:dyDescent="0.3">
      <c r="A42" s="929" t="s">
        <v>4206</v>
      </c>
      <c r="B42" s="922"/>
      <c r="C42" s="922"/>
      <c r="D42" s="922"/>
      <c r="E42" s="922"/>
      <c r="F42" s="922"/>
      <c r="G42" s="922"/>
      <c r="H42" s="922"/>
      <c r="I42" s="922"/>
      <c r="J42" s="922"/>
      <c r="K42" s="922"/>
      <c r="L42" s="922"/>
      <c r="M42" s="922"/>
      <c r="N42" s="846"/>
    </row>
    <row r="43" spans="1:14" s="807" customFormat="1" x14ac:dyDescent="0.3">
      <c r="A43" s="11" t="s">
        <v>4113</v>
      </c>
      <c r="B43" s="654">
        <f>SUMIFS(SALE!$K$6:$K$10000,SALE!$A$6:$A$10000,B3,SALE!$S$6:$S$10000,$A$43:$A$48)</f>
        <v>0</v>
      </c>
      <c r="C43" s="654">
        <f>SUMIFS(SALE!$K$6:$K$10000,SALE!$A$6:$A$10000,C3,SALE!$S$6:$S$10000,$A$43:$A$48)</f>
        <v>0</v>
      </c>
      <c r="D43" s="654">
        <f>SUMIFS(SALE!$K$6:$K$10000,SALE!$A$6:$A$10000,D3,SALE!$S$6:$S$10000,$A$43:$A$48)</f>
        <v>0</v>
      </c>
      <c r="E43" s="654">
        <f>SUMIFS(SALE!$K$6:$K$10000,SALE!$A$6:$A$10000,E3,SALE!$S$6:$S$10000,$A$43:$A$48)</f>
        <v>0</v>
      </c>
      <c r="F43" s="654">
        <f>SUMIFS(SALE!$K$6:$K$10000,SALE!$A$6:$A$10000,F3,SALE!$S$6:$S$10000,$A$43:$A$48)</f>
        <v>0</v>
      </c>
      <c r="G43" s="654">
        <f>SUMIFS(SALE!$K$6:$K$10000,SALE!$A$6:$A$10000,G3,SALE!$S$6:$S$10000,$A$43:$A$48)</f>
        <v>0</v>
      </c>
      <c r="H43" s="654">
        <f>SUMIFS(SALE!$K$6:$K$10000,SALE!$A$6:$A$10000,H3,SALE!$S$6:$S$10000,$A$43:$A$48)</f>
        <v>0</v>
      </c>
      <c r="I43" s="654">
        <f>SUMIFS(SALE!$K$6:$K$10000,SALE!$A$6:$A$10000,I3,SALE!$S$6:$S$10000,$A$43:$A$48)</f>
        <v>0</v>
      </c>
      <c r="J43" s="654">
        <f>SUMIFS(SALE!$K$6:$K$10000,SALE!$A$6:$A$10000,J3,SALE!$S$6:$S$10000,$A$43:$A$48)</f>
        <v>0</v>
      </c>
      <c r="K43" s="654">
        <f>SUMIFS(SALE!$K$6:$K$10000,SALE!$A$6:$A$10000,K3,SALE!$S$6:$S$10000,$A$43:$A$48)</f>
        <v>0</v>
      </c>
      <c r="L43" s="654">
        <f>SUMIFS(SALE!$K$6:$K$10000,SALE!$A$6:$A$10000,L3,SALE!$S$6:$S$10000,$A$43:$A$48)</f>
        <v>0</v>
      </c>
      <c r="M43" s="654">
        <f>SUMIFS(SALE!$K$6:$K$10000,SALE!$A$6:$A$10000,M3,SALE!$S$6:$S$10000,$A$43:$A$48)</f>
        <v>0</v>
      </c>
      <c r="N43" s="846"/>
    </row>
    <row r="44" spans="1:14" s="807" customFormat="1" x14ac:dyDescent="0.3">
      <c r="A44" s="11" t="s">
        <v>4104</v>
      </c>
      <c r="B44" s="654">
        <f>SUMIFS(SALE!$K$6:$K$10000,SALE!$A$6:$A$10000,B3,SALE!$S$6:$S$10000,$A$43:$A$48)</f>
        <v>0</v>
      </c>
      <c r="C44" s="654">
        <f>SUMIFS(SALE!$K$6:$K$10000,SALE!$A$6:$A$10000,C3,SALE!$S$6:$S$10000,$A$43:$A$48)</f>
        <v>0</v>
      </c>
      <c r="D44" s="654">
        <f>SUMIFS(SALE!$K$6:$K$10000,SALE!$A$6:$A$10000,D3,SALE!$S$6:$S$10000,$A$43:$A$48)</f>
        <v>0</v>
      </c>
      <c r="E44" s="654">
        <f>SUMIFS(SALE!$K$6:$K$10000,SALE!$A$6:$A$10000,E3,SALE!$S$6:$S$10000,$A$43:$A$48)</f>
        <v>0</v>
      </c>
      <c r="F44" s="654">
        <f>SUMIFS(SALE!$K$6:$K$10000,SALE!$A$6:$A$10000,F3,SALE!$S$6:$S$10000,$A$43:$A$48)</f>
        <v>0</v>
      </c>
      <c r="G44" s="654">
        <f>SUMIFS(SALE!$K$6:$K$10000,SALE!$A$6:$A$10000,G3,SALE!$S$6:$S$10000,$A$43:$A$48)</f>
        <v>0</v>
      </c>
      <c r="H44" s="654">
        <f>SUMIFS(SALE!$K$6:$K$10000,SALE!$A$6:$A$10000,H3,SALE!$S$6:$S$10000,$A$43:$A$48)</f>
        <v>0</v>
      </c>
      <c r="I44" s="654">
        <f>SUMIFS(SALE!$K$6:$K$10000,SALE!$A$6:$A$10000,I3,SALE!$S$6:$S$10000,$A$43:$A$48)</f>
        <v>0</v>
      </c>
      <c r="J44" s="654">
        <f>SUMIFS(SALE!$K$6:$K$10000,SALE!$A$6:$A$10000,J3,SALE!$S$6:$S$10000,$A$43:$A$48)</f>
        <v>0</v>
      </c>
      <c r="K44" s="654">
        <f>SUMIFS(SALE!$K$6:$K$10000,SALE!$A$6:$A$10000,K3,SALE!$S$6:$S$10000,$A$43:$A$48)</f>
        <v>0</v>
      </c>
      <c r="L44" s="654">
        <f>SUMIFS(SALE!$K$6:$K$10000,SALE!$A$6:$A$10000,L3,SALE!$S$6:$S$10000,$A$43:$A$48)</f>
        <v>0</v>
      </c>
      <c r="M44" s="654">
        <f>SUMIFS(SALE!$K$6:$K$10000,SALE!$A$6:$A$10000,M3,SALE!$S$6:$S$10000,$A$43:$A$48)</f>
        <v>0</v>
      </c>
      <c r="N44" s="846"/>
    </row>
    <row r="45" spans="1:14" s="807" customFormat="1" x14ac:dyDescent="0.3">
      <c r="A45" s="11" t="s">
        <v>4113</v>
      </c>
      <c r="B45" s="654">
        <f>SUMIFS(SALE!$K$6:$K$10000,SALE!$A$6:$A$10000,B3,SALE!$S$6:$S$10000,$A$43:$A$48)</f>
        <v>0</v>
      </c>
      <c r="C45" s="654">
        <f>SUMIFS(SALE!$K$6:$K$10000,SALE!$A$6:$A$10000,C3,SALE!$S$6:$S$10000,$A$43:$A$48)</f>
        <v>0</v>
      </c>
      <c r="D45" s="654">
        <f>SUMIFS(SALE!$K$6:$K$10000,SALE!$A$6:$A$10000,D3,SALE!$S$6:$S$10000,$A$43:$A$48)</f>
        <v>0</v>
      </c>
      <c r="E45" s="654">
        <f>SUMIFS(SALE!$K$6:$K$10000,SALE!$A$6:$A$10000,E3,SALE!$S$6:$S$10000,$A$43:$A$48)</f>
        <v>0</v>
      </c>
      <c r="F45" s="654">
        <f>SUMIFS(SALE!$K$6:$K$10000,SALE!$A$6:$A$10000,F3,SALE!$S$6:$S$10000,$A$43:$A$48)</f>
        <v>0</v>
      </c>
      <c r="G45" s="654">
        <f>SUMIFS(SALE!$K$6:$K$10000,SALE!$A$6:$A$10000,G3,SALE!$S$6:$S$10000,$A$43:$A$48)</f>
        <v>0</v>
      </c>
      <c r="H45" s="654">
        <f>SUMIFS(SALE!$K$6:$K$10000,SALE!$A$6:$A$10000,H3,SALE!$S$6:$S$10000,$A$43:$A$48)</f>
        <v>0</v>
      </c>
      <c r="I45" s="654">
        <f>SUMIFS(SALE!$K$6:$K$10000,SALE!$A$6:$A$10000,I3,SALE!$S$6:$S$10000,$A$43:$A$48)</f>
        <v>0</v>
      </c>
      <c r="J45" s="654">
        <f>SUMIFS(SALE!$K$6:$K$10000,SALE!$A$6:$A$10000,J3,SALE!$S$6:$S$10000,$A$43:$A$48)</f>
        <v>0</v>
      </c>
      <c r="K45" s="654">
        <f>SUMIFS(SALE!$K$6:$K$10000,SALE!$A$6:$A$10000,K3,SALE!$S$6:$S$10000,$A$43:$A$48)</f>
        <v>0</v>
      </c>
      <c r="L45" s="654">
        <f>SUMIFS(SALE!$K$6:$K$10000,SALE!$A$6:$A$10000,L3,SALE!$S$6:$S$10000,$A$43:$A$48)</f>
        <v>0</v>
      </c>
      <c r="M45" s="654">
        <f>SUMIFS(SALE!$K$6:$K$10000,SALE!$A$6:$A$10000,M3,SALE!$S$6:$S$10000,$A$43:$A$48)</f>
        <v>0</v>
      </c>
      <c r="N45" s="846"/>
    </row>
    <row r="46" spans="1:14" s="807" customFormat="1" x14ac:dyDescent="0.3">
      <c r="A46" s="11" t="s">
        <v>4111</v>
      </c>
      <c r="B46" s="654">
        <f>SUMIFS(SALE!$K$6:$K$10000,SALE!$A$6:$A$10000,B3,SALE!$S$6:$S$10000,$A$43:$A$48)</f>
        <v>0</v>
      </c>
      <c r="C46" s="654">
        <f>SUMIFS(SALE!$K$6:$K$10000,SALE!$A$6:$A$10000,C3,SALE!$S$6:$S$10000,$A$43:$A$48)</f>
        <v>0</v>
      </c>
      <c r="D46" s="654">
        <f>SUMIFS(SALE!$K$6:$K$10000,SALE!$A$6:$A$10000,D3,SALE!$S$6:$S$10000,$A$43:$A$48)</f>
        <v>0</v>
      </c>
      <c r="E46" s="654">
        <f>SUMIFS(SALE!$K$6:$K$10000,SALE!$A$6:$A$10000,E3,SALE!$S$6:$S$10000,$A$43:$A$48)</f>
        <v>0</v>
      </c>
      <c r="F46" s="654">
        <f>SUMIFS(SALE!$K$6:$K$10000,SALE!$A$6:$A$10000,F3,SALE!$S$6:$S$10000,$A$43:$A$48)</f>
        <v>0</v>
      </c>
      <c r="G46" s="654">
        <f>SUMIFS(SALE!$K$6:$K$10000,SALE!$A$6:$A$10000,G3,SALE!$S$6:$S$10000,$A$43:$A$48)</f>
        <v>0</v>
      </c>
      <c r="H46" s="654">
        <f>SUMIFS(SALE!$K$6:$K$10000,SALE!$A$6:$A$10000,H3,SALE!$S$6:$S$10000,$A$43:$A$48)</f>
        <v>0</v>
      </c>
      <c r="I46" s="654">
        <f>SUMIFS(SALE!$K$6:$K$10000,SALE!$A$6:$A$10000,I3,SALE!$S$6:$S$10000,$A$43:$A$48)</f>
        <v>0</v>
      </c>
      <c r="J46" s="654">
        <f>SUMIFS(SALE!$K$6:$K$10000,SALE!$A$6:$A$10000,J3,SALE!$S$6:$S$10000,$A$43:$A$48)</f>
        <v>0</v>
      </c>
      <c r="K46" s="654">
        <f>SUMIFS(SALE!$K$6:$K$10000,SALE!$A$6:$A$10000,K3,SALE!$S$6:$S$10000,$A$43:$A$48)</f>
        <v>0</v>
      </c>
      <c r="L46" s="654">
        <f>SUMIFS(SALE!$K$6:$K$10000,SALE!$A$6:$A$10000,L3,SALE!$S$6:$S$10000,$A$43:$A$48)</f>
        <v>0</v>
      </c>
      <c r="M46" s="654">
        <f>SUMIFS(SALE!$K$6:$K$10000,SALE!$A$6:$A$10000,M3,SALE!$S$6:$S$10000,$A$43:$A$48)</f>
        <v>0</v>
      </c>
      <c r="N46" s="846"/>
    </row>
    <row r="47" spans="1:14" s="807" customFormat="1" x14ac:dyDescent="0.3">
      <c r="A47" s="11"/>
      <c r="B47" s="654"/>
      <c r="C47" s="656"/>
      <c r="D47" s="846"/>
      <c r="E47" s="846"/>
      <c r="F47" s="846"/>
      <c r="G47" s="846"/>
      <c r="H47" s="846"/>
      <c r="I47" s="846"/>
      <c r="J47" s="846"/>
      <c r="K47" s="846"/>
      <c r="L47" s="846"/>
      <c r="M47" s="846"/>
      <c r="N47" s="846"/>
    </row>
    <row r="48" spans="1:14" s="807" customFormat="1" x14ac:dyDescent="0.3">
      <c r="A48" s="11"/>
      <c r="B48" s="654"/>
      <c r="C48" s="656"/>
      <c r="D48" s="846"/>
      <c r="E48" s="846"/>
      <c r="F48" s="846"/>
      <c r="G48" s="846"/>
      <c r="H48" s="846"/>
      <c r="I48" s="846"/>
      <c r="J48" s="846"/>
      <c r="K48" s="846"/>
      <c r="L48" s="846"/>
      <c r="M48" s="846"/>
      <c r="N48" s="846"/>
    </row>
    <row r="49" spans="1:14" s="807" customFormat="1" x14ac:dyDescent="0.3">
      <c r="A49" s="835" t="s">
        <v>347</v>
      </c>
      <c r="B49" s="653">
        <f>SUM(B43:B45)</f>
        <v>0</v>
      </c>
      <c r="C49" s="653">
        <f t="shared" ref="C49:E49" si="14">SUM(C43:C45)</f>
        <v>0</v>
      </c>
      <c r="D49" s="653">
        <f t="shared" si="14"/>
        <v>0</v>
      </c>
      <c r="E49" s="653">
        <f t="shared" si="14"/>
        <v>0</v>
      </c>
      <c r="F49" s="653">
        <f t="shared" ref="F49" si="15">SUM(F43:F45)</f>
        <v>0</v>
      </c>
      <c r="G49" s="653">
        <f t="shared" ref="G49" si="16">SUM(G43:G45)</f>
        <v>0</v>
      </c>
      <c r="H49" s="653">
        <f t="shared" ref="H49" si="17">SUM(H43:H45)</f>
        <v>0</v>
      </c>
      <c r="I49" s="653">
        <f t="shared" ref="I49" si="18">SUM(I43:I45)</f>
        <v>0</v>
      </c>
      <c r="J49" s="653">
        <f t="shared" ref="J49" si="19">SUM(J43:J45)</f>
        <v>0</v>
      </c>
      <c r="K49" s="653">
        <f t="shared" ref="K49" si="20">SUM(K43:K45)</f>
        <v>0</v>
      </c>
      <c r="L49" s="653">
        <f t="shared" ref="L49" si="21">SUM(L43:L45)</f>
        <v>0</v>
      </c>
      <c r="M49" s="653">
        <f t="shared" ref="M49" si="22">SUM(M43:M45)</f>
        <v>0</v>
      </c>
      <c r="N49" s="846"/>
    </row>
    <row r="50" spans="1:14" s="807" customFormat="1" x14ac:dyDescent="0.3">
      <c r="A50" s="835" t="s">
        <v>3862</v>
      </c>
      <c r="B50" s="653">
        <f>+B49+B41</f>
        <v>-6092.61</v>
      </c>
      <c r="C50" s="653">
        <f t="shared" ref="C50:M50" si="23">+C49+C41</f>
        <v>0</v>
      </c>
      <c r="D50" s="653">
        <f t="shared" si="23"/>
        <v>0</v>
      </c>
      <c r="E50" s="653">
        <f t="shared" si="23"/>
        <v>0</v>
      </c>
      <c r="F50" s="653">
        <f t="shared" si="23"/>
        <v>0</v>
      </c>
      <c r="G50" s="653">
        <f t="shared" si="23"/>
        <v>0</v>
      </c>
      <c r="H50" s="653">
        <f t="shared" si="23"/>
        <v>0</v>
      </c>
      <c r="I50" s="653">
        <f t="shared" si="23"/>
        <v>0</v>
      </c>
      <c r="J50" s="653">
        <f t="shared" si="23"/>
        <v>0</v>
      </c>
      <c r="K50" s="653">
        <f t="shared" si="23"/>
        <v>0</v>
      </c>
      <c r="L50" s="653">
        <f t="shared" si="23"/>
        <v>0</v>
      </c>
      <c r="M50" s="653">
        <f t="shared" si="23"/>
        <v>0</v>
      </c>
      <c r="N50" s="846"/>
    </row>
    <row r="51" spans="1:14" s="807" customFormat="1" x14ac:dyDescent="0.3">
      <c r="A51" s="967" t="s">
        <v>4047</v>
      </c>
      <c r="B51" s="968">
        <f t="shared" ref="B51:M51" si="24">+B9+B50</f>
        <v>3348680.7699999972</v>
      </c>
      <c r="C51" s="968">
        <f t="shared" si="24"/>
        <v>4057558.6999999983</v>
      </c>
      <c r="D51" s="968">
        <f t="shared" si="24"/>
        <v>5748383.1739999959</v>
      </c>
      <c r="E51" s="968">
        <f t="shared" si="24"/>
        <v>6550168.9499999918</v>
      </c>
      <c r="F51" s="968">
        <f t="shared" si="24"/>
        <v>5362317.6199999955</v>
      </c>
      <c r="G51" s="968">
        <f t="shared" si="24"/>
        <v>4785767.8899999997</v>
      </c>
      <c r="H51" s="968">
        <f t="shared" si="24"/>
        <v>4303915.0199999996</v>
      </c>
      <c r="I51" s="968">
        <f t="shared" si="24"/>
        <v>2528210.6899999995</v>
      </c>
      <c r="J51" s="968">
        <f t="shared" si="24"/>
        <v>3164150.0799999996</v>
      </c>
      <c r="K51" s="968">
        <f t="shared" si="24"/>
        <v>1960834.9400000002</v>
      </c>
      <c r="L51" s="968">
        <f t="shared" si="24"/>
        <v>0</v>
      </c>
      <c r="M51" s="968">
        <f t="shared" si="24"/>
        <v>0</v>
      </c>
      <c r="N51" s="846"/>
    </row>
    <row r="52" spans="1:14" x14ac:dyDescent="0.3">
      <c r="A52" s="660"/>
      <c r="B52" s="655"/>
      <c r="C52" s="655"/>
      <c r="D52" s="655"/>
      <c r="E52" s="655"/>
      <c r="F52" s="655"/>
      <c r="G52" s="655"/>
      <c r="H52" s="655"/>
      <c r="I52" s="655"/>
      <c r="J52" s="655"/>
      <c r="K52" s="655"/>
      <c r="L52" s="655"/>
      <c r="M52" s="655"/>
      <c r="N52" s="655"/>
    </row>
    <row r="53" spans="1:14" x14ac:dyDescent="0.3">
      <c r="A53" s="802" t="s">
        <v>3869</v>
      </c>
      <c r="B53" s="848"/>
      <c r="C53" s="655"/>
      <c r="D53" s="655"/>
      <c r="E53" s="655"/>
      <c r="F53" s="655"/>
      <c r="G53" s="655"/>
      <c r="H53" s="655"/>
      <c r="I53" s="655"/>
      <c r="J53" s="655"/>
      <c r="K53" s="655"/>
      <c r="L53" s="655"/>
      <c r="M53" s="655"/>
      <c r="N53" s="655"/>
    </row>
    <row r="54" spans="1:14" x14ac:dyDescent="0.3">
      <c r="A54" s="660"/>
      <c r="B54" s="655"/>
      <c r="C54" s="655"/>
      <c r="D54" s="655"/>
      <c r="E54" s="655"/>
      <c r="F54" s="655"/>
      <c r="G54" s="655"/>
      <c r="H54" s="655"/>
      <c r="I54" s="655"/>
      <c r="J54" s="655"/>
      <c r="K54" s="655"/>
      <c r="L54" s="655"/>
      <c r="M54" s="655"/>
      <c r="N54" s="655"/>
    </row>
    <row r="55" spans="1:14" x14ac:dyDescent="0.3">
      <c r="A55" s="800" t="s">
        <v>3758</v>
      </c>
      <c r="B55" s="836"/>
      <c r="C55" s="655"/>
      <c r="D55" s="655"/>
      <c r="E55" s="655"/>
      <c r="F55" s="655"/>
      <c r="G55" s="655"/>
      <c r="H55" s="655"/>
      <c r="I55" s="655"/>
      <c r="J55" s="655"/>
      <c r="K55" s="655"/>
      <c r="L55" s="655"/>
      <c r="M55" s="655"/>
      <c r="N55" s="655"/>
    </row>
    <row r="56" spans="1:14" x14ac:dyDescent="0.3">
      <c r="A56" s="918" t="s">
        <v>4036</v>
      </c>
      <c r="B56" s="654">
        <v>1268.97</v>
      </c>
      <c r="C56" s="654">
        <v>685.73</v>
      </c>
      <c r="D56" s="655"/>
      <c r="E56" s="655"/>
      <c r="F56" s="655"/>
      <c r="G56" s="655"/>
      <c r="H56" s="655"/>
      <c r="I56" s="655"/>
      <c r="J56" s="655"/>
      <c r="K56" s="655"/>
      <c r="L56" s="655"/>
      <c r="M56" s="655"/>
      <c r="N56" s="655"/>
    </row>
    <row r="57" spans="1:14" x14ac:dyDescent="0.3">
      <c r="A57" s="918" t="s">
        <v>4037</v>
      </c>
      <c r="B57" s="654">
        <v>773116.14</v>
      </c>
      <c r="C57" s="654">
        <v>851288.11</v>
      </c>
      <c r="D57" s="655"/>
      <c r="E57" s="655"/>
      <c r="F57" s="655"/>
      <c r="G57" s="655"/>
      <c r="H57" s="655"/>
      <c r="I57" s="655"/>
      <c r="J57" s="655"/>
      <c r="K57" s="655"/>
      <c r="L57" s="655"/>
      <c r="M57" s="655"/>
      <c r="N57" s="655"/>
    </row>
    <row r="58" spans="1:14" x14ac:dyDescent="0.3">
      <c r="A58" s="918" t="s">
        <v>4038</v>
      </c>
      <c r="B58" s="654">
        <v>4135356.31</v>
      </c>
      <c r="C58" s="654">
        <v>4657091.3600000003</v>
      </c>
      <c r="D58" s="655"/>
      <c r="E58" s="655"/>
      <c r="F58" s="655"/>
      <c r="G58" s="655"/>
      <c r="H58" s="655"/>
      <c r="I58" s="655"/>
      <c r="J58" s="655"/>
      <c r="K58" s="655"/>
      <c r="L58" s="655"/>
      <c r="M58" s="655"/>
      <c r="N58" s="655"/>
    </row>
    <row r="59" spans="1:14" x14ac:dyDescent="0.3">
      <c r="A59" s="918" t="s">
        <v>4179</v>
      </c>
      <c r="B59" s="654">
        <v>67446</v>
      </c>
      <c r="C59" s="654">
        <v>58114</v>
      </c>
      <c r="D59" s="655"/>
      <c r="E59" s="655"/>
      <c r="F59" s="655"/>
      <c r="G59" s="655"/>
      <c r="H59" s="655"/>
      <c r="I59" s="655"/>
      <c r="J59" s="655"/>
      <c r="K59" s="655"/>
      <c r="L59" s="655"/>
      <c r="M59" s="655"/>
      <c r="N59" s="655"/>
    </row>
    <row r="60" spans="1:14" x14ac:dyDescent="0.3">
      <c r="A60" s="918" t="s">
        <v>4039</v>
      </c>
      <c r="B60" s="654">
        <v>60362.53</v>
      </c>
      <c r="C60" s="654">
        <v>75308.91</v>
      </c>
      <c r="D60" s="655"/>
      <c r="E60" s="655"/>
      <c r="F60" s="655"/>
      <c r="G60" s="655"/>
      <c r="H60" s="655"/>
      <c r="I60" s="655"/>
      <c r="J60" s="655"/>
      <c r="K60" s="655"/>
      <c r="L60" s="655"/>
      <c r="M60" s="655"/>
      <c r="N60" s="655"/>
    </row>
    <row r="61" spans="1:14" x14ac:dyDescent="0.3">
      <c r="A61" s="918" t="s">
        <v>4180</v>
      </c>
      <c r="B61" s="654">
        <v>1045855.67</v>
      </c>
      <c r="C61" s="654">
        <v>830800.89</v>
      </c>
      <c r="D61" s="655"/>
      <c r="E61" s="655"/>
      <c r="F61" s="655"/>
      <c r="G61" s="655"/>
      <c r="H61" s="655"/>
      <c r="I61" s="655"/>
      <c r="J61" s="655"/>
      <c r="K61" s="655"/>
      <c r="L61" s="655"/>
      <c r="M61" s="655"/>
      <c r="N61" s="655"/>
    </row>
    <row r="62" spans="1:14" x14ac:dyDescent="0.3">
      <c r="A62" s="918" t="s">
        <v>4181</v>
      </c>
      <c r="B62" s="849">
        <v>217656.97</v>
      </c>
      <c r="C62" s="849">
        <v>288407.96999999997</v>
      </c>
      <c r="D62" s="655"/>
      <c r="E62" s="655"/>
      <c r="F62" s="655"/>
      <c r="G62" s="655"/>
      <c r="H62" s="655"/>
      <c r="I62" s="655"/>
      <c r="J62" s="655"/>
      <c r="K62" s="655"/>
      <c r="L62" s="655"/>
      <c r="M62" s="655"/>
      <c r="N62" s="655"/>
    </row>
    <row r="63" spans="1:14" x14ac:dyDescent="0.3">
      <c r="A63" s="918" t="s">
        <v>4040</v>
      </c>
      <c r="B63" s="836"/>
      <c r="C63" s="655"/>
      <c r="D63" s="655"/>
      <c r="E63" s="655"/>
      <c r="F63" s="655"/>
      <c r="G63" s="655"/>
      <c r="H63" s="655"/>
      <c r="I63" s="655"/>
      <c r="J63" s="655"/>
      <c r="K63" s="655"/>
      <c r="L63" s="655"/>
      <c r="M63" s="655"/>
      <c r="N63" s="655"/>
    </row>
    <row r="64" spans="1:14" s="807" customFormat="1" x14ac:dyDescent="0.3">
      <c r="A64" s="967" t="s">
        <v>347</v>
      </c>
      <c r="B64" s="968">
        <f>SUM(B56:B63)</f>
        <v>6301062.5899999999</v>
      </c>
      <c r="C64" s="968">
        <f t="shared" ref="C64:G64" si="25">SUM(C56:C63)</f>
        <v>6761696.9699999997</v>
      </c>
      <c r="D64" s="968">
        <f t="shared" si="25"/>
        <v>0</v>
      </c>
      <c r="E64" s="968">
        <f t="shared" si="25"/>
        <v>0</v>
      </c>
      <c r="F64" s="968">
        <f t="shared" si="25"/>
        <v>0</v>
      </c>
      <c r="G64" s="968">
        <f t="shared" si="25"/>
        <v>0</v>
      </c>
      <c r="H64" s="968">
        <f t="shared" ref="H64" si="26">SUM(H56:H63)</f>
        <v>0</v>
      </c>
      <c r="I64" s="968">
        <f t="shared" ref="I64" si="27">SUM(I56:I63)</f>
        <v>0</v>
      </c>
      <c r="J64" s="968">
        <f t="shared" ref="J64" si="28">SUM(J56:J63)</f>
        <v>0</v>
      </c>
      <c r="K64" s="968">
        <f t="shared" ref="K64" si="29">SUM(K56:K63)</f>
        <v>0</v>
      </c>
      <c r="L64" s="968">
        <f t="shared" ref="L64" si="30">SUM(L56:L63)</f>
        <v>0</v>
      </c>
      <c r="M64" s="968">
        <f t="shared" ref="M64" si="31">SUM(M56:M63)</f>
        <v>0</v>
      </c>
      <c r="N64" s="846"/>
    </row>
    <row r="65" spans="1:14" x14ac:dyDescent="0.3">
      <c r="A65" s="802" t="s">
        <v>3870</v>
      </c>
      <c r="B65" s="848"/>
      <c r="C65" s="655"/>
      <c r="D65" s="655"/>
      <c r="E65" s="655"/>
      <c r="F65" s="655"/>
      <c r="G65" s="655"/>
      <c r="H65" s="655"/>
      <c r="I65" s="655"/>
      <c r="J65" s="655"/>
      <c r="K65" s="655"/>
      <c r="L65" s="655"/>
      <c r="M65" s="655"/>
      <c r="N65" s="655"/>
    </row>
    <row r="66" spans="1:14" x14ac:dyDescent="0.3">
      <c r="A66" s="660" t="s">
        <v>3871</v>
      </c>
      <c r="B66" s="655"/>
      <c r="C66" s="655"/>
      <c r="D66" s="655"/>
      <c r="E66" s="655"/>
      <c r="F66" s="655"/>
      <c r="G66" s="655"/>
      <c r="H66" s="655"/>
      <c r="I66" s="655"/>
      <c r="J66" s="655"/>
      <c r="K66" s="655"/>
      <c r="L66" s="655"/>
      <c r="M66" s="655"/>
      <c r="N66" s="655"/>
    </row>
    <row r="67" spans="1:14" x14ac:dyDescent="0.3">
      <c r="A67" s="660" t="s">
        <v>3872</v>
      </c>
      <c r="B67" s="655"/>
      <c r="C67" s="655"/>
      <c r="D67" s="655"/>
      <c r="E67" s="655"/>
      <c r="F67" s="655"/>
      <c r="G67" s="655"/>
      <c r="H67" s="655"/>
      <c r="I67" s="655"/>
      <c r="J67" s="655"/>
      <c r="K67" s="655"/>
      <c r="L67" s="655"/>
      <c r="M67" s="655"/>
      <c r="N67" s="655"/>
    </row>
    <row r="68" spans="1:14" x14ac:dyDescent="0.3">
      <c r="A68" s="660" t="s">
        <v>3873</v>
      </c>
      <c r="B68" s="655"/>
      <c r="C68" s="655"/>
      <c r="D68" s="655"/>
      <c r="E68" s="655"/>
      <c r="F68" s="655"/>
      <c r="G68" s="655"/>
      <c r="H68" s="655"/>
      <c r="I68" s="655"/>
      <c r="J68" s="655"/>
      <c r="K68" s="655"/>
      <c r="L68" s="655"/>
      <c r="M68" s="655"/>
      <c r="N68" s="655"/>
    </row>
    <row r="69" spans="1:14" x14ac:dyDescent="0.3">
      <c r="A69" s="660" t="s">
        <v>3874</v>
      </c>
      <c r="B69" s="655"/>
      <c r="C69" s="655"/>
      <c r="D69" s="655"/>
      <c r="E69" s="655"/>
      <c r="F69" s="655"/>
      <c r="G69" s="655"/>
      <c r="H69" s="655"/>
      <c r="I69" s="655"/>
      <c r="J69" s="655"/>
      <c r="K69" s="655"/>
      <c r="L69" s="655"/>
      <c r="M69" s="655"/>
      <c r="N69" s="655"/>
    </row>
    <row r="70" spans="1:14" x14ac:dyDescent="0.3">
      <c r="A70" s="660" t="s">
        <v>3875</v>
      </c>
      <c r="B70" s="655"/>
      <c r="C70" s="655"/>
      <c r="D70" s="655"/>
      <c r="E70" s="655"/>
      <c r="F70" s="655"/>
      <c r="G70" s="655"/>
      <c r="H70" s="655"/>
      <c r="I70" s="655"/>
      <c r="J70" s="655"/>
      <c r="K70" s="655"/>
      <c r="L70" s="655"/>
      <c r="M70" s="655"/>
      <c r="N70" s="655"/>
    </row>
    <row r="71" spans="1:14" x14ac:dyDescent="0.3">
      <c r="A71" s="799" t="s">
        <v>3876</v>
      </c>
      <c r="B71" s="837"/>
      <c r="C71" s="655"/>
      <c r="D71" s="655"/>
      <c r="E71" s="655"/>
      <c r="F71" s="655"/>
      <c r="G71" s="655"/>
      <c r="H71" s="655"/>
      <c r="I71" s="655"/>
      <c r="J71" s="655"/>
      <c r="K71" s="655"/>
      <c r="L71" s="655"/>
      <c r="M71" s="655"/>
      <c r="N71" s="655"/>
    </row>
    <row r="72" spans="1:14" x14ac:dyDescent="0.3">
      <c r="A72" s="660" t="s">
        <v>3877</v>
      </c>
      <c r="B72" s="655"/>
      <c r="C72" s="655"/>
      <c r="D72" s="655"/>
      <c r="E72" s="655"/>
      <c r="F72" s="655"/>
      <c r="G72" s="655"/>
      <c r="H72" s="655"/>
      <c r="I72" s="655"/>
      <c r="J72" s="655"/>
      <c r="K72" s="655"/>
      <c r="L72" s="655"/>
      <c r="M72" s="655"/>
      <c r="N72" s="655"/>
    </row>
    <row r="73" spans="1:14" x14ac:dyDescent="0.3">
      <c r="A73" s="660" t="s">
        <v>3878</v>
      </c>
      <c r="B73" s="655"/>
      <c r="C73" s="655"/>
      <c r="D73" s="655"/>
      <c r="E73" s="655"/>
      <c r="F73" s="655"/>
      <c r="G73" s="655"/>
      <c r="H73" s="655"/>
      <c r="I73" s="655"/>
      <c r="J73" s="655"/>
      <c r="K73" s="655"/>
      <c r="L73" s="655"/>
      <c r="M73" s="655"/>
      <c r="N73" s="655"/>
    </row>
    <row r="74" spans="1:14" x14ac:dyDescent="0.3">
      <c r="A74" s="660" t="s">
        <v>3879</v>
      </c>
      <c r="B74" s="655"/>
      <c r="C74" s="655"/>
      <c r="D74" s="655"/>
      <c r="E74" s="655"/>
      <c r="F74" s="655"/>
      <c r="G74" s="655"/>
      <c r="H74" s="655"/>
      <c r="I74" s="655"/>
      <c r="J74" s="655"/>
      <c r="K74" s="655"/>
      <c r="L74" s="655"/>
      <c r="M74" s="655"/>
      <c r="N74" s="655"/>
    </row>
    <row r="75" spans="1:14" x14ac:dyDescent="0.3">
      <c r="A75" s="660" t="s">
        <v>3880</v>
      </c>
      <c r="B75" s="655"/>
      <c r="C75" s="655"/>
      <c r="D75" s="655"/>
      <c r="E75" s="655"/>
      <c r="F75" s="655"/>
      <c r="G75" s="655"/>
      <c r="H75" s="655"/>
      <c r="I75" s="655"/>
      <c r="J75" s="655"/>
      <c r="K75" s="655"/>
      <c r="L75" s="655"/>
      <c r="M75" s="655"/>
      <c r="N75" s="655"/>
    </row>
    <row r="76" spans="1:14" x14ac:dyDescent="0.3">
      <c r="A76" s="660" t="s">
        <v>3881</v>
      </c>
      <c r="B76" s="655"/>
      <c r="C76" s="655"/>
      <c r="D76" s="655"/>
      <c r="E76" s="655"/>
      <c r="F76" s="655"/>
      <c r="G76" s="655"/>
      <c r="H76" s="655"/>
      <c r="I76" s="655"/>
      <c r="J76" s="655"/>
      <c r="K76" s="655"/>
      <c r="L76" s="655"/>
      <c r="M76" s="655"/>
      <c r="N76" s="655"/>
    </row>
    <row r="77" spans="1:14" x14ac:dyDescent="0.3">
      <c r="A77" s="660" t="s">
        <v>3882</v>
      </c>
      <c r="B77" s="655"/>
      <c r="C77" s="655"/>
      <c r="D77" s="655"/>
      <c r="E77" s="655"/>
      <c r="F77" s="655"/>
      <c r="G77" s="655"/>
      <c r="H77" s="655"/>
      <c r="I77" s="655"/>
      <c r="J77" s="655"/>
      <c r="K77" s="655"/>
      <c r="L77" s="655"/>
      <c r="M77" s="655"/>
      <c r="N77" s="655"/>
    </row>
    <row r="78" spans="1:14" x14ac:dyDescent="0.3">
      <c r="A78" s="660" t="s">
        <v>3883</v>
      </c>
      <c r="B78" s="655"/>
      <c r="C78" s="655"/>
      <c r="D78" s="655"/>
      <c r="E78" s="655"/>
      <c r="F78" s="655"/>
      <c r="G78" s="655"/>
      <c r="H78" s="655"/>
      <c r="I78" s="655"/>
      <c r="J78" s="655"/>
      <c r="K78" s="655"/>
      <c r="L78" s="655"/>
      <c r="M78" s="655"/>
      <c r="N78" s="655"/>
    </row>
    <row r="79" spans="1:14" x14ac:dyDescent="0.3">
      <c r="A79" s="660" t="s">
        <v>3884</v>
      </c>
      <c r="B79" s="655"/>
      <c r="C79" s="655"/>
      <c r="D79" s="655"/>
      <c r="E79" s="655"/>
      <c r="F79" s="655"/>
      <c r="G79" s="655"/>
      <c r="H79" s="655"/>
      <c r="I79" s="655"/>
      <c r="J79" s="655"/>
      <c r="K79" s="655"/>
      <c r="L79" s="655"/>
      <c r="M79" s="655"/>
      <c r="N79" s="655"/>
    </row>
    <row r="80" spans="1:14" ht="15" thickBot="1" x14ac:dyDescent="0.35">
      <c r="A80" s="967" t="s">
        <v>347</v>
      </c>
      <c r="B80" s="968">
        <f>SUM(B66:B79)</f>
        <v>0</v>
      </c>
      <c r="C80" s="968">
        <f t="shared" ref="C80:M80" si="32">SUM(C66:C79)</f>
        <v>0</v>
      </c>
      <c r="D80" s="968">
        <f t="shared" si="32"/>
        <v>0</v>
      </c>
      <c r="E80" s="968">
        <f t="shared" si="32"/>
        <v>0</v>
      </c>
      <c r="F80" s="968">
        <f t="shared" si="32"/>
        <v>0</v>
      </c>
      <c r="G80" s="968">
        <f t="shared" si="32"/>
        <v>0</v>
      </c>
      <c r="H80" s="968">
        <f t="shared" si="32"/>
        <v>0</v>
      </c>
      <c r="I80" s="968">
        <f t="shared" si="32"/>
        <v>0</v>
      </c>
      <c r="J80" s="968">
        <f t="shared" si="32"/>
        <v>0</v>
      </c>
      <c r="K80" s="968">
        <f t="shared" si="32"/>
        <v>0</v>
      </c>
      <c r="L80" s="968">
        <f t="shared" si="32"/>
        <v>0</v>
      </c>
      <c r="M80" s="968">
        <f t="shared" si="32"/>
        <v>0</v>
      </c>
      <c r="N80" s="655"/>
    </row>
    <row r="81" spans="1:14" ht="15" thickBot="1" x14ac:dyDescent="0.35">
      <c r="A81" s="857" t="s">
        <v>4048</v>
      </c>
      <c r="B81" s="858">
        <f>+B80+B64+B51</f>
        <v>9649743.3599999975</v>
      </c>
      <c r="C81" s="858">
        <f t="shared" ref="C81:M81" si="33">+C64+C51+C80</f>
        <v>10819255.669999998</v>
      </c>
      <c r="D81" s="858">
        <f t="shared" si="33"/>
        <v>5748383.1739999959</v>
      </c>
      <c r="E81" s="858">
        <f t="shared" si="33"/>
        <v>6550168.9499999918</v>
      </c>
      <c r="F81" s="858">
        <f t="shared" si="33"/>
        <v>5362317.6199999955</v>
      </c>
      <c r="G81" s="858">
        <f t="shared" si="33"/>
        <v>4785767.8899999997</v>
      </c>
      <c r="H81" s="858">
        <f t="shared" si="33"/>
        <v>4303915.0199999996</v>
      </c>
      <c r="I81" s="858">
        <f t="shared" si="33"/>
        <v>2528210.6899999995</v>
      </c>
      <c r="J81" s="858">
        <f t="shared" si="33"/>
        <v>3164150.0799999996</v>
      </c>
      <c r="K81" s="858">
        <f t="shared" si="33"/>
        <v>1960834.9400000002</v>
      </c>
      <c r="L81" s="858">
        <f t="shared" si="33"/>
        <v>0</v>
      </c>
      <c r="M81" s="858">
        <f t="shared" si="33"/>
        <v>0</v>
      </c>
      <c r="N81" s="655"/>
    </row>
    <row r="82" spans="1:14" x14ac:dyDescent="0.3">
      <c r="A82" s="804" t="s">
        <v>4042</v>
      </c>
      <c r="B82" s="969"/>
      <c r="C82" s="969"/>
      <c r="D82" s="969"/>
      <c r="E82" s="969"/>
      <c r="F82" s="969"/>
      <c r="G82" s="969"/>
      <c r="H82" s="969"/>
      <c r="I82" s="969"/>
      <c r="J82" s="969"/>
      <c r="K82" s="969"/>
      <c r="L82" s="969"/>
      <c r="M82" s="969"/>
      <c r="N82" s="655"/>
    </row>
    <row r="83" spans="1:14" x14ac:dyDescent="0.3">
      <c r="A83" s="804" t="s">
        <v>347</v>
      </c>
      <c r="B83" s="969">
        <f>+B82+B81</f>
        <v>9649743.3599999975</v>
      </c>
      <c r="C83" s="969"/>
      <c r="D83" s="969"/>
      <c r="E83" s="969"/>
      <c r="F83" s="969"/>
      <c r="G83" s="969"/>
      <c r="H83" s="969"/>
      <c r="I83" s="969"/>
      <c r="J83" s="969"/>
      <c r="K83" s="969"/>
      <c r="L83" s="969"/>
      <c r="M83" s="969"/>
      <c r="N83" s="655"/>
    </row>
    <row r="84" spans="1:14" x14ac:dyDescent="0.3">
      <c r="A84" s="658" t="s">
        <v>3755</v>
      </c>
      <c r="B84" s="850"/>
      <c r="C84" s="655"/>
      <c r="D84" s="655"/>
      <c r="E84" s="655"/>
      <c r="F84" s="655"/>
      <c r="G84" s="655"/>
      <c r="H84" s="655"/>
      <c r="I84" s="655"/>
      <c r="J84" s="655"/>
      <c r="K84" s="655"/>
      <c r="L84" s="655"/>
      <c r="M84" s="655"/>
      <c r="N84" s="655"/>
    </row>
    <row r="85" spans="1:14" x14ac:dyDescent="0.3">
      <c r="A85" s="918" t="s">
        <v>4036</v>
      </c>
      <c r="B85" s="654">
        <v>8685.25</v>
      </c>
      <c r="C85" s="655">
        <f t="shared" ref="C85:L85" si="34">+B56</f>
        <v>1268.97</v>
      </c>
      <c r="D85" s="655">
        <f t="shared" si="34"/>
        <v>685.73</v>
      </c>
      <c r="E85" s="655">
        <f t="shared" si="34"/>
        <v>0</v>
      </c>
      <c r="F85" s="655">
        <f t="shared" si="34"/>
        <v>0</v>
      </c>
      <c r="G85" s="655">
        <f t="shared" si="34"/>
        <v>0</v>
      </c>
      <c r="H85" s="655">
        <f t="shared" si="34"/>
        <v>0</v>
      </c>
      <c r="I85" s="655">
        <f t="shared" si="34"/>
        <v>0</v>
      </c>
      <c r="J85" s="655">
        <f t="shared" si="34"/>
        <v>0</v>
      </c>
      <c r="K85" s="655">
        <f t="shared" si="34"/>
        <v>0</v>
      </c>
      <c r="L85" s="655">
        <f t="shared" si="34"/>
        <v>0</v>
      </c>
      <c r="M85" s="655"/>
      <c r="N85" s="655"/>
    </row>
    <row r="86" spans="1:14" x14ac:dyDescent="0.3">
      <c r="A86" s="918" t="s">
        <v>4037</v>
      </c>
      <c r="B86" s="654">
        <v>1022967.18</v>
      </c>
      <c r="C86" s="655">
        <f t="shared" ref="C86:L86" si="35">+B57</f>
        <v>773116.14</v>
      </c>
      <c r="D86" s="655">
        <f t="shared" si="35"/>
        <v>851288.11</v>
      </c>
      <c r="E86" s="655">
        <f t="shared" si="35"/>
        <v>0</v>
      </c>
      <c r="F86" s="655">
        <f t="shared" si="35"/>
        <v>0</v>
      </c>
      <c r="G86" s="655">
        <f t="shared" si="35"/>
        <v>0</v>
      </c>
      <c r="H86" s="655">
        <f t="shared" si="35"/>
        <v>0</v>
      </c>
      <c r="I86" s="655">
        <f t="shared" si="35"/>
        <v>0</v>
      </c>
      <c r="J86" s="655">
        <f t="shared" si="35"/>
        <v>0</v>
      </c>
      <c r="K86" s="655">
        <f t="shared" si="35"/>
        <v>0</v>
      </c>
      <c r="L86" s="655">
        <f t="shared" si="35"/>
        <v>0</v>
      </c>
      <c r="M86" s="655"/>
      <c r="N86" s="655"/>
    </row>
    <row r="87" spans="1:14" x14ac:dyDescent="0.3">
      <c r="A87" s="918" t="s">
        <v>4038</v>
      </c>
      <c r="B87" s="654">
        <v>4187597.66</v>
      </c>
      <c r="C87" s="655">
        <f t="shared" ref="C87:L87" si="36">+B58</f>
        <v>4135356.31</v>
      </c>
      <c r="D87" s="655">
        <f t="shared" si="36"/>
        <v>4657091.3600000003</v>
      </c>
      <c r="E87" s="655">
        <f t="shared" si="36"/>
        <v>0</v>
      </c>
      <c r="F87" s="655">
        <f t="shared" si="36"/>
        <v>0</v>
      </c>
      <c r="G87" s="655">
        <f t="shared" si="36"/>
        <v>0</v>
      </c>
      <c r="H87" s="655">
        <f t="shared" si="36"/>
        <v>0</v>
      </c>
      <c r="I87" s="655">
        <f t="shared" si="36"/>
        <v>0</v>
      </c>
      <c r="J87" s="655">
        <f t="shared" si="36"/>
        <v>0</v>
      </c>
      <c r="K87" s="655">
        <f t="shared" si="36"/>
        <v>0</v>
      </c>
      <c r="L87" s="655">
        <f t="shared" si="36"/>
        <v>0</v>
      </c>
      <c r="M87" s="655"/>
      <c r="N87" s="655"/>
    </row>
    <row r="88" spans="1:14" x14ac:dyDescent="0.3">
      <c r="A88" s="918" t="s">
        <v>4179</v>
      </c>
      <c r="B88" s="654">
        <v>70930.399999999994</v>
      </c>
      <c r="C88" s="655">
        <f t="shared" ref="C88:L88" si="37">+B59</f>
        <v>67446</v>
      </c>
      <c r="D88" s="655">
        <f t="shared" si="37"/>
        <v>58114</v>
      </c>
      <c r="E88" s="655">
        <f t="shared" si="37"/>
        <v>0</v>
      </c>
      <c r="F88" s="655">
        <f t="shared" si="37"/>
        <v>0</v>
      </c>
      <c r="G88" s="655">
        <f t="shared" si="37"/>
        <v>0</v>
      </c>
      <c r="H88" s="655">
        <f t="shared" si="37"/>
        <v>0</v>
      </c>
      <c r="I88" s="655">
        <f t="shared" si="37"/>
        <v>0</v>
      </c>
      <c r="J88" s="655">
        <f t="shared" si="37"/>
        <v>0</v>
      </c>
      <c r="K88" s="655">
        <f t="shared" si="37"/>
        <v>0</v>
      </c>
      <c r="L88" s="655">
        <f t="shared" si="37"/>
        <v>0</v>
      </c>
      <c r="M88" s="655"/>
      <c r="N88" s="655"/>
    </row>
    <row r="89" spans="1:14" x14ac:dyDescent="0.3">
      <c r="A89" s="918" t="s">
        <v>4039</v>
      </c>
      <c r="B89" s="654">
        <v>85504.81</v>
      </c>
      <c r="C89" s="655">
        <f t="shared" ref="C89:L89" si="38">+B60</f>
        <v>60362.53</v>
      </c>
      <c r="D89" s="655">
        <f t="shared" si="38"/>
        <v>75308.91</v>
      </c>
      <c r="E89" s="655">
        <f t="shared" si="38"/>
        <v>0</v>
      </c>
      <c r="F89" s="655">
        <f t="shared" si="38"/>
        <v>0</v>
      </c>
      <c r="G89" s="655">
        <f t="shared" si="38"/>
        <v>0</v>
      </c>
      <c r="H89" s="655">
        <f t="shared" si="38"/>
        <v>0</v>
      </c>
      <c r="I89" s="655">
        <f t="shared" si="38"/>
        <v>0</v>
      </c>
      <c r="J89" s="655">
        <f t="shared" si="38"/>
        <v>0</v>
      </c>
      <c r="K89" s="655">
        <f t="shared" si="38"/>
        <v>0</v>
      </c>
      <c r="L89" s="655">
        <f t="shared" si="38"/>
        <v>0</v>
      </c>
      <c r="M89" s="655"/>
      <c r="N89" s="655"/>
    </row>
    <row r="90" spans="1:14" x14ac:dyDescent="0.3">
      <c r="A90" s="918" t="s">
        <v>4180</v>
      </c>
      <c r="B90" s="654">
        <v>1228252.22</v>
      </c>
      <c r="C90" s="655">
        <f t="shared" ref="C90:L90" si="39">+B61</f>
        <v>1045855.67</v>
      </c>
      <c r="D90" s="655">
        <f t="shared" si="39"/>
        <v>830800.89</v>
      </c>
      <c r="E90" s="655">
        <f t="shared" si="39"/>
        <v>0</v>
      </c>
      <c r="F90" s="655">
        <f t="shared" si="39"/>
        <v>0</v>
      </c>
      <c r="G90" s="655">
        <f t="shared" si="39"/>
        <v>0</v>
      </c>
      <c r="H90" s="655">
        <f t="shared" si="39"/>
        <v>0</v>
      </c>
      <c r="I90" s="655">
        <f t="shared" si="39"/>
        <v>0</v>
      </c>
      <c r="J90" s="655">
        <f t="shared" si="39"/>
        <v>0</v>
      </c>
      <c r="K90" s="655">
        <f t="shared" si="39"/>
        <v>0</v>
      </c>
      <c r="L90" s="655">
        <f t="shared" si="39"/>
        <v>0</v>
      </c>
      <c r="M90" s="655"/>
      <c r="N90" s="655"/>
    </row>
    <row r="91" spans="1:14" x14ac:dyDescent="0.3">
      <c r="A91" s="918" t="s">
        <v>4181</v>
      </c>
      <c r="B91" s="654">
        <v>318837.46999999997</v>
      </c>
      <c r="C91" s="655">
        <f t="shared" ref="C91:L91" si="40">+B62</f>
        <v>217656.97</v>
      </c>
      <c r="D91" s="655">
        <f t="shared" si="40"/>
        <v>288407.96999999997</v>
      </c>
      <c r="E91" s="655">
        <f t="shared" si="40"/>
        <v>0</v>
      </c>
      <c r="F91" s="655">
        <f t="shared" si="40"/>
        <v>0</v>
      </c>
      <c r="G91" s="655">
        <f t="shared" si="40"/>
        <v>0</v>
      </c>
      <c r="H91" s="655">
        <f t="shared" si="40"/>
        <v>0</v>
      </c>
      <c r="I91" s="655">
        <f t="shared" si="40"/>
        <v>0</v>
      </c>
      <c r="J91" s="655">
        <f t="shared" si="40"/>
        <v>0</v>
      </c>
      <c r="K91" s="655">
        <f t="shared" si="40"/>
        <v>0</v>
      </c>
      <c r="L91" s="655">
        <f t="shared" si="40"/>
        <v>0</v>
      </c>
      <c r="M91" s="655"/>
      <c r="N91" s="655"/>
    </row>
    <row r="92" spans="1:14" x14ac:dyDescent="0.3">
      <c r="A92" s="918" t="s">
        <v>4040</v>
      </c>
      <c r="B92" s="854"/>
      <c r="C92" s="655">
        <f t="shared" ref="C92:L92" si="41">+B63</f>
        <v>0</v>
      </c>
      <c r="D92" s="655">
        <f t="shared" si="41"/>
        <v>0</v>
      </c>
      <c r="E92" s="655">
        <f t="shared" si="41"/>
        <v>0</v>
      </c>
      <c r="F92" s="655">
        <f t="shared" si="41"/>
        <v>0</v>
      </c>
      <c r="G92" s="655">
        <f t="shared" si="41"/>
        <v>0</v>
      </c>
      <c r="H92" s="655">
        <f t="shared" si="41"/>
        <v>0</v>
      </c>
      <c r="I92" s="655">
        <f t="shared" si="41"/>
        <v>0</v>
      </c>
      <c r="J92" s="655">
        <f t="shared" si="41"/>
        <v>0</v>
      </c>
      <c r="K92" s="655">
        <f t="shared" si="41"/>
        <v>0</v>
      </c>
      <c r="L92" s="655">
        <f t="shared" si="41"/>
        <v>0</v>
      </c>
      <c r="M92" s="655"/>
      <c r="N92" s="655"/>
    </row>
    <row r="93" spans="1:14" s="807" customFormat="1" x14ac:dyDescent="0.3">
      <c r="A93" s="967" t="s">
        <v>347</v>
      </c>
      <c r="B93" s="968">
        <f>SUM(B85:B92)</f>
        <v>6922774.9899999993</v>
      </c>
      <c r="C93" s="968">
        <f t="shared" ref="C93:D93" si="42">SUM(C85:C92)</f>
        <v>6301062.5899999999</v>
      </c>
      <c r="D93" s="968">
        <f t="shared" si="42"/>
        <v>6761696.9699999997</v>
      </c>
      <c r="E93" s="968">
        <f t="shared" ref="E93" si="43">SUM(E85:E92)</f>
        <v>0</v>
      </c>
      <c r="F93" s="968">
        <f t="shared" ref="F93" si="44">SUM(F85:F92)</f>
        <v>0</v>
      </c>
      <c r="G93" s="968">
        <f t="shared" ref="G93" si="45">SUM(G85:G92)</f>
        <v>0</v>
      </c>
      <c r="H93" s="968">
        <f t="shared" ref="H93" si="46">SUM(H85:H92)</f>
        <v>0</v>
      </c>
      <c r="I93" s="968">
        <f t="shared" ref="I93" si="47">SUM(I85:I92)</f>
        <v>0</v>
      </c>
      <c r="J93" s="968">
        <f t="shared" ref="J93" si="48">SUM(J85:J92)</f>
        <v>0</v>
      </c>
      <c r="K93" s="968">
        <f t="shared" ref="K93" si="49">SUM(K85:K92)</f>
        <v>0</v>
      </c>
      <c r="L93" s="968">
        <f t="shared" ref="L93" si="50">SUM(L85:L92)</f>
        <v>0</v>
      </c>
      <c r="M93" s="968">
        <f t="shared" ref="M93" si="51">SUM(M85:M92)</f>
        <v>0</v>
      </c>
      <c r="N93" s="846"/>
    </row>
    <row r="94" spans="1:14" x14ac:dyDescent="0.3">
      <c r="A94" s="802" t="s">
        <v>4207</v>
      </c>
      <c r="B94" s="848"/>
      <c r="C94" s="655"/>
      <c r="D94" s="655"/>
      <c r="E94" s="655"/>
      <c r="F94" s="655"/>
      <c r="G94" s="655"/>
      <c r="H94" s="655"/>
      <c r="I94" s="655"/>
      <c r="J94" s="655"/>
      <c r="K94" s="655"/>
      <c r="L94" s="655"/>
      <c r="M94" s="655"/>
      <c r="N94" s="655"/>
    </row>
    <row r="95" spans="1:14" x14ac:dyDescent="0.3">
      <c r="A95" s="916" t="s">
        <v>4116</v>
      </c>
      <c r="B95" s="851">
        <f>SUMIFS(PURCHASE!$K$6:$K$10000,PURCHASE!$S$6:$S$10000,$A$95:$A$322,PURCHASE!$A$6:$A$10000,B3)</f>
        <v>0</v>
      </c>
      <c r="C95" s="851">
        <f>SUMIFS(PURCHASE!$K$6:$K$10000,PURCHASE!$S$6:$S$10000,$A$95:$A$322,PURCHASE!$A$6:$A$10000,C3)</f>
        <v>0</v>
      </c>
      <c r="D95" s="851">
        <f>SUMIFS(PURCHASE!$K$6:$K$10000,PURCHASE!$S$6:$S$10000,$A$95:$A$322,PURCHASE!$A$6:$A$10000,D3)</f>
        <v>0</v>
      </c>
      <c r="E95" s="851">
        <f>SUMIFS(PURCHASE!$K$6:$K$10000,PURCHASE!$S$6:$S$10000,$A$95:$A$322,PURCHASE!$A$6:$A$10000,E3)</f>
        <v>0</v>
      </c>
      <c r="F95" s="851">
        <f>SUMIFS(PURCHASE!$K$6:$K$10000,PURCHASE!$S$6:$S$10000,$A$95:$A$322,PURCHASE!$A$6:$A$10000,F3)</f>
        <v>0</v>
      </c>
      <c r="G95" s="851">
        <f>SUMIFS(PURCHASE!$K$6:$K$10000,PURCHASE!$S$6:$S$10000,$A$95:$A$322,PURCHASE!$A$6:$A$10000,G3)</f>
        <v>0</v>
      </c>
      <c r="H95" s="851">
        <f>SUMIFS(PURCHASE!$K$6:$K$10000,PURCHASE!$S$6:$S$10000,$A$95:$A$322,PURCHASE!$A$6:$A$10000,H3)</f>
        <v>0</v>
      </c>
      <c r="I95" s="851">
        <f>SUMIFS(PURCHASE!$K$6:$K$10000,PURCHASE!$S$6:$S$10000,$A$95:$A$322,PURCHASE!$A$6:$A$10000,I3)</f>
        <v>0</v>
      </c>
      <c r="J95" s="851">
        <f>SUMIFS(PURCHASE!$K$6:$K$10000,PURCHASE!$S$6:$S$10000,$A$95:$A$322,PURCHASE!$A$6:$A$10000,J3)</f>
        <v>0</v>
      </c>
      <c r="K95" s="851">
        <f>SUMIFS(PURCHASE!$K$6:$K$10000,PURCHASE!$S$6:$S$10000,$A$95:$A$322,PURCHASE!$A$6:$A$10000,K3)</f>
        <v>0</v>
      </c>
      <c r="L95" s="851">
        <f>SUMIFS(PURCHASE!$K$6:$K$10000,PURCHASE!$S$6:$S$10000,$A$95:$A$322,PURCHASE!$A$6:$A$10000,L3)</f>
        <v>0</v>
      </c>
      <c r="M95" s="851">
        <f>SUMIFS(PURCHASE!$K$6:$K$10000,PURCHASE!$S$6:$S$10000,$A$95:$A$322,PURCHASE!$A$6:$A$10000,M3)</f>
        <v>0</v>
      </c>
      <c r="N95" s="655"/>
    </row>
    <row r="96" spans="1:14" x14ac:dyDescent="0.3">
      <c r="A96" s="916" t="s">
        <v>4117</v>
      </c>
      <c r="B96" s="851">
        <f>SUMIFS(PURCHASE!$K$6:$K$10000,PURCHASE!$S$6:$S$10000,$A$95:$A$322,PURCHASE!$A$6:$A$10000,B3)</f>
        <v>0</v>
      </c>
      <c r="C96" s="851">
        <f>SUMIFS(PURCHASE!$K$6:$K$10000,PURCHASE!$S$6:$S$10000,$A$95:$A$322,PURCHASE!$A$6:$A$10000,C3)</f>
        <v>0</v>
      </c>
      <c r="D96" s="851">
        <f>SUMIFS(PURCHASE!$K$6:$K$10000,PURCHASE!$S$6:$S$10000,$A$95:$A$322,PURCHASE!$A$6:$A$10000,D3)</f>
        <v>0</v>
      </c>
      <c r="E96" s="851">
        <f>SUMIFS(PURCHASE!$K$6:$K$10000,PURCHASE!$S$6:$S$10000,$A$95:$A$322,PURCHASE!$A$6:$A$10000,E3)</f>
        <v>0</v>
      </c>
      <c r="F96" s="851">
        <f>SUMIFS(PURCHASE!$K$6:$K$10000,PURCHASE!$S$6:$S$10000,$A$95:$A$322,PURCHASE!$A$6:$A$10000,F3)</f>
        <v>0</v>
      </c>
      <c r="G96" s="851">
        <f>SUMIFS(PURCHASE!$K$6:$K$10000,PURCHASE!$S$6:$S$10000,$A$95:$A$322,PURCHASE!$A$6:$A$10000,G3)</f>
        <v>0</v>
      </c>
      <c r="H96" s="851">
        <f>SUMIFS(PURCHASE!$K$6:$K$10000,PURCHASE!$S$6:$S$10000,$A$95:$A$322,PURCHASE!$A$6:$A$10000,H3)</f>
        <v>0</v>
      </c>
      <c r="I96" s="851">
        <f>SUMIFS(PURCHASE!$K$6:$K$10000,PURCHASE!$S$6:$S$10000,$A$95:$A$322,PURCHASE!$A$6:$A$10000,I3)</f>
        <v>0</v>
      </c>
      <c r="J96" s="851">
        <f>SUMIFS(PURCHASE!$K$6:$K$10000,PURCHASE!$S$6:$S$10000,$A$95:$A$322,PURCHASE!$A$6:$A$10000,J3)</f>
        <v>0</v>
      </c>
      <c r="K96" s="851">
        <f>SUMIFS(PURCHASE!$K$6:$K$10000,PURCHASE!$S$6:$S$10000,$A$95:$A$322,PURCHASE!$A$6:$A$10000,K3)</f>
        <v>0</v>
      </c>
      <c r="L96" s="851">
        <f>SUMIFS(PURCHASE!$K$6:$K$10000,PURCHASE!$S$6:$S$10000,$A$95:$A$322,PURCHASE!$A$6:$A$10000,L3)</f>
        <v>0</v>
      </c>
      <c r="M96" s="851">
        <f>SUMIFS(PURCHASE!$K$6:$K$10000,PURCHASE!$S$6:$S$10000,$A$95:$A$322,PURCHASE!$A$6:$A$10000,M3)</f>
        <v>0</v>
      </c>
      <c r="N96" s="655"/>
    </row>
    <row r="97" spans="1:14" x14ac:dyDescent="0.3">
      <c r="A97" s="916" t="s">
        <v>4118</v>
      </c>
      <c r="B97" s="851">
        <f>SUMIFS(PURCHASE!$K$6:$K$10000,PURCHASE!$S$6:$S$10000,$A$95:$A$322,PURCHASE!$A$6:$A$10000,B3)</f>
        <v>0</v>
      </c>
      <c r="C97" s="851">
        <f>SUMIFS(PURCHASE!$K$6:$K$10000,PURCHASE!$S$6:$S$10000,$A$95:$A$322,PURCHASE!$A$6:$A$10000,C3)</f>
        <v>0</v>
      </c>
      <c r="D97" s="851">
        <f>SUMIFS(PURCHASE!$K$6:$K$10000,PURCHASE!$S$6:$S$10000,$A$95:$A$322,PURCHASE!$A$6:$A$10000,D3)</f>
        <v>0</v>
      </c>
      <c r="E97" s="851">
        <f>SUMIFS(PURCHASE!$K$6:$K$10000,PURCHASE!$S$6:$S$10000,$A$95:$A$322,PURCHASE!$A$6:$A$10000,E3)</f>
        <v>0</v>
      </c>
      <c r="F97" s="851">
        <f>SUMIFS(PURCHASE!$K$6:$K$10000,PURCHASE!$S$6:$S$10000,$A$95:$A$322,PURCHASE!$A$6:$A$10000,F3)</f>
        <v>0</v>
      </c>
      <c r="G97" s="851">
        <f>SUMIFS(PURCHASE!$K$6:$K$10000,PURCHASE!$S$6:$S$10000,$A$95:$A$322,PURCHASE!$A$6:$A$10000,G3)</f>
        <v>0</v>
      </c>
      <c r="H97" s="851">
        <f>SUMIFS(PURCHASE!$K$6:$K$10000,PURCHASE!$S$6:$S$10000,$A$95:$A$322,PURCHASE!$A$6:$A$10000,H3)</f>
        <v>0</v>
      </c>
      <c r="I97" s="851">
        <f>SUMIFS(PURCHASE!$K$6:$K$10000,PURCHASE!$S$6:$S$10000,$A$95:$A$322,PURCHASE!$A$6:$A$10000,I3)</f>
        <v>0</v>
      </c>
      <c r="J97" s="851">
        <f>SUMIFS(PURCHASE!$K$6:$K$10000,PURCHASE!$S$6:$S$10000,$A$95:$A$322,PURCHASE!$A$6:$A$10000,J3)</f>
        <v>0</v>
      </c>
      <c r="K97" s="851">
        <f>SUMIFS(PURCHASE!$K$6:$K$10000,PURCHASE!$S$6:$S$10000,$A$95:$A$322,PURCHASE!$A$6:$A$10000,K3)</f>
        <v>0</v>
      </c>
      <c r="L97" s="851">
        <f>SUMIFS(PURCHASE!$K$6:$K$10000,PURCHASE!$S$6:$S$10000,$A$95:$A$322,PURCHASE!$A$6:$A$10000,L3)</f>
        <v>0</v>
      </c>
      <c r="M97" s="851">
        <f>SUMIFS(PURCHASE!$K$6:$K$10000,PURCHASE!$S$6:$S$10000,$A$95:$A$322,PURCHASE!$A$6:$A$10000,M3)</f>
        <v>0</v>
      </c>
      <c r="N97" s="655"/>
    </row>
    <row r="98" spans="1:14" x14ac:dyDescent="0.3">
      <c r="A98" s="916" t="s">
        <v>4120</v>
      </c>
      <c r="B98" s="851">
        <f>SUMIFS(PURCHASE!$K$6:$K$10000,PURCHASE!$S$6:$S$10000,$A$95:$A$322,PURCHASE!$A$6:$A$10000,B3)</f>
        <v>2261436.9000000008</v>
      </c>
      <c r="C98" s="851">
        <f>SUMIFS(PURCHASE!$K$6:$K$10000,PURCHASE!$S$6:$S$10000,$A$95:$A$322,PURCHASE!$A$6:$A$10000,C3)</f>
        <v>4578392.66</v>
      </c>
      <c r="D98" s="851">
        <f>SUMIFS(PURCHASE!$K$6:$K$10000,PURCHASE!$S$6:$S$10000,$A$95:$A$322,PURCHASE!$A$6:$A$10000,D3)</f>
        <v>4588910.5799999963</v>
      </c>
      <c r="E98" s="851">
        <f>SUMIFS(PURCHASE!$K$6:$K$10000,PURCHASE!$S$6:$S$10000,$A$95:$A$322,PURCHASE!$A$6:$A$10000,E3)</f>
        <v>6361852.5599999903</v>
      </c>
      <c r="F98" s="851">
        <f>SUMIFS(PURCHASE!$K$6:$K$10000,PURCHASE!$S$6:$S$10000,$A$95:$A$322,PURCHASE!$A$6:$A$10000,F3)</f>
        <v>4345100.6499999994</v>
      </c>
      <c r="G98" s="851">
        <f>SUMIFS(PURCHASE!$K$6:$K$10000,PURCHASE!$S$6:$S$10000,$A$95:$A$322,PURCHASE!$A$6:$A$10000,G3)</f>
        <v>3805335.2199999997</v>
      </c>
      <c r="H98" s="851">
        <f>SUMIFS(PURCHASE!$K$6:$K$10000,PURCHASE!$S$6:$S$10000,$A$95:$A$322,PURCHASE!$A$6:$A$10000,H3)</f>
        <v>4586814.9399999995</v>
      </c>
      <c r="I98" s="851">
        <f>SUMIFS(PURCHASE!$K$6:$K$10000,PURCHASE!$S$6:$S$10000,$A$95:$A$322,PURCHASE!$A$6:$A$10000,I3)</f>
        <v>3365250.7699999991</v>
      </c>
      <c r="J98" s="851">
        <f>SUMIFS(PURCHASE!$K$6:$K$10000,PURCHASE!$S$6:$S$10000,$A$95:$A$322,PURCHASE!$A$6:$A$10000,J3)</f>
        <v>6658221.0299999984</v>
      </c>
      <c r="K98" s="851">
        <f>SUMIFS(PURCHASE!$K$6:$K$10000,PURCHASE!$S$6:$S$10000,$A$95:$A$322,PURCHASE!$A$6:$A$10000,K3)</f>
        <v>3109375.1399999992</v>
      </c>
      <c r="L98" s="851">
        <f>SUMIFS(PURCHASE!$K$6:$K$10000,PURCHASE!$S$6:$S$10000,$A$95:$A$322,PURCHASE!$A$6:$A$10000,L3)</f>
        <v>0</v>
      </c>
      <c r="M98" s="851">
        <f>SUMIFS(PURCHASE!$K$6:$K$10000,PURCHASE!$S$6:$S$10000,$A$95:$A$322,PURCHASE!$A$6:$A$10000,M3)</f>
        <v>0</v>
      </c>
      <c r="N98" s="655"/>
    </row>
    <row r="99" spans="1:14" x14ac:dyDescent="0.3">
      <c r="A99" s="916" t="s">
        <v>4121</v>
      </c>
      <c r="B99" s="851">
        <f>SUMIFS(PURCHASE!$K$6:$K$10000,PURCHASE!$S$6:$S$10000,$A$95:$A$322,PURCHASE!$A$6:$A$10000,B3)</f>
        <v>0</v>
      </c>
      <c r="C99" s="851">
        <f>SUMIFS(PURCHASE!$K$6:$K$10000,PURCHASE!$S$6:$S$10000,$A$95:$A$322,PURCHASE!$A$6:$A$10000,C3)</f>
        <v>0</v>
      </c>
      <c r="D99" s="851">
        <f>SUMIFS(PURCHASE!$K$6:$K$10000,PURCHASE!$S$6:$S$10000,$A$95:$A$322,PURCHASE!$A$6:$A$10000,D3)</f>
        <v>0</v>
      </c>
      <c r="E99" s="851">
        <f>SUMIFS(PURCHASE!$K$6:$K$10000,PURCHASE!$S$6:$S$10000,$A$95:$A$322,PURCHASE!$A$6:$A$10000,E3)</f>
        <v>0</v>
      </c>
      <c r="F99" s="851">
        <f>SUMIFS(PURCHASE!$K$6:$K$10000,PURCHASE!$S$6:$S$10000,$A$95:$A$322,PURCHASE!$A$6:$A$10000,F3)</f>
        <v>0</v>
      </c>
      <c r="G99" s="851">
        <f>SUMIFS(PURCHASE!$K$6:$K$10000,PURCHASE!$S$6:$S$10000,$A$95:$A$322,PURCHASE!$A$6:$A$10000,G3)</f>
        <v>0</v>
      </c>
      <c r="H99" s="851">
        <f>SUMIFS(PURCHASE!$K$6:$K$10000,PURCHASE!$S$6:$S$10000,$A$95:$A$322,PURCHASE!$A$6:$A$10000,H3)</f>
        <v>0</v>
      </c>
      <c r="I99" s="851">
        <f>SUMIFS(PURCHASE!$K$6:$K$10000,PURCHASE!$S$6:$S$10000,$A$95:$A$322,PURCHASE!$A$6:$A$10000,I3)</f>
        <v>0</v>
      </c>
      <c r="J99" s="851">
        <f>SUMIFS(PURCHASE!$K$6:$K$10000,PURCHASE!$S$6:$S$10000,$A$95:$A$322,PURCHASE!$A$6:$A$10000,J3)</f>
        <v>0</v>
      </c>
      <c r="K99" s="851">
        <f>SUMIFS(PURCHASE!$K$6:$K$10000,PURCHASE!$S$6:$S$10000,$A$95:$A$322,PURCHASE!$A$6:$A$10000,K3)</f>
        <v>0</v>
      </c>
      <c r="L99" s="851">
        <f>SUMIFS(PURCHASE!$K$6:$K$10000,PURCHASE!$S$6:$S$10000,$A$95:$A$322,PURCHASE!$A$6:$A$10000,L3)</f>
        <v>0</v>
      </c>
      <c r="M99" s="851">
        <f>SUMIFS(PURCHASE!$K$6:$K$10000,PURCHASE!$S$6:$S$10000,$A$95:$A$322,PURCHASE!$A$6:$A$10000,M3)</f>
        <v>0</v>
      </c>
      <c r="N99" s="655"/>
    </row>
    <row r="100" spans="1:14" x14ac:dyDescent="0.3">
      <c r="A100" s="916" t="s">
        <v>4184</v>
      </c>
      <c r="B100" s="851">
        <f>SUMIFS(PURCHASE!$K$6:$K$10000,PURCHASE!$S$6:$S$10000,$A$95:$A$322,PURCHASE!$A$6:$A$10000,B3)</f>
        <v>0</v>
      </c>
      <c r="C100" s="851">
        <f>SUMIFS(PURCHASE!$K$6:$K$10000,PURCHASE!$S$6:$S$10000,$A$95:$A$322,PURCHASE!$A$6:$A$10000,C3)</f>
        <v>0</v>
      </c>
      <c r="D100" s="851">
        <f>SUMIFS(PURCHASE!$K$6:$K$10000,PURCHASE!$S$6:$S$10000,$A$95:$A$322,PURCHASE!$A$6:$A$10000,D3)</f>
        <v>0</v>
      </c>
      <c r="E100" s="851">
        <f>SUMIFS(PURCHASE!$K$6:$K$10000,PURCHASE!$S$6:$S$10000,$A$95:$A$322,PURCHASE!$A$6:$A$10000,E3)</f>
        <v>0</v>
      </c>
      <c r="F100" s="851">
        <f>SUMIFS(PURCHASE!$K$6:$K$10000,PURCHASE!$S$6:$S$10000,$A$95:$A$322,PURCHASE!$A$6:$A$10000,F3)</f>
        <v>0</v>
      </c>
      <c r="G100" s="851">
        <f>SUMIFS(PURCHASE!$K$6:$K$10000,PURCHASE!$S$6:$S$10000,$A$95:$A$322,PURCHASE!$A$6:$A$10000,G3)</f>
        <v>0</v>
      </c>
      <c r="H100" s="851">
        <f>SUMIFS(PURCHASE!$K$6:$K$10000,PURCHASE!$S$6:$S$10000,$A$95:$A$322,PURCHASE!$A$6:$A$10000,H3)</f>
        <v>0</v>
      </c>
      <c r="I100" s="851">
        <f>SUMIFS(PURCHASE!$K$6:$K$10000,PURCHASE!$S$6:$S$10000,$A$95:$A$322,PURCHASE!$A$6:$A$10000,I3)</f>
        <v>0</v>
      </c>
      <c r="J100" s="851">
        <f>SUMIFS(PURCHASE!$K$6:$K$10000,PURCHASE!$S$6:$S$10000,$A$95:$A$322,PURCHASE!$A$6:$A$10000,J3)</f>
        <v>0</v>
      </c>
      <c r="K100" s="851">
        <f>SUMIFS(PURCHASE!$K$6:$K$10000,PURCHASE!$S$6:$S$10000,$A$95:$A$322,PURCHASE!$A$6:$A$10000,K3)</f>
        <v>0</v>
      </c>
      <c r="L100" s="851">
        <f>SUMIFS(PURCHASE!$K$6:$K$10000,PURCHASE!$S$6:$S$10000,$A$95:$A$322,PURCHASE!$A$6:$A$10000,L3)</f>
        <v>0</v>
      </c>
      <c r="M100" s="851">
        <f>SUMIFS(PURCHASE!$K$6:$K$10000,PURCHASE!$S$6:$S$10000,$A$95:$A$322,PURCHASE!$A$6:$A$10000,M3)</f>
        <v>0</v>
      </c>
      <c r="N100" s="655"/>
    </row>
    <row r="101" spans="1:14" x14ac:dyDescent="0.3">
      <c r="A101" s="916" t="s">
        <v>4122</v>
      </c>
      <c r="B101" s="851">
        <f>SUMIFS(PURCHASE!$K$6:$K$10000,PURCHASE!$S$6:$S$10000,$A$95:$A$322,PURCHASE!$A$6:$A$10000,B3)</f>
        <v>0</v>
      </c>
      <c r="C101" s="851">
        <f>SUMIFS(PURCHASE!$K$6:$K$10000,PURCHASE!$S$6:$S$10000,$A$95:$A$322,PURCHASE!$A$6:$A$10000,C3)</f>
        <v>0</v>
      </c>
      <c r="D101" s="851">
        <f>SUMIFS(PURCHASE!$K$6:$K$10000,PURCHASE!$S$6:$S$10000,$A$95:$A$322,PURCHASE!$A$6:$A$10000,D3)</f>
        <v>0</v>
      </c>
      <c r="E101" s="851">
        <f>SUMIFS(PURCHASE!$K$6:$K$10000,PURCHASE!$S$6:$S$10000,$A$95:$A$322,PURCHASE!$A$6:$A$10000,E3)</f>
        <v>0</v>
      </c>
      <c r="F101" s="851">
        <f>SUMIFS(PURCHASE!$K$6:$K$10000,PURCHASE!$S$6:$S$10000,$A$95:$A$322,PURCHASE!$A$6:$A$10000,F3)</f>
        <v>0</v>
      </c>
      <c r="G101" s="851">
        <f>SUMIFS(PURCHASE!$K$6:$K$10000,PURCHASE!$S$6:$S$10000,$A$95:$A$322,PURCHASE!$A$6:$A$10000,G3)</f>
        <v>0</v>
      </c>
      <c r="H101" s="851">
        <f>SUMIFS(PURCHASE!$K$6:$K$10000,PURCHASE!$S$6:$S$10000,$A$95:$A$322,PURCHASE!$A$6:$A$10000,H3)</f>
        <v>0</v>
      </c>
      <c r="I101" s="851">
        <f>SUMIFS(PURCHASE!$K$6:$K$10000,PURCHASE!$S$6:$S$10000,$A$95:$A$322,PURCHASE!$A$6:$A$10000,I3)</f>
        <v>0</v>
      </c>
      <c r="J101" s="851">
        <f>SUMIFS(PURCHASE!$K$6:$K$10000,PURCHASE!$S$6:$S$10000,$A$95:$A$322,PURCHASE!$A$6:$A$10000,J3)</f>
        <v>0</v>
      </c>
      <c r="K101" s="851">
        <f>SUMIFS(PURCHASE!$K$6:$K$10000,PURCHASE!$S$6:$S$10000,$A$95:$A$322,PURCHASE!$A$6:$A$10000,K3)</f>
        <v>0</v>
      </c>
      <c r="L101" s="851">
        <f>SUMIFS(PURCHASE!$K$6:$K$10000,PURCHASE!$S$6:$S$10000,$A$95:$A$322,PURCHASE!$A$6:$A$10000,L3)</f>
        <v>0</v>
      </c>
      <c r="M101" s="851">
        <f>SUMIFS(PURCHASE!$K$6:$K$10000,PURCHASE!$S$6:$S$10000,$A$95:$A$322,PURCHASE!$A$6:$A$10000,M3)</f>
        <v>0</v>
      </c>
      <c r="N101" s="655"/>
    </row>
    <row r="102" spans="1:14" x14ac:dyDescent="0.3">
      <c r="A102" s="916"/>
      <c r="B102" s="851"/>
      <c r="C102" s="851"/>
      <c r="D102" s="851"/>
      <c r="E102" s="851"/>
      <c r="F102" s="851"/>
      <c r="G102" s="851"/>
      <c r="H102" s="851"/>
      <c r="I102" s="851"/>
      <c r="J102" s="851"/>
      <c r="K102" s="851"/>
      <c r="L102" s="851"/>
      <c r="M102" s="851"/>
      <c r="N102" s="655"/>
    </row>
    <row r="103" spans="1:14" x14ac:dyDescent="0.3">
      <c r="A103" s="916"/>
      <c r="B103" s="851"/>
      <c r="C103" s="851"/>
      <c r="D103" s="851"/>
      <c r="E103" s="851"/>
      <c r="F103" s="851"/>
      <c r="G103" s="851"/>
      <c r="H103" s="851"/>
      <c r="I103" s="851"/>
      <c r="J103" s="851"/>
      <c r="K103" s="851"/>
      <c r="L103" s="851"/>
      <c r="M103" s="851"/>
      <c r="N103" s="655"/>
    </row>
    <row r="104" spans="1:14" s="807" customFormat="1" x14ac:dyDescent="0.3">
      <c r="A104" s="967" t="s">
        <v>347</v>
      </c>
      <c r="B104" s="968">
        <f>SUM(B95:B103)</f>
        <v>2261436.9000000008</v>
      </c>
      <c r="C104" s="968">
        <f t="shared" ref="C104:M104" si="52">SUM(C95:C103)</f>
        <v>4578392.66</v>
      </c>
      <c r="D104" s="968">
        <f t="shared" si="52"/>
        <v>4588910.5799999963</v>
      </c>
      <c r="E104" s="968">
        <f t="shared" si="52"/>
        <v>6361852.5599999903</v>
      </c>
      <c r="F104" s="968">
        <f t="shared" si="52"/>
        <v>4345100.6499999994</v>
      </c>
      <c r="G104" s="968">
        <f t="shared" si="52"/>
        <v>3805335.2199999997</v>
      </c>
      <c r="H104" s="968">
        <f t="shared" si="52"/>
        <v>4586814.9399999995</v>
      </c>
      <c r="I104" s="968">
        <f t="shared" si="52"/>
        <v>3365250.7699999991</v>
      </c>
      <c r="J104" s="968">
        <f t="shared" si="52"/>
        <v>6658221.0299999984</v>
      </c>
      <c r="K104" s="968">
        <f t="shared" si="52"/>
        <v>3109375.1399999992</v>
      </c>
      <c r="L104" s="968">
        <f t="shared" si="52"/>
        <v>0</v>
      </c>
      <c r="M104" s="968">
        <f t="shared" si="52"/>
        <v>0</v>
      </c>
      <c r="N104" s="846"/>
    </row>
    <row r="105" spans="1:14" x14ac:dyDescent="0.3">
      <c r="A105" s="802" t="s">
        <v>4208</v>
      </c>
      <c r="B105" s="851"/>
      <c r="C105" s="654"/>
      <c r="D105" s="655"/>
      <c r="E105" s="655"/>
      <c r="F105" s="655"/>
      <c r="G105" s="655"/>
      <c r="H105" s="655"/>
      <c r="I105" s="655"/>
      <c r="J105" s="655"/>
      <c r="K105" s="655"/>
      <c r="L105" s="655"/>
      <c r="M105" s="655"/>
      <c r="N105" s="655"/>
    </row>
    <row r="106" spans="1:14" x14ac:dyDescent="0.3">
      <c r="A106" s="916" t="s">
        <v>4041</v>
      </c>
      <c r="B106" s="851">
        <f>SUMIFS(PURCHASE!$K$6:$K$10000,PURCHASE!$S$6:$S$10000,$A$95:$A$322,PURCHASE!$A$6:$A$10000,B3)</f>
        <v>0</v>
      </c>
      <c r="C106" s="851">
        <f>SUMIFS(PURCHASE!$K$6:$K$10000,PURCHASE!$S$6:$S$10000,$A$95:$A$322,PURCHASE!$A$6:$A$10000,C3)</f>
        <v>0</v>
      </c>
      <c r="D106" s="851">
        <f>SUMIFS(PURCHASE!$K$6:$K$10000,PURCHASE!$S$6:$S$10000,$A$95:$A$322,PURCHASE!$A$6:$A$10000,D3)</f>
        <v>0</v>
      </c>
      <c r="E106" s="851">
        <f>SUMIFS(PURCHASE!$K$6:$K$10000,PURCHASE!$S$6:$S$10000,$A$95:$A$322,PURCHASE!$A$6:$A$10000,E3)</f>
        <v>0</v>
      </c>
      <c r="F106" s="851">
        <f>SUMIFS(PURCHASE!$K$6:$K$10000,PURCHASE!$S$6:$S$10000,$A$95:$A$322,PURCHASE!$A$6:$A$10000,F3)</f>
        <v>0</v>
      </c>
      <c r="G106" s="851">
        <f>SUMIFS(PURCHASE!$K$6:$K$10000,PURCHASE!$S$6:$S$10000,$A$95:$A$322,PURCHASE!$A$6:$A$10000,G3)</f>
        <v>0</v>
      </c>
      <c r="H106" s="851">
        <f>SUMIFS(PURCHASE!$K$6:$K$10000,PURCHASE!$S$6:$S$10000,$A$95:$A$322,PURCHASE!$A$6:$A$10000,H3)</f>
        <v>0</v>
      </c>
      <c r="I106" s="851">
        <f>SUMIFS(PURCHASE!$K$6:$K$10000,PURCHASE!$S$6:$S$10000,$A$95:$A$322,PURCHASE!$A$6:$A$10000,I3)</f>
        <v>0</v>
      </c>
      <c r="J106" s="851">
        <f>SUMIFS(PURCHASE!$K$6:$K$10000,PURCHASE!$S$6:$S$10000,$A$95:$A$322,PURCHASE!$A$6:$A$10000,J3)</f>
        <v>0</v>
      </c>
      <c r="K106" s="851">
        <f>SUMIFS(PURCHASE!$K$6:$K$10000,PURCHASE!$S$6:$S$10000,$A$95:$A$322,PURCHASE!$A$6:$A$10000,K3)</f>
        <v>0</v>
      </c>
      <c r="L106" s="851">
        <f>SUMIFS(PURCHASE!$K$6:$K$10000,PURCHASE!$S$6:$S$10000,$A$95:$A$322,PURCHASE!$A$6:$A$10000,L3)</f>
        <v>0</v>
      </c>
      <c r="M106" s="851">
        <f>SUMIFS(PURCHASE!$K$6:$K$10000,PURCHASE!$S$6:$S$10000,$A$95:$A$322,PURCHASE!$A$6:$A$10000,M3)</f>
        <v>0</v>
      </c>
      <c r="N106" s="655"/>
    </row>
    <row r="107" spans="1:14" x14ac:dyDescent="0.3">
      <c r="A107" s="916" t="s">
        <v>4119</v>
      </c>
      <c r="B107" s="851">
        <f>SUMIFS(PURCHASE!$K$6:$K$10000,PURCHASE!$S$6:$S$10000,$A$95:$A$322,PURCHASE!$A$6:$A$10000,B3)</f>
        <v>0</v>
      </c>
      <c r="C107" s="851">
        <f>SUMIFS(PURCHASE!$K$6:$K$10000,PURCHASE!$S$6:$S$10000,$A$95:$A$322,PURCHASE!$A$6:$A$10000,C3)</f>
        <v>0</v>
      </c>
      <c r="D107" s="851">
        <f>SUMIFS(PURCHASE!$K$6:$K$10000,PURCHASE!$S$6:$S$10000,$A$95:$A$322,PURCHASE!$A$6:$A$10000,D3)</f>
        <v>0</v>
      </c>
      <c r="E107" s="851">
        <f>SUMIFS(PURCHASE!$K$6:$K$10000,PURCHASE!$S$6:$S$10000,$A$95:$A$322,PURCHASE!$A$6:$A$10000,E3)</f>
        <v>0</v>
      </c>
      <c r="F107" s="851">
        <f>SUMIFS(PURCHASE!$K$6:$K$10000,PURCHASE!$S$6:$S$10000,$A$95:$A$322,PURCHASE!$A$6:$A$10000,F3)</f>
        <v>0</v>
      </c>
      <c r="G107" s="851">
        <f>SUMIFS(PURCHASE!$K$6:$K$10000,PURCHASE!$S$6:$S$10000,$A$95:$A$322,PURCHASE!$A$6:$A$10000,G3)</f>
        <v>0</v>
      </c>
      <c r="H107" s="851">
        <f>SUMIFS(PURCHASE!$K$6:$K$10000,PURCHASE!$S$6:$S$10000,$A$95:$A$322,PURCHASE!$A$6:$A$10000,H3)</f>
        <v>0</v>
      </c>
      <c r="I107" s="851">
        <f>SUMIFS(PURCHASE!$K$6:$K$10000,PURCHASE!$S$6:$S$10000,$A$95:$A$322,PURCHASE!$A$6:$A$10000,I3)</f>
        <v>0</v>
      </c>
      <c r="J107" s="851">
        <f>SUMIFS(PURCHASE!$K$6:$K$10000,PURCHASE!$S$6:$S$10000,$A$95:$A$322,PURCHASE!$A$6:$A$10000,J3)</f>
        <v>0</v>
      </c>
      <c r="K107" s="851">
        <f>SUMIFS(PURCHASE!$K$6:$K$10000,PURCHASE!$S$6:$S$10000,$A$95:$A$322,PURCHASE!$A$6:$A$10000,K3)</f>
        <v>600</v>
      </c>
      <c r="L107" s="851">
        <f>SUMIFS(PURCHASE!$K$6:$K$10000,PURCHASE!$S$6:$S$10000,$A$95:$A$322,PURCHASE!$A$6:$A$10000,L3)</f>
        <v>0</v>
      </c>
      <c r="M107" s="851">
        <f>SUMIFS(PURCHASE!$K$6:$K$10000,PURCHASE!$S$6:$S$10000,$A$95:$A$322,PURCHASE!$A$6:$A$10000,M3)</f>
        <v>0</v>
      </c>
      <c r="N107" s="655"/>
    </row>
    <row r="108" spans="1:14" x14ac:dyDescent="0.3">
      <c r="A108" s="916" t="s">
        <v>4183</v>
      </c>
      <c r="B108" s="851">
        <f>SUMIFS(PURCHASE!$K$6:$K$10000,PURCHASE!$S$6:$S$10000,$A$95:$A$322,PURCHASE!$A$6:$A$10000,B3)</f>
        <v>0</v>
      </c>
      <c r="C108" s="851">
        <f>SUMIFS(PURCHASE!$K$6:$K$10000,PURCHASE!$S$6:$S$10000,$A$95:$A$322,PURCHASE!$A$6:$A$10000,C3)</f>
        <v>0</v>
      </c>
      <c r="D108" s="851">
        <f>SUMIFS(PURCHASE!$K$6:$K$10000,PURCHASE!$S$6:$S$10000,$A$95:$A$322,PURCHASE!$A$6:$A$10000,D3)</f>
        <v>0</v>
      </c>
      <c r="E108" s="851">
        <f>SUMIFS(PURCHASE!$K$6:$K$10000,PURCHASE!$S$6:$S$10000,$A$95:$A$322,PURCHASE!$A$6:$A$10000,E3)</f>
        <v>0</v>
      </c>
      <c r="F108" s="851">
        <f>SUMIFS(PURCHASE!$K$6:$K$10000,PURCHASE!$S$6:$S$10000,$A$95:$A$322,PURCHASE!$A$6:$A$10000,F3)</f>
        <v>0</v>
      </c>
      <c r="G108" s="851">
        <f>SUMIFS(PURCHASE!$K$6:$K$10000,PURCHASE!$S$6:$S$10000,$A$95:$A$322,PURCHASE!$A$6:$A$10000,G3)</f>
        <v>0</v>
      </c>
      <c r="H108" s="851">
        <f>SUMIFS(PURCHASE!$K$6:$K$10000,PURCHASE!$S$6:$S$10000,$A$95:$A$322,PURCHASE!$A$6:$A$10000,H3)</f>
        <v>0</v>
      </c>
      <c r="I108" s="851">
        <f>SUMIFS(PURCHASE!$K$6:$K$10000,PURCHASE!$S$6:$S$10000,$A$95:$A$322,PURCHASE!$A$6:$A$10000,I3)</f>
        <v>0</v>
      </c>
      <c r="J108" s="851">
        <f>SUMIFS(PURCHASE!$K$6:$K$10000,PURCHASE!$S$6:$S$10000,$A$95:$A$322,PURCHASE!$A$6:$A$10000,J3)</f>
        <v>0</v>
      </c>
      <c r="K108" s="851">
        <f>SUMIFS(PURCHASE!$K$6:$K$10000,PURCHASE!$S$6:$S$10000,$A$95:$A$322,PURCHASE!$A$6:$A$10000,K3)</f>
        <v>0</v>
      </c>
      <c r="L108" s="851">
        <f>SUMIFS(PURCHASE!$K$6:$K$10000,PURCHASE!$S$6:$S$10000,$A$95:$A$322,PURCHASE!$A$6:$A$10000,L3)</f>
        <v>0</v>
      </c>
      <c r="M108" s="851">
        <f>SUMIFS(PURCHASE!$K$6:$K$10000,PURCHASE!$S$6:$S$10000,$A$95:$A$322,PURCHASE!$A$6:$A$10000,M3)</f>
        <v>0</v>
      </c>
      <c r="N108" s="655"/>
    </row>
    <row r="109" spans="1:14" x14ac:dyDescent="0.3">
      <c r="A109" s="916"/>
      <c r="B109" s="851"/>
      <c r="C109" s="917"/>
      <c r="D109" s="655"/>
      <c r="E109" s="655"/>
      <c r="F109" s="655"/>
      <c r="G109" s="655"/>
      <c r="H109" s="655"/>
      <c r="I109" s="655"/>
      <c r="J109" s="655"/>
      <c r="K109" s="655"/>
      <c r="L109" s="655"/>
      <c r="M109" s="655"/>
      <c r="N109" s="655"/>
    </row>
    <row r="110" spans="1:14" x14ac:dyDescent="0.3">
      <c r="A110" s="916"/>
      <c r="B110" s="851"/>
      <c r="C110" s="917"/>
      <c r="D110" s="655"/>
      <c r="E110" s="655"/>
      <c r="F110" s="655"/>
      <c r="G110" s="655"/>
      <c r="H110" s="655"/>
      <c r="I110" s="655"/>
      <c r="J110" s="655"/>
      <c r="K110" s="655"/>
      <c r="L110" s="655"/>
      <c r="M110" s="655"/>
      <c r="N110" s="655"/>
    </row>
    <row r="111" spans="1:14" s="807" customFormat="1" x14ac:dyDescent="0.3">
      <c r="A111" s="967" t="s">
        <v>347</v>
      </c>
      <c r="B111" s="968">
        <f>SUM(B106:B110)</f>
        <v>0</v>
      </c>
      <c r="C111" s="968">
        <f t="shared" ref="C111:M111" si="53">SUM(C106:C110)</f>
        <v>0</v>
      </c>
      <c r="D111" s="968">
        <f t="shared" si="53"/>
        <v>0</v>
      </c>
      <c r="E111" s="968">
        <f t="shared" si="53"/>
        <v>0</v>
      </c>
      <c r="F111" s="968">
        <f t="shared" si="53"/>
        <v>0</v>
      </c>
      <c r="G111" s="968">
        <f t="shared" si="53"/>
        <v>0</v>
      </c>
      <c r="H111" s="968">
        <f t="shared" si="53"/>
        <v>0</v>
      </c>
      <c r="I111" s="968">
        <f t="shared" si="53"/>
        <v>0</v>
      </c>
      <c r="J111" s="968">
        <f t="shared" si="53"/>
        <v>0</v>
      </c>
      <c r="K111" s="968">
        <f t="shared" si="53"/>
        <v>600</v>
      </c>
      <c r="L111" s="968">
        <f t="shared" si="53"/>
        <v>0</v>
      </c>
      <c r="M111" s="968">
        <f t="shared" si="53"/>
        <v>0</v>
      </c>
      <c r="N111" s="846"/>
    </row>
    <row r="112" spans="1:14" s="807" customFormat="1" x14ac:dyDescent="0.3">
      <c r="A112" s="653" t="s">
        <v>4209</v>
      </c>
      <c r="B112" s="653">
        <f>+B111+B104</f>
        <v>2261436.9000000008</v>
      </c>
      <c r="C112" s="653">
        <f t="shared" ref="C112:M112" si="54">+C111+C104</f>
        <v>4578392.66</v>
      </c>
      <c r="D112" s="653">
        <f t="shared" si="54"/>
        <v>4588910.5799999963</v>
      </c>
      <c r="E112" s="653">
        <f t="shared" si="54"/>
        <v>6361852.5599999903</v>
      </c>
      <c r="F112" s="653">
        <f t="shared" si="54"/>
        <v>4345100.6499999994</v>
      </c>
      <c r="G112" s="653">
        <f t="shared" si="54"/>
        <v>3805335.2199999997</v>
      </c>
      <c r="H112" s="653">
        <f t="shared" si="54"/>
        <v>4586814.9399999995</v>
      </c>
      <c r="I112" s="653">
        <f t="shared" si="54"/>
        <v>3365250.7699999991</v>
      </c>
      <c r="J112" s="653">
        <f t="shared" si="54"/>
        <v>6658221.0299999984</v>
      </c>
      <c r="K112" s="653">
        <f t="shared" si="54"/>
        <v>3109975.1399999992</v>
      </c>
      <c r="L112" s="653">
        <f t="shared" si="54"/>
        <v>0</v>
      </c>
      <c r="M112" s="653">
        <f t="shared" si="54"/>
        <v>0</v>
      </c>
      <c r="N112" s="846"/>
    </row>
    <row r="113" spans="1:14" x14ac:dyDescent="0.3">
      <c r="A113" s="799" t="s">
        <v>3885</v>
      </c>
      <c r="B113" s="837"/>
      <c r="C113" s="655"/>
      <c r="D113" s="655"/>
      <c r="E113" s="655"/>
      <c r="F113" s="655"/>
      <c r="G113" s="655"/>
      <c r="H113" s="655"/>
      <c r="I113" s="655"/>
      <c r="J113" s="655"/>
      <c r="K113" s="655"/>
      <c r="L113" s="655"/>
      <c r="M113" s="655"/>
      <c r="N113" s="655"/>
    </row>
    <row r="114" spans="1:14" x14ac:dyDescent="0.3">
      <c r="A114" s="930" t="s">
        <v>3886</v>
      </c>
      <c r="B114" s="655"/>
      <c r="C114" s="655"/>
      <c r="D114" s="655"/>
      <c r="E114" s="655"/>
      <c r="F114" s="655"/>
      <c r="G114" s="655"/>
      <c r="H114" s="655"/>
      <c r="I114" s="655"/>
      <c r="J114" s="655"/>
      <c r="K114" s="655"/>
      <c r="L114" s="655"/>
      <c r="M114" s="655"/>
      <c r="N114" s="655"/>
    </row>
    <row r="115" spans="1:14" x14ac:dyDescent="0.3">
      <c r="A115" s="916" t="s">
        <v>4123</v>
      </c>
      <c r="B115" s="851">
        <f>SUMIFS(PURCHASE!$K$6:$K$10000,PURCHASE!$S$6:$S$10000,$A$95:$A$322,PURCHASE!$A$6:$A$10000,$B$3)</f>
        <v>0</v>
      </c>
      <c r="C115" s="654">
        <v>-48816</v>
      </c>
      <c r="D115" s="655"/>
      <c r="E115" s="655"/>
      <c r="F115" s="655"/>
      <c r="G115" s="655"/>
      <c r="H115" s="655"/>
      <c r="I115" s="655"/>
      <c r="J115" s="655"/>
      <c r="K115" s="655"/>
      <c r="L115" s="655"/>
      <c r="M115" s="655"/>
      <c r="N115" s="655"/>
    </row>
    <row r="116" spans="1:14" x14ac:dyDescent="0.3">
      <c r="A116" s="916" t="s">
        <v>4124</v>
      </c>
      <c r="B116" s="851">
        <f>SUMIFS(PURCHASE!$K$6:$K$10000,PURCHASE!$S$6:$S$10000,$A$95:$A$322,PURCHASE!$A$6:$A$10000,$B$3)</f>
        <v>0</v>
      </c>
      <c r="C116" s="654"/>
      <c r="D116" s="655"/>
      <c r="E116" s="655"/>
      <c r="F116" s="655"/>
      <c r="G116" s="655"/>
      <c r="H116" s="655"/>
      <c r="I116" s="655"/>
      <c r="J116" s="655"/>
      <c r="K116" s="655"/>
      <c r="L116" s="655"/>
      <c r="M116" s="655"/>
      <c r="N116" s="655"/>
    </row>
    <row r="117" spans="1:14" x14ac:dyDescent="0.3">
      <c r="A117" s="967" t="s">
        <v>347</v>
      </c>
      <c r="B117" s="968">
        <f t="shared" ref="B117:M117" si="55">SUM(B113:B116)</f>
        <v>0</v>
      </c>
      <c r="C117" s="968">
        <f t="shared" si="55"/>
        <v>-48816</v>
      </c>
      <c r="D117" s="968">
        <f t="shared" si="55"/>
        <v>0</v>
      </c>
      <c r="E117" s="968">
        <f t="shared" si="55"/>
        <v>0</v>
      </c>
      <c r="F117" s="968">
        <f t="shared" si="55"/>
        <v>0</v>
      </c>
      <c r="G117" s="968">
        <f t="shared" si="55"/>
        <v>0</v>
      </c>
      <c r="H117" s="968">
        <f t="shared" si="55"/>
        <v>0</v>
      </c>
      <c r="I117" s="968">
        <f t="shared" si="55"/>
        <v>0</v>
      </c>
      <c r="J117" s="968">
        <f t="shared" si="55"/>
        <v>0</v>
      </c>
      <c r="K117" s="968">
        <f t="shared" si="55"/>
        <v>0</v>
      </c>
      <c r="L117" s="968">
        <f t="shared" si="55"/>
        <v>0</v>
      </c>
      <c r="M117" s="968">
        <f t="shared" si="55"/>
        <v>0</v>
      </c>
      <c r="N117" s="655"/>
    </row>
    <row r="118" spans="1:14" x14ac:dyDescent="0.3">
      <c r="A118" s="921" t="s">
        <v>4210</v>
      </c>
      <c r="B118" s="922"/>
      <c r="C118" s="922"/>
      <c r="D118" s="922"/>
      <c r="E118" s="922"/>
      <c r="F118" s="922"/>
      <c r="G118" s="922"/>
      <c r="H118" s="922"/>
      <c r="I118" s="922"/>
      <c r="J118" s="922"/>
      <c r="K118" s="922"/>
      <c r="L118" s="922"/>
      <c r="M118" s="922"/>
      <c r="N118" s="655"/>
    </row>
    <row r="119" spans="1:14" x14ac:dyDescent="0.3">
      <c r="A119" s="840" t="s">
        <v>4249</v>
      </c>
      <c r="B119" s="852"/>
      <c r="C119" s="655"/>
      <c r="D119" s="655"/>
      <c r="E119" s="655"/>
      <c r="F119" s="655"/>
      <c r="G119" s="655"/>
      <c r="H119" s="655"/>
      <c r="I119" s="655"/>
      <c r="J119" s="655"/>
      <c r="K119" s="655"/>
      <c r="L119" s="655"/>
      <c r="M119" s="655"/>
      <c r="N119" s="655"/>
    </row>
    <row r="120" spans="1:14" x14ac:dyDescent="0.3">
      <c r="A120" s="839" t="s">
        <v>4043</v>
      </c>
      <c r="B120" s="861">
        <v>2079.94</v>
      </c>
      <c r="C120" s="861">
        <v>36933.31</v>
      </c>
      <c r="D120" s="861"/>
      <c r="E120" s="861"/>
      <c r="F120" s="861"/>
      <c r="G120" s="861"/>
      <c r="H120" s="861"/>
      <c r="I120" s="861"/>
      <c r="J120" s="861"/>
      <c r="K120" s="861"/>
      <c r="L120" s="861"/>
      <c r="M120" s="861"/>
      <c r="N120" s="655"/>
    </row>
    <row r="121" spans="1:14" x14ac:dyDescent="0.3">
      <c r="A121" s="839" t="s">
        <v>4044</v>
      </c>
      <c r="B121" s="861">
        <v>320062.8</v>
      </c>
      <c r="C121" s="861">
        <v>442720.83</v>
      </c>
      <c r="D121" s="861"/>
      <c r="E121" s="861"/>
      <c r="F121" s="861"/>
      <c r="G121" s="861"/>
      <c r="H121" s="861"/>
      <c r="I121" s="861"/>
      <c r="J121" s="861"/>
      <c r="K121" s="861"/>
      <c r="L121" s="861"/>
      <c r="M121" s="861"/>
      <c r="N121" s="655"/>
    </row>
    <row r="122" spans="1:14" x14ac:dyDescent="0.3">
      <c r="A122" s="839" t="s">
        <v>4045</v>
      </c>
      <c r="B122" s="861">
        <f>+B121</f>
        <v>320062.8</v>
      </c>
      <c r="C122" s="861">
        <f>+C121</f>
        <v>442720.83</v>
      </c>
      <c r="D122" s="861"/>
      <c r="E122" s="861"/>
      <c r="F122" s="861"/>
      <c r="G122" s="861"/>
      <c r="H122" s="861"/>
      <c r="I122" s="861"/>
      <c r="J122" s="861"/>
      <c r="K122" s="861"/>
      <c r="L122" s="861"/>
      <c r="M122" s="861"/>
      <c r="N122" s="655"/>
    </row>
    <row r="123" spans="1:14" x14ac:dyDescent="0.3">
      <c r="A123" s="967" t="s">
        <v>4248</v>
      </c>
      <c r="B123" s="968">
        <f t="shared" ref="B123:M123" si="56">SUM(B119:B122)</f>
        <v>642205.54</v>
      </c>
      <c r="C123" s="968">
        <f t="shared" si="56"/>
        <v>922374.97</v>
      </c>
      <c r="D123" s="968">
        <f t="shared" si="56"/>
        <v>0</v>
      </c>
      <c r="E123" s="968">
        <f t="shared" si="56"/>
        <v>0</v>
      </c>
      <c r="F123" s="968">
        <f t="shared" si="56"/>
        <v>0</v>
      </c>
      <c r="G123" s="968">
        <f t="shared" si="56"/>
        <v>0</v>
      </c>
      <c r="H123" s="968">
        <f t="shared" si="56"/>
        <v>0</v>
      </c>
      <c r="I123" s="968">
        <f t="shared" si="56"/>
        <v>0</v>
      </c>
      <c r="J123" s="968">
        <f t="shared" si="56"/>
        <v>0</v>
      </c>
      <c r="K123" s="968">
        <f t="shared" si="56"/>
        <v>0</v>
      </c>
      <c r="L123" s="968">
        <f t="shared" si="56"/>
        <v>0</v>
      </c>
      <c r="M123" s="968">
        <f t="shared" si="56"/>
        <v>0</v>
      </c>
      <c r="N123" s="655"/>
    </row>
    <row r="124" spans="1:14" x14ac:dyDescent="0.3">
      <c r="A124" s="840" t="s">
        <v>4050</v>
      </c>
      <c r="B124" s="852">
        <f>+B145</f>
        <v>0</v>
      </c>
      <c r="C124" s="852" t="e">
        <f>+C151+C152+#REF!+#REF!+#REF!+#REF!+C150</f>
        <v>#REF!</v>
      </c>
      <c r="D124" s="852" t="e">
        <f>+D151+D152+#REF!+#REF!+#REF!+#REF!+D150</f>
        <v>#REF!</v>
      </c>
      <c r="E124" s="852" t="e">
        <f>+E151+E152+#REF!+#REF!+#REF!+#REF!+E150</f>
        <v>#REF!</v>
      </c>
      <c r="F124" s="852" t="e">
        <f>+F151+F152+#REF!+#REF!+#REF!+#REF!+F150</f>
        <v>#REF!</v>
      </c>
      <c r="G124" s="852" t="e">
        <f>+G151+G152+#REF!+#REF!+#REF!+#REF!+G150</f>
        <v>#REF!</v>
      </c>
      <c r="H124" s="852" t="e">
        <f>+H151+H152+#REF!+#REF!+#REF!+#REF!+H150</f>
        <v>#REF!</v>
      </c>
      <c r="I124" s="852" t="e">
        <f>+I151+I152+#REF!+#REF!+#REF!+#REF!+I150</f>
        <v>#REF!</v>
      </c>
      <c r="J124" s="852" t="e">
        <f>+J151+J152+#REF!+#REF!+#REF!+#REF!+J150</f>
        <v>#REF!</v>
      </c>
      <c r="K124" s="852" t="e">
        <f>+K151+K152+#REF!+#REF!+#REF!+#REF!+K150</f>
        <v>#REF!</v>
      </c>
      <c r="L124" s="852" t="e">
        <f>+L151+L152+#REF!+#REF!+#REF!+#REF!+L150</f>
        <v>#REF!</v>
      </c>
      <c r="M124" s="852" t="e">
        <f>+M151+M152+#REF!+#REF!+#REF!+#REF!+M150</f>
        <v>#REF!</v>
      </c>
      <c r="N124" s="655"/>
    </row>
    <row r="125" spans="1:14" x14ac:dyDescent="0.3">
      <c r="A125" s="840" t="s">
        <v>4052</v>
      </c>
      <c r="B125" s="861">
        <v>-32</v>
      </c>
      <c r="C125" s="861">
        <v>-32</v>
      </c>
      <c r="D125" s="861"/>
      <c r="E125" s="861"/>
      <c r="F125" s="861"/>
      <c r="G125" s="861"/>
      <c r="H125" s="861"/>
      <c r="I125" s="861"/>
      <c r="J125" s="861"/>
      <c r="K125" s="861"/>
      <c r="L125" s="861"/>
      <c r="M125" s="861"/>
      <c r="N125" s="655"/>
    </row>
    <row r="126" spans="1:14" x14ac:dyDescent="0.3">
      <c r="A126" s="840" t="s">
        <v>4051</v>
      </c>
      <c r="B126" s="852">
        <f>+B149</f>
        <v>0</v>
      </c>
      <c r="C126" s="852">
        <f t="shared" ref="C126:M126" si="57">+C149</f>
        <v>0</v>
      </c>
      <c r="D126" s="852">
        <f t="shared" si="57"/>
        <v>0</v>
      </c>
      <c r="E126" s="852">
        <f t="shared" si="57"/>
        <v>0</v>
      </c>
      <c r="F126" s="852">
        <f t="shared" si="57"/>
        <v>0</v>
      </c>
      <c r="G126" s="852">
        <f t="shared" si="57"/>
        <v>0</v>
      </c>
      <c r="H126" s="852">
        <f t="shared" si="57"/>
        <v>0</v>
      </c>
      <c r="I126" s="852">
        <f t="shared" si="57"/>
        <v>0</v>
      </c>
      <c r="J126" s="852">
        <f t="shared" si="57"/>
        <v>0</v>
      </c>
      <c r="K126" s="852">
        <f t="shared" si="57"/>
        <v>0</v>
      </c>
      <c r="L126" s="852">
        <f t="shared" si="57"/>
        <v>0</v>
      </c>
      <c r="M126" s="852">
        <f t="shared" si="57"/>
        <v>0</v>
      </c>
      <c r="N126" s="655"/>
    </row>
    <row r="127" spans="1:14" x14ac:dyDescent="0.3">
      <c r="A127" s="840" t="s">
        <v>3756</v>
      </c>
      <c r="B127" s="852">
        <v>0</v>
      </c>
      <c r="C127" s="852" t="e">
        <f>+#REF!+#REF!+#REF!+C174+C205+#REF!+#REF!+C213+C214+C215+#REF!+#REF!+C221+C222+C223+C203</f>
        <v>#REF!</v>
      </c>
      <c r="D127" s="852" t="e">
        <f>+#REF!+#REF!+#REF!+D174+D205+#REF!+#REF!+D213+D214+D215+#REF!+#REF!+D221+D222+D223</f>
        <v>#REF!</v>
      </c>
      <c r="E127" s="852" t="e">
        <f>+#REF!+#REF!+#REF!+E174+E205+#REF!+#REF!+E213+E214+E215+#REF!+#REF!+E221+E222+E223</f>
        <v>#REF!</v>
      </c>
      <c r="F127" s="852" t="e">
        <f>+#REF!+#REF!+#REF!+F174+F205+#REF!+#REF!+F213+F214+F215+#REF!+#REF!+F221+F222+F223</f>
        <v>#REF!</v>
      </c>
      <c r="G127" s="852" t="e">
        <f>+#REF!+#REF!+#REF!+G174+G205+#REF!+#REF!+G213+G214+G215+#REF!+#REF!+G221+G222+G223</f>
        <v>#REF!</v>
      </c>
      <c r="H127" s="852" t="e">
        <f>+#REF!+#REF!+#REF!+H174+H205+#REF!+#REF!+H213+H214+H215+#REF!+#REF!+H221+H222+H223</f>
        <v>#REF!</v>
      </c>
      <c r="I127" s="852" t="e">
        <f>+#REF!+#REF!+#REF!+I174+I205+#REF!+#REF!+I213+I214+I215+#REF!+#REF!+I221+I222+I223</f>
        <v>#REF!</v>
      </c>
      <c r="J127" s="852" t="e">
        <f>+#REF!+#REF!+#REF!+J174+J205+#REF!+#REF!+J213+J214+J215+#REF!+#REF!+J221+J222+J223</f>
        <v>#REF!</v>
      </c>
      <c r="K127" s="852" t="e">
        <f>+#REF!+#REF!+#REF!+K174+K205+#REF!+#REF!+K213+K214+K215+#REF!+#REF!+K221+K222+K223</f>
        <v>#REF!</v>
      </c>
      <c r="L127" s="852" t="e">
        <f>+#REF!+#REF!+#REF!+L174+L205+#REF!+#REF!+L213+L214+L215+#REF!+#REF!+L221+L222+L223</f>
        <v>#REF!</v>
      </c>
      <c r="M127" s="852" t="e">
        <f>+#REF!+#REF!+#REF!+M174+M205+#REF!+#REF!+M213+M214+M215+#REF!+#REF!+M221+M222+M223</f>
        <v>#REF!</v>
      </c>
      <c r="N127" s="655"/>
    </row>
    <row r="128" spans="1:14" x14ac:dyDescent="0.3">
      <c r="A128" s="967" t="s">
        <v>4250</v>
      </c>
      <c r="B128" s="968">
        <f t="shared" ref="B128:M128" si="58">SUM(B124:B127)</f>
        <v>-32</v>
      </c>
      <c r="C128" s="968" t="e">
        <f t="shared" si="58"/>
        <v>#REF!</v>
      </c>
      <c r="D128" s="968" t="e">
        <f t="shared" si="58"/>
        <v>#REF!</v>
      </c>
      <c r="E128" s="968" t="e">
        <f t="shared" si="58"/>
        <v>#REF!</v>
      </c>
      <c r="F128" s="968" t="e">
        <f t="shared" si="58"/>
        <v>#REF!</v>
      </c>
      <c r="G128" s="968" t="e">
        <f t="shared" si="58"/>
        <v>#REF!</v>
      </c>
      <c r="H128" s="968" t="e">
        <f t="shared" si="58"/>
        <v>#REF!</v>
      </c>
      <c r="I128" s="968" t="e">
        <f t="shared" si="58"/>
        <v>#REF!</v>
      </c>
      <c r="J128" s="968" t="e">
        <f t="shared" si="58"/>
        <v>#REF!</v>
      </c>
      <c r="K128" s="968" t="e">
        <f t="shared" si="58"/>
        <v>#REF!</v>
      </c>
      <c r="L128" s="968" t="e">
        <f t="shared" si="58"/>
        <v>#REF!</v>
      </c>
      <c r="M128" s="968" t="e">
        <f t="shared" si="58"/>
        <v>#REF!</v>
      </c>
      <c r="N128" s="655"/>
    </row>
    <row r="129" spans="1:14" x14ac:dyDescent="0.3">
      <c r="A129" s="929" t="s">
        <v>4211</v>
      </c>
      <c r="B129" s="852"/>
      <c r="C129" s="655"/>
      <c r="D129" s="655"/>
      <c r="E129" s="655"/>
      <c r="F129" s="655"/>
      <c r="G129" s="655"/>
      <c r="H129" s="655"/>
      <c r="I129" s="655"/>
      <c r="J129" s="655"/>
      <c r="K129" s="655"/>
      <c r="L129" s="655"/>
      <c r="M129" s="655"/>
      <c r="N129" s="655"/>
    </row>
    <row r="130" spans="1:14" x14ac:dyDescent="0.3">
      <c r="A130" s="918" t="s">
        <v>4226</v>
      </c>
      <c r="B130" s="851">
        <f>SUMIFS(PURCHASE!$K$6:$K$10000,PURCHASE!$S$6:$S$10000,$A$95:$A$322,PURCHASE!$A$6:$A$10000,$B$3)</f>
        <v>0</v>
      </c>
      <c r="C130" s="655"/>
      <c r="D130" s="655"/>
      <c r="E130" s="655"/>
      <c r="F130" s="655"/>
      <c r="G130" s="655"/>
      <c r="H130" s="655"/>
      <c r="I130" s="655"/>
      <c r="J130" s="655"/>
      <c r="K130" s="655"/>
      <c r="L130" s="655"/>
      <c r="M130" s="655"/>
      <c r="N130" s="655"/>
    </row>
    <row r="131" spans="1:14" x14ac:dyDescent="0.3">
      <c r="A131" s="918" t="s">
        <v>4190</v>
      </c>
      <c r="B131" s="851">
        <f>SUMIFS(PURCHASE!$K$6:$K$10000,PURCHASE!$S$6:$S$10000,$A$95:$A$322,PURCHASE!$A$6:$A$10000,$B$3)</f>
        <v>0</v>
      </c>
      <c r="C131" s="655"/>
      <c r="D131" s="655"/>
      <c r="E131" s="655"/>
      <c r="F131" s="655"/>
      <c r="G131" s="655"/>
      <c r="H131" s="655"/>
      <c r="I131" s="655"/>
      <c r="J131" s="655"/>
      <c r="K131" s="655"/>
      <c r="L131" s="655"/>
      <c r="M131" s="655"/>
      <c r="N131" s="655"/>
    </row>
    <row r="132" spans="1:14" x14ac:dyDescent="0.3">
      <c r="A132" s="918" t="s">
        <v>4191</v>
      </c>
      <c r="B132" s="851">
        <f>SUMIFS(PURCHASE!$K$6:$K$10000,PURCHASE!$S$6:$S$10000,$A$95:$A$322,PURCHASE!$A$6:$A$10000,$B$3)</f>
        <v>0</v>
      </c>
      <c r="C132" s="655"/>
      <c r="D132" s="655"/>
      <c r="E132" s="655"/>
      <c r="F132" s="655"/>
      <c r="G132" s="655"/>
      <c r="H132" s="655"/>
      <c r="I132" s="655"/>
      <c r="J132" s="655"/>
      <c r="K132" s="655"/>
      <c r="L132" s="655"/>
      <c r="M132" s="655"/>
      <c r="N132" s="655"/>
    </row>
    <row r="133" spans="1:14" x14ac:dyDescent="0.3">
      <c r="A133" s="918" t="s">
        <v>4192</v>
      </c>
      <c r="B133" s="851">
        <f>SUMIFS(PURCHASE!$K$6:$K$10000,PURCHASE!$S$6:$S$10000,$A$95:$A$322,PURCHASE!$A$6:$A$10000,$B$3)</f>
        <v>0</v>
      </c>
      <c r="C133" s="655"/>
      <c r="D133" s="655"/>
      <c r="E133" s="655"/>
      <c r="F133" s="655"/>
      <c r="G133" s="655"/>
      <c r="H133" s="655"/>
      <c r="I133" s="655"/>
      <c r="J133" s="655"/>
      <c r="K133" s="655"/>
      <c r="L133" s="655"/>
      <c r="M133" s="655"/>
      <c r="N133" s="655"/>
    </row>
    <row r="134" spans="1:14" x14ac:dyDescent="0.3">
      <c r="A134" s="918" t="s">
        <v>4193</v>
      </c>
      <c r="B134" s="851">
        <f>SUMIFS(PURCHASE!$K$6:$K$10000,PURCHASE!$S$6:$S$10000,$A$95:$A$322,PURCHASE!$A$6:$A$10000,$B$3)</f>
        <v>0</v>
      </c>
      <c r="C134" s="655"/>
      <c r="D134" s="655"/>
      <c r="E134" s="655"/>
      <c r="F134" s="655"/>
      <c r="G134" s="655"/>
      <c r="H134" s="655"/>
      <c r="I134" s="655"/>
      <c r="J134" s="655"/>
      <c r="K134" s="655"/>
      <c r="L134" s="655"/>
      <c r="M134" s="655"/>
      <c r="N134" s="655"/>
    </row>
    <row r="135" spans="1:14" x14ac:dyDescent="0.3">
      <c r="A135" s="918" t="s">
        <v>4194</v>
      </c>
      <c r="B135" s="851">
        <f>SUMIFS(PURCHASE!$K$6:$K$10000,PURCHASE!$S$6:$S$10000,$A$95:$A$322,PURCHASE!$A$6:$A$10000,$B$3)</f>
        <v>0</v>
      </c>
      <c r="C135" s="655"/>
      <c r="D135" s="655"/>
      <c r="E135" s="655"/>
      <c r="F135" s="655"/>
      <c r="G135" s="655"/>
      <c r="H135" s="655"/>
      <c r="I135" s="655"/>
      <c r="J135" s="655"/>
      <c r="K135" s="655"/>
      <c r="L135" s="655"/>
      <c r="M135" s="655"/>
      <c r="N135" s="655"/>
    </row>
    <row r="136" spans="1:14" x14ac:dyDescent="0.3">
      <c r="A136" s="918" t="s">
        <v>4195</v>
      </c>
      <c r="B136" s="851">
        <f>SUMIFS(PURCHASE!$K$6:$K$10000,PURCHASE!$S$6:$S$10000,$A$95:$A$322,PURCHASE!$A$6:$A$10000,$B$3)</f>
        <v>0</v>
      </c>
      <c r="C136" s="655"/>
      <c r="D136" s="655"/>
      <c r="E136" s="655"/>
      <c r="F136" s="655"/>
      <c r="G136" s="655"/>
      <c r="H136" s="655"/>
      <c r="I136" s="655"/>
      <c r="J136" s="655"/>
      <c r="K136" s="655"/>
      <c r="L136" s="655"/>
      <c r="M136" s="655"/>
      <c r="N136" s="655"/>
    </row>
    <row r="137" spans="1:14" x14ac:dyDescent="0.3">
      <c r="A137" s="918" t="s">
        <v>4196</v>
      </c>
      <c r="B137" s="851">
        <f>SUMIFS(PURCHASE!$K$6:$K$10000,PURCHASE!$S$6:$S$10000,$A$95:$A$322,PURCHASE!$A$6:$A$10000,$B$3)</f>
        <v>0</v>
      </c>
      <c r="C137" s="655"/>
      <c r="D137" s="655"/>
      <c r="E137" s="655"/>
      <c r="F137" s="655"/>
      <c r="G137" s="655"/>
      <c r="H137" s="655"/>
      <c r="I137" s="655"/>
      <c r="J137" s="655"/>
      <c r="K137" s="655"/>
      <c r="L137" s="655"/>
      <c r="M137" s="655"/>
      <c r="N137" s="655"/>
    </row>
    <row r="138" spans="1:14" x14ac:dyDescent="0.3">
      <c r="A138" s="918" t="s">
        <v>4197</v>
      </c>
      <c r="B138" s="851">
        <f>SUMIFS(PURCHASE!$K$6:$K$10000,PURCHASE!$S$6:$S$10000,$A$95:$A$322,PURCHASE!$A$6:$A$10000,$B$3)</f>
        <v>0</v>
      </c>
      <c r="C138" s="655"/>
      <c r="D138" s="655"/>
      <c r="E138" s="655"/>
      <c r="F138" s="655"/>
      <c r="G138" s="655"/>
      <c r="H138" s="655"/>
      <c r="I138" s="655"/>
      <c r="J138" s="655"/>
      <c r="K138" s="655"/>
      <c r="L138" s="655"/>
      <c r="M138" s="655"/>
      <c r="N138" s="655"/>
    </row>
    <row r="139" spans="1:14" x14ac:dyDescent="0.3">
      <c r="A139" s="913" t="s">
        <v>4198</v>
      </c>
      <c r="B139" s="851">
        <f>SUMIFS(PURCHASE!$K$6:$K$10000,PURCHASE!$S$6:$S$10000,$A$95:$A$322,PURCHASE!$A$6:$A$10000,$B$3)</f>
        <v>0</v>
      </c>
      <c r="C139" s="861">
        <v>0</v>
      </c>
      <c r="D139" s="861"/>
      <c r="E139" s="861"/>
      <c r="F139" s="861"/>
      <c r="G139" s="861"/>
      <c r="H139" s="861"/>
      <c r="I139" s="861"/>
      <c r="J139" s="861"/>
      <c r="K139" s="861"/>
      <c r="L139" s="861"/>
      <c r="M139" s="861"/>
      <c r="N139" s="655"/>
    </row>
    <row r="140" spans="1:14" x14ac:dyDescent="0.3">
      <c r="A140" s="967" t="s">
        <v>4251</v>
      </c>
      <c r="B140" s="968">
        <f>SUM(B130:B139)</f>
        <v>0</v>
      </c>
      <c r="C140" s="968">
        <f t="shared" ref="C140:M140" si="59">SUM(C136:C139)</f>
        <v>0</v>
      </c>
      <c r="D140" s="968">
        <f t="shared" si="59"/>
        <v>0</v>
      </c>
      <c r="E140" s="968">
        <f t="shared" si="59"/>
        <v>0</v>
      </c>
      <c r="F140" s="968">
        <f t="shared" si="59"/>
        <v>0</v>
      </c>
      <c r="G140" s="968">
        <f t="shared" si="59"/>
        <v>0</v>
      </c>
      <c r="H140" s="968">
        <f t="shared" si="59"/>
        <v>0</v>
      </c>
      <c r="I140" s="968">
        <f t="shared" si="59"/>
        <v>0</v>
      </c>
      <c r="J140" s="968">
        <f t="shared" si="59"/>
        <v>0</v>
      </c>
      <c r="K140" s="968">
        <f t="shared" si="59"/>
        <v>0</v>
      </c>
      <c r="L140" s="968">
        <f t="shared" si="59"/>
        <v>0</v>
      </c>
      <c r="M140" s="968">
        <f t="shared" si="59"/>
        <v>0</v>
      </c>
      <c r="N140" s="655"/>
    </row>
    <row r="141" spans="1:14" x14ac:dyDescent="0.3">
      <c r="A141" s="835" t="s">
        <v>347</v>
      </c>
      <c r="B141" s="653">
        <f>+B140+B128</f>
        <v>-32</v>
      </c>
      <c r="C141" s="653" t="e">
        <f t="shared" ref="C141:M141" si="60">SUM(C120:C140)</f>
        <v>#REF!</v>
      </c>
      <c r="D141" s="653" t="e">
        <f t="shared" si="60"/>
        <v>#REF!</v>
      </c>
      <c r="E141" s="653" t="e">
        <f t="shared" si="60"/>
        <v>#REF!</v>
      </c>
      <c r="F141" s="653" t="e">
        <f t="shared" si="60"/>
        <v>#REF!</v>
      </c>
      <c r="G141" s="653" t="e">
        <f t="shared" si="60"/>
        <v>#REF!</v>
      </c>
      <c r="H141" s="653" t="e">
        <f t="shared" si="60"/>
        <v>#REF!</v>
      </c>
      <c r="I141" s="653" t="e">
        <f t="shared" si="60"/>
        <v>#REF!</v>
      </c>
      <c r="J141" s="653" t="e">
        <f t="shared" si="60"/>
        <v>#REF!</v>
      </c>
      <c r="K141" s="653" t="e">
        <f t="shared" si="60"/>
        <v>#REF!</v>
      </c>
      <c r="L141" s="653" t="e">
        <f t="shared" si="60"/>
        <v>#REF!</v>
      </c>
      <c r="M141" s="653" t="e">
        <f t="shared" si="60"/>
        <v>#REF!</v>
      </c>
      <c r="N141" s="653">
        <f t="shared" ref="N141" si="61">SUM(N120:N140)</f>
        <v>0</v>
      </c>
    </row>
    <row r="142" spans="1:14" x14ac:dyDescent="0.3">
      <c r="A142" s="835" t="s">
        <v>4049</v>
      </c>
      <c r="B142" s="859">
        <f t="shared" ref="B142:N142" si="62">+B141+B112-B106-B95</f>
        <v>2261404.9000000008</v>
      </c>
      <c r="C142" s="859" t="e">
        <f t="shared" si="62"/>
        <v>#REF!</v>
      </c>
      <c r="D142" s="859" t="e">
        <f t="shared" si="62"/>
        <v>#REF!</v>
      </c>
      <c r="E142" s="859" t="e">
        <f t="shared" si="62"/>
        <v>#REF!</v>
      </c>
      <c r="F142" s="859" t="e">
        <f t="shared" si="62"/>
        <v>#REF!</v>
      </c>
      <c r="G142" s="859" t="e">
        <f t="shared" si="62"/>
        <v>#REF!</v>
      </c>
      <c r="H142" s="859" t="e">
        <f t="shared" si="62"/>
        <v>#REF!</v>
      </c>
      <c r="I142" s="859" t="e">
        <f t="shared" si="62"/>
        <v>#REF!</v>
      </c>
      <c r="J142" s="859" t="e">
        <f t="shared" si="62"/>
        <v>#REF!</v>
      </c>
      <c r="K142" s="859" t="e">
        <f t="shared" si="62"/>
        <v>#REF!</v>
      </c>
      <c r="L142" s="859" t="e">
        <f t="shared" si="62"/>
        <v>#REF!</v>
      </c>
      <c r="M142" s="859" t="e">
        <f t="shared" si="62"/>
        <v>#REF!</v>
      </c>
      <c r="N142" s="859">
        <f t="shared" si="62"/>
        <v>0</v>
      </c>
    </row>
    <row r="143" spans="1:14" x14ac:dyDescent="0.3">
      <c r="A143" s="860" t="s">
        <v>3752</v>
      </c>
      <c r="B143" s="859">
        <v>3316750.03</v>
      </c>
      <c r="C143" s="859">
        <v>5545630.2999999998</v>
      </c>
      <c r="D143" s="859"/>
      <c r="E143" s="859"/>
      <c r="F143" s="859"/>
      <c r="G143" s="859"/>
      <c r="H143" s="859"/>
      <c r="I143" s="859"/>
      <c r="J143" s="859"/>
      <c r="K143" s="859"/>
      <c r="L143" s="859"/>
      <c r="M143" s="859"/>
      <c r="N143" s="859"/>
    </row>
    <row r="144" spans="1:14" x14ac:dyDescent="0.3">
      <c r="A144" s="860" t="s">
        <v>457</v>
      </c>
      <c r="B144" s="859">
        <f>+B143-B142</f>
        <v>1055345.129999999</v>
      </c>
      <c r="C144" s="859" t="e">
        <f t="shared" ref="C144:N144" si="63">+C143-C142</f>
        <v>#REF!</v>
      </c>
      <c r="D144" s="859" t="e">
        <f t="shared" si="63"/>
        <v>#REF!</v>
      </c>
      <c r="E144" s="859" t="e">
        <f t="shared" si="63"/>
        <v>#REF!</v>
      </c>
      <c r="F144" s="859" t="e">
        <f t="shared" si="63"/>
        <v>#REF!</v>
      </c>
      <c r="G144" s="859" t="e">
        <f t="shared" si="63"/>
        <v>#REF!</v>
      </c>
      <c r="H144" s="859" t="e">
        <f t="shared" si="63"/>
        <v>#REF!</v>
      </c>
      <c r="I144" s="859" t="e">
        <f t="shared" si="63"/>
        <v>#REF!</v>
      </c>
      <c r="J144" s="859" t="e">
        <f t="shared" si="63"/>
        <v>#REF!</v>
      </c>
      <c r="K144" s="859" t="e">
        <f t="shared" si="63"/>
        <v>#REF!</v>
      </c>
      <c r="L144" s="859" t="e">
        <f t="shared" si="63"/>
        <v>#REF!</v>
      </c>
      <c r="M144" s="859" t="e">
        <f t="shared" si="63"/>
        <v>#REF!</v>
      </c>
      <c r="N144" s="859">
        <f t="shared" si="63"/>
        <v>0</v>
      </c>
    </row>
    <row r="145" spans="1:14" x14ac:dyDescent="0.3">
      <c r="A145" s="802" t="s">
        <v>4050</v>
      </c>
      <c r="B145" s="848"/>
      <c r="C145" s="655"/>
      <c r="D145" s="655"/>
      <c r="E145" s="655"/>
      <c r="F145" s="655"/>
      <c r="G145" s="655"/>
      <c r="H145" s="655"/>
      <c r="I145" s="655"/>
      <c r="J145" s="655"/>
      <c r="K145" s="655"/>
      <c r="L145" s="655"/>
      <c r="M145" s="655"/>
      <c r="N145" s="655"/>
    </row>
    <row r="146" spans="1:14" x14ac:dyDescent="0.3">
      <c r="A146" s="916" t="s">
        <v>4125</v>
      </c>
      <c r="B146" s="851">
        <f>SUMIFS(PURCHASE!$K$6:$K$10000,PURCHASE!$S$6:$S$10000,$A$95:$A$322,PURCHASE!$A$6:$A$10000,B3)</f>
        <v>0</v>
      </c>
      <c r="C146" s="851">
        <f>SUMIFS(PURCHASE!$K$6:$K$10000,PURCHASE!$S$6:$S$10000,$A$95:$A$322,PURCHASE!$A$6:$A$10000,C3)</f>
        <v>0</v>
      </c>
      <c r="D146" s="851">
        <f>SUMIFS(PURCHASE!$K$6:$K$10000,PURCHASE!$S$6:$S$10000,$A$95:$A$322,PURCHASE!$A$6:$A$10000,D3)</f>
        <v>0</v>
      </c>
      <c r="E146" s="851">
        <f>SUMIFS(PURCHASE!$K$6:$K$10000,PURCHASE!$S$6:$S$10000,$A$95:$A$322,PURCHASE!$A$6:$A$10000,E3)</f>
        <v>0</v>
      </c>
      <c r="F146" s="851">
        <f>SUMIFS(PURCHASE!$K$6:$K$10000,PURCHASE!$S$6:$S$10000,$A$95:$A$322,PURCHASE!$A$6:$A$10000,F3)</f>
        <v>0</v>
      </c>
      <c r="G146" s="851">
        <f>SUMIFS(PURCHASE!$K$6:$K$10000,PURCHASE!$S$6:$S$10000,$A$95:$A$322,PURCHASE!$A$6:$A$10000,G3)</f>
        <v>0</v>
      </c>
      <c r="H146" s="851">
        <f>SUMIFS(PURCHASE!$K$6:$K$10000,PURCHASE!$S$6:$S$10000,$A$95:$A$322,PURCHASE!$A$6:$A$10000,H3)</f>
        <v>0</v>
      </c>
      <c r="I146" s="851">
        <f>SUMIFS(PURCHASE!$K$6:$K$10000,PURCHASE!$S$6:$S$10000,$A$95:$A$322,PURCHASE!$A$6:$A$10000,I3)</f>
        <v>0</v>
      </c>
      <c r="J146" s="851">
        <f>SUMIFS(PURCHASE!$K$6:$K$10000,PURCHASE!$S$6:$S$10000,$A$95:$A$322,PURCHASE!$A$6:$A$10000,J3)</f>
        <v>0</v>
      </c>
      <c r="K146" s="851">
        <f>SUMIFS(PURCHASE!$K$6:$K$10000,PURCHASE!$S$6:$S$10000,$A$95:$A$322,PURCHASE!$A$6:$A$10000,K3)</f>
        <v>0</v>
      </c>
      <c r="L146" s="851">
        <f>SUMIFS(PURCHASE!$K$6:$K$10000,PURCHASE!$S$6:$S$10000,$A$95:$A$322,PURCHASE!$A$6:$A$10000,L3)</f>
        <v>0</v>
      </c>
      <c r="M146" s="851">
        <f>SUMIFS(PURCHASE!$K$6:$K$10000,PURCHASE!$S$6:$S$10000,$A$95:$A$322,PURCHASE!$A$6:$A$10000,M3)</f>
        <v>0</v>
      </c>
      <c r="N146" s="655"/>
    </row>
    <row r="147" spans="1:14" x14ac:dyDescent="0.3">
      <c r="A147" s="916" t="s">
        <v>4133</v>
      </c>
      <c r="B147" s="851">
        <f>SUMIFS(PURCHASE!$K$6:$K$10000,PURCHASE!$S$6:$S$10000,$A$95:$A$322,PURCHASE!$A$6:$A$10000,B3)</f>
        <v>0</v>
      </c>
      <c r="C147" s="851">
        <f>SUMIFS(PURCHASE!$K$6:$K$10000,PURCHASE!$S$6:$S$10000,$A$95:$A$322,PURCHASE!$A$6:$A$10000,C3)</f>
        <v>0</v>
      </c>
      <c r="D147" s="851">
        <f>SUMIFS(PURCHASE!$K$6:$K$10000,PURCHASE!$S$6:$S$10000,$A$95:$A$322,PURCHASE!$A$6:$A$10000,D3)</f>
        <v>0</v>
      </c>
      <c r="E147" s="851">
        <f>SUMIFS(PURCHASE!$K$6:$K$10000,PURCHASE!$S$6:$S$10000,$A$95:$A$322,PURCHASE!$A$6:$A$10000,E3)</f>
        <v>0</v>
      </c>
      <c r="F147" s="851">
        <f>SUMIFS(PURCHASE!$K$6:$K$10000,PURCHASE!$S$6:$S$10000,$A$95:$A$322,PURCHASE!$A$6:$A$10000,F3)</f>
        <v>0</v>
      </c>
      <c r="G147" s="851">
        <f>SUMIFS(PURCHASE!$K$6:$K$10000,PURCHASE!$S$6:$S$10000,$A$95:$A$322,PURCHASE!$A$6:$A$10000,G3)</f>
        <v>0</v>
      </c>
      <c r="H147" s="851">
        <f>SUMIFS(PURCHASE!$K$6:$K$10000,PURCHASE!$S$6:$S$10000,$A$95:$A$322,PURCHASE!$A$6:$A$10000,H3)</f>
        <v>0</v>
      </c>
      <c r="I147" s="851">
        <f>SUMIFS(PURCHASE!$K$6:$K$10000,PURCHASE!$S$6:$S$10000,$A$95:$A$322,PURCHASE!$A$6:$A$10000,I3)</f>
        <v>0</v>
      </c>
      <c r="J147" s="851">
        <f>SUMIFS(PURCHASE!$K$6:$K$10000,PURCHASE!$S$6:$S$10000,$A$95:$A$322,PURCHASE!$A$6:$A$10000,J3)</f>
        <v>0</v>
      </c>
      <c r="K147" s="851">
        <f>SUMIFS(PURCHASE!$K$6:$K$10000,PURCHASE!$S$6:$S$10000,$A$95:$A$322,PURCHASE!$A$6:$A$10000,K3)</f>
        <v>0</v>
      </c>
      <c r="L147" s="851">
        <f>SUMIFS(PURCHASE!$K$6:$K$10000,PURCHASE!$S$6:$S$10000,$A$95:$A$322,PURCHASE!$A$6:$A$10000,L3)</f>
        <v>0</v>
      </c>
      <c r="M147" s="851">
        <f>SUMIFS(PURCHASE!$K$6:$K$10000,PURCHASE!$S$6:$S$10000,$A$95:$A$322,PURCHASE!$A$6:$A$10000,M3)</f>
        <v>0</v>
      </c>
      <c r="N147" s="655"/>
    </row>
    <row r="148" spans="1:14" x14ac:dyDescent="0.3">
      <c r="A148" s="916" t="s">
        <v>4185</v>
      </c>
      <c r="B148" s="851">
        <f>SUMIFS(PURCHASE!$K$6:$K$10000,PURCHASE!$S$6:$S$10000,$A$95:$A$322,PURCHASE!$A$6:$A$10000,B3)</f>
        <v>0</v>
      </c>
      <c r="C148" s="851">
        <f>SUMIFS(PURCHASE!$K$6:$K$10000,PURCHASE!$S$6:$S$10000,$A$95:$A$322,PURCHASE!$A$6:$A$10000,C3)</f>
        <v>0</v>
      </c>
      <c r="D148" s="851">
        <f>SUMIFS(PURCHASE!$K$6:$K$10000,PURCHASE!$S$6:$S$10000,$A$95:$A$322,PURCHASE!$A$6:$A$10000,D3)</f>
        <v>0</v>
      </c>
      <c r="E148" s="851">
        <f>SUMIFS(PURCHASE!$K$6:$K$10000,PURCHASE!$S$6:$S$10000,$A$95:$A$322,PURCHASE!$A$6:$A$10000,E3)</f>
        <v>0</v>
      </c>
      <c r="F148" s="851">
        <f>SUMIFS(PURCHASE!$K$6:$K$10000,PURCHASE!$S$6:$S$10000,$A$95:$A$322,PURCHASE!$A$6:$A$10000,F3)</f>
        <v>0</v>
      </c>
      <c r="G148" s="851">
        <f>SUMIFS(PURCHASE!$K$6:$K$10000,PURCHASE!$S$6:$S$10000,$A$95:$A$322,PURCHASE!$A$6:$A$10000,G3)</f>
        <v>0</v>
      </c>
      <c r="H148" s="851">
        <f>SUMIFS(PURCHASE!$K$6:$K$10000,PURCHASE!$S$6:$S$10000,$A$95:$A$322,PURCHASE!$A$6:$A$10000,H3)</f>
        <v>0</v>
      </c>
      <c r="I148" s="851">
        <f>SUMIFS(PURCHASE!$K$6:$K$10000,PURCHASE!$S$6:$S$10000,$A$95:$A$322,PURCHASE!$A$6:$A$10000,I3)</f>
        <v>0</v>
      </c>
      <c r="J148" s="851">
        <f>SUMIFS(PURCHASE!$K$6:$K$10000,PURCHASE!$S$6:$S$10000,$A$95:$A$322,PURCHASE!$A$6:$A$10000,J3)</f>
        <v>0</v>
      </c>
      <c r="K148" s="851">
        <f>SUMIFS(PURCHASE!$K$6:$K$10000,PURCHASE!$S$6:$S$10000,$A$95:$A$322,PURCHASE!$A$6:$A$10000,K3)</f>
        <v>0</v>
      </c>
      <c r="L148" s="851">
        <f>SUMIFS(PURCHASE!$K$6:$K$10000,PURCHASE!$S$6:$S$10000,$A$95:$A$322,PURCHASE!$A$6:$A$10000,L3)</f>
        <v>0</v>
      </c>
      <c r="M148" s="851">
        <f>SUMIFS(PURCHASE!$K$6:$K$10000,PURCHASE!$S$6:$S$10000,$A$95:$A$322,PURCHASE!$A$6:$A$10000,M3)</f>
        <v>0</v>
      </c>
      <c r="N148" s="655"/>
    </row>
    <row r="149" spans="1:14" x14ac:dyDescent="0.3">
      <c r="A149" s="916" t="s">
        <v>4127</v>
      </c>
      <c r="B149" s="851">
        <f>SUMIFS(PURCHASE!$K$6:$K$10000,PURCHASE!$S$6:$S$10000,$A$95:$A$322,PURCHASE!$A$6:$A$10000,B3)</f>
        <v>0</v>
      </c>
      <c r="C149" s="851">
        <f>SUMIFS(PURCHASE!$K$6:$K$10000,PURCHASE!$S$6:$S$10000,$A$95:$A$322,PURCHASE!$A$6:$A$10000,C3)</f>
        <v>0</v>
      </c>
      <c r="D149" s="851">
        <f>SUMIFS(PURCHASE!$K$6:$K$10000,PURCHASE!$S$6:$S$10000,$A$95:$A$322,PURCHASE!$A$6:$A$10000,D3)</f>
        <v>0</v>
      </c>
      <c r="E149" s="851">
        <f>SUMIFS(PURCHASE!$K$6:$K$10000,PURCHASE!$S$6:$S$10000,$A$95:$A$322,PURCHASE!$A$6:$A$10000,E3)</f>
        <v>0</v>
      </c>
      <c r="F149" s="851">
        <f>SUMIFS(PURCHASE!$K$6:$K$10000,PURCHASE!$S$6:$S$10000,$A$95:$A$322,PURCHASE!$A$6:$A$10000,F3)</f>
        <v>0</v>
      </c>
      <c r="G149" s="851">
        <f>SUMIFS(PURCHASE!$K$6:$K$10000,PURCHASE!$S$6:$S$10000,$A$95:$A$322,PURCHASE!$A$6:$A$10000,G3)</f>
        <v>0</v>
      </c>
      <c r="H149" s="851">
        <f>SUMIFS(PURCHASE!$K$6:$K$10000,PURCHASE!$S$6:$S$10000,$A$95:$A$322,PURCHASE!$A$6:$A$10000,H3)</f>
        <v>0</v>
      </c>
      <c r="I149" s="851">
        <f>SUMIFS(PURCHASE!$K$6:$K$10000,PURCHASE!$S$6:$S$10000,$A$95:$A$322,PURCHASE!$A$6:$A$10000,I3)</f>
        <v>0</v>
      </c>
      <c r="J149" s="851">
        <f>SUMIFS(PURCHASE!$K$6:$K$10000,PURCHASE!$S$6:$S$10000,$A$95:$A$322,PURCHASE!$A$6:$A$10000,J3)</f>
        <v>0</v>
      </c>
      <c r="K149" s="851">
        <f>SUMIFS(PURCHASE!$K$6:$K$10000,PURCHASE!$S$6:$S$10000,$A$95:$A$322,PURCHASE!$A$6:$A$10000,K3)</f>
        <v>0</v>
      </c>
      <c r="L149" s="851">
        <f>SUMIFS(PURCHASE!$K$6:$K$10000,PURCHASE!$S$6:$S$10000,$A$95:$A$322,PURCHASE!$A$6:$A$10000,L3)</f>
        <v>0</v>
      </c>
      <c r="M149" s="851">
        <f>SUMIFS(PURCHASE!$K$6:$K$10000,PURCHASE!$S$6:$S$10000,$A$95:$A$322,PURCHASE!$A$6:$A$10000,M3)</f>
        <v>0</v>
      </c>
      <c r="N149" s="655"/>
    </row>
    <row r="150" spans="1:14" x14ac:dyDescent="0.3">
      <c r="A150" s="916" t="s">
        <v>4128</v>
      </c>
      <c r="B150" s="851">
        <f>SUMIFS(PURCHASE!$K$6:$K$10000,PURCHASE!$S$6:$S$10000,$A$95:$A$322,PURCHASE!$A$6:$A$10000,B3)</f>
        <v>0</v>
      </c>
      <c r="C150" s="851">
        <f>SUMIFS(PURCHASE!$K$6:$K$10000,PURCHASE!$S$6:$S$10000,$A$95:$A$322,PURCHASE!$A$6:$A$10000,C3)</f>
        <v>0</v>
      </c>
      <c r="D150" s="851">
        <f>SUMIFS(PURCHASE!$K$6:$K$10000,PURCHASE!$S$6:$S$10000,$A$95:$A$322,PURCHASE!$A$6:$A$10000,D3)</f>
        <v>0</v>
      </c>
      <c r="E150" s="851">
        <f>SUMIFS(PURCHASE!$K$6:$K$10000,PURCHASE!$S$6:$S$10000,$A$95:$A$322,PURCHASE!$A$6:$A$10000,E3)</f>
        <v>0</v>
      </c>
      <c r="F150" s="851">
        <f>SUMIFS(PURCHASE!$K$6:$K$10000,PURCHASE!$S$6:$S$10000,$A$95:$A$322,PURCHASE!$A$6:$A$10000,F3)</f>
        <v>0</v>
      </c>
      <c r="G150" s="851">
        <f>SUMIFS(PURCHASE!$K$6:$K$10000,PURCHASE!$S$6:$S$10000,$A$95:$A$322,PURCHASE!$A$6:$A$10000,G3)</f>
        <v>0</v>
      </c>
      <c r="H150" s="851">
        <f>SUMIFS(PURCHASE!$K$6:$K$10000,PURCHASE!$S$6:$S$10000,$A$95:$A$322,PURCHASE!$A$6:$A$10000,H3)</f>
        <v>0</v>
      </c>
      <c r="I150" s="851">
        <f>SUMIFS(PURCHASE!$K$6:$K$10000,PURCHASE!$S$6:$S$10000,$A$95:$A$322,PURCHASE!$A$6:$A$10000,I3)</f>
        <v>0</v>
      </c>
      <c r="J150" s="851">
        <f>SUMIFS(PURCHASE!$K$6:$K$10000,PURCHASE!$S$6:$S$10000,$A$95:$A$322,PURCHASE!$A$6:$A$10000,J3)</f>
        <v>0</v>
      </c>
      <c r="K150" s="851">
        <f>SUMIFS(PURCHASE!$K$6:$K$10000,PURCHASE!$S$6:$S$10000,$A$95:$A$322,PURCHASE!$A$6:$A$10000,K3)</f>
        <v>0</v>
      </c>
      <c r="L150" s="851">
        <f>SUMIFS(PURCHASE!$K$6:$K$10000,PURCHASE!$S$6:$S$10000,$A$95:$A$322,PURCHASE!$A$6:$A$10000,L3)</f>
        <v>0</v>
      </c>
      <c r="M150" s="851">
        <f>SUMIFS(PURCHASE!$K$6:$K$10000,PURCHASE!$S$6:$S$10000,$A$95:$A$322,PURCHASE!$A$6:$A$10000,M3)</f>
        <v>0</v>
      </c>
      <c r="N150" s="655"/>
    </row>
    <row r="151" spans="1:14" x14ac:dyDescent="0.3">
      <c r="A151" s="916" t="s">
        <v>4129</v>
      </c>
      <c r="B151" s="851">
        <f>SUMIFS(PURCHASE!$K$6:$K$10000,PURCHASE!$S$6:$S$10000,$A$95:$A$322,PURCHASE!$A$6:$A$10000,B3)</f>
        <v>0</v>
      </c>
      <c r="C151" s="851">
        <f>SUMIFS(PURCHASE!$K$6:$K$10000,PURCHASE!$S$6:$S$10000,$A$95:$A$322,PURCHASE!$A$6:$A$10000,C3)</f>
        <v>0</v>
      </c>
      <c r="D151" s="851">
        <f>SUMIFS(PURCHASE!$K$6:$K$10000,PURCHASE!$S$6:$S$10000,$A$95:$A$322,PURCHASE!$A$6:$A$10000,D3)</f>
        <v>0</v>
      </c>
      <c r="E151" s="851">
        <f>SUMIFS(PURCHASE!$K$6:$K$10000,PURCHASE!$S$6:$S$10000,$A$95:$A$322,PURCHASE!$A$6:$A$10000,E3)</f>
        <v>0</v>
      </c>
      <c r="F151" s="851">
        <f>SUMIFS(PURCHASE!$K$6:$K$10000,PURCHASE!$S$6:$S$10000,$A$95:$A$322,PURCHASE!$A$6:$A$10000,F3)</f>
        <v>0</v>
      </c>
      <c r="G151" s="851">
        <f>SUMIFS(PURCHASE!$K$6:$K$10000,PURCHASE!$S$6:$S$10000,$A$95:$A$322,PURCHASE!$A$6:$A$10000,G3)</f>
        <v>0</v>
      </c>
      <c r="H151" s="851">
        <f>SUMIFS(PURCHASE!$K$6:$K$10000,PURCHASE!$S$6:$S$10000,$A$95:$A$322,PURCHASE!$A$6:$A$10000,H3)</f>
        <v>0</v>
      </c>
      <c r="I151" s="851">
        <f>SUMIFS(PURCHASE!$K$6:$K$10000,PURCHASE!$S$6:$S$10000,$A$95:$A$322,PURCHASE!$A$6:$A$10000,I3)</f>
        <v>0</v>
      </c>
      <c r="J151" s="851">
        <f>SUMIFS(PURCHASE!$K$6:$K$10000,PURCHASE!$S$6:$S$10000,$A$95:$A$322,PURCHASE!$A$6:$A$10000,J3)</f>
        <v>0</v>
      </c>
      <c r="K151" s="851">
        <f>SUMIFS(PURCHASE!$K$6:$K$10000,PURCHASE!$S$6:$S$10000,$A$95:$A$322,PURCHASE!$A$6:$A$10000,K3)</f>
        <v>0</v>
      </c>
      <c r="L151" s="851">
        <f>SUMIFS(PURCHASE!$K$6:$K$10000,PURCHASE!$S$6:$S$10000,$A$95:$A$322,PURCHASE!$A$6:$A$10000,L3)</f>
        <v>0</v>
      </c>
      <c r="M151" s="851">
        <f>SUMIFS(PURCHASE!$K$6:$K$10000,PURCHASE!$S$6:$S$10000,$A$95:$A$322,PURCHASE!$A$6:$A$10000,M3)</f>
        <v>0</v>
      </c>
      <c r="N151" s="655"/>
    </row>
    <row r="152" spans="1:14" x14ac:dyDescent="0.3">
      <c r="A152" s="916" t="s">
        <v>4131</v>
      </c>
      <c r="B152" s="851">
        <f>SUMIFS(PURCHASE!$K$6:$K$10000,PURCHASE!$S$6:$S$10000,$A$95:$A$322,PURCHASE!$A$6:$A$10000,B3)</f>
        <v>17302.400000000001</v>
      </c>
      <c r="C152" s="851">
        <f>SUMIFS(PURCHASE!$K$6:$K$10000,PURCHASE!$S$6:$S$10000,$A$95:$A$322,PURCHASE!$A$6:$A$10000,C3)</f>
        <v>0</v>
      </c>
      <c r="D152" s="851">
        <f>SUMIFS(PURCHASE!$K$6:$K$10000,PURCHASE!$S$6:$S$10000,$A$95:$A$322,PURCHASE!$A$6:$A$10000,D3)</f>
        <v>0</v>
      </c>
      <c r="E152" s="851">
        <f>SUMIFS(PURCHASE!$K$6:$K$10000,PURCHASE!$S$6:$S$10000,$A$95:$A$322,PURCHASE!$A$6:$A$10000,E3)</f>
        <v>0</v>
      </c>
      <c r="F152" s="851">
        <f>SUMIFS(PURCHASE!$K$6:$K$10000,PURCHASE!$S$6:$S$10000,$A$95:$A$322,PURCHASE!$A$6:$A$10000,F3)</f>
        <v>0</v>
      </c>
      <c r="G152" s="851">
        <f>SUMIFS(PURCHASE!$K$6:$K$10000,PURCHASE!$S$6:$S$10000,$A$95:$A$322,PURCHASE!$A$6:$A$10000,G3)</f>
        <v>0</v>
      </c>
      <c r="H152" s="851">
        <f>SUMIFS(PURCHASE!$K$6:$K$10000,PURCHASE!$S$6:$S$10000,$A$95:$A$322,PURCHASE!$A$6:$A$10000,H3)</f>
        <v>0</v>
      </c>
      <c r="I152" s="851">
        <f>SUMIFS(PURCHASE!$K$6:$K$10000,PURCHASE!$S$6:$S$10000,$A$95:$A$322,PURCHASE!$A$6:$A$10000,I3)</f>
        <v>0</v>
      </c>
      <c r="J152" s="851">
        <f>SUMIFS(PURCHASE!$K$6:$K$10000,PURCHASE!$S$6:$S$10000,$A$95:$A$322,PURCHASE!$A$6:$A$10000,J3)</f>
        <v>0</v>
      </c>
      <c r="K152" s="851">
        <f>SUMIFS(PURCHASE!$K$6:$K$10000,PURCHASE!$S$6:$S$10000,$A$95:$A$322,PURCHASE!$A$6:$A$10000,K3)</f>
        <v>0</v>
      </c>
      <c r="L152" s="851">
        <f>SUMIFS(PURCHASE!$K$6:$K$10000,PURCHASE!$S$6:$S$10000,$A$95:$A$322,PURCHASE!$A$6:$A$10000,L3)</f>
        <v>0</v>
      </c>
      <c r="M152" s="851">
        <f>SUMIFS(PURCHASE!$K$6:$K$10000,PURCHASE!$S$6:$S$10000,$A$95:$A$322,PURCHASE!$A$6:$A$10000,M3)</f>
        <v>0</v>
      </c>
      <c r="N152" s="655"/>
    </row>
    <row r="153" spans="1:14" x14ac:dyDescent="0.3">
      <c r="A153" s="916" t="s">
        <v>4135</v>
      </c>
      <c r="B153" s="851">
        <f>SUMIFS(PURCHASE!$K$6:$K$10000,PURCHASE!$S$6:$S$10000,$A$95:$A$322,PURCHASE!$A$6:$A$10000,B3)</f>
        <v>0</v>
      </c>
      <c r="C153" s="851">
        <f>SUMIFS(PURCHASE!$K$6:$K$10000,PURCHASE!$S$6:$S$10000,$A$95:$A$322,PURCHASE!$A$6:$A$10000,C3)</f>
        <v>0</v>
      </c>
      <c r="D153" s="851">
        <f>SUMIFS(PURCHASE!$K$6:$K$10000,PURCHASE!$S$6:$S$10000,$A$95:$A$322,PURCHASE!$A$6:$A$10000,D3)</f>
        <v>0</v>
      </c>
      <c r="E153" s="851">
        <f>SUMIFS(PURCHASE!$K$6:$K$10000,PURCHASE!$S$6:$S$10000,$A$95:$A$322,PURCHASE!$A$6:$A$10000,E3)</f>
        <v>0</v>
      </c>
      <c r="F153" s="851">
        <f>SUMIFS(PURCHASE!$K$6:$K$10000,PURCHASE!$S$6:$S$10000,$A$95:$A$322,PURCHASE!$A$6:$A$10000,F3)</f>
        <v>0</v>
      </c>
      <c r="G153" s="851">
        <f>SUMIFS(PURCHASE!$K$6:$K$10000,PURCHASE!$S$6:$S$10000,$A$95:$A$322,PURCHASE!$A$6:$A$10000,G3)</f>
        <v>0</v>
      </c>
      <c r="H153" s="851">
        <f>SUMIFS(PURCHASE!$K$6:$K$10000,PURCHASE!$S$6:$S$10000,$A$95:$A$322,PURCHASE!$A$6:$A$10000,H3)</f>
        <v>0</v>
      </c>
      <c r="I153" s="851">
        <f>SUMIFS(PURCHASE!$K$6:$K$10000,PURCHASE!$S$6:$S$10000,$A$95:$A$322,PURCHASE!$A$6:$A$10000,I3)</f>
        <v>0</v>
      </c>
      <c r="J153" s="851">
        <f>SUMIFS(PURCHASE!$K$6:$K$10000,PURCHASE!$S$6:$S$10000,$A$95:$A$322,PURCHASE!$A$6:$A$10000,J3)</f>
        <v>0</v>
      </c>
      <c r="K153" s="851">
        <f>SUMIFS(PURCHASE!$K$6:$K$10000,PURCHASE!$S$6:$S$10000,$A$95:$A$322,PURCHASE!$A$6:$A$10000,K3)</f>
        <v>0</v>
      </c>
      <c r="L153" s="851">
        <f>SUMIFS(PURCHASE!$K$6:$K$10000,PURCHASE!$S$6:$S$10000,$A$95:$A$322,PURCHASE!$A$6:$A$10000,L3)</f>
        <v>0</v>
      </c>
      <c r="M153" s="851">
        <f>SUMIFS(PURCHASE!$K$6:$K$10000,PURCHASE!$S$6:$S$10000,$A$95:$A$322,PURCHASE!$A$6:$A$10000,M3)</f>
        <v>0</v>
      </c>
      <c r="N153" s="655"/>
    </row>
    <row r="154" spans="1:14" x14ac:dyDescent="0.3">
      <c r="A154" s="916" t="s">
        <v>4136</v>
      </c>
      <c r="B154" s="851">
        <f>SUMIFS(PURCHASE!$K$6:$K$10000,PURCHASE!$S$6:$S$10000,$A$95:$A$322,PURCHASE!$A$6:$A$10000,B3)</f>
        <v>0</v>
      </c>
      <c r="C154" s="851">
        <f>SUMIFS(PURCHASE!$K$6:$K$10000,PURCHASE!$S$6:$S$10000,$A$95:$A$322,PURCHASE!$A$6:$A$10000,C3)</f>
        <v>0</v>
      </c>
      <c r="D154" s="851">
        <f>SUMIFS(PURCHASE!$K$6:$K$10000,PURCHASE!$S$6:$S$10000,$A$95:$A$322,PURCHASE!$A$6:$A$10000,D3)</f>
        <v>0</v>
      </c>
      <c r="E154" s="851">
        <f>SUMIFS(PURCHASE!$K$6:$K$10000,PURCHASE!$S$6:$S$10000,$A$95:$A$322,PURCHASE!$A$6:$A$10000,E3)</f>
        <v>0</v>
      </c>
      <c r="F154" s="851">
        <f>SUMIFS(PURCHASE!$K$6:$K$10000,PURCHASE!$S$6:$S$10000,$A$95:$A$322,PURCHASE!$A$6:$A$10000,F3)</f>
        <v>0</v>
      </c>
      <c r="G154" s="851">
        <f>SUMIFS(PURCHASE!$K$6:$K$10000,PURCHASE!$S$6:$S$10000,$A$95:$A$322,PURCHASE!$A$6:$A$10000,G3)</f>
        <v>0</v>
      </c>
      <c r="H154" s="851">
        <f>SUMIFS(PURCHASE!$K$6:$K$10000,PURCHASE!$S$6:$S$10000,$A$95:$A$322,PURCHASE!$A$6:$A$10000,H3)</f>
        <v>0</v>
      </c>
      <c r="I154" s="851">
        <f>SUMIFS(PURCHASE!$K$6:$K$10000,PURCHASE!$S$6:$S$10000,$A$95:$A$322,PURCHASE!$A$6:$A$10000,I3)</f>
        <v>0</v>
      </c>
      <c r="J154" s="851">
        <f>SUMIFS(PURCHASE!$K$6:$K$10000,PURCHASE!$S$6:$S$10000,$A$95:$A$322,PURCHASE!$A$6:$A$10000,J3)</f>
        <v>0</v>
      </c>
      <c r="K154" s="851">
        <f>SUMIFS(PURCHASE!$K$6:$K$10000,PURCHASE!$S$6:$S$10000,$A$95:$A$322,PURCHASE!$A$6:$A$10000,K3)</f>
        <v>0</v>
      </c>
      <c r="L154" s="851">
        <f>SUMIFS(PURCHASE!$K$6:$K$10000,PURCHASE!$S$6:$S$10000,$A$95:$A$322,PURCHASE!$A$6:$A$10000,L3)</f>
        <v>0</v>
      </c>
      <c r="M154" s="851">
        <f>SUMIFS(PURCHASE!$K$6:$K$10000,PURCHASE!$S$6:$S$10000,$A$95:$A$322,PURCHASE!$A$6:$A$10000,M3)</f>
        <v>0</v>
      </c>
      <c r="N154" s="655"/>
    </row>
    <row r="155" spans="1:14" x14ac:dyDescent="0.3">
      <c r="A155" s="916" t="s">
        <v>4137</v>
      </c>
      <c r="B155" s="851">
        <f>SUMIFS(PURCHASE!$K$6:$K$10000,PURCHASE!$S$6:$S$10000,$A$95:$A$322,PURCHASE!$A$6:$A$10000,B3)</f>
        <v>0</v>
      </c>
      <c r="C155" s="851">
        <f>SUMIFS(PURCHASE!$K$6:$K$10000,PURCHASE!$S$6:$S$10000,$A$95:$A$322,PURCHASE!$A$6:$A$10000,C3)</f>
        <v>0</v>
      </c>
      <c r="D155" s="851">
        <f>SUMIFS(PURCHASE!$K$6:$K$10000,PURCHASE!$S$6:$S$10000,$A$95:$A$322,PURCHASE!$A$6:$A$10000,D3)</f>
        <v>0</v>
      </c>
      <c r="E155" s="851">
        <f>SUMIFS(PURCHASE!$K$6:$K$10000,PURCHASE!$S$6:$S$10000,$A$95:$A$322,PURCHASE!$A$6:$A$10000,E3)</f>
        <v>0</v>
      </c>
      <c r="F155" s="851">
        <f>SUMIFS(PURCHASE!$K$6:$K$10000,PURCHASE!$S$6:$S$10000,$A$95:$A$322,PURCHASE!$A$6:$A$10000,F3)</f>
        <v>0</v>
      </c>
      <c r="G155" s="851">
        <f>SUMIFS(PURCHASE!$K$6:$K$10000,PURCHASE!$S$6:$S$10000,$A$95:$A$322,PURCHASE!$A$6:$A$10000,G3)</f>
        <v>0</v>
      </c>
      <c r="H155" s="851">
        <f>SUMIFS(PURCHASE!$K$6:$K$10000,PURCHASE!$S$6:$S$10000,$A$95:$A$322,PURCHASE!$A$6:$A$10000,H3)</f>
        <v>0</v>
      </c>
      <c r="I155" s="851">
        <f>SUMIFS(PURCHASE!$K$6:$K$10000,PURCHASE!$S$6:$S$10000,$A$95:$A$322,PURCHASE!$A$6:$A$10000,I3)</f>
        <v>0</v>
      </c>
      <c r="J155" s="851">
        <f>SUMIFS(PURCHASE!$K$6:$K$10000,PURCHASE!$S$6:$S$10000,$A$95:$A$322,PURCHASE!$A$6:$A$10000,J3)</f>
        <v>0</v>
      </c>
      <c r="K155" s="851">
        <f>SUMIFS(PURCHASE!$K$6:$K$10000,PURCHASE!$S$6:$S$10000,$A$95:$A$322,PURCHASE!$A$6:$A$10000,K3)</f>
        <v>0</v>
      </c>
      <c r="L155" s="851">
        <f>SUMIFS(PURCHASE!$K$6:$K$10000,PURCHASE!$S$6:$S$10000,$A$95:$A$322,PURCHASE!$A$6:$A$10000,L3)</f>
        <v>0</v>
      </c>
      <c r="M155" s="851">
        <f>SUMIFS(PURCHASE!$K$6:$K$10000,PURCHASE!$S$6:$S$10000,$A$95:$A$322,PURCHASE!$A$6:$A$10000,M3)</f>
        <v>0</v>
      </c>
      <c r="N155" s="655"/>
    </row>
    <row r="156" spans="1:14" x14ac:dyDescent="0.3">
      <c r="A156" s="916"/>
      <c r="B156" s="851"/>
      <c r="C156" s="654"/>
      <c r="D156" s="655"/>
      <c r="E156" s="655"/>
      <c r="F156" s="655"/>
      <c r="G156" s="655"/>
      <c r="H156" s="655"/>
      <c r="I156" s="655"/>
      <c r="J156" s="655"/>
      <c r="K156" s="655"/>
      <c r="L156" s="655"/>
      <c r="M156" s="655"/>
      <c r="N156" s="655"/>
    </row>
    <row r="157" spans="1:14" x14ac:dyDescent="0.3">
      <c r="A157" s="802" t="s">
        <v>4201</v>
      </c>
      <c r="B157" s="851"/>
      <c r="C157" s="654"/>
      <c r="D157" s="655"/>
      <c r="E157" s="655"/>
      <c r="F157" s="655"/>
      <c r="G157" s="655"/>
      <c r="H157" s="655"/>
      <c r="I157" s="655"/>
      <c r="J157" s="655"/>
      <c r="K157" s="655"/>
      <c r="L157" s="655"/>
      <c r="M157" s="655"/>
      <c r="N157" s="655"/>
    </row>
    <row r="158" spans="1:14" x14ac:dyDescent="0.3">
      <c r="A158" s="919" t="s">
        <v>4126</v>
      </c>
      <c r="B158" s="851"/>
      <c r="C158" s="654"/>
      <c r="D158" s="655"/>
      <c r="E158" s="655"/>
      <c r="F158" s="655"/>
      <c r="G158" s="655"/>
      <c r="H158" s="655"/>
      <c r="I158" s="655"/>
      <c r="J158" s="655"/>
      <c r="K158" s="655"/>
      <c r="L158" s="655"/>
      <c r="M158" s="655"/>
      <c r="N158" s="655"/>
    </row>
    <row r="159" spans="1:14" x14ac:dyDescent="0.3">
      <c r="A159" s="919" t="s">
        <v>4130</v>
      </c>
      <c r="B159" s="851"/>
      <c r="C159" s="654"/>
      <c r="D159" s="655"/>
      <c r="E159" s="655"/>
      <c r="F159" s="655"/>
      <c r="G159" s="655"/>
      <c r="H159" s="655"/>
      <c r="I159" s="655"/>
      <c r="J159" s="655"/>
      <c r="K159" s="655"/>
      <c r="L159" s="655"/>
      <c r="M159" s="655"/>
      <c r="N159" s="655"/>
    </row>
    <row r="160" spans="1:14" x14ac:dyDescent="0.3">
      <c r="A160" s="919" t="s">
        <v>4132</v>
      </c>
      <c r="B160" s="851">
        <v>171140</v>
      </c>
      <c r="C160" s="654">
        <v>165330</v>
      </c>
      <c r="D160" s="655"/>
      <c r="E160" s="655"/>
      <c r="F160" s="655"/>
      <c r="G160" s="655"/>
      <c r="H160" s="655"/>
      <c r="I160" s="655"/>
      <c r="J160" s="655"/>
      <c r="K160" s="655"/>
      <c r="L160" s="655"/>
      <c r="M160" s="655"/>
      <c r="N160" s="655"/>
    </row>
    <row r="161" spans="1:14" x14ac:dyDescent="0.3">
      <c r="A161" s="919" t="s">
        <v>4134</v>
      </c>
      <c r="B161" s="851"/>
      <c r="C161" s="654"/>
      <c r="D161" s="655"/>
      <c r="E161" s="655"/>
      <c r="F161" s="655"/>
      <c r="G161" s="655"/>
      <c r="H161" s="655"/>
      <c r="I161" s="655"/>
      <c r="J161" s="655"/>
      <c r="K161" s="655"/>
      <c r="L161" s="655"/>
      <c r="M161" s="655"/>
      <c r="N161" s="655"/>
    </row>
    <row r="162" spans="1:14" x14ac:dyDescent="0.3">
      <c r="A162" s="919" t="s">
        <v>4138</v>
      </c>
      <c r="B162" s="851"/>
      <c r="C162" s="654">
        <v>600</v>
      </c>
      <c r="D162" s="655"/>
      <c r="E162" s="655"/>
      <c r="F162" s="655"/>
      <c r="G162" s="655"/>
      <c r="H162" s="655"/>
      <c r="I162" s="655"/>
      <c r="J162" s="655"/>
      <c r="K162" s="655"/>
      <c r="L162" s="655"/>
      <c r="M162" s="655"/>
      <c r="N162" s="655"/>
    </row>
    <row r="163" spans="1:14" x14ac:dyDescent="0.3">
      <c r="A163" s="919"/>
      <c r="B163" s="851"/>
      <c r="C163" s="654"/>
      <c r="D163" s="655"/>
      <c r="E163" s="655"/>
      <c r="F163" s="655"/>
      <c r="G163" s="655"/>
      <c r="H163" s="655"/>
      <c r="I163" s="655"/>
      <c r="J163" s="655"/>
      <c r="K163" s="655"/>
      <c r="L163" s="655"/>
      <c r="M163" s="655"/>
      <c r="N163" s="655"/>
    </row>
    <row r="164" spans="1:14" x14ac:dyDescent="0.3">
      <c r="A164" s="804" t="s">
        <v>347</v>
      </c>
      <c r="B164" s="843">
        <f t="shared" ref="B164:M164" si="64">SUM(B146:B162)</f>
        <v>188442.4</v>
      </c>
      <c r="C164" s="843">
        <f t="shared" si="64"/>
        <v>165930</v>
      </c>
      <c r="D164" s="843">
        <f t="shared" si="64"/>
        <v>0</v>
      </c>
      <c r="E164" s="843">
        <f t="shared" si="64"/>
        <v>0</v>
      </c>
      <c r="F164" s="843">
        <f t="shared" si="64"/>
        <v>0</v>
      </c>
      <c r="G164" s="843">
        <f t="shared" si="64"/>
        <v>0</v>
      </c>
      <c r="H164" s="843">
        <f t="shared" si="64"/>
        <v>0</v>
      </c>
      <c r="I164" s="843">
        <f t="shared" si="64"/>
        <v>0</v>
      </c>
      <c r="J164" s="843">
        <f t="shared" si="64"/>
        <v>0</v>
      </c>
      <c r="K164" s="843">
        <f t="shared" si="64"/>
        <v>0</v>
      </c>
      <c r="L164" s="843">
        <f t="shared" si="64"/>
        <v>0</v>
      </c>
      <c r="M164" s="843">
        <f t="shared" si="64"/>
        <v>0</v>
      </c>
      <c r="N164" s="655"/>
    </row>
    <row r="165" spans="1:14" x14ac:dyDescent="0.3">
      <c r="A165" s="841" t="s">
        <v>347</v>
      </c>
      <c r="B165" s="842">
        <f t="shared" ref="B165:M165" si="65">+B164+B93+B112+B117</f>
        <v>9372654.290000001</v>
      </c>
      <c r="C165" s="842">
        <f t="shared" si="65"/>
        <v>10996569.25</v>
      </c>
      <c r="D165" s="842">
        <f t="shared" si="65"/>
        <v>11350607.549999997</v>
      </c>
      <c r="E165" s="842">
        <f t="shared" si="65"/>
        <v>6361852.5599999903</v>
      </c>
      <c r="F165" s="842">
        <f t="shared" si="65"/>
        <v>4345100.6499999994</v>
      </c>
      <c r="G165" s="842">
        <f t="shared" si="65"/>
        <v>3805335.2199999997</v>
      </c>
      <c r="H165" s="842">
        <f t="shared" si="65"/>
        <v>4586814.9399999995</v>
      </c>
      <c r="I165" s="842">
        <f t="shared" si="65"/>
        <v>3365250.7699999991</v>
      </c>
      <c r="J165" s="842">
        <f t="shared" si="65"/>
        <v>6658221.0299999984</v>
      </c>
      <c r="K165" s="842">
        <f t="shared" si="65"/>
        <v>3109975.1399999992</v>
      </c>
      <c r="L165" s="842">
        <f t="shared" si="65"/>
        <v>0</v>
      </c>
      <c r="M165" s="842">
        <f t="shared" si="65"/>
        <v>0</v>
      </c>
      <c r="N165" s="655"/>
    </row>
    <row r="166" spans="1:14" x14ac:dyDescent="0.3">
      <c r="A166" s="804" t="s">
        <v>3887</v>
      </c>
      <c r="B166" s="843">
        <f>+B167-B165</f>
        <v>277089.06999999657</v>
      </c>
      <c r="C166" s="843">
        <f t="shared" ref="C166:D166" si="66">+C167-C165</f>
        <v>-177313.58000000194</v>
      </c>
      <c r="D166" s="843">
        <f t="shared" si="66"/>
        <v>-5602224.3760000011</v>
      </c>
      <c r="E166" s="843">
        <f t="shared" ref="E166" si="67">+E167-E165</f>
        <v>188316.39000000153</v>
      </c>
      <c r="F166" s="843">
        <f t="shared" ref="F166" si="68">+F167-F165</f>
        <v>1017216.969999996</v>
      </c>
      <c r="G166" s="843">
        <f t="shared" ref="G166" si="69">+G167-G165</f>
        <v>980432.66999999993</v>
      </c>
      <c r="H166" s="843">
        <f t="shared" ref="H166" si="70">+H167-H165</f>
        <v>-282899.91999999993</v>
      </c>
      <c r="I166" s="843">
        <f t="shared" ref="I166" si="71">+I167-I165</f>
        <v>-837040.07999999961</v>
      </c>
      <c r="J166" s="843">
        <f t="shared" ref="J166" si="72">+J167-J165</f>
        <v>-3494070.9499999988</v>
      </c>
      <c r="K166" s="843">
        <f t="shared" ref="K166" si="73">+K167-K165</f>
        <v>-1149140.199999999</v>
      </c>
      <c r="L166" s="843">
        <f t="shared" ref="L166" si="74">+L167-L165</f>
        <v>0</v>
      </c>
      <c r="M166" s="843">
        <f t="shared" ref="M166" si="75">+M167-M165</f>
        <v>0</v>
      </c>
      <c r="N166" s="655"/>
    </row>
    <row r="167" spans="1:14" x14ac:dyDescent="0.3">
      <c r="A167" s="804" t="s">
        <v>347</v>
      </c>
      <c r="B167" s="843">
        <f t="shared" ref="B167:M167" si="76">+B81</f>
        <v>9649743.3599999975</v>
      </c>
      <c r="C167" s="843">
        <f t="shared" si="76"/>
        <v>10819255.669999998</v>
      </c>
      <c r="D167" s="843">
        <f t="shared" si="76"/>
        <v>5748383.1739999959</v>
      </c>
      <c r="E167" s="843">
        <f t="shared" si="76"/>
        <v>6550168.9499999918</v>
      </c>
      <c r="F167" s="843">
        <f t="shared" si="76"/>
        <v>5362317.6199999955</v>
      </c>
      <c r="G167" s="843">
        <f t="shared" si="76"/>
        <v>4785767.8899999997</v>
      </c>
      <c r="H167" s="843">
        <f t="shared" si="76"/>
        <v>4303915.0199999996</v>
      </c>
      <c r="I167" s="843">
        <f t="shared" si="76"/>
        <v>2528210.6899999995</v>
      </c>
      <c r="J167" s="843">
        <f t="shared" si="76"/>
        <v>3164150.0799999996</v>
      </c>
      <c r="K167" s="843">
        <f t="shared" si="76"/>
        <v>1960834.9400000002</v>
      </c>
      <c r="L167" s="843">
        <f t="shared" si="76"/>
        <v>0</v>
      </c>
      <c r="M167" s="843">
        <f t="shared" si="76"/>
        <v>0</v>
      </c>
      <c r="N167" s="655"/>
    </row>
    <row r="168" spans="1:14" x14ac:dyDescent="0.3">
      <c r="A168" s="800"/>
      <c r="B168" s="836"/>
      <c r="C168" s="836"/>
      <c r="D168" s="836"/>
      <c r="E168" s="836"/>
      <c r="F168" s="836"/>
      <c r="G168" s="836"/>
      <c r="H168" s="836"/>
      <c r="I168" s="836"/>
      <c r="J168" s="836"/>
      <c r="K168" s="836"/>
      <c r="L168" s="836"/>
      <c r="M168" s="836"/>
      <c r="N168" s="655"/>
    </row>
    <row r="169" spans="1:14" x14ac:dyDescent="0.3">
      <c r="A169" s="802" t="s">
        <v>4199</v>
      </c>
      <c r="B169" s="848"/>
      <c r="C169" s="655"/>
      <c r="D169" s="655"/>
      <c r="E169" s="655"/>
      <c r="F169" s="655"/>
      <c r="G169" s="655"/>
      <c r="H169" s="655"/>
      <c r="I169" s="655"/>
      <c r="J169" s="655"/>
      <c r="K169" s="655"/>
      <c r="L169" s="655"/>
      <c r="M169" s="655"/>
      <c r="N169" s="655"/>
    </row>
    <row r="170" spans="1:14" x14ac:dyDescent="0.3">
      <c r="A170" s="916" t="s">
        <v>4140</v>
      </c>
      <c r="B170" s="851">
        <f>SUMIFS(PURCHASE!$K$6:$K$10000,PURCHASE!$S$6:$S$10000,$A$95:$A$322,PURCHASE!$A$6:$A$10000,B3)</f>
        <v>0</v>
      </c>
      <c r="C170" s="851">
        <f>SUMIFS(PURCHASE!$K$6:$K$10000,PURCHASE!$S$6:$S$10000,$A$95:$A$322,PURCHASE!$A$6:$A$10000,C3)</f>
        <v>0</v>
      </c>
      <c r="D170" s="851">
        <f>SUMIFS(PURCHASE!$K$6:$K$10000,PURCHASE!$S$6:$S$10000,$A$95:$A$322,PURCHASE!$A$6:$A$10000,D3)</f>
        <v>0</v>
      </c>
      <c r="E170" s="851">
        <f>SUMIFS(PURCHASE!$K$6:$K$10000,PURCHASE!$S$6:$S$10000,$A$95:$A$322,PURCHASE!$A$6:$A$10000,E3)</f>
        <v>0</v>
      </c>
      <c r="F170" s="851">
        <f>SUMIFS(PURCHASE!$K$6:$K$10000,PURCHASE!$S$6:$S$10000,$A$95:$A$322,PURCHASE!$A$6:$A$10000,F3)</f>
        <v>0</v>
      </c>
      <c r="G170" s="851">
        <f>SUMIFS(PURCHASE!$K$6:$K$10000,PURCHASE!$S$6:$S$10000,$A$95:$A$322,PURCHASE!$A$6:$A$10000,G3)</f>
        <v>0</v>
      </c>
      <c r="H170" s="851">
        <f>SUMIFS(PURCHASE!$K$6:$K$10000,PURCHASE!$S$6:$S$10000,$A$95:$A$322,PURCHASE!$A$6:$A$10000,H3)</f>
        <v>0</v>
      </c>
      <c r="I170" s="851">
        <f>SUMIFS(PURCHASE!$K$6:$K$10000,PURCHASE!$S$6:$S$10000,$A$95:$A$322,PURCHASE!$A$6:$A$10000,I3)</f>
        <v>0</v>
      </c>
      <c r="J170" s="851">
        <f>SUMIFS(PURCHASE!$K$6:$K$10000,PURCHASE!$S$6:$S$10000,$A$95:$A$322,PURCHASE!$A$6:$A$10000,J3)</f>
        <v>0</v>
      </c>
      <c r="K170" s="851">
        <f>SUMIFS(PURCHASE!$K$6:$K$10000,PURCHASE!$S$6:$S$10000,$A$95:$A$322,PURCHASE!$A$6:$A$10000,K3)</f>
        <v>0</v>
      </c>
      <c r="L170" s="851">
        <f>SUMIFS(PURCHASE!$K$6:$K$10000,PURCHASE!$S$6:$S$10000,$A$95:$A$322,PURCHASE!$A$6:$A$10000,L3)</f>
        <v>0</v>
      </c>
      <c r="M170" s="851">
        <f>SUMIFS(PURCHASE!$K$6:$K$10000,PURCHASE!$S$6:$S$10000,$A$95:$A$322,PURCHASE!$A$6:$A$10000,M3)</f>
        <v>0</v>
      </c>
      <c r="N170" s="655"/>
    </row>
    <row r="171" spans="1:14" x14ac:dyDescent="0.3">
      <c r="A171" s="916" t="s">
        <v>4141</v>
      </c>
      <c r="B171" s="851">
        <f>SUMIFS(PURCHASE!$K$6:$K$10000,PURCHASE!$S$6:$S$10000,$A$95:$A$322,PURCHASE!$A$6:$A$10000,B3)</f>
        <v>0</v>
      </c>
      <c r="C171" s="851">
        <f>SUMIFS(PURCHASE!$K$6:$K$10000,PURCHASE!$S$6:$S$10000,$A$95:$A$322,PURCHASE!$A$6:$A$10000,C3)</f>
        <v>0</v>
      </c>
      <c r="D171" s="851">
        <f>SUMIFS(PURCHASE!$K$6:$K$10000,PURCHASE!$S$6:$S$10000,$A$95:$A$322,PURCHASE!$A$6:$A$10000,D3)</f>
        <v>0</v>
      </c>
      <c r="E171" s="851">
        <f>SUMIFS(PURCHASE!$K$6:$K$10000,PURCHASE!$S$6:$S$10000,$A$95:$A$322,PURCHASE!$A$6:$A$10000,E3)</f>
        <v>0</v>
      </c>
      <c r="F171" s="851">
        <f>SUMIFS(PURCHASE!$K$6:$K$10000,PURCHASE!$S$6:$S$10000,$A$95:$A$322,PURCHASE!$A$6:$A$10000,F3)</f>
        <v>0</v>
      </c>
      <c r="G171" s="851">
        <f>SUMIFS(PURCHASE!$K$6:$K$10000,PURCHASE!$S$6:$S$10000,$A$95:$A$322,PURCHASE!$A$6:$A$10000,G3)</f>
        <v>0</v>
      </c>
      <c r="H171" s="851">
        <f>SUMIFS(PURCHASE!$K$6:$K$10000,PURCHASE!$S$6:$S$10000,$A$95:$A$322,PURCHASE!$A$6:$A$10000,H3)</f>
        <v>0</v>
      </c>
      <c r="I171" s="851">
        <f>SUMIFS(PURCHASE!$K$6:$K$10000,PURCHASE!$S$6:$S$10000,$A$95:$A$322,PURCHASE!$A$6:$A$10000,I3)</f>
        <v>0</v>
      </c>
      <c r="J171" s="851">
        <f>SUMIFS(PURCHASE!$K$6:$K$10000,PURCHASE!$S$6:$S$10000,$A$95:$A$322,PURCHASE!$A$6:$A$10000,J3)</f>
        <v>0</v>
      </c>
      <c r="K171" s="851">
        <f>SUMIFS(PURCHASE!$K$6:$K$10000,PURCHASE!$S$6:$S$10000,$A$95:$A$322,PURCHASE!$A$6:$A$10000,K3)</f>
        <v>0</v>
      </c>
      <c r="L171" s="851">
        <f>SUMIFS(PURCHASE!$K$6:$K$10000,PURCHASE!$S$6:$S$10000,$A$95:$A$322,PURCHASE!$A$6:$A$10000,L3)</f>
        <v>0</v>
      </c>
      <c r="M171" s="851">
        <f>SUMIFS(PURCHASE!$K$6:$K$10000,PURCHASE!$S$6:$S$10000,$A$95:$A$322,PURCHASE!$A$6:$A$10000,M3)</f>
        <v>0</v>
      </c>
      <c r="N171" s="655"/>
    </row>
    <row r="172" spans="1:14" x14ac:dyDescent="0.3">
      <c r="A172" s="916" t="s">
        <v>4187</v>
      </c>
      <c r="B172" s="851">
        <f>SUMIFS(PURCHASE!$K$6:$K$10000,PURCHASE!$S$6:$S$10000,$A$95:$A$322,PURCHASE!$A$6:$A$10000,B3)</f>
        <v>0</v>
      </c>
      <c r="C172" s="851">
        <f>SUMIFS(PURCHASE!$K$6:$K$10000,PURCHASE!$S$6:$S$10000,$A$95:$A$322,PURCHASE!$A$6:$A$10000,C3)</f>
        <v>0</v>
      </c>
      <c r="D172" s="851">
        <f>SUMIFS(PURCHASE!$K$6:$K$10000,PURCHASE!$S$6:$S$10000,$A$95:$A$322,PURCHASE!$A$6:$A$10000,D3)</f>
        <v>0</v>
      </c>
      <c r="E172" s="851">
        <f>SUMIFS(PURCHASE!$K$6:$K$10000,PURCHASE!$S$6:$S$10000,$A$95:$A$322,PURCHASE!$A$6:$A$10000,E3)</f>
        <v>0</v>
      </c>
      <c r="F172" s="851">
        <f>SUMIFS(PURCHASE!$K$6:$K$10000,PURCHASE!$S$6:$S$10000,$A$95:$A$322,PURCHASE!$A$6:$A$10000,F3)</f>
        <v>0</v>
      </c>
      <c r="G172" s="851">
        <f>SUMIFS(PURCHASE!$K$6:$K$10000,PURCHASE!$S$6:$S$10000,$A$95:$A$322,PURCHASE!$A$6:$A$10000,G3)</f>
        <v>0</v>
      </c>
      <c r="H172" s="851">
        <f>SUMIFS(PURCHASE!$K$6:$K$10000,PURCHASE!$S$6:$S$10000,$A$95:$A$322,PURCHASE!$A$6:$A$10000,H3)</f>
        <v>0</v>
      </c>
      <c r="I172" s="851">
        <f>SUMIFS(PURCHASE!$K$6:$K$10000,PURCHASE!$S$6:$S$10000,$A$95:$A$322,PURCHASE!$A$6:$A$10000,I3)</f>
        <v>0</v>
      </c>
      <c r="J172" s="851">
        <f>SUMIFS(PURCHASE!$K$6:$K$10000,PURCHASE!$S$6:$S$10000,$A$95:$A$322,PURCHASE!$A$6:$A$10000,J3)</f>
        <v>0</v>
      </c>
      <c r="K172" s="851">
        <f>SUMIFS(PURCHASE!$K$6:$K$10000,PURCHASE!$S$6:$S$10000,$A$95:$A$322,PURCHASE!$A$6:$A$10000,K3)</f>
        <v>0</v>
      </c>
      <c r="L172" s="851">
        <f>SUMIFS(PURCHASE!$K$6:$K$10000,PURCHASE!$S$6:$S$10000,$A$95:$A$322,PURCHASE!$A$6:$A$10000,L3)</f>
        <v>0</v>
      </c>
      <c r="M172" s="851">
        <f>SUMIFS(PURCHASE!$K$6:$K$10000,PURCHASE!$S$6:$S$10000,$A$95:$A$322,PURCHASE!$A$6:$A$10000,M3)</f>
        <v>0</v>
      </c>
      <c r="N172" s="655"/>
    </row>
    <row r="173" spans="1:14" x14ac:dyDescent="0.3">
      <c r="A173" s="916" t="s">
        <v>4142</v>
      </c>
      <c r="B173" s="851">
        <f>SUMIFS(PURCHASE!$K$6:$K$10000,PURCHASE!$S$6:$S$10000,$A$95:$A$322,PURCHASE!$A$6:$A$10000,B3)</f>
        <v>0</v>
      </c>
      <c r="C173" s="851">
        <f>SUMIFS(PURCHASE!$K$6:$K$10000,PURCHASE!$S$6:$S$10000,$A$95:$A$322,PURCHASE!$A$6:$A$10000,C3)</f>
        <v>0</v>
      </c>
      <c r="D173" s="851">
        <f>SUMIFS(PURCHASE!$K$6:$K$10000,PURCHASE!$S$6:$S$10000,$A$95:$A$322,PURCHASE!$A$6:$A$10000,D3)</f>
        <v>0</v>
      </c>
      <c r="E173" s="851">
        <f>SUMIFS(PURCHASE!$K$6:$K$10000,PURCHASE!$S$6:$S$10000,$A$95:$A$322,PURCHASE!$A$6:$A$10000,E3)</f>
        <v>0</v>
      </c>
      <c r="F173" s="851">
        <f>SUMIFS(PURCHASE!$K$6:$K$10000,PURCHASE!$S$6:$S$10000,$A$95:$A$322,PURCHASE!$A$6:$A$10000,F3)</f>
        <v>0</v>
      </c>
      <c r="G173" s="851">
        <f>SUMIFS(PURCHASE!$K$6:$K$10000,PURCHASE!$S$6:$S$10000,$A$95:$A$322,PURCHASE!$A$6:$A$10000,G3)</f>
        <v>0</v>
      </c>
      <c r="H173" s="851">
        <f>SUMIFS(PURCHASE!$K$6:$K$10000,PURCHASE!$S$6:$S$10000,$A$95:$A$322,PURCHASE!$A$6:$A$10000,H3)</f>
        <v>0</v>
      </c>
      <c r="I173" s="851">
        <f>SUMIFS(PURCHASE!$K$6:$K$10000,PURCHASE!$S$6:$S$10000,$A$95:$A$322,PURCHASE!$A$6:$A$10000,I3)</f>
        <v>0</v>
      </c>
      <c r="J173" s="851">
        <f>SUMIFS(PURCHASE!$K$6:$K$10000,PURCHASE!$S$6:$S$10000,$A$95:$A$322,PURCHASE!$A$6:$A$10000,J3)</f>
        <v>0</v>
      </c>
      <c r="K173" s="851">
        <f>SUMIFS(PURCHASE!$K$6:$K$10000,PURCHASE!$S$6:$S$10000,$A$95:$A$322,PURCHASE!$A$6:$A$10000,K3)</f>
        <v>0</v>
      </c>
      <c r="L173" s="851">
        <f>SUMIFS(PURCHASE!$K$6:$K$10000,PURCHASE!$S$6:$S$10000,$A$95:$A$322,PURCHASE!$A$6:$A$10000,L3)</f>
        <v>0</v>
      </c>
      <c r="M173" s="851">
        <f>SUMIFS(PURCHASE!$K$6:$K$10000,PURCHASE!$S$6:$S$10000,$A$95:$A$322,PURCHASE!$A$6:$A$10000,M3)</f>
        <v>0</v>
      </c>
      <c r="N173" s="655"/>
    </row>
    <row r="174" spans="1:14" x14ac:dyDescent="0.3">
      <c r="A174" s="916" t="s">
        <v>4143</v>
      </c>
      <c r="B174" s="851">
        <f>SUMIFS(PURCHASE!$K$6:$K$10000,PURCHASE!$S$6:$S$10000,$A$95:$A$322,PURCHASE!$A$6:$A$10000,B3)</f>
        <v>0</v>
      </c>
      <c r="C174" s="851">
        <f>SUMIFS(PURCHASE!$K$6:$K$10000,PURCHASE!$S$6:$S$10000,$A$95:$A$322,PURCHASE!$A$6:$A$10000,C3)</f>
        <v>0</v>
      </c>
      <c r="D174" s="851">
        <f>SUMIFS(PURCHASE!$K$6:$K$10000,PURCHASE!$S$6:$S$10000,$A$95:$A$322,PURCHASE!$A$6:$A$10000,D3)</f>
        <v>0</v>
      </c>
      <c r="E174" s="851">
        <f>SUMIFS(PURCHASE!$K$6:$K$10000,PURCHASE!$S$6:$S$10000,$A$95:$A$322,PURCHASE!$A$6:$A$10000,E3)</f>
        <v>0</v>
      </c>
      <c r="F174" s="851">
        <f>SUMIFS(PURCHASE!$K$6:$K$10000,PURCHASE!$S$6:$S$10000,$A$95:$A$322,PURCHASE!$A$6:$A$10000,F3)</f>
        <v>0</v>
      </c>
      <c r="G174" s="851">
        <f>SUMIFS(PURCHASE!$K$6:$K$10000,PURCHASE!$S$6:$S$10000,$A$95:$A$322,PURCHASE!$A$6:$A$10000,G3)</f>
        <v>0</v>
      </c>
      <c r="H174" s="851">
        <f>SUMIFS(PURCHASE!$K$6:$K$10000,PURCHASE!$S$6:$S$10000,$A$95:$A$322,PURCHASE!$A$6:$A$10000,H3)</f>
        <v>0</v>
      </c>
      <c r="I174" s="851">
        <f>SUMIFS(PURCHASE!$K$6:$K$10000,PURCHASE!$S$6:$S$10000,$A$95:$A$322,PURCHASE!$A$6:$A$10000,I3)</f>
        <v>0</v>
      </c>
      <c r="J174" s="851">
        <f>SUMIFS(PURCHASE!$K$6:$K$10000,PURCHASE!$S$6:$S$10000,$A$95:$A$322,PURCHASE!$A$6:$A$10000,J3)</f>
        <v>0</v>
      </c>
      <c r="K174" s="851">
        <f>SUMIFS(PURCHASE!$K$6:$K$10000,PURCHASE!$S$6:$S$10000,$A$95:$A$322,PURCHASE!$A$6:$A$10000,K3)</f>
        <v>0</v>
      </c>
      <c r="L174" s="851">
        <f>SUMIFS(PURCHASE!$K$6:$K$10000,PURCHASE!$S$6:$S$10000,$A$95:$A$322,PURCHASE!$A$6:$A$10000,L3)</f>
        <v>0</v>
      </c>
      <c r="M174" s="851">
        <f>SUMIFS(PURCHASE!$K$6:$K$10000,PURCHASE!$S$6:$S$10000,$A$95:$A$322,PURCHASE!$A$6:$A$10000,M3)</f>
        <v>0</v>
      </c>
      <c r="N174" s="655"/>
    </row>
    <row r="175" spans="1:14" x14ac:dyDescent="0.3">
      <c r="A175" s="916" t="s">
        <v>4144</v>
      </c>
      <c r="B175" s="851">
        <f>SUMIFS(PURCHASE!$K$6:$K$10000,PURCHASE!$S$6:$S$10000,$A$95:$A$322,PURCHASE!$A$6:$A$10000,B3)</f>
        <v>0</v>
      </c>
      <c r="C175" s="851">
        <f>SUMIFS(PURCHASE!$K$6:$K$10000,PURCHASE!$S$6:$S$10000,$A$95:$A$322,PURCHASE!$A$6:$A$10000,C3)</f>
        <v>0</v>
      </c>
      <c r="D175" s="851">
        <f>SUMIFS(PURCHASE!$K$6:$K$10000,PURCHASE!$S$6:$S$10000,$A$95:$A$322,PURCHASE!$A$6:$A$10000,D3)</f>
        <v>0</v>
      </c>
      <c r="E175" s="851">
        <f>SUMIFS(PURCHASE!$K$6:$K$10000,PURCHASE!$S$6:$S$10000,$A$95:$A$322,PURCHASE!$A$6:$A$10000,E3)</f>
        <v>0</v>
      </c>
      <c r="F175" s="851">
        <f>SUMIFS(PURCHASE!$K$6:$K$10000,PURCHASE!$S$6:$S$10000,$A$95:$A$322,PURCHASE!$A$6:$A$10000,F3)</f>
        <v>0</v>
      </c>
      <c r="G175" s="851">
        <f>SUMIFS(PURCHASE!$K$6:$K$10000,PURCHASE!$S$6:$S$10000,$A$95:$A$322,PURCHASE!$A$6:$A$10000,G3)</f>
        <v>0</v>
      </c>
      <c r="H175" s="851">
        <f>SUMIFS(PURCHASE!$K$6:$K$10000,PURCHASE!$S$6:$S$10000,$A$95:$A$322,PURCHASE!$A$6:$A$10000,H3)</f>
        <v>0</v>
      </c>
      <c r="I175" s="851">
        <f>SUMIFS(PURCHASE!$K$6:$K$10000,PURCHASE!$S$6:$S$10000,$A$95:$A$322,PURCHASE!$A$6:$A$10000,I3)</f>
        <v>0</v>
      </c>
      <c r="J175" s="851">
        <f>SUMIFS(PURCHASE!$K$6:$K$10000,PURCHASE!$S$6:$S$10000,$A$95:$A$322,PURCHASE!$A$6:$A$10000,J3)</f>
        <v>0</v>
      </c>
      <c r="K175" s="851">
        <f>SUMIFS(PURCHASE!$K$6:$K$10000,PURCHASE!$S$6:$S$10000,$A$95:$A$322,PURCHASE!$A$6:$A$10000,K3)</f>
        <v>0</v>
      </c>
      <c r="L175" s="851">
        <f>SUMIFS(PURCHASE!$K$6:$K$10000,PURCHASE!$S$6:$S$10000,$A$95:$A$322,PURCHASE!$A$6:$A$10000,L3)</f>
        <v>0</v>
      </c>
      <c r="M175" s="851">
        <f>SUMIFS(PURCHASE!$K$6:$K$10000,PURCHASE!$S$6:$S$10000,$A$95:$A$322,PURCHASE!$A$6:$A$10000,M3)</f>
        <v>0</v>
      </c>
      <c r="N175" s="655"/>
    </row>
    <row r="176" spans="1:14" x14ac:dyDescent="0.3">
      <c r="A176" s="916" t="s">
        <v>4146</v>
      </c>
      <c r="B176" s="851">
        <f>SUMIFS(PURCHASE!$K$6:$K$10000,PURCHASE!$S$6:$S$10000,$A$95:$A$322,PURCHASE!$A$6:$A$10000,B3)</f>
        <v>0</v>
      </c>
      <c r="C176" s="851">
        <f>SUMIFS(PURCHASE!$K$6:$K$10000,PURCHASE!$S$6:$S$10000,$A$95:$A$322,PURCHASE!$A$6:$A$10000,C3)</f>
        <v>0</v>
      </c>
      <c r="D176" s="851">
        <f>SUMIFS(PURCHASE!$K$6:$K$10000,PURCHASE!$S$6:$S$10000,$A$95:$A$322,PURCHASE!$A$6:$A$10000,D3)</f>
        <v>0</v>
      </c>
      <c r="E176" s="851">
        <f>SUMIFS(PURCHASE!$K$6:$K$10000,PURCHASE!$S$6:$S$10000,$A$95:$A$322,PURCHASE!$A$6:$A$10000,E3)</f>
        <v>0</v>
      </c>
      <c r="F176" s="851">
        <f>SUMIFS(PURCHASE!$K$6:$K$10000,PURCHASE!$S$6:$S$10000,$A$95:$A$322,PURCHASE!$A$6:$A$10000,F3)</f>
        <v>0</v>
      </c>
      <c r="G176" s="851">
        <f>SUMIFS(PURCHASE!$K$6:$K$10000,PURCHASE!$S$6:$S$10000,$A$95:$A$322,PURCHASE!$A$6:$A$10000,G3)</f>
        <v>0</v>
      </c>
      <c r="H176" s="851">
        <f>SUMIFS(PURCHASE!$K$6:$K$10000,PURCHASE!$S$6:$S$10000,$A$95:$A$322,PURCHASE!$A$6:$A$10000,H3)</f>
        <v>0</v>
      </c>
      <c r="I176" s="851">
        <f>SUMIFS(PURCHASE!$K$6:$K$10000,PURCHASE!$S$6:$S$10000,$A$95:$A$322,PURCHASE!$A$6:$A$10000,I3)</f>
        <v>0</v>
      </c>
      <c r="J176" s="851">
        <f>SUMIFS(PURCHASE!$K$6:$K$10000,PURCHASE!$S$6:$S$10000,$A$95:$A$322,PURCHASE!$A$6:$A$10000,J3)</f>
        <v>0</v>
      </c>
      <c r="K176" s="851">
        <f>SUMIFS(PURCHASE!$K$6:$K$10000,PURCHASE!$S$6:$S$10000,$A$95:$A$322,PURCHASE!$A$6:$A$10000,K3)</f>
        <v>0</v>
      </c>
      <c r="L176" s="851">
        <f>SUMIFS(PURCHASE!$K$6:$K$10000,PURCHASE!$S$6:$S$10000,$A$95:$A$322,PURCHASE!$A$6:$A$10000,L3)</f>
        <v>0</v>
      </c>
      <c r="M176" s="851">
        <f>SUMIFS(PURCHASE!$K$6:$K$10000,PURCHASE!$S$6:$S$10000,$A$95:$A$322,PURCHASE!$A$6:$A$10000,M3)</f>
        <v>0</v>
      </c>
      <c r="N176" s="655"/>
    </row>
    <row r="177" spans="1:14" x14ac:dyDescent="0.3">
      <c r="A177" s="916" t="s">
        <v>4151</v>
      </c>
      <c r="B177" s="851">
        <f>SUMIFS(PURCHASE!$K$6:$K$10000,PURCHASE!$S$6:$S$10000,$A$95:$A$322,PURCHASE!$A$6:$A$10000,B3)</f>
        <v>0</v>
      </c>
      <c r="C177" s="851">
        <f>SUMIFS(PURCHASE!$K$6:$K$10000,PURCHASE!$S$6:$S$10000,$A$95:$A$322,PURCHASE!$A$6:$A$10000,C3)</f>
        <v>0</v>
      </c>
      <c r="D177" s="851">
        <f>SUMIFS(PURCHASE!$K$6:$K$10000,PURCHASE!$S$6:$S$10000,$A$95:$A$322,PURCHASE!$A$6:$A$10000,D3)</f>
        <v>0</v>
      </c>
      <c r="E177" s="851">
        <f>SUMIFS(PURCHASE!$K$6:$K$10000,PURCHASE!$S$6:$S$10000,$A$95:$A$322,PURCHASE!$A$6:$A$10000,E3)</f>
        <v>0</v>
      </c>
      <c r="F177" s="851">
        <f>SUMIFS(PURCHASE!$K$6:$K$10000,PURCHASE!$S$6:$S$10000,$A$95:$A$322,PURCHASE!$A$6:$A$10000,F3)</f>
        <v>0</v>
      </c>
      <c r="G177" s="851">
        <f>SUMIFS(PURCHASE!$K$6:$K$10000,PURCHASE!$S$6:$S$10000,$A$95:$A$322,PURCHASE!$A$6:$A$10000,G3)</f>
        <v>0</v>
      </c>
      <c r="H177" s="851">
        <f>SUMIFS(PURCHASE!$K$6:$K$10000,PURCHASE!$S$6:$S$10000,$A$95:$A$322,PURCHASE!$A$6:$A$10000,H3)</f>
        <v>0</v>
      </c>
      <c r="I177" s="851">
        <f>SUMIFS(PURCHASE!$K$6:$K$10000,PURCHASE!$S$6:$S$10000,$A$95:$A$322,PURCHASE!$A$6:$A$10000,I3)</f>
        <v>0</v>
      </c>
      <c r="J177" s="851">
        <f>SUMIFS(PURCHASE!$K$6:$K$10000,PURCHASE!$S$6:$S$10000,$A$95:$A$322,PURCHASE!$A$6:$A$10000,J3)</f>
        <v>0</v>
      </c>
      <c r="K177" s="851">
        <f>SUMIFS(PURCHASE!$K$6:$K$10000,PURCHASE!$S$6:$S$10000,$A$95:$A$322,PURCHASE!$A$6:$A$10000,K3)</f>
        <v>0</v>
      </c>
      <c r="L177" s="851">
        <f>SUMIFS(PURCHASE!$K$6:$K$10000,PURCHASE!$S$6:$S$10000,$A$95:$A$322,PURCHASE!$A$6:$A$10000,L3)</f>
        <v>0</v>
      </c>
      <c r="M177" s="851">
        <f>SUMIFS(PURCHASE!$K$6:$K$10000,PURCHASE!$S$6:$S$10000,$A$95:$A$322,PURCHASE!$A$6:$A$10000,M3)</f>
        <v>0</v>
      </c>
      <c r="N177" s="655"/>
    </row>
    <row r="178" spans="1:14" x14ac:dyDescent="0.3">
      <c r="A178" s="916" t="s">
        <v>4152</v>
      </c>
      <c r="B178" s="851">
        <f>SUMIFS(PURCHASE!$K$6:$K$10000,PURCHASE!$S$6:$S$10000,$A$95:$A$322,PURCHASE!$A$6:$A$10000,B3)</f>
        <v>0</v>
      </c>
      <c r="C178" s="851">
        <f>SUMIFS(PURCHASE!$K$6:$K$10000,PURCHASE!$S$6:$S$10000,$A$95:$A$322,PURCHASE!$A$6:$A$10000,C3)</f>
        <v>0</v>
      </c>
      <c r="D178" s="851">
        <f>SUMIFS(PURCHASE!$K$6:$K$10000,PURCHASE!$S$6:$S$10000,$A$95:$A$322,PURCHASE!$A$6:$A$10000,D3)</f>
        <v>0</v>
      </c>
      <c r="E178" s="851">
        <f>SUMIFS(PURCHASE!$K$6:$K$10000,PURCHASE!$S$6:$S$10000,$A$95:$A$322,PURCHASE!$A$6:$A$10000,E3)</f>
        <v>0</v>
      </c>
      <c r="F178" s="851">
        <f>SUMIFS(PURCHASE!$K$6:$K$10000,PURCHASE!$S$6:$S$10000,$A$95:$A$322,PURCHASE!$A$6:$A$10000,F3)</f>
        <v>0</v>
      </c>
      <c r="G178" s="851">
        <f>SUMIFS(PURCHASE!$K$6:$K$10000,PURCHASE!$S$6:$S$10000,$A$95:$A$322,PURCHASE!$A$6:$A$10000,G3)</f>
        <v>0</v>
      </c>
      <c r="H178" s="851">
        <f>SUMIFS(PURCHASE!$K$6:$K$10000,PURCHASE!$S$6:$S$10000,$A$95:$A$322,PURCHASE!$A$6:$A$10000,H3)</f>
        <v>0</v>
      </c>
      <c r="I178" s="851">
        <f>SUMIFS(PURCHASE!$K$6:$K$10000,PURCHASE!$S$6:$S$10000,$A$95:$A$322,PURCHASE!$A$6:$A$10000,I3)</f>
        <v>0</v>
      </c>
      <c r="J178" s="851">
        <f>SUMIFS(PURCHASE!$K$6:$K$10000,PURCHASE!$S$6:$S$10000,$A$95:$A$322,PURCHASE!$A$6:$A$10000,J3)</f>
        <v>0</v>
      </c>
      <c r="K178" s="851">
        <f>SUMIFS(PURCHASE!$K$6:$K$10000,PURCHASE!$S$6:$S$10000,$A$95:$A$322,PURCHASE!$A$6:$A$10000,K3)</f>
        <v>0</v>
      </c>
      <c r="L178" s="851">
        <f>SUMIFS(PURCHASE!$K$6:$K$10000,PURCHASE!$S$6:$S$10000,$A$95:$A$322,PURCHASE!$A$6:$A$10000,L3)</f>
        <v>0</v>
      </c>
      <c r="M178" s="851">
        <f>SUMIFS(PURCHASE!$K$6:$K$10000,PURCHASE!$S$6:$S$10000,$A$95:$A$322,PURCHASE!$A$6:$A$10000,M3)</f>
        <v>0</v>
      </c>
      <c r="N178" s="655"/>
    </row>
    <row r="179" spans="1:14" x14ac:dyDescent="0.3">
      <c r="A179" s="916" t="s">
        <v>4153</v>
      </c>
      <c r="B179" s="851">
        <f>SUMIFS(PURCHASE!$K$6:$K$10000,PURCHASE!$S$6:$S$10000,$A$95:$A$322,PURCHASE!$A$6:$A$10000,B3)</f>
        <v>0</v>
      </c>
      <c r="C179" s="851">
        <f>SUMIFS(PURCHASE!$K$6:$K$10000,PURCHASE!$S$6:$S$10000,$A$95:$A$322,PURCHASE!$A$6:$A$10000,C3)</f>
        <v>0</v>
      </c>
      <c r="D179" s="851">
        <f>SUMIFS(PURCHASE!$K$6:$K$10000,PURCHASE!$S$6:$S$10000,$A$95:$A$322,PURCHASE!$A$6:$A$10000,D3)</f>
        <v>0</v>
      </c>
      <c r="E179" s="851">
        <f>SUMIFS(PURCHASE!$K$6:$K$10000,PURCHASE!$S$6:$S$10000,$A$95:$A$322,PURCHASE!$A$6:$A$10000,E3)</f>
        <v>0</v>
      </c>
      <c r="F179" s="851">
        <f>SUMIFS(PURCHASE!$K$6:$K$10000,PURCHASE!$S$6:$S$10000,$A$95:$A$322,PURCHASE!$A$6:$A$10000,F3)</f>
        <v>0</v>
      </c>
      <c r="G179" s="851">
        <f>SUMIFS(PURCHASE!$K$6:$K$10000,PURCHASE!$S$6:$S$10000,$A$95:$A$322,PURCHASE!$A$6:$A$10000,G3)</f>
        <v>0</v>
      </c>
      <c r="H179" s="851">
        <f>SUMIFS(PURCHASE!$K$6:$K$10000,PURCHASE!$S$6:$S$10000,$A$95:$A$322,PURCHASE!$A$6:$A$10000,H3)</f>
        <v>0</v>
      </c>
      <c r="I179" s="851">
        <f>SUMIFS(PURCHASE!$K$6:$K$10000,PURCHASE!$S$6:$S$10000,$A$95:$A$322,PURCHASE!$A$6:$A$10000,I3)</f>
        <v>0</v>
      </c>
      <c r="J179" s="851">
        <f>SUMIFS(PURCHASE!$K$6:$K$10000,PURCHASE!$S$6:$S$10000,$A$95:$A$322,PURCHASE!$A$6:$A$10000,J3)</f>
        <v>0</v>
      </c>
      <c r="K179" s="851">
        <f>SUMIFS(PURCHASE!$K$6:$K$10000,PURCHASE!$S$6:$S$10000,$A$95:$A$322,PURCHASE!$A$6:$A$10000,K3)</f>
        <v>0</v>
      </c>
      <c r="L179" s="851">
        <f>SUMIFS(PURCHASE!$K$6:$K$10000,PURCHASE!$S$6:$S$10000,$A$95:$A$322,PURCHASE!$A$6:$A$10000,L3)</f>
        <v>0</v>
      </c>
      <c r="M179" s="851">
        <f>SUMIFS(PURCHASE!$K$6:$K$10000,PURCHASE!$S$6:$S$10000,$A$95:$A$322,PURCHASE!$A$6:$A$10000,M3)</f>
        <v>0</v>
      </c>
      <c r="N179" s="655"/>
    </row>
    <row r="180" spans="1:14" x14ac:dyDescent="0.3">
      <c r="A180" s="916" t="s">
        <v>4156</v>
      </c>
      <c r="B180" s="851">
        <f>SUMIFS(PURCHASE!$K$6:$K$10000,PURCHASE!$S$6:$S$10000,$A$95:$A$322,PURCHASE!$A$6:$A$10000,B3)</f>
        <v>0</v>
      </c>
      <c r="C180" s="851">
        <f>SUMIFS(PURCHASE!$K$6:$K$10000,PURCHASE!$S$6:$S$10000,$A$95:$A$322,PURCHASE!$A$6:$A$10000,C3)</f>
        <v>0</v>
      </c>
      <c r="D180" s="851">
        <f>SUMIFS(PURCHASE!$K$6:$K$10000,PURCHASE!$S$6:$S$10000,$A$95:$A$322,PURCHASE!$A$6:$A$10000,D3)</f>
        <v>0</v>
      </c>
      <c r="E180" s="851">
        <f>SUMIFS(PURCHASE!$K$6:$K$10000,PURCHASE!$S$6:$S$10000,$A$95:$A$322,PURCHASE!$A$6:$A$10000,E3)</f>
        <v>0</v>
      </c>
      <c r="F180" s="851">
        <f>SUMIFS(PURCHASE!$K$6:$K$10000,PURCHASE!$S$6:$S$10000,$A$95:$A$322,PURCHASE!$A$6:$A$10000,F3)</f>
        <v>0</v>
      </c>
      <c r="G180" s="851">
        <f>SUMIFS(PURCHASE!$K$6:$K$10000,PURCHASE!$S$6:$S$10000,$A$95:$A$322,PURCHASE!$A$6:$A$10000,G3)</f>
        <v>0</v>
      </c>
      <c r="H180" s="851">
        <f>SUMIFS(PURCHASE!$K$6:$K$10000,PURCHASE!$S$6:$S$10000,$A$95:$A$322,PURCHASE!$A$6:$A$10000,H3)</f>
        <v>0</v>
      </c>
      <c r="I180" s="851">
        <f>SUMIFS(PURCHASE!$K$6:$K$10000,PURCHASE!$S$6:$S$10000,$A$95:$A$322,PURCHASE!$A$6:$A$10000,I3)</f>
        <v>0</v>
      </c>
      <c r="J180" s="851">
        <f>SUMIFS(PURCHASE!$K$6:$K$10000,PURCHASE!$S$6:$S$10000,$A$95:$A$322,PURCHASE!$A$6:$A$10000,J3)</f>
        <v>0</v>
      </c>
      <c r="K180" s="851">
        <f>SUMIFS(PURCHASE!$K$6:$K$10000,PURCHASE!$S$6:$S$10000,$A$95:$A$322,PURCHASE!$A$6:$A$10000,K3)</f>
        <v>3500</v>
      </c>
      <c r="L180" s="851">
        <f>SUMIFS(PURCHASE!$K$6:$K$10000,PURCHASE!$S$6:$S$10000,$A$95:$A$322,PURCHASE!$A$6:$A$10000,L3)</f>
        <v>0</v>
      </c>
      <c r="M180" s="851">
        <f>SUMIFS(PURCHASE!$K$6:$K$10000,PURCHASE!$S$6:$S$10000,$A$95:$A$322,PURCHASE!$A$6:$A$10000,M3)</f>
        <v>0</v>
      </c>
      <c r="N180" s="655"/>
    </row>
    <row r="181" spans="1:14" x14ac:dyDescent="0.3">
      <c r="A181" s="916" t="s">
        <v>4164</v>
      </c>
      <c r="B181" s="851">
        <f>SUMIFS(PURCHASE!$K$6:$K$10000,PURCHASE!$S$6:$S$10000,$A$95:$A$322,PURCHASE!$A$6:$A$10000,B3)</f>
        <v>0</v>
      </c>
      <c r="C181" s="851">
        <f>SUMIFS(PURCHASE!$K$6:$K$10000,PURCHASE!$S$6:$S$10000,$A$95:$A$322,PURCHASE!$A$6:$A$10000,C3)</f>
        <v>0</v>
      </c>
      <c r="D181" s="851">
        <f>SUMIFS(PURCHASE!$K$6:$K$10000,PURCHASE!$S$6:$S$10000,$A$95:$A$322,PURCHASE!$A$6:$A$10000,D3)</f>
        <v>0</v>
      </c>
      <c r="E181" s="851">
        <f>SUMIFS(PURCHASE!$K$6:$K$10000,PURCHASE!$S$6:$S$10000,$A$95:$A$322,PURCHASE!$A$6:$A$10000,E3)</f>
        <v>0</v>
      </c>
      <c r="F181" s="851">
        <f>SUMIFS(PURCHASE!$K$6:$K$10000,PURCHASE!$S$6:$S$10000,$A$95:$A$322,PURCHASE!$A$6:$A$10000,F3)</f>
        <v>0</v>
      </c>
      <c r="G181" s="851">
        <f>SUMIFS(PURCHASE!$K$6:$K$10000,PURCHASE!$S$6:$S$10000,$A$95:$A$322,PURCHASE!$A$6:$A$10000,G3)</f>
        <v>0</v>
      </c>
      <c r="H181" s="851">
        <f>SUMIFS(PURCHASE!$K$6:$K$10000,PURCHASE!$S$6:$S$10000,$A$95:$A$322,PURCHASE!$A$6:$A$10000,H3)</f>
        <v>0</v>
      </c>
      <c r="I181" s="851">
        <f>SUMIFS(PURCHASE!$K$6:$K$10000,PURCHASE!$S$6:$S$10000,$A$95:$A$322,PURCHASE!$A$6:$A$10000,I3)</f>
        <v>0</v>
      </c>
      <c r="J181" s="851">
        <f>SUMIFS(PURCHASE!$K$6:$K$10000,PURCHASE!$S$6:$S$10000,$A$95:$A$322,PURCHASE!$A$6:$A$10000,J3)</f>
        <v>0</v>
      </c>
      <c r="K181" s="851">
        <f>SUMIFS(PURCHASE!$K$6:$K$10000,PURCHASE!$S$6:$S$10000,$A$95:$A$322,PURCHASE!$A$6:$A$10000,K3)</f>
        <v>0</v>
      </c>
      <c r="L181" s="851">
        <f>SUMIFS(PURCHASE!$K$6:$K$10000,PURCHASE!$S$6:$S$10000,$A$95:$A$322,PURCHASE!$A$6:$A$10000,L3)</f>
        <v>0</v>
      </c>
      <c r="M181" s="851">
        <f>SUMIFS(PURCHASE!$K$6:$K$10000,PURCHASE!$S$6:$S$10000,$A$95:$A$322,PURCHASE!$A$6:$A$10000,M3)</f>
        <v>0</v>
      </c>
      <c r="N181" s="655"/>
    </row>
    <row r="182" spans="1:14" x14ac:dyDescent="0.3">
      <c r="A182" s="916" t="s">
        <v>4165</v>
      </c>
      <c r="B182" s="851">
        <f>SUMIFS(PURCHASE!$K$6:$K$10000,PURCHASE!$S$6:$S$10000,$A$95:$A$322,PURCHASE!$A$6:$A$10000,B3)</f>
        <v>0</v>
      </c>
      <c r="C182" s="851">
        <f>SUMIFS(PURCHASE!$K$6:$K$10000,PURCHASE!$S$6:$S$10000,$A$95:$A$322,PURCHASE!$A$6:$A$10000,C3)</f>
        <v>0</v>
      </c>
      <c r="D182" s="851">
        <f>SUMIFS(PURCHASE!$K$6:$K$10000,PURCHASE!$S$6:$S$10000,$A$95:$A$322,PURCHASE!$A$6:$A$10000,D3)</f>
        <v>0</v>
      </c>
      <c r="E182" s="851">
        <f>SUMIFS(PURCHASE!$K$6:$K$10000,PURCHASE!$S$6:$S$10000,$A$95:$A$322,PURCHASE!$A$6:$A$10000,E3)</f>
        <v>0</v>
      </c>
      <c r="F182" s="851">
        <f>SUMIFS(PURCHASE!$K$6:$K$10000,PURCHASE!$S$6:$S$10000,$A$95:$A$322,PURCHASE!$A$6:$A$10000,F3)</f>
        <v>0</v>
      </c>
      <c r="G182" s="851">
        <f>SUMIFS(PURCHASE!$K$6:$K$10000,PURCHASE!$S$6:$S$10000,$A$95:$A$322,PURCHASE!$A$6:$A$10000,G3)</f>
        <v>0</v>
      </c>
      <c r="H182" s="851">
        <f>SUMIFS(PURCHASE!$K$6:$K$10000,PURCHASE!$S$6:$S$10000,$A$95:$A$322,PURCHASE!$A$6:$A$10000,H3)</f>
        <v>0</v>
      </c>
      <c r="I182" s="851">
        <f>SUMIFS(PURCHASE!$K$6:$K$10000,PURCHASE!$S$6:$S$10000,$A$95:$A$322,PURCHASE!$A$6:$A$10000,I3)</f>
        <v>0</v>
      </c>
      <c r="J182" s="851">
        <f>SUMIFS(PURCHASE!$K$6:$K$10000,PURCHASE!$S$6:$S$10000,$A$95:$A$322,PURCHASE!$A$6:$A$10000,J3)</f>
        <v>0</v>
      </c>
      <c r="K182" s="851">
        <f>SUMIFS(PURCHASE!$K$6:$K$10000,PURCHASE!$S$6:$S$10000,$A$95:$A$322,PURCHASE!$A$6:$A$10000,K3)</f>
        <v>0</v>
      </c>
      <c r="L182" s="851">
        <f>SUMIFS(PURCHASE!$K$6:$K$10000,PURCHASE!$S$6:$S$10000,$A$95:$A$322,PURCHASE!$A$6:$A$10000,L3)</f>
        <v>0</v>
      </c>
      <c r="M182" s="851">
        <f>SUMIFS(PURCHASE!$K$6:$K$10000,PURCHASE!$S$6:$S$10000,$A$95:$A$322,PURCHASE!$A$6:$A$10000,M3)</f>
        <v>0</v>
      </c>
      <c r="N182" s="655"/>
    </row>
    <row r="183" spans="1:14" x14ac:dyDescent="0.3">
      <c r="A183" s="916" t="s">
        <v>4166</v>
      </c>
      <c r="B183" s="851">
        <f>SUMIFS(PURCHASE!$K$6:$K$10000,PURCHASE!$S$6:$S$10000,$A$95:$A$322,PURCHASE!$A$6:$A$10000,B3)</f>
        <v>0</v>
      </c>
      <c r="C183" s="851">
        <f>SUMIFS(PURCHASE!$K$6:$K$10000,PURCHASE!$S$6:$S$10000,$A$95:$A$322,PURCHASE!$A$6:$A$10000,C3)</f>
        <v>0</v>
      </c>
      <c r="D183" s="851">
        <f>SUMIFS(PURCHASE!$K$6:$K$10000,PURCHASE!$S$6:$S$10000,$A$95:$A$322,PURCHASE!$A$6:$A$10000,D3)</f>
        <v>0</v>
      </c>
      <c r="E183" s="851">
        <f>SUMIFS(PURCHASE!$K$6:$K$10000,PURCHASE!$S$6:$S$10000,$A$95:$A$322,PURCHASE!$A$6:$A$10000,E3)</f>
        <v>0</v>
      </c>
      <c r="F183" s="851">
        <f>SUMIFS(PURCHASE!$K$6:$K$10000,PURCHASE!$S$6:$S$10000,$A$95:$A$322,PURCHASE!$A$6:$A$10000,F3)</f>
        <v>0</v>
      </c>
      <c r="G183" s="851">
        <f>SUMIFS(PURCHASE!$K$6:$K$10000,PURCHASE!$S$6:$S$10000,$A$95:$A$322,PURCHASE!$A$6:$A$10000,G3)</f>
        <v>0</v>
      </c>
      <c r="H183" s="851">
        <f>SUMIFS(PURCHASE!$K$6:$K$10000,PURCHASE!$S$6:$S$10000,$A$95:$A$322,PURCHASE!$A$6:$A$10000,H3)</f>
        <v>0</v>
      </c>
      <c r="I183" s="851">
        <f>SUMIFS(PURCHASE!$K$6:$K$10000,PURCHASE!$S$6:$S$10000,$A$95:$A$322,PURCHASE!$A$6:$A$10000,I3)</f>
        <v>0</v>
      </c>
      <c r="J183" s="851">
        <f>SUMIFS(PURCHASE!$K$6:$K$10000,PURCHASE!$S$6:$S$10000,$A$95:$A$322,PURCHASE!$A$6:$A$10000,J3)</f>
        <v>0</v>
      </c>
      <c r="K183" s="851">
        <f>SUMIFS(PURCHASE!$K$6:$K$10000,PURCHASE!$S$6:$S$10000,$A$95:$A$322,PURCHASE!$A$6:$A$10000,K3)</f>
        <v>0</v>
      </c>
      <c r="L183" s="851">
        <f>SUMIFS(PURCHASE!$K$6:$K$10000,PURCHASE!$S$6:$S$10000,$A$95:$A$322,PURCHASE!$A$6:$A$10000,L3)</f>
        <v>0</v>
      </c>
      <c r="M183" s="851">
        <f>SUMIFS(PURCHASE!$K$6:$K$10000,PURCHASE!$S$6:$S$10000,$A$95:$A$322,PURCHASE!$A$6:$A$10000,M3)</f>
        <v>0</v>
      </c>
      <c r="N183" s="655"/>
    </row>
    <row r="184" spans="1:14" x14ac:dyDescent="0.3">
      <c r="A184" s="916" t="s">
        <v>4167</v>
      </c>
      <c r="B184" s="851">
        <f>SUMIFS(PURCHASE!$K$6:$K$10000,PURCHASE!$S$6:$S$10000,$A$95:$A$322,PURCHASE!$A$6:$A$10000,B3)</f>
        <v>376945</v>
      </c>
      <c r="C184" s="851">
        <f>SUMIFS(PURCHASE!$K$6:$K$10000,PURCHASE!$S$6:$S$10000,$A$95:$A$322,PURCHASE!$A$6:$A$10000,C3)</f>
        <v>0</v>
      </c>
      <c r="D184" s="851">
        <f>SUMIFS(PURCHASE!$K$6:$K$10000,PURCHASE!$S$6:$S$10000,$A$95:$A$322,PURCHASE!$A$6:$A$10000,D3)</f>
        <v>0</v>
      </c>
      <c r="E184" s="851">
        <f>SUMIFS(PURCHASE!$K$6:$K$10000,PURCHASE!$S$6:$S$10000,$A$95:$A$322,PURCHASE!$A$6:$A$10000,E3)</f>
        <v>0</v>
      </c>
      <c r="F184" s="851">
        <f>SUMIFS(PURCHASE!$K$6:$K$10000,PURCHASE!$S$6:$S$10000,$A$95:$A$322,PURCHASE!$A$6:$A$10000,F3)</f>
        <v>0</v>
      </c>
      <c r="G184" s="851">
        <f>SUMIFS(PURCHASE!$K$6:$K$10000,PURCHASE!$S$6:$S$10000,$A$95:$A$322,PURCHASE!$A$6:$A$10000,G3)</f>
        <v>0</v>
      </c>
      <c r="H184" s="851">
        <f>SUMIFS(PURCHASE!$K$6:$K$10000,PURCHASE!$S$6:$S$10000,$A$95:$A$322,PURCHASE!$A$6:$A$10000,H3)</f>
        <v>0</v>
      </c>
      <c r="I184" s="851">
        <f>SUMIFS(PURCHASE!$K$6:$K$10000,PURCHASE!$S$6:$S$10000,$A$95:$A$322,PURCHASE!$A$6:$A$10000,I3)</f>
        <v>0</v>
      </c>
      <c r="J184" s="851">
        <f>SUMIFS(PURCHASE!$K$6:$K$10000,PURCHASE!$S$6:$S$10000,$A$95:$A$322,PURCHASE!$A$6:$A$10000,J3)</f>
        <v>0</v>
      </c>
      <c r="K184" s="851">
        <f>SUMIFS(PURCHASE!$K$6:$K$10000,PURCHASE!$S$6:$S$10000,$A$95:$A$322,PURCHASE!$A$6:$A$10000,K3)</f>
        <v>0</v>
      </c>
      <c r="L184" s="851">
        <f>SUMIFS(PURCHASE!$K$6:$K$10000,PURCHASE!$S$6:$S$10000,$A$95:$A$322,PURCHASE!$A$6:$A$10000,L3)</f>
        <v>0</v>
      </c>
      <c r="M184" s="851">
        <f>SUMIFS(PURCHASE!$K$6:$K$10000,PURCHASE!$S$6:$S$10000,$A$95:$A$322,PURCHASE!$A$6:$A$10000,M3)</f>
        <v>0</v>
      </c>
      <c r="N184" s="655"/>
    </row>
    <row r="185" spans="1:14" x14ac:dyDescent="0.3">
      <c r="A185" s="916" t="s">
        <v>4169</v>
      </c>
      <c r="B185" s="851">
        <f>SUMIFS(PURCHASE!$K$6:$K$10000,PURCHASE!$S$6:$S$10000,$A$95:$A$322,PURCHASE!$A$6:$A$10000,B3)</f>
        <v>0</v>
      </c>
      <c r="C185" s="851">
        <f>SUMIFS(PURCHASE!$K$6:$K$10000,PURCHASE!$S$6:$S$10000,$A$95:$A$322,PURCHASE!$A$6:$A$10000,C3)</f>
        <v>0</v>
      </c>
      <c r="D185" s="851">
        <f>SUMIFS(PURCHASE!$K$6:$K$10000,PURCHASE!$S$6:$S$10000,$A$95:$A$322,PURCHASE!$A$6:$A$10000,D3)</f>
        <v>0</v>
      </c>
      <c r="E185" s="851">
        <f>SUMIFS(PURCHASE!$K$6:$K$10000,PURCHASE!$S$6:$S$10000,$A$95:$A$322,PURCHASE!$A$6:$A$10000,E3)</f>
        <v>0</v>
      </c>
      <c r="F185" s="851">
        <f>SUMIFS(PURCHASE!$K$6:$K$10000,PURCHASE!$S$6:$S$10000,$A$95:$A$322,PURCHASE!$A$6:$A$10000,F3)</f>
        <v>0</v>
      </c>
      <c r="G185" s="851">
        <f>SUMIFS(PURCHASE!$K$6:$K$10000,PURCHASE!$S$6:$S$10000,$A$95:$A$322,PURCHASE!$A$6:$A$10000,G3)</f>
        <v>0</v>
      </c>
      <c r="H185" s="851">
        <f>SUMIFS(PURCHASE!$K$6:$K$10000,PURCHASE!$S$6:$S$10000,$A$95:$A$322,PURCHASE!$A$6:$A$10000,H3)</f>
        <v>0</v>
      </c>
      <c r="I185" s="851">
        <f>SUMIFS(PURCHASE!$K$6:$K$10000,PURCHASE!$S$6:$S$10000,$A$95:$A$322,PURCHASE!$A$6:$A$10000,I3)</f>
        <v>0</v>
      </c>
      <c r="J185" s="851">
        <f>SUMIFS(PURCHASE!$K$6:$K$10000,PURCHASE!$S$6:$S$10000,$A$95:$A$322,PURCHASE!$A$6:$A$10000,J3)</f>
        <v>0</v>
      </c>
      <c r="K185" s="851">
        <f>SUMIFS(PURCHASE!$K$6:$K$10000,PURCHASE!$S$6:$S$10000,$A$95:$A$322,PURCHASE!$A$6:$A$10000,K3)</f>
        <v>0</v>
      </c>
      <c r="L185" s="851">
        <f>SUMIFS(PURCHASE!$K$6:$K$10000,PURCHASE!$S$6:$S$10000,$A$95:$A$322,PURCHASE!$A$6:$A$10000,L3)</f>
        <v>0</v>
      </c>
      <c r="M185" s="851">
        <f>SUMIFS(PURCHASE!$K$6:$K$10000,PURCHASE!$S$6:$S$10000,$A$95:$A$322,PURCHASE!$A$6:$A$10000,M3)</f>
        <v>0</v>
      </c>
      <c r="N185" s="655"/>
    </row>
    <row r="186" spans="1:14" x14ac:dyDescent="0.3">
      <c r="A186" s="916" t="s">
        <v>4174</v>
      </c>
      <c r="B186" s="851">
        <f>SUMIFS(PURCHASE!$K$6:$K$10000,PURCHASE!$S$6:$S$10000,$A$95:$A$322,PURCHASE!$A$6:$A$10000,B3)</f>
        <v>0</v>
      </c>
      <c r="C186" s="851">
        <f>SUMIFS(PURCHASE!$K$6:$K$10000,PURCHASE!$S$6:$S$10000,$A$95:$A$322,PURCHASE!$A$6:$A$10000,C3)</f>
        <v>0</v>
      </c>
      <c r="D186" s="851">
        <f>SUMIFS(PURCHASE!$K$6:$K$10000,PURCHASE!$S$6:$S$10000,$A$95:$A$322,PURCHASE!$A$6:$A$10000,D3)</f>
        <v>0</v>
      </c>
      <c r="E186" s="851">
        <f>SUMIFS(PURCHASE!$K$6:$K$10000,PURCHASE!$S$6:$S$10000,$A$95:$A$322,PURCHASE!$A$6:$A$10000,E3)</f>
        <v>0</v>
      </c>
      <c r="F186" s="851">
        <f>SUMIFS(PURCHASE!$K$6:$K$10000,PURCHASE!$S$6:$S$10000,$A$95:$A$322,PURCHASE!$A$6:$A$10000,F3)</f>
        <v>0</v>
      </c>
      <c r="G186" s="851">
        <f>SUMIFS(PURCHASE!$K$6:$K$10000,PURCHASE!$S$6:$S$10000,$A$95:$A$322,PURCHASE!$A$6:$A$10000,G3)</f>
        <v>0</v>
      </c>
      <c r="H186" s="851">
        <f>SUMIFS(PURCHASE!$K$6:$K$10000,PURCHASE!$S$6:$S$10000,$A$95:$A$322,PURCHASE!$A$6:$A$10000,H3)</f>
        <v>0</v>
      </c>
      <c r="I186" s="851">
        <f>SUMIFS(PURCHASE!$K$6:$K$10000,PURCHASE!$S$6:$S$10000,$A$95:$A$322,PURCHASE!$A$6:$A$10000,I3)</f>
        <v>0</v>
      </c>
      <c r="J186" s="851">
        <f>SUMIFS(PURCHASE!$K$6:$K$10000,PURCHASE!$S$6:$S$10000,$A$95:$A$322,PURCHASE!$A$6:$A$10000,J3)</f>
        <v>0</v>
      </c>
      <c r="K186" s="851">
        <f>SUMIFS(PURCHASE!$K$6:$K$10000,PURCHASE!$S$6:$S$10000,$A$95:$A$322,PURCHASE!$A$6:$A$10000,K3)</f>
        <v>0</v>
      </c>
      <c r="L186" s="851">
        <f>SUMIFS(PURCHASE!$K$6:$K$10000,PURCHASE!$S$6:$S$10000,$A$95:$A$322,PURCHASE!$A$6:$A$10000,L3)</f>
        <v>0</v>
      </c>
      <c r="M186" s="851">
        <f>SUMIFS(PURCHASE!$K$6:$K$10000,PURCHASE!$S$6:$S$10000,$A$95:$A$322,PURCHASE!$A$6:$A$10000,M3)</f>
        <v>0</v>
      </c>
      <c r="N186" s="655"/>
    </row>
    <row r="187" spans="1:14" x14ac:dyDescent="0.3">
      <c r="A187" s="916" t="s">
        <v>4175</v>
      </c>
      <c r="B187" s="851">
        <f>SUMIFS(PURCHASE!$K$6:$K$10000,PURCHASE!$S$6:$S$10000,$A$95:$A$322,PURCHASE!$A$6:$A$10000,B3)</f>
        <v>0</v>
      </c>
      <c r="C187" s="851">
        <f>SUMIFS(PURCHASE!$K$6:$K$10000,PURCHASE!$S$6:$S$10000,$A$95:$A$322,PURCHASE!$A$6:$A$10000,C3)</f>
        <v>0</v>
      </c>
      <c r="D187" s="851">
        <f>SUMIFS(PURCHASE!$K$6:$K$10000,PURCHASE!$S$6:$S$10000,$A$95:$A$322,PURCHASE!$A$6:$A$10000,D3)</f>
        <v>0</v>
      </c>
      <c r="E187" s="851">
        <f>SUMIFS(PURCHASE!$K$6:$K$10000,PURCHASE!$S$6:$S$10000,$A$95:$A$322,PURCHASE!$A$6:$A$10000,E3)</f>
        <v>0</v>
      </c>
      <c r="F187" s="851">
        <f>SUMIFS(PURCHASE!$K$6:$K$10000,PURCHASE!$S$6:$S$10000,$A$95:$A$322,PURCHASE!$A$6:$A$10000,F3)</f>
        <v>0</v>
      </c>
      <c r="G187" s="851">
        <f>SUMIFS(PURCHASE!$K$6:$K$10000,PURCHASE!$S$6:$S$10000,$A$95:$A$322,PURCHASE!$A$6:$A$10000,G3)</f>
        <v>0</v>
      </c>
      <c r="H187" s="851">
        <f>SUMIFS(PURCHASE!$K$6:$K$10000,PURCHASE!$S$6:$S$10000,$A$95:$A$322,PURCHASE!$A$6:$A$10000,H3)</f>
        <v>0</v>
      </c>
      <c r="I187" s="851">
        <f>SUMIFS(PURCHASE!$K$6:$K$10000,PURCHASE!$S$6:$S$10000,$A$95:$A$322,PURCHASE!$A$6:$A$10000,I3)</f>
        <v>0</v>
      </c>
      <c r="J187" s="851">
        <f>SUMIFS(PURCHASE!$K$6:$K$10000,PURCHASE!$S$6:$S$10000,$A$95:$A$322,PURCHASE!$A$6:$A$10000,J3)</f>
        <v>0</v>
      </c>
      <c r="K187" s="851">
        <f>SUMIFS(PURCHASE!$K$6:$K$10000,PURCHASE!$S$6:$S$10000,$A$95:$A$322,PURCHASE!$A$6:$A$10000,K3)</f>
        <v>0</v>
      </c>
      <c r="L187" s="851">
        <f>SUMIFS(PURCHASE!$K$6:$K$10000,PURCHASE!$S$6:$S$10000,$A$95:$A$322,PURCHASE!$A$6:$A$10000,L3)</f>
        <v>0</v>
      </c>
      <c r="M187" s="851">
        <f>SUMIFS(PURCHASE!$K$6:$K$10000,PURCHASE!$S$6:$S$10000,$A$95:$A$322,PURCHASE!$A$6:$A$10000,M3)</f>
        <v>0</v>
      </c>
      <c r="N187" s="655"/>
    </row>
    <row r="188" spans="1:14" x14ac:dyDescent="0.3">
      <c r="A188" s="916" t="s">
        <v>4176</v>
      </c>
      <c r="B188" s="851">
        <f>SUMIFS(PURCHASE!$K$6:$K$10000,PURCHASE!$S$6:$S$10000,$A$95:$A$322,PURCHASE!$A$6:$A$10000,B3)</f>
        <v>0</v>
      </c>
      <c r="C188" s="851">
        <f>SUMIFS(PURCHASE!$K$6:$K$10000,PURCHASE!$S$6:$S$10000,$A$95:$A$322,PURCHASE!$A$6:$A$10000,C3)</f>
        <v>0</v>
      </c>
      <c r="D188" s="851">
        <f>SUMIFS(PURCHASE!$K$6:$K$10000,PURCHASE!$S$6:$S$10000,$A$95:$A$322,PURCHASE!$A$6:$A$10000,D3)</f>
        <v>0</v>
      </c>
      <c r="E188" s="851">
        <f>SUMIFS(PURCHASE!$K$6:$K$10000,PURCHASE!$S$6:$S$10000,$A$95:$A$322,PURCHASE!$A$6:$A$10000,E3)</f>
        <v>0</v>
      </c>
      <c r="F188" s="851">
        <f>SUMIFS(PURCHASE!$K$6:$K$10000,PURCHASE!$S$6:$S$10000,$A$95:$A$322,PURCHASE!$A$6:$A$10000,F3)</f>
        <v>0</v>
      </c>
      <c r="G188" s="851">
        <f>SUMIFS(PURCHASE!$K$6:$K$10000,PURCHASE!$S$6:$S$10000,$A$95:$A$322,PURCHASE!$A$6:$A$10000,G3)</f>
        <v>0</v>
      </c>
      <c r="H188" s="851">
        <f>SUMIFS(PURCHASE!$K$6:$K$10000,PURCHASE!$S$6:$S$10000,$A$95:$A$322,PURCHASE!$A$6:$A$10000,H3)</f>
        <v>0</v>
      </c>
      <c r="I188" s="851">
        <f>SUMIFS(PURCHASE!$K$6:$K$10000,PURCHASE!$S$6:$S$10000,$A$95:$A$322,PURCHASE!$A$6:$A$10000,I3)</f>
        <v>0</v>
      </c>
      <c r="J188" s="851">
        <f>SUMIFS(PURCHASE!$K$6:$K$10000,PURCHASE!$S$6:$S$10000,$A$95:$A$322,PURCHASE!$A$6:$A$10000,J3)</f>
        <v>0</v>
      </c>
      <c r="K188" s="851">
        <f>SUMIFS(PURCHASE!$K$6:$K$10000,PURCHASE!$S$6:$S$10000,$A$95:$A$322,PURCHASE!$A$6:$A$10000,K3)</f>
        <v>0</v>
      </c>
      <c r="L188" s="851">
        <f>SUMIFS(PURCHASE!$K$6:$K$10000,PURCHASE!$S$6:$S$10000,$A$95:$A$322,PURCHASE!$A$6:$A$10000,L3)</f>
        <v>0</v>
      </c>
      <c r="M188" s="851">
        <f>SUMIFS(PURCHASE!$K$6:$K$10000,PURCHASE!$S$6:$S$10000,$A$95:$A$322,PURCHASE!$A$6:$A$10000,M3)</f>
        <v>0</v>
      </c>
      <c r="N188" s="655"/>
    </row>
    <row r="189" spans="1:14" x14ac:dyDescent="0.3">
      <c r="A189" s="916" t="s">
        <v>4177</v>
      </c>
      <c r="B189" s="851">
        <f>SUMIFS(PURCHASE!$K$6:$K$10000,PURCHASE!$S$6:$S$10000,$A$95:$A$322,PURCHASE!$A$6:$A$10000,B3)</f>
        <v>0</v>
      </c>
      <c r="C189" s="851">
        <f>SUMIFS(PURCHASE!$K$6:$K$10000,PURCHASE!$S$6:$S$10000,$A$95:$A$322,PURCHASE!$A$6:$A$10000,C3)</f>
        <v>0</v>
      </c>
      <c r="D189" s="851">
        <f>SUMIFS(PURCHASE!$K$6:$K$10000,PURCHASE!$S$6:$S$10000,$A$95:$A$322,PURCHASE!$A$6:$A$10000,D3)</f>
        <v>0</v>
      </c>
      <c r="E189" s="851">
        <f>SUMIFS(PURCHASE!$K$6:$K$10000,PURCHASE!$S$6:$S$10000,$A$95:$A$322,PURCHASE!$A$6:$A$10000,E3)</f>
        <v>0</v>
      </c>
      <c r="F189" s="851">
        <f>SUMIFS(PURCHASE!$K$6:$K$10000,PURCHASE!$S$6:$S$10000,$A$95:$A$322,PURCHASE!$A$6:$A$10000,F3)</f>
        <v>0</v>
      </c>
      <c r="G189" s="851">
        <f>SUMIFS(PURCHASE!$K$6:$K$10000,PURCHASE!$S$6:$S$10000,$A$95:$A$322,PURCHASE!$A$6:$A$10000,G3)</f>
        <v>0</v>
      </c>
      <c r="H189" s="851">
        <f>SUMIFS(PURCHASE!$K$6:$K$10000,PURCHASE!$S$6:$S$10000,$A$95:$A$322,PURCHASE!$A$6:$A$10000,H3)</f>
        <v>0</v>
      </c>
      <c r="I189" s="851">
        <f>SUMIFS(PURCHASE!$K$6:$K$10000,PURCHASE!$S$6:$S$10000,$A$95:$A$322,PURCHASE!$A$6:$A$10000,I3)</f>
        <v>0</v>
      </c>
      <c r="J189" s="851">
        <f>SUMIFS(PURCHASE!$K$6:$K$10000,PURCHASE!$S$6:$S$10000,$A$95:$A$322,PURCHASE!$A$6:$A$10000,J3)</f>
        <v>0</v>
      </c>
      <c r="K189" s="851">
        <f>SUMIFS(PURCHASE!$K$6:$K$10000,PURCHASE!$S$6:$S$10000,$A$95:$A$322,PURCHASE!$A$6:$A$10000,K3)</f>
        <v>0</v>
      </c>
      <c r="L189" s="851">
        <f>SUMIFS(PURCHASE!$K$6:$K$10000,PURCHASE!$S$6:$S$10000,$A$95:$A$322,PURCHASE!$A$6:$A$10000,L3)</f>
        <v>0</v>
      </c>
      <c r="M189" s="851">
        <f>SUMIFS(PURCHASE!$K$6:$K$10000,PURCHASE!$S$6:$S$10000,$A$95:$A$322,PURCHASE!$A$6:$A$10000,M3)</f>
        <v>0</v>
      </c>
      <c r="N189" s="655"/>
    </row>
    <row r="190" spans="1:14" x14ac:dyDescent="0.3">
      <c r="A190" s="916"/>
      <c r="B190" s="851"/>
      <c r="C190" s="654"/>
      <c r="D190" s="655"/>
      <c r="E190" s="655"/>
      <c r="F190" s="655"/>
      <c r="G190" s="655"/>
      <c r="H190" s="655"/>
      <c r="I190" s="655"/>
      <c r="J190" s="655"/>
      <c r="K190" s="655"/>
      <c r="L190" s="655"/>
      <c r="M190" s="655"/>
      <c r="N190" s="655"/>
    </row>
    <row r="191" spans="1:14" x14ac:dyDescent="0.3">
      <c r="A191" s="916"/>
      <c r="B191" s="851"/>
      <c r="C191" s="654"/>
      <c r="D191" s="655"/>
      <c r="E191" s="655"/>
      <c r="F191" s="655"/>
      <c r="G191" s="655"/>
      <c r="H191" s="655"/>
      <c r="I191" s="655"/>
      <c r="J191" s="655"/>
      <c r="K191" s="655"/>
      <c r="L191" s="655"/>
      <c r="M191" s="655"/>
      <c r="N191" s="655"/>
    </row>
    <row r="192" spans="1:14" x14ac:dyDescent="0.3">
      <c r="A192" s="916"/>
      <c r="B192" s="851"/>
      <c r="C192" s="654"/>
      <c r="D192" s="655"/>
      <c r="E192" s="655"/>
      <c r="F192" s="655"/>
      <c r="G192" s="655"/>
      <c r="H192" s="655"/>
      <c r="I192" s="655"/>
      <c r="J192" s="655"/>
      <c r="K192" s="655"/>
      <c r="L192" s="655"/>
      <c r="M192" s="655"/>
      <c r="N192" s="655"/>
    </row>
    <row r="193" spans="1:14" x14ac:dyDescent="0.3">
      <c r="A193" s="802" t="s">
        <v>4200</v>
      </c>
      <c r="B193" s="848"/>
      <c r="C193" s="655"/>
      <c r="D193" s="655"/>
      <c r="E193" s="655"/>
      <c r="F193" s="655"/>
      <c r="G193" s="655"/>
      <c r="H193" s="655"/>
      <c r="I193" s="655"/>
      <c r="J193" s="655"/>
      <c r="K193" s="655"/>
      <c r="L193" s="655"/>
      <c r="M193" s="655"/>
      <c r="N193" s="655"/>
    </row>
    <row r="194" spans="1:14" x14ac:dyDescent="0.3">
      <c r="A194" s="919" t="s">
        <v>4139</v>
      </c>
      <c r="B194" s="851"/>
      <c r="C194" s="654">
        <v>20000</v>
      </c>
      <c r="D194" s="655"/>
      <c r="E194" s="655"/>
      <c r="F194" s="655"/>
      <c r="G194" s="655"/>
      <c r="H194" s="655"/>
      <c r="I194" s="655"/>
      <c r="J194" s="655"/>
      <c r="K194" s="655"/>
      <c r="L194" s="655"/>
      <c r="M194" s="655"/>
      <c r="N194" s="655"/>
    </row>
    <row r="195" spans="1:14" x14ac:dyDescent="0.3">
      <c r="A195" s="919" t="s">
        <v>4186</v>
      </c>
      <c r="B195" s="851"/>
      <c r="C195" s="654">
        <v>15</v>
      </c>
      <c r="D195" s="655"/>
      <c r="E195" s="655"/>
      <c r="F195" s="655"/>
      <c r="G195" s="655"/>
      <c r="H195" s="655"/>
      <c r="I195" s="655"/>
      <c r="J195" s="655"/>
      <c r="K195" s="655"/>
      <c r="L195" s="655"/>
      <c r="M195" s="655"/>
      <c r="N195" s="655"/>
    </row>
    <row r="196" spans="1:14" x14ac:dyDescent="0.3">
      <c r="A196" s="919" t="s">
        <v>4031</v>
      </c>
      <c r="B196" s="851"/>
      <c r="C196" s="654"/>
      <c r="D196" s="655"/>
      <c r="E196" s="655"/>
      <c r="F196" s="655"/>
      <c r="G196" s="655"/>
      <c r="H196" s="655"/>
      <c r="I196" s="655"/>
      <c r="J196" s="655"/>
      <c r="K196" s="655"/>
      <c r="L196" s="655"/>
      <c r="M196" s="655"/>
      <c r="N196" s="655"/>
    </row>
    <row r="197" spans="1:14" x14ac:dyDescent="0.3">
      <c r="A197" s="920" t="s">
        <v>4030</v>
      </c>
      <c r="B197" s="851"/>
      <c r="C197" s="654">
        <v>466400</v>
      </c>
      <c r="D197" s="655"/>
      <c r="E197" s="655"/>
      <c r="F197" s="655"/>
      <c r="G197" s="655"/>
      <c r="H197" s="655"/>
      <c r="I197" s="655"/>
      <c r="J197" s="655"/>
      <c r="K197" s="655"/>
      <c r="L197" s="655"/>
      <c r="M197" s="655"/>
      <c r="N197" s="655"/>
    </row>
    <row r="198" spans="1:14" x14ac:dyDescent="0.3">
      <c r="A198" s="919" t="s">
        <v>4188</v>
      </c>
      <c r="B198" s="851"/>
      <c r="C198" s="654">
        <v>998</v>
      </c>
      <c r="D198" s="655"/>
      <c r="E198" s="655"/>
      <c r="F198" s="655"/>
      <c r="G198" s="655"/>
      <c r="H198" s="655"/>
      <c r="I198" s="655"/>
      <c r="J198" s="655"/>
      <c r="K198" s="655"/>
      <c r="L198" s="655"/>
      <c r="M198" s="655"/>
      <c r="N198" s="655"/>
    </row>
    <row r="199" spans="1:14" x14ac:dyDescent="0.3">
      <c r="A199" s="919" t="s">
        <v>4147</v>
      </c>
      <c r="B199" s="851"/>
      <c r="C199" s="654"/>
      <c r="D199" s="655"/>
      <c r="E199" s="655"/>
      <c r="F199" s="655"/>
      <c r="G199" s="655"/>
      <c r="H199" s="655"/>
      <c r="I199" s="655"/>
      <c r="J199" s="655"/>
      <c r="K199" s="655"/>
      <c r="L199" s="655"/>
      <c r="M199" s="655"/>
      <c r="N199" s="655"/>
    </row>
    <row r="200" spans="1:14" x14ac:dyDescent="0.3">
      <c r="A200" s="919" t="s">
        <v>4145</v>
      </c>
      <c r="B200" s="851"/>
      <c r="C200" s="654">
        <v>4101</v>
      </c>
      <c r="D200" s="655"/>
      <c r="E200" s="655"/>
      <c r="F200" s="655"/>
      <c r="G200" s="655"/>
      <c r="H200" s="655"/>
      <c r="I200" s="655"/>
      <c r="J200" s="655"/>
      <c r="K200" s="655"/>
      <c r="L200" s="655"/>
      <c r="M200" s="655"/>
      <c r="N200" s="655"/>
    </row>
    <row r="201" spans="1:14" x14ac:dyDescent="0.3">
      <c r="A201" s="919" t="s">
        <v>4148</v>
      </c>
      <c r="B201" s="851"/>
      <c r="C201" s="654">
        <v>6169</v>
      </c>
      <c r="D201" s="655"/>
      <c r="E201" s="655"/>
      <c r="F201" s="655"/>
      <c r="G201" s="655"/>
      <c r="H201" s="655"/>
      <c r="I201" s="655"/>
      <c r="J201" s="655"/>
      <c r="K201" s="655"/>
      <c r="L201" s="655"/>
      <c r="M201" s="655"/>
      <c r="N201" s="655"/>
    </row>
    <row r="202" spans="1:14" x14ac:dyDescent="0.3">
      <c r="A202" s="919" t="s">
        <v>4149</v>
      </c>
      <c r="B202" s="851"/>
      <c r="C202" s="654">
        <v>5900</v>
      </c>
      <c r="D202" s="655"/>
      <c r="E202" s="655"/>
      <c r="F202" s="655"/>
      <c r="G202" s="655"/>
      <c r="H202" s="655"/>
      <c r="I202" s="655"/>
      <c r="J202" s="655"/>
      <c r="K202" s="655"/>
      <c r="L202" s="655"/>
      <c r="M202" s="655"/>
      <c r="N202" s="655"/>
    </row>
    <row r="203" spans="1:14" x14ac:dyDescent="0.3">
      <c r="A203" s="919" t="s">
        <v>4150</v>
      </c>
      <c r="B203" s="851"/>
      <c r="C203" s="654">
        <v>23296</v>
      </c>
      <c r="D203" s="655"/>
      <c r="E203" s="655"/>
      <c r="F203" s="655"/>
      <c r="G203" s="655"/>
      <c r="H203" s="655"/>
      <c r="I203" s="655"/>
      <c r="J203" s="655"/>
      <c r="K203" s="655"/>
      <c r="L203" s="655"/>
      <c r="M203" s="655"/>
      <c r="N203" s="655"/>
    </row>
    <row r="204" spans="1:14" x14ac:dyDescent="0.3">
      <c r="A204" s="919" t="s">
        <v>4032</v>
      </c>
      <c r="B204" s="851"/>
      <c r="C204" s="654"/>
      <c r="D204" s="655"/>
      <c r="E204" s="655"/>
      <c r="F204" s="655"/>
      <c r="G204" s="655"/>
      <c r="H204" s="655"/>
      <c r="I204" s="655"/>
      <c r="J204" s="655"/>
      <c r="K204" s="655"/>
      <c r="L204" s="655"/>
      <c r="M204" s="655"/>
      <c r="N204" s="655"/>
    </row>
    <row r="205" spans="1:14" x14ac:dyDescent="0.3">
      <c r="A205" s="919" t="s">
        <v>4033</v>
      </c>
      <c r="B205" s="851"/>
      <c r="C205" s="654"/>
      <c r="D205" s="655"/>
      <c r="E205" s="655"/>
      <c r="F205" s="655"/>
      <c r="G205" s="655"/>
      <c r="H205" s="655"/>
      <c r="I205" s="655"/>
      <c r="J205" s="655"/>
      <c r="K205" s="655"/>
      <c r="L205" s="655"/>
      <c r="M205" s="655"/>
      <c r="N205" s="655"/>
    </row>
    <row r="206" spans="1:14" x14ac:dyDescent="0.3">
      <c r="A206" s="919" t="s">
        <v>4189</v>
      </c>
      <c r="B206" s="851"/>
      <c r="C206" s="654"/>
      <c r="D206" s="655"/>
      <c r="E206" s="655"/>
      <c r="F206" s="655"/>
      <c r="G206" s="655"/>
      <c r="H206" s="655"/>
      <c r="I206" s="655"/>
      <c r="J206" s="655"/>
      <c r="K206" s="655"/>
      <c r="L206" s="655"/>
      <c r="M206" s="655"/>
      <c r="N206" s="655"/>
    </row>
    <row r="207" spans="1:14" x14ac:dyDescent="0.3">
      <c r="A207" s="919" t="s">
        <v>4154</v>
      </c>
      <c r="B207" s="851"/>
      <c r="C207" s="654"/>
      <c r="D207" s="655"/>
      <c r="E207" s="655"/>
      <c r="F207" s="655"/>
      <c r="G207" s="655"/>
      <c r="H207" s="655"/>
      <c r="I207" s="655"/>
      <c r="J207" s="655"/>
      <c r="K207" s="655"/>
      <c r="L207" s="655"/>
      <c r="M207" s="655"/>
      <c r="N207" s="655"/>
    </row>
    <row r="208" spans="1:14" x14ac:dyDescent="0.3">
      <c r="A208" s="919" t="s">
        <v>4155</v>
      </c>
      <c r="B208" s="851"/>
      <c r="C208" s="654"/>
      <c r="D208" s="655"/>
      <c r="E208" s="655"/>
      <c r="F208" s="655"/>
      <c r="G208" s="655"/>
      <c r="H208" s="655"/>
      <c r="I208" s="655"/>
      <c r="J208" s="655"/>
      <c r="K208" s="655"/>
      <c r="L208" s="655"/>
      <c r="M208" s="655"/>
      <c r="N208" s="655"/>
    </row>
    <row r="209" spans="1:14" x14ac:dyDescent="0.3">
      <c r="A209" s="919" t="s">
        <v>4157</v>
      </c>
      <c r="B209" s="851"/>
      <c r="C209" s="654"/>
      <c r="D209" s="655"/>
      <c r="E209" s="655"/>
      <c r="F209" s="655"/>
      <c r="G209" s="655"/>
      <c r="H209" s="655"/>
      <c r="I209" s="655"/>
      <c r="J209" s="655"/>
      <c r="K209" s="655"/>
      <c r="L209" s="655"/>
      <c r="M209" s="655"/>
      <c r="N209" s="655"/>
    </row>
    <row r="210" spans="1:14" x14ac:dyDescent="0.3">
      <c r="A210" s="919" t="s">
        <v>4158</v>
      </c>
      <c r="B210" s="851"/>
      <c r="C210" s="654">
        <v>2800</v>
      </c>
      <c r="D210" s="655"/>
      <c r="E210" s="655"/>
      <c r="F210" s="655"/>
      <c r="G210" s="655"/>
      <c r="H210" s="655"/>
      <c r="I210" s="655"/>
      <c r="J210" s="655"/>
      <c r="K210" s="655"/>
      <c r="L210" s="655"/>
      <c r="M210" s="655"/>
      <c r="N210" s="655"/>
    </row>
    <row r="211" spans="1:14" x14ac:dyDescent="0.3">
      <c r="A211" s="919" t="s">
        <v>4159</v>
      </c>
      <c r="B211" s="851"/>
      <c r="C211" s="654"/>
      <c r="D211" s="655"/>
      <c r="E211" s="655"/>
      <c r="F211" s="655"/>
      <c r="G211" s="655"/>
      <c r="H211" s="655"/>
      <c r="I211" s="655"/>
      <c r="J211" s="655"/>
      <c r="K211" s="655"/>
      <c r="L211" s="655"/>
      <c r="M211" s="655"/>
      <c r="N211" s="655"/>
    </row>
    <row r="212" spans="1:14" x14ac:dyDescent="0.3">
      <c r="A212" s="919" t="s">
        <v>4160</v>
      </c>
      <c r="B212" s="851"/>
      <c r="C212" s="654">
        <v>40</v>
      </c>
      <c r="D212" s="655"/>
      <c r="E212" s="655"/>
      <c r="F212" s="655"/>
      <c r="G212" s="655"/>
      <c r="H212" s="655"/>
      <c r="I212" s="655"/>
      <c r="J212" s="655"/>
      <c r="K212" s="655"/>
      <c r="L212" s="655"/>
      <c r="M212" s="655"/>
      <c r="N212" s="655"/>
    </row>
    <row r="213" spans="1:14" x14ac:dyDescent="0.3">
      <c r="A213" s="919" t="s">
        <v>4161</v>
      </c>
      <c r="B213" s="851"/>
      <c r="C213" s="654"/>
      <c r="D213" s="655"/>
      <c r="E213" s="655"/>
      <c r="F213" s="655"/>
      <c r="G213" s="655"/>
      <c r="H213" s="655"/>
      <c r="I213" s="655"/>
      <c r="J213" s="655"/>
      <c r="K213" s="655"/>
      <c r="L213" s="655"/>
      <c r="M213" s="655"/>
      <c r="N213" s="655"/>
    </row>
    <row r="214" spans="1:14" x14ac:dyDescent="0.3">
      <c r="A214" s="919" t="s">
        <v>4162</v>
      </c>
      <c r="B214" s="851"/>
      <c r="C214" s="654"/>
      <c r="D214" s="655"/>
      <c r="E214" s="655"/>
      <c r="F214" s="655"/>
      <c r="G214" s="655"/>
      <c r="H214" s="655"/>
      <c r="I214" s="655"/>
      <c r="J214" s="655"/>
      <c r="K214" s="655"/>
      <c r="L214" s="655"/>
      <c r="M214" s="655"/>
      <c r="N214" s="655"/>
    </row>
    <row r="215" spans="1:14" x14ac:dyDescent="0.3">
      <c r="A215" s="919" t="s">
        <v>4163</v>
      </c>
      <c r="B215" s="851"/>
      <c r="C215" s="654">
        <v>40650</v>
      </c>
      <c r="D215" s="655"/>
      <c r="E215" s="655"/>
      <c r="F215" s="655"/>
      <c r="G215" s="655"/>
      <c r="H215" s="655"/>
      <c r="I215" s="655"/>
      <c r="J215" s="655"/>
      <c r="K215" s="655"/>
      <c r="L215" s="655"/>
      <c r="M215" s="655"/>
      <c r="N215" s="655"/>
    </row>
    <row r="216" spans="1:14" x14ac:dyDescent="0.3">
      <c r="A216" s="919" t="s">
        <v>4168</v>
      </c>
      <c r="B216" s="851"/>
      <c r="C216" s="654">
        <v>1.8</v>
      </c>
      <c r="D216" s="655"/>
      <c r="E216" s="655"/>
      <c r="F216" s="655"/>
      <c r="G216" s="655"/>
      <c r="H216" s="655"/>
      <c r="I216" s="655"/>
      <c r="J216" s="655"/>
      <c r="K216" s="655"/>
      <c r="L216" s="655"/>
      <c r="M216" s="655"/>
      <c r="N216" s="655"/>
    </row>
    <row r="217" spans="1:14" x14ac:dyDescent="0.3">
      <c r="A217" s="919" t="s">
        <v>4170</v>
      </c>
      <c r="B217" s="851"/>
      <c r="C217" s="654">
        <v>26930</v>
      </c>
      <c r="D217" s="655"/>
      <c r="E217" s="655"/>
      <c r="F217" s="655"/>
      <c r="G217" s="655"/>
      <c r="H217" s="655"/>
      <c r="I217" s="655"/>
      <c r="J217" s="655"/>
      <c r="K217" s="655"/>
      <c r="L217" s="655"/>
      <c r="M217" s="655"/>
      <c r="N217" s="655"/>
    </row>
    <row r="218" spans="1:14" x14ac:dyDescent="0.3">
      <c r="A218" s="919" t="s">
        <v>4034</v>
      </c>
      <c r="B218" s="851"/>
      <c r="C218" s="654"/>
      <c r="D218" s="655"/>
      <c r="E218" s="655"/>
      <c r="F218" s="655"/>
      <c r="G218" s="655"/>
      <c r="H218" s="655"/>
      <c r="I218" s="655"/>
      <c r="J218" s="655"/>
      <c r="K218" s="655"/>
      <c r="L218" s="655"/>
      <c r="M218" s="655"/>
      <c r="N218" s="655"/>
    </row>
    <row r="219" spans="1:14" x14ac:dyDescent="0.3">
      <c r="A219" s="919" t="s">
        <v>4035</v>
      </c>
      <c r="B219" s="851"/>
      <c r="C219" s="654"/>
      <c r="D219" s="655"/>
      <c r="E219" s="655"/>
      <c r="F219" s="655"/>
      <c r="G219" s="655"/>
      <c r="H219" s="655"/>
      <c r="I219" s="655"/>
      <c r="J219" s="655"/>
      <c r="K219" s="655"/>
      <c r="L219" s="655"/>
      <c r="M219" s="655"/>
      <c r="N219" s="655"/>
    </row>
    <row r="220" spans="1:14" x14ac:dyDescent="0.3">
      <c r="A220" s="919" t="s">
        <v>4171</v>
      </c>
      <c r="B220" s="851"/>
      <c r="C220" s="654"/>
      <c r="D220" s="655"/>
      <c r="E220" s="655"/>
      <c r="F220" s="655"/>
      <c r="G220" s="655"/>
      <c r="H220" s="655"/>
      <c r="I220" s="655"/>
      <c r="J220" s="655"/>
      <c r="K220" s="655"/>
      <c r="L220" s="655"/>
      <c r="M220" s="655"/>
      <c r="N220" s="655"/>
    </row>
    <row r="221" spans="1:14" x14ac:dyDescent="0.3">
      <c r="A221" s="919" t="s">
        <v>4172</v>
      </c>
      <c r="B221" s="851"/>
      <c r="C221" s="654">
        <v>4795</v>
      </c>
      <c r="D221" s="655"/>
      <c r="E221" s="655"/>
      <c r="F221" s="655"/>
      <c r="G221" s="655"/>
      <c r="H221" s="655"/>
      <c r="I221" s="655"/>
      <c r="J221" s="655"/>
      <c r="K221" s="655"/>
      <c r="L221" s="655"/>
      <c r="M221" s="655"/>
      <c r="N221" s="655"/>
    </row>
    <row r="222" spans="1:14" x14ac:dyDescent="0.3">
      <c r="A222" s="919" t="s">
        <v>4173</v>
      </c>
      <c r="B222" s="851"/>
      <c r="C222" s="654"/>
      <c r="D222" s="655"/>
      <c r="E222" s="655"/>
      <c r="F222" s="655"/>
      <c r="G222" s="655"/>
      <c r="H222" s="655"/>
      <c r="I222" s="655"/>
      <c r="J222" s="655"/>
      <c r="K222" s="655"/>
      <c r="L222" s="655"/>
      <c r="M222" s="655"/>
      <c r="N222" s="655"/>
    </row>
    <row r="223" spans="1:14" x14ac:dyDescent="0.3">
      <c r="A223" s="916"/>
      <c r="B223" s="851"/>
      <c r="C223" s="654"/>
      <c r="D223" s="655"/>
      <c r="E223" s="655"/>
      <c r="F223" s="655"/>
      <c r="G223" s="655"/>
      <c r="H223" s="655"/>
      <c r="I223" s="655"/>
      <c r="J223" s="655"/>
      <c r="K223" s="655"/>
      <c r="L223" s="655"/>
      <c r="M223" s="655"/>
      <c r="N223" s="655"/>
    </row>
    <row r="224" spans="1:14" x14ac:dyDescent="0.3">
      <c r="A224" s="916"/>
      <c r="B224" s="851"/>
      <c r="C224" s="654"/>
      <c r="D224" s="655"/>
      <c r="E224" s="655"/>
      <c r="F224" s="655"/>
      <c r="G224" s="655"/>
      <c r="H224" s="655"/>
      <c r="I224" s="655"/>
      <c r="J224" s="655"/>
      <c r="K224" s="655"/>
      <c r="L224" s="655"/>
      <c r="M224" s="655"/>
      <c r="N224" s="655"/>
    </row>
    <row r="225" spans="1:14" x14ac:dyDescent="0.3">
      <c r="A225" s="916"/>
      <c r="B225" s="851"/>
      <c r="C225" s="654"/>
      <c r="D225" s="655"/>
      <c r="E225" s="655"/>
      <c r="F225" s="655"/>
      <c r="G225" s="655"/>
      <c r="H225" s="655"/>
      <c r="I225" s="655"/>
      <c r="J225" s="655"/>
      <c r="K225" s="655"/>
      <c r="L225" s="655"/>
      <c r="M225" s="655"/>
      <c r="N225" s="655"/>
    </row>
    <row r="226" spans="1:14" x14ac:dyDescent="0.3">
      <c r="A226" s="916"/>
      <c r="B226" s="851"/>
      <c r="C226" s="654"/>
      <c r="D226" s="655"/>
      <c r="E226" s="655"/>
      <c r="F226" s="655"/>
      <c r="G226" s="655"/>
      <c r="H226" s="655"/>
      <c r="I226" s="655"/>
      <c r="J226" s="655"/>
      <c r="K226" s="655"/>
      <c r="L226" s="655"/>
      <c r="M226" s="655"/>
      <c r="N226" s="655"/>
    </row>
    <row r="227" spans="1:14" x14ac:dyDescent="0.3">
      <c r="A227" s="916"/>
      <c r="B227" s="654"/>
      <c r="C227" s="654"/>
      <c r="D227" s="655"/>
      <c r="E227" s="655"/>
      <c r="F227" s="655"/>
      <c r="G227" s="655"/>
      <c r="H227" s="655"/>
      <c r="I227" s="655"/>
      <c r="J227" s="655"/>
      <c r="K227" s="655"/>
      <c r="L227" s="655"/>
      <c r="M227" s="655"/>
      <c r="N227" s="655"/>
    </row>
    <row r="228" spans="1:14" x14ac:dyDescent="0.3">
      <c r="A228" s="916"/>
      <c r="B228" s="654"/>
      <c r="C228" s="654"/>
      <c r="D228" s="655"/>
      <c r="E228" s="655"/>
      <c r="F228" s="655"/>
      <c r="G228" s="655"/>
      <c r="H228" s="655"/>
      <c r="I228" s="655"/>
      <c r="J228" s="655"/>
      <c r="K228" s="655"/>
      <c r="L228" s="655"/>
      <c r="M228" s="655"/>
      <c r="N228" s="655"/>
    </row>
    <row r="229" spans="1:14" x14ac:dyDescent="0.3">
      <c r="A229" s="916"/>
      <c r="B229" s="654"/>
      <c r="C229" s="654"/>
      <c r="D229" s="655"/>
      <c r="E229" s="655"/>
      <c r="F229" s="655"/>
      <c r="G229" s="655"/>
      <c r="H229" s="655"/>
      <c r="I229" s="655"/>
      <c r="J229" s="655"/>
      <c r="K229" s="655"/>
      <c r="L229" s="655"/>
      <c r="M229" s="655"/>
      <c r="N229" s="655"/>
    </row>
    <row r="230" spans="1:14" x14ac:dyDescent="0.3">
      <c r="A230" s="916"/>
      <c r="B230" s="654"/>
      <c r="C230" s="654"/>
      <c r="D230" s="655"/>
      <c r="E230" s="655"/>
      <c r="F230" s="655"/>
      <c r="G230" s="655"/>
      <c r="H230" s="655"/>
      <c r="I230" s="655"/>
      <c r="J230" s="655"/>
      <c r="K230" s="655"/>
      <c r="L230" s="655"/>
      <c r="M230" s="655"/>
      <c r="N230" s="655"/>
    </row>
    <row r="231" spans="1:14" x14ac:dyDescent="0.3">
      <c r="A231" s="844" t="s">
        <v>347</v>
      </c>
      <c r="B231" s="853">
        <f t="shared" ref="B231:M231" si="77">SUM(B170:B223)</f>
        <v>376945</v>
      </c>
      <c r="C231" s="853">
        <f t="shared" si="77"/>
        <v>602095.80000000005</v>
      </c>
      <c r="D231" s="853">
        <f t="shared" si="77"/>
        <v>0</v>
      </c>
      <c r="E231" s="853">
        <f t="shared" si="77"/>
        <v>0</v>
      </c>
      <c r="F231" s="853">
        <f t="shared" si="77"/>
        <v>0</v>
      </c>
      <c r="G231" s="853">
        <f t="shared" si="77"/>
        <v>0</v>
      </c>
      <c r="H231" s="853">
        <f t="shared" si="77"/>
        <v>0</v>
      </c>
      <c r="I231" s="853">
        <f t="shared" si="77"/>
        <v>0</v>
      </c>
      <c r="J231" s="853">
        <f t="shared" si="77"/>
        <v>0</v>
      </c>
      <c r="K231" s="853">
        <f t="shared" si="77"/>
        <v>3500</v>
      </c>
      <c r="L231" s="853">
        <f t="shared" si="77"/>
        <v>0</v>
      </c>
      <c r="M231" s="853">
        <f t="shared" si="77"/>
        <v>0</v>
      </c>
      <c r="N231" s="655"/>
    </row>
    <row r="232" spans="1:14" x14ac:dyDescent="0.3">
      <c r="A232" s="804" t="s">
        <v>4042</v>
      </c>
      <c r="B232" s="843">
        <f t="shared" ref="B232:M232" si="78">+B166-B231</f>
        <v>-99855.930000003427</v>
      </c>
      <c r="C232" s="843">
        <f t="shared" si="78"/>
        <v>-779409.38000000198</v>
      </c>
      <c r="D232" s="843">
        <f t="shared" si="78"/>
        <v>-5602224.3760000011</v>
      </c>
      <c r="E232" s="843">
        <f t="shared" si="78"/>
        <v>188316.39000000153</v>
      </c>
      <c r="F232" s="843">
        <f t="shared" si="78"/>
        <v>1017216.969999996</v>
      </c>
      <c r="G232" s="843">
        <f t="shared" si="78"/>
        <v>980432.66999999993</v>
      </c>
      <c r="H232" s="843">
        <f t="shared" si="78"/>
        <v>-282899.91999999993</v>
      </c>
      <c r="I232" s="843">
        <f t="shared" si="78"/>
        <v>-837040.07999999961</v>
      </c>
      <c r="J232" s="843">
        <f t="shared" si="78"/>
        <v>-3494070.9499999988</v>
      </c>
      <c r="K232" s="843">
        <f t="shared" si="78"/>
        <v>-1152640.199999999</v>
      </c>
      <c r="L232" s="843">
        <f t="shared" si="78"/>
        <v>0</v>
      </c>
      <c r="M232" s="843">
        <f t="shared" si="78"/>
        <v>0</v>
      </c>
      <c r="N232" s="655"/>
    </row>
    <row r="233" spans="1:14" x14ac:dyDescent="0.3">
      <c r="A233" s="660" t="s">
        <v>3888</v>
      </c>
      <c r="B233" s="655"/>
      <c r="C233" s="655"/>
      <c r="D233" s="655"/>
      <c r="E233" s="655"/>
      <c r="F233" s="655"/>
      <c r="G233" s="655"/>
      <c r="H233" s="655"/>
      <c r="I233" s="655"/>
      <c r="J233" s="655"/>
      <c r="K233" s="655"/>
      <c r="L233" s="655"/>
      <c r="M233" s="655"/>
      <c r="N233" s="655"/>
    </row>
    <row r="234" spans="1:14" x14ac:dyDescent="0.3">
      <c r="A234" s="660" t="s">
        <v>3889</v>
      </c>
      <c r="B234" s="655"/>
      <c r="C234" s="655"/>
      <c r="D234" s="655"/>
      <c r="E234" s="655"/>
      <c r="F234" s="655"/>
      <c r="G234" s="655"/>
      <c r="H234" s="655"/>
      <c r="I234" s="655"/>
      <c r="J234" s="655"/>
      <c r="K234" s="655"/>
      <c r="L234" s="655"/>
      <c r="M234" s="655"/>
      <c r="N234" s="655"/>
    </row>
    <row r="235" spans="1:14" x14ac:dyDescent="0.3">
      <c r="A235" s="660" t="s">
        <v>3890</v>
      </c>
      <c r="B235" s="655"/>
      <c r="C235" s="655"/>
      <c r="D235" s="655"/>
      <c r="E235" s="655"/>
      <c r="F235" s="655"/>
      <c r="G235" s="655"/>
      <c r="H235" s="655"/>
      <c r="I235" s="655"/>
      <c r="J235" s="655"/>
      <c r="K235" s="655"/>
      <c r="L235" s="655"/>
      <c r="M235" s="655"/>
      <c r="N235" s="655"/>
    </row>
    <row r="236" spans="1:14" x14ac:dyDescent="0.3">
      <c r="A236" s="660" t="s">
        <v>3891</v>
      </c>
      <c r="B236" s="655"/>
      <c r="C236" s="655"/>
      <c r="D236" s="655"/>
      <c r="E236" s="655"/>
      <c r="F236" s="655"/>
      <c r="G236" s="655"/>
      <c r="H236" s="655"/>
      <c r="I236" s="655"/>
      <c r="J236" s="655"/>
      <c r="K236" s="655"/>
      <c r="L236" s="655"/>
      <c r="M236" s="655"/>
      <c r="N236" s="655"/>
    </row>
    <row r="237" spans="1:14" x14ac:dyDescent="0.3">
      <c r="A237" s="799" t="s">
        <v>3892</v>
      </c>
      <c r="B237" s="837"/>
      <c r="C237" s="655"/>
      <c r="D237" s="655"/>
      <c r="E237" s="655"/>
      <c r="F237" s="655"/>
      <c r="G237" s="655"/>
      <c r="H237" s="655"/>
      <c r="I237" s="655"/>
      <c r="J237" s="655"/>
      <c r="K237" s="655"/>
      <c r="L237" s="655"/>
      <c r="M237" s="655"/>
      <c r="N237" s="655"/>
    </row>
    <row r="238" spans="1:14" x14ac:dyDescent="0.3">
      <c r="A238" s="660"/>
      <c r="B238" s="655"/>
      <c r="C238" s="655"/>
      <c r="D238" s="655"/>
      <c r="E238" s="655"/>
      <c r="F238" s="655"/>
      <c r="G238" s="655"/>
      <c r="H238" s="655"/>
      <c r="I238" s="655"/>
      <c r="J238" s="655"/>
      <c r="K238" s="655"/>
      <c r="L238" s="655"/>
      <c r="M238" s="655"/>
      <c r="N238" s="655"/>
    </row>
    <row r="239" spans="1:14" x14ac:dyDescent="0.3">
      <c r="A239" s="799" t="s">
        <v>3893</v>
      </c>
      <c r="B239" s="837"/>
      <c r="C239" s="655"/>
      <c r="D239" s="655"/>
      <c r="E239" s="655"/>
      <c r="F239" s="655"/>
      <c r="G239" s="655"/>
      <c r="H239" s="655"/>
      <c r="I239" s="655"/>
      <c r="J239" s="655"/>
      <c r="K239" s="655"/>
      <c r="L239" s="655"/>
      <c r="M239" s="655"/>
      <c r="N239" s="655"/>
    </row>
    <row r="240" spans="1:14" x14ac:dyDescent="0.3">
      <c r="A240" s="660" t="s">
        <v>3894</v>
      </c>
      <c r="B240" s="655"/>
      <c r="C240" s="655"/>
      <c r="D240" s="655"/>
      <c r="E240" s="655"/>
      <c r="F240" s="655"/>
      <c r="G240" s="655"/>
      <c r="H240" s="655"/>
      <c r="I240" s="655"/>
      <c r="J240" s="655"/>
      <c r="K240" s="655"/>
      <c r="L240" s="655"/>
      <c r="M240" s="655"/>
      <c r="N240" s="655"/>
    </row>
    <row r="241" spans="1:14" x14ac:dyDescent="0.3">
      <c r="A241" s="660" t="s">
        <v>3895</v>
      </c>
      <c r="B241" s="655"/>
      <c r="C241" s="655"/>
      <c r="D241" s="655"/>
      <c r="E241" s="655"/>
      <c r="F241" s="655"/>
      <c r="G241" s="655"/>
      <c r="H241" s="655"/>
      <c r="I241" s="655"/>
      <c r="J241" s="655"/>
      <c r="K241" s="655"/>
      <c r="L241" s="655"/>
      <c r="M241" s="655"/>
      <c r="N241" s="655"/>
    </row>
    <row r="242" spans="1:14" x14ac:dyDescent="0.3">
      <c r="A242" s="799" t="s">
        <v>3896</v>
      </c>
      <c r="B242" s="837"/>
      <c r="C242" s="655"/>
      <c r="D242" s="655"/>
      <c r="E242" s="655"/>
      <c r="F242" s="655"/>
      <c r="G242" s="655"/>
      <c r="H242" s="655"/>
      <c r="I242" s="655"/>
      <c r="J242" s="655"/>
      <c r="K242" s="655"/>
      <c r="L242" s="655"/>
      <c r="M242" s="655"/>
      <c r="N242" s="655"/>
    </row>
    <row r="243" spans="1:14" x14ac:dyDescent="0.3">
      <c r="A243" s="660"/>
      <c r="B243" s="655"/>
      <c r="C243" s="655"/>
      <c r="D243" s="655"/>
      <c r="E243" s="655"/>
      <c r="F243" s="655"/>
      <c r="G243" s="655"/>
      <c r="H243" s="655"/>
      <c r="I243" s="655"/>
      <c r="J243" s="655"/>
      <c r="K243" s="655"/>
      <c r="L243" s="655"/>
      <c r="M243" s="655"/>
      <c r="N243" s="655"/>
    </row>
    <row r="244" spans="1:14" x14ac:dyDescent="0.3">
      <c r="A244" s="803"/>
      <c r="B244" s="854"/>
      <c r="C244" s="854"/>
      <c r="D244" s="854"/>
      <c r="E244" s="854"/>
      <c r="F244" s="854"/>
      <c r="G244" s="854"/>
      <c r="H244" s="854"/>
      <c r="I244" s="854"/>
      <c r="J244" s="854"/>
      <c r="K244" s="854"/>
      <c r="L244" s="854"/>
      <c r="M244" s="854"/>
      <c r="N244" s="854"/>
    </row>
  </sheetData>
  <mergeCells count="2">
    <mergeCell ref="A1:N1"/>
    <mergeCell ref="A2:N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 SALE PUR TYPE'!$I$3:$I$38</xm:f>
          </x14:formula1>
          <xm:sqref>A34:A40 A43:A48 A5:A8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heetViews>
  <sheetFormatPr defaultRowHeight="14.4" x14ac:dyDescent="0.3"/>
  <cols>
    <col min="3" max="3" width="10.88671875" customWidth="1"/>
    <col min="4" max="13" width="10.21875" bestFit="1" customWidth="1"/>
  </cols>
  <sheetData>
    <row r="1" spans="1:13" ht="15" thickTop="1" x14ac:dyDescent="0.3">
      <c r="A1" s="818"/>
      <c r="B1" s="819"/>
      <c r="C1" s="819"/>
      <c r="D1" s="819"/>
      <c r="E1" s="819"/>
      <c r="F1" s="819"/>
      <c r="G1" s="820"/>
    </row>
    <row r="2" spans="1:13" ht="15.6" x14ac:dyDescent="0.3">
      <c r="A2" s="1235" t="s">
        <v>3859</v>
      </c>
      <c r="B2" s="1236"/>
      <c r="C2" s="1236"/>
      <c r="D2" s="1236"/>
      <c r="E2" s="1236"/>
      <c r="F2" s="1236"/>
      <c r="G2" s="1236"/>
      <c r="H2" s="1236"/>
      <c r="I2" s="1236"/>
      <c r="J2" s="1236"/>
      <c r="K2" s="1236"/>
      <c r="L2" s="1236"/>
      <c r="M2" s="1236"/>
    </row>
    <row r="3" spans="1:13" ht="21.6" customHeight="1" x14ac:dyDescent="0.5">
      <c r="A3" s="1242" t="s">
        <v>3999</v>
      </c>
      <c r="B3" s="1243"/>
      <c r="C3" s="1243"/>
      <c r="D3" s="1243"/>
      <c r="E3" s="1243"/>
      <c r="F3" s="1243"/>
      <c r="G3" s="1243"/>
      <c r="H3" s="1243"/>
      <c r="I3" s="1243"/>
      <c r="J3" s="1243"/>
      <c r="K3" s="1243"/>
      <c r="L3" s="1243"/>
      <c r="M3" s="1243"/>
    </row>
    <row r="4" spans="1:13" ht="15" customHeight="1" x14ac:dyDescent="0.3">
      <c r="A4" s="1244" t="s">
        <v>4000</v>
      </c>
      <c r="B4" s="1245"/>
      <c r="C4" s="1245"/>
      <c r="D4" s="1245"/>
      <c r="E4" s="1245"/>
      <c r="F4" s="1245"/>
      <c r="G4" s="1245"/>
      <c r="H4" s="1245"/>
      <c r="I4" s="1245"/>
      <c r="J4" s="1245"/>
      <c r="K4" s="1245"/>
      <c r="L4" s="1245"/>
      <c r="M4" s="1245"/>
    </row>
    <row r="5" spans="1:13" ht="14.4" customHeight="1" thickBot="1" x14ac:dyDescent="0.35">
      <c r="A5" s="1244"/>
      <c r="B5" s="1245"/>
      <c r="C5" s="1245"/>
      <c r="D5" s="1245"/>
      <c r="E5" s="1245"/>
      <c r="F5" s="1245"/>
      <c r="G5" s="1245"/>
      <c r="H5" s="1245"/>
      <c r="I5" s="1245"/>
      <c r="J5" s="1245"/>
      <c r="K5" s="1245"/>
      <c r="L5" s="1245"/>
      <c r="M5" s="1245"/>
    </row>
    <row r="6" spans="1:13" ht="18" thickBot="1" x14ac:dyDescent="0.35">
      <c r="A6" s="1239" t="s">
        <v>4004</v>
      </c>
      <c r="B6" s="1240"/>
      <c r="C6" s="1240"/>
      <c r="D6" s="1240"/>
      <c r="E6" s="1240"/>
      <c r="F6" s="1240"/>
      <c r="G6" s="1240"/>
      <c r="H6" s="1240"/>
      <c r="I6" s="1240"/>
      <c r="J6" s="1240"/>
      <c r="K6" s="1240"/>
      <c r="L6" s="1240"/>
      <c r="M6" s="1241"/>
    </row>
    <row r="7" spans="1:13" ht="15" thickBot="1" x14ac:dyDescent="0.35">
      <c r="A7" s="823" t="s">
        <v>279</v>
      </c>
      <c r="B7" s="824">
        <v>43556</v>
      </c>
      <c r="C7" s="824">
        <v>43586</v>
      </c>
      <c r="D7" s="824">
        <v>43617</v>
      </c>
      <c r="E7" s="824">
        <v>43647</v>
      </c>
      <c r="F7" s="824">
        <v>43678</v>
      </c>
      <c r="G7" s="824">
        <v>43709</v>
      </c>
      <c r="H7" s="824">
        <v>43739</v>
      </c>
      <c r="I7" s="824">
        <v>43770</v>
      </c>
      <c r="J7" s="824">
        <v>43800</v>
      </c>
      <c r="K7" s="824">
        <v>43831</v>
      </c>
      <c r="L7" s="824">
        <v>43862</v>
      </c>
      <c r="M7" s="825">
        <v>43891</v>
      </c>
    </row>
    <row r="8" spans="1:13" x14ac:dyDescent="0.3">
      <c r="A8" t="s">
        <v>4003</v>
      </c>
      <c r="B8">
        <v>0</v>
      </c>
      <c r="C8" s="826">
        <f>+B14</f>
        <v>-785454.24</v>
      </c>
      <c r="D8" s="826">
        <f t="shared" ref="D8:M8" si="0">+C14</f>
        <v>-776993.24</v>
      </c>
      <c r="E8" s="826">
        <f t="shared" si="0"/>
        <v>-769993.24</v>
      </c>
      <c r="F8" s="826">
        <f t="shared" si="0"/>
        <v>-769993.24</v>
      </c>
      <c r="G8" s="826">
        <f t="shared" si="0"/>
        <v>-769993.24</v>
      </c>
      <c r="H8" s="826">
        <f t="shared" si="0"/>
        <v>-769993.24</v>
      </c>
      <c r="I8" s="826">
        <f t="shared" si="0"/>
        <v>-769993.24</v>
      </c>
      <c r="J8" s="826">
        <f t="shared" si="0"/>
        <v>-769993.24</v>
      </c>
      <c r="K8" s="826">
        <f t="shared" si="0"/>
        <v>-769993.24</v>
      </c>
      <c r="L8" s="826">
        <f t="shared" si="0"/>
        <v>-769993.24</v>
      </c>
      <c r="M8" s="826">
        <f t="shared" si="0"/>
        <v>-769993.24</v>
      </c>
    </row>
    <row r="9" spans="1:13" x14ac:dyDescent="0.3">
      <c r="A9" t="s">
        <v>4001</v>
      </c>
      <c r="B9">
        <v>-7000</v>
      </c>
      <c r="C9">
        <v>8461</v>
      </c>
      <c r="D9">
        <v>7000</v>
      </c>
    </row>
    <row r="10" spans="1:13" x14ac:dyDescent="0.3">
      <c r="A10" t="s">
        <v>4002</v>
      </c>
      <c r="B10">
        <v>12400</v>
      </c>
      <c r="C10">
        <v>0</v>
      </c>
    </row>
    <row r="11" spans="1:13" x14ac:dyDescent="0.3">
      <c r="A11" t="s">
        <v>4008</v>
      </c>
    </row>
    <row r="12" spans="1:13" x14ac:dyDescent="0.3">
      <c r="A12" t="s">
        <v>4001</v>
      </c>
      <c r="B12">
        <v>-790854.24</v>
      </c>
    </row>
    <row r="13" spans="1:13" x14ac:dyDescent="0.3">
      <c r="A13" t="s">
        <v>4002</v>
      </c>
      <c r="B13">
        <v>0</v>
      </c>
    </row>
    <row r="14" spans="1:13" x14ac:dyDescent="0.3">
      <c r="A14" s="821" t="s">
        <v>347</v>
      </c>
      <c r="B14" s="822">
        <f>SUM(B8:B13)</f>
        <v>-785454.24</v>
      </c>
      <c r="C14" s="822">
        <f t="shared" ref="C14:M14" si="1">+C8+C9-C10</f>
        <v>-776993.24</v>
      </c>
      <c r="D14" s="822">
        <f t="shared" si="1"/>
        <v>-769993.24</v>
      </c>
      <c r="E14" s="822">
        <f t="shared" si="1"/>
        <v>-769993.24</v>
      </c>
      <c r="F14" s="822">
        <f t="shared" si="1"/>
        <v>-769993.24</v>
      </c>
      <c r="G14" s="822">
        <f t="shared" si="1"/>
        <v>-769993.24</v>
      </c>
      <c r="H14" s="822">
        <f t="shared" si="1"/>
        <v>-769993.24</v>
      </c>
      <c r="I14" s="822">
        <f t="shared" si="1"/>
        <v>-769993.24</v>
      </c>
      <c r="J14" s="822">
        <f t="shared" si="1"/>
        <v>-769993.24</v>
      </c>
      <c r="K14" s="822">
        <f t="shared" si="1"/>
        <v>-769993.24</v>
      </c>
      <c r="L14" s="822">
        <f t="shared" si="1"/>
        <v>-769993.24</v>
      </c>
      <c r="M14" s="822">
        <f t="shared" si="1"/>
        <v>-769993.24</v>
      </c>
    </row>
    <row r="15" spans="1:13" ht="15" thickBot="1" x14ac:dyDescent="0.35"/>
    <row r="16" spans="1:13" ht="18" thickBot="1" x14ac:dyDescent="0.35">
      <c r="A16" s="1239" t="s">
        <v>4005</v>
      </c>
      <c r="B16" s="1240"/>
      <c r="C16" s="1240"/>
      <c r="D16" s="1240"/>
      <c r="E16" s="1240"/>
      <c r="F16" s="1240"/>
      <c r="G16" s="1240"/>
      <c r="H16" s="1240"/>
      <c r="I16" s="1240"/>
      <c r="J16" s="1240"/>
      <c r="K16" s="1240"/>
      <c r="L16" s="1240"/>
      <c r="M16" s="1241"/>
    </row>
    <row r="17" spans="1:13" ht="15" thickBot="1" x14ac:dyDescent="0.35">
      <c r="A17" s="823" t="s">
        <v>279</v>
      </c>
      <c r="B17" s="824">
        <v>43556</v>
      </c>
      <c r="C17" s="824">
        <v>43586</v>
      </c>
      <c r="D17" s="824">
        <v>43617</v>
      </c>
      <c r="E17" s="824">
        <v>43647</v>
      </c>
      <c r="F17" s="824">
        <v>43678</v>
      </c>
      <c r="G17" s="824">
        <v>43709</v>
      </c>
      <c r="H17" s="824">
        <v>43739</v>
      </c>
      <c r="I17" s="824">
        <v>43770</v>
      </c>
      <c r="J17" s="824">
        <v>43800</v>
      </c>
      <c r="K17" s="824">
        <v>43831</v>
      </c>
      <c r="L17" s="824">
        <v>43862</v>
      </c>
      <c r="M17" s="825">
        <v>43891</v>
      </c>
    </row>
    <row r="18" spans="1:13" x14ac:dyDescent="0.3">
      <c r="A18" t="s">
        <v>4003</v>
      </c>
      <c r="B18">
        <v>0</v>
      </c>
      <c r="C18" s="826">
        <f>+B24</f>
        <v>0</v>
      </c>
      <c r="D18" s="826">
        <f t="shared" ref="D18:M18" si="2">+C24</f>
        <v>0</v>
      </c>
      <c r="E18" s="826">
        <f t="shared" si="2"/>
        <v>0</v>
      </c>
      <c r="F18" s="826">
        <f t="shared" si="2"/>
        <v>0</v>
      </c>
      <c r="G18" s="826">
        <f t="shared" si="2"/>
        <v>0</v>
      </c>
      <c r="H18" s="826">
        <f t="shared" si="2"/>
        <v>0</v>
      </c>
      <c r="I18" s="826">
        <f t="shared" si="2"/>
        <v>0</v>
      </c>
      <c r="J18" s="826">
        <f t="shared" si="2"/>
        <v>0</v>
      </c>
      <c r="K18" s="826">
        <f t="shared" si="2"/>
        <v>0</v>
      </c>
      <c r="L18" s="826">
        <f t="shared" si="2"/>
        <v>0</v>
      </c>
      <c r="M18" s="826">
        <f t="shared" si="2"/>
        <v>0</v>
      </c>
    </row>
    <row r="19" spans="1:13" x14ac:dyDescent="0.3">
      <c r="A19" t="s">
        <v>4001</v>
      </c>
      <c r="B19">
        <v>0</v>
      </c>
    </row>
    <row r="20" spans="1:13" x14ac:dyDescent="0.3">
      <c r="A20" t="s">
        <v>4002</v>
      </c>
      <c r="B20">
        <v>0</v>
      </c>
    </row>
    <row r="21" spans="1:13" x14ac:dyDescent="0.3">
      <c r="A21" t="s">
        <v>4008</v>
      </c>
    </row>
    <row r="22" spans="1:13" x14ac:dyDescent="0.3">
      <c r="A22" t="s">
        <v>4001</v>
      </c>
    </row>
    <row r="23" spans="1:13" x14ac:dyDescent="0.3">
      <c r="A23" t="s">
        <v>4002</v>
      </c>
    </row>
    <row r="24" spans="1:13" x14ac:dyDescent="0.3">
      <c r="A24" s="821" t="s">
        <v>347</v>
      </c>
      <c r="B24" s="822">
        <f>+B18+B19-B20</f>
        <v>0</v>
      </c>
      <c r="C24" s="822">
        <f t="shared" ref="C24" si="3">+C18+C19-C20</f>
        <v>0</v>
      </c>
      <c r="D24" s="822">
        <f t="shared" ref="D24" si="4">+D18+D19-D20</f>
        <v>0</v>
      </c>
      <c r="E24" s="822">
        <f t="shared" ref="E24" si="5">+E18+E19-E20</f>
        <v>0</v>
      </c>
      <c r="F24" s="822">
        <f t="shared" ref="F24" si="6">+F18+F19-F20</f>
        <v>0</v>
      </c>
      <c r="G24" s="822">
        <f t="shared" ref="G24" si="7">+G18+G19-G20</f>
        <v>0</v>
      </c>
      <c r="H24" s="822">
        <f t="shared" ref="H24" si="8">+H18+H19-H20</f>
        <v>0</v>
      </c>
      <c r="I24" s="822">
        <f t="shared" ref="I24" si="9">+I18+I19-I20</f>
        <v>0</v>
      </c>
      <c r="J24" s="822">
        <f t="shared" ref="J24" si="10">+J18+J19-J20</f>
        <v>0</v>
      </c>
      <c r="K24" s="822">
        <f t="shared" ref="K24" si="11">+K18+K19-K20</f>
        <v>0</v>
      </c>
      <c r="L24" s="822">
        <f t="shared" ref="L24" si="12">+L18+L19-L20</f>
        <v>0</v>
      </c>
      <c r="M24" s="822">
        <f t="shared" ref="M24" si="13">+M18+M19-M20</f>
        <v>0</v>
      </c>
    </row>
    <row r="25" spans="1:13" ht="15" thickBot="1" x14ac:dyDescent="0.35"/>
    <row r="26" spans="1:13" ht="18" thickBot="1" x14ac:dyDescent="0.35">
      <c r="A26" s="1239" t="s">
        <v>4006</v>
      </c>
      <c r="B26" s="1240"/>
      <c r="C26" s="1240"/>
      <c r="D26" s="1240"/>
      <c r="E26" s="1240"/>
      <c r="F26" s="1240"/>
      <c r="G26" s="1240"/>
      <c r="H26" s="1240"/>
      <c r="I26" s="1240"/>
      <c r="J26" s="1240"/>
      <c r="K26" s="1240"/>
      <c r="L26" s="1240"/>
      <c r="M26" s="1241"/>
    </row>
    <row r="27" spans="1:13" ht="15" thickBot="1" x14ac:dyDescent="0.35">
      <c r="A27" s="823" t="s">
        <v>279</v>
      </c>
      <c r="B27" s="824">
        <v>43556</v>
      </c>
      <c r="C27" s="824">
        <v>43586</v>
      </c>
      <c r="D27" s="824">
        <v>43617</v>
      </c>
      <c r="E27" s="824">
        <v>43647</v>
      </c>
      <c r="F27" s="824">
        <v>43678</v>
      </c>
      <c r="G27" s="824">
        <v>43709</v>
      </c>
      <c r="H27" s="824">
        <v>43739</v>
      </c>
      <c r="I27" s="824">
        <v>43770</v>
      </c>
      <c r="J27" s="824">
        <v>43800</v>
      </c>
      <c r="K27" s="824">
        <v>43831</v>
      </c>
      <c r="L27" s="824">
        <v>43862</v>
      </c>
      <c r="M27" s="825">
        <v>43891</v>
      </c>
    </row>
    <row r="28" spans="1:13" x14ac:dyDescent="0.3">
      <c r="A28" t="s">
        <v>4003</v>
      </c>
      <c r="B28">
        <v>500000</v>
      </c>
      <c r="C28" s="826">
        <f>+B31</f>
        <v>500000</v>
      </c>
      <c r="D28" s="826">
        <f t="shared" ref="D28:M28" si="14">+C31</f>
        <v>500000</v>
      </c>
      <c r="E28" s="826">
        <f t="shared" si="14"/>
        <v>500000</v>
      </c>
      <c r="F28" s="826">
        <f t="shared" si="14"/>
        <v>500000</v>
      </c>
      <c r="G28" s="826">
        <f t="shared" si="14"/>
        <v>500000</v>
      </c>
      <c r="H28" s="826">
        <f t="shared" si="14"/>
        <v>500000</v>
      </c>
      <c r="I28" s="826">
        <f t="shared" si="14"/>
        <v>500000</v>
      </c>
      <c r="J28" s="826">
        <f t="shared" si="14"/>
        <v>500000</v>
      </c>
      <c r="K28" s="826">
        <f t="shared" si="14"/>
        <v>500000</v>
      </c>
      <c r="L28" s="826">
        <f t="shared" si="14"/>
        <v>500000</v>
      </c>
      <c r="M28" s="826">
        <f t="shared" si="14"/>
        <v>500000</v>
      </c>
    </row>
    <row r="29" spans="1:13" x14ac:dyDescent="0.3">
      <c r="A29" t="s">
        <v>4001</v>
      </c>
      <c r="B29">
        <v>0</v>
      </c>
    </row>
    <row r="30" spans="1:13" x14ac:dyDescent="0.3">
      <c r="A30" t="s">
        <v>4002</v>
      </c>
      <c r="B30">
        <v>0</v>
      </c>
    </row>
    <row r="31" spans="1:13" x14ac:dyDescent="0.3">
      <c r="A31" s="821" t="s">
        <v>347</v>
      </c>
      <c r="B31" s="822">
        <f>+B28+B29-B30</f>
        <v>500000</v>
      </c>
      <c r="C31" s="822">
        <f t="shared" ref="C31" si="15">+C28+C29-C30</f>
        <v>500000</v>
      </c>
      <c r="D31" s="822">
        <f t="shared" ref="D31" si="16">+D28+D29-D30</f>
        <v>500000</v>
      </c>
      <c r="E31" s="822">
        <f t="shared" ref="E31" si="17">+E28+E29-E30</f>
        <v>500000</v>
      </c>
      <c r="F31" s="822">
        <f t="shared" ref="F31" si="18">+F28+F29-F30</f>
        <v>500000</v>
      </c>
      <c r="G31" s="822">
        <f t="shared" ref="G31" si="19">+G28+G29-G30</f>
        <v>500000</v>
      </c>
      <c r="H31" s="822">
        <f t="shared" ref="H31" si="20">+H28+H29-H30</f>
        <v>500000</v>
      </c>
      <c r="I31" s="822">
        <f t="shared" ref="I31" si="21">+I28+I29-I30</f>
        <v>500000</v>
      </c>
      <c r="J31" s="822">
        <f t="shared" ref="J31" si="22">+J28+J29-J30</f>
        <v>500000</v>
      </c>
      <c r="K31" s="822">
        <f t="shared" ref="K31" si="23">+K28+K29-K30</f>
        <v>500000</v>
      </c>
      <c r="L31" s="822">
        <f t="shared" ref="L31" si="24">+L28+L29-L30</f>
        <v>500000</v>
      </c>
      <c r="M31" s="822">
        <f t="shared" ref="M31" si="25">+M28+M29-M30</f>
        <v>500000</v>
      </c>
    </row>
    <row r="32" spans="1:13" ht="15" thickBot="1" x14ac:dyDescent="0.35"/>
    <row r="33" spans="1:13" ht="18" thickBot="1" x14ac:dyDescent="0.35">
      <c r="A33" s="1239" t="s">
        <v>4007</v>
      </c>
      <c r="B33" s="1240"/>
      <c r="C33" s="1240"/>
      <c r="D33" s="1240"/>
      <c r="E33" s="1240"/>
      <c r="F33" s="1240"/>
      <c r="G33" s="1240"/>
      <c r="H33" s="1240"/>
      <c r="I33" s="1240"/>
      <c r="J33" s="1240"/>
      <c r="K33" s="1240"/>
      <c r="L33" s="1240"/>
      <c r="M33" s="1241"/>
    </row>
    <row r="34" spans="1:13" ht="15" thickBot="1" x14ac:dyDescent="0.35">
      <c r="A34" s="823" t="s">
        <v>279</v>
      </c>
      <c r="B34" s="824">
        <v>43556</v>
      </c>
      <c r="C34" s="824">
        <v>43586</v>
      </c>
      <c r="D34" s="824">
        <v>43617</v>
      </c>
      <c r="E34" s="824">
        <v>43647</v>
      </c>
      <c r="F34" s="824">
        <v>43678</v>
      </c>
      <c r="G34" s="824">
        <v>43709</v>
      </c>
      <c r="H34" s="824">
        <v>43739</v>
      </c>
      <c r="I34" s="824">
        <v>43770</v>
      </c>
      <c r="J34" s="824">
        <v>43800</v>
      </c>
      <c r="K34" s="824">
        <v>43831</v>
      </c>
      <c r="L34" s="824">
        <v>43862</v>
      </c>
      <c r="M34" s="825">
        <v>43891</v>
      </c>
    </row>
    <row r="35" spans="1:13" x14ac:dyDescent="0.3">
      <c r="A35" t="s">
        <v>4003</v>
      </c>
      <c r="B35">
        <v>500000</v>
      </c>
      <c r="C35" s="826">
        <f>+B38</f>
        <v>500000</v>
      </c>
      <c r="D35" s="826">
        <f t="shared" ref="D35:M35" si="26">+C38</f>
        <v>500000</v>
      </c>
      <c r="E35" s="826">
        <f t="shared" si="26"/>
        <v>500000</v>
      </c>
      <c r="F35" s="826">
        <f t="shared" si="26"/>
        <v>500000</v>
      </c>
      <c r="G35" s="826">
        <f t="shared" si="26"/>
        <v>500000</v>
      </c>
      <c r="H35" s="826">
        <f t="shared" si="26"/>
        <v>500000</v>
      </c>
      <c r="I35" s="826">
        <f t="shared" si="26"/>
        <v>500000</v>
      </c>
      <c r="J35" s="826">
        <f t="shared" si="26"/>
        <v>500000</v>
      </c>
      <c r="K35" s="826">
        <f t="shared" si="26"/>
        <v>500000</v>
      </c>
      <c r="L35" s="826">
        <f t="shared" si="26"/>
        <v>500000</v>
      </c>
      <c r="M35" s="826">
        <f t="shared" si="26"/>
        <v>500000</v>
      </c>
    </row>
    <row r="36" spans="1:13" x14ac:dyDescent="0.3">
      <c r="A36" t="s">
        <v>4001</v>
      </c>
      <c r="B36">
        <v>0</v>
      </c>
    </row>
    <row r="37" spans="1:13" x14ac:dyDescent="0.3">
      <c r="A37" t="s">
        <v>4002</v>
      </c>
      <c r="B37">
        <v>0</v>
      </c>
    </row>
    <row r="38" spans="1:13" x14ac:dyDescent="0.3">
      <c r="A38" s="821" t="s">
        <v>347</v>
      </c>
      <c r="B38" s="822">
        <f>+B35+B36-B37</f>
        <v>500000</v>
      </c>
      <c r="C38" s="822">
        <f t="shared" ref="C38" si="27">+C35+C36-C37</f>
        <v>500000</v>
      </c>
      <c r="D38" s="822">
        <f t="shared" ref="D38" si="28">+D35+D36-D37</f>
        <v>500000</v>
      </c>
      <c r="E38" s="822">
        <f t="shared" ref="E38" si="29">+E35+E36-E37</f>
        <v>500000</v>
      </c>
      <c r="F38" s="822">
        <f t="shared" ref="F38" si="30">+F35+F36-F37</f>
        <v>500000</v>
      </c>
      <c r="G38" s="822">
        <f t="shared" ref="G38" si="31">+G35+G36-G37</f>
        <v>500000</v>
      </c>
      <c r="H38" s="822">
        <f t="shared" ref="H38" si="32">+H35+H36-H37</f>
        <v>500000</v>
      </c>
      <c r="I38" s="822">
        <f t="shared" ref="I38" si="33">+I35+I36-I37</f>
        <v>500000</v>
      </c>
      <c r="J38" s="822">
        <f t="shared" ref="J38" si="34">+J35+J36-J37</f>
        <v>500000</v>
      </c>
      <c r="K38" s="822">
        <f t="shared" ref="K38" si="35">+K35+K36-K37</f>
        <v>500000</v>
      </c>
      <c r="L38" s="822">
        <f t="shared" ref="L38" si="36">+L35+L36-L37</f>
        <v>500000</v>
      </c>
      <c r="M38" s="822">
        <f t="shared" ref="M38" si="37">+M35+M36-M37</f>
        <v>500000</v>
      </c>
    </row>
    <row r="39" spans="1:13" ht="15" thickBot="1" x14ac:dyDescent="0.35"/>
    <row r="40" spans="1:13" ht="18" thickBot="1" x14ac:dyDescent="0.35">
      <c r="A40" s="1239" t="s">
        <v>4009</v>
      </c>
      <c r="B40" s="1240"/>
      <c r="C40" s="1240"/>
      <c r="D40" s="1240"/>
      <c r="E40" s="1240"/>
      <c r="F40" s="1240"/>
      <c r="G40" s="1240"/>
      <c r="H40" s="1240"/>
      <c r="I40" s="1240"/>
      <c r="J40" s="1240"/>
      <c r="K40" s="1240"/>
      <c r="L40" s="1240"/>
      <c r="M40" s="1241"/>
    </row>
    <row r="41" spans="1:13" ht="15" thickBot="1" x14ac:dyDescent="0.35">
      <c r="A41" s="823" t="s">
        <v>279</v>
      </c>
      <c r="B41" s="824">
        <v>43556</v>
      </c>
      <c r="C41" s="824">
        <v>43586</v>
      </c>
      <c r="D41" s="824">
        <v>43617</v>
      </c>
      <c r="E41" s="824">
        <v>43647</v>
      </c>
      <c r="F41" s="824">
        <v>43678</v>
      </c>
      <c r="G41" s="824">
        <v>43709</v>
      </c>
      <c r="H41" s="824">
        <v>43739</v>
      </c>
      <c r="I41" s="824">
        <v>43770</v>
      </c>
      <c r="J41" s="824">
        <v>43800</v>
      </c>
      <c r="K41" s="824">
        <v>43831</v>
      </c>
      <c r="L41" s="824">
        <v>43862</v>
      </c>
      <c r="M41" s="825">
        <v>43891</v>
      </c>
    </row>
    <row r="42" spans="1:13" x14ac:dyDescent="0.3">
      <c r="A42" s="821" t="s">
        <v>347</v>
      </c>
      <c r="B42" s="822">
        <f>+B14+B31</f>
        <v>-285454.24</v>
      </c>
      <c r="C42" s="822">
        <f t="shared" ref="C42:M42" si="38">+C14+C31</f>
        <v>-276993.24</v>
      </c>
      <c r="D42" s="822">
        <f t="shared" si="38"/>
        <v>-269993.24</v>
      </c>
      <c r="E42" s="822">
        <f t="shared" si="38"/>
        <v>-269993.24</v>
      </c>
      <c r="F42" s="822">
        <f t="shared" si="38"/>
        <v>-269993.24</v>
      </c>
      <c r="G42" s="822">
        <f t="shared" si="38"/>
        <v>-269993.24</v>
      </c>
      <c r="H42" s="822">
        <f t="shared" si="38"/>
        <v>-269993.24</v>
      </c>
      <c r="I42" s="822">
        <f t="shared" si="38"/>
        <v>-269993.24</v>
      </c>
      <c r="J42" s="822">
        <f t="shared" si="38"/>
        <v>-269993.24</v>
      </c>
      <c r="K42" s="822">
        <f t="shared" si="38"/>
        <v>-269993.24</v>
      </c>
      <c r="L42" s="822">
        <f t="shared" si="38"/>
        <v>-269993.24</v>
      </c>
      <c r="M42" s="822">
        <f t="shared" si="38"/>
        <v>-269993.24</v>
      </c>
    </row>
    <row r="43" spans="1:13" ht="15" thickBot="1" x14ac:dyDescent="0.35"/>
    <row r="44" spans="1:13" ht="18" thickBot="1" x14ac:dyDescent="0.35">
      <c r="A44" s="1239" t="s">
        <v>4010</v>
      </c>
      <c r="B44" s="1240"/>
      <c r="C44" s="1240"/>
      <c r="D44" s="1240"/>
      <c r="E44" s="1240"/>
      <c r="F44" s="1240"/>
      <c r="G44" s="1240"/>
      <c r="H44" s="1240"/>
      <c r="I44" s="1240"/>
      <c r="J44" s="1240"/>
      <c r="K44" s="1240"/>
      <c r="L44" s="1240"/>
      <c r="M44" s="1241"/>
    </row>
    <row r="45" spans="1:13" ht="15" thickBot="1" x14ac:dyDescent="0.35">
      <c r="A45" s="823" t="s">
        <v>279</v>
      </c>
      <c r="B45" s="824">
        <v>43556</v>
      </c>
      <c r="C45" s="824">
        <v>43586</v>
      </c>
      <c r="D45" s="824">
        <v>43617</v>
      </c>
      <c r="E45" s="824">
        <v>43647</v>
      </c>
      <c r="F45" s="824">
        <v>43678</v>
      </c>
      <c r="G45" s="824">
        <v>43709</v>
      </c>
      <c r="H45" s="824">
        <v>43739</v>
      </c>
      <c r="I45" s="824">
        <v>43770</v>
      </c>
      <c r="J45" s="824">
        <v>43800</v>
      </c>
      <c r="K45" s="824">
        <v>43831</v>
      </c>
      <c r="L45" s="824">
        <v>43862</v>
      </c>
      <c r="M45" s="825">
        <v>43891</v>
      </c>
    </row>
    <row r="46" spans="1:13" x14ac:dyDescent="0.3">
      <c r="A46" s="821" t="s">
        <v>347</v>
      </c>
      <c r="B46" s="822">
        <f>+B24+B38</f>
        <v>500000</v>
      </c>
      <c r="C46" s="822">
        <f t="shared" ref="C46:M46" si="39">+C24+C38</f>
        <v>500000</v>
      </c>
      <c r="D46" s="822">
        <f t="shared" si="39"/>
        <v>500000</v>
      </c>
      <c r="E46" s="822">
        <f t="shared" si="39"/>
        <v>500000</v>
      </c>
      <c r="F46" s="822">
        <f t="shared" si="39"/>
        <v>500000</v>
      </c>
      <c r="G46" s="822">
        <f t="shared" si="39"/>
        <v>500000</v>
      </c>
      <c r="H46" s="822">
        <f t="shared" si="39"/>
        <v>500000</v>
      </c>
      <c r="I46" s="822">
        <f t="shared" si="39"/>
        <v>500000</v>
      </c>
      <c r="J46" s="822">
        <f t="shared" si="39"/>
        <v>500000</v>
      </c>
      <c r="K46" s="822">
        <f t="shared" si="39"/>
        <v>500000</v>
      </c>
      <c r="L46" s="822">
        <f t="shared" si="39"/>
        <v>500000</v>
      </c>
      <c r="M46" s="822">
        <f t="shared" si="39"/>
        <v>500000</v>
      </c>
    </row>
    <row r="47" spans="1:13" ht="15" thickBot="1" x14ac:dyDescent="0.35"/>
    <row r="48" spans="1:13" ht="15" thickBot="1" x14ac:dyDescent="0.35">
      <c r="A48" s="827" t="s">
        <v>4011</v>
      </c>
      <c r="B48" s="828">
        <f>+B42+B46</f>
        <v>214545.76</v>
      </c>
      <c r="C48" s="828">
        <f t="shared" ref="C48:M48" si="40">+C42+C46</f>
        <v>223006.76</v>
      </c>
      <c r="D48" s="828">
        <f t="shared" si="40"/>
        <v>230006.76</v>
      </c>
      <c r="E48" s="828">
        <f t="shared" si="40"/>
        <v>230006.76</v>
      </c>
      <c r="F48" s="828">
        <f t="shared" si="40"/>
        <v>230006.76</v>
      </c>
      <c r="G48" s="828">
        <f t="shared" si="40"/>
        <v>230006.76</v>
      </c>
      <c r="H48" s="828">
        <f t="shared" si="40"/>
        <v>230006.76</v>
      </c>
      <c r="I48" s="828">
        <f t="shared" si="40"/>
        <v>230006.76</v>
      </c>
      <c r="J48" s="828">
        <f t="shared" si="40"/>
        <v>230006.76</v>
      </c>
      <c r="K48" s="828">
        <f t="shared" si="40"/>
        <v>230006.76</v>
      </c>
      <c r="L48" s="828">
        <f t="shared" si="40"/>
        <v>230006.76</v>
      </c>
      <c r="M48" s="828">
        <f t="shared" si="40"/>
        <v>230006.76</v>
      </c>
    </row>
  </sheetData>
  <mergeCells count="9">
    <mergeCell ref="A44:M44"/>
    <mergeCell ref="A3:M3"/>
    <mergeCell ref="A2:M2"/>
    <mergeCell ref="A16:M16"/>
    <mergeCell ref="A26:M26"/>
    <mergeCell ref="A33:M33"/>
    <mergeCell ref="A40:M40"/>
    <mergeCell ref="A6:M6"/>
    <mergeCell ref="A4:M5"/>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heetViews>
  <sheetFormatPr defaultRowHeight="14.4" x14ac:dyDescent="0.3"/>
  <cols>
    <col min="3" max="3" width="10.88671875" customWidth="1"/>
    <col min="4" max="4" width="11.77734375" customWidth="1"/>
    <col min="5" max="13" width="10.5546875" bestFit="1" customWidth="1"/>
  </cols>
  <sheetData>
    <row r="1" spans="1:13" ht="15" thickTop="1" x14ac:dyDescent="0.3">
      <c r="A1" s="818"/>
      <c r="B1" s="819"/>
      <c r="C1" s="819"/>
      <c r="D1" s="819"/>
      <c r="E1" s="819"/>
      <c r="F1" s="819"/>
      <c r="G1" s="820"/>
    </row>
    <row r="2" spans="1:13" ht="15.6" x14ac:dyDescent="0.3">
      <c r="A2" s="1235" t="s">
        <v>3859</v>
      </c>
      <c r="B2" s="1236"/>
      <c r="C2" s="1236"/>
      <c r="D2" s="1236"/>
      <c r="E2" s="1236"/>
      <c r="F2" s="1236"/>
      <c r="G2" s="1236"/>
      <c r="H2" s="1236"/>
      <c r="I2" s="1236"/>
      <c r="J2" s="1236"/>
      <c r="K2" s="1236"/>
      <c r="L2" s="1236"/>
      <c r="M2" s="1236"/>
    </row>
    <row r="3" spans="1:13" ht="21.6" customHeight="1" x14ac:dyDescent="0.5">
      <c r="A3" s="1242" t="s">
        <v>3999</v>
      </c>
      <c r="B3" s="1243"/>
      <c r="C3" s="1243"/>
      <c r="D3" s="1243"/>
      <c r="E3" s="1243"/>
      <c r="F3" s="1243"/>
      <c r="G3" s="1243"/>
      <c r="H3" s="1243"/>
      <c r="I3" s="1243"/>
      <c r="J3" s="1243"/>
      <c r="K3" s="1243"/>
      <c r="L3" s="1243"/>
      <c r="M3" s="1243"/>
    </row>
    <row r="4" spans="1:13" ht="15" customHeight="1" x14ac:dyDescent="0.3">
      <c r="A4" s="1244" t="s">
        <v>4000</v>
      </c>
      <c r="B4" s="1245"/>
      <c r="C4" s="1245"/>
      <c r="D4" s="1245"/>
      <c r="E4" s="1245"/>
      <c r="F4" s="1245"/>
      <c r="G4" s="1245"/>
      <c r="H4" s="1245"/>
      <c r="I4" s="1245"/>
      <c r="J4" s="1245"/>
      <c r="K4" s="1245"/>
      <c r="L4" s="1245"/>
      <c r="M4" s="1245"/>
    </row>
    <row r="5" spans="1:13" ht="14.4" customHeight="1" thickBot="1" x14ac:dyDescent="0.35">
      <c r="A5" s="1244"/>
      <c r="B5" s="1245"/>
      <c r="C5" s="1245"/>
      <c r="D5" s="1245"/>
      <c r="E5" s="1245"/>
      <c r="F5" s="1245"/>
      <c r="G5" s="1245"/>
      <c r="H5" s="1245"/>
      <c r="I5" s="1245"/>
      <c r="J5" s="1245"/>
      <c r="K5" s="1245"/>
      <c r="L5" s="1245"/>
      <c r="M5" s="1245"/>
    </row>
    <row r="6" spans="1:13" ht="18" thickBot="1" x14ac:dyDescent="0.35">
      <c r="A6" s="1239" t="s">
        <v>4014</v>
      </c>
      <c r="B6" s="1240"/>
      <c r="C6" s="1240"/>
      <c r="D6" s="1240"/>
      <c r="E6" s="1240"/>
      <c r="F6" s="1240"/>
      <c r="G6" s="1240"/>
      <c r="H6" s="1240"/>
      <c r="I6" s="1240"/>
      <c r="J6" s="1240"/>
      <c r="K6" s="1240"/>
      <c r="L6" s="1240"/>
      <c r="M6" s="1241"/>
    </row>
    <row r="7" spans="1:13" ht="15" thickBot="1" x14ac:dyDescent="0.35">
      <c r="A7" s="823" t="s">
        <v>279</v>
      </c>
      <c r="B7" s="824">
        <v>43556</v>
      </c>
      <c r="C7" s="824">
        <v>43586</v>
      </c>
      <c r="D7" s="824">
        <v>43617</v>
      </c>
      <c r="E7" s="824">
        <v>43647</v>
      </c>
      <c r="F7" s="824">
        <v>43678</v>
      </c>
      <c r="G7" s="824">
        <v>43709</v>
      </c>
      <c r="H7" s="824">
        <v>43739</v>
      </c>
      <c r="I7" s="824">
        <v>43770</v>
      </c>
      <c r="J7" s="824">
        <v>43800</v>
      </c>
      <c r="K7" s="824">
        <v>43831</v>
      </c>
      <c r="L7" s="824">
        <v>43862</v>
      </c>
      <c r="M7" s="825">
        <v>43891</v>
      </c>
    </row>
    <row r="8" spans="1:13" x14ac:dyDescent="0.3">
      <c r="A8" t="s">
        <v>4003</v>
      </c>
      <c r="B8">
        <v>1804602.4</v>
      </c>
      <c r="C8" s="826">
        <f>+B11</f>
        <v>2473436.4</v>
      </c>
      <c r="D8" s="826">
        <f t="shared" ref="D8:M8" si="0">+C11</f>
        <v>2473436.4</v>
      </c>
      <c r="E8" s="826">
        <f t="shared" si="0"/>
        <v>2473436.4</v>
      </c>
      <c r="F8" s="826">
        <f t="shared" si="0"/>
        <v>2473436.4</v>
      </c>
      <c r="G8" s="826">
        <f t="shared" si="0"/>
        <v>2473436.4</v>
      </c>
      <c r="H8" s="826">
        <f t="shared" si="0"/>
        <v>2473436.4</v>
      </c>
      <c r="I8" s="826">
        <f t="shared" si="0"/>
        <v>2473436.4</v>
      </c>
      <c r="J8" s="826">
        <f t="shared" si="0"/>
        <v>2473436.4</v>
      </c>
      <c r="K8" s="826">
        <f t="shared" si="0"/>
        <v>2473436.4</v>
      </c>
      <c r="L8" s="826">
        <f t="shared" si="0"/>
        <v>2473436.4</v>
      </c>
      <c r="M8" s="826">
        <f t="shared" si="0"/>
        <v>2473436.4</v>
      </c>
    </row>
    <row r="9" spans="1:13" x14ac:dyDescent="0.3">
      <c r="A9" t="s">
        <v>4001</v>
      </c>
      <c r="B9">
        <v>-230000</v>
      </c>
      <c r="C9">
        <v>0</v>
      </c>
      <c r="D9">
        <v>0</v>
      </c>
    </row>
    <row r="10" spans="1:13" x14ac:dyDescent="0.3">
      <c r="A10" t="s">
        <v>4002</v>
      </c>
      <c r="B10">
        <v>898834</v>
      </c>
      <c r="C10">
        <v>0</v>
      </c>
    </row>
    <row r="11" spans="1:13" x14ac:dyDescent="0.3">
      <c r="A11" s="821" t="s">
        <v>347</v>
      </c>
      <c r="B11" s="822">
        <f>SUM(B8:B10)</f>
        <v>2473436.4</v>
      </c>
      <c r="C11" s="822">
        <f t="shared" ref="C11:M11" si="1">+C8+C9-C10</f>
        <v>2473436.4</v>
      </c>
      <c r="D11" s="822">
        <f t="shared" si="1"/>
        <v>2473436.4</v>
      </c>
      <c r="E11" s="822">
        <f t="shared" si="1"/>
        <v>2473436.4</v>
      </c>
      <c r="F11" s="822">
        <f t="shared" si="1"/>
        <v>2473436.4</v>
      </c>
      <c r="G11" s="822">
        <f t="shared" si="1"/>
        <v>2473436.4</v>
      </c>
      <c r="H11" s="822">
        <f t="shared" si="1"/>
        <v>2473436.4</v>
      </c>
      <c r="I11" s="822">
        <f t="shared" si="1"/>
        <v>2473436.4</v>
      </c>
      <c r="J11" s="822">
        <f t="shared" si="1"/>
        <v>2473436.4</v>
      </c>
      <c r="K11" s="822">
        <f t="shared" si="1"/>
        <v>2473436.4</v>
      </c>
      <c r="L11" s="822">
        <f t="shared" si="1"/>
        <v>2473436.4</v>
      </c>
      <c r="M11" s="822">
        <f t="shared" si="1"/>
        <v>2473436.4</v>
      </c>
    </row>
    <row r="12" spans="1:13" ht="15" thickBot="1" x14ac:dyDescent="0.35"/>
    <row r="13" spans="1:13" ht="18" thickBot="1" x14ac:dyDescent="0.35">
      <c r="A13" s="1239" t="s">
        <v>4015</v>
      </c>
      <c r="B13" s="1240"/>
      <c r="C13" s="1240"/>
      <c r="D13" s="1240"/>
      <c r="E13" s="1240"/>
      <c r="F13" s="1240"/>
      <c r="G13" s="1240"/>
      <c r="H13" s="1240"/>
      <c r="I13" s="1240"/>
      <c r="J13" s="1240"/>
      <c r="K13" s="1240"/>
      <c r="L13" s="1240"/>
      <c r="M13" s="1241"/>
    </row>
    <row r="14" spans="1:13" ht="15" thickBot="1" x14ac:dyDescent="0.35">
      <c r="A14" s="823" t="s">
        <v>279</v>
      </c>
      <c r="B14" s="824">
        <v>43556</v>
      </c>
      <c r="C14" s="824">
        <v>43586</v>
      </c>
      <c r="D14" s="824">
        <v>43617</v>
      </c>
      <c r="E14" s="824">
        <v>43647</v>
      </c>
      <c r="F14" s="824">
        <v>43678</v>
      </c>
      <c r="G14" s="824">
        <v>43709</v>
      </c>
      <c r="H14" s="824">
        <v>43739</v>
      </c>
      <c r="I14" s="824">
        <v>43770</v>
      </c>
      <c r="J14" s="824">
        <v>43800</v>
      </c>
      <c r="K14" s="824">
        <v>43831</v>
      </c>
      <c r="L14" s="824">
        <v>43862</v>
      </c>
      <c r="M14" s="825">
        <v>43891</v>
      </c>
    </row>
    <row r="15" spans="1:13" x14ac:dyDescent="0.3">
      <c r="A15" t="s">
        <v>4003</v>
      </c>
      <c r="B15">
        <v>2887441</v>
      </c>
      <c r="C15" s="826">
        <f>+B18</f>
        <v>2887441</v>
      </c>
      <c r="D15" s="826">
        <f t="shared" ref="D15:M15" si="2">+C18</f>
        <v>2887441</v>
      </c>
      <c r="E15" s="826">
        <f t="shared" si="2"/>
        <v>2887441</v>
      </c>
      <c r="F15" s="826">
        <f t="shared" si="2"/>
        <v>2887441</v>
      </c>
      <c r="G15" s="826">
        <f t="shared" si="2"/>
        <v>2887441</v>
      </c>
      <c r="H15" s="826">
        <f t="shared" si="2"/>
        <v>2887441</v>
      </c>
      <c r="I15" s="826">
        <f t="shared" si="2"/>
        <v>2887441</v>
      </c>
      <c r="J15" s="826">
        <f t="shared" si="2"/>
        <v>2887441</v>
      </c>
      <c r="K15" s="826">
        <f t="shared" si="2"/>
        <v>2887441</v>
      </c>
      <c r="L15" s="826">
        <f t="shared" si="2"/>
        <v>2887441</v>
      </c>
      <c r="M15" s="826">
        <f t="shared" si="2"/>
        <v>2887441</v>
      </c>
    </row>
    <row r="16" spans="1:13" x14ac:dyDescent="0.3">
      <c r="A16" t="s">
        <v>4001</v>
      </c>
      <c r="B16">
        <v>0</v>
      </c>
    </row>
    <row r="17" spans="1:13" x14ac:dyDescent="0.3">
      <c r="A17" t="s">
        <v>4002</v>
      </c>
      <c r="B17">
        <v>0</v>
      </c>
    </row>
    <row r="18" spans="1:13" x14ac:dyDescent="0.3">
      <c r="A18" s="821" t="s">
        <v>347</v>
      </c>
      <c r="B18" s="822">
        <f t="shared" ref="B18:M18" si="3">+B15+B16-B17</f>
        <v>2887441</v>
      </c>
      <c r="C18" s="822">
        <f t="shared" si="3"/>
        <v>2887441</v>
      </c>
      <c r="D18" s="822">
        <f t="shared" si="3"/>
        <v>2887441</v>
      </c>
      <c r="E18" s="822">
        <f t="shared" si="3"/>
        <v>2887441</v>
      </c>
      <c r="F18" s="822">
        <f t="shared" si="3"/>
        <v>2887441</v>
      </c>
      <c r="G18" s="822">
        <f t="shared" si="3"/>
        <v>2887441</v>
      </c>
      <c r="H18" s="822">
        <f t="shared" si="3"/>
        <v>2887441</v>
      </c>
      <c r="I18" s="822">
        <f t="shared" si="3"/>
        <v>2887441</v>
      </c>
      <c r="J18" s="822">
        <f t="shared" si="3"/>
        <v>2887441</v>
      </c>
      <c r="K18" s="822">
        <f t="shared" si="3"/>
        <v>2887441</v>
      </c>
      <c r="L18" s="822">
        <f t="shared" si="3"/>
        <v>2887441</v>
      </c>
      <c r="M18" s="822">
        <f t="shared" si="3"/>
        <v>2887441</v>
      </c>
    </row>
    <row r="20" spans="1:13" ht="15" thickBot="1" x14ac:dyDescent="0.35"/>
    <row r="21" spans="1:13" ht="15" thickBot="1" x14ac:dyDescent="0.35">
      <c r="A21" s="827" t="s">
        <v>4016</v>
      </c>
      <c r="B21" s="828">
        <f>+B18+B11</f>
        <v>5360877.4000000004</v>
      </c>
      <c r="C21" s="828">
        <f t="shared" ref="C21:M21" si="4">+C18+C11</f>
        <v>5360877.4000000004</v>
      </c>
      <c r="D21" s="828">
        <f t="shared" si="4"/>
        <v>5360877.4000000004</v>
      </c>
      <c r="E21" s="828">
        <f t="shared" si="4"/>
        <v>5360877.4000000004</v>
      </c>
      <c r="F21" s="828">
        <f t="shared" si="4"/>
        <v>5360877.4000000004</v>
      </c>
      <c r="G21" s="828">
        <f t="shared" si="4"/>
        <v>5360877.4000000004</v>
      </c>
      <c r="H21" s="828">
        <f t="shared" si="4"/>
        <v>5360877.4000000004</v>
      </c>
      <c r="I21" s="828">
        <f t="shared" si="4"/>
        <v>5360877.4000000004</v>
      </c>
      <c r="J21" s="828">
        <f t="shared" si="4"/>
        <v>5360877.4000000004</v>
      </c>
      <c r="K21" s="828">
        <f t="shared" si="4"/>
        <v>5360877.4000000004</v>
      </c>
      <c r="L21" s="828">
        <f t="shared" si="4"/>
        <v>5360877.4000000004</v>
      </c>
      <c r="M21" s="828">
        <f t="shared" si="4"/>
        <v>5360877.4000000004</v>
      </c>
    </row>
  </sheetData>
  <mergeCells count="5">
    <mergeCell ref="A2:M2"/>
    <mergeCell ref="A3:M3"/>
    <mergeCell ref="A4:M5"/>
    <mergeCell ref="A6:M6"/>
    <mergeCell ref="A13:M1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heetViews>
  <sheetFormatPr defaultColWidth="18.88671875" defaultRowHeight="13.2" x14ac:dyDescent="0.25"/>
  <cols>
    <col min="1" max="1" width="4.33203125" style="863" customWidth="1"/>
    <col min="2" max="2" width="43.44140625" style="864" customWidth="1"/>
    <col min="3" max="3" width="8.5546875" style="863" bestFit="1" customWidth="1"/>
    <col min="4" max="4" width="9.88671875" style="865" bestFit="1" customWidth="1"/>
    <col min="5" max="5" width="11.44140625" style="865" bestFit="1" customWidth="1"/>
    <col min="6" max="6" width="14" style="865" bestFit="1" customWidth="1"/>
    <col min="7" max="7" width="12.44140625" style="865" customWidth="1"/>
    <col min="8" max="8" width="14" style="865" bestFit="1" customWidth="1"/>
    <col min="9" max="9" width="14.6640625" style="865" bestFit="1" customWidth="1"/>
    <col min="10" max="11" width="14.44140625" style="865" customWidth="1"/>
    <col min="12" max="12" width="15.109375" style="865" customWidth="1"/>
    <col min="13" max="13" width="8.33203125" style="866" bestFit="1" customWidth="1"/>
    <col min="14" max="256" width="18.88671875" style="863"/>
    <col min="257" max="257" width="4.33203125" style="863" customWidth="1"/>
    <col min="258" max="258" width="43.44140625" style="863" customWidth="1"/>
    <col min="259" max="259" width="8.5546875" style="863" bestFit="1" customWidth="1"/>
    <col min="260" max="260" width="9.88671875" style="863" bestFit="1" customWidth="1"/>
    <col min="261" max="261" width="11.44140625" style="863" bestFit="1" customWidth="1"/>
    <col min="262" max="262" width="14" style="863" bestFit="1" customWidth="1"/>
    <col min="263" max="263" width="12.44140625" style="863" customWidth="1"/>
    <col min="264" max="264" width="14" style="863" bestFit="1" customWidth="1"/>
    <col min="265" max="265" width="14.6640625" style="863" bestFit="1" customWidth="1"/>
    <col min="266" max="267" width="14.44140625" style="863" customWidth="1"/>
    <col min="268" max="268" width="15.109375" style="863" customWidth="1"/>
    <col min="269" max="269" width="8.33203125" style="863" bestFit="1" customWidth="1"/>
    <col min="270" max="512" width="18.88671875" style="863"/>
    <col min="513" max="513" width="4.33203125" style="863" customWidth="1"/>
    <col min="514" max="514" width="43.44140625" style="863" customWidth="1"/>
    <col min="515" max="515" width="8.5546875" style="863" bestFit="1" customWidth="1"/>
    <col min="516" max="516" width="9.88671875" style="863" bestFit="1" customWidth="1"/>
    <col min="517" max="517" width="11.44140625" style="863" bestFit="1" customWidth="1"/>
    <col min="518" max="518" width="14" style="863" bestFit="1" customWidth="1"/>
    <col min="519" max="519" width="12.44140625" style="863" customWidth="1"/>
    <col min="520" max="520" width="14" style="863" bestFit="1" customWidth="1"/>
    <col min="521" max="521" width="14.6640625" style="863" bestFit="1" customWidth="1"/>
    <col min="522" max="523" width="14.44140625" style="863" customWidth="1"/>
    <col min="524" max="524" width="15.109375" style="863" customWidth="1"/>
    <col min="525" max="525" width="8.33203125" style="863" bestFit="1" customWidth="1"/>
    <col min="526" max="768" width="18.88671875" style="863"/>
    <col min="769" max="769" width="4.33203125" style="863" customWidth="1"/>
    <col min="770" max="770" width="43.44140625" style="863" customWidth="1"/>
    <col min="771" max="771" width="8.5546875" style="863" bestFit="1" customWidth="1"/>
    <col min="772" max="772" width="9.88671875" style="863" bestFit="1" customWidth="1"/>
    <col min="773" max="773" width="11.44140625" style="863" bestFit="1" customWidth="1"/>
    <col min="774" max="774" width="14" style="863" bestFit="1" customWidth="1"/>
    <col min="775" max="775" width="12.44140625" style="863" customWidth="1"/>
    <col min="776" max="776" width="14" style="863" bestFit="1" customWidth="1"/>
    <col min="777" max="777" width="14.6640625" style="863" bestFit="1" customWidth="1"/>
    <col min="778" max="779" width="14.44140625" style="863" customWidth="1"/>
    <col min="780" max="780" width="15.109375" style="863" customWidth="1"/>
    <col min="781" max="781" width="8.33203125" style="863" bestFit="1" customWidth="1"/>
    <col min="782" max="1024" width="18.88671875" style="863"/>
    <col min="1025" max="1025" width="4.33203125" style="863" customWidth="1"/>
    <col min="1026" max="1026" width="43.44140625" style="863" customWidth="1"/>
    <col min="1027" max="1027" width="8.5546875" style="863" bestFit="1" customWidth="1"/>
    <col min="1028" max="1028" width="9.88671875" style="863" bestFit="1" customWidth="1"/>
    <col min="1029" max="1029" width="11.44140625" style="863" bestFit="1" customWidth="1"/>
    <col min="1030" max="1030" width="14" style="863" bestFit="1" customWidth="1"/>
    <col min="1031" max="1031" width="12.44140625" style="863" customWidth="1"/>
    <col min="1032" max="1032" width="14" style="863" bestFit="1" customWidth="1"/>
    <col min="1033" max="1033" width="14.6640625" style="863" bestFit="1" customWidth="1"/>
    <col min="1034" max="1035" width="14.44140625" style="863" customWidth="1"/>
    <col min="1036" max="1036" width="15.109375" style="863" customWidth="1"/>
    <col min="1037" max="1037" width="8.33203125" style="863" bestFit="1" customWidth="1"/>
    <col min="1038" max="1280" width="18.88671875" style="863"/>
    <col min="1281" max="1281" width="4.33203125" style="863" customWidth="1"/>
    <col min="1282" max="1282" width="43.44140625" style="863" customWidth="1"/>
    <col min="1283" max="1283" width="8.5546875" style="863" bestFit="1" customWidth="1"/>
    <col min="1284" max="1284" width="9.88671875" style="863" bestFit="1" customWidth="1"/>
    <col min="1285" max="1285" width="11.44140625" style="863" bestFit="1" customWidth="1"/>
    <col min="1286" max="1286" width="14" style="863" bestFit="1" customWidth="1"/>
    <col min="1287" max="1287" width="12.44140625" style="863" customWidth="1"/>
    <col min="1288" max="1288" width="14" style="863" bestFit="1" customWidth="1"/>
    <col min="1289" max="1289" width="14.6640625" style="863" bestFit="1" customWidth="1"/>
    <col min="1290" max="1291" width="14.44140625" style="863" customWidth="1"/>
    <col min="1292" max="1292" width="15.109375" style="863" customWidth="1"/>
    <col min="1293" max="1293" width="8.33203125" style="863" bestFit="1" customWidth="1"/>
    <col min="1294" max="1536" width="18.88671875" style="863"/>
    <col min="1537" max="1537" width="4.33203125" style="863" customWidth="1"/>
    <col min="1538" max="1538" width="43.44140625" style="863" customWidth="1"/>
    <col min="1539" max="1539" width="8.5546875" style="863" bestFit="1" customWidth="1"/>
    <col min="1540" max="1540" width="9.88671875" style="863" bestFit="1" customWidth="1"/>
    <col min="1541" max="1541" width="11.44140625" style="863" bestFit="1" customWidth="1"/>
    <col min="1542" max="1542" width="14" style="863" bestFit="1" customWidth="1"/>
    <col min="1543" max="1543" width="12.44140625" style="863" customWidth="1"/>
    <col min="1544" max="1544" width="14" style="863" bestFit="1" customWidth="1"/>
    <col min="1545" max="1545" width="14.6640625" style="863" bestFit="1" customWidth="1"/>
    <col min="1546" max="1547" width="14.44140625" style="863" customWidth="1"/>
    <col min="1548" max="1548" width="15.109375" style="863" customWidth="1"/>
    <col min="1549" max="1549" width="8.33203125" style="863" bestFit="1" customWidth="1"/>
    <col min="1550" max="1792" width="18.88671875" style="863"/>
    <col min="1793" max="1793" width="4.33203125" style="863" customWidth="1"/>
    <col min="1794" max="1794" width="43.44140625" style="863" customWidth="1"/>
    <col min="1795" max="1795" width="8.5546875" style="863" bestFit="1" customWidth="1"/>
    <col min="1796" max="1796" width="9.88671875" style="863" bestFit="1" customWidth="1"/>
    <col min="1797" max="1797" width="11.44140625" style="863" bestFit="1" customWidth="1"/>
    <col min="1798" max="1798" width="14" style="863" bestFit="1" customWidth="1"/>
    <col min="1799" max="1799" width="12.44140625" style="863" customWidth="1"/>
    <col min="1800" max="1800" width="14" style="863" bestFit="1" customWidth="1"/>
    <col min="1801" max="1801" width="14.6640625" style="863" bestFit="1" customWidth="1"/>
    <col min="1802" max="1803" width="14.44140625" style="863" customWidth="1"/>
    <col min="1804" max="1804" width="15.109375" style="863" customWidth="1"/>
    <col min="1805" max="1805" width="8.33203125" style="863" bestFit="1" customWidth="1"/>
    <col min="1806" max="2048" width="18.88671875" style="863"/>
    <col min="2049" max="2049" width="4.33203125" style="863" customWidth="1"/>
    <col min="2050" max="2050" width="43.44140625" style="863" customWidth="1"/>
    <col min="2051" max="2051" width="8.5546875" style="863" bestFit="1" customWidth="1"/>
    <col min="2052" max="2052" width="9.88671875" style="863" bestFit="1" customWidth="1"/>
    <col min="2053" max="2053" width="11.44140625" style="863" bestFit="1" customWidth="1"/>
    <col min="2054" max="2054" width="14" style="863" bestFit="1" customWidth="1"/>
    <col min="2055" max="2055" width="12.44140625" style="863" customWidth="1"/>
    <col min="2056" max="2056" width="14" style="863" bestFit="1" customWidth="1"/>
    <col min="2057" max="2057" width="14.6640625" style="863" bestFit="1" customWidth="1"/>
    <col min="2058" max="2059" width="14.44140625" style="863" customWidth="1"/>
    <col min="2060" max="2060" width="15.109375" style="863" customWidth="1"/>
    <col min="2061" max="2061" width="8.33203125" style="863" bestFit="1" customWidth="1"/>
    <col min="2062" max="2304" width="18.88671875" style="863"/>
    <col min="2305" max="2305" width="4.33203125" style="863" customWidth="1"/>
    <col min="2306" max="2306" width="43.44140625" style="863" customWidth="1"/>
    <col min="2307" max="2307" width="8.5546875" style="863" bestFit="1" customWidth="1"/>
    <col min="2308" max="2308" width="9.88671875" style="863" bestFit="1" customWidth="1"/>
    <col min="2309" max="2309" width="11.44140625" style="863" bestFit="1" customWidth="1"/>
    <col min="2310" max="2310" width="14" style="863" bestFit="1" customWidth="1"/>
    <col min="2311" max="2311" width="12.44140625" style="863" customWidth="1"/>
    <col min="2312" max="2312" width="14" style="863" bestFit="1" customWidth="1"/>
    <col min="2313" max="2313" width="14.6640625" style="863" bestFit="1" customWidth="1"/>
    <col min="2314" max="2315" width="14.44140625" style="863" customWidth="1"/>
    <col min="2316" max="2316" width="15.109375" style="863" customWidth="1"/>
    <col min="2317" max="2317" width="8.33203125" style="863" bestFit="1" customWidth="1"/>
    <col min="2318" max="2560" width="18.88671875" style="863"/>
    <col min="2561" max="2561" width="4.33203125" style="863" customWidth="1"/>
    <col min="2562" max="2562" width="43.44140625" style="863" customWidth="1"/>
    <col min="2563" max="2563" width="8.5546875" style="863" bestFit="1" customWidth="1"/>
    <col min="2564" max="2564" width="9.88671875" style="863" bestFit="1" customWidth="1"/>
    <col min="2565" max="2565" width="11.44140625" style="863" bestFit="1" customWidth="1"/>
    <col min="2566" max="2566" width="14" style="863" bestFit="1" customWidth="1"/>
    <col min="2567" max="2567" width="12.44140625" style="863" customWidth="1"/>
    <col min="2568" max="2568" width="14" style="863" bestFit="1" customWidth="1"/>
    <col min="2569" max="2569" width="14.6640625" style="863" bestFit="1" customWidth="1"/>
    <col min="2570" max="2571" width="14.44140625" style="863" customWidth="1"/>
    <col min="2572" max="2572" width="15.109375" style="863" customWidth="1"/>
    <col min="2573" max="2573" width="8.33203125" style="863" bestFit="1" customWidth="1"/>
    <col min="2574" max="2816" width="18.88671875" style="863"/>
    <col min="2817" max="2817" width="4.33203125" style="863" customWidth="1"/>
    <col min="2818" max="2818" width="43.44140625" style="863" customWidth="1"/>
    <col min="2819" max="2819" width="8.5546875" style="863" bestFit="1" customWidth="1"/>
    <col min="2820" max="2820" width="9.88671875" style="863" bestFit="1" customWidth="1"/>
    <col min="2821" max="2821" width="11.44140625" style="863" bestFit="1" customWidth="1"/>
    <col min="2822" max="2822" width="14" style="863" bestFit="1" customWidth="1"/>
    <col min="2823" max="2823" width="12.44140625" style="863" customWidth="1"/>
    <col min="2824" max="2824" width="14" style="863" bestFit="1" customWidth="1"/>
    <col min="2825" max="2825" width="14.6640625" style="863" bestFit="1" customWidth="1"/>
    <col min="2826" max="2827" width="14.44140625" style="863" customWidth="1"/>
    <col min="2828" max="2828" width="15.109375" style="863" customWidth="1"/>
    <col min="2829" max="2829" width="8.33203125" style="863" bestFit="1" customWidth="1"/>
    <col min="2830" max="3072" width="18.88671875" style="863"/>
    <col min="3073" max="3073" width="4.33203125" style="863" customWidth="1"/>
    <col min="3074" max="3074" width="43.44140625" style="863" customWidth="1"/>
    <col min="3075" max="3075" width="8.5546875" style="863" bestFit="1" customWidth="1"/>
    <col min="3076" max="3076" width="9.88671875" style="863" bestFit="1" customWidth="1"/>
    <col min="3077" max="3077" width="11.44140625" style="863" bestFit="1" customWidth="1"/>
    <col min="3078" max="3078" width="14" style="863" bestFit="1" customWidth="1"/>
    <col min="3079" max="3079" width="12.44140625" style="863" customWidth="1"/>
    <col min="3080" max="3080" width="14" style="863" bestFit="1" customWidth="1"/>
    <col min="3081" max="3081" width="14.6640625" style="863" bestFit="1" customWidth="1"/>
    <col min="3082" max="3083" width="14.44140625" style="863" customWidth="1"/>
    <col min="3084" max="3084" width="15.109375" style="863" customWidth="1"/>
    <col min="3085" max="3085" width="8.33203125" style="863" bestFit="1" customWidth="1"/>
    <col min="3086" max="3328" width="18.88671875" style="863"/>
    <col min="3329" max="3329" width="4.33203125" style="863" customWidth="1"/>
    <col min="3330" max="3330" width="43.44140625" style="863" customWidth="1"/>
    <col min="3331" max="3331" width="8.5546875" style="863" bestFit="1" customWidth="1"/>
    <col min="3332" max="3332" width="9.88671875" style="863" bestFit="1" customWidth="1"/>
    <col min="3333" max="3333" width="11.44140625" style="863" bestFit="1" customWidth="1"/>
    <col min="3334" max="3334" width="14" style="863" bestFit="1" customWidth="1"/>
    <col min="3335" max="3335" width="12.44140625" style="863" customWidth="1"/>
    <col min="3336" max="3336" width="14" style="863" bestFit="1" customWidth="1"/>
    <col min="3337" max="3337" width="14.6640625" style="863" bestFit="1" customWidth="1"/>
    <col min="3338" max="3339" width="14.44140625" style="863" customWidth="1"/>
    <col min="3340" max="3340" width="15.109375" style="863" customWidth="1"/>
    <col min="3341" max="3341" width="8.33203125" style="863" bestFit="1" customWidth="1"/>
    <col min="3342" max="3584" width="18.88671875" style="863"/>
    <col min="3585" max="3585" width="4.33203125" style="863" customWidth="1"/>
    <col min="3586" max="3586" width="43.44140625" style="863" customWidth="1"/>
    <col min="3587" max="3587" width="8.5546875" style="863" bestFit="1" customWidth="1"/>
    <col min="3588" max="3588" width="9.88671875" style="863" bestFit="1" customWidth="1"/>
    <col min="3589" max="3589" width="11.44140625" style="863" bestFit="1" customWidth="1"/>
    <col min="3590" max="3590" width="14" style="863" bestFit="1" customWidth="1"/>
    <col min="3591" max="3591" width="12.44140625" style="863" customWidth="1"/>
    <col min="3592" max="3592" width="14" style="863" bestFit="1" customWidth="1"/>
    <col min="3593" max="3593" width="14.6640625" style="863" bestFit="1" customWidth="1"/>
    <col min="3594" max="3595" width="14.44140625" style="863" customWidth="1"/>
    <col min="3596" max="3596" width="15.109375" style="863" customWidth="1"/>
    <col min="3597" max="3597" width="8.33203125" style="863" bestFit="1" customWidth="1"/>
    <col min="3598" max="3840" width="18.88671875" style="863"/>
    <col min="3841" max="3841" width="4.33203125" style="863" customWidth="1"/>
    <col min="3842" max="3842" width="43.44140625" style="863" customWidth="1"/>
    <col min="3843" max="3843" width="8.5546875" style="863" bestFit="1" customWidth="1"/>
    <col min="3844" max="3844" width="9.88671875" style="863" bestFit="1" customWidth="1"/>
    <col min="3845" max="3845" width="11.44140625" style="863" bestFit="1" customWidth="1"/>
    <col min="3846" max="3846" width="14" style="863" bestFit="1" customWidth="1"/>
    <col min="3847" max="3847" width="12.44140625" style="863" customWidth="1"/>
    <col min="3848" max="3848" width="14" style="863" bestFit="1" customWidth="1"/>
    <col min="3849" max="3849" width="14.6640625" style="863" bestFit="1" customWidth="1"/>
    <col min="3850" max="3851" width="14.44140625" style="863" customWidth="1"/>
    <col min="3852" max="3852" width="15.109375" style="863" customWidth="1"/>
    <col min="3853" max="3853" width="8.33203125" style="863" bestFit="1" customWidth="1"/>
    <col min="3854" max="4096" width="18.88671875" style="863"/>
    <col min="4097" max="4097" width="4.33203125" style="863" customWidth="1"/>
    <col min="4098" max="4098" width="43.44140625" style="863" customWidth="1"/>
    <col min="4099" max="4099" width="8.5546875" style="863" bestFit="1" customWidth="1"/>
    <col min="4100" max="4100" width="9.88671875" style="863" bestFit="1" customWidth="1"/>
    <col min="4101" max="4101" width="11.44140625" style="863" bestFit="1" customWidth="1"/>
    <col min="4102" max="4102" width="14" style="863" bestFit="1" customWidth="1"/>
    <col min="4103" max="4103" width="12.44140625" style="863" customWidth="1"/>
    <col min="4104" max="4104" width="14" style="863" bestFit="1" customWidth="1"/>
    <col min="4105" max="4105" width="14.6640625" style="863" bestFit="1" customWidth="1"/>
    <col min="4106" max="4107" width="14.44140625" style="863" customWidth="1"/>
    <col min="4108" max="4108" width="15.109375" style="863" customWidth="1"/>
    <col min="4109" max="4109" width="8.33203125" style="863" bestFit="1" customWidth="1"/>
    <col min="4110" max="4352" width="18.88671875" style="863"/>
    <col min="4353" max="4353" width="4.33203125" style="863" customWidth="1"/>
    <col min="4354" max="4354" width="43.44140625" style="863" customWidth="1"/>
    <col min="4355" max="4355" width="8.5546875" style="863" bestFit="1" customWidth="1"/>
    <col min="4356" max="4356" width="9.88671875" style="863" bestFit="1" customWidth="1"/>
    <col min="4357" max="4357" width="11.44140625" style="863" bestFit="1" customWidth="1"/>
    <col min="4358" max="4358" width="14" style="863" bestFit="1" customWidth="1"/>
    <col min="4359" max="4359" width="12.44140625" style="863" customWidth="1"/>
    <col min="4360" max="4360" width="14" style="863" bestFit="1" customWidth="1"/>
    <col min="4361" max="4361" width="14.6640625" style="863" bestFit="1" customWidth="1"/>
    <col min="4362" max="4363" width="14.44140625" style="863" customWidth="1"/>
    <col min="4364" max="4364" width="15.109375" style="863" customWidth="1"/>
    <col min="4365" max="4365" width="8.33203125" style="863" bestFit="1" customWidth="1"/>
    <col min="4366" max="4608" width="18.88671875" style="863"/>
    <col min="4609" max="4609" width="4.33203125" style="863" customWidth="1"/>
    <col min="4610" max="4610" width="43.44140625" style="863" customWidth="1"/>
    <col min="4611" max="4611" width="8.5546875" style="863" bestFit="1" customWidth="1"/>
    <col min="4612" max="4612" width="9.88671875" style="863" bestFit="1" customWidth="1"/>
    <col min="4613" max="4613" width="11.44140625" style="863" bestFit="1" customWidth="1"/>
    <col min="4614" max="4614" width="14" style="863" bestFit="1" customWidth="1"/>
    <col min="4615" max="4615" width="12.44140625" style="863" customWidth="1"/>
    <col min="4616" max="4616" width="14" style="863" bestFit="1" customWidth="1"/>
    <col min="4617" max="4617" width="14.6640625" style="863" bestFit="1" customWidth="1"/>
    <col min="4618" max="4619" width="14.44140625" style="863" customWidth="1"/>
    <col min="4620" max="4620" width="15.109375" style="863" customWidth="1"/>
    <col min="4621" max="4621" width="8.33203125" style="863" bestFit="1" customWidth="1"/>
    <col min="4622" max="4864" width="18.88671875" style="863"/>
    <col min="4865" max="4865" width="4.33203125" style="863" customWidth="1"/>
    <col min="4866" max="4866" width="43.44140625" style="863" customWidth="1"/>
    <col min="4867" max="4867" width="8.5546875" style="863" bestFit="1" customWidth="1"/>
    <col min="4868" max="4868" width="9.88671875" style="863" bestFit="1" customWidth="1"/>
    <col min="4869" max="4869" width="11.44140625" style="863" bestFit="1" customWidth="1"/>
    <col min="4870" max="4870" width="14" style="863" bestFit="1" customWidth="1"/>
    <col min="4871" max="4871" width="12.44140625" style="863" customWidth="1"/>
    <col min="4872" max="4872" width="14" style="863" bestFit="1" customWidth="1"/>
    <col min="4873" max="4873" width="14.6640625" style="863" bestFit="1" customWidth="1"/>
    <col min="4874" max="4875" width="14.44140625" style="863" customWidth="1"/>
    <col min="4876" max="4876" width="15.109375" style="863" customWidth="1"/>
    <col min="4877" max="4877" width="8.33203125" style="863" bestFit="1" customWidth="1"/>
    <col min="4878" max="5120" width="18.88671875" style="863"/>
    <col min="5121" max="5121" width="4.33203125" style="863" customWidth="1"/>
    <col min="5122" max="5122" width="43.44140625" style="863" customWidth="1"/>
    <col min="5123" max="5123" width="8.5546875" style="863" bestFit="1" customWidth="1"/>
    <col min="5124" max="5124" width="9.88671875" style="863" bestFit="1" customWidth="1"/>
    <col min="5125" max="5125" width="11.44140625" style="863" bestFit="1" customWidth="1"/>
    <col min="5126" max="5126" width="14" style="863" bestFit="1" customWidth="1"/>
    <col min="5127" max="5127" width="12.44140625" style="863" customWidth="1"/>
    <col min="5128" max="5128" width="14" style="863" bestFit="1" customWidth="1"/>
    <col min="5129" max="5129" width="14.6640625" style="863" bestFit="1" customWidth="1"/>
    <col min="5130" max="5131" width="14.44140625" style="863" customWidth="1"/>
    <col min="5132" max="5132" width="15.109375" style="863" customWidth="1"/>
    <col min="5133" max="5133" width="8.33203125" style="863" bestFit="1" customWidth="1"/>
    <col min="5134" max="5376" width="18.88671875" style="863"/>
    <col min="5377" max="5377" width="4.33203125" style="863" customWidth="1"/>
    <col min="5378" max="5378" width="43.44140625" style="863" customWidth="1"/>
    <col min="5379" max="5379" width="8.5546875" style="863" bestFit="1" customWidth="1"/>
    <col min="5380" max="5380" width="9.88671875" style="863" bestFit="1" customWidth="1"/>
    <col min="5381" max="5381" width="11.44140625" style="863" bestFit="1" customWidth="1"/>
    <col min="5382" max="5382" width="14" style="863" bestFit="1" customWidth="1"/>
    <col min="5383" max="5383" width="12.44140625" style="863" customWidth="1"/>
    <col min="5384" max="5384" width="14" style="863" bestFit="1" customWidth="1"/>
    <col min="5385" max="5385" width="14.6640625" style="863" bestFit="1" customWidth="1"/>
    <col min="5386" max="5387" width="14.44140625" style="863" customWidth="1"/>
    <col min="5388" max="5388" width="15.109375" style="863" customWidth="1"/>
    <col min="5389" max="5389" width="8.33203125" style="863" bestFit="1" customWidth="1"/>
    <col min="5390" max="5632" width="18.88671875" style="863"/>
    <col min="5633" max="5633" width="4.33203125" style="863" customWidth="1"/>
    <col min="5634" max="5634" width="43.44140625" style="863" customWidth="1"/>
    <col min="5635" max="5635" width="8.5546875" style="863" bestFit="1" customWidth="1"/>
    <col min="5636" max="5636" width="9.88671875" style="863" bestFit="1" customWidth="1"/>
    <col min="5637" max="5637" width="11.44140625" style="863" bestFit="1" customWidth="1"/>
    <col min="5638" max="5638" width="14" style="863" bestFit="1" customWidth="1"/>
    <col min="5639" max="5639" width="12.44140625" style="863" customWidth="1"/>
    <col min="5640" max="5640" width="14" style="863" bestFit="1" customWidth="1"/>
    <col min="5641" max="5641" width="14.6640625" style="863" bestFit="1" customWidth="1"/>
    <col min="5642" max="5643" width="14.44140625" style="863" customWidth="1"/>
    <col min="5644" max="5644" width="15.109375" style="863" customWidth="1"/>
    <col min="5645" max="5645" width="8.33203125" style="863" bestFit="1" customWidth="1"/>
    <col min="5646" max="5888" width="18.88671875" style="863"/>
    <col min="5889" max="5889" width="4.33203125" style="863" customWidth="1"/>
    <col min="5890" max="5890" width="43.44140625" style="863" customWidth="1"/>
    <col min="5891" max="5891" width="8.5546875" style="863" bestFit="1" customWidth="1"/>
    <col min="5892" max="5892" width="9.88671875" style="863" bestFit="1" customWidth="1"/>
    <col min="5893" max="5893" width="11.44140625" style="863" bestFit="1" customWidth="1"/>
    <col min="5894" max="5894" width="14" style="863" bestFit="1" customWidth="1"/>
    <col min="5895" max="5895" width="12.44140625" style="863" customWidth="1"/>
    <col min="5896" max="5896" width="14" style="863" bestFit="1" customWidth="1"/>
    <col min="5897" max="5897" width="14.6640625" style="863" bestFit="1" customWidth="1"/>
    <col min="5898" max="5899" width="14.44140625" style="863" customWidth="1"/>
    <col min="5900" max="5900" width="15.109375" style="863" customWidth="1"/>
    <col min="5901" max="5901" width="8.33203125" style="863" bestFit="1" customWidth="1"/>
    <col min="5902" max="6144" width="18.88671875" style="863"/>
    <col min="6145" max="6145" width="4.33203125" style="863" customWidth="1"/>
    <col min="6146" max="6146" width="43.44140625" style="863" customWidth="1"/>
    <col min="6147" max="6147" width="8.5546875" style="863" bestFit="1" customWidth="1"/>
    <col min="6148" max="6148" width="9.88671875" style="863" bestFit="1" customWidth="1"/>
    <col min="6149" max="6149" width="11.44140625" style="863" bestFit="1" customWidth="1"/>
    <col min="6150" max="6150" width="14" style="863" bestFit="1" customWidth="1"/>
    <col min="6151" max="6151" width="12.44140625" style="863" customWidth="1"/>
    <col min="6152" max="6152" width="14" style="863" bestFit="1" customWidth="1"/>
    <col min="6153" max="6153" width="14.6640625" style="863" bestFit="1" customWidth="1"/>
    <col min="6154" max="6155" width="14.44140625" style="863" customWidth="1"/>
    <col min="6156" max="6156" width="15.109375" style="863" customWidth="1"/>
    <col min="6157" max="6157" width="8.33203125" style="863" bestFit="1" customWidth="1"/>
    <col min="6158" max="6400" width="18.88671875" style="863"/>
    <col min="6401" max="6401" width="4.33203125" style="863" customWidth="1"/>
    <col min="6402" max="6402" width="43.44140625" style="863" customWidth="1"/>
    <col min="6403" max="6403" width="8.5546875" style="863" bestFit="1" customWidth="1"/>
    <col min="6404" max="6404" width="9.88671875" style="863" bestFit="1" customWidth="1"/>
    <col min="6405" max="6405" width="11.44140625" style="863" bestFit="1" customWidth="1"/>
    <col min="6406" max="6406" width="14" style="863" bestFit="1" customWidth="1"/>
    <col min="6407" max="6407" width="12.44140625" style="863" customWidth="1"/>
    <col min="6408" max="6408" width="14" style="863" bestFit="1" customWidth="1"/>
    <col min="6409" max="6409" width="14.6640625" style="863" bestFit="1" customWidth="1"/>
    <col min="6410" max="6411" width="14.44140625" style="863" customWidth="1"/>
    <col min="6412" max="6412" width="15.109375" style="863" customWidth="1"/>
    <col min="6413" max="6413" width="8.33203125" style="863" bestFit="1" customWidth="1"/>
    <col min="6414" max="6656" width="18.88671875" style="863"/>
    <col min="6657" max="6657" width="4.33203125" style="863" customWidth="1"/>
    <col min="6658" max="6658" width="43.44140625" style="863" customWidth="1"/>
    <col min="6659" max="6659" width="8.5546875" style="863" bestFit="1" customWidth="1"/>
    <col min="6660" max="6660" width="9.88671875" style="863" bestFit="1" customWidth="1"/>
    <col min="6661" max="6661" width="11.44140625" style="863" bestFit="1" customWidth="1"/>
    <col min="6662" max="6662" width="14" style="863" bestFit="1" customWidth="1"/>
    <col min="6663" max="6663" width="12.44140625" style="863" customWidth="1"/>
    <col min="6664" max="6664" width="14" style="863" bestFit="1" customWidth="1"/>
    <col min="6665" max="6665" width="14.6640625" style="863" bestFit="1" customWidth="1"/>
    <col min="6666" max="6667" width="14.44140625" style="863" customWidth="1"/>
    <col min="6668" max="6668" width="15.109375" style="863" customWidth="1"/>
    <col min="6669" max="6669" width="8.33203125" style="863" bestFit="1" customWidth="1"/>
    <col min="6670" max="6912" width="18.88671875" style="863"/>
    <col min="6913" max="6913" width="4.33203125" style="863" customWidth="1"/>
    <col min="6914" max="6914" width="43.44140625" style="863" customWidth="1"/>
    <col min="6915" max="6915" width="8.5546875" style="863" bestFit="1" customWidth="1"/>
    <col min="6916" max="6916" width="9.88671875" style="863" bestFit="1" customWidth="1"/>
    <col min="6917" max="6917" width="11.44140625" style="863" bestFit="1" customWidth="1"/>
    <col min="6918" max="6918" width="14" style="863" bestFit="1" customWidth="1"/>
    <col min="6919" max="6919" width="12.44140625" style="863" customWidth="1"/>
    <col min="6920" max="6920" width="14" style="863" bestFit="1" customWidth="1"/>
    <col min="6921" max="6921" width="14.6640625" style="863" bestFit="1" customWidth="1"/>
    <col min="6922" max="6923" width="14.44140625" style="863" customWidth="1"/>
    <col min="6924" max="6924" width="15.109375" style="863" customWidth="1"/>
    <col min="6925" max="6925" width="8.33203125" style="863" bestFit="1" customWidth="1"/>
    <col min="6926" max="7168" width="18.88671875" style="863"/>
    <col min="7169" max="7169" width="4.33203125" style="863" customWidth="1"/>
    <col min="7170" max="7170" width="43.44140625" style="863" customWidth="1"/>
    <col min="7171" max="7171" width="8.5546875" style="863" bestFit="1" customWidth="1"/>
    <col min="7172" max="7172" width="9.88671875" style="863" bestFit="1" customWidth="1"/>
    <col min="7173" max="7173" width="11.44140625" style="863" bestFit="1" customWidth="1"/>
    <col min="7174" max="7174" width="14" style="863" bestFit="1" customWidth="1"/>
    <col min="7175" max="7175" width="12.44140625" style="863" customWidth="1"/>
    <col min="7176" max="7176" width="14" style="863" bestFit="1" customWidth="1"/>
    <col min="7177" max="7177" width="14.6640625" style="863" bestFit="1" customWidth="1"/>
    <col min="7178" max="7179" width="14.44140625" style="863" customWidth="1"/>
    <col min="7180" max="7180" width="15.109375" style="863" customWidth="1"/>
    <col min="7181" max="7181" width="8.33203125" style="863" bestFit="1" customWidth="1"/>
    <col min="7182" max="7424" width="18.88671875" style="863"/>
    <col min="7425" max="7425" width="4.33203125" style="863" customWidth="1"/>
    <col min="7426" max="7426" width="43.44140625" style="863" customWidth="1"/>
    <col min="7427" max="7427" width="8.5546875" style="863" bestFit="1" customWidth="1"/>
    <col min="7428" max="7428" width="9.88671875" style="863" bestFit="1" customWidth="1"/>
    <col min="7429" max="7429" width="11.44140625" style="863" bestFit="1" customWidth="1"/>
    <col min="7430" max="7430" width="14" style="863" bestFit="1" customWidth="1"/>
    <col min="7431" max="7431" width="12.44140625" style="863" customWidth="1"/>
    <col min="7432" max="7432" width="14" style="863" bestFit="1" customWidth="1"/>
    <col min="7433" max="7433" width="14.6640625" style="863" bestFit="1" customWidth="1"/>
    <col min="7434" max="7435" width="14.44140625" style="863" customWidth="1"/>
    <col min="7436" max="7436" width="15.109375" style="863" customWidth="1"/>
    <col min="7437" max="7437" width="8.33203125" style="863" bestFit="1" customWidth="1"/>
    <col min="7438" max="7680" width="18.88671875" style="863"/>
    <col min="7681" max="7681" width="4.33203125" style="863" customWidth="1"/>
    <col min="7682" max="7682" width="43.44140625" style="863" customWidth="1"/>
    <col min="7683" max="7683" width="8.5546875" style="863" bestFit="1" customWidth="1"/>
    <col min="7684" max="7684" width="9.88671875" style="863" bestFit="1" customWidth="1"/>
    <col min="7685" max="7685" width="11.44140625" style="863" bestFit="1" customWidth="1"/>
    <col min="7686" max="7686" width="14" style="863" bestFit="1" customWidth="1"/>
    <col min="7687" max="7687" width="12.44140625" style="863" customWidth="1"/>
    <col min="7688" max="7688" width="14" style="863" bestFit="1" customWidth="1"/>
    <col min="7689" max="7689" width="14.6640625" style="863" bestFit="1" customWidth="1"/>
    <col min="7690" max="7691" width="14.44140625" style="863" customWidth="1"/>
    <col min="7692" max="7692" width="15.109375" style="863" customWidth="1"/>
    <col min="7693" max="7693" width="8.33203125" style="863" bestFit="1" customWidth="1"/>
    <col min="7694" max="7936" width="18.88671875" style="863"/>
    <col min="7937" max="7937" width="4.33203125" style="863" customWidth="1"/>
    <col min="7938" max="7938" width="43.44140625" style="863" customWidth="1"/>
    <col min="7939" max="7939" width="8.5546875" style="863" bestFit="1" customWidth="1"/>
    <col min="7940" max="7940" width="9.88671875" style="863" bestFit="1" customWidth="1"/>
    <col min="7941" max="7941" width="11.44140625" style="863" bestFit="1" customWidth="1"/>
    <col min="7942" max="7942" width="14" style="863" bestFit="1" customWidth="1"/>
    <col min="7943" max="7943" width="12.44140625" style="863" customWidth="1"/>
    <col min="7944" max="7944" width="14" style="863" bestFit="1" customWidth="1"/>
    <col min="7945" max="7945" width="14.6640625" style="863" bestFit="1" customWidth="1"/>
    <col min="7946" max="7947" width="14.44140625" style="863" customWidth="1"/>
    <col min="7948" max="7948" width="15.109375" style="863" customWidth="1"/>
    <col min="7949" max="7949" width="8.33203125" style="863" bestFit="1" customWidth="1"/>
    <col min="7950" max="8192" width="18.88671875" style="863"/>
    <col min="8193" max="8193" width="4.33203125" style="863" customWidth="1"/>
    <col min="8194" max="8194" width="43.44140625" style="863" customWidth="1"/>
    <col min="8195" max="8195" width="8.5546875" style="863" bestFit="1" customWidth="1"/>
    <col min="8196" max="8196" width="9.88671875" style="863" bestFit="1" customWidth="1"/>
    <col min="8197" max="8197" width="11.44140625" style="863" bestFit="1" customWidth="1"/>
    <col min="8198" max="8198" width="14" style="863" bestFit="1" customWidth="1"/>
    <col min="8199" max="8199" width="12.44140625" style="863" customWidth="1"/>
    <col min="8200" max="8200" width="14" style="863" bestFit="1" customWidth="1"/>
    <col min="8201" max="8201" width="14.6640625" style="863" bestFit="1" customWidth="1"/>
    <col min="8202" max="8203" width="14.44140625" style="863" customWidth="1"/>
    <col min="8204" max="8204" width="15.109375" style="863" customWidth="1"/>
    <col min="8205" max="8205" width="8.33203125" style="863" bestFit="1" customWidth="1"/>
    <col min="8206" max="8448" width="18.88671875" style="863"/>
    <col min="8449" max="8449" width="4.33203125" style="863" customWidth="1"/>
    <col min="8450" max="8450" width="43.44140625" style="863" customWidth="1"/>
    <col min="8451" max="8451" width="8.5546875" style="863" bestFit="1" customWidth="1"/>
    <col min="8452" max="8452" width="9.88671875" style="863" bestFit="1" customWidth="1"/>
    <col min="8453" max="8453" width="11.44140625" style="863" bestFit="1" customWidth="1"/>
    <col min="8454" max="8454" width="14" style="863" bestFit="1" customWidth="1"/>
    <col min="8455" max="8455" width="12.44140625" style="863" customWidth="1"/>
    <col min="8456" max="8456" width="14" style="863" bestFit="1" customWidth="1"/>
    <col min="8457" max="8457" width="14.6640625" style="863" bestFit="1" customWidth="1"/>
    <col min="8458" max="8459" width="14.44140625" style="863" customWidth="1"/>
    <col min="8460" max="8460" width="15.109375" style="863" customWidth="1"/>
    <col min="8461" max="8461" width="8.33203125" style="863" bestFit="1" customWidth="1"/>
    <col min="8462" max="8704" width="18.88671875" style="863"/>
    <col min="8705" max="8705" width="4.33203125" style="863" customWidth="1"/>
    <col min="8706" max="8706" width="43.44140625" style="863" customWidth="1"/>
    <col min="8707" max="8707" width="8.5546875" style="863" bestFit="1" customWidth="1"/>
    <col min="8708" max="8708" width="9.88671875" style="863" bestFit="1" customWidth="1"/>
    <col min="8709" max="8709" width="11.44140625" style="863" bestFit="1" customWidth="1"/>
    <col min="8710" max="8710" width="14" style="863" bestFit="1" customWidth="1"/>
    <col min="8711" max="8711" width="12.44140625" style="863" customWidth="1"/>
    <col min="8712" max="8712" width="14" style="863" bestFit="1" customWidth="1"/>
    <col min="8713" max="8713" width="14.6640625" style="863" bestFit="1" customWidth="1"/>
    <col min="8714" max="8715" width="14.44140625" style="863" customWidth="1"/>
    <col min="8716" max="8716" width="15.109375" style="863" customWidth="1"/>
    <col min="8717" max="8717" width="8.33203125" style="863" bestFit="1" customWidth="1"/>
    <col min="8718" max="8960" width="18.88671875" style="863"/>
    <col min="8961" max="8961" width="4.33203125" style="863" customWidth="1"/>
    <col min="8962" max="8962" width="43.44140625" style="863" customWidth="1"/>
    <col min="8963" max="8963" width="8.5546875" style="863" bestFit="1" customWidth="1"/>
    <col min="8964" max="8964" width="9.88671875" style="863" bestFit="1" customWidth="1"/>
    <col min="8965" max="8965" width="11.44140625" style="863" bestFit="1" customWidth="1"/>
    <col min="8966" max="8966" width="14" style="863" bestFit="1" customWidth="1"/>
    <col min="8967" max="8967" width="12.44140625" style="863" customWidth="1"/>
    <col min="8968" max="8968" width="14" style="863" bestFit="1" customWidth="1"/>
    <col min="8969" max="8969" width="14.6640625" style="863" bestFit="1" customWidth="1"/>
    <col min="8970" max="8971" width="14.44140625" style="863" customWidth="1"/>
    <col min="8972" max="8972" width="15.109375" style="863" customWidth="1"/>
    <col min="8973" max="8973" width="8.33203125" style="863" bestFit="1" customWidth="1"/>
    <col min="8974" max="9216" width="18.88671875" style="863"/>
    <col min="9217" max="9217" width="4.33203125" style="863" customWidth="1"/>
    <col min="9218" max="9218" width="43.44140625" style="863" customWidth="1"/>
    <col min="9219" max="9219" width="8.5546875" style="863" bestFit="1" customWidth="1"/>
    <col min="9220" max="9220" width="9.88671875" style="863" bestFit="1" customWidth="1"/>
    <col min="9221" max="9221" width="11.44140625" style="863" bestFit="1" customWidth="1"/>
    <col min="9222" max="9222" width="14" style="863" bestFit="1" customWidth="1"/>
    <col min="9223" max="9223" width="12.44140625" style="863" customWidth="1"/>
    <col min="9224" max="9224" width="14" style="863" bestFit="1" customWidth="1"/>
    <col min="9225" max="9225" width="14.6640625" style="863" bestFit="1" customWidth="1"/>
    <col min="9226" max="9227" width="14.44140625" style="863" customWidth="1"/>
    <col min="9228" max="9228" width="15.109375" style="863" customWidth="1"/>
    <col min="9229" max="9229" width="8.33203125" style="863" bestFit="1" customWidth="1"/>
    <col min="9230" max="9472" width="18.88671875" style="863"/>
    <col min="9473" max="9473" width="4.33203125" style="863" customWidth="1"/>
    <col min="9474" max="9474" width="43.44140625" style="863" customWidth="1"/>
    <col min="9475" max="9475" width="8.5546875" style="863" bestFit="1" customWidth="1"/>
    <col min="9476" max="9476" width="9.88671875" style="863" bestFit="1" customWidth="1"/>
    <col min="9477" max="9477" width="11.44140625" style="863" bestFit="1" customWidth="1"/>
    <col min="9478" max="9478" width="14" style="863" bestFit="1" customWidth="1"/>
    <col min="9479" max="9479" width="12.44140625" style="863" customWidth="1"/>
    <col min="9480" max="9480" width="14" style="863" bestFit="1" customWidth="1"/>
    <col min="9481" max="9481" width="14.6640625" style="863" bestFit="1" customWidth="1"/>
    <col min="9482" max="9483" width="14.44140625" style="863" customWidth="1"/>
    <col min="9484" max="9484" width="15.109375" style="863" customWidth="1"/>
    <col min="9485" max="9485" width="8.33203125" style="863" bestFit="1" customWidth="1"/>
    <col min="9486" max="9728" width="18.88671875" style="863"/>
    <col min="9729" max="9729" width="4.33203125" style="863" customWidth="1"/>
    <col min="9730" max="9730" width="43.44140625" style="863" customWidth="1"/>
    <col min="9731" max="9731" width="8.5546875" style="863" bestFit="1" customWidth="1"/>
    <col min="9732" max="9732" width="9.88671875" style="863" bestFit="1" customWidth="1"/>
    <col min="9733" max="9733" width="11.44140625" style="863" bestFit="1" customWidth="1"/>
    <col min="9734" max="9734" width="14" style="863" bestFit="1" customWidth="1"/>
    <col min="9735" max="9735" width="12.44140625" style="863" customWidth="1"/>
    <col min="9736" max="9736" width="14" style="863" bestFit="1" customWidth="1"/>
    <col min="9737" max="9737" width="14.6640625" style="863" bestFit="1" customWidth="1"/>
    <col min="9738" max="9739" width="14.44140625" style="863" customWidth="1"/>
    <col min="9740" max="9740" width="15.109375" style="863" customWidth="1"/>
    <col min="9741" max="9741" width="8.33203125" style="863" bestFit="1" customWidth="1"/>
    <col min="9742" max="9984" width="18.88671875" style="863"/>
    <col min="9985" max="9985" width="4.33203125" style="863" customWidth="1"/>
    <col min="9986" max="9986" width="43.44140625" style="863" customWidth="1"/>
    <col min="9987" max="9987" width="8.5546875" style="863" bestFit="1" customWidth="1"/>
    <col min="9988" max="9988" width="9.88671875" style="863" bestFit="1" customWidth="1"/>
    <col min="9989" max="9989" width="11.44140625" style="863" bestFit="1" customWidth="1"/>
    <col min="9990" max="9990" width="14" style="863" bestFit="1" customWidth="1"/>
    <col min="9991" max="9991" width="12.44140625" style="863" customWidth="1"/>
    <col min="9992" max="9992" width="14" style="863" bestFit="1" customWidth="1"/>
    <col min="9993" max="9993" width="14.6640625" style="863" bestFit="1" customWidth="1"/>
    <col min="9994" max="9995" width="14.44140625" style="863" customWidth="1"/>
    <col min="9996" max="9996" width="15.109375" style="863" customWidth="1"/>
    <col min="9997" max="9997" width="8.33203125" style="863" bestFit="1" customWidth="1"/>
    <col min="9998" max="10240" width="18.88671875" style="863"/>
    <col min="10241" max="10241" width="4.33203125" style="863" customWidth="1"/>
    <col min="10242" max="10242" width="43.44140625" style="863" customWidth="1"/>
    <col min="10243" max="10243" width="8.5546875" style="863" bestFit="1" customWidth="1"/>
    <col min="10244" max="10244" width="9.88671875" style="863" bestFit="1" customWidth="1"/>
    <col min="10245" max="10245" width="11.44140625" style="863" bestFit="1" customWidth="1"/>
    <col min="10246" max="10246" width="14" style="863" bestFit="1" customWidth="1"/>
    <col min="10247" max="10247" width="12.44140625" style="863" customWidth="1"/>
    <col min="10248" max="10248" width="14" style="863" bestFit="1" customWidth="1"/>
    <col min="10249" max="10249" width="14.6640625" style="863" bestFit="1" customWidth="1"/>
    <col min="10250" max="10251" width="14.44140625" style="863" customWidth="1"/>
    <col min="10252" max="10252" width="15.109375" style="863" customWidth="1"/>
    <col min="10253" max="10253" width="8.33203125" style="863" bestFit="1" customWidth="1"/>
    <col min="10254" max="10496" width="18.88671875" style="863"/>
    <col min="10497" max="10497" width="4.33203125" style="863" customWidth="1"/>
    <col min="10498" max="10498" width="43.44140625" style="863" customWidth="1"/>
    <col min="10499" max="10499" width="8.5546875" style="863" bestFit="1" customWidth="1"/>
    <col min="10500" max="10500" width="9.88671875" style="863" bestFit="1" customWidth="1"/>
    <col min="10501" max="10501" width="11.44140625" style="863" bestFit="1" customWidth="1"/>
    <col min="10502" max="10502" width="14" style="863" bestFit="1" customWidth="1"/>
    <col min="10503" max="10503" width="12.44140625" style="863" customWidth="1"/>
    <col min="10504" max="10504" width="14" style="863" bestFit="1" customWidth="1"/>
    <col min="10505" max="10505" width="14.6640625" style="863" bestFit="1" customWidth="1"/>
    <col min="10506" max="10507" width="14.44140625" style="863" customWidth="1"/>
    <col min="10508" max="10508" width="15.109375" style="863" customWidth="1"/>
    <col min="10509" max="10509" width="8.33203125" style="863" bestFit="1" customWidth="1"/>
    <col min="10510" max="10752" width="18.88671875" style="863"/>
    <col min="10753" max="10753" width="4.33203125" style="863" customWidth="1"/>
    <col min="10754" max="10754" width="43.44140625" style="863" customWidth="1"/>
    <col min="10755" max="10755" width="8.5546875" style="863" bestFit="1" customWidth="1"/>
    <col min="10756" max="10756" width="9.88671875" style="863" bestFit="1" customWidth="1"/>
    <col min="10757" max="10757" width="11.44140625" style="863" bestFit="1" customWidth="1"/>
    <col min="10758" max="10758" width="14" style="863" bestFit="1" customWidth="1"/>
    <col min="10759" max="10759" width="12.44140625" style="863" customWidth="1"/>
    <col min="10760" max="10760" width="14" style="863" bestFit="1" customWidth="1"/>
    <col min="10761" max="10761" width="14.6640625" style="863" bestFit="1" customWidth="1"/>
    <col min="10762" max="10763" width="14.44140625" style="863" customWidth="1"/>
    <col min="10764" max="10764" width="15.109375" style="863" customWidth="1"/>
    <col min="10765" max="10765" width="8.33203125" style="863" bestFit="1" customWidth="1"/>
    <col min="10766" max="11008" width="18.88671875" style="863"/>
    <col min="11009" max="11009" width="4.33203125" style="863" customWidth="1"/>
    <col min="11010" max="11010" width="43.44140625" style="863" customWidth="1"/>
    <col min="11011" max="11011" width="8.5546875" style="863" bestFit="1" customWidth="1"/>
    <col min="11012" max="11012" width="9.88671875" style="863" bestFit="1" customWidth="1"/>
    <col min="11013" max="11013" width="11.44140625" style="863" bestFit="1" customWidth="1"/>
    <col min="11014" max="11014" width="14" style="863" bestFit="1" customWidth="1"/>
    <col min="11015" max="11015" width="12.44140625" style="863" customWidth="1"/>
    <col min="11016" max="11016" width="14" style="863" bestFit="1" customWidth="1"/>
    <col min="11017" max="11017" width="14.6640625" style="863" bestFit="1" customWidth="1"/>
    <col min="11018" max="11019" width="14.44140625" style="863" customWidth="1"/>
    <col min="11020" max="11020" width="15.109375" style="863" customWidth="1"/>
    <col min="11021" max="11021" width="8.33203125" style="863" bestFit="1" customWidth="1"/>
    <col min="11022" max="11264" width="18.88671875" style="863"/>
    <col min="11265" max="11265" width="4.33203125" style="863" customWidth="1"/>
    <col min="11266" max="11266" width="43.44140625" style="863" customWidth="1"/>
    <col min="11267" max="11267" width="8.5546875" style="863" bestFit="1" customWidth="1"/>
    <col min="11268" max="11268" width="9.88671875" style="863" bestFit="1" customWidth="1"/>
    <col min="11269" max="11269" width="11.44140625" style="863" bestFit="1" customWidth="1"/>
    <col min="11270" max="11270" width="14" style="863" bestFit="1" customWidth="1"/>
    <col min="11271" max="11271" width="12.44140625" style="863" customWidth="1"/>
    <col min="11272" max="11272" width="14" style="863" bestFit="1" customWidth="1"/>
    <col min="11273" max="11273" width="14.6640625" style="863" bestFit="1" customWidth="1"/>
    <col min="11274" max="11275" width="14.44140625" style="863" customWidth="1"/>
    <col min="11276" max="11276" width="15.109375" style="863" customWidth="1"/>
    <col min="11277" max="11277" width="8.33203125" style="863" bestFit="1" customWidth="1"/>
    <col min="11278" max="11520" width="18.88671875" style="863"/>
    <col min="11521" max="11521" width="4.33203125" style="863" customWidth="1"/>
    <col min="11522" max="11522" width="43.44140625" style="863" customWidth="1"/>
    <col min="11523" max="11523" width="8.5546875" style="863" bestFit="1" customWidth="1"/>
    <col min="11524" max="11524" width="9.88671875" style="863" bestFit="1" customWidth="1"/>
    <col min="11525" max="11525" width="11.44140625" style="863" bestFit="1" customWidth="1"/>
    <col min="11526" max="11526" width="14" style="863" bestFit="1" customWidth="1"/>
    <col min="11527" max="11527" width="12.44140625" style="863" customWidth="1"/>
    <col min="11528" max="11528" width="14" style="863" bestFit="1" customWidth="1"/>
    <col min="11529" max="11529" width="14.6640625" style="863" bestFit="1" customWidth="1"/>
    <col min="11530" max="11531" width="14.44140625" style="863" customWidth="1"/>
    <col min="11532" max="11532" width="15.109375" style="863" customWidth="1"/>
    <col min="11533" max="11533" width="8.33203125" style="863" bestFit="1" customWidth="1"/>
    <col min="11534" max="11776" width="18.88671875" style="863"/>
    <col min="11777" max="11777" width="4.33203125" style="863" customWidth="1"/>
    <col min="11778" max="11778" width="43.44140625" style="863" customWidth="1"/>
    <col min="11779" max="11779" width="8.5546875" style="863" bestFit="1" customWidth="1"/>
    <col min="11780" max="11780" width="9.88671875" style="863" bestFit="1" customWidth="1"/>
    <col min="11781" max="11781" width="11.44140625" style="863" bestFit="1" customWidth="1"/>
    <col min="11782" max="11782" width="14" style="863" bestFit="1" customWidth="1"/>
    <col min="11783" max="11783" width="12.44140625" style="863" customWidth="1"/>
    <col min="11784" max="11784" width="14" style="863" bestFit="1" customWidth="1"/>
    <col min="11785" max="11785" width="14.6640625" style="863" bestFit="1" customWidth="1"/>
    <col min="11786" max="11787" width="14.44140625" style="863" customWidth="1"/>
    <col min="11788" max="11788" width="15.109375" style="863" customWidth="1"/>
    <col min="11789" max="11789" width="8.33203125" style="863" bestFit="1" customWidth="1"/>
    <col min="11790" max="12032" width="18.88671875" style="863"/>
    <col min="12033" max="12033" width="4.33203125" style="863" customWidth="1"/>
    <col min="12034" max="12034" width="43.44140625" style="863" customWidth="1"/>
    <col min="12035" max="12035" width="8.5546875" style="863" bestFit="1" customWidth="1"/>
    <col min="12036" max="12036" width="9.88671875" style="863" bestFit="1" customWidth="1"/>
    <col min="12037" max="12037" width="11.44140625" style="863" bestFit="1" customWidth="1"/>
    <col min="12038" max="12038" width="14" style="863" bestFit="1" customWidth="1"/>
    <col min="12039" max="12039" width="12.44140625" style="863" customWidth="1"/>
    <col min="12040" max="12040" width="14" style="863" bestFit="1" customWidth="1"/>
    <col min="12041" max="12041" width="14.6640625" style="863" bestFit="1" customWidth="1"/>
    <col min="12042" max="12043" width="14.44140625" style="863" customWidth="1"/>
    <col min="12044" max="12044" width="15.109375" style="863" customWidth="1"/>
    <col min="12045" max="12045" width="8.33203125" style="863" bestFit="1" customWidth="1"/>
    <col min="12046" max="12288" width="18.88671875" style="863"/>
    <col min="12289" max="12289" width="4.33203125" style="863" customWidth="1"/>
    <col min="12290" max="12290" width="43.44140625" style="863" customWidth="1"/>
    <col min="12291" max="12291" width="8.5546875" style="863" bestFit="1" customWidth="1"/>
    <col min="12292" max="12292" width="9.88671875" style="863" bestFit="1" customWidth="1"/>
    <col min="12293" max="12293" width="11.44140625" style="863" bestFit="1" customWidth="1"/>
    <col min="12294" max="12294" width="14" style="863" bestFit="1" customWidth="1"/>
    <col min="12295" max="12295" width="12.44140625" style="863" customWidth="1"/>
    <col min="12296" max="12296" width="14" style="863" bestFit="1" customWidth="1"/>
    <col min="12297" max="12297" width="14.6640625" style="863" bestFit="1" customWidth="1"/>
    <col min="12298" max="12299" width="14.44140625" style="863" customWidth="1"/>
    <col min="12300" max="12300" width="15.109375" style="863" customWidth="1"/>
    <col min="12301" max="12301" width="8.33203125" style="863" bestFit="1" customWidth="1"/>
    <col min="12302" max="12544" width="18.88671875" style="863"/>
    <col min="12545" max="12545" width="4.33203125" style="863" customWidth="1"/>
    <col min="12546" max="12546" width="43.44140625" style="863" customWidth="1"/>
    <col min="12547" max="12547" width="8.5546875" style="863" bestFit="1" customWidth="1"/>
    <col min="12548" max="12548" width="9.88671875" style="863" bestFit="1" customWidth="1"/>
    <col min="12549" max="12549" width="11.44140625" style="863" bestFit="1" customWidth="1"/>
    <col min="12550" max="12550" width="14" style="863" bestFit="1" customWidth="1"/>
    <col min="12551" max="12551" width="12.44140625" style="863" customWidth="1"/>
    <col min="12552" max="12552" width="14" style="863" bestFit="1" customWidth="1"/>
    <col min="12553" max="12553" width="14.6640625" style="863" bestFit="1" customWidth="1"/>
    <col min="12554" max="12555" width="14.44140625" style="863" customWidth="1"/>
    <col min="12556" max="12556" width="15.109375" style="863" customWidth="1"/>
    <col min="12557" max="12557" width="8.33203125" style="863" bestFit="1" customWidth="1"/>
    <col min="12558" max="12800" width="18.88671875" style="863"/>
    <col min="12801" max="12801" width="4.33203125" style="863" customWidth="1"/>
    <col min="12802" max="12802" width="43.44140625" style="863" customWidth="1"/>
    <col min="12803" max="12803" width="8.5546875" style="863" bestFit="1" customWidth="1"/>
    <col min="12804" max="12804" width="9.88671875" style="863" bestFit="1" customWidth="1"/>
    <col min="12805" max="12805" width="11.44140625" style="863" bestFit="1" customWidth="1"/>
    <col min="12806" max="12806" width="14" style="863" bestFit="1" customWidth="1"/>
    <col min="12807" max="12807" width="12.44140625" style="863" customWidth="1"/>
    <col min="12808" max="12808" width="14" style="863" bestFit="1" customWidth="1"/>
    <col min="12809" max="12809" width="14.6640625" style="863" bestFit="1" customWidth="1"/>
    <col min="12810" max="12811" width="14.44140625" style="863" customWidth="1"/>
    <col min="12812" max="12812" width="15.109375" style="863" customWidth="1"/>
    <col min="12813" max="12813" width="8.33203125" style="863" bestFit="1" customWidth="1"/>
    <col min="12814" max="13056" width="18.88671875" style="863"/>
    <col min="13057" max="13057" width="4.33203125" style="863" customWidth="1"/>
    <col min="13058" max="13058" width="43.44140625" style="863" customWidth="1"/>
    <col min="13059" max="13059" width="8.5546875" style="863" bestFit="1" customWidth="1"/>
    <col min="13060" max="13060" width="9.88671875" style="863" bestFit="1" customWidth="1"/>
    <col min="13061" max="13061" width="11.44140625" style="863" bestFit="1" customWidth="1"/>
    <col min="13062" max="13062" width="14" style="863" bestFit="1" customWidth="1"/>
    <col min="13063" max="13063" width="12.44140625" style="863" customWidth="1"/>
    <col min="13064" max="13064" width="14" style="863" bestFit="1" customWidth="1"/>
    <col min="13065" max="13065" width="14.6640625" style="863" bestFit="1" customWidth="1"/>
    <col min="13066" max="13067" width="14.44140625" style="863" customWidth="1"/>
    <col min="13068" max="13068" width="15.109375" style="863" customWidth="1"/>
    <col min="13069" max="13069" width="8.33203125" style="863" bestFit="1" customWidth="1"/>
    <col min="13070" max="13312" width="18.88671875" style="863"/>
    <col min="13313" max="13313" width="4.33203125" style="863" customWidth="1"/>
    <col min="13314" max="13314" width="43.44140625" style="863" customWidth="1"/>
    <col min="13315" max="13315" width="8.5546875" style="863" bestFit="1" customWidth="1"/>
    <col min="13316" max="13316" width="9.88671875" style="863" bestFit="1" customWidth="1"/>
    <col min="13317" max="13317" width="11.44140625" style="863" bestFit="1" customWidth="1"/>
    <col min="13318" max="13318" width="14" style="863" bestFit="1" customWidth="1"/>
    <col min="13319" max="13319" width="12.44140625" style="863" customWidth="1"/>
    <col min="13320" max="13320" width="14" style="863" bestFit="1" customWidth="1"/>
    <col min="13321" max="13321" width="14.6640625" style="863" bestFit="1" customWidth="1"/>
    <col min="13322" max="13323" width="14.44140625" style="863" customWidth="1"/>
    <col min="13324" max="13324" width="15.109375" style="863" customWidth="1"/>
    <col min="13325" max="13325" width="8.33203125" style="863" bestFit="1" customWidth="1"/>
    <col min="13326" max="13568" width="18.88671875" style="863"/>
    <col min="13569" max="13569" width="4.33203125" style="863" customWidth="1"/>
    <col min="13570" max="13570" width="43.44140625" style="863" customWidth="1"/>
    <col min="13571" max="13571" width="8.5546875" style="863" bestFit="1" customWidth="1"/>
    <col min="13572" max="13572" width="9.88671875" style="863" bestFit="1" customWidth="1"/>
    <col min="13573" max="13573" width="11.44140625" style="863" bestFit="1" customWidth="1"/>
    <col min="13574" max="13574" width="14" style="863" bestFit="1" customWidth="1"/>
    <col min="13575" max="13575" width="12.44140625" style="863" customWidth="1"/>
    <col min="13576" max="13576" width="14" style="863" bestFit="1" customWidth="1"/>
    <col min="13577" max="13577" width="14.6640625" style="863" bestFit="1" customWidth="1"/>
    <col min="13578" max="13579" width="14.44140625" style="863" customWidth="1"/>
    <col min="13580" max="13580" width="15.109375" style="863" customWidth="1"/>
    <col min="13581" max="13581" width="8.33203125" style="863" bestFit="1" customWidth="1"/>
    <col min="13582" max="13824" width="18.88671875" style="863"/>
    <col min="13825" max="13825" width="4.33203125" style="863" customWidth="1"/>
    <col min="13826" max="13826" width="43.44140625" style="863" customWidth="1"/>
    <col min="13827" max="13827" width="8.5546875" style="863" bestFit="1" customWidth="1"/>
    <col min="13828" max="13828" width="9.88671875" style="863" bestFit="1" customWidth="1"/>
    <col min="13829" max="13829" width="11.44140625" style="863" bestFit="1" customWidth="1"/>
    <col min="13830" max="13830" width="14" style="863" bestFit="1" customWidth="1"/>
    <col min="13831" max="13831" width="12.44140625" style="863" customWidth="1"/>
    <col min="13832" max="13832" width="14" style="863" bestFit="1" customWidth="1"/>
    <col min="13833" max="13833" width="14.6640625" style="863" bestFit="1" customWidth="1"/>
    <col min="13834" max="13835" width="14.44140625" style="863" customWidth="1"/>
    <col min="13836" max="13836" width="15.109375" style="863" customWidth="1"/>
    <col min="13837" max="13837" width="8.33203125" style="863" bestFit="1" customWidth="1"/>
    <col min="13838" max="14080" width="18.88671875" style="863"/>
    <col min="14081" max="14081" width="4.33203125" style="863" customWidth="1"/>
    <col min="14082" max="14082" width="43.44140625" style="863" customWidth="1"/>
    <col min="14083" max="14083" width="8.5546875" style="863" bestFit="1" customWidth="1"/>
    <col min="14084" max="14084" width="9.88671875" style="863" bestFit="1" customWidth="1"/>
    <col min="14085" max="14085" width="11.44140625" style="863" bestFit="1" customWidth="1"/>
    <col min="14086" max="14086" width="14" style="863" bestFit="1" customWidth="1"/>
    <col min="14087" max="14087" width="12.44140625" style="863" customWidth="1"/>
    <col min="14088" max="14088" width="14" style="863" bestFit="1" customWidth="1"/>
    <col min="14089" max="14089" width="14.6640625" style="863" bestFit="1" customWidth="1"/>
    <col min="14090" max="14091" width="14.44140625" style="863" customWidth="1"/>
    <col min="14092" max="14092" width="15.109375" style="863" customWidth="1"/>
    <col min="14093" max="14093" width="8.33203125" style="863" bestFit="1" customWidth="1"/>
    <col min="14094" max="14336" width="18.88671875" style="863"/>
    <col min="14337" max="14337" width="4.33203125" style="863" customWidth="1"/>
    <col min="14338" max="14338" width="43.44140625" style="863" customWidth="1"/>
    <col min="14339" max="14339" width="8.5546875" style="863" bestFit="1" customWidth="1"/>
    <col min="14340" max="14340" width="9.88671875" style="863" bestFit="1" customWidth="1"/>
    <col min="14341" max="14341" width="11.44140625" style="863" bestFit="1" customWidth="1"/>
    <col min="14342" max="14342" width="14" style="863" bestFit="1" customWidth="1"/>
    <col min="14343" max="14343" width="12.44140625" style="863" customWidth="1"/>
    <col min="14344" max="14344" width="14" style="863" bestFit="1" customWidth="1"/>
    <col min="14345" max="14345" width="14.6640625" style="863" bestFit="1" customWidth="1"/>
    <col min="14346" max="14347" width="14.44140625" style="863" customWidth="1"/>
    <col min="14348" max="14348" width="15.109375" style="863" customWidth="1"/>
    <col min="14349" max="14349" width="8.33203125" style="863" bestFit="1" customWidth="1"/>
    <col min="14350" max="14592" width="18.88671875" style="863"/>
    <col min="14593" max="14593" width="4.33203125" style="863" customWidth="1"/>
    <col min="14594" max="14594" width="43.44140625" style="863" customWidth="1"/>
    <col min="14595" max="14595" width="8.5546875" style="863" bestFit="1" customWidth="1"/>
    <col min="14596" max="14596" width="9.88671875" style="863" bestFit="1" customWidth="1"/>
    <col min="14597" max="14597" width="11.44140625" style="863" bestFit="1" customWidth="1"/>
    <col min="14598" max="14598" width="14" style="863" bestFit="1" customWidth="1"/>
    <col min="14599" max="14599" width="12.44140625" style="863" customWidth="1"/>
    <col min="14600" max="14600" width="14" style="863" bestFit="1" customWidth="1"/>
    <col min="14601" max="14601" width="14.6640625" style="863" bestFit="1" customWidth="1"/>
    <col min="14602" max="14603" width="14.44140625" style="863" customWidth="1"/>
    <col min="14604" max="14604" width="15.109375" style="863" customWidth="1"/>
    <col min="14605" max="14605" width="8.33203125" style="863" bestFit="1" customWidth="1"/>
    <col min="14606" max="14848" width="18.88671875" style="863"/>
    <col min="14849" max="14849" width="4.33203125" style="863" customWidth="1"/>
    <col min="14850" max="14850" width="43.44140625" style="863" customWidth="1"/>
    <col min="14851" max="14851" width="8.5546875" style="863" bestFit="1" customWidth="1"/>
    <col min="14852" max="14852" width="9.88671875" style="863" bestFit="1" customWidth="1"/>
    <col min="14853" max="14853" width="11.44140625" style="863" bestFit="1" customWidth="1"/>
    <col min="14854" max="14854" width="14" style="863" bestFit="1" customWidth="1"/>
    <col min="14855" max="14855" width="12.44140625" style="863" customWidth="1"/>
    <col min="14856" max="14856" width="14" style="863" bestFit="1" customWidth="1"/>
    <col min="14857" max="14857" width="14.6640625" style="863" bestFit="1" customWidth="1"/>
    <col min="14858" max="14859" width="14.44140625" style="863" customWidth="1"/>
    <col min="14860" max="14860" width="15.109375" style="863" customWidth="1"/>
    <col min="14861" max="14861" width="8.33203125" style="863" bestFit="1" customWidth="1"/>
    <col min="14862" max="15104" width="18.88671875" style="863"/>
    <col min="15105" max="15105" width="4.33203125" style="863" customWidth="1"/>
    <col min="15106" max="15106" width="43.44140625" style="863" customWidth="1"/>
    <col min="15107" max="15107" width="8.5546875" style="863" bestFit="1" customWidth="1"/>
    <col min="15108" max="15108" width="9.88671875" style="863" bestFit="1" customWidth="1"/>
    <col min="15109" max="15109" width="11.44140625" style="863" bestFit="1" customWidth="1"/>
    <col min="15110" max="15110" width="14" style="863" bestFit="1" customWidth="1"/>
    <col min="15111" max="15111" width="12.44140625" style="863" customWidth="1"/>
    <col min="15112" max="15112" width="14" style="863" bestFit="1" customWidth="1"/>
    <col min="15113" max="15113" width="14.6640625" style="863" bestFit="1" customWidth="1"/>
    <col min="15114" max="15115" width="14.44140625" style="863" customWidth="1"/>
    <col min="15116" max="15116" width="15.109375" style="863" customWidth="1"/>
    <col min="15117" max="15117" width="8.33203125" style="863" bestFit="1" customWidth="1"/>
    <col min="15118" max="15360" width="18.88671875" style="863"/>
    <col min="15361" max="15361" width="4.33203125" style="863" customWidth="1"/>
    <col min="15362" max="15362" width="43.44140625" style="863" customWidth="1"/>
    <col min="15363" max="15363" width="8.5546875" style="863" bestFit="1" customWidth="1"/>
    <col min="15364" max="15364" width="9.88671875" style="863" bestFit="1" customWidth="1"/>
    <col min="15365" max="15365" width="11.44140625" style="863" bestFit="1" customWidth="1"/>
    <col min="15366" max="15366" width="14" style="863" bestFit="1" customWidth="1"/>
    <col min="15367" max="15367" width="12.44140625" style="863" customWidth="1"/>
    <col min="15368" max="15368" width="14" style="863" bestFit="1" customWidth="1"/>
    <col min="15369" max="15369" width="14.6640625" style="863" bestFit="1" customWidth="1"/>
    <col min="15370" max="15371" width="14.44140625" style="863" customWidth="1"/>
    <col min="15372" max="15372" width="15.109375" style="863" customWidth="1"/>
    <col min="15373" max="15373" width="8.33203125" style="863" bestFit="1" customWidth="1"/>
    <col min="15374" max="15616" width="18.88671875" style="863"/>
    <col min="15617" max="15617" width="4.33203125" style="863" customWidth="1"/>
    <col min="15618" max="15618" width="43.44140625" style="863" customWidth="1"/>
    <col min="15619" max="15619" width="8.5546875" style="863" bestFit="1" customWidth="1"/>
    <col min="15620" max="15620" width="9.88671875" style="863" bestFit="1" customWidth="1"/>
    <col min="15621" max="15621" width="11.44140625" style="863" bestFit="1" customWidth="1"/>
    <col min="15622" max="15622" width="14" style="863" bestFit="1" customWidth="1"/>
    <col min="15623" max="15623" width="12.44140625" style="863" customWidth="1"/>
    <col min="15624" max="15624" width="14" style="863" bestFit="1" customWidth="1"/>
    <col min="15625" max="15625" width="14.6640625" style="863" bestFit="1" customWidth="1"/>
    <col min="15626" max="15627" width="14.44140625" style="863" customWidth="1"/>
    <col min="15628" max="15628" width="15.109375" style="863" customWidth="1"/>
    <col min="15629" max="15629" width="8.33203125" style="863" bestFit="1" customWidth="1"/>
    <col min="15630" max="15872" width="18.88671875" style="863"/>
    <col min="15873" max="15873" width="4.33203125" style="863" customWidth="1"/>
    <col min="15874" max="15874" width="43.44140625" style="863" customWidth="1"/>
    <col min="15875" max="15875" width="8.5546875" style="863" bestFit="1" customWidth="1"/>
    <col min="15876" max="15876" width="9.88671875" style="863" bestFit="1" customWidth="1"/>
    <col min="15877" max="15877" width="11.44140625" style="863" bestFit="1" customWidth="1"/>
    <col min="15878" max="15878" width="14" style="863" bestFit="1" customWidth="1"/>
    <col min="15879" max="15879" width="12.44140625" style="863" customWidth="1"/>
    <col min="15880" max="15880" width="14" style="863" bestFit="1" customWidth="1"/>
    <col min="15881" max="15881" width="14.6640625" style="863" bestFit="1" customWidth="1"/>
    <col min="15882" max="15883" width="14.44140625" style="863" customWidth="1"/>
    <col min="15884" max="15884" width="15.109375" style="863" customWidth="1"/>
    <col min="15885" max="15885" width="8.33203125" style="863" bestFit="1" customWidth="1"/>
    <col min="15886" max="16128" width="18.88671875" style="863"/>
    <col min="16129" max="16129" width="4.33203125" style="863" customWidth="1"/>
    <col min="16130" max="16130" width="43.44140625" style="863" customWidth="1"/>
    <col min="16131" max="16131" width="8.5546875" style="863" bestFit="1" customWidth="1"/>
    <col min="16132" max="16132" width="9.88671875" style="863" bestFit="1" customWidth="1"/>
    <col min="16133" max="16133" width="11.44140625" style="863" bestFit="1" customWidth="1"/>
    <col min="16134" max="16134" width="14" style="863" bestFit="1" customWidth="1"/>
    <col min="16135" max="16135" width="12.44140625" style="863" customWidth="1"/>
    <col min="16136" max="16136" width="14" style="863" bestFit="1" customWidth="1"/>
    <col min="16137" max="16137" width="14.6640625" style="863" bestFit="1" customWidth="1"/>
    <col min="16138" max="16139" width="14.44140625" style="863" customWidth="1"/>
    <col min="16140" max="16140" width="15.109375" style="863" customWidth="1"/>
    <col min="16141" max="16141" width="8.33203125" style="863" bestFit="1" customWidth="1"/>
    <col min="16142" max="16384" width="18.88671875" style="863"/>
  </cols>
  <sheetData>
    <row r="1" spans="2:13" ht="13.8" thickBot="1" x14ac:dyDescent="0.3"/>
    <row r="2" spans="2:13" ht="13.8" thickBot="1" x14ac:dyDescent="0.3">
      <c r="B2" s="1246" t="s">
        <v>4225</v>
      </c>
      <c r="C2" s="1247"/>
      <c r="D2" s="1247"/>
      <c r="E2" s="1247"/>
      <c r="F2" s="1247"/>
      <c r="G2" s="1247"/>
      <c r="H2" s="1247"/>
      <c r="I2" s="1247"/>
      <c r="J2" s="1247"/>
      <c r="K2" s="1247"/>
      <c r="L2" s="1247"/>
      <c r="M2" s="1248"/>
    </row>
    <row r="3" spans="2:13" ht="13.5" customHeight="1" thickBot="1" x14ac:dyDescent="0.3">
      <c r="B3" s="867" t="s">
        <v>4053</v>
      </c>
      <c r="C3" s="868" t="s">
        <v>4054</v>
      </c>
      <c r="D3" s="869" t="s">
        <v>4055</v>
      </c>
      <c r="E3" s="869" t="s">
        <v>4056</v>
      </c>
      <c r="F3" s="869" t="s">
        <v>4056</v>
      </c>
      <c r="G3" s="1249" t="s">
        <v>3709</v>
      </c>
      <c r="H3" s="870"/>
      <c r="I3" s="1251" t="s">
        <v>4057</v>
      </c>
      <c r="J3" s="1252"/>
      <c r="K3" s="1253"/>
      <c r="L3" s="869" t="s">
        <v>4058</v>
      </c>
      <c r="M3" s="871" t="s">
        <v>4059</v>
      </c>
    </row>
    <row r="4" spans="2:13" x14ac:dyDescent="0.25">
      <c r="B4" s="872"/>
      <c r="C4" s="873" t="s">
        <v>4060</v>
      </c>
      <c r="D4" s="874" t="s">
        <v>4061</v>
      </c>
      <c r="E4" s="874" t="s">
        <v>4062</v>
      </c>
      <c r="F4" s="874" t="s">
        <v>4063</v>
      </c>
      <c r="G4" s="1250"/>
      <c r="H4" s="874" t="s">
        <v>347</v>
      </c>
      <c r="I4" s="874" t="s">
        <v>4064</v>
      </c>
      <c r="J4" s="875"/>
      <c r="K4" s="876" t="s">
        <v>4065</v>
      </c>
      <c r="L4" s="874" t="s">
        <v>4066</v>
      </c>
      <c r="M4" s="877" t="s">
        <v>4067</v>
      </c>
    </row>
    <row r="5" spans="2:13" ht="13.8" thickBot="1" x14ac:dyDescent="0.3">
      <c r="B5" s="878"/>
      <c r="C5" s="879"/>
      <c r="D5" s="880"/>
      <c r="E5" s="874"/>
      <c r="F5" s="874"/>
      <c r="G5" s="881" t="s">
        <v>4068</v>
      </c>
      <c r="H5" s="874"/>
      <c r="I5" s="882" t="s">
        <v>4069</v>
      </c>
      <c r="J5" s="876" t="s">
        <v>4056</v>
      </c>
      <c r="K5" s="876" t="s">
        <v>347</v>
      </c>
      <c r="L5" s="874"/>
      <c r="M5" s="877"/>
    </row>
    <row r="6" spans="2:13" ht="17.25" customHeight="1" thickBot="1" x14ac:dyDescent="0.3">
      <c r="B6" s="883"/>
      <c r="C6" s="884"/>
      <c r="D6" s="1254" t="s">
        <v>4070</v>
      </c>
      <c r="E6" s="1255"/>
      <c r="F6" s="885"/>
      <c r="G6" s="886" t="s">
        <v>4071</v>
      </c>
      <c r="H6" s="887"/>
      <c r="I6" s="888" t="s">
        <v>4072</v>
      </c>
      <c r="J6" s="888" t="s">
        <v>4073</v>
      </c>
      <c r="K6" s="889"/>
      <c r="L6" s="887"/>
      <c r="M6" s="890"/>
    </row>
    <row r="7" spans="2:13" ht="13.8" thickBot="1" x14ac:dyDescent="0.3">
      <c r="B7" s="891" t="s">
        <v>4074</v>
      </c>
      <c r="C7" s="910"/>
      <c r="D7" s="954">
        <f>SUM(D8:D10)</f>
        <v>0</v>
      </c>
      <c r="E7" s="954">
        <f t="shared" ref="E7:L7" si="0">SUM(E8:E10)</f>
        <v>0</v>
      </c>
      <c r="F7" s="954">
        <f t="shared" si="0"/>
        <v>118019.32</v>
      </c>
      <c r="G7" s="954">
        <f t="shared" si="0"/>
        <v>0</v>
      </c>
      <c r="H7" s="954">
        <f t="shared" si="0"/>
        <v>118019.32</v>
      </c>
      <c r="I7" s="954">
        <f t="shared" si="0"/>
        <v>0</v>
      </c>
      <c r="J7" s="954">
        <f t="shared" si="0"/>
        <v>35406</v>
      </c>
      <c r="K7" s="954">
        <f t="shared" si="0"/>
        <v>35406</v>
      </c>
      <c r="L7" s="954">
        <f t="shared" si="0"/>
        <v>82613.320000000007</v>
      </c>
      <c r="M7" s="954"/>
    </row>
    <row r="8" spans="2:13" x14ac:dyDescent="0.25">
      <c r="B8" s="892" t="s">
        <v>4075</v>
      </c>
      <c r="C8" s="893"/>
      <c r="D8" s="894"/>
      <c r="E8" s="895">
        <v>0</v>
      </c>
      <c r="F8" s="895">
        <v>118019.32</v>
      </c>
      <c r="G8" s="895">
        <v>0</v>
      </c>
      <c r="H8" s="896">
        <f>D8+E8+F8-G8</f>
        <v>118019.32</v>
      </c>
      <c r="I8" s="895">
        <f>ROUND(((D8+E8)-G8)*M8,0)</f>
        <v>0</v>
      </c>
      <c r="J8" s="896">
        <f>ROUND(F8*M8/2,0)</f>
        <v>35406</v>
      </c>
      <c r="K8" s="897">
        <f>I8+J8</f>
        <v>35406</v>
      </c>
      <c r="L8" s="896">
        <f>H8-K8</f>
        <v>82613.320000000007</v>
      </c>
      <c r="M8" s="898">
        <v>0.6</v>
      </c>
    </row>
    <row r="9" spans="2:13" x14ac:dyDescent="0.25">
      <c r="B9" s="892"/>
      <c r="C9" s="893"/>
      <c r="D9" s="894"/>
      <c r="E9" s="895">
        <v>0</v>
      </c>
      <c r="F9" s="895"/>
      <c r="G9" s="895">
        <v>0</v>
      </c>
      <c r="H9" s="896">
        <f>D9+E9+F9-G9</f>
        <v>0</v>
      </c>
      <c r="I9" s="895">
        <f>ROUND(((D9+E9)-G9)*M9,0)</f>
        <v>0</v>
      </c>
      <c r="J9" s="896">
        <f>ROUND(F9*M9/2,0)</f>
        <v>0</v>
      </c>
      <c r="K9" s="897">
        <f>I9+J9</f>
        <v>0</v>
      </c>
      <c r="L9" s="896">
        <f>H9-K9</f>
        <v>0</v>
      </c>
      <c r="M9" s="898">
        <v>0.6</v>
      </c>
    </row>
    <row r="10" spans="2:13" ht="13.8" thickBot="1" x14ac:dyDescent="0.3">
      <c r="B10" s="899"/>
      <c r="C10" s="893"/>
      <c r="D10" s="900"/>
      <c r="E10" s="895"/>
      <c r="F10" s="895"/>
      <c r="G10" s="895"/>
      <c r="H10" s="896">
        <f t="shared" ref="H10:H38" si="1">D10+E10+F10-G10</f>
        <v>0</v>
      </c>
      <c r="I10" s="895">
        <f t="shared" ref="I10:I38" si="2">ROUND(((D10+E10)-G10)*M10,0)</f>
        <v>0</v>
      </c>
      <c r="J10" s="896"/>
      <c r="K10" s="897"/>
      <c r="L10" s="896"/>
      <c r="M10" s="898"/>
    </row>
    <row r="11" spans="2:13" ht="13.8" thickBot="1" x14ac:dyDescent="0.3">
      <c r="B11" s="891" t="s">
        <v>4076</v>
      </c>
      <c r="C11" s="910"/>
      <c r="D11" s="954">
        <f>SUM(D12:D15)</f>
        <v>0</v>
      </c>
      <c r="E11" s="954">
        <f t="shared" ref="E11:L11" si="3">SUM(E12:E15)</f>
        <v>252960</v>
      </c>
      <c r="F11" s="954">
        <f t="shared" si="3"/>
        <v>2505729.7199999997</v>
      </c>
      <c r="G11" s="954">
        <f t="shared" si="3"/>
        <v>0</v>
      </c>
      <c r="H11" s="954">
        <f t="shared" si="3"/>
        <v>2758689.7199999997</v>
      </c>
      <c r="I11" s="954">
        <f t="shared" si="3"/>
        <v>25296</v>
      </c>
      <c r="J11" s="954">
        <f t="shared" si="3"/>
        <v>125287</v>
      </c>
      <c r="K11" s="954">
        <f t="shared" si="3"/>
        <v>150583</v>
      </c>
      <c r="L11" s="954">
        <f t="shared" si="3"/>
        <v>2608106.7199999997</v>
      </c>
      <c r="M11" s="954"/>
    </row>
    <row r="12" spans="2:13" x14ac:dyDescent="0.25">
      <c r="B12" s="892" t="s">
        <v>4077</v>
      </c>
      <c r="C12" s="893"/>
      <c r="D12" s="894"/>
      <c r="E12" s="895">
        <v>252960</v>
      </c>
      <c r="F12" s="895">
        <v>1721590.72</v>
      </c>
      <c r="G12" s="895">
        <v>0</v>
      </c>
      <c r="H12" s="896">
        <f t="shared" si="1"/>
        <v>1974550.72</v>
      </c>
      <c r="I12" s="895">
        <f t="shared" si="2"/>
        <v>25296</v>
      </c>
      <c r="J12" s="896">
        <f>ROUND(F12*M12/2,0)</f>
        <v>86080</v>
      </c>
      <c r="K12" s="897">
        <f>I12+J12</f>
        <v>111376</v>
      </c>
      <c r="L12" s="896">
        <f>H12-K12</f>
        <v>1863174.72</v>
      </c>
      <c r="M12" s="898">
        <v>0.1</v>
      </c>
    </row>
    <row r="13" spans="2:13" x14ac:dyDescent="0.25">
      <c r="B13" s="892" t="s">
        <v>4078</v>
      </c>
      <c r="C13" s="893"/>
      <c r="D13" s="894"/>
      <c r="E13" s="895">
        <v>0</v>
      </c>
      <c r="F13" s="895">
        <v>784139</v>
      </c>
      <c r="G13" s="895">
        <v>0</v>
      </c>
      <c r="H13" s="896">
        <f t="shared" si="1"/>
        <v>784139</v>
      </c>
      <c r="I13" s="895">
        <f t="shared" si="2"/>
        <v>0</v>
      </c>
      <c r="J13" s="896">
        <f>ROUND(F13*M13/2,0)</f>
        <v>39207</v>
      </c>
      <c r="K13" s="897">
        <f>I13+J13</f>
        <v>39207</v>
      </c>
      <c r="L13" s="896">
        <f>H13-K13</f>
        <v>744932</v>
      </c>
      <c r="M13" s="898">
        <v>0.1</v>
      </c>
    </row>
    <row r="14" spans="2:13" x14ac:dyDescent="0.25">
      <c r="B14" s="892"/>
      <c r="C14" s="893"/>
      <c r="D14" s="894"/>
      <c r="E14" s="895">
        <v>0</v>
      </c>
      <c r="F14" s="895"/>
      <c r="G14" s="895">
        <v>0</v>
      </c>
      <c r="H14" s="896">
        <f t="shared" si="1"/>
        <v>0</v>
      </c>
      <c r="I14" s="895">
        <f t="shared" si="2"/>
        <v>0</v>
      </c>
      <c r="J14" s="896">
        <f>ROUND(F14*M14/2,0)</f>
        <v>0</v>
      </c>
      <c r="K14" s="897">
        <f>I14+J14</f>
        <v>0</v>
      </c>
      <c r="L14" s="896">
        <f>H14-K14</f>
        <v>0</v>
      </c>
      <c r="M14" s="898">
        <v>0.1</v>
      </c>
    </row>
    <row r="15" spans="2:13" ht="13.8" thickBot="1" x14ac:dyDescent="0.3">
      <c r="B15" s="899"/>
      <c r="C15" s="893"/>
      <c r="D15" s="900"/>
      <c r="E15" s="895"/>
      <c r="F15" s="895"/>
      <c r="G15" s="895"/>
      <c r="H15" s="896"/>
      <c r="I15" s="895"/>
      <c r="J15" s="896"/>
      <c r="K15" s="897"/>
      <c r="L15" s="896"/>
      <c r="M15" s="898"/>
    </row>
    <row r="16" spans="2:13" ht="13.8" thickBot="1" x14ac:dyDescent="0.3">
      <c r="B16" s="901" t="s">
        <v>4079</v>
      </c>
      <c r="C16" s="952"/>
      <c r="D16" s="953">
        <f>SUM(D17:D19)</f>
        <v>0</v>
      </c>
      <c r="E16" s="953">
        <f t="shared" ref="E16:L16" si="4">SUM(E17:E19)</f>
        <v>51254.6</v>
      </c>
      <c r="F16" s="953">
        <f t="shared" si="4"/>
        <v>235305.19</v>
      </c>
      <c r="G16" s="953">
        <f t="shared" si="4"/>
        <v>0</v>
      </c>
      <c r="H16" s="953">
        <f t="shared" si="4"/>
        <v>286559.79000000004</v>
      </c>
      <c r="I16" s="953">
        <f t="shared" si="4"/>
        <v>7688</v>
      </c>
      <c r="J16" s="953">
        <f t="shared" si="4"/>
        <v>17648</v>
      </c>
      <c r="K16" s="953">
        <f t="shared" si="4"/>
        <v>25336</v>
      </c>
      <c r="L16" s="953">
        <f t="shared" si="4"/>
        <v>261223.79</v>
      </c>
      <c r="M16" s="953"/>
    </row>
    <row r="17" spans="2:13" x14ac:dyDescent="0.25">
      <c r="B17" s="892" t="s">
        <v>4080</v>
      </c>
      <c r="C17" s="893"/>
      <c r="D17" s="894"/>
      <c r="E17" s="895">
        <v>0</v>
      </c>
      <c r="F17" s="895">
        <v>20535.72</v>
      </c>
      <c r="G17" s="895">
        <v>0</v>
      </c>
      <c r="H17" s="896">
        <f t="shared" si="1"/>
        <v>20535.72</v>
      </c>
      <c r="I17" s="895">
        <f t="shared" si="2"/>
        <v>0</v>
      </c>
      <c r="J17" s="896">
        <f>ROUND(F17*M17/2,0)</f>
        <v>1540</v>
      </c>
      <c r="K17" s="897">
        <f>I17+J17</f>
        <v>1540</v>
      </c>
      <c r="L17" s="896">
        <f>H17-K17</f>
        <v>18995.72</v>
      </c>
      <c r="M17" s="898">
        <v>0.15</v>
      </c>
    </row>
    <row r="18" spans="2:13" x14ac:dyDescent="0.25">
      <c r="B18" s="892" t="s">
        <v>4081</v>
      </c>
      <c r="C18" s="893"/>
      <c r="D18" s="894"/>
      <c r="E18" s="895">
        <v>51254.6</v>
      </c>
      <c r="F18" s="895">
        <v>214769.47</v>
      </c>
      <c r="G18" s="895">
        <v>0</v>
      </c>
      <c r="H18" s="896">
        <f t="shared" si="1"/>
        <v>266024.07</v>
      </c>
      <c r="I18" s="895">
        <f t="shared" si="2"/>
        <v>7688</v>
      </c>
      <c r="J18" s="896">
        <f>ROUND(F18*M18/2,0)</f>
        <v>16108</v>
      </c>
      <c r="K18" s="897">
        <f>I18+J18</f>
        <v>23796</v>
      </c>
      <c r="L18" s="896">
        <f>H18-K18</f>
        <v>242228.07</v>
      </c>
      <c r="M18" s="898">
        <v>0.15</v>
      </c>
    </row>
    <row r="19" spans="2:13" ht="13.8" thickBot="1" x14ac:dyDescent="0.3">
      <c r="B19" s="892"/>
      <c r="C19" s="893"/>
      <c r="D19" s="894"/>
      <c r="E19" s="895">
        <v>0</v>
      </c>
      <c r="F19" s="895"/>
      <c r="G19" s="895">
        <v>0</v>
      </c>
      <c r="H19" s="896">
        <f t="shared" si="1"/>
        <v>0</v>
      </c>
      <c r="I19" s="895">
        <f t="shared" si="2"/>
        <v>0</v>
      </c>
      <c r="J19" s="896">
        <f>ROUND(F19*M19/2,0)</f>
        <v>0</v>
      </c>
      <c r="K19" s="897">
        <f>I19+J19</f>
        <v>0</v>
      </c>
      <c r="L19" s="896">
        <f>H19-K19</f>
        <v>0</v>
      </c>
      <c r="M19" s="898">
        <v>0.15</v>
      </c>
    </row>
    <row r="20" spans="2:13" ht="13.8" thickBot="1" x14ac:dyDescent="0.3">
      <c r="B20" s="901" t="s">
        <v>4224</v>
      </c>
      <c r="C20" s="952"/>
      <c r="D20" s="953">
        <f>SUM(D21:D24)</f>
        <v>0</v>
      </c>
      <c r="E20" s="953">
        <f t="shared" ref="E20:L20" si="5">SUM(E21:E24)</f>
        <v>51254.6</v>
      </c>
      <c r="F20" s="953">
        <f t="shared" si="5"/>
        <v>235305.19</v>
      </c>
      <c r="G20" s="953">
        <f t="shared" si="5"/>
        <v>0</v>
      </c>
      <c r="H20" s="953">
        <f t="shared" si="5"/>
        <v>286559.79000000004</v>
      </c>
      <c r="I20" s="953">
        <f t="shared" si="5"/>
        <v>7688</v>
      </c>
      <c r="J20" s="953">
        <f t="shared" si="5"/>
        <v>17648</v>
      </c>
      <c r="K20" s="953">
        <f t="shared" si="5"/>
        <v>25336</v>
      </c>
      <c r="L20" s="953">
        <f t="shared" si="5"/>
        <v>261223.79</v>
      </c>
      <c r="M20" s="953"/>
    </row>
    <row r="21" spans="2:13" x14ac:dyDescent="0.25">
      <c r="B21" s="892" t="s">
        <v>4080</v>
      </c>
      <c r="C21" s="893"/>
      <c r="D21" s="894"/>
      <c r="E21" s="895">
        <v>0</v>
      </c>
      <c r="F21" s="895">
        <v>20535.72</v>
      </c>
      <c r="G21" s="895">
        <v>0</v>
      </c>
      <c r="H21" s="896">
        <f t="shared" ref="H21:H23" si="6">D21+E21+F21-G21</f>
        <v>20535.72</v>
      </c>
      <c r="I21" s="895">
        <f t="shared" ref="I21:I23" si="7">ROUND(((D21+E21)-G21)*M21,0)</f>
        <v>0</v>
      </c>
      <c r="J21" s="896">
        <f>ROUND(F21*M21/2,0)</f>
        <v>1540</v>
      </c>
      <c r="K21" s="897">
        <f>I21+J21</f>
        <v>1540</v>
      </c>
      <c r="L21" s="896">
        <f>H21-K21</f>
        <v>18995.72</v>
      </c>
      <c r="M21" s="898">
        <v>0.15</v>
      </c>
    </row>
    <row r="22" spans="2:13" x14ac:dyDescent="0.25">
      <c r="B22" s="892" t="s">
        <v>4081</v>
      </c>
      <c r="C22" s="893"/>
      <c r="D22" s="894"/>
      <c r="E22" s="895">
        <v>51254.6</v>
      </c>
      <c r="F22" s="895">
        <v>214769.47</v>
      </c>
      <c r="G22" s="895">
        <v>0</v>
      </c>
      <c r="H22" s="896">
        <f t="shared" si="6"/>
        <v>266024.07</v>
      </c>
      <c r="I22" s="895">
        <f t="shared" si="7"/>
        <v>7688</v>
      </c>
      <c r="J22" s="896">
        <f>ROUND(F22*M22/2,0)</f>
        <v>16108</v>
      </c>
      <c r="K22" s="897">
        <f>I22+J22</f>
        <v>23796</v>
      </c>
      <c r="L22" s="896">
        <f>H22-K22</f>
        <v>242228.07</v>
      </c>
      <c r="M22" s="898">
        <v>0.15</v>
      </c>
    </row>
    <row r="23" spans="2:13" x14ac:dyDescent="0.25">
      <c r="B23" s="892"/>
      <c r="C23" s="893"/>
      <c r="D23" s="894"/>
      <c r="E23" s="895">
        <v>0</v>
      </c>
      <c r="F23" s="895"/>
      <c r="G23" s="895">
        <v>0</v>
      </c>
      <c r="H23" s="896">
        <f t="shared" si="6"/>
        <v>0</v>
      </c>
      <c r="I23" s="895">
        <f t="shared" si="7"/>
        <v>0</v>
      </c>
      <c r="J23" s="896">
        <f>ROUND(F23*M23/2,0)</f>
        <v>0</v>
      </c>
      <c r="K23" s="897">
        <f>I23+J23</f>
        <v>0</v>
      </c>
      <c r="L23" s="896">
        <f>H23-K23</f>
        <v>0</v>
      </c>
      <c r="M23" s="898">
        <v>0.15</v>
      </c>
    </row>
    <row r="24" spans="2:13" ht="13.8" thickBot="1" x14ac:dyDescent="0.3">
      <c r="B24" s="899"/>
      <c r="C24" s="893"/>
      <c r="D24" s="900"/>
      <c r="E24" s="895"/>
      <c r="F24" s="895"/>
      <c r="G24" s="895"/>
      <c r="H24" s="896"/>
      <c r="I24" s="895"/>
      <c r="J24" s="896"/>
      <c r="K24" s="897"/>
      <c r="L24" s="896"/>
      <c r="M24" s="898"/>
    </row>
    <row r="25" spans="2:13" ht="13.8" thickBot="1" x14ac:dyDescent="0.3">
      <c r="B25" s="901" t="s">
        <v>4082</v>
      </c>
      <c r="C25" s="952"/>
      <c r="D25" s="955">
        <f>SUM(D26:D41)</f>
        <v>0</v>
      </c>
      <c r="E25" s="955">
        <f>SUM(E26:E41)</f>
        <v>459398.61</v>
      </c>
      <c r="F25" s="955">
        <f t="shared" ref="F25:L25" si="8">SUM(F26:F41)</f>
        <v>27069540.119999997</v>
      </c>
      <c r="G25" s="955">
        <f t="shared" si="8"/>
        <v>0</v>
      </c>
      <c r="H25" s="955">
        <f t="shared" si="8"/>
        <v>27528938.729999997</v>
      </c>
      <c r="I25" s="955">
        <f t="shared" si="8"/>
        <v>68911</v>
      </c>
      <c r="J25" s="955">
        <f t="shared" si="8"/>
        <v>2217215</v>
      </c>
      <c r="K25" s="955">
        <f t="shared" si="8"/>
        <v>2286126</v>
      </c>
      <c r="L25" s="955">
        <f t="shared" si="8"/>
        <v>25242812.729999997</v>
      </c>
      <c r="M25" s="955"/>
    </row>
    <row r="26" spans="2:13" x14ac:dyDescent="0.25">
      <c r="B26" s="892" t="s">
        <v>4083</v>
      </c>
      <c r="C26" s="893"/>
      <c r="D26" s="900"/>
      <c r="E26" s="895">
        <v>0</v>
      </c>
      <c r="F26" s="895">
        <v>91488</v>
      </c>
      <c r="G26" s="895">
        <v>0</v>
      </c>
      <c r="H26" s="896">
        <f>D26+E26+F26-G26</f>
        <v>91488</v>
      </c>
      <c r="I26" s="895">
        <f>ROUND(((D26+E26)-G26)*M26,0)</f>
        <v>0</v>
      </c>
      <c r="J26" s="896">
        <f>ROUND(F26*M26/2,0)</f>
        <v>6862</v>
      </c>
      <c r="K26" s="897">
        <f>I26+J26</f>
        <v>6862</v>
      </c>
      <c r="L26" s="896">
        <f>H26-K26</f>
        <v>84626</v>
      </c>
      <c r="M26" s="898">
        <v>0.15</v>
      </c>
    </row>
    <row r="27" spans="2:13" x14ac:dyDescent="0.25">
      <c r="B27" s="902" t="s">
        <v>4084</v>
      </c>
      <c r="C27" s="893"/>
      <c r="D27" s="903"/>
      <c r="E27" s="895">
        <v>0</v>
      </c>
      <c r="F27" s="895">
        <v>440000</v>
      </c>
      <c r="G27" s="895">
        <v>0</v>
      </c>
      <c r="H27" s="896">
        <f>D27+E27+F27-G27</f>
        <v>440000</v>
      </c>
      <c r="I27" s="895">
        <f>ROUND(((D27+E27)-G27)*M27,0)</f>
        <v>0</v>
      </c>
      <c r="J27" s="896">
        <f>ROUND(F27*M27/2,0)</f>
        <v>220000</v>
      </c>
      <c r="K27" s="897">
        <f t="shared" ref="K27:K40" si="9">I27+J27</f>
        <v>220000</v>
      </c>
      <c r="L27" s="896">
        <f>H27-K27</f>
        <v>220000</v>
      </c>
      <c r="M27" s="898">
        <v>1</v>
      </c>
    </row>
    <row r="28" spans="2:13" x14ac:dyDescent="0.25">
      <c r="B28" s="902" t="s">
        <v>4085</v>
      </c>
      <c r="C28" s="893"/>
      <c r="D28" s="903"/>
      <c r="E28" s="895">
        <v>0</v>
      </c>
      <c r="F28" s="895">
        <v>1386688.25</v>
      </c>
      <c r="G28" s="895">
        <v>0</v>
      </c>
      <c r="H28" s="896">
        <f t="shared" si="1"/>
        <v>1386688.25</v>
      </c>
      <c r="I28" s="895">
        <f t="shared" si="2"/>
        <v>0</v>
      </c>
      <c r="J28" s="896">
        <f t="shared" ref="J28:J40" si="10">ROUND(F28*M28/2,0)</f>
        <v>104002</v>
      </c>
      <c r="K28" s="897">
        <f t="shared" si="9"/>
        <v>104002</v>
      </c>
      <c r="L28" s="896">
        <f t="shared" ref="L28:L40" si="11">H28-K28</f>
        <v>1282686.25</v>
      </c>
      <c r="M28" s="898">
        <v>0.15</v>
      </c>
    </row>
    <row r="29" spans="2:13" x14ac:dyDescent="0.25">
      <c r="B29" s="902" t="s">
        <v>4086</v>
      </c>
      <c r="C29" s="893"/>
      <c r="D29" s="903"/>
      <c r="E29" s="895">
        <v>191283.9</v>
      </c>
      <c r="F29" s="895"/>
      <c r="G29" s="895">
        <v>0</v>
      </c>
      <c r="H29" s="896">
        <f t="shared" si="1"/>
        <v>191283.9</v>
      </c>
      <c r="I29" s="895">
        <f t="shared" si="2"/>
        <v>28693</v>
      </c>
      <c r="J29" s="896">
        <f t="shared" si="10"/>
        <v>0</v>
      </c>
      <c r="K29" s="897">
        <f t="shared" si="9"/>
        <v>28693</v>
      </c>
      <c r="L29" s="896">
        <f t="shared" si="11"/>
        <v>162590.9</v>
      </c>
      <c r="M29" s="898">
        <v>0.15</v>
      </c>
    </row>
    <row r="30" spans="2:13" x14ac:dyDescent="0.25">
      <c r="B30" s="902" t="s">
        <v>4087</v>
      </c>
      <c r="C30" s="893"/>
      <c r="D30" s="903"/>
      <c r="E30" s="895">
        <v>29576.720000000001</v>
      </c>
      <c r="F30" s="895">
        <v>586693.74</v>
      </c>
      <c r="G30" s="895">
        <v>0</v>
      </c>
      <c r="H30" s="896">
        <f t="shared" si="1"/>
        <v>616270.46</v>
      </c>
      <c r="I30" s="895">
        <f t="shared" si="2"/>
        <v>4437</v>
      </c>
      <c r="J30" s="896">
        <f t="shared" si="10"/>
        <v>44002</v>
      </c>
      <c r="K30" s="897">
        <f t="shared" si="9"/>
        <v>48439</v>
      </c>
      <c r="L30" s="896">
        <f t="shared" si="11"/>
        <v>567831.46</v>
      </c>
      <c r="M30" s="898">
        <v>0.15</v>
      </c>
    </row>
    <row r="31" spans="2:13" x14ac:dyDescent="0.25">
      <c r="B31" s="902" t="s">
        <v>4088</v>
      </c>
      <c r="C31" s="893"/>
      <c r="D31" s="903"/>
      <c r="E31" s="895">
        <v>6544.92</v>
      </c>
      <c r="F31" s="895">
        <v>197205</v>
      </c>
      <c r="G31" s="895">
        <v>0</v>
      </c>
      <c r="H31" s="896">
        <f t="shared" si="1"/>
        <v>203749.92</v>
      </c>
      <c r="I31" s="895">
        <f t="shared" si="2"/>
        <v>982</v>
      </c>
      <c r="J31" s="896">
        <f t="shared" si="10"/>
        <v>14790</v>
      </c>
      <c r="K31" s="897">
        <f t="shared" si="9"/>
        <v>15772</v>
      </c>
      <c r="L31" s="896">
        <f t="shared" si="11"/>
        <v>187977.92</v>
      </c>
      <c r="M31" s="898">
        <v>0.15</v>
      </c>
    </row>
    <row r="32" spans="2:13" x14ac:dyDescent="0.25">
      <c r="B32" s="892" t="s">
        <v>4089</v>
      </c>
      <c r="C32" s="893"/>
      <c r="D32" s="903"/>
      <c r="E32" s="895">
        <v>0</v>
      </c>
      <c r="F32" s="895">
        <v>140000</v>
      </c>
      <c r="G32" s="895">
        <v>0</v>
      </c>
      <c r="H32" s="896">
        <f t="shared" si="1"/>
        <v>140000</v>
      </c>
      <c r="I32" s="895">
        <f t="shared" si="2"/>
        <v>0</v>
      </c>
      <c r="J32" s="896">
        <f t="shared" si="10"/>
        <v>10500</v>
      </c>
      <c r="K32" s="897">
        <f t="shared" si="9"/>
        <v>10500</v>
      </c>
      <c r="L32" s="896">
        <f t="shared" si="11"/>
        <v>129500</v>
      </c>
      <c r="M32" s="898">
        <v>0.15</v>
      </c>
    </row>
    <row r="33" spans="2:13" x14ac:dyDescent="0.25">
      <c r="B33" s="892" t="s">
        <v>4090</v>
      </c>
      <c r="C33" s="893"/>
      <c r="D33" s="903"/>
      <c r="E33" s="895">
        <v>0</v>
      </c>
      <c r="F33" s="895">
        <v>1577759</v>
      </c>
      <c r="G33" s="904"/>
      <c r="H33" s="896">
        <f t="shared" si="1"/>
        <v>1577759</v>
      </c>
      <c r="I33" s="895">
        <f t="shared" si="2"/>
        <v>0</v>
      </c>
      <c r="J33" s="896">
        <f t="shared" si="10"/>
        <v>118332</v>
      </c>
      <c r="K33" s="897">
        <f t="shared" si="9"/>
        <v>118332</v>
      </c>
      <c r="L33" s="896">
        <f t="shared" si="11"/>
        <v>1459427</v>
      </c>
      <c r="M33" s="898">
        <v>0.15</v>
      </c>
    </row>
    <row r="34" spans="2:13" x14ac:dyDescent="0.25">
      <c r="B34" s="892" t="s">
        <v>4091</v>
      </c>
      <c r="C34" s="893"/>
      <c r="D34" s="903"/>
      <c r="E34" s="895">
        <v>0</v>
      </c>
      <c r="F34" s="895">
        <v>2521689.75</v>
      </c>
      <c r="G34" s="895">
        <v>0</v>
      </c>
      <c r="H34" s="896">
        <f t="shared" si="1"/>
        <v>2521689.75</v>
      </c>
      <c r="I34" s="895">
        <f t="shared" si="2"/>
        <v>0</v>
      </c>
      <c r="J34" s="896">
        <f t="shared" si="10"/>
        <v>189127</v>
      </c>
      <c r="K34" s="897">
        <f t="shared" si="9"/>
        <v>189127</v>
      </c>
      <c r="L34" s="896">
        <f t="shared" si="11"/>
        <v>2332562.75</v>
      </c>
      <c r="M34" s="898">
        <v>0.15</v>
      </c>
    </row>
    <row r="35" spans="2:13" x14ac:dyDescent="0.25">
      <c r="B35" s="892" t="s">
        <v>4092</v>
      </c>
      <c r="C35" s="893"/>
      <c r="D35" s="905"/>
      <c r="E35" s="895">
        <v>0</v>
      </c>
      <c r="F35" s="904">
        <v>1396044.68</v>
      </c>
      <c r="G35" s="895">
        <v>0</v>
      </c>
      <c r="H35" s="896">
        <f>D35+E35+F35-G35</f>
        <v>1396044.68</v>
      </c>
      <c r="I35" s="895">
        <f>ROUND(((D35+E35)-G35)*M35,0)</f>
        <v>0</v>
      </c>
      <c r="J35" s="896">
        <f>ROUND(F35*M35/2,0)</f>
        <v>104703</v>
      </c>
      <c r="K35" s="897">
        <f>I35+J35</f>
        <v>104703</v>
      </c>
      <c r="L35" s="896">
        <f>H35-K35</f>
        <v>1291341.68</v>
      </c>
      <c r="M35" s="898">
        <v>0.15</v>
      </c>
    </row>
    <row r="36" spans="2:13" x14ac:dyDescent="0.25">
      <c r="B36" s="892" t="s">
        <v>4093</v>
      </c>
      <c r="C36" s="893"/>
      <c r="D36" s="903"/>
      <c r="E36" s="895">
        <v>0</v>
      </c>
      <c r="F36" s="904">
        <v>2059312.62</v>
      </c>
      <c r="G36" s="895">
        <v>0</v>
      </c>
      <c r="H36" s="896">
        <f>D36+E36+F36-G36</f>
        <v>2059312.62</v>
      </c>
      <c r="I36" s="895">
        <f>ROUND(((D36+E36)-G36)*M36,0)</f>
        <v>0</v>
      </c>
      <c r="J36" s="896">
        <f>ROUND(F36*M36/2,0)</f>
        <v>154448</v>
      </c>
      <c r="K36" s="897">
        <f>I36+J36</f>
        <v>154448</v>
      </c>
      <c r="L36" s="896">
        <f>H36-K36</f>
        <v>1904864.62</v>
      </c>
      <c r="M36" s="898">
        <v>0.15</v>
      </c>
    </row>
    <row r="37" spans="2:13" x14ac:dyDescent="0.25">
      <c r="B37" s="892" t="s">
        <v>4094</v>
      </c>
      <c r="C37" s="893"/>
      <c r="D37" s="903"/>
      <c r="E37" s="895">
        <v>0</v>
      </c>
      <c r="F37" s="895">
        <v>16559113.08</v>
      </c>
      <c r="G37" s="895">
        <v>0</v>
      </c>
      <c r="H37" s="896">
        <f t="shared" si="1"/>
        <v>16559113.08</v>
      </c>
      <c r="I37" s="895">
        <f t="shared" si="2"/>
        <v>0</v>
      </c>
      <c r="J37" s="896">
        <f t="shared" si="10"/>
        <v>1241933</v>
      </c>
      <c r="K37" s="897">
        <f t="shared" si="9"/>
        <v>1241933</v>
      </c>
      <c r="L37" s="896">
        <f t="shared" si="11"/>
        <v>15317180.08</v>
      </c>
      <c r="M37" s="898">
        <v>0.15</v>
      </c>
    </row>
    <row r="38" spans="2:13" x14ac:dyDescent="0.25">
      <c r="B38" s="892" t="s">
        <v>4095</v>
      </c>
      <c r="C38" s="893"/>
      <c r="D38" s="903"/>
      <c r="E38" s="895">
        <v>0</v>
      </c>
      <c r="F38" s="895">
        <v>50640</v>
      </c>
      <c r="G38" s="895">
        <v>0</v>
      </c>
      <c r="H38" s="896">
        <f t="shared" si="1"/>
        <v>50640</v>
      </c>
      <c r="I38" s="895">
        <f t="shared" si="2"/>
        <v>0</v>
      </c>
      <c r="J38" s="896">
        <f t="shared" si="10"/>
        <v>3798</v>
      </c>
      <c r="K38" s="897">
        <f>I38+J38</f>
        <v>3798</v>
      </c>
      <c r="L38" s="896">
        <f>H38-K38</f>
        <v>46842</v>
      </c>
      <c r="M38" s="898">
        <v>0.15</v>
      </c>
    </row>
    <row r="39" spans="2:13" x14ac:dyDescent="0.25">
      <c r="B39" s="892" t="s">
        <v>4096</v>
      </c>
      <c r="C39" s="893"/>
      <c r="D39" s="903"/>
      <c r="E39" s="895">
        <v>231993.07</v>
      </c>
      <c r="F39" s="895">
        <v>62906</v>
      </c>
      <c r="G39" s="895">
        <v>0</v>
      </c>
      <c r="H39" s="896">
        <f>D39+E39+F39-G39</f>
        <v>294899.07</v>
      </c>
      <c r="I39" s="895">
        <f>ROUND(((D39+E39)-G39)*M39,0)</f>
        <v>34799</v>
      </c>
      <c r="J39" s="896">
        <f t="shared" si="10"/>
        <v>4718</v>
      </c>
      <c r="K39" s="897">
        <f t="shared" si="9"/>
        <v>39517</v>
      </c>
      <c r="L39" s="896">
        <f t="shared" si="11"/>
        <v>255382.07</v>
      </c>
      <c r="M39" s="898">
        <v>0.15</v>
      </c>
    </row>
    <row r="40" spans="2:13" x14ac:dyDescent="0.25">
      <c r="B40" s="892"/>
      <c r="C40" s="893"/>
      <c r="D40" s="903"/>
      <c r="E40" s="895">
        <v>0</v>
      </c>
      <c r="F40" s="895"/>
      <c r="G40" s="895">
        <v>0</v>
      </c>
      <c r="H40" s="896">
        <f>D40+E40+F40-G40</f>
        <v>0</v>
      </c>
      <c r="I40" s="895">
        <f>ROUND(((D40+E40)-G40)*M40,0)</f>
        <v>0</v>
      </c>
      <c r="J40" s="896">
        <f t="shared" si="10"/>
        <v>0</v>
      </c>
      <c r="K40" s="897">
        <f t="shared" si="9"/>
        <v>0</v>
      </c>
      <c r="L40" s="896">
        <f t="shared" si="11"/>
        <v>0</v>
      </c>
      <c r="M40" s="898">
        <v>0.15</v>
      </c>
    </row>
    <row r="41" spans="2:13" ht="13.8" thickBot="1" x14ac:dyDescent="0.3">
      <c r="B41" s="899"/>
      <c r="C41" s="893"/>
      <c r="D41" s="900"/>
      <c r="E41" s="895"/>
      <c r="F41" s="895"/>
      <c r="G41" s="895"/>
      <c r="H41" s="896"/>
      <c r="I41" s="895"/>
      <c r="J41" s="896"/>
      <c r="K41" s="897"/>
      <c r="L41" s="896"/>
      <c r="M41" s="898"/>
    </row>
    <row r="42" spans="2:13" ht="13.8" thickBot="1" x14ac:dyDescent="0.3">
      <c r="B42" s="901" t="s">
        <v>4097</v>
      </c>
      <c r="C42" s="952"/>
      <c r="D42" s="953">
        <f>SUM(D43:D44)</f>
        <v>0</v>
      </c>
      <c r="E42" s="953">
        <f t="shared" ref="E42:L42" si="12">SUM(E43:E44)</f>
        <v>0</v>
      </c>
      <c r="F42" s="953">
        <f t="shared" si="12"/>
        <v>3886321.56</v>
      </c>
      <c r="G42" s="953">
        <f t="shared" si="12"/>
        <v>0</v>
      </c>
      <c r="H42" s="953">
        <f t="shared" si="12"/>
        <v>3886321.56</v>
      </c>
      <c r="I42" s="953">
        <f t="shared" si="12"/>
        <v>0</v>
      </c>
      <c r="J42" s="953">
        <f t="shared" si="12"/>
        <v>291474</v>
      </c>
      <c r="K42" s="953">
        <f t="shared" si="12"/>
        <v>291474</v>
      </c>
      <c r="L42" s="953">
        <f t="shared" si="12"/>
        <v>3594847.56</v>
      </c>
      <c r="M42" s="953"/>
    </row>
    <row r="43" spans="2:13" x14ac:dyDescent="0.25">
      <c r="B43" s="902" t="s">
        <v>4098</v>
      </c>
      <c r="C43" s="893"/>
      <c r="D43" s="906"/>
      <c r="E43" s="895">
        <v>0</v>
      </c>
      <c r="F43" s="895">
        <v>3886321.56</v>
      </c>
      <c r="G43" s="895"/>
      <c r="H43" s="896">
        <f>D43+E43+F43-G43</f>
        <v>3886321.56</v>
      </c>
      <c r="I43" s="895">
        <f>ROUND(((D43+E43)-G43)*M43,0)</f>
        <v>0</v>
      </c>
      <c r="J43" s="896">
        <f>ROUND(F43*M43/2,0)</f>
        <v>291474</v>
      </c>
      <c r="K43" s="897">
        <f>I43+J43</f>
        <v>291474</v>
      </c>
      <c r="L43" s="896">
        <f>H43-K43</f>
        <v>3594847.56</v>
      </c>
      <c r="M43" s="898">
        <v>0.15</v>
      </c>
    </row>
    <row r="44" spans="2:13" ht="13.8" thickBot="1" x14ac:dyDescent="0.3">
      <c r="B44" s="892"/>
      <c r="C44" s="893"/>
      <c r="D44" s="906"/>
      <c r="E44" s="895">
        <v>0</v>
      </c>
      <c r="F44" s="895"/>
      <c r="G44" s="895">
        <v>0</v>
      </c>
      <c r="H44" s="896">
        <f>D44+E44+F44-G44</f>
        <v>0</v>
      </c>
      <c r="I44" s="895">
        <f>ROUND(((D44+E44)-G44)*M44,0)</f>
        <v>0</v>
      </c>
      <c r="J44" s="896">
        <f>ROUND(F44*M44/2,0)</f>
        <v>0</v>
      </c>
      <c r="K44" s="897">
        <f>I44+J44</f>
        <v>0</v>
      </c>
      <c r="L44" s="896">
        <f>H44-K44</f>
        <v>0</v>
      </c>
      <c r="M44" s="898">
        <v>0.15</v>
      </c>
    </row>
    <row r="45" spans="2:13" ht="13.8" thickBot="1" x14ac:dyDescent="0.3">
      <c r="B45" s="901" t="s">
        <v>4222</v>
      </c>
      <c r="C45" s="952"/>
      <c r="D45" s="953">
        <f>SUM(D46:D48)</f>
        <v>0</v>
      </c>
      <c r="E45" s="953">
        <f t="shared" ref="E45:L45" si="13">SUM(E46:E48)</f>
        <v>0</v>
      </c>
      <c r="F45" s="953">
        <f t="shared" si="13"/>
        <v>3886321.56</v>
      </c>
      <c r="G45" s="953">
        <f t="shared" si="13"/>
        <v>0</v>
      </c>
      <c r="H45" s="953">
        <f t="shared" si="13"/>
        <v>3886321.56</v>
      </c>
      <c r="I45" s="953">
        <f t="shared" si="13"/>
        <v>0</v>
      </c>
      <c r="J45" s="953">
        <f t="shared" si="13"/>
        <v>291474</v>
      </c>
      <c r="K45" s="953">
        <f t="shared" si="13"/>
        <v>291474</v>
      </c>
      <c r="L45" s="953">
        <f t="shared" si="13"/>
        <v>3594847.56</v>
      </c>
      <c r="M45" s="953"/>
    </row>
    <row r="46" spans="2:13" x14ac:dyDescent="0.25">
      <c r="B46" s="902" t="s">
        <v>4223</v>
      </c>
      <c r="C46" s="893"/>
      <c r="D46" s="906"/>
      <c r="E46" s="895">
        <v>0</v>
      </c>
      <c r="F46" s="895">
        <v>3886321.56</v>
      </c>
      <c r="G46" s="895"/>
      <c r="H46" s="896">
        <f>D46+E46+F46-G46</f>
        <v>3886321.56</v>
      </c>
      <c r="I46" s="895">
        <f>ROUND(((D46+E46)-G46)*M46,0)</f>
        <v>0</v>
      </c>
      <c r="J46" s="896">
        <f>ROUND(F46*M46/2,0)</f>
        <v>291474</v>
      </c>
      <c r="K46" s="897">
        <f>I46+J46</f>
        <v>291474</v>
      </c>
      <c r="L46" s="896">
        <f>H46-K46</f>
        <v>3594847.56</v>
      </c>
      <c r="M46" s="898">
        <v>0.15</v>
      </c>
    </row>
    <row r="47" spans="2:13" x14ac:dyDescent="0.25">
      <c r="B47" s="892"/>
      <c r="C47" s="893"/>
      <c r="D47" s="906"/>
      <c r="E47" s="895">
        <v>0</v>
      </c>
      <c r="F47" s="895"/>
      <c r="G47" s="895">
        <v>0</v>
      </c>
      <c r="H47" s="896">
        <f>D47+E47+F47-G47</f>
        <v>0</v>
      </c>
      <c r="I47" s="895">
        <f>ROUND(((D47+E47)-G47)*M47,0)</f>
        <v>0</v>
      </c>
      <c r="J47" s="896">
        <f>ROUND(F47*M47/2,0)</f>
        <v>0</v>
      </c>
      <c r="K47" s="897">
        <f>I47+J47</f>
        <v>0</v>
      </c>
      <c r="L47" s="896">
        <f>H47-K47</f>
        <v>0</v>
      </c>
      <c r="M47" s="898">
        <v>0.15</v>
      </c>
    </row>
    <row r="48" spans="2:13" ht="13.8" thickBot="1" x14ac:dyDescent="0.3">
      <c r="B48" s="899"/>
      <c r="C48" s="893"/>
      <c r="D48" s="907"/>
      <c r="E48" s="895">
        <v>0</v>
      </c>
      <c r="F48" s="895">
        <v>0</v>
      </c>
      <c r="G48" s="895">
        <v>0</v>
      </c>
      <c r="H48" s="896">
        <f>D48+E48+F48-G48</f>
        <v>0</v>
      </c>
      <c r="I48" s="895">
        <f>ROUND(((D48+E48)-G48)*M48,0)</f>
        <v>0</v>
      </c>
      <c r="J48" s="896">
        <f>ROUND(F48*M48/2,0)</f>
        <v>0</v>
      </c>
      <c r="K48" s="897">
        <f>I48+J48</f>
        <v>0</v>
      </c>
      <c r="L48" s="896">
        <f>H48-K48</f>
        <v>0</v>
      </c>
      <c r="M48" s="898">
        <v>0.15</v>
      </c>
    </row>
    <row r="49" spans="1:13" ht="13.8" thickBot="1" x14ac:dyDescent="0.3">
      <c r="A49" s="908"/>
      <c r="B49" s="909" t="s">
        <v>4099</v>
      </c>
      <c r="C49" s="910"/>
      <c r="D49" s="911"/>
      <c r="E49" s="911">
        <f>+E45+E42+E25+E20+E16+E11+E7</f>
        <v>814867.80999999994</v>
      </c>
      <c r="F49" s="911">
        <f t="shared" ref="F49:L49" si="14">+F45+F42+F25+F20+F16+F11+F7</f>
        <v>37936542.659999989</v>
      </c>
      <c r="G49" s="911">
        <f t="shared" si="14"/>
        <v>0</v>
      </c>
      <c r="H49" s="911">
        <f t="shared" si="14"/>
        <v>38751410.469999991</v>
      </c>
      <c r="I49" s="911">
        <f t="shared" si="14"/>
        <v>109583</v>
      </c>
      <c r="J49" s="911">
        <f t="shared" si="14"/>
        <v>2996152</v>
      </c>
      <c r="K49" s="911">
        <f t="shared" si="14"/>
        <v>3105735</v>
      </c>
      <c r="L49" s="911">
        <f t="shared" si="14"/>
        <v>35645675.469999999</v>
      </c>
      <c r="M49" s="912"/>
    </row>
  </sheetData>
  <mergeCells count="4">
    <mergeCell ref="B2:M2"/>
    <mergeCell ref="G3:G4"/>
    <mergeCell ref="I3:K3"/>
    <mergeCell ref="D6:E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4"/>
  <sheetViews>
    <sheetView workbookViewId="0"/>
  </sheetViews>
  <sheetFormatPr defaultColWidth="14.6640625" defaultRowHeight="10.199999999999999" x14ac:dyDescent="0.2"/>
  <cols>
    <col min="1" max="1" width="15.21875" style="138" customWidth="1"/>
    <col min="2" max="2" width="10.33203125" style="138" bestFit="1" customWidth="1"/>
    <col min="3" max="3" width="9.44140625" style="138" bestFit="1" customWidth="1"/>
    <col min="4" max="4" width="7.109375" style="138" bestFit="1" customWidth="1"/>
    <col min="5" max="6" width="8.5546875" style="138" bestFit="1" customWidth="1"/>
    <col min="7" max="7" width="10.109375" style="138" bestFit="1" customWidth="1"/>
    <col min="8" max="8" width="9.21875" style="138" bestFit="1" customWidth="1"/>
    <col min="9" max="10" width="8.5546875" style="138" bestFit="1" customWidth="1"/>
    <col min="11" max="11" width="9.44140625" style="138" bestFit="1" customWidth="1"/>
    <col min="12" max="14" width="8.5546875" style="138" bestFit="1" customWidth="1"/>
    <col min="15" max="15" width="10.109375" style="138" bestFit="1" customWidth="1"/>
    <col min="16" max="16" width="7.77734375" style="138" bestFit="1" customWidth="1"/>
    <col min="17" max="18" width="9.21875" style="138" bestFit="1" customWidth="1"/>
    <col min="19" max="19" width="9.44140625" style="138" bestFit="1" customWidth="1"/>
    <col min="20" max="20" width="7.109375" style="138" bestFit="1" customWidth="1"/>
    <col min="21" max="22" width="8.5546875" style="138" bestFit="1" customWidth="1"/>
    <col min="23" max="23" width="9.44140625" style="138" bestFit="1" customWidth="1"/>
    <col min="24" max="24" width="7.109375" style="138" bestFit="1" customWidth="1"/>
    <col min="25" max="26" width="8.5546875" style="138" bestFit="1" customWidth="1"/>
    <col min="27" max="27" width="10.109375" style="138" bestFit="1" customWidth="1"/>
    <col min="28" max="30" width="9.21875" style="138" bestFit="1" customWidth="1"/>
    <col min="31" max="32" width="4.6640625" style="138" bestFit="1" customWidth="1"/>
    <col min="33" max="34" width="4.88671875" style="138" bestFit="1" customWidth="1"/>
    <col min="35" max="36" width="4.6640625" style="138" bestFit="1" customWidth="1"/>
    <col min="37" max="38" width="4.88671875" style="138" bestFit="1" customWidth="1"/>
    <col min="39" max="40" width="4.6640625" style="138" bestFit="1" customWidth="1"/>
    <col min="41" max="42" width="4.88671875" style="138" bestFit="1" customWidth="1"/>
    <col min="43" max="44" width="4.6640625" style="138" bestFit="1" customWidth="1"/>
    <col min="45" max="46" width="4.88671875" style="138" bestFit="1" customWidth="1"/>
    <col min="47" max="48" width="4.6640625" style="138" bestFit="1" customWidth="1"/>
    <col min="49" max="50" width="4.88671875" style="138" bestFit="1" customWidth="1"/>
    <col min="51" max="51" width="10.88671875" style="138" bestFit="1" customWidth="1"/>
    <col min="52" max="52" width="9.21875" style="138" bestFit="1" customWidth="1"/>
    <col min="53" max="54" width="9.44140625" style="138" bestFit="1" customWidth="1"/>
    <col min="55" max="16384" width="14.6640625" style="138"/>
  </cols>
  <sheetData>
    <row r="1" spans="1:54" ht="10.8" thickBot="1" x14ac:dyDescent="0.25">
      <c r="A1" s="137" t="s">
        <v>1039</v>
      </c>
      <c r="B1" s="137"/>
    </row>
    <row r="2" spans="1:54" ht="15" customHeight="1" x14ac:dyDescent="0.2">
      <c r="A2" s="1270" t="s">
        <v>1040</v>
      </c>
      <c r="B2" s="1272" t="s">
        <v>10</v>
      </c>
      <c r="C2" s="1295">
        <v>43556</v>
      </c>
      <c r="D2" s="1296"/>
      <c r="E2" s="1296"/>
      <c r="F2" s="1297"/>
      <c r="G2" s="1298">
        <v>43586</v>
      </c>
      <c r="H2" s="1298"/>
      <c r="I2" s="1298"/>
      <c r="J2" s="1299"/>
      <c r="K2" s="1300">
        <v>43617</v>
      </c>
      <c r="L2" s="1301"/>
      <c r="M2" s="1301"/>
      <c r="N2" s="1302"/>
      <c r="O2" s="1292">
        <v>43647</v>
      </c>
      <c r="P2" s="1293"/>
      <c r="Q2" s="1293"/>
      <c r="R2" s="1294"/>
      <c r="S2" s="1274">
        <v>43678</v>
      </c>
      <c r="T2" s="1275"/>
      <c r="U2" s="1275"/>
      <c r="V2" s="1276"/>
      <c r="W2" s="1277">
        <v>43709</v>
      </c>
      <c r="X2" s="1278"/>
      <c r="Y2" s="1278"/>
      <c r="Z2" s="1279"/>
      <c r="AA2" s="1280">
        <v>43739</v>
      </c>
      <c r="AB2" s="1281"/>
      <c r="AC2" s="1281"/>
      <c r="AD2" s="1282"/>
      <c r="AE2" s="1283">
        <v>43770</v>
      </c>
      <c r="AF2" s="1284"/>
      <c r="AG2" s="1284"/>
      <c r="AH2" s="1285"/>
      <c r="AI2" s="1286">
        <v>43800</v>
      </c>
      <c r="AJ2" s="1287"/>
      <c r="AK2" s="1287"/>
      <c r="AL2" s="1288"/>
      <c r="AM2" s="1289">
        <v>43831</v>
      </c>
      <c r="AN2" s="1290"/>
      <c r="AO2" s="1290"/>
      <c r="AP2" s="1291"/>
      <c r="AQ2" s="1262">
        <v>43862</v>
      </c>
      <c r="AR2" s="1263"/>
      <c r="AS2" s="1263"/>
      <c r="AT2" s="1264"/>
      <c r="AU2" s="1265">
        <v>43891</v>
      </c>
      <c r="AV2" s="1266"/>
      <c r="AW2" s="1266"/>
      <c r="AX2" s="1267"/>
      <c r="AY2" s="1268" t="s">
        <v>1041</v>
      </c>
      <c r="AZ2" s="1268"/>
      <c r="BA2" s="1268"/>
      <c r="BB2" s="1269"/>
    </row>
    <row r="3" spans="1:54" ht="15" customHeight="1" x14ac:dyDescent="0.2">
      <c r="A3" s="1271"/>
      <c r="B3" s="1273"/>
      <c r="C3" s="139" t="s">
        <v>1042</v>
      </c>
      <c r="D3" s="140" t="s">
        <v>16</v>
      </c>
      <c r="E3" s="140" t="s">
        <v>17</v>
      </c>
      <c r="F3" s="141" t="s">
        <v>18</v>
      </c>
      <c r="G3" s="139" t="s">
        <v>1042</v>
      </c>
      <c r="H3" s="140" t="s">
        <v>16</v>
      </c>
      <c r="I3" s="140" t="s">
        <v>17</v>
      </c>
      <c r="J3" s="141" t="s">
        <v>18</v>
      </c>
      <c r="K3" s="139" t="s">
        <v>1042</v>
      </c>
      <c r="L3" s="140" t="s">
        <v>16</v>
      </c>
      <c r="M3" s="140" t="s">
        <v>17</v>
      </c>
      <c r="N3" s="141" t="s">
        <v>18</v>
      </c>
      <c r="O3" s="139" t="s">
        <v>1042</v>
      </c>
      <c r="P3" s="140" t="s">
        <v>16</v>
      </c>
      <c r="Q3" s="140" t="s">
        <v>17</v>
      </c>
      <c r="R3" s="141" t="s">
        <v>18</v>
      </c>
      <c r="S3" s="139" t="s">
        <v>1042</v>
      </c>
      <c r="T3" s="140" t="s">
        <v>16</v>
      </c>
      <c r="U3" s="140" t="s">
        <v>17</v>
      </c>
      <c r="V3" s="141" t="s">
        <v>18</v>
      </c>
      <c r="W3" s="139" t="s">
        <v>1042</v>
      </c>
      <c r="X3" s="140" t="s">
        <v>16</v>
      </c>
      <c r="Y3" s="140" t="s">
        <v>17</v>
      </c>
      <c r="Z3" s="141" t="s">
        <v>18</v>
      </c>
      <c r="AA3" s="139" t="s">
        <v>1042</v>
      </c>
      <c r="AB3" s="140" t="s">
        <v>16</v>
      </c>
      <c r="AC3" s="140" t="s">
        <v>17</v>
      </c>
      <c r="AD3" s="141" t="s">
        <v>18</v>
      </c>
      <c r="AE3" s="139" t="s">
        <v>1042</v>
      </c>
      <c r="AF3" s="140" t="s">
        <v>16</v>
      </c>
      <c r="AG3" s="140" t="s">
        <v>17</v>
      </c>
      <c r="AH3" s="141" t="s">
        <v>18</v>
      </c>
      <c r="AI3" s="139" t="s">
        <v>1042</v>
      </c>
      <c r="AJ3" s="140" t="s">
        <v>16</v>
      </c>
      <c r="AK3" s="140" t="s">
        <v>17</v>
      </c>
      <c r="AL3" s="141" t="s">
        <v>18</v>
      </c>
      <c r="AM3" s="139" t="s">
        <v>1042</v>
      </c>
      <c r="AN3" s="140" t="s">
        <v>16</v>
      </c>
      <c r="AO3" s="140" t="s">
        <v>17</v>
      </c>
      <c r="AP3" s="141" t="s">
        <v>18</v>
      </c>
      <c r="AQ3" s="139" t="s">
        <v>1042</v>
      </c>
      <c r="AR3" s="140" t="s">
        <v>16</v>
      </c>
      <c r="AS3" s="140" t="s">
        <v>17</v>
      </c>
      <c r="AT3" s="141" t="s">
        <v>18</v>
      </c>
      <c r="AU3" s="139" t="s">
        <v>1042</v>
      </c>
      <c r="AV3" s="140" t="s">
        <v>16</v>
      </c>
      <c r="AW3" s="140" t="s">
        <v>17</v>
      </c>
      <c r="AX3" s="142" t="s">
        <v>18</v>
      </c>
      <c r="AY3" s="143" t="s">
        <v>1042</v>
      </c>
      <c r="AZ3" s="144" t="s">
        <v>16</v>
      </c>
      <c r="BA3" s="144" t="s">
        <v>17</v>
      </c>
      <c r="BB3" s="145" t="s">
        <v>18</v>
      </c>
    </row>
    <row r="4" spans="1:54" s="154" customFormat="1" x14ac:dyDescent="0.2">
      <c r="A4" s="146" t="s">
        <v>1043</v>
      </c>
      <c r="B4" s="74" t="s">
        <v>22</v>
      </c>
      <c r="C4" s="147"/>
      <c r="D4" s="148"/>
      <c r="E4" s="148"/>
      <c r="F4" s="149"/>
      <c r="G4" s="150"/>
      <c r="H4" s="151"/>
      <c r="I4" s="151"/>
      <c r="J4" s="152"/>
      <c r="K4" s="150"/>
      <c r="L4" s="151"/>
      <c r="M4" s="151"/>
      <c r="N4" s="152"/>
      <c r="O4" s="150"/>
      <c r="P4" s="151"/>
      <c r="Q4" s="151"/>
      <c r="R4" s="152"/>
      <c r="S4" s="150"/>
      <c r="T4" s="151"/>
      <c r="U4" s="151"/>
      <c r="V4" s="152"/>
      <c r="W4" s="150"/>
      <c r="X4" s="151"/>
      <c r="Y4" s="151"/>
      <c r="Z4" s="152"/>
      <c r="AA4" s="150"/>
      <c r="AB4" s="151"/>
      <c r="AC4" s="151"/>
      <c r="AD4" s="152"/>
      <c r="AE4" s="150"/>
      <c r="AF4" s="151"/>
      <c r="AG4" s="151"/>
      <c r="AH4" s="152"/>
      <c r="AI4" s="150"/>
      <c r="AJ4" s="151"/>
      <c r="AK4" s="151"/>
      <c r="AL4" s="152"/>
      <c r="AM4" s="150"/>
      <c r="AN4" s="151"/>
      <c r="AO4" s="151"/>
      <c r="AP4" s="152"/>
      <c r="AQ4" s="150"/>
      <c r="AR4" s="151"/>
      <c r="AS4" s="151"/>
      <c r="AT4" s="152"/>
      <c r="AU4" s="150"/>
      <c r="AV4" s="151"/>
      <c r="AW4" s="151"/>
      <c r="AX4" s="153"/>
      <c r="AY4" s="147">
        <f>+C4+G4+K4+O4+S4+W4+AA4+AE4+AI4+AM4+AQ4+AU4</f>
        <v>0</v>
      </c>
      <c r="AZ4" s="148">
        <f t="shared" ref="AZ4:BB4" si="0">+D4+H4+L4+P4+T4+X4+AB4+AF4+AJ4+AN4+AR4+AV4</f>
        <v>0</v>
      </c>
      <c r="BA4" s="148">
        <f t="shared" si="0"/>
        <v>0</v>
      </c>
      <c r="BB4" s="149">
        <f t="shared" si="0"/>
        <v>0</v>
      </c>
    </row>
    <row r="5" spans="1:54" s="154" customFormat="1" x14ac:dyDescent="0.2">
      <c r="A5" s="155" t="s">
        <v>2548</v>
      </c>
      <c r="B5" s="156">
        <v>5</v>
      </c>
      <c r="C5" s="150">
        <f>SUMIFS(SALE!$K$6:$K$10000,SALE!$A$6:$A$10000,$C$2,SALE!$E$6:$E$10000,$B$4,SALE!$I$6:$I$10000,'RATEWISE SALE &amp; PURCHASE'!$B$5:$B$8)</f>
        <v>0</v>
      </c>
      <c r="D5" s="151">
        <f>SUMIFS(SALE!$L$6:$L$10000,SALE!$A$6:$A$10000,$C$2,SALE!$E$6:$E$10000,$B$4,SALE!$I$6:$I$10000,'RATEWISE SALE &amp; PURCHASE'!$B$5:$B$8)</f>
        <v>0</v>
      </c>
      <c r="E5" s="151">
        <f>SUMIFS(SALE!$M$6:$M$10000,SALE!$A$6:$A$10000,$C$2,SALE!$E$6:$E$10000,$B$4,SALE!$I$6:$I$10000,'RATEWISE SALE &amp; PURCHASE'!$B$5:$B$8)</f>
        <v>0</v>
      </c>
      <c r="F5" s="152">
        <f>+E5</f>
        <v>0</v>
      </c>
      <c r="G5" s="150">
        <f>SUMIFS(SALE!$K$6:$K$10000,SALE!$A$6:$A$10000,$G$2,SALE!$E$6:$E$10000,$B$4,SALE!$I$6:$I$10000,'RATEWISE SALE &amp; PURCHASE'!$B$5:$B$8)</f>
        <v>0</v>
      </c>
      <c r="H5" s="151">
        <f>SUMIFS(SALE!$L$6:$L$10000,SALE!$A$6:$A$10000,$G$2,SALE!$E$6:$E$10000,$B$4,SALE!$I$6:$I$10000,'RATEWISE SALE &amp; PURCHASE'!$B$5:$B$8)</f>
        <v>0</v>
      </c>
      <c r="I5" s="151">
        <f>SUMIFS(SALE!$M$6:$M$10000,SALE!$A$6:$A$10000,$G$2,SALE!$E$6:$E$10000,$B$4,SALE!$I$6:$I$10000,'RATEWISE SALE &amp; PURCHASE'!$B$5:$B$8)</f>
        <v>0</v>
      </c>
      <c r="J5" s="152">
        <f>+I5</f>
        <v>0</v>
      </c>
      <c r="K5" s="150">
        <f>SUMIFS(SALE!$K$6:$K$10000,SALE!$A$6:$A$10000,$K$2,SALE!$E$6:$E$10000,$B$4,SALE!$I$6:$I$10000,'RATEWISE SALE &amp; PURCHASE'!$B$5:$B$8)</f>
        <v>0</v>
      </c>
      <c r="L5" s="151">
        <f>SUMIFS(SALE!$L$6:$L$10000,SALE!$A$6:$A$10000,$K$2,SALE!$E$6:$E$10000,$B$4,SALE!$I$6:$I$10000,'RATEWISE SALE &amp; PURCHASE'!$B$5:$B$8)</f>
        <v>0</v>
      </c>
      <c r="M5" s="151">
        <f>SUMIFS(SALE!$M$6:$M$10000,SALE!$A$6:$A$10000,$K$2,SALE!$E$6:$E$10000,$B$4,SALE!$I$6:$I$10000,'RATEWISE SALE &amp; PURCHASE'!$B$5:$B$8)</f>
        <v>0</v>
      </c>
      <c r="N5" s="152">
        <f>+M5</f>
        <v>0</v>
      </c>
      <c r="O5" s="150">
        <f>SUMIFS(SALE!$K$6:$K$10000,SALE!$A$6:$A$10000,$O$2,SALE!$E$6:$E$10000,$B$4,SALE!$I$6:$I$10000,'RATEWISE SALE &amp; PURCHASE'!$B$5:$B$8)</f>
        <v>0</v>
      </c>
      <c r="P5" s="151">
        <f>SUMIFS(SALE!$L$6:$L$10000,SALE!$A$6:$A$10000,$O$2,SALE!$E$6:$E$10000,$B$4,SALE!$I$6:$I$10000,'RATEWISE SALE &amp; PURCHASE'!$B$5:$B$8)</f>
        <v>0</v>
      </c>
      <c r="Q5" s="151">
        <f>SUMIFS(SALE!$M$6:$M$10000,SALE!$A$6:$A$10000,$O$2,SALE!$E$6:$E$10000,$B$4,SALE!$I$6:$I$10000,'RATEWISE SALE &amp; PURCHASE'!$B$5:$B$8)</f>
        <v>0</v>
      </c>
      <c r="R5" s="152">
        <f>+Q5</f>
        <v>0</v>
      </c>
      <c r="S5" s="150">
        <f>SUMIFS(SALE!$K$6:$K$10000,SALE!$A$6:$A$10000,$S$2,SALE!$E$6:$E$10000,$B$4,SALE!$I$6:$I$10000,'RATEWISE SALE &amp; PURCHASE'!$B$5:$B$8)</f>
        <v>0</v>
      </c>
      <c r="T5" s="151">
        <f>SUMIFS(SALE!$L$6:$L$10000,SALE!$A$6:$A$10000,$S$2,SALE!$E$6:$E$10000,$B$4,SALE!$I$6:$I$10000,'RATEWISE SALE &amp; PURCHASE'!$B$5:$B$8)</f>
        <v>0</v>
      </c>
      <c r="U5" s="151">
        <f>SUMIFS(SALE!$M$6:$M$10000,SALE!$A$6:$A$10000,$S$2,SALE!$E$6:$E$10000,$B$4,SALE!$I$6:$I$10000,'RATEWISE SALE &amp; PURCHASE'!$B$5:$B$8)</f>
        <v>0</v>
      </c>
      <c r="V5" s="152">
        <f>+U5</f>
        <v>0</v>
      </c>
      <c r="W5" s="150">
        <f>SUMIFS(SALE!$K$6:$K$10000,SALE!$A$6:$A$10000,$W$2,SALE!$E$6:$E$10000,$B$4,SALE!$I$6:$I$10000,'RATEWISE SALE &amp; PURCHASE'!$B$5:$B$8)</f>
        <v>0</v>
      </c>
      <c r="X5" s="151">
        <f>SUMIFS(SALE!$L$6:$L$10000,SALE!$A$6:$A$10000,$W$2,SALE!$E$6:$E$10000,$B$4,SALE!$I$6:$I$10000,'RATEWISE SALE &amp; PURCHASE'!$B$5:$B$8)</f>
        <v>0</v>
      </c>
      <c r="Y5" s="151">
        <f>SUMIFS(SALE!$M$6:$M$10000,SALE!$A$6:$A$10000,$W$2,SALE!$E$6:$E$10000,$B$4,SALE!$I$6:$I$10000,'RATEWISE SALE &amp; PURCHASE'!$B$5:$B$8)</f>
        <v>0</v>
      </c>
      <c r="Z5" s="152">
        <f>+Y5</f>
        <v>0</v>
      </c>
      <c r="AA5" s="150">
        <f>SUMIFS(SALE!$K$6:$K$10000,SALE!$A$6:$A$10000,$AA$2,SALE!$E$6:$E$10000,$B$4,SALE!$I$6:$I$10000,'RATEWISE SALE &amp; PURCHASE'!$B$5:$B$8)</f>
        <v>0</v>
      </c>
      <c r="AB5" s="151">
        <f>SUMIFS(SALE!$L$6:$L$10000,SALE!$A$6:$A$10000,$AA$2,SALE!$E$6:$E$10000,$B$4,SALE!$I$6:$I$10000,'RATEWISE SALE &amp; PURCHASE'!$B$5:$B$8)</f>
        <v>0</v>
      </c>
      <c r="AC5" s="151">
        <f>SUMIFS(SALE!$M$6:$M$10000,SALE!$A$6:$A$10000,$AA$2,SALE!$E$6:$E$10000,$B$4,SALE!$I$6:$I$10000,'RATEWISE SALE &amp; PURCHASE'!$B$5:$B$8)</f>
        <v>0</v>
      </c>
      <c r="AD5" s="152">
        <f>+AC5</f>
        <v>0</v>
      </c>
      <c r="AE5" s="150">
        <f>SUMIFS(SALE!$K$6:$K$10000,SALE!$A$6:$A$10000,$AE$2,SALE!$E$6:$E$10000,$B$4,SALE!$I$6:$I$10000,'RATEWISE SALE &amp; PURCHASE'!$B$5:$B$8)</f>
        <v>0</v>
      </c>
      <c r="AF5" s="151">
        <f>SUMIFS(SALE!$L$6:$L$10000,SALE!$A$6:$A$10000,$AE$2,SALE!$E$6:$E$10000,$B$4,SALE!$I$6:$I$10000,'RATEWISE SALE &amp; PURCHASE'!$B$5:$B$8)</f>
        <v>0</v>
      </c>
      <c r="AG5" s="151">
        <f>SUMIFS(SALE!$M$6:$M$10000,SALE!$A$6:$A$10000,$AE$2,SALE!$E$6:$E$10000,$B$4,SALE!$I$6:$I$10000,'RATEWISE SALE &amp; PURCHASE'!$B$5:$B$8)</f>
        <v>0</v>
      </c>
      <c r="AH5" s="152">
        <f>+AG5</f>
        <v>0</v>
      </c>
      <c r="AI5" s="150">
        <f>SUMIFS(SALE!$K$6:$K$10000,SALE!$A$6:$A$10000,$AI$2,SALE!$E$6:$E$10000,$B$4,SALE!$I$6:$I$10000,'RATEWISE SALE &amp; PURCHASE'!$B$5:$B$8)</f>
        <v>0</v>
      </c>
      <c r="AJ5" s="151">
        <f>SUMIFS(SALE!$L$6:$L$10000,SALE!$A$6:$A$10000,$AI$2,SALE!$E$6:$E$10000,$B$4,SALE!$I$6:$I$10000,'RATEWISE SALE &amp; PURCHASE'!$B$5:$B$8)</f>
        <v>0</v>
      </c>
      <c r="AK5" s="151">
        <f>SUMIFS(SALE!$M$6:$M$10000,SALE!$A$6:$A$10000,$AI$2,SALE!$E$6:$E$10000,$B$4,SALE!$I$6:$I$10000,'RATEWISE SALE &amp; PURCHASE'!$B$5:$B$8)</f>
        <v>0</v>
      </c>
      <c r="AL5" s="152">
        <f>+AK5</f>
        <v>0</v>
      </c>
      <c r="AM5" s="150">
        <f>SUMIFS(SALE!$K$6:$K$10000,SALE!$A$6:$A$10000,$AM$2,SALE!$E$6:$E$10000,$B$4,SALE!$I$6:$I$10000,'RATEWISE SALE &amp; PURCHASE'!$B$5:$B$8)</f>
        <v>0</v>
      </c>
      <c r="AN5" s="151">
        <f>SUMIFS(SALE!$L$6:$L$10000,SALE!$A$6:$A$10000,$AM$2,SALE!$E$6:$E$10000,$B$4,SALE!$I$6:$I$10000,'RATEWISE SALE &amp; PURCHASE'!$B$5:$B$8)</f>
        <v>0</v>
      </c>
      <c r="AO5" s="151">
        <f>SUMIFS(SALE!$M$6:$M$10000,SALE!$A$6:$A$10000,$AM$2,SALE!$E$6:$E$10000,$B$4,SALE!$I$6:$I$10000,'RATEWISE SALE &amp; PURCHASE'!$B$5:$B$8)</f>
        <v>0</v>
      </c>
      <c r="AP5" s="152">
        <f>+AO5</f>
        <v>0</v>
      </c>
      <c r="AQ5" s="150">
        <f>SUMIFS(SALE!$K$6:$K$10000,SALE!$A$6:$A$10000,$AQ$2,SALE!$E$6:$E$10000,$B$4,SALE!$I$6:$I$10000,'RATEWISE SALE &amp; PURCHASE'!$B$5:$B$8)</f>
        <v>0</v>
      </c>
      <c r="AR5" s="151">
        <f>SUMIFS(SALE!$L$6:$L$10000,SALE!$A$6:$A$10000,$AQ$2,SALE!$E$6:$E$10000,$B$4,SALE!$I$6:$I$10000,'RATEWISE SALE &amp; PURCHASE'!$B$5:$B$8)</f>
        <v>0</v>
      </c>
      <c r="AS5" s="151">
        <f>SUMIFS(SALE!$M$6:$M$10000,SALE!$A$6:$A$10000,$AQ$2,SALE!$E$6:$E$10000,$B$4,SALE!$I$6:$I$10000,'RATEWISE SALE &amp; PURCHASE'!$B$5:$B$8)</f>
        <v>0</v>
      </c>
      <c r="AT5" s="152">
        <f>+AS5</f>
        <v>0</v>
      </c>
      <c r="AU5" s="150">
        <f>SUMIFS(SALE!$K$6:$K$10000,SALE!$A$6:$A$10000,$AU$2,SALE!$E$6:$E$10000,$B$4,SALE!$I$6:$I$10000,'RATEWISE SALE &amp; PURCHASE'!$B$5:$B$8)</f>
        <v>0</v>
      </c>
      <c r="AV5" s="151">
        <f>SUMIFS(SALE!$L$6:$L$10000,SALE!$A$6:$A$10000,$AU$2,SALE!$E$6:$E$10000,$B$4,SALE!$I$6:$I$10000,'RATEWISE SALE &amp; PURCHASE'!$B$5:$B$8)</f>
        <v>0</v>
      </c>
      <c r="AW5" s="151">
        <f>SUMIFS(SALE!$M$6:$M$10000,SALE!$A$6:$A$10000,$AU$2,SALE!$E$6:$E$10000,$B$4,SALE!$I$6:$I$10000,'RATEWISE SALE &amp; PURCHASE'!$B$5:$B$8)</f>
        <v>0</v>
      </c>
      <c r="AX5" s="153">
        <f>+AW5</f>
        <v>0</v>
      </c>
      <c r="AY5" s="150">
        <f t="shared" ref="AY5:AY9" si="1">+C5+G5+K5+O5+S5+W5+AA5+AE5+AI5+AM5+AQ5+AU5</f>
        <v>0</v>
      </c>
      <c r="AZ5" s="151">
        <f t="shared" ref="AZ5:AZ9" si="2">+D5+H5+L5+P5+T5+X5+AB5+AF5+AJ5+AN5+AR5+AV5</f>
        <v>0</v>
      </c>
      <c r="BA5" s="151">
        <f t="shared" ref="BA5:BA9" si="3">+E5+I5+M5+Q5+U5+Y5+AC5+AG5+AK5+AO5+AS5+AW5</f>
        <v>0</v>
      </c>
      <c r="BB5" s="152">
        <f t="shared" ref="BB5:BB9" si="4">+F5+J5+N5+R5+V5+Z5+AD5+AH5+AL5+AP5+AT5+AX5</f>
        <v>0</v>
      </c>
    </row>
    <row r="6" spans="1:54" s="154" customFormat="1" x14ac:dyDescent="0.2">
      <c r="A6" s="155" t="s">
        <v>2549</v>
      </c>
      <c r="B6" s="156">
        <v>12</v>
      </c>
      <c r="C6" s="150">
        <f>SUMIFS(SALE!$K$6:$K$10000,SALE!$A$6:$A$10000,$C$2,SALE!$E$6:$E$10000,$B$4,SALE!$I$6:$I$10000,'RATEWISE SALE &amp; PURCHASE'!$B$5:$B$8)</f>
        <v>0</v>
      </c>
      <c r="D6" s="151">
        <f>SUMIFS(SALE!$L$6:$L$10000,SALE!$A$6:$A$10000,$C$2,SALE!$E$6:$E$10000,$B$4,SALE!$I$6:$I$10000,'RATEWISE SALE &amp; PURCHASE'!$B$5:$B$8)</f>
        <v>0</v>
      </c>
      <c r="E6" s="151">
        <f>SUMIFS(SALE!$M$6:$M$10000,SALE!$A$6:$A$10000,$C$2,SALE!$E$6:$E$10000,$B$4,SALE!$I$6:$I$10000,'RATEWISE SALE &amp; PURCHASE'!$B$5:$B$8)</f>
        <v>0</v>
      </c>
      <c r="F6" s="152">
        <f t="shared" ref="F6:F8" si="5">+E6</f>
        <v>0</v>
      </c>
      <c r="G6" s="150">
        <f>SUMIFS(SALE!$K$6:$K$10000,SALE!$A$6:$A$10000,$G$2,SALE!$E$6:$E$10000,$B$4,SALE!$I$6:$I$10000,'RATEWISE SALE &amp; PURCHASE'!$B$5:$B$8)</f>
        <v>0</v>
      </c>
      <c r="H6" s="151">
        <f>SUMIFS(SALE!$L$6:$L$10000,SALE!$A$6:$A$10000,$G$2,SALE!$E$6:$E$10000,$B$4,SALE!$I$6:$I$10000,'RATEWISE SALE &amp; PURCHASE'!$B$5:$B$8)</f>
        <v>0</v>
      </c>
      <c r="I6" s="151">
        <f>SUMIFS(SALE!$M$6:$M$10000,SALE!$A$6:$A$10000,$G$2,SALE!$E$6:$E$10000,$B$4,SALE!$I$6:$I$10000,'RATEWISE SALE &amp; PURCHASE'!$B$5:$B$8)</f>
        <v>0</v>
      </c>
      <c r="J6" s="152">
        <f t="shared" ref="J6:J8" si="6">+I6</f>
        <v>0</v>
      </c>
      <c r="K6" s="150">
        <f>SUMIFS(SALE!$K$6:$K$10000,SALE!$A$6:$A$10000,$K$2,SALE!$E$6:$E$10000,$B$4,SALE!$I$6:$I$10000,'RATEWISE SALE &amp; PURCHASE'!$B$5:$B$8)</f>
        <v>0</v>
      </c>
      <c r="L6" s="151">
        <f>SUMIFS(SALE!$L$6:$L$10000,SALE!$A$6:$A$10000,$K$2,SALE!$E$6:$E$10000,$B$4,SALE!$I$6:$I$10000,'RATEWISE SALE &amp; PURCHASE'!$B$5:$B$8)</f>
        <v>0</v>
      </c>
      <c r="M6" s="151">
        <f>SUMIFS(SALE!$M$6:$M$10000,SALE!$A$6:$A$10000,$K$2,SALE!$E$6:$E$10000,$B$4,SALE!$I$6:$I$10000,'RATEWISE SALE &amp; PURCHASE'!$B$5:$B$8)</f>
        <v>0</v>
      </c>
      <c r="N6" s="152">
        <f t="shared" ref="N6:N8" si="7">+M6</f>
        <v>0</v>
      </c>
      <c r="O6" s="150">
        <f>SUMIFS(SALE!$K$6:$K$10000,SALE!$A$6:$A$10000,$O$2,SALE!$E$6:$E$10000,$B$4,SALE!$I$6:$I$10000,'RATEWISE SALE &amp; PURCHASE'!$B$5:$B$8)</f>
        <v>0</v>
      </c>
      <c r="P6" s="151">
        <f>SUMIFS(SALE!$L$6:$L$10000,SALE!$A$6:$A$10000,$O$2,SALE!$E$6:$E$10000,$B$4,SALE!$I$6:$I$10000,'RATEWISE SALE &amp; PURCHASE'!$B$5:$B$8)</f>
        <v>0</v>
      </c>
      <c r="Q6" s="151">
        <f>SUMIFS(SALE!$M$6:$M$10000,SALE!$A$6:$A$10000,$O$2,SALE!$E$6:$E$10000,$B$4,SALE!$I$6:$I$10000,'RATEWISE SALE &amp; PURCHASE'!$B$5:$B$8)</f>
        <v>0</v>
      </c>
      <c r="R6" s="152">
        <f t="shared" ref="R6:R8" si="8">+Q6</f>
        <v>0</v>
      </c>
      <c r="S6" s="150">
        <f>SUMIFS(SALE!$K$6:$K$10000,SALE!$A$6:$A$10000,$S$2,SALE!$E$6:$E$10000,$B$4,SALE!$I$6:$I$10000,'RATEWISE SALE &amp; PURCHASE'!$B$5:$B$8)</f>
        <v>0</v>
      </c>
      <c r="T6" s="151">
        <f>SUMIFS(SALE!$L$6:$L$10000,SALE!$A$6:$A$10000,$S$2,SALE!$E$6:$E$10000,$B$4,SALE!$I$6:$I$10000,'RATEWISE SALE &amp; PURCHASE'!$B$5:$B$8)</f>
        <v>0</v>
      </c>
      <c r="U6" s="151">
        <f>SUMIFS(SALE!$M$6:$M$10000,SALE!$A$6:$A$10000,$S$2,SALE!$E$6:$E$10000,$B$4,SALE!$I$6:$I$10000,'RATEWISE SALE &amp; PURCHASE'!$B$5:$B$8)</f>
        <v>0</v>
      </c>
      <c r="V6" s="152">
        <f t="shared" ref="V6:V8" si="9">+U6</f>
        <v>0</v>
      </c>
      <c r="W6" s="150">
        <f>SUMIFS(SALE!$K$6:$K$10000,SALE!$A$6:$A$10000,$W$2,SALE!$E$6:$E$10000,$B$4,SALE!$I$6:$I$10000,'RATEWISE SALE &amp; PURCHASE'!$B$5:$B$8)</f>
        <v>0</v>
      </c>
      <c r="X6" s="151">
        <f>SUMIFS(SALE!$L$6:$L$10000,SALE!$A$6:$A$10000,$W$2,SALE!$E$6:$E$10000,$B$4,SALE!$I$6:$I$10000,'RATEWISE SALE &amp; PURCHASE'!$B$5:$B$8)</f>
        <v>0</v>
      </c>
      <c r="Y6" s="151">
        <f>SUMIFS(SALE!$M$6:$M$10000,SALE!$A$6:$A$10000,$W$2,SALE!$E$6:$E$10000,$B$4,SALE!$I$6:$I$10000,'RATEWISE SALE &amp; PURCHASE'!$B$5:$B$8)</f>
        <v>0</v>
      </c>
      <c r="Z6" s="152">
        <f t="shared" ref="Z6:Z8" si="10">+Y6</f>
        <v>0</v>
      </c>
      <c r="AA6" s="150">
        <f>SUMIFS(SALE!$K$6:$K$10000,SALE!$A$6:$A$10000,$AA$2,SALE!$E$6:$E$10000,$B$4,SALE!$I$6:$I$10000,'RATEWISE SALE &amp; PURCHASE'!$B$5:$B$8)</f>
        <v>1038356.8</v>
      </c>
      <c r="AB6" s="151">
        <f>SUMIFS(SALE!$L$6:$L$10000,SALE!$A$6:$A$10000,$AA$2,SALE!$E$6:$E$10000,$B$4,SALE!$I$6:$I$10000,'RATEWISE SALE &amp; PURCHASE'!$B$5:$B$8)</f>
        <v>0</v>
      </c>
      <c r="AC6" s="151">
        <f>SUMIFS(SALE!$M$6:$M$10000,SALE!$A$6:$A$10000,$AA$2,SALE!$E$6:$E$10000,$B$4,SALE!$I$6:$I$10000,'RATEWISE SALE &amp; PURCHASE'!$B$5:$B$8)</f>
        <v>62301.407999999996</v>
      </c>
      <c r="AD6" s="152">
        <f t="shared" ref="AD6:AD8" si="11">+AC6</f>
        <v>62301.407999999996</v>
      </c>
      <c r="AE6" s="150">
        <f>SUMIFS(SALE!$K$6:$K$10000,SALE!$A$6:$A$10000,$AE$2,SALE!$E$6:$E$10000,$B$4,SALE!$I$6:$I$10000,'RATEWISE SALE &amp; PURCHASE'!$B$5:$B$8)</f>
        <v>14775.279999999999</v>
      </c>
      <c r="AF6" s="151">
        <f>SUMIFS(SALE!$L$6:$L$10000,SALE!$A$6:$A$10000,$AE$2,SALE!$E$6:$E$10000,$B$4,SALE!$I$6:$I$10000,'RATEWISE SALE &amp; PURCHASE'!$B$5:$B$8)</f>
        <v>0</v>
      </c>
      <c r="AG6" s="151">
        <f>SUMIFS(SALE!$M$6:$M$10000,SALE!$A$6:$A$10000,$AE$2,SALE!$E$6:$E$10000,$B$4,SALE!$I$6:$I$10000,'RATEWISE SALE &amp; PURCHASE'!$B$5:$B$8)</f>
        <v>886.51679999999999</v>
      </c>
      <c r="AH6" s="152">
        <f t="shared" ref="AH6:AH8" si="12">+AG6</f>
        <v>886.51679999999999</v>
      </c>
      <c r="AI6" s="150">
        <f>SUMIFS(SALE!$K$6:$K$10000,SALE!$A$6:$A$10000,$AI$2,SALE!$E$6:$E$10000,$B$4,SALE!$I$6:$I$10000,'RATEWISE SALE &amp; PURCHASE'!$B$5:$B$8)</f>
        <v>0</v>
      </c>
      <c r="AJ6" s="151">
        <f>SUMIFS(SALE!$L$6:$L$10000,SALE!$A$6:$A$10000,$AI$2,SALE!$E$6:$E$10000,$B$4,SALE!$I$6:$I$10000,'RATEWISE SALE &amp; PURCHASE'!$B$5:$B$8)</f>
        <v>0</v>
      </c>
      <c r="AK6" s="151">
        <f>SUMIFS(SALE!$M$6:$M$10000,SALE!$A$6:$A$10000,$AI$2,SALE!$E$6:$E$10000,$B$4,SALE!$I$6:$I$10000,'RATEWISE SALE &amp; PURCHASE'!$B$5:$B$8)</f>
        <v>0</v>
      </c>
      <c r="AL6" s="152">
        <f t="shared" ref="AL6:AL8" si="13">+AK6</f>
        <v>0</v>
      </c>
      <c r="AM6" s="150">
        <f>SUMIFS(SALE!$K$6:$K$10000,SALE!$A$6:$A$10000,$AM$2,SALE!$E$6:$E$10000,$B$4,SALE!$I$6:$I$10000,'RATEWISE SALE &amp; PURCHASE'!$B$5:$B$8)</f>
        <v>0</v>
      </c>
      <c r="AN6" s="151">
        <f>SUMIFS(SALE!$L$6:$L$10000,SALE!$A$6:$A$10000,$AM$2,SALE!$E$6:$E$10000,$B$4,SALE!$I$6:$I$10000,'RATEWISE SALE &amp; PURCHASE'!$B$5:$B$8)</f>
        <v>0</v>
      </c>
      <c r="AO6" s="151">
        <f>SUMIFS(SALE!$M$6:$M$10000,SALE!$A$6:$A$10000,$AM$2,SALE!$E$6:$E$10000,$B$4,SALE!$I$6:$I$10000,'RATEWISE SALE &amp; PURCHASE'!$B$5:$B$8)</f>
        <v>0</v>
      </c>
      <c r="AP6" s="152">
        <f t="shared" ref="AP6:AP8" si="14">+AO6</f>
        <v>0</v>
      </c>
      <c r="AQ6" s="150">
        <f>SUMIFS(SALE!$K$6:$K$10000,SALE!$A$6:$A$10000,$AQ$2,SALE!$E$6:$E$10000,$B$4,SALE!$I$6:$I$10000,'RATEWISE SALE &amp; PURCHASE'!$B$5:$B$8)</f>
        <v>0</v>
      </c>
      <c r="AR6" s="151">
        <f>SUMIFS(SALE!$L$6:$L$10000,SALE!$A$6:$A$10000,$AQ$2,SALE!$E$6:$E$10000,$B$4,SALE!$I$6:$I$10000,'RATEWISE SALE &amp; PURCHASE'!$B$5:$B$8)</f>
        <v>0</v>
      </c>
      <c r="AS6" s="151">
        <f>SUMIFS(SALE!$M$6:$M$10000,SALE!$A$6:$A$10000,$AQ$2,SALE!$E$6:$E$10000,$B$4,SALE!$I$6:$I$10000,'RATEWISE SALE &amp; PURCHASE'!$B$5:$B$8)</f>
        <v>0</v>
      </c>
      <c r="AT6" s="152">
        <f t="shared" ref="AT6:AT8" si="15">+AS6</f>
        <v>0</v>
      </c>
      <c r="AU6" s="150">
        <f>SUMIFS(SALE!$K$6:$K$10000,SALE!$A$6:$A$10000,$AU$2,SALE!$E$6:$E$10000,$B$4,SALE!$I$6:$I$10000,'RATEWISE SALE &amp; PURCHASE'!$B$5:$B$8)</f>
        <v>0</v>
      </c>
      <c r="AV6" s="151">
        <f>SUMIFS(SALE!$L$6:$L$10000,SALE!$A$6:$A$10000,$AU$2,SALE!$E$6:$E$10000,$B$4,SALE!$I$6:$I$10000,'RATEWISE SALE &amp; PURCHASE'!$B$5:$B$8)</f>
        <v>0</v>
      </c>
      <c r="AW6" s="151">
        <f>SUMIFS(SALE!$M$6:$M$10000,SALE!$A$6:$A$10000,$AU$2,SALE!$E$6:$E$10000,$B$4,SALE!$I$6:$I$10000,'RATEWISE SALE &amp; PURCHASE'!$B$5:$B$8)</f>
        <v>0</v>
      </c>
      <c r="AX6" s="153">
        <f t="shared" ref="AX6:AX8" si="16">+AW6</f>
        <v>0</v>
      </c>
      <c r="AY6" s="150">
        <f t="shared" si="1"/>
        <v>1053132.08</v>
      </c>
      <c r="AZ6" s="151">
        <f t="shared" si="2"/>
        <v>0</v>
      </c>
      <c r="BA6" s="151">
        <f t="shared" si="3"/>
        <v>63187.924799999993</v>
      </c>
      <c r="BB6" s="152">
        <f t="shared" si="4"/>
        <v>63187.924799999993</v>
      </c>
    </row>
    <row r="7" spans="1:54" s="154" customFormat="1" x14ac:dyDescent="0.2">
      <c r="A7" s="155" t="s">
        <v>2550</v>
      </c>
      <c r="B7" s="156">
        <v>18</v>
      </c>
      <c r="C7" s="150">
        <f>SUMIFS(SALE!$K$6:$K$10000,SALE!$A$6:$A$10000,$C$2,SALE!$E$6:$E$10000,$B$4,SALE!$I$6:$I$10000,'RATEWISE SALE &amp; PURCHASE'!$B$5:$B$8)</f>
        <v>681824.71</v>
      </c>
      <c r="D7" s="151">
        <f>SUMIFS(SALE!$L$6:$L$10000,SALE!$A$6:$A$10000,$C$2,SALE!$E$6:$E$10000,$B$4,SALE!$I$6:$I$10000,'RATEWISE SALE &amp; PURCHASE'!$B$5:$B$8)</f>
        <v>0</v>
      </c>
      <c r="E7" s="151">
        <f>SUMIFS(SALE!$M$6:$M$10000,SALE!$A$6:$A$10000,$C$2,SALE!$E$6:$E$10000,$B$4,SALE!$I$6:$I$10000,'RATEWISE SALE &amp; PURCHASE'!$B$5:$B$8)</f>
        <v>61364.223900000012</v>
      </c>
      <c r="F7" s="152">
        <f t="shared" si="5"/>
        <v>61364.223900000012</v>
      </c>
      <c r="G7" s="150">
        <f>SUMIFS(SALE!$K$6:$K$10000,SALE!$A$6:$A$10000,$G$2,SALE!$E$6:$E$10000,$B$4,SALE!$I$6:$I$10000,'RATEWISE SALE &amp; PURCHASE'!$B$5:$B$8)</f>
        <v>1560599.0399999998</v>
      </c>
      <c r="H7" s="151">
        <f>SUMIFS(SALE!$L$6:$L$10000,SALE!$A$6:$A$10000,$G$2,SALE!$E$6:$E$10000,$B$4,SALE!$I$6:$I$10000,'RATEWISE SALE &amp; PURCHASE'!$B$5:$B$8)</f>
        <v>0</v>
      </c>
      <c r="I7" s="151">
        <f>SUMIFS(SALE!$M$6:$M$10000,SALE!$A$6:$A$10000,$G$2,SALE!$E$6:$E$10000,$B$4,SALE!$I$6:$I$10000,'RATEWISE SALE &amp; PURCHASE'!$B$5:$B$8)</f>
        <v>140453.91359999997</v>
      </c>
      <c r="J7" s="152">
        <f t="shared" si="6"/>
        <v>140453.91359999997</v>
      </c>
      <c r="K7" s="150">
        <f>SUMIFS(SALE!$K$6:$K$10000,SALE!$A$6:$A$10000,$K$2,SALE!$E$6:$E$10000,$B$4,SALE!$I$6:$I$10000,'RATEWISE SALE &amp; PURCHASE'!$B$5:$B$8)</f>
        <v>2073951.9300000002</v>
      </c>
      <c r="L7" s="151">
        <f>SUMIFS(SALE!$L$6:$L$10000,SALE!$A$6:$A$10000,$K$2,SALE!$E$6:$E$10000,$B$4,SALE!$I$6:$I$10000,'RATEWISE SALE &amp; PURCHASE'!$B$5:$B$8)</f>
        <v>0</v>
      </c>
      <c r="M7" s="151">
        <f>SUMIFS(SALE!$M$6:$M$10000,SALE!$A$6:$A$10000,$K$2,SALE!$E$6:$E$10000,$B$4,SALE!$I$6:$I$10000,'RATEWISE SALE &amp; PURCHASE'!$B$5:$B$8)</f>
        <v>186655.67369999996</v>
      </c>
      <c r="N7" s="152">
        <f t="shared" si="7"/>
        <v>186655.67369999996</v>
      </c>
      <c r="O7" s="150">
        <f>SUMIFS(SALE!$K$6:$K$10000,SALE!$A$6:$A$10000,$O$2,SALE!$E$6:$E$10000,$B$4,SALE!$I$6:$I$10000,'RATEWISE SALE &amp; PURCHASE'!$B$5:$B$8)</f>
        <v>2657766.46</v>
      </c>
      <c r="P7" s="151">
        <f>SUMIFS(SALE!$L$6:$L$10000,SALE!$A$6:$A$10000,$O$2,SALE!$E$6:$E$10000,$B$4,SALE!$I$6:$I$10000,'RATEWISE SALE &amp; PURCHASE'!$B$5:$B$8)</f>
        <v>0</v>
      </c>
      <c r="Q7" s="151">
        <f>SUMIFS(SALE!$M$6:$M$10000,SALE!$A$6:$A$10000,$O$2,SALE!$E$6:$E$10000,$B$4,SALE!$I$6:$I$10000,'RATEWISE SALE &amp; PURCHASE'!$B$5:$B$8)</f>
        <v>239198.98139999999</v>
      </c>
      <c r="R7" s="152">
        <f t="shared" si="8"/>
        <v>239198.98139999999</v>
      </c>
      <c r="S7" s="150">
        <f>SUMIFS(SALE!$K$6:$K$10000,SALE!$A$6:$A$10000,$S$2,SALE!$E$6:$E$10000,$B$4,SALE!$I$6:$I$10000,'RATEWISE SALE &amp; PURCHASE'!$B$5:$B$8)</f>
        <v>2750289.1599999997</v>
      </c>
      <c r="T7" s="151">
        <f>SUMIFS(SALE!$L$6:$L$10000,SALE!$A$6:$A$10000,$S$2,SALE!$E$6:$E$10000,$B$4,SALE!$I$6:$I$10000,'RATEWISE SALE &amp; PURCHASE'!$B$5:$B$8)</f>
        <v>0</v>
      </c>
      <c r="U7" s="151">
        <f>SUMIFS(SALE!$M$6:$M$10000,SALE!$A$6:$A$10000,$S$2,SALE!$E$6:$E$10000,$B$4,SALE!$I$6:$I$10000,'RATEWISE SALE &amp; PURCHASE'!$B$5:$B$8)</f>
        <v>247526.02439999999</v>
      </c>
      <c r="V7" s="152">
        <f t="shared" si="9"/>
        <v>247526.02439999999</v>
      </c>
      <c r="W7" s="150">
        <f>SUMIFS(SALE!$K$6:$K$10000,SALE!$A$6:$A$10000,$W$2,SALE!$E$6:$E$10000,$B$4,SALE!$I$6:$I$10000,'RATEWISE SALE &amp; PURCHASE'!$B$5:$B$8)</f>
        <v>2730218.14</v>
      </c>
      <c r="X7" s="151">
        <f>SUMIFS(SALE!$L$6:$L$10000,SALE!$A$6:$A$10000,$W$2,SALE!$E$6:$E$10000,$B$4,SALE!$I$6:$I$10000,'RATEWISE SALE &amp; PURCHASE'!$B$5:$B$8)</f>
        <v>0</v>
      </c>
      <c r="Y7" s="151">
        <f>SUMIFS(SALE!$M$6:$M$10000,SALE!$A$6:$A$10000,$W$2,SALE!$E$6:$E$10000,$B$4,SALE!$I$6:$I$10000,'RATEWISE SALE &amp; PURCHASE'!$B$5:$B$8)</f>
        <v>245719.64260000002</v>
      </c>
      <c r="Z7" s="152">
        <f t="shared" si="10"/>
        <v>245719.64260000002</v>
      </c>
      <c r="AA7" s="150">
        <f>SUMIFS(SALE!$K$6:$K$10000,SALE!$A$6:$A$10000,$AA$2,SALE!$E$6:$E$10000,$B$4,SALE!$I$6:$I$10000,'RATEWISE SALE &amp; PURCHASE'!$B$5:$B$8)</f>
        <v>1476591.78</v>
      </c>
      <c r="AB7" s="151">
        <f>SUMIFS(SALE!$L$6:$L$10000,SALE!$A$6:$A$10000,$AA$2,SALE!$E$6:$E$10000,$B$4,SALE!$I$6:$I$10000,'RATEWISE SALE &amp; PURCHASE'!$B$5:$B$8)</f>
        <v>0</v>
      </c>
      <c r="AC7" s="151">
        <f>SUMIFS(SALE!$M$6:$M$10000,SALE!$A$6:$A$10000,$AA$2,SALE!$E$6:$E$10000,$B$4,SALE!$I$6:$I$10000,'RATEWISE SALE &amp; PURCHASE'!$B$5:$B$8)</f>
        <v>132893.26019999999</v>
      </c>
      <c r="AD7" s="152">
        <f t="shared" si="11"/>
        <v>132893.26019999999</v>
      </c>
      <c r="AE7" s="150">
        <f>SUMIFS(SALE!$K$6:$K$10000,SALE!$A$6:$A$10000,$AE$2,SALE!$E$6:$E$10000,$B$4,SALE!$I$6:$I$10000,'RATEWISE SALE &amp; PURCHASE'!$B$5:$B$8)</f>
        <v>597093.06000000006</v>
      </c>
      <c r="AF7" s="151">
        <f>SUMIFS(SALE!$L$6:$L$10000,SALE!$A$6:$A$10000,$AE$2,SALE!$E$6:$E$10000,$B$4,SALE!$I$6:$I$10000,'RATEWISE SALE &amp; PURCHASE'!$B$5:$B$8)</f>
        <v>0</v>
      </c>
      <c r="AG7" s="151">
        <f>SUMIFS(SALE!$M$6:$M$10000,SALE!$A$6:$A$10000,$AE$2,SALE!$E$6:$E$10000,$B$4,SALE!$I$6:$I$10000,'RATEWISE SALE &amp; PURCHASE'!$B$5:$B$8)</f>
        <v>53738.375399999997</v>
      </c>
      <c r="AH7" s="152">
        <f t="shared" si="12"/>
        <v>53738.375399999997</v>
      </c>
      <c r="AI7" s="150">
        <f>SUMIFS(SALE!$K$6:$K$10000,SALE!$A$6:$A$10000,$AI$2,SALE!$E$6:$E$10000,$B$4,SALE!$I$6:$I$10000,'RATEWISE SALE &amp; PURCHASE'!$B$5:$B$8)</f>
        <v>0</v>
      </c>
      <c r="AJ7" s="151">
        <f>SUMIFS(SALE!$L$6:$L$10000,SALE!$A$6:$A$10000,$AI$2,SALE!$E$6:$E$10000,$B$4,SALE!$I$6:$I$10000,'RATEWISE SALE &amp; PURCHASE'!$B$5:$B$8)</f>
        <v>0</v>
      </c>
      <c r="AK7" s="151">
        <f>SUMIFS(SALE!$M$6:$M$10000,SALE!$A$6:$A$10000,$AI$2,SALE!$E$6:$E$10000,$B$4,SALE!$I$6:$I$10000,'RATEWISE SALE &amp; PURCHASE'!$B$5:$B$8)</f>
        <v>0</v>
      </c>
      <c r="AL7" s="152">
        <f t="shared" si="13"/>
        <v>0</v>
      </c>
      <c r="AM7" s="150">
        <f>SUMIFS(SALE!$K$6:$K$10000,SALE!$A$6:$A$10000,$AM$2,SALE!$E$6:$E$10000,$B$4,SALE!$I$6:$I$10000,'RATEWISE SALE &amp; PURCHASE'!$B$5:$B$8)</f>
        <v>0</v>
      </c>
      <c r="AN7" s="151">
        <f>SUMIFS(SALE!$L$6:$L$10000,SALE!$A$6:$A$10000,$AM$2,SALE!$E$6:$E$10000,$B$4,SALE!$I$6:$I$10000,'RATEWISE SALE &amp; PURCHASE'!$B$5:$B$8)</f>
        <v>0</v>
      </c>
      <c r="AO7" s="151">
        <f>SUMIFS(SALE!$M$6:$M$10000,SALE!$A$6:$A$10000,$AM$2,SALE!$E$6:$E$10000,$B$4,SALE!$I$6:$I$10000,'RATEWISE SALE &amp; PURCHASE'!$B$5:$B$8)</f>
        <v>0</v>
      </c>
      <c r="AP7" s="152">
        <f t="shared" si="14"/>
        <v>0</v>
      </c>
      <c r="AQ7" s="150">
        <f>SUMIFS(SALE!$K$6:$K$10000,SALE!$A$6:$A$10000,$AQ$2,SALE!$E$6:$E$10000,$B$4,SALE!$I$6:$I$10000,'RATEWISE SALE &amp; PURCHASE'!$B$5:$B$8)</f>
        <v>0</v>
      </c>
      <c r="AR7" s="151">
        <f>SUMIFS(SALE!$L$6:$L$10000,SALE!$A$6:$A$10000,$AQ$2,SALE!$E$6:$E$10000,$B$4,SALE!$I$6:$I$10000,'RATEWISE SALE &amp; PURCHASE'!$B$5:$B$8)</f>
        <v>0</v>
      </c>
      <c r="AS7" s="151">
        <f>SUMIFS(SALE!$M$6:$M$10000,SALE!$A$6:$A$10000,$AQ$2,SALE!$E$6:$E$10000,$B$4,SALE!$I$6:$I$10000,'RATEWISE SALE &amp; PURCHASE'!$B$5:$B$8)</f>
        <v>0</v>
      </c>
      <c r="AT7" s="152">
        <f t="shared" si="15"/>
        <v>0</v>
      </c>
      <c r="AU7" s="150">
        <f>SUMIFS(SALE!$K$6:$K$10000,SALE!$A$6:$A$10000,$AU$2,SALE!$E$6:$E$10000,$B$4,SALE!$I$6:$I$10000,'RATEWISE SALE &amp; PURCHASE'!$B$5:$B$8)</f>
        <v>0</v>
      </c>
      <c r="AV7" s="151">
        <f>SUMIFS(SALE!$L$6:$L$10000,SALE!$A$6:$A$10000,$AU$2,SALE!$E$6:$E$10000,$B$4,SALE!$I$6:$I$10000,'RATEWISE SALE &amp; PURCHASE'!$B$5:$B$8)</f>
        <v>0</v>
      </c>
      <c r="AW7" s="151">
        <f>SUMIFS(SALE!$M$6:$M$10000,SALE!$A$6:$A$10000,$AU$2,SALE!$E$6:$E$10000,$B$4,SALE!$I$6:$I$10000,'RATEWISE SALE &amp; PURCHASE'!$B$5:$B$8)</f>
        <v>0</v>
      </c>
      <c r="AX7" s="153">
        <f t="shared" si="16"/>
        <v>0</v>
      </c>
      <c r="AY7" s="150">
        <f t="shared" si="1"/>
        <v>14528334.279999999</v>
      </c>
      <c r="AZ7" s="151">
        <f t="shared" si="2"/>
        <v>0</v>
      </c>
      <c r="BA7" s="151">
        <f t="shared" si="3"/>
        <v>1307550.0951999999</v>
      </c>
      <c r="BB7" s="152">
        <f t="shared" si="4"/>
        <v>1307550.0951999999</v>
      </c>
    </row>
    <row r="8" spans="1:54" s="154" customFormat="1" x14ac:dyDescent="0.2">
      <c r="A8" s="155" t="s">
        <v>2551</v>
      </c>
      <c r="B8" s="156">
        <v>28</v>
      </c>
      <c r="C8" s="150">
        <f>SUMIFS(SALE!$K$6:$K$10000,SALE!$A$6:$A$10000,$C$2,SALE!$E$6:$E$10000,$B$4,SALE!$I$6:$I$10000,'RATEWISE SALE &amp; PURCHASE'!$B$5:$B$8)</f>
        <v>2672948.6699999976</v>
      </c>
      <c r="D8" s="151">
        <f>SUMIFS(SALE!$L$6:$L$10000,SALE!$A$6:$A$10000,$C$2,SALE!$E$6:$E$10000,$B$4,SALE!$I$6:$I$10000,'RATEWISE SALE &amp; PURCHASE'!$B$5:$B$8)</f>
        <v>36646.618399999999</v>
      </c>
      <c r="E8" s="151">
        <f>SUMIFS(SALE!$M$6:$M$10000,SALE!$A$6:$A$10000,$C$2,SALE!$E$6:$E$10000,$B$4,SALE!$I$6:$I$10000,'RATEWISE SALE &amp; PURCHASE'!$B$5:$B$8)</f>
        <v>355889.50459999993</v>
      </c>
      <c r="F8" s="152">
        <f t="shared" si="5"/>
        <v>355889.50459999993</v>
      </c>
      <c r="G8" s="150">
        <f>SUMIFS(SALE!$K$6:$K$10000,SALE!$A$6:$A$10000,$G$2,SALE!$E$6:$E$10000,$B$4,SALE!$I$6:$I$10000,'RATEWISE SALE &amp; PURCHASE'!$B$5:$B$8)</f>
        <v>2522340.14</v>
      </c>
      <c r="H8" s="151">
        <f>SUMIFS(SALE!$L$6:$L$10000,SALE!$A$6:$A$10000,$G$2,SALE!$E$6:$E$10000,$B$4,SALE!$I$6:$I$10000,'RATEWISE SALE &amp; PURCHASE'!$B$5:$B$8)</f>
        <v>55549.74040000001</v>
      </c>
      <c r="I8" s="151">
        <f>SUMIFS(SALE!$M$6:$M$10000,SALE!$A$6:$A$10000,$G$2,SALE!$E$6:$E$10000,$B$4,SALE!$I$6:$I$10000,'RATEWISE SALE &amp; PURCHASE'!$B$5:$B$8)</f>
        <v>325352.74940000003</v>
      </c>
      <c r="J8" s="152">
        <f t="shared" si="6"/>
        <v>325352.74940000003</v>
      </c>
      <c r="K8" s="150">
        <f>SUMIFS(SALE!$K$6:$K$10000,SALE!$A$6:$A$10000,$K$2,SALE!$E$6:$E$10000,$B$4,SALE!$I$6:$I$10000,'RATEWISE SALE &amp; PURCHASE'!$B$5:$B$8)</f>
        <v>3161781.8039999986</v>
      </c>
      <c r="L8" s="151">
        <f>SUMIFS(SALE!$L$6:$L$10000,SALE!$A$6:$A$10000,$K$2,SALE!$E$6:$E$10000,$B$4,SALE!$I$6:$I$10000,'RATEWISE SALE &amp; PURCHASE'!$B$5:$B$8)</f>
        <v>149635.80240000002</v>
      </c>
      <c r="M8" s="151">
        <f>SUMIFS(SALE!$M$6:$M$10000,SALE!$A$6:$A$10000,$K$2,SALE!$E$6:$E$10000,$B$4,SALE!$I$6:$I$10000,'RATEWISE SALE &amp; PURCHASE'!$B$5:$B$8)</f>
        <v>367831.55136000022</v>
      </c>
      <c r="N8" s="152">
        <f t="shared" si="7"/>
        <v>367831.55136000022</v>
      </c>
      <c r="O8" s="150">
        <f>SUMIFS(SALE!$K$6:$K$10000,SALE!$A$6:$A$10000,$O$2,SALE!$E$6:$E$10000,$B$4,SALE!$I$6:$I$10000,'RATEWISE SALE &amp; PURCHASE'!$B$5:$B$8)</f>
        <v>3976241.1999999988</v>
      </c>
      <c r="P8" s="151">
        <f>SUMIFS(SALE!$L$6:$L$10000,SALE!$A$6:$A$10000,$O$2,SALE!$E$6:$E$10000,$B$4,SALE!$I$6:$I$10000,'RATEWISE SALE &amp; PURCHASE'!$B$5:$B$8)</f>
        <v>66125.387999999992</v>
      </c>
      <c r="Q8" s="151">
        <f>SUMIFS(SALE!$M$6:$M$10000,SALE!$A$6:$A$10000,$O$2,SALE!$E$6:$E$10000,$B$4,SALE!$I$6:$I$10000,'RATEWISE SALE &amp; PURCHASE'!$B$5:$B$8)</f>
        <v>523611.0740000002</v>
      </c>
      <c r="R8" s="152">
        <f t="shared" si="8"/>
        <v>523611.0740000002</v>
      </c>
      <c r="S8" s="150">
        <f>SUMIFS(SALE!$K$6:$K$10000,SALE!$A$6:$A$10000,$S$2,SALE!$E$6:$E$10000,$B$4,SALE!$I$6:$I$10000,'RATEWISE SALE &amp; PURCHASE'!$B$5:$B$8)</f>
        <v>2732014.2600000002</v>
      </c>
      <c r="T8" s="151">
        <f>SUMIFS(SALE!$L$6:$L$10000,SALE!$A$6:$A$10000,$S$2,SALE!$E$6:$E$10000,$B$4,SALE!$I$6:$I$10000,'RATEWISE SALE &amp; PURCHASE'!$B$5:$B$8)</f>
        <v>30473.3688</v>
      </c>
      <c r="U8" s="151">
        <f>SUMIFS(SALE!$M$6:$M$10000,SALE!$A$6:$A$10000,$S$2,SALE!$E$6:$E$10000,$B$4,SALE!$I$6:$I$10000,'RATEWISE SALE &amp; PURCHASE'!$B$5:$B$8)</f>
        <v>367245.31200000021</v>
      </c>
      <c r="V8" s="152">
        <f t="shared" si="9"/>
        <v>367245.31200000021</v>
      </c>
      <c r="W8" s="150">
        <f>SUMIFS(SALE!$K$6:$K$10000,SALE!$A$6:$A$10000,$W$2,SALE!$E$6:$E$10000,$B$4,SALE!$I$6:$I$10000,'RATEWISE SALE &amp; PURCHASE'!$B$5:$B$8)</f>
        <v>2058441.7500000005</v>
      </c>
      <c r="X8" s="151">
        <f>SUMIFS(SALE!$L$6:$L$10000,SALE!$A$6:$A$10000,$W$2,SALE!$E$6:$E$10000,$B$4,SALE!$I$6:$I$10000,'RATEWISE SALE &amp; PURCHASE'!$B$5:$B$8)</f>
        <v>75713.330000000016</v>
      </c>
      <c r="Y8" s="151">
        <f>SUMIFS(SALE!$M$6:$M$10000,SALE!$A$6:$A$10000,$W$2,SALE!$E$6:$E$10000,$B$4,SALE!$I$6:$I$10000,'RATEWISE SALE &amp; PURCHASE'!$B$5:$B$8)</f>
        <v>250325.16999999995</v>
      </c>
      <c r="Z8" s="152">
        <f t="shared" si="10"/>
        <v>250325.16999999995</v>
      </c>
      <c r="AA8" s="150">
        <f>SUMIFS(SALE!$K$6:$K$10000,SALE!$A$6:$A$10000,$AA$2,SALE!$E$6:$E$10000,$B$4,SALE!$I$6:$I$10000,'RATEWISE SALE &amp; PURCHASE'!$B$5:$B$8)</f>
        <v>1788966.4400000004</v>
      </c>
      <c r="AB8" s="151">
        <f>SUMIFS(SALE!$L$6:$L$10000,SALE!$A$6:$A$10000,$AA$2,SALE!$E$6:$E$10000,$B$4,SALE!$I$6:$I$10000,'RATEWISE SALE &amp; PURCHASE'!$B$5:$B$8)</f>
        <v>51945.630799999992</v>
      </c>
      <c r="AC8" s="151">
        <f>SUMIFS(SALE!$M$6:$M$10000,SALE!$A$6:$A$10000,$AA$2,SALE!$E$6:$E$10000,$B$4,SALE!$I$6:$I$10000,'RATEWISE SALE &amp; PURCHASE'!$B$5:$B$8)</f>
        <v>224482.48619999996</v>
      </c>
      <c r="AD8" s="152">
        <f t="shared" si="11"/>
        <v>224482.48619999996</v>
      </c>
      <c r="AE8" s="150">
        <f>SUMIFS(SALE!$K$6:$K$10000,SALE!$A$6:$A$10000,$AE$2,SALE!$E$6:$E$10000,$B$4,SALE!$I$6:$I$10000,'RATEWISE SALE &amp; PURCHASE'!$B$5:$B$8)</f>
        <v>682727.39999999991</v>
      </c>
      <c r="AF8" s="151">
        <f>SUMIFS(SALE!$L$6:$L$10000,SALE!$A$6:$A$10000,$AE$2,SALE!$E$6:$E$10000,$B$4,SALE!$I$6:$I$10000,'RATEWISE SALE &amp; PURCHASE'!$B$5:$B$8)</f>
        <v>36691.986799999999</v>
      </c>
      <c r="AG8" s="151">
        <f>SUMIFS(SALE!$M$6:$M$10000,SALE!$A$6:$A$10000,$AE$2,SALE!$E$6:$E$10000,$B$4,SALE!$I$6:$I$10000,'RATEWISE SALE &amp; PURCHASE'!$B$5:$B$8)</f>
        <v>77235.842600000004</v>
      </c>
      <c r="AH8" s="152">
        <f t="shared" si="12"/>
        <v>77235.842600000004</v>
      </c>
      <c r="AI8" s="150">
        <f>SUMIFS(SALE!$K$6:$K$10000,SALE!$A$6:$A$10000,$AI$2,SALE!$E$6:$E$10000,$B$4,SALE!$I$6:$I$10000,'RATEWISE SALE &amp; PURCHASE'!$B$5:$B$8)</f>
        <v>0</v>
      </c>
      <c r="AJ8" s="151">
        <f>SUMIFS(SALE!$L$6:$L$10000,SALE!$A$6:$A$10000,$AI$2,SALE!$E$6:$E$10000,$B$4,SALE!$I$6:$I$10000,'RATEWISE SALE &amp; PURCHASE'!$B$5:$B$8)</f>
        <v>0</v>
      </c>
      <c r="AK8" s="151">
        <f>SUMIFS(SALE!$M$6:$M$10000,SALE!$A$6:$A$10000,$AI$2,SALE!$E$6:$E$10000,$B$4,SALE!$I$6:$I$10000,'RATEWISE SALE &amp; PURCHASE'!$B$5:$B$8)</f>
        <v>0</v>
      </c>
      <c r="AL8" s="152">
        <f t="shared" si="13"/>
        <v>0</v>
      </c>
      <c r="AM8" s="150">
        <f>SUMIFS(SALE!$K$6:$K$10000,SALE!$A$6:$A$10000,$AM$2,SALE!$E$6:$E$10000,$B$4,SALE!$I$6:$I$10000,'RATEWISE SALE &amp; PURCHASE'!$B$5:$B$8)</f>
        <v>0</v>
      </c>
      <c r="AN8" s="151">
        <f>SUMIFS(SALE!$L$6:$L$10000,SALE!$A$6:$A$10000,$AM$2,SALE!$E$6:$E$10000,$B$4,SALE!$I$6:$I$10000,'RATEWISE SALE &amp; PURCHASE'!$B$5:$B$8)</f>
        <v>0</v>
      </c>
      <c r="AO8" s="151">
        <f>SUMIFS(SALE!$M$6:$M$10000,SALE!$A$6:$A$10000,$AM$2,SALE!$E$6:$E$10000,$B$4,SALE!$I$6:$I$10000,'RATEWISE SALE &amp; PURCHASE'!$B$5:$B$8)</f>
        <v>0</v>
      </c>
      <c r="AP8" s="152">
        <f t="shared" si="14"/>
        <v>0</v>
      </c>
      <c r="AQ8" s="150">
        <f>SUMIFS(SALE!$K$6:$K$10000,SALE!$A$6:$A$10000,$AQ$2,SALE!$E$6:$E$10000,$B$4,SALE!$I$6:$I$10000,'RATEWISE SALE &amp; PURCHASE'!$B$5:$B$8)</f>
        <v>0</v>
      </c>
      <c r="AR8" s="151">
        <f>SUMIFS(SALE!$L$6:$L$10000,SALE!$A$6:$A$10000,$AQ$2,SALE!$E$6:$E$10000,$B$4,SALE!$I$6:$I$10000,'RATEWISE SALE &amp; PURCHASE'!$B$5:$B$8)</f>
        <v>0</v>
      </c>
      <c r="AS8" s="151">
        <f>SUMIFS(SALE!$M$6:$M$10000,SALE!$A$6:$A$10000,$AQ$2,SALE!$E$6:$E$10000,$B$4,SALE!$I$6:$I$10000,'RATEWISE SALE &amp; PURCHASE'!$B$5:$B$8)</f>
        <v>0</v>
      </c>
      <c r="AT8" s="152">
        <f t="shared" si="15"/>
        <v>0</v>
      </c>
      <c r="AU8" s="150">
        <f>SUMIFS(SALE!$K$6:$K$10000,SALE!$A$6:$A$10000,$AU$2,SALE!$E$6:$E$10000,$B$4,SALE!$I$6:$I$10000,'RATEWISE SALE &amp; PURCHASE'!$B$5:$B$8)</f>
        <v>0</v>
      </c>
      <c r="AV8" s="151">
        <f>SUMIFS(SALE!$L$6:$L$10000,SALE!$A$6:$A$10000,$AU$2,SALE!$E$6:$E$10000,$B$4,SALE!$I$6:$I$10000,'RATEWISE SALE &amp; PURCHASE'!$B$5:$B$8)</f>
        <v>0</v>
      </c>
      <c r="AW8" s="151">
        <f>SUMIFS(SALE!$M$6:$M$10000,SALE!$A$6:$A$10000,$AU$2,SALE!$E$6:$E$10000,$B$4,SALE!$I$6:$I$10000,'RATEWISE SALE &amp; PURCHASE'!$B$5:$B$8)</f>
        <v>0</v>
      </c>
      <c r="AX8" s="153">
        <f t="shared" si="16"/>
        <v>0</v>
      </c>
      <c r="AY8" s="150">
        <f t="shared" si="1"/>
        <v>19595461.663999997</v>
      </c>
      <c r="AZ8" s="151">
        <f t="shared" si="2"/>
        <v>502781.86560000002</v>
      </c>
      <c r="BA8" s="151">
        <f t="shared" si="3"/>
        <v>2491973.6901600007</v>
      </c>
      <c r="BB8" s="152">
        <f t="shared" si="4"/>
        <v>2491973.6901600007</v>
      </c>
    </row>
    <row r="9" spans="1:54" x14ac:dyDescent="0.2">
      <c r="A9" s="157" t="s">
        <v>1044</v>
      </c>
      <c r="B9" s="158"/>
      <c r="C9" s="159">
        <f>SUM(C5:C8)</f>
        <v>3354773.3799999976</v>
      </c>
      <c r="D9" s="160">
        <f t="shared" ref="D9:F9" si="17">SUM(D5:D8)</f>
        <v>36646.618399999999</v>
      </c>
      <c r="E9" s="160">
        <f t="shared" si="17"/>
        <v>417253.72849999997</v>
      </c>
      <c r="F9" s="161">
        <f t="shared" si="17"/>
        <v>417253.72849999997</v>
      </c>
      <c r="G9" s="159">
        <f>SUM(G5:G8)</f>
        <v>4082939.1799999997</v>
      </c>
      <c r="H9" s="160">
        <f t="shared" ref="H9:J9" si="18">SUM(H5:H8)</f>
        <v>55549.74040000001</v>
      </c>
      <c r="I9" s="160">
        <f t="shared" si="18"/>
        <v>465806.663</v>
      </c>
      <c r="J9" s="161">
        <f t="shared" si="18"/>
        <v>465806.663</v>
      </c>
      <c r="K9" s="159">
        <f>SUM(K5:K8)</f>
        <v>5235733.7339999992</v>
      </c>
      <c r="L9" s="160">
        <f t="shared" ref="L9:N9" si="19">SUM(L5:L8)</f>
        <v>149635.80240000002</v>
      </c>
      <c r="M9" s="160">
        <f t="shared" si="19"/>
        <v>554487.2250600002</v>
      </c>
      <c r="N9" s="161">
        <f t="shared" si="19"/>
        <v>554487.2250600002</v>
      </c>
      <c r="O9" s="159">
        <f>SUM(O5:O8)</f>
        <v>6634007.6599999983</v>
      </c>
      <c r="P9" s="160">
        <f t="shared" ref="P9:R9" si="20">SUM(P5:P8)</f>
        <v>66125.387999999992</v>
      </c>
      <c r="Q9" s="160">
        <f t="shared" si="20"/>
        <v>762810.05540000019</v>
      </c>
      <c r="R9" s="161">
        <f t="shared" si="20"/>
        <v>762810.05540000019</v>
      </c>
      <c r="S9" s="159">
        <f>SUM(S5:S8)</f>
        <v>5482303.4199999999</v>
      </c>
      <c r="T9" s="160">
        <f t="shared" ref="T9:V9" si="21">SUM(T5:T8)</f>
        <v>30473.3688</v>
      </c>
      <c r="U9" s="160">
        <f t="shared" si="21"/>
        <v>614771.33640000015</v>
      </c>
      <c r="V9" s="161">
        <f t="shared" si="21"/>
        <v>614771.33640000015</v>
      </c>
      <c r="W9" s="159">
        <f>SUM(W5:W8)</f>
        <v>4788659.8900000006</v>
      </c>
      <c r="X9" s="160">
        <f t="shared" ref="X9:Z9" si="22">SUM(X5:X8)</f>
        <v>75713.330000000016</v>
      </c>
      <c r="Y9" s="160">
        <f t="shared" si="22"/>
        <v>496044.81259999995</v>
      </c>
      <c r="Z9" s="161">
        <f t="shared" si="22"/>
        <v>496044.81259999995</v>
      </c>
      <c r="AA9" s="159">
        <f>SUM(AA5:AA8)</f>
        <v>4303915.0200000005</v>
      </c>
      <c r="AB9" s="160">
        <f t="shared" ref="AB9:AD9" si="23">SUM(AB5:AB8)</f>
        <v>51945.630799999992</v>
      </c>
      <c r="AC9" s="160">
        <f t="shared" si="23"/>
        <v>419677.15439999994</v>
      </c>
      <c r="AD9" s="161">
        <f t="shared" si="23"/>
        <v>419677.15439999994</v>
      </c>
      <c r="AE9" s="159">
        <f>SUM(AE5:AE8)</f>
        <v>1294595.74</v>
      </c>
      <c r="AF9" s="160">
        <f t="shared" ref="AF9:AH9" si="24">SUM(AF5:AF8)</f>
        <v>36691.986799999999</v>
      </c>
      <c r="AG9" s="160">
        <f t="shared" si="24"/>
        <v>131860.73480000001</v>
      </c>
      <c r="AH9" s="161">
        <f t="shared" si="24"/>
        <v>131860.73480000001</v>
      </c>
      <c r="AI9" s="159">
        <f>SUM(AI5:AI8)</f>
        <v>0</v>
      </c>
      <c r="AJ9" s="160">
        <f t="shared" ref="AJ9:AL9" si="25">SUM(AJ5:AJ8)</f>
        <v>0</v>
      </c>
      <c r="AK9" s="160">
        <f t="shared" si="25"/>
        <v>0</v>
      </c>
      <c r="AL9" s="161">
        <f t="shared" si="25"/>
        <v>0</v>
      </c>
      <c r="AM9" s="159">
        <f>SUM(AM5:AM8)</f>
        <v>0</v>
      </c>
      <c r="AN9" s="160">
        <f t="shared" ref="AN9:AP9" si="26">SUM(AN5:AN8)</f>
        <v>0</v>
      </c>
      <c r="AO9" s="160">
        <f t="shared" si="26"/>
        <v>0</v>
      </c>
      <c r="AP9" s="161">
        <f t="shared" si="26"/>
        <v>0</v>
      </c>
      <c r="AQ9" s="159">
        <f>SUM(AQ5:AQ8)</f>
        <v>0</v>
      </c>
      <c r="AR9" s="160">
        <f t="shared" ref="AR9:AT9" si="27">SUM(AR5:AR8)</f>
        <v>0</v>
      </c>
      <c r="AS9" s="160">
        <f t="shared" si="27"/>
        <v>0</v>
      </c>
      <c r="AT9" s="161">
        <f t="shared" si="27"/>
        <v>0</v>
      </c>
      <c r="AU9" s="159">
        <f>SUM(AU5:AU8)</f>
        <v>0</v>
      </c>
      <c r="AV9" s="160">
        <f t="shared" ref="AV9:AX9" si="28">SUM(AV5:AV8)</f>
        <v>0</v>
      </c>
      <c r="AW9" s="160">
        <f t="shared" si="28"/>
        <v>0</v>
      </c>
      <c r="AX9" s="162">
        <f t="shared" si="28"/>
        <v>0</v>
      </c>
      <c r="AY9" s="159">
        <f t="shared" si="1"/>
        <v>35176928.024000004</v>
      </c>
      <c r="AZ9" s="160">
        <f t="shared" si="2"/>
        <v>502781.86560000002</v>
      </c>
      <c r="BA9" s="160">
        <f t="shared" si="3"/>
        <v>3862711.7101600002</v>
      </c>
      <c r="BB9" s="161">
        <f t="shared" si="4"/>
        <v>3862711.7101600002</v>
      </c>
    </row>
    <row r="10" spans="1:54" s="154" customFormat="1" x14ac:dyDescent="0.2">
      <c r="A10" s="155"/>
      <c r="B10" s="156"/>
      <c r="C10" s="150"/>
      <c r="D10" s="151"/>
      <c r="E10" s="151"/>
      <c r="F10" s="152"/>
      <c r="G10" s="150"/>
      <c r="H10" s="151"/>
      <c r="I10" s="151"/>
      <c r="J10" s="152"/>
      <c r="K10" s="150"/>
      <c r="L10" s="151"/>
      <c r="M10" s="151"/>
      <c r="N10" s="152"/>
      <c r="O10" s="150"/>
      <c r="P10" s="151"/>
      <c r="Q10" s="151"/>
      <c r="R10" s="152"/>
      <c r="S10" s="150"/>
      <c r="T10" s="151"/>
      <c r="U10" s="151"/>
      <c r="V10" s="152"/>
      <c r="W10" s="150"/>
      <c r="X10" s="151"/>
      <c r="Y10" s="151"/>
      <c r="Z10" s="152"/>
      <c r="AA10" s="150"/>
      <c r="AB10" s="151"/>
      <c r="AC10" s="151"/>
      <c r="AD10" s="152"/>
      <c r="AE10" s="150"/>
      <c r="AF10" s="151"/>
      <c r="AG10" s="151"/>
      <c r="AH10" s="152"/>
      <c r="AI10" s="150"/>
      <c r="AJ10" s="151"/>
      <c r="AK10" s="151"/>
      <c r="AL10" s="152"/>
      <c r="AM10" s="150"/>
      <c r="AN10" s="151"/>
      <c r="AO10" s="151"/>
      <c r="AP10" s="152"/>
      <c r="AQ10" s="150"/>
      <c r="AR10" s="151"/>
      <c r="AS10" s="151"/>
      <c r="AT10" s="152"/>
      <c r="AU10" s="150"/>
      <c r="AV10" s="151"/>
      <c r="AW10" s="151"/>
      <c r="AX10" s="152"/>
      <c r="AY10" s="150"/>
      <c r="AZ10" s="151"/>
      <c r="BA10" s="151"/>
      <c r="BB10" s="152"/>
    </row>
    <row r="11" spans="1:54" s="154" customFormat="1" x14ac:dyDescent="0.2">
      <c r="A11" s="163" t="s">
        <v>228</v>
      </c>
      <c r="B11" s="74" t="s">
        <v>366</v>
      </c>
      <c r="C11" s="164"/>
      <c r="D11" s="165"/>
      <c r="E11" s="165"/>
      <c r="F11" s="166"/>
      <c r="G11" s="164"/>
      <c r="H11" s="165"/>
      <c r="I11" s="165"/>
      <c r="J11" s="166"/>
      <c r="K11" s="164"/>
      <c r="L11" s="165"/>
      <c r="M11" s="165"/>
      <c r="N11" s="166"/>
      <c r="O11" s="164"/>
      <c r="P11" s="165"/>
      <c r="Q11" s="165"/>
      <c r="R11" s="166"/>
      <c r="S11" s="164"/>
      <c r="T11" s="165"/>
      <c r="U11" s="165"/>
      <c r="V11" s="166"/>
      <c r="W11" s="164"/>
      <c r="X11" s="165"/>
      <c r="Y11" s="165"/>
      <c r="Z11" s="166"/>
      <c r="AA11" s="164"/>
      <c r="AB11" s="165"/>
      <c r="AC11" s="165"/>
      <c r="AD11" s="166"/>
      <c r="AE11" s="164"/>
      <c r="AF11" s="165"/>
      <c r="AG11" s="165"/>
      <c r="AH11" s="166"/>
      <c r="AI11" s="164"/>
      <c r="AJ11" s="165"/>
      <c r="AK11" s="165"/>
      <c r="AL11" s="166"/>
      <c r="AM11" s="164"/>
      <c r="AN11" s="165"/>
      <c r="AO11" s="165"/>
      <c r="AP11" s="166"/>
      <c r="AQ11" s="164"/>
      <c r="AR11" s="165"/>
      <c r="AS11" s="165"/>
      <c r="AT11" s="166"/>
      <c r="AU11" s="164"/>
      <c r="AV11" s="165"/>
      <c r="AW11" s="165"/>
      <c r="AX11" s="166"/>
      <c r="AY11" s="164"/>
      <c r="AZ11" s="165"/>
      <c r="BA11" s="165"/>
      <c r="BB11" s="166"/>
    </row>
    <row r="12" spans="1:54" s="154" customFormat="1" x14ac:dyDescent="0.2">
      <c r="A12" s="155" t="s">
        <v>2548</v>
      </c>
      <c r="B12" s="156">
        <v>5</v>
      </c>
      <c r="C12" s="150">
        <f>SUMIFS(SALE!$K$6:$K$10000,SALE!$A$6:$A$10000,$C$2,SALE!$E$6:$E$10000,$B$11,SALE!$I$6:$I$10000,'RATEWISE SALE &amp; PURCHASE'!$B$12:$B$15)</f>
        <v>0</v>
      </c>
      <c r="D12" s="151">
        <f>SUMIFS(SALE!$L$6:$L$10000,SALE!$A$6:$A$10000,$C$2,SALE!$E$6:$E$10000,$B$11,SALE!$I$6:$I$10000,'RATEWISE SALE &amp; PURCHASE'!$B$12:$B$15)</f>
        <v>0</v>
      </c>
      <c r="E12" s="151">
        <f>SUMIFS(SALE!$M$6:$M$10000,SALE!$A$6:$A$10000,$C$2,SALE!$E$6:$E$10000,$B$11,SALE!$I$6:$I$10000,'RATEWISE SALE &amp; PURCHASE'!$B$12:$B$15)</f>
        <v>0</v>
      </c>
      <c r="F12" s="152">
        <f>+E12</f>
        <v>0</v>
      </c>
      <c r="G12" s="150">
        <f>SUMIFS(SALE!$K$6:$K$10000,SALE!$A$6:$A$10000,$G$2,SALE!$E$6:$E$10000,$B$11,SALE!$I$6:$I$10000,'RATEWISE SALE &amp; PURCHASE'!$B$12:$B$15)</f>
        <v>0</v>
      </c>
      <c r="H12" s="151">
        <f>SUMIFS(SALE!$L$6:$L$10000,SALE!$A$6:$A$10000,$G$2,SALE!$E$6:$E$10000,$B$11,SALE!$I$6:$I$10000,'RATEWISE SALE &amp; PURCHASE'!$B$12:$B$15)</f>
        <v>0</v>
      </c>
      <c r="I12" s="151">
        <f>SUMIFS(SALE!$M$6:$M$10000,SALE!$A$6:$A$10000,$G$2,SALE!$E$6:$E$10000,$B$11,SALE!$I$6:$I$10000,'RATEWISE SALE &amp; PURCHASE'!$B$12:$B$15)</f>
        <v>0</v>
      </c>
      <c r="J12" s="152">
        <f>+I12</f>
        <v>0</v>
      </c>
      <c r="K12" s="150">
        <f>SUMIFS(SALE!$K$6:$K$10000,SALE!$A$6:$A$10000,$K$2,SALE!$E$6:$E$10000,$B$11,SALE!$I$6:$I$10000,'RATEWISE SALE &amp; PURCHASE'!$B$12:$B$15)</f>
        <v>0</v>
      </c>
      <c r="L12" s="151">
        <f>SUMIFS(SALE!$L$6:$L$10000,SALE!$A$6:$A$10000,$K$2,SALE!$E$6:$E$10000,$B$11,SALE!$I$6:$I$10000,'RATEWISE SALE &amp; PURCHASE'!$B$12:$B$15)</f>
        <v>0</v>
      </c>
      <c r="M12" s="151">
        <f>SUMIFS(SALE!$M$6:$M$10000,SALE!$A$6:$A$10000,$K$2,SALE!$E$6:$E$10000,$B$11,SALE!$I$6:$I$10000,'RATEWISE SALE &amp; PURCHASE'!$B$12:$B$15)</f>
        <v>0</v>
      </c>
      <c r="N12" s="152">
        <f>+M12</f>
        <v>0</v>
      </c>
      <c r="O12" s="150">
        <f>SUMIFS(SALE!$K$6:$K$10000,SALE!$A$6:$A$10000,$O$2,SALE!$E$6:$E$10000,$B$11,SALE!$I$6:$I$10000,'RATEWISE SALE &amp; PURCHASE'!$B$12:$B$15)</f>
        <v>0</v>
      </c>
      <c r="P12" s="151">
        <f>SUMIFS(SALE!$L$6:$L$10000,SALE!$A$6:$A$10000,$O$2,SALE!$E$6:$E$10000,$B$11,SALE!$I$6:$I$10000,'RATEWISE SALE &amp; PURCHASE'!$B$12:$B$15)</f>
        <v>0</v>
      </c>
      <c r="Q12" s="151">
        <f>SUMIFS(SALE!$M$6:$M$10000,SALE!$A$6:$A$10000,$O$2,SALE!$E$6:$E$10000,$B$11,SALE!$I$6:$I$10000,'RATEWISE SALE &amp; PURCHASE'!$B$12:$B$15)</f>
        <v>0</v>
      </c>
      <c r="R12" s="152">
        <f>+Q12</f>
        <v>0</v>
      </c>
      <c r="S12" s="150">
        <f>SUMIFS(SALE!$K$6:$K$10000,SALE!$A$6:$A$10000,$S$2,SALE!$E$6:$E$10000,$B$11,SALE!$I$6:$I$10000,'RATEWISE SALE &amp; PURCHASE'!$B$12:$B$15)</f>
        <v>0</v>
      </c>
      <c r="T12" s="151">
        <f>SUMIFS(SALE!$L$6:$L$10000,SALE!$A$6:$A$10000,$S$2,SALE!$E$6:$E$10000,$B$11,SALE!$I$6:$I$10000,'RATEWISE SALE &amp; PURCHASE'!$B$12:$B$15)</f>
        <v>0</v>
      </c>
      <c r="U12" s="151">
        <f>SUMIFS(SALE!$M$6:$M$10000,SALE!$A$6:$A$10000,$S$2,SALE!$E$6:$E$10000,$B$11,SALE!$I$6:$I$10000,'RATEWISE SALE &amp; PURCHASE'!$B$12:$B$15)</f>
        <v>0</v>
      </c>
      <c r="V12" s="152">
        <f>+U12</f>
        <v>0</v>
      </c>
      <c r="W12" s="150">
        <f>SUMIFS(SALE!$K$6:$K$10000,SALE!$A$6:$A$10000,$W$2,SALE!$E$6:$E$10000,$B$11,SALE!$I$6:$I$10000,'RATEWISE SALE &amp; PURCHASE'!$B$12:$B$15)</f>
        <v>0</v>
      </c>
      <c r="X12" s="151">
        <f>SUMIFS(SALE!$L$6:$L$10000,SALE!$A$6:$A$10000,$W$2,SALE!$E$6:$E$10000,$B$11,SALE!$I$6:$I$10000,'RATEWISE SALE &amp; PURCHASE'!$B$12:$B$15)</f>
        <v>0</v>
      </c>
      <c r="Y12" s="151">
        <f>SUMIFS(SALE!$M$6:$M$10000,SALE!$A$6:$A$10000,$W$2,SALE!$E$6:$E$10000,$B$11,SALE!$I$6:$I$10000,'RATEWISE SALE &amp; PURCHASE'!$B$12:$B$15)</f>
        <v>0</v>
      </c>
      <c r="Z12" s="152">
        <f>+Y12</f>
        <v>0</v>
      </c>
      <c r="AA12" s="150">
        <f>SUMIFS(SALE!$K$6:$K$10000,SALE!$A$6:$A$10000,$AA$2,SALE!$E$6:$E$10000,$B$11,SALE!$I$6:$I$10000,'RATEWISE SALE &amp; PURCHASE'!$B$12:$B$15)</f>
        <v>0</v>
      </c>
      <c r="AB12" s="151">
        <f>SUMIFS(SALE!$L$6:$L$10000,SALE!$A$6:$A$10000,$AA$2,SALE!$E$6:$E$10000,$B$11,SALE!$I$6:$I$10000,'RATEWISE SALE &amp; PURCHASE'!$B$12:$B$15)</f>
        <v>0</v>
      </c>
      <c r="AC12" s="151">
        <f>SUMIFS(SALE!$M$6:$M$10000,SALE!$A$6:$A$10000,$AA$2,SALE!$E$6:$E$10000,$B$11,SALE!$I$6:$I$10000,'RATEWISE SALE &amp; PURCHASE'!$B$12:$B$15)</f>
        <v>0</v>
      </c>
      <c r="AD12" s="152">
        <f>+AC12</f>
        <v>0</v>
      </c>
      <c r="AE12" s="150">
        <f>SUMIFS(SALE!$K$6:$K$10000,SALE!$A$6:$A$10000,$AE$2,SALE!$E$6:$E$10000,$B$11,SALE!$I$6:$I$10000,'RATEWISE SALE &amp; PURCHASE'!$B$12:$B$15)</f>
        <v>0</v>
      </c>
      <c r="AF12" s="151">
        <f>SUMIFS(SALE!$L$6:$L$10000,SALE!$A$6:$A$10000,$AE$2,SALE!$E$6:$E$10000,$B$11,SALE!$I$6:$I$10000,'RATEWISE SALE &amp; PURCHASE'!$B$12:$B$15)</f>
        <v>0</v>
      </c>
      <c r="AG12" s="151">
        <f>SUMIFS(SALE!$M$6:$M$10000,SALE!$A$6:$A$10000,$AE$2,SALE!$E$6:$E$10000,$B$11,SALE!$I$6:$I$10000,'RATEWISE SALE &amp; PURCHASE'!$B$12:$B$15)</f>
        <v>0</v>
      </c>
      <c r="AH12" s="152">
        <f>+AG12</f>
        <v>0</v>
      </c>
      <c r="AI12" s="150">
        <f>SUMIFS(SALE!$K$6:$K$10000,SALE!$A$6:$A$10000,$AI$2,SALE!$E$6:$E$10000,$B$11,SALE!$I$6:$I$10000,'RATEWISE SALE &amp; PURCHASE'!$B$12:$B$15)</f>
        <v>0</v>
      </c>
      <c r="AJ12" s="151">
        <f>SUMIFS(SALE!$L$6:$L$10000,SALE!$A$6:$A$10000,$AI$2,SALE!$E$6:$E$10000,$B$11,SALE!$I$6:$I$10000,'RATEWISE SALE &amp; PURCHASE'!$B$12:$B$15)</f>
        <v>0</v>
      </c>
      <c r="AK12" s="151">
        <f>SUMIFS(SALE!$M$6:$M$10000,SALE!$A$6:$A$10000,$AI$2,SALE!$E$6:$E$10000,$B$11,SALE!$I$6:$I$10000,'RATEWISE SALE &amp; PURCHASE'!$B$12:$B$15)</f>
        <v>0</v>
      </c>
      <c r="AL12" s="152">
        <f>+AK12</f>
        <v>0</v>
      </c>
      <c r="AM12" s="150">
        <f>SUMIFS(SALE!$K$6:$K$10000,SALE!$A$6:$A$10000,$AM$2,SALE!$E$6:$E$10000,$B$11,SALE!$I$6:$I$10000,'RATEWISE SALE &amp; PURCHASE'!$B$12:$B$15)</f>
        <v>0</v>
      </c>
      <c r="AN12" s="151">
        <f>SUMIFS(SALE!$L$6:$L$10000,SALE!$A$6:$A$10000,$AM$2,SALE!$E$6:$E$10000,$B$11,SALE!$I$6:$I$10000,'RATEWISE SALE &amp; PURCHASE'!$B$12:$B$15)</f>
        <v>0</v>
      </c>
      <c r="AO12" s="151">
        <f>SUMIFS(SALE!$M$6:$M$10000,SALE!$A$6:$A$10000,$AM$2,SALE!$E$6:$E$10000,$B$11,SALE!$I$6:$I$10000,'RATEWISE SALE &amp; PURCHASE'!$B$12:$B$15)</f>
        <v>0</v>
      </c>
      <c r="AP12" s="152">
        <f>+AO12</f>
        <v>0</v>
      </c>
      <c r="AQ12" s="150">
        <f>SUMIFS(SALE!$K$6:$K$10000,SALE!$A$6:$A$10000,$AQ$2,SALE!$E$6:$E$10000,$B$11,SALE!$I$6:$I$10000,'RATEWISE SALE &amp; PURCHASE'!$B$12:$B$15)</f>
        <v>0</v>
      </c>
      <c r="AR12" s="151">
        <f>SUMIFS(SALE!$L$6:$L$10000,SALE!$A$6:$A$10000,$AQ$2,SALE!$E$6:$E$10000,$B$11,SALE!$I$6:$I$10000,'RATEWISE SALE &amp; PURCHASE'!$B$12:$B$15)</f>
        <v>0</v>
      </c>
      <c r="AS12" s="151">
        <f>SUMIFS(SALE!$M$6:$M$10000,SALE!$A$6:$A$10000,$AQ$2,SALE!$E$6:$E$10000,$B$11,SALE!$I$6:$I$10000,'RATEWISE SALE &amp; PURCHASE'!$B$12:$B$15)</f>
        <v>0</v>
      </c>
      <c r="AT12" s="152">
        <f>+AS12</f>
        <v>0</v>
      </c>
      <c r="AU12" s="150">
        <f>SUMIFS(SALE!$K$6:$K$10000,SALE!$A$6:$A$10000,$AU$2,SALE!$E$6:$E$10000,$B$11,SALE!$I$6:$I$10000,'RATEWISE SALE &amp; PURCHASE'!$B$12:$B$15)</f>
        <v>0</v>
      </c>
      <c r="AV12" s="151">
        <f>SUMIFS(SALE!$L$6:$L$10000,SALE!$A$6:$A$10000,$AU$2,SALE!$E$6:$E$10000,$B$11,SALE!$I$6:$I$10000,'RATEWISE SALE &amp; PURCHASE'!$B$12:$B$15)</f>
        <v>0</v>
      </c>
      <c r="AW12" s="151">
        <f>SUMIFS(SALE!$M$6:$M$10000,SALE!$A$6:$A$10000,$AU$2,SALE!$E$6:$E$10000,$B$11,SALE!$I$6:$I$10000,'RATEWISE SALE &amp; PURCHASE'!$B$12:$B$15)</f>
        <v>0</v>
      </c>
      <c r="AX12" s="152">
        <f>+AW12</f>
        <v>0</v>
      </c>
      <c r="AY12" s="150">
        <f t="shared" ref="AY12:AY16" si="29">+C12+G12+K12+O12+S12+W12+AA12+AE12+AI12+AM12+AQ12+AU12</f>
        <v>0</v>
      </c>
      <c r="AZ12" s="151">
        <f t="shared" ref="AZ12:AZ16" si="30">+D12+H12+L12+P12+T12+X12+AB12+AF12+AJ12+AN12+AR12+AV12</f>
        <v>0</v>
      </c>
      <c r="BA12" s="151">
        <f t="shared" ref="BA12:BA16" si="31">+E12+I12+M12+Q12+U12+Y12+AC12+AG12+AK12+AO12+AS12+AW12</f>
        <v>0</v>
      </c>
      <c r="BB12" s="152">
        <f t="shared" ref="BB12:BB16" si="32">+F12+J12+N12+R12+V12+Z12+AD12+AH12+AL12+AP12+AT12+AX12</f>
        <v>0</v>
      </c>
    </row>
    <row r="13" spans="1:54" s="154" customFormat="1" x14ac:dyDescent="0.2">
      <c r="A13" s="155" t="s">
        <v>2549</v>
      </c>
      <c r="B13" s="156">
        <v>12</v>
      </c>
      <c r="C13" s="150">
        <f>SUMIFS(SALE!$K$6:$K$10000,SALE!$A$6:$A$10000,$C$2,SALE!$E$6:$E$10000,$B$11,SALE!$I$6:$I$10000,'RATEWISE SALE &amp; PURCHASE'!$B$12:$B$15)</f>
        <v>0</v>
      </c>
      <c r="D13" s="151">
        <f>SUMIFS(SALE!$L$6:$L$10000,SALE!$A$6:$A$10000,$C$2,SALE!$E$6:$E$10000,$B$11,SALE!$I$6:$I$10000,'RATEWISE SALE &amp; PURCHASE'!$B$12:$B$15)</f>
        <v>0</v>
      </c>
      <c r="E13" s="151">
        <f>SUMIFS(SALE!$M$6:$M$10000,SALE!$A$6:$A$10000,$C$2,SALE!$E$6:$E$10000,$B$11,SALE!$I$6:$I$10000,'RATEWISE SALE &amp; PURCHASE'!$B$12:$B$15)</f>
        <v>0</v>
      </c>
      <c r="F13" s="152">
        <f t="shared" ref="F13:F15" si="33">+E13</f>
        <v>0</v>
      </c>
      <c r="G13" s="150">
        <f>SUMIFS(SALE!$K$6:$K$10000,SALE!$A$6:$A$10000,$G$2,SALE!$E$6:$E$10000,$B$11,SALE!$I$6:$I$10000,'RATEWISE SALE &amp; PURCHASE'!$B$12:$B$15)</f>
        <v>0</v>
      </c>
      <c r="H13" s="151">
        <f>SUMIFS(SALE!$L$6:$L$10000,SALE!$A$6:$A$10000,$G$2,SALE!$E$6:$E$10000,$B$11,SALE!$I$6:$I$10000,'RATEWISE SALE &amp; PURCHASE'!$B$12:$B$15)</f>
        <v>0</v>
      </c>
      <c r="I13" s="151">
        <f>SUMIFS(SALE!$M$6:$M$10000,SALE!$A$6:$A$10000,$G$2,SALE!$E$6:$E$10000,$B$11,SALE!$I$6:$I$10000,'RATEWISE SALE &amp; PURCHASE'!$B$12:$B$15)</f>
        <v>0</v>
      </c>
      <c r="J13" s="152">
        <f t="shared" ref="J13:J15" si="34">+I13</f>
        <v>0</v>
      </c>
      <c r="K13" s="150">
        <f>SUMIFS(SALE!$K$6:$K$10000,SALE!$A$6:$A$10000,$K$2,SALE!$E$6:$E$10000,$B$11,SALE!$I$6:$I$10000,'RATEWISE SALE &amp; PURCHASE'!$B$12:$B$15)</f>
        <v>0</v>
      </c>
      <c r="L13" s="151">
        <f>SUMIFS(SALE!$L$6:$L$10000,SALE!$A$6:$A$10000,$K$2,SALE!$E$6:$E$10000,$B$11,SALE!$I$6:$I$10000,'RATEWISE SALE &amp; PURCHASE'!$B$12:$B$15)</f>
        <v>0</v>
      </c>
      <c r="M13" s="151">
        <f>SUMIFS(SALE!$M$6:$M$10000,SALE!$A$6:$A$10000,$K$2,SALE!$E$6:$E$10000,$B$11,SALE!$I$6:$I$10000,'RATEWISE SALE &amp; PURCHASE'!$B$12:$B$15)</f>
        <v>0</v>
      </c>
      <c r="N13" s="152">
        <f t="shared" ref="N13:N15" si="35">+M13</f>
        <v>0</v>
      </c>
      <c r="O13" s="150">
        <f>SUMIFS(SALE!$K$6:$K$10000,SALE!$A$6:$A$10000,$O$2,SALE!$E$6:$E$10000,$B$11,SALE!$I$6:$I$10000,'RATEWISE SALE &amp; PURCHASE'!$B$12:$B$15)</f>
        <v>0</v>
      </c>
      <c r="P13" s="151">
        <f>SUMIFS(SALE!$L$6:$L$10000,SALE!$A$6:$A$10000,$O$2,SALE!$E$6:$E$10000,$B$11,SALE!$I$6:$I$10000,'RATEWISE SALE &amp; PURCHASE'!$B$12:$B$15)</f>
        <v>0</v>
      </c>
      <c r="Q13" s="151">
        <f>SUMIFS(SALE!$M$6:$M$10000,SALE!$A$6:$A$10000,$O$2,SALE!$E$6:$E$10000,$B$11,SALE!$I$6:$I$10000,'RATEWISE SALE &amp; PURCHASE'!$B$12:$B$15)</f>
        <v>0</v>
      </c>
      <c r="R13" s="152">
        <f t="shared" ref="R13:R15" si="36">+Q13</f>
        <v>0</v>
      </c>
      <c r="S13" s="150">
        <f>SUMIFS(SALE!$K$6:$K$10000,SALE!$A$6:$A$10000,$S$2,SALE!$E$6:$E$10000,$B$11,SALE!$I$6:$I$10000,'RATEWISE SALE &amp; PURCHASE'!$B$12:$B$15)</f>
        <v>0</v>
      </c>
      <c r="T13" s="151">
        <f>SUMIFS(SALE!$L$6:$L$10000,SALE!$A$6:$A$10000,$S$2,SALE!$E$6:$E$10000,$B$11,SALE!$I$6:$I$10000,'RATEWISE SALE &amp; PURCHASE'!$B$12:$B$15)</f>
        <v>0</v>
      </c>
      <c r="U13" s="151">
        <f>SUMIFS(SALE!$M$6:$M$10000,SALE!$A$6:$A$10000,$S$2,SALE!$E$6:$E$10000,$B$11,SALE!$I$6:$I$10000,'RATEWISE SALE &amp; PURCHASE'!$B$12:$B$15)</f>
        <v>0</v>
      </c>
      <c r="V13" s="152">
        <f t="shared" ref="V13:V15" si="37">+U13</f>
        <v>0</v>
      </c>
      <c r="W13" s="150">
        <f>SUMIFS(SALE!$K$6:$K$10000,SALE!$A$6:$A$10000,$W$2,SALE!$E$6:$E$10000,$B$11,SALE!$I$6:$I$10000,'RATEWISE SALE &amp; PURCHASE'!$B$12:$B$15)</f>
        <v>0</v>
      </c>
      <c r="X13" s="151">
        <f>SUMIFS(SALE!$L$6:$L$10000,SALE!$A$6:$A$10000,$W$2,SALE!$E$6:$E$10000,$B$11,SALE!$I$6:$I$10000,'RATEWISE SALE &amp; PURCHASE'!$B$12:$B$15)</f>
        <v>0</v>
      </c>
      <c r="Y13" s="151">
        <f>SUMIFS(SALE!$M$6:$M$10000,SALE!$A$6:$A$10000,$W$2,SALE!$E$6:$E$10000,$B$11,SALE!$I$6:$I$10000,'RATEWISE SALE &amp; PURCHASE'!$B$12:$B$15)</f>
        <v>0</v>
      </c>
      <c r="Z13" s="152">
        <f t="shared" ref="Z13:Z15" si="38">+Y13</f>
        <v>0</v>
      </c>
      <c r="AA13" s="150">
        <f>SUMIFS(SALE!$K$6:$K$10000,SALE!$A$6:$A$10000,$AA$2,SALE!$E$6:$E$10000,$B$11,SALE!$I$6:$I$10000,'RATEWISE SALE &amp; PURCHASE'!$B$12:$B$15)</f>
        <v>0</v>
      </c>
      <c r="AB13" s="151">
        <f>SUMIFS(SALE!$L$6:$L$10000,SALE!$A$6:$A$10000,$AA$2,SALE!$E$6:$E$10000,$B$11,SALE!$I$6:$I$10000,'RATEWISE SALE &amp; PURCHASE'!$B$12:$B$15)</f>
        <v>0</v>
      </c>
      <c r="AC13" s="151">
        <f>SUMIFS(SALE!$M$6:$M$10000,SALE!$A$6:$A$10000,$AA$2,SALE!$E$6:$E$10000,$B$11,SALE!$I$6:$I$10000,'RATEWISE SALE &amp; PURCHASE'!$B$12:$B$15)</f>
        <v>0</v>
      </c>
      <c r="AD13" s="152">
        <f t="shared" ref="AD13:AD15" si="39">+AC13</f>
        <v>0</v>
      </c>
      <c r="AE13" s="150">
        <f>SUMIFS(SALE!$K$6:$K$10000,SALE!$A$6:$A$10000,$AE$2,SALE!$E$6:$E$10000,$B$11,SALE!$I$6:$I$10000,'RATEWISE SALE &amp; PURCHASE'!$B$12:$B$15)</f>
        <v>0</v>
      </c>
      <c r="AF13" s="151">
        <f>SUMIFS(SALE!$L$6:$L$10000,SALE!$A$6:$A$10000,$AE$2,SALE!$E$6:$E$10000,$B$11,SALE!$I$6:$I$10000,'RATEWISE SALE &amp; PURCHASE'!$B$12:$B$15)</f>
        <v>0</v>
      </c>
      <c r="AG13" s="151">
        <f>SUMIFS(SALE!$M$6:$M$10000,SALE!$A$6:$A$10000,$AE$2,SALE!$E$6:$E$10000,$B$11,SALE!$I$6:$I$10000,'RATEWISE SALE &amp; PURCHASE'!$B$12:$B$15)</f>
        <v>0</v>
      </c>
      <c r="AH13" s="152">
        <f t="shared" ref="AH13:AH15" si="40">+AG13</f>
        <v>0</v>
      </c>
      <c r="AI13" s="150">
        <f>SUMIFS(SALE!$K$6:$K$10000,SALE!$A$6:$A$10000,$AI$2,SALE!$E$6:$E$10000,$B$11,SALE!$I$6:$I$10000,'RATEWISE SALE &amp; PURCHASE'!$B$12:$B$15)</f>
        <v>0</v>
      </c>
      <c r="AJ13" s="151">
        <f>SUMIFS(SALE!$L$6:$L$10000,SALE!$A$6:$A$10000,$AI$2,SALE!$E$6:$E$10000,$B$11,SALE!$I$6:$I$10000,'RATEWISE SALE &amp; PURCHASE'!$B$12:$B$15)</f>
        <v>0</v>
      </c>
      <c r="AK13" s="151">
        <f>SUMIFS(SALE!$M$6:$M$10000,SALE!$A$6:$A$10000,$AI$2,SALE!$E$6:$E$10000,$B$11,SALE!$I$6:$I$10000,'RATEWISE SALE &amp; PURCHASE'!$B$12:$B$15)</f>
        <v>0</v>
      </c>
      <c r="AL13" s="152">
        <f t="shared" ref="AL13:AL15" si="41">+AK13</f>
        <v>0</v>
      </c>
      <c r="AM13" s="150">
        <f>SUMIFS(SALE!$K$6:$K$10000,SALE!$A$6:$A$10000,$AM$2,SALE!$E$6:$E$10000,$B$11,SALE!$I$6:$I$10000,'RATEWISE SALE &amp; PURCHASE'!$B$12:$B$15)</f>
        <v>0</v>
      </c>
      <c r="AN13" s="151">
        <f>SUMIFS(SALE!$L$6:$L$10000,SALE!$A$6:$A$10000,$AM$2,SALE!$E$6:$E$10000,$B$11,SALE!$I$6:$I$10000,'RATEWISE SALE &amp; PURCHASE'!$B$12:$B$15)</f>
        <v>0</v>
      </c>
      <c r="AO13" s="151">
        <f>SUMIFS(SALE!$M$6:$M$10000,SALE!$A$6:$A$10000,$AM$2,SALE!$E$6:$E$10000,$B$11,SALE!$I$6:$I$10000,'RATEWISE SALE &amp; PURCHASE'!$B$12:$B$15)</f>
        <v>0</v>
      </c>
      <c r="AP13" s="152">
        <f t="shared" ref="AP13:AP15" si="42">+AO13</f>
        <v>0</v>
      </c>
      <c r="AQ13" s="150">
        <f>SUMIFS(SALE!$K$6:$K$10000,SALE!$A$6:$A$10000,$AQ$2,SALE!$E$6:$E$10000,$B$11,SALE!$I$6:$I$10000,'RATEWISE SALE &amp; PURCHASE'!$B$12:$B$15)</f>
        <v>0</v>
      </c>
      <c r="AR13" s="151">
        <f>SUMIFS(SALE!$L$6:$L$10000,SALE!$A$6:$A$10000,$AQ$2,SALE!$E$6:$E$10000,$B$11,SALE!$I$6:$I$10000,'RATEWISE SALE &amp; PURCHASE'!$B$12:$B$15)</f>
        <v>0</v>
      </c>
      <c r="AS13" s="151">
        <f>SUMIFS(SALE!$M$6:$M$10000,SALE!$A$6:$A$10000,$AQ$2,SALE!$E$6:$E$10000,$B$11,SALE!$I$6:$I$10000,'RATEWISE SALE &amp; PURCHASE'!$B$12:$B$15)</f>
        <v>0</v>
      </c>
      <c r="AT13" s="152">
        <f t="shared" ref="AT13:AT15" si="43">+AS13</f>
        <v>0</v>
      </c>
      <c r="AU13" s="150">
        <f>SUMIFS(SALE!$K$6:$K$10000,SALE!$A$6:$A$10000,$AU$2,SALE!$E$6:$E$10000,$B$11,SALE!$I$6:$I$10000,'RATEWISE SALE &amp; PURCHASE'!$B$12:$B$15)</f>
        <v>0</v>
      </c>
      <c r="AV13" s="151">
        <f>SUMIFS(SALE!$L$6:$L$10000,SALE!$A$6:$A$10000,$AU$2,SALE!$E$6:$E$10000,$B$11,SALE!$I$6:$I$10000,'RATEWISE SALE &amp; PURCHASE'!$B$12:$B$15)</f>
        <v>0</v>
      </c>
      <c r="AW13" s="151">
        <f>SUMIFS(SALE!$M$6:$M$10000,SALE!$A$6:$A$10000,$AU$2,SALE!$E$6:$E$10000,$B$11,SALE!$I$6:$I$10000,'RATEWISE SALE &amp; PURCHASE'!$B$12:$B$15)</f>
        <v>0</v>
      </c>
      <c r="AX13" s="152">
        <f t="shared" ref="AX13:AX15" si="44">+AW13</f>
        <v>0</v>
      </c>
      <c r="AY13" s="150">
        <f t="shared" si="29"/>
        <v>0</v>
      </c>
      <c r="AZ13" s="151">
        <f t="shared" si="30"/>
        <v>0</v>
      </c>
      <c r="BA13" s="151">
        <f t="shared" si="31"/>
        <v>0</v>
      </c>
      <c r="BB13" s="152">
        <f t="shared" si="32"/>
        <v>0</v>
      </c>
    </row>
    <row r="14" spans="1:54" s="154" customFormat="1" x14ac:dyDescent="0.2">
      <c r="A14" s="155" t="s">
        <v>2550</v>
      </c>
      <c r="B14" s="156">
        <v>18</v>
      </c>
      <c r="C14" s="150">
        <f>SUMIFS(SALE!$K$6:$K$10000,SALE!$A$6:$A$10000,$C$2,SALE!$E$6:$E$10000,$B$11,SALE!$I$6:$I$10000,'RATEWISE SALE &amp; PURCHASE'!$B$12:$B$15)</f>
        <v>0</v>
      </c>
      <c r="D14" s="151">
        <f>SUMIFS(SALE!$L$6:$L$10000,SALE!$A$6:$A$10000,$C$2,SALE!$E$6:$E$10000,$B$11,SALE!$I$6:$I$10000,'RATEWISE SALE &amp; PURCHASE'!$B$12:$B$15)</f>
        <v>0</v>
      </c>
      <c r="E14" s="151">
        <f>SUMIFS(SALE!$M$6:$M$10000,SALE!$A$6:$A$10000,$C$2,SALE!$E$6:$E$10000,$B$11,SALE!$I$6:$I$10000,'RATEWISE SALE &amp; PURCHASE'!$B$12:$B$15)</f>
        <v>0</v>
      </c>
      <c r="F14" s="152">
        <f t="shared" si="33"/>
        <v>0</v>
      </c>
      <c r="G14" s="150">
        <f>SUMIFS(SALE!$K$6:$K$10000,SALE!$A$6:$A$10000,$G$2,SALE!$E$6:$E$10000,$B$11,SALE!$I$6:$I$10000,'RATEWISE SALE &amp; PURCHASE'!$B$12:$B$15)</f>
        <v>0</v>
      </c>
      <c r="H14" s="151">
        <f>SUMIFS(SALE!$L$6:$L$10000,SALE!$A$6:$A$10000,$G$2,SALE!$E$6:$E$10000,$B$11,SALE!$I$6:$I$10000,'RATEWISE SALE &amp; PURCHASE'!$B$12:$B$15)</f>
        <v>0</v>
      </c>
      <c r="I14" s="151">
        <f>SUMIFS(SALE!$M$6:$M$10000,SALE!$A$6:$A$10000,$G$2,SALE!$E$6:$E$10000,$B$11,SALE!$I$6:$I$10000,'RATEWISE SALE &amp; PURCHASE'!$B$12:$B$15)</f>
        <v>0</v>
      </c>
      <c r="J14" s="152">
        <f t="shared" si="34"/>
        <v>0</v>
      </c>
      <c r="K14" s="150">
        <f>SUMIFS(SALE!$K$6:$K$10000,SALE!$A$6:$A$10000,$K$2,SALE!$E$6:$E$10000,$B$11,SALE!$I$6:$I$10000,'RATEWISE SALE &amp; PURCHASE'!$B$12:$B$15)</f>
        <v>0</v>
      </c>
      <c r="L14" s="151">
        <f>SUMIFS(SALE!$L$6:$L$10000,SALE!$A$6:$A$10000,$K$2,SALE!$E$6:$E$10000,$B$11,SALE!$I$6:$I$10000,'RATEWISE SALE &amp; PURCHASE'!$B$12:$B$15)</f>
        <v>0</v>
      </c>
      <c r="M14" s="151">
        <f>SUMIFS(SALE!$M$6:$M$10000,SALE!$A$6:$A$10000,$K$2,SALE!$E$6:$E$10000,$B$11,SALE!$I$6:$I$10000,'RATEWISE SALE &amp; PURCHASE'!$B$12:$B$15)</f>
        <v>0</v>
      </c>
      <c r="N14" s="152">
        <f t="shared" si="35"/>
        <v>0</v>
      </c>
      <c r="O14" s="150">
        <f>SUMIFS(SALE!$K$6:$K$10000,SALE!$A$6:$A$10000,$O$2,SALE!$E$6:$E$10000,$B$11,SALE!$I$6:$I$10000,'RATEWISE SALE &amp; PURCHASE'!$B$12:$B$15)</f>
        <v>0</v>
      </c>
      <c r="P14" s="151">
        <f>SUMIFS(SALE!$L$6:$L$10000,SALE!$A$6:$A$10000,$O$2,SALE!$E$6:$E$10000,$B$11,SALE!$I$6:$I$10000,'RATEWISE SALE &amp; PURCHASE'!$B$12:$B$15)</f>
        <v>0</v>
      </c>
      <c r="Q14" s="151">
        <f>SUMIFS(SALE!$M$6:$M$10000,SALE!$A$6:$A$10000,$O$2,SALE!$E$6:$E$10000,$B$11,SALE!$I$6:$I$10000,'RATEWISE SALE &amp; PURCHASE'!$B$12:$B$15)</f>
        <v>0</v>
      </c>
      <c r="R14" s="152">
        <f t="shared" si="36"/>
        <v>0</v>
      </c>
      <c r="S14" s="150">
        <f>SUMIFS(SALE!$K$6:$K$10000,SALE!$A$6:$A$10000,$S$2,SALE!$E$6:$E$10000,$B$11,SALE!$I$6:$I$10000,'RATEWISE SALE &amp; PURCHASE'!$B$12:$B$15)</f>
        <v>0</v>
      </c>
      <c r="T14" s="151">
        <f>SUMIFS(SALE!$L$6:$L$10000,SALE!$A$6:$A$10000,$S$2,SALE!$E$6:$E$10000,$B$11,SALE!$I$6:$I$10000,'RATEWISE SALE &amp; PURCHASE'!$B$12:$B$15)</f>
        <v>0</v>
      </c>
      <c r="U14" s="151">
        <f>SUMIFS(SALE!$M$6:$M$10000,SALE!$A$6:$A$10000,$S$2,SALE!$E$6:$E$10000,$B$11,SALE!$I$6:$I$10000,'RATEWISE SALE &amp; PURCHASE'!$B$12:$B$15)</f>
        <v>0</v>
      </c>
      <c r="V14" s="152">
        <f t="shared" si="37"/>
        <v>0</v>
      </c>
      <c r="W14" s="150">
        <f>SUMIFS(SALE!$K$6:$K$10000,SALE!$A$6:$A$10000,$W$2,SALE!$E$6:$E$10000,$B$11,SALE!$I$6:$I$10000,'RATEWISE SALE &amp; PURCHASE'!$B$12:$B$15)</f>
        <v>0</v>
      </c>
      <c r="X14" s="151">
        <f>SUMIFS(SALE!$L$6:$L$10000,SALE!$A$6:$A$10000,$W$2,SALE!$E$6:$E$10000,$B$11,SALE!$I$6:$I$10000,'RATEWISE SALE &amp; PURCHASE'!$B$12:$B$15)</f>
        <v>0</v>
      </c>
      <c r="Y14" s="151">
        <f>SUMIFS(SALE!$M$6:$M$10000,SALE!$A$6:$A$10000,$W$2,SALE!$E$6:$E$10000,$B$11,SALE!$I$6:$I$10000,'RATEWISE SALE &amp; PURCHASE'!$B$12:$B$15)</f>
        <v>0</v>
      </c>
      <c r="Z14" s="152">
        <f t="shared" si="38"/>
        <v>0</v>
      </c>
      <c r="AA14" s="150">
        <f>SUMIFS(SALE!$K$6:$K$10000,SALE!$A$6:$A$10000,$AA$2,SALE!$E$6:$E$10000,$B$11,SALE!$I$6:$I$10000,'RATEWISE SALE &amp; PURCHASE'!$B$12:$B$15)</f>
        <v>0</v>
      </c>
      <c r="AB14" s="151">
        <f>SUMIFS(SALE!$L$6:$L$10000,SALE!$A$6:$A$10000,$AA$2,SALE!$E$6:$E$10000,$B$11,SALE!$I$6:$I$10000,'RATEWISE SALE &amp; PURCHASE'!$B$12:$B$15)</f>
        <v>0</v>
      </c>
      <c r="AC14" s="151">
        <f>SUMIFS(SALE!$M$6:$M$10000,SALE!$A$6:$A$10000,$AA$2,SALE!$E$6:$E$10000,$B$11,SALE!$I$6:$I$10000,'RATEWISE SALE &amp; PURCHASE'!$B$12:$B$15)</f>
        <v>0</v>
      </c>
      <c r="AD14" s="152">
        <f t="shared" si="39"/>
        <v>0</v>
      </c>
      <c r="AE14" s="150">
        <f>SUMIFS(SALE!$K$6:$K$10000,SALE!$A$6:$A$10000,$AE$2,SALE!$E$6:$E$10000,$B$11,SALE!$I$6:$I$10000,'RATEWISE SALE &amp; PURCHASE'!$B$12:$B$15)</f>
        <v>0</v>
      </c>
      <c r="AF14" s="151">
        <f>SUMIFS(SALE!$L$6:$L$10000,SALE!$A$6:$A$10000,$AE$2,SALE!$E$6:$E$10000,$B$11,SALE!$I$6:$I$10000,'RATEWISE SALE &amp; PURCHASE'!$B$12:$B$15)</f>
        <v>0</v>
      </c>
      <c r="AG14" s="151">
        <f>SUMIFS(SALE!$M$6:$M$10000,SALE!$A$6:$A$10000,$AE$2,SALE!$E$6:$E$10000,$B$11,SALE!$I$6:$I$10000,'RATEWISE SALE &amp; PURCHASE'!$B$12:$B$15)</f>
        <v>0</v>
      </c>
      <c r="AH14" s="152">
        <f t="shared" si="40"/>
        <v>0</v>
      </c>
      <c r="AI14" s="150">
        <f>SUMIFS(SALE!$K$6:$K$10000,SALE!$A$6:$A$10000,$AI$2,SALE!$E$6:$E$10000,$B$11,SALE!$I$6:$I$10000,'RATEWISE SALE &amp; PURCHASE'!$B$12:$B$15)</f>
        <v>0</v>
      </c>
      <c r="AJ14" s="151">
        <f>SUMIFS(SALE!$L$6:$L$10000,SALE!$A$6:$A$10000,$AI$2,SALE!$E$6:$E$10000,$B$11,SALE!$I$6:$I$10000,'RATEWISE SALE &amp; PURCHASE'!$B$12:$B$15)</f>
        <v>0</v>
      </c>
      <c r="AK14" s="151">
        <f>SUMIFS(SALE!$M$6:$M$10000,SALE!$A$6:$A$10000,$AI$2,SALE!$E$6:$E$10000,$B$11,SALE!$I$6:$I$10000,'RATEWISE SALE &amp; PURCHASE'!$B$12:$B$15)</f>
        <v>0</v>
      </c>
      <c r="AL14" s="152">
        <f t="shared" si="41"/>
        <v>0</v>
      </c>
      <c r="AM14" s="150">
        <f>SUMIFS(SALE!$K$6:$K$10000,SALE!$A$6:$A$10000,$AM$2,SALE!$E$6:$E$10000,$B$11,SALE!$I$6:$I$10000,'RATEWISE SALE &amp; PURCHASE'!$B$12:$B$15)</f>
        <v>0</v>
      </c>
      <c r="AN14" s="151">
        <f>SUMIFS(SALE!$L$6:$L$10000,SALE!$A$6:$A$10000,$AM$2,SALE!$E$6:$E$10000,$B$11,SALE!$I$6:$I$10000,'RATEWISE SALE &amp; PURCHASE'!$B$12:$B$15)</f>
        <v>0</v>
      </c>
      <c r="AO14" s="151">
        <f>SUMIFS(SALE!$M$6:$M$10000,SALE!$A$6:$A$10000,$AM$2,SALE!$E$6:$E$10000,$B$11,SALE!$I$6:$I$10000,'RATEWISE SALE &amp; PURCHASE'!$B$12:$B$15)</f>
        <v>0</v>
      </c>
      <c r="AP14" s="152">
        <f t="shared" si="42"/>
        <v>0</v>
      </c>
      <c r="AQ14" s="150">
        <f>SUMIFS(SALE!$K$6:$K$10000,SALE!$A$6:$A$10000,$AQ$2,SALE!$E$6:$E$10000,$B$11,SALE!$I$6:$I$10000,'RATEWISE SALE &amp; PURCHASE'!$B$12:$B$15)</f>
        <v>0</v>
      </c>
      <c r="AR14" s="151">
        <f>SUMIFS(SALE!$L$6:$L$10000,SALE!$A$6:$A$10000,$AQ$2,SALE!$E$6:$E$10000,$B$11,SALE!$I$6:$I$10000,'RATEWISE SALE &amp; PURCHASE'!$B$12:$B$15)</f>
        <v>0</v>
      </c>
      <c r="AS14" s="151">
        <f>SUMIFS(SALE!$M$6:$M$10000,SALE!$A$6:$A$10000,$AQ$2,SALE!$E$6:$E$10000,$B$11,SALE!$I$6:$I$10000,'RATEWISE SALE &amp; PURCHASE'!$B$12:$B$15)</f>
        <v>0</v>
      </c>
      <c r="AT14" s="152">
        <f t="shared" si="43"/>
        <v>0</v>
      </c>
      <c r="AU14" s="150">
        <f>SUMIFS(SALE!$K$6:$K$10000,SALE!$A$6:$A$10000,$AU$2,SALE!$E$6:$E$10000,$B$11,SALE!$I$6:$I$10000,'RATEWISE SALE &amp; PURCHASE'!$B$12:$B$15)</f>
        <v>0</v>
      </c>
      <c r="AV14" s="151">
        <f>SUMIFS(SALE!$L$6:$L$10000,SALE!$A$6:$A$10000,$AU$2,SALE!$E$6:$E$10000,$B$11,SALE!$I$6:$I$10000,'RATEWISE SALE &amp; PURCHASE'!$B$12:$B$15)</f>
        <v>0</v>
      </c>
      <c r="AW14" s="151">
        <f>SUMIFS(SALE!$M$6:$M$10000,SALE!$A$6:$A$10000,$AU$2,SALE!$E$6:$E$10000,$B$11,SALE!$I$6:$I$10000,'RATEWISE SALE &amp; PURCHASE'!$B$12:$B$15)</f>
        <v>0</v>
      </c>
      <c r="AX14" s="152">
        <f t="shared" si="44"/>
        <v>0</v>
      </c>
      <c r="AY14" s="150">
        <f t="shared" si="29"/>
        <v>0</v>
      </c>
      <c r="AZ14" s="151">
        <f t="shared" si="30"/>
        <v>0</v>
      </c>
      <c r="BA14" s="151">
        <f t="shared" si="31"/>
        <v>0</v>
      </c>
      <c r="BB14" s="152">
        <f t="shared" si="32"/>
        <v>0</v>
      </c>
    </row>
    <row r="15" spans="1:54" s="154" customFormat="1" x14ac:dyDescent="0.2">
      <c r="A15" s="155" t="s">
        <v>2551</v>
      </c>
      <c r="B15" s="156">
        <v>28</v>
      </c>
      <c r="C15" s="150">
        <f>SUMIFS(SALE!$K$6:$K$10000,SALE!$A$6:$A$10000,$C$2,SALE!$E$6:$E$10000,$B$11,SALE!$I$6:$I$10000,'RATEWISE SALE &amp; PURCHASE'!$B$12:$B$15)</f>
        <v>0</v>
      </c>
      <c r="D15" s="151">
        <f>SUMIFS(SALE!$L$6:$L$10000,SALE!$A$6:$A$10000,$C$2,SALE!$E$6:$E$10000,$B$11,SALE!$I$6:$I$10000,'RATEWISE SALE &amp; PURCHASE'!$B$12:$B$15)</f>
        <v>0</v>
      </c>
      <c r="E15" s="151">
        <f>SUMIFS(SALE!$M$6:$M$10000,SALE!$A$6:$A$10000,$C$2,SALE!$E$6:$E$10000,$B$11,SALE!$I$6:$I$10000,'RATEWISE SALE &amp; PURCHASE'!$B$12:$B$15)</f>
        <v>0</v>
      </c>
      <c r="F15" s="152">
        <f t="shared" si="33"/>
        <v>0</v>
      </c>
      <c r="G15" s="150">
        <f>SUMIFS(SALE!$K$6:$K$10000,SALE!$A$6:$A$10000,$G$2,SALE!$E$6:$E$10000,$B$11,SALE!$I$6:$I$10000,'RATEWISE SALE &amp; PURCHASE'!$B$12:$B$15)</f>
        <v>0</v>
      </c>
      <c r="H15" s="151">
        <f>SUMIFS(SALE!$L$6:$L$10000,SALE!$A$6:$A$10000,$G$2,SALE!$E$6:$E$10000,$B$11,SALE!$I$6:$I$10000,'RATEWISE SALE &amp; PURCHASE'!$B$12:$B$15)</f>
        <v>0</v>
      </c>
      <c r="I15" s="151">
        <f>SUMIFS(SALE!$M$6:$M$10000,SALE!$A$6:$A$10000,$G$2,SALE!$E$6:$E$10000,$B$11,SALE!$I$6:$I$10000,'RATEWISE SALE &amp; PURCHASE'!$B$12:$B$15)</f>
        <v>0</v>
      </c>
      <c r="J15" s="152">
        <f t="shared" si="34"/>
        <v>0</v>
      </c>
      <c r="K15" s="150">
        <f>SUMIFS(SALE!$K$6:$K$10000,SALE!$A$6:$A$10000,$K$2,SALE!$E$6:$E$10000,$B$11,SALE!$I$6:$I$10000,'RATEWISE SALE &amp; PURCHASE'!$B$12:$B$15)</f>
        <v>563420.05000000005</v>
      </c>
      <c r="L15" s="151">
        <f>SUMIFS(SALE!$L$6:$L$10000,SALE!$A$6:$A$10000,$K$2,SALE!$E$6:$E$10000,$B$11,SALE!$I$6:$I$10000,'RATEWISE SALE &amp; PURCHASE'!$B$12:$B$15)</f>
        <v>0</v>
      </c>
      <c r="M15" s="151">
        <f>SUMIFS(SALE!$M$6:$M$10000,SALE!$A$6:$A$10000,$K$2,SALE!$E$6:$E$10000,$B$11,SALE!$I$6:$I$10000,'RATEWISE SALE &amp; PURCHASE'!$B$12:$B$15)</f>
        <v>78878.807000000015</v>
      </c>
      <c r="N15" s="152">
        <f t="shared" si="35"/>
        <v>78878.807000000015</v>
      </c>
      <c r="O15" s="150">
        <f>SUMIFS(SALE!$K$6:$K$10000,SALE!$A$6:$A$10000,$O$2,SALE!$E$6:$E$10000,$B$11,SALE!$I$6:$I$10000,'RATEWISE SALE &amp; PURCHASE'!$B$12:$B$15)</f>
        <v>25079</v>
      </c>
      <c r="P15" s="151">
        <f>SUMIFS(SALE!$L$6:$L$10000,SALE!$A$6:$A$10000,$O$2,SALE!$E$6:$E$10000,$B$11,SALE!$I$6:$I$10000,'RATEWISE SALE &amp; PURCHASE'!$B$12:$B$15)</f>
        <v>0</v>
      </c>
      <c r="Q15" s="151">
        <f>SUMIFS(SALE!$M$6:$M$10000,SALE!$A$6:$A$10000,$O$2,SALE!$E$6:$E$10000,$B$11,SALE!$I$6:$I$10000,'RATEWISE SALE &amp; PURCHASE'!$B$12:$B$15)</f>
        <v>3511.06</v>
      </c>
      <c r="R15" s="152">
        <f t="shared" si="36"/>
        <v>3511.06</v>
      </c>
      <c r="S15" s="150">
        <f>SUMIFS(SALE!$K$6:$K$10000,SALE!$A$6:$A$10000,$S$2,SALE!$E$6:$E$10000,$B$11,SALE!$I$6:$I$10000,'RATEWISE SALE &amp; PURCHASE'!$B$12:$B$15)</f>
        <v>0</v>
      </c>
      <c r="T15" s="151">
        <f>SUMIFS(SALE!$L$6:$L$10000,SALE!$A$6:$A$10000,$S$2,SALE!$E$6:$E$10000,$B$11,SALE!$I$6:$I$10000,'RATEWISE SALE &amp; PURCHASE'!$B$12:$B$15)</f>
        <v>0</v>
      </c>
      <c r="U15" s="151">
        <f>SUMIFS(SALE!$M$6:$M$10000,SALE!$A$6:$A$10000,$S$2,SALE!$E$6:$E$10000,$B$11,SALE!$I$6:$I$10000,'RATEWISE SALE &amp; PURCHASE'!$B$12:$B$15)</f>
        <v>0</v>
      </c>
      <c r="V15" s="152">
        <f t="shared" si="37"/>
        <v>0</v>
      </c>
      <c r="W15" s="150">
        <f>SUMIFS(SALE!$K$6:$K$10000,SALE!$A$6:$A$10000,$W$2,SALE!$E$6:$E$10000,$B$11,SALE!$I$6:$I$10000,'RATEWISE SALE &amp; PURCHASE'!$B$12:$B$15)</f>
        <v>0</v>
      </c>
      <c r="X15" s="151">
        <f>SUMIFS(SALE!$L$6:$L$10000,SALE!$A$6:$A$10000,$W$2,SALE!$E$6:$E$10000,$B$11,SALE!$I$6:$I$10000,'RATEWISE SALE &amp; PURCHASE'!$B$12:$B$15)</f>
        <v>0</v>
      </c>
      <c r="Y15" s="151">
        <f>SUMIFS(SALE!$M$6:$M$10000,SALE!$A$6:$A$10000,$W$2,SALE!$E$6:$E$10000,$B$11,SALE!$I$6:$I$10000,'RATEWISE SALE &amp; PURCHASE'!$B$12:$B$15)</f>
        <v>0</v>
      </c>
      <c r="Z15" s="152">
        <f t="shared" si="38"/>
        <v>0</v>
      </c>
      <c r="AA15" s="150">
        <f>SUMIFS(SALE!$K$6:$K$10000,SALE!$A$6:$A$10000,$AA$2,SALE!$E$6:$E$10000,$B$11,SALE!$I$6:$I$10000,'RATEWISE SALE &amp; PURCHASE'!$B$12:$B$15)</f>
        <v>0</v>
      </c>
      <c r="AB15" s="151">
        <f>SUMIFS(SALE!$L$6:$L$10000,SALE!$A$6:$A$10000,$AA$2,SALE!$E$6:$E$10000,$B$11,SALE!$I$6:$I$10000,'RATEWISE SALE &amp; PURCHASE'!$B$12:$B$15)</f>
        <v>0</v>
      </c>
      <c r="AC15" s="151">
        <f>SUMIFS(SALE!$M$6:$M$10000,SALE!$A$6:$A$10000,$AA$2,SALE!$E$6:$E$10000,$B$11,SALE!$I$6:$I$10000,'RATEWISE SALE &amp; PURCHASE'!$B$12:$B$15)</f>
        <v>0</v>
      </c>
      <c r="AD15" s="152">
        <f t="shared" si="39"/>
        <v>0</v>
      </c>
      <c r="AE15" s="150">
        <f>SUMIFS(SALE!$K$6:$K$10000,SALE!$A$6:$A$10000,$AE$2,SALE!$E$6:$E$10000,$B$11,SALE!$I$6:$I$10000,'RATEWISE SALE &amp; PURCHASE'!$B$12:$B$15)</f>
        <v>0</v>
      </c>
      <c r="AF15" s="151">
        <f>SUMIFS(SALE!$L$6:$L$10000,SALE!$A$6:$A$10000,$AE$2,SALE!$E$6:$E$10000,$B$11,SALE!$I$6:$I$10000,'RATEWISE SALE &amp; PURCHASE'!$B$12:$B$15)</f>
        <v>0</v>
      </c>
      <c r="AG15" s="151">
        <f>SUMIFS(SALE!$M$6:$M$10000,SALE!$A$6:$A$10000,$AE$2,SALE!$E$6:$E$10000,$B$11,SALE!$I$6:$I$10000,'RATEWISE SALE &amp; PURCHASE'!$B$12:$B$15)</f>
        <v>0</v>
      </c>
      <c r="AH15" s="152">
        <f t="shared" si="40"/>
        <v>0</v>
      </c>
      <c r="AI15" s="150">
        <f>SUMIFS(SALE!$K$6:$K$10000,SALE!$A$6:$A$10000,$AI$2,SALE!$E$6:$E$10000,$B$11,SALE!$I$6:$I$10000,'RATEWISE SALE &amp; PURCHASE'!$B$12:$B$15)</f>
        <v>0</v>
      </c>
      <c r="AJ15" s="151">
        <f>SUMIFS(SALE!$L$6:$L$10000,SALE!$A$6:$A$10000,$AI$2,SALE!$E$6:$E$10000,$B$11,SALE!$I$6:$I$10000,'RATEWISE SALE &amp; PURCHASE'!$B$12:$B$15)</f>
        <v>0</v>
      </c>
      <c r="AK15" s="151">
        <f>SUMIFS(SALE!$M$6:$M$10000,SALE!$A$6:$A$10000,$AI$2,SALE!$E$6:$E$10000,$B$11,SALE!$I$6:$I$10000,'RATEWISE SALE &amp; PURCHASE'!$B$12:$B$15)</f>
        <v>0</v>
      </c>
      <c r="AL15" s="152">
        <f t="shared" si="41"/>
        <v>0</v>
      </c>
      <c r="AM15" s="150">
        <f>SUMIFS(SALE!$K$6:$K$10000,SALE!$A$6:$A$10000,$AM$2,SALE!$E$6:$E$10000,$B$11,SALE!$I$6:$I$10000,'RATEWISE SALE &amp; PURCHASE'!$B$12:$B$15)</f>
        <v>0</v>
      </c>
      <c r="AN15" s="151">
        <f>SUMIFS(SALE!$L$6:$L$10000,SALE!$A$6:$A$10000,$AM$2,SALE!$E$6:$E$10000,$B$11,SALE!$I$6:$I$10000,'RATEWISE SALE &amp; PURCHASE'!$B$12:$B$15)</f>
        <v>0</v>
      </c>
      <c r="AO15" s="151">
        <f>SUMIFS(SALE!$M$6:$M$10000,SALE!$A$6:$A$10000,$AM$2,SALE!$E$6:$E$10000,$B$11,SALE!$I$6:$I$10000,'RATEWISE SALE &amp; PURCHASE'!$B$12:$B$15)</f>
        <v>0</v>
      </c>
      <c r="AP15" s="152">
        <f t="shared" si="42"/>
        <v>0</v>
      </c>
      <c r="AQ15" s="150">
        <f>SUMIFS(SALE!$K$6:$K$10000,SALE!$A$6:$A$10000,$AQ$2,SALE!$E$6:$E$10000,$B$11,SALE!$I$6:$I$10000,'RATEWISE SALE &amp; PURCHASE'!$B$12:$B$15)</f>
        <v>0</v>
      </c>
      <c r="AR15" s="151">
        <f>SUMIFS(SALE!$L$6:$L$10000,SALE!$A$6:$A$10000,$AQ$2,SALE!$E$6:$E$10000,$B$11,SALE!$I$6:$I$10000,'RATEWISE SALE &amp; PURCHASE'!$B$12:$B$15)</f>
        <v>0</v>
      </c>
      <c r="AS15" s="151">
        <f>SUMIFS(SALE!$M$6:$M$10000,SALE!$A$6:$A$10000,$AQ$2,SALE!$E$6:$E$10000,$B$11,SALE!$I$6:$I$10000,'RATEWISE SALE &amp; PURCHASE'!$B$12:$B$15)</f>
        <v>0</v>
      </c>
      <c r="AT15" s="152">
        <f t="shared" si="43"/>
        <v>0</v>
      </c>
      <c r="AU15" s="150">
        <f>SUMIFS(SALE!$K$6:$K$10000,SALE!$A$6:$A$10000,$AU$2,SALE!$E$6:$E$10000,$B$11,SALE!$I$6:$I$10000,'RATEWISE SALE &amp; PURCHASE'!$B$12:$B$15)</f>
        <v>0</v>
      </c>
      <c r="AV15" s="151">
        <f>SUMIFS(SALE!$L$6:$L$10000,SALE!$A$6:$A$10000,$AU$2,SALE!$E$6:$E$10000,$B$11,SALE!$I$6:$I$10000,'RATEWISE SALE &amp; PURCHASE'!$B$12:$B$15)</f>
        <v>0</v>
      </c>
      <c r="AW15" s="151">
        <f>SUMIFS(SALE!$M$6:$M$10000,SALE!$A$6:$A$10000,$AU$2,SALE!$E$6:$E$10000,$B$11,SALE!$I$6:$I$10000,'RATEWISE SALE &amp; PURCHASE'!$B$12:$B$15)</f>
        <v>0</v>
      </c>
      <c r="AX15" s="152">
        <f t="shared" si="44"/>
        <v>0</v>
      </c>
      <c r="AY15" s="150">
        <f t="shared" si="29"/>
        <v>588499.05000000005</v>
      </c>
      <c r="AZ15" s="151">
        <f t="shared" si="30"/>
        <v>0</v>
      </c>
      <c r="BA15" s="151">
        <f t="shared" si="31"/>
        <v>82389.867000000013</v>
      </c>
      <c r="BB15" s="152">
        <f t="shared" si="32"/>
        <v>82389.867000000013</v>
      </c>
    </row>
    <row r="16" spans="1:54" x14ac:dyDescent="0.2">
      <c r="A16" s="167" t="s">
        <v>1045</v>
      </c>
      <c r="B16" s="158"/>
      <c r="C16" s="159">
        <f>SUM(C12:C15)</f>
        <v>0</v>
      </c>
      <c r="D16" s="160">
        <f t="shared" ref="D16:F16" si="45">SUM(D12:D15)</f>
        <v>0</v>
      </c>
      <c r="E16" s="160">
        <f t="shared" si="45"/>
        <v>0</v>
      </c>
      <c r="F16" s="161">
        <f t="shared" si="45"/>
        <v>0</v>
      </c>
      <c r="G16" s="159">
        <f>SUM(G12:G15)</f>
        <v>0</v>
      </c>
      <c r="H16" s="160">
        <f t="shared" ref="H16:J16" si="46">SUM(H12:H15)</f>
        <v>0</v>
      </c>
      <c r="I16" s="160">
        <f t="shared" si="46"/>
        <v>0</v>
      </c>
      <c r="J16" s="161">
        <f t="shared" si="46"/>
        <v>0</v>
      </c>
      <c r="K16" s="159">
        <f>SUM(K12:K15)</f>
        <v>563420.05000000005</v>
      </c>
      <c r="L16" s="160">
        <f t="shared" ref="L16:N16" si="47">SUM(L12:L15)</f>
        <v>0</v>
      </c>
      <c r="M16" s="160">
        <f t="shared" si="47"/>
        <v>78878.807000000015</v>
      </c>
      <c r="N16" s="161">
        <f t="shared" si="47"/>
        <v>78878.807000000015</v>
      </c>
      <c r="O16" s="159">
        <f>SUM(O12:O15)</f>
        <v>25079</v>
      </c>
      <c r="P16" s="160">
        <f t="shared" ref="P16:R16" si="48">SUM(P12:P15)</f>
        <v>0</v>
      </c>
      <c r="Q16" s="160">
        <f t="shared" si="48"/>
        <v>3511.06</v>
      </c>
      <c r="R16" s="161">
        <f t="shared" si="48"/>
        <v>3511.06</v>
      </c>
      <c r="S16" s="159">
        <f>SUM(S12:S15)</f>
        <v>0</v>
      </c>
      <c r="T16" s="160">
        <f t="shared" ref="T16:V16" si="49">SUM(T12:T15)</f>
        <v>0</v>
      </c>
      <c r="U16" s="160">
        <f t="shared" si="49"/>
        <v>0</v>
      </c>
      <c r="V16" s="161">
        <f t="shared" si="49"/>
        <v>0</v>
      </c>
      <c r="W16" s="159">
        <f>SUM(W12:W15)</f>
        <v>0</v>
      </c>
      <c r="X16" s="160">
        <f t="shared" ref="X16:Z16" si="50">SUM(X12:X15)</f>
        <v>0</v>
      </c>
      <c r="Y16" s="160">
        <f t="shared" si="50"/>
        <v>0</v>
      </c>
      <c r="Z16" s="161">
        <f t="shared" si="50"/>
        <v>0</v>
      </c>
      <c r="AA16" s="159">
        <f>SUM(AA12:AA15)</f>
        <v>0</v>
      </c>
      <c r="AB16" s="160">
        <f t="shared" ref="AB16:AD16" si="51">SUM(AB12:AB15)</f>
        <v>0</v>
      </c>
      <c r="AC16" s="160">
        <f t="shared" si="51"/>
        <v>0</v>
      </c>
      <c r="AD16" s="161">
        <f t="shared" si="51"/>
        <v>0</v>
      </c>
      <c r="AE16" s="159">
        <f>SUM(AE12:AE15)</f>
        <v>0</v>
      </c>
      <c r="AF16" s="160">
        <f t="shared" ref="AF16:AH16" si="52">SUM(AF12:AF15)</f>
        <v>0</v>
      </c>
      <c r="AG16" s="160">
        <f t="shared" si="52"/>
        <v>0</v>
      </c>
      <c r="AH16" s="161">
        <f t="shared" si="52"/>
        <v>0</v>
      </c>
      <c r="AI16" s="159">
        <f>SUM(AI12:AI15)</f>
        <v>0</v>
      </c>
      <c r="AJ16" s="160">
        <f t="shared" ref="AJ16:AL16" si="53">SUM(AJ12:AJ15)</f>
        <v>0</v>
      </c>
      <c r="AK16" s="160">
        <f t="shared" si="53"/>
        <v>0</v>
      </c>
      <c r="AL16" s="161">
        <f t="shared" si="53"/>
        <v>0</v>
      </c>
      <c r="AM16" s="159">
        <f>SUM(AM12:AM15)</f>
        <v>0</v>
      </c>
      <c r="AN16" s="160">
        <f t="shared" ref="AN16:AP16" si="54">SUM(AN12:AN15)</f>
        <v>0</v>
      </c>
      <c r="AO16" s="160">
        <f t="shared" si="54"/>
        <v>0</v>
      </c>
      <c r="AP16" s="161">
        <f t="shared" si="54"/>
        <v>0</v>
      </c>
      <c r="AQ16" s="159">
        <f>SUM(AQ12:AQ15)</f>
        <v>0</v>
      </c>
      <c r="AR16" s="160">
        <f t="shared" ref="AR16:AT16" si="55">SUM(AR12:AR15)</f>
        <v>0</v>
      </c>
      <c r="AS16" s="160">
        <f t="shared" si="55"/>
        <v>0</v>
      </c>
      <c r="AT16" s="161">
        <f t="shared" si="55"/>
        <v>0</v>
      </c>
      <c r="AU16" s="159">
        <f>SUM(AU12:AU15)</f>
        <v>0</v>
      </c>
      <c r="AV16" s="160">
        <f t="shared" ref="AV16:AX16" si="56">SUM(AV12:AV15)</f>
        <v>0</v>
      </c>
      <c r="AW16" s="160">
        <f t="shared" si="56"/>
        <v>0</v>
      </c>
      <c r="AX16" s="161">
        <f t="shared" si="56"/>
        <v>0</v>
      </c>
      <c r="AY16" s="159">
        <f t="shared" si="29"/>
        <v>588499.05000000005</v>
      </c>
      <c r="AZ16" s="160">
        <f t="shared" si="30"/>
        <v>0</v>
      </c>
      <c r="BA16" s="160">
        <f t="shared" si="31"/>
        <v>82389.867000000013</v>
      </c>
      <c r="BB16" s="161">
        <f t="shared" si="32"/>
        <v>82389.867000000013</v>
      </c>
    </row>
    <row r="17" spans="1:54" s="154" customFormat="1" x14ac:dyDescent="0.2">
      <c r="A17" s="155"/>
      <c r="B17" s="156"/>
      <c r="C17" s="150"/>
      <c r="D17" s="151"/>
      <c r="E17" s="151"/>
      <c r="F17" s="152"/>
      <c r="G17" s="150"/>
      <c r="H17" s="151"/>
      <c r="I17" s="151"/>
      <c r="J17" s="152"/>
      <c r="K17" s="150"/>
      <c r="L17" s="151"/>
      <c r="M17" s="151"/>
      <c r="N17" s="152"/>
      <c r="O17" s="150"/>
      <c r="P17" s="151"/>
      <c r="Q17" s="151"/>
      <c r="R17" s="152"/>
      <c r="S17" s="150"/>
      <c r="T17" s="151"/>
      <c r="U17" s="151"/>
      <c r="V17" s="152"/>
      <c r="W17" s="150"/>
      <c r="X17" s="151"/>
      <c r="Y17" s="151"/>
      <c r="Z17" s="152"/>
      <c r="AA17" s="150"/>
      <c r="AB17" s="151"/>
      <c r="AC17" s="151"/>
      <c r="AD17" s="152"/>
      <c r="AE17" s="150"/>
      <c r="AF17" s="151"/>
      <c r="AG17" s="151"/>
      <c r="AH17" s="152"/>
      <c r="AI17" s="150"/>
      <c r="AJ17" s="151"/>
      <c r="AK17" s="151"/>
      <c r="AL17" s="152"/>
      <c r="AM17" s="150"/>
      <c r="AN17" s="151"/>
      <c r="AO17" s="151"/>
      <c r="AP17" s="152"/>
      <c r="AQ17" s="150"/>
      <c r="AR17" s="151"/>
      <c r="AS17" s="151"/>
      <c r="AT17" s="152"/>
      <c r="AU17" s="150"/>
      <c r="AV17" s="151"/>
      <c r="AW17" s="151"/>
      <c r="AX17" s="152"/>
      <c r="AY17" s="150"/>
      <c r="AZ17" s="151"/>
      <c r="BA17" s="151"/>
      <c r="BB17" s="152"/>
    </row>
    <row r="18" spans="1:54" s="154" customFormat="1" x14ac:dyDescent="0.2">
      <c r="A18" s="163" t="s">
        <v>220</v>
      </c>
      <c r="B18" s="74" t="s">
        <v>220</v>
      </c>
      <c r="C18" s="164"/>
      <c r="D18" s="165"/>
      <c r="E18" s="165"/>
      <c r="F18" s="166"/>
      <c r="G18" s="164"/>
      <c r="H18" s="165"/>
      <c r="I18" s="165"/>
      <c r="J18" s="166"/>
      <c r="K18" s="164"/>
      <c r="L18" s="165"/>
      <c r="M18" s="165"/>
      <c r="N18" s="166"/>
      <c r="O18" s="164"/>
      <c r="P18" s="165"/>
      <c r="Q18" s="165"/>
      <c r="R18" s="166"/>
      <c r="S18" s="164"/>
      <c r="T18" s="165"/>
      <c r="U18" s="165"/>
      <c r="V18" s="166"/>
      <c r="W18" s="164"/>
      <c r="X18" s="165"/>
      <c r="Y18" s="165"/>
      <c r="Z18" s="166"/>
      <c r="AA18" s="164"/>
      <c r="AB18" s="165"/>
      <c r="AC18" s="165"/>
      <c r="AD18" s="166"/>
      <c r="AE18" s="164"/>
      <c r="AF18" s="165"/>
      <c r="AG18" s="165"/>
      <c r="AH18" s="166"/>
      <c r="AI18" s="164"/>
      <c r="AJ18" s="165"/>
      <c r="AK18" s="165"/>
      <c r="AL18" s="166"/>
      <c r="AM18" s="164"/>
      <c r="AN18" s="165"/>
      <c r="AO18" s="165"/>
      <c r="AP18" s="166"/>
      <c r="AQ18" s="164"/>
      <c r="AR18" s="165"/>
      <c r="AS18" s="165"/>
      <c r="AT18" s="166"/>
      <c r="AU18" s="164"/>
      <c r="AV18" s="165"/>
      <c r="AW18" s="165"/>
      <c r="AX18" s="166"/>
      <c r="AY18" s="164"/>
      <c r="AZ18" s="165"/>
      <c r="BA18" s="165"/>
      <c r="BB18" s="166"/>
    </row>
    <row r="19" spans="1:54" s="154" customFormat="1" x14ac:dyDescent="0.2">
      <c r="A19" s="155" t="s">
        <v>2548</v>
      </c>
      <c r="B19" s="156">
        <v>5</v>
      </c>
      <c r="C19" s="150">
        <f>SUMIFS(SALE!$K$6:$K$10000,SALE!$A$6:$A$10000,$C$2,SALE!$E$6:$E$10000,$B$18,SALE!$I$6:$I$10000,'RATEWISE SALE &amp; PURCHASE'!$B$19:$B$22)</f>
        <v>0</v>
      </c>
      <c r="D19" s="151">
        <f>SUMIFS(SALE!$L$6:$L$10000,SALE!$A$6:$A$10000,$C$2,SALE!$E$6:$E$10000,$B$18,SALE!$I$6:$I$10000,'RATEWISE SALE &amp; PURCHASE'!$B$19:$B$22)</f>
        <v>0</v>
      </c>
      <c r="E19" s="151">
        <f>SUMIFS(SALE!$M$6:$M$10000,SALE!$A$6:$A$10000,$C$2,SALE!$E$6:$E$10000,$B$18,SALE!$I$6:$I$10000,'RATEWISE SALE &amp; PURCHASE'!$B$19:$B$22)</f>
        <v>0</v>
      </c>
      <c r="F19" s="152">
        <f>+E19</f>
        <v>0</v>
      </c>
      <c r="G19" s="150">
        <f>SUMIFS(SALE!$K$6:$K$10000,SALE!$A$6:$A$10000,$G$2,SALE!$E$6:$E$10000,$B$18,SALE!$I$6:$I$10000,'RATEWISE SALE &amp; PURCHASE'!$B$19:$B$22)</f>
        <v>0</v>
      </c>
      <c r="H19" s="151">
        <f>SUMIFS(SALE!$L$6:$L$10000,SALE!$A$6:$A$10000,$G$2,SALE!$E$6:$E$10000,$B$18,SALE!$I$6:$I$10000,'RATEWISE SALE &amp; PURCHASE'!$B$19:$B$22)</f>
        <v>0</v>
      </c>
      <c r="I19" s="151">
        <f>SUMIFS(SALE!$M$6:$M$10000,SALE!$A$6:$A$10000,$G$2,SALE!$E$6:$E$10000,$B$18,SALE!$I$6:$I$10000,'RATEWISE SALE &amp; PURCHASE'!$B$19:$B$22)</f>
        <v>0</v>
      </c>
      <c r="J19" s="152">
        <f>+I19</f>
        <v>0</v>
      </c>
      <c r="K19" s="150">
        <f>SUMIFS(SALE!$K$6:$K$10000,SALE!$A$6:$A$10000,$K$2,SALE!$E$6:$E$10000,$B$18,SALE!$I$6:$I$10000,'RATEWISE SALE &amp; PURCHASE'!$B$19:$B$22)</f>
        <v>0</v>
      </c>
      <c r="L19" s="151">
        <f>SUMIFS(SALE!$L$6:$L$10000,SALE!$A$6:$A$10000,$K$2,SALE!$E$6:$E$10000,$B$18,SALE!$I$6:$I$10000,'RATEWISE SALE &amp; PURCHASE'!$B$19:$B$22)</f>
        <v>0</v>
      </c>
      <c r="M19" s="151">
        <f>SUMIFS(SALE!$M$6:$M$10000,SALE!$A$6:$A$10000,$K$2,SALE!$E$6:$E$10000,$B$18,SALE!$I$6:$I$10000,'RATEWISE SALE &amp; PURCHASE'!$B$19:$B$22)</f>
        <v>0</v>
      </c>
      <c r="N19" s="152">
        <f>+M19</f>
        <v>0</v>
      </c>
      <c r="O19" s="150">
        <f>SUMIFS(SALE!$K$6:$K$10000,SALE!$A$6:$A$10000,$O$2,SALE!$E$6:$E$10000,$B$18,SALE!$I$6:$I$10000,'RATEWISE SALE &amp; PURCHASE'!$B$19:$B$22)</f>
        <v>0</v>
      </c>
      <c r="P19" s="151">
        <f>SUMIFS(SALE!$L$6:$L$10000,SALE!$A$6:$A$10000,$O$2,SALE!$E$6:$E$10000,$B$18,SALE!$I$6:$I$10000,'RATEWISE SALE &amp; PURCHASE'!$B$19:$B$22)</f>
        <v>0</v>
      </c>
      <c r="Q19" s="151">
        <f>SUMIFS(SALE!$M$6:$M$10000,SALE!$A$6:$A$10000,$O$2,SALE!$E$6:$E$10000,$B$18,SALE!$I$6:$I$10000,'RATEWISE SALE &amp; PURCHASE'!$B$19:$B$22)</f>
        <v>0</v>
      </c>
      <c r="R19" s="152">
        <f>+Q19</f>
        <v>0</v>
      </c>
      <c r="S19" s="150">
        <f>SUMIFS(SALE!$K$6:$K$10000,SALE!$A$6:$A$10000,$S$2,SALE!$E$6:$E$10000,$B$18,SALE!$I$6:$I$10000,'RATEWISE SALE &amp; PURCHASE'!$B$19:$B$22)</f>
        <v>0</v>
      </c>
      <c r="T19" s="151">
        <f>SUMIFS(SALE!$L$6:$L$10000,SALE!$A$6:$A$10000,$S$2,SALE!$E$6:$E$10000,$B$18,SALE!$I$6:$I$10000,'RATEWISE SALE &amp; PURCHASE'!$B$19:$B$22)</f>
        <v>0</v>
      </c>
      <c r="U19" s="151">
        <f>SUMIFS(SALE!$M$6:$M$10000,SALE!$A$6:$A$10000,$S$2,SALE!$E$6:$E$10000,$B$18,SALE!$I$6:$I$10000,'RATEWISE SALE &amp; PURCHASE'!$B$19:$B$22)</f>
        <v>0</v>
      </c>
      <c r="V19" s="152">
        <f>+U19</f>
        <v>0</v>
      </c>
      <c r="W19" s="150">
        <f>SUMIFS(SALE!$K$6:$K$10000,SALE!$A$6:$A$10000,$W$2,SALE!$E$6:$E$10000,$B$18,SALE!$I$6:$I$10000,'RATEWISE SALE &amp; PURCHASE'!$B$19:$B$22)</f>
        <v>0</v>
      </c>
      <c r="X19" s="151">
        <f>SUMIFS(SALE!$L$6:$L$10000,SALE!$A$6:$A$10000,$W$2,SALE!$E$6:$E$10000,$B$18,SALE!$I$6:$I$10000,'RATEWISE SALE &amp; PURCHASE'!$B$19:$B$22)</f>
        <v>0</v>
      </c>
      <c r="Y19" s="151">
        <f>SUMIFS(SALE!$M$6:$M$10000,SALE!$A$6:$A$10000,$W$2,SALE!$E$6:$E$10000,$B$18,SALE!$I$6:$I$10000,'RATEWISE SALE &amp; PURCHASE'!$B$19:$B$22)</f>
        <v>0</v>
      </c>
      <c r="Z19" s="152">
        <f>+Y19</f>
        <v>0</v>
      </c>
      <c r="AA19" s="150">
        <f>SUMIFS(SALE!$K$6:$K$10000,SALE!$A$6:$A$10000,$AA$2,SALE!$E$6:$E$10000,$B$18,SALE!$I$6:$I$10000,'RATEWISE SALE &amp; PURCHASE'!$B$19:$B$22)</f>
        <v>0</v>
      </c>
      <c r="AB19" s="151">
        <f>SUMIFS(SALE!$L$6:$L$10000,SALE!$A$6:$A$10000,$AA$2,SALE!$E$6:$E$10000,$B$18,SALE!$I$6:$I$10000,'RATEWISE SALE &amp; PURCHASE'!$B$19:$B$22)</f>
        <v>0</v>
      </c>
      <c r="AC19" s="151">
        <f>SUMIFS(SALE!$M$6:$M$10000,SALE!$A$6:$A$10000,$AA$2,SALE!$E$6:$E$10000,$B$18,SALE!$I$6:$I$10000,'RATEWISE SALE &amp; PURCHASE'!$B$19:$B$22)</f>
        <v>0</v>
      </c>
      <c r="AD19" s="152">
        <f>+AC19</f>
        <v>0</v>
      </c>
      <c r="AE19" s="150">
        <f>SUMIFS(SALE!$K$6:$K$10000,SALE!$A$6:$A$10000,$AE$2,SALE!$E$6:$E$10000,$B$18,SALE!$I$6:$I$10000,'RATEWISE SALE &amp; PURCHASE'!$B$19:$B$22)</f>
        <v>0</v>
      </c>
      <c r="AF19" s="151">
        <f>SUMIFS(SALE!$L$6:$L$10000,SALE!$A$6:$A$10000,$AE$2,SALE!$E$6:$E$10000,$B$18,SALE!$I$6:$I$10000,'RATEWISE SALE &amp; PURCHASE'!$B$19:$B$22)</f>
        <v>0</v>
      </c>
      <c r="AG19" s="151">
        <f>SUMIFS(SALE!$M$6:$M$10000,SALE!$A$6:$A$10000,$AE$2,SALE!$E$6:$E$10000,$B$18,SALE!$I$6:$I$10000,'RATEWISE SALE &amp; PURCHASE'!$B$19:$B$22)</f>
        <v>0</v>
      </c>
      <c r="AH19" s="152">
        <f>+AG19</f>
        <v>0</v>
      </c>
      <c r="AI19" s="150">
        <f>SUMIFS(SALE!$K$6:$K$10000,SALE!$A$6:$A$10000,$AI$2,SALE!$E$6:$E$10000,$B$18,SALE!$I$6:$I$10000,'RATEWISE SALE &amp; PURCHASE'!$B$19:$B$22)</f>
        <v>0</v>
      </c>
      <c r="AJ19" s="151">
        <f>SUMIFS(SALE!$L$6:$L$10000,SALE!$A$6:$A$10000,$AI$2,SALE!$E$6:$E$10000,$B$18,SALE!$I$6:$I$10000,'RATEWISE SALE &amp; PURCHASE'!$B$19:$B$22)</f>
        <v>0</v>
      </c>
      <c r="AK19" s="151">
        <f>SUMIFS(SALE!$M$6:$M$10000,SALE!$A$6:$A$10000,$AI$2,SALE!$E$6:$E$10000,$B$18,SALE!$I$6:$I$10000,'RATEWISE SALE &amp; PURCHASE'!$B$19:$B$22)</f>
        <v>0</v>
      </c>
      <c r="AL19" s="152">
        <f>+AK19</f>
        <v>0</v>
      </c>
      <c r="AM19" s="150">
        <f>SUMIFS(SALE!$K$6:$K$10000,SALE!$A$6:$A$10000,$AM$2,SALE!$E$6:$E$10000,$B$18,SALE!$I$6:$I$10000,'RATEWISE SALE &amp; PURCHASE'!$B$19:$B$22)</f>
        <v>0</v>
      </c>
      <c r="AN19" s="151">
        <f>SUMIFS(SALE!$L$6:$L$10000,SALE!$A$6:$A$10000,$AM$2,SALE!$E$6:$E$10000,$B$18,SALE!$I$6:$I$10000,'RATEWISE SALE &amp; PURCHASE'!$B$19:$B$22)</f>
        <v>0</v>
      </c>
      <c r="AO19" s="151">
        <f>SUMIFS(SALE!$M$6:$M$10000,SALE!$A$6:$A$10000,$AM$2,SALE!$E$6:$E$10000,$B$18,SALE!$I$6:$I$10000,'RATEWISE SALE &amp; PURCHASE'!$B$19:$B$22)</f>
        <v>0</v>
      </c>
      <c r="AP19" s="152">
        <f>+AO19</f>
        <v>0</v>
      </c>
      <c r="AQ19" s="150">
        <f>SUMIFS(SALE!$K$6:$K$10000,SALE!$A$6:$A$10000,$AQ$2,SALE!$E$6:$E$10000,$B$18,SALE!$I$6:$I$10000,'RATEWISE SALE &amp; PURCHASE'!$B$19:$B$22)</f>
        <v>0</v>
      </c>
      <c r="AR19" s="151">
        <f>SUMIFS(SALE!$L$6:$L$10000,SALE!$A$6:$A$10000,$AQ$2,SALE!$E$6:$E$10000,$B$18,SALE!$I$6:$I$10000,'RATEWISE SALE &amp; PURCHASE'!$B$19:$B$22)</f>
        <v>0</v>
      </c>
      <c r="AS19" s="151">
        <f>SUMIFS(SALE!$M$6:$M$10000,SALE!$A$6:$A$10000,$AQ$2,SALE!$E$6:$E$10000,$B$18,SALE!$I$6:$I$10000,'RATEWISE SALE &amp; PURCHASE'!$B$19:$B$22)</f>
        <v>0</v>
      </c>
      <c r="AT19" s="152">
        <f>+AS19</f>
        <v>0</v>
      </c>
      <c r="AU19" s="150">
        <f>SUMIFS(SALE!$K$6:$K$10000,SALE!$A$6:$A$10000,$AU$2,SALE!$E$6:$E$10000,$B$18,SALE!$I$6:$I$10000,'RATEWISE SALE &amp; PURCHASE'!$B$19:$B$22)</f>
        <v>0</v>
      </c>
      <c r="AV19" s="151">
        <f>SUMIFS(SALE!$L$6:$L$10000,SALE!$A$6:$A$10000,$AU$2,SALE!$E$6:$E$10000,$B$18,SALE!$I$6:$I$10000,'RATEWISE SALE &amp; PURCHASE'!$B$19:$B$22)</f>
        <v>0</v>
      </c>
      <c r="AW19" s="151">
        <f>SUMIFS(SALE!$M$6:$M$10000,SALE!$A$6:$A$10000,$AU$2,SALE!$E$6:$E$10000,$B$18,SALE!$I$6:$I$10000,'RATEWISE SALE &amp; PURCHASE'!$B$19:$B$22)</f>
        <v>0</v>
      </c>
      <c r="AX19" s="152">
        <f>+AW19</f>
        <v>0</v>
      </c>
      <c r="AY19" s="150">
        <f t="shared" ref="AY19:AY23" si="57">+C19+G19+K19+O19+S19+W19+AA19+AE19+AI19+AM19+AQ19+AU19</f>
        <v>0</v>
      </c>
      <c r="AZ19" s="151">
        <f t="shared" ref="AZ19:AZ23" si="58">+D19+H19+L19+P19+T19+X19+AB19+AF19+AJ19+AN19+AR19+AV19</f>
        <v>0</v>
      </c>
      <c r="BA19" s="151">
        <f t="shared" ref="BA19:BA23" si="59">+E19+I19+M19+Q19+U19+Y19+AC19+AG19+AK19+AO19+AS19+AW19</f>
        <v>0</v>
      </c>
      <c r="BB19" s="152">
        <f t="shared" ref="BB19:BB23" si="60">+F19+J19+N19+R19+V19+Z19+AD19+AH19+AL19+AP19+AT19+AX19</f>
        <v>0</v>
      </c>
    </row>
    <row r="20" spans="1:54" s="154" customFormat="1" x14ac:dyDescent="0.2">
      <c r="A20" s="155" t="s">
        <v>2549</v>
      </c>
      <c r="B20" s="156">
        <v>12</v>
      </c>
      <c r="C20" s="150">
        <f>SUMIFS(SALE!$K$6:$K$10000,SALE!$A$6:$A$10000,$C$2,SALE!$E$6:$E$10000,$B$18,SALE!$I$6:$I$10000,'RATEWISE SALE &amp; PURCHASE'!$B$19:$B$22)</f>
        <v>0</v>
      </c>
      <c r="D20" s="151">
        <f>SUMIFS(SALE!$L$6:$L$10000,SALE!$A$6:$A$10000,$C$2,SALE!$E$6:$E$10000,$B$18,SALE!$I$6:$I$10000,'RATEWISE SALE &amp; PURCHASE'!$B$19:$B$22)</f>
        <v>0</v>
      </c>
      <c r="E20" s="151">
        <f>SUMIFS(SALE!$M$6:$M$10000,SALE!$A$6:$A$10000,$C$2,SALE!$E$6:$E$10000,$B$18,SALE!$I$6:$I$10000,'RATEWISE SALE &amp; PURCHASE'!$B$19:$B$22)</f>
        <v>0</v>
      </c>
      <c r="F20" s="152">
        <v>0</v>
      </c>
      <c r="G20" s="150">
        <f>SUMIFS(SALE!$K$6:$K$10000,SALE!$A$6:$A$10000,$G$2,SALE!$E$6:$E$10000,$B$18,SALE!$I$6:$I$10000,'RATEWISE SALE &amp; PURCHASE'!$B$19:$B$22)</f>
        <v>0</v>
      </c>
      <c r="H20" s="151">
        <f>SUMIFS(SALE!$L$6:$L$10000,SALE!$A$6:$A$10000,$G$2,SALE!$E$6:$E$10000,$B$18,SALE!$I$6:$I$10000,'RATEWISE SALE &amp; PURCHASE'!$B$19:$B$22)</f>
        <v>0</v>
      </c>
      <c r="I20" s="151">
        <f>SUMIFS(SALE!$M$6:$M$10000,SALE!$A$6:$A$10000,$G$2,SALE!$E$6:$E$10000,$B$18,SALE!$I$6:$I$10000,'RATEWISE SALE &amp; PURCHASE'!$B$19:$B$22)</f>
        <v>0</v>
      </c>
      <c r="J20" s="152">
        <v>0</v>
      </c>
      <c r="K20" s="150">
        <f>SUMIFS(SALE!$K$6:$K$10000,SALE!$A$6:$A$10000,$K$2,SALE!$E$6:$E$10000,$B$18,SALE!$I$6:$I$10000,'RATEWISE SALE &amp; PURCHASE'!$B$19:$B$22)</f>
        <v>0</v>
      </c>
      <c r="L20" s="151">
        <f>SUMIFS(SALE!$L$6:$L$10000,SALE!$A$6:$A$10000,$K$2,SALE!$E$6:$E$10000,$B$18,SALE!$I$6:$I$10000,'RATEWISE SALE &amp; PURCHASE'!$B$19:$B$22)</f>
        <v>0</v>
      </c>
      <c r="M20" s="151">
        <f>SUMIFS(SALE!$M$6:$M$10000,SALE!$A$6:$A$10000,$K$2,SALE!$E$6:$E$10000,$B$18,SALE!$I$6:$I$10000,'RATEWISE SALE &amp; PURCHASE'!$B$19:$B$22)</f>
        <v>0</v>
      </c>
      <c r="N20" s="152">
        <v>0</v>
      </c>
      <c r="O20" s="150">
        <f>SUMIFS(SALE!$K$6:$K$10000,SALE!$A$6:$A$10000,$O$2,SALE!$E$6:$E$10000,$B$18,SALE!$I$6:$I$10000,'RATEWISE SALE &amp; PURCHASE'!$B$19:$B$22)</f>
        <v>0</v>
      </c>
      <c r="P20" s="151">
        <f>SUMIFS(SALE!$L$6:$L$10000,SALE!$A$6:$A$10000,$O$2,SALE!$E$6:$E$10000,$B$18,SALE!$I$6:$I$10000,'RATEWISE SALE &amp; PURCHASE'!$B$19:$B$22)</f>
        <v>0</v>
      </c>
      <c r="Q20" s="151">
        <f>SUMIFS(SALE!$M$6:$M$10000,SALE!$A$6:$A$10000,$O$2,SALE!$E$6:$E$10000,$B$18,SALE!$I$6:$I$10000,'RATEWISE SALE &amp; PURCHASE'!$B$19:$B$22)</f>
        <v>0</v>
      </c>
      <c r="R20" s="152">
        <v>0</v>
      </c>
      <c r="S20" s="150">
        <f>SUMIFS(SALE!$K$6:$K$10000,SALE!$A$6:$A$10000,$S$2,SALE!$E$6:$E$10000,$B$18,SALE!$I$6:$I$10000,'RATEWISE SALE &amp; PURCHASE'!$B$19:$B$22)</f>
        <v>0</v>
      </c>
      <c r="T20" s="151">
        <f>SUMIFS(SALE!$L$6:$L$10000,SALE!$A$6:$A$10000,$S$2,SALE!$E$6:$E$10000,$B$18,SALE!$I$6:$I$10000,'RATEWISE SALE &amp; PURCHASE'!$B$19:$B$22)</f>
        <v>0</v>
      </c>
      <c r="U20" s="151">
        <f>SUMIFS(SALE!$M$6:$M$10000,SALE!$A$6:$A$10000,$S$2,SALE!$E$6:$E$10000,$B$18,SALE!$I$6:$I$10000,'RATEWISE SALE &amp; PURCHASE'!$B$19:$B$22)</f>
        <v>0</v>
      </c>
      <c r="V20" s="152">
        <v>0</v>
      </c>
      <c r="W20" s="150">
        <f>SUMIFS(SALE!$K$6:$K$10000,SALE!$A$6:$A$10000,$W$2,SALE!$E$6:$E$10000,$B$18,SALE!$I$6:$I$10000,'RATEWISE SALE &amp; PURCHASE'!$B$19:$B$22)</f>
        <v>0</v>
      </c>
      <c r="X20" s="151">
        <f>SUMIFS(SALE!$L$6:$L$10000,SALE!$A$6:$A$10000,$W$2,SALE!$E$6:$E$10000,$B$18,SALE!$I$6:$I$10000,'RATEWISE SALE &amp; PURCHASE'!$B$19:$B$22)</f>
        <v>0</v>
      </c>
      <c r="Y20" s="151">
        <f>SUMIFS(SALE!$M$6:$M$10000,SALE!$A$6:$A$10000,$W$2,SALE!$E$6:$E$10000,$B$18,SALE!$I$6:$I$10000,'RATEWISE SALE &amp; PURCHASE'!$B$19:$B$22)</f>
        <v>0</v>
      </c>
      <c r="Z20" s="152">
        <v>0</v>
      </c>
      <c r="AA20" s="150">
        <f>SUMIFS(SALE!$K$6:$K$10000,SALE!$A$6:$A$10000,$AA$2,SALE!$E$6:$E$10000,$B$18,SALE!$I$6:$I$10000,'RATEWISE SALE &amp; PURCHASE'!$B$19:$B$22)</f>
        <v>0</v>
      </c>
      <c r="AB20" s="151">
        <f>SUMIFS(SALE!$L$6:$L$10000,SALE!$A$6:$A$10000,$AA$2,SALE!$E$6:$E$10000,$B$18,SALE!$I$6:$I$10000,'RATEWISE SALE &amp; PURCHASE'!$B$19:$B$22)</f>
        <v>0</v>
      </c>
      <c r="AC20" s="151">
        <f>SUMIFS(SALE!$M$6:$M$10000,SALE!$A$6:$A$10000,$AA$2,SALE!$E$6:$E$10000,$B$18,SALE!$I$6:$I$10000,'RATEWISE SALE &amp; PURCHASE'!$B$19:$B$22)</f>
        <v>0</v>
      </c>
      <c r="AD20" s="152">
        <v>0</v>
      </c>
      <c r="AE20" s="150">
        <f>SUMIFS(SALE!$K$6:$K$10000,SALE!$A$6:$A$10000,$AE$2,SALE!$E$6:$E$10000,$B$18,SALE!$I$6:$I$10000,'RATEWISE SALE &amp; PURCHASE'!$B$19:$B$22)</f>
        <v>0</v>
      </c>
      <c r="AF20" s="151">
        <f>SUMIFS(SALE!$L$6:$L$10000,SALE!$A$6:$A$10000,$AE$2,SALE!$E$6:$E$10000,$B$18,SALE!$I$6:$I$10000,'RATEWISE SALE &amp; PURCHASE'!$B$19:$B$22)</f>
        <v>0</v>
      </c>
      <c r="AG20" s="151">
        <f>SUMIFS(SALE!$M$6:$M$10000,SALE!$A$6:$A$10000,$AE$2,SALE!$E$6:$E$10000,$B$18,SALE!$I$6:$I$10000,'RATEWISE SALE &amp; PURCHASE'!$B$19:$B$22)</f>
        <v>0</v>
      </c>
      <c r="AH20" s="152">
        <v>0</v>
      </c>
      <c r="AI20" s="150">
        <f>SUMIFS(SALE!$K$6:$K$10000,SALE!$A$6:$A$10000,$AI$2,SALE!$E$6:$E$10000,$B$18,SALE!$I$6:$I$10000,'RATEWISE SALE &amp; PURCHASE'!$B$19:$B$22)</f>
        <v>0</v>
      </c>
      <c r="AJ20" s="151">
        <f>SUMIFS(SALE!$L$6:$L$10000,SALE!$A$6:$A$10000,$AI$2,SALE!$E$6:$E$10000,$B$18,SALE!$I$6:$I$10000,'RATEWISE SALE &amp; PURCHASE'!$B$19:$B$22)</f>
        <v>0</v>
      </c>
      <c r="AK20" s="151">
        <f>SUMIFS(SALE!$M$6:$M$10000,SALE!$A$6:$A$10000,$AI$2,SALE!$E$6:$E$10000,$B$18,SALE!$I$6:$I$10000,'RATEWISE SALE &amp; PURCHASE'!$B$19:$B$22)</f>
        <v>0</v>
      </c>
      <c r="AL20" s="152">
        <v>0</v>
      </c>
      <c r="AM20" s="150">
        <f>SUMIFS(SALE!$K$6:$K$10000,SALE!$A$6:$A$10000,$AM$2,SALE!$E$6:$E$10000,$B$18,SALE!$I$6:$I$10000,'RATEWISE SALE &amp; PURCHASE'!$B$19:$B$22)</f>
        <v>0</v>
      </c>
      <c r="AN20" s="151">
        <f>SUMIFS(SALE!$L$6:$L$10000,SALE!$A$6:$A$10000,$AM$2,SALE!$E$6:$E$10000,$B$18,SALE!$I$6:$I$10000,'RATEWISE SALE &amp; PURCHASE'!$B$19:$B$22)</f>
        <v>0</v>
      </c>
      <c r="AO20" s="151">
        <f>SUMIFS(SALE!$M$6:$M$10000,SALE!$A$6:$A$10000,$AM$2,SALE!$E$6:$E$10000,$B$18,SALE!$I$6:$I$10000,'RATEWISE SALE &amp; PURCHASE'!$B$19:$B$22)</f>
        <v>0</v>
      </c>
      <c r="AP20" s="152">
        <v>0</v>
      </c>
      <c r="AQ20" s="150">
        <f>SUMIFS(SALE!$K$6:$K$10000,SALE!$A$6:$A$10000,$AQ$2,SALE!$E$6:$E$10000,$B$18,SALE!$I$6:$I$10000,'RATEWISE SALE &amp; PURCHASE'!$B$19:$B$22)</f>
        <v>0</v>
      </c>
      <c r="AR20" s="151">
        <f>SUMIFS(SALE!$L$6:$L$10000,SALE!$A$6:$A$10000,$AQ$2,SALE!$E$6:$E$10000,$B$18,SALE!$I$6:$I$10000,'RATEWISE SALE &amp; PURCHASE'!$B$19:$B$22)</f>
        <v>0</v>
      </c>
      <c r="AS20" s="151">
        <f>SUMIFS(SALE!$M$6:$M$10000,SALE!$A$6:$A$10000,$AQ$2,SALE!$E$6:$E$10000,$B$18,SALE!$I$6:$I$10000,'RATEWISE SALE &amp; PURCHASE'!$B$19:$B$22)</f>
        <v>0</v>
      </c>
      <c r="AT20" s="152">
        <v>0</v>
      </c>
      <c r="AU20" s="150">
        <f>SUMIFS(SALE!$K$6:$K$10000,SALE!$A$6:$A$10000,$AU$2,SALE!$E$6:$E$10000,$B$18,SALE!$I$6:$I$10000,'RATEWISE SALE &amp; PURCHASE'!$B$19:$B$22)</f>
        <v>0</v>
      </c>
      <c r="AV20" s="151">
        <f>SUMIFS(SALE!$L$6:$L$10000,SALE!$A$6:$A$10000,$AU$2,SALE!$E$6:$E$10000,$B$18,SALE!$I$6:$I$10000,'RATEWISE SALE &amp; PURCHASE'!$B$19:$B$22)</f>
        <v>0</v>
      </c>
      <c r="AW20" s="151">
        <f>SUMIFS(SALE!$M$6:$M$10000,SALE!$A$6:$A$10000,$AU$2,SALE!$E$6:$E$10000,$B$18,SALE!$I$6:$I$10000,'RATEWISE SALE &amp; PURCHASE'!$B$19:$B$22)</f>
        <v>0</v>
      </c>
      <c r="AX20" s="152">
        <v>0</v>
      </c>
      <c r="AY20" s="150">
        <f t="shared" si="57"/>
        <v>0</v>
      </c>
      <c r="AZ20" s="151">
        <f t="shared" si="58"/>
        <v>0</v>
      </c>
      <c r="BA20" s="151">
        <f t="shared" si="59"/>
        <v>0</v>
      </c>
      <c r="BB20" s="152">
        <f t="shared" si="60"/>
        <v>0</v>
      </c>
    </row>
    <row r="21" spans="1:54" s="154" customFormat="1" x14ac:dyDescent="0.2">
      <c r="A21" s="155" t="s">
        <v>2550</v>
      </c>
      <c r="B21" s="156">
        <v>18</v>
      </c>
      <c r="C21" s="150">
        <f>SUMIFS(SALE!$K$6:$K$10000,SALE!$A$6:$A$10000,$C$2,SALE!$E$6:$E$10000,$B$18,SALE!$I$6:$I$10000,'RATEWISE SALE &amp; PURCHASE'!$B$19:$B$22)</f>
        <v>0</v>
      </c>
      <c r="D21" s="151">
        <f>SUMIFS(SALE!$L$6:$L$10000,SALE!$A$6:$A$10000,$C$2,SALE!$E$6:$E$10000,$B$18,SALE!$I$6:$I$10000,'RATEWISE SALE &amp; PURCHASE'!$B$19:$B$22)</f>
        <v>0</v>
      </c>
      <c r="E21" s="151">
        <f>SUMIFS(SALE!$M$6:$M$10000,SALE!$A$6:$A$10000,$C$2,SALE!$E$6:$E$10000,$B$18,SALE!$I$6:$I$10000,'RATEWISE SALE &amp; PURCHASE'!$B$19:$B$22)</f>
        <v>0</v>
      </c>
      <c r="F21" s="152">
        <v>0</v>
      </c>
      <c r="G21" s="150">
        <f>SUMIFS(SALE!$K$6:$K$10000,SALE!$A$6:$A$10000,$G$2,SALE!$E$6:$E$10000,$B$18,SALE!$I$6:$I$10000,'RATEWISE SALE &amp; PURCHASE'!$B$19:$B$22)</f>
        <v>0</v>
      </c>
      <c r="H21" s="151">
        <f>SUMIFS(SALE!$L$6:$L$10000,SALE!$A$6:$A$10000,$G$2,SALE!$E$6:$E$10000,$B$18,SALE!$I$6:$I$10000,'RATEWISE SALE &amp; PURCHASE'!$B$19:$B$22)</f>
        <v>0</v>
      </c>
      <c r="I21" s="151">
        <f>SUMIFS(SALE!$M$6:$M$10000,SALE!$A$6:$A$10000,$G$2,SALE!$E$6:$E$10000,$B$18,SALE!$I$6:$I$10000,'RATEWISE SALE &amp; PURCHASE'!$B$19:$B$22)</f>
        <v>0</v>
      </c>
      <c r="J21" s="152">
        <v>0</v>
      </c>
      <c r="K21" s="150">
        <f>SUMIFS(SALE!$K$6:$K$10000,SALE!$A$6:$A$10000,$K$2,SALE!$E$6:$E$10000,$B$18,SALE!$I$6:$I$10000,'RATEWISE SALE &amp; PURCHASE'!$B$19:$B$22)</f>
        <v>0</v>
      </c>
      <c r="L21" s="151">
        <f>SUMIFS(SALE!$L$6:$L$10000,SALE!$A$6:$A$10000,$K$2,SALE!$E$6:$E$10000,$B$18,SALE!$I$6:$I$10000,'RATEWISE SALE &amp; PURCHASE'!$B$19:$B$22)</f>
        <v>0</v>
      </c>
      <c r="M21" s="151">
        <f>SUMIFS(SALE!$M$6:$M$10000,SALE!$A$6:$A$10000,$K$2,SALE!$E$6:$E$10000,$B$18,SALE!$I$6:$I$10000,'RATEWISE SALE &amp; PURCHASE'!$B$19:$B$22)</f>
        <v>0</v>
      </c>
      <c r="N21" s="152">
        <v>0</v>
      </c>
      <c r="O21" s="150">
        <f>SUMIFS(SALE!$K$6:$K$10000,SALE!$A$6:$A$10000,$O$2,SALE!$E$6:$E$10000,$B$18,SALE!$I$6:$I$10000,'RATEWISE SALE &amp; PURCHASE'!$B$19:$B$22)</f>
        <v>0</v>
      </c>
      <c r="P21" s="151">
        <f>SUMIFS(SALE!$L$6:$L$10000,SALE!$A$6:$A$10000,$O$2,SALE!$E$6:$E$10000,$B$18,SALE!$I$6:$I$10000,'RATEWISE SALE &amp; PURCHASE'!$B$19:$B$22)</f>
        <v>0</v>
      </c>
      <c r="Q21" s="151">
        <f>SUMIFS(SALE!$M$6:$M$10000,SALE!$A$6:$A$10000,$O$2,SALE!$E$6:$E$10000,$B$18,SALE!$I$6:$I$10000,'RATEWISE SALE &amp; PURCHASE'!$B$19:$B$22)</f>
        <v>0</v>
      </c>
      <c r="R21" s="152">
        <v>0</v>
      </c>
      <c r="S21" s="150">
        <f>SUMIFS(SALE!$K$6:$K$10000,SALE!$A$6:$A$10000,$S$2,SALE!$E$6:$E$10000,$B$18,SALE!$I$6:$I$10000,'RATEWISE SALE &amp; PURCHASE'!$B$19:$B$22)</f>
        <v>0</v>
      </c>
      <c r="T21" s="151">
        <f>SUMIFS(SALE!$L$6:$L$10000,SALE!$A$6:$A$10000,$S$2,SALE!$E$6:$E$10000,$B$18,SALE!$I$6:$I$10000,'RATEWISE SALE &amp; PURCHASE'!$B$19:$B$22)</f>
        <v>0</v>
      </c>
      <c r="U21" s="151">
        <f>SUMIFS(SALE!$M$6:$M$10000,SALE!$A$6:$A$10000,$S$2,SALE!$E$6:$E$10000,$B$18,SALE!$I$6:$I$10000,'RATEWISE SALE &amp; PURCHASE'!$B$19:$B$22)</f>
        <v>0</v>
      </c>
      <c r="V21" s="152">
        <v>0</v>
      </c>
      <c r="W21" s="150">
        <f>SUMIFS(SALE!$K$6:$K$10000,SALE!$A$6:$A$10000,$W$2,SALE!$E$6:$E$10000,$B$18,SALE!$I$6:$I$10000,'RATEWISE SALE &amp; PURCHASE'!$B$19:$B$22)</f>
        <v>-2892</v>
      </c>
      <c r="X21" s="151">
        <f>SUMIFS(SALE!$L$6:$L$10000,SALE!$A$6:$A$10000,$W$2,SALE!$E$6:$E$10000,$B$18,SALE!$I$6:$I$10000,'RATEWISE SALE &amp; PURCHASE'!$B$19:$B$22)</f>
        <v>0</v>
      </c>
      <c r="Y21" s="151">
        <f>SUMIFS(SALE!$M$6:$M$10000,SALE!$A$6:$A$10000,$W$2,SALE!$E$6:$E$10000,$B$18,SALE!$I$6:$I$10000,'RATEWISE SALE &amp; PURCHASE'!$B$19:$B$22)</f>
        <v>-260.28000000000003</v>
      </c>
      <c r="Z21" s="152">
        <v>0</v>
      </c>
      <c r="AA21" s="150">
        <f>SUMIFS(SALE!$K$6:$K$10000,SALE!$A$6:$A$10000,$AA$2,SALE!$E$6:$E$10000,$B$18,SALE!$I$6:$I$10000,'RATEWISE SALE &amp; PURCHASE'!$B$19:$B$22)</f>
        <v>0</v>
      </c>
      <c r="AB21" s="151">
        <f>SUMIFS(SALE!$L$6:$L$10000,SALE!$A$6:$A$10000,$AA$2,SALE!$E$6:$E$10000,$B$18,SALE!$I$6:$I$10000,'RATEWISE SALE &amp; PURCHASE'!$B$19:$B$22)</f>
        <v>0</v>
      </c>
      <c r="AC21" s="151">
        <f>SUMIFS(SALE!$M$6:$M$10000,SALE!$A$6:$A$10000,$AA$2,SALE!$E$6:$E$10000,$B$18,SALE!$I$6:$I$10000,'RATEWISE SALE &amp; PURCHASE'!$B$19:$B$22)</f>
        <v>0</v>
      </c>
      <c r="AD21" s="152">
        <v>0</v>
      </c>
      <c r="AE21" s="150">
        <f>SUMIFS(SALE!$K$6:$K$10000,SALE!$A$6:$A$10000,$AE$2,SALE!$E$6:$E$10000,$B$18,SALE!$I$6:$I$10000,'RATEWISE SALE &amp; PURCHASE'!$B$19:$B$22)</f>
        <v>0</v>
      </c>
      <c r="AF21" s="151">
        <f>SUMIFS(SALE!$L$6:$L$10000,SALE!$A$6:$A$10000,$AE$2,SALE!$E$6:$E$10000,$B$18,SALE!$I$6:$I$10000,'RATEWISE SALE &amp; PURCHASE'!$B$19:$B$22)</f>
        <v>0</v>
      </c>
      <c r="AG21" s="151">
        <f>SUMIFS(SALE!$M$6:$M$10000,SALE!$A$6:$A$10000,$AE$2,SALE!$E$6:$E$10000,$B$18,SALE!$I$6:$I$10000,'RATEWISE SALE &amp; PURCHASE'!$B$19:$B$22)</f>
        <v>0</v>
      </c>
      <c r="AH21" s="152">
        <v>0</v>
      </c>
      <c r="AI21" s="150">
        <f>SUMIFS(SALE!$K$6:$K$10000,SALE!$A$6:$A$10000,$AI$2,SALE!$E$6:$E$10000,$B$18,SALE!$I$6:$I$10000,'RATEWISE SALE &amp; PURCHASE'!$B$19:$B$22)</f>
        <v>0</v>
      </c>
      <c r="AJ21" s="151">
        <f>SUMIFS(SALE!$L$6:$L$10000,SALE!$A$6:$A$10000,$AI$2,SALE!$E$6:$E$10000,$B$18,SALE!$I$6:$I$10000,'RATEWISE SALE &amp; PURCHASE'!$B$19:$B$22)</f>
        <v>0</v>
      </c>
      <c r="AK21" s="151">
        <f>SUMIFS(SALE!$M$6:$M$10000,SALE!$A$6:$A$10000,$AI$2,SALE!$E$6:$E$10000,$B$18,SALE!$I$6:$I$10000,'RATEWISE SALE &amp; PURCHASE'!$B$19:$B$22)</f>
        <v>0</v>
      </c>
      <c r="AL21" s="152">
        <v>0</v>
      </c>
      <c r="AM21" s="150">
        <f>SUMIFS(SALE!$K$6:$K$10000,SALE!$A$6:$A$10000,$AM$2,SALE!$E$6:$E$10000,$B$18,SALE!$I$6:$I$10000,'RATEWISE SALE &amp; PURCHASE'!$B$19:$B$22)</f>
        <v>0</v>
      </c>
      <c r="AN21" s="151">
        <f>SUMIFS(SALE!$L$6:$L$10000,SALE!$A$6:$A$10000,$AM$2,SALE!$E$6:$E$10000,$B$18,SALE!$I$6:$I$10000,'RATEWISE SALE &amp; PURCHASE'!$B$19:$B$22)</f>
        <v>0</v>
      </c>
      <c r="AO21" s="151">
        <f>SUMIFS(SALE!$M$6:$M$10000,SALE!$A$6:$A$10000,$AM$2,SALE!$E$6:$E$10000,$B$18,SALE!$I$6:$I$10000,'RATEWISE SALE &amp; PURCHASE'!$B$19:$B$22)</f>
        <v>0</v>
      </c>
      <c r="AP21" s="152">
        <v>0</v>
      </c>
      <c r="AQ21" s="150">
        <f>SUMIFS(SALE!$K$6:$K$10000,SALE!$A$6:$A$10000,$AQ$2,SALE!$E$6:$E$10000,$B$18,SALE!$I$6:$I$10000,'RATEWISE SALE &amp; PURCHASE'!$B$19:$B$22)</f>
        <v>0</v>
      </c>
      <c r="AR21" s="151">
        <f>SUMIFS(SALE!$L$6:$L$10000,SALE!$A$6:$A$10000,$AQ$2,SALE!$E$6:$E$10000,$B$18,SALE!$I$6:$I$10000,'RATEWISE SALE &amp; PURCHASE'!$B$19:$B$22)</f>
        <v>0</v>
      </c>
      <c r="AS21" s="151">
        <f>SUMIFS(SALE!$M$6:$M$10000,SALE!$A$6:$A$10000,$AQ$2,SALE!$E$6:$E$10000,$B$18,SALE!$I$6:$I$10000,'RATEWISE SALE &amp; PURCHASE'!$B$19:$B$22)</f>
        <v>0</v>
      </c>
      <c r="AT21" s="152">
        <v>0</v>
      </c>
      <c r="AU21" s="150">
        <f>SUMIFS(SALE!$K$6:$K$10000,SALE!$A$6:$A$10000,$AU$2,SALE!$E$6:$E$10000,$B$18,SALE!$I$6:$I$10000,'RATEWISE SALE &amp; PURCHASE'!$B$19:$B$22)</f>
        <v>0</v>
      </c>
      <c r="AV21" s="151">
        <f>SUMIFS(SALE!$L$6:$L$10000,SALE!$A$6:$A$10000,$AU$2,SALE!$E$6:$E$10000,$B$18,SALE!$I$6:$I$10000,'RATEWISE SALE &amp; PURCHASE'!$B$19:$B$22)</f>
        <v>0</v>
      </c>
      <c r="AW21" s="151">
        <f>SUMIFS(SALE!$M$6:$M$10000,SALE!$A$6:$A$10000,$AU$2,SALE!$E$6:$E$10000,$B$18,SALE!$I$6:$I$10000,'RATEWISE SALE &amp; PURCHASE'!$B$19:$B$22)</f>
        <v>0</v>
      </c>
      <c r="AX21" s="152">
        <v>0</v>
      </c>
      <c r="AY21" s="150">
        <f t="shared" si="57"/>
        <v>-2892</v>
      </c>
      <c r="AZ21" s="151">
        <f t="shared" si="58"/>
        <v>0</v>
      </c>
      <c r="BA21" s="151">
        <f t="shared" si="59"/>
        <v>-260.28000000000003</v>
      </c>
      <c r="BB21" s="152">
        <f t="shared" si="60"/>
        <v>0</v>
      </c>
    </row>
    <row r="22" spans="1:54" s="154" customFormat="1" x14ac:dyDescent="0.2">
      <c r="A22" s="155" t="s">
        <v>2551</v>
      </c>
      <c r="B22" s="156">
        <v>28</v>
      </c>
      <c r="C22" s="150">
        <f>SUMIFS(SALE!$K$6:$K$10000,SALE!$A$6:$A$10000,$C$2,SALE!$E$6:$E$10000,$B$18,SALE!$I$6:$I$10000,'RATEWISE SALE &amp; PURCHASE'!$B$19:$B$22)</f>
        <v>-6092.61</v>
      </c>
      <c r="D22" s="151">
        <f>SUMIFS(SALE!$L$6:$L$10000,SALE!$A$6:$A$10000,$C$2,SALE!$E$6:$E$10000,$B$18,SALE!$I$6:$I$10000,'RATEWISE SALE &amp; PURCHASE'!$B$19:$B$22)</f>
        <v>-1705.9308000000001</v>
      </c>
      <c r="E22" s="151">
        <f>SUMIFS(SALE!$M$6:$M$10000,SALE!$A$6:$A$10000,$C$2,SALE!$E$6:$E$10000,$B$18,SALE!$I$6:$I$10000,'RATEWISE SALE &amp; PURCHASE'!$B$19:$B$22)</f>
        <v>0</v>
      </c>
      <c r="F22" s="152">
        <v>0</v>
      </c>
      <c r="G22" s="150">
        <f>SUMIFS(SALE!$K$6:$K$10000,SALE!$A$6:$A$10000,$G$2,SALE!$E$6:$E$10000,$B$18,SALE!$I$6:$I$10000,'RATEWISE SALE &amp; PURCHASE'!$B$19:$B$22)</f>
        <v>-25380.48</v>
      </c>
      <c r="H22" s="151">
        <f>SUMIFS(SALE!$L$6:$L$10000,SALE!$A$6:$A$10000,$G$2,SALE!$E$6:$E$10000,$B$18,SALE!$I$6:$I$10000,'RATEWISE SALE &amp; PURCHASE'!$B$19:$B$22)</f>
        <v>0</v>
      </c>
      <c r="I22" s="151">
        <f>SUMIFS(SALE!$M$6:$M$10000,SALE!$A$6:$A$10000,$G$2,SALE!$E$6:$E$10000,$B$18,SALE!$I$6:$I$10000,'RATEWISE SALE &amp; PURCHASE'!$B$19:$B$22)</f>
        <v>-3553.2671999999998</v>
      </c>
      <c r="J22" s="152">
        <v>0</v>
      </c>
      <c r="K22" s="150">
        <f>SUMIFS(SALE!$K$6:$K$10000,SALE!$A$6:$A$10000,$K$2,SALE!$E$6:$E$10000,$B$18,SALE!$I$6:$I$10000,'RATEWISE SALE &amp; PURCHASE'!$B$19:$B$22)</f>
        <v>-50770.610000000008</v>
      </c>
      <c r="L22" s="151">
        <f>SUMIFS(SALE!$L$6:$L$10000,SALE!$A$6:$A$10000,$K$2,SALE!$E$6:$E$10000,$B$18,SALE!$I$6:$I$10000,'RATEWISE SALE &amp; PURCHASE'!$B$19:$B$22)</f>
        <v>-8525.9439999999995</v>
      </c>
      <c r="M22" s="151">
        <f>SUMIFS(SALE!$M$6:$M$10000,SALE!$A$6:$A$10000,$K$2,SALE!$E$6:$E$10000,$B$18,SALE!$I$6:$I$10000,'RATEWISE SALE &amp; PURCHASE'!$B$19:$B$22)</f>
        <v>-2844.9133999999999</v>
      </c>
      <c r="N22" s="152">
        <v>0</v>
      </c>
      <c r="O22" s="150">
        <f>SUMIFS(SALE!$K$6:$K$10000,SALE!$A$6:$A$10000,$O$2,SALE!$E$6:$E$10000,$B$18,SALE!$I$6:$I$10000,'RATEWISE SALE &amp; PURCHASE'!$B$19:$B$22)</f>
        <v>-108917.71</v>
      </c>
      <c r="P22" s="151">
        <f>SUMIFS(SALE!$L$6:$L$10000,SALE!$A$6:$A$10000,$O$2,SALE!$E$6:$E$10000,$B$18,SALE!$I$6:$I$10000,'RATEWISE SALE &amp; PURCHASE'!$B$19:$B$22)</f>
        <v>-1698.06</v>
      </c>
      <c r="Q22" s="151">
        <f>SUMIFS(SALE!$M$6:$M$10000,SALE!$A$6:$A$10000,$O$2,SALE!$E$6:$E$10000,$B$18,SALE!$I$6:$I$10000,'RATEWISE SALE &amp; PURCHASE'!$B$19:$B$22)</f>
        <v>-14399.449400000001</v>
      </c>
      <c r="R22" s="152">
        <v>0</v>
      </c>
      <c r="S22" s="150">
        <f>SUMIFS(SALE!$K$6:$K$10000,SALE!$A$6:$A$10000,$S$2,SALE!$E$6:$E$10000,$B$18,SALE!$I$6:$I$10000,'RATEWISE SALE &amp; PURCHASE'!$B$19:$B$22)</f>
        <v>-119985.80000000002</v>
      </c>
      <c r="T22" s="151">
        <f>SUMIFS(SALE!$L$6:$L$10000,SALE!$A$6:$A$10000,$S$2,SALE!$E$6:$E$10000,$B$18,SALE!$I$6:$I$10000,'RATEWISE SALE &amp; PURCHASE'!$B$19:$B$22)</f>
        <v>0</v>
      </c>
      <c r="U22" s="151">
        <f>SUMIFS(SALE!$M$6:$M$10000,SALE!$A$6:$A$10000,$S$2,SALE!$E$6:$E$10000,$B$18,SALE!$I$6:$I$10000,'RATEWISE SALE &amp; PURCHASE'!$B$19:$B$22)</f>
        <v>-16798.011999999999</v>
      </c>
      <c r="V22" s="152">
        <v>0</v>
      </c>
      <c r="W22" s="150">
        <f>SUMIFS(SALE!$K$6:$K$10000,SALE!$A$6:$A$10000,$W$2,SALE!$E$6:$E$10000,$B$18,SALE!$I$6:$I$10000,'RATEWISE SALE &amp; PURCHASE'!$B$19:$B$22)</f>
        <v>0</v>
      </c>
      <c r="X22" s="151">
        <f>SUMIFS(SALE!$L$6:$L$10000,SALE!$A$6:$A$10000,$W$2,SALE!$E$6:$E$10000,$B$18,SALE!$I$6:$I$10000,'RATEWISE SALE &amp; PURCHASE'!$B$19:$B$22)</f>
        <v>0</v>
      </c>
      <c r="Y22" s="151">
        <f>SUMIFS(SALE!$M$6:$M$10000,SALE!$A$6:$A$10000,$W$2,SALE!$E$6:$E$10000,$B$18,SALE!$I$6:$I$10000,'RATEWISE SALE &amp; PURCHASE'!$B$19:$B$22)</f>
        <v>0</v>
      </c>
      <c r="Z22" s="152">
        <v>0</v>
      </c>
      <c r="AA22" s="150">
        <f>SUMIFS(SALE!$K$6:$K$10000,SALE!$A$6:$A$10000,$AA$2,SALE!$E$6:$E$10000,$B$18,SALE!$I$6:$I$10000,'RATEWISE SALE &amp; PURCHASE'!$B$19:$B$22)</f>
        <v>0</v>
      </c>
      <c r="AB22" s="151">
        <f>SUMIFS(SALE!$L$6:$L$10000,SALE!$A$6:$A$10000,$AA$2,SALE!$E$6:$E$10000,$B$18,SALE!$I$6:$I$10000,'RATEWISE SALE &amp; PURCHASE'!$B$19:$B$22)</f>
        <v>0</v>
      </c>
      <c r="AC22" s="151">
        <f>SUMIFS(SALE!$M$6:$M$10000,SALE!$A$6:$A$10000,$AA$2,SALE!$E$6:$E$10000,$B$18,SALE!$I$6:$I$10000,'RATEWISE SALE &amp; PURCHASE'!$B$19:$B$22)</f>
        <v>0</v>
      </c>
      <c r="AD22" s="152">
        <v>0</v>
      </c>
      <c r="AE22" s="150">
        <f>SUMIFS(SALE!$K$6:$K$10000,SALE!$A$6:$A$10000,$AE$2,SALE!$E$6:$E$10000,$B$18,SALE!$I$6:$I$10000,'RATEWISE SALE &amp; PURCHASE'!$B$19:$B$22)</f>
        <v>0</v>
      </c>
      <c r="AF22" s="151">
        <f>SUMIFS(SALE!$L$6:$L$10000,SALE!$A$6:$A$10000,$AE$2,SALE!$E$6:$E$10000,$B$18,SALE!$I$6:$I$10000,'RATEWISE SALE &amp; PURCHASE'!$B$19:$B$22)</f>
        <v>0</v>
      </c>
      <c r="AG22" s="151">
        <f>SUMIFS(SALE!$M$6:$M$10000,SALE!$A$6:$A$10000,$AE$2,SALE!$E$6:$E$10000,$B$18,SALE!$I$6:$I$10000,'RATEWISE SALE &amp; PURCHASE'!$B$19:$B$22)</f>
        <v>0</v>
      </c>
      <c r="AH22" s="152">
        <v>0</v>
      </c>
      <c r="AI22" s="150">
        <f>SUMIFS(SALE!$K$6:$K$10000,SALE!$A$6:$A$10000,$AI$2,SALE!$E$6:$E$10000,$B$18,SALE!$I$6:$I$10000,'RATEWISE SALE &amp; PURCHASE'!$B$19:$B$22)</f>
        <v>0</v>
      </c>
      <c r="AJ22" s="151">
        <f>SUMIFS(SALE!$L$6:$L$10000,SALE!$A$6:$A$10000,$AI$2,SALE!$E$6:$E$10000,$B$18,SALE!$I$6:$I$10000,'RATEWISE SALE &amp; PURCHASE'!$B$19:$B$22)</f>
        <v>0</v>
      </c>
      <c r="AK22" s="151">
        <f>SUMIFS(SALE!$M$6:$M$10000,SALE!$A$6:$A$10000,$AI$2,SALE!$E$6:$E$10000,$B$18,SALE!$I$6:$I$10000,'RATEWISE SALE &amp; PURCHASE'!$B$19:$B$22)</f>
        <v>0</v>
      </c>
      <c r="AL22" s="152">
        <v>0</v>
      </c>
      <c r="AM22" s="150">
        <f>SUMIFS(SALE!$K$6:$K$10000,SALE!$A$6:$A$10000,$AM$2,SALE!$E$6:$E$10000,$B$18,SALE!$I$6:$I$10000,'RATEWISE SALE &amp; PURCHASE'!$B$19:$B$22)</f>
        <v>0</v>
      </c>
      <c r="AN22" s="151">
        <f>SUMIFS(SALE!$L$6:$L$10000,SALE!$A$6:$A$10000,$AM$2,SALE!$E$6:$E$10000,$B$18,SALE!$I$6:$I$10000,'RATEWISE SALE &amp; PURCHASE'!$B$19:$B$22)</f>
        <v>0</v>
      </c>
      <c r="AO22" s="151">
        <f>SUMIFS(SALE!$M$6:$M$10000,SALE!$A$6:$A$10000,$AM$2,SALE!$E$6:$E$10000,$B$18,SALE!$I$6:$I$10000,'RATEWISE SALE &amp; PURCHASE'!$B$19:$B$22)</f>
        <v>0</v>
      </c>
      <c r="AP22" s="152">
        <v>0</v>
      </c>
      <c r="AQ22" s="150">
        <f>SUMIFS(SALE!$K$6:$K$10000,SALE!$A$6:$A$10000,$AQ$2,SALE!$E$6:$E$10000,$B$18,SALE!$I$6:$I$10000,'RATEWISE SALE &amp; PURCHASE'!$B$19:$B$22)</f>
        <v>0</v>
      </c>
      <c r="AR22" s="151">
        <f>SUMIFS(SALE!$L$6:$L$10000,SALE!$A$6:$A$10000,$AQ$2,SALE!$E$6:$E$10000,$B$18,SALE!$I$6:$I$10000,'RATEWISE SALE &amp; PURCHASE'!$B$19:$B$22)</f>
        <v>0</v>
      </c>
      <c r="AS22" s="151">
        <f>SUMIFS(SALE!$M$6:$M$10000,SALE!$A$6:$A$10000,$AQ$2,SALE!$E$6:$E$10000,$B$18,SALE!$I$6:$I$10000,'RATEWISE SALE &amp; PURCHASE'!$B$19:$B$22)</f>
        <v>0</v>
      </c>
      <c r="AT22" s="152">
        <v>0</v>
      </c>
      <c r="AU22" s="150">
        <f>SUMIFS(SALE!$K$6:$K$10000,SALE!$A$6:$A$10000,$AU$2,SALE!$E$6:$E$10000,$B$18,SALE!$I$6:$I$10000,'RATEWISE SALE &amp; PURCHASE'!$B$19:$B$22)</f>
        <v>0</v>
      </c>
      <c r="AV22" s="151">
        <f>SUMIFS(SALE!$L$6:$L$10000,SALE!$A$6:$A$10000,$AU$2,SALE!$E$6:$E$10000,$B$18,SALE!$I$6:$I$10000,'RATEWISE SALE &amp; PURCHASE'!$B$19:$B$22)</f>
        <v>0</v>
      </c>
      <c r="AW22" s="151">
        <f>SUMIFS(SALE!$M$6:$M$10000,SALE!$A$6:$A$10000,$AU$2,SALE!$E$6:$E$10000,$B$18,SALE!$I$6:$I$10000,'RATEWISE SALE &amp; PURCHASE'!$B$19:$B$22)</f>
        <v>0</v>
      </c>
      <c r="AX22" s="152">
        <v>0</v>
      </c>
      <c r="AY22" s="150">
        <f t="shared" si="57"/>
        <v>-311147.21000000008</v>
      </c>
      <c r="AZ22" s="151">
        <f t="shared" si="58"/>
        <v>-11929.934799999999</v>
      </c>
      <c r="BA22" s="151">
        <f t="shared" si="59"/>
        <v>-37595.642</v>
      </c>
      <c r="BB22" s="152">
        <f t="shared" si="60"/>
        <v>0</v>
      </c>
    </row>
    <row r="23" spans="1:54" x14ac:dyDescent="0.2">
      <c r="A23" s="167" t="s">
        <v>1046</v>
      </c>
      <c r="B23" s="158"/>
      <c r="C23" s="159">
        <f>SUM(C19:C22)</f>
        <v>-6092.61</v>
      </c>
      <c r="D23" s="160">
        <f t="shared" ref="D23:F23" si="61">SUM(D19:D22)</f>
        <v>-1705.9308000000001</v>
      </c>
      <c r="E23" s="160">
        <f t="shared" si="61"/>
        <v>0</v>
      </c>
      <c r="F23" s="161">
        <f t="shared" si="61"/>
        <v>0</v>
      </c>
      <c r="G23" s="159">
        <f>SUM(G19:G22)</f>
        <v>-25380.48</v>
      </c>
      <c r="H23" s="160">
        <f t="shared" ref="H23:J23" si="62">SUM(H19:H22)</f>
        <v>0</v>
      </c>
      <c r="I23" s="160">
        <f t="shared" si="62"/>
        <v>-3553.2671999999998</v>
      </c>
      <c r="J23" s="161">
        <f t="shared" si="62"/>
        <v>0</v>
      </c>
      <c r="K23" s="159">
        <f>SUM(K19:K22)</f>
        <v>-50770.610000000008</v>
      </c>
      <c r="L23" s="160">
        <f t="shared" ref="L23:N23" si="63">SUM(L19:L22)</f>
        <v>-8525.9439999999995</v>
      </c>
      <c r="M23" s="160">
        <f t="shared" si="63"/>
        <v>-2844.9133999999999</v>
      </c>
      <c r="N23" s="161">
        <f t="shared" si="63"/>
        <v>0</v>
      </c>
      <c r="O23" s="159">
        <f>SUM(O19:O22)</f>
        <v>-108917.71</v>
      </c>
      <c r="P23" s="160">
        <f t="shared" ref="P23:R23" si="64">SUM(P19:P22)</f>
        <v>-1698.06</v>
      </c>
      <c r="Q23" s="160">
        <f t="shared" si="64"/>
        <v>-14399.449400000001</v>
      </c>
      <c r="R23" s="161">
        <f t="shared" si="64"/>
        <v>0</v>
      </c>
      <c r="S23" s="159">
        <f>SUM(S19:S22)</f>
        <v>-119985.80000000002</v>
      </c>
      <c r="T23" s="160">
        <f t="shared" ref="T23:V23" si="65">SUM(T19:T22)</f>
        <v>0</v>
      </c>
      <c r="U23" s="160">
        <f t="shared" si="65"/>
        <v>-16798.011999999999</v>
      </c>
      <c r="V23" s="161">
        <f t="shared" si="65"/>
        <v>0</v>
      </c>
      <c r="W23" s="159">
        <f>SUM(W19:W22)</f>
        <v>-2892</v>
      </c>
      <c r="X23" s="160">
        <f t="shared" ref="X23:Z23" si="66">SUM(X19:X22)</f>
        <v>0</v>
      </c>
      <c r="Y23" s="160">
        <f t="shared" si="66"/>
        <v>-260.28000000000003</v>
      </c>
      <c r="Z23" s="161">
        <f t="shared" si="66"/>
        <v>0</v>
      </c>
      <c r="AA23" s="159">
        <f>SUM(AA19:AA22)</f>
        <v>0</v>
      </c>
      <c r="AB23" s="160">
        <f t="shared" ref="AB23:AD23" si="67">SUM(AB19:AB22)</f>
        <v>0</v>
      </c>
      <c r="AC23" s="160">
        <f t="shared" si="67"/>
        <v>0</v>
      </c>
      <c r="AD23" s="161">
        <f t="shared" si="67"/>
        <v>0</v>
      </c>
      <c r="AE23" s="159">
        <f>SUM(AE19:AE22)</f>
        <v>0</v>
      </c>
      <c r="AF23" s="160">
        <f t="shared" ref="AF23:AH23" si="68">SUM(AF19:AF22)</f>
        <v>0</v>
      </c>
      <c r="AG23" s="160">
        <f t="shared" si="68"/>
        <v>0</v>
      </c>
      <c r="AH23" s="161">
        <f t="shared" si="68"/>
        <v>0</v>
      </c>
      <c r="AI23" s="159">
        <f>SUM(AI19:AI22)</f>
        <v>0</v>
      </c>
      <c r="AJ23" s="160">
        <f t="shared" ref="AJ23:AL23" si="69">SUM(AJ19:AJ22)</f>
        <v>0</v>
      </c>
      <c r="AK23" s="160">
        <f t="shared" si="69"/>
        <v>0</v>
      </c>
      <c r="AL23" s="161">
        <f t="shared" si="69"/>
        <v>0</v>
      </c>
      <c r="AM23" s="159">
        <f>SUM(AM19:AM22)</f>
        <v>0</v>
      </c>
      <c r="AN23" s="160">
        <f t="shared" ref="AN23:AP23" si="70">SUM(AN19:AN22)</f>
        <v>0</v>
      </c>
      <c r="AO23" s="160">
        <f t="shared" si="70"/>
        <v>0</v>
      </c>
      <c r="AP23" s="161">
        <f t="shared" si="70"/>
        <v>0</v>
      </c>
      <c r="AQ23" s="159">
        <f>SUM(AQ19:AQ22)</f>
        <v>0</v>
      </c>
      <c r="AR23" s="160">
        <f t="shared" ref="AR23:AT23" si="71">SUM(AR19:AR22)</f>
        <v>0</v>
      </c>
      <c r="AS23" s="160">
        <f t="shared" si="71"/>
        <v>0</v>
      </c>
      <c r="AT23" s="161">
        <f t="shared" si="71"/>
        <v>0</v>
      </c>
      <c r="AU23" s="159">
        <f>SUM(AU19:AU22)</f>
        <v>0</v>
      </c>
      <c r="AV23" s="160">
        <f t="shared" ref="AV23:AX23" si="72">SUM(AV19:AV22)</f>
        <v>0</v>
      </c>
      <c r="AW23" s="160">
        <f t="shared" si="72"/>
        <v>0</v>
      </c>
      <c r="AX23" s="161">
        <f t="shared" si="72"/>
        <v>0</v>
      </c>
      <c r="AY23" s="159">
        <f t="shared" si="57"/>
        <v>-314039.21000000008</v>
      </c>
      <c r="AZ23" s="160">
        <f t="shared" si="58"/>
        <v>-11929.934799999999</v>
      </c>
      <c r="BA23" s="160">
        <f t="shared" si="59"/>
        <v>-37855.921999999999</v>
      </c>
      <c r="BB23" s="161">
        <f t="shared" si="60"/>
        <v>0</v>
      </c>
    </row>
    <row r="24" spans="1:54" s="154" customFormat="1" x14ac:dyDescent="0.2">
      <c r="A24" s="146"/>
      <c r="B24" s="168"/>
      <c r="C24" s="147"/>
      <c r="D24" s="148"/>
      <c r="E24" s="148"/>
      <c r="F24" s="149"/>
      <c r="G24" s="147"/>
      <c r="H24" s="148"/>
      <c r="I24" s="148"/>
      <c r="J24" s="149"/>
      <c r="K24" s="147"/>
      <c r="L24" s="148"/>
      <c r="M24" s="148"/>
      <c r="N24" s="149"/>
      <c r="O24" s="147"/>
      <c r="P24" s="148"/>
      <c r="Q24" s="148"/>
      <c r="R24" s="149"/>
      <c r="S24" s="147"/>
      <c r="T24" s="148"/>
      <c r="U24" s="148"/>
      <c r="V24" s="149"/>
      <c r="W24" s="147"/>
      <c r="X24" s="148"/>
      <c r="Y24" s="148"/>
      <c r="Z24" s="149"/>
      <c r="AA24" s="147"/>
      <c r="AB24" s="148"/>
      <c r="AC24" s="148"/>
      <c r="AD24" s="149"/>
      <c r="AE24" s="147"/>
      <c r="AF24" s="148"/>
      <c r="AG24" s="148"/>
      <c r="AH24" s="149"/>
      <c r="AI24" s="147"/>
      <c r="AJ24" s="148"/>
      <c r="AK24" s="148"/>
      <c r="AL24" s="149"/>
      <c r="AM24" s="147"/>
      <c r="AN24" s="148"/>
      <c r="AO24" s="148"/>
      <c r="AP24" s="149"/>
      <c r="AQ24" s="147"/>
      <c r="AR24" s="148"/>
      <c r="AS24" s="148"/>
      <c r="AT24" s="149"/>
      <c r="AU24" s="147"/>
      <c r="AV24" s="148"/>
      <c r="AW24" s="148"/>
      <c r="AX24" s="149"/>
      <c r="AY24" s="150"/>
      <c r="AZ24" s="151"/>
      <c r="BA24" s="151"/>
      <c r="BB24" s="152"/>
    </row>
    <row r="25" spans="1:54" s="154" customFormat="1" x14ac:dyDescent="0.2">
      <c r="A25" s="163" t="s">
        <v>1047</v>
      </c>
      <c r="B25" s="169"/>
      <c r="C25" s="164"/>
      <c r="D25" s="165"/>
      <c r="E25" s="165"/>
      <c r="F25" s="166"/>
      <c r="G25" s="164"/>
      <c r="H25" s="165"/>
      <c r="I25" s="165"/>
      <c r="J25" s="166"/>
      <c r="K25" s="164"/>
      <c r="L25" s="165"/>
      <c r="M25" s="165"/>
      <c r="N25" s="166"/>
      <c r="O25" s="164"/>
      <c r="P25" s="165"/>
      <c r="Q25" s="165"/>
      <c r="R25" s="166"/>
      <c r="S25" s="164"/>
      <c r="T25" s="165"/>
      <c r="U25" s="165"/>
      <c r="V25" s="166"/>
      <c r="W25" s="164"/>
      <c r="X25" s="165"/>
      <c r="Y25" s="165"/>
      <c r="Z25" s="166"/>
      <c r="AA25" s="164"/>
      <c r="AB25" s="165"/>
      <c r="AC25" s="165"/>
      <c r="AD25" s="166"/>
      <c r="AE25" s="164"/>
      <c r="AF25" s="165"/>
      <c r="AG25" s="165"/>
      <c r="AH25" s="166"/>
      <c r="AI25" s="164"/>
      <c r="AJ25" s="165"/>
      <c r="AK25" s="165"/>
      <c r="AL25" s="166"/>
      <c r="AM25" s="164"/>
      <c r="AN25" s="165"/>
      <c r="AO25" s="165"/>
      <c r="AP25" s="166"/>
      <c r="AQ25" s="164"/>
      <c r="AR25" s="165"/>
      <c r="AS25" s="165"/>
      <c r="AT25" s="166"/>
      <c r="AU25" s="164"/>
      <c r="AV25" s="165"/>
      <c r="AW25" s="165"/>
      <c r="AX25" s="166"/>
      <c r="AY25" s="164"/>
      <c r="AZ25" s="165"/>
      <c r="BA25" s="165"/>
      <c r="BB25" s="166"/>
    </row>
    <row r="26" spans="1:54" s="154" customFormat="1" x14ac:dyDescent="0.2">
      <c r="A26" s="155" t="s">
        <v>2548</v>
      </c>
      <c r="B26" s="156">
        <v>5</v>
      </c>
      <c r="C26" s="150">
        <f>+C5+C12+C19</f>
        <v>0</v>
      </c>
      <c r="D26" s="151">
        <f t="shared" ref="D26:G29" si="73">+D5+D12+D19</f>
        <v>0</v>
      </c>
      <c r="E26" s="151">
        <f t="shared" si="73"/>
        <v>0</v>
      </c>
      <c r="F26" s="152">
        <f t="shared" si="73"/>
        <v>0</v>
      </c>
      <c r="G26" s="150">
        <f>+G5+G12+G19</f>
        <v>0</v>
      </c>
      <c r="H26" s="151">
        <f t="shared" ref="H26:J26" si="74">+H5+H12+H19</f>
        <v>0</v>
      </c>
      <c r="I26" s="151">
        <f t="shared" si="74"/>
        <v>0</v>
      </c>
      <c r="J26" s="152">
        <f t="shared" si="74"/>
        <v>0</v>
      </c>
      <c r="K26" s="150">
        <f>+K5+K12+K19</f>
        <v>0</v>
      </c>
      <c r="L26" s="151">
        <f t="shared" ref="L26:N26" si="75">+L5+L12+L19</f>
        <v>0</v>
      </c>
      <c r="M26" s="151">
        <f t="shared" si="75"/>
        <v>0</v>
      </c>
      <c r="N26" s="152">
        <f t="shared" si="75"/>
        <v>0</v>
      </c>
      <c r="O26" s="150">
        <f>+O5+O12+O19</f>
        <v>0</v>
      </c>
      <c r="P26" s="151">
        <f t="shared" ref="P26:R26" si="76">+P5+P12+P19</f>
        <v>0</v>
      </c>
      <c r="Q26" s="151">
        <f t="shared" si="76"/>
        <v>0</v>
      </c>
      <c r="R26" s="152">
        <f t="shared" si="76"/>
        <v>0</v>
      </c>
      <c r="S26" s="150">
        <f>+S5+S12+S19</f>
        <v>0</v>
      </c>
      <c r="T26" s="151">
        <f t="shared" ref="T26:V26" si="77">+T5+T12+T19</f>
        <v>0</v>
      </c>
      <c r="U26" s="151">
        <f t="shared" si="77"/>
        <v>0</v>
      </c>
      <c r="V26" s="152">
        <f t="shared" si="77"/>
        <v>0</v>
      </c>
      <c r="W26" s="150">
        <f>+W5+W12+W19</f>
        <v>0</v>
      </c>
      <c r="X26" s="151">
        <f t="shared" ref="X26:Z26" si="78">+X5+X12+X19</f>
        <v>0</v>
      </c>
      <c r="Y26" s="151">
        <f t="shared" si="78"/>
        <v>0</v>
      </c>
      <c r="Z26" s="152">
        <f t="shared" si="78"/>
        <v>0</v>
      </c>
      <c r="AA26" s="150">
        <f>+AA5+AA12+AA19</f>
        <v>0</v>
      </c>
      <c r="AB26" s="151">
        <f t="shared" ref="AB26:AD26" si="79">+AB5+AB12+AB19</f>
        <v>0</v>
      </c>
      <c r="AC26" s="151">
        <f t="shared" si="79"/>
        <v>0</v>
      </c>
      <c r="AD26" s="152">
        <f t="shared" si="79"/>
        <v>0</v>
      </c>
      <c r="AE26" s="150">
        <f>+AE5+AE12+AE19</f>
        <v>0</v>
      </c>
      <c r="AF26" s="151">
        <f t="shared" ref="AF26:AH26" si="80">+AF5+AF12+AF19</f>
        <v>0</v>
      </c>
      <c r="AG26" s="151">
        <f t="shared" si="80"/>
        <v>0</v>
      </c>
      <c r="AH26" s="152">
        <f t="shared" si="80"/>
        <v>0</v>
      </c>
      <c r="AI26" s="150">
        <f>+AI5+AI12+AI19</f>
        <v>0</v>
      </c>
      <c r="AJ26" s="151">
        <f t="shared" ref="AJ26:AL26" si="81">+AJ5+AJ12+AJ19</f>
        <v>0</v>
      </c>
      <c r="AK26" s="151">
        <f t="shared" si="81"/>
        <v>0</v>
      </c>
      <c r="AL26" s="152">
        <f t="shared" si="81"/>
        <v>0</v>
      </c>
      <c r="AM26" s="150">
        <f>+AM5+AM12+AM19</f>
        <v>0</v>
      </c>
      <c r="AN26" s="151">
        <f t="shared" ref="AN26:AP26" si="82">+AN5+AN12+AN19</f>
        <v>0</v>
      </c>
      <c r="AO26" s="151">
        <f t="shared" si="82"/>
        <v>0</v>
      </c>
      <c r="AP26" s="152">
        <f t="shared" si="82"/>
        <v>0</v>
      </c>
      <c r="AQ26" s="150">
        <f>+AQ5+AQ12+AQ19</f>
        <v>0</v>
      </c>
      <c r="AR26" s="151">
        <f t="shared" ref="AR26:AT26" si="83">+AR5+AR12+AR19</f>
        <v>0</v>
      </c>
      <c r="AS26" s="151">
        <f t="shared" si="83"/>
        <v>0</v>
      </c>
      <c r="AT26" s="152">
        <f t="shared" si="83"/>
        <v>0</v>
      </c>
      <c r="AU26" s="150">
        <f>+AU5+AU12+AU19</f>
        <v>0</v>
      </c>
      <c r="AV26" s="151">
        <f t="shared" ref="AV26:AX26" si="84">+AV5+AV12+AV19</f>
        <v>0</v>
      </c>
      <c r="AW26" s="151">
        <f t="shared" si="84"/>
        <v>0</v>
      </c>
      <c r="AX26" s="152">
        <f t="shared" si="84"/>
        <v>0</v>
      </c>
      <c r="AY26" s="150">
        <f t="shared" ref="AY26:AY30" si="85">+C26+G26+K26+O26+S26+W26+AA26+AE26+AI26+AM26+AQ26+AU26</f>
        <v>0</v>
      </c>
      <c r="AZ26" s="151">
        <f t="shared" ref="AZ26:AZ30" si="86">+D26+H26+L26+P26+T26+X26+AB26+AF26+AJ26+AN26+AR26+AV26</f>
        <v>0</v>
      </c>
      <c r="BA26" s="151">
        <f t="shared" ref="BA26:BA30" si="87">+E26+I26+M26+Q26+U26+Y26+AC26+AG26+AK26+AO26+AS26+AW26</f>
        <v>0</v>
      </c>
      <c r="BB26" s="152">
        <f t="shared" ref="BB26:BB30" si="88">+F26+J26+N26+R26+V26+Z26+AD26+AH26+AL26+AP26+AT26+AX26</f>
        <v>0</v>
      </c>
    </row>
    <row r="27" spans="1:54" s="154" customFormat="1" x14ac:dyDescent="0.2">
      <c r="A27" s="155" t="s">
        <v>2549</v>
      </c>
      <c r="B27" s="156">
        <v>12</v>
      </c>
      <c r="C27" s="150">
        <f t="shared" ref="C27:F29" si="89">+C6+C13+C20</f>
        <v>0</v>
      </c>
      <c r="D27" s="151">
        <f t="shared" si="89"/>
        <v>0</v>
      </c>
      <c r="E27" s="151">
        <f t="shared" si="89"/>
        <v>0</v>
      </c>
      <c r="F27" s="152">
        <f t="shared" si="89"/>
        <v>0</v>
      </c>
      <c r="G27" s="150">
        <f t="shared" ref="G27:AX27" si="90">+G6+G13+G20</f>
        <v>0</v>
      </c>
      <c r="H27" s="151">
        <f t="shared" si="90"/>
        <v>0</v>
      </c>
      <c r="I27" s="151">
        <f t="shared" si="90"/>
        <v>0</v>
      </c>
      <c r="J27" s="152">
        <f t="shared" si="90"/>
        <v>0</v>
      </c>
      <c r="K27" s="150">
        <f t="shared" si="90"/>
        <v>0</v>
      </c>
      <c r="L27" s="151">
        <f t="shared" si="90"/>
        <v>0</v>
      </c>
      <c r="M27" s="151">
        <f t="shared" si="90"/>
        <v>0</v>
      </c>
      <c r="N27" s="152">
        <f t="shared" si="90"/>
        <v>0</v>
      </c>
      <c r="O27" s="150">
        <f t="shared" si="90"/>
        <v>0</v>
      </c>
      <c r="P27" s="151">
        <f t="shared" si="90"/>
        <v>0</v>
      </c>
      <c r="Q27" s="151">
        <f t="shared" si="90"/>
        <v>0</v>
      </c>
      <c r="R27" s="152">
        <f t="shared" si="90"/>
        <v>0</v>
      </c>
      <c r="S27" s="150">
        <f t="shared" si="90"/>
        <v>0</v>
      </c>
      <c r="T27" s="151">
        <f t="shared" si="90"/>
        <v>0</v>
      </c>
      <c r="U27" s="151">
        <f t="shared" si="90"/>
        <v>0</v>
      </c>
      <c r="V27" s="152">
        <f t="shared" si="90"/>
        <v>0</v>
      </c>
      <c r="W27" s="150">
        <f t="shared" si="90"/>
        <v>0</v>
      </c>
      <c r="X27" s="151">
        <f t="shared" si="90"/>
        <v>0</v>
      </c>
      <c r="Y27" s="151">
        <f t="shared" si="90"/>
        <v>0</v>
      </c>
      <c r="Z27" s="152">
        <f t="shared" si="90"/>
        <v>0</v>
      </c>
      <c r="AA27" s="150">
        <f t="shared" si="90"/>
        <v>1038356.8</v>
      </c>
      <c r="AB27" s="151">
        <f t="shared" si="90"/>
        <v>0</v>
      </c>
      <c r="AC27" s="151">
        <f t="shared" si="90"/>
        <v>62301.407999999996</v>
      </c>
      <c r="AD27" s="152">
        <f t="shared" si="90"/>
        <v>62301.407999999996</v>
      </c>
      <c r="AE27" s="150">
        <f t="shared" si="90"/>
        <v>14775.279999999999</v>
      </c>
      <c r="AF27" s="151">
        <f t="shared" si="90"/>
        <v>0</v>
      </c>
      <c r="AG27" s="151">
        <f t="shared" si="90"/>
        <v>886.51679999999999</v>
      </c>
      <c r="AH27" s="152">
        <f t="shared" si="90"/>
        <v>886.51679999999999</v>
      </c>
      <c r="AI27" s="150">
        <f t="shared" si="90"/>
        <v>0</v>
      </c>
      <c r="AJ27" s="151">
        <f t="shared" si="90"/>
        <v>0</v>
      </c>
      <c r="AK27" s="151">
        <f t="shared" si="90"/>
        <v>0</v>
      </c>
      <c r="AL27" s="152">
        <f t="shared" si="90"/>
        <v>0</v>
      </c>
      <c r="AM27" s="150">
        <f t="shared" si="90"/>
        <v>0</v>
      </c>
      <c r="AN27" s="151">
        <f t="shared" si="90"/>
        <v>0</v>
      </c>
      <c r="AO27" s="151">
        <f t="shared" si="90"/>
        <v>0</v>
      </c>
      <c r="AP27" s="152">
        <f t="shared" si="90"/>
        <v>0</v>
      </c>
      <c r="AQ27" s="150">
        <f t="shared" si="90"/>
        <v>0</v>
      </c>
      <c r="AR27" s="151">
        <f t="shared" si="90"/>
        <v>0</v>
      </c>
      <c r="AS27" s="151">
        <f t="shared" si="90"/>
        <v>0</v>
      </c>
      <c r="AT27" s="152">
        <f t="shared" si="90"/>
        <v>0</v>
      </c>
      <c r="AU27" s="150">
        <f t="shared" si="90"/>
        <v>0</v>
      </c>
      <c r="AV27" s="151">
        <f t="shared" si="90"/>
        <v>0</v>
      </c>
      <c r="AW27" s="151">
        <f t="shared" si="90"/>
        <v>0</v>
      </c>
      <c r="AX27" s="152">
        <f t="shared" si="90"/>
        <v>0</v>
      </c>
      <c r="AY27" s="150">
        <f t="shared" si="85"/>
        <v>1053132.08</v>
      </c>
      <c r="AZ27" s="151">
        <f t="shared" si="86"/>
        <v>0</v>
      </c>
      <c r="BA27" s="151">
        <f t="shared" si="87"/>
        <v>63187.924799999993</v>
      </c>
      <c r="BB27" s="152">
        <f t="shared" si="88"/>
        <v>63187.924799999993</v>
      </c>
    </row>
    <row r="28" spans="1:54" s="154" customFormat="1" x14ac:dyDescent="0.2">
      <c r="A28" s="155" t="s">
        <v>2550</v>
      </c>
      <c r="B28" s="156">
        <v>18</v>
      </c>
      <c r="C28" s="150">
        <f t="shared" si="89"/>
        <v>681824.71</v>
      </c>
      <c r="D28" s="151">
        <f t="shared" si="73"/>
        <v>0</v>
      </c>
      <c r="E28" s="151">
        <f t="shared" si="73"/>
        <v>61364.223900000012</v>
      </c>
      <c r="F28" s="152">
        <f t="shared" si="73"/>
        <v>61364.223900000012</v>
      </c>
      <c r="G28" s="150">
        <f t="shared" si="73"/>
        <v>1560599.0399999998</v>
      </c>
      <c r="H28" s="151">
        <f t="shared" ref="H28:AX28" si="91">+H7+H14+H21</f>
        <v>0</v>
      </c>
      <c r="I28" s="151">
        <f t="shared" si="91"/>
        <v>140453.91359999997</v>
      </c>
      <c r="J28" s="152">
        <f t="shared" si="91"/>
        <v>140453.91359999997</v>
      </c>
      <c r="K28" s="150">
        <f t="shared" si="91"/>
        <v>2073951.9300000002</v>
      </c>
      <c r="L28" s="151">
        <f t="shared" si="91"/>
        <v>0</v>
      </c>
      <c r="M28" s="151">
        <f t="shared" si="91"/>
        <v>186655.67369999996</v>
      </c>
      <c r="N28" s="152">
        <f t="shared" si="91"/>
        <v>186655.67369999996</v>
      </c>
      <c r="O28" s="150">
        <f t="shared" si="91"/>
        <v>2657766.46</v>
      </c>
      <c r="P28" s="151">
        <f t="shared" si="91"/>
        <v>0</v>
      </c>
      <c r="Q28" s="151">
        <f t="shared" si="91"/>
        <v>239198.98139999999</v>
      </c>
      <c r="R28" s="152">
        <f t="shared" si="91"/>
        <v>239198.98139999999</v>
      </c>
      <c r="S28" s="150">
        <f t="shared" si="91"/>
        <v>2750289.1599999997</v>
      </c>
      <c r="T28" s="151">
        <f t="shared" si="91"/>
        <v>0</v>
      </c>
      <c r="U28" s="151">
        <f t="shared" si="91"/>
        <v>247526.02439999999</v>
      </c>
      <c r="V28" s="152">
        <f t="shared" si="91"/>
        <v>247526.02439999999</v>
      </c>
      <c r="W28" s="150">
        <f t="shared" si="91"/>
        <v>2727326.14</v>
      </c>
      <c r="X28" s="151">
        <f t="shared" si="91"/>
        <v>0</v>
      </c>
      <c r="Y28" s="151">
        <f t="shared" si="91"/>
        <v>245459.36260000002</v>
      </c>
      <c r="Z28" s="152">
        <f t="shared" si="91"/>
        <v>245719.64260000002</v>
      </c>
      <c r="AA28" s="150">
        <f t="shared" si="91"/>
        <v>1476591.78</v>
      </c>
      <c r="AB28" s="151">
        <f t="shared" si="91"/>
        <v>0</v>
      </c>
      <c r="AC28" s="151">
        <f t="shared" si="91"/>
        <v>132893.26019999999</v>
      </c>
      <c r="AD28" s="152">
        <f t="shared" si="91"/>
        <v>132893.26019999999</v>
      </c>
      <c r="AE28" s="150">
        <f t="shared" si="91"/>
        <v>597093.06000000006</v>
      </c>
      <c r="AF28" s="151">
        <f t="shared" si="91"/>
        <v>0</v>
      </c>
      <c r="AG28" s="151">
        <f t="shared" si="91"/>
        <v>53738.375399999997</v>
      </c>
      <c r="AH28" s="152">
        <f t="shared" si="91"/>
        <v>53738.375399999997</v>
      </c>
      <c r="AI28" s="150">
        <f t="shared" si="91"/>
        <v>0</v>
      </c>
      <c r="AJ28" s="151">
        <f t="shared" si="91"/>
        <v>0</v>
      </c>
      <c r="AK28" s="151">
        <f t="shared" si="91"/>
        <v>0</v>
      </c>
      <c r="AL28" s="152">
        <f t="shared" si="91"/>
        <v>0</v>
      </c>
      <c r="AM28" s="150">
        <f t="shared" si="91"/>
        <v>0</v>
      </c>
      <c r="AN28" s="151">
        <f t="shared" si="91"/>
        <v>0</v>
      </c>
      <c r="AO28" s="151">
        <f t="shared" si="91"/>
        <v>0</v>
      </c>
      <c r="AP28" s="152">
        <f t="shared" si="91"/>
        <v>0</v>
      </c>
      <c r="AQ28" s="150">
        <f t="shared" si="91"/>
        <v>0</v>
      </c>
      <c r="AR28" s="151">
        <f t="shared" si="91"/>
        <v>0</v>
      </c>
      <c r="AS28" s="151">
        <f t="shared" si="91"/>
        <v>0</v>
      </c>
      <c r="AT28" s="152">
        <f t="shared" si="91"/>
        <v>0</v>
      </c>
      <c r="AU28" s="150">
        <f t="shared" si="91"/>
        <v>0</v>
      </c>
      <c r="AV28" s="151">
        <f t="shared" si="91"/>
        <v>0</v>
      </c>
      <c r="AW28" s="151">
        <f t="shared" si="91"/>
        <v>0</v>
      </c>
      <c r="AX28" s="152">
        <f t="shared" si="91"/>
        <v>0</v>
      </c>
      <c r="AY28" s="150">
        <f t="shared" si="85"/>
        <v>14525442.279999999</v>
      </c>
      <c r="AZ28" s="151">
        <f t="shared" si="86"/>
        <v>0</v>
      </c>
      <c r="BA28" s="151">
        <f t="shared" si="87"/>
        <v>1307289.8151999998</v>
      </c>
      <c r="BB28" s="152">
        <f t="shared" si="88"/>
        <v>1307550.0951999999</v>
      </c>
    </row>
    <row r="29" spans="1:54" s="154" customFormat="1" x14ac:dyDescent="0.2">
      <c r="A29" s="155" t="s">
        <v>2551</v>
      </c>
      <c r="B29" s="156">
        <v>28</v>
      </c>
      <c r="C29" s="150">
        <f t="shared" si="89"/>
        <v>2666856.0599999977</v>
      </c>
      <c r="D29" s="151">
        <f t="shared" si="73"/>
        <v>34940.687599999997</v>
      </c>
      <c r="E29" s="151">
        <f t="shared" si="73"/>
        <v>355889.50459999993</v>
      </c>
      <c r="F29" s="152">
        <f t="shared" si="73"/>
        <v>355889.50459999993</v>
      </c>
      <c r="G29" s="150">
        <f t="shared" si="73"/>
        <v>2496959.66</v>
      </c>
      <c r="H29" s="151">
        <f t="shared" ref="H29:AX29" si="92">+H8+H15+H22</f>
        <v>55549.74040000001</v>
      </c>
      <c r="I29" s="151">
        <f t="shared" si="92"/>
        <v>321799.48220000003</v>
      </c>
      <c r="J29" s="152">
        <f t="shared" si="92"/>
        <v>325352.74940000003</v>
      </c>
      <c r="K29" s="150">
        <f t="shared" si="92"/>
        <v>3674431.2439999986</v>
      </c>
      <c r="L29" s="151">
        <f t="shared" si="92"/>
        <v>141109.85840000003</v>
      </c>
      <c r="M29" s="151">
        <f t="shared" si="92"/>
        <v>443865.44496000023</v>
      </c>
      <c r="N29" s="152">
        <f t="shared" si="92"/>
        <v>446710.35836000025</v>
      </c>
      <c r="O29" s="150">
        <f t="shared" si="92"/>
        <v>3892402.4899999988</v>
      </c>
      <c r="P29" s="151">
        <f t="shared" si="92"/>
        <v>64427.327999999994</v>
      </c>
      <c r="Q29" s="151">
        <f t="shared" si="92"/>
        <v>512722.68460000021</v>
      </c>
      <c r="R29" s="152">
        <f t="shared" si="92"/>
        <v>527122.13400000019</v>
      </c>
      <c r="S29" s="150">
        <f t="shared" si="92"/>
        <v>2612028.4600000004</v>
      </c>
      <c r="T29" s="151">
        <f t="shared" si="92"/>
        <v>30473.3688</v>
      </c>
      <c r="U29" s="151">
        <f t="shared" si="92"/>
        <v>350447.30000000022</v>
      </c>
      <c r="V29" s="152">
        <f t="shared" si="92"/>
        <v>367245.31200000021</v>
      </c>
      <c r="W29" s="150">
        <f t="shared" si="92"/>
        <v>2058441.7500000005</v>
      </c>
      <c r="X29" s="151">
        <f t="shared" si="92"/>
        <v>75713.330000000016</v>
      </c>
      <c r="Y29" s="151">
        <f t="shared" si="92"/>
        <v>250325.16999999995</v>
      </c>
      <c r="Z29" s="152">
        <f t="shared" si="92"/>
        <v>250325.16999999995</v>
      </c>
      <c r="AA29" s="150">
        <f t="shared" si="92"/>
        <v>1788966.4400000004</v>
      </c>
      <c r="AB29" s="151">
        <f t="shared" si="92"/>
        <v>51945.630799999992</v>
      </c>
      <c r="AC29" s="151">
        <f t="shared" si="92"/>
        <v>224482.48619999996</v>
      </c>
      <c r="AD29" s="152">
        <f t="shared" si="92"/>
        <v>224482.48619999996</v>
      </c>
      <c r="AE29" s="150">
        <f t="shared" si="92"/>
        <v>682727.39999999991</v>
      </c>
      <c r="AF29" s="151">
        <f t="shared" si="92"/>
        <v>36691.986799999999</v>
      </c>
      <c r="AG29" s="151">
        <f t="shared" si="92"/>
        <v>77235.842600000004</v>
      </c>
      <c r="AH29" s="152">
        <f t="shared" si="92"/>
        <v>77235.842600000004</v>
      </c>
      <c r="AI29" s="150">
        <f t="shared" si="92"/>
        <v>0</v>
      </c>
      <c r="AJ29" s="151">
        <f t="shared" si="92"/>
        <v>0</v>
      </c>
      <c r="AK29" s="151">
        <f t="shared" si="92"/>
        <v>0</v>
      </c>
      <c r="AL29" s="152">
        <f t="shared" si="92"/>
        <v>0</v>
      </c>
      <c r="AM29" s="150">
        <f t="shared" si="92"/>
        <v>0</v>
      </c>
      <c r="AN29" s="151">
        <f t="shared" si="92"/>
        <v>0</v>
      </c>
      <c r="AO29" s="151">
        <f t="shared" si="92"/>
        <v>0</v>
      </c>
      <c r="AP29" s="152">
        <f t="shared" si="92"/>
        <v>0</v>
      </c>
      <c r="AQ29" s="150">
        <f t="shared" si="92"/>
        <v>0</v>
      </c>
      <c r="AR29" s="151">
        <f t="shared" si="92"/>
        <v>0</v>
      </c>
      <c r="AS29" s="151">
        <f t="shared" si="92"/>
        <v>0</v>
      </c>
      <c r="AT29" s="152">
        <f t="shared" si="92"/>
        <v>0</v>
      </c>
      <c r="AU29" s="150">
        <f t="shared" si="92"/>
        <v>0</v>
      </c>
      <c r="AV29" s="151">
        <f t="shared" si="92"/>
        <v>0</v>
      </c>
      <c r="AW29" s="151">
        <f t="shared" si="92"/>
        <v>0</v>
      </c>
      <c r="AX29" s="152">
        <f t="shared" si="92"/>
        <v>0</v>
      </c>
      <c r="AY29" s="150">
        <f t="shared" si="85"/>
        <v>19872813.503999997</v>
      </c>
      <c r="AZ29" s="151">
        <f t="shared" si="86"/>
        <v>490851.93080000003</v>
      </c>
      <c r="BA29" s="151">
        <f t="shared" si="87"/>
        <v>2536767.9151600008</v>
      </c>
      <c r="BB29" s="152">
        <f t="shared" si="88"/>
        <v>2574363.5571600008</v>
      </c>
    </row>
    <row r="30" spans="1:54" s="154" customFormat="1" x14ac:dyDescent="0.2">
      <c r="A30" s="170" t="s">
        <v>1048</v>
      </c>
      <c r="B30" s="171"/>
      <c r="C30" s="159">
        <f>SUM(C26:C29)</f>
        <v>3348680.7699999977</v>
      </c>
      <c r="D30" s="160">
        <f t="shared" ref="D30:F30" si="93">SUM(D26:D29)</f>
        <v>34940.687599999997</v>
      </c>
      <c r="E30" s="160">
        <f t="shared" si="93"/>
        <v>417253.72849999997</v>
      </c>
      <c r="F30" s="161">
        <f t="shared" si="93"/>
        <v>417253.72849999997</v>
      </c>
      <c r="G30" s="159">
        <f>SUM(G26:G29)</f>
        <v>4057558.7</v>
      </c>
      <c r="H30" s="160">
        <f t="shared" ref="H30:J30" si="94">SUM(H26:H29)</f>
        <v>55549.74040000001</v>
      </c>
      <c r="I30" s="160">
        <f t="shared" si="94"/>
        <v>462253.3958</v>
      </c>
      <c r="J30" s="161">
        <f t="shared" si="94"/>
        <v>465806.663</v>
      </c>
      <c r="K30" s="159">
        <f>SUM(K26:K29)</f>
        <v>5748383.1739999987</v>
      </c>
      <c r="L30" s="160">
        <f t="shared" ref="L30:N30" si="95">SUM(L26:L29)</f>
        <v>141109.85840000003</v>
      </c>
      <c r="M30" s="160">
        <f t="shared" si="95"/>
        <v>630521.11866000015</v>
      </c>
      <c r="N30" s="161">
        <f t="shared" si="95"/>
        <v>633366.03206000023</v>
      </c>
      <c r="O30" s="159">
        <f>SUM(O26:O29)</f>
        <v>6550168.9499999993</v>
      </c>
      <c r="P30" s="160">
        <f t="shared" ref="P30:R30" si="96">SUM(P26:P29)</f>
        <v>64427.327999999994</v>
      </c>
      <c r="Q30" s="160">
        <f t="shared" si="96"/>
        <v>751921.6660000002</v>
      </c>
      <c r="R30" s="161">
        <f t="shared" si="96"/>
        <v>766321.11540000024</v>
      </c>
      <c r="S30" s="159">
        <f>SUM(S26:S29)</f>
        <v>5362317.62</v>
      </c>
      <c r="T30" s="160">
        <f t="shared" ref="T30:V30" si="97">SUM(T26:T29)</f>
        <v>30473.3688</v>
      </c>
      <c r="U30" s="160">
        <f t="shared" si="97"/>
        <v>597973.32440000027</v>
      </c>
      <c r="V30" s="161">
        <f t="shared" si="97"/>
        <v>614771.33640000015</v>
      </c>
      <c r="W30" s="159">
        <f>SUM(W26:W29)</f>
        <v>4785767.8900000006</v>
      </c>
      <c r="X30" s="160">
        <f t="shared" ref="X30:Z30" si="98">SUM(X26:X29)</f>
        <v>75713.330000000016</v>
      </c>
      <c r="Y30" s="160">
        <f t="shared" si="98"/>
        <v>495784.53259999998</v>
      </c>
      <c r="Z30" s="161">
        <f t="shared" si="98"/>
        <v>496044.81259999995</v>
      </c>
      <c r="AA30" s="159">
        <f>SUM(AA26:AA29)</f>
        <v>4303915.0200000005</v>
      </c>
      <c r="AB30" s="160">
        <f t="shared" ref="AB30:AD30" si="99">SUM(AB26:AB29)</f>
        <v>51945.630799999992</v>
      </c>
      <c r="AC30" s="160">
        <f t="shared" si="99"/>
        <v>419677.15439999994</v>
      </c>
      <c r="AD30" s="161">
        <f t="shared" si="99"/>
        <v>419677.15439999994</v>
      </c>
      <c r="AE30" s="159">
        <f>SUM(AE26:AE29)</f>
        <v>1294595.74</v>
      </c>
      <c r="AF30" s="160">
        <f t="shared" ref="AF30:AH30" si="100">SUM(AF26:AF29)</f>
        <v>36691.986799999999</v>
      </c>
      <c r="AG30" s="160">
        <f t="shared" si="100"/>
        <v>131860.73480000001</v>
      </c>
      <c r="AH30" s="161">
        <f t="shared" si="100"/>
        <v>131860.73480000001</v>
      </c>
      <c r="AI30" s="159">
        <f>SUM(AI26:AI29)</f>
        <v>0</v>
      </c>
      <c r="AJ30" s="160">
        <f t="shared" ref="AJ30:AL30" si="101">SUM(AJ26:AJ29)</f>
        <v>0</v>
      </c>
      <c r="AK30" s="160">
        <f t="shared" si="101"/>
        <v>0</v>
      </c>
      <c r="AL30" s="161">
        <f t="shared" si="101"/>
        <v>0</v>
      </c>
      <c r="AM30" s="159">
        <f>SUM(AM26:AM29)</f>
        <v>0</v>
      </c>
      <c r="AN30" s="160">
        <f t="shared" ref="AN30:AP30" si="102">SUM(AN26:AN29)</f>
        <v>0</v>
      </c>
      <c r="AO30" s="160">
        <f t="shared" si="102"/>
        <v>0</v>
      </c>
      <c r="AP30" s="161">
        <f t="shared" si="102"/>
        <v>0</v>
      </c>
      <c r="AQ30" s="159">
        <f>SUM(AQ26:AQ29)</f>
        <v>0</v>
      </c>
      <c r="AR30" s="160">
        <f t="shared" ref="AR30:AT30" si="103">SUM(AR26:AR29)</f>
        <v>0</v>
      </c>
      <c r="AS30" s="160">
        <f t="shared" si="103"/>
        <v>0</v>
      </c>
      <c r="AT30" s="161">
        <f t="shared" si="103"/>
        <v>0</v>
      </c>
      <c r="AU30" s="159">
        <f>SUM(AU26:AU29)</f>
        <v>0</v>
      </c>
      <c r="AV30" s="160">
        <f t="shared" ref="AV30:AX30" si="104">SUM(AV26:AV29)</f>
        <v>0</v>
      </c>
      <c r="AW30" s="160">
        <f t="shared" si="104"/>
        <v>0</v>
      </c>
      <c r="AX30" s="161">
        <f t="shared" si="104"/>
        <v>0</v>
      </c>
      <c r="AY30" s="159">
        <f t="shared" si="85"/>
        <v>35451387.864</v>
      </c>
      <c r="AZ30" s="160">
        <f t="shared" si="86"/>
        <v>490851.93080000003</v>
      </c>
      <c r="BA30" s="160">
        <f t="shared" si="87"/>
        <v>3907245.655160001</v>
      </c>
      <c r="BB30" s="161">
        <f t="shared" si="88"/>
        <v>3945101.5771600008</v>
      </c>
    </row>
    <row r="31" spans="1:54" s="154" customFormat="1" x14ac:dyDescent="0.2">
      <c r="A31" s="146"/>
      <c r="B31" s="168"/>
      <c r="C31" s="147"/>
      <c r="D31" s="148"/>
      <c r="E31" s="148"/>
      <c r="F31" s="149"/>
      <c r="G31" s="147"/>
      <c r="H31" s="148"/>
      <c r="I31" s="148"/>
      <c r="J31" s="149"/>
      <c r="K31" s="147"/>
      <c r="L31" s="148"/>
      <c r="M31" s="148"/>
      <c r="N31" s="149"/>
      <c r="O31" s="147"/>
      <c r="P31" s="148"/>
      <c r="Q31" s="148"/>
      <c r="R31" s="149"/>
      <c r="S31" s="147"/>
      <c r="T31" s="148"/>
      <c r="U31" s="148"/>
      <c r="V31" s="149"/>
      <c r="W31" s="147"/>
      <c r="X31" s="148"/>
      <c r="Y31" s="148"/>
      <c r="Z31" s="149"/>
      <c r="AA31" s="147"/>
      <c r="AB31" s="148"/>
      <c r="AC31" s="148"/>
      <c r="AD31" s="149"/>
      <c r="AE31" s="147"/>
      <c r="AF31" s="148"/>
      <c r="AG31" s="148"/>
      <c r="AH31" s="149"/>
      <c r="AI31" s="147"/>
      <c r="AJ31" s="148"/>
      <c r="AK31" s="148"/>
      <c r="AL31" s="149"/>
      <c r="AM31" s="147"/>
      <c r="AN31" s="148"/>
      <c r="AO31" s="148"/>
      <c r="AP31" s="149"/>
      <c r="AQ31" s="147"/>
      <c r="AR31" s="148"/>
      <c r="AS31" s="148"/>
      <c r="AT31" s="149"/>
      <c r="AU31" s="147"/>
      <c r="AV31" s="148"/>
      <c r="AW31" s="148"/>
      <c r="AX31" s="149"/>
      <c r="AY31" s="150"/>
      <c r="AZ31" s="151"/>
      <c r="BA31" s="151"/>
      <c r="BB31" s="152"/>
    </row>
    <row r="32" spans="1:54" s="154" customFormat="1" x14ac:dyDescent="0.2">
      <c r="A32" s="163" t="s">
        <v>1321</v>
      </c>
      <c r="B32" s="74" t="s">
        <v>458</v>
      </c>
      <c r="C32" s="164"/>
      <c r="D32" s="165"/>
      <c r="E32" s="165"/>
      <c r="F32" s="166"/>
      <c r="G32" s="164"/>
      <c r="H32" s="165"/>
      <c r="I32" s="165"/>
      <c r="J32" s="166"/>
      <c r="K32" s="164"/>
      <c r="L32" s="165"/>
      <c r="M32" s="165"/>
      <c r="N32" s="166"/>
      <c r="O32" s="164"/>
      <c r="P32" s="165"/>
      <c r="Q32" s="165"/>
      <c r="R32" s="166"/>
      <c r="S32" s="164"/>
      <c r="T32" s="165"/>
      <c r="U32" s="165"/>
      <c r="V32" s="166"/>
      <c r="W32" s="164"/>
      <c r="X32" s="165"/>
      <c r="Y32" s="165"/>
      <c r="Z32" s="166"/>
      <c r="AA32" s="164"/>
      <c r="AB32" s="165"/>
      <c r="AC32" s="165"/>
      <c r="AD32" s="166"/>
      <c r="AE32" s="164"/>
      <c r="AF32" s="165"/>
      <c r="AG32" s="165"/>
      <c r="AH32" s="166"/>
      <c r="AI32" s="164"/>
      <c r="AJ32" s="165"/>
      <c r="AK32" s="165"/>
      <c r="AL32" s="166"/>
      <c r="AM32" s="164"/>
      <c r="AN32" s="165"/>
      <c r="AO32" s="165"/>
      <c r="AP32" s="166"/>
      <c r="AQ32" s="164"/>
      <c r="AR32" s="165"/>
      <c r="AS32" s="165"/>
      <c r="AT32" s="166"/>
      <c r="AU32" s="164"/>
      <c r="AV32" s="165"/>
      <c r="AW32" s="165"/>
      <c r="AX32" s="166"/>
      <c r="AY32" s="164"/>
      <c r="AZ32" s="165"/>
      <c r="BA32" s="165"/>
      <c r="BB32" s="166"/>
    </row>
    <row r="33" spans="1:54" s="154" customFormat="1" x14ac:dyDescent="0.2">
      <c r="A33" s="155" t="s">
        <v>2548</v>
      </c>
      <c r="B33" s="156">
        <v>2.5</v>
      </c>
      <c r="C33" s="150">
        <f>SUMIFS('SALE-RMC'!$K$6:$K$10000,'SALE-RMC'!$I$6:$I$10000,$B$33:$B$36,'SALE-RMC'!$A$6:$A$10000,$C$2)</f>
        <v>18500</v>
      </c>
      <c r="D33" s="151">
        <f>SUMIFS('SALE-RMC'!$L$6:$L$10000,'SALE-RMC'!$I$6:$I$10000,$B$33:$B$36,'SALE-RMC'!$A$6:$A$10000,$C$2)</f>
        <v>0</v>
      </c>
      <c r="E33" s="151">
        <f>SUMIFS('SALE-RMC'!$M$6:$M$10000,'SALE-RMC'!$I$6:$I$10000,$B$33:$B$36,'SALE-RMC'!$A$6:$A$10000,$C$2)</f>
        <v>462.5</v>
      </c>
      <c r="F33" s="152">
        <f>SUMIFS('SALE-RMC'!$N$6:$N$10000,'SALE-RMC'!$I$6:$I$10000,$B$33:$B$36,'SALE-RMC'!$A$6:$A$10000,$C$2)</f>
        <v>462.5</v>
      </c>
      <c r="G33" s="150">
        <f>SUMIFS('SALE-RMC'!$K$6:$K$10000,'SALE-RMC'!$I$6:$I$10000,$B$33:$B$36,'SALE-RMC'!$A$6:$A$10000,$G$2)</f>
        <v>45560</v>
      </c>
      <c r="H33" s="151">
        <f>SUMIFS('SALE-RMC'!$L$6:$L$10000,'SALE-RMC'!$I$6:$I$10000,$B$33:$B$36,'SALE-RMC'!$A$6:$A$10000,$G$2)</f>
        <v>0</v>
      </c>
      <c r="I33" s="151">
        <f>SUMIFS('SALE-RMC'!$M$6:$M$10000,'SALE-RMC'!$I$6:$I$10000,$B$33:$B$36,'SALE-RMC'!$A$6:$A$10000,$G$2)</f>
        <v>1139</v>
      </c>
      <c r="J33" s="152">
        <f>SUMIFS('SALE-RMC'!$N$6:$N$10000,'SALE-RMC'!$I$6:$I$10000,$B$33:$B$36,'SALE-RMC'!$A$6:$A$10000,$G$2)</f>
        <v>1139</v>
      </c>
      <c r="K33" s="150">
        <f>SUMIFS('SALE-RMC'!$K$6:$K$10000,'SALE-RMC'!$I$6:$I$10000,$B$33:$B$36,'SALE-RMC'!$A$6:$A$10000,$K$2)</f>
        <v>24600</v>
      </c>
      <c r="L33" s="151">
        <f>SUMIFS('SALE-RMC'!$L$6:$L$10000,'SALE-RMC'!$I$6:$I$10000,$B$33:$B$36,'SALE-RMC'!$A$6:$A$10000,$K$2)</f>
        <v>0</v>
      </c>
      <c r="M33" s="151">
        <f>SUMIFS('SALE-RMC'!$M$6:$M$10000,'SALE-RMC'!$I$6:$I$10000,$B$33:$B$36,'SALE-RMC'!$A$6:$A$10000,$K$2)</f>
        <v>615</v>
      </c>
      <c r="N33" s="152">
        <f>SUMIFS('SALE-RMC'!$N$6:$N$10000,'SALE-RMC'!$I$6:$I$10000,$B$33:$B$36,'SALE-RMC'!$A$6:$A$10000,$K$2)</f>
        <v>615</v>
      </c>
      <c r="O33" s="150">
        <f>SUMIFS('SALE-RMC'!$K$6:$K$10000,'SALE-RMC'!$I$6:$I$10000,$B$33:$B$36,'SALE-RMC'!$A$6:$A$10000,$O$2)</f>
        <v>31250</v>
      </c>
      <c r="P33" s="151">
        <f>SUMIFS('SALE-RMC'!$L$6:$L$10000,'SALE-RMC'!$I$6:$I$10000,$B$33:$B$36,'SALE-RMC'!$A$6:$A$10000,$O$2)</f>
        <v>0</v>
      </c>
      <c r="Q33" s="151">
        <f>SUMIFS('SALE-RMC'!$M$6:$M$10000,'SALE-RMC'!$I$6:$I$10000,$B$33:$B$36,'SALE-RMC'!$A$6:$A$10000,$O$2)</f>
        <v>781.25</v>
      </c>
      <c r="R33" s="152">
        <f>SUMIFS('SALE-RMC'!$N$6:$N$10000,'SALE-RMC'!$I$6:$I$10000,$B$33:$B$36,'SALE-RMC'!$A$6:$A$10000,$O$2)</f>
        <v>781.25</v>
      </c>
      <c r="S33" s="150">
        <f>SUMIFS('SALE-RMC'!$K$6:$K$10000,'SALE-RMC'!$I$6:$I$10000,$B$33:$B$36,'SALE-RMC'!$A$6:$A$10000,$S$2)</f>
        <v>35900</v>
      </c>
      <c r="T33" s="151">
        <f>SUMIFS('SALE-RMC'!$L$6:$L$10000,'SALE-RMC'!$I$6:$I$10000,$B$33:$B$36,'SALE-RMC'!$A$6:$A$10000,$S$2)</f>
        <v>0</v>
      </c>
      <c r="U33" s="151">
        <f>SUMIFS('SALE-RMC'!$M$6:$M$10000,'SALE-RMC'!$I$6:$I$10000,$B$33:$B$36,'SALE-RMC'!$A$6:$A$10000,$S$2)</f>
        <v>897.5</v>
      </c>
      <c r="V33" s="152">
        <f>SUMIFS('SALE-RMC'!$N$6:$N$10000,'SALE-RMC'!$I$6:$I$10000,$B$33:$B$36,'SALE-RMC'!$A$6:$A$10000,$S$2)</f>
        <v>897.5</v>
      </c>
      <c r="W33" s="150">
        <f>SUMIFS('SALE-RMC'!$K$6:$K$10000,'SALE-RMC'!$I$6:$I$10000,$B$33:$B$36,'SALE-RMC'!$A$6:$A$10000,$W$2)</f>
        <v>36950</v>
      </c>
      <c r="X33" s="151">
        <f>SUMIFS('SALE-RMC'!$L$6:$L$10000,'SALE-RMC'!$I$6:$I$10000,$B$33:$B$36,'SALE-RMC'!$A$6:$A$10000,$W$2)</f>
        <v>0</v>
      </c>
      <c r="Y33" s="151">
        <f>SUMIFS('SALE-RMC'!$M$6:$M$10000,'SALE-RMC'!$I$6:$I$10000,$B$33:$B$36,'SALE-RMC'!$A$6:$A$10000,$W$2)</f>
        <v>923.75</v>
      </c>
      <c r="Z33" s="152">
        <f>SUMIFS('SALE-RMC'!$N$6:$N$10000,'SALE-RMC'!$I$6:$I$10000,$B$33:$B$36,'SALE-RMC'!$A$6:$A$10000,$W$2)</f>
        <v>923.75</v>
      </c>
      <c r="AA33" s="150">
        <f>SUMIFS('SALE-RMC'!$K$6:$K$10000,'SALE-RMC'!$I$6:$I$10000,$B$33:$B$36,'SALE-RMC'!$A$6:$A$10000,$AA$2)</f>
        <v>29100</v>
      </c>
      <c r="AB33" s="151">
        <f>SUMIFS('SALE-RMC'!$L$6:$L$10000,'SALE-RMC'!$I$6:$I$10000,$B$33:$B$36,'SALE-RMC'!$A$6:$A$10000,$AA$2)</f>
        <v>0</v>
      </c>
      <c r="AC33" s="151">
        <f>SUMIFS('SALE-RMC'!$M$6:$M$10000,'SALE-RMC'!$I$6:$I$10000,$B$33:$B$36,'SALE-RMC'!$A$6:$A$10000,$AA$2)</f>
        <v>727.5</v>
      </c>
      <c r="AD33" s="152">
        <f>SUMIFS('SALE-RMC'!$N$6:$N$10000,'SALE-RMC'!$I$6:$I$10000,$B$33:$B$36,'SALE-RMC'!$A$6:$A$10000,$AA$2)</f>
        <v>727.5</v>
      </c>
      <c r="AE33" s="150">
        <f>SUMIFS('SALE-RMC'!$K$6:$K$10000,'SALE-RMC'!$I$6:$I$10000,$B$33:$B$36,'SALE-RMC'!$A$6:$A$10000,$AE$2)</f>
        <v>27400</v>
      </c>
      <c r="AF33" s="151">
        <f>SUMIFS('SALE-RMC'!$L$6:$L$10000,'SALE-RMC'!$I$6:$I$10000,$B$33:$B$36,'SALE-RMC'!$A$6:$A$10000,$AE$2)</f>
        <v>0</v>
      </c>
      <c r="AG33" s="151">
        <f>SUMIFS('SALE-RMC'!$M$6:$M$10000,'SALE-RMC'!$I$6:$I$10000,$B$33:$B$36,'SALE-RMC'!$A$6:$A$10000,$AE$2)</f>
        <v>685</v>
      </c>
      <c r="AH33" s="152">
        <f>SUMIFS('SALE-RMC'!$N$6:$N$10000,'SALE-RMC'!$I$6:$I$10000,$B$33:$B$36,'SALE-RMC'!$A$6:$A$10000,$AE$2)</f>
        <v>685</v>
      </c>
      <c r="AI33" s="150">
        <f>SUMIFS('SALE-RMC'!$K$6:$K$10000,'SALE-RMC'!$I$6:$I$10000,$B$33:$B$36,'SALE-RMC'!$A$6:$A$10000,$AI$2)</f>
        <v>49761</v>
      </c>
      <c r="AJ33" s="151">
        <f>SUMIFS('SALE-RMC'!$L$6:$L$10000,'SALE-RMC'!$I$6:$I$10000,$B$33:$B$36,'SALE-RMC'!$A$6:$A$10000,$AI$2)</f>
        <v>118.05</v>
      </c>
      <c r="AK33" s="151">
        <f>SUMIFS('SALE-RMC'!$M$6:$M$10000,'SALE-RMC'!$I$6:$I$10000,$B$33:$B$36,'SALE-RMC'!$A$6:$A$10000,$AI$2)</f>
        <v>1185</v>
      </c>
      <c r="AL33" s="152">
        <f>SUMIFS('SALE-RMC'!$N$6:$N$10000,'SALE-RMC'!$I$6:$I$10000,$B$33:$B$36,'SALE-RMC'!$A$6:$A$10000,$AI$2)</f>
        <v>1185</v>
      </c>
      <c r="AM33" s="150">
        <f>SUMIFS('SALE-RMC'!$K$6:$K$10000,'SALE-RMC'!$I$6:$I$10000,$B$33:$B$36,'SALE-RMC'!$A$6:$A$10000,$AM$2)</f>
        <v>0</v>
      </c>
      <c r="AN33" s="151">
        <f>SUMIFS('SALE-RMC'!$L$6:$L$10000,'SALE-RMC'!$I$6:$I$10000,$B$33:$B$36,'SALE-RMC'!$A$6:$A$10000,$AM$2)</f>
        <v>0</v>
      </c>
      <c r="AO33" s="151">
        <f>SUMIFS('SALE-RMC'!$M$6:$M$10000,'SALE-RMC'!$I$6:$I$10000,$B$33:$B$36,'SALE-RMC'!$A$6:$A$10000,$AM$2)</f>
        <v>0</v>
      </c>
      <c r="AP33" s="152">
        <f>SUMIFS('SALE-RMC'!$N$6:$N$10000,'SALE-RMC'!$I$6:$I$10000,$B$33:$B$36,'SALE-RMC'!$A$6:$A$10000,$AM$2)</f>
        <v>0</v>
      </c>
      <c r="AQ33" s="150">
        <f>SUMIFS('SALE-RMC'!$K$6:$K$10000,'SALE-RMC'!$I$6:$I$10000,$B$33:$B$36,'SALE-RMC'!$A$6:$A$10000,$AQ$2)</f>
        <v>0</v>
      </c>
      <c r="AR33" s="151">
        <f>SUMIFS('SALE-RMC'!$L$6:$L$10000,'SALE-RMC'!$I$6:$I$10000,$B$33:$B$36,'SALE-RMC'!$A$6:$A$10000,$AQ$2)</f>
        <v>0</v>
      </c>
      <c r="AS33" s="151">
        <f>SUMIFS('SALE-RMC'!$M$6:$M$10000,'SALE-RMC'!$I$6:$I$10000,$B$33:$B$36,'SALE-RMC'!$A$6:$A$10000,$AQ$2)</f>
        <v>0</v>
      </c>
      <c r="AT33" s="152">
        <f>SUMIFS('SALE-RMC'!$N$6:$N$10000,'SALE-RMC'!$I$6:$I$10000,$B$33:$B$36,'SALE-RMC'!$A$6:$A$10000,$AQ$2)</f>
        <v>0</v>
      </c>
      <c r="AU33" s="150">
        <f>SUMIFS('SALE-RMC'!$K$6:$K$10000,'SALE-RMC'!$I$6:$I$10000,$B$33:$B$36,'SALE-RMC'!$A$6:$A$10000,$AU$2)</f>
        <v>0</v>
      </c>
      <c r="AV33" s="151">
        <f>SUMIFS('SALE-RMC'!$L$6:$L$10000,'SALE-RMC'!$I$6:$I$10000,$B$33:$B$36,'SALE-RMC'!$A$6:$A$10000,$AU$2)</f>
        <v>0</v>
      </c>
      <c r="AW33" s="151">
        <f>SUMIFS('SALE-RMC'!$M$6:$M$10000,'SALE-RMC'!$I$6:$I$10000,$B$33:$B$36,'SALE-RMC'!$A$6:$A$10000,$AU$2)</f>
        <v>0</v>
      </c>
      <c r="AX33" s="152">
        <f>SUMIFS('SALE-RMC'!$N$6:$N$10000,'SALE-RMC'!$I$6:$I$10000,$B$33:$B$36,'SALE-RMC'!$A$6:$A$10000,$AU$2)</f>
        <v>0</v>
      </c>
      <c r="AY33" s="150">
        <f t="shared" ref="AY33:AY37" si="105">+C33+G33+K33+O33+S33+W33+AA33+AE33+AI33+AM33+AQ33+AU33</f>
        <v>299021</v>
      </c>
      <c r="AZ33" s="151">
        <f t="shared" ref="AZ33:AZ37" si="106">+D33+H33+L33+P33+T33+X33+AB33+AF33+AJ33+AN33+AR33+AV33</f>
        <v>118.05</v>
      </c>
      <c r="BA33" s="151">
        <f t="shared" ref="BA33:BA37" si="107">+E33+I33+M33+Q33+U33+Y33+AC33+AG33+AK33+AO33+AS33+AW33</f>
        <v>7416.5</v>
      </c>
      <c r="BB33" s="152">
        <f t="shared" ref="BB33:BB37" si="108">+F33+J33+N33+R33+V33+Z33+AD33+AH33+AL33+AP33+AT33+AX33</f>
        <v>7416.5</v>
      </c>
    </row>
    <row r="34" spans="1:54" s="154" customFormat="1" x14ac:dyDescent="0.2">
      <c r="A34" s="155" t="s">
        <v>2549</v>
      </c>
      <c r="B34" s="156">
        <v>12</v>
      </c>
      <c r="C34" s="150">
        <f>SUMIFS('SALE-RMC'!$K$6:$K$10000,'SALE-RMC'!$I$6:$I$10000,$B$33:$B$36,'SALE-RMC'!$A$6:$A$10000,$C$2)</f>
        <v>0</v>
      </c>
      <c r="D34" s="151">
        <f>SUMIFS('SALE-RMC'!$L$6:$L$10000,'SALE-RMC'!$I$6:$I$10000,$B$33:$B$36,'SALE-RMC'!$A$6:$A$10000,$C$2)</f>
        <v>0</v>
      </c>
      <c r="E34" s="151">
        <f>SUMIFS('SALE-RMC'!$M$6:$M$10000,'SALE-RMC'!$I$6:$I$10000,$B$33:$B$36,'SALE-RMC'!$A$6:$A$10000,$C$2)</f>
        <v>0</v>
      </c>
      <c r="F34" s="152">
        <f>SUMIFS('SALE-RMC'!$N$6:$N$10000,'SALE-RMC'!$I$6:$I$10000,$B$33:$B$36,'SALE-RMC'!$A$6:$A$10000,$C$2)</f>
        <v>0</v>
      </c>
      <c r="G34" s="150">
        <f>SUMIFS('SALE-RMC'!$K$6:$K$10000,'SALE-RMC'!$I$6:$I$10000,$B$33:$B$36,'SALE-RMC'!$A$6:$A$10000,$G$2)</f>
        <v>0</v>
      </c>
      <c r="H34" s="151">
        <f>SUMIFS('SALE-RMC'!$L$6:$L$10000,'SALE-RMC'!$I$6:$I$10000,$B$33:$B$36,'SALE-RMC'!$A$6:$A$10000,$G$2)</f>
        <v>0</v>
      </c>
      <c r="I34" s="151">
        <f>SUMIFS('SALE-RMC'!$M$6:$M$10000,'SALE-RMC'!$I$6:$I$10000,$B$33:$B$36,'SALE-RMC'!$A$6:$A$10000,$G$2)</f>
        <v>0</v>
      </c>
      <c r="J34" s="152">
        <f>SUMIFS('SALE-RMC'!$N$6:$N$10000,'SALE-RMC'!$I$6:$I$10000,$B$33:$B$36,'SALE-RMC'!$A$6:$A$10000,$G$2)</f>
        <v>0</v>
      </c>
      <c r="K34" s="150">
        <f>SUMIFS('SALE-RMC'!$K$6:$K$10000,'SALE-RMC'!$I$6:$I$10000,$B$33:$B$36,'SALE-RMC'!$A$6:$A$10000,$K$2)</f>
        <v>0</v>
      </c>
      <c r="L34" s="151">
        <f>SUMIFS('SALE-RMC'!$L$6:$L$10000,'SALE-RMC'!$I$6:$I$10000,$B$33:$B$36,'SALE-RMC'!$A$6:$A$10000,$K$2)</f>
        <v>0</v>
      </c>
      <c r="M34" s="151">
        <f>SUMIFS('SALE-RMC'!$M$6:$M$10000,'SALE-RMC'!$I$6:$I$10000,$B$33:$B$36,'SALE-RMC'!$A$6:$A$10000,$K$2)</f>
        <v>0</v>
      </c>
      <c r="N34" s="152">
        <f>SUMIFS('SALE-RMC'!$N$6:$N$10000,'SALE-RMC'!$I$6:$I$10000,$B$33:$B$36,'SALE-RMC'!$A$6:$A$10000,$K$2)</f>
        <v>0</v>
      </c>
      <c r="O34" s="150">
        <f>SUMIFS('SALE-RMC'!$K$6:$K$10000,'SALE-RMC'!$I$6:$I$10000,$B$33:$B$36,'SALE-RMC'!$A$6:$A$10000,$O$2)</f>
        <v>0</v>
      </c>
      <c r="P34" s="151">
        <f>SUMIFS('SALE-RMC'!$L$6:$L$10000,'SALE-RMC'!$I$6:$I$10000,$B$33:$B$36,'SALE-RMC'!$A$6:$A$10000,$O$2)</f>
        <v>0</v>
      </c>
      <c r="Q34" s="151">
        <f>SUMIFS('SALE-RMC'!$M$6:$M$10000,'SALE-RMC'!$I$6:$I$10000,$B$33:$B$36,'SALE-RMC'!$A$6:$A$10000,$O$2)</f>
        <v>0</v>
      </c>
      <c r="R34" s="152">
        <f>SUMIFS('SALE-RMC'!$N$6:$N$10000,'SALE-RMC'!$I$6:$I$10000,$B$33:$B$36,'SALE-RMC'!$A$6:$A$10000,$O$2)</f>
        <v>0</v>
      </c>
      <c r="S34" s="150">
        <f>SUMIFS('SALE-RMC'!$K$6:$K$10000,'SALE-RMC'!$I$6:$I$10000,$B$33:$B$36,'SALE-RMC'!$A$6:$A$10000,$S$2)</f>
        <v>0</v>
      </c>
      <c r="T34" s="151">
        <f>SUMIFS('SALE-RMC'!$L$6:$L$10000,'SALE-RMC'!$I$6:$I$10000,$B$33:$B$36,'SALE-RMC'!$A$6:$A$10000,$S$2)</f>
        <v>0</v>
      </c>
      <c r="U34" s="151">
        <f>SUMIFS('SALE-RMC'!$M$6:$M$10000,'SALE-RMC'!$I$6:$I$10000,$B$33:$B$36,'SALE-RMC'!$A$6:$A$10000,$S$2)</f>
        <v>0</v>
      </c>
      <c r="V34" s="152">
        <f>SUMIFS('SALE-RMC'!$N$6:$N$10000,'SALE-RMC'!$I$6:$I$10000,$B$33:$B$36,'SALE-RMC'!$A$6:$A$10000,$S$2)</f>
        <v>0</v>
      </c>
      <c r="W34" s="150">
        <f>SUMIFS('SALE-RMC'!$K$6:$K$10000,'SALE-RMC'!$I$6:$I$10000,$B$33:$B$36,'SALE-RMC'!$A$6:$A$10000,$W$2)</f>
        <v>0</v>
      </c>
      <c r="X34" s="151">
        <f>SUMIFS('SALE-RMC'!$L$6:$L$10000,'SALE-RMC'!$I$6:$I$10000,$B$33:$B$36,'SALE-RMC'!$A$6:$A$10000,$W$2)</f>
        <v>0</v>
      </c>
      <c r="Y34" s="151">
        <f>SUMIFS('SALE-RMC'!$M$6:$M$10000,'SALE-RMC'!$I$6:$I$10000,$B$33:$B$36,'SALE-RMC'!$A$6:$A$10000,$W$2)</f>
        <v>0</v>
      </c>
      <c r="Z34" s="152">
        <f>SUMIFS('SALE-RMC'!$N$6:$N$10000,'SALE-RMC'!$I$6:$I$10000,$B$33:$B$36,'SALE-RMC'!$A$6:$A$10000,$W$2)</f>
        <v>0</v>
      </c>
      <c r="AA34" s="150">
        <f>SUMIFS('SALE-RMC'!$K$6:$K$10000,'SALE-RMC'!$I$6:$I$10000,$B$33:$B$36,'SALE-RMC'!$A$6:$A$10000,$AA$2)</f>
        <v>0</v>
      </c>
      <c r="AB34" s="151">
        <f>SUMIFS('SALE-RMC'!$L$6:$L$10000,'SALE-RMC'!$I$6:$I$10000,$B$33:$B$36,'SALE-RMC'!$A$6:$A$10000,$AA$2)</f>
        <v>0</v>
      </c>
      <c r="AC34" s="151">
        <f>SUMIFS('SALE-RMC'!$M$6:$M$10000,'SALE-RMC'!$I$6:$I$10000,$B$33:$B$36,'SALE-RMC'!$A$6:$A$10000,$AA$2)</f>
        <v>0</v>
      </c>
      <c r="AD34" s="152">
        <f>SUMIFS('SALE-RMC'!$N$6:$N$10000,'SALE-RMC'!$I$6:$I$10000,$B$33:$B$36,'SALE-RMC'!$A$6:$A$10000,$AA$2)</f>
        <v>0</v>
      </c>
      <c r="AE34" s="150">
        <f>SUMIFS('SALE-RMC'!$K$6:$K$10000,'SALE-RMC'!$I$6:$I$10000,$B$33:$B$36,'SALE-RMC'!$A$6:$A$10000,$AE$2)</f>
        <v>0</v>
      </c>
      <c r="AF34" s="151">
        <f>SUMIFS('SALE-RMC'!$L$6:$L$10000,'SALE-RMC'!$I$6:$I$10000,$B$33:$B$36,'SALE-RMC'!$A$6:$A$10000,$AE$2)</f>
        <v>0</v>
      </c>
      <c r="AG34" s="151">
        <f>SUMIFS('SALE-RMC'!$M$6:$M$10000,'SALE-RMC'!$I$6:$I$10000,$B$33:$B$36,'SALE-RMC'!$A$6:$A$10000,$AE$2)</f>
        <v>0</v>
      </c>
      <c r="AH34" s="152">
        <f>SUMIFS('SALE-RMC'!$N$6:$N$10000,'SALE-RMC'!$I$6:$I$10000,$B$33:$B$36,'SALE-RMC'!$A$6:$A$10000,$AE$2)</f>
        <v>0</v>
      </c>
      <c r="AI34" s="150">
        <f>SUMIFS('SALE-RMC'!$K$6:$K$10000,'SALE-RMC'!$I$6:$I$10000,$B$33:$B$36,'SALE-RMC'!$A$6:$A$10000,$AI$2)</f>
        <v>0</v>
      </c>
      <c r="AJ34" s="151">
        <f>SUMIFS('SALE-RMC'!$L$6:$L$10000,'SALE-RMC'!$I$6:$I$10000,$B$33:$B$36,'SALE-RMC'!$A$6:$A$10000,$AI$2)</f>
        <v>0</v>
      </c>
      <c r="AK34" s="151">
        <f>SUMIFS('SALE-RMC'!$M$6:$M$10000,'SALE-RMC'!$I$6:$I$10000,$B$33:$B$36,'SALE-RMC'!$A$6:$A$10000,$AI$2)</f>
        <v>0</v>
      </c>
      <c r="AL34" s="152">
        <f>SUMIFS('SALE-RMC'!$N$6:$N$10000,'SALE-RMC'!$I$6:$I$10000,$B$33:$B$36,'SALE-RMC'!$A$6:$A$10000,$AI$2)</f>
        <v>0</v>
      </c>
      <c r="AM34" s="150">
        <f>SUMIFS('SALE-RMC'!$K$6:$K$10000,'SALE-RMC'!$I$6:$I$10000,$B$33:$B$36,'SALE-RMC'!$A$6:$A$10000,$AM$2)</f>
        <v>0</v>
      </c>
      <c r="AN34" s="151">
        <f>SUMIFS('SALE-RMC'!$L$6:$L$10000,'SALE-RMC'!$I$6:$I$10000,$B$33:$B$36,'SALE-RMC'!$A$6:$A$10000,$AM$2)</f>
        <v>0</v>
      </c>
      <c r="AO34" s="151">
        <f>SUMIFS('SALE-RMC'!$M$6:$M$10000,'SALE-RMC'!$I$6:$I$10000,$B$33:$B$36,'SALE-RMC'!$A$6:$A$10000,$AM$2)</f>
        <v>0</v>
      </c>
      <c r="AP34" s="152">
        <f>SUMIFS('SALE-RMC'!$N$6:$N$10000,'SALE-RMC'!$I$6:$I$10000,$B$33:$B$36,'SALE-RMC'!$A$6:$A$10000,$AM$2)</f>
        <v>0</v>
      </c>
      <c r="AQ34" s="150">
        <f>SUMIFS('SALE-RMC'!$K$6:$K$10000,'SALE-RMC'!$I$6:$I$10000,$B$33:$B$36,'SALE-RMC'!$A$6:$A$10000,$AQ$2)</f>
        <v>0</v>
      </c>
      <c r="AR34" s="151">
        <f>SUMIFS('SALE-RMC'!$L$6:$L$10000,'SALE-RMC'!$I$6:$I$10000,$B$33:$B$36,'SALE-RMC'!$A$6:$A$10000,$AQ$2)</f>
        <v>0</v>
      </c>
      <c r="AS34" s="151">
        <f>SUMIFS('SALE-RMC'!$M$6:$M$10000,'SALE-RMC'!$I$6:$I$10000,$B$33:$B$36,'SALE-RMC'!$A$6:$A$10000,$AQ$2)</f>
        <v>0</v>
      </c>
      <c r="AT34" s="152">
        <f>SUMIFS('SALE-RMC'!$N$6:$N$10000,'SALE-RMC'!$I$6:$I$10000,$B$33:$B$36,'SALE-RMC'!$A$6:$A$10000,$AQ$2)</f>
        <v>0</v>
      </c>
      <c r="AU34" s="150">
        <f>SUMIFS('SALE-RMC'!$K$6:$K$10000,'SALE-RMC'!$I$6:$I$10000,$B$33:$B$36,'SALE-RMC'!$A$6:$A$10000,$AU$2)</f>
        <v>0</v>
      </c>
      <c r="AV34" s="151">
        <f>SUMIFS('SALE-RMC'!$L$6:$L$10000,'SALE-RMC'!$I$6:$I$10000,$B$33:$B$36,'SALE-RMC'!$A$6:$A$10000,$AU$2)</f>
        <v>0</v>
      </c>
      <c r="AW34" s="151">
        <f>SUMIFS('SALE-RMC'!$M$6:$M$10000,'SALE-RMC'!$I$6:$I$10000,$B$33:$B$36,'SALE-RMC'!$A$6:$A$10000,$AU$2)</f>
        <v>0</v>
      </c>
      <c r="AX34" s="152">
        <f>SUMIFS('SALE-RMC'!$N$6:$N$10000,'SALE-RMC'!$I$6:$I$10000,$B$33:$B$36,'SALE-RMC'!$A$6:$A$10000,$AU$2)</f>
        <v>0</v>
      </c>
      <c r="AY34" s="150">
        <f t="shared" si="105"/>
        <v>0</v>
      </c>
      <c r="AZ34" s="151">
        <f t="shared" si="106"/>
        <v>0</v>
      </c>
      <c r="BA34" s="151">
        <f t="shared" si="107"/>
        <v>0</v>
      </c>
      <c r="BB34" s="152">
        <f t="shared" si="108"/>
        <v>0</v>
      </c>
    </row>
    <row r="35" spans="1:54" s="154" customFormat="1" x14ac:dyDescent="0.2">
      <c r="A35" s="155" t="s">
        <v>2550</v>
      </c>
      <c r="B35" s="156">
        <v>18</v>
      </c>
      <c r="C35" s="150">
        <f>SUMIFS('SALE-RMC'!$K$6:$K$10000,'SALE-RMC'!$I$6:$I$10000,$B$33:$B$36,'SALE-RMC'!$A$6:$A$10000,$C$2)</f>
        <v>0</v>
      </c>
      <c r="D35" s="151">
        <f>SUMIFS('SALE-RMC'!$L$6:$L$10000,'SALE-RMC'!$I$6:$I$10000,$B$33:$B$36,'SALE-RMC'!$A$6:$A$10000,$C$2)</f>
        <v>0</v>
      </c>
      <c r="E35" s="151">
        <f>SUMIFS('SALE-RMC'!$M$6:$M$10000,'SALE-RMC'!$I$6:$I$10000,$B$33:$B$36,'SALE-RMC'!$A$6:$A$10000,$C$2)</f>
        <v>0</v>
      </c>
      <c r="F35" s="152">
        <f>SUMIFS('SALE-RMC'!$N$6:$N$10000,'SALE-RMC'!$I$6:$I$10000,$B$33:$B$36,'SALE-RMC'!$A$6:$A$10000,$C$2)</f>
        <v>0</v>
      </c>
      <c r="G35" s="150">
        <f>SUMIFS('SALE-RMC'!$K$6:$K$10000,'SALE-RMC'!$I$6:$I$10000,$B$33:$B$36,'SALE-RMC'!$A$6:$A$10000,$G$2)</f>
        <v>0</v>
      </c>
      <c r="H35" s="151">
        <f>SUMIFS('SALE-RMC'!$L$6:$L$10000,'SALE-RMC'!$I$6:$I$10000,$B$33:$B$36,'SALE-RMC'!$A$6:$A$10000,$G$2)</f>
        <v>0</v>
      </c>
      <c r="I35" s="151">
        <f>SUMIFS('SALE-RMC'!$M$6:$M$10000,'SALE-RMC'!$I$6:$I$10000,$B$33:$B$36,'SALE-RMC'!$A$6:$A$10000,$G$2)</f>
        <v>0</v>
      </c>
      <c r="J35" s="152">
        <f>SUMIFS('SALE-RMC'!$N$6:$N$10000,'SALE-RMC'!$I$6:$I$10000,$B$33:$B$36,'SALE-RMC'!$A$6:$A$10000,$G$2)</f>
        <v>0</v>
      </c>
      <c r="K35" s="150">
        <f>SUMIFS('SALE-RMC'!$K$6:$K$10000,'SALE-RMC'!$I$6:$I$10000,$B$33:$B$36,'SALE-RMC'!$A$6:$A$10000,$K$2)</f>
        <v>0</v>
      </c>
      <c r="L35" s="151">
        <f>SUMIFS('SALE-RMC'!$L$6:$L$10000,'SALE-RMC'!$I$6:$I$10000,$B$33:$B$36,'SALE-RMC'!$A$6:$A$10000,$K$2)</f>
        <v>0</v>
      </c>
      <c r="M35" s="151">
        <f>SUMIFS('SALE-RMC'!$M$6:$M$10000,'SALE-RMC'!$I$6:$I$10000,$B$33:$B$36,'SALE-RMC'!$A$6:$A$10000,$K$2)</f>
        <v>0</v>
      </c>
      <c r="N35" s="152">
        <f>SUMIFS('SALE-RMC'!$N$6:$N$10000,'SALE-RMC'!$I$6:$I$10000,$B$33:$B$36,'SALE-RMC'!$A$6:$A$10000,$K$2)</f>
        <v>0</v>
      </c>
      <c r="O35" s="150">
        <f>SUMIFS('SALE-RMC'!$K$6:$K$10000,'SALE-RMC'!$I$6:$I$10000,$B$33:$B$36,'SALE-RMC'!$A$6:$A$10000,$O$2)</f>
        <v>0</v>
      </c>
      <c r="P35" s="151">
        <f>SUMIFS('SALE-RMC'!$L$6:$L$10000,'SALE-RMC'!$I$6:$I$10000,$B$33:$B$36,'SALE-RMC'!$A$6:$A$10000,$O$2)</f>
        <v>0</v>
      </c>
      <c r="Q35" s="151">
        <f>SUMIFS('SALE-RMC'!$M$6:$M$10000,'SALE-RMC'!$I$6:$I$10000,$B$33:$B$36,'SALE-RMC'!$A$6:$A$10000,$O$2)</f>
        <v>0</v>
      </c>
      <c r="R35" s="152">
        <f>SUMIFS('SALE-RMC'!$N$6:$N$10000,'SALE-RMC'!$I$6:$I$10000,$B$33:$B$36,'SALE-RMC'!$A$6:$A$10000,$O$2)</f>
        <v>0</v>
      </c>
      <c r="S35" s="150">
        <f>SUMIFS('SALE-RMC'!$K$6:$K$10000,'SALE-RMC'!$I$6:$I$10000,$B$33:$B$36,'SALE-RMC'!$A$6:$A$10000,$S$2)</f>
        <v>0</v>
      </c>
      <c r="T35" s="151">
        <f>SUMIFS('SALE-RMC'!$L$6:$L$10000,'SALE-RMC'!$I$6:$I$10000,$B$33:$B$36,'SALE-RMC'!$A$6:$A$10000,$S$2)</f>
        <v>0</v>
      </c>
      <c r="U35" s="151">
        <f>SUMIFS('SALE-RMC'!$M$6:$M$10000,'SALE-RMC'!$I$6:$I$10000,$B$33:$B$36,'SALE-RMC'!$A$6:$A$10000,$S$2)</f>
        <v>0</v>
      </c>
      <c r="V35" s="152">
        <f>SUMIFS('SALE-RMC'!$N$6:$N$10000,'SALE-RMC'!$I$6:$I$10000,$B$33:$B$36,'SALE-RMC'!$A$6:$A$10000,$S$2)</f>
        <v>0</v>
      </c>
      <c r="W35" s="150">
        <f>SUMIFS('SALE-RMC'!$K$6:$K$10000,'SALE-RMC'!$I$6:$I$10000,$B$33:$B$36,'SALE-RMC'!$A$6:$A$10000,$W$2)</f>
        <v>0</v>
      </c>
      <c r="X35" s="151">
        <f>SUMIFS('SALE-RMC'!$L$6:$L$10000,'SALE-RMC'!$I$6:$I$10000,$B$33:$B$36,'SALE-RMC'!$A$6:$A$10000,$W$2)</f>
        <v>0</v>
      </c>
      <c r="Y35" s="151">
        <f>SUMIFS('SALE-RMC'!$M$6:$M$10000,'SALE-RMC'!$I$6:$I$10000,$B$33:$B$36,'SALE-RMC'!$A$6:$A$10000,$W$2)</f>
        <v>0</v>
      </c>
      <c r="Z35" s="152">
        <f>SUMIFS('SALE-RMC'!$N$6:$N$10000,'SALE-RMC'!$I$6:$I$10000,$B$33:$B$36,'SALE-RMC'!$A$6:$A$10000,$W$2)</f>
        <v>0</v>
      </c>
      <c r="AA35" s="150">
        <f>SUMIFS('SALE-RMC'!$K$6:$K$10000,'SALE-RMC'!$I$6:$I$10000,$B$33:$B$36,'SALE-RMC'!$A$6:$A$10000,$AA$2)</f>
        <v>0</v>
      </c>
      <c r="AB35" s="151">
        <f>SUMIFS('SALE-RMC'!$L$6:$L$10000,'SALE-RMC'!$I$6:$I$10000,$B$33:$B$36,'SALE-RMC'!$A$6:$A$10000,$AA$2)</f>
        <v>0</v>
      </c>
      <c r="AC35" s="151">
        <f>SUMIFS('SALE-RMC'!$M$6:$M$10000,'SALE-RMC'!$I$6:$I$10000,$B$33:$B$36,'SALE-RMC'!$A$6:$A$10000,$AA$2)</f>
        <v>0</v>
      </c>
      <c r="AD35" s="152">
        <f>SUMIFS('SALE-RMC'!$N$6:$N$10000,'SALE-RMC'!$I$6:$I$10000,$B$33:$B$36,'SALE-RMC'!$A$6:$A$10000,$AA$2)</f>
        <v>0</v>
      </c>
      <c r="AE35" s="150">
        <f>SUMIFS('SALE-RMC'!$K$6:$K$10000,'SALE-RMC'!$I$6:$I$10000,$B$33:$B$36,'SALE-RMC'!$A$6:$A$10000,$AE$2)</f>
        <v>0</v>
      </c>
      <c r="AF35" s="151">
        <f>SUMIFS('SALE-RMC'!$L$6:$L$10000,'SALE-RMC'!$I$6:$I$10000,$B$33:$B$36,'SALE-RMC'!$A$6:$A$10000,$AE$2)</f>
        <v>0</v>
      </c>
      <c r="AG35" s="151">
        <f>SUMIFS('SALE-RMC'!$M$6:$M$10000,'SALE-RMC'!$I$6:$I$10000,$B$33:$B$36,'SALE-RMC'!$A$6:$A$10000,$AE$2)</f>
        <v>0</v>
      </c>
      <c r="AH35" s="152">
        <f>SUMIFS('SALE-RMC'!$N$6:$N$10000,'SALE-RMC'!$I$6:$I$10000,$B$33:$B$36,'SALE-RMC'!$A$6:$A$10000,$AE$2)</f>
        <v>0</v>
      </c>
      <c r="AI35" s="150">
        <f>SUMIFS('SALE-RMC'!$K$6:$K$10000,'SALE-RMC'!$I$6:$I$10000,$B$33:$B$36,'SALE-RMC'!$A$6:$A$10000,$AI$2)</f>
        <v>0</v>
      </c>
      <c r="AJ35" s="151">
        <f>SUMIFS('SALE-RMC'!$L$6:$L$10000,'SALE-RMC'!$I$6:$I$10000,$B$33:$B$36,'SALE-RMC'!$A$6:$A$10000,$AI$2)</f>
        <v>0</v>
      </c>
      <c r="AK35" s="151">
        <f>SUMIFS('SALE-RMC'!$M$6:$M$10000,'SALE-RMC'!$I$6:$I$10000,$B$33:$B$36,'SALE-RMC'!$A$6:$A$10000,$AI$2)</f>
        <v>0</v>
      </c>
      <c r="AL35" s="152">
        <f>SUMIFS('SALE-RMC'!$N$6:$N$10000,'SALE-RMC'!$I$6:$I$10000,$B$33:$B$36,'SALE-RMC'!$A$6:$A$10000,$AI$2)</f>
        <v>0</v>
      </c>
      <c r="AM35" s="150">
        <f>SUMIFS('SALE-RMC'!$K$6:$K$10000,'SALE-RMC'!$I$6:$I$10000,$B$33:$B$36,'SALE-RMC'!$A$6:$A$10000,$AM$2)</f>
        <v>0</v>
      </c>
      <c r="AN35" s="151">
        <f>SUMIFS('SALE-RMC'!$L$6:$L$10000,'SALE-RMC'!$I$6:$I$10000,$B$33:$B$36,'SALE-RMC'!$A$6:$A$10000,$AM$2)</f>
        <v>0</v>
      </c>
      <c r="AO35" s="151">
        <f>SUMIFS('SALE-RMC'!$M$6:$M$10000,'SALE-RMC'!$I$6:$I$10000,$B$33:$B$36,'SALE-RMC'!$A$6:$A$10000,$AM$2)</f>
        <v>0</v>
      </c>
      <c r="AP35" s="152">
        <f>SUMIFS('SALE-RMC'!$N$6:$N$10000,'SALE-RMC'!$I$6:$I$10000,$B$33:$B$36,'SALE-RMC'!$A$6:$A$10000,$AM$2)</f>
        <v>0</v>
      </c>
      <c r="AQ35" s="150">
        <f>SUMIFS('SALE-RMC'!$K$6:$K$10000,'SALE-RMC'!$I$6:$I$10000,$B$33:$B$36,'SALE-RMC'!$A$6:$A$10000,$AQ$2)</f>
        <v>0</v>
      </c>
      <c r="AR35" s="151">
        <f>SUMIFS('SALE-RMC'!$L$6:$L$10000,'SALE-RMC'!$I$6:$I$10000,$B$33:$B$36,'SALE-RMC'!$A$6:$A$10000,$AQ$2)</f>
        <v>0</v>
      </c>
      <c r="AS35" s="151">
        <f>SUMIFS('SALE-RMC'!$M$6:$M$10000,'SALE-RMC'!$I$6:$I$10000,$B$33:$B$36,'SALE-RMC'!$A$6:$A$10000,$AQ$2)</f>
        <v>0</v>
      </c>
      <c r="AT35" s="152">
        <f>SUMIFS('SALE-RMC'!$N$6:$N$10000,'SALE-RMC'!$I$6:$I$10000,$B$33:$B$36,'SALE-RMC'!$A$6:$A$10000,$AQ$2)</f>
        <v>0</v>
      </c>
      <c r="AU35" s="150">
        <f>SUMIFS('SALE-RMC'!$K$6:$K$10000,'SALE-RMC'!$I$6:$I$10000,$B$33:$B$36,'SALE-RMC'!$A$6:$A$10000,$AU$2)</f>
        <v>0</v>
      </c>
      <c r="AV35" s="151">
        <f>SUMIFS('SALE-RMC'!$L$6:$L$10000,'SALE-RMC'!$I$6:$I$10000,$B$33:$B$36,'SALE-RMC'!$A$6:$A$10000,$AU$2)</f>
        <v>0</v>
      </c>
      <c r="AW35" s="151">
        <f>SUMIFS('SALE-RMC'!$M$6:$M$10000,'SALE-RMC'!$I$6:$I$10000,$B$33:$B$36,'SALE-RMC'!$A$6:$A$10000,$AU$2)</f>
        <v>0</v>
      </c>
      <c r="AX35" s="152">
        <f>SUMIFS('SALE-RMC'!$N$6:$N$10000,'SALE-RMC'!$I$6:$I$10000,$B$33:$B$36,'SALE-RMC'!$A$6:$A$10000,$AU$2)</f>
        <v>0</v>
      </c>
      <c r="AY35" s="150">
        <f t="shared" si="105"/>
        <v>0</v>
      </c>
      <c r="AZ35" s="151">
        <f t="shared" si="106"/>
        <v>0</v>
      </c>
      <c r="BA35" s="151">
        <f t="shared" si="107"/>
        <v>0</v>
      </c>
      <c r="BB35" s="152">
        <f t="shared" si="108"/>
        <v>0</v>
      </c>
    </row>
    <row r="36" spans="1:54" s="154" customFormat="1" x14ac:dyDescent="0.2">
      <c r="A36" s="155" t="s">
        <v>2551</v>
      </c>
      <c r="B36" s="156">
        <v>28</v>
      </c>
      <c r="C36" s="150">
        <f>SUMIFS('SALE-RMC'!$K$6:$K$10000,'SALE-RMC'!$I$6:$I$10000,$B$33:$B$36,'SALE-RMC'!$A$6:$A$10000,$C$2)</f>
        <v>0</v>
      </c>
      <c r="D36" s="151">
        <f>SUMIFS('SALE-RMC'!$L$6:$L$10000,'SALE-RMC'!$I$6:$I$10000,$B$33:$B$36,'SALE-RMC'!$A$6:$A$10000,$C$2)</f>
        <v>0</v>
      </c>
      <c r="E36" s="151">
        <f>SUMIFS('SALE-RMC'!$M$6:$M$10000,'SALE-RMC'!$I$6:$I$10000,$B$33:$B$36,'SALE-RMC'!$A$6:$A$10000,$C$2)</f>
        <v>0</v>
      </c>
      <c r="F36" s="152">
        <f>SUMIFS('SALE-RMC'!$N$6:$N$10000,'SALE-RMC'!$I$6:$I$10000,$B$33:$B$36,'SALE-RMC'!$A$6:$A$10000,$C$2)</f>
        <v>0</v>
      </c>
      <c r="G36" s="150">
        <f>SUMIFS('SALE-RMC'!$K$6:$K$10000,'SALE-RMC'!$I$6:$I$10000,$B$33:$B$36,'SALE-RMC'!$A$6:$A$10000,$G$2)</f>
        <v>0</v>
      </c>
      <c r="H36" s="151">
        <f>SUMIFS('SALE-RMC'!$L$6:$L$10000,'SALE-RMC'!$I$6:$I$10000,$B$33:$B$36,'SALE-RMC'!$A$6:$A$10000,$G$2)</f>
        <v>0</v>
      </c>
      <c r="I36" s="151">
        <f>SUMIFS('SALE-RMC'!$M$6:$M$10000,'SALE-RMC'!$I$6:$I$10000,$B$33:$B$36,'SALE-RMC'!$A$6:$A$10000,$G$2)</f>
        <v>0</v>
      </c>
      <c r="J36" s="152">
        <f>SUMIFS('SALE-RMC'!$N$6:$N$10000,'SALE-RMC'!$I$6:$I$10000,$B$33:$B$36,'SALE-RMC'!$A$6:$A$10000,$G$2)</f>
        <v>0</v>
      </c>
      <c r="K36" s="150">
        <f>SUMIFS('SALE-RMC'!$K$6:$K$10000,'SALE-RMC'!$I$6:$I$10000,$B$33:$B$36,'SALE-RMC'!$A$6:$A$10000,$K$2)</f>
        <v>0</v>
      </c>
      <c r="L36" s="151">
        <f>SUMIFS('SALE-RMC'!$L$6:$L$10000,'SALE-RMC'!$I$6:$I$10000,$B$33:$B$36,'SALE-RMC'!$A$6:$A$10000,$K$2)</f>
        <v>0</v>
      </c>
      <c r="M36" s="151">
        <f>SUMIFS('SALE-RMC'!$M$6:$M$10000,'SALE-RMC'!$I$6:$I$10000,$B$33:$B$36,'SALE-RMC'!$A$6:$A$10000,$K$2)</f>
        <v>0</v>
      </c>
      <c r="N36" s="152">
        <f>SUMIFS('SALE-RMC'!$N$6:$N$10000,'SALE-RMC'!$I$6:$I$10000,$B$33:$B$36,'SALE-RMC'!$A$6:$A$10000,$K$2)</f>
        <v>0</v>
      </c>
      <c r="O36" s="150">
        <f>SUMIFS('SALE-RMC'!$K$6:$K$10000,'SALE-RMC'!$I$6:$I$10000,$B$33:$B$36,'SALE-RMC'!$A$6:$A$10000,$O$2)</f>
        <v>0</v>
      </c>
      <c r="P36" s="151">
        <f>SUMIFS('SALE-RMC'!$L$6:$L$10000,'SALE-RMC'!$I$6:$I$10000,$B$33:$B$36,'SALE-RMC'!$A$6:$A$10000,$O$2)</f>
        <v>0</v>
      </c>
      <c r="Q36" s="151">
        <f>SUMIFS('SALE-RMC'!$M$6:$M$10000,'SALE-RMC'!$I$6:$I$10000,$B$33:$B$36,'SALE-RMC'!$A$6:$A$10000,$O$2)</f>
        <v>0</v>
      </c>
      <c r="R36" s="152">
        <f>SUMIFS('SALE-RMC'!$N$6:$N$10000,'SALE-RMC'!$I$6:$I$10000,$B$33:$B$36,'SALE-RMC'!$A$6:$A$10000,$O$2)</f>
        <v>0</v>
      </c>
      <c r="S36" s="150">
        <f>SUMIFS('SALE-RMC'!$K$6:$K$10000,'SALE-RMC'!$I$6:$I$10000,$B$33:$B$36,'SALE-RMC'!$A$6:$A$10000,$S$2)</f>
        <v>0</v>
      </c>
      <c r="T36" s="151">
        <f>SUMIFS('SALE-RMC'!$L$6:$L$10000,'SALE-RMC'!$I$6:$I$10000,$B$33:$B$36,'SALE-RMC'!$A$6:$A$10000,$S$2)</f>
        <v>0</v>
      </c>
      <c r="U36" s="151">
        <f>SUMIFS('SALE-RMC'!$M$6:$M$10000,'SALE-RMC'!$I$6:$I$10000,$B$33:$B$36,'SALE-RMC'!$A$6:$A$10000,$S$2)</f>
        <v>0</v>
      </c>
      <c r="V36" s="152">
        <f>SUMIFS('SALE-RMC'!$N$6:$N$10000,'SALE-RMC'!$I$6:$I$10000,$B$33:$B$36,'SALE-RMC'!$A$6:$A$10000,$S$2)</f>
        <v>0</v>
      </c>
      <c r="W36" s="150">
        <f>SUMIFS('SALE-RMC'!$K$6:$K$10000,'SALE-RMC'!$I$6:$I$10000,$B$33:$B$36,'SALE-RMC'!$A$6:$A$10000,$W$2)</f>
        <v>0</v>
      </c>
      <c r="X36" s="151">
        <f>SUMIFS('SALE-RMC'!$L$6:$L$10000,'SALE-RMC'!$I$6:$I$10000,$B$33:$B$36,'SALE-RMC'!$A$6:$A$10000,$W$2)</f>
        <v>0</v>
      </c>
      <c r="Y36" s="151">
        <f>SUMIFS('SALE-RMC'!$M$6:$M$10000,'SALE-RMC'!$I$6:$I$10000,$B$33:$B$36,'SALE-RMC'!$A$6:$A$10000,$W$2)</f>
        <v>0</v>
      </c>
      <c r="Z36" s="152">
        <f>SUMIFS('SALE-RMC'!$N$6:$N$10000,'SALE-RMC'!$I$6:$I$10000,$B$33:$B$36,'SALE-RMC'!$A$6:$A$10000,$W$2)</f>
        <v>0</v>
      </c>
      <c r="AA36" s="150">
        <f>SUMIFS('SALE-RMC'!$K$6:$K$10000,'SALE-RMC'!$I$6:$I$10000,$B$33:$B$36,'SALE-RMC'!$A$6:$A$10000,$AA$2)</f>
        <v>0</v>
      </c>
      <c r="AB36" s="151">
        <f>SUMIFS('SALE-RMC'!$L$6:$L$10000,'SALE-RMC'!$I$6:$I$10000,$B$33:$B$36,'SALE-RMC'!$A$6:$A$10000,$AA$2)</f>
        <v>0</v>
      </c>
      <c r="AC36" s="151">
        <f>SUMIFS('SALE-RMC'!$M$6:$M$10000,'SALE-RMC'!$I$6:$I$10000,$B$33:$B$36,'SALE-RMC'!$A$6:$A$10000,$AA$2)</f>
        <v>0</v>
      </c>
      <c r="AD36" s="152">
        <f>SUMIFS('SALE-RMC'!$N$6:$N$10000,'SALE-RMC'!$I$6:$I$10000,$B$33:$B$36,'SALE-RMC'!$A$6:$A$10000,$AA$2)</f>
        <v>0</v>
      </c>
      <c r="AE36" s="150">
        <f>SUMIFS('SALE-RMC'!$K$6:$K$10000,'SALE-RMC'!$I$6:$I$10000,$B$33:$B$36,'SALE-RMC'!$A$6:$A$10000,$AE$2)</f>
        <v>0</v>
      </c>
      <c r="AF36" s="151">
        <f>SUMIFS('SALE-RMC'!$L$6:$L$10000,'SALE-RMC'!$I$6:$I$10000,$B$33:$B$36,'SALE-RMC'!$A$6:$A$10000,$AE$2)</f>
        <v>0</v>
      </c>
      <c r="AG36" s="151">
        <f>SUMIFS('SALE-RMC'!$M$6:$M$10000,'SALE-RMC'!$I$6:$I$10000,$B$33:$B$36,'SALE-RMC'!$A$6:$A$10000,$AE$2)</f>
        <v>0</v>
      </c>
      <c r="AH36" s="152">
        <f>SUMIFS('SALE-RMC'!$N$6:$N$10000,'SALE-RMC'!$I$6:$I$10000,$B$33:$B$36,'SALE-RMC'!$A$6:$A$10000,$AE$2)</f>
        <v>0</v>
      </c>
      <c r="AI36" s="150">
        <f>SUMIFS('SALE-RMC'!$K$6:$K$10000,'SALE-RMC'!$I$6:$I$10000,$B$33:$B$36,'SALE-RMC'!$A$6:$A$10000,$AI$2)</f>
        <v>0</v>
      </c>
      <c r="AJ36" s="151">
        <f>SUMIFS('SALE-RMC'!$L$6:$L$10000,'SALE-RMC'!$I$6:$I$10000,$B$33:$B$36,'SALE-RMC'!$A$6:$A$10000,$AI$2)</f>
        <v>0</v>
      </c>
      <c r="AK36" s="151">
        <f>SUMIFS('SALE-RMC'!$M$6:$M$10000,'SALE-RMC'!$I$6:$I$10000,$B$33:$B$36,'SALE-RMC'!$A$6:$A$10000,$AI$2)</f>
        <v>0</v>
      </c>
      <c r="AL36" s="152">
        <f>SUMIFS('SALE-RMC'!$N$6:$N$10000,'SALE-RMC'!$I$6:$I$10000,$B$33:$B$36,'SALE-RMC'!$A$6:$A$10000,$AI$2)</f>
        <v>0</v>
      </c>
      <c r="AM36" s="150">
        <f>SUMIFS('SALE-RMC'!$K$6:$K$10000,'SALE-RMC'!$I$6:$I$10000,$B$33:$B$36,'SALE-RMC'!$A$6:$A$10000,$AM$2)</f>
        <v>0</v>
      </c>
      <c r="AN36" s="151">
        <f>SUMIFS('SALE-RMC'!$L$6:$L$10000,'SALE-RMC'!$I$6:$I$10000,$B$33:$B$36,'SALE-RMC'!$A$6:$A$10000,$AM$2)</f>
        <v>0</v>
      </c>
      <c r="AO36" s="151">
        <f>SUMIFS('SALE-RMC'!$M$6:$M$10000,'SALE-RMC'!$I$6:$I$10000,$B$33:$B$36,'SALE-RMC'!$A$6:$A$10000,$AM$2)</f>
        <v>0</v>
      </c>
      <c r="AP36" s="152">
        <f>SUMIFS('SALE-RMC'!$N$6:$N$10000,'SALE-RMC'!$I$6:$I$10000,$B$33:$B$36,'SALE-RMC'!$A$6:$A$10000,$AM$2)</f>
        <v>0</v>
      </c>
      <c r="AQ36" s="150">
        <f>SUMIFS('SALE-RMC'!$K$6:$K$10000,'SALE-RMC'!$I$6:$I$10000,$B$33:$B$36,'SALE-RMC'!$A$6:$A$10000,$AQ$2)</f>
        <v>0</v>
      </c>
      <c r="AR36" s="151">
        <f>SUMIFS('SALE-RMC'!$L$6:$L$10000,'SALE-RMC'!$I$6:$I$10000,$B$33:$B$36,'SALE-RMC'!$A$6:$A$10000,$AQ$2)</f>
        <v>0</v>
      </c>
      <c r="AS36" s="151">
        <f>SUMIFS('SALE-RMC'!$M$6:$M$10000,'SALE-RMC'!$I$6:$I$10000,$B$33:$B$36,'SALE-RMC'!$A$6:$A$10000,$AQ$2)</f>
        <v>0</v>
      </c>
      <c r="AT36" s="152">
        <f>SUMIFS('SALE-RMC'!$N$6:$N$10000,'SALE-RMC'!$I$6:$I$10000,$B$33:$B$36,'SALE-RMC'!$A$6:$A$10000,$AQ$2)</f>
        <v>0</v>
      </c>
      <c r="AU36" s="150">
        <f>SUMIFS('SALE-RMC'!$K$6:$K$10000,'SALE-RMC'!$I$6:$I$10000,$B$33:$B$36,'SALE-RMC'!$A$6:$A$10000,$AU$2)</f>
        <v>0</v>
      </c>
      <c r="AV36" s="151">
        <f>SUMIFS('SALE-RMC'!$L$6:$L$10000,'SALE-RMC'!$I$6:$I$10000,$B$33:$B$36,'SALE-RMC'!$A$6:$A$10000,$AU$2)</f>
        <v>0</v>
      </c>
      <c r="AW36" s="151">
        <f>SUMIFS('SALE-RMC'!$M$6:$M$10000,'SALE-RMC'!$I$6:$I$10000,$B$33:$B$36,'SALE-RMC'!$A$6:$A$10000,$AU$2)</f>
        <v>0</v>
      </c>
      <c r="AX36" s="152">
        <f>SUMIFS('SALE-RMC'!$N$6:$N$10000,'SALE-RMC'!$I$6:$I$10000,$B$33:$B$36,'SALE-RMC'!$A$6:$A$10000,$AU$2)</f>
        <v>0</v>
      </c>
      <c r="AY36" s="150">
        <f t="shared" si="105"/>
        <v>0</v>
      </c>
      <c r="AZ36" s="151">
        <f t="shared" si="106"/>
        <v>0</v>
      </c>
      <c r="BA36" s="151">
        <f t="shared" si="107"/>
        <v>0</v>
      </c>
      <c r="BB36" s="152">
        <f t="shared" si="108"/>
        <v>0</v>
      </c>
    </row>
    <row r="37" spans="1:54" s="154" customFormat="1" x14ac:dyDescent="0.2">
      <c r="A37" s="171" t="s">
        <v>2552</v>
      </c>
      <c r="B37" s="171"/>
      <c r="C37" s="159">
        <f>SUM(C33:C36)</f>
        <v>18500</v>
      </c>
      <c r="D37" s="160">
        <f t="shared" ref="D37:F37" si="109">SUM(D33:D36)</f>
        <v>0</v>
      </c>
      <c r="E37" s="160">
        <f t="shared" si="109"/>
        <v>462.5</v>
      </c>
      <c r="F37" s="161">
        <f t="shared" si="109"/>
        <v>462.5</v>
      </c>
      <c r="G37" s="159">
        <f>SUM(G33:G36)</f>
        <v>45560</v>
      </c>
      <c r="H37" s="160">
        <f t="shared" ref="H37:J37" si="110">SUM(H33:H36)</f>
        <v>0</v>
      </c>
      <c r="I37" s="160">
        <f t="shared" si="110"/>
        <v>1139</v>
      </c>
      <c r="J37" s="161">
        <f t="shared" si="110"/>
        <v>1139</v>
      </c>
      <c r="K37" s="159">
        <f>SUM(K33:K36)</f>
        <v>24600</v>
      </c>
      <c r="L37" s="160">
        <f t="shared" ref="L37:N37" si="111">SUM(L33:L36)</f>
        <v>0</v>
      </c>
      <c r="M37" s="160">
        <f t="shared" si="111"/>
        <v>615</v>
      </c>
      <c r="N37" s="161">
        <f t="shared" si="111"/>
        <v>615</v>
      </c>
      <c r="O37" s="159">
        <f>SUM(O33:O36)</f>
        <v>31250</v>
      </c>
      <c r="P37" s="160">
        <f t="shared" ref="P37:R37" si="112">SUM(P33:P36)</f>
        <v>0</v>
      </c>
      <c r="Q37" s="160">
        <f t="shared" si="112"/>
        <v>781.25</v>
      </c>
      <c r="R37" s="161">
        <f t="shared" si="112"/>
        <v>781.25</v>
      </c>
      <c r="S37" s="159">
        <f>SUM(S33:S36)</f>
        <v>35900</v>
      </c>
      <c r="T37" s="160">
        <f t="shared" ref="T37:V37" si="113">SUM(T33:T36)</f>
        <v>0</v>
      </c>
      <c r="U37" s="160">
        <f t="shared" si="113"/>
        <v>897.5</v>
      </c>
      <c r="V37" s="161">
        <f t="shared" si="113"/>
        <v>897.5</v>
      </c>
      <c r="W37" s="159">
        <f>SUM(W33:W36)</f>
        <v>36950</v>
      </c>
      <c r="X37" s="160">
        <f t="shared" ref="X37:Z37" si="114">SUM(X33:X36)</f>
        <v>0</v>
      </c>
      <c r="Y37" s="160">
        <f t="shared" si="114"/>
        <v>923.75</v>
      </c>
      <c r="Z37" s="161">
        <f t="shared" si="114"/>
        <v>923.75</v>
      </c>
      <c r="AA37" s="159">
        <f>SUM(AA33:AA36)</f>
        <v>29100</v>
      </c>
      <c r="AB37" s="160">
        <f t="shared" ref="AB37:AD37" si="115">SUM(AB33:AB36)</f>
        <v>0</v>
      </c>
      <c r="AC37" s="160">
        <f t="shared" si="115"/>
        <v>727.5</v>
      </c>
      <c r="AD37" s="161">
        <f t="shared" si="115"/>
        <v>727.5</v>
      </c>
      <c r="AE37" s="159">
        <f>SUM(AE33:AE36)</f>
        <v>27400</v>
      </c>
      <c r="AF37" s="160">
        <f t="shared" ref="AF37:AH37" si="116">SUM(AF33:AF36)</f>
        <v>0</v>
      </c>
      <c r="AG37" s="160">
        <f t="shared" si="116"/>
        <v>685</v>
      </c>
      <c r="AH37" s="161">
        <f t="shared" si="116"/>
        <v>685</v>
      </c>
      <c r="AI37" s="159">
        <f>SUM(AI33:AI36)</f>
        <v>49761</v>
      </c>
      <c r="AJ37" s="160">
        <f t="shared" ref="AJ37:AL37" si="117">SUM(AJ33:AJ36)</f>
        <v>118.05</v>
      </c>
      <c r="AK37" s="160">
        <f t="shared" si="117"/>
        <v>1185</v>
      </c>
      <c r="AL37" s="161">
        <f t="shared" si="117"/>
        <v>1185</v>
      </c>
      <c r="AM37" s="159">
        <f>SUM(AM33:AM36)</f>
        <v>0</v>
      </c>
      <c r="AN37" s="160">
        <f t="shared" ref="AN37:AP37" si="118">SUM(AN33:AN36)</f>
        <v>0</v>
      </c>
      <c r="AO37" s="160">
        <f t="shared" si="118"/>
        <v>0</v>
      </c>
      <c r="AP37" s="161">
        <f t="shared" si="118"/>
        <v>0</v>
      </c>
      <c r="AQ37" s="159">
        <f>SUM(AQ33:AQ36)</f>
        <v>0</v>
      </c>
      <c r="AR37" s="160">
        <f t="shared" ref="AR37:AT37" si="119">SUM(AR33:AR36)</f>
        <v>0</v>
      </c>
      <c r="AS37" s="160">
        <f t="shared" si="119"/>
        <v>0</v>
      </c>
      <c r="AT37" s="161">
        <f t="shared" si="119"/>
        <v>0</v>
      </c>
      <c r="AU37" s="159">
        <f>SUM(AU33:AU36)</f>
        <v>0</v>
      </c>
      <c r="AV37" s="160">
        <f t="shared" ref="AV37:AX37" si="120">SUM(AV33:AV36)</f>
        <v>0</v>
      </c>
      <c r="AW37" s="160">
        <f t="shared" si="120"/>
        <v>0</v>
      </c>
      <c r="AX37" s="161">
        <f t="shared" si="120"/>
        <v>0</v>
      </c>
      <c r="AY37" s="159">
        <f t="shared" si="105"/>
        <v>299021</v>
      </c>
      <c r="AZ37" s="160">
        <f t="shared" si="106"/>
        <v>118.05</v>
      </c>
      <c r="BA37" s="160">
        <f t="shared" si="107"/>
        <v>7416.5</v>
      </c>
      <c r="BB37" s="161">
        <f t="shared" si="108"/>
        <v>7416.5</v>
      </c>
    </row>
    <row r="38" spans="1:54" s="154" customFormat="1" x14ac:dyDescent="0.2">
      <c r="A38" s="146"/>
      <c r="B38" s="168"/>
      <c r="C38" s="147"/>
      <c r="D38" s="148"/>
      <c r="E38" s="148"/>
      <c r="F38" s="149"/>
      <c r="G38" s="147"/>
      <c r="H38" s="148"/>
      <c r="I38" s="148"/>
      <c r="J38" s="149"/>
      <c r="K38" s="147"/>
      <c r="L38" s="148"/>
      <c r="M38" s="148"/>
      <c r="N38" s="149"/>
      <c r="O38" s="147"/>
      <c r="P38" s="148"/>
      <c r="Q38" s="148"/>
      <c r="R38" s="149"/>
      <c r="S38" s="147"/>
      <c r="T38" s="148"/>
      <c r="U38" s="148"/>
      <c r="V38" s="149"/>
      <c r="W38" s="147"/>
      <c r="X38" s="148"/>
      <c r="Y38" s="148"/>
      <c r="Z38" s="149"/>
      <c r="AA38" s="147"/>
      <c r="AB38" s="148"/>
      <c r="AC38" s="148"/>
      <c r="AD38" s="149"/>
      <c r="AE38" s="147"/>
      <c r="AF38" s="148"/>
      <c r="AG38" s="148"/>
      <c r="AH38" s="149"/>
      <c r="AI38" s="147"/>
      <c r="AJ38" s="148"/>
      <c r="AK38" s="148"/>
      <c r="AL38" s="149"/>
      <c r="AM38" s="147"/>
      <c r="AN38" s="148"/>
      <c r="AO38" s="148"/>
      <c r="AP38" s="149"/>
      <c r="AQ38" s="147"/>
      <c r="AR38" s="148"/>
      <c r="AS38" s="148"/>
      <c r="AT38" s="149"/>
      <c r="AU38" s="147"/>
      <c r="AV38" s="148"/>
      <c r="AW38" s="148"/>
      <c r="AX38" s="149"/>
      <c r="AY38" s="150"/>
      <c r="AZ38" s="151"/>
      <c r="BA38" s="151"/>
      <c r="BB38" s="152"/>
    </row>
    <row r="39" spans="1:54" s="154" customFormat="1" x14ac:dyDescent="0.2">
      <c r="A39" s="163" t="s">
        <v>1047</v>
      </c>
      <c r="B39" s="169"/>
      <c r="C39" s="164"/>
      <c r="D39" s="165"/>
      <c r="E39" s="165"/>
      <c r="F39" s="166"/>
      <c r="G39" s="164"/>
      <c r="H39" s="165"/>
      <c r="I39" s="165"/>
      <c r="J39" s="166"/>
      <c r="K39" s="164"/>
      <c r="L39" s="165"/>
      <c r="M39" s="165"/>
      <c r="N39" s="166"/>
      <c r="O39" s="164"/>
      <c r="P39" s="165"/>
      <c r="Q39" s="165"/>
      <c r="R39" s="166"/>
      <c r="S39" s="164"/>
      <c r="T39" s="165"/>
      <c r="U39" s="165"/>
      <c r="V39" s="166"/>
      <c r="W39" s="164"/>
      <c r="X39" s="165"/>
      <c r="Y39" s="165"/>
      <c r="Z39" s="166"/>
      <c r="AA39" s="164"/>
      <c r="AB39" s="165"/>
      <c r="AC39" s="165"/>
      <c r="AD39" s="166"/>
      <c r="AE39" s="164"/>
      <c r="AF39" s="165"/>
      <c r="AG39" s="165"/>
      <c r="AH39" s="166"/>
      <c r="AI39" s="164"/>
      <c r="AJ39" s="165"/>
      <c r="AK39" s="165"/>
      <c r="AL39" s="166"/>
      <c r="AM39" s="164"/>
      <c r="AN39" s="165"/>
      <c r="AO39" s="165"/>
      <c r="AP39" s="166"/>
      <c r="AQ39" s="164"/>
      <c r="AR39" s="165"/>
      <c r="AS39" s="165"/>
      <c r="AT39" s="166"/>
      <c r="AU39" s="164"/>
      <c r="AV39" s="165"/>
      <c r="AW39" s="165"/>
      <c r="AX39" s="166"/>
      <c r="AY39" s="164"/>
      <c r="AZ39" s="165"/>
      <c r="BA39" s="165"/>
      <c r="BB39" s="166"/>
    </row>
    <row r="40" spans="1:54" s="154" customFormat="1" x14ac:dyDescent="0.2">
      <c r="A40" s="155" t="s">
        <v>2548</v>
      </c>
      <c r="B40" s="156">
        <v>5</v>
      </c>
      <c r="C40" s="150">
        <f>+C26+C33</f>
        <v>18500</v>
      </c>
      <c r="D40" s="151">
        <f t="shared" ref="D40:F40" si="121">+D26+D33</f>
        <v>0</v>
      </c>
      <c r="E40" s="151">
        <f t="shared" si="121"/>
        <v>462.5</v>
      </c>
      <c r="F40" s="152">
        <f t="shared" si="121"/>
        <v>462.5</v>
      </c>
      <c r="G40" s="150">
        <f>+G26+G33</f>
        <v>45560</v>
      </c>
      <c r="H40" s="151">
        <f t="shared" ref="H40:J40" si="122">+H26+H33</f>
        <v>0</v>
      </c>
      <c r="I40" s="151">
        <f t="shared" si="122"/>
        <v>1139</v>
      </c>
      <c r="J40" s="152">
        <f t="shared" si="122"/>
        <v>1139</v>
      </c>
      <c r="K40" s="150">
        <f>+K26+K33</f>
        <v>24600</v>
      </c>
      <c r="L40" s="151">
        <f t="shared" ref="L40:N40" si="123">+L26+L33</f>
        <v>0</v>
      </c>
      <c r="M40" s="151">
        <f t="shared" si="123"/>
        <v>615</v>
      </c>
      <c r="N40" s="152">
        <f t="shared" si="123"/>
        <v>615</v>
      </c>
      <c r="O40" s="150">
        <f>+O26+O33</f>
        <v>31250</v>
      </c>
      <c r="P40" s="151">
        <f t="shared" ref="P40:R40" si="124">+P26+P33</f>
        <v>0</v>
      </c>
      <c r="Q40" s="151">
        <f t="shared" si="124"/>
        <v>781.25</v>
      </c>
      <c r="R40" s="152">
        <f t="shared" si="124"/>
        <v>781.25</v>
      </c>
      <c r="S40" s="150">
        <f>+S26+S33</f>
        <v>35900</v>
      </c>
      <c r="T40" s="151">
        <f t="shared" ref="T40:V40" si="125">+T26+T33</f>
        <v>0</v>
      </c>
      <c r="U40" s="151">
        <f t="shared" si="125"/>
        <v>897.5</v>
      </c>
      <c r="V40" s="152">
        <f t="shared" si="125"/>
        <v>897.5</v>
      </c>
      <c r="W40" s="150">
        <f>+W26+W33</f>
        <v>36950</v>
      </c>
      <c r="X40" s="151">
        <f t="shared" ref="X40:Z40" si="126">+X26+X33</f>
        <v>0</v>
      </c>
      <c r="Y40" s="151">
        <f t="shared" si="126"/>
        <v>923.75</v>
      </c>
      <c r="Z40" s="152">
        <f t="shared" si="126"/>
        <v>923.75</v>
      </c>
      <c r="AA40" s="150">
        <f>+AA26+AA33</f>
        <v>29100</v>
      </c>
      <c r="AB40" s="151">
        <f t="shared" ref="AB40:AD40" si="127">+AB26+AB33</f>
        <v>0</v>
      </c>
      <c r="AC40" s="151">
        <f t="shared" si="127"/>
        <v>727.5</v>
      </c>
      <c r="AD40" s="152">
        <f t="shared" si="127"/>
        <v>727.5</v>
      </c>
      <c r="AE40" s="150">
        <f>+AE26+AE33</f>
        <v>27400</v>
      </c>
      <c r="AF40" s="151">
        <f t="shared" ref="AF40:AH40" si="128">+AF26+AF33</f>
        <v>0</v>
      </c>
      <c r="AG40" s="151">
        <f t="shared" si="128"/>
        <v>685</v>
      </c>
      <c r="AH40" s="152">
        <f t="shared" si="128"/>
        <v>685</v>
      </c>
      <c r="AI40" s="150">
        <f>+AI26+AI33</f>
        <v>49761</v>
      </c>
      <c r="AJ40" s="151">
        <f t="shared" ref="AJ40:AL40" si="129">+AJ26+AJ33</f>
        <v>118.05</v>
      </c>
      <c r="AK40" s="151">
        <f t="shared" si="129"/>
        <v>1185</v>
      </c>
      <c r="AL40" s="152">
        <f t="shared" si="129"/>
        <v>1185</v>
      </c>
      <c r="AM40" s="150">
        <f>+AM26+AM33</f>
        <v>0</v>
      </c>
      <c r="AN40" s="151">
        <f t="shared" ref="AN40:AP40" si="130">+AN26+AN33</f>
        <v>0</v>
      </c>
      <c r="AO40" s="151">
        <f t="shared" si="130"/>
        <v>0</v>
      </c>
      <c r="AP40" s="152">
        <f t="shared" si="130"/>
        <v>0</v>
      </c>
      <c r="AQ40" s="150">
        <f>+AQ26+AQ33</f>
        <v>0</v>
      </c>
      <c r="AR40" s="151">
        <f t="shared" ref="AR40:AT40" si="131">+AR26+AR33</f>
        <v>0</v>
      </c>
      <c r="AS40" s="151">
        <f t="shared" si="131"/>
        <v>0</v>
      </c>
      <c r="AT40" s="152">
        <f t="shared" si="131"/>
        <v>0</v>
      </c>
      <c r="AU40" s="150">
        <f>+AU26+AU33</f>
        <v>0</v>
      </c>
      <c r="AV40" s="151">
        <f t="shared" ref="AV40:AX40" si="132">+AV26+AV33</f>
        <v>0</v>
      </c>
      <c r="AW40" s="151">
        <f t="shared" si="132"/>
        <v>0</v>
      </c>
      <c r="AX40" s="152">
        <f t="shared" si="132"/>
        <v>0</v>
      </c>
      <c r="AY40" s="150">
        <f t="shared" ref="AY40:AY44" si="133">+C40+G40+K40+O40+S40+W40+AA40+AE40+AI40+AM40+AQ40+AU40</f>
        <v>299021</v>
      </c>
      <c r="AZ40" s="151">
        <f t="shared" ref="AZ40:AZ44" si="134">+D40+H40+L40+P40+T40+X40+AB40+AF40+AJ40+AN40+AR40+AV40</f>
        <v>118.05</v>
      </c>
      <c r="BA40" s="151">
        <f t="shared" ref="BA40:BA44" si="135">+E40+I40+M40+Q40+U40+Y40+AC40+AG40+AK40+AO40+AS40+AW40</f>
        <v>7416.5</v>
      </c>
      <c r="BB40" s="152">
        <f t="shared" ref="BB40:BB44" si="136">+F40+J40+N40+R40+V40+Z40+AD40+AH40+AL40+AP40+AT40+AX40</f>
        <v>7416.5</v>
      </c>
    </row>
    <row r="41" spans="1:54" s="154" customFormat="1" x14ac:dyDescent="0.2">
      <c r="A41" s="155" t="s">
        <v>2549</v>
      </c>
      <c r="B41" s="156">
        <v>12</v>
      </c>
      <c r="C41" s="150">
        <f t="shared" ref="C41:F43" si="137">+C27+C34</f>
        <v>0</v>
      </c>
      <c r="D41" s="151">
        <f t="shared" si="137"/>
        <v>0</v>
      </c>
      <c r="E41" s="151">
        <f t="shared" si="137"/>
        <v>0</v>
      </c>
      <c r="F41" s="152">
        <f t="shared" si="137"/>
        <v>0</v>
      </c>
      <c r="G41" s="150">
        <f t="shared" ref="G41:AX41" si="138">+G27+G34</f>
        <v>0</v>
      </c>
      <c r="H41" s="151">
        <f t="shared" si="138"/>
        <v>0</v>
      </c>
      <c r="I41" s="151">
        <f t="shared" si="138"/>
        <v>0</v>
      </c>
      <c r="J41" s="152">
        <f t="shared" si="138"/>
        <v>0</v>
      </c>
      <c r="K41" s="150">
        <f t="shared" si="138"/>
        <v>0</v>
      </c>
      <c r="L41" s="151">
        <f t="shared" si="138"/>
        <v>0</v>
      </c>
      <c r="M41" s="151">
        <f t="shared" si="138"/>
        <v>0</v>
      </c>
      <c r="N41" s="152">
        <f t="shared" si="138"/>
        <v>0</v>
      </c>
      <c r="O41" s="150">
        <f t="shared" si="138"/>
        <v>0</v>
      </c>
      <c r="P41" s="151">
        <f t="shared" si="138"/>
        <v>0</v>
      </c>
      <c r="Q41" s="151">
        <f t="shared" si="138"/>
        <v>0</v>
      </c>
      <c r="R41" s="152">
        <f t="shared" si="138"/>
        <v>0</v>
      </c>
      <c r="S41" s="150">
        <f t="shared" si="138"/>
        <v>0</v>
      </c>
      <c r="T41" s="151">
        <f t="shared" si="138"/>
        <v>0</v>
      </c>
      <c r="U41" s="151">
        <f t="shared" si="138"/>
        <v>0</v>
      </c>
      <c r="V41" s="152">
        <f t="shared" si="138"/>
        <v>0</v>
      </c>
      <c r="W41" s="150">
        <f t="shared" si="138"/>
        <v>0</v>
      </c>
      <c r="X41" s="151">
        <f t="shared" si="138"/>
        <v>0</v>
      </c>
      <c r="Y41" s="151">
        <f t="shared" si="138"/>
        <v>0</v>
      </c>
      <c r="Z41" s="152">
        <f t="shared" si="138"/>
        <v>0</v>
      </c>
      <c r="AA41" s="150">
        <f t="shared" si="138"/>
        <v>1038356.8</v>
      </c>
      <c r="AB41" s="151">
        <f t="shared" si="138"/>
        <v>0</v>
      </c>
      <c r="AC41" s="151">
        <f t="shared" si="138"/>
        <v>62301.407999999996</v>
      </c>
      <c r="AD41" s="152">
        <f t="shared" si="138"/>
        <v>62301.407999999996</v>
      </c>
      <c r="AE41" s="150">
        <f t="shared" si="138"/>
        <v>14775.279999999999</v>
      </c>
      <c r="AF41" s="151">
        <f t="shared" si="138"/>
        <v>0</v>
      </c>
      <c r="AG41" s="151">
        <f t="shared" si="138"/>
        <v>886.51679999999999</v>
      </c>
      <c r="AH41" s="152">
        <f t="shared" si="138"/>
        <v>886.51679999999999</v>
      </c>
      <c r="AI41" s="150">
        <f t="shared" si="138"/>
        <v>0</v>
      </c>
      <c r="AJ41" s="151">
        <f t="shared" si="138"/>
        <v>0</v>
      </c>
      <c r="AK41" s="151">
        <f t="shared" si="138"/>
        <v>0</v>
      </c>
      <c r="AL41" s="152">
        <f t="shared" si="138"/>
        <v>0</v>
      </c>
      <c r="AM41" s="150">
        <f t="shared" si="138"/>
        <v>0</v>
      </c>
      <c r="AN41" s="151">
        <f t="shared" si="138"/>
        <v>0</v>
      </c>
      <c r="AO41" s="151">
        <f t="shared" si="138"/>
        <v>0</v>
      </c>
      <c r="AP41" s="152">
        <f t="shared" si="138"/>
        <v>0</v>
      </c>
      <c r="AQ41" s="150">
        <f t="shared" si="138"/>
        <v>0</v>
      </c>
      <c r="AR41" s="151">
        <f t="shared" si="138"/>
        <v>0</v>
      </c>
      <c r="AS41" s="151">
        <f t="shared" si="138"/>
        <v>0</v>
      </c>
      <c r="AT41" s="152">
        <f t="shared" si="138"/>
        <v>0</v>
      </c>
      <c r="AU41" s="150">
        <f t="shared" si="138"/>
        <v>0</v>
      </c>
      <c r="AV41" s="151">
        <f t="shared" si="138"/>
        <v>0</v>
      </c>
      <c r="AW41" s="151">
        <f t="shared" si="138"/>
        <v>0</v>
      </c>
      <c r="AX41" s="152">
        <f t="shared" si="138"/>
        <v>0</v>
      </c>
      <c r="AY41" s="150">
        <f t="shared" si="133"/>
        <v>1053132.08</v>
      </c>
      <c r="AZ41" s="151">
        <f t="shared" si="134"/>
        <v>0</v>
      </c>
      <c r="BA41" s="151">
        <f t="shared" si="135"/>
        <v>63187.924799999993</v>
      </c>
      <c r="BB41" s="152">
        <f t="shared" si="136"/>
        <v>63187.924799999993</v>
      </c>
    </row>
    <row r="42" spans="1:54" s="154" customFormat="1" x14ac:dyDescent="0.2">
      <c r="A42" s="155" t="s">
        <v>2550</v>
      </c>
      <c r="B42" s="156">
        <v>18</v>
      </c>
      <c r="C42" s="150">
        <f t="shared" si="137"/>
        <v>681824.71</v>
      </c>
      <c r="D42" s="151">
        <f t="shared" si="137"/>
        <v>0</v>
      </c>
      <c r="E42" s="151">
        <f t="shared" si="137"/>
        <v>61364.223900000012</v>
      </c>
      <c r="F42" s="152">
        <f t="shared" si="137"/>
        <v>61364.223900000012</v>
      </c>
      <c r="G42" s="150">
        <f t="shared" ref="G42:AX42" si="139">+G28+G35</f>
        <v>1560599.0399999998</v>
      </c>
      <c r="H42" s="151">
        <f t="shared" si="139"/>
        <v>0</v>
      </c>
      <c r="I42" s="151">
        <f t="shared" si="139"/>
        <v>140453.91359999997</v>
      </c>
      <c r="J42" s="152">
        <f t="shared" si="139"/>
        <v>140453.91359999997</v>
      </c>
      <c r="K42" s="150">
        <f t="shared" si="139"/>
        <v>2073951.9300000002</v>
      </c>
      <c r="L42" s="151">
        <f t="shared" si="139"/>
        <v>0</v>
      </c>
      <c r="M42" s="151">
        <f t="shared" si="139"/>
        <v>186655.67369999996</v>
      </c>
      <c r="N42" s="152">
        <f t="shared" si="139"/>
        <v>186655.67369999996</v>
      </c>
      <c r="O42" s="150">
        <f t="shared" si="139"/>
        <v>2657766.46</v>
      </c>
      <c r="P42" s="151">
        <f t="shared" si="139"/>
        <v>0</v>
      </c>
      <c r="Q42" s="151">
        <f t="shared" si="139"/>
        <v>239198.98139999999</v>
      </c>
      <c r="R42" s="152">
        <f t="shared" si="139"/>
        <v>239198.98139999999</v>
      </c>
      <c r="S42" s="150">
        <f t="shared" si="139"/>
        <v>2750289.1599999997</v>
      </c>
      <c r="T42" s="151">
        <f t="shared" si="139"/>
        <v>0</v>
      </c>
      <c r="U42" s="151">
        <f t="shared" si="139"/>
        <v>247526.02439999999</v>
      </c>
      <c r="V42" s="152">
        <f t="shared" si="139"/>
        <v>247526.02439999999</v>
      </c>
      <c r="W42" s="150">
        <f t="shared" si="139"/>
        <v>2727326.14</v>
      </c>
      <c r="X42" s="151">
        <f t="shared" si="139"/>
        <v>0</v>
      </c>
      <c r="Y42" s="151">
        <f t="shared" si="139"/>
        <v>245459.36260000002</v>
      </c>
      <c r="Z42" s="152">
        <f t="shared" si="139"/>
        <v>245719.64260000002</v>
      </c>
      <c r="AA42" s="150">
        <f t="shared" si="139"/>
        <v>1476591.78</v>
      </c>
      <c r="AB42" s="151">
        <f t="shared" si="139"/>
        <v>0</v>
      </c>
      <c r="AC42" s="151">
        <f t="shared" si="139"/>
        <v>132893.26019999999</v>
      </c>
      <c r="AD42" s="152">
        <f t="shared" si="139"/>
        <v>132893.26019999999</v>
      </c>
      <c r="AE42" s="150">
        <f t="shared" si="139"/>
        <v>597093.06000000006</v>
      </c>
      <c r="AF42" s="151">
        <f t="shared" si="139"/>
        <v>0</v>
      </c>
      <c r="AG42" s="151">
        <f t="shared" si="139"/>
        <v>53738.375399999997</v>
      </c>
      <c r="AH42" s="152">
        <f t="shared" si="139"/>
        <v>53738.375399999997</v>
      </c>
      <c r="AI42" s="150">
        <f t="shared" si="139"/>
        <v>0</v>
      </c>
      <c r="AJ42" s="151">
        <f t="shared" si="139"/>
        <v>0</v>
      </c>
      <c r="AK42" s="151">
        <f t="shared" si="139"/>
        <v>0</v>
      </c>
      <c r="AL42" s="152">
        <f t="shared" si="139"/>
        <v>0</v>
      </c>
      <c r="AM42" s="150">
        <f t="shared" si="139"/>
        <v>0</v>
      </c>
      <c r="AN42" s="151">
        <f t="shared" si="139"/>
        <v>0</v>
      </c>
      <c r="AO42" s="151">
        <f t="shared" si="139"/>
        <v>0</v>
      </c>
      <c r="AP42" s="152">
        <f t="shared" si="139"/>
        <v>0</v>
      </c>
      <c r="AQ42" s="150">
        <f t="shared" si="139"/>
        <v>0</v>
      </c>
      <c r="AR42" s="151">
        <f t="shared" si="139"/>
        <v>0</v>
      </c>
      <c r="AS42" s="151">
        <f t="shared" si="139"/>
        <v>0</v>
      </c>
      <c r="AT42" s="152">
        <f t="shared" si="139"/>
        <v>0</v>
      </c>
      <c r="AU42" s="150">
        <f t="shared" si="139"/>
        <v>0</v>
      </c>
      <c r="AV42" s="151">
        <f t="shared" si="139"/>
        <v>0</v>
      </c>
      <c r="AW42" s="151">
        <f t="shared" si="139"/>
        <v>0</v>
      </c>
      <c r="AX42" s="152">
        <f t="shared" si="139"/>
        <v>0</v>
      </c>
      <c r="AY42" s="150">
        <f t="shared" si="133"/>
        <v>14525442.279999999</v>
      </c>
      <c r="AZ42" s="151">
        <f t="shared" si="134"/>
        <v>0</v>
      </c>
      <c r="BA42" s="151">
        <f t="shared" si="135"/>
        <v>1307289.8151999998</v>
      </c>
      <c r="BB42" s="152">
        <f t="shared" si="136"/>
        <v>1307550.0951999999</v>
      </c>
    </row>
    <row r="43" spans="1:54" s="154" customFormat="1" x14ac:dyDescent="0.2">
      <c r="A43" s="155" t="s">
        <v>2551</v>
      </c>
      <c r="B43" s="156">
        <v>28</v>
      </c>
      <c r="C43" s="150">
        <f t="shared" si="137"/>
        <v>2666856.0599999977</v>
      </c>
      <c r="D43" s="151">
        <f t="shared" si="137"/>
        <v>34940.687599999997</v>
      </c>
      <c r="E43" s="151">
        <f t="shared" si="137"/>
        <v>355889.50459999993</v>
      </c>
      <c r="F43" s="152">
        <f t="shared" si="137"/>
        <v>355889.50459999993</v>
      </c>
      <c r="G43" s="150">
        <f t="shared" ref="G43:AX43" si="140">+G29+G36</f>
        <v>2496959.66</v>
      </c>
      <c r="H43" s="151">
        <f t="shared" si="140"/>
        <v>55549.74040000001</v>
      </c>
      <c r="I43" s="151">
        <f t="shared" si="140"/>
        <v>321799.48220000003</v>
      </c>
      <c r="J43" s="152">
        <f t="shared" si="140"/>
        <v>325352.74940000003</v>
      </c>
      <c r="K43" s="150">
        <f t="shared" si="140"/>
        <v>3674431.2439999986</v>
      </c>
      <c r="L43" s="151">
        <f t="shared" si="140"/>
        <v>141109.85840000003</v>
      </c>
      <c r="M43" s="151">
        <f t="shared" si="140"/>
        <v>443865.44496000023</v>
      </c>
      <c r="N43" s="152">
        <f t="shared" si="140"/>
        <v>446710.35836000025</v>
      </c>
      <c r="O43" s="150">
        <f t="shared" si="140"/>
        <v>3892402.4899999988</v>
      </c>
      <c r="P43" s="151">
        <f t="shared" si="140"/>
        <v>64427.327999999994</v>
      </c>
      <c r="Q43" s="151">
        <f t="shared" si="140"/>
        <v>512722.68460000021</v>
      </c>
      <c r="R43" s="152">
        <f t="shared" si="140"/>
        <v>527122.13400000019</v>
      </c>
      <c r="S43" s="150">
        <f t="shared" si="140"/>
        <v>2612028.4600000004</v>
      </c>
      <c r="T43" s="151">
        <f t="shared" si="140"/>
        <v>30473.3688</v>
      </c>
      <c r="U43" s="151">
        <f t="shared" si="140"/>
        <v>350447.30000000022</v>
      </c>
      <c r="V43" s="152">
        <f t="shared" si="140"/>
        <v>367245.31200000021</v>
      </c>
      <c r="W43" s="150">
        <f t="shared" si="140"/>
        <v>2058441.7500000005</v>
      </c>
      <c r="X43" s="151">
        <f t="shared" si="140"/>
        <v>75713.330000000016</v>
      </c>
      <c r="Y43" s="151">
        <f t="shared" si="140"/>
        <v>250325.16999999995</v>
      </c>
      <c r="Z43" s="152">
        <f t="shared" si="140"/>
        <v>250325.16999999995</v>
      </c>
      <c r="AA43" s="150">
        <f t="shared" si="140"/>
        <v>1788966.4400000004</v>
      </c>
      <c r="AB43" s="151">
        <f t="shared" si="140"/>
        <v>51945.630799999992</v>
      </c>
      <c r="AC43" s="151">
        <f t="shared" si="140"/>
        <v>224482.48619999996</v>
      </c>
      <c r="AD43" s="152">
        <f t="shared" si="140"/>
        <v>224482.48619999996</v>
      </c>
      <c r="AE43" s="150">
        <f t="shared" si="140"/>
        <v>682727.39999999991</v>
      </c>
      <c r="AF43" s="151">
        <f t="shared" si="140"/>
        <v>36691.986799999999</v>
      </c>
      <c r="AG43" s="151">
        <f t="shared" si="140"/>
        <v>77235.842600000004</v>
      </c>
      <c r="AH43" s="152">
        <f t="shared" si="140"/>
        <v>77235.842600000004</v>
      </c>
      <c r="AI43" s="150">
        <f t="shared" si="140"/>
        <v>0</v>
      </c>
      <c r="AJ43" s="151">
        <f t="shared" si="140"/>
        <v>0</v>
      </c>
      <c r="AK43" s="151">
        <f t="shared" si="140"/>
        <v>0</v>
      </c>
      <c r="AL43" s="152">
        <f t="shared" si="140"/>
        <v>0</v>
      </c>
      <c r="AM43" s="150">
        <f t="shared" si="140"/>
        <v>0</v>
      </c>
      <c r="AN43" s="151">
        <f t="shared" si="140"/>
        <v>0</v>
      </c>
      <c r="AO43" s="151">
        <f t="shared" si="140"/>
        <v>0</v>
      </c>
      <c r="AP43" s="152">
        <f t="shared" si="140"/>
        <v>0</v>
      </c>
      <c r="AQ43" s="150">
        <f t="shared" si="140"/>
        <v>0</v>
      </c>
      <c r="AR43" s="151">
        <f t="shared" si="140"/>
        <v>0</v>
      </c>
      <c r="AS43" s="151">
        <f t="shared" si="140"/>
        <v>0</v>
      </c>
      <c r="AT43" s="152">
        <f t="shared" si="140"/>
        <v>0</v>
      </c>
      <c r="AU43" s="150">
        <f t="shared" si="140"/>
        <v>0</v>
      </c>
      <c r="AV43" s="151">
        <f t="shared" si="140"/>
        <v>0</v>
      </c>
      <c r="AW43" s="151">
        <f t="shared" si="140"/>
        <v>0</v>
      </c>
      <c r="AX43" s="152">
        <f t="shared" si="140"/>
        <v>0</v>
      </c>
      <c r="AY43" s="150">
        <f t="shared" si="133"/>
        <v>19872813.503999997</v>
      </c>
      <c r="AZ43" s="151">
        <f t="shared" si="134"/>
        <v>490851.93080000003</v>
      </c>
      <c r="BA43" s="151">
        <f t="shared" si="135"/>
        <v>2536767.9151600008</v>
      </c>
      <c r="BB43" s="152">
        <f t="shared" si="136"/>
        <v>2574363.5571600008</v>
      </c>
    </row>
    <row r="44" spans="1:54" s="154" customFormat="1" x14ac:dyDescent="0.2">
      <c r="A44" s="171" t="s">
        <v>1054</v>
      </c>
      <c r="B44" s="171"/>
      <c r="C44" s="159">
        <f>SUM(C40:C43)</f>
        <v>3367180.7699999977</v>
      </c>
      <c r="D44" s="160">
        <f t="shared" ref="D44:F44" si="141">SUM(D40:D43)</f>
        <v>34940.687599999997</v>
      </c>
      <c r="E44" s="160">
        <f t="shared" si="141"/>
        <v>417716.22849999997</v>
      </c>
      <c r="F44" s="161">
        <f t="shared" si="141"/>
        <v>417716.22849999997</v>
      </c>
      <c r="G44" s="159">
        <f>SUM(G40:G43)</f>
        <v>4103118.7</v>
      </c>
      <c r="H44" s="160">
        <f t="shared" ref="H44:J44" si="142">SUM(H40:H43)</f>
        <v>55549.74040000001</v>
      </c>
      <c r="I44" s="160">
        <f t="shared" si="142"/>
        <v>463392.3958</v>
      </c>
      <c r="J44" s="161">
        <f t="shared" si="142"/>
        <v>466945.663</v>
      </c>
      <c r="K44" s="159">
        <f>SUM(K40:K43)</f>
        <v>5772983.1739999987</v>
      </c>
      <c r="L44" s="160">
        <f t="shared" ref="L44:N44" si="143">SUM(L40:L43)</f>
        <v>141109.85840000003</v>
      </c>
      <c r="M44" s="160">
        <f t="shared" si="143"/>
        <v>631136.11866000015</v>
      </c>
      <c r="N44" s="161">
        <f t="shared" si="143"/>
        <v>633981.03206000023</v>
      </c>
      <c r="O44" s="159">
        <f>SUM(O40:O43)</f>
        <v>6581418.9499999993</v>
      </c>
      <c r="P44" s="160">
        <f t="shared" ref="P44:R44" si="144">SUM(P40:P43)</f>
        <v>64427.327999999994</v>
      </c>
      <c r="Q44" s="160">
        <f t="shared" si="144"/>
        <v>752702.9160000002</v>
      </c>
      <c r="R44" s="161">
        <f t="shared" si="144"/>
        <v>767102.36540000024</v>
      </c>
      <c r="S44" s="159">
        <f>SUM(S40:S43)</f>
        <v>5398217.6200000001</v>
      </c>
      <c r="T44" s="160">
        <f t="shared" ref="T44:V44" si="145">SUM(T40:T43)</f>
        <v>30473.3688</v>
      </c>
      <c r="U44" s="160">
        <f t="shared" si="145"/>
        <v>598870.82440000027</v>
      </c>
      <c r="V44" s="161">
        <f t="shared" si="145"/>
        <v>615668.83640000015</v>
      </c>
      <c r="W44" s="159">
        <f>SUM(W40:W43)</f>
        <v>4822717.8900000006</v>
      </c>
      <c r="X44" s="160">
        <f t="shared" ref="X44:Z44" si="146">SUM(X40:X43)</f>
        <v>75713.330000000016</v>
      </c>
      <c r="Y44" s="160">
        <f t="shared" si="146"/>
        <v>496708.28259999998</v>
      </c>
      <c r="Z44" s="161">
        <f t="shared" si="146"/>
        <v>496968.56259999995</v>
      </c>
      <c r="AA44" s="159">
        <f>SUM(AA40:AA43)</f>
        <v>4333015.0200000005</v>
      </c>
      <c r="AB44" s="160">
        <f t="shared" ref="AB44:AD44" si="147">SUM(AB40:AB43)</f>
        <v>51945.630799999992</v>
      </c>
      <c r="AC44" s="160">
        <f t="shared" si="147"/>
        <v>420404.65439999994</v>
      </c>
      <c r="AD44" s="161">
        <f t="shared" si="147"/>
        <v>420404.65439999994</v>
      </c>
      <c r="AE44" s="159">
        <f>SUM(AE40:AE43)</f>
        <v>1321995.74</v>
      </c>
      <c r="AF44" s="160">
        <f t="shared" ref="AF44:AH44" si="148">SUM(AF40:AF43)</f>
        <v>36691.986799999999</v>
      </c>
      <c r="AG44" s="160">
        <f t="shared" si="148"/>
        <v>132545.73480000001</v>
      </c>
      <c r="AH44" s="161">
        <f t="shared" si="148"/>
        <v>132545.73480000001</v>
      </c>
      <c r="AI44" s="159">
        <f>SUM(AI40:AI43)</f>
        <v>49761</v>
      </c>
      <c r="AJ44" s="160">
        <f t="shared" ref="AJ44:AL44" si="149">SUM(AJ40:AJ43)</f>
        <v>118.05</v>
      </c>
      <c r="AK44" s="160">
        <f t="shared" si="149"/>
        <v>1185</v>
      </c>
      <c r="AL44" s="161">
        <f t="shared" si="149"/>
        <v>1185</v>
      </c>
      <c r="AM44" s="159">
        <f>SUM(AM40:AM43)</f>
        <v>0</v>
      </c>
      <c r="AN44" s="160">
        <f t="shared" ref="AN44:AP44" si="150">SUM(AN40:AN43)</f>
        <v>0</v>
      </c>
      <c r="AO44" s="160">
        <f t="shared" si="150"/>
        <v>0</v>
      </c>
      <c r="AP44" s="161">
        <f t="shared" si="150"/>
        <v>0</v>
      </c>
      <c r="AQ44" s="159">
        <f>SUM(AQ40:AQ43)</f>
        <v>0</v>
      </c>
      <c r="AR44" s="160">
        <f t="shared" ref="AR44:AT44" si="151">SUM(AR40:AR43)</f>
        <v>0</v>
      </c>
      <c r="AS44" s="160">
        <f t="shared" si="151"/>
        <v>0</v>
      </c>
      <c r="AT44" s="161">
        <f t="shared" si="151"/>
        <v>0</v>
      </c>
      <c r="AU44" s="159">
        <f>SUM(AU40:AU43)</f>
        <v>0</v>
      </c>
      <c r="AV44" s="160">
        <f t="shared" ref="AV44:AX44" si="152">SUM(AV40:AV43)</f>
        <v>0</v>
      </c>
      <c r="AW44" s="160">
        <f t="shared" si="152"/>
        <v>0</v>
      </c>
      <c r="AX44" s="161">
        <f t="shared" si="152"/>
        <v>0</v>
      </c>
      <c r="AY44" s="159">
        <f t="shared" si="133"/>
        <v>35750408.864</v>
      </c>
      <c r="AZ44" s="160">
        <f t="shared" si="134"/>
        <v>490969.98080000002</v>
      </c>
      <c r="BA44" s="160">
        <f t="shared" si="135"/>
        <v>3914662.155160001</v>
      </c>
      <c r="BB44" s="161">
        <f t="shared" si="136"/>
        <v>3952518.0771600008</v>
      </c>
    </row>
    <row r="45" spans="1:54" s="154" customFormat="1" x14ac:dyDescent="0.2">
      <c r="A45" s="138"/>
      <c r="B45" s="138"/>
      <c r="C45" s="150"/>
      <c r="D45" s="151"/>
      <c r="E45" s="151"/>
      <c r="F45" s="152"/>
      <c r="G45" s="150"/>
      <c r="H45" s="151"/>
      <c r="I45" s="151"/>
      <c r="J45" s="152"/>
      <c r="K45" s="150"/>
      <c r="L45" s="151"/>
      <c r="M45" s="151"/>
      <c r="N45" s="152"/>
      <c r="O45" s="150"/>
      <c r="P45" s="151"/>
      <c r="Q45" s="151"/>
      <c r="R45" s="152"/>
      <c r="S45" s="150"/>
      <c r="T45" s="151"/>
      <c r="U45" s="151"/>
      <c r="V45" s="152"/>
      <c r="W45" s="150"/>
      <c r="X45" s="151"/>
      <c r="Y45" s="151"/>
      <c r="Z45" s="152"/>
      <c r="AA45" s="150"/>
      <c r="AB45" s="151"/>
      <c r="AC45" s="151"/>
      <c r="AD45" s="152"/>
      <c r="AE45" s="150"/>
      <c r="AF45" s="151"/>
      <c r="AG45" s="151"/>
      <c r="AH45" s="152"/>
      <c r="AI45" s="150"/>
      <c r="AJ45" s="151"/>
      <c r="AK45" s="151"/>
      <c r="AL45" s="152"/>
      <c r="AM45" s="150"/>
      <c r="AN45" s="151"/>
      <c r="AO45" s="151"/>
      <c r="AP45" s="152"/>
      <c r="AQ45" s="150"/>
      <c r="AR45" s="151"/>
      <c r="AS45" s="151"/>
      <c r="AT45" s="152"/>
      <c r="AU45" s="150"/>
      <c r="AV45" s="151"/>
      <c r="AW45" s="151"/>
      <c r="AX45" s="152"/>
      <c r="AY45" s="150"/>
      <c r="AZ45" s="151"/>
      <c r="BA45" s="151"/>
      <c r="BB45" s="152"/>
    </row>
    <row r="46" spans="1:54" s="154" customFormat="1" ht="10.8" thickBot="1" x14ac:dyDescent="0.25">
      <c r="A46" s="137" t="s">
        <v>1049</v>
      </c>
      <c r="B46" s="137"/>
      <c r="C46" s="172"/>
      <c r="D46" s="173"/>
      <c r="E46" s="173"/>
      <c r="F46" s="174"/>
      <c r="G46" s="172"/>
      <c r="H46" s="173"/>
      <c r="I46" s="173"/>
      <c r="J46" s="174"/>
      <c r="K46" s="172"/>
      <c r="L46" s="173"/>
      <c r="M46" s="173"/>
      <c r="N46" s="174"/>
      <c r="O46" s="172"/>
      <c r="P46" s="173"/>
      <c r="Q46" s="173"/>
      <c r="R46" s="174"/>
      <c r="S46" s="172"/>
      <c r="T46" s="173"/>
      <c r="U46" s="173"/>
      <c r="V46" s="174"/>
      <c r="W46" s="172"/>
      <c r="X46" s="173"/>
      <c r="Y46" s="173"/>
      <c r="Z46" s="174"/>
      <c r="AA46" s="172"/>
      <c r="AB46" s="173"/>
      <c r="AC46" s="173"/>
      <c r="AD46" s="174"/>
      <c r="AE46" s="172"/>
      <c r="AF46" s="173"/>
      <c r="AG46" s="173"/>
      <c r="AH46" s="174"/>
      <c r="AI46" s="172"/>
      <c r="AJ46" s="173"/>
      <c r="AK46" s="173"/>
      <c r="AL46" s="174"/>
      <c r="AM46" s="172"/>
      <c r="AN46" s="173"/>
      <c r="AO46" s="173"/>
      <c r="AP46" s="174"/>
      <c r="AQ46" s="172"/>
      <c r="AR46" s="173"/>
      <c r="AS46" s="173"/>
      <c r="AT46" s="174"/>
      <c r="AU46" s="172"/>
      <c r="AV46" s="173"/>
      <c r="AW46" s="173"/>
      <c r="AX46" s="174"/>
      <c r="AY46" s="172"/>
      <c r="AZ46" s="173"/>
      <c r="BA46" s="173"/>
      <c r="BB46" s="174"/>
    </row>
    <row r="47" spans="1:54" ht="11.4" thickTop="1" thickBot="1" x14ac:dyDescent="0.25">
      <c r="A47" s="1270" t="s">
        <v>1050</v>
      </c>
      <c r="B47" s="1272" t="s">
        <v>10</v>
      </c>
      <c r="C47" s="1256">
        <v>43556</v>
      </c>
      <c r="D47" s="1257"/>
      <c r="E47" s="1257"/>
      <c r="F47" s="1258"/>
      <c r="G47" s="1256">
        <v>43586</v>
      </c>
      <c r="H47" s="1257"/>
      <c r="I47" s="1257"/>
      <c r="J47" s="1258"/>
      <c r="K47" s="1256">
        <v>43617</v>
      </c>
      <c r="L47" s="1257"/>
      <c r="M47" s="1257"/>
      <c r="N47" s="1258"/>
      <c r="O47" s="1256">
        <v>43647</v>
      </c>
      <c r="P47" s="1257"/>
      <c r="Q47" s="1257"/>
      <c r="R47" s="1258"/>
      <c r="S47" s="1256">
        <v>43678</v>
      </c>
      <c r="T47" s="1257"/>
      <c r="U47" s="1257"/>
      <c r="V47" s="1258"/>
      <c r="W47" s="1256">
        <v>43709</v>
      </c>
      <c r="X47" s="1257"/>
      <c r="Y47" s="1257"/>
      <c r="Z47" s="1258"/>
      <c r="AA47" s="1256">
        <v>43739</v>
      </c>
      <c r="AB47" s="1257"/>
      <c r="AC47" s="1257"/>
      <c r="AD47" s="1258"/>
      <c r="AE47" s="1256">
        <v>43770</v>
      </c>
      <c r="AF47" s="1257"/>
      <c r="AG47" s="1257"/>
      <c r="AH47" s="1258"/>
      <c r="AI47" s="1256">
        <v>43800</v>
      </c>
      <c r="AJ47" s="1257"/>
      <c r="AK47" s="1257"/>
      <c r="AL47" s="1258"/>
      <c r="AM47" s="1256">
        <v>43831</v>
      </c>
      <c r="AN47" s="1257"/>
      <c r="AO47" s="1257"/>
      <c r="AP47" s="1258"/>
      <c r="AQ47" s="1256">
        <v>43862</v>
      </c>
      <c r="AR47" s="1257"/>
      <c r="AS47" s="1257"/>
      <c r="AT47" s="1258"/>
      <c r="AU47" s="1256">
        <v>43891</v>
      </c>
      <c r="AV47" s="1257"/>
      <c r="AW47" s="1257"/>
      <c r="AX47" s="1258"/>
      <c r="AY47" s="1259" t="s">
        <v>1041</v>
      </c>
      <c r="AZ47" s="1260"/>
      <c r="BA47" s="1260"/>
      <c r="BB47" s="1261"/>
    </row>
    <row r="48" spans="1:54" ht="11.4" thickTop="1" thickBot="1" x14ac:dyDescent="0.25">
      <c r="A48" s="1271"/>
      <c r="B48" s="1273"/>
      <c r="C48" s="139"/>
      <c r="D48" s="140"/>
      <c r="E48" s="140"/>
      <c r="F48" s="141"/>
      <c r="G48" s="139"/>
      <c r="H48" s="140"/>
      <c r="I48" s="140"/>
      <c r="J48" s="141"/>
      <c r="K48" s="139"/>
      <c r="L48" s="140"/>
      <c r="M48" s="140"/>
      <c r="N48" s="141"/>
      <c r="O48" s="139"/>
      <c r="P48" s="140"/>
      <c r="Q48" s="140"/>
      <c r="R48" s="141"/>
      <c r="S48" s="139"/>
      <c r="T48" s="140"/>
      <c r="U48" s="140"/>
      <c r="V48" s="141"/>
      <c r="W48" s="139"/>
      <c r="X48" s="140"/>
      <c r="Y48" s="140"/>
      <c r="Z48" s="141"/>
      <c r="AA48" s="139"/>
      <c r="AB48" s="140"/>
      <c r="AC48" s="140"/>
      <c r="AD48" s="141"/>
      <c r="AE48" s="139"/>
      <c r="AF48" s="140"/>
      <c r="AG48" s="140"/>
      <c r="AH48" s="141"/>
      <c r="AI48" s="139" t="s">
        <v>1042</v>
      </c>
      <c r="AJ48" s="140" t="s">
        <v>16</v>
      </c>
      <c r="AK48" s="140" t="s">
        <v>17</v>
      </c>
      <c r="AL48" s="141" t="s">
        <v>18</v>
      </c>
      <c r="AM48" s="139" t="s">
        <v>1042</v>
      </c>
      <c r="AN48" s="140" t="s">
        <v>16</v>
      </c>
      <c r="AO48" s="140" t="s">
        <v>17</v>
      </c>
      <c r="AP48" s="141" t="s">
        <v>18</v>
      </c>
      <c r="AQ48" s="139" t="s">
        <v>1042</v>
      </c>
      <c r="AR48" s="140" t="s">
        <v>16</v>
      </c>
      <c r="AS48" s="140" t="s">
        <v>17</v>
      </c>
      <c r="AT48" s="141" t="s">
        <v>18</v>
      </c>
      <c r="AU48" s="139" t="s">
        <v>1042</v>
      </c>
      <c r="AV48" s="140" t="s">
        <v>16</v>
      </c>
      <c r="AW48" s="140" t="s">
        <v>17</v>
      </c>
      <c r="AX48" s="141" t="s">
        <v>18</v>
      </c>
      <c r="AY48" s="175" t="s">
        <v>1042</v>
      </c>
      <c r="AZ48" s="176" t="s">
        <v>16</v>
      </c>
      <c r="BA48" s="176" t="s">
        <v>17</v>
      </c>
      <c r="BB48" s="177" t="s">
        <v>18</v>
      </c>
    </row>
    <row r="49" spans="1:54" ht="10.8" thickTop="1" x14ac:dyDescent="0.2">
      <c r="A49" s="146" t="s">
        <v>1051</v>
      </c>
      <c r="B49" s="74" t="s">
        <v>22</v>
      </c>
      <c r="C49" s="150"/>
      <c r="D49" s="151"/>
      <c r="E49" s="151"/>
      <c r="F49" s="152"/>
      <c r="G49" s="150"/>
      <c r="H49" s="151"/>
      <c r="I49" s="151"/>
      <c r="J49" s="152"/>
      <c r="K49" s="150"/>
      <c r="L49" s="151"/>
      <c r="M49" s="151"/>
      <c r="N49" s="152"/>
      <c r="O49" s="150"/>
      <c r="P49" s="151"/>
      <c r="Q49" s="151"/>
      <c r="R49" s="152"/>
      <c r="S49" s="150"/>
      <c r="T49" s="151"/>
      <c r="U49" s="151"/>
      <c r="V49" s="152"/>
      <c r="W49" s="150"/>
      <c r="X49" s="151"/>
      <c r="Y49" s="151"/>
      <c r="Z49" s="152"/>
      <c r="AA49" s="150"/>
      <c r="AB49" s="151"/>
      <c r="AC49" s="151"/>
      <c r="AD49" s="152"/>
      <c r="AE49" s="150"/>
      <c r="AF49" s="151"/>
      <c r="AG49" s="151"/>
      <c r="AH49" s="152"/>
      <c r="AI49" s="150"/>
      <c r="AJ49" s="151"/>
      <c r="AK49" s="151"/>
      <c r="AL49" s="152"/>
      <c r="AM49" s="150"/>
      <c r="AN49" s="151"/>
      <c r="AO49" s="151"/>
      <c r="AP49" s="152"/>
      <c r="AQ49" s="150"/>
      <c r="AR49" s="151"/>
      <c r="AS49" s="151"/>
      <c r="AT49" s="152"/>
      <c r="AU49" s="150"/>
      <c r="AV49" s="151"/>
      <c r="AW49" s="151"/>
      <c r="AX49" s="152"/>
      <c r="AY49" s="150">
        <v>0</v>
      </c>
      <c r="AZ49" s="151">
        <v>0</v>
      </c>
      <c r="BA49" s="151">
        <v>0</v>
      </c>
      <c r="BB49" s="152">
        <v>0</v>
      </c>
    </row>
    <row r="50" spans="1:54" x14ac:dyDescent="0.2">
      <c r="A50" s="155" t="s">
        <v>2548</v>
      </c>
      <c r="B50" s="156">
        <v>5</v>
      </c>
      <c r="C50" s="150">
        <f>SUMIFS(PURCHASE!$K$6:$K$10008,PURCHASE!$A$6:$A$10008,$C$47,PURCHASE!$E$6:$E$10008,$B$49,PURCHASE!$I$6:$I$10008,'RATEWISE SALE &amp; PURCHASE'!$B$50:$B$53)</f>
        <v>12370</v>
      </c>
      <c r="D50" s="151">
        <f>SUMIFS(PURCHASE!$L$6:$L$10008,PURCHASE!$A$6:$A$10008,$C$47,PURCHASE!$E$6:$E$10008,$B$49,PURCHASE!$I$6:$I$10008,'RATEWISE SALE &amp; PURCHASE'!$B$50:$B$53)</f>
        <v>0</v>
      </c>
      <c r="E50" s="151">
        <f>SUMIFS(PURCHASE!$M$6:$M$10008,PURCHASE!$A$6:$A$10008,$C$47,PURCHASE!$E$6:$E$10008,$B$49,PURCHASE!$I$6:$I$10008,'RATEWISE SALE &amp; PURCHASE'!$B$50:$B$53)</f>
        <v>309.25</v>
      </c>
      <c r="F50" s="152">
        <f>+E50</f>
        <v>309.25</v>
      </c>
      <c r="G50" s="150">
        <f>SUMIFS(PURCHASE!$K$6:$K$10008,PURCHASE!$A$6:$A$10008,$G$47,PURCHASE!$E$6:$E$10008,$B$49,PURCHASE!$I$6:$I$10008,'RATEWISE SALE &amp; PURCHASE'!$B$50:$B$53)</f>
        <v>19782</v>
      </c>
      <c r="H50" s="151">
        <f>SUMIFS(PURCHASE!$L$6:$L$10008,PURCHASE!$A$6:$A$10008,$G$47,PURCHASE!$E$6:$E$10008,$B$49,PURCHASE!$I$6:$I$10008,'RATEWISE SALE &amp; PURCHASE'!$B$50:$B$53)</f>
        <v>0</v>
      </c>
      <c r="I50" s="151">
        <f>SUMIFS(PURCHASE!$M$6:$M$10008,PURCHASE!$A$6:$A$10008,$G$47,PURCHASE!$E$6:$E$10008,$B$49,PURCHASE!$I$6:$I$10008,'RATEWISE SALE &amp; PURCHASE'!$B$50:$B$53)</f>
        <v>494.55</v>
      </c>
      <c r="J50" s="152">
        <f>+I50</f>
        <v>494.55</v>
      </c>
      <c r="K50" s="150">
        <f>SUMIFS(PURCHASE!$K$6:$K$10008,PURCHASE!$A$6:$A$10008,$K$47,PURCHASE!$E$6:$E$10008,$B$49,PURCHASE!$I$6:$I$10008,'RATEWISE SALE &amp; PURCHASE'!$B$50:$B$53)</f>
        <v>30728</v>
      </c>
      <c r="L50" s="151">
        <f>SUMIFS(PURCHASE!$L$6:$L$10008,PURCHASE!$A$6:$A$10008,$K$47,PURCHASE!$E$6:$E$10008,$B$49,PURCHASE!$I$6:$I$10008,'RATEWISE SALE &amp; PURCHASE'!$B$50:$B$53)</f>
        <v>0</v>
      </c>
      <c r="M50" s="151">
        <f>SUMIFS(PURCHASE!$M$6:$M$10008,PURCHASE!$A$6:$A$10008,$K$47,PURCHASE!$E$6:$E$10008,$B$49,PURCHASE!$I$6:$I$10008,'RATEWISE SALE &amp; PURCHASE'!$B$50:$B$53)</f>
        <v>768.2</v>
      </c>
      <c r="N50" s="152">
        <f>+M50</f>
        <v>768.2</v>
      </c>
      <c r="O50" s="150">
        <f>SUMIFS(PURCHASE!$K$6:$K$10008,PURCHASE!$A$6:$A$10008,$O$47,PURCHASE!$E$6:$E$10008,$B$49,PURCHASE!$I$6:$I$10008,'RATEWISE SALE &amp; PURCHASE'!$B$50:$B$53)</f>
        <v>11390</v>
      </c>
      <c r="P50" s="151">
        <f>SUMIFS(PURCHASE!$L$6:$L$10008,PURCHASE!$A$6:$A$10008,$O$47,PURCHASE!$E$6:$E$10008,$B$49,PURCHASE!$I$6:$I$10008,'RATEWISE SALE &amp; PURCHASE'!$B$50:$B$53)</f>
        <v>0</v>
      </c>
      <c r="Q50" s="151">
        <f>SUMIFS(PURCHASE!$M$6:$M$10008,PURCHASE!$A$6:$A$10008,$O$47,PURCHASE!$E$6:$E$10008,$B$49,PURCHASE!$I$6:$I$10008,'RATEWISE SALE &amp; PURCHASE'!$B$50:$B$53)</f>
        <v>284.75</v>
      </c>
      <c r="R50" s="152">
        <f>+Q50</f>
        <v>284.75</v>
      </c>
      <c r="S50" s="150">
        <f>SUMIFS(PURCHASE!$K$6:$K$10008,PURCHASE!$A$6:$A$10008,$S$47,PURCHASE!$E$6:$E$10008,$B$49,PURCHASE!$I$6:$I$10008,'RATEWISE SALE &amp; PURCHASE'!$B$50:$B$53)</f>
        <v>21769</v>
      </c>
      <c r="T50" s="151">
        <f>SUMIFS(PURCHASE!$L$6:$L$10008,PURCHASE!$A$6:$A$10008,$S$47,PURCHASE!$E$6:$E$10008,$B$49,PURCHASE!$I$6:$I$10008,'RATEWISE SALE &amp; PURCHASE'!$B$50:$B$53)</f>
        <v>0</v>
      </c>
      <c r="U50" s="151">
        <f>SUMIFS(PURCHASE!$M$6:$M$10008,PURCHASE!$A$6:$A$10008,$S$47,PURCHASE!$E$6:$E$10008,$B$49,PURCHASE!$I$6:$I$10008,'RATEWISE SALE &amp; PURCHASE'!$B$50:$B$53)</f>
        <v>544.22500000000002</v>
      </c>
      <c r="V50" s="152">
        <f>+U50</f>
        <v>544.22500000000002</v>
      </c>
      <c r="W50" s="150">
        <f>SUMIFS(PURCHASE!$K$6:$K$10008,PURCHASE!$A$6:$A$10008,$W$47,PURCHASE!$E$6:$E$10008,$B$49,PURCHASE!$I$6:$I$10008,'RATEWISE SALE &amp; PURCHASE'!$B$50:$B$53)</f>
        <v>27069</v>
      </c>
      <c r="X50" s="151">
        <f>SUMIFS(PURCHASE!$L$6:$L$10008,PURCHASE!$A$6:$A$10008,$W$47,PURCHASE!$E$6:$E$10008,$B$49,PURCHASE!$I$6:$I$10008,'RATEWISE SALE &amp; PURCHASE'!$B$50:$B$53)</f>
        <v>0</v>
      </c>
      <c r="Y50" s="151">
        <f>SUMIFS(PURCHASE!$M$6:$M$10008,PURCHASE!$A$6:$A$10008,$W$47,PURCHASE!$E$6:$E$10008,$B$49,PURCHASE!$I$6:$I$10008,'RATEWISE SALE &amp; PURCHASE'!$B$50:$B$53)</f>
        <v>676.72500000000002</v>
      </c>
      <c r="Z50" s="152">
        <f>+Y50</f>
        <v>676.72500000000002</v>
      </c>
      <c r="AA50" s="150">
        <f>SUMIFS(PURCHASE!$K$6:$K$10008,PURCHASE!$A$6:$A$10008,$AA$47,PURCHASE!$E$6:$E$10008,$B$49,PURCHASE!$I$6:$I$10008,'RATEWISE SALE &amp; PURCHASE'!$B$50:$B$53)</f>
        <v>25680</v>
      </c>
      <c r="AB50" s="151">
        <f>SUMIFS(PURCHASE!$L$6:$L$10008,PURCHASE!$A$6:$A$10008,$AA$47,PURCHASE!$E$6:$E$10008,$B$49,PURCHASE!$I$6:$I$10008,'RATEWISE SALE &amp; PURCHASE'!$B$50:$B$53)</f>
        <v>0</v>
      </c>
      <c r="AC50" s="151">
        <f>SUMIFS(PURCHASE!$M$6:$M$10008,PURCHASE!$A$6:$A$10008,$AA$47,PURCHASE!$E$6:$E$10008,$B$49,PURCHASE!$I$6:$I$10008,'RATEWISE SALE &amp; PURCHASE'!$B$50:$B$53)</f>
        <v>642</v>
      </c>
      <c r="AD50" s="152">
        <f>+AC50</f>
        <v>642</v>
      </c>
      <c r="AE50" s="150">
        <f>SUMIFS(PURCHASE!$K$6:$K$10008,PURCHASE!$A$6:$A$10008,$AE$47,PURCHASE!$E$6:$E$10008,$B$49,PURCHASE!$I$6:$I$10008,'RATEWISE SALE &amp; PURCHASE'!$B$50:$B$53)</f>
        <v>0</v>
      </c>
      <c r="AF50" s="151">
        <f>SUMIFS(PURCHASE!$L$6:$L$10008,PURCHASE!$A$6:$A$10008,$AE$47,PURCHASE!$E$6:$E$10008,$B$49,PURCHASE!$I$6:$I$10008,'RATEWISE SALE &amp; PURCHASE'!$B$50:$B$53)</f>
        <v>0</v>
      </c>
      <c r="AG50" s="151">
        <f>SUMIFS(PURCHASE!$M$6:$M$10008,PURCHASE!$A$6:$A$10008,$AE$47,PURCHASE!$E$6:$E$10008,$B$49,PURCHASE!$I$6:$I$10008,'RATEWISE SALE &amp; PURCHASE'!$B$50:$B$53)</f>
        <v>0</v>
      </c>
      <c r="AH50" s="152">
        <f>+AG50</f>
        <v>0</v>
      </c>
      <c r="AI50" s="150">
        <f>SUMIFS(PURCHASE!$K$6:$K$10008,PURCHASE!$A$6:$A$10008,$AI$47,PURCHASE!$E$6:$E$10008,$B$49,PURCHASE!$I$6:$I$10008,'RATEWISE SALE &amp; PURCHASE'!$B$50:$B$53)</f>
        <v>0</v>
      </c>
      <c r="AJ50" s="151">
        <f>SUMIFS(PURCHASE!$L$6:$L$10008,PURCHASE!$A$6:$A$10008,$AI$47,PURCHASE!$E$6:$E$10008,$B$49,PURCHASE!$I$6:$I$10008,'RATEWISE SALE &amp; PURCHASE'!$B$50:$B$53)</f>
        <v>0</v>
      </c>
      <c r="AK50" s="151">
        <f>SUMIFS(PURCHASE!$M$6:$M$10008,PURCHASE!$A$6:$A$10008,$AI$47,PURCHASE!$E$6:$E$10008,$B$49,PURCHASE!$I$6:$I$10008,'RATEWISE SALE &amp; PURCHASE'!$B$50:$B$53)</f>
        <v>0</v>
      </c>
      <c r="AL50" s="152">
        <f>+AK50</f>
        <v>0</v>
      </c>
      <c r="AM50" s="150">
        <f>SUMIFS(PURCHASE!$K$6:$K$10008,PURCHASE!$A$6:$A$10008,$AM$47,PURCHASE!$E$6:$E$10008,$B$49,PURCHASE!$I$6:$I$10008,'RATEWISE SALE &amp; PURCHASE'!$B$50:$B$53)</f>
        <v>0</v>
      </c>
      <c r="AN50" s="151">
        <f>SUMIFS(PURCHASE!$L$6:$L$10008,PURCHASE!$A$6:$A$10008,$AM$47,PURCHASE!$E$6:$E$10008,$B$49,PURCHASE!$I$6:$I$10008,'RATEWISE SALE &amp; PURCHASE'!$B$50:$B$53)</f>
        <v>0</v>
      </c>
      <c r="AO50" s="151">
        <f>SUMIFS(PURCHASE!$M$6:$M$10008,PURCHASE!$A$6:$A$10008,$AM$47,PURCHASE!$E$6:$E$10008,$B$49,PURCHASE!$I$6:$I$10008,'RATEWISE SALE &amp; PURCHASE'!$B$50:$B$53)</f>
        <v>0</v>
      </c>
      <c r="AP50" s="152">
        <f>+AO50</f>
        <v>0</v>
      </c>
      <c r="AQ50" s="150">
        <f>SUMIFS(PURCHASE!$K$6:$K$10008,PURCHASE!$A$6:$A$10008,$AQ$47,PURCHASE!$E$6:$E$10008,$B$49,PURCHASE!$I$6:$I$10008,'RATEWISE SALE &amp; PURCHASE'!$B$50:$B$53)</f>
        <v>0</v>
      </c>
      <c r="AR50" s="151">
        <f>SUMIFS(PURCHASE!$L$6:$L$10008,PURCHASE!$A$6:$A$10008,$AQ$47,PURCHASE!$E$6:$E$10008,$B$49,PURCHASE!$I$6:$I$10008,'RATEWISE SALE &amp; PURCHASE'!$B$50:$B$53)</f>
        <v>0</v>
      </c>
      <c r="AS50" s="151">
        <f>SUMIFS(PURCHASE!$M$6:$M$10008,PURCHASE!$A$6:$A$10008,$AQ$47,PURCHASE!$E$6:$E$10008,$B$49,PURCHASE!$I$6:$I$10008,'RATEWISE SALE &amp; PURCHASE'!$B$50:$B$53)</f>
        <v>0</v>
      </c>
      <c r="AT50" s="152">
        <f>+AS50</f>
        <v>0</v>
      </c>
      <c r="AU50" s="150">
        <f>SUMIFS(PURCHASE!$K$6:$K$10008,PURCHASE!$A$6:$A$10008,$AU$47,PURCHASE!$E$6:$E$10008,$B$49,PURCHASE!$I$6:$I$10008,'RATEWISE SALE &amp; PURCHASE'!$B$50:$B$53)</f>
        <v>0</v>
      </c>
      <c r="AV50" s="151">
        <f>SUMIFS(PURCHASE!$L$6:$L$10008,PURCHASE!$A$6:$A$10008,$AU$47,PURCHASE!$E$6:$E$10008,$B$49,PURCHASE!$I$6:$I$10008,'RATEWISE SALE &amp; PURCHASE'!$B$50:$B$53)</f>
        <v>0</v>
      </c>
      <c r="AW50" s="151">
        <f>SUMIFS(PURCHASE!$M$6:$M$10008,PURCHASE!$A$6:$A$10008,$AU$47,PURCHASE!$E$6:$E$10008,$B$49,PURCHASE!$I$6:$I$10008,'RATEWISE SALE &amp; PURCHASE'!$B$50:$B$53)</f>
        <v>0</v>
      </c>
      <c r="AX50" s="152">
        <f>+AW50</f>
        <v>0</v>
      </c>
      <c r="AY50" s="150">
        <f t="shared" ref="AY50:AY54" si="153">+C50+G50+K50+O50+S50+W50+AA50+AE50+AI50+AM50+AQ50+AU50</f>
        <v>148788</v>
      </c>
      <c r="AZ50" s="151">
        <f t="shared" ref="AZ50:AZ54" si="154">+D50+H50+L50+P50+T50+X50+AB50+AF50+AJ50+AN50+AR50+AV50</f>
        <v>0</v>
      </c>
      <c r="BA50" s="151">
        <f t="shared" ref="BA50:BA54" si="155">+E50+I50+M50+Q50+U50+Y50+AC50+AG50+AK50+AO50+AS50+AW50</f>
        <v>3719.7</v>
      </c>
      <c r="BB50" s="152">
        <f t="shared" ref="BB50:BB54" si="156">+F50+J50+N50+R50+V50+Z50+AD50+AH50+AL50+AP50+AT50+AX50</f>
        <v>3719.7</v>
      </c>
    </row>
    <row r="51" spans="1:54" x14ac:dyDescent="0.2">
      <c r="A51" s="155" t="s">
        <v>2549</v>
      </c>
      <c r="B51" s="156">
        <v>12</v>
      </c>
      <c r="C51" s="150">
        <f>SUMIFS(PURCHASE!$K$6:$K$10008,PURCHASE!$A$6:$A$10008,$C$47,PURCHASE!$E$6:$E$10008,$B$49,PURCHASE!$I$6:$I$10008,'RATEWISE SALE &amp; PURCHASE'!$B$50:$B$53)</f>
        <v>11943.1</v>
      </c>
      <c r="D51" s="151">
        <f>SUMIFS(PURCHASE!$L$6:$L$10008,PURCHASE!$A$6:$A$10008,$C$47,PURCHASE!$E$6:$E$10008,$B$49,PURCHASE!$I$6:$I$10008,'RATEWISE SALE &amp; PURCHASE'!$B$50:$B$53)</f>
        <v>0</v>
      </c>
      <c r="E51" s="151">
        <f>SUMIFS(PURCHASE!$M$6:$M$10008,PURCHASE!$A$6:$A$10008,$C$47,PURCHASE!$E$6:$E$10008,$B$49,PURCHASE!$I$6:$I$10008,'RATEWISE SALE &amp; PURCHASE'!$B$50:$B$53)</f>
        <v>716.58600000000001</v>
      </c>
      <c r="F51" s="152">
        <f t="shared" ref="F51:F53" si="157">+E51</f>
        <v>716.58600000000001</v>
      </c>
      <c r="G51" s="150">
        <f>SUMIFS(PURCHASE!$K$6:$K$10008,PURCHASE!$A$6:$A$10008,$G$47,PURCHASE!$E$6:$E$10008,$B$49,PURCHASE!$I$6:$I$10008,'RATEWISE SALE &amp; PURCHASE'!$B$50:$B$53)</f>
        <v>2794</v>
      </c>
      <c r="H51" s="151">
        <f>SUMIFS(PURCHASE!$L$6:$L$10008,PURCHASE!$A$6:$A$10008,$G$47,PURCHASE!$E$6:$E$10008,$B$49,PURCHASE!$I$6:$I$10008,'RATEWISE SALE &amp; PURCHASE'!$B$50:$B$53)</f>
        <v>0</v>
      </c>
      <c r="I51" s="151">
        <f>SUMIFS(PURCHASE!$M$6:$M$10008,PURCHASE!$A$6:$A$10008,$G$47,PURCHASE!$E$6:$E$10008,$B$49,PURCHASE!$I$6:$I$10008,'RATEWISE SALE &amp; PURCHASE'!$B$50:$B$53)</f>
        <v>167.64000000000001</v>
      </c>
      <c r="J51" s="152">
        <f t="shared" ref="J51:J53" si="158">+I51</f>
        <v>167.64000000000001</v>
      </c>
      <c r="K51" s="150">
        <f>SUMIFS(PURCHASE!$K$6:$K$10008,PURCHASE!$A$6:$A$10008,$K$47,PURCHASE!$E$6:$E$10008,$B$49,PURCHASE!$I$6:$I$10008,'RATEWISE SALE &amp; PURCHASE'!$B$50:$B$53)</f>
        <v>5543.2</v>
      </c>
      <c r="L51" s="151">
        <f>SUMIFS(PURCHASE!$L$6:$L$10008,PURCHASE!$A$6:$A$10008,$K$47,PURCHASE!$E$6:$E$10008,$B$49,PURCHASE!$I$6:$I$10008,'RATEWISE SALE &amp; PURCHASE'!$B$50:$B$53)</f>
        <v>0</v>
      </c>
      <c r="M51" s="151">
        <f>SUMIFS(PURCHASE!$M$6:$M$10008,PURCHASE!$A$6:$A$10008,$K$47,PURCHASE!$E$6:$E$10008,$B$49,PURCHASE!$I$6:$I$10008,'RATEWISE SALE &amp; PURCHASE'!$B$50:$B$53)</f>
        <v>332.59199999999998</v>
      </c>
      <c r="N51" s="152">
        <f t="shared" ref="N51:N53" si="159">+M51</f>
        <v>332.59199999999998</v>
      </c>
      <c r="O51" s="150">
        <f>SUMIFS(PURCHASE!$K$6:$K$10008,PURCHASE!$A$6:$A$10008,$O$47,PURCHASE!$E$6:$E$10008,$B$49,PURCHASE!$I$6:$I$10008,'RATEWISE SALE &amp; PURCHASE'!$B$50:$B$53)</f>
        <v>6690</v>
      </c>
      <c r="P51" s="151">
        <f>SUMIFS(PURCHASE!$L$6:$L$10008,PURCHASE!$A$6:$A$10008,$O$47,PURCHASE!$E$6:$E$10008,$B$49,PURCHASE!$I$6:$I$10008,'RATEWISE SALE &amp; PURCHASE'!$B$50:$B$53)</f>
        <v>0</v>
      </c>
      <c r="Q51" s="151">
        <f>SUMIFS(PURCHASE!$M$6:$M$10008,PURCHASE!$A$6:$A$10008,$O$47,PURCHASE!$E$6:$E$10008,$B$49,PURCHASE!$I$6:$I$10008,'RATEWISE SALE &amp; PURCHASE'!$B$50:$B$53)</f>
        <v>401.4</v>
      </c>
      <c r="R51" s="152">
        <f t="shared" ref="R51:R53" si="160">+Q51</f>
        <v>401.4</v>
      </c>
      <c r="S51" s="150">
        <f>SUMIFS(PURCHASE!$K$6:$K$10008,PURCHASE!$A$6:$A$10008,$S$47,PURCHASE!$E$6:$E$10008,$B$49,PURCHASE!$I$6:$I$10008,'RATEWISE SALE &amp; PURCHASE'!$B$50:$B$53)</f>
        <v>6293.2</v>
      </c>
      <c r="T51" s="151">
        <f>SUMIFS(PURCHASE!$L$6:$L$10008,PURCHASE!$A$6:$A$10008,$S$47,PURCHASE!$E$6:$E$10008,$B$49,PURCHASE!$I$6:$I$10008,'RATEWISE SALE &amp; PURCHASE'!$B$50:$B$53)</f>
        <v>0</v>
      </c>
      <c r="U51" s="151">
        <f>SUMIFS(PURCHASE!$M$6:$M$10008,PURCHASE!$A$6:$A$10008,$S$47,PURCHASE!$E$6:$E$10008,$B$49,PURCHASE!$I$6:$I$10008,'RATEWISE SALE &amp; PURCHASE'!$B$50:$B$53)</f>
        <v>377.59199999999998</v>
      </c>
      <c r="V51" s="152">
        <f t="shared" ref="V51:V53" si="161">+U51</f>
        <v>377.59199999999998</v>
      </c>
      <c r="W51" s="150">
        <f>SUMIFS(PURCHASE!$K$6:$K$10008,PURCHASE!$A$6:$A$10008,$W$47,PURCHASE!$E$6:$E$10008,$B$49,PURCHASE!$I$6:$I$10008,'RATEWISE SALE &amp; PURCHASE'!$B$50:$B$53)</f>
        <v>17390</v>
      </c>
      <c r="X51" s="151">
        <f>SUMIFS(PURCHASE!$L$6:$L$10008,PURCHASE!$A$6:$A$10008,$W$47,PURCHASE!$E$6:$E$10008,$B$49,PURCHASE!$I$6:$I$10008,'RATEWISE SALE &amp; PURCHASE'!$B$50:$B$53)</f>
        <v>0</v>
      </c>
      <c r="Y51" s="151">
        <f>SUMIFS(PURCHASE!$M$6:$M$10008,PURCHASE!$A$6:$A$10008,$W$47,PURCHASE!$E$6:$E$10008,$B$49,PURCHASE!$I$6:$I$10008,'RATEWISE SALE &amp; PURCHASE'!$B$50:$B$53)</f>
        <v>1043.4000000000001</v>
      </c>
      <c r="Z51" s="152">
        <f t="shared" ref="Z51:Z53" si="162">+Y51</f>
        <v>1043.4000000000001</v>
      </c>
      <c r="AA51" s="150">
        <f>SUMIFS(PURCHASE!$K$6:$K$10008,PURCHASE!$A$6:$A$10008,$AA$47,PURCHASE!$E$6:$E$10008,$B$49,PURCHASE!$I$6:$I$10008,'RATEWISE SALE &amp; PURCHASE'!$B$50:$B$53)</f>
        <v>41665.199999999997</v>
      </c>
      <c r="AB51" s="151">
        <f>SUMIFS(PURCHASE!$L$6:$L$10008,PURCHASE!$A$6:$A$10008,$AA$47,PURCHASE!$E$6:$E$10008,$B$49,PURCHASE!$I$6:$I$10008,'RATEWISE SALE &amp; PURCHASE'!$B$50:$B$53)</f>
        <v>0</v>
      </c>
      <c r="AC51" s="151">
        <f>SUMIFS(PURCHASE!$M$6:$M$10008,PURCHASE!$A$6:$A$10008,$AA$47,PURCHASE!$E$6:$E$10008,$B$49,PURCHASE!$I$6:$I$10008,'RATEWISE SALE &amp; PURCHASE'!$B$50:$B$53)</f>
        <v>2499.9119999999998</v>
      </c>
      <c r="AD51" s="152">
        <f t="shared" ref="AD51:AD53" si="163">+AC51</f>
        <v>2499.9119999999998</v>
      </c>
      <c r="AE51" s="150">
        <f>SUMIFS(PURCHASE!$K$6:$K$10008,PURCHASE!$A$6:$A$10008,$AE$47,PURCHASE!$E$6:$E$10008,$B$49,PURCHASE!$I$6:$I$10008,'RATEWISE SALE &amp; PURCHASE'!$B$50:$B$53)</f>
        <v>0</v>
      </c>
      <c r="AF51" s="151">
        <f>SUMIFS(PURCHASE!$L$6:$L$10008,PURCHASE!$A$6:$A$10008,$AE$47,PURCHASE!$E$6:$E$10008,$B$49,PURCHASE!$I$6:$I$10008,'RATEWISE SALE &amp; PURCHASE'!$B$50:$B$53)</f>
        <v>0</v>
      </c>
      <c r="AG51" s="151">
        <f>SUMIFS(PURCHASE!$M$6:$M$10008,PURCHASE!$A$6:$A$10008,$AE$47,PURCHASE!$E$6:$E$10008,$B$49,PURCHASE!$I$6:$I$10008,'RATEWISE SALE &amp; PURCHASE'!$B$50:$B$53)</f>
        <v>0</v>
      </c>
      <c r="AH51" s="152">
        <f t="shared" ref="AH51:AH53" si="164">+AG51</f>
        <v>0</v>
      </c>
      <c r="AI51" s="150">
        <f>SUMIFS(PURCHASE!$K$6:$K$10008,PURCHASE!$A$6:$A$10008,$AI$47,PURCHASE!$E$6:$E$10008,$B$49,PURCHASE!$I$6:$I$10008,'RATEWISE SALE &amp; PURCHASE'!$B$50:$B$53)</f>
        <v>0</v>
      </c>
      <c r="AJ51" s="151">
        <f>SUMIFS(PURCHASE!$L$6:$L$10008,PURCHASE!$A$6:$A$10008,$AI$47,PURCHASE!$E$6:$E$10008,$B$49,PURCHASE!$I$6:$I$10008,'RATEWISE SALE &amp; PURCHASE'!$B$50:$B$53)</f>
        <v>0</v>
      </c>
      <c r="AK51" s="151">
        <f>SUMIFS(PURCHASE!$M$6:$M$10008,PURCHASE!$A$6:$A$10008,$AI$47,PURCHASE!$E$6:$E$10008,$B$49,PURCHASE!$I$6:$I$10008,'RATEWISE SALE &amp; PURCHASE'!$B$50:$B$53)</f>
        <v>0</v>
      </c>
      <c r="AL51" s="152">
        <f t="shared" ref="AL51:AL53" si="165">+AK51</f>
        <v>0</v>
      </c>
      <c r="AM51" s="150">
        <f>SUMIFS(PURCHASE!$K$6:$K$10008,PURCHASE!$A$6:$A$10008,$AM$47,PURCHASE!$E$6:$E$10008,$B$49,PURCHASE!$I$6:$I$10008,'RATEWISE SALE &amp; PURCHASE'!$B$50:$B$53)</f>
        <v>0</v>
      </c>
      <c r="AN51" s="151">
        <f>SUMIFS(PURCHASE!$L$6:$L$10008,PURCHASE!$A$6:$A$10008,$AM$47,PURCHASE!$E$6:$E$10008,$B$49,PURCHASE!$I$6:$I$10008,'RATEWISE SALE &amp; PURCHASE'!$B$50:$B$53)</f>
        <v>0</v>
      </c>
      <c r="AO51" s="151">
        <f>SUMIFS(PURCHASE!$M$6:$M$10008,PURCHASE!$A$6:$A$10008,$AM$47,PURCHASE!$E$6:$E$10008,$B$49,PURCHASE!$I$6:$I$10008,'RATEWISE SALE &amp; PURCHASE'!$B$50:$B$53)</f>
        <v>0</v>
      </c>
      <c r="AP51" s="152">
        <f t="shared" ref="AP51:AP53" si="166">+AO51</f>
        <v>0</v>
      </c>
      <c r="AQ51" s="150">
        <f>SUMIFS(PURCHASE!$K$6:$K$10008,PURCHASE!$A$6:$A$10008,$AQ$47,PURCHASE!$E$6:$E$10008,$B$49,PURCHASE!$I$6:$I$10008,'RATEWISE SALE &amp; PURCHASE'!$B$50:$B$53)</f>
        <v>0</v>
      </c>
      <c r="AR51" s="151">
        <f>SUMIFS(PURCHASE!$L$6:$L$10008,PURCHASE!$A$6:$A$10008,$AQ$47,PURCHASE!$E$6:$E$10008,$B$49,PURCHASE!$I$6:$I$10008,'RATEWISE SALE &amp; PURCHASE'!$B$50:$B$53)</f>
        <v>0</v>
      </c>
      <c r="AS51" s="151">
        <f>SUMIFS(PURCHASE!$M$6:$M$10008,PURCHASE!$A$6:$A$10008,$AQ$47,PURCHASE!$E$6:$E$10008,$B$49,PURCHASE!$I$6:$I$10008,'RATEWISE SALE &amp; PURCHASE'!$B$50:$B$53)</f>
        <v>0</v>
      </c>
      <c r="AT51" s="152">
        <f t="shared" ref="AT51:AT53" si="167">+AS51</f>
        <v>0</v>
      </c>
      <c r="AU51" s="150">
        <f>SUMIFS(PURCHASE!$K$6:$K$10008,PURCHASE!$A$6:$A$10008,$AU$47,PURCHASE!$E$6:$E$10008,$B$49,PURCHASE!$I$6:$I$10008,'RATEWISE SALE &amp; PURCHASE'!$B$50:$B$53)</f>
        <v>0</v>
      </c>
      <c r="AV51" s="151">
        <f>SUMIFS(PURCHASE!$L$6:$L$10008,PURCHASE!$A$6:$A$10008,$AU$47,PURCHASE!$E$6:$E$10008,$B$49,PURCHASE!$I$6:$I$10008,'RATEWISE SALE &amp; PURCHASE'!$B$50:$B$53)</f>
        <v>0</v>
      </c>
      <c r="AW51" s="151">
        <f>SUMIFS(PURCHASE!$M$6:$M$10008,PURCHASE!$A$6:$A$10008,$AU$47,PURCHASE!$E$6:$E$10008,$B$49,PURCHASE!$I$6:$I$10008,'RATEWISE SALE &amp; PURCHASE'!$B$50:$B$53)</f>
        <v>0</v>
      </c>
      <c r="AX51" s="152">
        <f t="shared" ref="AX51:AX53" si="168">+AW51</f>
        <v>0</v>
      </c>
      <c r="AY51" s="150">
        <f t="shared" si="153"/>
        <v>92318.7</v>
      </c>
      <c r="AZ51" s="151">
        <f t="shared" si="154"/>
        <v>0</v>
      </c>
      <c r="BA51" s="151">
        <f t="shared" si="155"/>
        <v>5539.1219999999994</v>
      </c>
      <c r="BB51" s="152">
        <f t="shared" si="156"/>
        <v>5539.1219999999994</v>
      </c>
    </row>
    <row r="52" spans="1:54" x14ac:dyDescent="0.2">
      <c r="A52" s="155" t="s">
        <v>2550</v>
      </c>
      <c r="B52" s="156">
        <v>18</v>
      </c>
      <c r="C52" s="150">
        <f>SUMIFS(PURCHASE!$K$6:$K$10008,PURCHASE!$A$6:$A$10008,$C$47,PURCHASE!$E$6:$E$10008,$B$49,PURCHASE!$I$6:$I$10008,'RATEWISE SALE &amp; PURCHASE'!$B$50:$B$53)</f>
        <v>962910.58</v>
      </c>
      <c r="D52" s="151">
        <f>SUMIFS(PURCHASE!$L$6:$L$10008,PURCHASE!$A$6:$A$10008,$C$47,PURCHASE!$E$6:$E$10008,$B$49,PURCHASE!$I$6:$I$10008,'RATEWISE SALE &amp; PURCHASE'!$B$50:$B$53)</f>
        <v>0</v>
      </c>
      <c r="E52" s="151">
        <f>SUMIFS(PURCHASE!$M$6:$M$10008,PURCHASE!$A$6:$A$10008,$C$47,PURCHASE!$E$6:$E$10008,$B$49,PURCHASE!$I$6:$I$10008,'RATEWISE SALE &amp; PURCHASE'!$B$50:$B$53)</f>
        <v>86661.952199999985</v>
      </c>
      <c r="F52" s="152">
        <f t="shared" si="157"/>
        <v>86661.952199999985</v>
      </c>
      <c r="G52" s="150">
        <f>SUMIFS(PURCHASE!$K$6:$K$10008,PURCHASE!$A$6:$A$10008,$G$47,PURCHASE!$E$6:$E$10008,$B$49,PURCHASE!$I$6:$I$10008,'RATEWISE SALE &amp; PURCHASE'!$B$50:$B$53)</f>
        <v>2661145.84</v>
      </c>
      <c r="H52" s="151">
        <f>SUMIFS(PURCHASE!$L$6:$L$10008,PURCHASE!$A$6:$A$10008,$G$47,PURCHASE!$E$6:$E$10008,$B$49,PURCHASE!$I$6:$I$10008,'RATEWISE SALE &amp; PURCHASE'!$B$50:$B$53)</f>
        <v>102136.914</v>
      </c>
      <c r="I52" s="151">
        <f>SUMIFS(PURCHASE!$M$6:$M$10008,PURCHASE!$A$6:$A$10008,$G$47,PURCHASE!$E$6:$E$10008,$B$49,PURCHASE!$I$6:$I$10008,'RATEWISE SALE &amp; PURCHASE'!$B$50:$B$53)</f>
        <v>188434.66860000003</v>
      </c>
      <c r="J52" s="152">
        <f t="shared" si="158"/>
        <v>188434.66860000003</v>
      </c>
      <c r="K52" s="150">
        <f>SUMIFS(PURCHASE!$K$6:$K$10008,PURCHASE!$A$6:$A$10008,$K$47,PURCHASE!$E$6:$E$10008,$B$49,PURCHASE!$I$6:$I$10008,'RATEWISE SALE &amp; PURCHASE'!$B$50:$B$53)</f>
        <v>2741320.1399999997</v>
      </c>
      <c r="L52" s="151">
        <f>SUMIFS(PURCHASE!$L$6:$L$10008,PURCHASE!$A$6:$A$10008,$K$47,PURCHASE!$E$6:$E$10008,$B$49,PURCHASE!$I$6:$I$10008,'RATEWISE SALE &amp; PURCHASE'!$B$50:$B$53)</f>
        <v>66139.56</v>
      </c>
      <c r="M52" s="151">
        <f>SUMIFS(PURCHASE!$M$6:$M$10008,PURCHASE!$A$6:$A$10008,$K$47,PURCHASE!$E$6:$E$10008,$B$49,PURCHASE!$I$6:$I$10008,'RATEWISE SALE &amp; PURCHASE'!$B$50:$B$53)</f>
        <v>213649.03259999995</v>
      </c>
      <c r="N52" s="152">
        <f t="shared" si="159"/>
        <v>213649.03259999995</v>
      </c>
      <c r="O52" s="150">
        <f>SUMIFS(PURCHASE!$K$6:$K$10008,PURCHASE!$A$6:$A$10008,$O$47,PURCHASE!$E$6:$E$10008,$B$49,PURCHASE!$I$6:$I$10008,'RATEWISE SALE &amp; PURCHASE'!$B$50:$B$53)</f>
        <v>4098247.2799999989</v>
      </c>
      <c r="P52" s="151">
        <f>SUMIFS(PURCHASE!$L$6:$L$10008,PURCHASE!$A$6:$A$10008,$O$47,PURCHASE!$E$6:$E$10008,$B$49,PURCHASE!$I$6:$I$10008,'RATEWISE SALE &amp; PURCHASE'!$B$50:$B$53)</f>
        <v>47329.919999999998</v>
      </c>
      <c r="Q52" s="151">
        <f>SUMIFS(PURCHASE!$M$6:$M$10008,PURCHASE!$A$6:$A$10008,$O$47,PURCHASE!$E$6:$E$10008,$B$49,PURCHASE!$I$6:$I$10008,'RATEWISE SALE &amp; PURCHASE'!$B$50:$B$53)</f>
        <v>345177.5352000001</v>
      </c>
      <c r="R52" s="152">
        <f t="shared" si="160"/>
        <v>345177.5352000001</v>
      </c>
      <c r="S52" s="150">
        <f>SUMIFS(PURCHASE!$K$6:$K$10008,PURCHASE!$A$6:$A$10008,$S$47,PURCHASE!$E$6:$E$10008,$B$49,PURCHASE!$I$6:$I$10008,'RATEWISE SALE &amp; PURCHASE'!$B$50:$B$53)</f>
        <v>2899535.36</v>
      </c>
      <c r="T52" s="151">
        <f>SUMIFS(PURCHASE!$L$6:$L$10008,PURCHASE!$A$6:$A$10008,$S$47,PURCHASE!$E$6:$E$10008,$B$49,PURCHASE!$I$6:$I$10008,'RATEWISE SALE &amp; PURCHASE'!$B$50:$B$53)</f>
        <v>1305</v>
      </c>
      <c r="U52" s="151">
        <f>SUMIFS(PURCHASE!$M$6:$M$10008,PURCHASE!$A$6:$A$10008,$S$47,PURCHASE!$E$6:$E$10008,$B$49,PURCHASE!$I$6:$I$10008,'RATEWISE SALE &amp; PURCHASE'!$B$50:$B$53)</f>
        <v>209001.95240000004</v>
      </c>
      <c r="V52" s="152">
        <f t="shared" si="161"/>
        <v>209001.95240000004</v>
      </c>
      <c r="W52" s="150">
        <f>SUMIFS(PURCHASE!$K$6:$K$10008,PURCHASE!$A$6:$A$10008,$W$47,PURCHASE!$E$6:$E$10008,$B$49,PURCHASE!$I$6:$I$10008,'RATEWISE SALE &amp; PURCHASE'!$B$50:$B$53)</f>
        <v>2348091.0499999998</v>
      </c>
      <c r="X52" s="151">
        <f>SUMIFS(PURCHASE!$L$6:$L$10008,PURCHASE!$A$6:$A$10008,$W$47,PURCHASE!$E$6:$E$10008,$B$49,PURCHASE!$I$6:$I$10008,'RATEWISE SALE &amp; PURCHASE'!$B$50:$B$53)</f>
        <v>0</v>
      </c>
      <c r="Y52" s="151">
        <f>SUMIFS(PURCHASE!$M$6:$M$10008,PURCHASE!$A$6:$A$10008,$W$47,PURCHASE!$E$6:$E$10008,$B$49,PURCHASE!$I$6:$I$10008,'RATEWISE SALE &amp; PURCHASE'!$B$50:$B$53)</f>
        <v>211337.96450000015</v>
      </c>
      <c r="Z52" s="152">
        <f t="shared" si="162"/>
        <v>211337.96450000015</v>
      </c>
      <c r="AA52" s="150">
        <f>SUMIFS(PURCHASE!$K$6:$K$10008,PURCHASE!$A$6:$A$10008,$AA$47,PURCHASE!$E$6:$E$10008,$B$49,PURCHASE!$I$6:$I$10008,'RATEWISE SALE &amp; PURCHASE'!$B$50:$B$53)</f>
        <v>3414127.92</v>
      </c>
      <c r="AB52" s="151">
        <f>SUMIFS(PURCHASE!$L$6:$L$10008,PURCHASE!$A$6:$A$10008,$AA$47,PURCHASE!$E$6:$E$10008,$B$49,PURCHASE!$I$6:$I$10008,'RATEWISE SALE &amp; PURCHASE'!$B$50:$B$53)</f>
        <v>141178.68</v>
      </c>
      <c r="AC52" s="151">
        <f>SUMIFS(PURCHASE!$M$6:$M$10008,PURCHASE!$A$6:$A$10008,$AA$47,PURCHASE!$E$6:$E$10008,$B$49,PURCHASE!$I$6:$I$10008,'RATEWISE SALE &amp; PURCHASE'!$B$50:$B$53)</f>
        <v>236682.1728</v>
      </c>
      <c r="AD52" s="152">
        <f t="shared" si="163"/>
        <v>236682.1728</v>
      </c>
      <c r="AE52" s="150">
        <f>SUMIFS(PURCHASE!$K$6:$K$10008,PURCHASE!$A$6:$A$10008,$AE$47,PURCHASE!$E$6:$E$10008,$B$49,PURCHASE!$I$6:$I$10008,'RATEWISE SALE &amp; PURCHASE'!$B$50:$B$53)</f>
        <v>0</v>
      </c>
      <c r="AF52" s="151">
        <f>SUMIFS(PURCHASE!$L$6:$L$10008,PURCHASE!$A$6:$A$10008,$AE$47,PURCHASE!$E$6:$E$10008,$B$49,PURCHASE!$I$6:$I$10008,'RATEWISE SALE &amp; PURCHASE'!$B$50:$B$53)</f>
        <v>0</v>
      </c>
      <c r="AG52" s="151">
        <f>SUMIFS(PURCHASE!$M$6:$M$10008,PURCHASE!$A$6:$A$10008,$AE$47,PURCHASE!$E$6:$E$10008,$B$49,PURCHASE!$I$6:$I$10008,'RATEWISE SALE &amp; PURCHASE'!$B$50:$B$53)</f>
        <v>0</v>
      </c>
      <c r="AH52" s="152">
        <f t="shared" si="164"/>
        <v>0</v>
      </c>
      <c r="AI52" s="150">
        <f>SUMIFS(PURCHASE!$K$6:$K$10008,PURCHASE!$A$6:$A$10008,$AI$47,PURCHASE!$E$6:$E$10008,$B$49,PURCHASE!$I$6:$I$10008,'RATEWISE SALE &amp; PURCHASE'!$B$50:$B$53)</f>
        <v>0</v>
      </c>
      <c r="AJ52" s="151">
        <f>SUMIFS(PURCHASE!$L$6:$L$10008,PURCHASE!$A$6:$A$10008,$AI$47,PURCHASE!$E$6:$E$10008,$B$49,PURCHASE!$I$6:$I$10008,'RATEWISE SALE &amp; PURCHASE'!$B$50:$B$53)</f>
        <v>0</v>
      </c>
      <c r="AK52" s="151">
        <f>SUMIFS(PURCHASE!$M$6:$M$10008,PURCHASE!$A$6:$A$10008,$AI$47,PURCHASE!$E$6:$E$10008,$B$49,PURCHASE!$I$6:$I$10008,'RATEWISE SALE &amp; PURCHASE'!$B$50:$B$53)</f>
        <v>0</v>
      </c>
      <c r="AL52" s="152">
        <f t="shared" si="165"/>
        <v>0</v>
      </c>
      <c r="AM52" s="150">
        <f>SUMIFS(PURCHASE!$K$6:$K$10008,PURCHASE!$A$6:$A$10008,$AM$47,PURCHASE!$E$6:$E$10008,$B$49,PURCHASE!$I$6:$I$10008,'RATEWISE SALE &amp; PURCHASE'!$B$50:$B$53)</f>
        <v>0</v>
      </c>
      <c r="AN52" s="151">
        <f>SUMIFS(PURCHASE!$L$6:$L$10008,PURCHASE!$A$6:$A$10008,$AM$47,PURCHASE!$E$6:$E$10008,$B$49,PURCHASE!$I$6:$I$10008,'RATEWISE SALE &amp; PURCHASE'!$B$50:$B$53)</f>
        <v>0</v>
      </c>
      <c r="AO52" s="151">
        <f>SUMIFS(PURCHASE!$M$6:$M$10008,PURCHASE!$A$6:$A$10008,$AM$47,PURCHASE!$E$6:$E$10008,$B$49,PURCHASE!$I$6:$I$10008,'RATEWISE SALE &amp; PURCHASE'!$B$50:$B$53)</f>
        <v>0</v>
      </c>
      <c r="AP52" s="152">
        <f t="shared" si="166"/>
        <v>0</v>
      </c>
      <c r="AQ52" s="150">
        <f>SUMIFS(PURCHASE!$K$6:$K$10008,PURCHASE!$A$6:$A$10008,$AQ$47,PURCHASE!$E$6:$E$10008,$B$49,PURCHASE!$I$6:$I$10008,'RATEWISE SALE &amp; PURCHASE'!$B$50:$B$53)</f>
        <v>0</v>
      </c>
      <c r="AR52" s="151">
        <f>SUMIFS(PURCHASE!$L$6:$L$10008,PURCHASE!$A$6:$A$10008,$AQ$47,PURCHASE!$E$6:$E$10008,$B$49,PURCHASE!$I$6:$I$10008,'RATEWISE SALE &amp; PURCHASE'!$B$50:$B$53)</f>
        <v>0</v>
      </c>
      <c r="AS52" s="151">
        <f>SUMIFS(PURCHASE!$M$6:$M$10008,PURCHASE!$A$6:$A$10008,$AQ$47,PURCHASE!$E$6:$E$10008,$B$49,PURCHASE!$I$6:$I$10008,'RATEWISE SALE &amp; PURCHASE'!$B$50:$B$53)</f>
        <v>0</v>
      </c>
      <c r="AT52" s="152">
        <f t="shared" si="167"/>
        <v>0</v>
      </c>
      <c r="AU52" s="150">
        <f>SUMIFS(PURCHASE!$K$6:$K$10008,PURCHASE!$A$6:$A$10008,$AU$47,PURCHASE!$E$6:$E$10008,$B$49,PURCHASE!$I$6:$I$10008,'RATEWISE SALE &amp; PURCHASE'!$B$50:$B$53)</f>
        <v>0</v>
      </c>
      <c r="AV52" s="151">
        <f>SUMIFS(PURCHASE!$L$6:$L$10008,PURCHASE!$A$6:$A$10008,$AU$47,PURCHASE!$E$6:$E$10008,$B$49,PURCHASE!$I$6:$I$10008,'RATEWISE SALE &amp; PURCHASE'!$B$50:$B$53)</f>
        <v>0</v>
      </c>
      <c r="AW52" s="151">
        <f>SUMIFS(PURCHASE!$M$6:$M$10008,PURCHASE!$A$6:$A$10008,$AU$47,PURCHASE!$E$6:$E$10008,$B$49,PURCHASE!$I$6:$I$10008,'RATEWISE SALE &amp; PURCHASE'!$B$50:$B$53)</f>
        <v>0</v>
      </c>
      <c r="AX52" s="152">
        <f t="shared" si="168"/>
        <v>0</v>
      </c>
      <c r="AY52" s="150">
        <f t="shared" si="153"/>
        <v>19125378.169999994</v>
      </c>
      <c r="AZ52" s="151">
        <f t="shared" si="154"/>
        <v>358090.07399999996</v>
      </c>
      <c r="BA52" s="151">
        <f t="shared" si="155"/>
        <v>1490945.2783000004</v>
      </c>
      <c r="BB52" s="152">
        <f t="shared" si="156"/>
        <v>1490945.2783000004</v>
      </c>
    </row>
    <row r="53" spans="1:54" x14ac:dyDescent="0.2">
      <c r="A53" s="155" t="s">
        <v>2551</v>
      </c>
      <c r="B53" s="156">
        <v>28</v>
      </c>
      <c r="C53" s="150">
        <f>SUMIFS(PURCHASE!$K$6:$K$10008,PURCHASE!$A$6:$A$10008,$C$47,PURCHASE!$E$6:$E$10008,$B$49,PURCHASE!$I$6:$I$10008,'RATEWISE SALE &amp; PURCHASE'!$B$50:$B$53)</f>
        <v>1665060.1300000008</v>
      </c>
      <c r="D53" s="151">
        <f>SUMIFS(PURCHASE!$L$6:$L$10008,PURCHASE!$A$6:$A$10008,$C$47,PURCHASE!$E$6:$E$10008,$B$49,PURCHASE!$I$6:$I$10008,'RATEWISE SALE &amp; PURCHASE'!$B$50:$B$53)</f>
        <v>2079.9351999999999</v>
      </c>
      <c r="E53" s="151">
        <f>SUMIFS(PURCHASE!$M$6:$M$10008,PURCHASE!$A$6:$A$10008,$C$47,PURCHASE!$E$6:$E$10008,$B$49,PURCHASE!$I$6:$I$10008,'RATEWISE SALE &amp; PURCHASE'!$B$50:$B$53)</f>
        <v>232068.45059999984</v>
      </c>
      <c r="F53" s="152">
        <f t="shared" si="157"/>
        <v>232068.45059999984</v>
      </c>
      <c r="G53" s="150">
        <f>SUMIFS(PURCHASE!$K$6:$K$10008,PURCHASE!$A$6:$A$10008,$G$47,PURCHASE!$E$6:$E$10008,$B$49,PURCHASE!$I$6:$I$10008,'RATEWISE SALE &amp; PURCHASE'!$B$50:$B$53)</f>
        <v>1943486.820000001</v>
      </c>
      <c r="H53" s="151">
        <f>SUMIFS(PURCHASE!$L$6:$L$10008,PURCHASE!$A$6:$A$10008,$G$47,PURCHASE!$E$6:$E$10008,$B$49,PURCHASE!$I$6:$I$10008,'RATEWISE SALE &amp; PURCHASE'!$B$50:$B$53)</f>
        <v>36933.315999999999</v>
      </c>
      <c r="I53" s="151">
        <f>SUMIFS(PURCHASE!$M$6:$M$10008,PURCHASE!$A$6:$A$10008,$G$47,PURCHASE!$E$6:$E$10008,$B$49,PURCHASE!$I$6:$I$10008,'RATEWISE SALE &amp; PURCHASE'!$B$50:$B$53)</f>
        <v>253621.49679999982</v>
      </c>
      <c r="J53" s="152">
        <f t="shared" si="158"/>
        <v>253621.49679999982</v>
      </c>
      <c r="K53" s="150">
        <f>SUMIFS(PURCHASE!$K$6:$K$10008,PURCHASE!$A$6:$A$10008,$K$47,PURCHASE!$E$6:$E$10008,$B$49,PURCHASE!$I$6:$I$10008,'RATEWISE SALE &amp; PURCHASE'!$B$50:$B$53)</f>
        <v>1809858.4300000004</v>
      </c>
      <c r="L53" s="151">
        <f>SUMIFS(PURCHASE!$L$6:$L$10008,PURCHASE!$A$6:$A$10008,$K$47,PURCHASE!$E$6:$E$10008,$B$49,PURCHASE!$I$6:$I$10008,'RATEWISE SALE &amp; PURCHASE'!$B$50:$B$53)</f>
        <v>23445.816800000001</v>
      </c>
      <c r="M53" s="151">
        <f>SUMIFS(PURCHASE!$M$6:$M$10008,PURCHASE!$A$6:$A$10008,$K$47,PURCHASE!$E$6:$E$10008,$B$49,PURCHASE!$I$6:$I$10008,'RATEWISE SALE &amp; PURCHASE'!$B$50:$B$53)</f>
        <v>241657.2717999997</v>
      </c>
      <c r="N53" s="152">
        <f t="shared" si="159"/>
        <v>241657.2717999997</v>
      </c>
      <c r="O53" s="150">
        <f>SUMIFS(PURCHASE!$K$6:$K$10008,PURCHASE!$A$6:$A$10008,$O$47,PURCHASE!$E$6:$E$10008,$B$49,PURCHASE!$I$6:$I$10008,'RATEWISE SALE &amp; PURCHASE'!$B$50:$B$53)</f>
        <v>2245525.2800000003</v>
      </c>
      <c r="P53" s="151">
        <f>SUMIFS(PURCHASE!$L$6:$L$10008,PURCHASE!$A$6:$A$10008,$O$47,PURCHASE!$E$6:$E$10008,$B$49,PURCHASE!$I$6:$I$10008,'RATEWISE SALE &amp; PURCHASE'!$B$50:$B$53)</f>
        <v>21955.64</v>
      </c>
      <c r="Q53" s="151">
        <f>SUMIFS(PURCHASE!$M$6:$M$10008,PURCHASE!$A$6:$A$10008,$O$47,PURCHASE!$E$6:$E$10008,$B$49,PURCHASE!$I$6:$I$10008,'RATEWISE SALE &amp; PURCHASE'!$B$50:$B$53)</f>
        <v>303398.21919999993</v>
      </c>
      <c r="R53" s="152">
        <f t="shared" si="160"/>
        <v>303398.21919999993</v>
      </c>
      <c r="S53" s="150">
        <f>SUMIFS(PURCHASE!$K$6:$K$10008,PURCHASE!$A$6:$A$10008,$S$47,PURCHASE!$E$6:$E$10008,$B$49,PURCHASE!$I$6:$I$10008,'RATEWISE SALE &amp; PURCHASE'!$B$50:$B$53)</f>
        <v>1419703.4900000009</v>
      </c>
      <c r="T53" s="151">
        <f>SUMIFS(PURCHASE!$L$6:$L$10008,PURCHASE!$A$6:$A$10008,$S$47,PURCHASE!$E$6:$E$10008,$B$49,PURCHASE!$I$6:$I$10008,'RATEWISE SALE &amp; PURCHASE'!$B$50:$B$53)</f>
        <v>9672.877199999999</v>
      </c>
      <c r="U53" s="151">
        <f>SUMIFS(PURCHASE!$M$6:$M$10008,PURCHASE!$A$6:$A$10008,$S$47,PURCHASE!$E$6:$E$10008,$B$49,PURCHASE!$I$6:$I$10008,'RATEWISE SALE &amp; PURCHASE'!$B$50:$B$53)</f>
        <v>193921.61999999991</v>
      </c>
      <c r="V53" s="152">
        <f t="shared" si="161"/>
        <v>193921.61999999991</v>
      </c>
      <c r="W53" s="150">
        <f>SUMIFS(PURCHASE!$K$6:$K$10008,PURCHASE!$A$6:$A$10008,$W$47,PURCHASE!$E$6:$E$10008,$B$49,PURCHASE!$I$6:$I$10008,'RATEWISE SALE &amp; PURCHASE'!$B$50:$B$53)</f>
        <v>1412605.1700000004</v>
      </c>
      <c r="X53" s="151">
        <f>SUMIFS(PURCHASE!$L$6:$L$10008,PURCHASE!$A$6:$A$10008,$W$47,PURCHASE!$E$6:$E$10008,$B$49,PURCHASE!$I$6:$I$10008,'RATEWISE SALE &amp; PURCHASE'!$B$50:$B$53)</f>
        <v>57463.603599999988</v>
      </c>
      <c r="Y53" s="151">
        <f>SUMIFS(PURCHASE!$M$6:$M$10008,PURCHASE!$A$6:$A$10008,$W$47,PURCHASE!$E$6:$E$10008,$B$49,PURCHASE!$I$6:$I$10008,'RATEWISE SALE &amp; PURCHASE'!$B$50:$B$53)</f>
        <v>169035.64699999994</v>
      </c>
      <c r="Z53" s="152">
        <f t="shared" si="162"/>
        <v>169035.64699999994</v>
      </c>
      <c r="AA53" s="150">
        <f>SUMIFS(PURCHASE!$K$6:$K$10008,PURCHASE!$A$6:$A$10008,$AA$47,PURCHASE!$E$6:$E$10008,$B$49,PURCHASE!$I$6:$I$10008,'RATEWISE SALE &amp; PURCHASE'!$B$50:$B$53)</f>
        <v>1105091.82</v>
      </c>
      <c r="AB53" s="151">
        <f>SUMIFS(PURCHASE!$L$6:$L$10008,PURCHASE!$A$6:$A$10008,$AA$47,PURCHASE!$E$6:$E$10008,$B$49,PURCHASE!$I$6:$I$10008,'RATEWISE SALE &amp; PURCHASE'!$B$50:$B$53)</f>
        <v>35776.299999999996</v>
      </c>
      <c r="AC53" s="151">
        <f>SUMIFS(PURCHASE!$M$6:$M$10008,PURCHASE!$A$6:$A$10008,$AA$47,PURCHASE!$E$6:$E$10008,$B$49,PURCHASE!$I$6:$I$10008,'RATEWISE SALE &amp; PURCHASE'!$B$50:$B$53)</f>
        <v>136824.70480000004</v>
      </c>
      <c r="AD53" s="152">
        <f t="shared" si="163"/>
        <v>136824.70480000004</v>
      </c>
      <c r="AE53" s="150">
        <f>SUMIFS(PURCHASE!$K$6:$K$10008,PURCHASE!$A$6:$A$10008,$AE$47,PURCHASE!$E$6:$E$10008,$B$49,PURCHASE!$I$6:$I$10008,'RATEWISE SALE &amp; PURCHASE'!$B$50:$B$53)</f>
        <v>0</v>
      </c>
      <c r="AF53" s="151">
        <f>SUMIFS(PURCHASE!$L$6:$L$10008,PURCHASE!$A$6:$A$10008,$AE$47,PURCHASE!$E$6:$E$10008,$B$49,PURCHASE!$I$6:$I$10008,'RATEWISE SALE &amp; PURCHASE'!$B$50:$B$53)</f>
        <v>0</v>
      </c>
      <c r="AG53" s="151">
        <f>SUMIFS(PURCHASE!$M$6:$M$10008,PURCHASE!$A$6:$A$10008,$AE$47,PURCHASE!$E$6:$E$10008,$B$49,PURCHASE!$I$6:$I$10008,'RATEWISE SALE &amp; PURCHASE'!$B$50:$B$53)</f>
        <v>0</v>
      </c>
      <c r="AH53" s="152">
        <f t="shared" si="164"/>
        <v>0</v>
      </c>
      <c r="AI53" s="150">
        <f>SUMIFS(PURCHASE!$K$6:$K$10008,PURCHASE!$A$6:$A$10008,$AI$47,PURCHASE!$E$6:$E$10008,$B$49,PURCHASE!$I$6:$I$10008,'RATEWISE SALE &amp; PURCHASE'!$B$50:$B$53)</f>
        <v>0</v>
      </c>
      <c r="AJ53" s="151">
        <f>SUMIFS(PURCHASE!$L$6:$L$10008,PURCHASE!$A$6:$A$10008,$AI$47,PURCHASE!$E$6:$E$10008,$B$49,PURCHASE!$I$6:$I$10008,'RATEWISE SALE &amp; PURCHASE'!$B$50:$B$53)</f>
        <v>0</v>
      </c>
      <c r="AK53" s="151">
        <f>SUMIFS(PURCHASE!$M$6:$M$10008,PURCHASE!$A$6:$A$10008,$AI$47,PURCHASE!$E$6:$E$10008,$B$49,PURCHASE!$I$6:$I$10008,'RATEWISE SALE &amp; PURCHASE'!$B$50:$B$53)</f>
        <v>0</v>
      </c>
      <c r="AL53" s="152">
        <f t="shared" si="165"/>
        <v>0</v>
      </c>
      <c r="AM53" s="150">
        <f>SUMIFS(PURCHASE!$K$6:$K$10008,PURCHASE!$A$6:$A$10008,$AM$47,PURCHASE!$E$6:$E$10008,$B$49,PURCHASE!$I$6:$I$10008,'RATEWISE SALE &amp; PURCHASE'!$B$50:$B$53)</f>
        <v>0</v>
      </c>
      <c r="AN53" s="151">
        <f>SUMIFS(PURCHASE!$L$6:$L$10008,PURCHASE!$A$6:$A$10008,$AM$47,PURCHASE!$E$6:$E$10008,$B$49,PURCHASE!$I$6:$I$10008,'RATEWISE SALE &amp; PURCHASE'!$B$50:$B$53)</f>
        <v>0</v>
      </c>
      <c r="AO53" s="151">
        <f>SUMIFS(PURCHASE!$M$6:$M$10008,PURCHASE!$A$6:$A$10008,$AM$47,PURCHASE!$E$6:$E$10008,$B$49,PURCHASE!$I$6:$I$10008,'RATEWISE SALE &amp; PURCHASE'!$B$50:$B$53)</f>
        <v>0</v>
      </c>
      <c r="AP53" s="152">
        <f t="shared" si="166"/>
        <v>0</v>
      </c>
      <c r="AQ53" s="150">
        <f>SUMIFS(PURCHASE!$K$6:$K$10008,PURCHASE!$A$6:$A$10008,$AQ$47,PURCHASE!$E$6:$E$10008,$B$49,PURCHASE!$I$6:$I$10008,'RATEWISE SALE &amp; PURCHASE'!$B$50:$B$53)</f>
        <v>0</v>
      </c>
      <c r="AR53" s="151">
        <f>SUMIFS(PURCHASE!$L$6:$L$10008,PURCHASE!$A$6:$A$10008,$AQ$47,PURCHASE!$E$6:$E$10008,$B$49,PURCHASE!$I$6:$I$10008,'RATEWISE SALE &amp; PURCHASE'!$B$50:$B$53)</f>
        <v>0</v>
      </c>
      <c r="AS53" s="151">
        <f>SUMIFS(PURCHASE!$M$6:$M$10008,PURCHASE!$A$6:$A$10008,$AQ$47,PURCHASE!$E$6:$E$10008,$B$49,PURCHASE!$I$6:$I$10008,'RATEWISE SALE &amp; PURCHASE'!$B$50:$B$53)</f>
        <v>0</v>
      </c>
      <c r="AT53" s="152">
        <f t="shared" si="167"/>
        <v>0</v>
      </c>
      <c r="AU53" s="150">
        <f>SUMIFS(PURCHASE!$K$6:$K$10008,PURCHASE!$A$6:$A$10008,$AU$47,PURCHASE!$E$6:$E$10008,$B$49,PURCHASE!$I$6:$I$10008,'RATEWISE SALE &amp; PURCHASE'!$B$50:$B$53)</f>
        <v>0</v>
      </c>
      <c r="AV53" s="151">
        <f>SUMIFS(PURCHASE!$L$6:$L$10008,PURCHASE!$A$6:$A$10008,$AU$47,PURCHASE!$E$6:$E$10008,$B$49,PURCHASE!$I$6:$I$10008,'RATEWISE SALE &amp; PURCHASE'!$B$50:$B$53)</f>
        <v>0</v>
      </c>
      <c r="AW53" s="151">
        <f>SUMIFS(PURCHASE!$M$6:$M$10008,PURCHASE!$A$6:$A$10008,$AU$47,PURCHASE!$E$6:$E$10008,$B$49,PURCHASE!$I$6:$I$10008,'RATEWISE SALE &amp; PURCHASE'!$B$50:$B$53)</f>
        <v>0</v>
      </c>
      <c r="AX53" s="152">
        <f t="shared" si="168"/>
        <v>0</v>
      </c>
      <c r="AY53" s="150">
        <f t="shared" si="153"/>
        <v>11601331.140000004</v>
      </c>
      <c r="AZ53" s="151">
        <f t="shared" si="154"/>
        <v>187327.48879999999</v>
      </c>
      <c r="BA53" s="151">
        <f t="shared" si="155"/>
        <v>1530527.4101999991</v>
      </c>
      <c r="BB53" s="152">
        <f t="shared" si="156"/>
        <v>1530527.4101999991</v>
      </c>
    </row>
    <row r="54" spans="1:54" x14ac:dyDescent="0.2">
      <c r="A54" s="157" t="s">
        <v>1044</v>
      </c>
      <c r="B54" s="158"/>
      <c r="C54" s="159">
        <f>SUM(C50:C53)</f>
        <v>2652283.8100000005</v>
      </c>
      <c r="D54" s="160">
        <f t="shared" ref="D54:F54" si="169">SUM(D50:D53)</f>
        <v>2079.9351999999999</v>
      </c>
      <c r="E54" s="160">
        <f t="shared" si="169"/>
        <v>319756.23879999982</v>
      </c>
      <c r="F54" s="161">
        <f t="shared" si="169"/>
        <v>319756.23879999982</v>
      </c>
      <c r="G54" s="159">
        <f>SUM(G50:G53)</f>
        <v>4627208.6600000011</v>
      </c>
      <c r="H54" s="160">
        <f t="shared" ref="H54:J54" si="170">SUM(H50:H53)</f>
        <v>139070.23000000001</v>
      </c>
      <c r="I54" s="160">
        <f t="shared" si="170"/>
        <v>442718.35539999988</v>
      </c>
      <c r="J54" s="161">
        <f t="shared" si="170"/>
        <v>442718.35539999988</v>
      </c>
      <c r="K54" s="159">
        <f>SUM(K50:K53)</f>
        <v>4587449.7700000005</v>
      </c>
      <c r="L54" s="160">
        <f t="shared" ref="L54:N54" si="171">SUM(L50:L53)</f>
        <v>89585.376799999998</v>
      </c>
      <c r="M54" s="160">
        <f t="shared" si="171"/>
        <v>456407.09639999963</v>
      </c>
      <c r="N54" s="161">
        <f t="shared" si="171"/>
        <v>456407.09639999963</v>
      </c>
      <c r="O54" s="159">
        <f>SUM(O50:O53)</f>
        <v>6361852.5599999987</v>
      </c>
      <c r="P54" s="160">
        <f t="shared" ref="P54:R54" si="172">SUM(P50:P53)</f>
        <v>69285.56</v>
      </c>
      <c r="Q54" s="160">
        <f t="shared" si="172"/>
        <v>649261.90440000012</v>
      </c>
      <c r="R54" s="161">
        <f t="shared" si="172"/>
        <v>649261.90440000012</v>
      </c>
      <c r="S54" s="159">
        <f>SUM(S50:S53)</f>
        <v>4347301.0500000007</v>
      </c>
      <c r="T54" s="160">
        <f t="shared" ref="T54:V54" si="173">SUM(T50:T53)</f>
        <v>10977.877199999999</v>
      </c>
      <c r="U54" s="160">
        <f t="shared" si="173"/>
        <v>403845.38939999999</v>
      </c>
      <c r="V54" s="161">
        <f t="shared" si="173"/>
        <v>403845.38939999999</v>
      </c>
      <c r="W54" s="159">
        <f>SUM(W50:W53)</f>
        <v>3805155.22</v>
      </c>
      <c r="X54" s="160">
        <f t="shared" ref="X54:Z54" si="174">SUM(X50:X53)</f>
        <v>57463.603599999988</v>
      </c>
      <c r="Y54" s="160">
        <f t="shared" si="174"/>
        <v>382093.73650000012</v>
      </c>
      <c r="Z54" s="161">
        <f t="shared" si="174"/>
        <v>382093.73650000012</v>
      </c>
      <c r="AA54" s="159">
        <f>SUM(AA50:AA53)</f>
        <v>4586564.9400000004</v>
      </c>
      <c r="AB54" s="160">
        <f t="shared" ref="AB54:AD54" si="175">SUM(AB50:AB53)</f>
        <v>176954.97999999998</v>
      </c>
      <c r="AC54" s="160">
        <f t="shared" si="175"/>
        <v>376648.78960000002</v>
      </c>
      <c r="AD54" s="161">
        <f t="shared" si="175"/>
        <v>376648.78960000002</v>
      </c>
      <c r="AE54" s="159">
        <f>SUM(AE50:AE53)</f>
        <v>0</v>
      </c>
      <c r="AF54" s="160">
        <f t="shared" ref="AF54:AH54" si="176">SUM(AF50:AF53)</f>
        <v>0</v>
      </c>
      <c r="AG54" s="160">
        <f t="shared" si="176"/>
        <v>0</v>
      </c>
      <c r="AH54" s="161">
        <f t="shared" si="176"/>
        <v>0</v>
      </c>
      <c r="AI54" s="159">
        <f>SUM(AI50:AI53)</f>
        <v>0</v>
      </c>
      <c r="AJ54" s="160">
        <f t="shared" ref="AJ54:AL54" si="177">SUM(AJ50:AJ53)</f>
        <v>0</v>
      </c>
      <c r="AK54" s="160">
        <f t="shared" si="177"/>
        <v>0</v>
      </c>
      <c r="AL54" s="161">
        <f t="shared" si="177"/>
        <v>0</v>
      </c>
      <c r="AM54" s="159">
        <f>SUM(AM50:AM53)</f>
        <v>0</v>
      </c>
      <c r="AN54" s="160">
        <f t="shared" ref="AN54:AP54" si="178">SUM(AN50:AN53)</f>
        <v>0</v>
      </c>
      <c r="AO54" s="160">
        <f t="shared" si="178"/>
        <v>0</v>
      </c>
      <c r="AP54" s="161">
        <f t="shared" si="178"/>
        <v>0</v>
      </c>
      <c r="AQ54" s="159">
        <f>SUM(AQ50:AQ53)</f>
        <v>0</v>
      </c>
      <c r="AR54" s="160">
        <f t="shared" ref="AR54:AT54" si="179">SUM(AR50:AR53)</f>
        <v>0</v>
      </c>
      <c r="AS54" s="160">
        <f t="shared" si="179"/>
        <v>0</v>
      </c>
      <c r="AT54" s="161">
        <f t="shared" si="179"/>
        <v>0</v>
      </c>
      <c r="AU54" s="159">
        <f>SUM(AU50:AU53)</f>
        <v>0</v>
      </c>
      <c r="AV54" s="160">
        <f t="shared" ref="AV54:AX54" si="180">SUM(AV50:AV53)</f>
        <v>0</v>
      </c>
      <c r="AW54" s="160">
        <f t="shared" si="180"/>
        <v>0</v>
      </c>
      <c r="AX54" s="161">
        <f t="shared" si="180"/>
        <v>0</v>
      </c>
      <c r="AY54" s="159">
        <f t="shared" si="153"/>
        <v>30967816.010000002</v>
      </c>
      <c r="AZ54" s="160">
        <f t="shared" si="154"/>
        <v>545417.56279999996</v>
      </c>
      <c r="BA54" s="160">
        <f t="shared" si="155"/>
        <v>3030731.5104999999</v>
      </c>
      <c r="BB54" s="161">
        <f t="shared" si="156"/>
        <v>3030731.5104999999</v>
      </c>
    </row>
    <row r="55" spans="1:54" x14ac:dyDescent="0.2">
      <c r="A55" s="155"/>
      <c r="B55" s="156"/>
      <c r="C55" s="150"/>
      <c r="D55" s="151"/>
      <c r="E55" s="151"/>
      <c r="F55" s="152"/>
      <c r="G55" s="150"/>
      <c r="H55" s="151"/>
      <c r="I55" s="151"/>
      <c r="J55" s="152"/>
      <c r="K55" s="150"/>
      <c r="L55" s="151"/>
      <c r="M55" s="151"/>
      <c r="N55" s="152"/>
      <c r="O55" s="150"/>
      <c r="P55" s="151"/>
      <c r="Q55" s="151"/>
      <c r="R55" s="152"/>
      <c r="S55" s="150"/>
      <c r="T55" s="151"/>
      <c r="U55" s="151"/>
      <c r="V55" s="152"/>
      <c r="W55" s="150"/>
      <c r="X55" s="151"/>
      <c r="Y55" s="151"/>
      <c r="Z55" s="152"/>
      <c r="AA55" s="150"/>
      <c r="AB55" s="151"/>
      <c r="AC55" s="151"/>
      <c r="AD55" s="152"/>
      <c r="AE55" s="150"/>
      <c r="AF55" s="151"/>
      <c r="AG55" s="151"/>
      <c r="AH55" s="152"/>
      <c r="AI55" s="150"/>
      <c r="AJ55" s="151"/>
      <c r="AK55" s="151"/>
      <c r="AL55" s="152"/>
      <c r="AM55" s="150"/>
      <c r="AN55" s="151"/>
      <c r="AO55" s="151"/>
      <c r="AP55" s="152"/>
      <c r="AQ55" s="150"/>
      <c r="AR55" s="151"/>
      <c r="AS55" s="151"/>
      <c r="AT55" s="152"/>
      <c r="AU55" s="150"/>
      <c r="AV55" s="151"/>
      <c r="AW55" s="151"/>
      <c r="AX55" s="152"/>
      <c r="AY55" s="150"/>
      <c r="AZ55" s="151"/>
      <c r="BA55" s="151"/>
      <c r="BB55" s="152"/>
    </row>
    <row r="56" spans="1:54" x14ac:dyDescent="0.2">
      <c r="A56" s="163" t="s">
        <v>228</v>
      </c>
      <c r="B56" s="74" t="s">
        <v>228</v>
      </c>
      <c r="C56" s="164"/>
      <c r="D56" s="165"/>
      <c r="E56" s="165"/>
      <c r="F56" s="166"/>
      <c r="G56" s="164"/>
      <c r="H56" s="165"/>
      <c r="I56" s="165"/>
      <c r="J56" s="166"/>
      <c r="K56" s="164"/>
      <c r="L56" s="165"/>
      <c r="M56" s="165"/>
      <c r="N56" s="166"/>
      <c r="O56" s="164"/>
      <c r="P56" s="165"/>
      <c r="Q56" s="165"/>
      <c r="R56" s="166"/>
      <c r="S56" s="164"/>
      <c r="T56" s="165"/>
      <c r="U56" s="165"/>
      <c r="V56" s="166"/>
      <c r="W56" s="164"/>
      <c r="X56" s="165"/>
      <c r="Y56" s="165"/>
      <c r="Z56" s="166"/>
      <c r="AA56" s="164"/>
      <c r="AB56" s="165"/>
      <c r="AC56" s="165"/>
      <c r="AD56" s="166"/>
      <c r="AE56" s="164"/>
      <c r="AF56" s="165"/>
      <c r="AG56" s="165"/>
      <c r="AH56" s="166"/>
      <c r="AI56" s="164"/>
      <c r="AJ56" s="165"/>
      <c r="AK56" s="165"/>
      <c r="AL56" s="166"/>
      <c r="AM56" s="164"/>
      <c r="AN56" s="165"/>
      <c r="AO56" s="165"/>
      <c r="AP56" s="166"/>
      <c r="AQ56" s="164"/>
      <c r="AR56" s="165"/>
      <c r="AS56" s="165"/>
      <c r="AT56" s="166"/>
      <c r="AU56" s="164"/>
      <c r="AV56" s="165"/>
      <c r="AW56" s="165"/>
      <c r="AX56" s="166"/>
      <c r="AY56" s="164"/>
      <c r="AZ56" s="165"/>
      <c r="BA56" s="165"/>
      <c r="BB56" s="166"/>
    </row>
    <row r="57" spans="1:54" x14ac:dyDescent="0.2">
      <c r="A57" s="155" t="s">
        <v>2548</v>
      </c>
      <c r="B57" s="156">
        <v>5</v>
      </c>
      <c r="C57" s="150">
        <f>SUMIFS(PURCHASE!$K$6:$K$10008,PURCHASE!$A$6:$A$10008,$C$47,PURCHASE!$E$6:$E$10008,$B$56,PURCHASE!$I$6:$I$10008,'RATEWISE SALE &amp; PURCHASE'!$B$57:$B$60)</f>
        <v>0</v>
      </c>
      <c r="D57" s="151">
        <f>SUMIFS(PURCHASE!$L$6:$L$10008,PURCHASE!$A$6:$A$10008,$C$47,PURCHASE!$E$6:$E$10008,$B$56,PURCHASE!$I$6:$I$10008,'RATEWISE SALE &amp; PURCHASE'!$B$57:$B$60)</f>
        <v>0</v>
      </c>
      <c r="E57" s="151">
        <f>SUMIFS(PURCHASE!$M$6:$M$10008,PURCHASE!$A$6:$A$10008,$C$47,PURCHASE!$E$6:$E$10008,$B$56,PURCHASE!$I$6:$I$10008,'RATEWISE SALE &amp; PURCHASE'!$B$57:$B$60)</f>
        <v>0</v>
      </c>
      <c r="F57" s="152">
        <f>+E57</f>
        <v>0</v>
      </c>
      <c r="G57" s="150">
        <f>SUMIFS(PURCHASE!$K$6:$K$10008,PURCHASE!$A$6:$A$10008,$G$47,PURCHASE!$E$6:$E$10008,$B$56,PURCHASE!$I$6:$I$10008,'RATEWISE SALE &amp; PURCHASE'!$B$57:$B$60)</f>
        <v>0</v>
      </c>
      <c r="H57" s="151">
        <f>SUMIFS(PURCHASE!$L$6:$L$10008,PURCHASE!$A$6:$A$10008,$G$47,PURCHASE!$E$6:$E$10008,$B$56,PURCHASE!$I$6:$I$10008,'RATEWISE SALE &amp; PURCHASE'!$B$57:$B$60)</f>
        <v>0</v>
      </c>
      <c r="I57" s="151">
        <f>SUMIFS(PURCHASE!$M$6:$M$10008,PURCHASE!$A$6:$A$10008,$G$47,PURCHASE!$E$6:$E$10008,$B$56,PURCHASE!$I$6:$I$10008,'RATEWISE SALE &amp; PURCHASE'!$B$57:$B$60)</f>
        <v>0</v>
      </c>
      <c r="J57" s="152">
        <f>+I57</f>
        <v>0</v>
      </c>
      <c r="K57" s="150">
        <f>SUMIFS(PURCHASE!$K$6:$K$10008,PURCHASE!$A$6:$A$10008,$K$47,PURCHASE!$E$6:$E$10008,$B$56,PURCHASE!$I$6:$I$10008,'RATEWISE SALE &amp; PURCHASE'!$B$57:$B$60)</f>
        <v>0</v>
      </c>
      <c r="L57" s="151">
        <f>SUMIFS(PURCHASE!$L$6:$L$10008,PURCHASE!$A$6:$A$10008,$K$47,PURCHASE!$E$6:$E$10008,$B$56,PURCHASE!$I$6:$I$10008,'RATEWISE SALE &amp; PURCHASE'!$B$57:$B$60)</f>
        <v>0</v>
      </c>
      <c r="M57" s="151">
        <f>SUMIFS(PURCHASE!$M$6:$M$10008,PURCHASE!$A$6:$A$10008,$K$47,PURCHASE!$E$6:$E$10008,$B$56,PURCHASE!$I$6:$I$10008,'RATEWISE SALE &amp; PURCHASE'!$B$57:$B$60)</f>
        <v>0</v>
      </c>
      <c r="N57" s="152">
        <f>+M57</f>
        <v>0</v>
      </c>
      <c r="O57" s="150">
        <f>SUMIFS(PURCHASE!$K$6:$K$10008,PURCHASE!$A$6:$A$10008,$O$47,PURCHASE!$E$6:$E$10008,$B$56,PURCHASE!$I$6:$I$10008,'RATEWISE SALE &amp; PURCHASE'!$B$57:$B$60)</f>
        <v>0</v>
      </c>
      <c r="P57" s="151">
        <f>SUMIFS(PURCHASE!$L$6:$L$10008,PURCHASE!$A$6:$A$10008,$O$47,PURCHASE!$E$6:$E$10008,$B$56,PURCHASE!$I$6:$I$10008,'RATEWISE SALE &amp; PURCHASE'!$B$57:$B$60)</f>
        <v>0</v>
      </c>
      <c r="Q57" s="151">
        <f>SUMIFS(PURCHASE!$M$6:$M$10008,PURCHASE!$A$6:$A$10008,$O$47,PURCHASE!$E$6:$E$10008,$B$56,PURCHASE!$I$6:$I$10008,'RATEWISE SALE &amp; PURCHASE'!$B$57:$B$60)</f>
        <v>0</v>
      </c>
      <c r="R57" s="152">
        <f>+Q57</f>
        <v>0</v>
      </c>
      <c r="S57" s="150">
        <f>SUMIFS(PURCHASE!$K$6:$K$10008,PURCHASE!$A$6:$A$10008,$S$47,PURCHASE!$E$6:$E$10008,$B$56,PURCHASE!$I$6:$I$10008,'RATEWISE SALE &amp; PURCHASE'!$B$57:$B$60)</f>
        <v>0</v>
      </c>
      <c r="T57" s="151">
        <f>SUMIFS(PURCHASE!$L$6:$L$10008,PURCHASE!$A$6:$A$10008,$S$47,PURCHASE!$E$6:$E$10008,$B$56,PURCHASE!$I$6:$I$10008,'RATEWISE SALE &amp; PURCHASE'!$B$57:$B$60)</f>
        <v>0</v>
      </c>
      <c r="U57" s="151">
        <f>SUMIFS(PURCHASE!$M$6:$M$10008,PURCHASE!$A$6:$A$10008,$S$47,PURCHASE!$E$6:$E$10008,$B$56,PURCHASE!$I$6:$I$10008,'RATEWISE SALE &amp; PURCHASE'!$B$57:$B$60)</f>
        <v>0</v>
      </c>
      <c r="V57" s="152">
        <f>+U57</f>
        <v>0</v>
      </c>
      <c r="W57" s="150">
        <f>SUMIFS(PURCHASE!$K$6:$K$10008,PURCHASE!$A$6:$A$10008,$W$47,PURCHASE!$E$6:$E$10008,$B$56,PURCHASE!$I$6:$I$10008,'RATEWISE SALE &amp; PURCHASE'!$B$57:$B$60)</f>
        <v>0</v>
      </c>
      <c r="X57" s="151">
        <f>SUMIFS(PURCHASE!$L$6:$L$10008,PURCHASE!$A$6:$A$10008,$W$47,PURCHASE!$E$6:$E$10008,$B$56,PURCHASE!$I$6:$I$10008,'RATEWISE SALE &amp; PURCHASE'!$B$57:$B$60)</f>
        <v>0</v>
      </c>
      <c r="Y57" s="151">
        <f>SUMIFS(PURCHASE!$M$6:$M$10008,PURCHASE!$A$6:$A$10008,$W$47,PURCHASE!$E$6:$E$10008,$B$56,PURCHASE!$I$6:$I$10008,'RATEWISE SALE &amp; PURCHASE'!$B$57:$B$60)</f>
        <v>0</v>
      </c>
      <c r="Z57" s="152">
        <f>+Y57</f>
        <v>0</v>
      </c>
      <c r="AA57" s="150">
        <f>SUMIFS(PURCHASE!$K$6:$K$10008,PURCHASE!$A$6:$A$10008,$AA$47,PURCHASE!$E$6:$E$10008,$B$56,PURCHASE!$I$6:$I$10008,'RATEWISE SALE &amp; PURCHASE'!$B$57:$B$60)</f>
        <v>0</v>
      </c>
      <c r="AB57" s="151">
        <f>SUMIFS(PURCHASE!$L$6:$L$10008,PURCHASE!$A$6:$A$10008,$AA$47,PURCHASE!$E$6:$E$10008,$B$56,PURCHASE!$I$6:$I$10008,'RATEWISE SALE &amp; PURCHASE'!$B$57:$B$60)</f>
        <v>0</v>
      </c>
      <c r="AC57" s="151">
        <f>SUMIFS(PURCHASE!$M$6:$M$10008,PURCHASE!$A$6:$A$10008,$AA$47,PURCHASE!$E$6:$E$10008,$B$56,PURCHASE!$I$6:$I$10008,'RATEWISE SALE &amp; PURCHASE'!$B$57:$B$60)</f>
        <v>0</v>
      </c>
      <c r="AD57" s="152">
        <f>+AC57</f>
        <v>0</v>
      </c>
      <c r="AE57" s="150">
        <f>SUMIFS(PURCHASE!$K$6:$K$10008,PURCHASE!$A$6:$A$10008,$AE$47,PURCHASE!$E$6:$E$10008,$B$56,PURCHASE!$I$6:$I$10008,'RATEWISE SALE &amp; PURCHASE'!$B$57:$B$60)</f>
        <v>0</v>
      </c>
      <c r="AF57" s="151">
        <f>SUMIFS(PURCHASE!$L$6:$L$10008,PURCHASE!$A$6:$A$10008,$AE$47,PURCHASE!$E$6:$E$10008,$B$56,PURCHASE!$I$6:$I$10008,'RATEWISE SALE &amp; PURCHASE'!$B$57:$B$60)</f>
        <v>0</v>
      </c>
      <c r="AG57" s="151">
        <f>SUMIFS(PURCHASE!$M$6:$M$10008,PURCHASE!$A$6:$A$10008,$AE$47,PURCHASE!$E$6:$E$10008,$B$56,PURCHASE!$I$6:$I$10008,'RATEWISE SALE &amp; PURCHASE'!$B$57:$B$60)</f>
        <v>0</v>
      </c>
      <c r="AH57" s="152">
        <f>+AG57</f>
        <v>0</v>
      </c>
      <c r="AI57" s="150">
        <f>SUMIFS(PURCHASE!$K$6:$K$10008,PURCHASE!$A$6:$A$10008,$AI$47,PURCHASE!$E$6:$E$10008,$B$56,PURCHASE!$I$6:$I$10008,'RATEWISE SALE &amp; PURCHASE'!$B$57:$B$60)</f>
        <v>0</v>
      </c>
      <c r="AJ57" s="151">
        <f>SUMIFS(PURCHASE!$L$6:$L$10008,PURCHASE!$A$6:$A$10008,$AI$47,PURCHASE!$E$6:$E$10008,$B$56,PURCHASE!$I$6:$I$10008,'RATEWISE SALE &amp; PURCHASE'!$B$57:$B$60)</f>
        <v>0</v>
      </c>
      <c r="AK57" s="151">
        <f>SUMIFS(PURCHASE!$M$6:$M$10008,PURCHASE!$A$6:$A$10008,$AI$47,PURCHASE!$E$6:$E$10008,$B$56,PURCHASE!$I$6:$I$10008,'RATEWISE SALE &amp; PURCHASE'!$B$57:$B$60)</f>
        <v>0</v>
      </c>
      <c r="AL57" s="152">
        <f>+AK57</f>
        <v>0</v>
      </c>
      <c r="AM57" s="150">
        <f>SUMIFS(PURCHASE!$K$6:$K$10008,PURCHASE!$A$6:$A$10008,$AM$47,PURCHASE!$E$6:$E$10008,$B$56,PURCHASE!$I$6:$I$10008,'RATEWISE SALE &amp; PURCHASE'!$B$57:$B$60)</f>
        <v>0</v>
      </c>
      <c r="AN57" s="151">
        <f>SUMIFS(PURCHASE!$L$6:$L$10008,PURCHASE!$A$6:$A$10008,$AM$47,PURCHASE!$E$6:$E$10008,$B$56,PURCHASE!$I$6:$I$10008,'RATEWISE SALE &amp; PURCHASE'!$B$57:$B$60)</f>
        <v>0</v>
      </c>
      <c r="AO57" s="151">
        <f>SUMIFS(PURCHASE!$M$6:$M$10008,PURCHASE!$A$6:$A$10008,$AM$47,PURCHASE!$E$6:$E$10008,$B$56,PURCHASE!$I$6:$I$10008,'RATEWISE SALE &amp; PURCHASE'!$B$57:$B$60)</f>
        <v>0</v>
      </c>
      <c r="AP57" s="152">
        <f>+AO57</f>
        <v>0</v>
      </c>
      <c r="AQ57" s="150">
        <f>SUMIFS(PURCHASE!$K$6:$K$10008,PURCHASE!$A$6:$A$10008,$AQ$47,PURCHASE!$E$6:$E$10008,$B$56,PURCHASE!$I$6:$I$10008,'RATEWISE SALE &amp; PURCHASE'!$B$57:$B$60)</f>
        <v>0</v>
      </c>
      <c r="AR57" s="151">
        <f>SUMIFS(PURCHASE!$L$6:$L$10008,PURCHASE!$A$6:$A$10008,$AQ$47,PURCHASE!$E$6:$E$10008,$B$56,PURCHASE!$I$6:$I$10008,'RATEWISE SALE &amp; PURCHASE'!$B$57:$B$60)</f>
        <v>0</v>
      </c>
      <c r="AS57" s="151">
        <f>SUMIFS(PURCHASE!$M$6:$M$10008,PURCHASE!$A$6:$A$10008,$AQ$47,PURCHASE!$E$6:$E$10008,$B$56,PURCHASE!$I$6:$I$10008,'RATEWISE SALE &amp; PURCHASE'!$B$57:$B$60)</f>
        <v>0</v>
      </c>
      <c r="AT57" s="152">
        <f>+AS57</f>
        <v>0</v>
      </c>
      <c r="AU57" s="150">
        <f>SUMIFS(PURCHASE!$K$6:$K$10008,PURCHASE!$A$6:$A$10008,$AU$47,PURCHASE!$E$6:$E$10008,$B$56,PURCHASE!$I$6:$I$10008,'RATEWISE SALE &amp; PURCHASE'!$B$57:$B$60)</f>
        <v>0</v>
      </c>
      <c r="AV57" s="151">
        <f>SUMIFS(PURCHASE!$L$6:$L$10008,PURCHASE!$A$6:$A$10008,$AU$47,PURCHASE!$E$6:$E$10008,$B$56,PURCHASE!$I$6:$I$10008,'RATEWISE SALE &amp; PURCHASE'!$B$57:$B$60)</f>
        <v>0</v>
      </c>
      <c r="AW57" s="151">
        <f>SUMIFS(PURCHASE!$M$6:$M$10008,PURCHASE!$A$6:$A$10008,$AU$47,PURCHASE!$E$6:$E$10008,$B$56,PURCHASE!$I$6:$I$10008,'RATEWISE SALE &amp; PURCHASE'!$B$57:$B$60)</f>
        <v>0</v>
      </c>
      <c r="AX57" s="152">
        <f>+AW57</f>
        <v>0</v>
      </c>
      <c r="AY57" s="150">
        <f t="shared" ref="AY57:AY61" si="181">+C57+G57+K57+O57+S57+W57+AA57+AE57+AI57+AM57+AQ57+AU57</f>
        <v>0</v>
      </c>
      <c r="AZ57" s="151">
        <f t="shared" ref="AZ57:AZ61" si="182">+D57+H57+L57+P57+T57+X57+AB57+AF57+AJ57+AN57+AR57+AV57</f>
        <v>0</v>
      </c>
      <c r="BA57" s="151">
        <f t="shared" ref="BA57:BA61" si="183">+E57+I57+M57+Q57+U57+Y57+AC57+AG57+AK57+AO57+AS57+AW57</f>
        <v>0</v>
      </c>
      <c r="BB57" s="152">
        <f t="shared" ref="BB57:BB61" si="184">+F57+J57+N57+R57+V57+Z57+AD57+AH57+AL57+AP57+AT57+AX57</f>
        <v>0</v>
      </c>
    </row>
    <row r="58" spans="1:54" x14ac:dyDescent="0.2">
      <c r="A58" s="155" t="s">
        <v>2549</v>
      </c>
      <c r="B58" s="156">
        <v>12</v>
      </c>
      <c r="C58" s="150">
        <f>SUMIFS(PURCHASE!$K$6:$K$10008,PURCHASE!$A$6:$A$10008,$C$47,PURCHASE!$E$6:$E$10008,$B$56,PURCHASE!$I$6:$I$10008,'RATEWISE SALE &amp; PURCHASE'!$B$57:$B$60)</f>
        <v>0</v>
      </c>
      <c r="D58" s="151">
        <f>SUMIFS(PURCHASE!$L$6:$L$10008,PURCHASE!$A$6:$A$10008,$C$47,PURCHASE!$E$6:$E$10008,$B$56,PURCHASE!$I$6:$I$10008,'RATEWISE SALE &amp; PURCHASE'!$B$57:$B$60)</f>
        <v>0</v>
      </c>
      <c r="E58" s="151">
        <f>SUMIFS(PURCHASE!$M$6:$M$10008,PURCHASE!$A$6:$A$10008,$C$47,PURCHASE!$E$6:$E$10008,$B$56,PURCHASE!$I$6:$I$10008,'RATEWISE SALE &amp; PURCHASE'!$B$57:$B$60)</f>
        <v>0</v>
      </c>
      <c r="F58" s="152">
        <f t="shared" ref="F58:F60" si="185">+E58</f>
        <v>0</v>
      </c>
      <c r="G58" s="150">
        <f>SUMIFS(PURCHASE!$K$6:$K$10008,PURCHASE!$A$6:$A$10008,$G$47,PURCHASE!$E$6:$E$10008,$B$56,PURCHASE!$I$6:$I$10008,'RATEWISE SALE &amp; PURCHASE'!$B$57:$B$60)</f>
        <v>0</v>
      </c>
      <c r="H58" s="151">
        <f>SUMIFS(PURCHASE!$L$6:$L$10008,PURCHASE!$A$6:$A$10008,$G$47,PURCHASE!$E$6:$E$10008,$B$56,PURCHASE!$I$6:$I$10008,'RATEWISE SALE &amp; PURCHASE'!$B$57:$B$60)</f>
        <v>0</v>
      </c>
      <c r="I58" s="151">
        <f>SUMIFS(PURCHASE!$M$6:$M$10008,PURCHASE!$A$6:$A$10008,$G$47,PURCHASE!$E$6:$E$10008,$B$56,PURCHASE!$I$6:$I$10008,'RATEWISE SALE &amp; PURCHASE'!$B$57:$B$60)</f>
        <v>0</v>
      </c>
      <c r="J58" s="152">
        <f t="shared" ref="J58:J60" si="186">+I58</f>
        <v>0</v>
      </c>
      <c r="K58" s="150">
        <f>SUMIFS(PURCHASE!$K$6:$K$10008,PURCHASE!$A$6:$A$10008,$K$47,PURCHASE!$E$6:$E$10008,$B$56,PURCHASE!$I$6:$I$10008,'RATEWISE SALE &amp; PURCHASE'!$B$57:$B$60)</f>
        <v>0</v>
      </c>
      <c r="L58" s="151">
        <f>SUMIFS(PURCHASE!$L$6:$L$10008,PURCHASE!$A$6:$A$10008,$K$47,PURCHASE!$E$6:$E$10008,$B$56,PURCHASE!$I$6:$I$10008,'RATEWISE SALE &amp; PURCHASE'!$B$57:$B$60)</f>
        <v>0</v>
      </c>
      <c r="M58" s="151">
        <f>SUMIFS(PURCHASE!$M$6:$M$10008,PURCHASE!$A$6:$A$10008,$K$47,PURCHASE!$E$6:$E$10008,$B$56,PURCHASE!$I$6:$I$10008,'RATEWISE SALE &amp; PURCHASE'!$B$57:$B$60)</f>
        <v>0</v>
      </c>
      <c r="N58" s="152">
        <f t="shared" ref="N58:N60" si="187">+M58</f>
        <v>0</v>
      </c>
      <c r="O58" s="150">
        <f>SUMIFS(PURCHASE!$K$6:$K$10008,PURCHASE!$A$6:$A$10008,$O$47,PURCHASE!$E$6:$E$10008,$B$56,PURCHASE!$I$6:$I$10008,'RATEWISE SALE &amp; PURCHASE'!$B$57:$B$60)</f>
        <v>0</v>
      </c>
      <c r="P58" s="151">
        <f>SUMIFS(PURCHASE!$L$6:$L$10008,PURCHASE!$A$6:$A$10008,$O$47,PURCHASE!$E$6:$E$10008,$B$56,PURCHASE!$I$6:$I$10008,'RATEWISE SALE &amp; PURCHASE'!$B$57:$B$60)</f>
        <v>0</v>
      </c>
      <c r="Q58" s="151">
        <f>SUMIFS(PURCHASE!$M$6:$M$10008,PURCHASE!$A$6:$A$10008,$O$47,PURCHASE!$E$6:$E$10008,$B$56,PURCHASE!$I$6:$I$10008,'RATEWISE SALE &amp; PURCHASE'!$B$57:$B$60)</f>
        <v>0</v>
      </c>
      <c r="R58" s="152">
        <f t="shared" ref="R58:R60" si="188">+Q58</f>
        <v>0</v>
      </c>
      <c r="S58" s="150">
        <f>SUMIFS(PURCHASE!$K$6:$K$10008,PURCHASE!$A$6:$A$10008,$S$47,PURCHASE!$E$6:$E$10008,$B$56,PURCHASE!$I$6:$I$10008,'RATEWISE SALE &amp; PURCHASE'!$B$57:$B$60)</f>
        <v>0</v>
      </c>
      <c r="T58" s="151">
        <f>SUMIFS(PURCHASE!$L$6:$L$10008,PURCHASE!$A$6:$A$10008,$S$47,PURCHASE!$E$6:$E$10008,$B$56,PURCHASE!$I$6:$I$10008,'RATEWISE SALE &amp; PURCHASE'!$B$57:$B$60)</f>
        <v>0</v>
      </c>
      <c r="U58" s="151">
        <f>SUMIFS(PURCHASE!$M$6:$M$10008,PURCHASE!$A$6:$A$10008,$S$47,PURCHASE!$E$6:$E$10008,$B$56,PURCHASE!$I$6:$I$10008,'RATEWISE SALE &amp; PURCHASE'!$B$57:$B$60)</f>
        <v>0</v>
      </c>
      <c r="V58" s="152">
        <f t="shared" ref="V58:V60" si="189">+U58</f>
        <v>0</v>
      </c>
      <c r="W58" s="150">
        <f>SUMIFS(PURCHASE!$K$6:$K$10008,PURCHASE!$A$6:$A$10008,$W$47,PURCHASE!$E$6:$E$10008,$B$56,PURCHASE!$I$6:$I$10008,'RATEWISE SALE &amp; PURCHASE'!$B$57:$B$60)</f>
        <v>0</v>
      </c>
      <c r="X58" s="151">
        <f>SUMIFS(PURCHASE!$L$6:$L$10008,PURCHASE!$A$6:$A$10008,$W$47,PURCHASE!$E$6:$E$10008,$B$56,PURCHASE!$I$6:$I$10008,'RATEWISE SALE &amp; PURCHASE'!$B$57:$B$60)</f>
        <v>0</v>
      </c>
      <c r="Y58" s="151">
        <f>SUMIFS(PURCHASE!$M$6:$M$10008,PURCHASE!$A$6:$A$10008,$W$47,PURCHASE!$E$6:$E$10008,$B$56,PURCHASE!$I$6:$I$10008,'RATEWISE SALE &amp; PURCHASE'!$B$57:$B$60)</f>
        <v>0</v>
      </c>
      <c r="Z58" s="152">
        <f t="shared" ref="Z58:Z60" si="190">+Y58</f>
        <v>0</v>
      </c>
      <c r="AA58" s="150">
        <f>SUMIFS(PURCHASE!$K$6:$K$10008,PURCHASE!$A$6:$A$10008,$AA$47,PURCHASE!$E$6:$E$10008,$B$56,PURCHASE!$I$6:$I$10008,'RATEWISE SALE &amp; PURCHASE'!$B$57:$B$60)</f>
        <v>0</v>
      </c>
      <c r="AB58" s="151">
        <f>SUMIFS(PURCHASE!$L$6:$L$10008,PURCHASE!$A$6:$A$10008,$AA$47,PURCHASE!$E$6:$E$10008,$B$56,PURCHASE!$I$6:$I$10008,'RATEWISE SALE &amp; PURCHASE'!$B$57:$B$60)</f>
        <v>0</v>
      </c>
      <c r="AC58" s="151">
        <f>SUMIFS(PURCHASE!$M$6:$M$10008,PURCHASE!$A$6:$A$10008,$AA$47,PURCHASE!$E$6:$E$10008,$B$56,PURCHASE!$I$6:$I$10008,'RATEWISE SALE &amp; PURCHASE'!$B$57:$B$60)</f>
        <v>0</v>
      </c>
      <c r="AD58" s="152">
        <f t="shared" ref="AD58:AD60" si="191">+AC58</f>
        <v>0</v>
      </c>
      <c r="AE58" s="150">
        <f>SUMIFS(PURCHASE!$K$6:$K$10008,PURCHASE!$A$6:$A$10008,$AE$47,PURCHASE!$E$6:$E$10008,$B$56,PURCHASE!$I$6:$I$10008,'RATEWISE SALE &amp; PURCHASE'!$B$57:$B$60)</f>
        <v>0</v>
      </c>
      <c r="AF58" s="151">
        <f>SUMIFS(PURCHASE!$L$6:$L$10008,PURCHASE!$A$6:$A$10008,$AE$47,PURCHASE!$E$6:$E$10008,$B$56,PURCHASE!$I$6:$I$10008,'RATEWISE SALE &amp; PURCHASE'!$B$57:$B$60)</f>
        <v>0</v>
      </c>
      <c r="AG58" s="151">
        <f>SUMIFS(PURCHASE!$M$6:$M$10008,PURCHASE!$A$6:$A$10008,$AE$47,PURCHASE!$E$6:$E$10008,$B$56,PURCHASE!$I$6:$I$10008,'RATEWISE SALE &amp; PURCHASE'!$B$57:$B$60)</f>
        <v>0</v>
      </c>
      <c r="AH58" s="152">
        <f t="shared" ref="AH58:AH60" si="192">+AG58</f>
        <v>0</v>
      </c>
      <c r="AI58" s="150">
        <f>SUMIFS(PURCHASE!$K$6:$K$10008,PURCHASE!$A$6:$A$10008,$AI$47,PURCHASE!$E$6:$E$10008,$B$56,PURCHASE!$I$6:$I$10008,'RATEWISE SALE &amp; PURCHASE'!$B$57:$B$60)</f>
        <v>0</v>
      </c>
      <c r="AJ58" s="151">
        <f>SUMIFS(PURCHASE!$L$6:$L$10008,PURCHASE!$A$6:$A$10008,$AI$47,PURCHASE!$E$6:$E$10008,$B$56,PURCHASE!$I$6:$I$10008,'RATEWISE SALE &amp; PURCHASE'!$B$57:$B$60)</f>
        <v>0</v>
      </c>
      <c r="AK58" s="151">
        <f>SUMIFS(PURCHASE!$M$6:$M$10008,PURCHASE!$A$6:$A$10008,$AI$47,PURCHASE!$E$6:$E$10008,$B$56,PURCHASE!$I$6:$I$10008,'RATEWISE SALE &amp; PURCHASE'!$B$57:$B$60)</f>
        <v>0</v>
      </c>
      <c r="AL58" s="152">
        <f t="shared" ref="AL58:AL60" si="193">+AK58</f>
        <v>0</v>
      </c>
      <c r="AM58" s="150">
        <f>SUMIFS(PURCHASE!$K$6:$K$10008,PURCHASE!$A$6:$A$10008,$AM$47,PURCHASE!$E$6:$E$10008,$B$56,PURCHASE!$I$6:$I$10008,'RATEWISE SALE &amp; PURCHASE'!$B$57:$B$60)</f>
        <v>0</v>
      </c>
      <c r="AN58" s="151">
        <f>SUMIFS(PURCHASE!$L$6:$L$10008,PURCHASE!$A$6:$A$10008,$AM$47,PURCHASE!$E$6:$E$10008,$B$56,PURCHASE!$I$6:$I$10008,'RATEWISE SALE &amp; PURCHASE'!$B$57:$B$60)</f>
        <v>0</v>
      </c>
      <c r="AO58" s="151">
        <f>SUMIFS(PURCHASE!$M$6:$M$10008,PURCHASE!$A$6:$A$10008,$AM$47,PURCHASE!$E$6:$E$10008,$B$56,PURCHASE!$I$6:$I$10008,'RATEWISE SALE &amp; PURCHASE'!$B$57:$B$60)</f>
        <v>0</v>
      </c>
      <c r="AP58" s="152">
        <f t="shared" ref="AP58:AP60" si="194">+AO58</f>
        <v>0</v>
      </c>
      <c r="AQ58" s="150">
        <f>SUMIFS(PURCHASE!$K$6:$K$10008,PURCHASE!$A$6:$A$10008,$AQ$47,PURCHASE!$E$6:$E$10008,$B$56,PURCHASE!$I$6:$I$10008,'RATEWISE SALE &amp; PURCHASE'!$B$57:$B$60)</f>
        <v>0</v>
      </c>
      <c r="AR58" s="151">
        <f>SUMIFS(PURCHASE!$L$6:$L$10008,PURCHASE!$A$6:$A$10008,$AQ$47,PURCHASE!$E$6:$E$10008,$B$56,PURCHASE!$I$6:$I$10008,'RATEWISE SALE &amp; PURCHASE'!$B$57:$B$60)</f>
        <v>0</v>
      </c>
      <c r="AS58" s="151">
        <f>SUMIFS(PURCHASE!$M$6:$M$10008,PURCHASE!$A$6:$A$10008,$AQ$47,PURCHASE!$E$6:$E$10008,$B$56,PURCHASE!$I$6:$I$10008,'RATEWISE SALE &amp; PURCHASE'!$B$57:$B$60)</f>
        <v>0</v>
      </c>
      <c r="AT58" s="152">
        <f t="shared" ref="AT58:AT60" si="195">+AS58</f>
        <v>0</v>
      </c>
      <c r="AU58" s="150">
        <f>SUMIFS(PURCHASE!$K$6:$K$10008,PURCHASE!$A$6:$A$10008,$AU$47,PURCHASE!$E$6:$E$10008,$B$56,PURCHASE!$I$6:$I$10008,'RATEWISE SALE &amp; PURCHASE'!$B$57:$B$60)</f>
        <v>0</v>
      </c>
      <c r="AV58" s="151">
        <f>SUMIFS(PURCHASE!$L$6:$L$10008,PURCHASE!$A$6:$A$10008,$AU$47,PURCHASE!$E$6:$E$10008,$B$56,PURCHASE!$I$6:$I$10008,'RATEWISE SALE &amp; PURCHASE'!$B$57:$B$60)</f>
        <v>0</v>
      </c>
      <c r="AW58" s="151">
        <f>SUMIFS(PURCHASE!$M$6:$M$10008,PURCHASE!$A$6:$A$10008,$AU$47,PURCHASE!$E$6:$E$10008,$B$56,PURCHASE!$I$6:$I$10008,'RATEWISE SALE &amp; PURCHASE'!$B$57:$B$60)</f>
        <v>0</v>
      </c>
      <c r="AX58" s="152">
        <f t="shared" ref="AX58:AX60" si="196">+AW58</f>
        <v>0</v>
      </c>
      <c r="AY58" s="150">
        <f t="shared" si="181"/>
        <v>0</v>
      </c>
      <c r="AZ58" s="151">
        <f t="shared" si="182"/>
        <v>0</v>
      </c>
      <c r="BA58" s="151">
        <f t="shared" si="183"/>
        <v>0</v>
      </c>
      <c r="BB58" s="152">
        <f t="shared" si="184"/>
        <v>0</v>
      </c>
    </row>
    <row r="59" spans="1:54" x14ac:dyDescent="0.2">
      <c r="A59" s="155" t="s">
        <v>2550</v>
      </c>
      <c r="B59" s="156">
        <v>18</v>
      </c>
      <c r="C59" s="150">
        <f>SUMIFS(PURCHASE!$K$6:$K$10008,PURCHASE!$A$6:$A$10008,$C$47,PURCHASE!$E$6:$E$10008,$B$56,PURCHASE!$I$6:$I$10008,'RATEWISE SALE &amp; PURCHASE'!$B$57:$B$60)</f>
        <v>0</v>
      </c>
      <c r="D59" s="151">
        <f>SUMIFS(PURCHASE!$L$6:$L$10008,PURCHASE!$A$6:$A$10008,$C$47,PURCHASE!$E$6:$E$10008,$B$56,PURCHASE!$I$6:$I$10008,'RATEWISE SALE &amp; PURCHASE'!$B$57:$B$60)</f>
        <v>0</v>
      </c>
      <c r="E59" s="151">
        <f>SUMIFS(PURCHASE!$M$6:$M$10008,PURCHASE!$A$6:$A$10008,$C$47,PURCHASE!$E$6:$E$10008,$B$56,PURCHASE!$I$6:$I$10008,'RATEWISE SALE &amp; PURCHASE'!$B$57:$B$60)</f>
        <v>0</v>
      </c>
      <c r="F59" s="152">
        <f t="shared" si="185"/>
        <v>0</v>
      </c>
      <c r="G59" s="150">
        <f>SUMIFS(PURCHASE!$K$6:$K$10008,PURCHASE!$A$6:$A$10008,$G$47,PURCHASE!$E$6:$E$10008,$B$56,PURCHASE!$I$6:$I$10008,'RATEWISE SALE &amp; PURCHASE'!$B$57:$B$60)</f>
        <v>0</v>
      </c>
      <c r="H59" s="151">
        <f>SUMIFS(PURCHASE!$L$6:$L$10008,PURCHASE!$A$6:$A$10008,$G$47,PURCHASE!$E$6:$E$10008,$B$56,PURCHASE!$I$6:$I$10008,'RATEWISE SALE &amp; PURCHASE'!$B$57:$B$60)</f>
        <v>0</v>
      </c>
      <c r="I59" s="151">
        <f>SUMIFS(PURCHASE!$M$6:$M$10008,PURCHASE!$A$6:$A$10008,$G$47,PURCHASE!$E$6:$E$10008,$B$56,PURCHASE!$I$6:$I$10008,'RATEWISE SALE &amp; PURCHASE'!$B$57:$B$60)</f>
        <v>0</v>
      </c>
      <c r="J59" s="152">
        <f t="shared" si="186"/>
        <v>0</v>
      </c>
      <c r="K59" s="150">
        <f>SUMIFS(PURCHASE!$K$6:$K$10008,PURCHASE!$A$6:$A$10008,$K$47,PURCHASE!$E$6:$E$10008,$B$56,PURCHASE!$I$6:$I$10008,'RATEWISE SALE &amp; PURCHASE'!$B$57:$B$60)</f>
        <v>-2251</v>
      </c>
      <c r="L59" s="151">
        <f>SUMIFS(PURCHASE!$L$6:$L$10008,PURCHASE!$A$6:$A$10008,$K$47,PURCHASE!$E$6:$E$10008,$B$56,PURCHASE!$I$6:$I$10008,'RATEWISE SALE &amp; PURCHASE'!$B$57:$B$60)</f>
        <v>0</v>
      </c>
      <c r="M59" s="151">
        <f>SUMIFS(PURCHASE!$M$6:$M$10008,PURCHASE!$A$6:$A$10008,$K$47,PURCHASE!$E$6:$E$10008,$B$56,PURCHASE!$I$6:$I$10008,'RATEWISE SALE &amp; PURCHASE'!$B$57:$B$60)</f>
        <v>-202.59</v>
      </c>
      <c r="N59" s="152">
        <f t="shared" si="187"/>
        <v>-202.59</v>
      </c>
      <c r="O59" s="150">
        <f>SUMIFS(PURCHASE!$K$6:$K$10008,PURCHASE!$A$6:$A$10008,$O$47,PURCHASE!$E$6:$E$10008,$B$56,PURCHASE!$I$6:$I$10008,'RATEWISE SALE &amp; PURCHASE'!$B$57:$B$60)</f>
        <v>0</v>
      </c>
      <c r="P59" s="151">
        <f>SUMIFS(PURCHASE!$L$6:$L$10008,PURCHASE!$A$6:$A$10008,$O$47,PURCHASE!$E$6:$E$10008,$B$56,PURCHASE!$I$6:$I$10008,'RATEWISE SALE &amp; PURCHASE'!$B$57:$B$60)</f>
        <v>0</v>
      </c>
      <c r="Q59" s="151">
        <f>SUMIFS(PURCHASE!$M$6:$M$10008,PURCHASE!$A$6:$A$10008,$O$47,PURCHASE!$E$6:$E$10008,$B$56,PURCHASE!$I$6:$I$10008,'RATEWISE SALE &amp; PURCHASE'!$B$57:$B$60)</f>
        <v>0</v>
      </c>
      <c r="R59" s="152">
        <f t="shared" si="188"/>
        <v>0</v>
      </c>
      <c r="S59" s="150">
        <f>SUMIFS(PURCHASE!$K$6:$K$10008,PURCHASE!$A$6:$A$10008,$S$47,PURCHASE!$E$6:$E$10008,$B$56,PURCHASE!$I$6:$I$10008,'RATEWISE SALE &amp; PURCHASE'!$B$57:$B$60)</f>
        <v>0</v>
      </c>
      <c r="T59" s="151">
        <f>SUMIFS(PURCHASE!$L$6:$L$10008,PURCHASE!$A$6:$A$10008,$S$47,PURCHASE!$E$6:$E$10008,$B$56,PURCHASE!$I$6:$I$10008,'RATEWISE SALE &amp; PURCHASE'!$B$57:$B$60)</f>
        <v>0</v>
      </c>
      <c r="U59" s="151">
        <f>SUMIFS(PURCHASE!$M$6:$M$10008,PURCHASE!$A$6:$A$10008,$S$47,PURCHASE!$E$6:$E$10008,$B$56,PURCHASE!$I$6:$I$10008,'RATEWISE SALE &amp; PURCHASE'!$B$57:$B$60)</f>
        <v>0</v>
      </c>
      <c r="V59" s="152">
        <f t="shared" si="189"/>
        <v>0</v>
      </c>
      <c r="W59" s="150">
        <f>SUMIFS(PURCHASE!$K$6:$K$10008,PURCHASE!$A$6:$A$10008,$W$47,PURCHASE!$E$6:$E$10008,$B$56,PURCHASE!$I$6:$I$10008,'RATEWISE SALE &amp; PURCHASE'!$B$57:$B$60)</f>
        <v>0</v>
      </c>
      <c r="X59" s="151">
        <f>SUMIFS(PURCHASE!$L$6:$L$10008,PURCHASE!$A$6:$A$10008,$W$47,PURCHASE!$E$6:$E$10008,$B$56,PURCHASE!$I$6:$I$10008,'RATEWISE SALE &amp; PURCHASE'!$B$57:$B$60)</f>
        <v>0</v>
      </c>
      <c r="Y59" s="151">
        <f>SUMIFS(PURCHASE!$M$6:$M$10008,PURCHASE!$A$6:$A$10008,$W$47,PURCHASE!$E$6:$E$10008,$B$56,PURCHASE!$I$6:$I$10008,'RATEWISE SALE &amp; PURCHASE'!$B$57:$B$60)</f>
        <v>0</v>
      </c>
      <c r="Z59" s="152">
        <f t="shared" si="190"/>
        <v>0</v>
      </c>
      <c r="AA59" s="150">
        <f>SUMIFS(PURCHASE!$K$6:$K$10008,PURCHASE!$A$6:$A$10008,$AA$47,PURCHASE!$E$6:$E$10008,$B$56,PURCHASE!$I$6:$I$10008,'RATEWISE SALE &amp; PURCHASE'!$B$57:$B$60)</f>
        <v>0</v>
      </c>
      <c r="AB59" s="151">
        <f>SUMIFS(PURCHASE!$L$6:$L$10008,PURCHASE!$A$6:$A$10008,$AA$47,PURCHASE!$E$6:$E$10008,$B$56,PURCHASE!$I$6:$I$10008,'RATEWISE SALE &amp; PURCHASE'!$B$57:$B$60)</f>
        <v>0</v>
      </c>
      <c r="AC59" s="151">
        <f>SUMIFS(PURCHASE!$M$6:$M$10008,PURCHASE!$A$6:$A$10008,$AA$47,PURCHASE!$E$6:$E$10008,$B$56,PURCHASE!$I$6:$I$10008,'RATEWISE SALE &amp; PURCHASE'!$B$57:$B$60)</f>
        <v>0</v>
      </c>
      <c r="AD59" s="152">
        <f t="shared" si="191"/>
        <v>0</v>
      </c>
      <c r="AE59" s="150">
        <f>SUMIFS(PURCHASE!$K$6:$K$10008,PURCHASE!$A$6:$A$10008,$AE$47,PURCHASE!$E$6:$E$10008,$B$56,PURCHASE!$I$6:$I$10008,'RATEWISE SALE &amp; PURCHASE'!$B$57:$B$60)</f>
        <v>0</v>
      </c>
      <c r="AF59" s="151">
        <f>SUMIFS(PURCHASE!$L$6:$L$10008,PURCHASE!$A$6:$A$10008,$AE$47,PURCHASE!$E$6:$E$10008,$B$56,PURCHASE!$I$6:$I$10008,'RATEWISE SALE &amp; PURCHASE'!$B$57:$B$60)</f>
        <v>0</v>
      </c>
      <c r="AG59" s="151">
        <f>SUMIFS(PURCHASE!$M$6:$M$10008,PURCHASE!$A$6:$A$10008,$AE$47,PURCHASE!$E$6:$E$10008,$B$56,PURCHASE!$I$6:$I$10008,'RATEWISE SALE &amp; PURCHASE'!$B$57:$B$60)</f>
        <v>0</v>
      </c>
      <c r="AH59" s="152">
        <f t="shared" si="192"/>
        <v>0</v>
      </c>
      <c r="AI59" s="150">
        <f>SUMIFS(PURCHASE!$K$6:$K$10008,PURCHASE!$A$6:$A$10008,$AI$47,PURCHASE!$E$6:$E$10008,$B$56,PURCHASE!$I$6:$I$10008,'RATEWISE SALE &amp; PURCHASE'!$B$57:$B$60)</f>
        <v>0</v>
      </c>
      <c r="AJ59" s="151">
        <f>SUMIFS(PURCHASE!$L$6:$L$10008,PURCHASE!$A$6:$A$10008,$AI$47,PURCHASE!$E$6:$E$10008,$B$56,PURCHASE!$I$6:$I$10008,'RATEWISE SALE &amp; PURCHASE'!$B$57:$B$60)</f>
        <v>0</v>
      </c>
      <c r="AK59" s="151">
        <f>SUMIFS(PURCHASE!$M$6:$M$10008,PURCHASE!$A$6:$A$10008,$AI$47,PURCHASE!$E$6:$E$10008,$B$56,PURCHASE!$I$6:$I$10008,'RATEWISE SALE &amp; PURCHASE'!$B$57:$B$60)</f>
        <v>0</v>
      </c>
      <c r="AL59" s="152">
        <f t="shared" si="193"/>
        <v>0</v>
      </c>
      <c r="AM59" s="150">
        <f>SUMIFS(PURCHASE!$K$6:$K$10008,PURCHASE!$A$6:$A$10008,$AM$47,PURCHASE!$E$6:$E$10008,$B$56,PURCHASE!$I$6:$I$10008,'RATEWISE SALE &amp; PURCHASE'!$B$57:$B$60)</f>
        <v>0</v>
      </c>
      <c r="AN59" s="151">
        <f>SUMIFS(PURCHASE!$L$6:$L$10008,PURCHASE!$A$6:$A$10008,$AM$47,PURCHASE!$E$6:$E$10008,$B$56,PURCHASE!$I$6:$I$10008,'RATEWISE SALE &amp; PURCHASE'!$B$57:$B$60)</f>
        <v>0</v>
      </c>
      <c r="AO59" s="151">
        <f>SUMIFS(PURCHASE!$M$6:$M$10008,PURCHASE!$A$6:$A$10008,$AM$47,PURCHASE!$E$6:$E$10008,$B$56,PURCHASE!$I$6:$I$10008,'RATEWISE SALE &amp; PURCHASE'!$B$57:$B$60)</f>
        <v>0</v>
      </c>
      <c r="AP59" s="152">
        <f t="shared" si="194"/>
        <v>0</v>
      </c>
      <c r="AQ59" s="150">
        <f>SUMIFS(PURCHASE!$K$6:$K$10008,PURCHASE!$A$6:$A$10008,$AQ$47,PURCHASE!$E$6:$E$10008,$B$56,PURCHASE!$I$6:$I$10008,'RATEWISE SALE &amp; PURCHASE'!$B$57:$B$60)</f>
        <v>0</v>
      </c>
      <c r="AR59" s="151">
        <f>SUMIFS(PURCHASE!$L$6:$L$10008,PURCHASE!$A$6:$A$10008,$AQ$47,PURCHASE!$E$6:$E$10008,$B$56,PURCHASE!$I$6:$I$10008,'RATEWISE SALE &amp; PURCHASE'!$B$57:$B$60)</f>
        <v>0</v>
      </c>
      <c r="AS59" s="151">
        <f>SUMIFS(PURCHASE!$M$6:$M$10008,PURCHASE!$A$6:$A$10008,$AQ$47,PURCHASE!$E$6:$E$10008,$B$56,PURCHASE!$I$6:$I$10008,'RATEWISE SALE &amp; PURCHASE'!$B$57:$B$60)</f>
        <v>0</v>
      </c>
      <c r="AT59" s="152">
        <f t="shared" si="195"/>
        <v>0</v>
      </c>
      <c r="AU59" s="150">
        <f>SUMIFS(PURCHASE!$K$6:$K$10008,PURCHASE!$A$6:$A$10008,$AU$47,PURCHASE!$E$6:$E$10008,$B$56,PURCHASE!$I$6:$I$10008,'RATEWISE SALE &amp; PURCHASE'!$B$57:$B$60)</f>
        <v>0</v>
      </c>
      <c r="AV59" s="151">
        <f>SUMIFS(PURCHASE!$L$6:$L$10008,PURCHASE!$A$6:$A$10008,$AU$47,PURCHASE!$E$6:$E$10008,$B$56,PURCHASE!$I$6:$I$10008,'RATEWISE SALE &amp; PURCHASE'!$B$57:$B$60)</f>
        <v>0</v>
      </c>
      <c r="AW59" s="151">
        <f>SUMIFS(PURCHASE!$M$6:$M$10008,PURCHASE!$A$6:$A$10008,$AU$47,PURCHASE!$E$6:$E$10008,$B$56,PURCHASE!$I$6:$I$10008,'RATEWISE SALE &amp; PURCHASE'!$B$57:$B$60)</f>
        <v>0</v>
      </c>
      <c r="AX59" s="152">
        <f t="shared" si="196"/>
        <v>0</v>
      </c>
      <c r="AY59" s="150">
        <f t="shared" si="181"/>
        <v>-2251</v>
      </c>
      <c r="AZ59" s="151">
        <f t="shared" si="182"/>
        <v>0</v>
      </c>
      <c r="BA59" s="151">
        <f t="shared" si="183"/>
        <v>-202.59</v>
      </c>
      <c r="BB59" s="152">
        <f t="shared" si="184"/>
        <v>-202.59</v>
      </c>
    </row>
    <row r="60" spans="1:54" x14ac:dyDescent="0.2">
      <c r="A60" s="155" t="s">
        <v>2551</v>
      </c>
      <c r="B60" s="156">
        <v>28</v>
      </c>
      <c r="C60" s="150">
        <f>SUMIFS(PURCHASE!$K$6:$K$10008,PURCHASE!$A$6:$A$10008,$C$47,PURCHASE!$E$6:$E$10008,$B$56,PURCHASE!$I$6:$I$10008,'RATEWISE SALE &amp; PURCHASE'!$B$57:$B$60)</f>
        <v>0</v>
      </c>
      <c r="D60" s="151">
        <f>SUMIFS(PURCHASE!$L$6:$L$10008,PURCHASE!$A$6:$A$10008,$C$47,PURCHASE!$E$6:$E$10008,$B$56,PURCHASE!$I$6:$I$10008,'RATEWISE SALE &amp; PURCHASE'!$B$57:$B$60)</f>
        <v>0</v>
      </c>
      <c r="E60" s="151">
        <f>SUMIFS(PURCHASE!$M$6:$M$10008,PURCHASE!$A$6:$A$10008,$C$47,PURCHASE!$E$6:$E$10008,$B$56,PURCHASE!$I$6:$I$10008,'RATEWISE SALE &amp; PURCHASE'!$B$57:$B$60)</f>
        <v>0</v>
      </c>
      <c r="F60" s="152">
        <f t="shared" si="185"/>
        <v>0</v>
      </c>
      <c r="G60" s="150">
        <f>SUMIFS(PURCHASE!$K$6:$K$10008,PURCHASE!$A$6:$A$10008,$G$47,PURCHASE!$E$6:$E$10008,$B$56,PURCHASE!$I$6:$I$10008,'RATEWISE SALE &amp; PURCHASE'!$B$57:$B$60)</f>
        <v>-48816</v>
      </c>
      <c r="H60" s="151">
        <f>SUMIFS(PURCHASE!$L$6:$L$10008,PURCHASE!$A$6:$A$10008,$G$47,PURCHASE!$E$6:$E$10008,$B$56,PURCHASE!$I$6:$I$10008,'RATEWISE SALE &amp; PURCHASE'!$B$57:$B$60)</f>
        <v>0</v>
      </c>
      <c r="I60" s="151">
        <f>SUMIFS(PURCHASE!$M$6:$M$10008,PURCHASE!$A$6:$A$10008,$G$47,PURCHASE!$E$6:$E$10008,$B$56,PURCHASE!$I$6:$I$10008,'RATEWISE SALE &amp; PURCHASE'!$B$57:$B$60)</f>
        <v>-6834.24</v>
      </c>
      <c r="J60" s="152">
        <f t="shared" si="186"/>
        <v>-6834.24</v>
      </c>
      <c r="K60" s="150">
        <f>SUMIFS(PURCHASE!$K$6:$K$10008,PURCHASE!$A$6:$A$10008,$K$47,PURCHASE!$E$6:$E$10008,$B$56,PURCHASE!$I$6:$I$10008,'RATEWISE SALE &amp; PURCHASE'!$B$57:$B$60)</f>
        <v>0</v>
      </c>
      <c r="L60" s="151">
        <f>SUMIFS(PURCHASE!$L$6:$L$10008,PURCHASE!$A$6:$A$10008,$K$47,PURCHASE!$E$6:$E$10008,$B$56,PURCHASE!$I$6:$I$10008,'RATEWISE SALE &amp; PURCHASE'!$B$57:$B$60)</f>
        <v>0</v>
      </c>
      <c r="M60" s="151">
        <f>SUMIFS(PURCHASE!$M$6:$M$10008,PURCHASE!$A$6:$A$10008,$K$47,PURCHASE!$E$6:$E$10008,$B$56,PURCHASE!$I$6:$I$10008,'RATEWISE SALE &amp; PURCHASE'!$B$57:$B$60)</f>
        <v>0</v>
      </c>
      <c r="N60" s="152">
        <f t="shared" si="187"/>
        <v>0</v>
      </c>
      <c r="O60" s="150">
        <f>SUMIFS(PURCHASE!$K$6:$K$10008,PURCHASE!$A$6:$A$10008,$O$47,PURCHASE!$E$6:$E$10008,$B$56,PURCHASE!$I$6:$I$10008,'RATEWISE SALE &amp; PURCHASE'!$B$57:$B$60)</f>
        <v>0</v>
      </c>
      <c r="P60" s="151">
        <f>SUMIFS(PURCHASE!$L$6:$L$10008,PURCHASE!$A$6:$A$10008,$O$47,PURCHASE!$E$6:$E$10008,$B$56,PURCHASE!$I$6:$I$10008,'RATEWISE SALE &amp; PURCHASE'!$B$57:$B$60)</f>
        <v>0</v>
      </c>
      <c r="Q60" s="151">
        <f>SUMIFS(PURCHASE!$M$6:$M$10008,PURCHASE!$A$6:$A$10008,$O$47,PURCHASE!$E$6:$E$10008,$B$56,PURCHASE!$I$6:$I$10008,'RATEWISE SALE &amp; PURCHASE'!$B$57:$B$60)</f>
        <v>0</v>
      </c>
      <c r="R60" s="152">
        <f t="shared" si="188"/>
        <v>0</v>
      </c>
      <c r="S60" s="150">
        <f>SUMIFS(PURCHASE!$K$6:$K$10008,PURCHASE!$A$6:$A$10008,$S$47,PURCHASE!$E$6:$E$10008,$B$56,PURCHASE!$I$6:$I$10008,'RATEWISE SALE &amp; PURCHASE'!$B$57:$B$60)</f>
        <v>-2250.4</v>
      </c>
      <c r="T60" s="151">
        <f>SUMIFS(PURCHASE!$L$6:$L$10008,PURCHASE!$A$6:$A$10008,$S$47,PURCHASE!$E$6:$E$10008,$B$56,PURCHASE!$I$6:$I$10008,'RATEWISE SALE &amp; PURCHASE'!$B$57:$B$60)</f>
        <v>0</v>
      </c>
      <c r="U60" s="151">
        <f>SUMIFS(PURCHASE!$M$6:$M$10008,PURCHASE!$A$6:$A$10008,$S$47,PURCHASE!$E$6:$E$10008,$B$56,PURCHASE!$I$6:$I$10008,'RATEWISE SALE &amp; PURCHASE'!$B$57:$B$60)</f>
        <v>-315.05600000000004</v>
      </c>
      <c r="V60" s="152">
        <f t="shared" si="189"/>
        <v>-315.05600000000004</v>
      </c>
      <c r="W60" s="150">
        <f>SUMIFS(PURCHASE!$K$6:$K$10008,PURCHASE!$A$6:$A$10008,$W$47,PURCHASE!$E$6:$E$10008,$B$56,PURCHASE!$I$6:$I$10008,'RATEWISE SALE &amp; PURCHASE'!$B$57:$B$60)</f>
        <v>0</v>
      </c>
      <c r="X60" s="151">
        <f>SUMIFS(PURCHASE!$L$6:$L$10008,PURCHASE!$A$6:$A$10008,$W$47,PURCHASE!$E$6:$E$10008,$B$56,PURCHASE!$I$6:$I$10008,'RATEWISE SALE &amp; PURCHASE'!$B$57:$B$60)</f>
        <v>0</v>
      </c>
      <c r="Y60" s="151">
        <f>SUMIFS(PURCHASE!$M$6:$M$10008,PURCHASE!$A$6:$A$10008,$W$47,PURCHASE!$E$6:$E$10008,$B$56,PURCHASE!$I$6:$I$10008,'RATEWISE SALE &amp; PURCHASE'!$B$57:$B$60)</f>
        <v>0</v>
      </c>
      <c r="Z60" s="152">
        <f t="shared" si="190"/>
        <v>0</v>
      </c>
      <c r="AA60" s="150">
        <f>SUMIFS(PURCHASE!$K$6:$K$10008,PURCHASE!$A$6:$A$10008,$AA$47,PURCHASE!$E$6:$E$10008,$B$56,PURCHASE!$I$6:$I$10008,'RATEWISE SALE &amp; PURCHASE'!$B$57:$B$60)</f>
        <v>0</v>
      </c>
      <c r="AB60" s="151">
        <f>SUMIFS(PURCHASE!$L$6:$L$10008,PURCHASE!$A$6:$A$10008,$AA$47,PURCHASE!$E$6:$E$10008,$B$56,PURCHASE!$I$6:$I$10008,'RATEWISE SALE &amp; PURCHASE'!$B$57:$B$60)</f>
        <v>0</v>
      </c>
      <c r="AC60" s="151">
        <f>SUMIFS(PURCHASE!$M$6:$M$10008,PURCHASE!$A$6:$A$10008,$AA$47,PURCHASE!$E$6:$E$10008,$B$56,PURCHASE!$I$6:$I$10008,'RATEWISE SALE &amp; PURCHASE'!$B$57:$B$60)</f>
        <v>0</v>
      </c>
      <c r="AD60" s="152">
        <f t="shared" si="191"/>
        <v>0</v>
      </c>
      <c r="AE60" s="150">
        <f>SUMIFS(PURCHASE!$K$6:$K$10008,PURCHASE!$A$6:$A$10008,$AE$47,PURCHASE!$E$6:$E$10008,$B$56,PURCHASE!$I$6:$I$10008,'RATEWISE SALE &amp; PURCHASE'!$B$57:$B$60)</f>
        <v>0</v>
      </c>
      <c r="AF60" s="151">
        <f>SUMIFS(PURCHASE!$L$6:$L$10008,PURCHASE!$A$6:$A$10008,$AE$47,PURCHASE!$E$6:$E$10008,$B$56,PURCHASE!$I$6:$I$10008,'RATEWISE SALE &amp; PURCHASE'!$B$57:$B$60)</f>
        <v>0</v>
      </c>
      <c r="AG60" s="151">
        <f>SUMIFS(PURCHASE!$M$6:$M$10008,PURCHASE!$A$6:$A$10008,$AE$47,PURCHASE!$E$6:$E$10008,$B$56,PURCHASE!$I$6:$I$10008,'RATEWISE SALE &amp; PURCHASE'!$B$57:$B$60)</f>
        <v>0</v>
      </c>
      <c r="AH60" s="152">
        <f t="shared" si="192"/>
        <v>0</v>
      </c>
      <c r="AI60" s="150">
        <f>SUMIFS(PURCHASE!$K$6:$K$10008,PURCHASE!$A$6:$A$10008,$AI$47,PURCHASE!$E$6:$E$10008,$B$56,PURCHASE!$I$6:$I$10008,'RATEWISE SALE &amp; PURCHASE'!$B$57:$B$60)</f>
        <v>0</v>
      </c>
      <c r="AJ60" s="151">
        <f>SUMIFS(PURCHASE!$L$6:$L$10008,PURCHASE!$A$6:$A$10008,$AI$47,PURCHASE!$E$6:$E$10008,$B$56,PURCHASE!$I$6:$I$10008,'RATEWISE SALE &amp; PURCHASE'!$B$57:$B$60)</f>
        <v>0</v>
      </c>
      <c r="AK60" s="151">
        <f>SUMIFS(PURCHASE!$M$6:$M$10008,PURCHASE!$A$6:$A$10008,$AI$47,PURCHASE!$E$6:$E$10008,$B$56,PURCHASE!$I$6:$I$10008,'RATEWISE SALE &amp; PURCHASE'!$B$57:$B$60)</f>
        <v>0</v>
      </c>
      <c r="AL60" s="152">
        <f t="shared" si="193"/>
        <v>0</v>
      </c>
      <c r="AM60" s="150">
        <f>SUMIFS(PURCHASE!$K$6:$K$10008,PURCHASE!$A$6:$A$10008,$AM$47,PURCHASE!$E$6:$E$10008,$B$56,PURCHASE!$I$6:$I$10008,'RATEWISE SALE &amp; PURCHASE'!$B$57:$B$60)</f>
        <v>0</v>
      </c>
      <c r="AN60" s="151">
        <f>SUMIFS(PURCHASE!$L$6:$L$10008,PURCHASE!$A$6:$A$10008,$AM$47,PURCHASE!$E$6:$E$10008,$B$56,PURCHASE!$I$6:$I$10008,'RATEWISE SALE &amp; PURCHASE'!$B$57:$B$60)</f>
        <v>0</v>
      </c>
      <c r="AO60" s="151">
        <f>SUMIFS(PURCHASE!$M$6:$M$10008,PURCHASE!$A$6:$A$10008,$AM$47,PURCHASE!$E$6:$E$10008,$B$56,PURCHASE!$I$6:$I$10008,'RATEWISE SALE &amp; PURCHASE'!$B$57:$B$60)</f>
        <v>0</v>
      </c>
      <c r="AP60" s="152">
        <f t="shared" si="194"/>
        <v>0</v>
      </c>
      <c r="AQ60" s="150">
        <f>SUMIFS(PURCHASE!$K$6:$K$10008,PURCHASE!$A$6:$A$10008,$AQ$47,PURCHASE!$E$6:$E$10008,$B$56,PURCHASE!$I$6:$I$10008,'RATEWISE SALE &amp; PURCHASE'!$B$57:$B$60)</f>
        <v>0</v>
      </c>
      <c r="AR60" s="151">
        <f>SUMIFS(PURCHASE!$L$6:$L$10008,PURCHASE!$A$6:$A$10008,$AQ$47,PURCHASE!$E$6:$E$10008,$B$56,PURCHASE!$I$6:$I$10008,'RATEWISE SALE &amp; PURCHASE'!$B$57:$B$60)</f>
        <v>0</v>
      </c>
      <c r="AS60" s="151">
        <f>SUMIFS(PURCHASE!$M$6:$M$10008,PURCHASE!$A$6:$A$10008,$AQ$47,PURCHASE!$E$6:$E$10008,$B$56,PURCHASE!$I$6:$I$10008,'RATEWISE SALE &amp; PURCHASE'!$B$57:$B$60)</f>
        <v>0</v>
      </c>
      <c r="AT60" s="152">
        <f t="shared" si="195"/>
        <v>0</v>
      </c>
      <c r="AU60" s="150">
        <f>SUMIFS(PURCHASE!$K$6:$K$10008,PURCHASE!$A$6:$A$10008,$AU$47,PURCHASE!$E$6:$E$10008,$B$56,PURCHASE!$I$6:$I$10008,'RATEWISE SALE &amp; PURCHASE'!$B$57:$B$60)</f>
        <v>0</v>
      </c>
      <c r="AV60" s="151">
        <f>SUMIFS(PURCHASE!$L$6:$L$10008,PURCHASE!$A$6:$A$10008,$AU$47,PURCHASE!$E$6:$E$10008,$B$56,PURCHASE!$I$6:$I$10008,'RATEWISE SALE &amp; PURCHASE'!$B$57:$B$60)</f>
        <v>0</v>
      </c>
      <c r="AW60" s="151">
        <f>SUMIFS(PURCHASE!$M$6:$M$10008,PURCHASE!$A$6:$A$10008,$AU$47,PURCHASE!$E$6:$E$10008,$B$56,PURCHASE!$I$6:$I$10008,'RATEWISE SALE &amp; PURCHASE'!$B$57:$B$60)</f>
        <v>0</v>
      </c>
      <c r="AX60" s="152">
        <f t="shared" si="196"/>
        <v>0</v>
      </c>
      <c r="AY60" s="150">
        <f t="shared" si="181"/>
        <v>-51066.400000000001</v>
      </c>
      <c r="AZ60" s="151">
        <f t="shared" si="182"/>
        <v>0</v>
      </c>
      <c r="BA60" s="151">
        <f t="shared" si="183"/>
        <v>-7149.2960000000003</v>
      </c>
      <c r="BB60" s="152">
        <f t="shared" si="184"/>
        <v>-7149.2960000000003</v>
      </c>
    </row>
    <row r="61" spans="1:54" x14ac:dyDescent="0.2">
      <c r="A61" s="167" t="s">
        <v>1045</v>
      </c>
      <c r="B61" s="158"/>
      <c r="C61" s="159">
        <f>SUM(C57:C60)</f>
        <v>0</v>
      </c>
      <c r="D61" s="160">
        <f t="shared" ref="D61:F61" si="197">SUM(D57:D60)</f>
        <v>0</v>
      </c>
      <c r="E61" s="160">
        <f t="shared" si="197"/>
        <v>0</v>
      </c>
      <c r="F61" s="161">
        <f t="shared" si="197"/>
        <v>0</v>
      </c>
      <c r="G61" s="159">
        <f>SUM(G57:G60)</f>
        <v>-48816</v>
      </c>
      <c r="H61" s="160">
        <f t="shared" ref="H61:J61" si="198">SUM(H57:H60)</f>
        <v>0</v>
      </c>
      <c r="I61" s="160">
        <f t="shared" si="198"/>
        <v>-6834.24</v>
      </c>
      <c r="J61" s="161">
        <f t="shared" si="198"/>
        <v>-6834.24</v>
      </c>
      <c r="K61" s="159">
        <f>SUM(K57:K60)</f>
        <v>-2251</v>
      </c>
      <c r="L61" s="160">
        <f t="shared" ref="L61:N61" si="199">SUM(L57:L60)</f>
        <v>0</v>
      </c>
      <c r="M61" s="160">
        <f t="shared" si="199"/>
        <v>-202.59</v>
      </c>
      <c r="N61" s="161">
        <f t="shared" si="199"/>
        <v>-202.59</v>
      </c>
      <c r="O61" s="159">
        <f>SUM(O57:O60)</f>
        <v>0</v>
      </c>
      <c r="P61" s="160">
        <f t="shared" ref="P61:R61" si="200">SUM(P57:P60)</f>
        <v>0</v>
      </c>
      <c r="Q61" s="160">
        <f t="shared" si="200"/>
        <v>0</v>
      </c>
      <c r="R61" s="161">
        <f t="shared" si="200"/>
        <v>0</v>
      </c>
      <c r="S61" s="159">
        <f>SUM(S57:S60)</f>
        <v>-2250.4</v>
      </c>
      <c r="T61" s="160">
        <f t="shared" ref="T61:V61" si="201">SUM(T57:T60)</f>
        <v>0</v>
      </c>
      <c r="U61" s="160">
        <f t="shared" si="201"/>
        <v>-315.05600000000004</v>
      </c>
      <c r="V61" s="161">
        <f t="shared" si="201"/>
        <v>-315.05600000000004</v>
      </c>
      <c r="W61" s="159">
        <f>SUM(W57:W60)</f>
        <v>0</v>
      </c>
      <c r="X61" s="160">
        <f t="shared" ref="X61:Z61" si="202">SUM(X57:X60)</f>
        <v>0</v>
      </c>
      <c r="Y61" s="160">
        <f t="shared" si="202"/>
        <v>0</v>
      </c>
      <c r="Z61" s="161">
        <f t="shared" si="202"/>
        <v>0</v>
      </c>
      <c r="AA61" s="159">
        <f>SUM(AA57:AA60)</f>
        <v>0</v>
      </c>
      <c r="AB61" s="160">
        <f t="shared" ref="AB61:AD61" si="203">SUM(AB57:AB60)</f>
        <v>0</v>
      </c>
      <c r="AC61" s="160">
        <f t="shared" si="203"/>
        <v>0</v>
      </c>
      <c r="AD61" s="161">
        <f t="shared" si="203"/>
        <v>0</v>
      </c>
      <c r="AE61" s="159">
        <f>SUM(AE57:AE60)</f>
        <v>0</v>
      </c>
      <c r="AF61" s="160">
        <f t="shared" ref="AF61:AH61" si="204">SUM(AF57:AF60)</f>
        <v>0</v>
      </c>
      <c r="AG61" s="160">
        <f t="shared" si="204"/>
        <v>0</v>
      </c>
      <c r="AH61" s="161">
        <f t="shared" si="204"/>
        <v>0</v>
      </c>
      <c r="AI61" s="159">
        <f>SUM(AI57:AI60)</f>
        <v>0</v>
      </c>
      <c r="AJ61" s="160">
        <f t="shared" ref="AJ61:AL61" si="205">SUM(AJ57:AJ60)</f>
        <v>0</v>
      </c>
      <c r="AK61" s="160">
        <f t="shared" si="205"/>
        <v>0</v>
      </c>
      <c r="AL61" s="161">
        <f t="shared" si="205"/>
        <v>0</v>
      </c>
      <c r="AM61" s="159">
        <f>SUM(AM57:AM60)</f>
        <v>0</v>
      </c>
      <c r="AN61" s="160">
        <f t="shared" ref="AN61:AP61" si="206">SUM(AN57:AN60)</f>
        <v>0</v>
      </c>
      <c r="AO61" s="160">
        <f t="shared" si="206"/>
        <v>0</v>
      </c>
      <c r="AP61" s="161">
        <f t="shared" si="206"/>
        <v>0</v>
      </c>
      <c r="AQ61" s="159">
        <f>SUM(AQ57:AQ60)</f>
        <v>0</v>
      </c>
      <c r="AR61" s="160">
        <f t="shared" ref="AR61:AT61" si="207">SUM(AR57:AR60)</f>
        <v>0</v>
      </c>
      <c r="AS61" s="160">
        <f t="shared" si="207"/>
        <v>0</v>
      </c>
      <c r="AT61" s="161">
        <f t="shared" si="207"/>
        <v>0</v>
      </c>
      <c r="AU61" s="159">
        <f>SUM(AU57:AU60)</f>
        <v>0</v>
      </c>
      <c r="AV61" s="160">
        <f t="shared" ref="AV61:AX61" si="208">SUM(AV57:AV60)</f>
        <v>0</v>
      </c>
      <c r="AW61" s="160">
        <f t="shared" si="208"/>
        <v>0</v>
      </c>
      <c r="AX61" s="161">
        <f t="shared" si="208"/>
        <v>0</v>
      </c>
      <c r="AY61" s="159">
        <f t="shared" si="181"/>
        <v>-53317.4</v>
      </c>
      <c r="AZ61" s="160">
        <f t="shared" si="182"/>
        <v>0</v>
      </c>
      <c r="BA61" s="160">
        <f t="shared" si="183"/>
        <v>-7351.8860000000004</v>
      </c>
      <c r="BB61" s="161">
        <f t="shared" si="184"/>
        <v>-7351.8860000000004</v>
      </c>
    </row>
    <row r="62" spans="1:54" x14ac:dyDescent="0.2">
      <c r="A62" s="155"/>
      <c r="B62" s="156"/>
      <c r="C62" s="150"/>
      <c r="D62" s="151"/>
      <c r="E62" s="151"/>
      <c r="F62" s="152"/>
      <c r="G62" s="150"/>
      <c r="H62" s="151"/>
      <c r="I62" s="151"/>
      <c r="J62" s="152"/>
      <c r="K62" s="150"/>
      <c r="L62" s="151"/>
      <c r="M62" s="151"/>
      <c r="N62" s="152"/>
      <c r="O62" s="150"/>
      <c r="P62" s="151"/>
      <c r="Q62" s="151"/>
      <c r="R62" s="152"/>
      <c r="S62" s="150"/>
      <c r="T62" s="151"/>
      <c r="U62" s="151"/>
      <c r="V62" s="152"/>
      <c r="W62" s="150"/>
      <c r="X62" s="151"/>
      <c r="Y62" s="151"/>
      <c r="Z62" s="152"/>
      <c r="AA62" s="150"/>
      <c r="AB62" s="151"/>
      <c r="AC62" s="151"/>
      <c r="AD62" s="152"/>
      <c r="AE62" s="150"/>
      <c r="AF62" s="151"/>
      <c r="AG62" s="151"/>
      <c r="AH62" s="152"/>
      <c r="AI62" s="150"/>
      <c r="AJ62" s="151"/>
      <c r="AK62" s="151"/>
      <c r="AL62" s="152"/>
      <c r="AM62" s="150"/>
      <c r="AN62" s="151"/>
      <c r="AO62" s="151"/>
      <c r="AP62" s="152"/>
      <c r="AQ62" s="150"/>
      <c r="AR62" s="151"/>
      <c r="AS62" s="151"/>
      <c r="AT62" s="152"/>
      <c r="AU62" s="150"/>
      <c r="AV62" s="151"/>
      <c r="AW62" s="151"/>
      <c r="AX62" s="152"/>
      <c r="AY62" s="150"/>
      <c r="AZ62" s="151"/>
      <c r="BA62" s="151"/>
      <c r="BB62" s="152"/>
    </row>
    <row r="63" spans="1:54" x14ac:dyDescent="0.2">
      <c r="A63" s="163" t="s">
        <v>220</v>
      </c>
      <c r="B63" s="74" t="s">
        <v>220</v>
      </c>
      <c r="C63" s="164"/>
      <c r="D63" s="165"/>
      <c r="E63" s="165"/>
      <c r="F63" s="166"/>
      <c r="G63" s="164"/>
      <c r="H63" s="165"/>
      <c r="I63" s="165"/>
      <c r="J63" s="166"/>
      <c r="K63" s="164"/>
      <c r="L63" s="165"/>
      <c r="M63" s="165"/>
      <c r="N63" s="166"/>
      <c r="O63" s="164"/>
      <c r="P63" s="165"/>
      <c r="Q63" s="165"/>
      <c r="R63" s="166"/>
      <c r="S63" s="164"/>
      <c r="T63" s="165"/>
      <c r="U63" s="165"/>
      <c r="V63" s="166"/>
      <c r="W63" s="164"/>
      <c r="X63" s="165"/>
      <c r="Y63" s="165"/>
      <c r="Z63" s="166"/>
      <c r="AA63" s="164"/>
      <c r="AB63" s="165"/>
      <c r="AC63" s="165"/>
      <c r="AD63" s="166"/>
      <c r="AE63" s="164"/>
      <c r="AF63" s="165"/>
      <c r="AG63" s="165"/>
      <c r="AH63" s="166"/>
      <c r="AI63" s="164"/>
      <c r="AJ63" s="165"/>
      <c r="AK63" s="165"/>
      <c r="AL63" s="166"/>
      <c r="AM63" s="164"/>
      <c r="AN63" s="165"/>
      <c r="AO63" s="165"/>
      <c r="AP63" s="166"/>
      <c r="AQ63" s="164"/>
      <c r="AR63" s="165"/>
      <c r="AS63" s="165"/>
      <c r="AT63" s="166"/>
      <c r="AU63" s="164"/>
      <c r="AV63" s="165"/>
      <c r="AW63" s="165"/>
      <c r="AX63" s="166"/>
      <c r="AY63" s="164"/>
      <c r="AZ63" s="165"/>
      <c r="BA63" s="165"/>
      <c r="BB63" s="166"/>
    </row>
    <row r="64" spans="1:54" x14ac:dyDescent="0.2">
      <c r="A64" s="155" t="s">
        <v>2548</v>
      </c>
      <c r="B64" s="156">
        <v>5</v>
      </c>
      <c r="C64" s="150">
        <f>SUMIFS(PURCHASE!$K$6:$K$10008,PURCHASE!$A$6:$A$10008,$C$47,PURCHASE!$E$6:$E$10008,$B$63,PURCHASE!$I$6:$I$10008,'RATEWISE SALE &amp; PURCHASE'!$B$64:$B$67)</f>
        <v>0</v>
      </c>
      <c r="D64" s="151">
        <f>SUMIFS(PURCHASE!$L$6:$L$10008,PURCHASE!$A$6:$A$10008,$C$47,PURCHASE!$E$6:$E$10008,$B$63,PURCHASE!$I$6:$I$10008,'RATEWISE SALE &amp; PURCHASE'!$B$64:$B$67)</f>
        <v>0</v>
      </c>
      <c r="E64" s="151">
        <f>SUMIFS(PURCHASE!$M$6:$M$10008,PURCHASE!$A$6:$A$10008,$C$47,PURCHASE!$E$6:$E$10008,$B$63,PURCHASE!$I$6:$I$10008,'RATEWISE SALE &amp; PURCHASE'!$B$64:$B$67)</f>
        <v>0</v>
      </c>
      <c r="F64" s="152">
        <f>+E64</f>
        <v>0</v>
      </c>
      <c r="G64" s="150">
        <f>SUMIFS(PURCHASE!$K$6:$K$10008,PURCHASE!$A$6:$A$10008,$G$47,PURCHASE!$E$6:$E$10008,$B$63,PURCHASE!$I$6:$I$10008,'RATEWISE SALE &amp; PURCHASE'!$B$64:$B$67)</f>
        <v>0</v>
      </c>
      <c r="H64" s="151">
        <f>SUMIFS(PURCHASE!$L$6:$L$10008,PURCHASE!$A$6:$A$10008,$G$47,PURCHASE!$E$6:$E$10008,$B$63,PURCHASE!$I$6:$I$10008,'RATEWISE SALE &amp; PURCHASE'!$B$64:$B$67)</f>
        <v>0</v>
      </c>
      <c r="I64" s="151">
        <f>SUMIFS(PURCHASE!$M$6:$M$10008,PURCHASE!$A$6:$A$10008,$G$47,PURCHASE!$E$6:$E$10008,$B$63,PURCHASE!$I$6:$I$10008,'RATEWISE SALE &amp; PURCHASE'!$B$64:$B$67)</f>
        <v>0</v>
      </c>
      <c r="J64" s="152">
        <f>+I64</f>
        <v>0</v>
      </c>
      <c r="K64" s="150">
        <f>SUMIFS(PURCHASE!$K$6:$K$10008,PURCHASE!$A$6:$A$10008,$K$47,PURCHASE!$E$6:$E$10008,$B$63,PURCHASE!$I$6:$I$10008,'RATEWISE SALE &amp; PURCHASE'!$B$64:$B$67)</f>
        <v>0</v>
      </c>
      <c r="L64" s="151">
        <f>SUMIFS(PURCHASE!$L$6:$L$10008,PURCHASE!$A$6:$A$10008,$K$47,PURCHASE!$E$6:$E$10008,$B$63,PURCHASE!$I$6:$I$10008,'RATEWISE SALE &amp; PURCHASE'!$B$64:$B$67)</f>
        <v>0</v>
      </c>
      <c r="M64" s="151">
        <f>SUMIFS(PURCHASE!$M$6:$M$10008,PURCHASE!$A$6:$A$10008,$K$47,PURCHASE!$E$6:$E$10008,$B$63,PURCHASE!$I$6:$I$10008,'RATEWISE SALE &amp; PURCHASE'!$B$64:$B$67)</f>
        <v>0</v>
      </c>
      <c r="N64" s="152">
        <f>+M64</f>
        <v>0</v>
      </c>
      <c r="O64" s="150">
        <f>SUMIFS(PURCHASE!$K$6:$K$10008,PURCHASE!$A$6:$A$10008,$O$47,PURCHASE!$E$6:$E$10008,$B$63,PURCHASE!$I$6:$I$10008,'RATEWISE SALE &amp; PURCHASE'!$B$64:$B$67)</f>
        <v>0</v>
      </c>
      <c r="P64" s="151">
        <f>SUMIFS(PURCHASE!$L$6:$L$10008,PURCHASE!$A$6:$A$10008,$O$47,PURCHASE!$E$6:$E$10008,$B$63,PURCHASE!$I$6:$I$10008,'RATEWISE SALE &amp; PURCHASE'!$B$64:$B$67)</f>
        <v>0</v>
      </c>
      <c r="Q64" s="151">
        <f>SUMIFS(PURCHASE!$M$6:$M$10008,PURCHASE!$A$6:$A$10008,$O$47,PURCHASE!$E$6:$E$10008,$B$63,PURCHASE!$I$6:$I$10008,'RATEWISE SALE &amp; PURCHASE'!$B$64:$B$67)</f>
        <v>0</v>
      </c>
      <c r="R64" s="152">
        <f>+Q64</f>
        <v>0</v>
      </c>
      <c r="S64" s="150">
        <f>SUMIFS(PURCHASE!$K$6:$K$10008,PURCHASE!$A$6:$A$10008,$S$47,PURCHASE!$E$6:$E$10008,$B$63,PURCHASE!$I$6:$I$10008,'RATEWISE SALE &amp; PURCHASE'!$B$64:$B$67)</f>
        <v>0</v>
      </c>
      <c r="T64" s="151">
        <f>SUMIFS(PURCHASE!$L$6:$L$10008,PURCHASE!$A$6:$A$10008,$S$47,PURCHASE!$E$6:$E$10008,$B$63,PURCHASE!$I$6:$I$10008,'RATEWISE SALE &amp; PURCHASE'!$B$64:$B$67)</f>
        <v>0</v>
      </c>
      <c r="U64" s="151">
        <f>SUMIFS(PURCHASE!$M$6:$M$10008,PURCHASE!$A$6:$A$10008,$S$47,PURCHASE!$E$6:$E$10008,$B$63,PURCHASE!$I$6:$I$10008,'RATEWISE SALE &amp; PURCHASE'!$B$64:$B$67)</f>
        <v>0</v>
      </c>
      <c r="V64" s="152">
        <f>+U64</f>
        <v>0</v>
      </c>
      <c r="W64" s="150">
        <f>SUMIFS(PURCHASE!$K$6:$K$10008,PURCHASE!$A$6:$A$10008,$W$47,PURCHASE!$E$6:$E$10008,$B$63,PURCHASE!$I$6:$I$10008,'RATEWISE SALE &amp; PURCHASE'!$B$64:$B$67)</f>
        <v>0</v>
      </c>
      <c r="X64" s="151">
        <f>SUMIFS(PURCHASE!$L$6:$L$10008,PURCHASE!$A$6:$A$10008,$W$47,PURCHASE!$E$6:$E$10008,$B$63,PURCHASE!$I$6:$I$10008,'RATEWISE SALE &amp; PURCHASE'!$B$64:$B$67)</f>
        <v>0</v>
      </c>
      <c r="Y64" s="151">
        <f>SUMIFS(PURCHASE!$M$6:$M$10008,PURCHASE!$A$6:$A$10008,$W$47,PURCHASE!$E$6:$E$10008,$B$63,PURCHASE!$I$6:$I$10008,'RATEWISE SALE &amp; PURCHASE'!$B$64:$B$67)</f>
        <v>0</v>
      </c>
      <c r="Z64" s="152">
        <f>+Y64</f>
        <v>0</v>
      </c>
      <c r="AA64" s="150">
        <f>SUMIFS(PURCHASE!$K$6:$K$10008,PURCHASE!$A$6:$A$10008,$AA$47,PURCHASE!$E$6:$E$10008,$B$63,PURCHASE!$I$6:$I$10008,'RATEWISE SALE &amp; PURCHASE'!$B$64:$B$67)</f>
        <v>0</v>
      </c>
      <c r="AB64" s="151">
        <f>SUMIFS(PURCHASE!$L$6:$L$10008,PURCHASE!$A$6:$A$10008,$AA$47,PURCHASE!$E$6:$E$10008,$B$63,PURCHASE!$I$6:$I$10008,'RATEWISE SALE &amp; PURCHASE'!$B$64:$B$67)</f>
        <v>0</v>
      </c>
      <c r="AC64" s="151">
        <f>SUMIFS(PURCHASE!$M$6:$M$10008,PURCHASE!$A$6:$A$10008,$AA$47,PURCHASE!$E$6:$E$10008,$B$63,PURCHASE!$I$6:$I$10008,'RATEWISE SALE &amp; PURCHASE'!$B$64:$B$67)</f>
        <v>0</v>
      </c>
      <c r="AD64" s="152">
        <f>+AC64</f>
        <v>0</v>
      </c>
      <c r="AE64" s="150">
        <f>SUMIFS(PURCHASE!$K$6:$K$10008,PURCHASE!$A$6:$A$10008,$AE$47,PURCHASE!$E$6:$E$10008,$B$63,PURCHASE!$I$6:$I$10008,'RATEWISE SALE &amp; PURCHASE'!$B$64:$B$67)</f>
        <v>0</v>
      </c>
      <c r="AF64" s="151">
        <f>SUMIFS(PURCHASE!$L$6:$L$10008,PURCHASE!$A$6:$A$10008,$AE$47,PURCHASE!$E$6:$E$10008,$B$63,PURCHASE!$I$6:$I$10008,'RATEWISE SALE &amp; PURCHASE'!$B$64:$B$67)</f>
        <v>0</v>
      </c>
      <c r="AG64" s="151">
        <f>SUMIFS(PURCHASE!$M$6:$M$10008,PURCHASE!$A$6:$A$10008,$AE$47,PURCHASE!$E$6:$E$10008,$B$63,PURCHASE!$I$6:$I$10008,'RATEWISE SALE &amp; PURCHASE'!$B$64:$B$67)</f>
        <v>0</v>
      </c>
      <c r="AH64" s="152">
        <f>+AG64</f>
        <v>0</v>
      </c>
      <c r="AI64" s="150">
        <f>SUMIFS(PURCHASE!$K$6:$K$10008,PURCHASE!$A$6:$A$10008,$AI$47,PURCHASE!$E$6:$E$10008,$B$63,PURCHASE!$I$6:$I$10008,'RATEWISE SALE &amp; PURCHASE'!$B$64:$B$67)</f>
        <v>0</v>
      </c>
      <c r="AJ64" s="151">
        <f>SUMIFS(PURCHASE!$L$6:$L$10008,PURCHASE!$A$6:$A$10008,$AI$47,PURCHASE!$E$6:$E$10008,$B$63,PURCHASE!$I$6:$I$10008,'RATEWISE SALE &amp; PURCHASE'!$B$64:$B$67)</f>
        <v>0</v>
      </c>
      <c r="AK64" s="151">
        <f>SUMIFS(PURCHASE!$M$6:$M$10008,PURCHASE!$A$6:$A$10008,$AI$47,PURCHASE!$E$6:$E$10008,$B$63,PURCHASE!$I$6:$I$10008,'RATEWISE SALE &amp; PURCHASE'!$B$64:$B$67)</f>
        <v>0</v>
      </c>
      <c r="AL64" s="152">
        <f>+AK64</f>
        <v>0</v>
      </c>
      <c r="AM64" s="150">
        <f>SUMIFS(PURCHASE!$K$6:$K$10008,PURCHASE!$A$6:$A$10008,$AM$47,PURCHASE!$E$6:$E$10008,$B$63,PURCHASE!$I$6:$I$10008,'RATEWISE SALE &amp; PURCHASE'!$B$64:$B$67)</f>
        <v>0</v>
      </c>
      <c r="AN64" s="151">
        <f>SUMIFS(PURCHASE!$L$6:$L$10008,PURCHASE!$A$6:$A$10008,$AM$47,PURCHASE!$E$6:$E$10008,$B$63,PURCHASE!$I$6:$I$10008,'RATEWISE SALE &amp; PURCHASE'!$B$64:$B$67)</f>
        <v>0</v>
      </c>
      <c r="AO64" s="151">
        <f>SUMIFS(PURCHASE!$M$6:$M$10008,PURCHASE!$A$6:$A$10008,$AM$47,PURCHASE!$E$6:$E$10008,$B$63,PURCHASE!$I$6:$I$10008,'RATEWISE SALE &amp; PURCHASE'!$B$64:$B$67)</f>
        <v>0</v>
      </c>
      <c r="AP64" s="152">
        <f>+AO64</f>
        <v>0</v>
      </c>
      <c r="AQ64" s="150">
        <f>SUMIFS(PURCHASE!$K$6:$K$10008,PURCHASE!$A$6:$A$10008,$AQ$47,PURCHASE!$E$6:$E$10008,$B$63,PURCHASE!$I$6:$I$10008,'RATEWISE SALE &amp; PURCHASE'!$B$64:$B$67)</f>
        <v>0</v>
      </c>
      <c r="AR64" s="151">
        <f>SUMIFS(PURCHASE!$L$6:$L$10008,PURCHASE!$A$6:$A$10008,$AQ$47,PURCHASE!$E$6:$E$10008,$B$63,PURCHASE!$I$6:$I$10008,'RATEWISE SALE &amp; PURCHASE'!$B$64:$B$67)</f>
        <v>0</v>
      </c>
      <c r="AS64" s="151">
        <f>SUMIFS(PURCHASE!$M$6:$M$10008,PURCHASE!$A$6:$A$10008,$AQ$47,PURCHASE!$E$6:$E$10008,$B$63,PURCHASE!$I$6:$I$10008,'RATEWISE SALE &amp; PURCHASE'!$B$64:$B$67)</f>
        <v>0</v>
      </c>
      <c r="AT64" s="152">
        <f>+AS64</f>
        <v>0</v>
      </c>
      <c r="AU64" s="150">
        <f>SUMIFS(PURCHASE!$K$6:$K$10008,PURCHASE!$A$6:$A$10008,$AU$47,PURCHASE!$E$6:$E$10008,$B$63,PURCHASE!$I$6:$I$10008,'RATEWISE SALE &amp; PURCHASE'!$B$64:$B$67)</f>
        <v>0</v>
      </c>
      <c r="AV64" s="151">
        <f>SUMIFS(PURCHASE!$L$6:$L$10008,PURCHASE!$A$6:$A$10008,$AU$47,PURCHASE!$E$6:$E$10008,$B$63,PURCHASE!$I$6:$I$10008,'RATEWISE SALE &amp; PURCHASE'!$B$64:$B$67)</f>
        <v>0</v>
      </c>
      <c r="AW64" s="151">
        <f>SUMIFS(PURCHASE!$M$6:$M$10008,PURCHASE!$A$6:$A$10008,$AU$47,PURCHASE!$E$6:$E$10008,$B$63,PURCHASE!$I$6:$I$10008,'RATEWISE SALE &amp; PURCHASE'!$B$64:$B$67)</f>
        <v>0</v>
      </c>
      <c r="AX64" s="152">
        <f>+AW64</f>
        <v>0</v>
      </c>
      <c r="AY64" s="150">
        <f t="shared" ref="AY64:AY68" si="209">+C64+G64+K64+O64+S64+W64+AA64+AE64+AI64+AM64+AQ64+AU64</f>
        <v>0</v>
      </c>
      <c r="AZ64" s="151">
        <f t="shared" ref="AZ64:AZ68" si="210">+D64+H64+L64+P64+T64+X64+AB64+AF64+AJ64+AN64+AR64+AV64</f>
        <v>0</v>
      </c>
      <c r="BA64" s="151">
        <f t="shared" ref="BA64:BA68" si="211">+E64+I64+M64+Q64+U64+Y64+AC64+AG64+AK64+AO64+AS64+AW64</f>
        <v>0</v>
      </c>
      <c r="BB64" s="152">
        <f t="shared" ref="BB64:BB68" si="212">+F64+J64+N64+R64+V64+Z64+AD64+AH64+AL64+AP64+AT64+AX64</f>
        <v>0</v>
      </c>
    </row>
    <row r="65" spans="1:54" x14ac:dyDescent="0.2">
      <c r="A65" s="155" t="s">
        <v>2549</v>
      </c>
      <c r="B65" s="156">
        <v>12</v>
      </c>
      <c r="C65" s="150">
        <f>SUMIFS(PURCHASE!$K$6:$K$10008,PURCHASE!$A$6:$A$10008,$C$47,PURCHASE!$E$6:$E$10008,$B$63,PURCHASE!$I$6:$I$10008,'RATEWISE SALE &amp; PURCHASE'!$B$64:$B$67)</f>
        <v>0</v>
      </c>
      <c r="D65" s="151">
        <f>SUMIFS(PURCHASE!$L$6:$L$10008,PURCHASE!$A$6:$A$10008,$C$47,PURCHASE!$E$6:$E$10008,$B$63,PURCHASE!$I$6:$I$10008,'RATEWISE SALE &amp; PURCHASE'!$B$64:$B$67)</f>
        <v>0</v>
      </c>
      <c r="E65" s="151">
        <f>SUMIFS(PURCHASE!$M$6:$M$10008,PURCHASE!$A$6:$A$10008,$C$47,PURCHASE!$E$6:$E$10008,$B$63,PURCHASE!$I$6:$I$10008,'RATEWISE SALE &amp; PURCHASE'!$B$64:$B$67)</f>
        <v>0</v>
      </c>
      <c r="F65" s="152">
        <f t="shared" ref="F65:F67" si="213">+E65</f>
        <v>0</v>
      </c>
      <c r="G65" s="150">
        <f>SUMIFS(PURCHASE!$K$6:$K$10008,PURCHASE!$A$6:$A$10008,$G$47,PURCHASE!$E$6:$E$10008,$B$63,PURCHASE!$I$6:$I$10008,'RATEWISE SALE &amp; PURCHASE'!$B$64:$B$67)</f>
        <v>0</v>
      </c>
      <c r="H65" s="151">
        <f>SUMIFS(PURCHASE!$L$6:$L$10008,PURCHASE!$A$6:$A$10008,$G$47,PURCHASE!$E$6:$E$10008,$B$63,PURCHASE!$I$6:$I$10008,'RATEWISE SALE &amp; PURCHASE'!$B$64:$B$67)</f>
        <v>0</v>
      </c>
      <c r="I65" s="151">
        <f>SUMIFS(PURCHASE!$M$6:$M$10008,PURCHASE!$A$6:$A$10008,$G$47,PURCHASE!$E$6:$E$10008,$B$63,PURCHASE!$I$6:$I$10008,'RATEWISE SALE &amp; PURCHASE'!$B$64:$B$67)</f>
        <v>0</v>
      </c>
      <c r="J65" s="152">
        <f t="shared" ref="J65:J67" si="214">+I65</f>
        <v>0</v>
      </c>
      <c r="K65" s="150">
        <f>SUMIFS(PURCHASE!$K$6:$K$10008,PURCHASE!$A$6:$A$10008,$K$47,PURCHASE!$E$6:$E$10008,$B$63,PURCHASE!$I$6:$I$10008,'RATEWISE SALE &amp; PURCHASE'!$B$64:$B$67)</f>
        <v>0</v>
      </c>
      <c r="L65" s="151">
        <f>SUMIFS(PURCHASE!$L$6:$L$10008,PURCHASE!$A$6:$A$10008,$K$47,PURCHASE!$E$6:$E$10008,$B$63,PURCHASE!$I$6:$I$10008,'RATEWISE SALE &amp; PURCHASE'!$B$64:$B$67)</f>
        <v>0</v>
      </c>
      <c r="M65" s="151">
        <f>SUMIFS(PURCHASE!$M$6:$M$10008,PURCHASE!$A$6:$A$10008,$K$47,PURCHASE!$E$6:$E$10008,$B$63,PURCHASE!$I$6:$I$10008,'RATEWISE SALE &amp; PURCHASE'!$B$64:$B$67)</f>
        <v>0</v>
      </c>
      <c r="N65" s="152">
        <f t="shared" ref="N65:N67" si="215">+M65</f>
        <v>0</v>
      </c>
      <c r="O65" s="150">
        <f>SUMIFS(PURCHASE!$K$6:$K$10008,PURCHASE!$A$6:$A$10008,$O$47,PURCHASE!$E$6:$E$10008,$B$63,PURCHASE!$I$6:$I$10008,'RATEWISE SALE &amp; PURCHASE'!$B$64:$B$67)</f>
        <v>0</v>
      </c>
      <c r="P65" s="151">
        <f>SUMIFS(PURCHASE!$L$6:$L$10008,PURCHASE!$A$6:$A$10008,$O$47,PURCHASE!$E$6:$E$10008,$B$63,PURCHASE!$I$6:$I$10008,'RATEWISE SALE &amp; PURCHASE'!$B$64:$B$67)</f>
        <v>0</v>
      </c>
      <c r="Q65" s="151">
        <f>SUMIFS(PURCHASE!$M$6:$M$10008,PURCHASE!$A$6:$A$10008,$O$47,PURCHASE!$E$6:$E$10008,$B$63,PURCHASE!$I$6:$I$10008,'RATEWISE SALE &amp; PURCHASE'!$B$64:$B$67)</f>
        <v>0</v>
      </c>
      <c r="R65" s="152">
        <f t="shared" ref="R65:R67" si="216">+Q65</f>
        <v>0</v>
      </c>
      <c r="S65" s="150">
        <f>SUMIFS(PURCHASE!$K$6:$K$10008,PURCHASE!$A$6:$A$10008,$S$47,PURCHASE!$E$6:$E$10008,$B$63,PURCHASE!$I$6:$I$10008,'RATEWISE SALE &amp; PURCHASE'!$B$64:$B$67)</f>
        <v>0</v>
      </c>
      <c r="T65" s="151">
        <f>SUMIFS(PURCHASE!$L$6:$L$10008,PURCHASE!$A$6:$A$10008,$S$47,PURCHASE!$E$6:$E$10008,$B$63,PURCHASE!$I$6:$I$10008,'RATEWISE SALE &amp; PURCHASE'!$B$64:$B$67)</f>
        <v>0</v>
      </c>
      <c r="U65" s="151">
        <f>SUMIFS(PURCHASE!$M$6:$M$10008,PURCHASE!$A$6:$A$10008,$S$47,PURCHASE!$E$6:$E$10008,$B$63,PURCHASE!$I$6:$I$10008,'RATEWISE SALE &amp; PURCHASE'!$B$64:$B$67)</f>
        <v>0</v>
      </c>
      <c r="V65" s="152">
        <f t="shared" ref="V65:V67" si="217">+U65</f>
        <v>0</v>
      </c>
      <c r="W65" s="150">
        <f>SUMIFS(PURCHASE!$K$6:$K$10008,PURCHASE!$A$6:$A$10008,$W$47,PURCHASE!$E$6:$E$10008,$B$63,PURCHASE!$I$6:$I$10008,'RATEWISE SALE &amp; PURCHASE'!$B$64:$B$67)</f>
        <v>0</v>
      </c>
      <c r="X65" s="151">
        <f>SUMIFS(PURCHASE!$L$6:$L$10008,PURCHASE!$A$6:$A$10008,$W$47,PURCHASE!$E$6:$E$10008,$B$63,PURCHASE!$I$6:$I$10008,'RATEWISE SALE &amp; PURCHASE'!$B$64:$B$67)</f>
        <v>0</v>
      </c>
      <c r="Y65" s="151">
        <f>SUMIFS(PURCHASE!$M$6:$M$10008,PURCHASE!$A$6:$A$10008,$W$47,PURCHASE!$E$6:$E$10008,$B$63,PURCHASE!$I$6:$I$10008,'RATEWISE SALE &amp; PURCHASE'!$B$64:$B$67)</f>
        <v>0</v>
      </c>
      <c r="Z65" s="152">
        <f t="shared" ref="Z65:Z67" si="218">+Y65</f>
        <v>0</v>
      </c>
      <c r="AA65" s="150">
        <f>SUMIFS(PURCHASE!$K$6:$K$10008,PURCHASE!$A$6:$A$10008,$AA$47,PURCHASE!$E$6:$E$10008,$B$63,PURCHASE!$I$6:$I$10008,'RATEWISE SALE &amp; PURCHASE'!$B$64:$B$67)</f>
        <v>0</v>
      </c>
      <c r="AB65" s="151">
        <f>SUMIFS(PURCHASE!$L$6:$L$10008,PURCHASE!$A$6:$A$10008,$AA$47,PURCHASE!$E$6:$E$10008,$B$63,PURCHASE!$I$6:$I$10008,'RATEWISE SALE &amp; PURCHASE'!$B$64:$B$67)</f>
        <v>0</v>
      </c>
      <c r="AC65" s="151">
        <f>SUMIFS(PURCHASE!$M$6:$M$10008,PURCHASE!$A$6:$A$10008,$AA$47,PURCHASE!$E$6:$E$10008,$B$63,PURCHASE!$I$6:$I$10008,'RATEWISE SALE &amp; PURCHASE'!$B$64:$B$67)</f>
        <v>0</v>
      </c>
      <c r="AD65" s="152">
        <f t="shared" ref="AD65:AD67" si="219">+AC65</f>
        <v>0</v>
      </c>
      <c r="AE65" s="150">
        <f>SUMIFS(PURCHASE!$K$6:$K$10008,PURCHASE!$A$6:$A$10008,$AE$47,PURCHASE!$E$6:$E$10008,$B$63,PURCHASE!$I$6:$I$10008,'RATEWISE SALE &amp; PURCHASE'!$B$64:$B$67)</f>
        <v>0</v>
      </c>
      <c r="AF65" s="151">
        <f>SUMIFS(PURCHASE!$L$6:$L$10008,PURCHASE!$A$6:$A$10008,$AE$47,PURCHASE!$E$6:$E$10008,$B$63,PURCHASE!$I$6:$I$10008,'RATEWISE SALE &amp; PURCHASE'!$B$64:$B$67)</f>
        <v>0</v>
      </c>
      <c r="AG65" s="151">
        <f>SUMIFS(PURCHASE!$M$6:$M$10008,PURCHASE!$A$6:$A$10008,$AE$47,PURCHASE!$E$6:$E$10008,$B$63,PURCHASE!$I$6:$I$10008,'RATEWISE SALE &amp; PURCHASE'!$B$64:$B$67)</f>
        <v>0</v>
      </c>
      <c r="AH65" s="152">
        <f t="shared" ref="AH65:AH67" si="220">+AG65</f>
        <v>0</v>
      </c>
      <c r="AI65" s="150">
        <f>SUMIFS(PURCHASE!$K$6:$K$10008,PURCHASE!$A$6:$A$10008,$AI$47,PURCHASE!$E$6:$E$10008,$B$63,PURCHASE!$I$6:$I$10008,'RATEWISE SALE &amp; PURCHASE'!$B$64:$B$67)</f>
        <v>0</v>
      </c>
      <c r="AJ65" s="151">
        <f>SUMIFS(PURCHASE!$L$6:$L$10008,PURCHASE!$A$6:$A$10008,$AI$47,PURCHASE!$E$6:$E$10008,$B$63,PURCHASE!$I$6:$I$10008,'RATEWISE SALE &amp; PURCHASE'!$B$64:$B$67)</f>
        <v>0</v>
      </c>
      <c r="AK65" s="151">
        <f>SUMIFS(PURCHASE!$M$6:$M$10008,PURCHASE!$A$6:$A$10008,$AI$47,PURCHASE!$E$6:$E$10008,$B$63,PURCHASE!$I$6:$I$10008,'RATEWISE SALE &amp; PURCHASE'!$B$64:$B$67)</f>
        <v>0</v>
      </c>
      <c r="AL65" s="152">
        <f t="shared" ref="AL65:AL67" si="221">+AK65</f>
        <v>0</v>
      </c>
      <c r="AM65" s="150">
        <f>SUMIFS(PURCHASE!$K$6:$K$10008,PURCHASE!$A$6:$A$10008,$AM$47,PURCHASE!$E$6:$E$10008,$B$63,PURCHASE!$I$6:$I$10008,'RATEWISE SALE &amp; PURCHASE'!$B$64:$B$67)</f>
        <v>0</v>
      </c>
      <c r="AN65" s="151">
        <f>SUMIFS(PURCHASE!$L$6:$L$10008,PURCHASE!$A$6:$A$10008,$AM$47,PURCHASE!$E$6:$E$10008,$B$63,PURCHASE!$I$6:$I$10008,'RATEWISE SALE &amp; PURCHASE'!$B$64:$B$67)</f>
        <v>0</v>
      </c>
      <c r="AO65" s="151">
        <f>SUMIFS(PURCHASE!$M$6:$M$10008,PURCHASE!$A$6:$A$10008,$AM$47,PURCHASE!$E$6:$E$10008,$B$63,PURCHASE!$I$6:$I$10008,'RATEWISE SALE &amp; PURCHASE'!$B$64:$B$67)</f>
        <v>0</v>
      </c>
      <c r="AP65" s="152">
        <f t="shared" ref="AP65:AP67" si="222">+AO65</f>
        <v>0</v>
      </c>
      <c r="AQ65" s="150">
        <f>SUMIFS(PURCHASE!$K$6:$K$10008,PURCHASE!$A$6:$A$10008,$AQ$47,PURCHASE!$E$6:$E$10008,$B$63,PURCHASE!$I$6:$I$10008,'RATEWISE SALE &amp; PURCHASE'!$B$64:$B$67)</f>
        <v>0</v>
      </c>
      <c r="AR65" s="151">
        <f>SUMIFS(PURCHASE!$L$6:$L$10008,PURCHASE!$A$6:$A$10008,$AQ$47,PURCHASE!$E$6:$E$10008,$B$63,PURCHASE!$I$6:$I$10008,'RATEWISE SALE &amp; PURCHASE'!$B$64:$B$67)</f>
        <v>0</v>
      </c>
      <c r="AS65" s="151">
        <f>SUMIFS(PURCHASE!$M$6:$M$10008,PURCHASE!$A$6:$A$10008,$AQ$47,PURCHASE!$E$6:$E$10008,$B$63,PURCHASE!$I$6:$I$10008,'RATEWISE SALE &amp; PURCHASE'!$B$64:$B$67)</f>
        <v>0</v>
      </c>
      <c r="AT65" s="152">
        <f t="shared" ref="AT65:AT67" si="223">+AS65</f>
        <v>0</v>
      </c>
      <c r="AU65" s="150">
        <f>SUMIFS(PURCHASE!$K$6:$K$10008,PURCHASE!$A$6:$A$10008,$AU$47,PURCHASE!$E$6:$E$10008,$B$63,PURCHASE!$I$6:$I$10008,'RATEWISE SALE &amp; PURCHASE'!$B$64:$B$67)</f>
        <v>0</v>
      </c>
      <c r="AV65" s="151">
        <f>SUMIFS(PURCHASE!$L$6:$L$10008,PURCHASE!$A$6:$A$10008,$AU$47,PURCHASE!$E$6:$E$10008,$B$63,PURCHASE!$I$6:$I$10008,'RATEWISE SALE &amp; PURCHASE'!$B$64:$B$67)</f>
        <v>0</v>
      </c>
      <c r="AW65" s="151">
        <f>SUMIFS(PURCHASE!$M$6:$M$10008,PURCHASE!$A$6:$A$10008,$AU$47,PURCHASE!$E$6:$E$10008,$B$63,PURCHASE!$I$6:$I$10008,'RATEWISE SALE &amp; PURCHASE'!$B$64:$B$67)</f>
        <v>0</v>
      </c>
      <c r="AX65" s="152">
        <f t="shared" ref="AX65:AX67" si="224">+AW65</f>
        <v>0</v>
      </c>
      <c r="AY65" s="150">
        <f t="shared" si="209"/>
        <v>0</v>
      </c>
      <c r="AZ65" s="151">
        <f t="shared" si="210"/>
        <v>0</v>
      </c>
      <c r="BA65" s="151">
        <f t="shared" si="211"/>
        <v>0</v>
      </c>
      <c r="BB65" s="152">
        <f t="shared" si="212"/>
        <v>0</v>
      </c>
    </row>
    <row r="66" spans="1:54" x14ac:dyDescent="0.2">
      <c r="A66" s="155" t="s">
        <v>2550</v>
      </c>
      <c r="B66" s="156">
        <v>18</v>
      </c>
      <c r="C66" s="150">
        <f>SUMIFS(PURCHASE!$K$6:$K$10008,PURCHASE!$A$6:$A$10008,$C$47,PURCHASE!$E$6:$E$10008,$B$63,PURCHASE!$I$6:$I$10008,'RATEWISE SALE &amp; PURCHASE'!$B$64:$B$67)</f>
        <v>0</v>
      </c>
      <c r="D66" s="151">
        <f>SUMIFS(PURCHASE!$L$6:$L$10008,PURCHASE!$A$6:$A$10008,$C$47,PURCHASE!$E$6:$E$10008,$B$63,PURCHASE!$I$6:$I$10008,'RATEWISE SALE &amp; PURCHASE'!$B$64:$B$67)</f>
        <v>0</v>
      </c>
      <c r="E66" s="151">
        <f>SUMIFS(PURCHASE!$M$6:$M$10008,PURCHASE!$A$6:$A$10008,$C$47,PURCHASE!$E$6:$E$10008,$B$63,PURCHASE!$I$6:$I$10008,'RATEWISE SALE &amp; PURCHASE'!$B$64:$B$67)</f>
        <v>0</v>
      </c>
      <c r="F66" s="152">
        <f t="shared" si="213"/>
        <v>0</v>
      </c>
      <c r="G66" s="150">
        <f>SUMIFS(PURCHASE!$K$6:$K$10008,PURCHASE!$A$6:$A$10008,$G$47,PURCHASE!$E$6:$E$10008,$B$63,PURCHASE!$I$6:$I$10008,'RATEWISE SALE &amp; PURCHASE'!$B$64:$B$67)</f>
        <v>0</v>
      </c>
      <c r="H66" s="151">
        <f>SUMIFS(PURCHASE!$L$6:$L$10008,PURCHASE!$A$6:$A$10008,$G$47,PURCHASE!$E$6:$E$10008,$B$63,PURCHASE!$I$6:$I$10008,'RATEWISE SALE &amp; PURCHASE'!$B$64:$B$67)</f>
        <v>0</v>
      </c>
      <c r="I66" s="151">
        <f>SUMIFS(PURCHASE!$M$6:$M$10008,PURCHASE!$A$6:$A$10008,$G$47,PURCHASE!$E$6:$E$10008,$B$63,PURCHASE!$I$6:$I$10008,'RATEWISE SALE &amp; PURCHASE'!$B$64:$B$67)</f>
        <v>0</v>
      </c>
      <c r="J66" s="152">
        <f t="shared" si="214"/>
        <v>0</v>
      </c>
      <c r="K66" s="150">
        <f>SUMIFS(PURCHASE!$K$6:$K$10008,PURCHASE!$A$6:$A$10008,$K$47,PURCHASE!$E$6:$E$10008,$B$63,PURCHASE!$I$6:$I$10008,'RATEWISE SALE &amp; PURCHASE'!$B$64:$B$67)</f>
        <v>0</v>
      </c>
      <c r="L66" s="151">
        <f>SUMIFS(PURCHASE!$L$6:$L$10008,PURCHASE!$A$6:$A$10008,$K$47,PURCHASE!$E$6:$E$10008,$B$63,PURCHASE!$I$6:$I$10008,'RATEWISE SALE &amp; PURCHASE'!$B$64:$B$67)</f>
        <v>0</v>
      </c>
      <c r="M66" s="151">
        <f>SUMIFS(PURCHASE!$M$6:$M$10008,PURCHASE!$A$6:$A$10008,$K$47,PURCHASE!$E$6:$E$10008,$B$63,PURCHASE!$I$6:$I$10008,'RATEWISE SALE &amp; PURCHASE'!$B$64:$B$67)</f>
        <v>0</v>
      </c>
      <c r="N66" s="152">
        <f t="shared" si="215"/>
        <v>0</v>
      </c>
      <c r="O66" s="150">
        <f>SUMIFS(PURCHASE!$K$6:$K$10008,PURCHASE!$A$6:$A$10008,$O$47,PURCHASE!$E$6:$E$10008,$B$63,PURCHASE!$I$6:$I$10008,'RATEWISE SALE &amp; PURCHASE'!$B$64:$B$67)</f>
        <v>0</v>
      </c>
      <c r="P66" s="151">
        <f>SUMIFS(PURCHASE!$L$6:$L$10008,PURCHASE!$A$6:$A$10008,$O$47,PURCHASE!$E$6:$E$10008,$B$63,PURCHASE!$I$6:$I$10008,'RATEWISE SALE &amp; PURCHASE'!$B$64:$B$67)</f>
        <v>0</v>
      </c>
      <c r="Q66" s="151">
        <f>SUMIFS(PURCHASE!$M$6:$M$10008,PURCHASE!$A$6:$A$10008,$O$47,PURCHASE!$E$6:$E$10008,$B$63,PURCHASE!$I$6:$I$10008,'RATEWISE SALE &amp; PURCHASE'!$B$64:$B$67)</f>
        <v>0</v>
      </c>
      <c r="R66" s="152">
        <f t="shared" si="216"/>
        <v>0</v>
      </c>
      <c r="S66" s="150">
        <f>SUMIFS(PURCHASE!$K$6:$K$10008,PURCHASE!$A$6:$A$10008,$S$47,PURCHASE!$E$6:$E$10008,$B$63,PURCHASE!$I$6:$I$10008,'RATEWISE SALE &amp; PURCHASE'!$B$64:$B$67)</f>
        <v>0</v>
      </c>
      <c r="T66" s="151">
        <f>SUMIFS(PURCHASE!$L$6:$L$10008,PURCHASE!$A$6:$A$10008,$S$47,PURCHASE!$E$6:$E$10008,$B$63,PURCHASE!$I$6:$I$10008,'RATEWISE SALE &amp; PURCHASE'!$B$64:$B$67)</f>
        <v>0</v>
      </c>
      <c r="U66" s="151">
        <f>SUMIFS(PURCHASE!$M$6:$M$10008,PURCHASE!$A$6:$A$10008,$S$47,PURCHASE!$E$6:$E$10008,$B$63,PURCHASE!$I$6:$I$10008,'RATEWISE SALE &amp; PURCHASE'!$B$64:$B$67)</f>
        <v>0</v>
      </c>
      <c r="V66" s="152">
        <f t="shared" si="217"/>
        <v>0</v>
      </c>
      <c r="W66" s="150">
        <f>SUMIFS(PURCHASE!$K$6:$K$10008,PURCHASE!$A$6:$A$10008,$W$47,PURCHASE!$E$6:$E$10008,$B$63,PURCHASE!$I$6:$I$10008,'RATEWISE SALE &amp; PURCHASE'!$B$64:$B$67)</f>
        <v>0</v>
      </c>
      <c r="X66" s="151">
        <f>SUMIFS(PURCHASE!$L$6:$L$10008,PURCHASE!$A$6:$A$10008,$W$47,PURCHASE!$E$6:$E$10008,$B$63,PURCHASE!$I$6:$I$10008,'RATEWISE SALE &amp; PURCHASE'!$B$64:$B$67)</f>
        <v>0</v>
      </c>
      <c r="Y66" s="151">
        <f>SUMIFS(PURCHASE!$M$6:$M$10008,PURCHASE!$A$6:$A$10008,$W$47,PURCHASE!$E$6:$E$10008,$B$63,PURCHASE!$I$6:$I$10008,'RATEWISE SALE &amp; PURCHASE'!$B$64:$B$67)</f>
        <v>0</v>
      </c>
      <c r="Z66" s="152">
        <f t="shared" si="218"/>
        <v>0</v>
      </c>
      <c r="AA66" s="150">
        <f>SUMIFS(PURCHASE!$K$6:$K$10008,PURCHASE!$A$6:$A$10008,$AA$47,PURCHASE!$E$6:$E$10008,$B$63,PURCHASE!$I$6:$I$10008,'RATEWISE SALE &amp; PURCHASE'!$B$64:$B$67)</f>
        <v>0</v>
      </c>
      <c r="AB66" s="151">
        <f>SUMIFS(PURCHASE!$L$6:$L$10008,PURCHASE!$A$6:$A$10008,$AA$47,PURCHASE!$E$6:$E$10008,$B$63,PURCHASE!$I$6:$I$10008,'RATEWISE SALE &amp; PURCHASE'!$B$64:$B$67)</f>
        <v>0</v>
      </c>
      <c r="AC66" s="151">
        <f>SUMIFS(PURCHASE!$M$6:$M$10008,PURCHASE!$A$6:$A$10008,$AA$47,PURCHASE!$E$6:$E$10008,$B$63,PURCHASE!$I$6:$I$10008,'RATEWISE SALE &amp; PURCHASE'!$B$64:$B$67)</f>
        <v>0</v>
      </c>
      <c r="AD66" s="152">
        <f t="shared" si="219"/>
        <v>0</v>
      </c>
      <c r="AE66" s="150">
        <f>SUMIFS(PURCHASE!$K$6:$K$10008,PURCHASE!$A$6:$A$10008,$AE$47,PURCHASE!$E$6:$E$10008,$B$63,PURCHASE!$I$6:$I$10008,'RATEWISE SALE &amp; PURCHASE'!$B$64:$B$67)</f>
        <v>0</v>
      </c>
      <c r="AF66" s="151">
        <f>SUMIFS(PURCHASE!$L$6:$L$10008,PURCHASE!$A$6:$A$10008,$AE$47,PURCHASE!$E$6:$E$10008,$B$63,PURCHASE!$I$6:$I$10008,'RATEWISE SALE &amp; PURCHASE'!$B$64:$B$67)</f>
        <v>0</v>
      </c>
      <c r="AG66" s="151">
        <f>SUMIFS(PURCHASE!$M$6:$M$10008,PURCHASE!$A$6:$A$10008,$AE$47,PURCHASE!$E$6:$E$10008,$B$63,PURCHASE!$I$6:$I$10008,'RATEWISE SALE &amp; PURCHASE'!$B$64:$B$67)</f>
        <v>0</v>
      </c>
      <c r="AH66" s="152">
        <f t="shared" si="220"/>
        <v>0</v>
      </c>
      <c r="AI66" s="150">
        <f>SUMIFS(PURCHASE!$K$6:$K$10008,PURCHASE!$A$6:$A$10008,$AI$47,PURCHASE!$E$6:$E$10008,$B$63,PURCHASE!$I$6:$I$10008,'RATEWISE SALE &amp; PURCHASE'!$B$64:$B$67)</f>
        <v>0</v>
      </c>
      <c r="AJ66" s="151">
        <f>SUMIFS(PURCHASE!$L$6:$L$10008,PURCHASE!$A$6:$A$10008,$AI$47,PURCHASE!$E$6:$E$10008,$B$63,PURCHASE!$I$6:$I$10008,'RATEWISE SALE &amp; PURCHASE'!$B$64:$B$67)</f>
        <v>0</v>
      </c>
      <c r="AK66" s="151">
        <f>SUMIFS(PURCHASE!$M$6:$M$10008,PURCHASE!$A$6:$A$10008,$AI$47,PURCHASE!$E$6:$E$10008,$B$63,PURCHASE!$I$6:$I$10008,'RATEWISE SALE &amp; PURCHASE'!$B$64:$B$67)</f>
        <v>0</v>
      </c>
      <c r="AL66" s="152">
        <f t="shared" si="221"/>
        <v>0</v>
      </c>
      <c r="AM66" s="150">
        <f>SUMIFS(PURCHASE!$K$6:$K$10008,PURCHASE!$A$6:$A$10008,$AM$47,PURCHASE!$E$6:$E$10008,$B$63,PURCHASE!$I$6:$I$10008,'RATEWISE SALE &amp; PURCHASE'!$B$64:$B$67)</f>
        <v>0</v>
      </c>
      <c r="AN66" s="151">
        <f>SUMIFS(PURCHASE!$L$6:$L$10008,PURCHASE!$A$6:$A$10008,$AM$47,PURCHASE!$E$6:$E$10008,$B$63,PURCHASE!$I$6:$I$10008,'RATEWISE SALE &amp; PURCHASE'!$B$64:$B$67)</f>
        <v>0</v>
      </c>
      <c r="AO66" s="151">
        <f>SUMIFS(PURCHASE!$M$6:$M$10008,PURCHASE!$A$6:$A$10008,$AM$47,PURCHASE!$E$6:$E$10008,$B$63,PURCHASE!$I$6:$I$10008,'RATEWISE SALE &amp; PURCHASE'!$B$64:$B$67)</f>
        <v>0</v>
      </c>
      <c r="AP66" s="152">
        <f t="shared" si="222"/>
        <v>0</v>
      </c>
      <c r="AQ66" s="150">
        <f>SUMIFS(PURCHASE!$K$6:$K$10008,PURCHASE!$A$6:$A$10008,$AQ$47,PURCHASE!$E$6:$E$10008,$B$63,PURCHASE!$I$6:$I$10008,'RATEWISE SALE &amp; PURCHASE'!$B$64:$B$67)</f>
        <v>0</v>
      </c>
      <c r="AR66" s="151">
        <f>SUMIFS(PURCHASE!$L$6:$L$10008,PURCHASE!$A$6:$A$10008,$AQ$47,PURCHASE!$E$6:$E$10008,$B$63,PURCHASE!$I$6:$I$10008,'RATEWISE SALE &amp; PURCHASE'!$B$64:$B$67)</f>
        <v>0</v>
      </c>
      <c r="AS66" s="151">
        <f>SUMIFS(PURCHASE!$M$6:$M$10008,PURCHASE!$A$6:$A$10008,$AQ$47,PURCHASE!$E$6:$E$10008,$B$63,PURCHASE!$I$6:$I$10008,'RATEWISE SALE &amp; PURCHASE'!$B$64:$B$67)</f>
        <v>0</v>
      </c>
      <c r="AT66" s="152">
        <f t="shared" si="223"/>
        <v>0</v>
      </c>
      <c r="AU66" s="150">
        <f>SUMIFS(PURCHASE!$K$6:$K$10008,PURCHASE!$A$6:$A$10008,$AU$47,PURCHASE!$E$6:$E$10008,$B$63,PURCHASE!$I$6:$I$10008,'RATEWISE SALE &amp; PURCHASE'!$B$64:$B$67)</f>
        <v>0</v>
      </c>
      <c r="AV66" s="151">
        <f>SUMIFS(PURCHASE!$L$6:$L$10008,PURCHASE!$A$6:$A$10008,$AU$47,PURCHASE!$E$6:$E$10008,$B$63,PURCHASE!$I$6:$I$10008,'RATEWISE SALE &amp; PURCHASE'!$B$64:$B$67)</f>
        <v>0</v>
      </c>
      <c r="AW66" s="151">
        <f>SUMIFS(PURCHASE!$M$6:$M$10008,PURCHASE!$A$6:$A$10008,$AU$47,PURCHASE!$E$6:$E$10008,$B$63,PURCHASE!$I$6:$I$10008,'RATEWISE SALE &amp; PURCHASE'!$B$64:$B$67)</f>
        <v>0</v>
      </c>
      <c r="AX66" s="152">
        <f t="shared" si="224"/>
        <v>0</v>
      </c>
      <c r="AY66" s="150">
        <f t="shared" si="209"/>
        <v>0</v>
      </c>
      <c r="AZ66" s="151">
        <f t="shared" si="210"/>
        <v>0</v>
      </c>
      <c r="BA66" s="151">
        <f t="shared" si="211"/>
        <v>0</v>
      </c>
      <c r="BB66" s="152">
        <f t="shared" si="212"/>
        <v>0</v>
      </c>
    </row>
    <row r="67" spans="1:54" x14ac:dyDescent="0.2">
      <c r="A67" s="155" t="s">
        <v>2551</v>
      </c>
      <c r="B67" s="156">
        <v>28</v>
      </c>
      <c r="C67" s="150">
        <f>SUMIFS(PURCHASE!$K$6:$K$10008,PURCHASE!$A$6:$A$10008,$C$47,PURCHASE!$E$6:$E$10008,$B$63,PURCHASE!$I$6:$I$10008,'RATEWISE SALE &amp; PURCHASE'!$B$64:$B$67)</f>
        <v>0</v>
      </c>
      <c r="D67" s="151">
        <f>SUMIFS(PURCHASE!$L$6:$L$10008,PURCHASE!$A$6:$A$10008,$C$47,PURCHASE!$E$6:$E$10008,$B$63,PURCHASE!$I$6:$I$10008,'RATEWISE SALE &amp; PURCHASE'!$B$64:$B$67)</f>
        <v>0</v>
      </c>
      <c r="E67" s="151">
        <f>SUMIFS(PURCHASE!$M$6:$M$10008,PURCHASE!$A$6:$A$10008,$C$47,PURCHASE!$E$6:$E$10008,$B$63,PURCHASE!$I$6:$I$10008,'RATEWISE SALE &amp; PURCHASE'!$B$64:$B$67)</f>
        <v>0</v>
      </c>
      <c r="F67" s="152">
        <f t="shared" si="213"/>
        <v>0</v>
      </c>
      <c r="G67" s="150">
        <f>SUMIFS(PURCHASE!$K$6:$K$10008,PURCHASE!$A$6:$A$10008,$G$47,PURCHASE!$E$6:$E$10008,$B$63,PURCHASE!$I$6:$I$10008,'RATEWISE SALE &amp; PURCHASE'!$B$64:$B$67)</f>
        <v>0</v>
      </c>
      <c r="H67" s="151">
        <f>SUMIFS(PURCHASE!$L$6:$L$10008,PURCHASE!$A$6:$A$10008,$G$47,PURCHASE!$E$6:$E$10008,$B$63,PURCHASE!$I$6:$I$10008,'RATEWISE SALE &amp; PURCHASE'!$B$64:$B$67)</f>
        <v>0</v>
      </c>
      <c r="I67" s="151">
        <f>SUMIFS(PURCHASE!$M$6:$M$10008,PURCHASE!$A$6:$A$10008,$G$47,PURCHASE!$E$6:$E$10008,$B$63,PURCHASE!$I$6:$I$10008,'RATEWISE SALE &amp; PURCHASE'!$B$64:$B$67)</f>
        <v>0</v>
      </c>
      <c r="J67" s="152">
        <f t="shared" si="214"/>
        <v>0</v>
      </c>
      <c r="K67" s="150">
        <f>SUMIFS(PURCHASE!$K$6:$K$10008,PURCHASE!$A$6:$A$10008,$K$47,PURCHASE!$E$6:$E$10008,$B$63,PURCHASE!$I$6:$I$10008,'RATEWISE SALE &amp; PURCHASE'!$B$64:$B$67)</f>
        <v>0</v>
      </c>
      <c r="L67" s="151">
        <f>SUMIFS(PURCHASE!$L$6:$L$10008,PURCHASE!$A$6:$A$10008,$K$47,PURCHASE!$E$6:$E$10008,$B$63,PURCHASE!$I$6:$I$10008,'RATEWISE SALE &amp; PURCHASE'!$B$64:$B$67)</f>
        <v>0</v>
      </c>
      <c r="M67" s="151">
        <f>SUMIFS(PURCHASE!$M$6:$M$10008,PURCHASE!$A$6:$A$10008,$K$47,PURCHASE!$E$6:$E$10008,$B$63,PURCHASE!$I$6:$I$10008,'RATEWISE SALE &amp; PURCHASE'!$B$64:$B$67)</f>
        <v>0</v>
      </c>
      <c r="N67" s="152">
        <f t="shared" si="215"/>
        <v>0</v>
      </c>
      <c r="O67" s="150">
        <f>SUMIFS(PURCHASE!$K$6:$K$10008,PURCHASE!$A$6:$A$10008,$O$47,PURCHASE!$E$6:$E$10008,$B$63,PURCHASE!$I$6:$I$10008,'RATEWISE SALE &amp; PURCHASE'!$B$64:$B$67)</f>
        <v>0</v>
      </c>
      <c r="P67" s="151">
        <f>SUMIFS(PURCHASE!$L$6:$L$10008,PURCHASE!$A$6:$A$10008,$O$47,PURCHASE!$E$6:$E$10008,$B$63,PURCHASE!$I$6:$I$10008,'RATEWISE SALE &amp; PURCHASE'!$B$64:$B$67)</f>
        <v>0</v>
      </c>
      <c r="Q67" s="151">
        <f>SUMIFS(PURCHASE!$M$6:$M$10008,PURCHASE!$A$6:$A$10008,$O$47,PURCHASE!$E$6:$E$10008,$B$63,PURCHASE!$I$6:$I$10008,'RATEWISE SALE &amp; PURCHASE'!$B$64:$B$67)</f>
        <v>0</v>
      </c>
      <c r="R67" s="152">
        <f t="shared" si="216"/>
        <v>0</v>
      </c>
      <c r="S67" s="150">
        <f>SUMIFS(PURCHASE!$K$6:$K$10008,PURCHASE!$A$6:$A$10008,$S$47,PURCHASE!$E$6:$E$10008,$B$63,PURCHASE!$I$6:$I$10008,'RATEWISE SALE &amp; PURCHASE'!$B$64:$B$67)</f>
        <v>0</v>
      </c>
      <c r="T67" s="151">
        <f>SUMIFS(PURCHASE!$L$6:$L$10008,PURCHASE!$A$6:$A$10008,$S$47,PURCHASE!$E$6:$E$10008,$B$63,PURCHASE!$I$6:$I$10008,'RATEWISE SALE &amp; PURCHASE'!$B$64:$B$67)</f>
        <v>0</v>
      </c>
      <c r="U67" s="151">
        <f>SUMIFS(PURCHASE!$M$6:$M$10008,PURCHASE!$A$6:$A$10008,$S$47,PURCHASE!$E$6:$E$10008,$B$63,PURCHASE!$I$6:$I$10008,'RATEWISE SALE &amp; PURCHASE'!$B$64:$B$67)</f>
        <v>0</v>
      </c>
      <c r="V67" s="152">
        <f t="shared" si="217"/>
        <v>0</v>
      </c>
      <c r="W67" s="150">
        <f>SUMIFS(PURCHASE!$K$6:$K$10008,PURCHASE!$A$6:$A$10008,$W$47,PURCHASE!$E$6:$E$10008,$B$63,PURCHASE!$I$6:$I$10008,'RATEWISE SALE &amp; PURCHASE'!$B$64:$B$67)</f>
        <v>0</v>
      </c>
      <c r="X67" s="151">
        <f>SUMIFS(PURCHASE!$L$6:$L$10008,PURCHASE!$A$6:$A$10008,$W$47,PURCHASE!$E$6:$E$10008,$B$63,PURCHASE!$I$6:$I$10008,'RATEWISE SALE &amp; PURCHASE'!$B$64:$B$67)</f>
        <v>0</v>
      </c>
      <c r="Y67" s="151">
        <f>SUMIFS(PURCHASE!$M$6:$M$10008,PURCHASE!$A$6:$A$10008,$W$47,PURCHASE!$E$6:$E$10008,$B$63,PURCHASE!$I$6:$I$10008,'RATEWISE SALE &amp; PURCHASE'!$B$64:$B$67)</f>
        <v>0</v>
      </c>
      <c r="Z67" s="152">
        <f t="shared" si="218"/>
        <v>0</v>
      </c>
      <c r="AA67" s="150">
        <f>SUMIFS(PURCHASE!$K$6:$K$10008,PURCHASE!$A$6:$A$10008,$AA$47,PURCHASE!$E$6:$E$10008,$B$63,PURCHASE!$I$6:$I$10008,'RATEWISE SALE &amp; PURCHASE'!$B$64:$B$67)</f>
        <v>0</v>
      </c>
      <c r="AB67" s="151">
        <f>SUMIFS(PURCHASE!$L$6:$L$10008,PURCHASE!$A$6:$A$10008,$AA$47,PURCHASE!$E$6:$E$10008,$B$63,PURCHASE!$I$6:$I$10008,'RATEWISE SALE &amp; PURCHASE'!$B$64:$B$67)</f>
        <v>0</v>
      </c>
      <c r="AC67" s="151">
        <f>SUMIFS(PURCHASE!$M$6:$M$10008,PURCHASE!$A$6:$A$10008,$AA$47,PURCHASE!$E$6:$E$10008,$B$63,PURCHASE!$I$6:$I$10008,'RATEWISE SALE &amp; PURCHASE'!$B$64:$B$67)</f>
        <v>0</v>
      </c>
      <c r="AD67" s="152">
        <f t="shared" si="219"/>
        <v>0</v>
      </c>
      <c r="AE67" s="150">
        <f>SUMIFS(PURCHASE!$K$6:$K$10008,PURCHASE!$A$6:$A$10008,$AE$47,PURCHASE!$E$6:$E$10008,$B$63,PURCHASE!$I$6:$I$10008,'RATEWISE SALE &amp; PURCHASE'!$B$64:$B$67)</f>
        <v>0</v>
      </c>
      <c r="AF67" s="151">
        <f>SUMIFS(PURCHASE!$L$6:$L$10008,PURCHASE!$A$6:$A$10008,$AE$47,PURCHASE!$E$6:$E$10008,$B$63,PURCHASE!$I$6:$I$10008,'RATEWISE SALE &amp; PURCHASE'!$B$64:$B$67)</f>
        <v>0</v>
      </c>
      <c r="AG67" s="151">
        <f>SUMIFS(PURCHASE!$M$6:$M$10008,PURCHASE!$A$6:$A$10008,$AE$47,PURCHASE!$E$6:$E$10008,$B$63,PURCHASE!$I$6:$I$10008,'RATEWISE SALE &amp; PURCHASE'!$B$64:$B$67)</f>
        <v>0</v>
      </c>
      <c r="AH67" s="152">
        <f t="shared" si="220"/>
        <v>0</v>
      </c>
      <c r="AI67" s="150">
        <f>SUMIFS(PURCHASE!$K$6:$K$10008,PURCHASE!$A$6:$A$10008,$AI$47,PURCHASE!$E$6:$E$10008,$B$63,PURCHASE!$I$6:$I$10008,'RATEWISE SALE &amp; PURCHASE'!$B$64:$B$67)</f>
        <v>0</v>
      </c>
      <c r="AJ67" s="151">
        <f>SUMIFS(PURCHASE!$L$6:$L$10008,PURCHASE!$A$6:$A$10008,$AI$47,PURCHASE!$E$6:$E$10008,$B$63,PURCHASE!$I$6:$I$10008,'RATEWISE SALE &amp; PURCHASE'!$B$64:$B$67)</f>
        <v>0</v>
      </c>
      <c r="AK67" s="151">
        <f>SUMIFS(PURCHASE!$M$6:$M$10008,PURCHASE!$A$6:$A$10008,$AI$47,PURCHASE!$E$6:$E$10008,$B$63,PURCHASE!$I$6:$I$10008,'RATEWISE SALE &amp; PURCHASE'!$B$64:$B$67)</f>
        <v>0</v>
      </c>
      <c r="AL67" s="152">
        <f t="shared" si="221"/>
        <v>0</v>
      </c>
      <c r="AM67" s="150">
        <f>SUMIFS(PURCHASE!$K$6:$K$10008,PURCHASE!$A$6:$A$10008,$AM$47,PURCHASE!$E$6:$E$10008,$B$63,PURCHASE!$I$6:$I$10008,'RATEWISE SALE &amp; PURCHASE'!$B$64:$B$67)</f>
        <v>0</v>
      </c>
      <c r="AN67" s="151">
        <f>SUMIFS(PURCHASE!$L$6:$L$10008,PURCHASE!$A$6:$A$10008,$AM$47,PURCHASE!$E$6:$E$10008,$B$63,PURCHASE!$I$6:$I$10008,'RATEWISE SALE &amp; PURCHASE'!$B$64:$B$67)</f>
        <v>0</v>
      </c>
      <c r="AO67" s="151">
        <f>SUMIFS(PURCHASE!$M$6:$M$10008,PURCHASE!$A$6:$A$10008,$AM$47,PURCHASE!$E$6:$E$10008,$B$63,PURCHASE!$I$6:$I$10008,'RATEWISE SALE &amp; PURCHASE'!$B$64:$B$67)</f>
        <v>0</v>
      </c>
      <c r="AP67" s="152">
        <f t="shared" si="222"/>
        <v>0</v>
      </c>
      <c r="AQ67" s="150">
        <f>SUMIFS(PURCHASE!$K$6:$K$10008,PURCHASE!$A$6:$A$10008,$AQ$47,PURCHASE!$E$6:$E$10008,$B$63,PURCHASE!$I$6:$I$10008,'RATEWISE SALE &amp; PURCHASE'!$B$64:$B$67)</f>
        <v>0</v>
      </c>
      <c r="AR67" s="151">
        <f>SUMIFS(PURCHASE!$L$6:$L$10008,PURCHASE!$A$6:$A$10008,$AQ$47,PURCHASE!$E$6:$E$10008,$B$63,PURCHASE!$I$6:$I$10008,'RATEWISE SALE &amp; PURCHASE'!$B$64:$B$67)</f>
        <v>0</v>
      </c>
      <c r="AS67" s="151">
        <f>SUMIFS(PURCHASE!$M$6:$M$10008,PURCHASE!$A$6:$A$10008,$AQ$47,PURCHASE!$E$6:$E$10008,$B$63,PURCHASE!$I$6:$I$10008,'RATEWISE SALE &amp; PURCHASE'!$B$64:$B$67)</f>
        <v>0</v>
      </c>
      <c r="AT67" s="152">
        <f t="shared" si="223"/>
        <v>0</v>
      </c>
      <c r="AU67" s="150">
        <f>SUMIFS(PURCHASE!$K$6:$K$10008,PURCHASE!$A$6:$A$10008,$AU$47,PURCHASE!$E$6:$E$10008,$B$63,PURCHASE!$I$6:$I$10008,'RATEWISE SALE &amp; PURCHASE'!$B$64:$B$67)</f>
        <v>0</v>
      </c>
      <c r="AV67" s="151">
        <f>SUMIFS(PURCHASE!$L$6:$L$10008,PURCHASE!$A$6:$A$10008,$AU$47,PURCHASE!$E$6:$E$10008,$B$63,PURCHASE!$I$6:$I$10008,'RATEWISE SALE &amp; PURCHASE'!$B$64:$B$67)</f>
        <v>0</v>
      </c>
      <c r="AW67" s="151">
        <f>SUMIFS(PURCHASE!$M$6:$M$10008,PURCHASE!$A$6:$A$10008,$AU$47,PURCHASE!$E$6:$E$10008,$B$63,PURCHASE!$I$6:$I$10008,'RATEWISE SALE &amp; PURCHASE'!$B$64:$B$67)</f>
        <v>0</v>
      </c>
      <c r="AX67" s="152">
        <f t="shared" si="224"/>
        <v>0</v>
      </c>
      <c r="AY67" s="150">
        <f t="shared" si="209"/>
        <v>0</v>
      </c>
      <c r="AZ67" s="151">
        <f t="shared" si="210"/>
        <v>0</v>
      </c>
      <c r="BA67" s="151">
        <f t="shared" si="211"/>
        <v>0</v>
      </c>
      <c r="BB67" s="152">
        <f t="shared" si="212"/>
        <v>0</v>
      </c>
    </row>
    <row r="68" spans="1:54" x14ac:dyDescent="0.2">
      <c r="A68" s="167" t="s">
        <v>1046</v>
      </c>
      <c r="B68" s="158"/>
      <c r="C68" s="159">
        <f>SUM(C64:C67)</f>
        <v>0</v>
      </c>
      <c r="D68" s="160">
        <f t="shared" ref="D68:F68" si="225">SUM(D64:D67)</f>
        <v>0</v>
      </c>
      <c r="E68" s="160">
        <f t="shared" si="225"/>
        <v>0</v>
      </c>
      <c r="F68" s="161">
        <f t="shared" si="225"/>
        <v>0</v>
      </c>
      <c r="G68" s="159">
        <f>SUM(G64:G67)</f>
        <v>0</v>
      </c>
      <c r="H68" s="160">
        <f t="shared" ref="H68:J68" si="226">SUM(H64:H67)</f>
        <v>0</v>
      </c>
      <c r="I68" s="160">
        <f t="shared" si="226"/>
        <v>0</v>
      </c>
      <c r="J68" s="161">
        <f t="shared" si="226"/>
        <v>0</v>
      </c>
      <c r="K68" s="159">
        <f>SUM(K64:K67)</f>
        <v>0</v>
      </c>
      <c r="L68" s="160">
        <f t="shared" ref="L68:N68" si="227">SUM(L64:L67)</f>
        <v>0</v>
      </c>
      <c r="M68" s="160">
        <f t="shared" si="227"/>
        <v>0</v>
      </c>
      <c r="N68" s="161">
        <f t="shared" si="227"/>
        <v>0</v>
      </c>
      <c r="O68" s="159">
        <f>SUM(O64:O67)</f>
        <v>0</v>
      </c>
      <c r="P68" s="160">
        <f t="shared" ref="P68:R68" si="228">SUM(P64:P67)</f>
        <v>0</v>
      </c>
      <c r="Q68" s="160">
        <f t="shared" si="228"/>
        <v>0</v>
      </c>
      <c r="R68" s="161">
        <f t="shared" si="228"/>
        <v>0</v>
      </c>
      <c r="S68" s="159">
        <f>SUM(S64:S67)</f>
        <v>0</v>
      </c>
      <c r="T68" s="160">
        <f t="shared" ref="T68:V68" si="229">SUM(T64:T67)</f>
        <v>0</v>
      </c>
      <c r="U68" s="160">
        <f t="shared" si="229"/>
        <v>0</v>
      </c>
      <c r="V68" s="161">
        <f t="shared" si="229"/>
        <v>0</v>
      </c>
      <c r="W68" s="159">
        <f>SUM(W64:W67)</f>
        <v>0</v>
      </c>
      <c r="X68" s="160">
        <f t="shared" ref="X68:Z68" si="230">SUM(X64:X67)</f>
        <v>0</v>
      </c>
      <c r="Y68" s="160">
        <f t="shared" si="230"/>
        <v>0</v>
      </c>
      <c r="Z68" s="161">
        <f t="shared" si="230"/>
        <v>0</v>
      </c>
      <c r="AA68" s="159">
        <f>SUM(AA64:AA67)</f>
        <v>0</v>
      </c>
      <c r="AB68" s="160">
        <f t="shared" ref="AB68:AD68" si="231">SUM(AB64:AB67)</f>
        <v>0</v>
      </c>
      <c r="AC68" s="160">
        <f t="shared" si="231"/>
        <v>0</v>
      </c>
      <c r="AD68" s="161">
        <f t="shared" si="231"/>
        <v>0</v>
      </c>
      <c r="AE68" s="159">
        <f>SUM(AE64:AE67)</f>
        <v>0</v>
      </c>
      <c r="AF68" s="160">
        <f t="shared" ref="AF68:AH68" si="232">SUM(AF64:AF67)</f>
        <v>0</v>
      </c>
      <c r="AG68" s="160">
        <f t="shared" si="232"/>
        <v>0</v>
      </c>
      <c r="AH68" s="161">
        <f t="shared" si="232"/>
        <v>0</v>
      </c>
      <c r="AI68" s="159">
        <f>SUM(AI64:AI67)</f>
        <v>0</v>
      </c>
      <c r="AJ68" s="160">
        <f t="shared" ref="AJ68:AL68" si="233">SUM(AJ64:AJ67)</f>
        <v>0</v>
      </c>
      <c r="AK68" s="160">
        <f t="shared" si="233"/>
        <v>0</v>
      </c>
      <c r="AL68" s="161">
        <f t="shared" si="233"/>
        <v>0</v>
      </c>
      <c r="AM68" s="159">
        <f>SUM(AM64:AM67)</f>
        <v>0</v>
      </c>
      <c r="AN68" s="160">
        <f t="shared" ref="AN68:AP68" si="234">SUM(AN64:AN67)</f>
        <v>0</v>
      </c>
      <c r="AO68" s="160">
        <f t="shared" si="234"/>
        <v>0</v>
      </c>
      <c r="AP68" s="161">
        <f t="shared" si="234"/>
        <v>0</v>
      </c>
      <c r="AQ68" s="159">
        <f>SUM(AQ64:AQ67)</f>
        <v>0</v>
      </c>
      <c r="AR68" s="160">
        <f t="shared" ref="AR68:AT68" si="235">SUM(AR64:AR67)</f>
        <v>0</v>
      </c>
      <c r="AS68" s="160">
        <f t="shared" si="235"/>
        <v>0</v>
      </c>
      <c r="AT68" s="161">
        <f t="shared" si="235"/>
        <v>0</v>
      </c>
      <c r="AU68" s="159">
        <f>SUM(AU64:AU67)</f>
        <v>0</v>
      </c>
      <c r="AV68" s="160">
        <f t="shared" ref="AV68:AX68" si="236">SUM(AV64:AV67)</f>
        <v>0</v>
      </c>
      <c r="AW68" s="160">
        <f t="shared" si="236"/>
        <v>0</v>
      </c>
      <c r="AX68" s="161">
        <f t="shared" si="236"/>
        <v>0</v>
      </c>
      <c r="AY68" s="159">
        <f t="shared" si="209"/>
        <v>0</v>
      </c>
      <c r="AZ68" s="160">
        <f t="shared" si="210"/>
        <v>0</v>
      </c>
      <c r="BA68" s="160">
        <f t="shared" si="211"/>
        <v>0</v>
      </c>
      <c r="BB68" s="161">
        <f t="shared" si="212"/>
        <v>0</v>
      </c>
    </row>
    <row r="69" spans="1:54" x14ac:dyDescent="0.2">
      <c r="A69" s="146"/>
      <c r="B69" s="168"/>
      <c r="C69" s="150"/>
      <c r="D69" s="151"/>
      <c r="E69" s="151"/>
      <c r="F69" s="152"/>
      <c r="G69" s="150"/>
      <c r="H69" s="151"/>
      <c r="I69" s="151"/>
      <c r="J69" s="152"/>
      <c r="K69" s="150"/>
      <c r="L69" s="151"/>
      <c r="M69" s="151"/>
      <c r="N69" s="152"/>
      <c r="O69" s="150"/>
      <c r="P69" s="151"/>
      <c r="Q69" s="151"/>
      <c r="R69" s="152"/>
      <c r="S69" s="150"/>
      <c r="T69" s="151"/>
      <c r="U69" s="151"/>
      <c r="V69" s="152"/>
      <c r="W69" s="150"/>
      <c r="X69" s="151"/>
      <c r="Y69" s="151"/>
      <c r="Z69" s="152"/>
      <c r="AA69" s="150"/>
      <c r="AB69" s="151"/>
      <c r="AC69" s="151"/>
      <c r="AD69" s="152"/>
      <c r="AE69" s="150"/>
      <c r="AF69" s="151"/>
      <c r="AG69" s="151"/>
      <c r="AH69" s="152"/>
      <c r="AI69" s="150"/>
      <c r="AJ69" s="151"/>
      <c r="AK69" s="151"/>
      <c r="AL69" s="152"/>
      <c r="AM69" s="150"/>
      <c r="AN69" s="151"/>
      <c r="AO69" s="151"/>
      <c r="AP69" s="152"/>
      <c r="AQ69" s="150"/>
      <c r="AR69" s="151"/>
      <c r="AS69" s="151"/>
      <c r="AT69" s="152"/>
      <c r="AU69" s="150"/>
      <c r="AV69" s="151"/>
      <c r="AW69" s="151"/>
      <c r="AX69" s="152"/>
      <c r="AY69" s="150"/>
      <c r="AZ69" s="151"/>
      <c r="BA69" s="151"/>
      <c r="BB69" s="152"/>
    </row>
    <row r="70" spans="1:54" x14ac:dyDescent="0.2">
      <c r="A70" s="163" t="s">
        <v>1047</v>
      </c>
      <c r="B70" s="169"/>
      <c r="C70" s="164"/>
      <c r="D70" s="165"/>
      <c r="E70" s="165"/>
      <c r="F70" s="166"/>
      <c r="G70" s="164"/>
      <c r="H70" s="165"/>
      <c r="I70" s="165"/>
      <c r="J70" s="166"/>
      <c r="K70" s="164"/>
      <c r="L70" s="165"/>
      <c r="M70" s="165"/>
      <c r="N70" s="166"/>
      <c r="O70" s="164"/>
      <c r="P70" s="165"/>
      <c r="Q70" s="165"/>
      <c r="R70" s="166"/>
      <c r="S70" s="164"/>
      <c r="T70" s="165"/>
      <c r="U70" s="165"/>
      <c r="V70" s="166"/>
      <c r="W70" s="164"/>
      <c r="X70" s="165"/>
      <c r="Y70" s="165"/>
      <c r="Z70" s="166"/>
      <c r="AA70" s="164"/>
      <c r="AB70" s="165"/>
      <c r="AC70" s="165"/>
      <c r="AD70" s="166"/>
      <c r="AE70" s="164"/>
      <c r="AF70" s="165"/>
      <c r="AG70" s="165"/>
      <c r="AH70" s="166"/>
      <c r="AI70" s="164"/>
      <c r="AJ70" s="165"/>
      <c r="AK70" s="165"/>
      <c r="AL70" s="166"/>
      <c r="AM70" s="164"/>
      <c r="AN70" s="165"/>
      <c r="AO70" s="165"/>
      <c r="AP70" s="166"/>
      <c r="AQ70" s="164"/>
      <c r="AR70" s="165"/>
      <c r="AS70" s="165"/>
      <c r="AT70" s="166"/>
      <c r="AU70" s="164"/>
      <c r="AV70" s="165"/>
      <c r="AW70" s="165"/>
      <c r="AX70" s="166"/>
      <c r="AY70" s="164"/>
      <c r="AZ70" s="165"/>
      <c r="BA70" s="165"/>
      <c r="BB70" s="166"/>
    </row>
    <row r="71" spans="1:54" x14ac:dyDescent="0.2">
      <c r="A71" s="155" t="s">
        <v>2548</v>
      </c>
      <c r="B71" s="156">
        <v>5</v>
      </c>
      <c r="C71" s="150">
        <f>+C50+C57+C64</f>
        <v>12370</v>
      </c>
      <c r="D71" s="151">
        <f t="shared" ref="D71:G74" si="237">+D50+D57+D64</f>
        <v>0</v>
      </c>
      <c r="E71" s="151">
        <f t="shared" si="237"/>
        <v>309.25</v>
      </c>
      <c r="F71" s="152">
        <f t="shared" si="237"/>
        <v>309.25</v>
      </c>
      <c r="G71" s="150">
        <f>+G50+G57+G64</f>
        <v>19782</v>
      </c>
      <c r="H71" s="151">
        <f t="shared" ref="H71:J71" si="238">+H50+H57+H64</f>
        <v>0</v>
      </c>
      <c r="I71" s="151">
        <f t="shared" si="238"/>
        <v>494.55</v>
      </c>
      <c r="J71" s="152">
        <f t="shared" si="238"/>
        <v>494.55</v>
      </c>
      <c r="K71" s="150">
        <f>+K50+K57+K64</f>
        <v>30728</v>
      </c>
      <c r="L71" s="151">
        <f t="shared" ref="L71:N71" si="239">+L50+L57+L64</f>
        <v>0</v>
      </c>
      <c r="M71" s="151">
        <f t="shared" si="239"/>
        <v>768.2</v>
      </c>
      <c r="N71" s="152">
        <f t="shared" si="239"/>
        <v>768.2</v>
      </c>
      <c r="O71" s="150">
        <f>+O50+O57+O64</f>
        <v>11390</v>
      </c>
      <c r="P71" s="151">
        <f t="shared" ref="P71:R71" si="240">+P50+P57+P64</f>
        <v>0</v>
      </c>
      <c r="Q71" s="151">
        <f t="shared" si="240"/>
        <v>284.75</v>
      </c>
      <c r="R71" s="152">
        <f t="shared" si="240"/>
        <v>284.75</v>
      </c>
      <c r="S71" s="150">
        <f>+S50+S57+S64</f>
        <v>21769</v>
      </c>
      <c r="T71" s="151">
        <f t="shared" ref="T71:V71" si="241">+T50+T57+T64</f>
        <v>0</v>
      </c>
      <c r="U71" s="151">
        <f t="shared" si="241"/>
        <v>544.22500000000002</v>
      </c>
      <c r="V71" s="152">
        <f t="shared" si="241"/>
        <v>544.22500000000002</v>
      </c>
      <c r="W71" s="150">
        <f>+W50+W57+W64</f>
        <v>27069</v>
      </c>
      <c r="X71" s="151">
        <f t="shared" ref="X71:Z71" si="242">+X50+X57+X64</f>
        <v>0</v>
      </c>
      <c r="Y71" s="151">
        <f t="shared" si="242"/>
        <v>676.72500000000002</v>
      </c>
      <c r="Z71" s="152">
        <f t="shared" si="242"/>
        <v>676.72500000000002</v>
      </c>
      <c r="AA71" s="150">
        <f>+AA50+AA57+AA64</f>
        <v>25680</v>
      </c>
      <c r="AB71" s="151">
        <f t="shared" ref="AB71:AD71" si="243">+AB50+AB57+AB64</f>
        <v>0</v>
      </c>
      <c r="AC71" s="151">
        <f t="shared" si="243"/>
        <v>642</v>
      </c>
      <c r="AD71" s="152">
        <f t="shared" si="243"/>
        <v>642</v>
      </c>
      <c r="AE71" s="150">
        <f>+AE50+AE57+AE64</f>
        <v>0</v>
      </c>
      <c r="AF71" s="151">
        <f t="shared" ref="AF71:AH71" si="244">+AF50+AF57+AF64</f>
        <v>0</v>
      </c>
      <c r="AG71" s="151">
        <f t="shared" si="244"/>
        <v>0</v>
      </c>
      <c r="AH71" s="152">
        <f t="shared" si="244"/>
        <v>0</v>
      </c>
      <c r="AI71" s="150">
        <f>+AI50+AI57+AI64</f>
        <v>0</v>
      </c>
      <c r="AJ71" s="151">
        <f t="shared" ref="AJ71:AL71" si="245">+AJ50+AJ57+AJ64</f>
        <v>0</v>
      </c>
      <c r="AK71" s="151">
        <f t="shared" si="245"/>
        <v>0</v>
      </c>
      <c r="AL71" s="152">
        <f t="shared" si="245"/>
        <v>0</v>
      </c>
      <c r="AM71" s="150">
        <f>+AM50+AM57+AM64</f>
        <v>0</v>
      </c>
      <c r="AN71" s="151">
        <f t="shared" ref="AN71:AP71" si="246">+AN50+AN57+AN64</f>
        <v>0</v>
      </c>
      <c r="AO71" s="151">
        <f t="shared" si="246"/>
        <v>0</v>
      </c>
      <c r="AP71" s="152">
        <f t="shared" si="246"/>
        <v>0</v>
      </c>
      <c r="AQ71" s="150">
        <f>+AQ50+AQ57+AQ64</f>
        <v>0</v>
      </c>
      <c r="AR71" s="151">
        <f t="shared" ref="AR71:AT71" si="247">+AR50+AR57+AR64</f>
        <v>0</v>
      </c>
      <c r="AS71" s="151">
        <f t="shared" si="247"/>
        <v>0</v>
      </c>
      <c r="AT71" s="152">
        <f t="shared" si="247"/>
        <v>0</v>
      </c>
      <c r="AU71" s="150">
        <f>+AU50+AU57+AU64</f>
        <v>0</v>
      </c>
      <c r="AV71" s="151">
        <f t="shared" ref="AV71:AX71" si="248">+AV50+AV57+AV64</f>
        <v>0</v>
      </c>
      <c r="AW71" s="151">
        <f t="shared" si="248"/>
        <v>0</v>
      </c>
      <c r="AX71" s="152">
        <f t="shared" si="248"/>
        <v>0</v>
      </c>
      <c r="AY71" s="150">
        <f t="shared" ref="AY71:AY75" si="249">+C71+G71+K71+O71+S71+W71+AA71+AE71+AI71+AM71+AQ71+AU71</f>
        <v>148788</v>
      </c>
      <c r="AZ71" s="151">
        <f t="shared" ref="AZ71:AZ75" si="250">+D71+H71+L71+P71+T71+X71+AB71+AF71+AJ71+AN71+AR71+AV71</f>
        <v>0</v>
      </c>
      <c r="BA71" s="151">
        <f t="shared" ref="BA71:BA75" si="251">+E71+I71+M71+Q71+U71+Y71+AC71+AG71+AK71+AO71+AS71+AW71</f>
        <v>3719.7</v>
      </c>
      <c r="BB71" s="152">
        <f t="shared" ref="BB71:BB75" si="252">+F71+J71+N71+R71+V71+Z71+AD71+AH71+AL71+AP71+AT71+AX71</f>
        <v>3719.7</v>
      </c>
    </row>
    <row r="72" spans="1:54" x14ac:dyDescent="0.2">
      <c r="A72" s="155" t="s">
        <v>2549</v>
      </c>
      <c r="B72" s="156">
        <v>12</v>
      </c>
      <c r="C72" s="150">
        <f t="shared" ref="C72:F74" si="253">+C51+C58+C65</f>
        <v>11943.1</v>
      </c>
      <c r="D72" s="151">
        <f t="shared" si="253"/>
        <v>0</v>
      </c>
      <c r="E72" s="151">
        <f t="shared" si="253"/>
        <v>716.58600000000001</v>
      </c>
      <c r="F72" s="152">
        <f t="shared" si="253"/>
        <v>716.58600000000001</v>
      </c>
      <c r="G72" s="150">
        <f t="shared" ref="G72:AX72" si="254">+G51+G58+G65</f>
        <v>2794</v>
      </c>
      <c r="H72" s="151">
        <f t="shared" si="254"/>
        <v>0</v>
      </c>
      <c r="I72" s="151">
        <f t="shared" si="254"/>
        <v>167.64000000000001</v>
      </c>
      <c r="J72" s="152">
        <f t="shared" si="254"/>
        <v>167.64000000000001</v>
      </c>
      <c r="K72" s="150">
        <f t="shared" si="254"/>
        <v>5543.2</v>
      </c>
      <c r="L72" s="151">
        <f t="shared" si="254"/>
        <v>0</v>
      </c>
      <c r="M72" s="151">
        <f t="shared" si="254"/>
        <v>332.59199999999998</v>
      </c>
      <c r="N72" s="152">
        <f t="shared" si="254"/>
        <v>332.59199999999998</v>
      </c>
      <c r="O72" s="150">
        <f t="shared" si="254"/>
        <v>6690</v>
      </c>
      <c r="P72" s="151">
        <f t="shared" si="254"/>
        <v>0</v>
      </c>
      <c r="Q72" s="151">
        <f t="shared" si="254"/>
        <v>401.4</v>
      </c>
      <c r="R72" s="152">
        <f t="shared" si="254"/>
        <v>401.4</v>
      </c>
      <c r="S72" s="150">
        <f t="shared" si="254"/>
        <v>6293.2</v>
      </c>
      <c r="T72" s="151">
        <f t="shared" si="254"/>
        <v>0</v>
      </c>
      <c r="U72" s="151">
        <f t="shared" si="254"/>
        <v>377.59199999999998</v>
      </c>
      <c r="V72" s="152">
        <f t="shared" si="254"/>
        <v>377.59199999999998</v>
      </c>
      <c r="W72" s="150">
        <f t="shared" si="254"/>
        <v>17390</v>
      </c>
      <c r="X72" s="151">
        <f t="shared" si="254"/>
        <v>0</v>
      </c>
      <c r="Y72" s="151">
        <f t="shared" si="254"/>
        <v>1043.4000000000001</v>
      </c>
      <c r="Z72" s="152">
        <f t="shared" si="254"/>
        <v>1043.4000000000001</v>
      </c>
      <c r="AA72" s="150">
        <f t="shared" si="254"/>
        <v>41665.199999999997</v>
      </c>
      <c r="AB72" s="151">
        <f t="shared" si="254"/>
        <v>0</v>
      </c>
      <c r="AC72" s="151">
        <f t="shared" si="254"/>
        <v>2499.9119999999998</v>
      </c>
      <c r="AD72" s="152">
        <f t="shared" si="254"/>
        <v>2499.9119999999998</v>
      </c>
      <c r="AE72" s="150">
        <f t="shared" si="254"/>
        <v>0</v>
      </c>
      <c r="AF72" s="151">
        <f t="shared" si="254"/>
        <v>0</v>
      </c>
      <c r="AG72" s="151">
        <f t="shared" si="254"/>
        <v>0</v>
      </c>
      <c r="AH72" s="152">
        <f t="shared" si="254"/>
        <v>0</v>
      </c>
      <c r="AI72" s="150">
        <f t="shared" si="254"/>
        <v>0</v>
      </c>
      <c r="AJ72" s="151">
        <f t="shared" si="254"/>
        <v>0</v>
      </c>
      <c r="AK72" s="151">
        <f t="shared" si="254"/>
        <v>0</v>
      </c>
      <c r="AL72" s="152">
        <f t="shared" si="254"/>
        <v>0</v>
      </c>
      <c r="AM72" s="150">
        <f t="shared" si="254"/>
        <v>0</v>
      </c>
      <c r="AN72" s="151">
        <f t="shared" si="254"/>
        <v>0</v>
      </c>
      <c r="AO72" s="151">
        <f t="shared" si="254"/>
        <v>0</v>
      </c>
      <c r="AP72" s="152">
        <f t="shared" si="254"/>
        <v>0</v>
      </c>
      <c r="AQ72" s="150">
        <f t="shared" si="254"/>
        <v>0</v>
      </c>
      <c r="AR72" s="151">
        <f t="shared" si="254"/>
        <v>0</v>
      </c>
      <c r="AS72" s="151">
        <f t="shared" si="254"/>
        <v>0</v>
      </c>
      <c r="AT72" s="152">
        <f t="shared" si="254"/>
        <v>0</v>
      </c>
      <c r="AU72" s="150">
        <f t="shared" si="254"/>
        <v>0</v>
      </c>
      <c r="AV72" s="151">
        <f t="shared" si="254"/>
        <v>0</v>
      </c>
      <c r="AW72" s="151">
        <f t="shared" si="254"/>
        <v>0</v>
      </c>
      <c r="AX72" s="152">
        <f t="shared" si="254"/>
        <v>0</v>
      </c>
      <c r="AY72" s="150">
        <f t="shared" si="249"/>
        <v>92318.7</v>
      </c>
      <c r="AZ72" s="151">
        <f t="shared" si="250"/>
        <v>0</v>
      </c>
      <c r="BA72" s="151">
        <f t="shared" si="251"/>
        <v>5539.1219999999994</v>
      </c>
      <c r="BB72" s="152">
        <f t="shared" si="252"/>
        <v>5539.1219999999994</v>
      </c>
    </row>
    <row r="73" spans="1:54" x14ac:dyDescent="0.2">
      <c r="A73" s="155" t="s">
        <v>2550</v>
      </c>
      <c r="B73" s="156">
        <v>18</v>
      </c>
      <c r="C73" s="150">
        <f t="shared" si="253"/>
        <v>962910.58</v>
      </c>
      <c r="D73" s="151">
        <f t="shared" si="237"/>
        <v>0</v>
      </c>
      <c r="E73" s="151">
        <f t="shared" si="237"/>
        <v>86661.952199999985</v>
      </c>
      <c r="F73" s="152">
        <f t="shared" si="237"/>
        <v>86661.952199999985</v>
      </c>
      <c r="G73" s="150">
        <f t="shared" si="237"/>
        <v>2661145.84</v>
      </c>
      <c r="H73" s="151">
        <f t="shared" ref="H73:AX73" si="255">+H52+H59+H66</f>
        <v>102136.914</v>
      </c>
      <c r="I73" s="151">
        <f t="shared" si="255"/>
        <v>188434.66860000003</v>
      </c>
      <c r="J73" s="152">
        <f t="shared" si="255"/>
        <v>188434.66860000003</v>
      </c>
      <c r="K73" s="150">
        <f t="shared" si="255"/>
        <v>2739069.1399999997</v>
      </c>
      <c r="L73" s="151">
        <f t="shared" si="255"/>
        <v>66139.56</v>
      </c>
      <c r="M73" s="151">
        <f t="shared" si="255"/>
        <v>213446.44259999995</v>
      </c>
      <c r="N73" s="152">
        <f t="shared" si="255"/>
        <v>213446.44259999995</v>
      </c>
      <c r="O73" s="150">
        <f t="shared" si="255"/>
        <v>4098247.2799999989</v>
      </c>
      <c r="P73" s="151">
        <f t="shared" si="255"/>
        <v>47329.919999999998</v>
      </c>
      <c r="Q73" s="151">
        <f t="shared" si="255"/>
        <v>345177.5352000001</v>
      </c>
      <c r="R73" s="152">
        <f t="shared" si="255"/>
        <v>345177.5352000001</v>
      </c>
      <c r="S73" s="150">
        <f t="shared" si="255"/>
        <v>2899535.36</v>
      </c>
      <c r="T73" s="151">
        <f t="shared" si="255"/>
        <v>1305</v>
      </c>
      <c r="U73" s="151">
        <f t="shared" si="255"/>
        <v>209001.95240000004</v>
      </c>
      <c r="V73" s="152">
        <f t="shared" si="255"/>
        <v>209001.95240000004</v>
      </c>
      <c r="W73" s="150">
        <f t="shared" si="255"/>
        <v>2348091.0499999998</v>
      </c>
      <c r="X73" s="151">
        <f t="shared" si="255"/>
        <v>0</v>
      </c>
      <c r="Y73" s="151">
        <f t="shared" si="255"/>
        <v>211337.96450000015</v>
      </c>
      <c r="Z73" s="152">
        <f t="shared" si="255"/>
        <v>211337.96450000015</v>
      </c>
      <c r="AA73" s="150">
        <f t="shared" si="255"/>
        <v>3414127.92</v>
      </c>
      <c r="AB73" s="151">
        <f t="shared" si="255"/>
        <v>141178.68</v>
      </c>
      <c r="AC73" s="151">
        <f t="shared" si="255"/>
        <v>236682.1728</v>
      </c>
      <c r="AD73" s="152">
        <f t="shared" si="255"/>
        <v>236682.1728</v>
      </c>
      <c r="AE73" s="150">
        <f t="shared" si="255"/>
        <v>0</v>
      </c>
      <c r="AF73" s="151">
        <f t="shared" si="255"/>
        <v>0</v>
      </c>
      <c r="AG73" s="151">
        <f t="shared" si="255"/>
        <v>0</v>
      </c>
      <c r="AH73" s="152">
        <f t="shared" si="255"/>
        <v>0</v>
      </c>
      <c r="AI73" s="150">
        <f t="shared" si="255"/>
        <v>0</v>
      </c>
      <c r="AJ73" s="151">
        <f t="shared" si="255"/>
        <v>0</v>
      </c>
      <c r="AK73" s="151">
        <f t="shared" si="255"/>
        <v>0</v>
      </c>
      <c r="AL73" s="152">
        <f t="shared" si="255"/>
        <v>0</v>
      </c>
      <c r="AM73" s="150">
        <f t="shared" si="255"/>
        <v>0</v>
      </c>
      <c r="AN73" s="151">
        <f t="shared" si="255"/>
        <v>0</v>
      </c>
      <c r="AO73" s="151">
        <f t="shared" si="255"/>
        <v>0</v>
      </c>
      <c r="AP73" s="152">
        <f t="shared" si="255"/>
        <v>0</v>
      </c>
      <c r="AQ73" s="150">
        <f t="shared" si="255"/>
        <v>0</v>
      </c>
      <c r="AR73" s="151">
        <f t="shared" si="255"/>
        <v>0</v>
      </c>
      <c r="AS73" s="151">
        <f t="shared" si="255"/>
        <v>0</v>
      </c>
      <c r="AT73" s="152">
        <f t="shared" si="255"/>
        <v>0</v>
      </c>
      <c r="AU73" s="150">
        <f t="shared" si="255"/>
        <v>0</v>
      </c>
      <c r="AV73" s="151">
        <f t="shared" si="255"/>
        <v>0</v>
      </c>
      <c r="AW73" s="151">
        <f t="shared" si="255"/>
        <v>0</v>
      </c>
      <c r="AX73" s="152">
        <f t="shared" si="255"/>
        <v>0</v>
      </c>
      <c r="AY73" s="150">
        <f t="shared" si="249"/>
        <v>19123127.169999994</v>
      </c>
      <c r="AZ73" s="151">
        <f t="shared" si="250"/>
        <v>358090.07399999996</v>
      </c>
      <c r="BA73" s="151">
        <f t="shared" si="251"/>
        <v>1490742.6883000005</v>
      </c>
      <c r="BB73" s="152">
        <f t="shared" si="252"/>
        <v>1490742.6883000005</v>
      </c>
    </row>
    <row r="74" spans="1:54" x14ac:dyDescent="0.2">
      <c r="A74" s="155" t="s">
        <v>2551</v>
      </c>
      <c r="B74" s="156">
        <v>28</v>
      </c>
      <c r="C74" s="150">
        <f t="shared" si="253"/>
        <v>1665060.1300000008</v>
      </c>
      <c r="D74" s="151">
        <f t="shared" si="237"/>
        <v>2079.9351999999999</v>
      </c>
      <c r="E74" s="151">
        <f t="shared" si="237"/>
        <v>232068.45059999984</v>
      </c>
      <c r="F74" s="152">
        <f t="shared" si="237"/>
        <v>232068.45059999984</v>
      </c>
      <c r="G74" s="150">
        <f t="shared" si="237"/>
        <v>1894670.820000001</v>
      </c>
      <c r="H74" s="151">
        <f t="shared" ref="H74:AX74" si="256">+H53+H60+H67</f>
        <v>36933.315999999999</v>
      </c>
      <c r="I74" s="151">
        <f t="shared" si="256"/>
        <v>246787.25679999983</v>
      </c>
      <c r="J74" s="152">
        <f t="shared" si="256"/>
        <v>246787.25679999983</v>
      </c>
      <c r="K74" s="150">
        <f t="shared" si="256"/>
        <v>1809858.4300000004</v>
      </c>
      <c r="L74" s="151">
        <f t="shared" si="256"/>
        <v>23445.816800000001</v>
      </c>
      <c r="M74" s="151">
        <f t="shared" si="256"/>
        <v>241657.2717999997</v>
      </c>
      <c r="N74" s="152">
        <f t="shared" si="256"/>
        <v>241657.2717999997</v>
      </c>
      <c r="O74" s="150">
        <f t="shared" si="256"/>
        <v>2245525.2800000003</v>
      </c>
      <c r="P74" s="151">
        <f t="shared" si="256"/>
        <v>21955.64</v>
      </c>
      <c r="Q74" s="151">
        <f t="shared" si="256"/>
        <v>303398.21919999993</v>
      </c>
      <c r="R74" s="152">
        <f t="shared" si="256"/>
        <v>303398.21919999993</v>
      </c>
      <c r="S74" s="150">
        <f t="shared" si="256"/>
        <v>1417453.090000001</v>
      </c>
      <c r="T74" s="151">
        <f t="shared" si="256"/>
        <v>9672.877199999999</v>
      </c>
      <c r="U74" s="151">
        <f t="shared" si="256"/>
        <v>193606.5639999999</v>
      </c>
      <c r="V74" s="152">
        <f t="shared" si="256"/>
        <v>193606.5639999999</v>
      </c>
      <c r="W74" s="150">
        <f t="shared" si="256"/>
        <v>1412605.1700000004</v>
      </c>
      <c r="X74" s="151">
        <f t="shared" si="256"/>
        <v>57463.603599999988</v>
      </c>
      <c r="Y74" s="151">
        <f t="shared" si="256"/>
        <v>169035.64699999994</v>
      </c>
      <c r="Z74" s="152">
        <f t="shared" si="256"/>
        <v>169035.64699999994</v>
      </c>
      <c r="AA74" s="150">
        <f t="shared" si="256"/>
        <v>1105091.82</v>
      </c>
      <c r="AB74" s="151">
        <f t="shared" si="256"/>
        <v>35776.299999999996</v>
      </c>
      <c r="AC74" s="151">
        <f t="shared" si="256"/>
        <v>136824.70480000004</v>
      </c>
      <c r="AD74" s="152">
        <f t="shared" si="256"/>
        <v>136824.70480000004</v>
      </c>
      <c r="AE74" s="150">
        <f t="shared" si="256"/>
        <v>0</v>
      </c>
      <c r="AF74" s="151">
        <f t="shared" si="256"/>
        <v>0</v>
      </c>
      <c r="AG74" s="151">
        <f t="shared" si="256"/>
        <v>0</v>
      </c>
      <c r="AH74" s="152">
        <f t="shared" si="256"/>
        <v>0</v>
      </c>
      <c r="AI74" s="150">
        <f t="shared" si="256"/>
        <v>0</v>
      </c>
      <c r="AJ74" s="151">
        <f t="shared" si="256"/>
        <v>0</v>
      </c>
      <c r="AK74" s="151">
        <f t="shared" si="256"/>
        <v>0</v>
      </c>
      <c r="AL74" s="152">
        <f t="shared" si="256"/>
        <v>0</v>
      </c>
      <c r="AM74" s="150">
        <f t="shared" si="256"/>
        <v>0</v>
      </c>
      <c r="AN74" s="151">
        <f t="shared" si="256"/>
        <v>0</v>
      </c>
      <c r="AO74" s="151">
        <f t="shared" si="256"/>
        <v>0</v>
      </c>
      <c r="AP74" s="152">
        <f t="shared" si="256"/>
        <v>0</v>
      </c>
      <c r="AQ74" s="150">
        <f t="shared" si="256"/>
        <v>0</v>
      </c>
      <c r="AR74" s="151">
        <f t="shared" si="256"/>
        <v>0</v>
      </c>
      <c r="AS74" s="151">
        <f t="shared" si="256"/>
        <v>0</v>
      </c>
      <c r="AT74" s="152">
        <f t="shared" si="256"/>
        <v>0</v>
      </c>
      <c r="AU74" s="150">
        <f t="shared" si="256"/>
        <v>0</v>
      </c>
      <c r="AV74" s="151">
        <f t="shared" si="256"/>
        <v>0</v>
      </c>
      <c r="AW74" s="151">
        <f t="shared" si="256"/>
        <v>0</v>
      </c>
      <c r="AX74" s="152">
        <f t="shared" si="256"/>
        <v>0</v>
      </c>
      <c r="AY74" s="150">
        <f t="shared" si="249"/>
        <v>11550264.740000004</v>
      </c>
      <c r="AZ74" s="151">
        <f t="shared" si="250"/>
        <v>187327.48879999999</v>
      </c>
      <c r="BA74" s="151">
        <f t="shared" si="251"/>
        <v>1523378.114199999</v>
      </c>
      <c r="BB74" s="152">
        <f t="shared" si="252"/>
        <v>1523378.114199999</v>
      </c>
    </row>
    <row r="75" spans="1:54" x14ac:dyDescent="0.2">
      <c r="A75" s="171" t="s">
        <v>1048</v>
      </c>
      <c r="B75" s="171"/>
      <c r="C75" s="159">
        <f>SUM(C71:C74)</f>
        <v>2652283.8100000005</v>
      </c>
      <c r="D75" s="160">
        <f t="shared" ref="D75:F75" si="257">SUM(D71:D74)</f>
        <v>2079.9351999999999</v>
      </c>
      <c r="E75" s="160">
        <f t="shared" si="257"/>
        <v>319756.23879999982</v>
      </c>
      <c r="F75" s="161">
        <f t="shared" si="257"/>
        <v>319756.23879999982</v>
      </c>
      <c r="G75" s="159">
        <f>SUM(G71:G74)</f>
        <v>4578392.6600000011</v>
      </c>
      <c r="H75" s="160">
        <f t="shared" ref="H75:J75" si="258">SUM(H71:H74)</f>
        <v>139070.23000000001</v>
      </c>
      <c r="I75" s="160">
        <f t="shared" si="258"/>
        <v>435884.11539999989</v>
      </c>
      <c r="J75" s="161">
        <f t="shared" si="258"/>
        <v>435884.11539999989</v>
      </c>
      <c r="K75" s="159">
        <f>SUM(K71:K74)</f>
        <v>4585198.7700000005</v>
      </c>
      <c r="L75" s="160">
        <f t="shared" ref="L75:N75" si="259">SUM(L71:L74)</f>
        <v>89585.376799999998</v>
      </c>
      <c r="M75" s="160">
        <f t="shared" si="259"/>
        <v>456204.50639999961</v>
      </c>
      <c r="N75" s="161">
        <f t="shared" si="259"/>
        <v>456204.50639999961</v>
      </c>
      <c r="O75" s="159">
        <f>SUM(O71:O74)</f>
        <v>6361852.5599999987</v>
      </c>
      <c r="P75" s="160">
        <f t="shared" ref="P75:R75" si="260">SUM(P71:P74)</f>
        <v>69285.56</v>
      </c>
      <c r="Q75" s="160">
        <f t="shared" si="260"/>
        <v>649261.90440000012</v>
      </c>
      <c r="R75" s="161">
        <f t="shared" si="260"/>
        <v>649261.90440000012</v>
      </c>
      <c r="S75" s="159">
        <f>SUM(S71:S74)</f>
        <v>4345050.6500000013</v>
      </c>
      <c r="T75" s="160">
        <f t="shared" ref="T75:V75" si="261">SUM(T71:T74)</f>
        <v>10977.877199999999</v>
      </c>
      <c r="U75" s="160">
        <f t="shared" si="261"/>
        <v>403530.33339999994</v>
      </c>
      <c r="V75" s="161">
        <f t="shared" si="261"/>
        <v>403530.33339999994</v>
      </c>
      <c r="W75" s="159">
        <f>SUM(W71:W74)</f>
        <v>3805155.22</v>
      </c>
      <c r="X75" s="160">
        <f t="shared" ref="X75:Z75" si="262">SUM(X71:X74)</f>
        <v>57463.603599999988</v>
      </c>
      <c r="Y75" s="160">
        <f t="shared" si="262"/>
        <v>382093.73650000012</v>
      </c>
      <c r="Z75" s="161">
        <f t="shared" si="262"/>
        <v>382093.73650000012</v>
      </c>
      <c r="AA75" s="159">
        <f>SUM(AA71:AA74)</f>
        <v>4586564.9400000004</v>
      </c>
      <c r="AB75" s="160">
        <f t="shared" ref="AB75:AD75" si="263">SUM(AB71:AB74)</f>
        <v>176954.97999999998</v>
      </c>
      <c r="AC75" s="160">
        <f t="shared" si="263"/>
        <v>376648.78960000002</v>
      </c>
      <c r="AD75" s="161">
        <f t="shared" si="263"/>
        <v>376648.78960000002</v>
      </c>
      <c r="AE75" s="159">
        <f>SUM(AE71:AE74)</f>
        <v>0</v>
      </c>
      <c r="AF75" s="160">
        <f t="shared" ref="AF75:AH75" si="264">SUM(AF71:AF74)</f>
        <v>0</v>
      </c>
      <c r="AG75" s="160">
        <f t="shared" si="264"/>
        <v>0</v>
      </c>
      <c r="AH75" s="161">
        <f t="shared" si="264"/>
        <v>0</v>
      </c>
      <c r="AI75" s="159">
        <f>SUM(AI71:AI74)</f>
        <v>0</v>
      </c>
      <c r="AJ75" s="160">
        <f t="shared" ref="AJ75:AL75" si="265">SUM(AJ71:AJ74)</f>
        <v>0</v>
      </c>
      <c r="AK75" s="160">
        <f t="shared" si="265"/>
        <v>0</v>
      </c>
      <c r="AL75" s="161">
        <f t="shared" si="265"/>
        <v>0</v>
      </c>
      <c r="AM75" s="159">
        <f>SUM(AM71:AM74)</f>
        <v>0</v>
      </c>
      <c r="AN75" s="160">
        <f t="shared" ref="AN75:AP75" si="266">SUM(AN71:AN74)</f>
        <v>0</v>
      </c>
      <c r="AO75" s="160">
        <f t="shared" si="266"/>
        <v>0</v>
      </c>
      <c r="AP75" s="161">
        <f t="shared" si="266"/>
        <v>0</v>
      </c>
      <c r="AQ75" s="159">
        <f>SUM(AQ71:AQ74)</f>
        <v>0</v>
      </c>
      <c r="AR75" s="160">
        <f t="shared" ref="AR75:AT75" si="267">SUM(AR71:AR74)</f>
        <v>0</v>
      </c>
      <c r="AS75" s="160">
        <f t="shared" si="267"/>
        <v>0</v>
      </c>
      <c r="AT75" s="161">
        <f t="shared" si="267"/>
        <v>0</v>
      </c>
      <c r="AU75" s="159">
        <f>SUM(AU71:AU74)</f>
        <v>0</v>
      </c>
      <c r="AV75" s="160">
        <f t="shared" ref="AV75:AX75" si="268">SUM(AV71:AV74)</f>
        <v>0</v>
      </c>
      <c r="AW75" s="160">
        <f t="shared" si="268"/>
        <v>0</v>
      </c>
      <c r="AX75" s="161">
        <f t="shared" si="268"/>
        <v>0</v>
      </c>
      <c r="AY75" s="159">
        <f t="shared" si="249"/>
        <v>30914498.610000003</v>
      </c>
      <c r="AZ75" s="160">
        <f t="shared" si="250"/>
        <v>545417.56279999996</v>
      </c>
      <c r="BA75" s="160">
        <f t="shared" si="251"/>
        <v>3023379.6244999999</v>
      </c>
      <c r="BB75" s="161">
        <f t="shared" si="252"/>
        <v>3023379.6244999999</v>
      </c>
    </row>
    <row r="76" spans="1:54" x14ac:dyDescent="0.2">
      <c r="C76" s="172"/>
      <c r="D76" s="173"/>
      <c r="E76" s="173"/>
      <c r="F76" s="174"/>
      <c r="G76" s="172"/>
      <c r="H76" s="173"/>
      <c r="I76" s="173"/>
      <c r="J76" s="174"/>
      <c r="K76" s="172"/>
      <c r="L76" s="173"/>
      <c r="M76" s="173"/>
      <c r="N76" s="174"/>
      <c r="O76" s="172"/>
      <c r="P76" s="173"/>
      <c r="Q76" s="173"/>
      <c r="R76" s="174"/>
      <c r="S76" s="172"/>
      <c r="T76" s="173"/>
      <c r="U76" s="173"/>
      <c r="V76" s="174"/>
      <c r="W76" s="172"/>
      <c r="X76" s="173"/>
      <c r="Y76" s="173"/>
      <c r="Z76" s="174"/>
      <c r="AA76" s="172"/>
      <c r="AB76" s="173"/>
      <c r="AC76" s="173"/>
      <c r="AD76" s="174"/>
      <c r="AE76" s="172"/>
      <c r="AF76" s="173"/>
      <c r="AG76" s="173"/>
      <c r="AH76" s="174"/>
      <c r="AI76" s="172"/>
      <c r="AJ76" s="173"/>
      <c r="AK76" s="173"/>
      <c r="AL76" s="174"/>
      <c r="AM76" s="172"/>
      <c r="AN76" s="173"/>
      <c r="AO76" s="173"/>
      <c r="AP76" s="174"/>
      <c r="AQ76" s="172"/>
      <c r="AR76" s="173"/>
      <c r="AS76" s="173"/>
      <c r="AT76" s="174"/>
      <c r="AU76" s="172"/>
      <c r="AV76" s="173"/>
      <c r="AW76" s="173"/>
      <c r="AX76" s="174"/>
      <c r="AY76" s="172"/>
      <c r="AZ76" s="173"/>
      <c r="BA76" s="173"/>
      <c r="BB76" s="174"/>
    </row>
    <row r="77" spans="1:54" x14ac:dyDescent="0.2">
      <c r="A77" s="163" t="s">
        <v>1321</v>
      </c>
      <c r="B77" s="169"/>
      <c r="C77" s="164"/>
      <c r="D77" s="165"/>
      <c r="E77" s="165"/>
      <c r="F77" s="166"/>
      <c r="G77" s="164"/>
      <c r="H77" s="165"/>
      <c r="I77" s="165"/>
      <c r="J77" s="166"/>
      <c r="K77" s="164"/>
      <c r="L77" s="165"/>
      <c r="M77" s="165"/>
      <c r="N77" s="166"/>
      <c r="O77" s="164"/>
      <c r="P77" s="165"/>
      <c r="Q77" s="165"/>
      <c r="R77" s="166"/>
      <c r="S77" s="164"/>
      <c r="T77" s="165"/>
      <c r="U77" s="165"/>
      <c r="V77" s="166"/>
      <c r="W77" s="164"/>
      <c r="X77" s="165"/>
      <c r="Y77" s="165"/>
      <c r="Z77" s="166"/>
      <c r="AA77" s="164"/>
      <c r="AB77" s="165"/>
      <c r="AC77" s="165"/>
      <c r="AD77" s="166"/>
      <c r="AE77" s="164"/>
      <c r="AF77" s="165"/>
      <c r="AG77" s="165"/>
      <c r="AH77" s="166"/>
      <c r="AI77" s="164"/>
      <c r="AJ77" s="165"/>
      <c r="AK77" s="165"/>
      <c r="AL77" s="166"/>
      <c r="AM77" s="164"/>
      <c r="AN77" s="165"/>
      <c r="AO77" s="165"/>
      <c r="AP77" s="166"/>
      <c r="AQ77" s="164"/>
      <c r="AR77" s="165"/>
      <c r="AS77" s="165"/>
      <c r="AT77" s="166"/>
      <c r="AU77" s="164"/>
      <c r="AV77" s="165"/>
      <c r="AW77" s="165"/>
      <c r="AX77" s="166"/>
      <c r="AY77" s="164"/>
      <c r="AZ77" s="165"/>
      <c r="BA77" s="165"/>
      <c r="BB77" s="166"/>
    </row>
    <row r="78" spans="1:54" x14ac:dyDescent="0.2">
      <c r="A78" s="155" t="s">
        <v>2548</v>
      </c>
      <c r="B78" s="156">
        <v>2.5</v>
      </c>
      <c r="C78" s="150">
        <f>SUMIFS('PURCHASE-RMC'!$K$6:$K$10000,'PURCHASE-RMC'!$I$6:$I$10000,$B$78:$B$81,'PURCHASE-RMC'!$A$6:$A$10000,$C$2)</f>
        <v>18500</v>
      </c>
      <c r="D78" s="151">
        <f>SUMIFS('PURCHASE-RMC'!$L$6:$L$10000,'PURCHASE-RMC'!$I$6:$I$10000,$B$78:$B$81,'PURCHASE-RMC'!$A$6:$A$10000,$C$2)</f>
        <v>0</v>
      </c>
      <c r="E78" s="151">
        <f>SUMIFS('PURCHASE-RMC'!$M$6:$M$10000,'PURCHASE-RMC'!$I$6:$I$10000,$B$78:$B$81,'PURCHASE-RMC'!$A$6:$A$10000,$C$2)</f>
        <v>462.5</v>
      </c>
      <c r="F78" s="152">
        <f>SUMIFS('PURCHASE-RMC'!$N$6:$N$10000,'PURCHASE-RMC'!$I$6:$I$10000,$B$78:$B$81,'PURCHASE-RMC'!$A$6:$A$10000,$C$2)</f>
        <v>462.5</v>
      </c>
      <c r="G78" s="150">
        <f>SUMIFS('PURCHASE-RMC'!$K$6:$K$10000,'PURCHASE-RMC'!$I$6:$I$10000,$B$78:$B$81,'PURCHASE-RMC'!$A$6:$A$10000,$G$2)</f>
        <v>45560</v>
      </c>
      <c r="H78" s="151">
        <f>SUMIFS('PURCHASE-RMC'!$L$6:$L$10000,'PURCHASE-RMC'!$I$6:$I$10000,$B$78:$B$81,'PURCHASE-RMC'!$A$6:$A$10000,$G$2)</f>
        <v>0</v>
      </c>
      <c r="I78" s="151">
        <f>SUMIFS('PURCHASE-RMC'!$M$6:$M$10000,'PURCHASE-RMC'!$I$6:$I$10000,$B$78:$B$81,'PURCHASE-RMC'!$A$6:$A$10000,$G$2)</f>
        <v>1139</v>
      </c>
      <c r="J78" s="152">
        <f>SUMIFS('PURCHASE-RMC'!$N$6:$N$10000,'PURCHASE-RMC'!$I$6:$I$10000,$B$78:$B$81,'PURCHASE-RMC'!$A$6:$A$10000,$G$2)</f>
        <v>1139</v>
      </c>
      <c r="K78" s="150">
        <f>SUMIFS('PURCHASE-RMC'!$K$6:$K$10000,'PURCHASE-RMC'!$I$6:$I$10000,$B$78:$B$81,'PURCHASE-RMC'!$A$6:$A$10000,$K$2)</f>
        <v>24600</v>
      </c>
      <c r="L78" s="151">
        <f>SUMIFS('PURCHASE-RMC'!$L$6:$L$10000,'PURCHASE-RMC'!$I$6:$I$10000,$B$78:$B$81,'PURCHASE-RMC'!$A$6:$A$10000,$K$2)</f>
        <v>0</v>
      </c>
      <c r="M78" s="151">
        <f>SUMIFS('PURCHASE-RMC'!$M$6:$M$10000,'PURCHASE-RMC'!$I$6:$I$10000,$B$78:$B$81,'PURCHASE-RMC'!$A$6:$A$10000,$K$2)</f>
        <v>615</v>
      </c>
      <c r="N78" s="152">
        <f>SUMIFS('PURCHASE-RMC'!$N$6:$N$10000,'PURCHASE-RMC'!$I$6:$I$10000,$B$78:$B$81,'PURCHASE-RMC'!$A$6:$A$10000,$K$2)</f>
        <v>615</v>
      </c>
      <c r="O78" s="150">
        <f>SUMIFS('PURCHASE-RMC'!$K$6:$K$10000,'PURCHASE-RMC'!$I$6:$I$10000,$B$78:$B$81,'PURCHASE-RMC'!$A$6:$A$10000,$O$2)</f>
        <v>31250</v>
      </c>
      <c r="P78" s="151">
        <f>SUMIFS('PURCHASE-RMC'!$L$6:$L$10000,'PURCHASE-RMC'!$I$6:$I$10000,$B$78:$B$81,'PURCHASE-RMC'!$A$6:$A$10000,$O$2)</f>
        <v>0</v>
      </c>
      <c r="Q78" s="151">
        <f>SUMIFS('PURCHASE-RMC'!$M$6:$M$10000,'PURCHASE-RMC'!$I$6:$I$10000,$B$78:$B$81,'PURCHASE-RMC'!$A$6:$A$10000,$O$2)</f>
        <v>781.25</v>
      </c>
      <c r="R78" s="152">
        <f>SUMIFS('PURCHASE-RMC'!$N$6:$N$10000,'PURCHASE-RMC'!$I$6:$I$10000,$B$78:$B$81,'PURCHASE-RMC'!$A$6:$A$10000,$O$2)</f>
        <v>781.25</v>
      </c>
      <c r="S78" s="150">
        <f>SUMIFS('PURCHASE-RMC'!$K$6:$K$10000,'PURCHASE-RMC'!$I$6:$I$10000,$B$78:$B$81,'PURCHASE-RMC'!$A$6:$A$10000,$S$2)</f>
        <v>35900</v>
      </c>
      <c r="T78" s="151">
        <f>SUMIFS('PURCHASE-RMC'!$L$6:$L$10000,'PURCHASE-RMC'!$I$6:$I$10000,$B$78:$B$81,'PURCHASE-RMC'!$A$6:$A$10000,$S$2)</f>
        <v>0</v>
      </c>
      <c r="U78" s="151">
        <f>SUMIFS('PURCHASE-RMC'!$M$6:$M$10000,'PURCHASE-RMC'!$I$6:$I$10000,$B$78:$B$81,'PURCHASE-RMC'!$A$6:$A$10000,$S$2)</f>
        <v>897.5</v>
      </c>
      <c r="V78" s="152">
        <f>SUMIFS('PURCHASE-RMC'!$N$6:$N$10000,'PURCHASE-RMC'!$I$6:$I$10000,$B$78:$B$81,'PURCHASE-RMC'!$A$6:$A$10000,$S$2)</f>
        <v>897.5</v>
      </c>
      <c r="W78" s="150">
        <f>SUMIFS('PURCHASE-RMC'!$K$6:$K$10000,'PURCHASE-RMC'!$I$6:$I$10000,$B$78:$B$81,'PURCHASE-RMC'!$A$6:$A$10000,$W$2)</f>
        <v>36950</v>
      </c>
      <c r="X78" s="151">
        <f>SUMIFS('PURCHASE-RMC'!$L$6:$L$10000,'PURCHASE-RMC'!$I$6:$I$10000,$B$78:$B$81,'PURCHASE-RMC'!$A$6:$A$10000,$W$2)</f>
        <v>0</v>
      </c>
      <c r="Y78" s="151">
        <f>SUMIFS('PURCHASE-RMC'!$M$6:$M$10000,'PURCHASE-RMC'!$I$6:$I$10000,$B$78:$B$81,'PURCHASE-RMC'!$A$6:$A$10000,$W$2)</f>
        <v>923.75</v>
      </c>
      <c r="Z78" s="152">
        <f>SUMIFS('PURCHASE-RMC'!$N$6:$N$10000,'PURCHASE-RMC'!$I$6:$I$10000,$B$78:$B$81,'PURCHASE-RMC'!$A$6:$A$10000,$W$2)</f>
        <v>923.75</v>
      </c>
      <c r="AA78" s="150">
        <f>SUMIFS('PURCHASE-RMC'!$K$6:$K$10000,'PURCHASE-RMC'!$I$6:$I$10000,$B$78:$B$81,'PURCHASE-RMC'!$A$6:$A$10000,$AA$2)</f>
        <v>29100</v>
      </c>
      <c r="AB78" s="151">
        <f>SUMIFS('PURCHASE-RMC'!$L$6:$L$10000,'PURCHASE-RMC'!$I$6:$I$10000,$B$78:$B$81,'PURCHASE-RMC'!$A$6:$A$10000,$AA$2)</f>
        <v>0</v>
      </c>
      <c r="AC78" s="151">
        <f>SUMIFS('PURCHASE-RMC'!$M$6:$M$10000,'PURCHASE-RMC'!$I$6:$I$10000,$B$78:$B$81,'PURCHASE-RMC'!$A$6:$A$10000,$AA$2)</f>
        <v>727.5</v>
      </c>
      <c r="AD78" s="152">
        <f>SUMIFS('PURCHASE-RMC'!$N$6:$N$10000,'PURCHASE-RMC'!$I$6:$I$10000,$B$78:$B$81,'PURCHASE-RMC'!$A$6:$A$10000,$AA$2)</f>
        <v>727.5</v>
      </c>
      <c r="AE78" s="150">
        <f>SUMIFS('PURCHASE-RMC'!$K$6:$K$10000,'PURCHASE-RMC'!$I$6:$I$10000,$B$78:$B$81,'PURCHASE-RMC'!$A$6:$A$10000,$AE$2)</f>
        <v>27400</v>
      </c>
      <c r="AF78" s="151">
        <f>SUMIFS('PURCHASE-RMC'!$L$6:$L$10000,'PURCHASE-RMC'!$I$6:$I$10000,$B$78:$B$81,'PURCHASE-RMC'!$A$6:$A$10000,$AE$2)</f>
        <v>0</v>
      </c>
      <c r="AG78" s="151">
        <f>SUMIFS('PURCHASE-RMC'!$M$6:$M$10000,'PURCHASE-RMC'!$I$6:$I$10000,$B$78:$B$81,'PURCHASE-RMC'!$A$6:$A$10000,$AE$2)</f>
        <v>685</v>
      </c>
      <c r="AH78" s="152">
        <f>SUMIFS('PURCHASE-RMC'!$N$6:$N$10000,'PURCHASE-RMC'!$I$6:$I$10000,$B$78:$B$81,'PURCHASE-RMC'!$A$6:$A$10000,$AE$2)</f>
        <v>685</v>
      </c>
      <c r="AI78" s="150">
        <f>SUMIFS('PURCHASE-RMC'!$K$6:$K$10000,'PURCHASE-RMC'!$I$6:$I$10000,$B$78:$B$81,'PURCHASE-RMC'!$A$6:$A$10000,$AI$2)</f>
        <v>49761</v>
      </c>
      <c r="AJ78" s="151">
        <f>SUMIFS('PURCHASE-RMC'!$L$6:$L$10000,'PURCHASE-RMC'!$I$6:$I$10000,$B$78:$B$81,'PURCHASE-RMC'!$A$6:$A$10000,$AI$2)</f>
        <v>0</v>
      </c>
      <c r="AK78" s="151">
        <f>SUMIFS('PURCHASE-RMC'!$M$6:$M$10000,'PURCHASE-RMC'!$I$6:$I$10000,$B$78:$B$81,'PURCHASE-RMC'!$A$6:$A$10000,$AI$2)</f>
        <v>1244.0250000000001</v>
      </c>
      <c r="AL78" s="152">
        <f>SUMIFS('PURCHASE-RMC'!$N$6:$N$10000,'PURCHASE-RMC'!$I$6:$I$10000,$B$78:$B$81,'PURCHASE-RMC'!$A$6:$A$10000,$AI$2)</f>
        <v>1244.0250000000001</v>
      </c>
      <c r="AM78" s="150">
        <f>SUMIFS('PURCHASE-RMC'!$K$6:$K$10000,'PURCHASE-RMC'!$I$6:$I$10000,$B$78:$B$81,'PURCHASE-RMC'!$A$6:$A$10000,$AM$2)</f>
        <v>0</v>
      </c>
      <c r="AN78" s="151">
        <f>SUMIFS('PURCHASE-RMC'!$L$6:$L$10000,'PURCHASE-RMC'!$I$6:$I$10000,$B$78:$B$81,'PURCHASE-RMC'!$A$6:$A$10000,$AM$2)</f>
        <v>0</v>
      </c>
      <c r="AO78" s="151">
        <f>SUMIFS('PURCHASE-RMC'!$M$6:$M$10000,'PURCHASE-RMC'!$I$6:$I$10000,$B$78:$B$81,'PURCHASE-RMC'!$A$6:$A$10000,$AM$2)</f>
        <v>0</v>
      </c>
      <c r="AP78" s="152">
        <f>SUMIFS('PURCHASE-RMC'!$N$6:$N$10000,'PURCHASE-RMC'!$I$6:$I$10000,$B$78:$B$81,'PURCHASE-RMC'!$A$6:$A$10000,$AM$2)</f>
        <v>0</v>
      </c>
      <c r="AQ78" s="150">
        <f>SUMIFS('PURCHASE-RMC'!$K$6:$K$10000,'PURCHASE-RMC'!$I$6:$I$10000,$B$78:$B$81,'PURCHASE-RMC'!$A$6:$A$10000,$AQ$2)</f>
        <v>0</v>
      </c>
      <c r="AR78" s="151">
        <f>SUMIFS('PURCHASE-RMC'!$L$6:$L$10000,'PURCHASE-RMC'!$I$6:$I$10000,$B$78:$B$81,'PURCHASE-RMC'!$A$6:$A$10000,$AQ$2)</f>
        <v>0</v>
      </c>
      <c r="AS78" s="151">
        <f>SUMIFS('PURCHASE-RMC'!$M$6:$M$10000,'PURCHASE-RMC'!$I$6:$I$10000,$B$78:$B$81,'PURCHASE-RMC'!$A$6:$A$10000,$AQ$2)</f>
        <v>0</v>
      </c>
      <c r="AT78" s="152">
        <f>SUMIFS('PURCHASE-RMC'!$N$6:$N$10000,'PURCHASE-RMC'!$I$6:$I$10000,$B$78:$B$81,'PURCHASE-RMC'!$A$6:$A$10000,$AQ$2)</f>
        <v>0</v>
      </c>
      <c r="AU78" s="150">
        <f>SUMIFS('PURCHASE-RMC'!$K$6:$K$10000,'PURCHASE-RMC'!$I$6:$I$10000,$B$78:$B$81,'PURCHASE-RMC'!$A$6:$A$10000,$AU$2)</f>
        <v>0</v>
      </c>
      <c r="AV78" s="151">
        <f>SUMIFS('PURCHASE-RMC'!$L$6:$L$10000,'PURCHASE-RMC'!$I$6:$I$10000,$B$78:$B$81,'PURCHASE-RMC'!$A$6:$A$10000,$AU$2)</f>
        <v>0</v>
      </c>
      <c r="AW78" s="151">
        <f>SUMIFS('PURCHASE-RMC'!$M$6:$M$10000,'PURCHASE-RMC'!$I$6:$I$10000,$B$78:$B$81,'PURCHASE-RMC'!$A$6:$A$10000,$AU$2)</f>
        <v>0</v>
      </c>
      <c r="AX78" s="152">
        <f>SUMIFS('PURCHASE-RMC'!$N$6:$N$10000,'PURCHASE-RMC'!$I$6:$I$10000,$B$78:$B$81,'PURCHASE-RMC'!$A$6:$A$10000,$AU$2)</f>
        <v>0</v>
      </c>
      <c r="AY78" s="150">
        <f t="shared" ref="AY78:AY82" si="269">+C78+G78+K78+O78+S78+W78+AA78+AE78+AI78+AM78+AQ78+AU78</f>
        <v>299021</v>
      </c>
      <c r="AZ78" s="151">
        <f t="shared" ref="AZ78:AZ82" si="270">+D78+H78+L78+P78+T78+X78+AB78+AF78+AJ78+AN78+AR78+AV78</f>
        <v>0</v>
      </c>
      <c r="BA78" s="151">
        <f t="shared" ref="BA78:BA82" si="271">+E78+I78+M78+Q78+U78+Y78+AC78+AG78+AK78+AO78+AS78+AW78</f>
        <v>7475.5249999999996</v>
      </c>
      <c r="BB78" s="152">
        <f t="shared" ref="BB78:BB82" si="272">+F78+J78+N78+R78+V78+Z78+AD78+AH78+AL78+AP78+AT78+AX78</f>
        <v>7475.5249999999996</v>
      </c>
    </row>
    <row r="79" spans="1:54" x14ac:dyDescent="0.2">
      <c r="A79" s="155" t="s">
        <v>2549</v>
      </c>
      <c r="B79" s="156">
        <v>12</v>
      </c>
      <c r="C79" s="150">
        <f>SUMIFS('PURCHASE-RMC'!$K$6:$K$10000,'PURCHASE-RMC'!$I$6:$I$10000,$B$78:$B$81,'PURCHASE-RMC'!$A$6:$A$10000,$C$2)</f>
        <v>0</v>
      </c>
      <c r="D79" s="151">
        <f>SUMIFS('PURCHASE-RMC'!$L$6:$L$10000,'PURCHASE-RMC'!$I$6:$I$10000,$B$78:$B$81,'PURCHASE-RMC'!$A$6:$A$10000,$C$2)</f>
        <v>0</v>
      </c>
      <c r="E79" s="151">
        <f>SUMIFS('PURCHASE-RMC'!$M$6:$M$10000,'PURCHASE-RMC'!$I$6:$I$10000,$B$78:$B$81,'PURCHASE-RMC'!$A$6:$A$10000,$C$2)</f>
        <v>0</v>
      </c>
      <c r="F79" s="152">
        <f>SUMIFS('PURCHASE-RMC'!$N$6:$N$10000,'PURCHASE-RMC'!$I$6:$I$10000,$B$78:$B$81,'PURCHASE-RMC'!$A$6:$A$10000,$C$2)</f>
        <v>0</v>
      </c>
      <c r="G79" s="150">
        <f>SUMIFS('PURCHASE-RMC'!$K$6:$K$10000,'PURCHASE-RMC'!$I$6:$I$10000,$B$78:$B$81,'PURCHASE-RMC'!$A$6:$A$10000,$G$2)</f>
        <v>0</v>
      </c>
      <c r="H79" s="151">
        <f>SUMIFS('PURCHASE-RMC'!$L$6:$L$10000,'PURCHASE-RMC'!$I$6:$I$10000,$B$78:$B$81,'PURCHASE-RMC'!$A$6:$A$10000,$G$2)</f>
        <v>0</v>
      </c>
      <c r="I79" s="151">
        <f>SUMIFS('PURCHASE-RMC'!$M$6:$M$10000,'PURCHASE-RMC'!$I$6:$I$10000,$B$78:$B$81,'PURCHASE-RMC'!$A$6:$A$10000,$G$2)</f>
        <v>0</v>
      </c>
      <c r="J79" s="152">
        <f>SUMIFS('PURCHASE-RMC'!$N$6:$N$10000,'PURCHASE-RMC'!$I$6:$I$10000,$B$78:$B$81,'PURCHASE-RMC'!$A$6:$A$10000,$G$2)</f>
        <v>0</v>
      </c>
      <c r="K79" s="150">
        <f>SUMIFS('PURCHASE-RMC'!$K$6:$K$10000,'PURCHASE-RMC'!$I$6:$I$10000,$B$78:$B$81,'PURCHASE-RMC'!$A$6:$A$10000,$K$2)</f>
        <v>0</v>
      </c>
      <c r="L79" s="151">
        <f>SUMIFS('PURCHASE-RMC'!$L$6:$L$10000,'PURCHASE-RMC'!$I$6:$I$10000,$B$78:$B$81,'PURCHASE-RMC'!$A$6:$A$10000,$K$2)</f>
        <v>0</v>
      </c>
      <c r="M79" s="151">
        <f>SUMIFS('PURCHASE-RMC'!$M$6:$M$10000,'PURCHASE-RMC'!$I$6:$I$10000,$B$78:$B$81,'PURCHASE-RMC'!$A$6:$A$10000,$K$2)</f>
        <v>0</v>
      </c>
      <c r="N79" s="152">
        <f>SUMIFS('PURCHASE-RMC'!$N$6:$N$10000,'PURCHASE-RMC'!$I$6:$I$10000,$B$78:$B$81,'PURCHASE-RMC'!$A$6:$A$10000,$K$2)</f>
        <v>0</v>
      </c>
      <c r="O79" s="150">
        <f>SUMIFS('PURCHASE-RMC'!$K$6:$K$10000,'PURCHASE-RMC'!$I$6:$I$10000,$B$78:$B$81,'PURCHASE-RMC'!$A$6:$A$10000,$O$2)</f>
        <v>0</v>
      </c>
      <c r="P79" s="151">
        <f>SUMIFS('PURCHASE-RMC'!$L$6:$L$10000,'PURCHASE-RMC'!$I$6:$I$10000,$B$78:$B$81,'PURCHASE-RMC'!$A$6:$A$10000,$O$2)</f>
        <v>0</v>
      </c>
      <c r="Q79" s="151">
        <f>SUMIFS('PURCHASE-RMC'!$M$6:$M$10000,'PURCHASE-RMC'!$I$6:$I$10000,$B$78:$B$81,'PURCHASE-RMC'!$A$6:$A$10000,$O$2)</f>
        <v>0</v>
      </c>
      <c r="R79" s="152">
        <f>SUMIFS('PURCHASE-RMC'!$N$6:$N$10000,'PURCHASE-RMC'!$I$6:$I$10000,$B$78:$B$81,'PURCHASE-RMC'!$A$6:$A$10000,$O$2)</f>
        <v>0</v>
      </c>
      <c r="S79" s="150">
        <f>SUMIFS('PURCHASE-RMC'!$K$6:$K$10000,'PURCHASE-RMC'!$I$6:$I$10000,$B$78:$B$81,'PURCHASE-RMC'!$A$6:$A$10000,$S$2)</f>
        <v>0</v>
      </c>
      <c r="T79" s="151">
        <f>SUMIFS('PURCHASE-RMC'!$L$6:$L$10000,'PURCHASE-RMC'!$I$6:$I$10000,$B$78:$B$81,'PURCHASE-RMC'!$A$6:$A$10000,$S$2)</f>
        <v>0</v>
      </c>
      <c r="U79" s="151">
        <f>SUMIFS('PURCHASE-RMC'!$M$6:$M$10000,'PURCHASE-RMC'!$I$6:$I$10000,$B$78:$B$81,'PURCHASE-RMC'!$A$6:$A$10000,$S$2)</f>
        <v>0</v>
      </c>
      <c r="V79" s="152">
        <f>SUMIFS('PURCHASE-RMC'!$N$6:$N$10000,'PURCHASE-RMC'!$I$6:$I$10000,$B$78:$B$81,'PURCHASE-RMC'!$A$6:$A$10000,$S$2)</f>
        <v>0</v>
      </c>
      <c r="W79" s="150">
        <f>SUMIFS('PURCHASE-RMC'!$K$6:$K$10000,'PURCHASE-RMC'!$I$6:$I$10000,$B$78:$B$81,'PURCHASE-RMC'!$A$6:$A$10000,$W$2)</f>
        <v>0</v>
      </c>
      <c r="X79" s="151">
        <f>SUMIFS('PURCHASE-RMC'!$L$6:$L$10000,'PURCHASE-RMC'!$I$6:$I$10000,$B$78:$B$81,'PURCHASE-RMC'!$A$6:$A$10000,$W$2)</f>
        <v>0</v>
      </c>
      <c r="Y79" s="151">
        <f>SUMIFS('PURCHASE-RMC'!$M$6:$M$10000,'PURCHASE-RMC'!$I$6:$I$10000,$B$78:$B$81,'PURCHASE-RMC'!$A$6:$A$10000,$W$2)</f>
        <v>0</v>
      </c>
      <c r="Z79" s="152">
        <f>SUMIFS('PURCHASE-RMC'!$N$6:$N$10000,'PURCHASE-RMC'!$I$6:$I$10000,$B$78:$B$81,'PURCHASE-RMC'!$A$6:$A$10000,$W$2)</f>
        <v>0</v>
      </c>
      <c r="AA79" s="150">
        <f>SUMIFS('PURCHASE-RMC'!$K$6:$K$10000,'PURCHASE-RMC'!$I$6:$I$10000,$B$78:$B$81,'PURCHASE-RMC'!$A$6:$A$10000,$AA$2)</f>
        <v>0</v>
      </c>
      <c r="AB79" s="151">
        <f>SUMIFS('PURCHASE-RMC'!$L$6:$L$10000,'PURCHASE-RMC'!$I$6:$I$10000,$B$78:$B$81,'PURCHASE-RMC'!$A$6:$A$10000,$AA$2)</f>
        <v>0</v>
      </c>
      <c r="AC79" s="151">
        <f>SUMIFS('PURCHASE-RMC'!$M$6:$M$10000,'PURCHASE-RMC'!$I$6:$I$10000,$B$78:$B$81,'PURCHASE-RMC'!$A$6:$A$10000,$AA$2)</f>
        <v>0</v>
      </c>
      <c r="AD79" s="152">
        <f>SUMIFS('PURCHASE-RMC'!$N$6:$N$10000,'PURCHASE-RMC'!$I$6:$I$10000,$B$78:$B$81,'PURCHASE-RMC'!$A$6:$A$10000,$AA$2)</f>
        <v>0</v>
      </c>
      <c r="AE79" s="150">
        <f>SUMIFS('PURCHASE-RMC'!$K$6:$K$10000,'PURCHASE-RMC'!$I$6:$I$10000,$B$78:$B$81,'PURCHASE-RMC'!$A$6:$A$10000,$AE$2)</f>
        <v>0</v>
      </c>
      <c r="AF79" s="151">
        <f>SUMIFS('PURCHASE-RMC'!$L$6:$L$10000,'PURCHASE-RMC'!$I$6:$I$10000,$B$78:$B$81,'PURCHASE-RMC'!$A$6:$A$10000,$AE$2)</f>
        <v>0</v>
      </c>
      <c r="AG79" s="151">
        <f>SUMIFS('PURCHASE-RMC'!$M$6:$M$10000,'PURCHASE-RMC'!$I$6:$I$10000,$B$78:$B$81,'PURCHASE-RMC'!$A$6:$A$10000,$AE$2)</f>
        <v>0</v>
      </c>
      <c r="AH79" s="152">
        <f>SUMIFS('PURCHASE-RMC'!$N$6:$N$10000,'PURCHASE-RMC'!$I$6:$I$10000,$B$78:$B$81,'PURCHASE-RMC'!$A$6:$A$10000,$AE$2)</f>
        <v>0</v>
      </c>
      <c r="AI79" s="150">
        <f>SUMIFS('PURCHASE-RMC'!$K$6:$K$10000,'PURCHASE-RMC'!$I$6:$I$10000,$B$78:$B$81,'PURCHASE-RMC'!$A$6:$A$10000,$AI$2)</f>
        <v>0</v>
      </c>
      <c r="AJ79" s="151">
        <f>SUMIFS('PURCHASE-RMC'!$L$6:$L$10000,'PURCHASE-RMC'!$I$6:$I$10000,$B$78:$B$81,'PURCHASE-RMC'!$A$6:$A$10000,$AI$2)</f>
        <v>0</v>
      </c>
      <c r="AK79" s="151">
        <f>SUMIFS('PURCHASE-RMC'!$M$6:$M$10000,'PURCHASE-RMC'!$I$6:$I$10000,$B$78:$B$81,'PURCHASE-RMC'!$A$6:$A$10000,$AI$2)</f>
        <v>0</v>
      </c>
      <c r="AL79" s="152">
        <f>SUMIFS('PURCHASE-RMC'!$N$6:$N$10000,'PURCHASE-RMC'!$I$6:$I$10000,$B$78:$B$81,'PURCHASE-RMC'!$A$6:$A$10000,$AI$2)</f>
        <v>0</v>
      </c>
      <c r="AM79" s="150">
        <f>SUMIFS('PURCHASE-RMC'!$K$6:$K$10000,'PURCHASE-RMC'!$I$6:$I$10000,$B$78:$B$81,'PURCHASE-RMC'!$A$6:$A$10000,$AM$2)</f>
        <v>0</v>
      </c>
      <c r="AN79" s="151">
        <f>SUMIFS('PURCHASE-RMC'!$L$6:$L$10000,'PURCHASE-RMC'!$I$6:$I$10000,$B$78:$B$81,'PURCHASE-RMC'!$A$6:$A$10000,$AM$2)</f>
        <v>0</v>
      </c>
      <c r="AO79" s="151">
        <f>SUMIFS('PURCHASE-RMC'!$M$6:$M$10000,'PURCHASE-RMC'!$I$6:$I$10000,$B$78:$B$81,'PURCHASE-RMC'!$A$6:$A$10000,$AM$2)</f>
        <v>0</v>
      </c>
      <c r="AP79" s="152">
        <f>SUMIFS('PURCHASE-RMC'!$N$6:$N$10000,'PURCHASE-RMC'!$I$6:$I$10000,$B$78:$B$81,'PURCHASE-RMC'!$A$6:$A$10000,$AM$2)</f>
        <v>0</v>
      </c>
      <c r="AQ79" s="150">
        <f>SUMIFS('PURCHASE-RMC'!$K$6:$K$10000,'PURCHASE-RMC'!$I$6:$I$10000,$B$78:$B$81,'PURCHASE-RMC'!$A$6:$A$10000,$AQ$2)</f>
        <v>0</v>
      </c>
      <c r="AR79" s="151">
        <f>SUMIFS('PURCHASE-RMC'!$L$6:$L$10000,'PURCHASE-RMC'!$I$6:$I$10000,$B$78:$B$81,'PURCHASE-RMC'!$A$6:$A$10000,$AQ$2)</f>
        <v>0</v>
      </c>
      <c r="AS79" s="151">
        <f>SUMIFS('PURCHASE-RMC'!$M$6:$M$10000,'PURCHASE-RMC'!$I$6:$I$10000,$B$78:$B$81,'PURCHASE-RMC'!$A$6:$A$10000,$AQ$2)</f>
        <v>0</v>
      </c>
      <c r="AT79" s="152">
        <f>SUMIFS('PURCHASE-RMC'!$N$6:$N$10000,'PURCHASE-RMC'!$I$6:$I$10000,$B$78:$B$81,'PURCHASE-RMC'!$A$6:$A$10000,$AQ$2)</f>
        <v>0</v>
      </c>
      <c r="AU79" s="150">
        <f>SUMIFS('PURCHASE-RMC'!$K$6:$K$10000,'PURCHASE-RMC'!$I$6:$I$10000,$B$78:$B$81,'PURCHASE-RMC'!$A$6:$A$10000,$AU$2)</f>
        <v>0</v>
      </c>
      <c r="AV79" s="151">
        <f>SUMIFS('PURCHASE-RMC'!$L$6:$L$10000,'PURCHASE-RMC'!$I$6:$I$10000,$B$78:$B$81,'PURCHASE-RMC'!$A$6:$A$10000,$AU$2)</f>
        <v>0</v>
      </c>
      <c r="AW79" s="151">
        <f>SUMIFS('PURCHASE-RMC'!$M$6:$M$10000,'PURCHASE-RMC'!$I$6:$I$10000,$B$78:$B$81,'PURCHASE-RMC'!$A$6:$A$10000,$AU$2)</f>
        <v>0</v>
      </c>
      <c r="AX79" s="152">
        <f>SUMIFS('PURCHASE-RMC'!$N$6:$N$10000,'PURCHASE-RMC'!$I$6:$I$10000,$B$78:$B$81,'PURCHASE-RMC'!$A$6:$A$10000,$AU$2)</f>
        <v>0</v>
      </c>
      <c r="AY79" s="150">
        <f t="shared" si="269"/>
        <v>0</v>
      </c>
      <c r="AZ79" s="151">
        <f t="shared" si="270"/>
        <v>0</v>
      </c>
      <c r="BA79" s="151">
        <f t="shared" si="271"/>
        <v>0</v>
      </c>
      <c r="BB79" s="152">
        <f t="shared" si="272"/>
        <v>0</v>
      </c>
    </row>
    <row r="80" spans="1:54" x14ac:dyDescent="0.2">
      <c r="A80" s="155" t="s">
        <v>2550</v>
      </c>
      <c r="B80" s="156">
        <v>18</v>
      </c>
      <c r="C80" s="150">
        <f>SUMIFS('PURCHASE-RMC'!$K$6:$K$10000,'PURCHASE-RMC'!$I$6:$I$10000,$B$78:$B$81,'PURCHASE-RMC'!$A$6:$A$10000,$C$2)</f>
        <v>0</v>
      </c>
      <c r="D80" s="151">
        <f>SUMIFS('PURCHASE-RMC'!$L$6:$L$10000,'PURCHASE-RMC'!$I$6:$I$10000,$B$78:$B$81,'PURCHASE-RMC'!$A$6:$A$10000,$C$2)</f>
        <v>0</v>
      </c>
      <c r="E80" s="151">
        <f>SUMIFS('PURCHASE-RMC'!$M$6:$M$10000,'PURCHASE-RMC'!$I$6:$I$10000,$B$78:$B$81,'PURCHASE-RMC'!$A$6:$A$10000,$C$2)</f>
        <v>0</v>
      </c>
      <c r="F80" s="152">
        <f>SUMIFS('PURCHASE-RMC'!$N$6:$N$10000,'PURCHASE-RMC'!$I$6:$I$10000,$B$78:$B$81,'PURCHASE-RMC'!$A$6:$A$10000,$C$2)</f>
        <v>0</v>
      </c>
      <c r="G80" s="150">
        <f>SUMIFS('PURCHASE-RMC'!$K$6:$K$10000,'PURCHASE-RMC'!$I$6:$I$10000,$B$78:$B$81,'PURCHASE-RMC'!$A$6:$A$10000,$G$2)</f>
        <v>0</v>
      </c>
      <c r="H80" s="151">
        <f>SUMIFS('PURCHASE-RMC'!$L$6:$L$10000,'PURCHASE-RMC'!$I$6:$I$10000,$B$78:$B$81,'PURCHASE-RMC'!$A$6:$A$10000,$G$2)</f>
        <v>0</v>
      </c>
      <c r="I80" s="151">
        <f>SUMIFS('PURCHASE-RMC'!$M$6:$M$10000,'PURCHASE-RMC'!$I$6:$I$10000,$B$78:$B$81,'PURCHASE-RMC'!$A$6:$A$10000,$G$2)</f>
        <v>0</v>
      </c>
      <c r="J80" s="152">
        <f>SUMIFS('PURCHASE-RMC'!$N$6:$N$10000,'PURCHASE-RMC'!$I$6:$I$10000,$B$78:$B$81,'PURCHASE-RMC'!$A$6:$A$10000,$G$2)</f>
        <v>0</v>
      </c>
      <c r="K80" s="150">
        <f>SUMIFS('PURCHASE-RMC'!$K$6:$K$10000,'PURCHASE-RMC'!$I$6:$I$10000,$B$78:$B$81,'PURCHASE-RMC'!$A$6:$A$10000,$K$2)</f>
        <v>0</v>
      </c>
      <c r="L80" s="151">
        <f>SUMIFS('PURCHASE-RMC'!$L$6:$L$10000,'PURCHASE-RMC'!$I$6:$I$10000,$B$78:$B$81,'PURCHASE-RMC'!$A$6:$A$10000,$K$2)</f>
        <v>0</v>
      </c>
      <c r="M80" s="151">
        <f>SUMIFS('PURCHASE-RMC'!$M$6:$M$10000,'PURCHASE-RMC'!$I$6:$I$10000,$B$78:$B$81,'PURCHASE-RMC'!$A$6:$A$10000,$K$2)</f>
        <v>0</v>
      </c>
      <c r="N80" s="152">
        <f>SUMIFS('PURCHASE-RMC'!$N$6:$N$10000,'PURCHASE-RMC'!$I$6:$I$10000,$B$78:$B$81,'PURCHASE-RMC'!$A$6:$A$10000,$K$2)</f>
        <v>0</v>
      </c>
      <c r="O80" s="150">
        <f>SUMIFS('PURCHASE-RMC'!$K$6:$K$10000,'PURCHASE-RMC'!$I$6:$I$10000,$B$78:$B$81,'PURCHASE-RMC'!$A$6:$A$10000,$O$2)</f>
        <v>0</v>
      </c>
      <c r="P80" s="151">
        <f>SUMIFS('PURCHASE-RMC'!$L$6:$L$10000,'PURCHASE-RMC'!$I$6:$I$10000,$B$78:$B$81,'PURCHASE-RMC'!$A$6:$A$10000,$O$2)</f>
        <v>0</v>
      </c>
      <c r="Q80" s="151">
        <f>SUMIFS('PURCHASE-RMC'!$M$6:$M$10000,'PURCHASE-RMC'!$I$6:$I$10000,$B$78:$B$81,'PURCHASE-RMC'!$A$6:$A$10000,$O$2)</f>
        <v>0</v>
      </c>
      <c r="R80" s="152">
        <f>SUMIFS('PURCHASE-RMC'!$N$6:$N$10000,'PURCHASE-RMC'!$I$6:$I$10000,$B$78:$B$81,'PURCHASE-RMC'!$A$6:$A$10000,$O$2)</f>
        <v>0</v>
      </c>
      <c r="S80" s="150">
        <f>SUMIFS('PURCHASE-RMC'!$K$6:$K$10000,'PURCHASE-RMC'!$I$6:$I$10000,$B$78:$B$81,'PURCHASE-RMC'!$A$6:$A$10000,$S$2)</f>
        <v>0</v>
      </c>
      <c r="T80" s="151">
        <f>SUMIFS('PURCHASE-RMC'!$L$6:$L$10000,'PURCHASE-RMC'!$I$6:$I$10000,$B$78:$B$81,'PURCHASE-RMC'!$A$6:$A$10000,$S$2)</f>
        <v>0</v>
      </c>
      <c r="U80" s="151">
        <f>SUMIFS('PURCHASE-RMC'!$M$6:$M$10000,'PURCHASE-RMC'!$I$6:$I$10000,$B$78:$B$81,'PURCHASE-RMC'!$A$6:$A$10000,$S$2)</f>
        <v>0</v>
      </c>
      <c r="V80" s="152">
        <f>SUMIFS('PURCHASE-RMC'!$N$6:$N$10000,'PURCHASE-RMC'!$I$6:$I$10000,$B$78:$B$81,'PURCHASE-RMC'!$A$6:$A$10000,$S$2)</f>
        <v>0</v>
      </c>
      <c r="W80" s="150">
        <f>SUMIFS('PURCHASE-RMC'!$K$6:$K$10000,'PURCHASE-RMC'!$I$6:$I$10000,$B$78:$B$81,'PURCHASE-RMC'!$A$6:$A$10000,$W$2)</f>
        <v>0</v>
      </c>
      <c r="X80" s="151">
        <f>SUMIFS('PURCHASE-RMC'!$L$6:$L$10000,'PURCHASE-RMC'!$I$6:$I$10000,$B$78:$B$81,'PURCHASE-RMC'!$A$6:$A$10000,$W$2)</f>
        <v>0</v>
      </c>
      <c r="Y80" s="151">
        <f>SUMIFS('PURCHASE-RMC'!$M$6:$M$10000,'PURCHASE-RMC'!$I$6:$I$10000,$B$78:$B$81,'PURCHASE-RMC'!$A$6:$A$10000,$W$2)</f>
        <v>0</v>
      </c>
      <c r="Z80" s="152">
        <f>SUMIFS('PURCHASE-RMC'!$N$6:$N$10000,'PURCHASE-RMC'!$I$6:$I$10000,$B$78:$B$81,'PURCHASE-RMC'!$A$6:$A$10000,$W$2)</f>
        <v>0</v>
      </c>
      <c r="AA80" s="150">
        <f>SUMIFS('PURCHASE-RMC'!$K$6:$K$10000,'PURCHASE-RMC'!$I$6:$I$10000,$B$78:$B$81,'PURCHASE-RMC'!$A$6:$A$10000,$AA$2)</f>
        <v>0</v>
      </c>
      <c r="AB80" s="151">
        <f>SUMIFS('PURCHASE-RMC'!$L$6:$L$10000,'PURCHASE-RMC'!$I$6:$I$10000,$B$78:$B$81,'PURCHASE-RMC'!$A$6:$A$10000,$AA$2)</f>
        <v>0</v>
      </c>
      <c r="AC80" s="151">
        <f>SUMIFS('PURCHASE-RMC'!$M$6:$M$10000,'PURCHASE-RMC'!$I$6:$I$10000,$B$78:$B$81,'PURCHASE-RMC'!$A$6:$A$10000,$AA$2)</f>
        <v>0</v>
      </c>
      <c r="AD80" s="152">
        <f>SUMIFS('PURCHASE-RMC'!$N$6:$N$10000,'PURCHASE-RMC'!$I$6:$I$10000,$B$78:$B$81,'PURCHASE-RMC'!$A$6:$A$10000,$AA$2)</f>
        <v>0</v>
      </c>
      <c r="AE80" s="150">
        <f>SUMIFS('PURCHASE-RMC'!$K$6:$K$10000,'PURCHASE-RMC'!$I$6:$I$10000,$B$78:$B$81,'PURCHASE-RMC'!$A$6:$A$10000,$AE$2)</f>
        <v>0</v>
      </c>
      <c r="AF80" s="151">
        <f>SUMIFS('PURCHASE-RMC'!$L$6:$L$10000,'PURCHASE-RMC'!$I$6:$I$10000,$B$78:$B$81,'PURCHASE-RMC'!$A$6:$A$10000,$AE$2)</f>
        <v>0</v>
      </c>
      <c r="AG80" s="151">
        <f>SUMIFS('PURCHASE-RMC'!$M$6:$M$10000,'PURCHASE-RMC'!$I$6:$I$10000,$B$78:$B$81,'PURCHASE-RMC'!$A$6:$A$10000,$AE$2)</f>
        <v>0</v>
      </c>
      <c r="AH80" s="152">
        <f>SUMIFS('PURCHASE-RMC'!$N$6:$N$10000,'PURCHASE-RMC'!$I$6:$I$10000,$B$78:$B$81,'PURCHASE-RMC'!$A$6:$A$10000,$AE$2)</f>
        <v>0</v>
      </c>
      <c r="AI80" s="150">
        <f>SUMIFS('PURCHASE-RMC'!$K$6:$K$10000,'PURCHASE-RMC'!$I$6:$I$10000,$B$78:$B$81,'PURCHASE-RMC'!$A$6:$A$10000,$AI$2)</f>
        <v>0</v>
      </c>
      <c r="AJ80" s="151">
        <f>SUMIFS('PURCHASE-RMC'!$L$6:$L$10000,'PURCHASE-RMC'!$I$6:$I$10000,$B$78:$B$81,'PURCHASE-RMC'!$A$6:$A$10000,$AI$2)</f>
        <v>0</v>
      </c>
      <c r="AK80" s="151">
        <f>SUMIFS('PURCHASE-RMC'!$M$6:$M$10000,'PURCHASE-RMC'!$I$6:$I$10000,$B$78:$B$81,'PURCHASE-RMC'!$A$6:$A$10000,$AI$2)</f>
        <v>0</v>
      </c>
      <c r="AL80" s="152">
        <f>SUMIFS('PURCHASE-RMC'!$N$6:$N$10000,'PURCHASE-RMC'!$I$6:$I$10000,$B$78:$B$81,'PURCHASE-RMC'!$A$6:$A$10000,$AI$2)</f>
        <v>0</v>
      </c>
      <c r="AM80" s="150">
        <f>SUMIFS('PURCHASE-RMC'!$K$6:$K$10000,'PURCHASE-RMC'!$I$6:$I$10000,$B$78:$B$81,'PURCHASE-RMC'!$A$6:$A$10000,$AM$2)</f>
        <v>0</v>
      </c>
      <c r="AN80" s="151">
        <f>SUMIFS('PURCHASE-RMC'!$L$6:$L$10000,'PURCHASE-RMC'!$I$6:$I$10000,$B$78:$B$81,'PURCHASE-RMC'!$A$6:$A$10000,$AM$2)</f>
        <v>0</v>
      </c>
      <c r="AO80" s="151">
        <f>SUMIFS('PURCHASE-RMC'!$M$6:$M$10000,'PURCHASE-RMC'!$I$6:$I$10000,$B$78:$B$81,'PURCHASE-RMC'!$A$6:$A$10000,$AM$2)</f>
        <v>0</v>
      </c>
      <c r="AP80" s="152">
        <f>SUMIFS('PURCHASE-RMC'!$N$6:$N$10000,'PURCHASE-RMC'!$I$6:$I$10000,$B$78:$B$81,'PURCHASE-RMC'!$A$6:$A$10000,$AM$2)</f>
        <v>0</v>
      </c>
      <c r="AQ80" s="150">
        <f>SUMIFS('PURCHASE-RMC'!$K$6:$K$10000,'PURCHASE-RMC'!$I$6:$I$10000,$B$78:$B$81,'PURCHASE-RMC'!$A$6:$A$10000,$AQ$2)</f>
        <v>0</v>
      </c>
      <c r="AR80" s="151">
        <f>SUMIFS('PURCHASE-RMC'!$L$6:$L$10000,'PURCHASE-RMC'!$I$6:$I$10000,$B$78:$B$81,'PURCHASE-RMC'!$A$6:$A$10000,$AQ$2)</f>
        <v>0</v>
      </c>
      <c r="AS80" s="151">
        <f>SUMIFS('PURCHASE-RMC'!$M$6:$M$10000,'PURCHASE-RMC'!$I$6:$I$10000,$B$78:$B$81,'PURCHASE-RMC'!$A$6:$A$10000,$AQ$2)</f>
        <v>0</v>
      </c>
      <c r="AT80" s="152">
        <f>SUMIFS('PURCHASE-RMC'!$N$6:$N$10000,'PURCHASE-RMC'!$I$6:$I$10000,$B$78:$B$81,'PURCHASE-RMC'!$A$6:$A$10000,$AQ$2)</f>
        <v>0</v>
      </c>
      <c r="AU80" s="150">
        <f>SUMIFS('PURCHASE-RMC'!$K$6:$K$10000,'PURCHASE-RMC'!$I$6:$I$10000,$B$78:$B$81,'PURCHASE-RMC'!$A$6:$A$10000,$AU$2)</f>
        <v>0</v>
      </c>
      <c r="AV80" s="151">
        <f>SUMIFS('PURCHASE-RMC'!$L$6:$L$10000,'PURCHASE-RMC'!$I$6:$I$10000,$B$78:$B$81,'PURCHASE-RMC'!$A$6:$A$10000,$AU$2)</f>
        <v>0</v>
      </c>
      <c r="AW80" s="151">
        <f>SUMIFS('PURCHASE-RMC'!$M$6:$M$10000,'PURCHASE-RMC'!$I$6:$I$10000,$B$78:$B$81,'PURCHASE-RMC'!$A$6:$A$10000,$AU$2)</f>
        <v>0</v>
      </c>
      <c r="AX80" s="152">
        <f>SUMIFS('PURCHASE-RMC'!$N$6:$N$10000,'PURCHASE-RMC'!$I$6:$I$10000,$B$78:$B$81,'PURCHASE-RMC'!$A$6:$A$10000,$AU$2)</f>
        <v>0</v>
      </c>
      <c r="AY80" s="150">
        <f t="shared" si="269"/>
        <v>0</v>
      </c>
      <c r="AZ80" s="151">
        <f t="shared" si="270"/>
        <v>0</v>
      </c>
      <c r="BA80" s="151">
        <f t="shared" si="271"/>
        <v>0</v>
      </c>
      <c r="BB80" s="152">
        <f t="shared" si="272"/>
        <v>0</v>
      </c>
    </row>
    <row r="81" spans="1:54" x14ac:dyDescent="0.2">
      <c r="A81" s="155" t="s">
        <v>2551</v>
      </c>
      <c r="B81" s="156">
        <v>28</v>
      </c>
      <c r="C81" s="150">
        <f>SUMIFS('PURCHASE-RMC'!$K$6:$K$10000,'PURCHASE-RMC'!$I$6:$I$10000,$B$78:$B$81,'PURCHASE-RMC'!$A$6:$A$10000,$C$2)</f>
        <v>0</v>
      </c>
      <c r="D81" s="151">
        <f>SUMIFS('PURCHASE-RMC'!$L$6:$L$10000,'PURCHASE-RMC'!$I$6:$I$10000,$B$78:$B$81,'PURCHASE-RMC'!$A$6:$A$10000,$C$2)</f>
        <v>0</v>
      </c>
      <c r="E81" s="151">
        <f>SUMIFS('PURCHASE-RMC'!$M$6:$M$10000,'PURCHASE-RMC'!$I$6:$I$10000,$B$78:$B$81,'PURCHASE-RMC'!$A$6:$A$10000,$C$2)</f>
        <v>0</v>
      </c>
      <c r="F81" s="152">
        <f>SUMIFS('PURCHASE-RMC'!$N$6:$N$10000,'PURCHASE-RMC'!$I$6:$I$10000,$B$78:$B$81,'PURCHASE-RMC'!$A$6:$A$10000,$C$2)</f>
        <v>0</v>
      </c>
      <c r="G81" s="150">
        <f>SUMIFS('PURCHASE-RMC'!$K$6:$K$10000,'PURCHASE-RMC'!$I$6:$I$10000,$B$78:$B$81,'PURCHASE-RMC'!$A$6:$A$10000,$G$2)</f>
        <v>0</v>
      </c>
      <c r="H81" s="151">
        <f>SUMIFS('PURCHASE-RMC'!$L$6:$L$10000,'PURCHASE-RMC'!$I$6:$I$10000,$B$78:$B$81,'PURCHASE-RMC'!$A$6:$A$10000,$G$2)</f>
        <v>0</v>
      </c>
      <c r="I81" s="151">
        <f>SUMIFS('PURCHASE-RMC'!$M$6:$M$10000,'PURCHASE-RMC'!$I$6:$I$10000,$B$78:$B$81,'PURCHASE-RMC'!$A$6:$A$10000,$G$2)</f>
        <v>0</v>
      </c>
      <c r="J81" s="152">
        <f>SUMIFS('PURCHASE-RMC'!$N$6:$N$10000,'PURCHASE-RMC'!$I$6:$I$10000,$B$78:$B$81,'PURCHASE-RMC'!$A$6:$A$10000,$G$2)</f>
        <v>0</v>
      </c>
      <c r="K81" s="150">
        <f>SUMIFS('PURCHASE-RMC'!$K$6:$K$10000,'PURCHASE-RMC'!$I$6:$I$10000,$B$78:$B$81,'PURCHASE-RMC'!$A$6:$A$10000,$K$2)</f>
        <v>0</v>
      </c>
      <c r="L81" s="151">
        <f>SUMIFS('PURCHASE-RMC'!$L$6:$L$10000,'PURCHASE-RMC'!$I$6:$I$10000,$B$78:$B$81,'PURCHASE-RMC'!$A$6:$A$10000,$K$2)</f>
        <v>0</v>
      </c>
      <c r="M81" s="151">
        <f>SUMIFS('PURCHASE-RMC'!$M$6:$M$10000,'PURCHASE-RMC'!$I$6:$I$10000,$B$78:$B$81,'PURCHASE-RMC'!$A$6:$A$10000,$K$2)</f>
        <v>0</v>
      </c>
      <c r="N81" s="152">
        <f>SUMIFS('PURCHASE-RMC'!$N$6:$N$10000,'PURCHASE-RMC'!$I$6:$I$10000,$B$78:$B$81,'PURCHASE-RMC'!$A$6:$A$10000,$K$2)</f>
        <v>0</v>
      </c>
      <c r="O81" s="150">
        <f>SUMIFS('PURCHASE-RMC'!$K$6:$K$10000,'PURCHASE-RMC'!$I$6:$I$10000,$B$78:$B$81,'PURCHASE-RMC'!$A$6:$A$10000,$O$2)</f>
        <v>0</v>
      </c>
      <c r="P81" s="151">
        <f>SUMIFS('PURCHASE-RMC'!$L$6:$L$10000,'PURCHASE-RMC'!$I$6:$I$10000,$B$78:$B$81,'PURCHASE-RMC'!$A$6:$A$10000,$O$2)</f>
        <v>0</v>
      </c>
      <c r="Q81" s="151">
        <f>SUMIFS('PURCHASE-RMC'!$M$6:$M$10000,'PURCHASE-RMC'!$I$6:$I$10000,$B$78:$B$81,'PURCHASE-RMC'!$A$6:$A$10000,$O$2)</f>
        <v>0</v>
      </c>
      <c r="R81" s="152">
        <f>SUMIFS('PURCHASE-RMC'!$N$6:$N$10000,'PURCHASE-RMC'!$I$6:$I$10000,$B$78:$B$81,'PURCHASE-RMC'!$A$6:$A$10000,$O$2)</f>
        <v>0</v>
      </c>
      <c r="S81" s="150">
        <f>SUMIFS('PURCHASE-RMC'!$K$6:$K$10000,'PURCHASE-RMC'!$I$6:$I$10000,$B$78:$B$81,'PURCHASE-RMC'!$A$6:$A$10000,$S$2)</f>
        <v>0</v>
      </c>
      <c r="T81" s="151">
        <f>SUMIFS('PURCHASE-RMC'!$L$6:$L$10000,'PURCHASE-RMC'!$I$6:$I$10000,$B$78:$B$81,'PURCHASE-RMC'!$A$6:$A$10000,$S$2)</f>
        <v>0</v>
      </c>
      <c r="U81" s="151">
        <f>SUMIFS('PURCHASE-RMC'!$M$6:$M$10000,'PURCHASE-RMC'!$I$6:$I$10000,$B$78:$B$81,'PURCHASE-RMC'!$A$6:$A$10000,$S$2)</f>
        <v>0</v>
      </c>
      <c r="V81" s="152">
        <f>SUMIFS('PURCHASE-RMC'!$N$6:$N$10000,'PURCHASE-RMC'!$I$6:$I$10000,$B$78:$B$81,'PURCHASE-RMC'!$A$6:$A$10000,$S$2)</f>
        <v>0</v>
      </c>
      <c r="W81" s="150">
        <f>SUMIFS('PURCHASE-RMC'!$K$6:$K$10000,'PURCHASE-RMC'!$I$6:$I$10000,$B$78:$B$81,'PURCHASE-RMC'!$A$6:$A$10000,$W$2)</f>
        <v>0</v>
      </c>
      <c r="X81" s="151">
        <f>SUMIFS('PURCHASE-RMC'!$L$6:$L$10000,'PURCHASE-RMC'!$I$6:$I$10000,$B$78:$B$81,'PURCHASE-RMC'!$A$6:$A$10000,$W$2)</f>
        <v>0</v>
      </c>
      <c r="Y81" s="151">
        <f>SUMIFS('PURCHASE-RMC'!$M$6:$M$10000,'PURCHASE-RMC'!$I$6:$I$10000,$B$78:$B$81,'PURCHASE-RMC'!$A$6:$A$10000,$W$2)</f>
        <v>0</v>
      </c>
      <c r="Z81" s="152">
        <f>SUMIFS('PURCHASE-RMC'!$N$6:$N$10000,'PURCHASE-RMC'!$I$6:$I$10000,$B$78:$B$81,'PURCHASE-RMC'!$A$6:$A$10000,$W$2)</f>
        <v>0</v>
      </c>
      <c r="AA81" s="150">
        <f>SUMIFS('PURCHASE-RMC'!$K$6:$K$10000,'PURCHASE-RMC'!$I$6:$I$10000,$B$78:$B$81,'PURCHASE-RMC'!$A$6:$A$10000,$AA$2)</f>
        <v>0</v>
      </c>
      <c r="AB81" s="151">
        <f>SUMIFS('PURCHASE-RMC'!$L$6:$L$10000,'PURCHASE-RMC'!$I$6:$I$10000,$B$78:$B$81,'PURCHASE-RMC'!$A$6:$A$10000,$AA$2)</f>
        <v>0</v>
      </c>
      <c r="AC81" s="151">
        <f>SUMIFS('PURCHASE-RMC'!$M$6:$M$10000,'PURCHASE-RMC'!$I$6:$I$10000,$B$78:$B$81,'PURCHASE-RMC'!$A$6:$A$10000,$AA$2)</f>
        <v>0</v>
      </c>
      <c r="AD81" s="152">
        <f>SUMIFS('PURCHASE-RMC'!$N$6:$N$10000,'PURCHASE-RMC'!$I$6:$I$10000,$B$78:$B$81,'PURCHASE-RMC'!$A$6:$A$10000,$AA$2)</f>
        <v>0</v>
      </c>
      <c r="AE81" s="150">
        <f>SUMIFS('PURCHASE-RMC'!$K$6:$K$10000,'PURCHASE-RMC'!$I$6:$I$10000,$B$78:$B$81,'PURCHASE-RMC'!$A$6:$A$10000,$AE$2)</f>
        <v>0</v>
      </c>
      <c r="AF81" s="151">
        <f>SUMIFS('PURCHASE-RMC'!$L$6:$L$10000,'PURCHASE-RMC'!$I$6:$I$10000,$B$78:$B$81,'PURCHASE-RMC'!$A$6:$A$10000,$AE$2)</f>
        <v>0</v>
      </c>
      <c r="AG81" s="151">
        <f>SUMIFS('PURCHASE-RMC'!$M$6:$M$10000,'PURCHASE-RMC'!$I$6:$I$10000,$B$78:$B$81,'PURCHASE-RMC'!$A$6:$A$10000,$AE$2)</f>
        <v>0</v>
      </c>
      <c r="AH81" s="152">
        <f>SUMIFS('PURCHASE-RMC'!$N$6:$N$10000,'PURCHASE-RMC'!$I$6:$I$10000,$B$78:$B$81,'PURCHASE-RMC'!$A$6:$A$10000,$AE$2)</f>
        <v>0</v>
      </c>
      <c r="AI81" s="150">
        <f>SUMIFS('PURCHASE-RMC'!$K$6:$K$10000,'PURCHASE-RMC'!$I$6:$I$10000,$B$78:$B$81,'PURCHASE-RMC'!$A$6:$A$10000,$AI$2)</f>
        <v>0</v>
      </c>
      <c r="AJ81" s="151">
        <f>SUMIFS('PURCHASE-RMC'!$L$6:$L$10000,'PURCHASE-RMC'!$I$6:$I$10000,$B$78:$B$81,'PURCHASE-RMC'!$A$6:$A$10000,$AI$2)</f>
        <v>0</v>
      </c>
      <c r="AK81" s="151">
        <f>SUMIFS('PURCHASE-RMC'!$M$6:$M$10000,'PURCHASE-RMC'!$I$6:$I$10000,$B$78:$B$81,'PURCHASE-RMC'!$A$6:$A$10000,$AI$2)</f>
        <v>0</v>
      </c>
      <c r="AL81" s="152">
        <f>SUMIFS('PURCHASE-RMC'!$N$6:$N$10000,'PURCHASE-RMC'!$I$6:$I$10000,$B$78:$B$81,'PURCHASE-RMC'!$A$6:$A$10000,$AI$2)</f>
        <v>0</v>
      </c>
      <c r="AM81" s="150">
        <f>SUMIFS('PURCHASE-RMC'!$K$6:$K$10000,'PURCHASE-RMC'!$I$6:$I$10000,$B$78:$B$81,'PURCHASE-RMC'!$A$6:$A$10000,$AM$2)</f>
        <v>0</v>
      </c>
      <c r="AN81" s="151">
        <f>SUMIFS('PURCHASE-RMC'!$L$6:$L$10000,'PURCHASE-RMC'!$I$6:$I$10000,$B$78:$B$81,'PURCHASE-RMC'!$A$6:$A$10000,$AM$2)</f>
        <v>0</v>
      </c>
      <c r="AO81" s="151">
        <f>SUMIFS('PURCHASE-RMC'!$M$6:$M$10000,'PURCHASE-RMC'!$I$6:$I$10000,$B$78:$B$81,'PURCHASE-RMC'!$A$6:$A$10000,$AM$2)</f>
        <v>0</v>
      </c>
      <c r="AP81" s="152">
        <f>SUMIFS('PURCHASE-RMC'!$N$6:$N$10000,'PURCHASE-RMC'!$I$6:$I$10000,$B$78:$B$81,'PURCHASE-RMC'!$A$6:$A$10000,$AM$2)</f>
        <v>0</v>
      </c>
      <c r="AQ81" s="150">
        <f>SUMIFS('PURCHASE-RMC'!$K$6:$K$10000,'PURCHASE-RMC'!$I$6:$I$10000,$B$78:$B$81,'PURCHASE-RMC'!$A$6:$A$10000,$AQ$2)</f>
        <v>0</v>
      </c>
      <c r="AR81" s="151">
        <f>SUMIFS('PURCHASE-RMC'!$L$6:$L$10000,'PURCHASE-RMC'!$I$6:$I$10000,$B$78:$B$81,'PURCHASE-RMC'!$A$6:$A$10000,$AQ$2)</f>
        <v>0</v>
      </c>
      <c r="AS81" s="151">
        <f>SUMIFS('PURCHASE-RMC'!$M$6:$M$10000,'PURCHASE-RMC'!$I$6:$I$10000,$B$78:$B$81,'PURCHASE-RMC'!$A$6:$A$10000,$AQ$2)</f>
        <v>0</v>
      </c>
      <c r="AT81" s="152">
        <f>SUMIFS('PURCHASE-RMC'!$N$6:$N$10000,'PURCHASE-RMC'!$I$6:$I$10000,$B$78:$B$81,'PURCHASE-RMC'!$A$6:$A$10000,$AQ$2)</f>
        <v>0</v>
      </c>
      <c r="AU81" s="150">
        <f>SUMIFS('PURCHASE-RMC'!$K$6:$K$10000,'PURCHASE-RMC'!$I$6:$I$10000,$B$78:$B$81,'PURCHASE-RMC'!$A$6:$A$10000,$AU$2)</f>
        <v>0</v>
      </c>
      <c r="AV81" s="151">
        <f>SUMIFS('PURCHASE-RMC'!$L$6:$L$10000,'PURCHASE-RMC'!$I$6:$I$10000,$B$78:$B$81,'PURCHASE-RMC'!$A$6:$A$10000,$AU$2)</f>
        <v>0</v>
      </c>
      <c r="AW81" s="151">
        <f>SUMIFS('PURCHASE-RMC'!$M$6:$M$10000,'PURCHASE-RMC'!$I$6:$I$10000,$B$78:$B$81,'PURCHASE-RMC'!$A$6:$A$10000,$AU$2)</f>
        <v>0</v>
      </c>
      <c r="AX81" s="152">
        <f>SUMIFS('PURCHASE-RMC'!$N$6:$N$10000,'PURCHASE-RMC'!$I$6:$I$10000,$B$78:$B$81,'PURCHASE-RMC'!$A$6:$A$10000,$AU$2)</f>
        <v>0</v>
      </c>
      <c r="AY81" s="150">
        <f t="shared" si="269"/>
        <v>0</v>
      </c>
      <c r="AZ81" s="151">
        <f t="shared" si="270"/>
        <v>0</v>
      </c>
      <c r="BA81" s="151">
        <f t="shared" si="271"/>
        <v>0</v>
      </c>
      <c r="BB81" s="152">
        <f t="shared" si="272"/>
        <v>0</v>
      </c>
    </row>
    <row r="82" spans="1:54" x14ac:dyDescent="0.2">
      <c r="A82" s="167" t="s">
        <v>1053</v>
      </c>
      <c r="B82" s="158"/>
      <c r="C82" s="159">
        <f>SUM(C78:C81)</f>
        <v>18500</v>
      </c>
      <c r="D82" s="160">
        <f t="shared" ref="D82:F82" si="273">SUM(D78:D81)</f>
        <v>0</v>
      </c>
      <c r="E82" s="160">
        <f t="shared" si="273"/>
        <v>462.5</v>
      </c>
      <c r="F82" s="161">
        <f t="shared" si="273"/>
        <v>462.5</v>
      </c>
      <c r="G82" s="159">
        <f>SUM(G78:G81)</f>
        <v>45560</v>
      </c>
      <c r="H82" s="160">
        <f t="shared" ref="H82:J82" si="274">SUM(H78:H81)</f>
        <v>0</v>
      </c>
      <c r="I82" s="160">
        <f t="shared" si="274"/>
        <v>1139</v>
      </c>
      <c r="J82" s="161">
        <f t="shared" si="274"/>
        <v>1139</v>
      </c>
      <c r="K82" s="159">
        <f>SUM(K78:K81)</f>
        <v>24600</v>
      </c>
      <c r="L82" s="160">
        <f t="shared" ref="L82:N82" si="275">SUM(L78:L81)</f>
        <v>0</v>
      </c>
      <c r="M82" s="160">
        <f t="shared" si="275"/>
        <v>615</v>
      </c>
      <c r="N82" s="161">
        <f t="shared" si="275"/>
        <v>615</v>
      </c>
      <c r="O82" s="159">
        <f>SUM(O78:O81)</f>
        <v>31250</v>
      </c>
      <c r="P82" s="160">
        <f t="shared" ref="P82:R82" si="276">SUM(P78:P81)</f>
        <v>0</v>
      </c>
      <c r="Q82" s="160">
        <f t="shared" si="276"/>
        <v>781.25</v>
      </c>
      <c r="R82" s="161">
        <f t="shared" si="276"/>
        <v>781.25</v>
      </c>
      <c r="S82" s="159">
        <f>SUM(S78:S81)</f>
        <v>35900</v>
      </c>
      <c r="T82" s="160">
        <f t="shared" ref="T82:V82" si="277">SUM(T78:T81)</f>
        <v>0</v>
      </c>
      <c r="U82" s="160">
        <f t="shared" si="277"/>
        <v>897.5</v>
      </c>
      <c r="V82" s="161">
        <f t="shared" si="277"/>
        <v>897.5</v>
      </c>
      <c r="W82" s="159">
        <f>SUM(W78:W81)</f>
        <v>36950</v>
      </c>
      <c r="X82" s="160">
        <f t="shared" ref="X82:Z82" si="278">SUM(X78:X81)</f>
        <v>0</v>
      </c>
      <c r="Y82" s="160">
        <f t="shared" si="278"/>
        <v>923.75</v>
      </c>
      <c r="Z82" s="161">
        <f t="shared" si="278"/>
        <v>923.75</v>
      </c>
      <c r="AA82" s="159">
        <f>SUM(AA78:AA81)</f>
        <v>29100</v>
      </c>
      <c r="AB82" s="160">
        <f t="shared" ref="AB82:AD82" si="279">SUM(AB78:AB81)</f>
        <v>0</v>
      </c>
      <c r="AC82" s="160">
        <f t="shared" si="279"/>
        <v>727.5</v>
      </c>
      <c r="AD82" s="161">
        <f t="shared" si="279"/>
        <v>727.5</v>
      </c>
      <c r="AE82" s="159">
        <f>SUM(AE78:AE81)</f>
        <v>27400</v>
      </c>
      <c r="AF82" s="160">
        <f t="shared" ref="AF82:AH82" si="280">SUM(AF78:AF81)</f>
        <v>0</v>
      </c>
      <c r="AG82" s="160">
        <f t="shared" si="280"/>
        <v>685</v>
      </c>
      <c r="AH82" s="161">
        <f t="shared" si="280"/>
        <v>685</v>
      </c>
      <c r="AI82" s="159">
        <f>SUM(AI78:AI81)</f>
        <v>49761</v>
      </c>
      <c r="AJ82" s="160">
        <f t="shared" ref="AJ82:AL82" si="281">SUM(AJ78:AJ81)</f>
        <v>0</v>
      </c>
      <c r="AK82" s="160">
        <f t="shared" si="281"/>
        <v>1244.0250000000001</v>
      </c>
      <c r="AL82" s="161">
        <f t="shared" si="281"/>
        <v>1244.0250000000001</v>
      </c>
      <c r="AM82" s="159">
        <f>SUM(AM78:AM81)</f>
        <v>0</v>
      </c>
      <c r="AN82" s="160">
        <f t="shared" ref="AN82:AP82" si="282">SUM(AN78:AN81)</f>
        <v>0</v>
      </c>
      <c r="AO82" s="160">
        <f t="shared" si="282"/>
        <v>0</v>
      </c>
      <c r="AP82" s="161">
        <f t="shared" si="282"/>
        <v>0</v>
      </c>
      <c r="AQ82" s="159">
        <f>SUM(AQ78:AQ81)</f>
        <v>0</v>
      </c>
      <c r="AR82" s="160">
        <f t="shared" ref="AR82:AT82" si="283">SUM(AR78:AR81)</f>
        <v>0</v>
      </c>
      <c r="AS82" s="160">
        <f t="shared" si="283"/>
        <v>0</v>
      </c>
      <c r="AT82" s="161">
        <f t="shared" si="283"/>
        <v>0</v>
      </c>
      <c r="AU82" s="159">
        <f>SUM(AU78:AU81)</f>
        <v>0</v>
      </c>
      <c r="AV82" s="160">
        <f t="shared" ref="AV82:AX82" si="284">SUM(AV78:AV81)</f>
        <v>0</v>
      </c>
      <c r="AW82" s="160">
        <f t="shared" si="284"/>
        <v>0</v>
      </c>
      <c r="AX82" s="161">
        <f t="shared" si="284"/>
        <v>0</v>
      </c>
      <c r="AY82" s="159">
        <f t="shared" si="269"/>
        <v>299021</v>
      </c>
      <c r="AZ82" s="160">
        <f t="shared" si="270"/>
        <v>0</v>
      </c>
      <c r="BA82" s="160">
        <f t="shared" si="271"/>
        <v>7475.5249999999996</v>
      </c>
      <c r="BB82" s="161">
        <f t="shared" si="272"/>
        <v>7475.5249999999996</v>
      </c>
    </row>
    <row r="83" spans="1:54" x14ac:dyDescent="0.2">
      <c r="A83" s="163" t="s">
        <v>1052</v>
      </c>
      <c r="B83" s="169"/>
      <c r="C83" s="164"/>
      <c r="D83" s="165"/>
      <c r="E83" s="165"/>
      <c r="F83" s="166"/>
      <c r="G83" s="164"/>
      <c r="H83" s="165"/>
      <c r="I83" s="165"/>
      <c r="J83" s="166"/>
      <c r="K83" s="164"/>
      <c r="L83" s="165"/>
      <c r="M83" s="165"/>
      <c r="N83" s="166"/>
      <c r="O83" s="164"/>
      <c r="P83" s="165"/>
      <c r="Q83" s="165"/>
      <c r="R83" s="166"/>
      <c r="S83" s="164"/>
      <c r="T83" s="165"/>
      <c r="U83" s="165"/>
      <c r="V83" s="166"/>
      <c r="W83" s="164"/>
      <c r="X83" s="165"/>
      <c r="Y83" s="165"/>
      <c r="Z83" s="166"/>
      <c r="AA83" s="164"/>
      <c r="AB83" s="165"/>
      <c r="AC83" s="165"/>
      <c r="AD83" s="166"/>
      <c r="AE83" s="164"/>
      <c r="AF83" s="165"/>
      <c r="AG83" s="165"/>
      <c r="AH83" s="166"/>
      <c r="AI83" s="164"/>
      <c r="AJ83" s="165"/>
      <c r="AK83" s="165"/>
      <c r="AL83" s="166"/>
      <c r="AM83" s="164"/>
      <c r="AN83" s="165"/>
      <c r="AO83" s="165"/>
      <c r="AP83" s="166"/>
      <c r="AQ83" s="164"/>
      <c r="AR83" s="165"/>
      <c r="AS83" s="165"/>
      <c r="AT83" s="166"/>
      <c r="AU83" s="164"/>
      <c r="AV83" s="165"/>
      <c r="AW83" s="165"/>
      <c r="AX83" s="166"/>
      <c r="AY83" s="164"/>
      <c r="AZ83" s="165"/>
      <c r="BA83" s="165"/>
      <c r="BB83" s="166"/>
    </row>
    <row r="84" spans="1:54" x14ac:dyDescent="0.2">
      <c r="A84" s="155" t="s">
        <v>2548</v>
      </c>
      <c r="B84" s="156">
        <v>5</v>
      </c>
      <c r="C84" s="150">
        <f>SUMIFS('RULE 37,39,42&amp;43'!$N$6:$N$10000,'RULE 37,39,42&amp;43'!$J$6:$J$10000,$B$84:$B$87,'RULE 37,39,42&amp;43'!$A$6:$A$10000,$C$2)</f>
        <v>0</v>
      </c>
      <c r="D84" s="151">
        <f>SUMIFS('RULE 37,39,42&amp;43'!$O$6:$O$10000,'RULE 37,39,42&amp;43'!$J$6:$J$10000,$B$84:$B$87,'RULE 37,39,42&amp;43'!$A$6:$A$10000,$C$2)</f>
        <v>0</v>
      </c>
      <c r="E84" s="151">
        <f>SUMIFS('RULE 37,39,42&amp;43'!$P$6:$P$10000,'RULE 37,39,42&amp;43'!$J$6:$J$10000,$B$84:$B$87,'RULE 37,39,42&amp;43'!$A$6:$A$10000,$C$2)</f>
        <v>0</v>
      </c>
      <c r="F84" s="152">
        <f>SUMIFS('RULE 37,39,42&amp;43'!$Q$6:$Q$10000,'RULE 37,39,42&amp;43'!$J$6:$J$10000,$B$84:$B$87,'RULE 37,39,42&amp;43'!$A$6:$A$10000,$C$2)</f>
        <v>0</v>
      </c>
      <c r="G84" s="150">
        <f>SUMIFS('RULE 37,39,42&amp;43'!$N$6:$N$10000,'RULE 37,39,42&amp;43'!$J$6:$J$10000,$B$84:$B$87,'RULE 37,39,42&amp;43'!$A$6:$A$10000,$G$2)</f>
        <v>0</v>
      </c>
      <c r="H84" s="151">
        <f>SUMIFS('RULE 37,39,42&amp;43'!$O$6:$O$10000,'RULE 37,39,42&amp;43'!$J$6:$J$10000,$B$84:$B$87,'RULE 37,39,42&amp;43'!$A$6:$A$10000,$G$2)</f>
        <v>0</v>
      </c>
      <c r="I84" s="151">
        <f>SUMIFS('RULE 37,39,42&amp;43'!$P$6:$P$10000,'RULE 37,39,42&amp;43'!$J$6:$J$10000,$B$84:$B$87,'RULE 37,39,42&amp;43'!$A$6:$A$10000,$G$2)</f>
        <v>0</v>
      </c>
      <c r="J84" s="152">
        <f>SUMIFS('RULE 37,39,42&amp;43'!$Q$6:$Q$10000,'RULE 37,39,42&amp;43'!$J$6:$J$10000,$B$84:$B$87,'RULE 37,39,42&amp;43'!$A$6:$A$10000,$G$2)</f>
        <v>0</v>
      </c>
      <c r="K84" s="150">
        <f>SUMIFS('RULE 37,39,42&amp;43'!$N$6:$N$10000,'RULE 37,39,42&amp;43'!$J$6:$J$10000,$B$84:$B$87,'RULE 37,39,42&amp;43'!$A$6:$A$10000,$K$2)</f>
        <v>0</v>
      </c>
      <c r="L84" s="151">
        <f>SUMIFS('RULE 37,39,42&amp;43'!$O$6:$O$10000,'RULE 37,39,42&amp;43'!$J$6:$J$10000,$B$84:$B$87,'RULE 37,39,42&amp;43'!$A$6:$A$10000,$K$2)</f>
        <v>0</v>
      </c>
      <c r="M84" s="151">
        <f>SUMIFS('RULE 37,39,42&amp;43'!$P$6:$P$10000,'RULE 37,39,42&amp;43'!$J$6:$J$10000,$B$84:$B$87,'RULE 37,39,42&amp;43'!$A$6:$A$10000,$K$2)</f>
        <v>0</v>
      </c>
      <c r="N84" s="152">
        <f>SUMIFS('RULE 37,39,42&amp;43'!$Q$6:$Q$10000,'RULE 37,39,42&amp;43'!$J$6:$J$10000,$B$84:$B$87,'RULE 37,39,42&amp;43'!$A$6:$A$10000,$K$2)</f>
        <v>0</v>
      </c>
      <c r="O84" s="150">
        <f>SUMIFS('RULE 37,39,42&amp;43'!$N$6:$N$10000,'RULE 37,39,42&amp;43'!$J$6:$J$10000,$B$84:$B$87,'RULE 37,39,42&amp;43'!$A$6:$A$10000,$O$2)</f>
        <v>0</v>
      </c>
      <c r="P84" s="151">
        <f>SUMIFS('RULE 37,39,42&amp;43'!$O$6:$O$10000,'RULE 37,39,42&amp;43'!$J$6:$J$10000,$B$84:$B$87,'RULE 37,39,42&amp;43'!$A$6:$A$10000,$O$2)</f>
        <v>0</v>
      </c>
      <c r="Q84" s="151">
        <f>SUMIFS('RULE 37,39,42&amp;43'!$P$6:$P$10000,'RULE 37,39,42&amp;43'!$J$6:$J$10000,$B$84:$B$87,'RULE 37,39,42&amp;43'!$A$6:$A$10000,$O$2)</f>
        <v>0</v>
      </c>
      <c r="R84" s="152">
        <f>SUMIFS('RULE 37,39,42&amp;43'!$Q$6:$Q$10000,'RULE 37,39,42&amp;43'!$J$6:$J$10000,$B$84:$B$87,'RULE 37,39,42&amp;43'!$A$6:$A$10000,$O$2)</f>
        <v>0</v>
      </c>
      <c r="S84" s="150">
        <f>SUMIFS('RULE 37,39,42&amp;43'!$N$6:$N$10000,'RULE 37,39,42&amp;43'!$J$6:$J$10000,$B$84:$B$87,'RULE 37,39,42&amp;43'!$A$6:$A$10000,$S$2)</f>
        <v>0</v>
      </c>
      <c r="T84" s="151">
        <f>SUMIFS('RULE 37,39,42&amp;43'!$O$6:$O$10000,'RULE 37,39,42&amp;43'!$J$6:$J$10000,$B$84:$B$87,'RULE 37,39,42&amp;43'!$A$6:$A$10000,$S$2)</f>
        <v>0</v>
      </c>
      <c r="U84" s="151">
        <f>SUMIFS('RULE 37,39,42&amp;43'!$P$6:$P$10000,'RULE 37,39,42&amp;43'!$J$6:$J$10000,$B$84:$B$87,'RULE 37,39,42&amp;43'!$A$6:$A$10000,$S$2)</f>
        <v>0</v>
      </c>
      <c r="V84" s="152">
        <f>SUMIFS('RULE 37,39,42&amp;43'!$Q$6:$Q$10000,'RULE 37,39,42&amp;43'!$J$6:$J$10000,$B$84:$B$87,'RULE 37,39,42&amp;43'!$A$6:$A$10000,$S$2)</f>
        <v>0</v>
      </c>
      <c r="W84" s="150">
        <f>SUMIFS('RULE 37,39,42&amp;43'!$N$6:$N$10000,'RULE 37,39,42&amp;43'!$J$6:$J$10000,$B$84:$B$87,'RULE 37,39,42&amp;43'!$A$6:$A$10000,$W$2)</f>
        <v>0</v>
      </c>
      <c r="X84" s="151">
        <f>SUMIFS('RULE 37,39,42&amp;43'!$O$6:$O$10000,'RULE 37,39,42&amp;43'!$J$6:$J$10000,$B$84:$B$87,'RULE 37,39,42&amp;43'!$A$6:$A$10000,$W$2)</f>
        <v>0</v>
      </c>
      <c r="Y84" s="151">
        <f>SUMIFS('RULE 37,39,42&amp;43'!$P$6:$P$10000,'RULE 37,39,42&amp;43'!$J$6:$J$10000,$B$84:$B$87,'RULE 37,39,42&amp;43'!$A$6:$A$10000,$W$2)</f>
        <v>0</v>
      </c>
      <c r="Z84" s="152">
        <f>SUMIFS('RULE 37,39,42&amp;43'!$Q$6:$Q$10000,'RULE 37,39,42&amp;43'!$J$6:$J$10000,$B$84:$B$87,'RULE 37,39,42&amp;43'!$A$6:$A$10000,$W$2)</f>
        <v>0</v>
      </c>
      <c r="AA84" s="150">
        <f>SUMIFS('RULE 37,39,42&amp;43'!$N$6:$N$10000,'RULE 37,39,42&amp;43'!$J$6:$J$10000,$B$84:$B$87,'RULE 37,39,42&amp;43'!$A$6:$A$10000,$AA$2)</f>
        <v>0</v>
      </c>
      <c r="AB84" s="151">
        <f>SUMIFS('RULE 37,39,42&amp;43'!$O$6:$O$10000,'RULE 37,39,42&amp;43'!$J$6:$J$10000,$B$84:$B$87,'RULE 37,39,42&amp;43'!$A$6:$A$10000,$AA$2)</f>
        <v>0</v>
      </c>
      <c r="AC84" s="151">
        <f>SUMIFS('RULE 37,39,42&amp;43'!$P$6:$P$10000,'RULE 37,39,42&amp;43'!$J$6:$J$10000,$B$84:$B$87,'RULE 37,39,42&amp;43'!$A$6:$A$10000,$AA$2)</f>
        <v>0</v>
      </c>
      <c r="AD84" s="152">
        <f>SUMIFS('RULE 37,39,42&amp;43'!$Q$6:$Q$10000,'RULE 37,39,42&amp;43'!$J$6:$J$10000,$B$84:$B$87,'RULE 37,39,42&amp;43'!$A$6:$A$10000,$AA$2)</f>
        <v>0</v>
      </c>
      <c r="AE84" s="150">
        <f>SUMIFS('RULE 37,39,42&amp;43'!$N$6:$N$10000,'RULE 37,39,42&amp;43'!$J$6:$J$10000,$B$84:$B$87,'RULE 37,39,42&amp;43'!$A$6:$A$10000,$AE$2)</f>
        <v>0</v>
      </c>
      <c r="AF84" s="151">
        <f>SUMIFS('RULE 37,39,42&amp;43'!$O$6:$O$10000,'RULE 37,39,42&amp;43'!$J$6:$J$10000,$B$84:$B$87,'RULE 37,39,42&amp;43'!$A$6:$A$10000,$AE$2)</f>
        <v>0</v>
      </c>
      <c r="AG84" s="151">
        <f>SUMIFS('RULE 37,39,42&amp;43'!$P$6:$P$10000,'RULE 37,39,42&amp;43'!$J$6:$J$10000,$B$84:$B$87,'RULE 37,39,42&amp;43'!$A$6:$A$10000,$AE$2)</f>
        <v>0</v>
      </c>
      <c r="AH84" s="152">
        <f>SUMIFS('RULE 37,39,42&amp;43'!$Q$6:$Q$10000,'RULE 37,39,42&amp;43'!$J$6:$J$10000,$B$84:$B$87,'RULE 37,39,42&amp;43'!$A$6:$A$10000,$AE$2)</f>
        <v>0</v>
      </c>
      <c r="AI84" s="150">
        <f>SUMIFS('RULE 37,39,42&amp;43'!$N$6:$N$10000,'RULE 37,39,42&amp;43'!$J$6:$J$10000,$B$84:$B$87,'RULE 37,39,42&amp;43'!$A$6:$A$10000,$AI$2)</f>
        <v>0</v>
      </c>
      <c r="AJ84" s="151">
        <f>SUMIFS('RULE 37,39,42&amp;43'!$O$6:$O$10000,'RULE 37,39,42&amp;43'!$J$6:$J$10000,$B$84:$B$87,'RULE 37,39,42&amp;43'!$A$6:$A$10000,$AI$2)</f>
        <v>0</v>
      </c>
      <c r="AK84" s="151">
        <f>SUMIFS('RULE 37,39,42&amp;43'!$P$6:$P$10000,'RULE 37,39,42&amp;43'!$J$6:$J$10000,$B$84:$B$87,'RULE 37,39,42&amp;43'!$A$6:$A$10000,$AI$2)</f>
        <v>0</v>
      </c>
      <c r="AL84" s="152">
        <f>SUMIFS('RULE 37,39,42&amp;43'!$Q$6:$Q$10000,'RULE 37,39,42&amp;43'!$J$6:$J$10000,$B$84:$B$87,'RULE 37,39,42&amp;43'!$A$6:$A$10000,$AI$2)</f>
        <v>0</v>
      </c>
      <c r="AM84" s="150">
        <f>SUMIFS('RULE 37,39,42&amp;43'!$N$6:$N$10000,'RULE 37,39,42&amp;43'!$J$6:$J$10000,$B$84:$B$87,'RULE 37,39,42&amp;43'!$A$6:$A$10000,$AM$2)</f>
        <v>0</v>
      </c>
      <c r="AN84" s="151">
        <f>SUMIFS('RULE 37,39,42&amp;43'!$O$6:$O$10000,'RULE 37,39,42&amp;43'!$J$6:$J$10000,$B$84:$B$87,'RULE 37,39,42&amp;43'!$A$6:$A$10000,$AM$2)</f>
        <v>0</v>
      </c>
      <c r="AO84" s="151">
        <f>SUMIFS('RULE 37,39,42&amp;43'!$P$6:$P$10000,'RULE 37,39,42&amp;43'!$J$6:$J$10000,$B$84:$B$87,'RULE 37,39,42&amp;43'!$A$6:$A$10000,$AM$2)</f>
        <v>0</v>
      </c>
      <c r="AP84" s="152">
        <f>SUMIFS('RULE 37,39,42&amp;43'!$Q$6:$Q$10000,'RULE 37,39,42&amp;43'!$J$6:$J$10000,$B$84:$B$87,'RULE 37,39,42&amp;43'!$A$6:$A$10000,$AM$2)</f>
        <v>0</v>
      </c>
      <c r="AQ84" s="150">
        <f>SUMIFS('RULE 37,39,42&amp;43'!$N$6:$N$10000,'RULE 37,39,42&amp;43'!$J$6:$J$10000,$B$84:$B$87,'RULE 37,39,42&amp;43'!$A$6:$A$10000,$AQ$2)</f>
        <v>0</v>
      </c>
      <c r="AR84" s="151">
        <f>SUMIFS('RULE 37,39,42&amp;43'!$O$6:$O$10000,'RULE 37,39,42&amp;43'!$J$6:$J$10000,$B$84:$B$87,'RULE 37,39,42&amp;43'!$A$6:$A$10000,$AQ$2)</f>
        <v>0</v>
      </c>
      <c r="AS84" s="151">
        <f>SUMIFS('RULE 37,39,42&amp;43'!$P$6:$P$10000,'RULE 37,39,42&amp;43'!$J$6:$J$10000,$B$84:$B$87,'RULE 37,39,42&amp;43'!$A$6:$A$10000,$AQ$2)</f>
        <v>0</v>
      </c>
      <c r="AT84" s="152">
        <f>SUMIFS('RULE 37,39,42&amp;43'!$Q$6:$Q$10000,'RULE 37,39,42&amp;43'!$J$6:$J$10000,$B$84:$B$87,'RULE 37,39,42&amp;43'!$A$6:$A$10000,$AQ$2)</f>
        <v>0</v>
      </c>
      <c r="AU84" s="150">
        <f>SUMIFS('RULE 37,39,42&amp;43'!$N$6:$N$10000,'RULE 37,39,42&amp;43'!$J$6:$J$10000,$B$84:$B$87,'RULE 37,39,42&amp;43'!$A$6:$A$10000,$AU$2)</f>
        <v>0</v>
      </c>
      <c r="AV84" s="151">
        <f>SUMIFS('RULE 37,39,42&amp;43'!$O$6:$O$10000,'RULE 37,39,42&amp;43'!$J$6:$J$10000,$B$84:$B$87,'RULE 37,39,42&amp;43'!$A$6:$A$10000,$AU$2)</f>
        <v>0</v>
      </c>
      <c r="AW84" s="151">
        <f>SUMIFS('RULE 37,39,42&amp;43'!$P$6:$P$10000,'RULE 37,39,42&amp;43'!$J$6:$J$10000,$B$84:$B$87,'RULE 37,39,42&amp;43'!$A$6:$A$10000,$AU$2)</f>
        <v>0</v>
      </c>
      <c r="AX84" s="152">
        <f>SUMIFS('RULE 37,39,42&amp;43'!$Q$6:$Q$10000,'RULE 37,39,42&amp;43'!$J$6:$J$10000,$B$84:$B$87,'RULE 37,39,42&amp;43'!$A$6:$A$10000,$AU$2)</f>
        <v>0</v>
      </c>
      <c r="AY84" s="150">
        <f t="shared" ref="AY84:AY88" si="285">+C84+G84+K84+O84+S84+W84+AA84+AE84+AI84+AM84+AQ84+AU84</f>
        <v>0</v>
      </c>
      <c r="AZ84" s="151">
        <f t="shared" ref="AZ84:AZ88" si="286">+D84+H84+L84+P84+T84+X84+AB84+AF84+AJ84+AN84+AR84+AV84</f>
        <v>0</v>
      </c>
      <c r="BA84" s="151">
        <f t="shared" ref="BA84:BA88" si="287">+E84+I84+M84+Q84+U84+Y84+AC84+AG84+AK84+AO84+AS84+AW84</f>
        <v>0</v>
      </c>
      <c r="BB84" s="152">
        <f t="shared" ref="BB84:BB88" si="288">+F84+J84+N84+R84+V84+Z84+AD84+AH84+AL84+AP84+AT84+AX84</f>
        <v>0</v>
      </c>
    </row>
    <row r="85" spans="1:54" x14ac:dyDescent="0.2">
      <c r="A85" s="155" t="s">
        <v>2549</v>
      </c>
      <c r="B85" s="156">
        <v>12</v>
      </c>
      <c r="C85" s="150">
        <f>SUMIFS('RULE 37,39,42&amp;43'!$N$6:$N$10000,'RULE 37,39,42&amp;43'!$J$6:$J$10000,$B$84:$B$87,'RULE 37,39,42&amp;43'!$A$6:$A$10000,$C$2)</f>
        <v>0</v>
      </c>
      <c r="D85" s="151">
        <f>SUMIFS('RULE 37,39,42&amp;43'!$O$6:$O$10000,'RULE 37,39,42&amp;43'!$J$6:$J$10000,$B$84:$B$87,'RULE 37,39,42&amp;43'!$A$6:$A$10000,$C$2)</f>
        <v>0</v>
      </c>
      <c r="E85" s="151">
        <f>SUMIFS('RULE 37,39,42&amp;43'!$P$6:$P$10000,'RULE 37,39,42&amp;43'!$J$6:$J$10000,$B$84:$B$87,'RULE 37,39,42&amp;43'!$A$6:$A$10000,$C$2)</f>
        <v>0</v>
      </c>
      <c r="F85" s="152">
        <f>SUMIFS('RULE 37,39,42&amp;43'!$Q$6:$Q$10000,'RULE 37,39,42&amp;43'!$J$6:$J$10000,$B$84:$B$87,'RULE 37,39,42&amp;43'!$A$6:$A$10000,$C$2)</f>
        <v>0</v>
      </c>
      <c r="G85" s="150">
        <f>SUMIFS('RULE 37,39,42&amp;43'!$N$6:$N$10000,'RULE 37,39,42&amp;43'!$J$6:$J$10000,$B$84:$B$87,'RULE 37,39,42&amp;43'!$A$6:$A$10000,$G$2)</f>
        <v>0</v>
      </c>
      <c r="H85" s="151">
        <f>SUMIFS('RULE 37,39,42&amp;43'!$O$6:$O$10000,'RULE 37,39,42&amp;43'!$J$6:$J$10000,$B$84:$B$87,'RULE 37,39,42&amp;43'!$A$6:$A$10000,$G$2)</f>
        <v>0</v>
      </c>
      <c r="I85" s="151">
        <f>SUMIFS('RULE 37,39,42&amp;43'!$P$6:$P$10000,'RULE 37,39,42&amp;43'!$J$6:$J$10000,$B$84:$B$87,'RULE 37,39,42&amp;43'!$A$6:$A$10000,$G$2)</f>
        <v>0</v>
      </c>
      <c r="J85" s="152">
        <f>SUMIFS('RULE 37,39,42&amp;43'!$Q$6:$Q$10000,'RULE 37,39,42&amp;43'!$J$6:$J$10000,$B$84:$B$87,'RULE 37,39,42&amp;43'!$A$6:$A$10000,$G$2)</f>
        <v>0</v>
      </c>
      <c r="K85" s="150">
        <f>SUMIFS('RULE 37,39,42&amp;43'!$N$6:$N$10000,'RULE 37,39,42&amp;43'!$J$6:$J$10000,$B$84:$B$87,'RULE 37,39,42&amp;43'!$A$6:$A$10000,$K$2)</f>
        <v>0</v>
      </c>
      <c r="L85" s="151">
        <f>SUMIFS('RULE 37,39,42&amp;43'!$O$6:$O$10000,'RULE 37,39,42&amp;43'!$J$6:$J$10000,$B$84:$B$87,'RULE 37,39,42&amp;43'!$A$6:$A$10000,$K$2)</f>
        <v>0</v>
      </c>
      <c r="M85" s="151">
        <f>SUMIFS('RULE 37,39,42&amp;43'!$P$6:$P$10000,'RULE 37,39,42&amp;43'!$J$6:$J$10000,$B$84:$B$87,'RULE 37,39,42&amp;43'!$A$6:$A$10000,$K$2)</f>
        <v>0</v>
      </c>
      <c r="N85" s="152">
        <f>SUMIFS('RULE 37,39,42&amp;43'!$Q$6:$Q$10000,'RULE 37,39,42&amp;43'!$J$6:$J$10000,$B$84:$B$87,'RULE 37,39,42&amp;43'!$A$6:$A$10000,$K$2)</f>
        <v>0</v>
      </c>
      <c r="O85" s="150">
        <f>SUMIFS('RULE 37,39,42&amp;43'!$N$6:$N$10000,'RULE 37,39,42&amp;43'!$J$6:$J$10000,$B$84:$B$87,'RULE 37,39,42&amp;43'!$A$6:$A$10000,$O$2)</f>
        <v>0</v>
      </c>
      <c r="P85" s="151">
        <f>SUMIFS('RULE 37,39,42&amp;43'!$O$6:$O$10000,'RULE 37,39,42&amp;43'!$J$6:$J$10000,$B$84:$B$87,'RULE 37,39,42&amp;43'!$A$6:$A$10000,$O$2)</f>
        <v>0</v>
      </c>
      <c r="Q85" s="151">
        <f>SUMIFS('RULE 37,39,42&amp;43'!$P$6:$P$10000,'RULE 37,39,42&amp;43'!$J$6:$J$10000,$B$84:$B$87,'RULE 37,39,42&amp;43'!$A$6:$A$10000,$O$2)</f>
        <v>0</v>
      </c>
      <c r="R85" s="152">
        <f>SUMIFS('RULE 37,39,42&amp;43'!$Q$6:$Q$10000,'RULE 37,39,42&amp;43'!$J$6:$J$10000,$B$84:$B$87,'RULE 37,39,42&amp;43'!$A$6:$A$10000,$O$2)</f>
        <v>0</v>
      </c>
      <c r="S85" s="150">
        <f>SUMIFS('RULE 37,39,42&amp;43'!$N$6:$N$10000,'RULE 37,39,42&amp;43'!$J$6:$J$10000,$B$84:$B$87,'RULE 37,39,42&amp;43'!$A$6:$A$10000,$S$2)</f>
        <v>0</v>
      </c>
      <c r="T85" s="151">
        <f>SUMIFS('RULE 37,39,42&amp;43'!$O$6:$O$10000,'RULE 37,39,42&amp;43'!$J$6:$J$10000,$B$84:$B$87,'RULE 37,39,42&amp;43'!$A$6:$A$10000,$S$2)</f>
        <v>0</v>
      </c>
      <c r="U85" s="151">
        <f>SUMIFS('RULE 37,39,42&amp;43'!$P$6:$P$10000,'RULE 37,39,42&amp;43'!$J$6:$J$10000,$B$84:$B$87,'RULE 37,39,42&amp;43'!$A$6:$A$10000,$S$2)</f>
        <v>0</v>
      </c>
      <c r="V85" s="152">
        <f>SUMIFS('RULE 37,39,42&amp;43'!$Q$6:$Q$10000,'RULE 37,39,42&amp;43'!$J$6:$J$10000,$B$84:$B$87,'RULE 37,39,42&amp;43'!$A$6:$A$10000,$S$2)</f>
        <v>0</v>
      </c>
      <c r="W85" s="150">
        <f>SUMIFS('RULE 37,39,42&amp;43'!$N$6:$N$10000,'RULE 37,39,42&amp;43'!$J$6:$J$10000,$B$84:$B$87,'RULE 37,39,42&amp;43'!$A$6:$A$10000,$W$2)</f>
        <v>0</v>
      </c>
      <c r="X85" s="151">
        <f>SUMIFS('RULE 37,39,42&amp;43'!$O$6:$O$10000,'RULE 37,39,42&amp;43'!$J$6:$J$10000,$B$84:$B$87,'RULE 37,39,42&amp;43'!$A$6:$A$10000,$W$2)</f>
        <v>0</v>
      </c>
      <c r="Y85" s="151">
        <f>SUMIFS('RULE 37,39,42&amp;43'!$P$6:$P$10000,'RULE 37,39,42&amp;43'!$J$6:$J$10000,$B$84:$B$87,'RULE 37,39,42&amp;43'!$A$6:$A$10000,$W$2)</f>
        <v>0</v>
      </c>
      <c r="Z85" s="152">
        <f>SUMIFS('RULE 37,39,42&amp;43'!$Q$6:$Q$10000,'RULE 37,39,42&amp;43'!$J$6:$J$10000,$B$84:$B$87,'RULE 37,39,42&amp;43'!$A$6:$A$10000,$W$2)</f>
        <v>0</v>
      </c>
      <c r="AA85" s="150">
        <f>SUMIFS('RULE 37,39,42&amp;43'!$N$6:$N$10000,'RULE 37,39,42&amp;43'!$J$6:$J$10000,$B$84:$B$87,'RULE 37,39,42&amp;43'!$A$6:$A$10000,$AA$2)</f>
        <v>0</v>
      </c>
      <c r="AB85" s="151">
        <f>SUMIFS('RULE 37,39,42&amp;43'!$O$6:$O$10000,'RULE 37,39,42&amp;43'!$J$6:$J$10000,$B$84:$B$87,'RULE 37,39,42&amp;43'!$A$6:$A$10000,$AA$2)</f>
        <v>0</v>
      </c>
      <c r="AC85" s="151">
        <f>SUMIFS('RULE 37,39,42&amp;43'!$P$6:$P$10000,'RULE 37,39,42&amp;43'!$J$6:$J$10000,$B$84:$B$87,'RULE 37,39,42&amp;43'!$A$6:$A$10000,$AA$2)</f>
        <v>0</v>
      </c>
      <c r="AD85" s="152">
        <f>SUMIFS('RULE 37,39,42&amp;43'!$Q$6:$Q$10000,'RULE 37,39,42&amp;43'!$J$6:$J$10000,$B$84:$B$87,'RULE 37,39,42&amp;43'!$A$6:$A$10000,$AA$2)</f>
        <v>0</v>
      </c>
      <c r="AE85" s="150">
        <f>SUMIFS('RULE 37,39,42&amp;43'!$N$6:$N$10000,'RULE 37,39,42&amp;43'!$J$6:$J$10000,$B$84:$B$87,'RULE 37,39,42&amp;43'!$A$6:$A$10000,$AE$2)</f>
        <v>0</v>
      </c>
      <c r="AF85" s="151">
        <f>SUMIFS('RULE 37,39,42&amp;43'!$O$6:$O$10000,'RULE 37,39,42&amp;43'!$J$6:$J$10000,$B$84:$B$87,'RULE 37,39,42&amp;43'!$A$6:$A$10000,$AE$2)</f>
        <v>0</v>
      </c>
      <c r="AG85" s="151">
        <f>SUMIFS('RULE 37,39,42&amp;43'!$P$6:$P$10000,'RULE 37,39,42&amp;43'!$J$6:$J$10000,$B$84:$B$87,'RULE 37,39,42&amp;43'!$A$6:$A$10000,$AE$2)</f>
        <v>0</v>
      </c>
      <c r="AH85" s="152">
        <f>SUMIFS('RULE 37,39,42&amp;43'!$Q$6:$Q$10000,'RULE 37,39,42&amp;43'!$J$6:$J$10000,$B$84:$B$87,'RULE 37,39,42&amp;43'!$A$6:$A$10000,$AE$2)</f>
        <v>0</v>
      </c>
      <c r="AI85" s="150">
        <f>SUMIFS('RULE 37,39,42&amp;43'!$N$6:$N$10000,'RULE 37,39,42&amp;43'!$J$6:$J$10000,$B$84:$B$87,'RULE 37,39,42&amp;43'!$A$6:$A$10000,$AI$2)</f>
        <v>0</v>
      </c>
      <c r="AJ85" s="151">
        <f>SUMIFS('RULE 37,39,42&amp;43'!$O$6:$O$10000,'RULE 37,39,42&amp;43'!$J$6:$J$10000,$B$84:$B$87,'RULE 37,39,42&amp;43'!$A$6:$A$10000,$AI$2)</f>
        <v>0</v>
      </c>
      <c r="AK85" s="151">
        <f>SUMIFS('RULE 37,39,42&amp;43'!$P$6:$P$10000,'RULE 37,39,42&amp;43'!$J$6:$J$10000,$B$84:$B$87,'RULE 37,39,42&amp;43'!$A$6:$A$10000,$AI$2)</f>
        <v>0</v>
      </c>
      <c r="AL85" s="152">
        <f>SUMIFS('RULE 37,39,42&amp;43'!$Q$6:$Q$10000,'RULE 37,39,42&amp;43'!$J$6:$J$10000,$B$84:$B$87,'RULE 37,39,42&amp;43'!$A$6:$A$10000,$AI$2)</f>
        <v>0</v>
      </c>
      <c r="AM85" s="150">
        <f>SUMIFS('RULE 37,39,42&amp;43'!$N$6:$N$10000,'RULE 37,39,42&amp;43'!$J$6:$J$10000,$B$84:$B$87,'RULE 37,39,42&amp;43'!$A$6:$A$10000,$AM$2)</f>
        <v>0</v>
      </c>
      <c r="AN85" s="151">
        <f>SUMIFS('RULE 37,39,42&amp;43'!$O$6:$O$10000,'RULE 37,39,42&amp;43'!$J$6:$J$10000,$B$84:$B$87,'RULE 37,39,42&amp;43'!$A$6:$A$10000,$AM$2)</f>
        <v>0</v>
      </c>
      <c r="AO85" s="151">
        <f>SUMIFS('RULE 37,39,42&amp;43'!$P$6:$P$10000,'RULE 37,39,42&amp;43'!$J$6:$J$10000,$B$84:$B$87,'RULE 37,39,42&amp;43'!$A$6:$A$10000,$AM$2)</f>
        <v>0</v>
      </c>
      <c r="AP85" s="152">
        <f>SUMIFS('RULE 37,39,42&amp;43'!$Q$6:$Q$10000,'RULE 37,39,42&amp;43'!$J$6:$J$10000,$B$84:$B$87,'RULE 37,39,42&amp;43'!$A$6:$A$10000,$AM$2)</f>
        <v>0</v>
      </c>
      <c r="AQ85" s="150">
        <f>SUMIFS('RULE 37,39,42&amp;43'!$N$6:$N$10000,'RULE 37,39,42&amp;43'!$J$6:$J$10000,$B$84:$B$87,'RULE 37,39,42&amp;43'!$A$6:$A$10000,$AQ$2)</f>
        <v>0</v>
      </c>
      <c r="AR85" s="151">
        <f>SUMIFS('RULE 37,39,42&amp;43'!$O$6:$O$10000,'RULE 37,39,42&amp;43'!$J$6:$J$10000,$B$84:$B$87,'RULE 37,39,42&amp;43'!$A$6:$A$10000,$AQ$2)</f>
        <v>0</v>
      </c>
      <c r="AS85" s="151">
        <f>SUMIFS('RULE 37,39,42&amp;43'!$P$6:$P$10000,'RULE 37,39,42&amp;43'!$J$6:$J$10000,$B$84:$B$87,'RULE 37,39,42&amp;43'!$A$6:$A$10000,$AQ$2)</f>
        <v>0</v>
      </c>
      <c r="AT85" s="152">
        <f>SUMIFS('RULE 37,39,42&amp;43'!$Q$6:$Q$10000,'RULE 37,39,42&amp;43'!$J$6:$J$10000,$B$84:$B$87,'RULE 37,39,42&amp;43'!$A$6:$A$10000,$AQ$2)</f>
        <v>0</v>
      </c>
      <c r="AU85" s="150">
        <f>SUMIFS('RULE 37,39,42&amp;43'!$N$6:$N$10000,'RULE 37,39,42&amp;43'!$J$6:$J$10000,$B$84:$B$87,'RULE 37,39,42&amp;43'!$A$6:$A$10000,$AU$2)</f>
        <v>0</v>
      </c>
      <c r="AV85" s="151">
        <f>SUMIFS('RULE 37,39,42&amp;43'!$O$6:$O$10000,'RULE 37,39,42&amp;43'!$J$6:$J$10000,$B$84:$B$87,'RULE 37,39,42&amp;43'!$A$6:$A$10000,$AU$2)</f>
        <v>0</v>
      </c>
      <c r="AW85" s="151">
        <f>SUMIFS('RULE 37,39,42&amp;43'!$P$6:$P$10000,'RULE 37,39,42&amp;43'!$J$6:$J$10000,$B$84:$B$87,'RULE 37,39,42&amp;43'!$A$6:$A$10000,$AU$2)</f>
        <v>0</v>
      </c>
      <c r="AX85" s="152">
        <f>SUMIFS('RULE 37,39,42&amp;43'!$Q$6:$Q$10000,'RULE 37,39,42&amp;43'!$J$6:$J$10000,$B$84:$B$87,'RULE 37,39,42&amp;43'!$A$6:$A$10000,$AU$2)</f>
        <v>0</v>
      </c>
      <c r="AY85" s="150">
        <f t="shared" si="285"/>
        <v>0</v>
      </c>
      <c r="AZ85" s="151">
        <f t="shared" si="286"/>
        <v>0</v>
      </c>
      <c r="BA85" s="151">
        <f t="shared" si="287"/>
        <v>0</v>
      </c>
      <c r="BB85" s="152">
        <f t="shared" si="288"/>
        <v>0</v>
      </c>
    </row>
    <row r="86" spans="1:54" x14ac:dyDescent="0.2">
      <c r="A86" s="155" t="s">
        <v>2550</v>
      </c>
      <c r="B86" s="156">
        <v>18</v>
      </c>
      <c r="C86" s="150">
        <f>SUMIFS('RULE 37,39,42&amp;43'!$N$6:$N$10000,'RULE 37,39,42&amp;43'!$J$6:$J$10000,$B$84:$B$87,'RULE 37,39,42&amp;43'!$A$6:$A$10000,$C$2)</f>
        <v>-180</v>
      </c>
      <c r="D86" s="151">
        <f>SUMIFS('RULE 37,39,42&amp;43'!$O$6:$O$10000,'RULE 37,39,42&amp;43'!$J$6:$J$10000,$B$84:$B$87,'RULE 37,39,42&amp;43'!$A$6:$A$10000,$C$2)</f>
        <v>0</v>
      </c>
      <c r="E86" s="151">
        <f>SUMIFS('RULE 37,39,42&amp;43'!$P$6:$P$10000,'RULE 37,39,42&amp;43'!$J$6:$J$10000,$B$84:$B$87,'RULE 37,39,42&amp;43'!$A$6:$A$10000,$C$2)</f>
        <v>-16.2</v>
      </c>
      <c r="F86" s="152">
        <f>SUMIFS('RULE 37,39,42&amp;43'!$Q$6:$Q$10000,'RULE 37,39,42&amp;43'!$J$6:$J$10000,$B$84:$B$87,'RULE 37,39,42&amp;43'!$A$6:$A$10000,$C$2)</f>
        <v>-16.2</v>
      </c>
      <c r="G86" s="150">
        <f>SUMIFS('RULE 37,39,42&amp;43'!$N$6:$N$10000,'RULE 37,39,42&amp;43'!$J$6:$J$10000,$B$84:$B$87,'RULE 37,39,42&amp;43'!$A$6:$A$10000,$G$2)</f>
        <v>-180</v>
      </c>
      <c r="H86" s="151">
        <f>SUMIFS('RULE 37,39,42&amp;43'!$O$6:$O$10000,'RULE 37,39,42&amp;43'!$J$6:$J$10000,$B$84:$B$87,'RULE 37,39,42&amp;43'!$A$6:$A$10000,$G$2)</f>
        <v>0</v>
      </c>
      <c r="I86" s="151">
        <f>SUMIFS('RULE 37,39,42&amp;43'!$P$6:$P$10000,'RULE 37,39,42&amp;43'!$J$6:$J$10000,$B$84:$B$87,'RULE 37,39,42&amp;43'!$A$6:$A$10000,$G$2)</f>
        <v>-16.2</v>
      </c>
      <c r="J86" s="152">
        <f>SUMIFS('RULE 37,39,42&amp;43'!$Q$6:$Q$10000,'RULE 37,39,42&amp;43'!$J$6:$J$10000,$B$84:$B$87,'RULE 37,39,42&amp;43'!$A$6:$A$10000,$G$2)</f>
        <v>-16.2</v>
      </c>
      <c r="K86" s="150">
        <f>SUMIFS('RULE 37,39,42&amp;43'!$N$6:$N$10000,'RULE 37,39,42&amp;43'!$J$6:$J$10000,$B$84:$B$87,'RULE 37,39,42&amp;43'!$A$6:$A$10000,$K$2)</f>
        <v>-180</v>
      </c>
      <c r="L86" s="151">
        <f>SUMIFS('RULE 37,39,42&amp;43'!$O$6:$O$10000,'RULE 37,39,42&amp;43'!$J$6:$J$10000,$B$84:$B$87,'RULE 37,39,42&amp;43'!$A$6:$A$10000,$K$2)</f>
        <v>0</v>
      </c>
      <c r="M86" s="151">
        <f>SUMIFS('RULE 37,39,42&amp;43'!$P$6:$P$10000,'RULE 37,39,42&amp;43'!$J$6:$J$10000,$B$84:$B$87,'RULE 37,39,42&amp;43'!$A$6:$A$10000,$K$2)</f>
        <v>-16.2</v>
      </c>
      <c r="N86" s="152">
        <f>SUMIFS('RULE 37,39,42&amp;43'!$Q$6:$Q$10000,'RULE 37,39,42&amp;43'!$J$6:$J$10000,$B$84:$B$87,'RULE 37,39,42&amp;43'!$A$6:$A$10000,$K$2)</f>
        <v>-16.2</v>
      </c>
      <c r="O86" s="150">
        <f>SUMIFS('RULE 37,39,42&amp;43'!$N$6:$N$10000,'RULE 37,39,42&amp;43'!$J$6:$J$10000,$B$84:$B$87,'RULE 37,39,42&amp;43'!$A$6:$A$10000,$O$2)</f>
        <v>-180</v>
      </c>
      <c r="P86" s="151">
        <f>SUMIFS('RULE 37,39,42&amp;43'!$O$6:$O$10000,'RULE 37,39,42&amp;43'!$J$6:$J$10000,$B$84:$B$87,'RULE 37,39,42&amp;43'!$A$6:$A$10000,$O$2)</f>
        <v>0</v>
      </c>
      <c r="Q86" s="151">
        <f>SUMIFS('RULE 37,39,42&amp;43'!$P$6:$P$10000,'RULE 37,39,42&amp;43'!$J$6:$J$10000,$B$84:$B$87,'RULE 37,39,42&amp;43'!$A$6:$A$10000,$O$2)</f>
        <v>-16.2</v>
      </c>
      <c r="R86" s="152">
        <f>SUMIFS('RULE 37,39,42&amp;43'!$Q$6:$Q$10000,'RULE 37,39,42&amp;43'!$J$6:$J$10000,$B$84:$B$87,'RULE 37,39,42&amp;43'!$A$6:$A$10000,$O$2)</f>
        <v>-16.2</v>
      </c>
      <c r="S86" s="150">
        <f>SUMIFS('RULE 37,39,42&amp;43'!$N$6:$N$10000,'RULE 37,39,42&amp;43'!$J$6:$J$10000,$B$84:$B$87,'RULE 37,39,42&amp;43'!$A$6:$A$10000,$S$2)</f>
        <v>-180</v>
      </c>
      <c r="T86" s="151">
        <f>SUMIFS('RULE 37,39,42&amp;43'!$O$6:$O$10000,'RULE 37,39,42&amp;43'!$J$6:$J$10000,$B$84:$B$87,'RULE 37,39,42&amp;43'!$A$6:$A$10000,$S$2)</f>
        <v>0</v>
      </c>
      <c r="U86" s="151">
        <f>SUMIFS('RULE 37,39,42&amp;43'!$P$6:$P$10000,'RULE 37,39,42&amp;43'!$J$6:$J$10000,$B$84:$B$87,'RULE 37,39,42&amp;43'!$A$6:$A$10000,$S$2)</f>
        <v>-16.2</v>
      </c>
      <c r="V86" s="152">
        <f>SUMIFS('RULE 37,39,42&amp;43'!$Q$6:$Q$10000,'RULE 37,39,42&amp;43'!$J$6:$J$10000,$B$84:$B$87,'RULE 37,39,42&amp;43'!$A$6:$A$10000,$S$2)</f>
        <v>-16.2</v>
      </c>
      <c r="W86" s="150">
        <f>SUMIFS('RULE 37,39,42&amp;43'!$N$6:$N$10000,'RULE 37,39,42&amp;43'!$J$6:$J$10000,$B$84:$B$87,'RULE 37,39,42&amp;43'!$A$6:$A$10000,$W$2)</f>
        <v>-180</v>
      </c>
      <c r="X86" s="151">
        <f>SUMIFS('RULE 37,39,42&amp;43'!$O$6:$O$10000,'RULE 37,39,42&amp;43'!$J$6:$J$10000,$B$84:$B$87,'RULE 37,39,42&amp;43'!$A$6:$A$10000,$W$2)</f>
        <v>0</v>
      </c>
      <c r="Y86" s="151">
        <f>SUMIFS('RULE 37,39,42&amp;43'!$P$6:$P$10000,'RULE 37,39,42&amp;43'!$J$6:$J$10000,$B$84:$B$87,'RULE 37,39,42&amp;43'!$A$6:$A$10000,$W$2)</f>
        <v>-16.2</v>
      </c>
      <c r="Z86" s="152">
        <f>SUMIFS('RULE 37,39,42&amp;43'!$Q$6:$Q$10000,'RULE 37,39,42&amp;43'!$J$6:$J$10000,$B$84:$B$87,'RULE 37,39,42&amp;43'!$A$6:$A$10000,$W$2)</f>
        <v>-16.2</v>
      </c>
      <c r="AA86" s="150">
        <f>SUMIFS('RULE 37,39,42&amp;43'!$N$6:$N$10000,'RULE 37,39,42&amp;43'!$J$6:$J$10000,$B$84:$B$87,'RULE 37,39,42&amp;43'!$A$6:$A$10000,$AA$2)</f>
        <v>-180</v>
      </c>
      <c r="AB86" s="151">
        <f>SUMIFS('RULE 37,39,42&amp;43'!$O$6:$O$10000,'RULE 37,39,42&amp;43'!$J$6:$J$10000,$B$84:$B$87,'RULE 37,39,42&amp;43'!$A$6:$A$10000,$AA$2)</f>
        <v>0</v>
      </c>
      <c r="AC86" s="151">
        <f>SUMIFS('RULE 37,39,42&amp;43'!$P$6:$P$10000,'RULE 37,39,42&amp;43'!$J$6:$J$10000,$B$84:$B$87,'RULE 37,39,42&amp;43'!$A$6:$A$10000,$AA$2)</f>
        <v>-16.2</v>
      </c>
      <c r="AD86" s="152">
        <f>SUMIFS('RULE 37,39,42&amp;43'!$Q$6:$Q$10000,'RULE 37,39,42&amp;43'!$J$6:$J$10000,$B$84:$B$87,'RULE 37,39,42&amp;43'!$A$6:$A$10000,$AA$2)</f>
        <v>-16.2</v>
      </c>
      <c r="AE86" s="150">
        <f>SUMIFS('RULE 37,39,42&amp;43'!$N$6:$N$10000,'RULE 37,39,42&amp;43'!$J$6:$J$10000,$B$84:$B$87,'RULE 37,39,42&amp;43'!$A$6:$A$10000,$AE$2)</f>
        <v>-180</v>
      </c>
      <c r="AF86" s="151">
        <f>SUMIFS('RULE 37,39,42&amp;43'!$O$6:$O$10000,'RULE 37,39,42&amp;43'!$J$6:$J$10000,$B$84:$B$87,'RULE 37,39,42&amp;43'!$A$6:$A$10000,$AE$2)</f>
        <v>0</v>
      </c>
      <c r="AG86" s="151">
        <f>SUMIFS('RULE 37,39,42&amp;43'!$P$6:$P$10000,'RULE 37,39,42&amp;43'!$J$6:$J$10000,$B$84:$B$87,'RULE 37,39,42&amp;43'!$A$6:$A$10000,$AE$2)</f>
        <v>-16.2</v>
      </c>
      <c r="AH86" s="152">
        <f>SUMIFS('RULE 37,39,42&amp;43'!$Q$6:$Q$10000,'RULE 37,39,42&amp;43'!$J$6:$J$10000,$B$84:$B$87,'RULE 37,39,42&amp;43'!$A$6:$A$10000,$AE$2)</f>
        <v>-16.2</v>
      </c>
      <c r="AI86" s="150">
        <f>SUMIFS('RULE 37,39,42&amp;43'!$N$6:$N$10000,'RULE 37,39,42&amp;43'!$J$6:$J$10000,$B$84:$B$87,'RULE 37,39,42&amp;43'!$A$6:$A$10000,$AI$2)</f>
        <v>-180</v>
      </c>
      <c r="AJ86" s="151">
        <f>SUMIFS('RULE 37,39,42&amp;43'!$O$6:$O$10000,'RULE 37,39,42&amp;43'!$J$6:$J$10000,$B$84:$B$87,'RULE 37,39,42&amp;43'!$A$6:$A$10000,$AI$2)</f>
        <v>0</v>
      </c>
      <c r="AK86" s="151">
        <f>SUMIFS('RULE 37,39,42&amp;43'!$P$6:$P$10000,'RULE 37,39,42&amp;43'!$J$6:$J$10000,$B$84:$B$87,'RULE 37,39,42&amp;43'!$A$6:$A$10000,$AI$2)</f>
        <v>-16.2</v>
      </c>
      <c r="AL86" s="152">
        <f>SUMIFS('RULE 37,39,42&amp;43'!$Q$6:$Q$10000,'RULE 37,39,42&amp;43'!$J$6:$J$10000,$B$84:$B$87,'RULE 37,39,42&amp;43'!$A$6:$A$10000,$AI$2)</f>
        <v>-16.2</v>
      </c>
      <c r="AM86" s="150">
        <f>SUMIFS('RULE 37,39,42&amp;43'!$N$6:$N$10000,'RULE 37,39,42&amp;43'!$J$6:$J$10000,$B$84:$B$87,'RULE 37,39,42&amp;43'!$A$6:$A$10000,$AM$2)</f>
        <v>0</v>
      </c>
      <c r="AN86" s="151">
        <f>SUMIFS('RULE 37,39,42&amp;43'!$O$6:$O$10000,'RULE 37,39,42&amp;43'!$J$6:$J$10000,$B$84:$B$87,'RULE 37,39,42&amp;43'!$A$6:$A$10000,$AM$2)</f>
        <v>0</v>
      </c>
      <c r="AO86" s="151">
        <f>SUMIFS('RULE 37,39,42&amp;43'!$P$6:$P$10000,'RULE 37,39,42&amp;43'!$J$6:$J$10000,$B$84:$B$87,'RULE 37,39,42&amp;43'!$A$6:$A$10000,$AM$2)</f>
        <v>0</v>
      </c>
      <c r="AP86" s="152">
        <f>SUMIFS('RULE 37,39,42&amp;43'!$Q$6:$Q$10000,'RULE 37,39,42&amp;43'!$J$6:$J$10000,$B$84:$B$87,'RULE 37,39,42&amp;43'!$A$6:$A$10000,$AM$2)</f>
        <v>0</v>
      </c>
      <c r="AQ86" s="150">
        <f>SUMIFS('RULE 37,39,42&amp;43'!$N$6:$N$10000,'RULE 37,39,42&amp;43'!$J$6:$J$10000,$B$84:$B$87,'RULE 37,39,42&amp;43'!$A$6:$A$10000,$AQ$2)</f>
        <v>0</v>
      </c>
      <c r="AR86" s="151">
        <f>SUMIFS('RULE 37,39,42&amp;43'!$O$6:$O$10000,'RULE 37,39,42&amp;43'!$J$6:$J$10000,$B$84:$B$87,'RULE 37,39,42&amp;43'!$A$6:$A$10000,$AQ$2)</f>
        <v>0</v>
      </c>
      <c r="AS86" s="151">
        <f>SUMIFS('RULE 37,39,42&amp;43'!$P$6:$P$10000,'RULE 37,39,42&amp;43'!$J$6:$J$10000,$B$84:$B$87,'RULE 37,39,42&amp;43'!$A$6:$A$10000,$AQ$2)</f>
        <v>0</v>
      </c>
      <c r="AT86" s="152">
        <f>SUMIFS('RULE 37,39,42&amp;43'!$Q$6:$Q$10000,'RULE 37,39,42&amp;43'!$J$6:$J$10000,$B$84:$B$87,'RULE 37,39,42&amp;43'!$A$6:$A$10000,$AQ$2)</f>
        <v>0</v>
      </c>
      <c r="AU86" s="150">
        <f>SUMIFS('RULE 37,39,42&amp;43'!$N$6:$N$10000,'RULE 37,39,42&amp;43'!$J$6:$J$10000,$B$84:$B$87,'RULE 37,39,42&amp;43'!$A$6:$A$10000,$AU$2)</f>
        <v>0</v>
      </c>
      <c r="AV86" s="151">
        <f>SUMIFS('RULE 37,39,42&amp;43'!$O$6:$O$10000,'RULE 37,39,42&amp;43'!$J$6:$J$10000,$B$84:$B$87,'RULE 37,39,42&amp;43'!$A$6:$A$10000,$AU$2)</f>
        <v>0</v>
      </c>
      <c r="AW86" s="151">
        <f>SUMIFS('RULE 37,39,42&amp;43'!$P$6:$P$10000,'RULE 37,39,42&amp;43'!$J$6:$J$10000,$B$84:$B$87,'RULE 37,39,42&amp;43'!$A$6:$A$10000,$AU$2)</f>
        <v>0</v>
      </c>
      <c r="AX86" s="152">
        <f>SUMIFS('RULE 37,39,42&amp;43'!$Q$6:$Q$10000,'RULE 37,39,42&amp;43'!$J$6:$J$10000,$B$84:$B$87,'RULE 37,39,42&amp;43'!$A$6:$A$10000,$AU$2)</f>
        <v>0</v>
      </c>
      <c r="AY86" s="150">
        <f t="shared" si="285"/>
        <v>-1620</v>
      </c>
      <c r="AZ86" s="151">
        <f t="shared" si="286"/>
        <v>0</v>
      </c>
      <c r="BA86" s="151">
        <f t="shared" si="287"/>
        <v>-145.79999999999998</v>
      </c>
      <c r="BB86" s="152">
        <f t="shared" si="288"/>
        <v>-145.79999999999998</v>
      </c>
    </row>
    <row r="87" spans="1:54" x14ac:dyDescent="0.2">
      <c r="A87" s="155" t="s">
        <v>2551</v>
      </c>
      <c r="B87" s="156">
        <v>28</v>
      </c>
      <c r="C87" s="150">
        <f>SUMIFS('RULE 37,39,42&amp;43'!$N$6:$N$10000,'RULE 37,39,42&amp;43'!$J$6:$J$10000,$B$84:$B$87,'RULE 37,39,42&amp;43'!$A$6:$A$10000,$C$2)</f>
        <v>0</v>
      </c>
      <c r="D87" s="151">
        <f>SUMIFS('RULE 37,39,42&amp;43'!$O$6:$O$10000,'RULE 37,39,42&amp;43'!$J$6:$J$10000,$B$84:$B$87,'RULE 37,39,42&amp;43'!$A$6:$A$10000,$C$2)</f>
        <v>0</v>
      </c>
      <c r="E87" s="151">
        <f>SUMIFS('RULE 37,39,42&amp;43'!$P$6:$P$10000,'RULE 37,39,42&amp;43'!$J$6:$J$10000,$B$84:$B$87,'RULE 37,39,42&amp;43'!$A$6:$A$10000,$C$2)</f>
        <v>0</v>
      </c>
      <c r="F87" s="152">
        <f>SUMIFS('RULE 37,39,42&amp;43'!$Q$6:$Q$10000,'RULE 37,39,42&amp;43'!$J$6:$J$10000,$B$84:$B$87,'RULE 37,39,42&amp;43'!$A$6:$A$10000,$C$2)</f>
        <v>0</v>
      </c>
      <c r="G87" s="150">
        <f>SUMIFS('RULE 37,39,42&amp;43'!$N$6:$N$10000,'RULE 37,39,42&amp;43'!$J$6:$J$10000,$B$84:$B$87,'RULE 37,39,42&amp;43'!$A$6:$A$10000,$G$2)</f>
        <v>0</v>
      </c>
      <c r="H87" s="151">
        <f>SUMIFS('RULE 37,39,42&amp;43'!$O$6:$O$10000,'RULE 37,39,42&amp;43'!$J$6:$J$10000,$B$84:$B$87,'RULE 37,39,42&amp;43'!$A$6:$A$10000,$G$2)</f>
        <v>0</v>
      </c>
      <c r="I87" s="151">
        <f>SUMIFS('RULE 37,39,42&amp;43'!$P$6:$P$10000,'RULE 37,39,42&amp;43'!$J$6:$J$10000,$B$84:$B$87,'RULE 37,39,42&amp;43'!$A$6:$A$10000,$G$2)</f>
        <v>0</v>
      </c>
      <c r="J87" s="152">
        <f>SUMIFS('RULE 37,39,42&amp;43'!$Q$6:$Q$10000,'RULE 37,39,42&amp;43'!$J$6:$J$10000,$B$84:$B$87,'RULE 37,39,42&amp;43'!$A$6:$A$10000,$G$2)</f>
        <v>0</v>
      </c>
      <c r="K87" s="150">
        <f>SUMIFS('RULE 37,39,42&amp;43'!$N$6:$N$10000,'RULE 37,39,42&amp;43'!$J$6:$J$10000,$B$84:$B$87,'RULE 37,39,42&amp;43'!$A$6:$A$10000,$K$2)</f>
        <v>0</v>
      </c>
      <c r="L87" s="151">
        <f>SUMIFS('RULE 37,39,42&amp;43'!$O$6:$O$10000,'RULE 37,39,42&amp;43'!$J$6:$J$10000,$B$84:$B$87,'RULE 37,39,42&amp;43'!$A$6:$A$10000,$K$2)</f>
        <v>0</v>
      </c>
      <c r="M87" s="151">
        <f>SUMIFS('RULE 37,39,42&amp;43'!$P$6:$P$10000,'RULE 37,39,42&amp;43'!$J$6:$J$10000,$B$84:$B$87,'RULE 37,39,42&amp;43'!$A$6:$A$10000,$K$2)</f>
        <v>0</v>
      </c>
      <c r="N87" s="152">
        <f>SUMIFS('RULE 37,39,42&amp;43'!$Q$6:$Q$10000,'RULE 37,39,42&amp;43'!$J$6:$J$10000,$B$84:$B$87,'RULE 37,39,42&amp;43'!$A$6:$A$10000,$K$2)</f>
        <v>0</v>
      </c>
      <c r="O87" s="150">
        <f>SUMIFS('RULE 37,39,42&amp;43'!$N$6:$N$10000,'RULE 37,39,42&amp;43'!$J$6:$J$10000,$B$84:$B$87,'RULE 37,39,42&amp;43'!$A$6:$A$10000,$O$2)</f>
        <v>0</v>
      </c>
      <c r="P87" s="151">
        <f>SUMIFS('RULE 37,39,42&amp;43'!$O$6:$O$10000,'RULE 37,39,42&amp;43'!$J$6:$J$10000,$B$84:$B$87,'RULE 37,39,42&amp;43'!$A$6:$A$10000,$O$2)</f>
        <v>0</v>
      </c>
      <c r="Q87" s="151">
        <f>SUMIFS('RULE 37,39,42&amp;43'!$P$6:$P$10000,'RULE 37,39,42&amp;43'!$J$6:$J$10000,$B$84:$B$87,'RULE 37,39,42&amp;43'!$A$6:$A$10000,$O$2)</f>
        <v>0</v>
      </c>
      <c r="R87" s="152">
        <f>SUMIFS('RULE 37,39,42&amp;43'!$Q$6:$Q$10000,'RULE 37,39,42&amp;43'!$J$6:$J$10000,$B$84:$B$87,'RULE 37,39,42&amp;43'!$A$6:$A$10000,$O$2)</f>
        <v>0</v>
      </c>
      <c r="S87" s="150">
        <f>SUMIFS('RULE 37,39,42&amp;43'!$N$6:$N$10000,'RULE 37,39,42&amp;43'!$J$6:$J$10000,$B$84:$B$87,'RULE 37,39,42&amp;43'!$A$6:$A$10000,$S$2)</f>
        <v>0</v>
      </c>
      <c r="T87" s="151">
        <f>SUMIFS('RULE 37,39,42&amp;43'!$O$6:$O$10000,'RULE 37,39,42&amp;43'!$J$6:$J$10000,$B$84:$B$87,'RULE 37,39,42&amp;43'!$A$6:$A$10000,$S$2)</f>
        <v>0</v>
      </c>
      <c r="U87" s="151">
        <f>SUMIFS('RULE 37,39,42&amp;43'!$P$6:$P$10000,'RULE 37,39,42&amp;43'!$J$6:$J$10000,$B$84:$B$87,'RULE 37,39,42&amp;43'!$A$6:$A$10000,$S$2)</f>
        <v>0</v>
      </c>
      <c r="V87" s="152">
        <f>SUMIFS('RULE 37,39,42&amp;43'!$Q$6:$Q$10000,'RULE 37,39,42&amp;43'!$J$6:$J$10000,$B$84:$B$87,'RULE 37,39,42&amp;43'!$A$6:$A$10000,$S$2)</f>
        <v>0</v>
      </c>
      <c r="W87" s="150">
        <f>SUMIFS('RULE 37,39,42&amp;43'!$N$6:$N$10000,'RULE 37,39,42&amp;43'!$J$6:$J$10000,$B$84:$B$87,'RULE 37,39,42&amp;43'!$A$6:$A$10000,$W$2)</f>
        <v>0</v>
      </c>
      <c r="X87" s="151">
        <f>SUMIFS('RULE 37,39,42&amp;43'!$O$6:$O$10000,'RULE 37,39,42&amp;43'!$J$6:$J$10000,$B$84:$B$87,'RULE 37,39,42&amp;43'!$A$6:$A$10000,$W$2)</f>
        <v>0</v>
      </c>
      <c r="Y87" s="151">
        <f>SUMIFS('RULE 37,39,42&amp;43'!$P$6:$P$10000,'RULE 37,39,42&amp;43'!$J$6:$J$10000,$B$84:$B$87,'RULE 37,39,42&amp;43'!$A$6:$A$10000,$W$2)</f>
        <v>0</v>
      </c>
      <c r="Z87" s="152">
        <f>SUMIFS('RULE 37,39,42&amp;43'!$Q$6:$Q$10000,'RULE 37,39,42&amp;43'!$J$6:$J$10000,$B$84:$B$87,'RULE 37,39,42&amp;43'!$A$6:$A$10000,$W$2)</f>
        <v>0</v>
      </c>
      <c r="AA87" s="150">
        <f>SUMIFS('RULE 37,39,42&amp;43'!$N$6:$N$10000,'RULE 37,39,42&amp;43'!$J$6:$J$10000,$B$84:$B$87,'RULE 37,39,42&amp;43'!$A$6:$A$10000,$AA$2)</f>
        <v>0</v>
      </c>
      <c r="AB87" s="151">
        <f>SUMIFS('RULE 37,39,42&amp;43'!$O$6:$O$10000,'RULE 37,39,42&amp;43'!$J$6:$J$10000,$B$84:$B$87,'RULE 37,39,42&amp;43'!$A$6:$A$10000,$AA$2)</f>
        <v>0</v>
      </c>
      <c r="AC87" s="151">
        <f>SUMIFS('RULE 37,39,42&amp;43'!$P$6:$P$10000,'RULE 37,39,42&amp;43'!$J$6:$J$10000,$B$84:$B$87,'RULE 37,39,42&amp;43'!$A$6:$A$10000,$AA$2)</f>
        <v>0</v>
      </c>
      <c r="AD87" s="152">
        <f>SUMIFS('RULE 37,39,42&amp;43'!$Q$6:$Q$10000,'RULE 37,39,42&amp;43'!$J$6:$J$10000,$B$84:$B$87,'RULE 37,39,42&amp;43'!$A$6:$A$10000,$AA$2)</f>
        <v>0</v>
      </c>
      <c r="AE87" s="150">
        <f>SUMIFS('RULE 37,39,42&amp;43'!$N$6:$N$10000,'RULE 37,39,42&amp;43'!$J$6:$J$10000,$B$84:$B$87,'RULE 37,39,42&amp;43'!$A$6:$A$10000,$AE$2)</f>
        <v>0</v>
      </c>
      <c r="AF87" s="151">
        <f>SUMIFS('RULE 37,39,42&amp;43'!$O$6:$O$10000,'RULE 37,39,42&amp;43'!$J$6:$J$10000,$B$84:$B$87,'RULE 37,39,42&amp;43'!$A$6:$A$10000,$AE$2)</f>
        <v>0</v>
      </c>
      <c r="AG87" s="151">
        <f>SUMIFS('RULE 37,39,42&amp;43'!$P$6:$P$10000,'RULE 37,39,42&amp;43'!$J$6:$J$10000,$B$84:$B$87,'RULE 37,39,42&amp;43'!$A$6:$A$10000,$AE$2)</f>
        <v>0</v>
      </c>
      <c r="AH87" s="152">
        <f>SUMIFS('RULE 37,39,42&amp;43'!$Q$6:$Q$10000,'RULE 37,39,42&amp;43'!$J$6:$J$10000,$B$84:$B$87,'RULE 37,39,42&amp;43'!$A$6:$A$10000,$AE$2)</f>
        <v>0</v>
      </c>
      <c r="AI87" s="150">
        <f>SUMIFS('RULE 37,39,42&amp;43'!$N$6:$N$10000,'RULE 37,39,42&amp;43'!$J$6:$J$10000,$B$84:$B$87,'RULE 37,39,42&amp;43'!$A$6:$A$10000,$AI$2)</f>
        <v>0</v>
      </c>
      <c r="AJ87" s="151">
        <f>SUMIFS('RULE 37,39,42&amp;43'!$O$6:$O$10000,'RULE 37,39,42&amp;43'!$J$6:$J$10000,$B$84:$B$87,'RULE 37,39,42&amp;43'!$A$6:$A$10000,$AI$2)</f>
        <v>0</v>
      </c>
      <c r="AK87" s="151">
        <f>SUMIFS('RULE 37,39,42&amp;43'!$P$6:$P$10000,'RULE 37,39,42&amp;43'!$J$6:$J$10000,$B$84:$B$87,'RULE 37,39,42&amp;43'!$A$6:$A$10000,$AI$2)</f>
        <v>0</v>
      </c>
      <c r="AL87" s="152">
        <f>SUMIFS('RULE 37,39,42&amp;43'!$Q$6:$Q$10000,'RULE 37,39,42&amp;43'!$J$6:$J$10000,$B$84:$B$87,'RULE 37,39,42&amp;43'!$A$6:$A$10000,$AI$2)</f>
        <v>0</v>
      </c>
      <c r="AM87" s="150">
        <f>SUMIFS('RULE 37,39,42&amp;43'!$N$6:$N$10000,'RULE 37,39,42&amp;43'!$J$6:$J$10000,$B$84:$B$87,'RULE 37,39,42&amp;43'!$A$6:$A$10000,$AM$2)</f>
        <v>0</v>
      </c>
      <c r="AN87" s="151">
        <f>SUMIFS('RULE 37,39,42&amp;43'!$O$6:$O$10000,'RULE 37,39,42&amp;43'!$J$6:$J$10000,$B$84:$B$87,'RULE 37,39,42&amp;43'!$A$6:$A$10000,$AM$2)</f>
        <v>0</v>
      </c>
      <c r="AO87" s="151">
        <f>SUMIFS('RULE 37,39,42&amp;43'!$P$6:$P$10000,'RULE 37,39,42&amp;43'!$J$6:$J$10000,$B$84:$B$87,'RULE 37,39,42&amp;43'!$A$6:$A$10000,$AM$2)</f>
        <v>0</v>
      </c>
      <c r="AP87" s="152">
        <f>SUMIFS('RULE 37,39,42&amp;43'!$Q$6:$Q$10000,'RULE 37,39,42&amp;43'!$J$6:$J$10000,$B$84:$B$87,'RULE 37,39,42&amp;43'!$A$6:$A$10000,$AM$2)</f>
        <v>0</v>
      </c>
      <c r="AQ87" s="150">
        <f>SUMIFS('RULE 37,39,42&amp;43'!$N$6:$N$10000,'RULE 37,39,42&amp;43'!$J$6:$J$10000,$B$84:$B$87,'RULE 37,39,42&amp;43'!$A$6:$A$10000,$AQ$2)</f>
        <v>0</v>
      </c>
      <c r="AR87" s="151">
        <f>SUMIFS('RULE 37,39,42&amp;43'!$O$6:$O$10000,'RULE 37,39,42&amp;43'!$J$6:$J$10000,$B$84:$B$87,'RULE 37,39,42&amp;43'!$A$6:$A$10000,$AQ$2)</f>
        <v>0</v>
      </c>
      <c r="AS87" s="151">
        <f>SUMIFS('RULE 37,39,42&amp;43'!$P$6:$P$10000,'RULE 37,39,42&amp;43'!$J$6:$J$10000,$B$84:$B$87,'RULE 37,39,42&amp;43'!$A$6:$A$10000,$AQ$2)</f>
        <v>0</v>
      </c>
      <c r="AT87" s="152">
        <f>SUMIFS('RULE 37,39,42&amp;43'!$Q$6:$Q$10000,'RULE 37,39,42&amp;43'!$J$6:$J$10000,$B$84:$B$87,'RULE 37,39,42&amp;43'!$A$6:$A$10000,$AQ$2)</f>
        <v>0</v>
      </c>
      <c r="AU87" s="150">
        <f>SUMIFS('RULE 37,39,42&amp;43'!$N$6:$N$10000,'RULE 37,39,42&amp;43'!$J$6:$J$10000,$B$84:$B$87,'RULE 37,39,42&amp;43'!$A$6:$A$10000,$AU$2)</f>
        <v>0</v>
      </c>
      <c r="AV87" s="151">
        <f>SUMIFS('RULE 37,39,42&amp;43'!$O$6:$O$10000,'RULE 37,39,42&amp;43'!$J$6:$J$10000,$B$84:$B$87,'RULE 37,39,42&amp;43'!$A$6:$A$10000,$AU$2)</f>
        <v>0</v>
      </c>
      <c r="AW87" s="151">
        <f>SUMIFS('RULE 37,39,42&amp;43'!$P$6:$P$10000,'RULE 37,39,42&amp;43'!$J$6:$J$10000,$B$84:$B$87,'RULE 37,39,42&amp;43'!$A$6:$A$10000,$AU$2)</f>
        <v>0</v>
      </c>
      <c r="AX87" s="152">
        <f>SUMIFS('RULE 37,39,42&amp;43'!$Q$6:$Q$10000,'RULE 37,39,42&amp;43'!$J$6:$J$10000,$B$84:$B$87,'RULE 37,39,42&amp;43'!$A$6:$A$10000,$AU$2)</f>
        <v>0</v>
      </c>
      <c r="AY87" s="150">
        <f t="shared" si="285"/>
        <v>0</v>
      </c>
      <c r="AZ87" s="151">
        <f t="shared" si="286"/>
        <v>0</v>
      </c>
      <c r="BA87" s="151">
        <f t="shared" si="287"/>
        <v>0</v>
      </c>
      <c r="BB87" s="152">
        <f t="shared" si="288"/>
        <v>0</v>
      </c>
    </row>
    <row r="88" spans="1:54" x14ac:dyDescent="0.2">
      <c r="A88" s="167" t="s">
        <v>2553</v>
      </c>
      <c r="B88" s="158"/>
      <c r="C88" s="159">
        <f>SUM(C84:C87)</f>
        <v>-180</v>
      </c>
      <c r="D88" s="160">
        <f t="shared" ref="D88:F88" si="289">SUM(D84:D87)</f>
        <v>0</v>
      </c>
      <c r="E88" s="160">
        <f t="shared" si="289"/>
        <v>-16.2</v>
      </c>
      <c r="F88" s="161">
        <f t="shared" si="289"/>
        <v>-16.2</v>
      </c>
      <c r="G88" s="159">
        <f>SUM(G84:G87)</f>
        <v>-180</v>
      </c>
      <c r="H88" s="160">
        <f t="shared" ref="H88:J88" si="290">SUM(H84:H87)</f>
        <v>0</v>
      </c>
      <c r="I88" s="160">
        <f t="shared" si="290"/>
        <v>-16.2</v>
      </c>
      <c r="J88" s="161">
        <f t="shared" si="290"/>
        <v>-16.2</v>
      </c>
      <c r="K88" s="159">
        <f>SUM(K84:K87)</f>
        <v>-180</v>
      </c>
      <c r="L88" s="160">
        <f t="shared" ref="L88:N88" si="291">SUM(L84:L87)</f>
        <v>0</v>
      </c>
      <c r="M88" s="160">
        <f t="shared" si="291"/>
        <v>-16.2</v>
      </c>
      <c r="N88" s="161">
        <f t="shared" si="291"/>
        <v>-16.2</v>
      </c>
      <c r="O88" s="159">
        <f>SUM(O84:O87)</f>
        <v>-180</v>
      </c>
      <c r="P88" s="160">
        <f t="shared" ref="P88:R88" si="292">SUM(P84:P87)</f>
        <v>0</v>
      </c>
      <c r="Q88" s="160">
        <f t="shared" si="292"/>
        <v>-16.2</v>
      </c>
      <c r="R88" s="161">
        <f t="shared" si="292"/>
        <v>-16.2</v>
      </c>
      <c r="S88" s="159">
        <f>SUM(S84:S87)</f>
        <v>-180</v>
      </c>
      <c r="T88" s="160">
        <f t="shared" ref="T88:V88" si="293">SUM(T84:T87)</f>
        <v>0</v>
      </c>
      <c r="U88" s="160">
        <f t="shared" si="293"/>
        <v>-16.2</v>
      </c>
      <c r="V88" s="161">
        <f t="shared" si="293"/>
        <v>-16.2</v>
      </c>
      <c r="W88" s="159">
        <f>SUM(W84:W87)</f>
        <v>-180</v>
      </c>
      <c r="X88" s="160">
        <f t="shared" ref="X88:Z88" si="294">SUM(X84:X87)</f>
        <v>0</v>
      </c>
      <c r="Y88" s="160">
        <f t="shared" si="294"/>
        <v>-16.2</v>
      </c>
      <c r="Z88" s="161">
        <f t="shared" si="294"/>
        <v>-16.2</v>
      </c>
      <c r="AA88" s="159">
        <f>SUM(AA84:AA87)</f>
        <v>-180</v>
      </c>
      <c r="AB88" s="160">
        <f t="shared" ref="AB88:AD88" si="295">SUM(AB84:AB87)</f>
        <v>0</v>
      </c>
      <c r="AC88" s="160">
        <f t="shared" si="295"/>
        <v>-16.2</v>
      </c>
      <c r="AD88" s="161">
        <f t="shared" si="295"/>
        <v>-16.2</v>
      </c>
      <c r="AE88" s="159">
        <f>SUM(AE84:AE87)</f>
        <v>-180</v>
      </c>
      <c r="AF88" s="160">
        <f t="shared" ref="AF88:AH88" si="296">SUM(AF84:AF87)</f>
        <v>0</v>
      </c>
      <c r="AG88" s="160">
        <f t="shared" si="296"/>
        <v>-16.2</v>
      </c>
      <c r="AH88" s="161">
        <f t="shared" si="296"/>
        <v>-16.2</v>
      </c>
      <c r="AI88" s="159">
        <f>SUM(AI84:AI87)</f>
        <v>-180</v>
      </c>
      <c r="AJ88" s="160">
        <f t="shared" ref="AJ88:AL88" si="297">SUM(AJ84:AJ87)</f>
        <v>0</v>
      </c>
      <c r="AK88" s="160">
        <f t="shared" si="297"/>
        <v>-16.2</v>
      </c>
      <c r="AL88" s="161">
        <f t="shared" si="297"/>
        <v>-16.2</v>
      </c>
      <c r="AM88" s="159">
        <f>SUM(AM84:AM87)</f>
        <v>0</v>
      </c>
      <c r="AN88" s="160">
        <f t="shared" ref="AN88:AP88" si="298">SUM(AN84:AN87)</f>
        <v>0</v>
      </c>
      <c r="AO88" s="160">
        <f t="shared" si="298"/>
        <v>0</v>
      </c>
      <c r="AP88" s="161">
        <f t="shared" si="298"/>
        <v>0</v>
      </c>
      <c r="AQ88" s="159">
        <f>SUM(AQ84:AQ87)</f>
        <v>0</v>
      </c>
      <c r="AR88" s="160">
        <f t="shared" ref="AR88:AT88" si="299">SUM(AR84:AR87)</f>
        <v>0</v>
      </c>
      <c r="AS88" s="160">
        <f t="shared" si="299"/>
        <v>0</v>
      </c>
      <c r="AT88" s="161">
        <f t="shared" si="299"/>
        <v>0</v>
      </c>
      <c r="AU88" s="159">
        <f>SUM(AU84:AU87)</f>
        <v>0</v>
      </c>
      <c r="AV88" s="160">
        <f t="shared" ref="AV88:AX88" si="300">SUM(AV84:AV87)</f>
        <v>0</v>
      </c>
      <c r="AW88" s="160">
        <f t="shared" si="300"/>
        <v>0</v>
      </c>
      <c r="AX88" s="161">
        <f t="shared" si="300"/>
        <v>0</v>
      </c>
      <c r="AY88" s="159">
        <f t="shared" si="285"/>
        <v>-1620</v>
      </c>
      <c r="AZ88" s="160">
        <f t="shared" si="286"/>
        <v>0</v>
      </c>
      <c r="BA88" s="160">
        <f t="shared" si="287"/>
        <v>-145.79999999999998</v>
      </c>
      <c r="BB88" s="161">
        <f t="shared" si="288"/>
        <v>-145.79999999999998</v>
      </c>
    </row>
    <row r="89" spans="1:54" x14ac:dyDescent="0.2">
      <c r="C89" s="172"/>
      <c r="D89" s="173"/>
      <c r="E89" s="173"/>
      <c r="F89" s="174"/>
      <c r="G89" s="172"/>
      <c r="H89" s="173"/>
      <c r="I89" s="173"/>
      <c r="J89" s="174"/>
      <c r="K89" s="172"/>
      <c r="L89" s="173"/>
      <c r="M89" s="173"/>
      <c r="N89" s="174"/>
      <c r="O89" s="172"/>
      <c r="P89" s="173"/>
      <c r="Q89" s="173"/>
      <c r="R89" s="174"/>
      <c r="S89" s="172"/>
      <c r="T89" s="173"/>
      <c r="U89" s="173"/>
      <c r="V89" s="174"/>
      <c r="W89" s="172"/>
      <c r="X89" s="173"/>
      <c r="Y89" s="173"/>
      <c r="Z89" s="174"/>
      <c r="AA89" s="172"/>
      <c r="AB89" s="173"/>
      <c r="AC89" s="173"/>
      <c r="AD89" s="174"/>
      <c r="AE89" s="172"/>
      <c r="AF89" s="173"/>
      <c r="AG89" s="173"/>
      <c r="AH89" s="174"/>
      <c r="AI89" s="172"/>
      <c r="AJ89" s="173"/>
      <c r="AK89" s="173"/>
      <c r="AL89" s="174"/>
      <c r="AM89" s="172"/>
      <c r="AN89" s="173"/>
      <c r="AO89" s="173"/>
      <c r="AP89" s="174"/>
      <c r="AQ89" s="172"/>
      <c r="AR89" s="173"/>
      <c r="AS89" s="173"/>
      <c r="AT89" s="174"/>
      <c r="AU89" s="172"/>
      <c r="AV89" s="173"/>
      <c r="AW89" s="173"/>
      <c r="AX89" s="174"/>
      <c r="AY89" s="172"/>
      <c r="AZ89" s="173"/>
      <c r="BA89" s="173"/>
      <c r="BB89" s="174"/>
    </row>
    <row r="90" spans="1:54" x14ac:dyDescent="0.2">
      <c r="A90" s="163" t="s">
        <v>2566</v>
      </c>
      <c r="B90" s="169"/>
      <c r="C90" s="164"/>
      <c r="D90" s="165"/>
      <c r="E90" s="165"/>
      <c r="F90" s="166"/>
      <c r="G90" s="164"/>
      <c r="H90" s="165"/>
      <c r="I90" s="165"/>
      <c r="J90" s="166"/>
      <c r="K90" s="164"/>
      <c r="L90" s="165"/>
      <c r="M90" s="165"/>
      <c r="N90" s="166"/>
      <c r="O90" s="164"/>
      <c r="P90" s="165"/>
      <c r="Q90" s="165"/>
      <c r="R90" s="166"/>
      <c r="S90" s="164"/>
      <c r="T90" s="165"/>
      <c r="U90" s="165"/>
      <c r="V90" s="166"/>
      <c r="W90" s="164"/>
      <c r="X90" s="165"/>
      <c r="Y90" s="165"/>
      <c r="Z90" s="166"/>
      <c r="AA90" s="164"/>
      <c r="AB90" s="165"/>
      <c r="AC90" s="165"/>
      <c r="AD90" s="166"/>
      <c r="AE90" s="164"/>
      <c r="AF90" s="165"/>
      <c r="AG90" s="165"/>
      <c r="AH90" s="166"/>
      <c r="AI90" s="164"/>
      <c r="AJ90" s="165"/>
      <c r="AK90" s="165"/>
      <c r="AL90" s="166"/>
      <c r="AM90" s="164"/>
      <c r="AN90" s="165"/>
      <c r="AO90" s="165"/>
      <c r="AP90" s="166"/>
      <c r="AQ90" s="164"/>
      <c r="AR90" s="165"/>
      <c r="AS90" s="165"/>
      <c r="AT90" s="166"/>
      <c r="AU90" s="164"/>
      <c r="AV90" s="165"/>
      <c r="AW90" s="165"/>
      <c r="AX90" s="166"/>
      <c r="AY90" s="164"/>
      <c r="AZ90" s="165"/>
      <c r="BA90" s="165"/>
      <c r="BB90" s="166"/>
    </row>
    <row r="91" spans="1:54" x14ac:dyDescent="0.2">
      <c r="A91" s="155" t="s">
        <v>2548</v>
      </c>
      <c r="B91" s="156">
        <v>5</v>
      </c>
      <c r="C91" s="150">
        <f>SUMIFS('SEC (17)'!$O$6:$O$10000,'SEC (17)'!$J$6:$J$10000,$B$91:$B$94,'SEC (17)'!$A$6:$A$10000,$C$2)</f>
        <v>0</v>
      </c>
      <c r="D91" s="151">
        <f>SUMIFS('SEC (17)'!$P$6:$P$10000,'SEC (17)'!$J$6:$J$10000,$B$91:$B$94,'SEC (17)'!$A$6:$A$10000,$C$2)</f>
        <v>0</v>
      </c>
      <c r="E91" s="151">
        <f>SUMIFS('SEC (17)'!$Q$6:$Q$10000,'SEC (17)'!$J$6:$J$10000,$B$91:$B$94,'SEC (17)'!$A$6:$A$10000,$C$2)</f>
        <v>0</v>
      </c>
      <c r="F91" s="152">
        <f>SUMIFS('SEC (17)'!$R$6:$R$10000,'SEC (17)'!$J$6:$J$10000,$B$91:$B$94,'SEC (17)'!$A$6:$A$10000,$C$2)</f>
        <v>0</v>
      </c>
      <c r="G91" s="150">
        <f>SUMIFS('SEC (17)'!$O$6:$O$10000,'SEC (17)'!$J$6:$J$10000,$B$91:$B$94,'SEC (17)'!$A$6:$A$10000,$G$2)</f>
        <v>0</v>
      </c>
      <c r="H91" s="151">
        <f>SUMIFS('SEC (17)'!$P$6:$P$10000,'SEC (17)'!$J$6:$J$10000,$B$91:$B$94,'SEC (17)'!$A$6:$A$10000,$G$2)</f>
        <v>0</v>
      </c>
      <c r="I91" s="151">
        <f>SUMIFS('SEC (17)'!$Q$6:$Q$10000,'SEC (17)'!$J$6:$J$10000,$B$91:$B$94,'SEC (17)'!$A$6:$A$10000,$G$2)</f>
        <v>0</v>
      </c>
      <c r="J91" s="152">
        <f>SUMIFS('SEC (17)'!$R$6:$R$10000,'SEC (17)'!$J$6:$J$10000,$B$91:$B$94,'SEC (17)'!$A$6:$A$10000,$G$2)</f>
        <v>0</v>
      </c>
      <c r="K91" s="150">
        <f>SUMIFS('SEC (17)'!$O$6:$O$10000,'SEC (17)'!$J$6:$J$10000,$B$91:$B$94,'SEC (17)'!$A$6:$A$10000,$K$2)</f>
        <v>0</v>
      </c>
      <c r="L91" s="151">
        <f>SUMIFS('SEC (17)'!$P$6:$P$10000,'SEC (17)'!$J$6:$J$10000,$B$91:$B$94,'SEC (17)'!$A$6:$A$10000,$K$2)</f>
        <v>0</v>
      </c>
      <c r="M91" s="151">
        <f>SUMIFS('SEC (17)'!$Q$6:$Q$10000,'SEC (17)'!$J$6:$J$10000,$B$91:$B$94,'SEC (17)'!$A$6:$A$10000,$K$2)</f>
        <v>0</v>
      </c>
      <c r="N91" s="152">
        <f>SUMIFS('SEC (17)'!$R$6:$R$10000,'SEC (17)'!$J$6:$J$10000,$B$91:$B$94,'SEC (17)'!$A$6:$A$10000,$K$2)</f>
        <v>0</v>
      </c>
      <c r="O91" s="150">
        <f>SUMIFS('SEC (17)'!$O$6:$O$10000,'SEC (17)'!$J$6:$J$10000,$B$91:$B$94,'SEC (17)'!$A$6:$A$10000,$O$2)</f>
        <v>0</v>
      </c>
      <c r="P91" s="151">
        <f>SUMIFS('SEC (17)'!$P$6:$P$10000,'SEC (17)'!$J$6:$J$10000,$B$91:$B$94,'SEC (17)'!$A$6:$A$10000,$O$2)</f>
        <v>0</v>
      </c>
      <c r="Q91" s="151">
        <f>SUMIFS('SEC (17)'!$Q$6:$Q$10000,'SEC (17)'!$J$6:$J$10000,$B$91:$B$94,'SEC (17)'!$A$6:$A$10000,$O$2)</f>
        <v>0</v>
      </c>
      <c r="R91" s="152">
        <f>SUMIFS('SEC (17)'!$R$6:$R$10000,'SEC (17)'!$J$6:$J$10000,$B$91:$B$94,'SEC (17)'!$A$6:$A$10000,$O$2)</f>
        <v>0</v>
      </c>
      <c r="S91" s="150">
        <f>SUMIFS('SEC (17)'!$O$6:$O$10000,'SEC (17)'!$J$6:$J$10000,$B$91:$B$94,'SEC (17)'!$A$6:$A$10000,$S$2)</f>
        <v>0</v>
      </c>
      <c r="T91" s="151">
        <f>SUMIFS('SEC (17)'!$P$6:$P$10000,'SEC (17)'!$J$6:$J$10000,$B$91:$B$94,'SEC (17)'!$A$6:$A$10000,$S$2)</f>
        <v>0</v>
      </c>
      <c r="U91" s="151">
        <f>SUMIFS('SEC (17)'!$Q$6:$Q$10000,'SEC (17)'!$J$6:$J$10000,$B$91:$B$94,'SEC (17)'!$A$6:$A$10000,$S$2)</f>
        <v>0</v>
      </c>
      <c r="V91" s="152">
        <f>SUMIFS('SEC (17)'!$R$6:$R$10000,'SEC (17)'!$J$6:$J$10000,$B$91:$B$94,'SEC (17)'!$A$6:$A$10000,$S$2)</f>
        <v>0</v>
      </c>
      <c r="W91" s="150">
        <f>SUMIFS('SEC (17)'!$O$6:$O$10000,'SEC (17)'!$J$6:$J$10000,$B$91:$B$94,'SEC (17)'!$A$6:$A$10000,$W$2)</f>
        <v>0</v>
      </c>
      <c r="X91" s="151">
        <f>SUMIFS('SEC (17)'!$P$6:$P$10000,'SEC (17)'!$J$6:$J$10000,$B$91:$B$94,'SEC (17)'!$A$6:$A$10000,$W$2)</f>
        <v>0</v>
      </c>
      <c r="Y91" s="151">
        <f>SUMIFS('SEC (17)'!$Q$6:$Q$10000,'SEC (17)'!$J$6:$J$10000,$B$91:$B$94,'SEC (17)'!$A$6:$A$10000,$W$2)</f>
        <v>0</v>
      </c>
      <c r="Z91" s="152">
        <f>SUMIFS('SEC (17)'!$R$6:$R$10000,'SEC (17)'!$J$6:$J$10000,$B$91:$B$94,'SEC (17)'!$A$6:$A$10000,$W$2)</f>
        <v>0</v>
      </c>
      <c r="AA91" s="150">
        <f>SUMIFS('SEC (17)'!$O$6:$O$10000,'SEC (17)'!$J$6:$J$10000,$B$91:$B$94,'SEC (17)'!$A$6:$A$10000,$AA$2)</f>
        <v>0</v>
      </c>
      <c r="AB91" s="151">
        <f>SUMIFS('SEC (17)'!$P$6:$P$10000,'SEC (17)'!$J$6:$J$10000,$B$91:$B$94,'SEC (17)'!$A$6:$A$10000,$AA$2)</f>
        <v>0</v>
      </c>
      <c r="AC91" s="151">
        <f>SUMIFS('SEC (17)'!$Q$6:$Q$10000,'SEC (17)'!$J$6:$J$10000,$B$91:$B$94,'SEC (17)'!$A$6:$A$10000,$AA$2)</f>
        <v>0</v>
      </c>
      <c r="AD91" s="152">
        <f>SUMIFS('SEC (17)'!$R$6:$R$10000,'SEC (17)'!$J$6:$J$10000,$B$91:$B$94,'SEC (17)'!$A$6:$A$10000,$AA$2)</f>
        <v>0</v>
      </c>
      <c r="AE91" s="150">
        <f>SUMIFS('SEC (17)'!$O$6:$O$10000,'SEC (17)'!$J$6:$J$10000,$B$91:$B$94,'SEC (17)'!$A$6:$A$10000,$AE$2)</f>
        <v>0</v>
      </c>
      <c r="AF91" s="151">
        <f>SUMIFS('SEC (17)'!$P$6:$P$10000,'SEC (17)'!$J$6:$J$10000,$B$91:$B$94,'SEC (17)'!$A$6:$A$10000,$AE$2)</f>
        <v>0</v>
      </c>
      <c r="AG91" s="151">
        <f>SUMIFS('SEC (17)'!$Q$6:$Q$10000,'SEC (17)'!$J$6:$J$10000,$B$91:$B$94,'SEC (17)'!$A$6:$A$10000,$AE$2)</f>
        <v>0</v>
      </c>
      <c r="AH91" s="152">
        <f>SUMIFS('SEC (17)'!$R$6:$R$10000,'SEC (17)'!$J$6:$J$10000,$B$91:$B$94,'SEC (17)'!$A$6:$A$10000,$AE$2)</f>
        <v>0</v>
      </c>
      <c r="AI91" s="150">
        <f>SUMIFS('SEC (17)'!$O$6:$O$10000,'SEC (17)'!$J$6:$J$10000,$B$91:$B$94,'SEC (17)'!$A$6:$A$10000,$AI$2)</f>
        <v>0</v>
      </c>
      <c r="AJ91" s="151">
        <f>SUMIFS('SEC (17)'!$P$6:$P$10000,'SEC (17)'!$J$6:$J$10000,$B$91:$B$94,'SEC (17)'!$A$6:$A$10000,$AI$2)</f>
        <v>0</v>
      </c>
      <c r="AK91" s="151">
        <f>SUMIFS('SEC (17)'!$Q$6:$Q$10000,'SEC (17)'!$J$6:$J$10000,$B$91:$B$94,'SEC (17)'!$A$6:$A$10000,$AI$2)</f>
        <v>0</v>
      </c>
      <c r="AL91" s="152">
        <f>SUMIFS('SEC (17)'!$R$6:$R$10000,'SEC (17)'!$J$6:$J$10000,$B$91:$B$94,'SEC (17)'!$A$6:$A$10000,$AI$2)</f>
        <v>0</v>
      </c>
      <c r="AM91" s="150">
        <f>SUMIFS('SEC (17)'!$O$6:$O$10000,'SEC (17)'!$J$6:$J$10000,$B$91:$B$94,'SEC (17)'!$A$6:$A$10000,$AM$2)</f>
        <v>0</v>
      </c>
      <c r="AN91" s="151">
        <f>SUMIFS('SEC (17)'!$P$6:$P$10000,'SEC (17)'!$J$6:$J$10000,$B$91:$B$94,'SEC (17)'!$A$6:$A$10000,$AM$2)</f>
        <v>0</v>
      </c>
      <c r="AO91" s="151">
        <f>SUMIFS('SEC (17)'!$Q$6:$Q$10000,'SEC (17)'!$J$6:$J$10000,$B$91:$B$94,'SEC (17)'!$A$6:$A$10000,$AM$2)</f>
        <v>0</v>
      </c>
      <c r="AP91" s="152">
        <f>SUMIFS('SEC (17)'!$R$6:$R$10000,'SEC (17)'!$J$6:$J$10000,$B$91:$B$94,'SEC (17)'!$A$6:$A$10000,$AM$2)</f>
        <v>0</v>
      </c>
      <c r="AQ91" s="150">
        <f>SUMIFS('SEC (17)'!$O$6:$O$10000,'SEC (17)'!$J$6:$J$10000,$B$91:$B$94,'SEC (17)'!$A$6:$A$10000,$AQ$2)</f>
        <v>0</v>
      </c>
      <c r="AR91" s="151">
        <f>SUMIFS('SEC (17)'!$P$6:$P$10000,'SEC (17)'!$J$6:$J$10000,$B$91:$B$94,'SEC (17)'!$A$6:$A$10000,$AQ$2)</f>
        <v>0</v>
      </c>
      <c r="AS91" s="151">
        <f>SUMIFS('SEC (17)'!$Q$6:$Q$10000,'SEC (17)'!$J$6:$J$10000,$B$91:$B$94,'SEC (17)'!$A$6:$A$10000,$AQ$2)</f>
        <v>0</v>
      </c>
      <c r="AT91" s="152">
        <f>SUMIFS('SEC (17)'!$R$6:$R$10000,'SEC (17)'!$J$6:$J$10000,$B$91:$B$94,'SEC (17)'!$A$6:$A$10000,$AQ$2)</f>
        <v>0</v>
      </c>
      <c r="AU91" s="150">
        <f>SUMIFS('SEC (17)'!$O$6:$O$10000,'SEC (17)'!$J$6:$J$10000,$B$91:$B$94,'SEC (17)'!$A$6:$A$10000,$AU$2)</f>
        <v>0</v>
      </c>
      <c r="AV91" s="151">
        <f>SUMIFS('SEC (17)'!$P$6:$P$10000,'SEC (17)'!$J$6:$J$10000,$B$91:$B$94,'SEC (17)'!$A$6:$A$10000,$AU$2)</f>
        <v>0</v>
      </c>
      <c r="AW91" s="151">
        <f>SUMIFS('SEC (17)'!$Q$6:$Q$10000,'SEC (17)'!$J$6:$J$10000,$B$91:$B$94,'SEC (17)'!$A$6:$A$10000,$AU$2)</f>
        <v>0</v>
      </c>
      <c r="AX91" s="152">
        <f>SUMIFS('SEC (17)'!$R$6:$R$10000,'SEC (17)'!$J$6:$J$10000,$B$91:$B$94,'SEC (17)'!$A$6:$A$10000,$AU$2)</f>
        <v>0</v>
      </c>
      <c r="AY91" s="150">
        <f t="shared" ref="AY91:AY95" si="301">+C91+G91+K91+O91+S91+W91+AA91+AE91+AI91+AM91+AQ91+AU91</f>
        <v>0</v>
      </c>
      <c r="AZ91" s="151">
        <f t="shared" ref="AZ91:AZ95" si="302">+D91+H91+L91+P91+T91+X91+AB91+AF91+AJ91+AN91+AR91+AV91</f>
        <v>0</v>
      </c>
      <c r="BA91" s="151">
        <f t="shared" ref="BA91:BA95" si="303">+E91+I91+M91+Q91+U91+Y91+AC91+AG91+AK91+AO91+AS91+AW91</f>
        <v>0</v>
      </c>
      <c r="BB91" s="152">
        <f t="shared" ref="BB91:BB95" si="304">+F91+J91+N91+R91+V91+Z91+AD91+AH91+AL91+AP91+AT91+AX91</f>
        <v>0</v>
      </c>
    </row>
    <row r="92" spans="1:54" x14ac:dyDescent="0.2">
      <c r="A92" s="155" t="s">
        <v>2549</v>
      </c>
      <c r="B92" s="156">
        <v>12</v>
      </c>
      <c r="C92" s="150">
        <f>SUMIFS('SEC (17)'!$O$6:$O$10000,'SEC (17)'!$J$6:$J$10000,$B$91:$B$94,'SEC (17)'!$A$6:$A$10000,$C$2)</f>
        <v>0</v>
      </c>
      <c r="D92" s="151">
        <f>SUMIFS('SEC (17)'!$P$6:$P$10000,'SEC (17)'!$J$6:$J$10000,$B$91:$B$94,'SEC (17)'!$A$6:$A$10000,$C$2)</f>
        <v>0</v>
      </c>
      <c r="E92" s="151">
        <f>SUMIFS('SEC (17)'!$Q$6:$Q$10000,'SEC (17)'!$J$6:$J$10000,$B$91:$B$94,'SEC (17)'!$A$6:$A$10000,$C$2)</f>
        <v>0</v>
      </c>
      <c r="F92" s="152">
        <f>SUMIFS('SEC (17)'!$R$6:$R$10000,'SEC (17)'!$J$6:$J$10000,$B$91:$B$94,'SEC (17)'!$A$6:$A$10000,$C$2)</f>
        <v>0</v>
      </c>
      <c r="G92" s="150">
        <f>SUMIFS('SEC (17)'!$O$6:$O$10000,'SEC (17)'!$J$6:$J$10000,$B$91:$B$94,'SEC (17)'!$A$6:$A$10000,$G$2)</f>
        <v>0</v>
      </c>
      <c r="H92" s="151">
        <f>SUMIFS('SEC (17)'!$P$6:$P$10000,'SEC (17)'!$J$6:$J$10000,$B$91:$B$94,'SEC (17)'!$A$6:$A$10000,$G$2)</f>
        <v>0</v>
      </c>
      <c r="I92" s="151">
        <f>SUMIFS('SEC (17)'!$Q$6:$Q$10000,'SEC (17)'!$J$6:$J$10000,$B$91:$B$94,'SEC (17)'!$A$6:$A$10000,$G$2)</f>
        <v>0</v>
      </c>
      <c r="J92" s="152">
        <f>SUMIFS('SEC (17)'!$R$6:$R$10000,'SEC (17)'!$J$6:$J$10000,$B$91:$B$94,'SEC (17)'!$A$6:$A$10000,$G$2)</f>
        <v>0</v>
      </c>
      <c r="K92" s="150">
        <f>SUMIFS('SEC (17)'!$O$6:$O$10000,'SEC (17)'!$J$6:$J$10000,$B$91:$B$94,'SEC (17)'!$A$6:$A$10000,$K$2)</f>
        <v>0</v>
      </c>
      <c r="L92" s="151">
        <f>SUMIFS('SEC (17)'!$P$6:$P$10000,'SEC (17)'!$J$6:$J$10000,$B$91:$B$94,'SEC (17)'!$A$6:$A$10000,$K$2)</f>
        <v>0</v>
      </c>
      <c r="M92" s="151">
        <f>SUMIFS('SEC (17)'!$Q$6:$Q$10000,'SEC (17)'!$J$6:$J$10000,$B$91:$B$94,'SEC (17)'!$A$6:$A$10000,$K$2)</f>
        <v>0</v>
      </c>
      <c r="N92" s="152">
        <f>SUMIFS('SEC (17)'!$R$6:$R$10000,'SEC (17)'!$J$6:$J$10000,$B$91:$B$94,'SEC (17)'!$A$6:$A$10000,$K$2)</f>
        <v>0</v>
      </c>
      <c r="O92" s="150">
        <f>SUMIFS('SEC (17)'!$O$6:$O$10000,'SEC (17)'!$J$6:$J$10000,$B$91:$B$94,'SEC (17)'!$A$6:$A$10000,$O$2)</f>
        <v>0</v>
      </c>
      <c r="P92" s="151">
        <f>SUMIFS('SEC (17)'!$P$6:$P$10000,'SEC (17)'!$J$6:$J$10000,$B$91:$B$94,'SEC (17)'!$A$6:$A$10000,$O$2)</f>
        <v>0</v>
      </c>
      <c r="Q92" s="151">
        <f>SUMIFS('SEC (17)'!$Q$6:$Q$10000,'SEC (17)'!$J$6:$J$10000,$B$91:$B$94,'SEC (17)'!$A$6:$A$10000,$O$2)</f>
        <v>0</v>
      </c>
      <c r="R92" s="152">
        <f>SUMIFS('SEC (17)'!$R$6:$R$10000,'SEC (17)'!$J$6:$J$10000,$B$91:$B$94,'SEC (17)'!$A$6:$A$10000,$O$2)</f>
        <v>0</v>
      </c>
      <c r="S92" s="150">
        <f>SUMIFS('SEC (17)'!$O$6:$O$10000,'SEC (17)'!$J$6:$J$10000,$B$91:$B$94,'SEC (17)'!$A$6:$A$10000,$S$2)</f>
        <v>0</v>
      </c>
      <c r="T92" s="151">
        <f>SUMIFS('SEC (17)'!$P$6:$P$10000,'SEC (17)'!$J$6:$J$10000,$B$91:$B$94,'SEC (17)'!$A$6:$A$10000,$S$2)</f>
        <v>0</v>
      </c>
      <c r="U92" s="151">
        <f>SUMIFS('SEC (17)'!$Q$6:$Q$10000,'SEC (17)'!$J$6:$J$10000,$B$91:$B$94,'SEC (17)'!$A$6:$A$10000,$S$2)</f>
        <v>0</v>
      </c>
      <c r="V92" s="152">
        <f>SUMIFS('SEC (17)'!$R$6:$R$10000,'SEC (17)'!$J$6:$J$10000,$B$91:$B$94,'SEC (17)'!$A$6:$A$10000,$S$2)</f>
        <v>0</v>
      </c>
      <c r="W92" s="150">
        <f>SUMIFS('SEC (17)'!$O$6:$O$10000,'SEC (17)'!$J$6:$J$10000,$B$91:$B$94,'SEC (17)'!$A$6:$A$10000,$W$2)</f>
        <v>0</v>
      </c>
      <c r="X92" s="151">
        <f>SUMIFS('SEC (17)'!$P$6:$P$10000,'SEC (17)'!$J$6:$J$10000,$B$91:$B$94,'SEC (17)'!$A$6:$A$10000,$W$2)</f>
        <v>0</v>
      </c>
      <c r="Y92" s="151">
        <f>SUMIFS('SEC (17)'!$Q$6:$Q$10000,'SEC (17)'!$J$6:$J$10000,$B$91:$B$94,'SEC (17)'!$A$6:$A$10000,$W$2)</f>
        <v>0</v>
      </c>
      <c r="Z92" s="152">
        <f>SUMIFS('SEC (17)'!$R$6:$R$10000,'SEC (17)'!$J$6:$J$10000,$B$91:$B$94,'SEC (17)'!$A$6:$A$10000,$W$2)</f>
        <v>0</v>
      </c>
      <c r="AA92" s="150">
        <f>SUMIFS('SEC (17)'!$O$6:$O$10000,'SEC (17)'!$J$6:$J$10000,$B$91:$B$94,'SEC (17)'!$A$6:$A$10000,$AA$2)</f>
        <v>0</v>
      </c>
      <c r="AB92" s="151">
        <f>SUMIFS('SEC (17)'!$P$6:$P$10000,'SEC (17)'!$J$6:$J$10000,$B$91:$B$94,'SEC (17)'!$A$6:$A$10000,$AA$2)</f>
        <v>0</v>
      </c>
      <c r="AC92" s="151">
        <f>SUMIFS('SEC (17)'!$Q$6:$Q$10000,'SEC (17)'!$J$6:$J$10000,$B$91:$B$94,'SEC (17)'!$A$6:$A$10000,$AA$2)</f>
        <v>0</v>
      </c>
      <c r="AD92" s="152">
        <f>SUMIFS('SEC (17)'!$R$6:$R$10000,'SEC (17)'!$J$6:$J$10000,$B$91:$B$94,'SEC (17)'!$A$6:$A$10000,$AA$2)</f>
        <v>0</v>
      </c>
      <c r="AE92" s="150">
        <f>SUMIFS('SEC (17)'!$O$6:$O$10000,'SEC (17)'!$J$6:$J$10000,$B$91:$B$94,'SEC (17)'!$A$6:$A$10000,$AE$2)</f>
        <v>0</v>
      </c>
      <c r="AF92" s="151">
        <f>SUMIFS('SEC (17)'!$P$6:$P$10000,'SEC (17)'!$J$6:$J$10000,$B$91:$B$94,'SEC (17)'!$A$6:$A$10000,$AE$2)</f>
        <v>0</v>
      </c>
      <c r="AG92" s="151">
        <f>SUMIFS('SEC (17)'!$Q$6:$Q$10000,'SEC (17)'!$J$6:$J$10000,$B$91:$B$94,'SEC (17)'!$A$6:$A$10000,$AE$2)</f>
        <v>0</v>
      </c>
      <c r="AH92" s="152">
        <f>SUMIFS('SEC (17)'!$R$6:$R$10000,'SEC (17)'!$J$6:$J$10000,$B$91:$B$94,'SEC (17)'!$A$6:$A$10000,$AE$2)</f>
        <v>0</v>
      </c>
      <c r="AI92" s="150">
        <f>SUMIFS('SEC (17)'!$O$6:$O$10000,'SEC (17)'!$J$6:$J$10000,$B$91:$B$94,'SEC (17)'!$A$6:$A$10000,$AI$2)</f>
        <v>0</v>
      </c>
      <c r="AJ92" s="151">
        <f>SUMIFS('SEC (17)'!$P$6:$P$10000,'SEC (17)'!$J$6:$J$10000,$B$91:$B$94,'SEC (17)'!$A$6:$A$10000,$AI$2)</f>
        <v>0</v>
      </c>
      <c r="AK92" s="151">
        <f>SUMIFS('SEC (17)'!$Q$6:$Q$10000,'SEC (17)'!$J$6:$J$10000,$B$91:$B$94,'SEC (17)'!$A$6:$A$10000,$AI$2)</f>
        <v>0</v>
      </c>
      <c r="AL92" s="152">
        <f>SUMIFS('SEC (17)'!$R$6:$R$10000,'SEC (17)'!$J$6:$J$10000,$B$91:$B$94,'SEC (17)'!$A$6:$A$10000,$AI$2)</f>
        <v>0</v>
      </c>
      <c r="AM92" s="150">
        <f>SUMIFS('SEC (17)'!$O$6:$O$10000,'SEC (17)'!$J$6:$J$10000,$B$91:$B$94,'SEC (17)'!$A$6:$A$10000,$AM$2)</f>
        <v>0</v>
      </c>
      <c r="AN92" s="151">
        <f>SUMIFS('SEC (17)'!$P$6:$P$10000,'SEC (17)'!$J$6:$J$10000,$B$91:$B$94,'SEC (17)'!$A$6:$A$10000,$AM$2)</f>
        <v>0</v>
      </c>
      <c r="AO92" s="151">
        <f>SUMIFS('SEC (17)'!$Q$6:$Q$10000,'SEC (17)'!$J$6:$J$10000,$B$91:$B$94,'SEC (17)'!$A$6:$A$10000,$AM$2)</f>
        <v>0</v>
      </c>
      <c r="AP92" s="152">
        <f>SUMIFS('SEC (17)'!$R$6:$R$10000,'SEC (17)'!$J$6:$J$10000,$B$91:$B$94,'SEC (17)'!$A$6:$A$10000,$AM$2)</f>
        <v>0</v>
      </c>
      <c r="AQ92" s="150">
        <f>SUMIFS('SEC (17)'!$O$6:$O$10000,'SEC (17)'!$J$6:$J$10000,$B$91:$B$94,'SEC (17)'!$A$6:$A$10000,$AQ$2)</f>
        <v>0</v>
      </c>
      <c r="AR92" s="151">
        <f>SUMIFS('SEC (17)'!$P$6:$P$10000,'SEC (17)'!$J$6:$J$10000,$B$91:$B$94,'SEC (17)'!$A$6:$A$10000,$AQ$2)</f>
        <v>0</v>
      </c>
      <c r="AS92" s="151">
        <f>SUMIFS('SEC (17)'!$Q$6:$Q$10000,'SEC (17)'!$J$6:$J$10000,$B$91:$B$94,'SEC (17)'!$A$6:$A$10000,$AQ$2)</f>
        <v>0</v>
      </c>
      <c r="AT92" s="152">
        <f>SUMIFS('SEC (17)'!$R$6:$R$10000,'SEC (17)'!$J$6:$J$10000,$B$91:$B$94,'SEC (17)'!$A$6:$A$10000,$AQ$2)</f>
        <v>0</v>
      </c>
      <c r="AU92" s="150">
        <f>SUMIFS('SEC (17)'!$O$6:$O$10000,'SEC (17)'!$J$6:$J$10000,$B$91:$B$94,'SEC (17)'!$A$6:$A$10000,$AU$2)</f>
        <v>0</v>
      </c>
      <c r="AV92" s="151">
        <f>SUMIFS('SEC (17)'!$P$6:$P$10000,'SEC (17)'!$J$6:$J$10000,$B$91:$B$94,'SEC (17)'!$A$6:$A$10000,$AU$2)</f>
        <v>0</v>
      </c>
      <c r="AW92" s="151">
        <f>SUMIFS('SEC (17)'!$Q$6:$Q$10000,'SEC (17)'!$J$6:$J$10000,$B$91:$B$94,'SEC (17)'!$A$6:$A$10000,$AU$2)</f>
        <v>0</v>
      </c>
      <c r="AX92" s="152">
        <f>SUMIFS('SEC (17)'!$R$6:$R$10000,'SEC (17)'!$J$6:$J$10000,$B$91:$B$94,'SEC (17)'!$A$6:$A$10000,$AU$2)</f>
        <v>0</v>
      </c>
      <c r="AY92" s="150">
        <f t="shared" si="301"/>
        <v>0</v>
      </c>
      <c r="AZ92" s="151">
        <f t="shared" si="302"/>
        <v>0</v>
      </c>
      <c r="BA92" s="151">
        <f t="shared" si="303"/>
        <v>0</v>
      </c>
      <c r="BB92" s="152">
        <f t="shared" si="304"/>
        <v>0</v>
      </c>
    </row>
    <row r="93" spans="1:54" x14ac:dyDescent="0.2">
      <c r="A93" s="155" t="s">
        <v>2550</v>
      </c>
      <c r="B93" s="156">
        <v>18</v>
      </c>
      <c r="C93" s="150">
        <f>SUMIFS('SEC (17)'!$O$6:$O$10000,'SEC (17)'!$J$6:$J$10000,$B$91:$B$94,'SEC (17)'!$A$6:$A$10000,$C$2)</f>
        <v>0</v>
      </c>
      <c r="D93" s="151">
        <f>SUMIFS('SEC (17)'!$P$6:$P$10000,'SEC (17)'!$J$6:$J$10000,$B$91:$B$94,'SEC (17)'!$A$6:$A$10000,$C$2)</f>
        <v>0</v>
      </c>
      <c r="E93" s="151">
        <f>SUMIFS('SEC (17)'!$Q$6:$Q$10000,'SEC (17)'!$J$6:$J$10000,$B$91:$B$94,'SEC (17)'!$A$6:$A$10000,$C$2)</f>
        <v>0</v>
      </c>
      <c r="F93" s="152">
        <f>SUMIFS('SEC (17)'!$R$6:$R$10000,'SEC (17)'!$J$6:$J$10000,$B$91:$B$94,'SEC (17)'!$A$6:$A$10000,$C$2)</f>
        <v>0</v>
      </c>
      <c r="G93" s="150">
        <f>SUMIFS('SEC (17)'!$O$6:$O$10000,'SEC (17)'!$J$6:$J$10000,$B$91:$B$94,'SEC (17)'!$A$6:$A$10000,$G$2)</f>
        <v>0</v>
      </c>
      <c r="H93" s="151">
        <f>SUMIFS('SEC (17)'!$P$6:$P$10000,'SEC (17)'!$J$6:$J$10000,$B$91:$B$94,'SEC (17)'!$A$6:$A$10000,$G$2)</f>
        <v>0</v>
      </c>
      <c r="I93" s="151">
        <f>SUMIFS('SEC (17)'!$Q$6:$Q$10000,'SEC (17)'!$J$6:$J$10000,$B$91:$B$94,'SEC (17)'!$A$6:$A$10000,$G$2)</f>
        <v>0</v>
      </c>
      <c r="J93" s="152">
        <f>SUMIFS('SEC (17)'!$R$6:$R$10000,'SEC (17)'!$J$6:$J$10000,$B$91:$B$94,'SEC (17)'!$A$6:$A$10000,$G$2)</f>
        <v>0</v>
      </c>
      <c r="K93" s="150">
        <f>SUMIFS('SEC (17)'!$O$6:$O$10000,'SEC (17)'!$J$6:$J$10000,$B$91:$B$94,'SEC (17)'!$A$6:$A$10000,$K$2)</f>
        <v>0</v>
      </c>
      <c r="L93" s="151">
        <f>SUMIFS('SEC (17)'!$P$6:$P$10000,'SEC (17)'!$J$6:$J$10000,$B$91:$B$94,'SEC (17)'!$A$6:$A$10000,$K$2)</f>
        <v>0</v>
      </c>
      <c r="M93" s="151">
        <f>SUMIFS('SEC (17)'!$Q$6:$Q$10000,'SEC (17)'!$J$6:$J$10000,$B$91:$B$94,'SEC (17)'!$A$6:$A$10000,$K$2)</f>
        <v>0</v>
      </c>
      <c r="N93" s="152">
        <f>SUMIFS('SEC (17)'!$R$6:$R$10000,'SEC (17)'!$J$6:$J$10000,$B$91:$B$94,'SEC (17)'!$A$6:$A$10000,$K$2)</f>
        <v>0</v>
      </c>
      <c r="O93" s="150">
        <f>SUMIFS('SEC (17)'!$O$6:$O$10000,'SEC (17)'!$J$6:$J$10000,$B$91:$B$94,'SEC (17)'!$A$6:$A$10000,$O$2)</f>
        <v>0</v>
      </c>
      <c r="P93" s="151">
        <f>SUMIFS('SEC (17)'!$P$6:$P$10000,'SEC (17)'!$J$6:$J$10000,$B$91:$B$94,'SEC (17)'!$A$6:$A$10000,$O$2)</f>
        <v>0</v>
      </c>
      <c r="Q93" s="151">
        <f>SUMIFS('SEC (17)'!$Q$6:$Q$10000,'SEC (17)'!$J$6:$J$10000,$B$91:$B$94,'SEC (17)'!$A$6:$A$10000,$O$2)</f>
        <v>0</v>
      </c>
      <c r="R93" s="152">
        <f>SUMIFS('SEC (17)'!$R$6:$R$10000,'SEC (17)'!$J$6:$J$10000,$B$91:$B$94,'SEC (17)'!$A$6:$A$10000,$O$2)</f>
        <v>0</v>
      </c>
      <c r="S93" s="150">
        <f>SUMIFS('SEC (17)'!$O$6:$O$10000,'SEC (17)'!$J$6:$J$10000,$B$91:$B$94,'SEC (17)'!$A$6:$A$10000,$S$2)</f>
        <v>0</v>
      </c>
      <c r="T93" s="151">
        <f>SUMIFS('SEC (17)'!$P$6:$P$10000,'SEC (17)'!$J$6:$J$10000,$B$91:$B$94,'SEC (17)'!$A$6:$A$10000,$S$2)</f>
        <v>0</v>
      </c>
      <c r="U93" s="151">
        <f>SUMIFS('SEC (17)'!$Q$6:$Q$10000,'SEC (17)'!$J$6:$J$10000,$B$91:$B$94,'SEC (17)'!$A$6:$A$10000,$S$2)</f>
        <v>0</v>
      </c>
      <c r="V93" s="152">
        <f>SUMIFS('SEC (17)'!$R$6:$R$10000,'SEC (17)'!$J$6:$J$10000,$B$91:$B$94,'SEC (17)'!$A$6:$A$10000,$S$2)</f>
        <v>0</v>
      </c>
      <c r="W93" s="150">
        <f>SUMIFS('SEC (17)'!$O$6:$O$10000,'SEC (17)'!$J$6:$J$10000,$B$91:$B$94,'SEC (17)'!$A$6:$A$10000,$W$2)</f>
        <v>0</v>
      </c>
      <c r="X93" s="151">
        <f>SUMIFS('SEC (17)'!$P$6:$P$10000,'SEC (17)'!$J$6:$J$10000,$B$91:$B$94,'SEC (17)'!$A$6:$A$10000,$W$2)</f>
        <v>0</v>
      </c>
      <c r="Y93" s="151">
        <f>SUMIFS('SEC (17)'!$Q$6:$Q$10000,'SEC (17)'!$J$6:$J$10000,$B$91:$B$94,'SEC (17)'!$A$6:$A$10000,$W$2)</f>
        <v>0</v>
      </c>
      <c r="Z93" s="152">
        <f>SUMIFS('SEC (17)'!$R$6:$R$10000,'SEC (17)'!$J$6:$J$10000,$B$91:$B$94,'SEC (17)'!$A$6:$A$10000,$W$2)</f>
        <v>0</v>
      </c>
      <c r="AA93" s="150">
        <f>SUMIFS('SEC (17)'!$O$6:$O$10000,'SEC (17)'!$J$6:$J$10000,$B$91:$B$94,'SEC (17)'!$A$6:$A$10000,$AA$2)</f>
        <v>0</v>
      </c>
      <c r="AB93" s="151">
        <f>SUMIFS('SEC (17)'!$P$6:$P$10000,'SEC (17)'!$J$6:$J$10000,$B$91:$B$94,'SEC (17)'!$A$6:$A$10000,$AA$2)</f>
        <v>0</v>
      </c>
      <c r="AC93" s="151">
        <f>SUMIFS('SEC (17)'!$Q$6:$Q$10000,'SEC (17)'!$J$6:$J$10000,$B$91:$B$94,'SEC (17)'!$A$6:$A$10000,$AA$2)</f>
        <v>0</v>
      </c>
      <c r="AD93" s="152">
        <f>SUMIFS('SEC (17)'!$R$6:$R$10000,'SEC (17)'!$J$6:$J$10000,$B$91:$B$94,'SEC (17)'!$A$6:$A$10000,$AA$2)</f>
        <v>0</v>
      </c>
      <c r="AE93" s="150">
        <f>SUMIFS('SEC (17)'!$O$6:$O$10000,'SEC (17)'!$J$6:$J$10000,$B$91:$B$94,'SEC (17)'!$A$6:$A$10000,$AE$2)</f>
        <v>0</v>
      </c>
      <c r="AF93" s="151">
        <f>SUMIFS('SEC (17)'!$P$6:$P$10000,'SEC (17)'!$J$6:$J$10000,$B$91:$B$94,'SEC (17)'!$A$6:$A$10000,$AE$2)</f>
        <v>0</v>
      </c>
      <c r="AG93" s="151">
        <f>SUMIFS('SEC (17)'!$Q$6:$Q$10000,'SEC (17)'!$J$6:$J$10000,$B$91:$B$94,'SEC (17)'!$A$6:$A$10000,$AE$2)</f>
        <v>0</v>
      </c>
      <c r="AH93" s="152">
        <f>SUMIFS('SEC (17)'!$R$6:$R$10000,'SEC (17)'!$J$6:$J$10000,$B$91:$B$94,'SEC (17)'!$A$6:$A$10000,$AE$2)</f>
        <v>0</v>
      </c>
      <c r="AI93" s="150">
        <f>SUMIFS('SEC (17)'!$O$6:$O$10000,'SEC (17)'!$J$6:$J$10000,$B$91:$B$94,'SEC (17)'!$A$6:$A$10000,$AI$2)</f>
        <v>0</v>
      </c>
      <c r="AJ93" s="151">
        <f>SUMIFS('SEC (17)'!$P$6:$P$10000,'SEC (17)'!$J$6:$J$10000,$B$91:$B$94,'SEC (17)'!$A$6:$A$10000,$AI$2)</f>
        <v>0</v>
      </c>
      <c r="AK93" s="151">
        <f>SUMIFS('SEC (17)'!$Q$6:$Q$10000,'SEC (17)'!$J$6:$J$10000,$B$91:$B$94,'SEC (17)'!$A$6:$A$10000,$AI$2)</f>
        <v>0</v>
      </c>
      <c r="AL93" s="152">
        <f>SUMIFS('SEC (17)'!$R$6:$R$10000,'SEC (17)'!$J$6:$J$10000,$B$91:$B$94,'SEC (17)'!$A$6:$A$10000,$AI$2)</f>
        <v>0</v>
      </c>
      <c r="AM93" s="150">
        <f>SUMIFS('SEC (17)'!$O$6:$O$10000,'SEC (17)'!$J$6:$J$10000,$B$91:$B$94,'SEC (17)'!$A$6:$A$10000,$AM$2)</f>
        <v>0</v>
      </c>
      <c r="AN93" s="151">
        <f>SUMIFS('SEC (17)'!$P$6:$P$10000,'SEC (17)'!$J$6:$J$10000,$B$91:$B$94,'SEC (17)'!$A$6:$A$10000,$AM$2)</f>
        <v>0</v>
      </c>
      <c r="AO93" s="151">
        <f>SUMIFS('SEC (17)'!$Q$6:$Q$10000,'SEC (17)'!$J$6:$J$10000,$B$91:$B$94,'SEC (17)'!$A$6:$A$10000,$AM$2)</f>
        <v>0</v>
      </c>
      <c r="AP93" s="152">
        <f>SUMIFS('SEC (17)'!$R$6:$R$10000,'SEC (17)'!$J$6:$J$10000,$B$91:$B$94,'SEC (17)'!$A$6:$A$10000,$AM$2)</f>
        <v>0</v>
      </c>
      <c r="AQ93" s="150">
        <f>SUMIFS('SEC (17)'!$O$6:$O$10000,'SEC (17)'!$J$6:$J$10000,$B$91:$B$94,'SEC (17)'!$A$6:$A$10000,$AQ$2)</f>
        <v>0</v>
      </c>
      <c r="AR93" s="151">
        <f>SUMIFS('SEC (17)'!$P$6:$P$10000,'SEC (17)'!$J$6:$J$10000,$B$91:$B$94,'SEC (17)'!$A$6:$A$10000,$AQ$2)</f>
        <v>0</v>
      </c>
      <c r="AS93" s="151">
        <f>SUMIFS('SEC (17)'!$Q$6:$Q$10000,'SEC (17)'!$J$6:$J$10000,$B$91:$B$94,'SEC (17)'!$A$6:$A$10000,$AQ$2)</f>
        <v>0</v>
      </c>
      <c r="AT93" s="152">
        <f>SUMIFS('SEC (17)'!$R$6:$R$10000,'SEC (17)'!$J$6:$J$10000,$B$91:$B$94,'SEC (17)'!$A$6:$A$10000,$AQ$2)</f>
        <v>0</v>
      </c>
      <c r="AU93" s="150">
        <f>SUMIFS('SEC (17)'!$O$6:$O$10000,'SEC (17)'!$J$6:$J$10000,$B$91:$B$94,'SEC (17)'!$A$6:$A$10000,$AU$2)</f>
        <v>0</v>
      </c>
      <c r="AV93" s="151">
        <f>SUMIFS('SEC (17)'!$P$6:$P$10000,'SEC (17)'!$J$6:$J$10000,$B$91:$B$94,'SEC (17)'!$A$6:$A$10000,$AU$2)</f>
        <v>0</v>
      </c>
      <c r="AW93" s="151">
        <f>SUMIFS('SEC (17)'!$Q$6:$Q$10000,'SEC (17)'!$J$6:$J$10000,$B$91:$B$94,'SEC (17)'!$A$6:$A$10000,$AU$2)</f>
        <v>0</v>
      </c>
      <c r="AX93" s="152">
        <f>SUMIFS('SEC (17)'!$R$6:$R$10000,'SEC (17)'!$J$6:$J$10000,$B$91:$B$94,'SEC (17)'!$A$6:$A$10000,$AU$2)</f>
        <v>0</v>
      </c>
      <c r="AY93" s="150">
        <f t="shared" si="301"/>
        <v>0</v>
      </c>
      <c r="AZ93" s="151">
        <f t="shared" si="302"/>
        <v>0</v>
      </c>
      <c r="BA93" s="151">
        <f t="shared" si="303"/>
        <v>0</v>
      </c>
      <c r="BB93" s="152">
        <f t="shared" si="304"/>
        <v>0</v>
      </c>
    </row>
    <row r="94" spans="1:54" x14ac:dyDescent="0.2">
      <c r="A94" s="155" t="s">
        <v>2551</v>
      </c>
      <c r="B94" s="156">
        <v>28</v>
      </c>
      <c r="C94" s="150">
        <f>SUMIFS('SEC (17)'!$O$6:$O$10000,'SEC (17)'!$J$6:$J$10000,$B$91:$B$94,'SEC (17)'!$A$6:$A$10000,$C$2)</f>
        <v>0</v>
      </c>
      <c r="D94" s="151">
        <f>SUMIFS('SEC (17)'!$P$6:$P$10000,'SEC (17)'!$J$6:$J$10000,$B$91:$B$94,'SEC (17)'!$A$6:$A$10000,$C$2)</f>
        <v>0</v>
      </c>
      <c r="E94" s="151">
        <f>SUMIFS('SEC (17)'!$Q$6:$Q$10000,'SEC (17)'!$J$6:$J$10000,$B$91:$B$94,'SEC (17)'!$A$6:$A$10000,$C$2)</f>
        <v>0</v>
      </c>
      <c r="F94" s="152">
        <f>SUMIFS('SEC (17)'!$R$6:$R$10000,'SEC (17)'!$J$6:$J$10000,$B$91:$B$94,'SEC (17)'!$A$6:$A$10000,$C$2)</f>
        <v>0</v>
      </c>
      <c r="G94" s="150">
        <f>SUMIFS('SEC (17)'!$O$6:$O$10000,'SEC (17)'!$J$6:$J$10000,$B$91:$B$94,'SEC (17)'!$A$6:$A$10000,$G$2)</f>
        <v>0</v>
      </c>
      <c r="H94" s="151">
        <f>SUMIFS('SEC (17)'!$P$6:$P$10000,'SEC (17)'!$J$6:$J$10000,$B$91:$B$94,'SEC (17)'!$A$6:$A$10000,$G$2)</f>
        <v>0</v>
      </c>
      <c r="I94" s="151">
        <f>SUMIFS('SEC (17)'!$Q$6:$Q$10000,'SEC (17)'!$J$6:$J$10000,$B$91:$B$94,'SEC (17)'!$A$6:$A$10000,$G$2)</f>
        <v>0</v>
      </c>
      <c r="J94" s="152">
        <f>SUMIFS('SEC (17)'!$R$6:$R$10000,'SEC (17)'!$J$6:$J$10000,$B$91:$B$94,'SEC (17)'!$A$6:$A$10000,$G$2)</f>
        <v>0</v>
      </c>
      <c r="K94" s="150">
        <f>SUMIFS('SEC (17)'!$O$6:$O$10000,'SEC (17)'!$J$6:$J$10000,$B$91:$B$94,'SEC (17)'!$A$6:$A$10000,$K$2)</f>
        <v>0</v>
      </c>
      <c r="L94" s="151">
        <f>SUMIFS('SEC (17)'!$P$6:$P$10000,'SEC (17)'!$J$6:$J$10000,$B$91:$B$94,'SEC (17)'!$A$6:$A$10000,$K$2)</f>
        <v>0</v>
      </c>
      <c r="M94" s="151">
        <f>SUMIFS('SEC (17)'!$Q$6:$Q$10000,'SEC (17)'!$J$6:$J$10000,$B$91:$B$94,'SEC (17)'!$A$6:$A$10000,$K$2)</f>
        <v>0</v>
      </c>
      <c r="N94" s="152">
        <f>SUMIFS('SEC (17)'!$R$6:$R$10000,'SEC (17)'!$J$6:$J$10000,$B$91:$B$94,'SEC (17)'!$A$6:$A$10000,$K$2)</f>
        <v>0</v>
      </c>
      <c r="O94" s="150">
        <f>SUMIFS('SEC (17)'!$O$6:$O$10000,'SEC (17)'!$J$6:$J$10000,$B$91:$B$94,'SEC (17)'!$A$6:$A$10000,$O$2)</f>
        <v>0</v>
      </c>
      <c r="P94" s="151">
        <f>SUMIFS('SEC (17)'!$P$6:$P$10000,'SEC (17)'!$J$6:$J$10000,$B$91:$B$94,'SEC (17)'!$A$6:$A$10000,$O$2)</f>
        <v>0</v>
      </c>
      <c r="Q94" s="151">
        <f>SUMIFS('SEC (17)'!$Q$6:$Q$10000,'SEC (17)'!$J$6:$J$10000,$B$91:$B$94,'SEC (17)'!$A$6:$A$10000,$O$2)</f>
        <v>0</v>
      </c>
      <c r="R94" s="152">
        <f>SUMIFS('SEC (17)'!$R$6:$R$10000,'SEC (17)'!$J$6:$J$10000,$B$91:$B$94,'SEC (17)'!$A$6:$A$10000,$O$2)</f>
        <v>0</v>
      </c>
      <c r="S94" s="150">
        <f>SUMIFS('SEC (17)'!$O$6:$O$10000,'SEC (17)'!$J$6:$J$10000,$B$91:$B$94,'SEC (17)'!$A$6:$A$10000,$S$2)</f>
        <v>0</v>
      </c>
      <c r="T94" s="151">
        <f>SUMIFS('SEC (17)'!$P$6:$P$10000,'SEC (17)'!$J$6:$J$10000,$B$91:$B$94,'SEC (17)'!$A$6:$A$10000,$S$2)</f>
        <v>0</v>
      </c>
      <c r="U94" s="151">
        <f>SUMIFS('SEC (17)'!$Q$6:$Q$10000,'SEC (17)'!$J$6:$J$10000,$B$91:$B$94,'SEC (17)'!$A$6:$A$10000,$S$2)</f>
        <v>0</v>
      </c>
      <c r="V94" s="152">
        <f>SUMIFS('SEC (17)'!$R$6:$R$10000,'SEC (17)'!$J$6:$J$10000,$B$91:$B$94,'SEC (17)'!$A$6:$A$10000,$S$2)</f>
        <v>0</v>
      </c>
      <c r="W94" s="150">
        <f>SUMIFS('SEC (17)'!$O$6:$O$10000,'SEC (17)'!$J$6:$J$10000,$B$91:$B$94,'SEC (17)'!$A$6:$A$10000,$W$2)</f>
        <v>0</v>
      </c>
      <c r="X94" s="151">
        <f>SUMIFS('SEC (17)'!$P$6:$P$10000,'SEC (17)'!$J$6:$J$10000,$B$91:$B$94,'SEC (17)'!$A$6:$A$10000,$W$2)</f>
        <v>0</v>
      </c>
      <c r="Y94" s="151">
        <f>SUMIFS('SEC (17)'!$Q$6:$Q$10000,'SEC (17)'!$J$6:$J$10000,$B$91:$B$94,'SEC (17)'!$A$6:$A$10000,$W$2)</f>
        <v>0</v>
      </c>
      <c r="Z94" s="152">
        <f>SUMIFS('SEC (17)'!$R$6:$R$10000,'SEC (17)'!$J$6:$J$10000,$B$91:$B$94,'SEC (17)'!$A$6:$A$10000,$W$2)</f>
        <v>0</v>
      </c>
      <c r="AA94" s="150">
        <f>SUMIFS('SEC (17)'!$O$6:$O$10000,'SEC (17)'!$J$6:$J$10000,$B$91:$B$94,'SEC (17)'!$A$6:$A$10000,$AA$2)</f>
        <v>0</v>
      </c>
      <c r="AB94" s="151">
        <f>SUMIFS('SEC (17)'!$P$6:$P$10000,'SEC (17)'!$J$6:$J$10000,$B$91:$B$94,'SEC (17)'!$A$6:$A$10000,$AA$2)</f>
        <v>0</v>
      </c>
      <c r="AC94" s="151">
        <f>SUMIFS('SEC (17)'!$Q$6:$Q$10000,'SEC (17)'!$J$6:$J$10000,$B$91:$B$94,'SEC (17)'!$A$6:$A$10000,$AA$2)</f>
        <v>0</v>
      </c>
      <c r="AD94" s="152">
        <f>SUMIFS('SEC (17)'!$R$6:$R$10000,'SEC (17)'!$J$6:$J$10000,$B$91:$B$94,'SEC (17)'!$A$6:$A$10000,$AA$2)</f>
        <v>0</v>
      </c>
      <c r="AE94" s="150">
        <f>SUMIFS('SEC (17)'!$O$6:$O$10000,'SEC (17)'!$J$6:$J$10000,$B$91:$B$94,'SEC (17)'!$A$6:$A$10000,$AE$2)</f>
        <v>0</v>
      </c>
      <c r="AF94" s="151">
        <f>SUMIFS('SEC (17)'!$P$6:$P$10000,'SEC (17)'!$J$6:$J$10000,$B$91:$B$94,'SEC (17)'!$A$6:$A$10000,$AE$2)</f>
        <v>0</v>
      </c>
      <c r="AG94" s="151">
        <f>SUMIFS('SEC (17)'!$Q$6:$Q$10000,'SEC (17)'!$J$6:$J$10000,$B$91:$B$94,'SEC (17)'!$A$6:$A$10000,$AE$2)</f>
        <v>0</v>
      </c>
      <c r="AH94" s="152">
        <f>SUMIFS('SEC (17)'!$R$6:$R$10000,'SEC (17)'!$J$6:$J$10000,$B$91:$B$94,'SEC (17)'!$A$6:$A$10000,$AE$2)</f>
        <v>0</v>
      </c>
      <c r="AI94" s="150">
        <f>SUMIFS('SEC (17)'!$O$6:$O$10000,'SEC (17)'!$J$6:$J$10000,$B$91:$B$94,'SEC (17)'!$A$6:$A$10000,$AI$2)</f>
        <v>0</v>
      </c>
      <c r="AJ94" s="151">
        <f>SUMIFS('SEC (17)'!$P$6:$P$10000,'SEC (17)'!$J$6:$J$10000,$B$91:$B$94,'SEC (17)'!$A$6:$A$10000,$AI$2)</f>
        <v>0</v>
      </c>
      <c r="AK94" s="151">
        <f>SUMIFS('SEC (17)'!$Q$6:$Q$10000,'SEC (17)'!$J$6:$J$10000,$B$91:$B$94,'SEC (17)'!$A$6:$A$10000,$AI$2)</f>
        <v>0</v>
      </c>
      <c r="AL94" s="152">
        <f>SUMIFS('SEC (17)'!$R$6:$R$10000,'SEC (17)'!$J$6:$J$10000,$B$91:$B$94,'SEC (17)'!$A$6:$A$10000,$AI$2)</f>
        <v>0</v>
      </c>
      <c r="AM94" s="150">
        <f>SUMIFS('SEC (17)'!$O$6:$O$10000,'SEC (17)'!$J$6:$J$10000,$B$91:$B$94,'SEC (17)'!$A$6:$A$10000,$AM$2)</f>
        <v>0</v>
      </c>
      <c r="AN94" s="151">
        <f>SUMIFS('SEC (17)'!$P$6:$P$10000,'SEC (17)'!$J$6:$J$10000,$B$91:$B$94,'SEC (17)'!$A$6:$A$10000,$AM$2)</f>
        <v>0</v>
      </c>
      <c r="AO94" s="151">
        <f>SUMIFS('SEC (17)'!$Q$6:$Q$10000,'SEC (17)'!$J$6:$J$10000,$B$91:$B$94,'SEC (17)'!$A$6:$A$10000,$AM$2)</f>
        <v>0</v>
      </c>
      <c r="AP94" s="152">
        <f>SUMIFS('SEC (17)'!$R$6:$R$10000,'SEC (17)'!$J$6:$J$10000,$B$91:$B$94,'SEC (17)'!$A$6:$A$10000,$AM$2)</f>
        <v>0</v>
      </c>
      <c r="AQ94" s="150">
        <f>SUMIFS('SEC (17)'!$O$6:$O$10000,'SEC (17)'!$J$6:$J$10000,$B$91:$B$94,'SEC (17)'!$A$6:$A$10000,$AQ$2)</f>
        <v>0</v>
      </c>
      <c r="AR94" s="151">
        <f>SUMIFS('SEC (17)'!$P$6:$P$10000,'SEC (17)'!$J$6:$J$10000,$B$91:$B$94,'SEC (17)'!$A$6:$A$10000,$AQ$2)</f>
        <v>0</v>
      </c>
      <c r="AS94" s="151">
        <f>SUMIFS('SEC (17)'!$Q$6:$Q$10000,'SEC (17)'!$J$6:$J$10000,$B$91:$B$94,'SEC (17)'!$A$6:$A$10000,$AQ$2)</f>
        <v>0</v>
      </c>
      <c r="AT94" s="152">
        <f>SUMIFS('SEC (17)'!$R$6:$R$10000,'SEC (17)'!$J$6:$J$10000,$B$91:$B$94,'SEC (17)'!$A$6:$A$10000,$AQ$2)</f>
        <v>0</v>
      </c>
      <c r="AU94" s="150">
        <f>SUMIFS('SEC (17)'!$O$6:$O$10000,'SEC (17)'!$J$6:$J$10000,$B$91:$B$94,'SEC (17)'!$A$6:$A$10000,$AU$2)</f>
        <v>0</v>
      </c>
      <c r="AV94" s="151">
        <f>SUMIFS('SEC (17)'!$P$6:$P$10000,'SEC (17)'!$J$6:$J$10000,$B$91:$B$94,'SEC (17)'!$A$6:$A$10000,$AU$2)</f>
        <v>0</v>
      </c>
      <c r="AW94" s="151">
        <f>SUMIFS('SEC (17)'!$Q$6:$Q$10000,'SEC (17)'!$J$6:$J$10000,$B$91:$B$94,'SEC (17)'!$A$6:$A$10000,$AU$2)</f>
        <v>0</v>
      </c>
      <c r="AX94" s="152">
        <f>SUMIFS('SEC (17)'!$R$6:$R$10000,'SEC (17)'!$J$6:$J$10000,$B$91:$B$94,'SEC (17)'!$A$6:$A$10000,$AU$2)</f>
        <v>0</v>
      </c>
      <c r="AY94" s="150">
        <f t="shared" si="301"/>
        <v>0</v>
      </c>
      <c r="AZ94" s="151">
        <f t="shared" si="302"/>
        <v>0</v>
      </c>
      <c r="BA94" s="151">
        <f t="shared" si="303"/>
        <v>0</v>
      </c>
      <c r="BB94" s="152">
        <f t="shared" si="304"/>
        <v>0</v>
      </c>
    </row>
    <row r="95" spans="1:54" x14ac:dyDescent="0.2">
      <c r="A95" s="167" t="s">
        <v>2553</v>
      </c>
      <c r="B95" s="158"/>
      <c r="C95" s="159">
        <f>SUM(C91:C94)</f>
        <v>0</v>
      </c>
      <c r="D95" s="160">
        <f t="shared" ref="D95:F95" si="305">SUM(D91:D94)</f>
        <v>0</v>
      </c>
      <c r="E95" s="160">
        <f t="shared" si="305"/>
        <v>0</v>
      </c>
      <c r="F95" s="161">
        <f t="shared" si="305"/>
        <v>0</v>
      </c>
      <c r="G95" s="159">
        <f>SUM(G91:G94)</f>
        <v>0</v>
      </c>
      <c r="H95" s="160">
        <f t="shared" ref="H95:J95" si="306">SUM(H91:H94)</f>
        <v>0</v>
      </c>
      <c r="I95" s="160">
        <f t="shared" si="306"/>
        <v>0</v>
      </c>
      <c r="J95" s="161">
        <f t="shared" si="306"/>
        <v>0</v>
      </c>
      <c r="K95" s="159">
        <f>SUM(K91:K94)</f>
        <v>0</v>
      </c>
      <c r="L95" s="160">
        <f t="shared" ref="L95:N95" si="307">SUM(L91:L94)</f>
        <v>0</v>
      </c>
      <c r="M95" s="160">
        <f t="shared" si="307"/>
        <v>0</v>
      </c>
      <c r="N95" s="161">
        <f t="shared" si="307"/>
        <v>0</v>
      </c>
      <c r="O95" s="159">
        <f>SUM(O91:O94)</f>
        <v>0</v>
      </c>
      <c r="P95" s="160">
        <f t="shared" ref="P95:R95" si="308">SUM(P91:P94)</f>
        <v>0</v>
      </c>
      <c r="Q95" s="160">
        <f t="shared" si="308"/>
        <v>0</v>
      </c>
      <c r="R95" s="161">
        <f t="shared" si="308"/>
        <v>0</v>
      </c>
      <c r="S95" s="159">
        <f>SUM(S91:S94)</f>
        <v>0</v>
      </c>
      <c r="T95" s="160">
        <f t="shared" ref="T95:V95" si="309">SUM(T91:T94)</f>
        <v>0</v>
      </c>
      <c r="U95" s="160">
        <f t="shared" si="309"/>
        <v>0</v>
      </c>
      <c r="V95" s="161">
        <f t="shared" si="309"/>
        <v>0</v>
      </c>
      <c r="W95" s="159">
        <f>SUM(W91:W94)</f>
        <v>0</v>
      </c>
      <c r="X95" s="160">
        <f t="shared" ref="X95:Z95" si="310">SUM(X91:X94)</f>
        <v>0</v>
      </c>
      <c r="Y95" s="160">
        <f t="shared" si="310"/>
        <v>0</v>
      </c>
      <c r="Z95" s="161">
        <f t="shared" si="310"/>
        <v>0</v>
      </c>
      <c r="AA95" s="159">
        <f>SUM(AA91:AA94)</f>
        <v>0</v>
      </c>
      <c r="AB95" s="160">
        <f t="shared" ref="AB95:AD95" si="311">SUM(AB91:AB94)</f>
        <v>0</v>
      </c>
      <c r="AC95" s="160">
        <f t="shared" si="311"/>
        <v>0</v>
      </c>
      <c r="AD95" s="161">
        <f t="shared" si="311"/>
        <v>0</v>
      </c>
      <c r="AE95" s="159">
        <f>SUM(AE91:AE94)</f>
        <v>0</v>
      </c>
      <c r="AF95" s="160">
        <f t="shared" ref="AF95:AH95" si="312">SUM(AF91:AF94)</f>
        <v>0</v>
      </c>
      <c r="AG95" s="160">
        <f t="shared" si="312"/>
        <v>0</v>
      </c>
      <c r="AH95" s="161">
        <f t="shared" si="312"/>
        <v>0</v>
      </c>
      <c r="AI95" s="159">
        <f>SUM(AI91:AI94)</f>
        <v>0</v>
      </c>
      <c r="AJ95" s="160">
        <f t="shared" ref="AJ95:AL95" si="313">SUM(AJ91:AJ94)</f>
        <v>0</v>
      </c>
      <c r="AK95" s="160">
        <f t="shared" si="313"/>
        <v>0</v>
      </c>
      <c r="AL95" s="161">
        <f t="shared" si="313"/>
        <v>0</v>
      </c>
      <c r="AM95" s="159">
        <f>SUM(AM91:AM94)</f>
        <v>0</v>
      </c>
      <c r="AN95" s="160">
        <f t="shared" ref="AN95:AP95" si="314">SUM(AN91:AN94)</f>
        <v>0</v>
      </c>
      <c r="AO95" s="160">
        <f t="shared" si="314"/>
        <v>0</v>
      </c>
      <c r="AP95" s="161">
        <f t="shared" si="314"/>
        <v>0</v>
      </c>
      <c r="AQ95" s="159">
        <f>SUM(AQ91:AQ94)</f>
        <v>0</v>
      </c>
      <c r="AR95" s="160">
        <f t="shared" ref="AR95:AT95" si="315">SUM(AR91:AR94)</f>
        <v>0</v>
      </c>
      <c r="AS95" s="160">
        <f t="shared" si="315"/>
        <v>0</v>
      </c>
      <c r="AT95" s="161">
        <f t="shared" si="315"/>
        <v>0</v>
      </c>
      <c r="AU95" s="159">
        <f>SUM(AU91:AU94)</f>
        <v>0</v>
      </c>
      <c r="AV95" s="160">
        <f t="shared" ref="AV95:AX95" si="316">SUM(AV91:AV94)</f>
        <v>0</v>
      </c>
      <c r="AW95" s="160">
        <f t="shared" si="316"/>
        <v>0</v>
      </c>
      <c r="AX95" s="161">
        <f t="shared" si="316"/>
        <v>0</v>
      </c>
      <c r="AY95" s="159">
        <f t="shared" si="301"/>
        <v>0</v>
      </c>
      <c r="AZ95" s="160">
        <f t="shared" si="302"/>
        <v>0</v>
      </c>
      <c r="BA95" s="160">
        <f t="shared" si="303"/>
        <v>0</v>
      </c>
      <c r="BB95" s="161">
        <f t="shared" si="304"/>
        <v>0</v>
      </c>
    </row>
    <row r="96" spans="1:54" x14ac:dyDescent="0.2">
      <c r="A96" s="163" t="s">
        <v>1047</v>
      </c>
      <c r="B96" s="169"/>
      <c r="C96" s="164"/>
      <c r="D96" s="165"/>
      <c r="E96" s="165"/>
      <c r="F96" s="166"/>
      <c r="G96" s="164"/>
      <c r="H96" s="165"/>
      <c r="I96" s="165"/>
      <c r="J96" s="166"/>
      <c r="K96" s="164"/>
      <c r="L96" s="165"/>
      <c r="M96" s="165"/>
      <c r="N96" s="166"/>
      <c r="O96" s="164"/>
      <c r="P96" s="165"/>
      <c r="Q96" s="165"/>
      <c r="R96" s="166"/>
      <c r="S96" s="164"/>
      <c r="T96" s="165"/>
      <c r="U96" s="165"/>
      <c r="V96" s="166"/>
      <c r="W96" s="164"/>
      <c r="X96" s="165"/>
      <c r="Y96" s="165"/>
      <c r="Z96" s="166"/>
      <c r="AA96" s="164"/>
      <c r="AB96" s="165"/>
      <c r="AC96" s="165"/>
      <c r="AD96" s="166"/>
      <c r="AE96" s="164"/>
      <c r="AF96" s="165"/>
      <c r="AG96" s="165"/>
      <c r="AH96" s="166"/>
      <c r="AI96" s="164"/>
      <c r="AJ96" s="165"/>
      <c r="AK96" s="165"/>
      <c r="AL96" s="166"/>
      <c r="AM96" s="164"/>
      <c r="AN96" s="165"/>
      <c r="AO96" s="165"/>
      <c r="AP96" s="166"/>
      <c r="AQ96" s="164"/>
      <c r="AR96" s="165"/>
      <c r="AS96" s="165"/>
      <c r="AT96" s="166"/>
      <c r="AU96" s="164"/>
      <c r="AV96" s="165"/>
      <c r="AW96" s="165"/>
      <c r="AX96" s="166"/>
      <c r="AY96" s="164"/>
      <c r="AZ96" s="165"/>
      <c r="BA96" s="165"/>
      <c r="BB96" s="166"/>
    </row>
    <row r="97" spans="1:54" x14ac:dyDescent="0.2">
      <c r="A97" s="155" t="s">
        <v>2548</v>
      </c>
      <c r="B97" s="156">
        <v>5</v>
      </c>
      <c r="C97" s="150">
        <f>+C71+C78+C84</f>
        <v>30870</v>
      </c>
      <c r="D97" s="151">
        <f t="shared" ref="D97:F97" si="317">+D71+D78+D84</f>
        <v>0</v>
      </c>
      <c r="E97" s="151">
        <f t="shared" si="317"/>
        <v>771.75</v>
      </c>
      <c r="F97" s="152">
        <f t="shared" si="317"/>
        <v>771.75</v>
      </c>
      <c r="G97" s="150">
        <f>+G71+G78+G84</f>
        <v>65342</v>
      </c>
      <c r="H97" s="151">
        <f t="shared" ref="H97:J97" si="318">+H71+H78+H84</f>
        <v>0</v>
      </c>
      <c r="I97" s="151">
        <f t="shared" si="318"/>
        <v>1633.55</v>
      </c>
      <c r="J97" s="152">
        <f t="shared" si="318"/>
        <v>1633.55</v>
      </c>
      <c r="K97" s="150">
        <f>+K71+K78+K84</f>
        <v>55328</v>
      </c>
      <c r="L97" s="151">
        <f t="shared" ref="L97:N97" si="319">+L71+L78+L84</f>
        <v>0</v>
      </c>
      <c r="M97" s="151">
        <f t="shared" si="319"/>
        <v>1383.2</v>
      </c>
      <c r="N97" s="152">
        <f t="shared" si="319"/>
        <v>1383.2</v>
      </c>
      <c r="O97" s="150">
        <f>+O71+O78+O84</f>
        <v>42640</v>
      </c>
      <c r="P97" s="151">
        <f t="shared" ref="P97:R97" si="320">+P71+P78+P84</f>
        <v>0</v>
      </c>
      <c r="Q97" s="151">
        <f t="shared" si="320"/>
        <v>1066</v>
      </c>
      <c r="R97" s="152">
        <f t="shared" si="320"/>
        <v>1066</v>
      </c>
      <c r="S97" s="150">
        <f>+S71+S78+S84</f>
        <v>57669</v>
      </c>
      <c r="T97" s="151">
        <f t="shared" ref="T97:V97" si="321">+T71+T78+T84</f>
        <v>0</v>
      </c>
      <c r="U97" s="151">
        <f t="shared" si="321"/>
        <v>1441.7249999999999</v>
      </c>
      <c r="V97" s="152">
        <f t="shared" si="321"/>
        <v>1441.7249999999999</v>
      </c>
      <c r="W97" s="150">
        <f>+W71+W78+W84</f>
        <v>64019</v>
      </c>
      <c r="X97" s="151">
        <f t="shared" ref="X97:Z97" si="322">+X71+X78+X84</f>
        <v>0</v>
      </c>
      <c r="Y97" s="151">
        <f t="shared" si="322"/>
        <v>1600.4749999999999</v>
      </c>
      <c r="Z97" s="152">
        <f t="shared" si="322"/>
        <v>1600.4749999999999</v>
      </c>
      <c r="AA97" s="150">
        <f>+AA71+AA78+AA84</f>
        <v>54780</v>
      </c>
      <c r="AB97" s="151">
        <f t="shared" ref="AB97:AD97" si="323">+AB71+AB78+AB84</f>
        <v>0</v>
      </c>
      <c r="AC97" s="151">
        <f t="shared" si="323"/>
        <v>1369.5</v>
      </c>
      <c r="AD97" s="152">
        <f t="shared" si="323"/>
        <v>1369.5</v>
      </c>
      <c r="AE97" s="150">
        <f>+AE71+AE78+AE84</f>
        <v>27400</v>
      </c>
      <c r="AF97" s="151">
        <f t="shared" ref="AF97:AH97" si="324">+AF71+AF78+AF84</f>
        <v>0</v>
      </c>
      <c r="AG97" s="151">
        <f t="shared" si="324"/>
        <v>685</v>
      </c>
      <c r="AH97" s="152">
        <f t="shared" si="324"/>
        <v>685</v>
      </c>
      <c r="AI97" s="150">
        <f>+AI71+AI78+AI84</f>
        <v>49761</v>
      </c>
      <c r="AJ97" s="151">
        <f t="shared" ref="AJ97:AL97" si="325">+AJ71+AJ78+AJ84</f>
        <v>0</v>
      </c>
      <c r="AK97" s="151">
        <f t="shared" si="325"/>
        <v>1244.0250000000001</v>
      </c>
      <c r="AL97" s="152">
        <f t="shared" si="325"/>
        <v>1244.0250000000001</v>
      </c>
      <c r="AM97" s="150">
        <f>+AM71+AM78+AM84</f>
        <v>0</v>
      </c>
      <c r="AN97" s="151">
        <f t="shared" ref="AN97:AP97" si="326">+AN71+AN78+AN84</f>
        <v>0</v>
      </c>
      <c r="AO97" s="151">
        <f t="shared" si="326"/>
        <v>0</v>
      </c>
      <c r="AP97" s="152">
        <f t="shared" si="326"/>
        <v>0</v>
      </c>
      <c r="AQ97" s="150">
        <f>+AQ71+AQ78+AQ84</f>
        <v>0</v>
      </c>
      <c r="AR97" s="151">
        <f t="shared" ref="AR97:AT97" si="327">+AR71+AR78+AR84</f>
        <v>0</v>
      </c>
      <c r="AS97" s="151">
        <f t="shared" si="327"/>
        <v>0</v>
      </c>
      <c r="AT97" s="152">
        <f t="shared" si="327"/>
        <v>0</v>
      </c>
      <c r="AU97" s="150">
        <f>+AU71+AU78+AU84</f>
        <v>0</v>
      </c>
      <c r="AV97" s="151">
        <f t="shared" ref="AV97:AX97" si="328">+AV71+AV78+AV84</f>
        <v>0</v>
      </c>
      <c r="AW97" s="151">
        <f t="shared" si="328"/>
        <v>0</v>
      </c>
      <c r="AX97" s="152">
        <f t="shared" si="328"/>
        <v>0</v>
      </c>
      <c r="AY97" s="150">
        <f t="shared" ref="AY97:AY101" si="329">+C97+G97+K97+O97+S97+W97+AA97+AE97+AI97+AM97+AQ97+AU97</f>
        <v>447809</v>
      </c>
      <c r="AZ97" s="151">
        <f t="shared" ref="AZ97:AZ101" si="330">+D97+H97+L97+P97+T97+X97+AB97+AF97+AJ97+AN97+AR97+AV97</f>
        <v>0</v>
      </c>
      <c r="BA97" s="151">
        <f t="shared" ref="BA97:BA101" si="331">+E97+I97+M97+Q97+U97+Y97+AC97+AG97+AK97+AO97+AS97+AW97</f>
        <v>11195.225</v>
      </c>
      <c r="BB97" s="152">
        <f t="shared" ref="BB97:BB101" si="332">+F97+J97+N97+R97+V97+Z97+AD97+AH97+AL97+AP97+AT97+AX97</f>
        <v>11195.225</v>
      </c>
    </row>
    <row r="98" spans="1:54" x14ac:dyDescent="0.2">
      <c r="A98" s="155" t="s">
        <v>2549</v>
      </c>
      <c r="B98" s="156">
        <v>12</v>
      </c>
      <c r="C98" s="150">
        <f>+C72+C79+C85</f>
        <v>11943.1</v>
      </c>
      <c r="D98" s="151">
        <f t="shared" ref="D98:F98" si="333">+D72+D79+D85</f>
        <v>0</v>
      </c>
      <c r="E98" s="151">
        <f t="shared" si="333"/>
        <v>716.58600000000001</v>
      </c>
      <c r="F98" s="152">
        <f t="shared" si="333"/>
        <v>716.58600000000001</v>
      </c>
      <c r="G98" s="150">
        <f>+G72+G79+G85</f>
        <v>2794</v>
      </c>
      <c r="H98" s="151">
        <f t="shared" ref="H98:J98" si="334">+H72+H79+H85</f>
        <v>0</v>
      </c>
      <c r="I98" s="151">
        <f t="shared" si="334"/>
        <v>167.64000000000001</v>
      </c>
      <c r="J98" s="152">
        <f t="shared" si="334"/>
        <v>167.64000000000001</v>
      </c>
      <c r="K98" s="150">
        <f>+K72+K79+K85</f>
        <v>5543.2</v>
      </c>
      <c r="L98" s="151">
        <f t="shared" ref="L98:N98" si="335">+L72+L79+L85</f>
        <v>0</v>
      </c>
      <c r="M98" s="151">
        <f t="shared" si="335"/>
        <v>332.59199999999998</v>
      </c>
      <c r="N98" s="152">
        <f t="shared" si="335"/>
        <v>332.59199999999998</v>
      </c>
      <c r="O98" s="150">
        <f>+O72+O79+O85</f>
        <v>6690</v>
      </c>
      <c r="P98" s="151">
        <f t="shared" ref="P98:R98" si="336">+P72+P79+P85</f>
        <v>0</v>
      </c>
      <c r="Q98" s="151">
        <f t="shared" si="336"/>
        <v>401.4</v>
      </c>
      <c r="R98" s="152">
        <f t="shared" si="336"/>
        <v>401.4</v>
      </c>
      <c r="S98" s="150">
        <f>+S72+S79+S85</f>
        <v>6293.2</v>
      </c>
      <c r="T98" s="151">
        <f t="shared" ref="T98:V98" si="337">+T72+T79+T85</f>
        <v>0</v>
      </c>
      <c r="U98" s="151">
        <f t="shared" si="337"/>
        <v>377.59199999999998</v>
      </c>
      <c r="V98" s="152">
        <f t="shared" si="337"/>
        <v>377.59199999999998</v>
      </c>
      <c r="W98" s="150">
        <f>+W72+W79+W85</f>
        <v>17390</v>
      </c>
      <c r="X98" s="151">
        <f t="shared" ref="X98:Z98" si="338">+X72+X79+X85</f>
        <v>0</v>
      </c>
      <c r="Y98" s="151">
        <f t="shared" si="338"/>
        <v>1043.4000000000001</v>
      </c>
      <c r="Z98" s="152">
        <f t="shared" si="338"/>
        <v>1043.4000000000001</v>
      </c>
      <c r="AA98" s="150">
        <f>+AA72+AA79+AA85</f>
        <v>41665.199999999997</v>
      </c>
      <c r="AB98" s="151">
        <f t="shared" ref="AB98:AD98" si="339">+AB72+AB79+AB85</f>
        <v>0</v>
      </c>
      <c r="AC98" s="151">
        <f t="shared" si="339"/>
        <v>2499.9119999999998</v>
      </c>
      <c r="AD98" s="152">
        <f t="shared" si="339"/>
        <v>2499.9119999999998</v>
      </c>
      <c r="AE98" s="150">
        <f>+AE72+AE79+AE85</f>
        <v>0</v>
      </c>
      <c r="AF98" s="151">
        <f t="shared" ref="AF98:AH98" si="340">+AF72+AF79+AF85</f>
        <v>0</v>
      </c>
      <c r="AG98" s="151">
        <f t="shared" si="340"/>
        <v>0</v>
      </c>
      <c r="AH98" s="152">
        <f t="shared" si="340"/>
        <v>0</v>
      </c>
      <c r="AI98" s="150">
        <f>+AI72+AI79+AI85</f>
        <v>0</v>
      </c>
      <c r="AJ98" s="151">
        <f t="shared" ref="AJ98:AL98" si="341">+AJ72+AJ79+AJ85</f>
        <v>0</v>
      </c>
      <c r="AK98" s="151">
        <f t="shared" si="341"/>
        <v>0</v>
      </c>
      <c r="AL98" s="152">
        <f t="shared" si="341"/>
        <v>0</v>
      </c>
      <c r="AM98" s="150">
        <f>+AM72+AM79+AM85</f>
        <v>0</v>
      </c>
      <c r="AN98" s="151">
        <f t="shared" ref="AN98:AP98" si="342">+AN72+AN79+AN85</f>
        <v>0</v>
      </c>
      <c r="AO98" s="151">
        <f t="shared" si="342"/>
        <v>0</v>
      </c>
      <c r="AP98" s="152">
        <f t="shared" si="342"/>
        <v>0</v>
      </c>
      <c r="AQ98" s="150">
        <f>+AQ72+AQ79+AQ85</f>
        <v>0</v>
      </c>
      <c r="AR98" s="151">
        <f t="shared" ref="AR98:AT98" si="343">+AR72+AR79+AR85</f>
        <v>0</v>
      </c>
      <c r="AS98" s="151">
        <f t="shared" si="343"/>
        <v>0</v>
      </c>
      <c r="AT98" s="152">
        <f t="shared" si="343"/>
        <v>0</v>
      </c>
      <c r="AU98" s="150">
        <f>+AU72+AU79+AU85</f>
        <v>0</v>
      </c>
      <c r="AV98" s="151">
        <f t="shared" ref="AV98:AX98" si="344">+AV72+AV79+AV85</f>
        <v>0</v>
      </c>
      <c r="AW98" s="151">
        <f t="shared" si="344"/>
        <v>0</v>
      </c>
      <c r="AX98" s="152">
        <f t="shared" si="344"/>
        <v>0</v>
      </c>
      <c r="AY98" s="150">
        <f t="shared" si="329"/>
        <v>92318.7</v>
      </c>
      <c r="AZ98" s="151">
        <f t="shared" si="330"/>
        <v>0</v>
      </c>
      <c r="BA98" s="151">
        <f t="shared" si="331"/>
        <v>5539.1219999999994</v>
      </c>
      <c r="BB98" s="152">
        <f t="shared" si="332"/>
        <v>5539.1219999999994</v>
      </c>
    </row>
    <row r="99" spans="1:54" x14ac:dyDescent="0.2">
      <c r="A99" s="155" t="s">
        <v>2550</v>
      </c>
      <c r="B99" s="156">
        <v>18</v>
      </c>
      <c r="C99" s="150">
        <f>+C73+C80+C86</f>
        <v>962730.58</v>
      </c>
      <c r="D99" s="151">
        <f t="shared" ref="D99:F99" si="345">+D73+D80+D86</f>
        <v>0</v>
      </c>
      <c r="E99" s="151">
        <f t="shared" si="345"/>
        <v>86645.752199999988</v>
      </c>
      <c r="F99" s="152">
        <f t="shared" si="345"/>
        <v>86645.752199999988</v>
      </c>
      <c r="G99" s="150">
        <f>+G73+G80+G86</f>
        <v>2660965.84</v>
      </c>
      <c r="H99" s="151">
        <f t="shared" ref="H99:J99" si="346">+H73+H80+H86</f>
        <v>102136.914</v>
      </c>
      <c r="I99" s="151">
        <f t="shared" si="346"/>
        <v>188418.46860000002</v>
      </c>
      <c r="J99" s="152">
        <f t="shared" si="346"/>
        <v>188418.46860000002</v>
      </c>
      <c r="K99" s="150">
        <f>+K73+K80+K86</f>
        <v>2738889.1399999997</v>
      </c>
      <c r="L99" s="151">
        <f t="shared" ref="L99:N99" si="347">+L73+L80+L86</f>
        <v>66139.56</v>
      </c>
      <c r="M99" s="151">
        <f t="shared" si="347"/>
        <v>213430.24259999994</v>
      </c>
      <c r="N99" s="152">
        <f t="shared" si="347"/>
        <v>213430.24259999994</v>
      </c>
      <c r="O99" s="150">
        <f>+O73+O80+O86</f>
        <v>4098067.2799999989</v>
      </c>
      <c r="P99" s="151">
        <f t="shared" ref="P99:R99" si="348">+P73+P80+P86</f>
        <v>47329.919999999998</v>
      </c>
      <c r="Q99" s="151">
        <f t="shared" si="348"/>
        <v>345161.33520000009</v>
      </c>
      <c r="R99" s="152">
        <f t="shared" si="348"/>
        <v>345161.33520000009</v>
      </c>
      <c r="S99" s="150">
        <f>+S73+S80+S86</f>
        <v>2899355.36</v>
      </c>
      <c r="T99" s="151">
        <f t="shared" ref="T99:V99" si="349">+T73+T80+T86</f>
        <v>1305</v>
      </c>
      <c r="U99" s="151">
        <f t="shared" si="349"/>
        <v>208985.75240000003</v>
      </c>
      <c r="V99" s="152">
        <f t="shared" si="349"/>
        <v>208985.75240000003</v>
      </c>
      <c r="W99" s="150">
        <f>+W73+W80+W86</f>
        <v>2347911.0499999998</v>
      </c>
      <c r="X99" s="151">
        <f t="shared" ref="X99:Z99" si="350">+X73+X80+X86</f>
        <v>0</v>
      </c>
      <c r="Y99" s="151">
        <f t="shared" si="350"/>
        <v>211321.76450000014</v>
      </c>
      <c r="Z99" s="152">
        <f t="shared" si="350"/>
        <v>211321.76450000014</v>
      </c>
      <c r="AA99" s="150">
        <f>+AA73+AA80+AA86</f>
        <v>3413947.92</v>
      </c>
      <c r="AB99" s="151">
        <f t="shared" ref="AB99:AD99" si="351">+AB73+AB80+AB86</f>
        <v>141178.68</v>
      </c>
      <c r="AC99" s="151">
        <f t="shared" si="351"/>
        <v>236665.97279999999</v>
      </c>
      <c r="AD99" s="152">
        <f t="shared" si="351"/>
        <v>236665.97279999999</v>
      </c>
      <c r="AE99" s="150">
        <f>+AE73+AE80+AE86</f>
        <v>-180</v>
      </c>
      <c r="AF99" s="151">
        <f t="shared" ref="AF99:AH99" si="352">+AF73+AF80+AF86</f>
        <v>0</v>
      </c>
      <c r="AG99" s="151">
        <f t="shared" si="352"/>
        <v>-16.2</v>
      </c>
      <c r="AH99" s="152">
        <f t="shared" si="352"/>
        <v>-16.2</v>
      </c>
      <c r="AI99" s="150">
        <f>+AI73+AI80+AI86</f>
        <v>-180</v>
      </c>
      <c r="AJ99" s="151">
        <f t="shared" ref="AJ99:AL99" si="353">+AJ73+AJ80+AJ86</f>
        <v>0</v>
      </c>
      <c r="AK99" s="151">
        <f t="shared" si="353"/>
        <v>-16.2</v>
      </c>
      <c r="AL99" s="152">
        <f t="shared" si="353"/>
        <v>-16.2</v>
      </c>
      <c r="AM99" s="150">
        <f>+AM73+AM80+AM86</f>
        <v>0</v>
      </c>
      <c r="AN99" s="151">
        <f t="shared" ref="AN99:AP99" si="354">+AN73+AN80+AN86</f>
        <v>0</v>
      </c>
      <c r="AO99" s="151">
        <f t="shared" si="354"/>
        <v>0</v>
      </c>
      <c r="AP99" s="152">
        <f t="shared" si="354"/>
        <v>0</v>
      </c>
      <c r="AQ99" s="150">
        <f>+AQ73+AQ80+AQ86</f>
        <v>0</v>
      </c>
      <c r="AR99" s="151">
        <f t="shared" ref="AR99:AT99" si="355">+AR73+AR80+AR86</f>
        <v>0</v>
      </c>
      <c r="AS99" s="151">
        <f t="shared" si="355"/>
        <v>0</v>
      </c>
      <c r="AT99" s="152">
        <f t="shared" si="355"/>
        <v>0</v>
      </c>
      <c r="AU99" s="150">
        <f>+AU73+AU80+AU86</f>
        <v>0</v>
      </c>
      <c r="AV99" s="151">
        <f t="shared" ref="AV99:AX99" si="356">+AV73+AV80+AV86</f>
        <v>0</v>
      </c>
      <c r="AW99" s="151">
        <f t="shared" si="356"/>
        <v>0</v>
      </c>
      <c r="AX99" s="152">
        <f t="shared" si="356"/>
        <v>0</v>
      </c>
      <c r="AY99" s="150">
        <f t="shared" si="329"/>
        <v>19121507.169999994</v>
      </c>
      <c r="AZ99" s="151">
        <f t="shared" si="330"/>
        <v>358090.07399999996</v>
      </c>
      <c r="BA99" s="151">
        <f t="shared" si="331"/>
        <v>1490596.8883000002</v>
      </c>
      <c r="BB99" s="152">
        <f t="shared" si="332"/>
        <v>1490596.8883000002</v>
      </c>
    </row>
    <row r="100" spans="1:54" x14ac:dyDescent="0.2">
      <c r="A100" s="155" t="s">
        <v>2551</v>
      </c>
      <c r="B100" s="156">
        <v>28</v>
      </c>
      <c r="C100" s="150">
        <f>+C74+C81+C87</f>
        <v>1665060.1300000008</v>
      </c>
      <c r="D100" s="151">
        <f t="shared" ref="D100:F100" si="357">+D74+D81+D87</f>
        <v>2079.9351999999999</v>
      </c>
      <c r="E100" s="151">
        <f t="shared" si="357"/>
        <v>232068.45059999984</v>
      </c>
      <c r="F100" s="152">
        <f t="shared" si="357"/>
        <v>232068.45059999984</v>
      </c>
      <c r="G100" s="150">
        <f>+G74+G81+G87</f>
        <v>1894670.820000001</v>
      </c>
      <c r="H100" s="151">
        <f t="shared" ref="H100:J100" si="358">+H74+H81+H87</f>
        <v>36933.315999999999</v>
      </c>
      <c r="I100" s="151">
        <f t="shared" si="358"/>
        <v>246787.25679999983</v>
      </c>
      <c r="J100" s="152">
        <f t="shared" si="358"/>
        <v>246787.25679999983</v>
      </c>
      <c r="K100" s="150">
        <f>+K74+K81+K87</f>
        <v>1809858.4300000004</v>
      </c>
      <c r="L100" s="151">
        <f t="shared" ref="L100:N100" si="359">+L74+L81+L87</f>
        <v>23445.816800000001</v>
      </c>
      <c r="M100" s="151">
        <f t="shared" si="359"/>
        <v>241657.2717999997</v>
      </c>
      <c r="N100" s="152">
        <f t="shared" si="359"/>
        <v>241657.2717999997</v>
      </c>
      <c r="O100" s="150">
        <f>+O74+O81+O87</f>
        <v>2245525.2800000003</v>
      </c>
      <c r="P100" s="151">
        <f t="shared" ref="P100:R100" si="360">+P74+P81+P87</f>
        <v>21955.64</v>
      </c>
      <c r="Q100" s="151">
        <f t="shared" si="360"/>
        <v>303398.21919999993</v>
      </c>
      <c r="R100" s="152">
        <f t="shared" si="360"/>
        <v>303398.21919999993</v>
      </c>
      <c r="S100" s="150">
        <f>+S74+S81+S87</f>
        <v>1417453.090000001</v>
      </c>
      <c r="T100" s="151">
        <f t="shared" ref="T100:V100" si="361">+T74+T81+T87</f>
        <v>9672.877199999999</v>
      </c>
      <c r="U100" s="151">
        <f t="shared" si="361"/>
        <v>193606.5639999999</v>
      </c>
      <c r="V100" s="152">
        <f t="shared" si="361"/>
        <v>193606.5639999999</v>
      </c>
      <c r="W100" s="150">
        <f>+W74+W81+W87</f>
        <v>1412605.1700000004</v>
      </c>
      <c r="X100" s="151">
        <f t="shared" ref="X100:Z100" si="362">+X74+X81+X87</f>
        <v>57463.603599999988</v>
      </c>
      <c r="Y100" s="151">
        <f t="shared" si="362"/>
        <v>169035.64699999994</v>
      </c>
      <c r="Z100" s="152">
        <f t="shared" si="362"/>
        <v>169035.64699999994</v>
      </c>
      <c r="AA100" s="150">
        <f>+AA74+AA81+AA87</f>
        <v>1105091.82</v>
      </c>
      <c r="AB100" s="151">
        <f t="shared" ref="AB100:AD100" si="363">+AB74+AB81+AB87</f>
        <v>35776.299999999996</v>
      </c>
      <c r="AC100" s="151">
        <f t="shared" si="363"/>
        <v>136824.70480000004</v>
      </c>
      <c r="AD100" s="152">
        <f t="shared" si="363"/>
        <v>136824.70480000004</v>
      </c>
      <c r="AE100" s="150">
        <f>+AE74+AE81+AE87</f>
        <v>0</v>
      </c>
      <c r="AF100" s="151">
        <f t="shared" ref="AF100:AH100" si="364">+AF74+AF81+AF87</f>
        <v>0</v>
      </c>
      <c r="AG100" s="151">
        <f t="shared" si="364"/>
        <v>0</v>
      </c>
      <c r="AH100" s="152">
        <f t="shared" si="364"/>
        <v>0</v>
      </c>
      <c r="AI100" s="150">
        <f>+AI74+AI81+AI87</f>
        <v>0</v>
      </c>
      <c r="AJ100" s="151">
        <f t="shared" ref="AJ100:AL100" si="365">+AJ74+AJ81+AJ87</f>
        <v>0</v>
      </c>
      <c r="AK100" s="151">
        <f t="shared" si="365"/>
        <v>0</v>
      </c>
      <c r="AL100" s="152">
        <f t="shared" si="365"/>
        <v>0</v>
      </c>
      <c r="AM100" s="150">
        <f>+AM74+AM81+AM87</f>
        <v>0</v>
      </c>
      <c r="AN100" s="151">
        <f t="shared" ref="AN100:AP100" si="366">+AN74+AN81+AN87</f>
        <v>0</v>
      </c>
      <c r="AO100" s="151">
        <f t="shared" si="366"/>
        <v>0</v>
      </c>
      <c r="AP100" s="152">
        <f t="shared" si="366"/>
        <v>0</v>
      </c>
      <c r="AQ100" s="150">
        <f>+AQ74+AQ81+AQ87</f>
        <v>0</v>
      </c>
      <c r="AR100" s="151">
        <f t="shared" ref="AR100:AT100" si="367">+AR74+AR81+AR87</f>
        <v>0</v>
      </c>
      <c r="AS100" s="151">
        <f t="shared" si="367"/>
        <v>0</v>
      </c>
      <c r="AT100" s="152">
        <f t="shared" si="367"/>
        <v>0</v>
      </c>
      <c r="AU100" s="150">
        <f>+AU74+AU81+AU87</f>
        <v>0</v>
      </c>
      <c r="AV100" s="151">
        <f t="shared" ref="AV100:AX100" si="368">+AV74+AV81+AV87</f>
        <v>0</v>
      </c>
      <c r="AW100" s="151">
        <f t="shared" si="368"/>
        <v>0</v>
      </c>
      <c r="AX100" s="152">
        <f t="shared" si="368"/>
        <v>0</v>
      </c>
      <c r="AY100" s="150">
        <f t="shared" si="329"/>
        <v>11550264.740000004</v>
      </c>
      <c r="AZ100" s="151">
        <f t="shared" si="330"/>
        <v>187327.48879999999</v>
      </c>
      <c r="BA100" s="151">
        <f t="shared" si="331"/>
        <v>1523378.114199999</v>
      </c>
      <c r="BB100" s="152">
        <f t="shared" si="332"/>
        <v>1523378.114199999</v>
      </c>
    </row>
    <row r="101" spans="1:54" ht="10.8" thickBot="1" x14ac:dyDescent="0.25">
      <c r="A101" s="171" t="s">
        <v>2554</v>
      </c>
      <c r="B101" s="171"/>
      <c r="C101" s="178">
        <f>SUM(C97:C100)</f>
        <v>2670603.8100000005</v>
      </c>
      <c r="D101" s="179">
        <f t="shared" ref="D101:F101" si="369">SUM(D97:D100)</f>
        <v>2079.9351999999999</v>
      </c>
      <c r="E101" s="179">
        <f t="shared" si="369"/>
        <v>320202.53879999981</v>
      </c>
      <c r="F101" s="180">
        <f t="shared" si="369"/>
        <v>320202.53879999981</v>
      </c>
      <c r="G101" s="178">
        <f>SUM(G97:G100)</f>
        <v>4623772.6600000011</v>
      </c>
      <c r="H101" s="179">
        <f t="shared" ref="H101:J101" si="370">SUM(H97:H100)</f>
        <v>139070.23000000001</v>
      </c>
      <c r="I101" s="179">
        <f t="shared" si="370"/>
        <v>437006.91539999982</v>
      </c>
      <c r="J101" s="180">
        <f t="shared" si="370"/>
        <v>437006.91539999982</v>
      </c>
      <c r="K101" s="178">
        <f>SUM(K97:K100)</f>
        <v>4609618.7700000005</v>
      </c>
      <c r="L101" s="179">
        <f t="shared" ref="L101:N101" si="371">SUM(L97:L100)</f>
        <v>89585.376799999998</v>
      </c>
      <c r="M101" s="179">
        <f t="shared" si="371"/>
        <v>456803.30639999965</v>
      </c>
      <c r="N101" s="180">
        <f t="shared" si="371"/>
        <v>456803.30639999965</v>
      </c>
      <c r="O101" s="178">
        <f>SUM(O97:O100)</f>
        <v>6392922.5599999987</v>
      </c>
      <c r="P101" s="179">
        <f t="shared" ref="P101:R101" si="372">SUM(P97:P100)</f>
        <v>69285.56</v>
      </c>
      <c r="Q101" s="179">
        <f t="shared" si="372"/>
        <v>650026.95440000005</v>
      </c>
      <c r="R101" s="180">
        <f t="shared" si="372"/>
        <v>650026.95440000005</v>
      </c>
      <c r="S101" s="178">
        <f>SUM(S97:S100)</f>
        <v>4380770.6500000013</v>
      </c>
      <c r="T101" s="179">
        <f t="shared" ref="T101:V101" si="373">SUM(T97:T100)</f>
        <v>10977.877199999999</v>
      </c>
      <c r="U101" s="179">
        <f t="shared" si="373"/>
        <v>404411.63339999993</v>
      </c>
      <c r="V101" s="180">
        <f t="shared" si="373"/>
        <v>404411.63339999993</v>
      </c>
      <c r="W101" s="178">
        <f>SUM(W97:W100)</f>
        <v>3841925.22</v>
      </c>
      <c r="X101" s="179">
        <f t="shared" ref="X101:Z101" si="374">SUM(X97:X100)</f>
        <v>57463.603599999988</v>
      </c>
      <c r="Y101" s="179">
        <f t="shared" si="374"/>
        <v>383001.28650000005</v>
      </c>
      <c r="Z101" s="180">
        <f t="shared" si="374"/>
        <v>383001.28650000005</v>
      </c>
      <c r="AA101" s="178">
        <f>SUM(AA97:AA100)</f>
        <v>4615484.9400000004</v>
      </c>
      <c r="AB101" s="179">
        <f t="shared" ref="AB101:AD101" si="375">SUM(AB97:AB100)</f>
        <v>176954.97999999998</v>
      </c>
      <c r="AC101" s="179">
        <f t="shared" si="375"/>
        <v>377360.08960000006</v>
      </c>
      <c r="AD101" s="180">
        <f t="shared" si="375"/>
        <v>377360.08960000006</v>
      </c>
      <c r="AE101" s="178">
        <f>SUM(AE97:AE100)</f>
        <v>27220</v>
      </c>
      <c r="AF101" s="179">
        <f t="shared" ref="AF101:AH101" si="376">SUM(AF97:AF100)</f>
        <v>0</v>
      </c>
      <c r="AG101" s="179">
        <f t="shared" si="376"/>
        <v>668.8</v>
      </c>
      <c r="AH101" s="180">
        <f t="shared" si="376"/>
        <v>668.8</v>
      </c>
      <c r="AI101" s="178">
        <f>SUM(AI97:AI100)</f>
        <v>49581</v>
      </c>
      <c r="AJ101" s="179">
        <f t="shared" ref="AJ101:AL101" si="377">SUM(AJ97:AJ100)</f>
        <v>0</v>
      </c>
      <c r="AK101" s="179">
        <f t="shared" si="377"/>
        <v>1227.825</v>
      </c>
      <c r="AL101" s="180">
        <f t="shared" si="377"/>
        <v>1227.825</v>
      </c>
      <c r="AM101" s="178">
        <f>SUM(AM97:AM100)</f>
        <v>0</v>
      </c>
      <c r="AN101" s="179">
        <f t="shared" ref="AN101:AP101" si="378">SUM(AN97:AN100)</f>
        <v>0</v>
      </c>
      <c r="AO101" s="179">
        <f t="shared" si="378"/>
        <v>0</v>
      </c>
      <c r="AP101" s="180">
        <f t="shared" si="378"/>
        <v>0</v>
      </c>
      <c r="AQ101" s="178">
        <f>SUM(AQ97:AQ100)</f>
        <v>0</v>
      </c>
      <c r="AR101" s="179">
        <f t="shared" ref="AR101:AT101" si="379">SUM(AR97:AR100)</f>
        <v>0</v>
      </c>
      <c r="AS101" s="179">
        <f t="shared" si="379"/>
        <v>0</v>
      </c>
      <c r="AT101" s="180">
        <f t="shared" si="379"/>
        <v>0</v>
      </c>
      <c r="AU101" s="178">
        <f>SUM(AU97:AU100)</f>
        <v>0</v>
      </c>
      <c r="AV101" s="179">
        <f t="shared" ref="AV101:AX101" si="380">SUM(AV97:AV100)</f>
        <v>0</v>
      </c>
      <c r="AW101" s="179">
        <f t="shared" si="380"/>
        <v>0</v>
      </c>
      <c r="AX101" s="180">
        <f t="shared" si="380"/>
        <v>0</v>
      </c>
      <c r="AY101" s="159">
        <f t="shared" si="329"/>
        <v>31211899.610000003</v>
      </c>
      <c r="AZ101" s="160">
        <f t="shared" si="330"/>
        <v>545417.56279999996</v>
      </c>
      <c r="BA101" s="160">
        <f t="shared" si="331"/>
        <v>3030709.3494999995</v>
      </c>
      <c r="BB101" s="161">
        <f t="shared" si="332"/>
        <v>3030709.3494999995</v>
      </c>
    </row>
    <row r="102" spans="1:54" x14ac:dyDescent="0.2">
      <c r="C102" s="172"/>
      <c r="D102" s="173"/>
      <c r="E102" s="173"/>
      <c r="F102" s="174"/>
      <c r="G102" s="172"/>
      <c r="H102" s="173"/>
      <c r="I102" s="173"/>
      <c r="J102" s="174"/>
      <c r="K102" s="172"/>
      <c r="L102" s="173"/>
      <c r="M102" s="173"/>
      <c r="N102" s="174"/>
      <c r="O102" s="172"/>
      <c r="P102" s="173"/>
      <c r="Q102" s="173"/>
      <c r="R102" s="174"/>
      <c r="S102" s="172"/>
      <c r="T102" s="173"/>
      <c r="U102" s="173"/>
      <c r="V102" s="174"/>
      <c r="W102" s="172"/>
      <c r="X102" s="173"/>
      <c r="Y102" s="173"/>
      <c r="Z102" s="174"/>
      <c r="AA102" s="172"/>
      <c r="AB102" s="173"/>
      <c r="AC102" s="173"/>
      <c r="AD102" s="174"/>
      <c r="AE102" s="172"/>
      <c r="AF102" s="173"/>
      <c r="AG102" s="173"/>
      <c r="AH102" s="174"/>
      <c r="AI102" s="172"/>
      <c r="AJ102" s="173"/>
      <c r="AK102" s="173"/>
      <c r="AL102" s="174"/>
      <c r="AM102" s="172"/>
      <c r="AN102" s="173"/>
      <c r="AO102" s="173"/>
      <c r="AP102" s="174"/>
      <c r="AQ102" s="172"/>
      <c r="AR102" s="173"/>
      <c r="AS102" s="173"/>
      <c r="AT102" s="174"/>
      <c r="AU102" s="172"/>
      <c r="AV102" s="173"/>
      <c r="AW102" s="173"/>
      <c r="AX102" s="174"/>
      <c r="AY102" s="172"/>
      <c r="AZ102" s="173"/>
      <c r="BA102" s="173"/>
      <c r="BB102" s="174"/>
    </row>
    <row r="103" spans="1:54" x14ac:dyDescent="0.2">
      <c r="A103" s="181" t="s">
        <v>457</v>
      </c>
      <c r="B103" s="182"/>
      <c r="C103" s="183"/>
      <c r="D103" s="184"/>
      <c r="E103" s="184"/>
      <c r="F103" s="185"/>
      <c r="G103" s="183"/>
      <c r="H103" s="184"/>
      <c r="I103" s="184"/>
      <c r="J103" s="185"/>
      <c r="K103" s="183"/>
      <c r="L103" s="184"/>
      <c r="M103" s="184"/>
      <c r="N103" s="185"/>
      <c r="O103" s="183"/>
      <c r="P103" s="184"/>
      <c r="Q103" s="184"/>
      <c r="R103" s="185"/>
      <c r="S103" s="183"/>
      <c r="T103" s="184"/>
      <c r="U103" s="184"/>
      <c r="V103" s="185"/>
      <c r="W103" s="183"/>
      <c r="X103" s="184"/>
      <c r="Y103" s="184"/>
      <c r="Z103" s="185"/>
      <c r="AA103" s="183"/>
      <c r="AB103" s="184"/>
      <c r="AC103" s="184"/>
      <c r="AD103" s="185"/>
      <c r="AE103" s="183"/>
      <c r="AF103" s="184"/>
      <c r="AG103" s="184"/>
      <c r="AH103" s="185"/>
      <c r="AI103" s="183"/>
      <c r="AJ103" s="184"/>
      <c r="AK103" s="184"/>
      <c r="AL103" s="185"/>
      <c r="AM103" s="183"/>
      <c r="AN103" s="184"/>
      <c r="AO103" s="184"/>
      <c r="AP103" s="185"/>
      <c r="AQ103" s="183"/>
      <c r="AR103" s="184"/>
      <c r="AS103" s="184"/>
      <c r="AT103" s="185"/>
      <c r="AU103" s="183"/>
      <c r="AV103" s="184"/>
      <c r="AW103" s="184"/>
      <c r="AX103" s="185"/>
      <c r="AY103" s="164"/>
      <c r="AZ103" s="165"/>
      <c r="BA103" s="165"/>
      <c r="BB103" s="166"/>
    </row>
    <row r="104" spans="1:54" x14ac:dyDescent="0.2">
      <c r="A104" s="155" t="s">
        <v>2548</v>
      </c>
      <c r="C104" s="186">
        <f>+C40-C97</f>
        <v>-12370</v>
      </c>
      <c r="D104" s="187">
        <f t="shared" ref="D104:F104" si="381">+D40-D97</f>
        <v>0</v>
      </c>
      <c r="E104" s="187">
        <f t="shared" si="381"/>
        <v>-309.25</v>
      </c>
      <c r="F104" s="188">
        <f t="shared" si="381"/>
        <v>-309.25</v>
      </c>
      <c r="G104" s="186">
        <f>+G40-G97</f>
        <v>-19782</v>
      </c>
      <c r="H104" s="187">
        <f t="shared" ref="H104:J104" si="382">+H40-H97</f>
        <v>0</v>
      </c>
      <c r="I104" s="187">
        <f t="shared" si="382"/>
        <v>-494.54999999999995</v>
      </c>
      <c r="J104" s="188">
        <f t="shared" si="382"/>
        <v>-494.54999999999995</v>
      </c>
      <c r="K104" s="186">
        <f>+K40-K97</f>
        <v>-30728</v>
      </c>
      <c r="L104" s="187">
        <f t="shared" ref="L104:N104" si="383">+L40-L97</f>
        <v>0</v>
      </c>
      <c r="M104" s="187">
        <f t="shared" si="383"/>
        <v>-768.2</v>
      </c>
      <c r="N104" s="188">
        <f t="shared" si="383"/>
        <v>-768.2</v>
      </c>
      <c r="O104" s="186">
        <f>+O40-O97</f>
        <v>-11390</v>
      </c>
      <c r="P104" s="187">
        <f t="shared" ref="P104:R104" si="384">+P40-P97</f>
        <v>0</v>
      </c>
      <c r="Q104" s="187">
        <f t="shared" si="384"/>
        <v>-284.75</v>
      </c>
      <c r="R104" s="188">
        <f t="shared" si="384"/>
        <v>-284.75</v>
      </c>
      <c r="S104" s="186">
        <f>+S40-S97</f>
        <v>-21769</v>
      </c>
      <c r="T104" s="187">
        <f t="shared" ref="T104:V104" si="385">+T40-T97</f>
        <v>0</v>
      </c>
      <c r="U104" s="187">
        <f t="shared" si="385"/>
        <v>-544.22499999999991</v>
      </c>
      <c r="V104" s="188">
        <f t="shared" si="385"/>
        <v>-544.22499999999991</v>
      </c>
      <c r="W104" s="186">
        <f>+W40-W97</f>
        <v>-27069</v>
      </c>
      <c r="X104" s="187">
        <f t="shared" ref="X104:Z104" si="386">+X40-X97</f>
        <v>0</v>
      </c>
      <c r="Y104" s="187">
        <f t="shared" si="386"/>
        <v>-676.72499999999991</v>
      </c>
      <c r="Z104" s="188">
        <f t="shared" si="386"/>
        <v>-676.72499999999991</v>
      </c>
      <c r="AA104" s="186">
        <f>+AA40-AA97</f>
        <v>-25680</v>
      </c>
      <c r="AB104" s="187">
        <f t="shared" ref="AB104:AD104" si="387">+AB40-AB97</f>
        <v>0</v>
      </c>
      <c r="AC104" s="187">
        <f t="shared" si="387"/>
        <v>-642</v>
      </c>
      <c r="AD104" s="188">
        <f t="shared" si="387"/>
        <v>-642</v>
      </c>
      <c r="AE104" s="186">
        <f>+AE40-AE97</f>
        <v>0</v>
      </c>
      <c r="AF104" s="187">
        <f t="shared" ref="AF104:AH104" si="388">+AF40-AF97</f>
        <v>0</v>
      </c>
      <c r="AG104" s="187">
        <f t="shared" si="388"/>
        <v>0</v>
      </c>
      <c r="AH104" s="188">
        <f t="shared" si="388"/>
        <v>0</v>
      </c>
      <c r="AI104" s="186">
        <f>+AI40-AI97</f>
        <v>0</v>
      </c>
      <c r="AJ104" s="187">
        <f t="shared" ref="AJ104:AL104" si="389">+AJ40-AJ97</f>
        <v>118.05</v>
      </c>
      <c r="AK104" s="187">
        <f t="shared" si="389"/>
        <v>-59.025000000000091</v>
      </c>
      <c r="AL104" s="188">
        <f t="shared" si="389"/>
        <v>-59.025000000000091</v>
      </c>
      <c r="AM104" s="186">
        <f>+AM40-AM97</f>
        <v>0</v>
      </c>
      <c r="AN104" s="187">
        <f t="shared" ref="AN104:AP104" si="390">+AN40-AN97</f>
        <v>0</v>
      </c>
      <c r="AO104" s="187">
        <f t="shared" si="390"/>
        <v>0</v>
      </c>
      <c r="AP104" s="188">
        <f t="shared" si="390"/>
        <v>0</v>
      </c>
      <c r="AQ104" s="186">
        <f>+AQ40-AQ97</f>
        <v>0</v>
      </c>
      <c r="AR104" s="187">
        <f t="shared" ref="AR104:AT104" si="391">+AR40-AR97</f>
        <v>0</v>
      </c>
      <c r="AS104" s="187">
        <f t="shared" si="391"/>
        <v>0</v>
      </c>
      <c r="AT104" s="188">
        <f t="shared" si="391"/>
        <v>0</v>
      </c>
      <c r="AU104" s="186">
        <f>+AU40-AU97</f>
        <v>0</v>
      </c>
      <c r="AV104" s="187">
        <f t="shared" ref="AV104:AX104" si="392">+AV40-AV97</f>
        <v>0</v>
      </c>
      <c r="AW104" s="187">
        <f t="shared" si="392"/>
        <v>0</v>
      </c>
      <c r="AX104" s="188">
        <f t="shared" si="392"/>
        <v>0</v>
      </c>
      <c r="AY104" s="150">
        <f t="shared" ref="AY104:AY108" si="393">+C104+G104+K104+O104+S104+W104+AA104+AE104+AI104+AM104+AQ104+AU104</f>
        <v>-148788</v>
      </c>
      <c r="AZ104" s="151">
        <f t="shared" ref="AZ104:AZ108" si="394">+D104+H104+L104+P104+T104+X104+AB104+AF104+AJ104+AN104+AR104+AV104</f>
        <v>118.05</v>
      </c>
      <c r="BA104" s="151">
        <f t="shared" ref="BA104:BA108" si="395">+E104+I104+M104+Q104+U104+Y104+AC104+AG104+AK104+AO104+AS104+AW104</f>
        <v>-3778.7249999999999</v>
      </c>
      <c r="BB104" s="152">
        <f t="shared" ref="BB104:BB108" si="396">+F104+J104+N104+R104+V104+Z104+AD104+AH104+AL104+AP104+AT104+AX104</f>
        <v>-3778.7249999999999</v>
      </c>
    </row>
    <row r="105" spans="1:54" x14ac:dyDescent="0.2">
      <c r="A105" s="155" t="s">
        <v>2549</v>
      </c>
      <c r="C105" s="186">
        <f>+C41-C98</f>
        <v>-11943.1</v>
      </c>
      <c r="D105" s="187">
        <f t="shared" ref="D105:F105" si="397">+D41-D98</f>
        <v>0</v>
      </c>
      <c r="E105" s="187">
        <f t="shared" si="397"/>
        <v>-716.58600000000001</v>
      </c>
      <c r="F105" s="188">
        <f t="shared" si="397"/>
        <v>-716.58600000000001</v>
      </c>
      <c r="G105" s="186">
        <f>+G41-G98</f>
        <v>-2794</v>
      </c>
      <c r="H105" s="187">
        <f t="shared" ref="H105:J105" si="398">+H41-H98</f>
        <v>0</v>
      </c>
      <c r="I105" s="187">
        <f t="shared" si="398"/>
        <v>-167.64000000000001</v>
      </c>
      <c r="J105" s="188">
        <f t="shared" si="398"/>
        <v>-167.64000000000001</v>
      </c>
      <c r="K105" s="186">
        <f>+K41-K98</f>
        <v>-5543.2</v>
      </c>
      <c r="L105" s="187">
        <f t="shared" ref="L105:N105" si="399">+L41-L98</f>
        <v>0</v>
      </c>
      <c r="M105" s="187">
        <f t="shared" si="399"/>
        <v>-332.59199999999998</v>
      </c>
      <c r="N105" s="188">
        <f t="shared" si="399"/>
        <v>-332.59199999999998</v>
      </c>
      <c r="O105" s="186">
        <f>+O41-O98</f>
        <v>-6690</v>
      </c>
      <c r="P105" s="187">
        <f t="shared" ref="P105:R105" si="400">+P41-P98</f>
        <v>0</v>
      </c>
      <c r="Q105" s="187">
        <f t="shared" si="400"/>
        <v>-401.4</v>
      </c>
      <c r="R105" s="188">
        <f t="shared" si="400"/>
        <v>-401.4</v>
      </c>
      <c r="S105" s="186">
        <f>+S41-S98</f>
        <v>-6293.2</v>
      </c>
      <c r="T105" s="187">
        <f t="shared" ref="T105:V105" si="401">+T41-T98</f>
        <v>0</v>
      </c>
      <c r="U105" s="187">
        <f t="shared" si="401"/>
        <v>-377.59199999999998</v>
      </c>
      <c r="V105" s="188">
        <f t="shared" si="401"/>
        <v>-377.59199999999998</v>
      </c>
      <c r="W105" s="186">
        <f>+W41-W98</f>
        <v>-17390</v>
      </c>
      <c r="X105" s="187">
        <f t="shared" ref="X105:Z105" si="402">+X41-X98</f>
        <v>0</v>
      </c>
      <c r="Y105" s="187">
        <f t="shared" si="402"/>
        <v>-1043.4000000000001</v>
      </c>
      <c r="Z105" s="188">
        <f t="shared" si="402"/>
        <v>-1043.4000000000001</v>
      </c>
      <c r="AA105" s="186">
        <f>+AA41-AA98</f>
        <v>996691.60000000009</v>
      </c>
      <c r="AB105" s="187">
        <f t="shared" ref="AB105:AD105" si="403">+AB41-AB98</f>
        <v>0</v>
      </c>
      <c r="AC105" s="187">
        <f t="shared" si="403"/>
        <v>59801.495999999999</v>
      </c>
      <c r="AD105" s="188">
        <f t="shared" si="403"/>
        <v>59801.495999999999</v>
      </c>
      <c r="AE105" s="186">
        <f>+AE41-AE98</f>
        <v>14775.279999999999</v>
      </c>
      <c r="AF105" s="187">
        <f t="shared" ref="AF105:AH105" si="404">+AF41-AF98</f>
        <v>0</v>
      </c>
      <c r="AG105" s="187">
        <f t="shared" si="404"/>
        <v>886.51679999999999</v>
      </c>
      <c r="AH105" s="188">
        <f t="shared" si="404"/>
        <v>886.51679999999999</v>
      </c>
      <c r="AI105" s="186">
        <f>+AI41-AI98</f>
        <v>0</v>
      </c>
      <c r="AJ105" s="187">
        <f t="shared" ref="AJ105:AL105" si="405">+AJ41-AJ98</f>
        <v>0</v>
      </c>
      <c r="AK105" s="187">
        <f t="shared" si="405"/>
        <v>0</v>
      </c>
      <c r="AL105" s="188">
        <f t="shared" si="405"/>
        <v>0</v>
      </c>
      <c r="AM105" s="186">
        <f>+AM41-AM98</f>
        <v>0</v>
      </c>
      <c r="AN105" s="187">
        <f t="shared" ref="AN105:AP105" si="406">+AN41-AN98</f>
        <v>0</v>
      </c>
      <c r="AO105" s="187">
        <f t="shared" si="406"/>
        <v>0</v>
      </c>
      <c r="AP105" s="188">
        <f t="shared" si="406"/>
        <v>0</v>
      </c>
      <c r="AQ105" s="186">
        <f>+AQ41-AQ98</f>
        <v>0</v>
      </c>
      <c r="AR105" s="187">
        <f t="shared" ref="AR105:AT105" si="407">+AR41-AR98</f>
        <v>0</v>
      </c>
      <c r="AS105" s="187">
        <f t="shared" si="407"/>
        <v>0</v>
      </c>
      <c r="AT105" s="188">
        <f t="shared" si="407"/>
        <v>0</v>
      </c>
      <c r="AU105" s="186">
        <f>+AU41-AU98</f>
        <v>0</v>
      </c>
      <c r="AV105" s="187">
        <f t="shared" ref="AV105:AX105" si="408">+AV41-AV98</f>
        <v>0</v>
      </c>
      <c r="AW105" s="187">
        <f t="shared" si="408"/>
        <v>0</v>
      </c>
      <c r="AX105" s="188">
        <f t="shared" si="408"/>
        <v>0</v>
      </c>
      <c r="AY105" s="150">
        <f t="shared" si="393"/>
        <v>960813.38000000012</v>
      </c>
      <c r="AZ105" s="151">
        <f t="shared" si="394"/>
        <v>0</v>
      </c>
      <c r="BA105" s="151">
        <f t="shared" si="395"/>
        <v>57648.802799999998</v>
      </c>
      <c r="BB105" s="152">
        <f t="shared" si="396"/>
        <v>57648.802799999998</v>
      </c>
    </row>
    <row r="106" spans="1:54" x14ac:dyDescent="0.2">
      <c r="A106" s="155" t="s">
        <v>2550</v>
      </c>
      <c r="C106" s="186">
        <f>+C42-C99</f>
        <v>-280905.87</v>
      </c>
      <c r="D106" s="187">
        <f t="shared" ref="D106:F106" si="409">+D42-D99</f>
        <v>0</v>
      </c>
      <c r="E106" s="187">
        <f t="shared" si="409"/>
        <v>-25281.528299999976</v>
      </c>
      <c r="F106" s="188">
        <f t="shared" si="409"/>
        <v>-25281.528299999976</v>
      </c>
      <c r="G106" s="186">
        <f>+G42-G99</f>
        <v>-1100366.8</v>
      </c>
      <c r="H106" s="187">
        <f t="shared" ref="H106:J106" si="410">+H42-H99</f>
        <v>-102136.914</v>
      </c>
      <c r="I106" s="187">
        <f t="shared" si="410"/>
        <v>-47964.555000000051</v>
      </c>
      <c r="J106" s="188">
        <f t="shared" si="410"/>
        <v>-47964.555000000051</v>
      </c>
      <c r="K106" s="186">
        <f>+K42-K99</f>
        <v>-664937.2099999995</v>
      </c>
      <c r="L106" s="187">
        <f t="shared" ref="L106:N106" si="411">+L42-L99</f>
        <v>-66139.56</v>
      </c>
      <c r="M106" s="187">
        <f t="shared" si="411"/>
        <v>-26774.568899999984</v>
      </c>
      <c r="N106" s="188">
        <f t="shared" si="411"/>
        <v>-26774.568899999984</v>
      </c>
      <c r="O106" s="186">
        <f>+O42-O99</f>
        <v>-1440300.8199999989</v>
      </c>
      <c r="P106" s="187">
        <f t="shared" ref="P106:R106" si="412">+P42-P99</f>
        <v>-47329.919999999998</v>
      </c>
      <c r="Q106" s="187">
        <f t="shared" si="412"/>
        <v>-105962.3538000001</v>
      </c>
      <c r="R106" s="188">
        <f t="shared" si="412"/>
        <v>-105962.3538000001</v>
      </c>
      <c r="S106" s="186">
        <f>+S42-S99</f>
        <v>-149066.20000000019</v>
      </c>
      <c r="T106" s="187">
        <f t="shared" ref="T106:V106" si="413">+T42-T99</f>
        <v>-1305</v>
      </c>
      <c r="U106" s="187">
        <f t="shared" si="413"/>
        <v>38540.271999999968</v>
      </c>
      <c r="V106" s="188">
        <f t="shared" si="413"/>
        <v>38540.271999999968</v>
      </c>
      <c r="W106" s="186">
        <f>+W42-W99</f>
        <v>379415.09000000032</v>
      </c>
      <c r="X106" s="187">
        <f t="shared" ref="X106:Z106" si="414">+X42-X99</f>
        <v>0</v>
      </c>
      <c r="Y106" s="187">
        <f t="shared" si="414"/>
        <v>34137.598099999886</v>
      </c>
      <c r="Z106" s="188">
        <f t="shared" si="414"/>
        <v>34397.878099999885</v>
      </c>
      <c r="AA106" s="186">
        <f>+AA42-AA99</f>
        <v>-1937356.14</v>
      </c>
      <c r="AB106" s="187">
        <f t="shared" ref="AB106:AD106" si="415">+AB42-AB99</f>
        <v>-141178.68</v>
      </c>
      <c r="AC106" s="187">
        <f t="shared" si="415"/>
        <v>-103772.7126</v>
      </c>
      <c r="AD106" s="188">
        <f t="shared" si="415"/>
        <v>-103772.7126</v>
      </c>
      <c r="AE106" s="186">
        <f>+AE42-AE99</f>
        <v>597273.06000000006</v>
      </c>
      <c r="AF106" s="187">
        <f t="shared" ref="AF106:AH106" si="416">+AF42-AF99</f>
        <v>0</v>
      </c>
      <c r="AG106" s="187">
        <f t="shared" si="416"/>
        <v>53754.575399999994</v>
      </c>
      <c r="AH106" s="188">
        <f t="shared" si="416"/>
        <v>53754.575399999994</v>
      </c>
      <c r="AI106" s="186">
        <f>+AI42-AI99</f>
        <v>180</v>
      </c>
      <c r="AJ106" s="187">
        <f t="shared" ref="AJ106:AL106" si="417">+AJ42-AJ99</f>
        <v>0</v>
      </c>
      <c r="AK106" s="187">
        <f t="shared" si="417"/>
        <v>16.2</v>
      </c>
      <c r="AL106" s="188">
        <f t="shared" si="417"/>
        <v>16.2</v>
      </c>
      <c r="AM106" s="186">
        <f>+AM42-AM99</f>
        <v>0</v>
      </c>
      <c r="AN106" s="187">
        <f t="shared" ref="AN106:AP106" si="418">+AN42-AN99</f>
        <v>0</v>
      </c>
      <c r="AO106" s="187">
        <f t="shared" si="418"/>
        <v>0</v>
      </c>
      <c r="AP106" s="188">
        <f t="shared" si="418"/>
        <v>0</v>
      </c>
      <c r="AQ106" s="186">
        <f>+AQ42-AQ99</f>
        <v>0</v>
      </c>
      <c r="AR106" s="187">
        <f t="shared" ref="AR106:AT106" si="419">+AR42-AR99</f>
        <v>0</v>
      </c>
      <c r="AS106" s="187">
        <f t="shared" si="419"/>
        <v>0</v>
      </c>
      <c r="AT106" s="188">
        <f t="shared" si="419"/>
        <v>0</v>
      </c>
      <c r="AU106" s="186">
        <f>+AU42-AU99</f>
        <v>0</v>
      </c>
      <c r="AV106" s="187">
        <f t="shared" ref="AV106:AX106" si="420">+AV42-AV99</f>
        <v>0</v>
      </c>
      <c r="AW106" s="187">
        <f t="shared" si="420"/>
        <v>0</v>
      </c>
      <c r="AX106" s="188">
        <f t="shared" si="420"/>
        <v>0</v>
      </c>
      <c r="AY106" s="150">
        <f t="shared" si="393"/>
        <v>-4596064.8899999987</v>
      </c>
      <c r="AZ106" s="151">
        <f t="shared" si="394"/>
        <v>-358090.07399999996</v>
      </c>
      <c r="BA106" s="151">
        <f t="shared" si="395"/>
        <v>-183307.07310000024</v>
      </c>
      <c r="BB106" s="152">
        <f t="shared" si="396"/>
        <v>-183046.79310000024</v>
      </c>
    </row>
    <row r="107" spans="1:54" x14ac:dyDescent="0.2">
      <c r="A107" s="155" t="s">
        <v>2551</v>
      </c>
      <c r="C107" s="186">
        <f>+C43-C100</f>
        <v>1001795.9299999969</v>
      </c>
      <c r="D107" s="187">
        <f t="shared" ref="D107:F107" si="421">+D43-D100</f>
        <v>32860.752399999998</v>
      </c>
      <c r="E107" s="187">
        <f t="shared" si="421"/>
        <v>123821.05400000009</v>
      </c>
      <c r="F107" s="188">
        <f t="shared" si="421"/>
        <v>123821.05400000009</v>
      </c>
      <c r="G107" s="186">
        <f>+G43-G100</f>
        <v>602288.83999999915</v>
      </c>
      <c r="H107" s="187">
        <f t="shared" ref="H107:J107" si="422">+H43-H100</f>
        <v>18616.424400000011</v>
      </c>
      <c r="I107" s="187">
        <f t="shared" si="422"/>
        <v>75012.225400000199</v>
      </c>
      <c r="J107" s="188">
        <f t="shared" si="422"/>
        <v>78565.492600000201</v>
      </c>
      <c r="K107" s="186">
        <f>+K43-K100</f>
        <v>1864572.8139999982</v>
      </c>
      <c r="L107" s="187">
        <f t="shared" ref="L107:N107" si="423">+L43-L100</f>
        <v>117664.04160000003</v>
      </c>
      <c r="M107" s="187">
        <f t="shared" si="423"/>
        <v>202208.17316000053</v>
      </c>
      <c r="N107" s="188">
        <f t="shared" si="423"/>
        <v>205053.08656000055</v>
      </c>
      <c r="O107" s="186">
        <f>+O43-O100</f>
        <v>1646877.2099999986</v>
      </c>
      <c r="P107" s="187">
        <f t="shared" ref="P107:R107" si="424">+P43-P100</f>
        <v>42471.687999999995</v>
      </c>
      <c r="Q107" s="187">
        <f t="shared" si="424"/>
        <v>209324.46540000028</v>
      </c>
      <c r="R107" s="188">
        <f t="shared" si="424"/>
        <v>223723.91480000026</v>
      </c>
      <c r="S107" s="186">
        <f>+S43-S100</f>
        <v>1194575.3699999994</v>
      </c>
      <c r="T107" s="187">
        <f t="shared" ref="T107:V107" si="425">+T43-T100</f>
        <v>20800.491600000001</v>
      </c>
      <c r="U107" s="187">
        <f t="shared" si="425"/>
        <v>156840.73600000032</v>
      </c>
      <c r="V107" s="188">
        <f t="shared" si="425"/>
        <v>173638.74800000031</v>
      </c>
      <c r="W107" s="186">
        <f>+W43-W100</f>
        <v>645836.58000000007</v>
      </c>
      <c r="X107" s="187">
        <f t="shared" ref="X107:Z107" si="426">+X43-X100</f>
        <v>18249.726400000029</v>
      </c>
      <c r="Y107" s="187">
        <f t="shared" si="426"/>
        <v>81289.523000000016</v>
      </c>
      <c r="Z107" s="188">
        <f t="shared" si="426"/>
        <v>81289.523000000016</v>
      </c>
      <c r="AA107" s="186">
        <f>+AA43-AA100</f>
        <v>683874.62000000034</v>
      </c>
      <c r="AB107" s="187">
        <f t="shared" ref="AB107:AD107" si="427">+AB43-AB100</f>
        <v>16169.330799999996</v>
      </c>
      <c r="AC107" s="187">
        <f t="shared" si="427"/>
        <v>87657.78139999992</v>
      </c>
      <c r="AD107" s="188">
        <f t="shared" si="427"/>
        <v>87657.78139999992</v>
      </c>
      <c r="AE107" s="186">
        <f>+AE43-AE100</f>
        <v>682727.39999999991</v>
      </c>
      <c r="AF107" s="187">
        <f t="shared" ref="AF107:AH107" si="428">+AF43-AF100</f>
        <v>36691.986799999999</v>
      </c>
      <c r="AG107" s="187">
        <f t="shared" si="428"/>
        <v>77235.842600000004</v>
      </c>
      <c r="AH107" s="188">
        <f t="shared" si="428"/>
        <v>77235.842600000004</v>
      </c>
      <c r="AI107" s="186">
        <f>+AI43-AI100</f>
        <v>0</v>
      </c>
      <c r="AJ107" s="187">
        <f t="shared" ref="AJ107:AL107" si="429">+AJ43-AJ100</f>
        <v>0</v>
      </c>
      <c r="AK107" s="187">
        <f t="shared" si="429"/>
        <v>0</v>
      </c>
      <c r="AL107" s="188">
        <f t="shared" si="429"/>
        <v>0</v>
      </c>
      <c r="AM107" s="186">
        <f>+AM43-AM100</f>
        <v>0</v>
      </c>
      <c r="AN107" s="187">
        <f t="shared" ref="AN107:AP107" si="430">+AN43-AN100</f>
        <v>0</v>
      </c>
      <c r="AO107" s="187">
        <f t="shared" si="430"/>
        <v>0</v>
      </c>
      <c r="AP107" s="188">
        <f t="shared" si="430"/>
        <v>0</v>
      </c>
      <c r="AQ107" s="186">
        <f>+AQ43-AQ100</f>
        <v>0</v>
      </c>
      <c r="AR107" s="187">
        <f t="shared" ref="AR107:AT107" si="431">+AR43-AR100</f>
        <v>0</v>
      </c>
      <c r="AS107" s="187">
        <f t="shared" si="431"/>
        <v>0</v>
      </c>
      <c r="AT107" s="188">
        <f t="shared" si="431"/>
        <v>0</v>
      </c>
      <c r="AU107" s="186">
        <f>+AU43-AU100</f>
        <v>0</v>
      </c>
      <c r="AV107" s="187">
        <f t="shared" ref="AV107:AX107" si="432">+AV43-AV100</f>
        <v>0</v>
      </c>
      <c r="AW107" s="187">
        <f t="shared" si="432"/>
        <v>0</v>
      </c>
      <c r="AX107" s="188">
        <f t="shared" si="432"/>
        <v>0</v>
      </c>
      <c r="AY107" s="150">
        <f t="shared" si="393"/>
        <v>8322548.7639999911</v>
      </c>
      <c r="AZ107" s="151">
        <f t="shared" si="394"/>
        <v>303524.4420000001</v>
      </c>
      <c r="BA107" s="151">
        <f t="shared" si="395"/>
        <v>1013389.8009600014</v>
      </c>
      <c r="BB107" s="152">
        <f t="shared" si="396"/>
        <v>1050985.4429600015</v>
      </c>
    </row>
    <row r="108" spans="1:54" ht="10.8" thickBot="1" x14ac:dyDescent="0.25">
      <c r="A108" s="171" t="s">
        <v>1054</v>
      </c>
      <c r="B108" s="171"/>
      <c r="C108" s="178">
        <f>SUM(C104:C107)</f>
        <v>696576.95999999694</v>
      </c>
      <c r="D108" s="179">
        <f t="shared" ref="D108:F108" si="433">SUM(D104:D107)</f>
        <v>32860.752399999998</v>
      </c>
      <c r="E108" s="179">
        <f t="shared" si="433"/>
        <v>97513.689700000119</v>
      </c>
      <c r="F108" s="180">
        <f t="shared" si="433"/>
        <v>97513.689700000119</v>
      </c>
      <c r="G108" s="178">
        <f>SUM(G104:G107)</f>
        <v>-520653.96000000089</v>
      </c>
      <c r="H108" s="179">
        <f t="shared" ref="H108:J108" si="434">SUM(H104:H107)</f>
        <v>-83520.489600000001</v>
      </c>
      <c r="I108" s="179">
        <f t="shared" si="434"/>
        <v>26385.480400000146</v>
      </c>
      <c r="J108" s="180">
        <f t="shared" si="434"/>
        <v>29938.747600000148</v>
      </c>
      <c r="K108" s="178">
        <f>SUM(K104:K107)</f>
        <v>1163364.4039999987</v>
      </c>
      <c r="L108" s="179">
        <f t="shared" ref="L108:N108" si="435">SUM(L104:L107)</f>
        <v>51524.481600000028</v>
      </c>
      <c r="M108" s="179">
        <f t="shared" si="435"/>
        <v>174332.81226000056</v>
      </c>
      <c r="N108" s="180">
        <f t="shared" si="435"/>
        <v>177177.72566000058</v>
      </c>
      <c r="O108" s="178">
        <f>SUM(O104:O107)</f>
        <v>188496.38999999966</v>
      </c>
      <c r="P108" s="179">
        <f t="shared" ref="P108:R108" si="436">SUM(P104:P107)</f>
        <v>-4858.2320000000036</v>
      </c>
      <c r="Q108" s="179">
        <f t="shared" si="436"/>
        <v>102675.96160000018</v>
      </c>
      <c r="R108" s="180">
        <f t="shared" si="436"/>
        <v>117075.41100000017</v>
      </c>
      <c r="S108" s="178">
        <f>SUM(S104:S107)</f>
        <v>1017446.9699999993</v>
      </c>
      <c r="T108" s="179">
        <f t="shared" ref="T108:V108" si="437">SUM(T104:T107)</f>
        <v>19495.491600000001</v>
      </c>
      <c r="U108" s="179">
        <f t="shared" si="437"/>
        <v>194459.19100000028</v>
      </c>
      <c r="V108" s="180">
        <f t="shared" si="437"/>
        <v>211257.20300000027</v>
      </c>
      <c r="W108" s="178">
        <f>SUM(W104:W107)</f>
        <v>980792.67000000039</v>
      </c>
      <c r="X108" s="179">
        <f t="shared" ref="X108:Z108" si="438">SUM(X104:X107)</f>
        <v>18249.726400000029</v>
      </c>
      <c r="Y108" s="179">
        <f t="shared" si="438"/>
        <v>113706.9960999999</v>
      </c>
      <c r="Z108" s="180">
        <f t="shared" si="438"/>
        <v>113967.2760999999</v>
      </c>
      <c r="AA108" s="178">
        <f>SUM(AA104:AA107)</f>
        <v>-282469.91999999946</v>
      </c>
      <c r="AB108" s="179">
        <f t="shared" ref="AB108:AD108" si="439">SUM(AB104:AB107)</f>
        <v>-125009.3492</v>
      </c>
      <c r="AC108" s="179">
        <f t="shared" si="439"/>
        <v>43044.56479999992</v>
      </c>
      <c r="AD108" s="180">
        <f t="shared" si="439"/>
        <v>43044.56479999992</v>
      </c>
      <c r="AE108" s="178">
        <f>SUM(AE104:AE107)</f>
        <v>1294775.74</v>
      </c>
      <c r="AF108" s="179">
        <f t="shared" ref="AF108:AH108" si="440">SUM(AF104:AF107)</f>
        <v>36691.986799999999</v>
      </c>
      <c r="AG108" s="179">
        <f t="shared" si="440"/>
        <v>131876.93479999999</v>
      </c>
      <c r="AH108" s="180">
        <f t="shared" si="440"/>
        <v>131876.93479999999</v>
      </c>
      <c r="AI108" s="178">
        <f>SUM(AI104:AI107)</f>
        <v>180</v>
      </c>
      <c r="AJ108" s="179">
        <f t="shared" ref="AJ108:AL108" si="441">SUM(AJ104:AJ107)</f>
        <v>118.05</v>
      </c>
      <c r="AK108" s="179">
        <f t="shared" si="441"/>
        <v>-42.825000000000088</v>
      </c>
      <c r="AL108" s="180">
        <f t="shared" si="441"/>
        <v>-42.825000000000088</v>
      </c>
      <c r="AM108" s="178">
        <f>SUM(AM104:AM107)</f>
        <v>0</v>
      </c>
      <c r="AN108" s="179">
        <f t="shared" ref="AN108:AP108" si="442">SUM(AN104:AN107)</f>
        <v>0</v>
      </c>
      <c r="AO108" s="179">
        <f t="shared" si="442"/>
        <v>0</v>
      </c>
      <c r="AP108" s="180">
        <f t="shared" si="442"/>
        <v>0</v>
      </c>
      <c r="AQ108" s="178">
        <f>SUM(AQ104:AQ107)</f>
        <v>0</v>
      </c>
      <c r="AR108" s="179">
        <f t="shared" ref="AR108:AT108" si="443">SUM(AR104:AR107)</f>
        <v>0</v>
      </c>
      <c r="AS108" s="179">
        <f t="shared" si="443"/>
        <v>0</v>
      </c>
      <c r="AT108" s="180">
        <f t="shared" si="443"/>
        <v>0</v>
      </c>
      <c r="AU108" s="178">
        <f>SUM(AU104:AU107)</f>
        <v>0</v>
      </c>
      <c r="AV108" s="179">
        <f t="shared" ref="AV108:AX108" si="444">SUM(AV104:AV107)</f>
        <v>0</v>
      </c>
      <c r="AW108" s="179">
        <f t="shared" si="444"/>
        <v>0</v>
      </c>
      <c r="AX108" s="180">
        <f t="shared" si="444"/>
        <v>0</v>
      </c>
      <c r="AY108" s="159">
        <f t="shared" si="393"/>
        <v>4538509.2539999951</v>
      </c>
      <c r="AZ108" s="160">
        <f t="shared" si="394"/>
        <v>-54447.581999999937</v>
      </c>
      <c r="BA108" s="160">
        <f t="shared" si="395"/>
        <v>883952.80566000124</v>
      </c>
      <c r="BB108" s="161">
        <f t="shared" si="396"/>
        <v>921808.72766000126</v>
      </c>
    </row>
    <row r="109" spans="1:54" ht="10.8" thickBot="1" x14ac:dyDescent="0.25">
      <c r="A109" s="171"/>
      <c r="B109" s="189"/>
      <c r="C109" s="178"/>
      <c r="D109" s="179"/>
      <c r="E109" s="179"/>
      <c r="F109" s="180"/>
      <c r="G109" s="178"/>
      <c r="H109" s="179"/>
      <c r="I109" s="179"/>
      <c r="J109" s="180"/>
      <c r="K109" s="178"/>
      <c r="L109" s="179"/>
      <c r="M109" s="179"/>
      <c r="N109" s="180"/>
      <c r="O109" s="178"/>
      <c r="P109" s="179"/>
      <c r="Q109" s="179"/>
      <c r="R109" s="180"/>
      <c r="S109" s="178"/>
      <c r="T109" s="179"/>
      <c r="U109" s="179"/>
      <c r="V109" s="180"/>
      <c r="W109" s="178"/>
      <c r="X109" s="179"/>
      <c r="Y109" s="179"/>
      <c r="Z109" s="180"/>
      <c r="AA109" s="178"/>
      <c r="AB109" s="179"/>
      <c r="AC109" s="179"/>
      <c r="AD109" s="180"/>
      <c r="AE109" s="178"/>
      <c r="AF109" s="179"/>
      <c r="AG109" s="179"/>
      <c r="AH109" s="180"/>
      <c r="AI109" s="178"/>
      <c r="AJ109" s="179"/>
      <c r="AK109" s="179"/>
      <c r="AL109" s="180"/>
      <c r="AM109" s="178"/>
      <c r="AN109" s="179"/>
      <c r="AO109" s="179"/>
      <c r="AP109" s="180"/>
      <c r="AQ109" s="178"/>
      <c r="AR109" s="179"/>
      <c r="AS109" s="179"/>
      <c r="AT109" s="180"/>
      <c r="AU109" s="178"/>
      <c r="AV109" s="179"/>
      <c r="AW109" s="179"/>
      <c r="AX109" s="180"/>
      <c r="AY109" s="150"/>
      <c r="AZ109" s="151"/>
      <c r="BA109" s="151"/>
      <c r="BB109" s="152"/>
    </row>
    <row r="110" spans="1:54" ht="10.8" thickBot="1" x14ac:dyDescent="0.25">
      <c r="A110" s="171" t="s">
        <v>1055</v>
      </c>
      <c r="B110" s="189"/>
      <c r="C110" s="178">
        <f>+C44</f>
        <v>3367180.7699999977</v>
      </c>
      <c r="D110" s="179">
        <f t="shared" ref="D110:F110" si="445">+D44</f>
        <v>34940.687599999997</v>
      </c>
      <c r="E110" s="179">
        <f t="shared" si="445"/>
        <v>417716.22849999997</v>
      </c>
      <c r="F110" s="180">
        <f t="shared" si="445"/>
        <v>417716.22849999997</v>
      </c>
      <c r="G110" s="178">
        <f>+G44</f>
        <v>4103118.7</v>
      </c>
      <c r="H110" s="179">
        <f t="shared" ref="H110:J110" si="446">+H44</f>
        <v>55549.74040000001</v>
      </c>
      <c r="I110" s="179">
        <f t="shared" si="446"/>
        <v>463392.3958</v>
      </c>
      <c r="J110" s="180">
        <f t="shared" si="446"/>
        <v>466945.663</v>
      </c>
      <c r="K110" s="178">
        <f>+K44</f>
        <v>5772983.1739999987</v>
      </c>
      <c r="L110" s="179">
        <f t="shared" ref="L110:N110" si="447">+L44</f>
        <v>141109.85840000003</v>
      </c>
      <c r="M110" s="179">
        <f t="shared" si="447"/>
        <v>631136.11866000015</v>
      </c>
      <c r="N110" s="180">
        <f t="shared" si="447"/>
        <v>633981.03206000023</v>
      </c>
      <c r="O110" s="178">
        <f>+O44</f>
        <v>6581418.9499999993</v>
      </c>
      <c r="P110" s="179">
        <f t="shared" ref="P110:R110" si="448">+P44</f>
        <v>64427.327999999994</v>
      </c>
      <c r="Q110" s="179">
        <f t="shared" si="448"/>
        <v>752702.9160000002</v>
      </c>
      <c r="R110" s="180">
        <f t="shared" si="448"/>
        <v>767102.36540000024</v>
      </c>
      <c r="S110" s="178">
        <f>+S44</f>
        <v>5398217.6200000001</v>
      </c>
      <c r="T110" s="179">
        <f t="shared" ref="T110:V110" si="449">+T44</f>
        <v>30473.3688</v>
      </c>
      <c r="U110" s="179">
        <f t="shared" si="449"/>
        <v>598870.82440000027</v>
      </c>
      <c r="V110" s="180">
        <f t="shared" si="449"/>
        <v>615668.83640000015</v>
      </c>
      <c r="W110" s="178">
        <f>+W44</f>
        <v>4822717.8900000006</v>
      </c>
      <c r="X110" s="179">
        <f t="shared" ref="X110:Z110" si="450">+X44</f>
        <v>75713.330000000016</v>
      </c>
      <c r="Y110" s="179">
        <f t="shared" si="450"/>
        <v>496708.28259999998</v>
      </c>
      <c r="Z110" s="180">
        <f t="shared" si="450"/>
        <v>496968.56259999995</v>
      </c>
      <c r="AA110" s="178">
        <f>+AA44</f>
        <v>4333015.0200000005</v>
      </c>
      <c r="AB110" s="179">
        <f t="shared" ref="AB110:AD110" si="451">+AB44</f>
        <v>51945.630799999992</v>
      </c>
      <c r="AC110" s="179">
        <f t="shared" si="451"/>
        <v>420404.65439999994</v>
      </c>
      <c r="AD110" s="180">
        <f t="shared" si="451"/>
        <v>420404.65439999994</v>
      </c>
      <c r="AE110" s="178">
        <f>+AE44</f>
        <v>1321995.74</v>
      </c>
      <c r="AF110" s="179">
        <f t="shared" ref="AF110:AH110" si="452">+AF44</f>
        <v>36691.986799999999</v>
      </c>
      <c r="AG110" s="179">
        <f t="shared" si="452"/>
        <v>132545.73480000001</v>
      </c>
      <c r="AH110" s="180">
        <f t="shared" si="452"/>
        <v>132545.73480000001</v>
      </c>
      <c r="AI110" s="178">
        <f>+AI44</f>
        <v>49761</v>
      </c>
      <c r="AJ110" s="179">
        <f t="shared" ref="AJ110:AL110" si="453">+AJ44</f>
        <v>118.05</v>
      </c>
      <c r="AK110" s="179">
        <f t="shared" si="453"/>
        <v>1185</v>
      </c>
      <c r="AL110" s="180">
        <f t="shared" si="453"/>
        <v>1185</v>
      </c>
      <c r="AM110" s="178">
        <f>+AM44</f>
        <v>0</v>
      </c>
      <c r="AN110" s="179">
        <f t="shared" ref="AN110:AP110" si="454">+AN44</f>
        <v>0</v>
      </c>
      <c r="AO110" s="179">
        <f t="shared" si="454"/>
        <v>0</v>
      </c>
      <c r="AP110" s="180">
        <f t="shared" si="454"/>
        <v>0</v>
      </c>
      <c r="AQ110" s="178">
        <f>+AQ44</f>
        <v>0</v>
      </c>
      <c r="AR110" s="179">
        <f t="shared" ref="AR110:AT110" si="455">+AR44</f>
        <v>0</v>
      </c>
      <c r="AS110" s="179">
        <f t="shared" si="455"/>
        <v>0</v>
      </c>
      <c r="AT110" s="180">
        <f t="shared" si="455"/>
        <v>0</v>
      </c>
      <c r="AU110" s="178">
        <f>+AU44</f>
        <v>0</v>
      </c>
      <c r="AV110" s="179">
        <f t="shared" ref="AV110:AX110" si="456">+AV44</f>
        <v>0</v>
      </c>
      <c r="AW110" s="179">
        <f t="shared" si="456"/>
        <v>0</v>
      </c>
      <c r="AX110" s="180">
        <f t="shared" si="456"/>
        <v>0</v>
      </c>
      <c r="AY110" s="150">
        <f t="shared" ref="AY110:AY112" si="457">+C110+G110+K110+O110+S110+W110+AA110+AE110+AI110+AM110+AQ110+AU110</f>
        <v>35750408.864</v>
      </c>
      <c r="AZ110" s="151">
        <f t="shared" ref="AZ110:AZ112" si="458">+D110+H110+L110+P110+T110+X110+AB110+AF110+AJ110+AN110+AR110+AV110</f>
        <v>490969.98080000002</v>
      </c>
      <c r="BA110" s="151">
        <f t="shared" ref="BA110:BA112" si="459">+E110+I110+M110+Q110+U110+Y110+AC110+AG110+AK110+AO110+AS110+AW110</f>
        <v>3914662.155160001</v>
      </c>
      <c r="BB110" s="152">
        <f t="shared" ref="BB110:BB112" si="460">+F110+J110+N110+R110+V110+Z110+AD110+AH110+AL110+AP110+AT110+AX110</f>
        <v>3952518.0771600008</v>
      </c>
    </row>
    <row r="111" spans="1:54" ht="10.8" thickBot="1" x14ac:dyDescent="0.25">
      <c r="A111" s="171" t="s">
        <v>1056</v>
      </c>
      <c r="B111" s="189"/>
      <c r="C111" s="178">
        <f>+C101</f>
        <v>2670603.8100000005</v>
      </c>
      <c r="D111" s="179">
        <f t="shared" ref="D111:F111" si="461">+D101</f>
        <v>2079.9351999999999</v>
      </c>
      <c r="E111" s="179">
        <f t="shared" si="461"/>
        <v>320202.53879999981</v>
      </c>
      <c r="F111" s="180">
        <f t="shared" si="461"/>
        <v>320202.53879999981</v>
      </c>
      <c r="G111" s="178">
        <f>+G101</f>
        <v>4623772.6600000011</v>
      </c>
      <c r="H111" s="179">
        <f t="shared" ref="H111:J111" si="462">+H101</f>
        <v>139070.23000000001</v>
      </c>
      <c r="I111" s="179">
        <f t="shared" si="462"/>
        <v>437006.91539999982</v>
      </c>
      <c r="J111" s="180">
        <f t="shared" si="462"/>
        <v>437006.91539999982</v>
      </c>
      <c r="K111" s="178">
        <f>+K101</f>
        <v>4609618.7700000005</v>
      </c>
      <c r="L111" s="179">
        <f t="shared" ref="L111:N111" si="463">+L101</f>
        <v>89585.376799999998</v>
      </c>
      <c r="M111" s="179">
        <f t="shared" si="463"/>
        <v>456803.30639999965</v>
      </c>
      <c r="N111" s="180">
        <f t="shared" si="463"/>
        <v>456803.30639999965</v>
      </c>
      <c r="O111" s="178">
        <f>+O101</f>
        <v>6392922.5599999987</v>
      </c>
      <c r="P111" s="179">
        <f t="shared" ref="P111:R111" si="464">+P101</f>
        <v>69285.56</v>
      </c>
      <c r="Q111" s="179">
        <f t="shared" si="464"/>
        <v>650026.95440000005</v>
      </c>
      <c r="R111" s="180">
        <f t="shared" si="464"/>
        <v>650026.95440000005</v>
      </c>
      <c r="S111" s="178">
        <f>+S101</f>
        <v>4380770.6500000013</v>
      </c>
      <c r="T111" s="179">
        <f t="shared" ref="T111:V111" si="465">+T101</f>
        <v>10977.877199999999</v>
      </c>
      <c r="U111" s="179">
        <f t="shared" si="465"/>
        <v>404411.63339999993</v>
      </c>
      <c r="V111" s="180">
        <f t="shared" si="465"/>
        <v>404411.63339999993</v>
      </c>
      <c r="W111" s="178">
        <f>+W101</f>
        <v>3841925.22</v>
      </c>
      <c r="X111" s="179">
        <f t="shared" ref="X111:Z111" si="466">+X101</f>
        <v>57463.603599999988</v>
      </c>
      <c r="Y111" s="179">
        <f t="shared" si="466"/>
        <v>383001.28650000005</v>
      </c>
      <c r="Z111" s="180">
        <f t="shared" si="466"/>
        <v>383001.28650000005</v>
      </c>
      <c r="AA111" s="178">
        <f>+AA101</f>
        <v>4615484.9400000004</v>
      </c>
      <c r="AB111" s="179">
        <f t="shared" ref="AB111:AD111" si="467">+AB101</f>
        <v>176954.97999999998</v>
      </c>
      <c r="AC111" s="179">
        <f t="shared" si="467"/>
        <v>377360.08960000006</v>
      </c>
      <c r="AD111" s="180">
        <f t="shared" si="467"/>
        <v>377360.08960000006</v>
      </c>
      <c r="AE111" s="178">
        <f>+AE101</f>
        <v>27220</v>
      </c>
      <c r="AF111" s="179">
        <f t="shared" ref="AF111:AH111" si="468">+AF101</f>
        <v>0</v>
      </c>
      <c r="AG111" s="179">
        <f t="shared" si="468"/>
        <v>668.8</v>
      </c>
      <c r="AH111" s="180">
        <f t="shared" si="468"/>
        <v>668.8</v>
      </c>
      <c r="AI111" s="178">
        <f>+AI101</f>
        <v>49581</v>
      </c>
      <c r="AJ111" s="179">
        <f t="shared" ref="AJ111:AL111" si="469">+AJ101</f>
        <v>0</v>
      </c>
      <c r="AK111" s="179">
        <f t="shared" si="469"/>
        <v>1227.825</v>
      </c>
      <c r="AL111" s="180">
        <f t="shared" si="469"/>
        <v>1227.825</v>
      </c>
      <c r="AM111" s="178">
        <f>+AM101</f>
        <v>0</v>
      </c>
      <c r="AN111" s="179">
        <f t="shared" ref="AN111:AP111" si="470">+AN101</f>
        <v>0</v>
      </c>
      <c r="AO111" s="179">
        <f t="shared" si="470"/>
        <v>0</v>
      </c>
      <c r="AP111" s="180">
        <f t="shared" si="470"/>
        <v>0</v>
      </c>
      <c r="AQ111" s="178">
        <f>+AQ101</f>
        <v>0</v>
      </c>
      <c r="AR111" s="179">
        <f t="shared" ref="AR111:AT111" si="471">+AR101</f>
        <v>0</v>
      </c>
      <c r="AS111" s="179">
        <f t="shared" si="471"/>
        <v>0</v>
      </c>
      <c r="AT111" s="180">
        <f t="shared" si="471"/>
        <v>0</v>
      </c>
      <c r="AU111" s="178">
        <f>+AU101</f>
        <v>0</v>
      </c>
      <c r="AV111" s="179">
        <f t="shared" ref="AV111:AX111" si="472">+AV101</f>
        <v>0</v>
      </c>
      <c r="AW111" s="179">
        <f t="shared" si="472"/>
        <v>0</v>
      </c>
      <c r="AX111" s="180">
        <f t="shared" si="472"/>
        <v>0</v>
      </c>
      <c r="AY111" s="150">
        <f t="shared" si="457"/>
        <v>31211899.610000003</v>
      </c>
      <c r="AZ111" s="151">
        <f t="shared" si="458"/>
        <v>545417.56279999996</v>
      </c>
      <c r="BA111" s="151">
        <f t="shared" si="459"/>
        <v>3030709.3494999995</v>
      </c>
      <c r="BB111" s="152">
        <f t="shared" si="460"/>
        <v>3030709.3494999995</v>
      </c>
    </row>
    <row r="112" spans="1:54" ht="10.8" thickBot="1" x14ac:dyDescent="0.25">
      <c r="A112" s="190" t="s">
        <v>1057</v>
      </c>
      <c r="B112" s="191"/>
      <c r="C112" s="192">
        <f>+C110-C111</f>
        <v>696576.95999999717</v>
      </c>
      <c r="D112" s="193">
        <f t="shared" ref="D112:F112" si="473">+D110-D111</f>
        <v>32860.752399999998</v>
      </c>
      <c r="E112" s="193">
        <f t="shared" si="473"/>
        <v>97513.689700000163</v>
      </c>
      <c r="F112" s="194">
        <f t="shared" si="473"/>
        <v>97513.689700000163</v>
      </c>
      <c r="G112" s="192">
        <f>+G110-G111</f>
        <v>-520653.96000000089</v>
      </c>
      <c r="H112" s="193">
        <f t="shared" ref="H112:J112" si="474">+H110-H111</f>
        <v>-83520.489600000001</v>
      </c>
      <c r="I112" s="193">
        <f t="shared" si="474"/>
        <v>26385.480400000175</v>
      </c>
      <c r="J112" s="194">
        <f t="shared" si="474"/>
        <v>29938.747600000177</v>
      </c>
      <c r="K112" s="192">
        <f>+K110-K111</f>
        <v>1163364.4039999982</v>
      </c>
      <c r="L112" s="193">
        <f t="shared" ref="L112:N112" si="475">+L110-L111</f>
        <v>51524.481600000028</v>
      </c>
      <c r="M112" s="193">
        <f t="shared" si="475"/>
        <v>174332.8122600005</v>
      </c>
      <c r="N112" s="194">
        <f t="shared" si="475"/>
        <v>177177.72566000058</v>
      </c>
      <c r="O112" s="192">
        <f>+O110-O111</f>
        <v>188496.3900000006</v>
      </c>
      <c r="P112" s="193">
        <f t="shared" ref="P112:R112" si="476">+P110-P111</f>
        <v>-4858.2320000000036</v>
      </c>
      <c r="Q112" s="193">
        <f t="shared" si="476"/>
        <v>102675.96160000016</v>
      </c>
      <c r="R112" s="194">
        <f t="shared" si="476"/>
        <v>117075.4110000002</v>
      </c>
      <c r="S112" s="192">
        <f>+S110-S111</f>
        <v>1017446.9699999988</v>
      </c>
      <c r="T112" s="193">
        <f t="shared" ref="T112:V112" si="477">+T110-T111</f>
        <v>19495.491600000001</v>
      </c>
      <c r="U112" s="193">
        <f t="shared" si="477"/>
        <v>194459.19100000034</v>
      </c>
      <c r="V112" s="194">
        <f t="shared" si="477"/>
        <v>211257.20300000021</v>
      </c>
      <c r="W112" s="192">
        <f>+W110-W111</f>
        <v>980792.67000000039</v>
      </c>
      <c r="X112" s="193">
        <f t="shared" ref="X112:Z112" si="478">+X110-X111</f>
        <v>18249.726400000029</v>
      </c>
      <c r="Y112" s="193">
        <f t="shared" si="478"/>
        <v>113706.99609999993</v>
      </c>
      <c r="Z112" s="194">
        <f t="shared" si="478"/>
        <v>113967.2760999999</v>
      </c>
      <c r="AA112" s="195">
        <f>+AA110-AA111</f>
        <v>-282469.91999999993</v>
      </c>
      <c r="AB112" s="196">
        <f t="shared" ref="AB112:AD112" si="479">+AB110-AB111</f>
        <v>-125009.3492</v>
      </c>
      <c r="AC112" s="196">
        <f t="shared" si="479"/>
        <v>43044.564799999876</v>
      </c>
      <c r="AD112" s="197">
        <f t="shared" si="479"/>
        <v>43044.564799999876</v>
      </c>
      <c r="AE112" s="192">
        <f>+AE110-AE111</f>
        <v>1294775.74</v>
      </c>
      <c r="AF112" s="193">
        <f t="shared" ref="AF112:AH112" si="480">+AF110-AF111</f>
        <v>36691.986799999999</v>
      </c>
      <c r="AG112" s="193">
        <f t="shared" si="480"/>
        <v>131876.93480000002</v>
      </c>
      <c r="AH112" s="194">
        <f t="shared" si="480"/>
        <v>131876.93480000002</v>
      </c>
      <c r="AI112" s="192">
        <f>+AI110-AI111</f>
        <v>180</v>
      </c>
      <c r="AJ112" s="193">
        <f t="shared" ref="AJ112:AL112" si="481">+AJ110-AJ111</f>
        <v>118.05</v>
      </c>
      <c r="AK112" s="193">
        <f t="shared" si="481"/>
        <v>-42.825000000000045</v>
      </c>
      <c r="AL112" s="194">
        <f t="shared" si="481"/>
        <v>-42.825000000000045</v>
      </c>
      <c r="AM112" s="192">
        <f>+AM110-AM111</f>
        <v>0</v>
      </c>
      <c r="AN112" s="193">
        <f t="shared" ref="AN112:AP112" si="482">+AN110-AN111</f>
        <v>0</v>
      </c>
      <c r="AO112" s="193">
        <f t="shared" si="482"/>
        <v>0</v>
      </c>
      <c r="AP112" s="194">
        <f t="shared" si="482"/>
        <v>0</v>
      </c>
      <c r="AQ112" s="192">
        <f>+AQ110-AQ111</f>
        <v>0</v>
      </c>
      <c r="AR112" s="193">
        <f t="shared" ref="AR112:AT112" si="483">+AR110-AR111</f>
        <v>0</v>
      </c>
      <c r="AS112" s="193">
        <f t="shared" si="483"/>
        <v>0</v>
      </c>
      <c r="AT112" s="194">
        <f t="shared" si="483"/>
        <v>0</v>
      </c>
      <c r="AU112" s="192">
        <f>+AU110-AU111</f>
        <v>0</v>
      </c>
      <c r="AV112" s="193">
        <f t="shared" ref="AV112:AX112" si="484">+AV110-AV111</f>
        <v>0</v>
      </c>
      <c r="AW112" s="193">
        <f t="shared" si="484"/>
        <v>0</v>
      </c>
      <c r="AX112" s="194">
        <f t="shared" si="484"/>
        <v>0</v>
      </c>
      <c r="AY112" s="150">
        <f t="shared" si="457"/>
        <v>4538509.2539999941</v>
      </c>
      <c r="AZ112" s="151">
        <f t="shared" si="458"/>
        <v>-54447.581999999937</v>
      </c>
      <c r="BA112" s="151">
        <f t="shared" si="459"/>
        <v>883952.80566000112</v>
      </c>
      <c r="BB112" s="152">
        <f t="shared" si="460"/>
        <v>921808.72766000114</v>
      </c>
    </row>
    <row r="113" spans="5:9" x14ac:dyDescent="0.2">
      <c r="E113" s="198"/>
      <c r="F113" s="198"/>
    </row>
    <row r="114" spans="5:9" x14ac:dyDescent="0.2">
      <c r="I114" s="198"/>
    </row>
  </sheetData>
  <mergeCells count="30">
    <mergeCell ref="O2:R2"/>
    <mergeCell ref="A2:A3"/>
    <mergeCell ref="B2:B3"/>
    <mergeCell ref="C2:F2"/>
    <mergeCell ref="G2:J2"/>
    <mergeCell ref="K2:N2"/>
    <mergeCell ref="AQ2:AT2"/>
    <mergeCell ref="AU2:AX2"/>
    <mergeCell ref="AY2:BB2"/>
    <mergeCell ref="A47:A48"/>
    <mergeCell ref="B47:B48"/>
    <mergeCell ref="C47:F47"/>
    <mergeCell ref="G47:J47"/>
    <mergeCell ref="K47:N47"/>
    <mergeCell ref="O47:R47"/>
    <mergeCell ref="S47:V47"/>
    <mergeCell ref="S2:V2"/>
    <mergeCell ref="W2:Z2"/>
    <mergeCell ref="AA2:AD2"/>
    <mergeCell ref="AE2:AH2"/>
    <mergeCell ref="AI2:AL2"/>
    <mergeCell ref="AM2:AP2"/>
    <mergeCell ref="AU47:AX47"/>
    <mergeCell ref="AY47:BB47"/>
    <mergeCell ref="W47:Z47"/>
    <mergeCell ref="AA47:AD47"/>
    <mergeCell ref="AE47:AH47"/>
    <mergeCell ref="AI47:AL47"/>
    <mergeCell ref="AM47:AP47"/>
    <mergeCell ref="AQ47:AT47"/>
  </mergeCells>
  <dataValidations disablePrompts="1" count="1">
    <dataValidation type="list" allowBlank="1" showInputMessage="1" showErrorMessage="1" sqref="B49 B56 B63">
      <formula1>"CREDIT NOTE,DEBIT NOTE,INVOICE,BILL OF ENTRY"</formula1>
    </dataValidation>
  </dataValidations>
  <pageMargins left="0.7" right="0.7" top="0.75" bottom="0.75" header="0.3" footer="0.3"/>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'MASTER SALE PUR TYPE'!$C$3:$C$15</xm:f>
          </x14:formula1>
          <xm:sqref>B4 B18 B11</xm:sqref>
        </x14:dataValidation>
        <x14:dataValidation type="list" allowBlank="1" showInputMessage="1" showErrorMessage="1">
          <x14:formula1>
            <xm:f>'MASTER SALE PUR TYPE'!$B$3:$B$50</xm:f>
          </x14:formula1>
          <xm:sqref>B32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73"/>
  <sheetViews>
    <sheetView workbookViewId="0"/>
  </sheetViews>
  <sheetFormatPr defaultColWidth="10.21875" defaultRowHeight="10.199999999999999" x14ac:dyDescent="0.2"/>
  <cols>
    <col min="1" max="1" width="10.109375" style="11" bestFit="1" customWidth="1"/>
    <col min="2" max="3" width="11.5546875" style="11" bestFit="1" customWidth="1"/>
    <col min="4" max="4" width="11.33203125" style="11" bestFit="1" customWidth="1"/>
    <col min="5" max="5" width="10.5546875" style="11" bestFit="1" customWidth="1"/>
    <col min="6" max="6" width="13.5546875" style="11" bestFit="1" customWidth="1"/>
    <col min="7" max="7" width="4.44140625" style="11" customWidth="1"/>
    <col min="8" max="8" width="11.21875" style="11" customWidth="1"/>
    <col min="9" max="9" width="11.88671875" style="11" customWidth="1"/>
    <col min="10" max="10" width="6.33203125" style="11" bestFit="1" customWidth="1"/>
    <col min="11" max="11" width="9.33203125" style="11" customWidth="1"/>
    <col min="12" max="12" width="10.33203125" style="11" customWidth="1"/>
    <col min="13" max="13" width="2.109375" style="11" customWidth="1"/>
    <col min="14" max="14" width="13.44140625" style="11" bestFit="1" customWidth="1"/>
    <col min="15" max="15" width="11.33203125" style="11" bestFit="1" customWidth="1"/>
    <col min="16" max="18" width="9.33203125" style="11" bestFit="1" customWidth="1"/>
    <col min="19" max="19" width="5.88671875" style="11" customWidth="1"/>
    <col min="20" max="20" width="12.5546875" style="11" customWidth="1"/>
    <col min="21" max="21" width="11.5546875" style="11" bestFit="1" customWidth="1"/>
    <col min="22" max="23" width="11.5546875" style="11" customWidth="1"/>
    <col min="24" max="24" width="9.5546875" style="11" bestFit="1" customWidth="1"/>
    <col min="25" max="27" width="10.5546875" style="11" bestFit="1" customWidth="1"/>
    <col min="28" max="28" width="10.21875" style="11"/>
    <col min="29" max="29" width="15.109375" style="11" bestFit="1" customWidth="1"/>
    <col min="30" max="30" width="12.21875" style="11" customWidth="1"/>
    <col min="31" max="31" width="13.109375" style="11" bestFit="1" customWidth="1"/>
    <col min="32" max="33" width="13.6640625" style="11" bestFit="1" customWidth="1"/>
    <col min="34" max="34" width="11.44140625" style="11" customWidth="1"/>
    <col min="35" max="16384" width="10.21875" style="11"/>
  </cols>
  <sheetData>
    <row r="1" spans="1:34" x14ac:dyDescent="0.2">
      <c r="E1" s="1323" t="s">
        <v>325</v>
      </c>
      <c r="F1" s="1323"/>
      <c r="G1" s="1323"/>
      <c r="H1" s="1323"/>
      <c r="I1" s="1323"/>
      <c r="J1" s="1323"/>
      <c r="K1" s="1323"/>
      <c r="L1" s="1323"/>
      <c r="M1" s="1323"/>
      <c r="N1" s="1323"/>
      <c r="O1" s="1323"/>
      <c r="P1" s="1323"/>
      <c r="Q1" s="1323"/>
      <c r="R1" s="1323"/>
      <c r="S1" s="1323"/>
      <c r="T1" s="1323"/>
      <c r="U1" s="1323"/>
      <c r="V1" s="1323"/>
      <c r="W1" s="1323"/>
      <c r="X1" s="1323"/>
      <c r="Y1" s="1323"/>
      <c r="Z1" s="1323"/>
    </row>
    <row r="2" spans="1:34" x14ac:dyDescent="0.2">
      <c r="E2" s="1303" t="s">
        <v>275</v>
      </c>
      <c r="F2" s="1303"/>
      <c r="G2" s="1303"/>
      <c r="H2" s="1303"/>
      <c r="I2" s="1303"/>
      <c r="J2" s="1303"/>
      <c r="K2" s="1303"/>
      <c r="L2" s="1303"/>
      <c r="M2" s="1303"/>
      <c r="N2" s="1303"/>
      <c r="O2" s="1303"/>
      <c r="P2" s="1303"/>
      <c r="Q2" s="1303"/>
      <c r="R2" s="1303"/>
      <c r="S2" s="1303"/>
      <c r="T2" s="1303"/>
      <c r="U2" s="1303"/>
      <c r="V2" s="1303"/>
      <c r="W2" s="1303"/>
      <c r="X2" s="1303"/>
      <c r="Y2" s="1303"/>
      <c r="Z2" s="1303"/>
    </row>
    <row r="3" spans="1:34" x14ac:dyDescent="0.2">
      <c r="E3" s="1324" t="s">
        <v>2545</v>
      </c>
      <c r="F3" s="1324"/>
      <c r="G3" s="1324"/>
      <c r="H3" s="1324"/>
      <c r="I3" s="1324"/>
      <c r="J3" s="1324"/>
      <c r="K3" s="1324"/>
      <c r="L3" s="1324"/>
      <c r="M3" s="1324"/>
      <c r="N3" s="1324"/>
      <c r="O3" s="1324"/>
      <c r="P3" s="1324"/>
      <c r="Q3" s="1324"/>
      <c r="R3" s="1324"/>
      <c r="S3" s="1324"/>
      <c r="T3" s="1324"/>
      <c r="U3" s="1324"/>
      <c r="V3" s="1324"/>
      <c r="W3" s="1324"/>
      <c r="X3" s="1324"/>
      <c r="Y3" s="1324"/>
      <c r="Z3" s="1324"/>
    </row>
    <row r="4" spans="1:34" ht="18.75" customHeight="1" x14ac:dyDescent="0.2">
      <c r="A4" s="201" t="s">
        <v>326</v>
      </c>
      <c r="E4" s="202"/>
      <c r="F4" s="1303" t="s">
        <v>2546</v>
      </c>
      <c r="G4" s="1303"/>
      <c r="H4" s="1303"/>
      <c r="I4" s="1303"/>
      <c r="J4" s="1303"/>
      <c r="K4" s="1303"/>
      <c r="L4" s="1303"/>
      <c r="M4" s="1303"/>
      <c r="N4" s="1303"/>
      <c r="O4" s="1303"/>
      <c r="P4" s="1303"/>
      <c r="Q4" s="1303"/>
      <c r="R4" s="1303"/>
      <c r="S4" s="1303"/>
      <c r="T4" s="1303"/>
      <c r="U4" s="203"/>
      <c r="V4" s="203"/>
      <c r="W4" s="203"/>
      <c r="Y4" s="202"/>
      <c r="Z4" s="202"/>
    </row>
    <row r="5" spans="1:34" x14ac:dyDescent="0.2">
      <c r="F5" s="1304" t="s">
        <v>333</v>
      </c>
      <c r="G5" s="1304"/>
      <c r="H5" s="1304"/>
      <c r="I5" s="1304"/>
      <c r="J5" s="1304"/>
      <c r="K5" s="1304"/>
      <c r="L5" s="1304"/>
      <c r="M5" s="1304"/>
      <c r="N5" s="1304"/>
      <c r="O5" s="1304"/>
      <c r="P5" s="1304"/>
      <c r="Q5" s="1304"/>
      <c r="R5" s="1304"/>
      <c r="S5" s="1304"/>
      <c r="T5" s="1304"/>
    </row>
    <row r="6" spans="1:34" ht="10.8" thickBot="1" x14ac:dyDescent="0.25">
      <c r="F6" s="1304" t="s">
        <v>327</v>
      </c>
      <c r="G6" s="1304"/>
      <c r="H6" s="1304"/>
      <c r="I6" s="1304"/>
      <c r="J6" s="1304"/>
      <c r="K6" s="1304"/>
      <c r="L6" s="1304"/>
      <c r="M6" s="1304"/>
      <c r="N6" s="1304"/>
      <c r="O6" s="1304"/>
      <c r="P6" s="1304"/>
      <c r="Q6" s="1304"/>
      <c r="R6" s="1304"/>
      <c r="S6" s="1304"/>
      <c r="T6" s="1304"/>
      <c r="U6" s="204"/>
      <c r="V6" s="204"/>
      <c r="W6" s="204"/>
    </row>
    <row r="7" spans="1:34" ht="10.8" thickBot="1" x14ac:dyDescent="0.25">
      <c r="B7" s="1305" t="s">
        <v>22</v>
      </c>
      <c r="C7" s="1306"/>
      <c r="D7" s="1306"/>
      <c r="E7" s="1306"/>
      <c r="F7" s="1307"/>
      <c r="H7" s="1308" t="s">
        <v>366</v>
      </c>
      <c r="I7" s="1309"/>
      <c r="J7" s="1309"/>
      <c r="K7" s="1309"/>
      <c r="L7" s="1310"/>
      <c r="N7" s="1311" t="s">
        <v>220</v>
      </c>
      <c r="O7" s="1312"/>
      <c r="P7" s="1312"/>
      <c r="Q7" s="1312"/>
      <c r="R7" s="1313"/>
      <c r="S7" s="199"/>
      <c r="T7" s="1314" t="s">
        <v>347</v>
      </c>
      <c r="U7" s="1315"/>
      <c r="V7" s="1315"/>
      <c r="W7" s="1315"/>
      <c r="X7" s="1315"/>
      <c r="Y7" s="1315"/>
      <c r="Z7" s="1316"/>
    </row>
    <row r="8" spans="1:34" x14ac:dyDescent="0.2">
      <c r="A8" s="1304" t="s">
        <v>2435</v>
      </c>
      <c r="B8" s="1304"/>
      <c r="C8" s="1304"/>
      <c r="D8" s="1304"/>
      <c r="E8" s="1304"/>
      <c r="F8" s="1304"/>
      <c r="H8" s="1303" t="s">
        <v>2433</v>
      </c>
      <c r="I8" s="1303"/>
      <c r="J8" s="1303"/>
      <c r="K8" s="1303"/>
      <c r="L8" s="1303"/>
      <c r="N8" s="1303" t="s">
        <v>328</v>
      </c>
      <c r="O8" s="1303"/>
      <c r="P8" s="1303"/>
      <c r="Q8" s="1303"/>
      <c r="R8" s="1303"/>
      <c r="S8" s="203"/>
      <c r="T8" s="1303" t="s">
        <v>2434</v>
      </c>
      <c r="U8" s="1303"/>
      <c r="V8" s="1303"/>
      <c r="W8" s="1303"/>
      <c r="X8" s="1303"/>
      <c r="Y8" s="1303"/>
      <c r="Z8" s="1303"/>
      <c r="AB8" s="205"/>
      <c r="AC8" s="1303" t="s">
        <v>3360</v>
      </c>
      <c r="AD8" s="1303"/>
      <c r="AE8" s="1303"/>
      <c r="AF8" s="1303"/>
      <c r="AG8" s="1303"/>
    </row>
    <row r="9" spans="1:34" x14ac:dyDescent="0.2">
      <c r="A9" s="77" t="s">
        <v>329</v>
      </c>
      <c r="B9" s="215" t="s">
        <v>347</v>
      </c>
      <c r="C9" s="77" t="s">
        <v>2436</v>
      </c>
      <c r="D9" s="77" t="s">
        <v>16</v>
      </c>
      <c r="E9" s="77" t="s">
        <v>17</v>
      </c>
      <c r="F9" s="77" t="s">
        <v>18</v>
      </c>
      <c r="G9" s="201"/>
      <c r="H9" s="215" t="s">
        <v>347</v>
      </c>
      <c r="I9" s="77" t="s">
        <v>2436</v>
      </c>
      <c r="J9" s="206" t="s">
        <v>16</v>
      </c>
      <c r="K9" s="206" t="s">
        <v>17</v>
      </c>
      <c r="L9" s="206" t="s">
        <v>18</v>
      </c>
      <c r="M9" s="207"/>
      <c r="N9" s="215" t="s">
        <v>347</v>
      </c>
      <c r="O9" s="77" t="s">
        <v>2436</v>
      </c>
      <c r="P9" s="206" t="s">
        <v>16</v>
      </c>
      <c r="Q9" s="206" t="s">
        <v>17</v>
      </c>
      <c r="R9" s="206" t="s">
        <v>18</v>
      </c>
      <c r="S9" s="206"/>
      <c r="T9" s="215" t="s">
        <v>347</v>
      </c>
      <c r="U9" s="77" t="s">
        <v>2436</v>
      </c>
      <c r="V9" s="77" t="s">
        <v>3751</v>
      </c>
      <c r="W9" s="77" t="s">
        <v>3752</v>
      </c>
      <c r="X9" s="206" t="s">
        <v>16</v>
      </c>
      <c r="Y9" s="206" t="s">
        <v>17</v>
      </c>
      <c r="Z9" s="206" t="s">
        <v>18</v>
      </c>
      <c r="AA9" s="206" t="s">
        <v>330</v>
      </c>
      <c r="AC9" s="77" t="s">
        <v>331</v>
      </c>
      <c r="AD9" s="77" t="s">
        <v>2436</v>
      </c>
      <c r="AE9" s="206" t="s">
        <v>16</v>
      </c>
      <c r="AF9" s="206" t="s">
        <v>17</v>
      </c>
      <c r="AG9" s="206" t="s">
        <v>18</v>
      </c>
      <c r="AH9" s="206" t="s">
        <v>330</v>
      </c>
    </row>
    <row r="10" spans="1:34" x14ac:dyDescent="0.2">
      <c r="A10" s="208">
        <v>43556</v>
      </c>
      <c r="B10" s="209">
        <f>+C10+D10+E10+F10</f>
        <v>4225927.4553999957</v>
      </c>
      <c r="C10" s="210">
        <f>SUMIFS(SALE!$K$6:$K$10000,SALE!$A$6:$A$10000,$A$10:$A$21,SALE!$E$6:$E$10000,$B$7)</f>
        <v>3354773.3799999962</v>
      </c>
      <c r="D10" s="210">
        <f>SUMIFS(SALE!$L$6:$L$10000,SALE!$A$6:$A$10000,$A$10:$A$21,SALE!$E$6:$E$10000,$B$7)</f>
        <v>36646.618399999999</v>
      </c>
      <c r="E10" s="210">
        <f>SUMIFS(SALE!$M$6:$M$10000,SALE!$A$6:$A$10000,$A$10:$A$21,SALE!$E$6:$E$10000,$B$7)</f>
        <v>417253.72849999991</v>
      </c>
      <c r="F10" s="210">
        <f>+E10</f>
        <v>417253.72849999991</v>
      </c>
      <c r="G10" s="211"/>
      <c r="H10" s="209">
        <f>+I10+J10+K10+L10</f>
        <v>0</v>
      </c>
      <c r="I10" s="210">
        <f>SUMIFS(SALE!$K$6:$K$10000,SALE!$A$6:$A$10000,$A$10:$A$18,SALE!$E$6:$E$10000,$H$7)</f>
        <v>0</v>
      </c>
      <c r="J10" s="210">
        <f>SUMIFS(SALE!$L$6:$L$10000,SALE!$A$6:$A$10000,$A$10:$A$18,SALE!$E$6:$E$10000,$H$7)</f>
        <v>0</v>
      </c>
      <c r="K10" s="210">
        <f>SUMIFS(SALE!$M$6:$M$10000,SALE!$A$6:$A$10000,$A$10:$A$18,SALE!$E$6:$E$10000,$H$7)</f>
        <v>0</v>
      </c>
      <c r="L10" s="210">
        <f>+K10</f>
        <v>0</v>
      </c>
      <c r="N10" s="209">
        <f>+O10+P10+Q10+R10</f>
        <v>-7798.5407999999998</v>
      </c>
      <c r="O10" s="210">
        <f>SUMIFS(SALE!$K$6:$K$10000,SALE!$A$6:$A$10000,$A$10:$A$18,SALE!$E$6:$E$10000,$N$7)</f>
        <v>-6092.61</v>
      </c>
      <c r="P10" s="210">
        <f>SUMIFS(SALE!$L$6:$L$10000,SALE!$A$6:$A$10000,$A$10:$A$18,SALE!$E$6:$E$10000,$N$7)</f>
        <v>-1705.9308000000001</v>
      </c>
      <c r="Q10" s="210">
        <f>SUMIFS(SALE!$M$6:$M$10000,SALE!$A$6:$A$10000,$A$10:$A$18,SALE!$E$6:$E$10000,$N$7)</f>
        <v>0</v>
      </c>
      <c r="R10" s="210">
        <f>+Q10</f>
        <v>0</v>
      </c>
      <c r="S10" s="210"/>
      <c r="T10" s="210">
        <f>+B10+H10+N10</f>
        <v>4218128.9145999961</v>
      </c>
      <c r="U10" s="210">
        <f>+C10+I10+O10</f>
        <v>3348680.7699999963</v>
      </c>
      <c r="V10" s="210"/>
      <c r="W10" s="209">
        <f t="shared" ref="W10:W15" si="0">+V10+U10</f>
        <v>3348680.7699999963</v>
      </c>
      <c r="X10" s="210">
        <f t="shared" ref="X10:X21" si="1">+D10+J10+P10</f>
        <v>34940.687599999997</v>
      </c>
      <c r="Y10" s="210">
        <f t="shared" ref="Y10:Y21" si="2">+E10+K10+Q10</f>
        <v>417253.72849999991</v>
      </c>
      <c r="Z10" s="210">
        <f t="shared" ref="Z10:Z21" si="3">+F10+L10+R10</f>
        <v>417253.72849999991</v>
      </c>
      <c r="AA10" s="209">
        <f>+Z10+Y10+X10</f>
        <v>869448.14459999977</v>
      </c>
      <c r="AC10" s="210">
        <f>+T10-T29</f>
        <v>920240.11359999515</v>
      </c>
      <c r="AD10" s="210">
        <f>+U10-U29</f>
        <v>692996.46999999555</v>
      </c>
      <c r="AE10" s="210">
        <f t="shared" ref="AE10:AH10" si="4">+X10-X29</f>
        <v>32860.752399999998</v>
      </c>
      <c r="AF10" s="210">
        <f t="shared" si="4"/>
        <v>97191.445599999977</v>
      </c>
      <c r="AG10" s="210">
        <f t="shared" si="4"/>
        <v>97191.445599999977</v>
      </c>
      <c r="AH10" s="210">
        <f t="shared" si="4"/>
        <v>227243.64359999995</v>
      </c>
    </row>
    <row r="11" spans="1:34" x14ac:dyDescent="0.2">
      <c r="A11" s="208">
        <v>43586</v>
      </c>
      <c r="B11" s="209">
        <f t="shared" ref="B11:B18" si="5">+C11+D11+E11+F11</f>
        <v>5070102.2463999987</v>
      </c>
      <c r="C11" s="210">
        <f>SUMIFS(SALE!$K$6:$K$10000,SALE!$A$6:$A$10000,$A$10:$A$21,SALE!$E$6:$E$10000,$B$7)</f>
        <v>4082939.1799999983</v>
      </c>
      <c r="D11" s="210">
        <f>SUMIFS(SALE!$L$6:$L$10000,SALE!$A$6:$A$10000,$A$10:$A$21,SALE!$E$6:$E$10000,$B$7)</f>
        <v>55549.74040000001</v>
      </c>
      <c r="E11" s="210">
        <f>SUMIFS(SALE!$M$6:$M$10000,SALE!$A$6:$A$10000,$A$10:$A$21,SALE!$E$6:$E$10000,$B$7)</f>
        <v>465806.66300000018</v>
      </c>
      <c r="F11" s="210">
        <f t="shared" ref="F11:F21" si="6">+E11</f>
        <v>465806.66300000018</v>
      </c>
      <c r="G11" s="211"/>
      <c r="H11" s="209">
        <f t="shared" ref="H11:H18" si="7">+I11+J11+K11+L11</f>
        <v>0</v>
      </c>
      <c r="I11" s="210">
        <f>SUMIFS(SALE!$K$6:$K$10000,SALE!$A$6:$A$10000,$A$10:$A$18,SALE!$E$6:$E$10000,$H$7)</f>
        <v>0</v>
      </c>
      <c r="J11" s="210">
        <f>SUMIFS(SALE!$L$6:$L$10000,SALE!$A$6:$A$10000,$A$10:$A$18,SALE!$E$6:$E$10000,$H$7)</f>
        <v>0</v>
      </c>
      <c r="K11" s="210">
        <f>SUMIFS(SALE!$M$6:$M$10000,SALE!$A$6:$A$10000,$A$10:$A$18,SALE!$E$6:$E$10000,$H$7)</f>
        <v>0</v>
      </c>
      <c r="L11" s="210">
        <f t="shared" ref="L11:L21" si="8">+K11</f>
        <v>0</v>
      </c>
      <c r="N11" s="209">
        <f t="shared" ref="N11:N18" si="9">+O11+P11+Q11+R11</f>
        <v>-32487.014399999996</v>
      </c>
      <c r="O11" s="210">
        <f>SUMIFS(SALE!$K$6:$K$10000,SALE!$A$6:$A$10000,$A$10:$A$18,SALE!$E$6:$E$10000,$N$7)</f>
        <v>-25380.48</v>
      </c>
      <c r="P11" s="210">
        <f>SUMIFS(SALE!$L$6:$L$10000,SALE!$A$6:$A$10000,$A$10:$A$18,SALE!$E$6:$E$10000,$N$7)</f>
        <v>0</v>
      </c>
      <c r="Q11" s="210">
        <f>SUMIFS(SALE!$M$6:$M$10000,SALE!$A$6:$A$10000,$A$10:$A$18,SALE!$E$6:$E$10000,$N$7)</f>
        <v>-3553.2671999999998</v>
      </c>
      <c r="R11" s="210">
        <f t="shared" ref="R11:R21" si="10">+Q11</f>
        <v>-3553.2671999999998</v>
      </c>
      <c r="S11" s="210"/>
      <c r="T11" s="210">
        <f t="shared" ref="T11:T21" si="11">+B11+H11+N11</f>
        <v>5037615.2319999989</v>
      </c>
      <c r="U11" s="210">
        <f t="shared" ref="U11:U21" si="12">+C11+I11+O11</f>
        <v>4057558.6999999983</v>
      </c>
      <c r="V11" s="210">
        <v>-3696.54</v>
      </c>
      <c r="W11" s="209">
        <f t="shared" si="0"/>
        <v>4053862.1599999983</v>
      </c>
      <c r="X11" s="210">
        <f t="shared" si="1"/>
        <v>55549.74040000001</v>
      </c>
      <c r="Y11" s="210">
        <f t="shared" si="2"/>
        <v>462253.39580000017</v>
      </c>
      <c r="Z11" s="210">
        <f t="shared" si="3"/>
        <v>462253.39580000017</v>
      </c>
      <c r="AA11" s="209">
        <f t="shared" ref="AA11:AA18" si="13">+Z11+Y11+X11</f>
        <v>980056.53200000036</v>
      </c>
      <c r="AC11" s="210">
        <f t="shared" ref="AC11:AC21" si="14">+T11-T30</f>
        <v>-551615.88880000263</v>
      </c>
      <c r="AD11" s="210">
        <f t="shared" ref="AD11:AD21" si="15">+U11-U30</f>
        <v>-520833.96000000183</v>
      </c>
      <c r="AE11" s="210">
        <f t="shared" ref="AE11:AE21" si="16">+X11-X30</f>
        <v>-83520.489600000001</v>
      </c>
      <c r="AF11" s="210">
        <f t="shared" ref="AF11:AF21" si="17">+Y11-Y30</f>
        <v>26369.280399999756</v>
      </c>
      <c r="AG11" s="210">
        <f t="shared" ref="AG11:AG21" si="18">+Z11-Z30</f>
        <v>26369.280399999756</v>
      </c>
      <c r="AH11" s="210">
        <f t="shared" ref="AH11:AH21" si="19">+AA11-AA30</f>
        <v>-30781.92880000046</v>
      </c>
    </row>
    <row r="12" spans="1:34" x14ac:dyDescent="0.2">
      <c r="A12" s="208">
        <v>43617</v>
      </c>
      <c r="B12" s="209">
        <f t="shared" si="5"/>
        <v>6494343.986519997</v>
      </c>
      <c r="C12" s="210">
        <f>SUMIFS(SALE!$K$6:$K$10000,SALE!$A$6:$A$10000,$A$10:$A$21,SALE!$E$6:$E$10000,$B$7)</f>
        <v>5235733.7339999964</v>
      </c>
      <c r="D12" s="210">
        <f>SUMIFS(SALE!$L$6:$L$10000,SALE!$A$6:$A$10000,$A$10:$A$21,SALE!$E$6:$E$10000,$B$7)</f>
        <v>149635.80240000002</v>
      </c>
      <c r="E12" s="210">
        <f>SUMIFS(SALE!$M$6:$M$10000,SALE!$A$6:$A$10000,$A$10:$A$21,SALE!$E$6:$E$10000,$B$7)</f>
        <v>554487.2250600002</v>
      </c>
      <c r="F12" s="210">
        <f t="shared" si="6"/>
        <v>554487.2250600002</v>
      </c>
      <c r="G12" s="211"/>
      <c r="H12" s="212">
        <f t="shared" si="7"/>
        <v>721177.66400000011</v>
      </c>
      <c r="I12" s="213">
        <f>SUMIFS(SALE!$K$6:$K$10000,SALE!$A$6:$A$10000,$A$10:$A$18,SALE!$E$6:$E$10000,$H$7)</f>
        <v>563420.05000000005</v>
      </c>
      <c r="J12" s="213">
        <f>SUMIFS(SALE!$L$6:$L$10000,SALE!$A$6:$A$10000,$A$10:$A$18,SALE!$E$6:$E$10000,$H$7)</f>
        <v>0</v>
      </c>
      <c r="K12" s="213">
        <f>SUMIFS(SALE!$M$6:$M$10000,SALE!$A$6:$A$10000,$A$10:$A$18,SALE!$E$6:$E$10000,$H$7)</f>
        <v>78878.807000000015</v>
      </c>
      <c r="L12" s="213">
        <f t="shared" si="8"/>
        <v>78878.807000000015</v>
      </c>
      <c r="N12" s="209">
        <f t="shared" si="9"/>
        <v>-64986.380799999999</v>
      </c>
      <c r="O12" s="210">
        <f>SUMIFS(SALE!$K$6:$K$10000,SALE!$A$6:$A$10000,$A$10:$A$18,SALE!$E$6:$E$10000,$N$7)</f>
        <v>-50770.610000000008</v>
      </c>
      <c r="P12" s="210">
        <f>SUMIFS(SALE!$L$6:$L$10000,SALE!$A$6:$A$10000,$A$10:$A$18,SALE!$E$6:$E$10000,$N$7)</f>
        <v>-8525.9439999999995</v>
      </c>
      <c r="Q12" s="210">
        <f>SUMIFS(SALE!$M$6:$M$10000,SALE!$A$6:$A$10000,$A$10:$A$18,SALE!$E$6:$E$10000,$N$7)</f>
        <v>-2844.9133999999999</v>
      </c>
      <c r="R12" s="210">
        <f t="shared" si="10"/>
        <v>-2844.9133999999999</v>
      </c>
      <c r="S12" s="210"/>
      <c r="T12" s="210">
        <f t="shared" si="11"/>
        <v>7150535.2697199965</v>
      </c>
      <c r="U12" s="210">
        <f t="shared" si="12"/>
        <v>5748383.1739999959</v>
      </c>
      <c r="V12" s="210">
        <v>-563420.05000000005</v>
      </c>
      <c r="W12" s="209">
        <f t="shared" si="0"/>
        <v>5184963.1239999961</v>
      </c>
      <c r="X12" s="210">
        <f t="shared" si="1"/>
        <v>141109.85840000003</v>
      </c>
      <c r="Y12" s="210">
        <f t="shared" si="2"/>
        <v>630521.11866000027</v>
      </c>
      <c r="Z12" s="210">
        <f t="shared" si="3"/>
        <v>630521.11866000027</v>
      </c>
      <c r="AA12" s="209">
        <f t="shared" si="13"/>
        <v>1402152.0957200006</v>
      </c>
      <c r="AC12" s="210">
        <f t="shared" si="14"/>
        <v>1558962.1743199993</v>
      </c>
      <c r="AD12" s="210">
        <f t="shared" si="15"/>
        <v>1159472.5939999996</v>
      </c>
      <c r="AE12" s="210">
        <f t="shared" si="16"/>
        <v>51524.481600000028</v>
      </c>
      <c r="AF12" s="210">
        <f t="shared" si="17"/>
        <v>173982.54936</v>
      </c>
      <c r="AG12" s="210">
        <f t="shared" si="18"/>
        <v>173982.54936</v>
      </c>
      <c r="AH12" s="210">
        <f t="shared" si="19"/>
        <v>399489.58032000007</v>
      </c>
    </row>
    <row r="13" spans="1:34" x14ac:dyDescent="0.2">
      <c r="A13" s="208">
        <v>43647</v>
      </c>
      <c r="B13" s="209">
        <f t="shared" si="5"/>
        <v>8225753.1587999947</v>
      </c>
      <c r="C13" s="210">
        <f>SUMIFS(SALE!$K$6:$K$10000,SALE!$A$6:$A$10000,$A$10:$A$21,SALE!$E$6:$E$10000,$B$7)</f>
        <v>6634007.6599999927</v>
      </c>
      <c r="D13" s="210">
        <f>SUMIFS(SALE!$L$6:$L$10000,SALE!$A$6:$A$10000,$A$10:$A$21,SALE!$E$6:$E$10000,$B$7)</f>
        <v>66125.387999999992</v>
      </c>
      <c r="E13" s="210">
        <f>SUMIFS(SALE!$M$6:$M$10000,SALE!$A$6:$A$10000,$A$10:$A$21,SALE!$E$6:$E$10000,$B$7)</f>
        <v>762810.05540000054</v>
      </c>
      <c r="F13" s="210">
        <f t="shared" si="6"/>
        <v>762810.05540000054</v>
      </c>
      <c r="G13" s="211"/>
      <c r="H13" s="209">
        <f t="shared" si="7"/>
        <v>32101.120000000003</v>
      </c>
      <c r="I13" s="210">
        <f>SUMIFS(SALE!$K$6:$K$10000,SALE!$A$6:$A$10000,$A$10:$A$18,SALE!$E$6:$E$10000,$H$7)</f>
        <v>25079</v>
      </c>
      <c r="J13" s="210">
        <f>SUMIFS(SALE!$L$6:$L$10000,SALE!$A$6:$A$10000,$A$10:$A$18,SALE!$E$6:$E$10000,$H$7)</f>
        <v>0</v>
      </c>
      <c r="K13" s="210">
        <f>SUMIFS(SALE!$M$6:$M$10000,SALE!$A$6:$A$10000,$A$10:$A$18,SALE!$E$6:$E$10000,$H$7)</f>
        <v>3511.06</v>
      </c>
      <c r="L13" s="210">
        <f t="shared" si="8"/>
        <v>3511.06</v>
      </c>
      <c r="N13" s="209">
        <f t="shared" si="9"/>
        <v>-139414.66880000001</v>
      </c>
      <c r="O13" s="210">
        <f>SUMIFS(SALE!$K$6:$K$10000,SALE!$A$6:$A$10000,$A$10:$A$18,SALE!$E$6:$E$10000,$N$7)</f>
        <v>-108917.71</v>
      </c>
      <c r="P13" s="210">
        <f>SUMIFS(SALE!$L$6:$L$10000,SALE!$A$6:$A$10000,$A$10:$A$18,SALE!$E$6:$E$10000,$N$7)</f>
        <v>-1698.06</v>
      </c>
      <c r="Q13" s="210">
        <f>SUMIFS(SALE!$M$6:$M$10000,SALE!$A$6:$A$10000,$A$10:$A$18,SALE!$E$6:$E$10000,$N$7)</f>
        <v>-14399.449400000001</v>
      </c>
      <c r="R13" s="210">
        <f t="shared" si="10"/>
        <v>-14399.449400000001</v>
      </c>
      <c r="S13" s="210"/>
      <c r="T13" s="210">
        <f t="shared" si="11"/>
        <v>8118439.6099999947</v>
      </c>
      <c r="U13" s="210">
        <f t="shared" si="12"/>
        <v>6550168.9499999927</v>
      </c>
      <c r="V13" s="210">
        <v>0</v>
      </c>
      <c r="W13" s="209">
        <f t="shared" si="0"/>
        <v>6550168.9499999927</v>
      </c>
      <c r="X13" s="210">
        <f t="shared" si="1"/>
        <v>64427.327999999994</v>
      </c>
      <c r="Y13" s="210">
        <f t="shared" si="2"/>
        <v>751921.66600000055</v>
      </c>
      <c r="Z13" s="210">
        <f t="shared" si="3"/>
        <v>751921.66600000055</v>
      </c>
      <c r="AA13" s="209">
        <f t="shared" si="13"/>
        <v>1568270.6600000011</v>
      </c>
      <c r="AC13" s="210">
        <f t="shared" si="14"/>
        <v>388777.68120000418</v>
      </c>
      <c r="AD13" s="210">
        <f t="shared" si="15"/>
        <v>188316.39000000246</v>
      </c>
      <c r="AE13" s="210">
        <f t="shared" si="16"/>
        <v>-4858.2320000000036</v>
      </c>
      <c r="AF13" s="210">
        <f t="shared" si="17"/>
        <v>102659.76160000055</v>
      </c>
      <c r="AG13" s="210">
        <f t="shared" si="18"/>
        <v>102659.76160000055</v>
      </c>
      <c r="AH13" s="210">
        <f t="shared" si="19"/>
        <v>200461.29120000103</v>
      </c>
    </row>
    <row r="14" spans="1:34" x14ac:dyDescent="0.2">
      <c r="A14" s="208">
        <v>43678</v>
      </c>
      <c r="B14" s="209">
        <f t="shared" si="5"/>
        <v>6742319.4615999963</v>
      </c>
      <c r="C14" s="210">
        <f>SUMIFS(SALE!$K$6:$K$10000,SALE!$A$6:$A$10000,$A$10:$A$21,SALE!$E$6:$E$10000,$B$7)</f>
        <v>5482303.4199999953</v>
      </c>
      <c r="D14" s="210">
        <f>SUMIFS(SALE!$L$6:$L$10000,SALE!$A$6:$A$10000,$A$10:$A$21,SALE!$E$6:$E$10000,$B$7)</f>
        <v>30473.3688</v>
      </c>
      <c r="E14" s="210">
        <f>SUMIFS(SALE!$M$6:$M$10000,SALE!$A$6:$A$10000,$A$10:$A$21,SALE!$E$6:$E$10000,$B$7)</f>
        <v>614771.33640000015</v>
      </c>
      <c r="F14" s="210">
        <f t="shared" si="6"/>
        <v>614771.33640000015</v>
      </c>
      <c r="G14" s="211"/>
      <c r="H14" s="209">
        <f t="shared" si="7"/>
        <v>0</v>
      </c>
      <c r="I14" s="210">
        <f>SUMIFS(SALE!$K$6:$K$10000,SALE!$A$6:$A$10000,$A$10:$A$18,SALE!$E$6:$E$10000,$H$7)</f>
        <v>0</v>
      </c>
      <c r="J14" s="210">
        <f>SUMIFS(SALE!$L$6:$L$10000,SALE!$A$6:$A$10000,$A$10:$A$18,SALE!$E$6:$E$10000,$H$7)</f>
        <v>0</v>
      </c>
      <c r="K14" s="210">
        <f>SUMIFS(SALE!$M$6:$M$10000,SALE!$A$6:$A$10000,$A$10:$A$18,SALE!$E$6:$E$10000,$H$7)</f>
        <v>0</v>
      </c>
      <c r="L14" s="210">
        <f t="shared" si="8"/>
        <v>0</v>
      </c>
      <c r="N14" s="209">
        <f t="shared" si="9"/>
        <v>-153581.82399999999</v>
      </c>
      <c r="O14" s="210">
        <f>SUMIFS(SALE!$K$6:$K$10000,SALE!$A$6:$A$10000,$A$10:$A$18,SALE!$E$6:$E$10000,$N$7)</f>
        <v>-119985.80000000002</v>
      </c>
      <c r="P14" s="210">
        <f>SUMIFS(SALE!$L$6:$L$10000,SALE!$A$6:$A$10000,$A$10:$A$18,SALE!$E$6:$E$10000,$N$7)</f>
        <v>0</v>
      </c>
      <c r="Q14" s="210">
        <f>SUMIFS(SALE!$M$6:$M$10000,SALE!$A$6:$A$10000,$A$10:$A$18,SALE!$E$6:$E$10000,$N$7)</f>
        <v>-16798.011999999999</v>
      </c>
      <c r="R14" s="210">
        <f t="shared" si="10"/>
        <v>-16798.011999999999</v>
      </c>
      <c r="S14" s="210"/>
      <c r="T14" s="210">
        <f t="shared" si="11"/>
        <v>6588737.6375999963</v>
      </c>
      <c r="U14" s="210">
        <f t="shared" si="12"/>
        <v>5362317.6199999955</v>
      </c>
      <c r="V14" s="210">
        <v>-39568.379999999997</v>
      </c>
      <c r="W14" s="209">
        <f t="shared" si="0"/>
        <v>5322749.2399999956</v>
      </c>
      <c r="X14" s="210">
        <f t="shared" si="1"/>
        <v>30473.3688</v>
      </c>
      <c r="Y14" s="210">
        <f t="shared" si="2"/>
        <v>597973.32440000016</v>
      </c>
      <c r="Z14" s="210">
        <f t="shared" si="3"/>
        <v>597973.32440000016</v>
      </c>
      <c r="AA14" s="209">
        <f t="shared" si="13"/>
        <v>1226420.0176000004</v>
      </c>
      <c r="AC14" s="210">
        <f t="shared" si="14"/>
        <v>1425598.4435999971</v>
      </c>
      <c r="AD14" s="210">
        <f t="shared" si="15"/>
        <v>1017216.969999996</v>
      </c>
      <c r="AE14" s="210">
        <f t="shared" si="16"/>
        <v>19495.491600000001</v>
      </c>
      <c r="AF14" s="210">
        <f t="shared" si="17"/>
        <v>194442.9910000001</v>
      </c>
      <c r="AG14" s="210">
        <f t="shared" si="18"/>
        <v>194442.9910000001</v>
      </c>
      <c r="AH14" s="210">
        <f t="shared" si="19"/>
        <v>408381.47360000026</v>
      </c>
    </row>
    <row r="15" spans="1:34" x14ac:dyDescent="0.2">
      <c r="A15" s="208">
        <v>43709</v>
      </c>
      <c r="B15" s="209">
        <f t="shared" si="5"/>
        <v>5856462.8451999994</v>
      </c>
      <c r="C15" s="210">
        <f>SUMIFS(SALE!$K$6:$K$10000,SALE!$A$6:$A$10000,$A$10:$A$21,SALE!$E$6:$E$10000,$B$7)</f>
        <v>4788659.8899999997</v>
      </c>
      <c r="D15" s="210">
        <f>SUMIFS(SALE!$L$6:$L$10000,SALE!$A$6:$A$10000,$A$10:$A$21,SALE!$E$6:$E$10000,$B$7)</f>
        <v>75713.330000000016</v>
      </c>
      <c r="E15" s="210">
        <f>SUMIFS(SALE!$M$6:$M$10000,SALE!$A$6:$A$10000,$A$10:$A$21,SALE!$E$6:$E$10000,$B$7)</f>
        <v>496044.81260000024</v>
      </c>
      <c r="F15" s="210">
        <f t="shared" si="6"/>
        <v>496044.81260000024</v>
      </c>
      <c r="G15" s="211"/>
      <c r="H15" s="209">
        <f t="shared" si="7"/>
        <v>0</v>
      </c>
      <c r="I15" s="210">
        <f>SUMIFS(SALE!$K$6:$K$10000,SALE!$A$6:$A$10000,$A$10:$A$18,SALE!$E$6:$E$10000,$H$7)</f>
        <v>0</v>
      </c>
      <c r="J15" s="210">
        <f>SUMIFS(SALE!$L$6:$L$10000,SALE!$A$6:$A$10000,$A$10:$A$18,SALE!$E$6:$E$10000,$H$7)</f>
        <v>0</v>
      </c>
      <c r="K15" s="210">
        <f>SUMIFS(SALE!$M$6:$M$10000,SALE!$A$6:$A$10000,$A$10:$A$18,SALE!$E$6:$E$10000,$H$7)</f>
        <v>0</v>
      </c>
      <c r="L15" s="210">
        <f t="shared" si="8"/>
        <v>0</v>
      </c>
      <c r="N15" s="209">
        <f t="shared" si="9"/>
        <v>-3412.5600000000004</v>
      </c>
      <c r="O15" s="210">
        <f>SUMIFS(SALE!$K$6:$K$10000,SALE!$A$6:$A$10000,$A$10:$A$18,SALE!$E$6:$E$10000,$N$7)</f>
        <v>-2892</v>
      </c>
      <c r="P15" s="210">
        <f>SUMIFS(SALE!$L$6:$L$10000,SALE!$A$6:$A$10000,$A$10:$A$18,SALE!$E$6:$E$10000,$N$7)</f>
        <v>0</v>
      </c>
      <c r="Q15" s="210">
        <f>SUMIFS(SALE!$M$6:$M$10000,SALE!$A$6:$A$10000,$A$10:$A$18,SALE!$E$6:$E$10000,$N$7)</f>
        <v>-260.28000000000003</v>
      </c>
      <c r="R15" s="210">
        <f t="shared" si="10"/>
        <v>-260.28000000000003</v>
      </c>
      <c r="S15" s="210"/>
      <c r="T15" s="210">
        <f t="shared" si="11"/>
        <v>5853050.2851999998</v>
      </c>
      <c r="U15" s="210">
        <f t="shared" si="12"/>
        <v>4785767.8899999997</v>
      </c>
      <c r="V15" s="210"/>
      <c r="W15" s="209">
        <f t="shared" si="0"/>
        <v>4785767.8899999997</v>
      </c>
      <c r="X15" s="210">
        <f t="shared" si="1"/>
        <v>75713.330000000016</v>
      </c>
      <c r="Y15" s="210">
        <f t="shared" si="2"/>
        <v>495784.53260000021</v>
      </c>
      <c r="Z15" s="210">
        <f t="shared" si="3"/>
        <v>495784.53260000021</v>
      </c>
      <c r="AA15" s="209">
        <f t="shared" si="13"/>
        <v>1067282.3952000004</v>
      </c>
      <c r="AC15" s="210">
        <f t="shared" si="14"/>
        <v>1226063.9885999989</v>
      </c>
      <c r="AD15" s="210">
        <f t="shared" si="15"/>
        <v>980432.66999999993</v>
      </c>
      <c r="AE15" s="210">
        <f t="shared" si="16"/>
        <v>18249.726400000029</v>
      </c>
      <c r="AF15" s="210">
        <f t="shared" si="17"/>
        <v>113690.79609999992</v>
      </c>
      <c r="AG15" s="210">
        <f t="shared" si="18"/>
        <v>113690.79609999992</v>
      </c>
      <c r="AH15" s="210">
        <f t="shared" si="19"/>
        <v>245631.31859999977</v>
      </c>
    </row>
    <row r="16" spans="1:34" x14ac:dyDescent="0.2">
      <c r="A16" s="208">
        <v>43739</v>
      </c>
      <c r="B16" s="209">
        <f t="shared" si="5"/>
        <v>5195214.9596000006</v>
      </c>
      <c r="C16" s="210">
        <f>SUMIFS(SALE!$K$6:$K$10000,SALE!$A$6:$A$10000,$A$10:$A$21,SALE!$E$6:$E$10000,$B$7)</f>
        <v>4303915.0199999996</v>
      </c>
      <c r="D16" s="210">
        <f>SUMIFS(SALE!$L$6:$L$10000,SALE!$A$6:$A$10000,$A$10:$A$21,SALE!$E$6:$E$10000,$B$7)</f>
        <v>51945.630799999992</v>
      </c>
      <c r="E16" s="210">
        <f>SUMIFS(SALE!$M$6:$M$10000,SALE!$A$6:$A$10000,$A$10:$A$21,SALE!$E$6:$E$10000,$B$7)</f>
        <v>419677.1544</v>
      </c>
      <c r="F16" s="210">
        <f t="shared" si="6"/>
        <v>419677.1544</v>
      </c>
      <c r="G16" s="211"/>
      <c r="H16" s="209">
        <f t="shared" si="7"/>
        <v>0</v>
      </c>
      <c r="I16" s="210">
        <f>SUMIFS(SALE!$K$6:$K$10000,SALE!$A$6:$A$10000,$A$10:$A$18,SALE!$E$6:$E$10000,$H$7)</f>
        <v>0</v>
      </c>
      <c r="J16" s="210">
        <f>SUMIFS(SALE!$L$6:$L$10000,SALE!$A$6:$A$10000,$A$10:$A$18,SALE!$E$6:$E$10000,$H$7)</f>
        <v>0</v>
      </c>
      <c r="K16" s="210">
        <f>SUMIFS(SALE!$M$6:$M$10000,SALE!$A$6:$A$10000,$A$10:$A$18,SALE!$E$6:$E$10000,$H$7)</f>
        <v>0</v>
      </c>
      <c r="L16" s="210">
        <f t="shared" si="8"/>
        <v>0</v>
      </c>
      <c r="N16" s="209">
        <f t="shared" si="9"/>
        <v>0</v>
      </c>
      <c r="O16" s="210">
        <f>SUMIFS(SALE!$K$6:$K$10000,SALE!$A$6:$A$10000,$A$10:$A$18,SALE!$E$6:$E$10000,$N$7)</f>
        <v>0</v>
      </c>
      <c r="P16" s="210">
        <f>SUMIFS(SALE!$L$6:$L$10000,SALE!$A$6:$A$10000,$A$10:$A$18,SALE!$E$6:$E$10000,$N$7)</f>
        <v>0</v>
      </c>
      <c r="Q16" s="210">
        <f>SUMIFS(SALE!$M$6:$M$10000,SALE!$A$6:$A$10000,$A$10:$A$18,SALE!$E$6:$E$10000,$N$7)</f>
        <v>0</v>
      </c>
      <c r="R16" s="210">
        <f t="shared" si="10"/>
        <v>0</v>
      </c>
      <c r="S16" s="210"/>
      <c r="T16" s="210">
        <f t="shared" si="11"/>
        <v>5195214.9596000006</v>
      </c>
      <c r="U16" s="210">
        <f t="shared" si="12"/>
        <v>4303915.0199999996</v>
      </c>
      <c r="V16" s="210">
        <v>33395.18</v>
      </c>
      <c r="W16" s="209">
        <f>+V16+U16</f>
        <v>4337310.1999999993</v>
      </c>
      <c r="X16" s="210">
        <f t="shared" si="1"/>
        <v>51945.630799999992</v>
      </c>
      <c r="Y16" s="210">
        <f t="shared" si="2"/>
        <v>419677.1544</v>
      </c>
      <c r="Z16" s="210">
        <f t="shared" si="3"/>
        <v>419677.1544</v>
      </c>
      <c r="AA16" s="209">
        <f t="shared" si="13"/>
        <v>891299.93960000004</v>
      </c>
      <c r="AC16" s="210">
        <f t="shared" si="14"/>
        <v>-321852.53959999885</v>
      </c>
      <c r="AD16" s="210">
        <f t="shared" si="15"/>
        <v>-282899.91999999993</v>
      </c>
      <c r="AE16" s="210">
        <f t="shared" si="16"/>
        <v>-125009.34920000003</v>
      </c>
      <c r="AF16" s="210">
        <f t="shared" si="17"/>
        <v>43028.364799999748</v>
      </c>
      <c r="AG16" s="210">
        <f t="shared" si="18"/>
        <v>43028.364799999748</v>
      </c>
      <c r="AH16" s="210">
        <f t="shared" si="19"/>
        <v>-38952.619600000442</v>
      </c>
    </row>
    <row r="17" spans="1:34" x14ac:dyDescent="0.2">
      <c r="A17" s="208">
        <v>43770</v>
      </c>
      <c r="B17" s="209">
        <f t="shared" si="5"/>
        <v>1595009.1964</v>
      </c>
      <c r="C17" s="210">
        <f>SUMIFS(SALE!$K$6:$K$10000,SALE!$A$6:$A$10000,$A$10:$A$21,SALE!$E$6:$E$10000,$B$7)</f>
        <v>1294595.74</v>
      </c>
      <c r="D17" s="210">
        <f>SUMIFS(SALE!$L$6:$L$10000,SALE!$A$6:$A$10000,$A$10:$A$21,SALE!$E$6:$E$10000,$B$7)</f>
        <v>36691.986799999999</v>
      </c>
      <c r="E17" s="210">
        <f>SUMIFS(SALE!$M$6:$M$10000,SALE!$A$6:$A$10000,$A$10:$A$21,SALE!$E$6:$E$10000,$B$7)</f>
        <v>131860.73480000003</v>
      </c>
      <c r="F17" s="210">
        <f t="shared" si="6"/>
        <v>131860.73480000003</v>
      </c>
      <c r="G17" s="211"/>
      <c r="H17" s="209">
        <f t="shared" si="7"/>
        <v>0</v>
      </c>
      <c r="I17" s="210">
        <f>SUMIFS(SALE!$K$6:$K$10000,SALE!$A$6:$A$10000,$A$10:$A$18,SALE!$E$6:$E$10000,$H$7)</f>
        <v>0</v>
      </c>
      <c r="J17" s="210">
        <f>SUMIFS(SALE!$L$6:$L$10000,SALE!$A$6:$A$10000,$A$10:$A$18,SALE!$E$6:$E$10000,$H$7)</f>
        <v>0</v>
      </c>
      <c r="K17" s="210">
        <f>SUMIFS(SALE!$M$6:$M$10000,SALE!$A$6:$A$10000,$A$10:$A$18,SALE!$E$6:$E$10000,$H$7)</f>
        <v>0</v>
      </c>
      <c r="L17" s="210">
        <f t="shared" si="8"/>
        <v>0</v>
      </c>
      <c r="N17" s="209">
        <f t="shared" si="9"/>
        <v>0</v>
      </c>
      <c r="O17" s="210">
        <f>SUMIFS(SALE!$K$6:$K$10000,SALE!$A$6:$A$10000,$A$10:$A$18,SALE!$E$6:$E$10000,$N$7)</f>
        <v>0</v>
      </c>
      <c r="P17" s="210">
        <f>SUMIFS(SALE!$L$6:$L$10000,SALE!$A$6:$A$10000,$A$10:$A$18,SALE!$E$6:$E$10000,$N$7)</f>
        <v>0</v>
      </c>
      <c r="Q17" s="210">
        <f>SUMIFS(SALE!$M$6:$M$10000,SALE!$A$6:$A$10000,$A$10:$A$18,SALE!$E$6:$E$10000,$N$7)</f>
        <v>0</v>
      </c>
      <c r="R17" s="210">
        <f t="shared" si="10"/>
        <v>0</v>
      </c>
      <c r="S17" s="210"/>
      <c r="T17" s="210">
        <f t="shared" si="11"/>
        <v>1595009.1964</v>
      </c>
      <c r="U17" s="210">
        <f t="shared" si="12"/>
        <v>1294595.74</v>
      </c>
      <c r="V17" s="210"/>
      <c r="W17" s="209">
        <f t="shared" ref="W17:W22" si="20">+V17+U17</f>
        <v>1294595.74</v>
      </c>
      <c r="X17" s="210">
        <f t="shared" si="1"/>
        <v>36691.986799999999</v>
      </c>
      <c r="Y17" s="210">
        <f t="shared" si="2"/>
        <v>131860.73480000003</v>
      </c>
      <c r="Z17" s="210">
        <f t="shared" si="3"/>
        <v>131860.73480000003</v>
      </c>
      <c r="AA17" s="209">
        <f t="shared" si="13"/>
        <v>300413.45640000008</v>
      </c>
      <c r="AC17" s="210">
        <f t="shared" si="14"/>
        <v>1595009.1964</v>
      </c>
      <c r="AD17" s="210">
        <f t="shared" si="15"/>
        <v>1294595.74</v>
      </c>
      <c r="AE17" s="210">
        <f t="shared" si="16"/>
        <v>36691.986799999999</v>
      </c>
      <c r="AF17" s="210">
        <f t="shared" si="17"/>
        <v>131860.73480000003</v>
      </c>
      <c r="AG17" s="210">
        <f t="shared" si="18"/>
        <v>131860.73480000003</v>
      </c>
      <c r="AH17" s="210">
        <f t="shared" si="19"/>
        <v>300413.45640000008</v>
      </c>
    </row>
    <row r="18" spans="1:34" x14ac:dyDescent="0.2">
      <c r="A18" s="208">
        <v>43800</v>
      </c>
      <c r="B18" s="209">
        <f t="shared" si="5"/>
        <v>0</v>
      </c>
      <c r="C18" s="210">
        <f>SUMIFS(SALE!$K$6:$K$10000,SALE!$A$6:$A$10000,$A$10:$A$21,SALE!$E$6:$E$10000,$B$7)</f>
        <v>0</v>
      </c>
      <c r="D18" s="210">
        <f>SUMIFS(SALE!$L$6:$L$10000,SALE!$A$6:$A$10000,$A$10:$A$21,SALE!$E$6:$E$10000,$B$7)</f>
        <v>0</v>
      </c>
      <c r="E18" s="210">
        <f>SUMIFS(SALE!$M$6:$M$10000,SALE!$A$6:$A$10000,$A$10:$A$21,SALE!$E$6:$E$10000,$B$7)</f>
        <v>0</v>
      </c>
      <c r="F18" s="210">
        <f t="shared" si="6"/>
        <v>0</v>
      </c>
      <c r="G18" s="211"/>
      <c r="H18" s="209">
        <f t="shared" si="7"/>
        <v>0</v>
      </c>
      <c r="I18" s="210">
        <f>SUMIFS(SALE!$K$6:$K$10000,SALE!$A$6:$A$10000,$A$10:$A$18,SALE!$E$6:$E$10000,$H$7)</f>
        <v>0</v>
      </c>
      <c r="J18" s="210">
        <f>SUMIFS(SALE!$L$6:$L$10000,SALE!$A$6:$A$10000,$A$10:$A$18,SALE!$E$6:$E$10000,$H$7)</f>
        <v>0</v>
      </c>
      <c r="K18" s="210">
        <f>SUMIFS(SALE!$M$6:$M$10000,SALE!$A$6:$A$10000,$A$10:$A$18,SALE!$E$6:$E$10000,$H$7)</f>
        <v>0</v>
      </c>
      <c r="L18" s="210">
        <f t="shared" si="8"/>
        <v>0</v>
      </c>
      <c r="N18" s="209">
        <f t="shared" si="9"/>
        <v>0</v>
      </c>
      <c r="O18" s="210">
        <f>SUMIFS(SALE!$K$6:$K$10000,SALE!$A$6:$A$10000,$A$10:$A$18,SALE!$E$6:$E$10000,$N$7)</f>
        <v>0</v>
      </c>
      <c r="P18" s="210">
        <f>SUMIFS(SALE!$L$6:$L$10000,SALE!$A$6:$A$10000,$A$10:$A$18,SALE!$E$6:$E$10000,$N$7)</f>
        <v>0</v>
      </c>
      <c r="Q18" s="210">
        <f>SUMIFS(SALE!$M$6:$M$10000,SALE!$A$6:$A$10000,$A$10:$A$18,SALE!$E$6:$E$10000,$N$7)</f>
        <v>0</v>
      </c>
      <c r="R18" s="210">
        <f t="shared" si="10"/>
        <v>0</v>
      </c>
      <c r="S18" s="210"/>
      <c r="T18" s="210">
        <f t="shared" si="11"/>
        <v>0</v>
      </c>
      <c r="U18" s="210">
        <f t="shared" si="12"/>
        <v>0</v>
      </c>
      <c r="V18" s="210"/>
      <c r="W18" s="209">
        <f t="shared" si="20"/>
        <v>0</v>
      </c>
      <c r="X18" s="210">
        <f t="shared" si="1"/>
        <v>0</v>
      </c>
      <c r="Y18" s="210">
        <f t="shared" si="2"/>
        <v>0</v>
      </c>
      <c r="Z18" s="210">
        <f t="shared" si="3"/>
        <v>0</v>
      </c>
      <c r="AA18" s="209">
        <f t="shared" si="13"/>
        <v>0</v>
      </c>
      <c r="AC18" s="210">
        <f t="shared" si="14"/>
        <v>0</v>
      </c>
      <c r="AD18" s="210">
        <f t="shared" si="15"/>
        <v>0</v>
      </c>
      <c r="AE18" s="210">
        <f t="shared" si="16"/>
        <v>0</v>
      </c>
      <c r="AF18" s="210">
        <f t="shared" si="17"/>
        <v>0</v>
      </c>
      <c r="AG18" s="210">
        <f t="shared" si="18"/>
        <v>0</v>
      </c>
      <c r="AH18" s="210">
        <f t="shared" si="19"/>
        <v>0</v>
      </c>
    </row>
    <row r="19" spans="1:34" x14ac:dyDescent="0.2">
      <c r="A19" s="208">
        <v>43831</v>
      </c>
      <c r="B19" s="209">
        <f t="shared" ref="B19:B21" si="21">+C19+D19+E19+F19</f>
        <v>0</v>
      </c>
      <c r="C19" s="210">
        <f>SUMIFS(SALE!$K$6:$K$10000,SALE!$A$6:$A$10000,$A$10:$A$21,SALE!$E$6:$E$10000,$B$7)</f>
        <v>0</v>
      </c>
      <c r="D19" s="210">
        <f>SUMIFS(SALE!$L$6:$L$10000,SALE!$A$6:$A$10000,$A$10:$A$21,SALE!$E$6:$E$10000,$B$7)</f>
        <v>0</v>
      </c>
      <c r="E19" s="210">
        <f>SUMIFS(SALE!$M$6:$M$10000,SALE!$A$6:$A$10000,$A$10:$A$21,SALE!$E$6:$E$10000,$B$7)</f>
        <v>0</v>
      </c>
      <c r="F19" s="210">
        <f t="shared" si="6"/>
        <v>0</v>
      </c>
      <c r="G19" s="211"/>
      <c r="H19" s="209">
        <f t="shared" ref="H19:H21" si="22">+I19+J19+K19+L19</f>
        <v>0</v>
      </c>
      <c r="I19" s="210">
        <f>SUMIFS(SALE!$K$6:$K$10000,SALE!$A$6:$A$10000,$A$10:$A$18,SALE!$E$6:$E$10000,$H$7)</f>
        <v>0</v>
      </c>
      <c r="J19" s="210">
        <f>SUMIFS(SALE!$L$6:$L$10000,SALE!$A$6:$A$10000,$A$10:$A$18,SALE!$E$6:$E$10000,$H$7)</f>
        <v>0</v>
      </c>
      <c r="K19" s="210">
        <f>SUMIFS(SALE!$M$6:$M$10000,SALE!$A$6:$A$10000,$A$10:$A$18,SALE!$E$6:$E$10000,$H$7)</f>
        <v>0</v>
      </c>
      <c r="L19" s="210">
        <f t="shared" si="8"/>
        <v>0</v>
      </c>
      <c r="N19" s="209">
        <f t="shared" ref="N19:N21" si="23">+O19+P19+Q19+R19</f>
        <v>0</v>
      </c>
      <c r="O19" s="210">
        <f>SUMIFS(SALE!$K$6:$K$10000,SALE!$A$6:$A$10000,$A$10:$A$18,SALE!$E$6:$E$10000,$N$7)</f>
        <v>0</v>
      </c>
      <c r="P19" s="210">
        <f>SUMIFS(SALE!$L$6:$L$10000,SALE!$A$6:$A$10000,$A$10:$A$18,SALE!$E$6:$E$10000,$N$7)</f>
        <v>0</v>
      </c>
      <c r="Q19" s="210">
        <f>SUMIFS(SALE!$M$6:$M$10000,SALE!$A$6:$A$10000,$A$10:$A$18,SALE!$E$6:$E$10000,$N$7)</f>
        <v>0</v>
      </c>
      <c r="R19" s="210">
        <f t="shared" si="10"/>
        <v>0</v>
      </c>
      <c r="S19" s="210"/>
      <c r="T19" s="210">
        <f t="shared" si="11"/>
        <v>0</v>
      </c>
      <c r="U19" s="210">
        <f t="shared" si="12"/>
        <v>0</v>
      </c>
      <c r="V19" s="210"/>
      <c r="W19" s="209">
        <f t="shared" si="20"/>
        <v>0</v>
      </c>
      <c r="X19" s="210">
        <f t="shared" si="1"/>
        <v>0</v>
      </c>
      <c r="Y19" s="210">
        <f t="shared" si="2"/>
        <v>0</v>
      </c>
      <c r="Z19" s="210">
        <f t="shared" si="3"/>
        <v>0</v>
      </c>
      <c r="AA19" s="209">
        <f t="shared" ref="AA19:AA21" si="24">+Z19+Y19+X19</f>
        <v>0</v>
      </c>
      <c r="AC19" s="210">
        <f t="shared" si="14"/>
        <v>0</v>
      </c>
      <c r="AD19" s="210">
        <f t="shared" si="15"/>
        <v>0</v>
      </c>
      <c r="AE19" s="210">
        <f t="shared" si="16"/>
        <v>0</v>
      </c>
      <c r="AF19" s="210">
        <f t="shared" si="17"/>
        <v>0</v>
      </c>
      <c r="AG19" s="210">
        <f t="shared" si="18"/>
        <v>0</v>
      </c>
      <c r="AH19" s="210">
        <f t="shared" si="19"/>
        <v>0</v>
      </c>
    </row>
    <row r="20" spans="1:34" x14ac:dyDescent="0.2">
      <c r="A20" s="208">
        <v>43862</v>
      </c>
      <c r="B20" s="209">
        <f t="shared" si="21"/>
        <v>0</v>
      </c>
      <c r="C20" s="210">
        <f>SUMIFS(SALE!$K$6:$K$10000,SALE!$A$6:$A$10000,$A$10:$A$21,SALE!$E$6:$E$10000,$B$7)</f>
        <v>0</v>
      </c>
      <c r="D20" s="210">
        <f>SUMIFS(SALE!$L$6:$L$10000,SALE!$A$6:$A$10000,$A$10:$A$21,SALE!$E$6:$E$10000,$B$7)</f>
        <v>0</v>
      </c>
      <c r="E20" s="210">
        <f>SUMIFS(SALE!$M$6:$M$10000,SALE!$A$6:$A$10000,$A$10:$A$21,SALE!$E$6:$E$10000,$B$7)</f>
        <v>0</v>
      </c>
      <c r="F20" s="210">
        <f t="shared" si="6"/>
        <v>0</v>
      </c>
      <c r="G20" s="211"/>
      <c r="H20" s="209">
        <f t="shared" si="22"/>
        <v>0</v>
      </c>
      <c r="I20" s="210">
        <f>SUMIFS(SALE!$K$6:$K$10000,SALE!$A$6:$A$10000,$A$10:$A$18,SALE!$E$6:$E$10000,$H$7)</f>
        <v>0</v>
      </c>
      <c r="J20" s="210">
        <f>SUMIFS(SALE!$L$6:$L$10000,SALE!$A$6:$A$10000,$A$10:$A$18,SALE!$E$6:$E$10000,$H$7)</f>
        <v>0</v>
      </c>
      <c r="K20" s="210">
        <f>SUMIFS(SALE!$M$6:$M$10000,SALE!$A$6:$A$10000,$A$10:$A$18,SALE!$E$6:$E$10000,$H$7)</f>
        <v>0</v>
      </c>
      <c r="L20" s="210">
        <f t="shared" si="8"/>
        <v>0</v>
      </c>
      <c r="N20" s="209">
        <f t="shared" si="23"/>
        <v>0</v>
      </c>
      <c r="O20" s="210">
        <f>SUMIFS(SALE!$K$6:$K$10000,SALE!$A$6:$A$10000,$A$10:$A$18,SALE!$E$6:$E$10000,$N$7)</f>
        <v>0</v>
      </c>
      <c r="P20" s="210">
        <f>SUMIFS(SALE!$L$6:$L$10000,SALE!$A$6:$A$10000,$A$10:$A$18,SALE!$E$6:$E$10000,$N$7)</f>
        <v>0</v>
      </c>
      <c r="Q20" s="210">
        <f>SUMIFS(SALE!$M$6:$M$10000,SALE!$A$6:$A$10000,$A$10:$A$18,SALE!$E$6:$E$10000,$N$7)</f>
        <v>0</v>
      </c>
      <c r="R20" s="210">
        <f t="shared" si="10"/>
        <v>0</v>
      </c>
      <c r="S20" s="210"/>
      <c r="T20" s="210">
        <f t="shared" si="11"/>
        <v>0</v>
      </c>
      <c r="U20" s="210">
        <f t="shared" si="12"/>
        <v>0</v>
      </c>
      <c r="V20" s="210"/>
      <c r="W20" s="209">
        <f t="shared" si="20"/>
        <v>0</v>
      </c>
      <c r="X20" s="210">
        <f t="shared" si="1"/>
        <v>0</v>
      </c>
      <c r="Y20" s="210">
        <f t="shared" si="2"/>
        <v>0</v>
      </c>
      <c r="Z20" s="210">
        <f t="shared" si="3"/>
        <v>0</v>
      </c>
      <c r="AA20" s="209">
        <f t="shared" si="24"/>
        <v>0</v>
      </c>
      <c r="AC20" s="210">
        <f t="shared" si="14"/>
        <v>0</v>
      </c>
      <c r="AD20" s="210">
        <f t="shared" si="15"/>
        <v>0</v>
      </c>
      <c r="AE20" s="210">
        <f t="shared" si="16"/>
        <v>0</v>
      </c>
      <c r="AF20" s="210">
        <f t="shared" si="17"/>
        <v>0</v>
      </c>
      <c r="AG20" s="210">
        <f t="shared" si="18"/>
        <v>0</v>
      </c>
      <c r="AH20" s="210">
        <f t="shared" si="19"/>
        <v>0</v>
      </c>
    </row>
    <row r="21" spans="1:34" x14ac:dyDescent="0.2">
      <c r="A21" s="208">
        <v>43891</v>
      </c>
      <c r="B21" s="209">
        <f t="shared" si="21"/>
        <v>0</v>
      </c>
      <c r="C21" s="210">
        <f>SUMIFS(SALE!$K$6:$K$10000,SALE!$A$6:$A$10000,$A$10:$A$21,SALE!$E$6:$E$10000,$B$7)</f>
        <v>0</v>
      </c>
      <c r="D21" s="210">
        <f>SUMIFS(SALE!$L$6:$L$10000,SALE!$A$6:$A$10000,$A$10:$A$21,SALE!$E$6:$E$10000,$B$7)</f>
        <v>0</v>
      </c>
      <c r="E21" s="210">
        <f>SUMIFS(SALE!$M$6:$M$10000,SALE!$A$6:$A$10000,$A$10:$A$21,SALE!$E$6:$E$10000,$B$7)</f>
        <v>0</v>
      </c>
      <c r="F21" s="210">
        <f t="shared" si="6"/>
        <v>0</v>
      </c>
      <c r="G21" s="211"/>
      <c r="H21" s="209">
        <f t="shared" si="22"/>
        <v>0</v>
      </c>
      <c r="I21" s="210">
        <f>SUMIFS(SALE!$K$6:$K$10000,SALE!$A$6:$A$10000,$A$10:$A$18,SALE!$E$6:$E$10000,$H$7)</f>
        <v>0</v>
      </c>
      <c r="J21" s="210">
        <f>SUMIFS(SALE!$L$6:$L$10000,SALE!$A$6:$A$10000,$A$10:$A$18,SALE!$E$6:$E$10000,$H$7)</f>
        <v>0</v>
      </c>
      <c r="K21" s="210">
        <f>SUMIFS(SALE!$M$6:$M$10000,SALE!$A$6:$A$10000,$A$10:$A$18,SALE!$E$6:$E$10000,$H$7)</f>
        <v>0</v>
      </c>
      <c r="L21" s="210">
        <f t="shared" si="8"/>
        <v>0</v>
      </c>
      <c r="N21" s="209">
        <f t="shared" si="23"/>
        <v>0</v>
      </c>
      <c r="O21" s="210">
        <f>SUMIFS(SALE!$K$6:$K$10000,SALE!$A$6:$A$10000,$A$10:$A$18,SALE!$E$6:$E$10000,$N$7)</f>
        <v>0</v>
      </c>
      <c r="P21" s="210">
        <f>SUMIFS(SALE!$L$6:$L$10000,SALE!$A$6:$A$10000,$A$10:$A$18,SALE!$E$6:$E$10000,$N$7)</f>
        <v>0</v>
      </c>
      <c r="Q21" s="210">
        <f>SUMIFS(SALE!$M$6:$M$10000,SALE!$A$6:$A$10000,$A$10:$A$18,SALE!$E$6:$E$10000,$N$7)</f>
        <v>0</v>
      </c>
      <c r="R21" s="210">
        <f t="shared" si="10"/>
        <v>0</v>
      </c>
      <c r="S21" s="210"/>
      <c r="T21" s="210">
        <f t="shared" si="11"/>
        <v>0</v>
      </c>
      <c r="U21" s="210">
        <f t="shared" si="12"/>
        <v>0</v>
      </c>
      <c r="V21" s="210"/>
      <c r="W21" s="209">
        <f t="shared" si="20"/>
        <v>0</v>
      </c>
      <c r="X21" s="210">
        <f t="shared" si="1"/>
        <v>0</v>
      </c>
      <c r="Y21" s="210">
        <f t="shared" si="2"/>
        <v>0</v>
      </c>
      <c r="Z21" s="210">
        <f t="shared" si="3"/>
        <v>0</v>
      </c>
      <c r="AA21" s="209">
        <f t="shared" si="24"/>
        <v>0</v>
      </c>
      <c r="AC21" s="210">
        <f t="shared" si="14"/>
        <v>0</v>
      </c>
      <c r="AD21" s="210">
        <f t="shared" si="15"/>
        <v>0</v>
      </c>
      <c r="AE21" s="210">
        <f t="shared" si="16"/>
        <v>0</v>
      </c>
      <c r="AF21" s="210">
        <f t="shared" si="17"/>
        <v>0</v>
      </c>
      <c r="AG21" s="210">
        <f t="shared" si="18"/>
        <v>0</v>
      </c>
      <c r="AH21" s="210">
        <f t="shared" si="19"/>
        <v>0</v>
      </c>
    </row>
    <row r="22" spans="1:34" x14ac:dyDescent="0.2">
      <c r="A22" s="77" t="s">
        <v>332</v>
      </c>
      <c r="B22" s="209">
        <f>SUM(B10:B21)</f>
        <v>43405133.309919991</v>
      </c>
      <c r="C22" s="209">
        <f t="shared" ref="C22:F22" si="25">SUM(C10:C21)</f>
        <v>35176928.023999982</v>
      </c>
      <c r="D22" s="209">
        <f t="shared" si="25"/>
        <v>502781.86560000002</v>
      </c>
      <c r="E22" s="209">
        <f t="shared" si="25"/>
        <v>3862711.7101600016</v>
      </c>
      <c r="F22" s="209">
        <f t="shared" si="25"/>
        <v>3862711.7101600016</v>
      </c>
      <c r="G22" s="209"/>
      <c r="H22" s="209">
        <f>SUM(H10:H21)</f>
        <v>753278.7840000001</v>
      </c>
      <c r="I22" s="209">
        <f t="shared" ref="I22:L22" si="26">SUM(I10:I21)</f>
        <v>588499.05000000005</v>
      </c>
      <c r="J22" s="209">
        <f t="shared" si="26"/>
        <v>0</v>
      </c>
      <c r="K22" s="209">
        <f t="shared" si="26"/>
        <v>82389.867000000013</v>
      </c>
      <c r="L22" s="209">
        <f t="shared" si="26"/>
        <v>82389.867000000013</v>
      </c>
      <c r="M22" s="209"/>
      <c r="N22" s="209">
        <f>SUM(N10:N21)</f>
        <v>-401680.98879999999</v>
      </c>
      <c r="O22" s="209">
        <f t="shared" ref="O22:R22" si="27">SUM(O10:O21)</f>
        <v>-314039.21000000008</v>
      </c>
      <c r="P22" s="209">
        <f t="shared" si="27"/>
        <v>-11929.934799999999</v>
      </c>
      <c r="Q22" s="209">
        <f t="shared" si="27"/>
        <v>-37855.921999999999</v>
      </c>
      <c r="R22" s="209">
        <f t="shared" si="27"/>
        <v>-37855.921999999999</v>
      </c>
      <c r="S22" s="209"/>
      <c r="T22" s="209">
        <f>SUM(T10:T21)</f>
        <v>43756731.105119988</v>
      </c>
      <c r="U22" s="209">
        <f t="shared" ref="U22:AA22" si="28">SUM(U10:U21)</f>
        <v>35451387.863999985</v>
      </c>
      <c r="V22" s="209">
        <f t="shared" si="28"/>
        <v>-573289.79</v>
      </c>
      <c r="W22" s="209">
        <f t="shared" si="20"/>
        <v>34878098.073999986</v>
      </c>
      <c r="X22" s="209">
        <f t="shared" si="28"/>
        <v>490851.93080000003</v>
      </c>
      <c r="Y22" s="209">
        <f t="shared" si="28"/>
        <v>3907245.6551600015</v>
      </c>
      <c r="Z22" s="209">
        <f t="shared" si="28"/>
        <v>3907245.6551600015</v>
      </c>
      <c r="AA22" s="209">
        <f t="shared" si="28"/>
        <v>8305343.2411200032</v>
      </c>
      <c r="AC22" s="209">
        <f>SUM(AC10:AC21)</f>
        <v>6241183.1693199929</v>
      </c>
      <c r="AD22" s="209">
        <f t="shared" ref="AD22:AH22" si="29">SUM(AD10:AD21)</f>
        <v>4529296.9539999915</v>
      </c>
      <c r="AE22" s="209">
        <f t="shared" si="29"/>
        <v>-54565.631999999969</v>
      </c>
      <c r="AF22" s="209">
        <f t="shared" si="29"/>
        <v>883225.92366000009</v>
      </c>
      <c r="AG22" s="209">
        <f t="shared" si="29"/>
        <v>883225.92366000009</v>
      </c>
      <c r="AH22" s="209">
        <f t="shared" si="29"/>
        <v>1711886.2153200004</v>
      </c>
    </row>
    <row r="23" spans="1:34" ht="10.8" thickBot="1" x14ac:dyDescent="0.25">
      <c r="A23" s="214"/>
      <c r="T23" s="54"/>
      <c r="U23" s="54"/>
      <c r="V23" s="54"/>
      <c r="W23" s="54"/>
      <c r="X23" s="54"/>
      <c r="Y23" s="54"/>
      <c r="Z23" s="54"/>
      <c r="AA23" s="54"/>
    </row>
    <row r="24" spans="1:34" ht="10.8" thickBot="1" x14ac:dyDescent="0.25">
      <c r="A24" s="201"/>
      <c r="F24" s="1320" t="s">
        <v>2437</v>
      </c>
      <c r="G24" s="1321"/>
      <c r="H24" s="1321"/>
      <c r="I24" s="1321"/>
      <c r="J24" s="1321"/>
      <c r="K24" s="1321"/>
      <c r="L24" s="1321"/>
      <c r="M24" s="1321"/>
      <c r="N24" s="1321"/>
      <c r="O24" s="1321"/>
      <c r="P24" s="1321"/>
      <c r="Q24" s="1321"/>
      <c r="R24" s="1321"/>
      <c r="S24" s="1321"/>
      <c r="T24" s="1322"/>
      <c r="U24" s="200"/>
      <c r="V24" s="200"/>
      <c r="W24" s="200"/>
    </row>
    <row r="25" spans="1:34" ht="10.8" thickBot="1" x14ac:dyDescent="0.25">
      <c r="A25" s="201"/>
      <c r="F25" s="1304" t="s">
        <v>2547</v>
      </c>
      <c r="G25" s="1304"/>
      <c r="H25" s="1304"/>
      <c r="I25" s="1304"/>
      <c r="J25" s="1304"/>
      <c r="K25" s="1304"/>
      <c r="L25" s="1304"/>
      <c r="M25" s="1304"/>
      <c r="N25" s="1304"/>
      <c r="O25" s="1304"/>
      <c r="P25" s="1304"/>
      <c r="Q25" s="1304"/>
      <c r="R25" s="1304"/>
      <c r="S25" s="1304"/>
      <c r="T25" s="1304"/>
      <c r="U25" s="204"/>
      <c r="V25" s="204"/>
      <c r="W25" s="204"/>
    </row>
    <row r="26" spans="1:34" ht="10.8" thickBot="1" x14ac:dyDescent="0.25">
      <c r="B26" s="1317" t="s">
        <v>22</v>
      </c>
      <c r="C26" s="1318"/>
      <c r="D26" s="1318"/>
      <c r="E26" s="1318"/>
      <c r="F26" s="1319"/>
      <c r="H26" s="1308" t="s">
        <v>228</v>
      </c>
      <c r="I26" s="1309"/>
      <c r="J26" s="1309"/>
      <c r="K26" s="1309"/>
      <c r="L26" s="1310"/>
      <c r="N26" s="1311" t="s">
        <v>220</v>
      </c>
      <c r="O26" s="1312"/>
      <c r="P26" s="1312"/>
      <c r="Q26" s="1312"/>
      <c r="R26" s="1313"/>
      <c r="S26" s="199"/>
      <c r="T26" s="1314" t="s">
        <v>347</v>
      </c>
      <c r="U26" s="1315"/>
      <c r="V26" s="1315"/>
      <c r="W26" s="1315"/>
      <c r="X26" s="1315"/>
      <c r="Y26" s="1315"/>
      <c r="Z26" s="1316"/>
    </row>
    <row r="27" spans="1:34" x14ac:dyDescent="0.2">
      <c r="A27" s="1304" t="s">
        <v>3362</v>
      </c>
      <c r="B27" s="1304"/>
      <c r="C27" s="1304"/>
      <c r="D27" s="1304"/>
      <c r="E27" s="1304"/>
      <c r="F27" s="1304"/>
      <c r="H27" s="1303" t="s">
        <v>2433</v>
      </c>
      <c r="I27" s="1303"/>
      <c r="J27" s="1303"/>
      <c r="K27" s="1303"/>
      <c r="L27" s="1303"/>
      <c r="N27" s="1303" t="s">
        <v>328</v>
      </c>
      <c r="O27" s="1303"/>
      <c r="P27" s="1303"/>
      <c r="Q27" s="1303"/>
      <c r="R27" s="1303"/>
      <c r="S27" s="203"/>
      <c r="T27" s="1303" t="s">
        <v>3361</v>
      </c>
      <c r="U27" s="1303"/>
      <c r="V27" s="1303"/>
      <c r="W27" s="1303"/>
      <c r="X27" s="1303"/>
      <c r="Y27" s="1303"/>
      <c r="Z27" s="1303"/>
      <c r="AB27" s="205"/>
    </row>
    <row r="28" spans="1:34" x14ac:dyDescent="0.2">
      <c r="A28" s="77" t="s">
        <v>329</v>
      </c>
      <c r="B28" s="215" t="s">
        <v>347</v>
      </c>
      <c r="C28" s="77" t="s">
        <v>2436</v>
      </c>
      <c r="D28" s="77" t="s">
        <v>16</v>
      </c>
      <c r="E28" s="77" t="s">
        <v>17</v>
      </c>
      <c r="F28" s="77" t="s">
        <v>18</v>
      </c>
      <c r="G28" s="201"/>
      <c r="H28" s="215" t="s">
        <v>347</v>
      </c>
      <c r="I28" s="77" t="s">
        <v>2436</v>
      </c>
      <c r="J28" s="77" t="s">
        <v>16</v>
      </c>
      <c r="K28" s="77" t="s">
        <v>17</v>
      </c>
      <c r="L28" s="77" t="s">
        <v>18</v>
      </c>
      <c r="M28" s="207"/>
      <c r="N28" s="215" t="s">
        <v>347</v>
      </c>
      <c r="O28" s="77" t="s">
        <v>2436</v>
      </c>
      <c r="P28" s="77" t="s">
        <v>16</v>
      </c>
      <c r="Q28" s="77" t="s">
        <v>17</v>
      </c>
      <c r="R28" s="77" t="s">
        <v>18</v>
      </c>
      <c r="S28" s="77"/>
      <c r="T28" s="215" t="s">
        <v>347</v>
      </c>
      <c r="U28" s="77" t="s">
        <v>2436</v>
      </c>
      <c r="V28" s="77"/>
      <c r="W28" s="77"/>
      <c r="X28" s="77" t="s">
        <v>16</v>
      </c>
      <c r="Y28" s="77" t="s">
        <v>17</v>
      </c>
      <c r="Z28" s="77" t="s">
        <v>18</v>
      </c>
      <c r="AA28" s="206" t="s">
        <v>330</v>
      </c>
    </row>
    <row r="29" spans="1:34" x14ac:dyDescent="0.2">
      <c r="A29" s="208">
        <v>43556</v>
      </c>
      <c r="B29" s="209">
        <f t="shared" ref="B29:B40" si="30">+C29+D29+E29+F29</f>
        <v>3297888.8010000009</v>
      </c>
      <c r="C29" s="210">
        <f>SUMIFS(PURCHASE!$K$6:$K$10008,PURCHASE!$A$6:$A$10008,$A$29:$A$40,PURCHASE!$E$6:$E$10008,$B$26)</f>
        <v>2655684.3000000007</v>
      </c>
      <c r="D29" s="210">
        <f>SUMIFS(PURCHASE!$L$6:$L$10008,PURCHASE!$A$6:$A$10008,$A$29:$A$40,PURCHASE!$E$6:$E$10008,$B$26)</f>
        <v>2079.9351999999999</v>
      </c>
      <c r="E29" s="210">
        <f>SUMIFS(PURCHASE!$M$6:$M$10008,PURCHASE!$A$6:$A$10008,$A$29:$A$40,PURCHASE!$E$6:$E$10008,$B$26)</f>
        <v>320062.28289999993</v>
      </c>
      <c r="F29" s="210">
        <f>+E29</f>
        <v>320062.28289999993</v>
      </c>
      <c r="H29" s="209">
        <f t="shared" ref="H29:H40" si="31">+I29+J29+K29+L29</f>
        <v>0</v>
      </c>
      <c r="I29" s="210">
        <f>SUMIFS(PURCHASE!$K$6:$K$10008,PURCHASE!$A$6:$A$10008,$A$29:$A$40,PURCHASE!$E$6:$E$10008,$H$26)</f>
        <v>0</v>
      </c>
      <c r="J29" s="210">
        <f>SUMIFS(PURCHASE!$L$6:$L$10008,PURCHASE!$A$6:$A$10008,$A$29:$A$40,PURCHASE!$E$6:$E$10008,$H$26)</f>
        <v>0</v>
      </c>
      <c r="K29" s="210">
        <f>SUMIFS(PURCHASE!$M$6:$M$10008,PURCHASE!$A$6:$A$10008,$A$29:$A$40,PURCHASE!$E$6:$E$10008,$H$26)</f>
        <v>0</v>
      </c>
      <c r="L29" s="210">
        <f>+K29</f>
        <v>0</v>
      </c>
      <c r="N29" s="209">
        <f t="shared" ref="N29:N40" si="32">+O29+P29+Q29+R29</f>
        <v>0</v>
      </c>
      <c r="O29" s="210">
        <f>SUMIFS(PURCHASE!$K$6:$K$10008,PURCHASE!$A$6:$A$10008,$A$29:$A$40,PURCHASE!$E$6:$E$10008,$N$26)</f>
        <v>0</v>
      </c>
      <c r="P29" s="210">
        <f>SUMIFS(PURCHASE!$L$6:$L$10008,PURCHASE!$A$6:$A$10008,$A$29:$A$40,PURCHASE!$E$6:$E$10008,$N$26)</f>
        <v>0</v>
      </c>
      <c r="Q29" s="210">
        <f>SUMIFS(PURCHASE!$M$6:$M$10008,PURCHASE!$A$6:$A$10008,$A$29:$A$40,PURCHASE!$E$6:$E$10008,$N$26)</f>
        <v>0</v>
      </c>
      <c r="R29" s="210">
        <f>+Q29</f>
        <v>0</v>
      </c>
      <c r="S29" s="66"/>
      <c r="T29" s="210">
        <f t="shared" ref="T29:T37" si="33">+B29+H29-N29</f>
        <v>3297888.8010000009</v>
      </c>
      <c r="U29" s="210">
        <f t="shared" ref="U29:U40" si="34">+C29+I29-O29</f>
        <v>2655684.3000000007</v>
      </c>
      <c r="V29" s="210"/>
      <c r="W29" s="210"/>
      <c r="X29" s="210">
        <f t="shared" ref="X29:X40" si="35">+D29+J29-P29</f>
        <v>2079.9351999999999</v>
      </c>
      <c r="Y29" s="210">
        <f t="shared" ref="Y29:Y40" si="36">+E29+K29-Q29</f>
        <v>320062.28289999993</v>
      </c>
      <c r="Z29" s="210">
        <f t="shared" ref="Z29:Z40" si="37">+F29+L29-R29</f>
        <v>320062.28289999993</v>
      </c>
      <c r="AA29" s="209">
        <f t="shared" ref="AA29:AA37" si="38">+Z29+Y29+X29</f>
        <v>642204.50099999981</v>
      </c>
      <c r="AC29" s="54"/>
    </row>
    <row r="30" spans="1:34" x14ac:dyDescent="0.2">
      <c r="A30" s="208">
        <v>43586</v>
      </c>
      <c r="B30" s="209">
        <f t="shared" si="30"/>
        <v>5651715.600800002</v>
      </c>
      <c r="C30" s="210">
        <f>SUMIFS(PURCHASE!$K$6:$K$10008,PURCHASE!$A$6:$A$10008,$A$29:$A$40,PURCHASE!$E$6:$E$10008,$B$26)</f>
        <v>4627208.66</v>
      </c>
      <c r="D30" s="210">
        <f>SUMIFS(PURCHASE!$L$6:$L$10008,PURCHASE!$A$6:$A$10008,$A$29:$A$40,PURCHASE!$E$6:$E$10008,$B$26)</f>
        <v>139070.23000000001</v>
      </c>
      <c r="E30" s="210">
        <f>SUMIFS(PURCHASE!$M$6:$M$10008,PURCHASE!$A$6:$A$10008,$A$29:$A$40,PURCHASE!$E$6:$E$10008,$B$26)</f>
        <v>442718.35540000041</v>
      </c>
      <c r="F30" s="210">
        <f t="shared" ref="F30:F40" si="39">+E30</f>
        <v>442718.35540000041</v>
      </c>
      <c r="H30" s="209">
        <f t="shared" si="31"/>
        <v>-62484.479999999996</v>
      </c>
      <c r="I30" s="210">
        <f>SUMIFS(PURCHASE!$K$6:$K$10008,PURCHASE!$A$6:$A$10008,$A$29:$A$40,PURCHASE!$E$6:$E$10008,$H$26)</f>
        <v>-48816</v>
      </c>
      <c r="J30" s="210">
        <f>SUMIFS(PURCHASE!$L$6:$L$10008,PURCHASE!$A$6:$A$10008,$A$29:$A$40,PURCHASE!$E$6:$E$10008,$H$26)</f>
        <v>0</v>
      </c>
      <c r="K30" s="210">
        <f>SUMIFS(PURCHASE!$M$6:$M$10008,PURCHASE!$A$6:$A$10008,$A$29:$A$40,PURCHASE!$E$6:$E$10008,$H$26)</f>
        <v>-6834.24</v>
      </c>
      <c r="L30" s="210">
        <f t="shared" ref="L30:L40" si="40">+K30</f>
        <v>-6834.24</v>
      </c>
      <c r="N30" s="209">
        <f t="shared" si="32"/>
        <v>0</v>
      </c>
      <c r="O30" s="210">
        <f>SUMIFS(PURCHASE!$K$6:$K$10008,PURCHASE!$A$6:$A$10008,$A$29:$A$40,PURCHASE!$E$6:$E$10008,$N$26)</f>
        <v>0</v>
      </c>
      <c r="P30" s="210">
        <f>SUMIFS(PURCHASE!$L$6:$L$10008,PURCHASE!$A$6:$A$10008,$A$29:$A$40,PURCHASE!$E$6:$E$10008,$N$26)</f>
        <v>0</v>
      </c>
      <c r="Q30" s="210">
        <f>SUMIFS(PURCHASE!$M$6:$M$10008,PURCHASE!$A$6:$A$10008,$A$29:$A$40,PURCHASE!$E$6:$E$10008,$N$26)</f>
        <v>0</v>
      </c>
      <c r="R30" s="210">
        <f t="shared" ref="R30:R40" si="41">+Q30</f>
        <v>0</v>
      </c>
      <c r="S30" s="210"/>
      <c r="T30" s="210">
        <f t="shared" si="33"/>
        <v>5589231.1208000015</v>
      </c>
      <c r="U30" s="210">
        <f t="shared" si="34"/>
        <v>4578392.66</v>
      </c>
      <c r="V30" s="210"/>
      <c r="W30" s="210"/>
      <c r="X30" s="210">
        <f t="shared" si="35"/>
        <v>139070.23000000001</v>
      </c>
      <c r="Y30" s="210">
        <f t="shared" si="36"/>
        <v>435884.11540000042</v>
      </c>
      <c r="Z30" s="210">
        <f t="shared" si="37"/>
        <v>435884.11540000042</v>
      </c>
      <c r="AA30" s="209">
        <f t="shared" si="38"/>
        <v>1010838.4608000008</v>
      </c>
    </row>
    <row r="31" spans="1:34" x14ac:dyDescent="0.2">
      <c r="A31" s="208">
        <v>43617</v>
      </c>
      <c r="B31" s="209">
        <f t="shared" si="30"/>
        <v>5594229.2753999969</v>
      </c>
      <c r="C31" s="210">
        <f>SUMIFS(PURCHASE!$K$6:$K$10008,PURCHASE!$A$6:$A$10008,$A$29:$A$40,PURCHASE!$E$6:$E$10008,$B$26)</f>
        <v>4591161.5799999963</v>
      </c>
      <c r="D31" s="210">
        <f>SUMIFS(PURCHASE!$L$6:$L$10008,PURCHASE!$A$6:$A$10008,$A$29:$A$40,PURCHASE!$E$6:$E$10008,$B$26)</f>
        <v>89585.376799999998</v>
      </c>
      <c r="E31" s="210">
        <f>SUMIFS(PURCHASE!$M$6:$M$10008,PURCHASE!$A$6:$A$10008,$A$29:$A$40,PURCHASE!$E$6:$E$10008,$B$26)</f>
        <v>456741.15930000029</v>
      </c>
      <c r="F31" s="210">
        <f t="shared" si="39"/>
        <v>456741.15930000029</v>
      </c>
      <c r="H31" s="209">
        <f t="shared" si="31"/>
        <v>-2656.1800000000003</v>
      </c>
      <c r="I31" s="210">
        <f>SUMIFS(PURCHASE!$K$6:$K$10008,PURCHASE!$A$6:$A$10008,$A$29:$A$40,PURCHASE!$E$6:$E$10008,$H$26)</f>
        <v>-2251</v>
      </c>
      <c r="J31" s="210">
        <f>SUMIFS(PURCHASE!$L$6:$L$10008,PURCHASE!$A$6:$A$10008,$A$29:$A$40,PURCHASE!$E$6:$E$10008,$H$26)</f>
        <v>0</v>
      </c>
      <c r="K31" s="210">
        <f>SUMIFS(PURCHASE!$M$6:$M$10008,PURCHASE!$A$6:$A$10008,$A$29:$A$40,PURCHASE!$E$6:$E$10008,$H$26)</f>
        <v>-202.59</v>
      </c>
      <c r="L31" s="210">
        <f t="shared" si="40"/>
        <v>-202.59</v>
      </c>
      <c r="N31" s="209">
        <f t="shared" si="32"/>
        <v>0</v>
      </c>
      <c r="O31" s="210">
        <f>SUMIFS(PURCHASE!$K$6:$K$10008,PURCHASE!$A$6:$A$10008,$A$29:$A$40,PURCHASE!$E$6:$E$10008,$N$26)</f>
        <v>0</v>
      </c>
      <c r="P31" s="210">
        <f>SUMIFS(PURCHASE!$L$6:$L$10008,PURCHASE!$A$6:$A$10008,$A$29:$A$40,PURCHASE!$E$6:$E$10008,$N$26)</f>
        <v>0</v>
      </c>
      <c r="Q31" s="210">
        <f>SUMIFS(PURCHASE!$M$6:$M$10008,PURCHASE!$A$6:$A$10008,$A$29:$A$40,PURCHASE!$E$6:$E$10008,$N$26)</f>
        <v>0</v>
      </c>
      <c r="R31" s="210">
        <f t="shared" si="41"/>
        <v>0</v>
      </c>
      <c r="S31" s="210"/>
      <c r="T31" s="210">
        <f t="shared" si="33"/>
        <v>5591573.0953999972</v>
      </c>
      <c r="U31" s="210">
        <f t="shared" si="34"/>
        <v>4588910.5799999963</v>
      </c>
      <c r="V31" s="210"/>
      <c r="W31" s="210"/>
      <c r="X31" s="210">
        <f t="shared" si="35"/>
        <v>89585.376799999998</v>
      </c>
      <c r="Y31" s="210">
        <f t="shared" si="36"/>
        <v>456538.56930000026</v>
      </c>
      <c r="Z31" s="210">
        <f t="shared" si="37"/>
        <v>456538.56930000026</v>
      </c>
      <c r="AA31" s="209">
        <f t="shared" si="38"/>
        <v>1002662.5154000005</v>
      </c>
    </row>
    <row r="32" spans="1:34" x14ac:dyDescent="0.2">
      <c r="A32" s="208">
        <v>43647</v>
      </c>
      <c r="B32" s="209">
        <f t="shared" si="30"/>
        <v>7729661.9287999906</v>
      </c>
      <c r="C32" s="210">
        <f>SUMIFS(PURCHASE!$K$6:$K$10008,PURCHASE!$A$6:$A$10008,$A$29:$A$40,PURCHASE!$E$6:$E$10008,$B$26)</f>
        <v>6361852.5599999903</v>
      </c>
      <c r="D32" s="210">
        <f>SUMIFS(PURCHASE!$L$6:$L$10008,PURCHASE!$A$6:$A$10008,$A$29:$A$40,PURCHASE!$E$6:$E$10008,$B$26)</f>
        <v>69285.56</v>
      </c>
      <c r="E32" s="210">
        <f>SUMIFS(PURCHASE!$M$6:$M$10008,PURCHASE!$A$6:$A$10008,$A$29:$A$40,PURCHASE!$E$6:$E$10008,$B$26)</f>
        <v>649261.9044</v>
      </c>
      <c r="F32" s="210">
        <f t="shared" si="39"/>
        <v>649261.9044</v>
      </c>
      <c r="H32" s="209">
        <f t="shared" si="31"/>
        <v>0</v>
      </c>
      <c r="I32" s="210">
        <f>SUMIFS(PURCHASE!$K$6:$K$10008,PURCHASE!$A$6:$A$10008,$A$29:$A$40,PURCHASE!$E$6:$E$10008,$H$26)</f>
        <v>0</v>
      </c>
      <c r="J32" s="210">
        <f>SUMIFS(PURCHASE!$L$6:$L$10008,PURCHASE!$A$6:$A$10008,$A$29:$A$40,PURCHASE!$E$6:$E$10008,$H$26)</f>
        <v>0</v>
      </c>
      <c r="K32" s="210">
        <f>SUMIFS(PURCHASE!$M$6:$M$10008,PURCHASE!$A$6:$A$10008,$A$29:$A$40,PURCHASE!$E$6:$E$10008,$H$26)</f>
        <v>0</v>
      </c>
      <c r="L32" s="210">
        <f t="shared" si="40"/>
        <v>0</v>
      </c>
      <c r="N32" s="209">
        <f t="shared" si="32"/>
        <v>0</v>
      </c>
      <c r="O32" s="210">
        <f>SUMIFS(PURCHASE!$K$6:$K$10008,PURCHASE!$A$6:$A$10008,$A$29:$A$40,PURCHASE!$E$6:$E$10008,$N$26)</f>
        <v>0</v>
      </c>
      <c r="P32" s="210">
        <f>SUMIFS(PURCHASE!$L$6:$L$10008,PURCHASE!$A$6:$A$10008,$A$29:$A$40,PURCHASE!$E$6:$E$10008,$N$26)</f>
        <v>0</v>
      </c>
      <c r="Q32" s="210">
        <f>SUMIFS(PURCHASE!$M$6:$M$10008,PURCHASE!$A$6:$A$10008,$A$29:$A$40,PURCHASE!$E$6:$E$10008,$N$26)</f>
        <v>0</v>
      </c>
      <c r="R32" s="210">
        <f t="shared" si="41"/>
        <v>0</v>
      </c>
      <c r="S32" s="210"/>
      <c r="T32" s="210">
        <f t="shared" si="33"/>
        <v>7729661.9287999906</v>
      </c>
      <c r="U32" s="210">
        <f t="shared" si="34"/>
        <v>6361852.5599999903</v>
      </c>
      <c r="V32" s="210"/>
      <c r="W32" s="210"/>
      <c r="X32" s="210">
        <f t="shared" si="35"/>
        <v>69285.56</v>
      </c>
      <c r="Y32" s="210">
        <f t="shared" si="36"/>
        <v>649261.9044</v>
      </c>
      <c r="Z32" s="210">
        <f t="shared" si="37"/>
        <v>649261.9044</v>
      </c>
      <c r="AA32" s="209">
        <f t="shared" si="38"/>
        <v>1367809.3688000001</v>
      </c>
    </row>
    <row r="33" spans="1:27" x14ac:dyDescent="0.2">
      <c r="A33" s="208">
        <v>43678</v>
      </c>
      <c r="B33" s="209">
        <f t="shared" si="30"/>
        <v>5166019.7059999993</v>
      </c>
      <c r="C33" s="210">
        <f>SUMIFS(PURCHASE!$K$6:$K$10008,PURCHASE!$A$6:$A$10008,$A$29:$A$40,PURCHASE!$E$6:$E$10008,$B$26)</f>
        <v>4347351.05</v>
      </c>
      <c r="D33" s="210">
        <f>SUMIFS(PURCHASE!$L$6:$L$10008,PURCHASE!$A$6:$A$10008,$A$29:$A$40,PURCHASE!$E$6:$E$10008,$B$26)</f>
        <v>10977.877199999999</v>
      </c>
      <c r="E33" s="210">
        <f>SUMIFS(PURCHASE!$M$6:$M$10008,PURCHASE!$A$6:$A$10008,$A$29:$A$40,PURCHASE!$E$6:$E$10008,$B$26)</f>
        <v>403845.38940000004</v>
      </c>
      <c r="F33" s="210">
        <f t="shared" si="39"/>
        <v>403845.38940000004</v>
      </c>
      <c r="H33" s="209">
        <f t="shared" si="31"/>
        <v>-2880.5120000000002</v>
      </c>
      <c r="I33" s="210">
        <f>SUMIFS(PURCHASE!$K$6:$K$10008,PURCHASE!$A$6:$A$10008,$A$29:$A$40,PURCHASE!$E$6:$E$10008,$H$26)</f>
        <v>-2250.4</v>
      </c>
      <c r="J33" s="210">
        <f>SUMIFS(PURCHASE!$L$6:$L$10008,PURCHASE!$A$6:$A$10008,$A$29:$A$40,PURCHASE!$E$6:$E$10008,$H$26)</f>
        <v>0</v>
      </c>
      <c r="K33" s="210">
        <f>SUMIFS(PURCHASE!$M$6:$M$10008,PURCHASE!$A$6:$A$10008,$A$29:$A$40,PURCHASE!$E$6:$E$10008,$H$26)</f>
        <v>-315.05600000000004</v>
      </c>
      <c r="L33" s="210">
        <f t="shared" si="40"/>
        <v>-315.05600000000004</v>
      </c>
      <c r="N33" s="209">
        <f t="shared" si="32"/>
        <v>0</v>
      </c>
      <c r="O33" s="210">
        <f>SUMIFS(PURCHASE!$K$6:$K$10008,PURCHASE!$A$6:$A$10008,$A$29:$A$40,PURCHASE!$E$6:$E$10008,$N$26)</f>
        <v>0</v>
      </c>
      <c r="P33" s="210">
        <f>SUMIFS(PURCHASE!$L$6:$L$10008,PURCHASE!$A$6:$A$10008,$A$29:$A$40,PURCHASE!$E$6:$E$10008,$N$26)</f>
        <v>0</v>
      </c>
      <c r="Q33" s="210">
        <f>SUMIFS(PURCHASE!$M$6:$M$10008,PURCHASE!$A$6:$A$10008,$A$29:$A$40,PURCHASE!$E$6:$E$10008,$N$26)</f>
        <v>0</v>
      </c>
      <c r="R33" s="210">
        <f t="shared" si="41"/>
        <v>0</v>
      </c>
      <c r="S33" s="66"/>
      <c r="T33" s="210">
        <f t="shared" si="33"/>
        <v>5163139.1939999992</v>
      </c>
      <c r="U33" s="210">
        <f t="shared" si="34"/>
        <v>4345100.6499999994</v>
      </c>
      <c r="V33" s="210"/>
      <c r="W33" s="210"/>
      <c r="X33" s="210">
        <f t="shared" si="35"/>
        <v>10977.877199999999</v>
      </c>
      <c r="Y33" s="210">
        <f t="shared" si="36"/>
        <v>403530.33340000006</v>
      </c>
      <c r="Z33" s="210">
        <f t="shared" si="37"/>
        <v>403530.33340000006</v>
      </c>
      <c r="AA33" s="209">
        <f t="shared" si="38"/>
        <v>818038.54400000011</v>
      </c>
    </row>
    <row r="34" spans="1:27" x14ac:dyDescent="0.2">
      <c r="A34" s="208">
        <v>43709</v>
      </c>
      <c r="B34" s="209">
        <f t="shared" si="30"/>
        <v>4626986.2966000009</v>
      </c>
      <c r="C34" s="210">
        <f>SUMIFS(PURCHASE!$K$6:$K$10008,PURCHASE!$A$6:$A$10008,$A$29:$A$40,PURCHASE!$E$6:$E$10008,$B$26)</f>
        <v>3805335.2199999997</v>
      </c>
      <c r="D34" s="210">
        <f>SUMIFS(PURCHASE!$L$6:$L$10008,PURCHASE!$A$6:$A$10008,$A$29:$A$40,PURCHASE!$E$6:$E$10008,$B$26)</f>
        <v>57463.603599999988</v>
      </c>
      <c r="E34" s="210">
        <f>SUMIFS(PURCHASE!$M$6:$M$10008,PURCHASE!$A$6:$A$10008,$A$29:$A$40,PURCHASE!$E$6:$E$10008,$B$26)</f>
        <v>382093.73650000029</v>
      </c>
      <c r="F34" s="210">
        <f t="shared" si="39"/>
        <v>382093.73650000029</v>
      </c>
      <c r="H34" s="209">
        <f t="shared" si="31"/>
        <v>0</v>
      </c>
      <c r="I34" s="210">
        <f>SUMIFS(PURCHASE!$K$6:$K$10008,PURCHASE!$A$6:$A$10008,$A$29:$A$40,PURCHASE!$E$6:$E$10008,$H$26)</f>
        <v>0</v>
      </c>
      <c r="J34" s="210">
        <f>SUMIFS(PURCHASE!$L$6:$L$10008,PURCHASE!$A$6:$A$10008,$A$29:$A$40,PURCHASE!$E$6:$E$10008,$H$26)</f>
        <v>0</v>
      </c>
      <c r="K34" s="210">
        <f>SUMIFS(PURCHASE!$M$6:$M$10008,PURCHASE!$A$6:$A$10008,$A$29:$A$40,PURCHASE!$E$6:$E$10008,$H$26)</f>
        <v>0</v>
      </c>
      <c r="L34" s="210">
        <f t="shared" si="40"/>
        <v>0</v>
      </c>
      <c r="N34" s="209">
        <f t="shared" si="32"/>
        <v>0</v>
      </c>
      <c r="O34" s="210">
        <f>SUMIFS(PURCHASE!$K$6:$K$10008,PURCHASE!$A$6:$A$10008,$A$29:$A$40,PURCHASE!$E$6:$E$10008,$N$26)</f>
        <v>0</v>
      </c>
      <c r="P34" s="210">
        <f>SUMIFS(PURCHASE!$L$6:$L$10008,PURCHASE!$A$6:$A$10008,$A$29:$A$40,PURCHASE!$E$6:$E$10008,$N$26)</f>
        <v>0</v>
      </c>
      <c r="Q34" s="210">
        <f>SUMIFS(PURCHASE!$M$6:$M$10008,PURCHASE!$A$6:$A$10008,$A$29:$A$40,PURCHASE!$E$6:$E$10008,$N$26)</f>
        <v>0</v>
      </c>
      <c r="R34" s="210">
        <f t="shared" si="41"/>
        <v>0</v>
      </c>
      <c r="S34" s="66"/>
      <c r="T34" s="210">
        <f t="shared" si="33"/>
        <v>4626986.2966000009</v>
      </c>
      <c r="U34" s="210">
        <f t="shared" si="34"/>
        <v>3805335.2199999997</v>
      </c>
      <c r="V34" s="210"/>
      <c r="W34" s="210"/>
      <c r="X34" s="210">
        <f t="shared" si="35"/>
        <v>57463.603599999988</v>
      </c>
      <c r="Y34" s="210">
        <f t="shared" si="36"/>
        <v>382093.73650000029</v>
      </c>
      <c r="Z34" s="210">
        <f t="shared" si="37"/>
        <v>382093.73650000029</v>
      </c>
      <c r="AA34" s="209">
        <f t="shared" si="38"/>
        <v>821651.07660000061</v>
      </c>
    </row>
    <row r="35" spans="1:27" x14ac:dyDescent="0.2">
      <c r="A35" s="208">
        <v>43739</v>
      </c>
      <c r="B35" s="209">
        <f t="shared" si="30"/>
        <v>5517067.4991999995</v>
      </c>
      <c r="C35" s="210">
        <f>SUMIFS(PURCHASE!$K$6:$K$10008,PURCHASE!$A$6:$A$10008,$A$29:$A$40,PURCHASE!$E$6:$E$10008,$B$26)</f>
        <v>4586814.9399999995</v>
      </c>
      <c r="D35" s="210">
        <f>SUMIFS(PURCHASE!$L$6:$L$10008,PURCHASE!$A$6:$A$10008,$A$29:$A$40,PURCHASE!$E$6:$E$10008,$B$26)</f>
        <v>176954.98</v>
      </c>
      <c r="E35" s="210">
        <f>SUMIFS(PURCHASE!$M$6:$M$10008,PURCHASE!$A$6:$A$10008,$A$29:$A$40,PURCHASE!$E$6:$E$10008,$B$26)</f>
        <v>376648.78960000025</v>
      </c>
      <c r="F35" s="210">
        <f t="shared" si="39"/>
        <v>376648.78960000025</v>
      </c>
      <c r="H35" s="209">
        <f t="shared" si="31"/>
        <v>0</v>
      </c>
      <c r="I35" s="210">
        <f>SUMIFS(PURCHASE!$K$6:$K$10008,PURCHASE!$A$6:$A$10008,$A$29:$A$40,PURCHASE!$E$6:$E$10008,$H$26)</f>
        <v>0</v>
      </c>
      <c r="J35" s="210">
        <f>SUMIFS(PURCHASE!$L$6:$L$10008,PURCHASE!$A$6:$A$10008,$A$29:$A$40,PURCHASE!$E$6:$E$10008,$H$26)</f>
        <v>0</v>
      </c>
      <c r="K35" s="210">
        <f>SUMIFS(PURCHASE!$M$6:$M$10008,PURCHASE!$A$6:$A$10008,$A$29:$A$40,PURCHASE!$E$6:$E$10008,$H$26)</f>
        <v>0</v>
      </c>
      <c r="L35" s="210">
        <f t="shared" si="40"/>
        <v>0</v>
      </c>
      <c r="N35" s="209">
        <f t="shared" si="32"/>
        <v>0</v>
      </c>
      <c r="O35" s="210">
        <f>SUMIFS(PURCHASE!$K$6:$K$10008,PURCHASE!$A$6:$A$10008,$A$29:$A$40,PURCHASE!$E$6:$E$10008,$N$26)</f>
        <v>0</v>
      </c>
      <c r="P35" s="210">
        <f>SUMIFS(PURCHASE!$L$6:$L$10008,PURCHASE!$A$6:$A$10008,$A$29:$A$40,PURCHASE!$E$6:$E$10008,$N$26)</f>
        <v>0</v>
      </c>
      <c r="Q35" s="210">
        <f>SUMIFS(PURCHASE!$M$6:$M$10008,PURCHASE!$A$6:$A$10008,$A$29:$A$40,PURCHASE!$E$6:$E$10008,$N$26)</f>
        <v>0</v>
      </c>
      <c r="R35" s="210">
        <f t="shared" si="41"/>
        <v>0</v>
      </c>
      <c r="S35" s="66"/>
      <c r="T35" s="210">
        <f t="shared" si="33"/>
        <v>5517067.4991999995</v>
      </c>
      <c r="U35" s="210">
        <f t="shared" si="34"/>
        <v>4586814.9399999995</v>
      </c>
      <c r="V35" s="210"/>
      <c r="W35" s="210"/>
      <c r="X35" s="210">
        <f t="shared" si="35"/>
        <v>176954.98</v>
      </c>
      <c r="Y35" s="210">
        <f t="shared" si="36"/>
        <v>376648.78960000025</v>
      </c>
      <c r="Z35" s="210">
        <f t="shared" si="37"/>
        <v>376648.78960000025</v>
      </c>
      <c r="AA35" s="209">
        <f t="shared" si="38"/>
        <v>930252.55920000048</v>
      </c>
    </row>
    <row r="36" spans="1:27" x14ac:dyDescent="0.2">
      <c r="A36" s="208">
        <v>43770</v>
      </c>
      <c r="B36" s="209">
        <f t="shared" si="30"/>
        <v>0</v>
      </c>
      <c r="C36" s="210">
        <f>SUMIFS(PURCHASE!$K$6:$K$10008,PURCHASE!$A$6:$A$10008,$A$29:$A$40,PURCHASE!$E$6:$E$10008,$B$26)</f>
        <v>0</v>
      </c>
      <c r="D36" s="210">
        <f>SUMIFS(PURCHASE!$L$6:$L$10008,PURCHASE!$A$6:$A$10008,$A$29:$A$40,PURCHASE!$E$6:$E$10008,$B$26)</f>
        <v>0</v>
      </c>
      <c r="E36" s="210">
        <f>SUMIFS(PURCHASE!$M$6:$M$10008,PURCHASE!$A$6:$A$10008,$A$29:$A$40,PURCHASE!$E$6:$E$10008,$B$26)</f>
        <v>0</v>
      </c>
      <c r="F36" s="210">
        <f t="shared" si="39"/>
        <v>0</v>
      </c>
      <c r="H36" s="209">
        <f t="shared" si="31"/>
        <v>0</v>
      </c>
      <c r="I36" s="210">
        <f>SUMIFS(PURCHASE!$K$6:$K$10008,PURCHASE!$A$6:$A$10008,$A$29:$A$40,PURCHASE!$E$6:$E$10008,$H$26)</f>
        <v>0</v>
      </c>
      <c r="J36" s="210">
        <f>SUMIFS(PURCHASE!$L$6:$L$10008,PURCHASE!$A$6:$A$10008,$A$29:$A$40,PURCHASE!$E$6:$E$10008,$H$26)</f>
        <v>0</v>
      </c>
      <c r="K36" s="210">
        <f>SUMIFS(PURCHASE!$M$6:$M$10008,PURCHASE!$A$6:$A$10008,$A$29:$A$40,PURCHASE!$E$6:$E$10008,$H$26)</f>
        <v>0</v>
      </c>
      <c r="L36" s="210">
        <f t="shared" si="40"/>
        <v>0</v>
      </c>
      <c r="N36" s="209">
        <f t="shared" si="32"/>
        <v>0</v>
      </c>
      <c r="O36" s="210">
        <f>SUMIFS(PURCHASE!$K$6:$K$10008,PURCHASE!$A$6:$A$10008,$A$29:$A$40,PURCHASE!$E$6:$E$10008,$N$26)</f>
        <v>0</v>
      </c>
      <c r="P36" s="210">
        <f>SUMIFS(PURCHASE!$L$6:$L$10008,PURCHASE!$A$6:$A$10008,$A$29:$A$40,PURCHASE!$E$6:$E$10008,$N$26)</f>
        <v>0</v>
      </c>
      <c r="Q36" s="210">
        <f>SUMIFS(PURCHASE!$M$6:$M$10008,PURCHASE!$A$6:$A$10008,$A$29:$A$40,PURCHASE!$E$6:$E$10008,$N$26)</f>
        <v>0</v>
      </c>
      <c r="R36" s="210">
        <f t="shared" si="41"/>
        <v>0</v>
      </c>
      <c r="S36" s="66"/>
      <c r="T36" s="210">
        <f t="shared" si="33"/>
        <v>0</v>
      </c>
      <c r="U36" s="210">
        <f t="shared" si="34"/>
        <v>0</v>
      </c>
      <c r="V36" s="210"/>
      <c r="W36" s="210"/>
      <c r="X36" s="210">
        <f t="shared" si="35"/>
        <v>0</v>
      </c>
      <c r="Y36" s="210">
        <f t="shared" si="36"/>
        <v>0</v>
      </c>
      <c r="Z36" s="210">
        <f t="shared" si="37"/>
        <v>0</v>
      </c>
      <c r="AA36" s="209">
        <f t="shared" si="38"/>
        <v>0</v>
      </c>
    </row>
    <row r="37" spans="1:27" x14ac:dyDescent="0.2">
      <c r="A37" s="208">
        <v>43800</v>
      </c>
      <c r="B37" s="209">
        <f t="shared" si="30"/>
        <v>0</v>
      </c>
      <c r="C37" s="210">
        <f>SUMIFS(PURCHASE!$K$6:$K$10008,PURCHASE!$A$6:$A$10008,$A$29:$A$40,PURCHASE!$E$6:$E$10008,$B$26)</f>
        <v>0</v>
      </c>
      <c r="D37" s="210">
        <f>SUMIFS(PURCHASE!$L$6:$L$10008,PURCHASE!$A$6:$A$10008,$A$29:$A$40,PURCHASE!$E$6:$E$10008,$B$26)</f>
        <v>0</v>
      </c>
      <c r="E37" s="210">
        <f>SUMIFS(PURCHASE!$M$6:$M$10008,PURCHASE!$A$6:$A$10008,$A$29:$A$40,PURCHASE!$E$6:$E$10008,$B$26)</f>
        <v>0</v>
      </c>
      <c r="F37" s="210">
        <f t="shared" si="39"/>
        <v>0</v>
      </c>
      <c r="H37" s="209">
        <f t="shared" si="31"/>
        <v>0</v>
      </c>
      <c r="I37" s="210">
        <f>SUMIFS(PURCHASE!$K$6:$K$10008,PURCHASE!$A$6:$A$10008,$A$29:$A$40,PURCHASE!$E$6:$E$10008,$H$26)</f>
        <v>0</v>
      </c>
      <c r="J37" s="210">
        <f>SUMIFS(PURCHASE!$L$6:$L$10008,PURCHASE!$A$6:$A$10008,$A$29:$A$40,PURCHASE!$E$6:$E$10008,$H$26)</f>
        <v>0</v>
      </c>
      <c r="K37" s="210">
        <f>SUMIFS(PURCHASE!$M$6:$M$10008,PURCHASE!$A$6:$A$10008,$A$29:$A$40,PURCHASE!$E$6:$E$10008,$H$26)</f>
        <v>0</v>
      </c>
      <c r="L37" s="210">
        <f t="shared" si="40"/>
        <v>0</v>
      </c>
      <c r="N37" s="209">
        <f t="shared" si="32"/>
        <v>0</v>
      </c>
      <c r="O37" s="210">
        <f>SUMIFS(PURCHASE!$K$6:$K$10008,PURCHASE!$A$6:$A$10008,$A$29:$A$40,PURCHASE!$E$6:$E$10008,$N$26)</f>
        <v>0</v>
      </c>
      <c r="P37" s="210">
        <f>SUMIFS(PURCHASE!$L$6:$L$10008,PURCHASE!$A$6:$A$10008,$A$29:$A$40,PURCHASE!$E$6:$E$10008,$N$26)</f>
        <v>0</v>
      </c>
      <c r="Q37" s="210">
        <f>SUMIFS(PURCHASE!$M$6:$M$10008,PURCHASE!$A$6:$A$10008,$A$29:$A$40,PURCHASE!$E$6:$E$10008,$N$26)</f>
        <v>0</v>
      </c>
      <c r="R37" s="210">
        <f t="shared" si="41"/>
        <v>0</v>
      </c>
      <c r="S37" s="66"/>
      <c r="T37" s="210">
        <f t="shared" si="33"/>
        <v>0</v>
      </c>
      <c r="U37" s="210">
        <f t="shared" si="34"/>
        <v>0</v>
      </c>
      <c r="V37" s="210"/>
      <c r="W37" s="210"/>
      <c r="X37" s="210">
        <f t="shared" si="35"/>
        <v>0</v>
      </c>
      <c r="Y37" s="210">
        <f t="shared" si="36"/>
        <v>0</v>
      </c>
      <c r="Z37" s="210">
        <f t="shared" si="37"/>
        <v>0</v>
      </c>
      <c r="AA37" s="209">
        <f t="shared" si="38"/>
        <v>0</v>
      </c>
    </row>
    <row r="38" spans="1:27" x14ac:dyDescent="0.2">
      <c r="A38" s="208">
        <v>43831</v>
      </c>
      <c r="B38" s="209">
        <f t="shared" si="30"/>
        <v>0</v>
      </c>
      <c r="C38" s="210">
        <f>SUMIFS(PURCHASE!$K$6:$K$10008,PURCHASE!$A$6:$A$10008,$A$29:$A$40,PURCHASE!$E$6:$E$10008,$B$26)</f>
        <v>0</v>
      </c>
      <c r="D38" s="210">
        <f>SUMIFS(PURCHASE!$L$6:$L$10008,PURCHASE!$A$6:$A$10008,$A$29:$A$40,PURCHASE!$E$6:$E$10008,$B$26)</f>
        <v>0</v>
      </c>
      <c r="E38" s="210">
        <f>SUMIFS(PURCHASE!$M$6:$M$10008,PURCHASE!$A$6:$A$10008,$A$29:$A$40,PURCHASE!$E$6:$E$10008,$B$26)</f>
        <v>0</v>
      </c>
      <c r="F38" s="210">
        <f t="shared" si="39"/>
        <v>0</v>
      </c>
      <c r="H38" s="209">
        <f t="shared" si="31"/>
        <v>0</v>
      </c>
      <c r="I38" s="210">
        <f>SUMIFS(PURCHASE!$K$6:$K$10008,PURCHASE!$A$6:$A$10008,$A$29:$A$40,PURCHASE!$E$6:$E$10008,$H$26)</f>
        <v>0</v>
      </c>
      <c r="J38" s="210">
        <f>SUMIFS(PURCHASE!$L$6:$L$10008,PURCHASE!$A$6:$A$10008,$A$29:$A$40,PURCHASE!$E$6:$E$10008,$H$26)</f>
        <v>0</v>
      </c>
      <c r="K38" s="210">
        <f>SUMIFS(PURCHASE!$M$6:$M$10008,PURCHASE!$A$6:$A$10008,$A$29:$A$40,PURCHASE!$E$6:$E$10008,$H$26)</f>
        <v>0</v>
      </c>
      <c r="L38" s="210">
        <f t="shared" si="40"/>
        <v>0</v>
      </c>
      <c r="N38" s="209">
        <f t="shared" si="32"/>
        <v>0</v>
      </c>
      <c r="O38" s="210">
        <f>SUMIFS(PURCHASE!$K$6:$K$10008,PURCHASE!$A$6:$A$10008,$A$29:$A$40,PURCHASE!$E$6:$E$10008,$N$26)</f>
        <v>0</v>
      </c>
      <c r="P38" s="210">
        <f>SUMIFS(PURCHASE!$L$6:$L$10008,PURCHASE!$A$6:$A$10008,$A$29:$A$40,PURCHASE!$E$6:$E$10008,$N$26)</f>
        <v>0</v>
      </c>
      <c r="Q38" s="210">
        <f>SUMIFS(PURCHASE!$M$6:$M$10008,PURCHASE!$A$6:$A$10008,$A$29:$A$40,PURCHASE!$E$6:$E$10008,$N$26)</f>
        <v>0</v>
      </c>
      <c r="R38" s="210">
        <f t="shared" si="41"/>
        <v>0</v>
      </c>
      <c r="S38" s="66"/>
      <c r="T38" s="210">
        <f t="shared" ref="T38:T40" si="42">+B38+H38-N38</f>
        <v>0</v>
      </c>
      <c r="U38" s="210">
        <f t="shared" si="34"/>
        <v>0</v>
      </c>
      <c r="V38" s="210"/>
      <c r="W38" s="210"/>
      <c r="X38" s="210">
        <f t="shared" si="35"/>
        <v>0</v>
      </c>
      <c r="Y38" s="210">
        <f t="shared" si="36"/>
        <v>0</v>
      </c>
      <c r="Z38" s="210">
        <f t="shared" si="37"/>
        <v>0</v>
      </c>
      <c r="AA38" s="209">
        <f t="shared" ref="AA38:AA40" si="43">+Z38+Y38+X38</f>
        <v>0</v>
      </c>
    </row>
    <row r="39" spans="1:27" x14ac:dyDescent="0.2">
      <c r="A39" s="208">
        <v>43862</v>
      </c>
      <c r="B39" s="209">
        <f t="shared" si="30"/>
        <v>0</v>
      </c>
      <c r="C39" s="210">
        <f>SUMIFS(PURCHASE!$K$6:$K$10008,PURCHASE!$A$6:$A$10008,$A$29:$A$40,PURCHASE!$E$6:$E$10008,$B$26)</f>
        <v>0</v>
      </c>
      <c r="D39" s="210">
        <f>SUMIFS(PURCHASE!$L$6:$L$10008,PURCHASE!$A$6:$A$10008,$A$29:$A$40,PURCHASE!$E$6:$E$10008,$B$26)</f>
        <v>0</v>
      </c>
      <c r="E39" s="210">
        <f>SUMIFS(PURCHASE!$M$6:$M$10008,PURCHASE!$A$6:$A$10008,$A$29:$A$40,PURCHASE!$E$6:$E$10008,$B$26)</f>
        <v>0</v>
      </c>
      <c r="F39" s="210">
        <f t="shared" si="39"/>
        <v>0</v>
      </c>
      <c r="H39" s="209">
        <f t="shared" si="31"/>
        <v>0</v>
      </c>
      <c r="I39" s="210">
        <f>SUMIFS(PURCHASE!$K$6:$K$10008,PURCHASE!$A$6:$A$10008,$A$29:$A$40,PURCHASE!$E$6:$E$10008,$H$26)</f>
        <v>0</v>
      </c>
      <c r="J39" s="210">
        <f>SUMIFS(PURCHASE!$L$6:$L$10008,PURCHASE!$A$6:$A$10008,$A$29:$A$40,PURCHASE!$E$6:$E$10008,$H$26)</f>
        <v>0</v>
      </c>
      <c r="K39" s="210">
        <f>SUMIFS(PURCHASE!$M$6:$M$10008,PURCHASE!$A$6:$A$10008,$A$29:$A$40,PURCHASE!$E$6:$E$10008,$H$26)</f>
        <v>0</v>
      </c>
      <c r="L39" s="210">
        <f t="shared" si="40"/>
        <v>0</v>
      </c>
      <c r="N39" s="209">
        <f t="shared" si="32"/>
        <v>0</v>
      </c>
      <c r="O39" s="210">
        <f>SUMIFS(PURCHASE!$K$6:$K$10008,PURCHASE!$A$6:$A$10008,$A$29:$A$40,PURCHASE!$E$6:$E$10008,$N$26)</f>
        <v>0</v>
      </c>
      <c r="P39" s="210">
        <f>SUMIFS(PURCHASE!$L$6:$L$10008,PURCHASE!$A$6:$A$10008,$A$29:$A$40,PURCHASE!$E$6:$E$10008,$N$26)</f>
        <v>0</v>
      </c>
      <c r="Q39" s="210">
        <f>SUMIFS(PURCHASE!$M$6:$M$10008,PURCHASE!$A$6:$A$10008,$A$29:$A$40,PURCHASE!$E$6:$E$10008,$N$26)</f>
        <v>0</v>
      </c>
      <c r="R39" s="210">
        <f t="shared" si="41"/>
        <v>0</v>
      </c>
      <c r="S39" s="66"/>
      <c r="T39" s="210">
        <f t="shared" si="42"/>
        <v>0</v>
      </c>
      <c r="U39" s="210">
        <f t="shared" si="34"/>
        <v>0</v>
      </c>
      <c r="V39" s="210"/>
      <c r="W39" s="210"/>
      <c r="X39" s="210">
        <f t="shared" si="35"/>
        <v>0</v>
      </c>
      <c r="Y39" s="210">
        <f t="shared" si="36"/>
        <v>0</v>
      </c>
      <c r="Z39" s="210">
        <f t="shared" si="37"/>
        <v>0</v>
      </c>
      <c r="AA39" s="209">
        <f t="shared" si="43"/>
        <v>0</v>
      </c>
    </row>
    <row r="40" spans="1:27" x14ac:dyDescent="0.2">
      <c r="A40" s="208">
        <v>43891</v>
      </c>
      <c r="B40" s="209">
        <f t="shared" si="30"/>
        <v>0</v>
      </c>
      <c r="C40" s="210">
        <f>SUMIFS(PURCHASE!$K$6:$K$10008,PURCHASE!$A$6:$A$10008,$A$29:$A$40,PURCHASE!$E$6:$E$10008,$B$26)</f>
        <v>0</v>
      </c>
      <c r="D40" s="210">
        <f>SUMIFS(PURCHASE!$L$6:$L$10008,PURCHASE!$A$6:$A$10008,$A$29:$A$40,PURCHASE!$E$6:$E$10008,$B$26)</f>
        <v>0</v>
      </c>
      <c r="E40" s="210">
        <f>SUMIFS(PURCHASE!$M$6:$M$10008,PURCHASE!$A$6:$A$10008,$A$29:$A$40,PURCHASE!$E$6:$E$10008,$B$26)</f>
        <v>0</v>
      </c>
      <c r="F40" s="210">
        <f t="shared" si="39"/>
        <v>0</v>
      </c>
      <c r="H40" s="209">
        <f t="shared" si="31"/>
        <v>0</v>
      </c>
      <c r="I40" s="210">
        <f>SUMIFS(PURCHASE!$K$6:$K$10008,PURCHASE!$A$6:$A$10008,$A$29:$A$40,PURCHASE!$E$6:$E$10008,$H$26)</f>
        <v>0</v>
      </c>
      <c r="J40" s="210">
        <f>SUMIFS(PURCHASE!$L$6:$L$10008,PURCHASE!$A$6:$A$10008,$A$29:$A$40,PURCHASE!$E$6:$E$10008,$H$26)</f>
        <v>0</v>
      </c>
      <c r="K40" s="210">
        <f>SUMIFS(PURCHASE!$M$6:$M$10008,PURCHASE!$A$6:$A$10008,$A$29:$A$40,PURCHASE!$E$6:$E$10008,$H$26)</f>
        <v>0</v>
      </c>
      <c r="L40" s="210">
        <f t="shared" si="40"/>
        <v>0</v>
      </c>
      <c r="N40" s="209">
        <f t="shared" si="32"/>
        <v>0</v>
      </c>
      <c r="O40" s="210">
        <f>SUMIFS(PURCHASE!$K$6:$K$10008,PURCHASE!$A$6:$A$10008,$A$29:$A$40,PURCHASE!$E$6:$E$10008,$N$26)</f>
        <v>0</v>
      </c>
      <c r="P40" s="210">
        <f>SUMIFS(PURCHASE!$L$6:$L$10008,PURCHASE!$A$6:$A$10008,$A$29:$A$40,PURCHASE!$E$6:$E$10008,$N$26)</f>
        <v>0</v>
      </c>
      <c r="Q40" s="210">
        <f>SUMIFS(PURCHASE!$M$6:$M$10008,PURCHASE!$A$6:$A$10008,$A$29:$A$40,PURCHASE!$E$6:$E$10008,$N$26)</f>
        <v>0</v>
      </c>
      <c r="R40" s="210">
        <f t="shared" si="41"/>
        <v>0</v>
      </c>
      <c r="S40" s="66"/>
      <c r="T40" s="210">
        <f t="shared" si="42"/>
        <v>0</v>
      </c>
      <c r="U40" s="210">
        <f t="shared" si="34"/>
        <v>0</v>
      </c>
      <c r="V40" s="210"/>
      <c r="W40" s="210"/>
      <c r="X40" s="210">
        <f t="shared" si="35"/>
        <v>0</v>
      </c>
      <c r="Y40" s="210">
        <f t="shared" si="36"/>
        <v>0</v>
      </c>
      <c r="Z40" s="210">
        <f t="shared" si="37"/>
        <v>0</v>
      </c>
      <c r="AA40" s="209">
        <f t="shared" si="43"/>
        <v>0</v>
      </c>
    </row>
    <row r="41" spans="1:27" x14ac:dyDescent="0.2">
      <c r="A41" s="77" t="s">
        <v>332</v>
      </c>
      <c r="B41" s="209">
        <f>SUM(B29:B40)</f>
        <v>37583569.107799992</v>
      </c>
      <c r="C41" s="209">
        <f t="shared" ref="C41:F41" si="44">SUM(C29:C40)</f>
        <v>30975408.309999987</v>
      </c>
      <c r="D41" s="209">
        <f t="shared" si="44"/>
        <v>545417.56279999996</v>
      </c>
      <c r="E41" s="209">
        <f t="shared" si="44"/>
        <v>3031371.6175000011</v>
      </c>
      <c r="F41" s="209">
        <f t="shared" si="44"/>
        <v>3031371.6175000011</v>
      </c>
      <c r="G41" s="209"/>
      <c r="H41" s="209">
        <f>SUM(H29:H40)</f>
        <v>-68021.171999999991</v>
      </c>
      <c r="I41" s="209">
        <f t="shared" ref="I41" si="45">SUM(I29:I40)</f>
        <v>-53317.4</v>
      </c>
      <c r="J41" s="209">
        <f t="shared" ref="J41" si="46">SUM(J29:J40)</f>
        <v>0</v>
      </c>
      <c r="K41" s="209">
        <f t="shared" ref="K41" si="47">SUM(K29:K40)</f>
        <v>-7351.8860000000004</v>
      </c>
      <c r="L41" s="209">
        <f t="shared" ref="L41" si="48">SUM(L29:L40)</f>
        <v>-7351.8860000000004</v>
      </c>
      <c r="M41" s="209"/>
      <c r="N41" s="209">
        <f>SUM(N29:N40)</f>
        <v>0</v>
      </c>
      <c r="O41" s="209">
        <f t="shared" ref="O41" si="49">SUM(O29:O40)</f>
        <v>0</v>
      </c>
      <c r="P41" s="209">
        <f t="shared" ref="P41" si="50">SUM(P29:P40)</f>
        <v>0</v>
      </c>
      <c r="Q41" s="209">
        <f t="shared" ref="Q41" si="51">SUM(Q29:Q40)</f>
        <v>0</v>
      </c>
      <c r="R41" s="209">
        <f t="shared" ref="R41" si="52">SUM(R29:R40)</f>
        <v>0</v>
      </c>
      <c r="S41" s="209"/>
      <c r="T41" s="209">
        <f>SUM(T29:T40)</f>
        <v>37515547.935799994</v>
      </c>
      <c r="U41" s="209">
        <f t="shared" ref="U41" si="53">SUM(U29:U40)</f>
        <v>30922090.909999982</v>
      </c>
      <c r="V41" s="209"/>
      <c r="W41" s="209"/>
      <c r="X41" s="209">
        <f t="shared" ref="X41" si="54">SUM(X29:X40)</f>
        <v>545417.56279999996</v>
      </c>
      <c r="Y41" s="209">
        <f t="shared" ref="Y41" si="55">SUM(Y29:Y40)</f>
        <v>3024019.7315000007</v>
      </c>
      <c r="Z41" s="209">
        <f t="shared" ref="Z41" si="56">SUM(Z29:Z40)</f>
        <v>3024019.7315000007</v>
      </c>
      <c r="AA41" s="209">
        <f>SUM(AA29:AA37)</f>
        <v>6593457.0258000009</v>
      </c>
    </row>
    <row r="43" spans="1:27" x14ac:dyDescent="0.2">
      <c r="A43" s="1304" t="s">
        <v>2538</v>
      </c>
      <c r="B43" s="1304"/>
      <c r="C43" s="1304"/>
      <c r="D43" s="1304"/>
      <c r="E43" s="1304"/>
      <c r="F43" s="1304"/>
    </row>
    <row r="44" spans="1:27" x14ac:dyDescent="0.2">
      <c r="A44" s="77" t="s">
        <v>329</v>
      </c>
      <c r="B44" s="77" t="s">
        <v>2539</v>
      </c>
      <c r="C44" s="77" t="s">
        <v>2540</v>
      </c>
      <c r="D44" s="77" t="s">
        <v>457</v>
      </c>
      <c r="E44" s="77" t="s">
        <v>414</v>
      </c>
      <c r="F44" s="77" t="s">
        <v>2542</v>
      </c>
      <c r="H44" s="77" t="s">
        <v>375</v>
      </c>
      <c r="I44" s="77" t="s">
        <v>2543</v>
      </c>
      <c r="J44" s="77" t="s">
        <v>376</v>
      </c>
      <c r="K44" s="77"/>
      <c r="L44" s="77"/>
      <c r="N44" s="215" t="s">
        <v>347</v>
      </c>
      <c r="O44" s="215" t="s">
        <v>2544</v>
      </c>
    </row>
    <row r="45" spans="1:27" x14ac:dyDescent="0.2">
      <c r="A45" s="208">
        <v>43556</v>
      </c>
      <c r="B45" s="216">
        <v>4225927.6500000004</v>
      </c>
      <c r="C45" s="210">
        <f t="shared" ref="C45:C56" si="57">+B10</f>
        <v>4225927.4553999957</v>
      </c>
      <c r="D45" s="217">
        <f>+B45-C45</f>
        <v>0.19460000470280647</v>
      </c>
      <c r="E45" s="210"/>
      <c r="F45" s="210">
        <v>0</v>
      </c>
      <c r="H45" s="66"/>
      <c r="I45" s="66"/>
      <c r="J45" s="66"/>
      <c r="K45" s="66"/>
      <c r="L45" s="66"/>
      <c r="N45" s="210">
        <f t="shared" ref="N45:N56" si="58">SUM(E45:L45)</f>
        <v>0</v>
      </c>
      <c r="O45" s="210">
        <f t="shared" ref="O45:O56" si="59">+D45-N45</f>
        <v>0.19460000470280647</v>
      </c>
    </row>
    <row r="46" spans="1:27" x14ac:dyDescent="0.2">
      <c r="A46" s="208">
        <v>43586</v>
      </c>
      <c r="B46" s="216">
        <v>5070102.54</v>
      </c>
      <c r="C46" s="210">
        <f t="shared" si="57"/>
        <v>5070102.2463999987</v>
      </c>
      <c r="D46" s="217">
        <f t="shared" ref="D46:D56" si="60">+B46-C46</f>
        <v>0.29360000137239695</v>
      </c>
      <c r="E46" s="210"/>
      <c r="F46" s="210">
        <v>0</v>
      </c>
      <c r="H46" s="66"/>
      <c r="I46" s="66"/>
      <c r="J46" s="66"/>
      <c r="K46" s="66"/>
      <c r="L46" s="66"/>
      <c r="N46" s="210">
        <f t="shared" si="58"/>
        <v>0</v>
      </c>
      <c r="O46" s="210">
        <f t="shared" si="59"/>
        <v>0.29360000137239695</v>
      </c>
    </row>
    <row r="47" spans="1:27" x14ac:dyDescent="0.2">
      <c r="A47" s="208">
        <v>43617</v>
      </c>
      <c r="B47" s="216">
        <v>6494344.2000000002</v>
      </c>
      <c r="C47" s="210">
        <f t="shared" si="57"/>
        <v>6494343.986519997</v>
      </c>
      <c r="D47" s="217">
        <f t="shared" si="60"/>
        <v>0.21348000317811966</v>
      </c>
      <c r="E47" s="210"/>
      <c r="F47" s="210">
        <v>0</v>
      </c>
      <c r="H47" s="66"/>
      <c r="I47" s="66"/>
      <c r="J47" s="66"/>
      <c r="K47" s="66"/>
      <c r="L47" s="66"/>
      <c r="N47" s="210">
        <f t="shared" si="58"/>
        <v>0</v>
      </c>
      <c r="O47" s="210">
        <f t="shared" si="59"/>
        <v>0.21348000317811966</v>
      </c>
    </row>
    <row r="48" spans="1:27" x14ac:dyDescent="0.2">
      <c r="A48" s="208">
        <v>43647</v>
      </c>
      <c r="B48" s="216">
        <v>8225753.2699999996</v>
      </c>
      <c r="C48" s="210">
        <f t="shared" si="57"/>
        <v>8225753.1587999947</v>
      </c>
      <c r="D48" s="217">
        <f t="shared" si="60"/>
        <v>0.1112000048160553</v>
      </c>
      <c r="E48" s="210"/>
      <c r="F48" s="210">
        <v>0</v>
      </c>
      <c r="H48" s="66"/>
      <c r="I48" s="66"/>
      <c r="J48" s="66"/>
      <c r="K48" s="66"/>
      <c r="L48" s="66"/>
      <c r="N48" s="210">
        <f t="shared" si="58"/>
        <v>0</v>
      </c>
      <c r="O48" s="210">
        <f t="shared" si="59"/>
        <v>0.1112000048160553</v>
      </c>
    </row>
    <row r="49" spans="1:15" x14ac:dyDescent="0.2">
      <c r="A49" s="208">
        <v>43678</v>
      </c>
      <c r="B49" s="216">
        <v>6742319.5499999998</v>
      </c>
      <c r="C49" s="210">
        <f t="shared" si="57"/>
        <v>6742319.4615999963</v>
      </c>
      <c r="D49" s="217">
        <f t="shared" si="60"/>
        <v>8.8400003500282764E-2</v>
      </c>
      <c r="E49" s="210"/>
      <c r="F49" s="210">
        <v>0</v>
      </c>
      <c r="H49" s="66"/>
      <c r="I49" s="66"/>
      <c r="J49" s="66"/>
      <c r="K49" s="66"/>
      <c r="L49" s="66"/>
      <c r="N49" s="210">
        <f t="shared" si="58"/>
        <v>0</v>
      </c>
      <c r="O49" s="210">
        <f t="shared" si="59"/>
        <v>8.8400003500282764E-2</v>
      </c>
    </row>
    <row r="50" spans="1:15" x14ac:dyDescent="0.2">
      <c r="A50" s="208">
        <v>43709</v>
      </c>
      <c r="B50" s="216">
        <v>5856462.8600000003</v>
      </c>
      <c r="C50" s="210">
        <f t="shared" si="57"/>
        <v>5856462.8451999994</v>
      </c>
      <c r="D50" s="217">
        <f t="shared" si="60"/>
        <v>1.4800000935792923E-2</v>
      </c>
      <c r="E50" s="210"/>
      <c r="F50" s="210">
        <v>0</v>
      </c>
      <c r="H50" s="66"/>
      <c r="I50" s="66"/>
      <c r="J50" s="66"/>
      <c r="K50" s="66"/>
      <c r="L50" s="66"/>
      <c r="N50" s="210">
        <f t="shared" si="58"/>
        <v>0</v>
      </c>
      <c r="O50" s="210">
        <f t="shared" si="59"/>
        <v>1.4800000935792923E-2</v>
      </c>
    </row>
    <row r="51" spans="1:15" x14ac:dyDescent="0.2">
      <c r="A51" s="208">
        <v>43739</v>
      </c>
      <c r="B51" s="216">
        <v>5195214.88</v>
      </c>
      <c r="C51" s="210">
        <f t="shared" si="57"/>
        <v>5195214.9596000006</v>
      </c>
      <c r="D51" s="217">
        <f t="shared" si="60"/>
        <v>-7.9600000753998756E-2</v>
      </c>
      <c r="E51" s="210"/>
      <c r="F51" s="210">
        <v>0</v>
      </c>
      <c r="H51" s="66"/>
      <c r="I51" s="66"/>
      <c r="J51" s="66"/>
      <c r="K51" s="66"/>
      <c r="L51" s="66"/>
      <c r="N51" s="210">
        <f t="shared" si="58"/>
        <v>0</v>
      </c>
      <c r="O51" s="210">
        <f t="shared" si="59"/>
        <v>-7.9600000753998756E-2</v>
      </c>
    </row>
    <row r="52" spans="1:15" x14ac:dyDescent="0.2">
      <c r="A52" s="208">
        <v>43770</v>
      </c>
      <c r="B52" s="209"/>
      <c r="C52" s="210">
        <f t="shared" si="57"/>
        <v>1595009.1964</v>
      </c>
      <c r="D52" s="217">
        <f t="shared" si="60"/>
        <v>-1595009.1964</v>
      </c>
      <c r="E52" s="210"/>
      <c r="F52" s="210">
        <v>0</v>
      </c>
      <c r="H52" s="66"/>
      <c r="I52" s="66"/>
      <c r="J52" s="66"/>
      <c r="K52" s="66"/>
      <c r="L52" s="66"/>
      <c r="N52" s="210">
        <f t="shared" si="58"/>
        <v>0</v>
      </c>
      <c r="O52" s="210">
        <f t="shared" si="59"/>
        <v>-1595009.1964</v>
      </c>
    </row>
    <row r="53" spans="1:15" x14ac:dyDescent="0.2">
      <c r="A53" s="208">
        <v>43800</v>
      </c>
      <c r="B53" s="209"/>
      <c r="C53" s="210">
        <f t="shared" si="57"/>
        <v>0</v>
      </c>
      <c r="D53" s="217">
        <f t="shared" si="60"/>
        <v>0</v>
      </c>
      <c r="E53" s="210"/>
      <c r="F53" s="210">
        <v>0</v>
      </c>
      <c r="H53" s="66"/>
      <c r="I53" s="66"/>
      <c r="J53" s="66"/>
      <c r="K53" s="66"/>
      <c r="L53" s="66"/>
      <c r="N53" s="210">
        <f t="shared" si="58"/>
        <v>0</v>
      </c>
      <c r="O53" s="210">
        <f t="shared" si="59"/>
        <v>0</v>
      </c>
    </row>
    <row r="54" spans="1:15" x14ac:dyDescent="0.2">
      <c r="A54" s="208">
        <v>43831</v>
      </c>
      <c r="B54" s="209"/>
      <c r="C54" s="210">
        <f t="shared" si="57"/>
        <v>0</v>
      </c>
      <c r="D54" s="217">
        <f t="shared" si="60"/>
        <v>0</v>
      </c>
      <c r="E54" s="210"/>
      <c r="F54" s="210">
        <v>0</v>
      </c>
      <c r="H54" s="66"/>
      <c r="I54" s="66"/>
      <c r="J54" s="66"/>
      <c r="K54" s="66"/>
      <c r="L54" s="66"/>
      <c r="N54" s="210">
        <f t="shared" si="58"/>
        <v>0</v>
      </c>
      <c r="O54" s="210">
        <f t="shared" si="59"/>
        <v>0</v>
      </c>
    </row>
    <row r="55" spans="1:15" x14ac:dyDescent="0.2">
      <c r="A55" s="208">
        <v>43862</v>
      </c>
      <c r="B55" s="209"/>
      <c r="C55" s="210">
        <f t="shared" si="57"/>
        <v>0</v>
      </c>
      <c r="D55" s="217">
        <f t="shared" si="60"/>
        <v>0</v>
      </c>
      <c r="E55" s="210"/>
      <c r="F55" s="210">
        <v>0</v>
      </c>
      <c r="H55" s="66"/>
      <c r="I55" s="66"/>
      <c r="J55" s="66"/>
      <c r="K55" s="66"/>
      <c r="L55" s="66"/>
      <c r="N55" s="210">
        <f t="shared" si="58"/>
        <v>0</v>
      </c>
      <c r="O55" s="210">
        <f t="shared" si="59"/>
        <v>0</v>
      </c>
    </row>
    <row r="56" spans="1:15" x14ac:dyDescent="0.2">
      <c r="A56" s="208">
        <v>43891</v>
      </c>
      <c r="B56" s="209"/>
      <c r="C56" s="210">
        <f t="shared" si="57"/>
        <v>0</v>
      </c>
      <c r="D56" s="217">
        <f t="shared" si="60"/>
        <v>0</v>
      </c>
      <c r="E56" s="210"/>
      <c r="F56" s="210">
        <v>0</v>
      </c>
      <c r="H56" s="66"/>
      <c r="I56" s="66"/>
      <c r="J56" s="66"/>
      <c r="K56" s="66"/>
      <c r="L56" s="66"/>
      <c r="N56" s="210">
        <f t="shared" si="58"/>
        <v>0</v>
      </c>
      <c r="O56" s="210">
        <f t="shared" si="59"/>
        <v>0</v>
      </c>
    </row>
    <row r="57" spans="1:15" x14ac:dyDescent="0.2">
      <c r="A57" s="77" t="s">
        <v>332</v>
      </c>
      <c r="B57" s="209">
        <f>SUM(B45:B53)</f>
        <v>41810124.950000003</v>
      </c>
      <c r="C57" s="209">
        <f>SUM(C45:C53)</f>
        <v>43405133.309919991</v>
      </c>
      <c r="D57" s="209">
        <f t="shared" ref="D57" si="61">SUM(D45:D53)</f>
        <v>-1595008.3599199823</v>
      </c>
      <c r="E57" s="209">
        <f>SUM(E45:E53)</f>
        <v>0</v>
      </c>
      <c r="F57" s="209">
        <f t="shared" ref="F57" si="62">SUM(F45:F53)</f>
        <v>0</v>
      </c>
      <c r="H57" s="209">
        <f>SUM(H45:H53)</f>
        <v>0</v>
      </c>
      <c r="I57" s="209">
        <f>SUM(I45:I53)</f>
        <v>0</v>
      </c>
      <c r="J57" s="209">
        <f>SUM(J45:J53)</f>
        <v>0</v>
      </c>
      <c r="K57" s="209">
        <f>SUM(K45:K53)</f>
        <v>0</v>
      </c>
      <c r="L57" s="209">
        <f>SUM(L45:L53)</f>
        <v>0</v>
      </c>
      <c r="N57" s="209">
        <f>SUM(N45:N53)</f>
        <v>0</v>
      </c>
      <c r="O57" s="209">
        <f>SUM(O45:O53)</f>
        <v>-1595008.3599199823</v>
      </c>
    </row>
    <row r="59" spans="1:15" x14ac:dyDescent="0.2">
      <c r="A59" s="1304" t="s">
        <v>2541</v>
      </c>
      <c r="B59" s="1304"/>
      <c r="C59" s="1304"/>
      <c r="D59" s="1304"/>
      <c r="E59" s="1304"/>
      <c r="F59" s="1304"/>
    </row>
    <row r="60" spans="1:15" x14ac:dyDescent="0.2">
      <c r="A60" s="77" t="s">
        <v>329</v>
      </c>
      <c r="B60" s="77" t="s">
        <v>2539</v>
      </c>
      <c r="C60" s="77" t="s">
        <v>2540</v>
      </c>
      <c r="D60" s="77" t="s">
        <v>457</v>
      </c>
      <c r="E60" s="77" t="s">
        <v>414</v>
      </c>
      <c r="F60" s="77" t="s">
        <v>2542</v>
      </c>
      <c r="H60" s="77" t="s">
        <v>375</v>
      </c>
      <c r="I60" s="77" t="s">
        <v>2543</v>
      </c>
      <c r="J60" s="77" t="s">
        <v>376</v>
      </c>
      <c r="K60" s="77"/>
      <c r="L60" s="77"/>
      <c r="N60" s="215" t="s">
        <v>347</v>
      </c>
      <c r="O60" s="215" t="s">
        <v>2544</v>
      </c>
    </row>
    <row r="61" spans="1:15" x14ac:dyDescent="0.2">
      <c r="A61" s="208">
        <v>43556</v>
      </c>
      <c r="B61" s="216">
        <v>3316750.03</v>
      </c>
      <c r="C61" s="210">
        <f>+B29</f>
        <v>3297888.8010000009</v>
      </c>
      <c r="D61" s="217">
        <f>+B61-C61</f>
        <v>18861.228999998886</v>
      </c>
      <c r="E61" s="210">
        <f>SUMIFS('PURCHASE-RMC'!$K$6:$K$10000,'PURCHASE-RMC'!$A$6:$A$10000,A61:A72)</f>
        <v>18500</v>
      </c>
      <c r="F61" s="210">
        <v>0</v>
      </c>
      <c r="H61" s="66"/>
      <c r="I61" s="66">
        <v>360</v>
      </c>
      <c r="J61" s="66"/>
      <c r="K61" s="66"/>
      <c r="L61" s="66"/>
      <c r="N61" s="210">
        <f t="shared" ref="N61:N72" si="63">SUM(E61:L61)</f>
        <v>18860</v>
      </c>
      <c r="O61" s="210">
        <f t="shared" ref="O61:O72" si="64">+D61-N61</f>
        <v>1.2289999988861382</v>
      </c>
    </row>
    <row r="62" spans="1:15" x14ac:dyDescent="0.2">
      <c r="A62" s="208">
        <v>43586</v>
      </c>
      <c r="B62" s="216">
        <v>5545630.2999999998</v>
      </c>
      <c r="C62" s="210">
        <f t="shared" ref="C62:C71" si="65">+B30</f>
        <v>5651715.600800002</v>
      </c>
      <c r="D62" s="217">
        <f t="shared" ref="D62:D72" si="66">+B62-C62</f>
        <v>-106085.30080000218</v>
      </c>
      <c r="E62" s="210">
        <f>SUMIFS('PURCHASE-RMC'!$K$6:$K$10000,'PURCHASE-RMC'!$A$6:$A$10000,A62:A73)</f>
        <v>45560</v>
      </c>
      <c r="F62" s="210">
        <v>-151645.29999999999</v>
      </c>
      <c r="H62" s="66"/>
      <c r="I62" s="66"/>
      <c r="J62" s="66"/>
      <c r="K62" s="66"/>
      <c r="L62" s="66"/>
      <c r="N62" s="210">
        <f t="shared" si="63"/>
        <v>-106085.29999999999</v>
      </c>
      <c r="O62" s="210">
        <f t="shared" si="64"/>
        <v>-8.0000219168141484E-4</v>
      </c>
    </row>
    <row r="63" spans="1:15" x14ac:dyDescent="0.2">
      <c r="A63" s="208">
        <v>43617</v>
      </c>
      <c r="B63" s="216">
        <v>5618833.7999999998</v>
      </c>
      <c r="C63" s="210">
        <f t="shared" si="65"/>
        <v>5594229.2753999969</v>
      </c>
      <c r="D63" s="217">
        <f t="shared" si="66"/>
        <v>24604.524600002915</v>
      </c>
      <c r="E63" s="210">
        <f>SUMIFS('PURCHASE-RMC'!$K$6:$K$10000,'PURCHASE-RMC'!$A$6:$A$10000,A63:A74)</f>
        <v>24600</v>
      </c>
      <c r="F63" s="210"/>
      <c r="H63" s="66"/>
      <c r="I63" s="66"/>
      <c r="J63" s="66"/>
      <c r="K63" s="66"/>
      <c r="L63" s="66"/>
      <c r="N63" s="210">
        <f t="shared" si="63"/>
        <v>24600</v>
      </c>
      <c r="O63" s="210">
        <f t="shared" si="64"/>
        <v>4.5246000029146671</v>
      </c>
    </row>
    <row r="64" spans="1:15" x14ac:dyDescent="0.2">
      <c r="A64" s="208">
        <v>43647</v>
      </c>
      <c r="B64" s="216">
        <v>7655742.3899999997</v>
      </c>
      <c r="C64" s="210">
        <f t="shared" si="65"/>
        <v>7729661.9287999906</v>
      </c>
      <c r="D64" s="217">
        <f t="shared" si="66"/>
        <v>-73919.5387999909</v>
      </c>
      <c r="E64" s="210">
        <f>SUMIFS('PURCHASE-RMC'!$K$6:$K$10000,'PURCHASE-RMC'!$A$6:$A$10000,A64:A75)</f>
        <v>31250</v>
      </c>
      <c r="F64" s="210">
        <v>-105169.54</v>
      </c>
      <c r="H64" s="66"/>
      <c r="I64" s="66"/>
      <c r="J64" s="66"/>
      <c r="K64" s="66"/>
      <c r="L64" s="66"/>
      <c r="N64" s="210">
        <f t="shared" si="63"/>
        <v>-73919.539999999994</v>
      </c>
      <c r="O64" s="210">
        <f t="shared" si="64"/>
        <v>1.2000090937362984E-3</v>
      </c>
    </row>
    <row r="65" spans="1:15" x14ac:dyDescent="0.2">
      <c r="A65" s="208">
        <v>43678</v>
      </c>
      <c r="B65" s="216">
        <v>5122619.58</v>
      </c>
      <c r="C65" s="210">
        <f t="shared" si="65"/>
        <v>5166019.7059999993</v>
      </c>
      <c r="D65" s="217">
        <f t="shared" si="66"/>
        <v>-43400.125999999233</v>
      </c>
      <c r="E65" s="210">
        <f>SUMIFS('PURCHASE-RMC'!$K$6:$K$10000,'PURCHASE-RMC'!$A$6:$A$10000,A65:A76)</f>
        <v>35900</v>
      </c>
      <c r="F65" s="210">
        <v>-79300.13</v>
      </c>
      <c r="H65" s="66"/>
      <c r="I65" s="66"/>
      <c r="J65" s="66"/>
      <c r="K65" s="66"/>
      <c r="L65" s="66"/>
      <c r="N65" s="210">
        <f t="shared" si="63"/>
        <v>-43400.130000000005</v>
      </c>
      <c r="O65" s="210">
        <f t="shared" si="64"/>
        <v>4.0000007720664144E-3</v>
      </c>
    </row>
    <row r="66" spans="1:15" x14ac:dyDescent="0.2">
      <c r="A66" s="208">
        <v>43709</v>
      </c>
      <c r="B66" s="216">
        <v>4989593.28</v>
      </c>
      <c r="C66" s="210">
        <f t="shared" si="65"/>
        <v>4626986.2966000009</v>
      </c>
      <c r="D66" s="217">
        <f t="shared" si="66"/>
        <v>362606.98339999933</v>
      </c>
      <c r="E66" s="210">
        <f>SUMIFS('PURCHASE-RMC'!$K$6:$K$10000,'PURCHASE-RMC'!$A$6:$A$10000,A66:A77)</f>
        <v>36950</v>
      </c>
      <c r="F66" s="210"/>
      <c r="H66" s="66"/>
      <c r="I66" s="66"/>
      <c r="J66" s="66"/>
      <c r="K66" s="66"/>
      <c r="L66" s="66"/>
      <c r="N66" s="210">
        <f t="shared" si="63"/>
        <v>36950</v>
      </c>
      <c r="O66" s="210">
        <f t="shared" si="64"/>
        <v>325656.98339999933</v>
      </c>
    </row>
    <row r="67" spans="1:15" x14ac:dyDescent="0.2">
      <c r="A67" s="208">
        <v>43739</v>
      </c>
      <c r="B67" s="216">
        <v>5297790.55</v>
      </c>
      <c r="C67" s="210">
        <f t="shared" si="65"/>
        <v>5517067.4991999995</v>
      </c>
      <c r="D67" s="217">
        <f t="shared" si="66"/>
        <v>-219276.94919999968</v>
      </c>
      <c r="E67" s="210">
        <f>SUMIFS('PURCHASE-RMC'!$K$6:$K$10000,'PURCHASE-RMC'!$A$6:$A$10000,A67:A78)</f>
        <v>29100</v>
      </c>
      <c r="F67" s="210"/>
      <c r="H67" s="66"/>
      <c r="I67" s="66"/>
      <c r="J67" s="66"/>
      <c r="K67" s="66"/>
      <c r="L67" s="66"/>
      <c r="N67" s="210">
        <f t="shared" si="63"/>
        <v>29100</v>
      </c>
      <c r="O67" s="210">
        <f t="shared" si="64"/>
        <v>-248376.94919999968</v>
      </c>
    </row>
    <row r="68" spans="1:15" x14ac:dyDescent="0.2">
      <c r="A68" s="208">
        <v>43770</v>
      </c>
      <c r="B68" s="209"/>
      <c r="C68" s="210">
        <f t="shared" si="65"/>
        <v>0</v>
      </c>
      <c r="D68" s="217">
        <f t="shared" si="66"/>
        <v>0</v>
      </c>
      <c r="E68" s="210">
        <f>SUMIFS('PURCHASE-RMC'!$K$6:$K$10000,'PURCHASE-RMC'!$A$6:$A$10000,A68:A79)</f>
        <v>27400</v>
      </c>
      <c r="F68" s="210"/>
      <c r="H68" s="66"/>
      <c r="I68" s="66"/>
      <c r="J68" s="66"/>
      <c r="K68" s="66"/>
      <c r="L68" s="66"/>
      <c r="N68" s="210">
        <f t="shared" si="63"/>
        <v>27400</v>
      </c>
      <c r="O68" s="210">
        <f t="shared" si="64"/>
        <v>-27400</v>
      </c>
    </row>
    <row r="69" spans="1:15" x14ac:dyDescent="0.2">
      <c r="A69" s="208">
        <v>43800</v>
      </c>
      <c r="B69" s="209"/>
      <c r="C69" s="210">
        <f t="shared" si="65"/>
        <v>0</v>
      </c>
      <c r="D69" s="217">
        <f t="shared" si="66"/>
        <v>0</v>
      </c>
      <c r="E69" s="210">
        <f>SUMIFS('PURCHASE-RMC'!$K$6:$K$10000,'PURCHASE-RMC'!$A$6:$A$10000,A69:A80)</f>
        <v>49761</v>
      </c>
      <c r="F69" s="210"/>
      <c r="H69" s="66"/>
      <c r="I69" s="66"/>
      <c r="J69" s="66"/>
      <c r="K69" s="66"/>
      <c r="L69" s="66"/>
      <c r="N69" s="210">
        <f t="shared" si="63"/>
        <v>49761</v>
      </c>
      <c r="O69" s="210">
        <f t="shared" si="64"/>
        <v>-49761</v>
      </c>
    </row>
    <row r="70" spans="1:15" x14ac:dyDescent="0.2">
      <c r="A70" s="208">
        <v>43831</v>
      </c>
      <c r="B70" s="209"/>
      <c r="C70" s="210">
        <f t="shared" si="65"/>
        <v>0</v>
      </c>
      <c r="D70" s="217">
        <f t="shared" si="66"/>
        <v>0</v>
      </c>
      <c r="E70" s="210">
        <f>SUMIFS('PURCHASE-RMC'!$K$6:$K$10000,'PURCHASE-RMC'!$A$6:$A$10000,A70:A81)</f>
        <v>0</v>
      </c>
      <c r="F70" s="210"/>
      <c r="H70" s="66"/>
      <c r="I70" s="66"/>
      <c r="J70" s="66"/>
      <c r="K70" s="66"/>
      <c r="L70" s="66"/>
      <c r="N70" s="210">
        <f t="shared" si="63"/>
        <v>0</v>
      </c>
      <c r="O70" s="210">
        <f t="shared" si="64"/>
        <v>0</v>
      </c>
    </row>
    <row r="71" spans="1:15" x14ac:dyDescent="0.2">
      <c r="A71" s="208">
        <v>43862</v>
      </c>
      <c r="B71" s="209"/>
      <c r="C71" s="210">
        <f t="shared" si="65"/>
        <v>0</v>
      </c>
      <c r="D71" s="217">
        <f t="shared" si="66"/>
        <v>0</v>
      </c>
      <c r="E71" s="210">
        <f>SUMIFS('PURCHASE-RMC'!$K$6:$K$10000,'PURCHASE-RMC'!$A$6:$A$10000,A71:A82)</f>
        <v>0</v>
      </c>
      <c r="F71" s="210"/>
      <c r="H71" s="66"/>
      <c r="I71" s="66"/>
      <c r="J71" s="66"/>
      <c r="K71" s="66"/>
      <c r="L71" s="66"/>
      <c r="N71" s="210">
        <f t="shared" si="63"/>
        <v>0</v>
      </c>
      <c r="O71" s="210">
        <f t="shared" si="64"/>
        <v>0</v>
      </c>
    </row>
    <row r="72" spans="1:15" x14ac:dyDescent="0.2">
      <c r="A72" s="208">
        <v>43891</v>
      </c>
      <c r="B72" s="209"/>
      <c r="C72" s="210">
        <f t="shared" ref="C72" si="67">+B38</f>
        <v>0</v>
      </c>
      <c r="D72" s="217">
        <f t="shared" si="66"/>
        <v>0</v>
      </c>
      <c r="E72" s="210">
        <f>SUMIFS('PURCHASE-RMC'!$K$6:$K$10000,'PURCHASE-RMC'!$A$6:$A$10000,A72:A83)</f>
        <v>0</v>
      </c>
      <c r="F72" s="210"/>
      <c r="H72" s="66"/>
      <c r="I72" s="66"/>
      <c r="J72" s="66"/>
      <c r="K72" s="66"/>
      <c r="L72" s="66"/>
      <c r="N72" s="210">
        <f t="shared" si="63"/>
        <v>0</v>
      </c>
      <c r="O72" s="210">
        <f t="shared" si="64"/>
        <v>0</v>
      </c>
    </row>
    <row r="73" spans="1:15" x14ac:dyDescent="0.2">
      <c r="A73" s="77" t="s">
        <v>332</v>
      </c>
      <c r="B73" s="209">
        <f>SUM(B61:B69)</f>
        <v>37546959.93</v>
      </c>
      <c r="C73" s="209">
        <f>SUM(C61:C69)</f>
        <v>37583569.107799992</v>
      </c>
      <c r="D73" s="209">
        <f t="shared" ref="D73:F73" si="68">SUM(D61:D69)</f>
        <v>-36609.177799990866</v>
      </c>
      <c r="E73" s="209">
        <f t="shared" si="68"/>
        <v>299021</v>
      </c>
      <c r="F73" s="209">
        <f t="shared" si="68"/>
        <v>-336114.97</v>
      </c>
      <c r="H73" s="209">
        <f>SUM(H61:H69)</f>
        <v>0</v>
      </c>
      <c r="I73" s="209">
        <f>SUM(I61:I69)</f>
        <v>360</v>
      </c>
      <c r="J73" s="209">
        <f>SUM(J61:J69)</f>
        <v>0</v>
      </c>
      <c r="K73" s="209">
        <f>SUM(K61:K69)</f>
        <v>0</v>
      </c>
      <c r="L73" s="209">
        <f>SUM(L61:L69)</f>
        <v>0</v>
      </c>
      <c r="N73" s="209">
        <f>SUM(N61:N69)</f>
        <v>-36733.969999999972</v>
      </c>
      <c r="O73" s="209">
        <f>SUM(O61:O69)</f>
        <v>124.79220000910573</v>
      </c>
    </row>
  </sheetData>
  <mergeCells count="27">
    <mergeCell ref="E1:Z1"/>
    <mergeCell ref="E2:Z2"/>
    <mergeCell ref="E3:Z3"/>
    <mergeCell ref="F4:T4"/>
    <mergeCell ref="F6:T6"/>
    <mergeCell ref="F5:T5"/>
    <mergeCell ref="A8:F8"/>
    <mergeCell ref="H8:L8"/>
    <mergeCell ref="T8:Z8"/>
    <mergeCell ref="N8:R8"/>
    <mergeCell ref="N27:R27"/>
    <mergeCell ref="AC8:AG8"/>
    <mergeCell ref="A43:F43"/>
    <mergeCell ref="A59:F59"/>
    <mergeCell ref="F25:T25"/>
    <mergeCell ref="B7:F7"/>
    <mergeCell ref="H7:L7"/>
    <mergeCell ref="N7:R7"/>
    <mergeCell ref="T7:Z7"/>
    <mergeCell ref="B26:F26"/>
    <mergeCell ref="H26:L26"/>
    <mergeCell ref="N26:R26"/>
    <mergeCell ref="T26:Z26"/>
    <mergeCell ref="F24:T24"/>
    <mergeCell ref="A27:F27"/>
    <mergeCell ref="H27:L27"/>
    <mergeCell ref="T27:Z2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 SALE PUR TYPE'!$C$3:$C$15</xm:f>
          </x14:formula1>
          <xm:sqref>B7:C7 H7:I7 N7:O7</xm:sqref>
        </x14:dataValidation>
        <x14:dataValidation type="list" allowBlank="1" showInputMessage="1" showErrorMessage="1">
          <x14:formula1>
            <xm:f>'MASTER SALE PUR TYPE'!$C$3:$C$9</xm:f>
          </x14:formula1>
          <xm:sqref>B26 H26 N26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workbookViewId="0"/>
  </sheetViews>
  <sheetFormatPr defaultRowHeight="10.199999999999999" x14ac:dyDescent="0.2"/>
  <cols>
    <col min="1" max="1" width="8.44140625" style="11" bestFit="1" customWidth="1"/>
    <col min="2" max="2" width="5.21875" style="11" bestFit="1" customWidth="1"/>
    <col min="3" max="3" width="22.5546875" style="11" bestFit="1" customWidth="1"/>
    <col min="4" max="4" width="16.88671875" style="11" bestFit="1" customWidth="1"/>
    <col min="5" max="6" width="8.88671875" style="11"/>
    <col min="7" max="7" width="9" style="11" customWidth="1"/>
    <col min="8" max="8" width="8.21875" style="11" bestFit="1" customWidth="1"/>
    <col min="9" max="9" width="4.109375" style="11" bestFit="1" customWidth="1"/>
    <col min="10" max="10" width="5.5546875" style="11" bestFit="1" customWidth="1"/>
    <col min="11" max="11" width="9.5546875" style="11" bestFit="1" customWidth="1"/>
    <col min="12" max="12" width="4.88671875" style="11" bestFit="1" customWidth="1"/>
    <col min="13" max="14" width="7.5546875" style="11" bestFit="1" customWidth="1"/>
    <col min="15" max="15" width="4.88671875" style="11" bestFit="1" customWidth="1"/>
    <col min="16" max="16" width="9.5546875" style="11" bestFit="1" customWidth="1"/>
    <col min="17" max="17" width="8.88671875" style="11"/>
    <col min="18" max="18" width="6.109375" style="11" bestFit="1" customWidth="1"/>
    <col min="19" max="16384" width="8.88671875" style="11"/>
  </cols>
  <sheetData>
    <row r="1" spans="1:18" x14ac:dyDescent="0.2">
      <c r="A1" s="119"/>
      <c r="B1" s="120"/>
      <c r="C1" s="120"/>
      <c r="D1" s="120"/>
      <c r="E1" s="66"/>
      <c r="F1" s="120"/>
      <c r="G1" s="120" t="s">
        <v>347</v>
      </c>
      <c r="H1" s="6"/>
      <c r="I1" s="7"/>
      <c r="J1" s="120"/>
      <c r="K1" s="7">
        <f>SUM(K6:K10000)</f>
        <v>299021</v>
      </c>
      <c r="L1" s="7">
        <f t="shared" ref="L1:P1" si="0">SUM(L6:L10000)</f>
        <v>0</v>
      </c>
      <c r="M1" s="7">
        <f t="shared" si="0"/>
        <v>7475.5249999999996</v>
      </c>
      <c r="N1" s="7">
        <f t="shared" si="0"/>
        <v>7475.5249999999996</v>
      </c>
      <c r="O1" s="7">
        <f t="shared" si="0"/>
        <v>0</v>
      </c>
      <c r="P1" s="7">
        <f t="shared" si="0"/>
        <v>313972.05</v>
      </c>
      <c r="Q1" s="7"/>
      <c r="R1" s="66"/>
    </row>
    <row r="2" spans="1:18" ht="14.4" customHeight="1" x14ac:dyDescent="0.2">
      <c r="A2" s="1326" t="s">
        <v>0</v>
      </c>
      <c r="B2" s="1326"/>
      <c r="C2" s="1326"/>
      <c r="D2" s="1326"/>
      <c r="E2" s="1326"/>
      <c r="F2" s="1326"/>
      <c r="G2" s="1326"/>
      <c r="H2" s="1326"/>
      <c r="I2" s="1326"/>
      <c r="J2" s="1326"/>
      <c r="K2" s="1326"/>
      <c r="L2" s="1326"/>
      <c r="M2" s="1326"/>
      <c r="N2" s="1326"/>
      <c r="O2" s="1326"/>
      <c r="P2" s="1326"/>
      <c r="Q2" s="1326"/>
      <c r="R2" s="1326"/>
    </row>
    <row r="3" spans="1:18" ht="14.4" customHeight="1" x14ac:dyDescent="0.2">
      <c r="A3" s="1325" t="s">
        <v>1</v>
      </c>
      <c r="B3" s="1325"/>
      <c r="C3" s="1325"/>
      <c r="D3" s="1325"/>
      <c r="E3" s="1325"/>
      <c r="F3" s="1325"/>
      <c r="G3" s="1325"/>
      <c r="H3" s="1325"/>
      <c r="I3" s="1325"/>
      <c r="J3" s="1325"/>
      <c r="K3" s="1325"/>
      <c r="L3" s="1325"/>
      <c r="M3" s="1325"/>
      <c r="N3" s="1325"/>
      <c r="O3" s="1325"/>
      <c r="P3" s="1325"/>
      <c r="Q3" s="1325"/>
      <c r="R3" s="1325"/>
    </row>
    <row r="4" spans="1:18" ht="10.199999999999999" customHeight="1" x14ac:dyDescent="0.2">
      <c r="A4" s="1004" t="s">
        <v>2</v>
      </c>
      <c r="B4" s="12" t="s">
        <v>1503</v>
      </c>
      <c r="C4" s="13" t="s">
        <v>3718</v>
      </c>
      <c r="D4" s="14" t="s">
        <v>3719</v>
      </c>
      <c r="E4" s="995" t="s">
        <v>6</v>
      </c>
      <c r="F4" s="996"/>
      <c r="G4" s="997"/>
      <c r="H4" s="14" t="s">
        <v>3714</v>
      </c>
      <c r="I4" s="994" t="s">
        <v>10</v>
      </c>
      <c r="J4" s="14" t="s">
        <v>3716</v>
      </c>
      <c r="K4" s="15" t="s">
        <v>3715</v>
      </c>
      <c r="L4" s="991" t="s">
        <v>12</v>
      </c>
      <c r="M4" s="991"/>
      <c r="N4" s="991"/>
      <c r="O4" s="991"/>
      <c r="P4" s="15" t="s">
        <v>3712</v>
      </c>
      <c r="Q4" s="992" t="s">
        <v>3710</v>
      </c>
      <c r="R4" s="993"/>
    </row>
    <row r="5" spans="1:18" ht="20.399999999999999" x14ac:dyDescent="0.2">
      <c r="A5" s="1005"/>
      <c r="B5" s="16" t="s">
        <v>1506</v>
      </c>
      <c r="C5" s="636" t="s">
        <v>274</v>
      </c>
      <c r="D5" s="16" t="s">
        <v>3720</v>
      </c>
      <c r="E5" s="635" t="s">
        <v>15</v>
      </c>
      <c r="F5" s="19" t="s">
        <v>3706</v>
      </c>
      <c r="G5" s="19" t="s">
        <v>3707</v>
      </c>
      <c r="H5" s="16" t="s">
        <v>3713</v>
      </c>
      <c r="I5" s="994"/>
      <c r="J5" s="16" t="s">
        <v>3717</v>
      </c>
      <c r="K5" s="20" t="s">
        <v>3708</v>
      </c>
      <c r="L5" s="21" t="s">
        <v>16</v>
      </c>
      <c r="M5" s="21" t="s">
        <v>17</v>
      </c>
      <c r="N5" s="21" t="s">
        <v>18</v>
      </c>
      <c r="O5" s="21" t="s">
        <v>19</v>
      </c>
      <c r="P5" s="20" t="s">
        <v>3708</v>
      </c>
      <c r="Q5" s="19" t="s">
        <v>3709</v>
      </c>
      <c r="R5" s="22" t="s">
        <v>3711</v>
      </c>
    </row>
    <row r="6" spans="1:18" x14ac:dyDescent="0.2">
      <c r="A6" s="637">
        <v>43556</v>
      </c>
      <c r="B6" s="218">
        <v>1</v>
      </c>
      <c r="C6" s="25" t="s">
        <v>600</v>
      </c>
      <c r="D6" s="983" t="e">
        <v>#N/A</v>
      </c>
      <c r="E6" s="218" t="s">
        <v>22</v>
      </c>
      <c r="F6" s="26"/>
      <c r="G6" s="27"/>
      <c r="H6" s="28"/>
      <c r="I6" s="219">
        <v>2.5</v>
      </c>
      <c r="J6" s="218"/>
      <c r="K6" s="28">
        <v>18500</v>
      </c>
      <c r="L6" s="620">
        <v>0</v>
      </c>
      <c r="M6" s="621">
        <f t="shared" ref="M6:M36" si="1">+K6/100*I6</f>
        <v>462.5</v>
      </c>
      <c r="N6" s="621">
        <f t="shared" ref="N6:N36" si="2">+M6</f>
        <v>462.5</v>
      </c>
      <c r="O6" s="620">
        <v>0</v>
      </c>
      <c r="P6" s="220">
        <f>+O6+N6+M6+L6+K6</f>
        <v>19425</v>
      </c>
      <c r="Q6" s="218" t="s">
        <v>458</v>
      </c>
      <c r="R6" s="218" t="s">
        <v>26</v>
      </c>
    </row>
    <row r="7" spans="1:18" x14ac:dyDescent="0.2">
      <c r="A7" s="638">
        <v>43586</v>
      </c>
      <c r="B7" s="43">
        <v>2</v>
      </c>
      <c r="C7" s="35" t="s">
        <v>600</v>
      </c>
      <c r="D7" s="983" t="e">
        <v>#N/A</v>
      </c>
      <c r="E7" s="43" t="s">
        <v>22</v>
      </c>
      <c r="F7" s="36"/>
      <c r="G7" s="37"/>
      <c r="H7" s="38"/>
      <c r="I7" s="221">
        <v>2.5</v>
      </c>
      <c r="J7" s="43"/>
      <c r="K7" s="38">
        <v>17400</v>
      </c>
      <c r="L7" s="621">
        <v>0</v>
      </c>
      <c r="M7" s="621">
        <f t="shared" si="1"/>
        <v>435</v>
      </c>
      <c r="N7" s="621">
        <f t="shared" si="2"/>
        <v>435</v>
      </c>
      <c r="O7" s="621">
        <v>0</v>
      </c>
      <c r="P7" s="222">
        <f t="shared" ref="P7:P36" si="3">+O7+N7+M7+L7+K7</f>
        <v>18270</v>
      </c>
      <c r="Q7" s="43" t="s">
        <v>458</v>
      </c>
      <c r="R7" s="43" t="s">
        <v>26</v>
      </c>
    </row>
    <row r="8" spans="1:18" x14ac:dyDescent="0.2">
      <c r="A8" s="638">
        <v>43586</v>
      </c>
      <c r="B8" s="43">
        <v>3</v>
      </c>
      <c r="C8" s="629" t="s">
        <v>673</v>
      </c>
      <c r="D8" s="983" t="s">
        <v>674</v>
      </c>
      <c r="E8" s="43" t="s">
        <v>22</v>
      </c>
      <c r="F8" s="36"/>
      <c r="G8" s="37"/>
      <c r="H8" s="38"/>
      <c r="I8" s="221">
        <v>2.5</v>
      </c>
      <c r="J8" s="43"/>
      <c r="K8" s="38">
        <v>4500</v>
      </c>
      <c r="L8" s="621">
        <v>0</v>
      </c>
      <c r="M8" s="621">
        <f t="shared" si="1"/>
        <v>112.5</v>
      </c>
      <c r="N8" s="621">
        <f t="shared" si="2"/>
        <v>112.5</v>
      </c>
      <c r="O8" s="621">
        <v>0</v>
      </c>
      <c r="P8" s="222">
        <f t="shared" si="3"/>
        <v>4725</v>
      </c>
      <c r="Q8" s="43" t="s">
        <v>458</v>
      </c>
      <c r="R8" s="43" t="s">
        <v>26</v>
      </c>
    </row>
    <row r="9" spans="1:18" x14ac:dyDescent="0.2">
      <c r="A9" s="638">
        <v>43586</v>
      </c>
      <c r="B9" s="43">
        <v>4</v>
      </c>
      <c r="C9" s="629" t="s">
        <v>686</v>
      </c>
      <c r="D9" s="983" t="s">
        <v>687</v>
      </c>
      <c r="E9" s="43" t="s">
        <v>22</v>
      </c>
      <c r="F9" s="36"/>
      <c r="G9" s="37"/>
      <c r="H9" s="38"/>
      <c r="I9" s="221">
        <v>2.5</v>
      </c>
      <c r="J9" s="43"/>
      <c r="K9" s="38">
        <v>23660</v>
      </c>
      <c r="L9" s="621">
        <v>0</v>
      </c>
      <c r="M9" s="621">
        <f t="shared" si="1"/>
        <v>591.5</v>
      </c>
      <c r="N9" s="621">
        <f t="shared" si="2"/>
        <v>591.5</v>
      </c>
      <c r="O9" s="621">
        <v>0</v>
      </c>
      <c r="P9" s="222">
        <f t="shared" si="3"/>
        <v>24843</v>
      </c>
      <c r="Q9" s="43" t="s">
        <v>458</v>
      </c>
      <c r="R9" s="43" t="s">
        <v>26</v>
      </c>
    </row>
    <row r="10" spans="1:18" x14ac:dyDescent="0.2">
      <c r="A10" s="638">
        <v>43617</v>
      </c>
      <c r="B10" s="43">
        <v>5</v>
      </c>
      <c r="C10" s="35" t="s">
        <v>600</v>
      </c>
      <c r="D10" s="983" t="e">
        <v>#N/A</v>
      </c>
      <c r="E10" s="43" t="s">
        <v>22</v>
      </c>
      <c r="F10" s="38"/>
      <c r="G10" s="38"/>
      <c r="H10" s="38"/>
      <c r="I10" s="221">
        <v>2.5</v>
      </c>
      <c r="J10" s="43"/>
      <c r="K10" s="38">
        <v>24600</v>
      </c>
      <c r="L10" s="621">
        <v>0</v>
      </c>
      <c r="M10" s="621">
        <f t="shared" si="1"/>
        <v>615</v>
      </c>
      <c r="N10" s="621">
        <f t="shared" si="2"/>
        <v>615</v>
      </c>
      <c r="O10" s="621">
        <v>0</v>
      </c>
      <c r="P10" s="222">
        <f t="shared" si="3"/>
        <v>25830</v>
      </c>
      <c r="Q10" s="43" t="s">
        <v>458</v>
      </c>
      <c r="R10" s="43" t="s">
        <v>26</v>
      </c>
    </row>
    <row r="11" spans="1:18" x14ac:dyDescent="0.2">
      <c r="A11" s="638">
        <v>43647</v>
      </c>
      <c r="B11" s="43">
        <v>6</v>
      </c>
      <c r="C11" s="35" t="s">
        <v>600</v>
      </c>
      <c r="D11" s="983" t="e">
        <v>#N/A</v>
      </c>
      <c r="E11" s="43" t="s">
        <v>22</v>
      </c>
      <c r="F11" s="38"/>
      <c r="G11" s="38"/>
      <c r="H11" s="38"/>
      <c r="I11" s="221">
        <v>2.5</v>
      </c>
      <c r="J11" s="43"/>
      <c r="K11" s="38">
        <v>23800</v>
      </c>
      <c r="L11" s="621">
        <v>0</v>
      </c>
      <c r="M11" s="621">
        <f t="shared" si="1"/>
        <v>595</v>
      </c>
      <c r="N11" s="621">
        <f t="shared" si="2"/>
        <v>595</v>
      </c>
      <c r="O11" s="621">
        <v>0</v>
      </c>
      <c r="P11" s="222">
        <f t="shared" si="3"/>
        <v>24990</v>
      </c>
      <c r="Q11" s="43" t="s">
        <v>458</v>
      </c>
      <c r="R11" s="43" t="s">
        <v>26</v>
      </c>
    </row>
    <row r="12" spans="1:18" x14ac:dyDescent="0.2">
      <c r="A12" s="638">
        <v>43647</v>
      </c>
      <c r="B12" s="43">
        <v>7</v>
      </c>
      <c r="C12" s="629" t="s">
        <v>686</v>
      </c>
      <c r="D12" s="983" t="s">
        <v>687</v>
      </c>
      <c r="E12" s="43" t="s">
        <v>22</v>
      </c>
      <c r="F12" s="38"/>
      <c r="G12" s="38"/>
      <c r="H12" s="38"/>
      <c r="I12" s="221">
        <v>2.5</v>
      </c>
      <c r="J12" s="43"/>
      <c r="K12" s="38">
        <v>7450</v>
      </c>
      <c r="L12" s="621">
        <v>0</v>
      </c>
      <c r="M12" s="621">
        <f t="shared" si="1"/>
        <v>186.25</v>
      </c>
      <c r="N12" s="621">
        <f t="shared" si="2"/>
        <v>186.25</v>
      </c>
      <c r="O12" s="621">
        <v>0</v>
      </c>
      <c r="P12" s="222">
        <f t="shared" si="3"/>
        <v>7822.5</v>
      </c>
      <c r="Q12" s="43" t="s">
        <v>458</v>
      </c>
      <c r="R12" s="43" t="s">
        <v>26</v>
      </c>
    </row>
    <row r="13" spans="1:18" x14ac:dyDescent="0.2">
      <c r="A13" s="638">
        <v>43678</v>
      </c>
      <c r="B13" s="43">
        <v>12</v>
      </c>
      <c r="C13" s="35" t="s">
        <v>600</v>
      </c>
      <c r="D13" s="983" t="e">
        <v>#N/A</v>
      </c>
      <c r="E13" s="43" t="s">
        <v>22</v>
      </c>
      <c r="F13" s="38"/>
      <c r="G13" s="38"/>
      <c r="H13" s="38"/>
      <c r="I13" s="221">
        <v>2.5</v>
      </c>
      <c r="J13" s="43"/>
      <c r="K13" s="38">
        <v>33600</v>
      </c>
      <c r="L13" s="621">
        <v>0</v>
      </c>
      <c r="M13" s="621">
        <f t="shared" si="1"/>
        <v>840</v>
      </c>
      <c r="N13" s="621">
        <f t="shared" si="2"/>
        <v>840</v>
      </c>
      <c r="O13" s="621">
        <v>0</v>
      </c>
      <c r="P13" s="222">
        <f t="shared" si="3"/>
        <v>35280</v>
      </c>
      <c r="Q13" s="43" t="s">
        <v>458</v>
      </c>
      <c r="R13" s="43" t="s">
        <v>26</v>
      </c>
    </row>
    <row r="14" spans="1:18" x14ac:dyDescent="0.2">
      <c r="A14" s="638">
        <v>43678</v>
      </c>
      <c r="B14" s="43">
        <v>13</v>
      </c>
      <c r="C14" s="629" t="s">
        <v>686</v>
      </c>
      <c r="D14" s="983" t="s">
        <v>687</v>
      </c>
      <c r="E14" s="43" t="s">
        <v>22</v>
      </c>
      <c r="F14" s="38"/>
      <c r="G14" s="38"/>
      <c r="H14" s="38"/>
      <c r="I14" s="221">
        <v>2.5</v>
      </c>
      <c r="J14" s="43"/>
      <c r="K14" s="38">
        <v>2300</v>
      </c>
      <c r="L14" s="621">
        <v>0</v>
      </c>
      <c r="M14" s="621">
        <f t="shared" si="1"/>
        <v>57.5</v>
      </c>
      <c r="N14" s="621">
        <f t="shared" si="2"/>
        <v>57.5</v>
      </c>
      <c r="O14" s="621">
        <v>0</v>
      </c>
      <c r="P14" s="222">
        <f t="shared" si="3"/>
        <v>2415</v>
      </c>
      <c r="Q14" s="43" t="s">
        <v>458</v>
      </c>
      <c r="R14" s="43" t="s">
        <v>26</v>
      </c>
    </row>
    <row r="15" spans="1:18" x14ac:dyDescent="0.2">
      <c r="A15" s="638">
        <v>43709</v>
      </c>
      <c r="B15" s="43">
        <v>14</v>
      </c>
      <c r="C15" s="35" t="s">
        <v>600</v>
      </c>
      <c r="D15" s="983" t="e">
        <v>#N/A</v>
      </c>
      <c r="E15" s="43" t="s">
        <v>22</v>
      </c>
      <c r="F15" s="38"/>
      <c r="G15" s="38"/>
      <c r="H15" s="38"/>
      <c r="I15" s="221">
        <v>2.5</v>
      </c>
      <c r="J15" s="43"/>
      <c r="K15" s="38">
        <v>22100</v>
      </c>
      <c r="L15" s="621">
        <v>0</v>
      </c>
      <c r="M15" s="621">
        <f t="shared" si="1"/>
        <v>552.5</v>
      </c>
      <c r="N15" s="621">
        <f t="shared" si="2"/>
        <v>552.5</v>
      </c>
      <c r="O15" s="621">
        <v>0</v>
      </c>
      <c r="P15" s="222">
        <f t="shared" si="3"/>
        <v>23205</v>
      </c>
      <c r="Q15" s="43" t="s">
        <v>458</v>
      </c>
      <c r="R15" s="43" t="s">
        <v>26</v>
      </c>
    </row>
    <row r="16" spans="1:18" x14ac:dyDescent="0.2">
      <c r="A16" s="638">
        <v>43709</v>
      </c>
      <c r="B16" s="43">
        <v>15</v>
      </c>
      <c r="C16" s="35" t="s">
        <v>686</v>
      </c>
      <c r="D16" s="983" t="s">
        <v>687</v>
      </c>
      <c r="E16" s="43" t="s">
        <v>22</v>
      </c>
      <c r="F16" s="38"/>
      <c r="G16" s="38"/>
      <c r="H16" s="38"/>
      <c r="I16" s="221">
        <v>2.5</v>
      </c>
      <c r="J16" s="43"/>
      <c r="K16" s="38">
        <v>6050</v>
      </c>
      <c r="L16" s="621">
        <v>0</v>
      </c>
      <c r="M16" s="621">
        <f t="shared" si="1"/>
        <v>151.25</v>
      </c>
      <c r="N16" s="621">
        <f t="shared" si="2"/>
        <v>151.25</v>
      </c>
      <c r="O16" s="621">
        <v>0</v>
      </c>
      <c r="P16" s="222">
        <f t="shared" si="3"/>
        <v>6352.5</v>
      </c>
      <c r="Q16" s="43" t="s">
        <v>458</v>
      </c>
      <c r="R16" s="43" t="s">
        <v>26</v>
      </c>
    </row>
    <row r="17" spans="1:18" x14ac:dyDescent="0.2">
      <c r="A17" s="638">
        <v>43709</v>
      </c>
      <c r="B17" s="43">
        <v>16</v>
      </c>
      <c r="C17" s="35" t="s">
        <v>686</v>
      </c>
      <c r="D17" s="11" t="s">
        <v>687</v>
      </c>
      <c r="E17" s="43" t="s">
        <v>22</v>
      </c>
      <c r="F17" s="38"/>
      <c r="G17" s="38"/>
      <c r="H17" s="38"/>
      <c r="I17" s="221">
        <v>2.5</v>
      </c>
      <c r="J17" s="43"/>
      <c r="K17" s="564">
        <v>2800</v>
      </c>
      <c r="L17" s="621">
        <v>0</v>
      </c>
      <c r="M17" s="621">
        <f t="shared" si="1"/>
        <v>70</v>
      </c>
      <c r="N17" s="621">
        <f t="shared" si="2"/>
        <v>70</v>
      </c>
      <c r="O17" s="621">
        <v>0</v>
      </c>
      <c r="P17" s="222">
        <f t="shared" si="3"/>
        <v>2940</v>
      </c>
      <c r="Q17" s="43" t="s">
        <v>458</v>
      </c>
      <c r="R17" s="43" t="s">
        <v>26</v>
      </c>
    </row>
    <row r="18" spans="1:18" x14ac:dyDescent="0.2">
      <c r="A18" s="638">
        <v>43709</v>
      </c>
      <c r="B18" s="43">
        <v>17</v>
      </c>
      <c r="C18" s="35" t="s">
        <v>673</v>
      </c>
      <c r="D18" s="11" t="s">
        <v>674</v>
      </c>
      <c r="E18" s="43" t="s">
        <v>22</v>
      </c>
      <c r="F18" s="38"/>
      <c r="G18" s="38"/>
      <c r="H18" s="38"/>
      <c r="I18" s="221">
        <v>2.5</v>
      </c>
      <c r="J18" s="43"/>
      <c r="K18" s="564">
        <v>4500</v>
      </c>
      <c r="L18" s="621">
        <v>0</v>
      </c>
      <c r="M18" s="621">
        <f t="shared" si="1"/>
        <v>112.5</v>
      </c>
      <c r="N18" s="621">
        <f t="shared" si="2"/>
        <v>112.5</v>
      </c>
      <c r="O18" s="621">
        <v>0</v>
      </c>
      <c r="P18" s="222">
        <f t="shared" si="3"/>
        <v>4725</v>
      </c>
      <c r="Q18" s="43" t="s">
        <v>458</v>
      </c>
      <c r="R18" s="43" t="s">
        <v>26</v>
      </c>
    </row>
    <row r="19" spans="1:18" x14ac:dyDescent="0.2">
      <c r="A19" s="638">
        <v>43709</v>
      </c>
      <c r="B19" s="43">
        <v>18</v>
      </c>
      <c r="C19" s="35" t="s">
        <v>686</v>
      </c>
      <c r="D19" s="11" t="s">
        <v>687</v>
      </c>
      <c r="E19" s="43" t="s">
        <v>22</v>
      </c>
      <c r="F19" s="38"/>
      <c r="G19" s="38"/>
      <c r="H19" s="38"/>
      <c r="I19" s="221">
        <v>2.5</v>
      </c>
      <c r="J19" s="43"/>
      <c r="K19" s="564">
        <v>1500</v>
      </c>
      <c r="L19" s="621">
        <v>0</v>
      </c>
      <c r="M19" s="621">
        <f t="shared" si="1"/>
        <v>37.5</v>
      </c>
      <c r="N19" s="621">
        <f t="shared" si="2"/>
        <v>37.5</v>
      </c>
      <c r="O19" s="621">
        <v>0</v>
      </c>
      <c r="P19" s="222">
        <f t="shared" si="3"/>
        <v>1575</v>
      </c>
      <c r="Q19" s="43" t="s">
        <v>458</v>
      </c>
      <c r="R19" s="43" t="s">
        <v>26</v>
      </c>
    </row>
    <row r="20" spans="1:18" x14ac:dyDescent="0.2">
      <c r="A20" s="638">
        <v>43739</v>
      </c>
      <c r="B20" s="43">
        <v>19</v>
      </c>
      <c r="C20" s="35" t="s">
        <v>600</v>
      </c>
      <c r="D20" s="983" t="e">
        <v>#N/A</v>
      </c>
      <c r="E20" s="43" t="s">
        <v>22</v>
      </c>
      <c r="F20" s="38"/>
      <c r="G20" s="38"/>
      <c r="H20" s="38"/>
      <c r="I20" s="221">
        <v>2.5</v>
      </c>
      <c r="J20" s="43"/>
      <c r="K20" s="564">
        <v>26450</v>
      </c>
      <c r="L20" s="621">
        <v>0</v>
      </c>
      <c r="M20" s="621">
        <f t="shared" si="1"/>
        <v>661.25</v>
      </c>
      <c r="N20" s="621">
        <f t="shared" si="2"/>
        <v>661.25</v>
      </c>
      <c r="O20" s="621">
        <v>0</v>
      </c>
      <c r="P20" s="222">
        <f t="shared" si="3"/>
        <v>27772.5</v>
      </c>
      <c r="Q20" s="43" t="s">
        <v>458</v>
      </c>
      <c r="R20" s="43" t="s">
        <v>26</v>
      </c>
    </row>
    <row r="21" spans="1:18" x14ac:dyDescent="0.2">
      <c r="A21" s="638">
        <v>43739</v>
      </c>
      <c r="B21" s="43">
        <v>20</v>
      </c>
      <c r="C21" s="981" t="s">
        <v>686</v>
      </c>
      <c r="D21" s="983" t="s">
        <v>687</v>
      </c>
      <c r="E21" s="43" t="s">
        <v>22</v>
      </c>
      <c r="F21" s="38"/>
      <c r="G21" s="38"/>
      <c r="H21" s="38"/>
      <c r="I21" s="221">
        <v>2.5</v>
      </c>
      <c r="J21" s="43"/>
      <c r="K21" s="564">
        <v>1750</v>
      </c>
      <c r="L21" s="621">
        <v>0</v>
      </c>
      <c r="M21" s="621">
        <f t="shared" si="1"/>
        <v>43.75</v>
      </c>
      <c r="N21" s="621">
        <f t="shared" si="2"/>
        <v>43.75</v>
      </c>
      <c r="O21" s="621">
        <v>0</v>
      </c>
      <c r="P21" s="222">
        <f t="shared" si="3"/>
        <v>1837.5</v>
      </c>
      <c r="Q21" s="43" t="s">
        <v>458</v>
      </c>
      <c r="R21" s="43" t="s">
        <v>26</v>
      </c>
    </row>
    <row r="22" spans="1:18" x14ac:dyDescent="0.2">
      <c r="A22" s="638">
        <v>43739</v>
      </c>
      <c r="B22" s="43">
        <v>21</v>
      </c>
      <c r="C22" s="981" t="s">
        <v>686</v>
      </c>
      <c r="D22" s="11" t="s">
        <v>687</v>
      </c>
      <c r="E22" s="43" t="s">
        <v>22</v>
      </c>
      <c r="F22" s="38"/>
      <c r="G22" s="38"/>
      <c r="H22" s="38"/>
      <c r="I22" s="221">
        <v>2.5</v>
      </c>
      <c r="J22" s="43"/>
      <c r="K22" s="564">
        <v>900</v>
      </c>
      <c r="L22" s="621">
        <v>0</v>
      </c>
      <c r="M22" s="621">
        <f t="shared" si="1"/>
        <v>22.5</v>
      </c>
      <c r="N22" s="621">
        <f t="shared" si="2"/>
        <v>22.5</v>
      </c>
      <c r="O22" s="621">
        <v>0</v>
      </c>
      <c r="P22" s="222">
        <f t="shared" si="3"/>
        <v>945</v>
      </c>
      <c r="Q22" s="43" t="s">
        <v>458</v>
      </c>
      <c r="R22" s="43" t="s">
        <v>26</v>
      </c>
    </row>
    <row r="23" spans="1:18" x14ac:dyDescent="0.2">
      <c r="A23" s="638">
        <v>43770</v>
      </c>
      <c r="B23" s="34">
        <v>22</v>
      </c>
      <c r="C23" s="981" t="s">
        <v>686</v>
      </c>
      <c r="D23" s="983" t="s">
        <v>687</v>
      </c>
      <c r="E23" s="43" t="s">
        <v>22</v>
      </c>
      <c r="F23" s="38"/>
      <c r="G23" s="38"/>
      <c r="H23" s="38"/>
      <c r="I23" s="221">
        <v>2.5</v>
      </c>
      <c r="J23" s="43"/>
      <c r="K23" s="564">
        <v>3100</v>
      </c>
      <c r="L23" s="621">
        <v>0</v>
      </c>
      <c r="M23" s="621">
        <f t="shared" si="1"/>
        <v>77.5</v>
      </c>
      <c r="N23" s="621">
        <f t="shared" si="2"/>
        <v>77.5</v>
      </c>
      <c r="O23" s="621">
        <v>0</v>
      </c>
      <c r="P23" s="222">
        <f t="shared" si="3"/>
        <v>3255</v>
      </c>
      <c r="Q23" s="43" t="s">
        <v>458</v>
      </c>
      <c r="R23" s="43" t="s">
        <v>26</v>
      </c>
    </row>
    <row r="24" spans="1:18" x14ac:dyDescent="0.2">
      <c r="A24" s="638">
        <v>43770</v>
      </c>
      <c r="B24" s="34">
        <v>23</v>
      </c>
      <c r="C24" s="981" t="s">
        <v>686</v>
      </c>
      <c r="D24" s="11" t="s">
        <v>687</v>
      </c>
      <c r="E24" s="43" t="s">
        <v>22</v>
      </c>
      <c r="F24" s="38"/>
      <c r="G24" s="38"/>
      <c r="H24" s="38"/>
      <c r="I24" s="221">
        <v>2.5</v>
      </c>
      <c r="J24" s="43"/>
      <c r="K24" s="564">
        <v>1150</v>
      </c>
      <c r="L24" s="621">
        <v>0</v>
      </c>
      <c r="M24" s="621">
        <f t="shared" si="1"/>
        <v>28.75</v>
      </c>
      <c r="N24" s="621">
        <f t="shared" si="2"/>
        <v>28.75</v>
      </c>
      <c r="O24" s="621">
        <v>0</v>
      </c>
      <c r="P24" s="222">
        <f t="shared" si="3"/>
        <v>1207.5</v>
      </c>
      <c r="Q24" s="43" t="s">
        <v>458</v>
      </c>
      <c r="R24" s="43" t="s">
        <v>26</v>
      </c>
    </row>
    <row r="25" spans="1:18" x14ac:dyDescent="0.2">
      <c r="A25" s="638">
        <v>43770</v>
      </c>
      <c r="B25" s="34">
        <v>24</v>
      </c>
      <c r="C25" s="565" t="s">
        <v>600</v>
      </c>
      <c r="D25" s="983" t="e">
        <v>#N/A</v>
      </c>
      <c r="E25" s="43" t="s">
        <v>22</v>
      </c>
      <c r="F25" s="38"/>
      <c r="G25" s="38"/>
      <c r="H25" s="38"/>
      <c r="I25" s="221">
        <v>2.5</v>
      </c>
      <c r="J25" s="43"/>
      <c r="K25" s="564">
        <v>19500</v>
      </c>
      <c r="L25" s="621">
        <v>0</v>
      </c>
      <c r="M25" s="621">
        <f t="shared" si="1"/>
        <v>487.5</v>
      </c>
      <c r="N25" s="621">
        <f t="shared" si="2"/>
        <v>487.5</v>
      </c>
      <c r="O25" s="621">
        <v>0</v>
      </c>
      <c r="P25" s="222">
        <f t="shared" si="3"/>
        <v>20475</v>
      </c>
      <c r="Q25" s="43" t="s">
        <v>458</v>
      </c>
      <c r="R25" s="43" t="s">
        <v>26</v>
      </c>
    </row>
    <row r="26" spans="1:18" x14ac:dyDescent="0.2">
      <c r="A26" s="638">
        <v>43770</v>
      </c>
      <c r="B26" s="34">
        <v>25</v>
      </c>
      <c r="C26" s="981" t="s">
        <v>686</v>
      </c>
      <c r="D26" s="983" t="s">
        <v>687</v>
      </c>
      <c r="E26" s="43" t="s">
        <v>22</v>
      </c>
      <c r="F26" s="38"/>
      <c r="G26" s="38"/>
      <c r="H26" s="38"/>
      <c r="I26" s="221">
        <v>2.5</v>
      </c>
      <c r="J26" s="43"/>
      <c r="K26" s="564">
        <v>500</v>
      </c>
      <c r="L26" s="621">
        <v>0</v>
      </c>
      <c r="M26" s="621">
        <f t="shared" si="1"/>
        <v>12.5</v>
      </c>
      <c r="N26" s="621">
        <f t="shared" si="2"/>
        <v>12.5</v>
      </c>
      <c r="O26" s="621">
        <v>0</v>
      </c>
      <c r="P26" s="222">
        <f t="shared" si="3"/>
        <v>525</v>
      </c>
      <c r="Q26" s="43" t="s">
        <v>458</v>
      </c>
      <c r="R26" s="43" t="s">
        <v>26</v>
      </c>
    </row>
    <row r="27" spans="1:18" x14ac:dyDescent="0.2">
      <c r="A27" s="638">
        <v>43770</v>
      </c>
      <c r="B27" s="34">
        <v>26</v>
      </c>
      <c r="C27" s="981" t="s">
        <v>686</v>
      </c>
      <c r="D27" s="11" t="s">
        <v>687</v>
      </c>
      <c r="E27" s="43" t="s">
        <v>22</v>
      </c>
      <c r="F27" s="38"/>
      <c r="G27" s="38"/>
      <c r="H27" s="38"/>
      <c r="I27" s="221">
        <v>2.5</v>
      </c>
      <c r="J27" s="43"/>
      <c r="K27" s="564">
        <v>1100</v>
      </c>
      <c r="L27" s="621">
        <v>0</v>
      </c>
      <c r="M27" s="621">
        <f t="shared" si="1"/>
        <v>27.5</v>
      </c>
      <c r="N27" s="621">
        <f t="shared" si="2"/>
        <v>27.5</v>
      </c>
      <c r="O27" s="621">
        <v>0</v>
      </c>
      <c r="P27" s="222">
        <f t="shared" si="3"/>
        <v>1155</v>
      </c>
      <c r="Q27" s="43" t="s">
        <v>458</v>
      </c>
      <c r="R27" s="43" t="s">
        <v>26</v>
      </c>
    </row>
    <row r="28" spans="1:18" x14ac:dyDescent="0.2">
      <c r="A28" s="638">
        <v>43770</v>
      </c>
      <c r="B28" s="34">
        <v>27</v>
      </c>
      <c r="C28" s="981" t="s">
        <v>686</v>
      </c>
      <c r="D28" s="11" t="s">
        <v>687</v>
      </c>
      <c r="E28" s="43" t="s">
        <v>22</v>
      </c>
      <c r="F28" s="38"/>
      <c r="G28" s="38"/>
      <c r="H28" s="38"/>
      <c r="I28" s="221">
        <v>2.5</v>
      </c>
      <c r="J28" s="43"/>
      <c r="K28" s="564">
        <v>2050</v>
      </c>
      <c r="L28" s="621">
        <v>0</v>
      </c>
      <c r="M28" s="621">
        <f t="shared" si="1"/>
        <v>51.25</v>
      </c>
      <c r="N28" s="621">
        <f t="shared" si="2"/>
        <v>51.25</v>
      </c>
      <c r="O28" s="621">
        <v>0</v>
      </c>
      <c r="P28" s="222">
        <f t="shared" si="3"/>
        <v>2152.5</v>
      </c>
      <c r="Q28" s="43" t="s">
        <v>458</v>
      </c>
      <c r="R28" s="43" t="s">
        <v>26</v>
      </c>
    </row>
    <row r="29" spans="1:18" x14ac:dyDescent="0.2">
      <c r="A29" s="638">
        <v>43800</v>
      </c>
      <c r="B29" s="34">
        <v>28</v>
      </c>
      <c r="C29" s="565" t="s">
        <v>600</v>
      </c>
      <c r="D29" s="983" t="e">
        <v>#N/A</v>
      </c>
      <c r="E29" s="43" t="s">
        <v>22</v>
      </c>
      <c r="F29" s="38"/>
      <c r="G29" s="38"/>
      <c r="H29" s="38"/>
      <c r="I29" s="221">
        <v>2.5</v>
      </c>
      <c r="J29" s="43"/>
      <c r="K29" s="564">
        <v>20200</v>
      </c>
      <c r="L29" s="621">
        <v>0</v>
      </c>
      <c r="M29" s="621">
        <f t="shared" si="1"/>
        <v>505</v>
      </c>
      <c r="N29" s="621">
        <f t="shared" si="2"/>
        <v>505</v>
      </c>
      <c r="O29" s="621">
        <v>0</v>
      </c>
      <c r="P29" s="222">
        <f t="shared" si="3"/>
        <v>21210</v>
      </c>
      <c r="Q29" s="43" t="s">
        <v>458</v>
      </c>
      <c r="R29" s="43" t="s">
        <v>26</v>
      </c>
    </row>
    <row r="30" spans="1:18" x14ac:dyDescent="0.2">
      <c r="A30" s="638">
        <v>43800</v>
      </c>
      <c r="B30" s="34">
        <v>29</v>
      </c>
      <c r="C30" s="565" t="s">
        <v>4568</v>
      </c>
      <c r="D30" s="983" t="e">
        <v>#N/A</v>
      </c>
      <c r="E30" s="43" t="s">
        <v>22</v>
      </c>
      <c r="F30" s="38"/>
      <c r="G30" s="38"/>
      <c r="H30" s="38"/>
      <c r="I30" s="221">
        <v>2.5</v>
      </c>
      <c r="J30" s="43"/>
      <c r="K30" s="564">
        <v>7500</v>
      </c>
      <c r="L30" s="621">
        <v>0</v>
      </c>
      <c r="M30" s="621">
        <f t="shared" si="1"/>
        <v>187.5</v>
      </c>
      <c r="N30" s="621">
        <f t="shared" si="2"/>
        <v>187.5</v>
      </c>
      <c r="O30" s="621">
        <v>0</v>
      </c>
      <c r="P30" s="222">
        <f t="shared" si="3"/>
        <v>7875</v>
      </c>
      <c r="Q30" s="43" t="s">
        <v>458</v>
      </c>
      <c r="R30" s="43" t="s">
        <v>26</v>
      </c>
    </row>
    <row r="31" spans="1:18" x14ac:dyDescent="0.2">
      <c r="A31" s="638">
        <v>43800</v>
      </c>
      <c r="B31" s="34">
        <v>30</v>
      </c>
      <c r="C31" s="981" t="s">
        <v>4569</v>
      </c>
      <c r="D31" s="983" t="e">
        <v>#N/A</v>
      </c>
      <c r="E31" s="43" t="s">
        <v>22</v>
      </c>
      <c r="F31" s="38"/>
      <c r="G31" s="38"/>
      <c r="H31" s="38"/>
      <c r="I31" s="221">
        <v>2.5</v>
      </c>
      <c r="J31" s="43"/>
      <c r="K31" s="564">
        <v>8500</v>
      </c>
      <c r="L31" s="621">
        <v>0</v>
      </c>
      <c r="M31" s="621">
        <f t="shared" si="1"/>
        <v>212.5</v>
      </c>
      <c r="N31" s="621">
        <f t="shared" si="2"/>
        <v>212.5</v>
      </c>
      <c r="O31" s="621">
        <v>0</v>
      </c>
      <c r="P31" s="222">
        <f t="shared" si="3"/>
        <v>8925</v>
      </c>
      <c r="Q31" s="43" t="s">
        <v>458</v>
      </c>
      <c r="R31" s="43" t="s">
        <v>26</v>
      </c>
    </row>
    <row r="32" spans="1:18" x14ac:dyDescent="0.2">
      <c r="A32" s="638">
        <v>43800</v>
      </c>
      <c r="B32" s="34">
        <v>31</v>
      </c>
      <c r="C32" s="11" t="s">
        <v>4570</v>
      </c>
      <c r="D32" s="11" t="s">
        <v>4571</v>
      </c>
      <c r="E32" s="43" t="s">
        <v>22</v>
      </c>
      <c r="F32" s="38"/>
      <c r="G32" s="38"/>
      <c r="H32" s="38"/>
      <c r="I32" s="221">
        <v>2.5</v>
      </c>
      <c r="J32" s="43"/>
      <c r="K32" s="564">
        <v>2000</v>
      </c>
      <c r="L32" s="621">
        <v>0</v>
      </c>
      <c r="M32" s="621">
        <f t="shared" si="1"/>
        <v>50</v>
      </c>
      <c r="N32" s="621">
        <f t="shared" si="2"/>
        <v>50</v>
      </c>
      <c r="O32" s="621">
        <v>0</v>
      </c>
      <c r="P32" s="222">
        <f t="shared" si="3"/>
        <v>2100</v>
      </c>
      <c r="Q32" s="43" t="s">
        <v>458</v>
      </c>
      <c r="R32" s="43" t="s">
        <v>26</v>
      </c>
    </row>
    <row r="33" spans="1:18" x14ac:dyDescent="0.2">
      <c r="A33" s="638">
        <v>43800</v>
      </c>
      <c r="B33" s="34">
        <v>32</v>
      </c>
      <c r="C33" s="11" t="s">
        <v>4572</v>
      </c>
      <c r="E33" s="43" t="s">
        <v>22</v>
      </c>
      <c r="F33" s="38"/>
      <c r="G33" s="38"/>
      <c r="H33" s="38"/>
      <c r="I33" s="221">
        <v>2.5</v>
      </c>
      <c r="J33" s="43"/>
      <c r="K33" s="564">
        <v>2361</v>
      </c>
      <c r="L33" s="621">
        <v>0</v>
      </c>
      <c r="M33" s="621">
        <f t="shared" si="1"/>
        <v>59.024999999999999</v>
      </c>
      <c r="N33" s="621">
        <f t="shared" si="2"/>
        <v>59.024999999999999</v>
      </c>
      <c r="O33" s="621">
        <v>0</v>
      </c>
      <c r="P33" s="222">
        <f t="shared" si="3"/>
        <v>2479.0500000000002</v>
      </c>
      <c r="Q33" s="43" t="s">
        <v>458</v>
      </c>
      <c r="R33" s="43" t="s">
        <v>26</v>
      </c>
    </row>
    <row r="34" spans="1:18" x14ac:dyDescent="0.2">
      <c r="A34" s="638">
        <v>43800</v>
      </c>
      <c r="B34" s="34">
        <v>33</v>
      </c>
      <c r="C34" s="981" t="s">
        <v>686</v>
      </c>
      <c r="D34" s="11" t="s">
        <v>687</v>
      </c>
      <c r="E34" s="43" t="s">
        <v>22</v>
      </c>
      <c r="F34" s="38"/>
      <c r="G34" s="38"/>
      <c r="H34" s="38"/>
      <c r="I34" s="221">
        <v>2.5</v>
      </c>
      <c r="J34" s="43"/>
      <c r="K34" s="564">
        <v>2600</v>
      </c>
      <c r="L34" s="621">
        <v>0</v>
      </c>
      <c r="M34" s="621">
        <f t="shared" si="1"/>
        <v>65</v>
      </c>
      <c r="N34" s="621">
        <f t="shared" si="2"/>
        <v>65</v>
      </c>
      <c r="O34" s="621">
        <v>0</v>
      </c>
      <c r="P34" s="222">
        <f t="shared" si="3"/>
        <v>2730</v>
      </c>
      <c r="Q34" s="43" t="s">
        <v>458</v>
      </c>
      <c r="R34" s="43" t="s">
        <v>26</v>
      </c>
    </row>
    <row r="35" spans="1:18" x14ac:dyDescent="0.2">
      <c r="A35" s="638">
        <v>43800</v>
      </c>
      <c r="B35" s="34">
        <v>34</v>
      </c>
      <c r="C35" s="981" t="s">
        <v>686</v>
      </c>
      <c r="D35" s="11" t="s">
        <v>687</v>
      </c>
      <c r="E35" s="43" t="s">
        <v>22</v>
      </c>
      <c r="F35" s="38"/>
      <c r="G35" s="38"/>
      <c r="H35" s="38"/>
      <c r="I35" s="221">
        <v>2.5</v>
      </c>
      <c r="J35" s="43"/>
      <c r="K35" s="564">
        <v>2400</v>
      </c>
      <c r="L35" s="621">
        <v>0</v>
      </c>
      <c r="M35" s="621">
        <f t="shared" si="1"/>
        <v>60</v>
      </c>
      <c r="N35" s="621">
        <f t="shared" si="2"/>
        <v>60</v>
      </c>
      <c r="O35" s="621">
        <v>0</v>
      </c>
      <c r="P35" s="222">
        <f t="shared" si="3"/>
        <v>2520</v>
      </c>
      <c r="Q35" s="43" t="s">
        <v>458</v>
      </c>
      <c r="R35" s="43" t="s">
        <v>26</v>
      </c>
    </row>
    <row r="36" spans="1:18" x14ac:dyDescent="0.2">
      <c r="A36" s="638">
        <v>43800</v>
      </c>
      <c r="B36" s="11">
        <v>35</v>
      </c>
      <c r="C36" s="35" t="s">
        <v>673</v>
      </c>
      <c r="D36" s="11" t="s">
        <v>674</v>
      </c>
      <c r="E36" s="43" t="s">
        <v>22</v>
      </c>
      <c r="F36" s="38"/>
      <c r="G36" s="38"/>
      <c r="H36" s="38"/>
      <c r="I36" s="221">
        <v>2.5</v>
      </c>
      <c r="J36" s="43"/>
      <c r="K36" s="564">
        <v>4200</v>
      </c>
      <c r="L36" s="621">
        <v>0</v>
      </c>
      <c r="M36" s="621">
        <f t="shared" si="1"/>
        <v>105</v>
      </c>
      <c r="N36" s="621">
        <f t="shared" si="2"/>
        <v>105</v>
      </c>
      <c r="O36" s="621">
        <v>0</v>
      </c>
      <c r="P36" s="222">
        <f t="shared" si="3"/>
        <v>4410</v>
      </c>
      <c r="Q36" s="43" t="s">
        <v>458</v>
      </c>
      <c r="R36" s="43" t="s">
        <v>26</v>
      </c>
    </row>
  </sheetData>
  <mergeCells count="7">
    <mergeCell ref="E4:G4"/>
    <mergeCell ref="Q4:R4"/>
    <mergeCell ref="A3:R3"/>
    <mergeCell ref="A2:R2"/>
    <mergeCell ref="A4:A5"/>
    <mergeCell ref="I4:I5"/>
    <mergeCell ref="L4:O4"/>
  </mergeCells>
  <conditionalFormatting sqref="C12">
    <cfRule type="duplicateValues" dxfId="489" priority="6"/>
  </conditionalFormatting>
  <conditionalFormatting sqref="C14">
    <cfRule type="duplicateValues" dxfId="488" priority="5"/>
  </conditionalFormatting>
  <conditionalFormatting sqref="C16">
    <cfRule type="duplicateValues" dxfId="487" priority="4"/>
  </conditionalFormatting>
  <conditionalFormatting sqref="C17">
    <cfRule type="duplicateValues" dxfId="486" priority="3"/>
  </conditionalFormatting>
  <conditionalFormatting sqref="C19">
    <cfRule type="duplicateValues" dxfId="485" priority="2"/>
  </conditionalFormatting>
  <conditionalFormatting sqref="C9">
    <cfRule type="duplicateValues" dxfId="484" priority="1"/>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'MASTER SALE PUR TYPE'!$C$3:$C$15</xm:f>
          </x14:formula1>
          <xm:sqref>E4:E5</xm:sqref>
        </x14:dataValidation>
        <x14:dataValidation type="list" allowBlank="1" showInputMessage="1" showErrorMessage="1">
          <x14:formula1>
            <xm:f>'[2]MASTER SALE PUR TYPE'!#REF!</xm:f>
          </x14:formula1>
          <xm:sqref>E6:E36</xm:sqref>
        </x14:dataValidation>
        <x14:dataValidation type="list" allowBlank="1" showInputMessage="1" showErrorMessage="1">
          <x14:formula1>
            <xm:f>'[2]MASTER SALE PUR TYPE'!#REF!</xm:f>
          </x14:formula1>
          <xm:sqref>Q6:Q36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topLeftCell="B64" workbookViewId="0">
      <selection activeCell="J10" sqref="J10"/>
    </sheetView>
  </sheetViews>
  <sheetFormatPr defaultColWidth="9.109375" defaultRowHeight="10.199999999999999" x14ac:dyDescent="0.2"/>
  <cols>
    <col min="1" max="1" width="17.6640625" style="11" customWidth="1"/>
    <col min="2" max="2" width="16.88671875" style="11" customWidth="1"/>
    <col min="3" max="3" width="12.6640625" style="11" bestFit="1" customWidth="1"/>
    <col min="4" max="4" width="12.77734375" style="11" bestFit="1" customWidth="1"/>
    <col min="5" max="5" width="12.6640625" style="11" bestFit="1" customWidth="1"/>
    <col min="6" max="6" width="12.88671875" style="11" bestFit="1" customWidth="1"/>
    <col min="7" max="7" width="12.77734375" style="11" bestFit="1" customWidth="1"/>
    <col min="8" max="9" width="12.6640625" style="11" bestFit="1" customWidth="1"/>
    <col min="10" max="10" width="12.109375" style="11" customWidth="1"/>
    <col min="11" max="12" width="11.5546875" style="11" bestFit="1" customWidth="1"/>
    <col min="13" max="13" width="6.6640625" style="11" bestFit="1" customWidth="1"/>
    <col min="14" max="14" width="6.5546875" style="11" bestFit="1" customWidth="1"/>
    <col min="15" max="15" width="14.33203125" style="11" bestFit="1" customWidth="1"/>
    <col min="16" max="16384" width="9.109375" style="11"/>
  </cols>
  <sheetData>
    <row r="1" spans="1:16" ht="15" customHeight="1" x14ac:dyDescent="0.2">
      <c r="A1" s="55" t="s">
        <v>274</v>
      </c>
      <c r="B1" s="56"/>
      <c r="C1" s="1039" t="s">
        <v>275</v>
      </c>
      <c r="D1" s="1039"/>
      <c r="E1" s="1039"/>
      <c r="F1" s="1039"/>
      <c r="G1" s="57"/>
      <c r="H1" s="56" t="s">
        <v>276</v>
      </c>
      <c r="I1" s="1039" t="s">
        <v>277</v>
      </c>
      <c r="J1" s="1039"/>
      <c r="K1" s="1039"/>
      <c r="L1" s="1039"/>
      <c r="M1" s="57"/>
      <c r="N1" s="58"/>
    </row>
    <row r="2" spans="1:16" x14ac:dyDescent="0.2">
      <c r="A2" s="59"/>
      <c r="B2" s="60"/>
      <c r="C2" s="61"/>
      <c r="D2" s="61"/>
      <c r="E2" s="61"/>
      <c r="F2" s="61"/>
      <c r="G2" s="61"/>
      <c r="H2" s="61"/>
      <c r="I2" s="61"/>
      <c r="J2" s="61"/>
      <c r="K2" s="61"/>
      <c r="L2" s="61"/>
      <c r="M2" s="61"/>
      <c r="N2" s="62"/>
    </row>
    <row r="3" spans="1:16" ht="16.5" customHeight="1" x14ac:dyDescent="0.2">
      <c r="A3" s="1040" t="s">
        <v>278</v>
      </c>
      <c r="B3" s="1041"/>
      <c r="C3" s="1041"/>
      <c r="D3" s="1041"/>
      <c r="E3" s="1041"/>
      <c r="F3" s="1041"/>
      <c r="G3" s="1041"/>
      <c r="H3" s="1041"/>
      <c r="I3" s="1041"/>
      <c r="J3" s="1041"/>
      <c r="K3" s="1041"/>
      <c r="L3" s="1041"/>
      <c r="M3" s="1041"/>
      <c r="N3" s="1041"/>
      <c r="O3" s="1042"/>
    </row>
    <row r="4" spans="1:16" x14ac:dyDescent="0.2">
      <c r="A4" s="63" t="s">
        <v>279</v>
      </c>
      <c r="B4" s="63" t="s">
        <v>333</v>
      </c>
      <c r="C4" s="64">
        <v>43556</v>
      </c>
      <c r="D4" s="64">
        <v>43586</v>
      </c>
      <c r="E4" s="64">
        <v>43617</v>
      </c>
      <c r="F4" s="64">
        <v>43647</v>
      </c>
      <c r="G4" s="64">
        <v>43678</v>
      </c>
      <c r="H4" s="64">
        <v>43709</v>
      </c>
      <c r="I4" s="64">
        <v>43739</v>
      </c>
      <c r="J4" s="64">
        <v>43770</v>
      </c>
      <c r="K4" s="64">
        <v>43800</v>
      </c>
      <c r="L4" s="64">
        <v>43831</v>
      </c>
      <c r="M4" s="64">
        <v>43862</v>
      </c>
      <c r="N4" s="65">
        <v>43891</v>
      </c>
      <c r="O4" s="66" t="s">
        <v>347</v>
      </c>
    </row>
    <row r="5" spans="1:16" ht="15" customHeight="1" x14ac:dyDescent="0.2">
      <c r="A5" s="67" t="s">
        <v>280</v>
      </c>
      <c r="B5" s="34" t="s">
        <v>25</v>
      </c>
      <c r="C5" s="68">
        <v>0</v>
      </c>
      <c r="D5" s="69">
        <v>0</v>
      </c>
      <c r="E5" s="68"/>
      <c r="F5" s="68"/>
      <c r="G5" s="68"/>
      <c r="H5" s="68"/>
      <c r="I5" s="68"/>
      <c r="J5" s="68"/>
      <c r="K5" s="68"/>
      <c r="L5" s="68"/>
      <c r="M5" s="68"/>
      <c r="N5" s="70"/>
      <c r="O5" s="71">
        <f>SUM(C5:N5)</f>
        <v>0</v>
      </c>
    </row>
    <row r="6" spans="1:16" ht="15" customHeight="1" x14ac:dyDescent="0.2">
      <c r="A6" s="67" t="s">
        <v>281</v>
      </c>
      <c r="B6" s="34" t="s">
        <v>25</v>
      </c>
      <c r="C6" s="68">
        <f>+C7+C8+C9+C10+C11</f>
        <v>4225927.4553999957</v>
      </c>
      <c r="D6" s="68">
        <f t="shared" ref="D6:N6" si="0">+D7+D8+D9+D10+D11</f>
        <v>5070102.2463999987</v>
      </c>
      <c r="E6" s="68">
        <f t="shared" si="0"/>
        <v>6494343.986519997</v>
      </c>
      <c r="F6" s="68">
        <f t="shared" si="0"/>
        <v>8225753.1587999947</v>
      </c>
      <c r="G6" s="68">
        <f t="shared" si="0"/>
        <v>6742319.4615999963</v>
      </c>
      <c r="H6" s="68">
        <f t="shared" si="0"/>
        <v>5856462.8451999994</v>
      </c>
      <c r="I6" s="68">
        <f t="shared" si="0"/>
        <v>5195214.9596000006</v>
      </c>
      <c r="J6" s="68">
        <f t="shared" si="0"/>
        <v>3093087.6043999996</v>
      </c>
      <c r="K6" s="68">
        <f t="shared" si="0"/>
        <v>3823717.7932000002</v>
      </c>
      <c r="L6" s="68">
        <f t="shared" si="0"/>
        <v>6518351.3991999961</v>
      </c>
      <c r="M6" s="68">
        <f t="shared" si="0"/>
        <v>0</v>
      </c>
      <c r="N6" s="70">
        <f t="shared" si="0"/>
        <v>0</v>
      </c>
      <c r="O6" s="71">
        <f t="shared" ref="O6:O69" si="1">SUM(C6:N6)</f>
        <v>55245280.910319984</v>
      </c>
    </row>
    <row r="7" spans="1:16" ht="15" customHeight="1" x14ac:dyDescent="0.2">
      <c r="A7" s="67" t="s">
        <v>282</v>
      </c>
      <c r="B7" s="34" t="s">
        <v>25</v>
      </c>
      <c r="C7" s="68">
        <f>SUMIFS(SALE!$K$6:$K$9177,SALE!$A$6:$A$9177,C4,SALE!$Q$6:$Q$9177,$B$5:$B$1104)</f>
        <v>3354773.3799999962</v>
      </c>
      <c r="D7" s="68">
        <f>SUMIFS(SALE!$K$6:$K$9177,SALE!$A$6:$A$9177,D4,SALE!$Q$6:$Q$9177,$B$5:$B$1104)</f>
        <v>4082939.1799999983</v>
      </c>
      <c r="E7" s="68">
        <f>SUMIFS(SALE!$K$6:$K$9177,SALE!$A$6:$A$9177,E4,SALE!$Q$6:$Q$9177,$B$5:$B$1104)</f>
        <v>5235733.7339999964</v>
      </c>
      <c r="F7" s="68">
        <f>SUMIFS(SALE!$K$6:$K$9177,SALE!$A$6:$A$9177,F4,SALE!$Q$6:$Q$9177,$B$5:$B$1104)</f>
        <v>6634007.6599999927</v>
      </c>
      <c r="G7" s="68">
        <f>SUMIFS(SALE!$K$6:$K$9177,SALE!$A$6:$A$9177,G4,SALE!$Q$6:$Q$9177,$B$5:$B$1104)</f>
        <v>5482303.4199999953</v>
      </c>
      <c r="H7" s="68">
        <f>SUMIFS(SALE!$K$6:$K$9177,SALE!$A$6:$A$9177,H4,SALE!$Q$6:$Q$9177,$B$5:$B$1104)</f>
        <v>4788659.8899999997</v>
      </c>
      <c r="I7" s="68">
        <f>SUMIFS(SALE!$K$6:$K$9177,SALE!$A$6:$A$9177,I4,SALE!$Q$6:$Q$9177,$B$5:$B$1104)</f>
        <v>4303915.0199999996</v>
      </c>
      <c r="J7" s="68">
        <f>SUMIFS(SALE!$K$6:$K$9177,SALE!$A$6:$A$9177,J4,SALE!$Q$6:$Q$9177,$B$5:$B$1104)</f>
        <v>2528210.6899999995</v>
      </c>
      <c r="K7" s="68">
        <f>SUMIFS(SALE!$K$6:$K$9177,SALE!$A$6:$A$9177,K4,SALE!$Q$6:$Q$9177,$B$5:$B$1104)</f>
        <v>3164150.0799999996</v>
      </c>
      <c r="L7" s="68">
        <f>SUMIFS(SALE!$K$6:$K$9177,SALE!$A$6:$A$9177,L4,SALE!$Q$6:$Q$9177,$B$5:$B$1104)</f>
        <v>5452403.9399999948</v>
      </c>
      <c r="M7" s="68">
        <f>SUMIFS(SALE!$K$6:$K$9177,SALE!$A$6:$A$9177,M4,SALE!$Q$6:$Q$9177,$B$5:$B$1104)</f>
        <v>0</v>
      </c>
      <c r="N7" s="70">
        <f>SUMIFS(SALE!$K$6:$K$9177,SALE!$A$6:$A$9177,N4,SALE!$Q$6:$Q$9177,$B$5:$B$1104)</f>
        <v>0</v>
      </c>
      <c r="O7" s="71">
        <f t="shared" si="1"/>
        <v>45027096.993999973</v>
      </c>
    </row>
    <row r="8" spans="1:16" ht="15" customHeight="1" x14ac:dyDescent="0.2">
      <c r="A8" s="67" t="s">
        <v>283</v>
      </c>
      <c r="B8" s="34" t="s">
        <v>25</v>
      </c>
      <c r="C8" s="68">
        <f>SUMIFS(SALE!$L$6:$L$9177,SALE!$A$6:$A$9177,C4,SALE!$Q$6:$Q$9177,$B$5:$B$1104)</f>
        <v>36646.618399999999</v>
      </c>
      <c r="D8" s="68">
        <f>SUMIFS(SALE!$L$6:$L$9177,SALE!$A$6:$A$9177,D4,SALE!$Q$6:$Q$9177,$B$5:$B$1104)</f>
        <v>55549.74040000001</v>
      </c>
      <c r="E8" s="68">
        <f>SUMIFS(SALE!$L$6:$L$9177,SALE!$A$6:$A$9177,E4,SALE!$Q$6:$Q$9177,$B$5:$B$1104)</f>
        <v>149635.80240000002</v>
      </c>
      <c r="F8" s="68">
        <f>SUMIFS(SALE!$L$6:$L$9177,SALE!$A$6:$A$9177,F4,SALE!$Q$6:$Q$9177,$B$5:$B$1104)</f>
        <v>66125.387999999992</v>
      </c>
      <c r="G8" s="68">
        <f>SUMIFS(SALE!$L$6:$L$9177,SALE!$A$6:$A$9177,G4,SALE!$Q$6:$Q$9177,$B$5:$B$1104)</f>
        <v>30473.3688</v>
      </c>
      <c r="H8" s="68">
        <f>SUMIFS(SALE!$L$6:$L$9177,SALE!$A$6:$A$9177,H4,SALE!$Q$6:$Q$9177,$B$5:$B$1104)</f>
        <v>75713.330000000016</v>
      </c>
      <c r="I8" s="68">
        <f>SUMIFS(SALE!$L$6:$L$9177,SALE!$A$6:$A$9177,I4,SALE!$Q$6:$Q$9177,$B$5:$B$1104)</f>
        <v>51945.630799999992</v>
      </c>
      <c r="J8" s="68">
        <f>SUMIFS(SALE!$L$6:$L$9177,SALE!$A$6:$A$9177,J4,SALE!$Q$6:$Q$9177,$B$5:$B$1104)</f>
        <v>50926.2068</v>
      </c>
      <c r="K8" s="68">
        <f>SUMIFS(SALE!$L$6:$L$9177,SALE!$A$6:$A$9177,K4,SALE!$Q$6:$Q$9177,$B$5:$B$1104)</f>
        <v>128383.5336</v>
      </c>
      <c r="L8" s="68">
        <f>SUMIFS(SALE!$L$6:$L$9177,SALE!$A$6:$A$9177,L4,SALE!$Q$6:$Q$9177,$B$5:$B$1104)</f>
        <v>38884.86</v>
      </c>
      <c r="M8" s="68">
        <f>SUMIFS(SALE!$L$6:$L$9177,SALE!$A$6:$A$9177,M4,SALE!$Q$6:$Q$9177,$B$5:$B$1104)</f>
        <v>0</v>
      </c>
      <c r="N8" s="70">
        <f>SUMIFS(SALE!$L$6:$L$9177,SALE!$A$6:$A$9177,N4,SALE!$Q$6:$Q$9177,$B$5:$B$1104)</f>
        <v>0</v>
      </c>
      <c r="O8" s="71">
        <f t="shared" si="1"/>
        <v>684284.47919999994</v>
      </c>
      <c r="P8" s="72"/>
    </row>
    <row r="9" spans="1:16" ht="15" customHeight="1" x14ac:dyDescent="0.2">
      <c r="A9" s="67" t="s">
        <v>284</v>
      </c>
      <c r="B9" s="34" t="s">
        <v>25</v>
      </c>
      <c r="C9" s="68">
        <f>SUMIFS(SALE!$M$6:$M$9177,SALE!$A$6:$A$9177,C4,SALE!$Q$6:$Q$9177,$B$5:$B$1104)</f>
        <v>417253.72849999991</v>
      </c>
      <c r="D9" s="68">
        <f>SUMIFS(SALE!$M$6:$M$9177,SALE!$A$6:$A$9177,D4,SALE!$Q$6:$Q$9177,$B$5:$B$1104)</f>
        <v>465806.66300000018</v>
      </c>
      <c r="E9" s="68">
        <f>SUMIFS(SALE!$M$6:$M$9177,SALE!$A$6:$A$9177,E4,SALE!$Q$6:$Q$9177,$B$5:$B$1104)</f>
        <v>554487.2250600002</v>
      </c>
      <c r="F9" s="68">
        <f>SUMIFS(SALE!$M$6:$M$9177,SALE!$A$6:$A$9177,F4,SALE!$Q$6:$Q$9177,$B$5:$B$1104)</f>
        <v>762810.05540000054</v>
      </c>
      <c r="G9" s="68">
        <f>SUMIFS(SALE!$M$6:$M$9177,SALE!$A$6:$A$9177,G4,SALE!$Q$6:$Q$9177,$B$5:$B$1104)</f>
        <v>614771.33640000015</v>
      </c>
      <c r="H9" s="68">
        <f>SUMIFS(SALE!$M$6:$M$9177,SALE!$A$6:$A$9177,H4,SALE!$Q$6:$Q$9177,$B$5:$B$1104)</f>
        <v>496044.81260000024</v>
      </c>
      <c r="I9" s="68">
        <f>SUMIFS(SALE!$M$6:$M$9177,SALE!$A$6:$A$9177,I4,SALE!$Q$6:$Q$9177,$B$5:$B$1104)</f>
        <v>419677.1544</v>
      </c>
      <c r="J9" s="68">
        <f>SUMIFS(SALE!$M$6:$M$9177,SALE!$A$6:$A$9177,J4,SALE!$Q$6:$Q$9177,$B$5:$B$1104)</f>
        <v>256975.35380000001</v>
      </c>
      <c r="K9" s="68">
        <f>SUMIFS(SALE!$M$6:$M$9177,SALE!$A$6:$A$9177,K4,SALE!$Q$6:$Q$9177,$B$5:$B$1104)</f>
        <v>265592.08979999996</v>
      </c>
      <c r="L9" s="68">
        <f>SUMIFS(SALE!$M$6:$M$9177,SALE!$A$6:$A$9177,L4,SALE!$Q$6:$Q$9177,$B$5:$B$1104)</f>
        <v>513531.29960000014</v>
      </c>
      <c r="M9" s="68">
        <f>SUMIFS(SALE!$M$6:$M$9177,SALE!$A$6:$A$9177,M4,SALE!$Q$6:$Q$9177,$B$5:$B$1104)</f>
        <v>0</v>
      </c>
      <c r="N9" s="70">
        <f>SUMIFS(SALE!$M$6:$M$9177,SALE!$A$6:$A$9177,N4,SALE!$Q$6:$Q$9177,$B$5:$B$1104)</f>
        <v>0</v>
      </c>
      <c r="O9" s="71">
        <f t="shared" si="1"/>
        <v>4766949.7185600018</v>
      </c>
    </row>
    <row r="10" spans="1:16" ht="15" customHeight="1" x14ac:dyDescent="0.2">
      <c r="A10" s="67" t="s">
        <v>285</v>
      </c>
      <c r="B10" s="34" t="s">
        <v>25</v>
      </c>
      <c r="C10" s="68">
        <f>SUMIFS(SALE!$N$6:$N$9177,SALE!$A$6:$A$9177,C4,SALE!$Q$6:$Q$9177,$B$5:$B$1104)</f>
        <v>417253.72849999991</v>
      </c>
      <c r="D10" s="68">
        <f>SUMIFS(SALE!$N$6:$N$9177,SALE!$A$6:$A$9177,D4,SALE!$Q$6:$Q$9177,$B$5:$B$1104)</f>
        <v>465806.66300000018</v>
      </c>
      <c r="E10" s="68">
        <f>SUMIFS(SALE!$N$6:$N$9177,SALE!$A$6:$A$9177,E4,SALE!$Q$6:$Q$9177,$B$5:$B$1104)</f>
        <v>554487.2250600002</v>
      </c>
      <c r="F10" s="68">
        <f>SUMIFS(SALE!$N$6:$N$9177,SALE!$A$6:$A$9177,F4,SALE!$Q$6:$Q$9177,$B$5:$B$1104)</f>
        <v>762810.05540000054</v>
      </c>
      <c r="G10" s="68">
        <f>SUMIFS(SALE!$N$6:$N$9177,SALE!$A$6:$A$9177,G4,SALE!$Q$6:$Q$9177,$B$5:$B$1104)</f>
        <v>614771.33640000015</v>
      </c>
      <c r="H10" s="68">
        <f>SUMIFS(SALE!$N$6:$N$9177,SALE!$A$6:$A$9177,H4,SALE!$Q$6:$Q$9177,$B$5:$B$1104)</f>
        <v>496044.81260000024</v>
      </c>
      <c r="I10" s="68">
        <f>SUMIFS(SALE!$N$6:$N$9177,SALE!$A$6:$A$9177,I4,SALE!$Q$6:$Q$9177,$B$5:$B$1104)</f>
        <v>419677.1544</v>
      </c>
      <c r="J10" s="68">
        <f>SUMIFS(SALE!$N$6:$N$9177,SALE!$A$6:$A$9177,J4,SALE!$Q$6:$Q$9177,$B$5:$B$1104)</f>
        <v>256975.35380000001</v>
      </c>
      <c r="K10" s="68">
        <f>SUMIFS(SALE!$N$6:$N$9177,SALE!$A$6:$A$9177,K4,SALE!$Q$6:$Q$9177,$B$5:$B$1104)</f>
        <v>265592.08979999996</v>
      </c>
      <c r="L10" s="68">
        <f>SUMIFS(SALE!$N$6:$N$9177,SALE!$A$6:$A$9177,L4,SALE!$Q$6:$Q$9177,$B$5:$B$1104)</f>
        <v>513531.29960000014</v>
      </c>
      <c r="M10" s="68">
        <f>SUMIFS(SALE!$N$6:$N$9177,SALE!$A$6:$A$9177,M4,SALE!$Q$6:$Q$9177,$B$5:$B$1104)</f>
        <v>0</v>
      </c>
      <c r="N10" s="70">
        <f>SUMIFS(SALE!$N$6:$N$9177,SALE!$A$6:$A$9177,N4,SALE!$Q$6:$Q$9177,$B$5:$B$1104)</f>
        <v>0</v>
      </c>
      <c r="O10" s="71">
        <f t="shared" si="1"/>
        <v>4766949.7185600018</v>
      </c>
    </row>
    <row r="11" spans="1:16" ht="15" customHeight="1" x14ac:dyDescent="0.2">
      <c r="A11" s="67" t="s">
        <v>286</v>
      </c>
      <c r="B11" s="34" t="s">
        <v>25</v>
      </c>
      <c r="C11" s="68">
        <f>SUMIFS(SALE!$O$6:$O$9177,SALE!$A$6:$A$9177,C4,SALE!$Q$6:$Q$9177,$B$5:$B$1104)</f>
        <v>0</v>
      </c>
      <c r="D11" s="68">
        <f>SUMIFS(SALE!$O$6:$O$9177,SALE!$A$6:$A$9177,D4,SALE!$Q$6:$Q$9177,$B$5:$B$1104)</f>
        <v>0</v>
      </c>
      <c r="E11" s="68">
        <f>SUMIFS(SALE!$O$6:$O$9177,SALE!$A$6:$A$9177,E4,SALE!$Q$6:$Q$9177,$B$5:$B$1104)</f>
        <v>0</v>
      </c>
      <c r="F11" s="68">
        <f>SUMIFS(SALE!$O$6:$O$9177,SALE!$A$6:$A$9177,F4,SALE!$Q$6:$Q$9177,$B$5:$B$1104)</f>
        <v>0</v>
      </c>
      <c r="G11" s="68">
        <f>SUMIFS(SALE!$O$6:$O$9177,SALE!$A$6:$A$9177,G4,SALE!$Q$6:$Q$9177,$B$5:$B$1104)</f>
        <v>0</v>
      </c>
      <c r="H11" s="68">
        <f>SUMIFS(SALE!$O$6:$O$9177,SALE!$A$6:$A$9177,H4,SALE!$Q$6:$Q$9177,$B$5:$B$1104)</f>
        <v>0</v>
      </c>
      <c r="I11" s="68">
        <f>SUMIFS(SALE!$O$6:$O$9177,SALE!$A$6:$A$9177,I4,SALE!$Q$6:$Q$9177,$B$5:$B$1104)</f>
        <v>0</v>
      </c>
      <c r="J11" s="68">
        <f>SUMIFS(SALE!$O$6:$O$9177,SALE!$A$6:$A$9177,J4,SALE!$Q$6:$Q$9177,$B$5:$B$1104)</f>
        <v>0</v>
      </c>
      <c r="K11" s="68">
        <f>SUMIFS(SALE!$O$6:$O$9177,SALE!$A$6:$A$9177,K4,SALE!$Q$6:$Q$9177,$B$5:$B$1104)</f>
        <v>0</v>
      </c>
      <c r="L11" s="68">
        <f>SUMIFS(SALE!$O$6:$O$9177,SALE!$A$6:$A$9177,L4,SALE!$Q$6:$Q$9177,$B$5:$B$1104)</f>
        <v>0</v>
      </c>
      <c r="M11" s="68">
        <f>SUMIFS(SALE!$O$6:$O$9177,SALE!$A$6:$A$9177,M4,SALE!$Q$6:$Q$9177,$B$5:$B$1104)</f>
        <v>0</v>
      </c>
      <c r="N11" s="70">
        <f>SUMIFS(SALE!$O$6:$O$9177,SALE!$A$6:$A$9177,N4,SALE!$Q$6:$Q$9177,$B$5:$B$1104)</f>
        <v>0</v>
      </c>
      <c r="O11" s="71">
        <f t="shared" si="1"/>
        <v>0</v>
      </c>
    </row>
    <row r="12" spans="1:16" x14ac:dyDescent="0.2">
      <c r="A12" s="1043" t="s">
        <v>287</v>
      </c>
      <c r="B12" s="1044"/>
      <c r="C12" s="1044"/>
      <c r="D12" s="1044"/>
      <c r="E12" s="1044"/>
      <c r="F12" s="1044"/>
      <c r="G12" s="1044"/>
      <c r="H12" s="1044"/>
      <c r="I12" s="1044"/>
      <c r="J12" s="1044"/>
      <c r="K12" s="1044"/>
      <c r="L12" s="1044"/>
      <c r="M12" s="1044"/>
      <c r="N12" s="1044"/>
      <c r="O12" s="1045"/>
    </row>
    <row r="13" spans="1:16" x14ac:dyDescent="0.2">
      <c r="A13" s="63" t="s">
        <v>279</v>
      </c>
      <c r="B13" s="63"/>
      <c r="C13" s="64">
        <v>43556</v>
      </c>
      <c r="D13" s="64">
        <v>43586</v>
      </c>
      <c r="E13" s="64">
        <v>43617</v>
      </c>
      <c r="F13" s="64">
        <v>43647</v>
      </c>
      <c r="G13" s="64">
        <v>43678</v>
      </c>
      <c r="H13" s="64">
        <v>43709</v>
      </c>
      <c r="I13" s="64">
        <v>43739</v>
      </c>
      <c r="J13" s="64">
        <v>43770</v>
      </c>
      <c r="K13" s="64">
        <v>43800</v>
      </c>
      <c r="L13" s="64">
        <v>43831</v>
      </c>
      <c r="M13" s="64">
        <v>43862</v>
      </c>
      <c r="N13" s="65">
        <v>43891</v>
      </c>
      <c r="O13" s="66" t="s">
        <v>347</v>
      </c>
    </row>
    <row r="14" spans="1:16" ht="15" customHeight="1" x14ac:dyDescent="0.2">
      <c r="A14" s="34" t="s">
        <v>280</v>
      </c>
      <c r="B14" s="34" t="s">
        <v>348</v>
      </c>
      <c r="C14" s="71">
        <v>0</v>
      </c>
      <c r="D14" s="71"/>
      <c r="E14" s="71"/>
      <c r="F14" s="71"/>
      <c r="G14" s="71"/>
      <c r="H14" s="71"/>
      <c r="I14" s="71"/>
      <c r="J14" s="71"/>
      <c r="K14" s="71"/>
      <c r="L14" s="71"/>
      <c r="M14" s="71"/>
      <c r="N14" s="73"/>
      <c r="O14" s="71">
        <f t="shared" si="1"/>
        <v>0</v>
      </c>
    </row>
    <row r="15" spans="1:16" ht="15" customHeight="1" x14ac:dyDescent="0.2">
      <c r="A15" s="34" t="s">
        <v>281</v>
      </c>
      <c r="B15" s="34" t="s">
        <v>348</v>
      </c>
      <c r="C15" s="68">
        <f>+C16+C17+C18</f>
        <v>0</v>
      </c>
      <c r="D15" s="68">
        <f t="shared" ref="D15:N15" si="2">+D16+D17+D18</f>
        <v>0</v>
      </c>
      <c r="E15" s="68">
        <f t="shared" si="2"/>
        <v>0</v>
      </c>
      <c r="F15" s="68">
        <f t="shared" si="2"/>
        <v>0</v>
      </c>
      <c r="G15" s="68">
        <f t="shared" si="2"/>
        <v>0</v>
      </c>
      <c r="H15" s="68">
        <f t="shared" si="2"/>
        <v>0</v>
      </c>
      <c r="I15" s="68">
        <f t="shared" si="2"/>
        <v>0</v>
      </c>
      <c r="J15" s="68">
        <f t="shared" si="2"/>
        <v>0</v>
      </c>
      <c r="K15" s="68">
        <f t="shared" si="2"/>
        <v>0</v>
      </c>
      <c r="L15" s="68">
        <f t="shared" si="2"/>
        <v>0</v>
      </c>
      <c r="M15" s="68">
        <f t="shared" si="2"/>
        <v>0</v>
      </c>
      <c r="N15" s="70">
        <f t="shared" si="2"/>
        <v>0</v>
      </c>
      <c r="O15" s="71">
        <f t="shared" si="1"/>
        <v>0</v>
      </c>
    </row>
    <row r="16" spans="1:16" ht="15" customHeight="1" x14ac:dyDescent="0.2">
      <c r="A16" s="34" t="s">
        <v>282</v>
      </c>
      <c r="B16" s="34" t="s">
        <v>348</v>
      </c>
      <c r="C16" s="68">
        <f>SUMIFS(SALE!$K$6:$K$9177,SALE!$A$6:$A$9177,C13,SALE!$Q$6:$Q$9177,$B$5:$B$1104)</f>
        <v>0</v>
      </c>
      <c r="D16" s="68">
        <f>SUMIFS(SALE!$K$6:$K$9177,SALE!$A$6:$A$9177,D13,SALE!$Q$6:$Q$9177,$B$5:$B$1104)</f>
        <v>0</v>
      </c>
      <c r="E16" s="68">
        <f>SUMIFS(SALE!$K$6:$K$9177,SALE!$A$6:$A$9177,E13,SALE!$Q$6:$Q$9177,$B$5:$B$1104)</f>
        <v>0</v>
      </c>
      <c r="F16" s="68">
        <f>SUMIFS(SALE!$K$6:$K$9177,SALE!$A$6:$A$9177,F13,SALE!$Q$6:$Q$9177,$B$5:$B$1104)</f>
        <v>0</v>
      </c>
      <c r="G16" s="68">
        <f>SUMIFS(SALE!$K$6:$K$9177,SALE!$A$6:$A$9177,G13,SALE!$Q$6:$Q$9177,$B$5:$B$1104)</f>
        <v>0</v>
      </c>
      <c r="H16" s="68">
        <f>SUMIFS(SALE!$K$6:$K$9177,SALE!$A$6:$A$9177,H13,SALE!$Q$6:$Q$9177,$B$5:$B$1104)</f>
        <v>0</v>
      </c>
      <c r="I16" s="68">
        <f>SUMIFS(SALE!$K$6:$K$9177,SALE!$A$6:$A$9177,I13,SALE!$Q$6:$Q$9177,$B$5:$B$1104)</f>
        <v>0</v>
      </c>
      <c r="J16" s="68">
        <f>SUMIFS(SALE!$K$6:$K$9177,SALE!$A$6:$A$9177,J13,SALE!$Q$6:$Q$9177,$B$5:$B$1104)</f>
        <v>0</v>
      </c>
      <c r="K16" s="68">
        <f>SUMIFS(SALE!$K$6:$K$9177,SALE!$A$6:$A$9177,K13,SALE!$Q$6:$Q$9177,$B$5:$B$1104)</f>
        <v>0</v>
      </c>
      <c r="L16" s="68">
        <f>SUMIFS(SALE!$K$6:$K$9177,SALE!$A$6:$A$9177,L13,SALE!$Q$6:$Q$9177,$B$5:$B$1104)</f>
        <v>0</v>
      </c>
      <c r="M16" s="68">
        <f>SUMIFS(SALE!$K$6:$K$9177,SALE!$A$6:$A$9177,M13,SALE!$Q$6:$Q$9177,$B$5:$B$1104)</f>
        <v>0</v>
      </c>
      <c r="N16" s="70">
        <f>SUMIFS(SALE!$K$6:$K$9177,SALE!$A$6:$A$9177,N13,SALE!$Q$6:$Q$9177,$B$5:$B$1104)</f>
        <v>0</v>
      </c>
      <c r="O16" s="71">
        <f t="shared" si="1"/>
        <v>0</v>
      </c>
    </row>
    <row r="17" spans="1:15" ht="15" customHeight="1" x14ac:dyDescent="0.2">
      <c r="A17" s="34" t="s">
        <v>283</v>
      </c>
      <c r="B17" s="34" t="s">
        <v>348</v>
      </c>
      <c r="C17" s="68">
        <f>SUMIFS(SALE!$L$6:$L$9177,SALE!$A$6:$A$9177,C13,SALE!$Q$6:$Q$9177,$B$5:$B$1104)</f>
        <v>0</v>
      </c>
      <c r="D17" s="68">
        <f>SUMIFS(SALE!$L$6:$L$9177,SALE!$A$6:$A$9177,D13,SALE!$Q$6:$Q$9177,$B$5:$B$1104)</f>
        <v>0</v>
      </c>
      <c r="E17" s="68">
        <f>SUMIFS(SALE!$L$6:$L$9177,SALE!$A$6:$A$9177,E13,SALE!$Q$6:$Q$9177,$B$5:$B$1104)</f>
        <v>0</v>
      </c>
      <c r="F17" s="68">
        <f>SUMIFS(SALE!$L$6:$L$9177,SALE!$A$6:$A$9177,F13,SALE!$Q$6:$Q$9177,$B$5:$B$1104)</f>
        <v>0</v>
      </c>
      <c r="G17" s="68">
        <f>SUMIFS(SALE!$L$6:$L$9177,SALE!$A$6:$A$9177,G13,SALE!$Q$6:$Q$9177,$B$5:$B$1104)</f>
        <v>0</v>
      </c>
      <c r="H17" s="68">
        <f>SUMIFS(SALE!$L$6:$L$9177,SALE!$A$6:$A$9177,H13,SALE!$Q$6:$Q$9177,$B$5:$B$1104)</f>
        <v>0</v>
      </c>
      <c r="I17" s="68">
        <f>SUMIFS(SALE!$L$6:$L$9177,SALE!$A$6:$A$9177,I13,SALE!$Q$6:$Q$9177,$B$5:$B$1104)</f>
        <v>0</v>
      </c>
      <c r="J17" s="68">
        <f>SUMIFS(SALE!$L$6:$L$9177,SALE!$A$6:$A$9177,J13,SALE!$Q$6:$Q$9177,$B$5:$B$1104)</f>
        <v>0</v>
      </c>
      <c r="K17" s="68">
        <f>SUMIFS(SALE!$L$6:$L$9177,SALE!$A$6:$A$9177,K13,SALE!$Q$6:$Q$9177,$B$5:$B$1104)</f>
        <v>0</v>
      </c>
      <c r="L17" s="68">
        <f>SUMIFS(SALE!$L$6:$L$9177,SALE!$A$6:$A$9177,L13,SALE!$Q$6:$Q$9177,$B$5:$B$1104)</f>
        <v>0</v>
      </c>
      <c r="M17" s="68">
        <f>SUMIFS(SALE!$L$6:$L$9177,SALE!$A$6:$A$9177,M13,SALE!$Q$6:$Q$9177,$B$5:$B$1104)</f>
        <v>0</v>
      </c>
      <c r="N17" s="70">
        <f>SUMIFS(SALE!$L$6:$L$9177,SALE!$A$6:$A$9177,N13,SALE!$Q$6:$Q$9177,$B$5:$B$1104)</f>
        <v>0</v>
      </c>
      <c r="O17" s="71">
        <f t="shared" si="1"/>
        <v>0</v>
      </c>
    </row>
    <row r="18" spans="1:15" ht="15" customHeight="1" x14ac:dyDescent="0.2">
      <c r="A18" s="34" t="s">
        <v>286</v>
      </c>
      <c r="B18" s="34" t="s">
        <v>348</v>
      </c>
      <c r="C18" s="68">
        <f>SUMIFS(SALE!$O$6:$O$9177,SALE!$A$6:$A$9177,C13,SALE!$Q$6:$Q$9177,$B$5:$B$1104)</f>
        <v>0</v>
      </c>
      <c r="D18" s="68">
        <f>SUMIFS(SALE!$O$6:$O$9177,SALE!$A$6:$A$9177,D13,SALE!$Q$6:$Q$9177,$B$5:$B$1104)</f>
        <v>0</v>
      </c>
      <c r="E18" s="68">
        <f>SUMIFS(SALE!$O$6:$O$9177,SALE!$A$6:$A$9177,E13,SALE!$Q$6:$Q$9177,$B$5:$B$1104)</f>
        <v>0</v>
      </c>
      <c r="F18" s="68">
        <f>SUMIFS(SALE!$O$6:$O$9177,SALE!$A$6:$A$9177,F13,SALE!$Q$6:$Q$9177,$B$5:$B$1104)</f>
        <v>0</v>
      </c>
      <c r="G18" s="68">
        <f>SUMIFS(SALE!$O$6:$O$9177,SALE!$A$6:$A$9177,G13,SALE!$Q$6:$Q$9177,$B$5:$B$1104)</f>
        <v>0</v>
      </c>
      <c r="H18" s="68">
        <f>SUMIFS(SALE!$O$6:$O$9177,SALE!$A$6:$A$9177,H13,SALE!$Q$6:$Q$9177,$B$5:$B$1104)</f>
        <v>0</v>
      </c>
      <c r="I18" s="68">
        <f>SUMIFS(SALE!$O$6:$O$9177,SALE!$A$6:$A$9177,I13,SALE!$Q$6:$Q$9177,$B$5:$B$1104)</f>
        <v>0</v>
      </c>
      <c r="J18" s="68">
        <f>SUMIFS(SALE!$O$6:$O$9177,SALE!$A$6:$A$9177,J13,SALE!$Q$6:$Q$9177,$B$5:$B$1104)</f>
        <v>0</v>
      </c>
      <c r="K18" s="68">
        <f>SUMIFS(SALE!$O$6:$O$9177,SALE!$A$6:$A$9177,K13,SALE!$Q$6:$Q$9177,$B$5:$B$1104)</f>
        <v>0</v>
      </c>
      <c r="L18" s="68">
        <f>SUMIFS(SALE!$O$6:$O$9177,SALE!$A$6:$A$9177,L13,SALE!$Q$6:$Q$9177,$B$5:$B$1104)</f>
        <v>0</v>
      </c>
      <c r="M18" s="68">
        <f>SUMIFS(SALE!$O$6:$O$9177,SALE!$A$6:$A$9177,M13,SALE!$Q$6:$Q$9177,$B$5:$B$1104)</f>
        <v>0</v>
      </c>
      <c r="N18" s="70">
        <f>SUMIFS(SALE!$O$6:$O$9177,SALE!$A$6:$A$9177,N13,SALE!$Q$6:$Q$9177,$B$5:$B$1104)</f>
        <v>0</v>
      </c>
      <c r="O18" s="71">
        <f t="shared" si="1"/>
        <v>0</v>
      </c>
    </row>
    <row r="19" spans="1:15" x14ac:dyDescent="0.2">
      <c r="A19" s="1009" t="s">
        <v>335</v>
      </c>
      <c r="B19" s="1010"/>
      <c r="C19" s="1010"/>
      <c r="D19" s="1010"/>
      <c r="E19" s="1010"/>
      <c r="F19" s="1010"/>
      <c r="G19" s="1010"/>
      <c r="H19" s="1010"/>
      <c r="I19" s="1010"/>
      <c r="J19" s="1010"/>
      <c r="K19" s="1010"/>
      <c r="L19" s="1010"/>
      <c r="M19" s="1010"/>
      <c r="N19" s="1010"/>
      <c r="O19" s="1011"/>
    </row>
    <row r="20" spans="1:15" x14ac:dyDescent="0.2">
      <c r="A20" s="63" t="s">
        <v>279</v>
      </c>
      <c r="B20" s="63"/>
      <c r="C20" s="64">
        <v>43556</v>
      </c>
      <c r="D20" s="64">
        <v>43586</v>
      </c>
      <c r="E20" s="64">
        <v>43617</v>
      </c>
      <c r="F20" s="64">
        <v>43647</v>
      </c>
      <c r="G20" s="64">
        <v>43678</v>
      </c>
      <c r="H20" s="64">
        <v>43709</v>
      </c>
      <c r="I20" s="64">
        <v>43739</v>
      </c>
      <c r="J20" s="64">
        <v>43770</v>
      </c>
      <c r="K20" s="64">
        <v>43800</v>
      </c>
      <c r="L20" s="64">
        <v>43831</v>
      </c>
      <c r="M20" s="64">
        <v>43862</v>
      </c>
      <c r="N20" s="65">
        <v>43891</v>
      </c>
      <c r="O20" s="66" t="s">
        <v>347</v>
      </c>
    </row>
    <row r="21" spans="1:15" ht="15" customHeight="1" x14ac:dyDescent="0.2">
      <c r="A21" s="34" t="s">
        <v>280</v>
      </c>
      <c r="B21" s="34"/>
      <c r="C21" s="68">
        <v>0</v>
      </c>
      <c r="D21" s="68"/>
      <c r="E21" s="68"/>
      <c r="F21" s="68"/>
      <c r="G21" s="68"/>
      <c r="H21" s="68"/>
      <c r="I21" s="68"/>
      <c r="J21" s="68"/>
      <c r="K21" s="68"/>
      <c r="L21" s="68"/>
      <c r="M21" s="68"/>
      <c r="N21" s="70"/>
      <c r="O21" s="71">
        <f t="shared" si="1"/>
        <v>0</v>
      </c>
    </row>
    <row r="22" spans="1:15" x14ac:dyDescent="0.2">
      <c r="A22" s="34" t="s">
        <v>281</v>
      </c>
      <c r="B22" s="34" t="s">
        <v>334</v>
      </c>
      <c r="C22" s="68">
        <f>+C23+C24+C25+C26+C27</f>
        <v>-7798.5407999999998</v>
      </c>
      <c r="D22" s="68">
        <f t="shared" ref="D22:N22" si="3">+D23+D24+D25+D26+D27</f>
        <v>-32487.014399999996</v>
      </c>
      <c r="E22" s="68">
        <f t="shared" si="3"/>
        <v>-64986.380799999999</v>
      </c>
      <c r="F22" s="68">
        <f t="shared" si="3"/>
        <v>-139414.66880000001</v>
      </c>
      <c r="G22" s="68">
        <f t="shared" si="3"/>
        <v>-153581.82399999999</v>
      </c>
      <c r="H22" s="68">
        <f t="shared" si="3"/>
        <v>-3412.5600000000004</v>
      </c>
      <c r="I22" s="68">
        <f t="shared" si="3"/>
        <v>0</v>
      </c>
      <c r="J22" s="68">
        <f t="shared" si="3"/>
        <v>0</v>
      </c>
      <c r="K22" s="68">
        <f t="shared" si="3"/>
        <v>0</v>
      </c>
      <c r="L22" s="68">
        <f t="shared" si="3"/>
        <v>0</v>
      </c>
      <c r="M22" s="68">
        <f t="shared" si="3"/>
        <v>0</v>
      </c>
      <c r="N22" s="70">
        <f t="shared" si="3"/>
        <v>0</v>
      </c>
      <c r="O22" s="71">
        <f t="shared" si="1"/>
        <v>-401680.98879999999</v>
      </c>
    </row>
    <row r="23" spans="1:15" x14ac:dyDescent="0.2">
      <c r="A23" s="34" t="s">
        <v>282</v>
      </c>
      <c r="B23" s="34" t="s">
        <v>334</v>
      </c>
      <c r="C23" s="68">
        <f>SUMIFS(SALE!$K$6:$K$10000,SALE!$A$6:$A$10000,C20,SALE!$Q$6:$Q$10000,$B$5:$B$1104)</f>
        <v>-6092.61</v>
      </c>
      <c r="D23" s="68">
        <f>SUMIFS(SALE!$K$6:$K$10000,SALE!$A$6:$A$10000,D20,SALE!$Q$6:$Q$10000,$B$5:$B$1104)</f>
        <v>-25380.48</v>
      </c>
      <c r="E23" s="68">
        <f>SUMIFS(SALE!$K$6:$K$10000,SALE!$A$6:$A$10000,E20,SALE!$Q$6:$Q$10000,$B$5:$B$1104)</f>
        <v>-50770.610000000008</v>
      </c>
      <c r="F23" s="68">
        <f>SUMIFS(SALE!$K$6:$K$10000,SALE!$A$6:$A$10000,F20,SALE!$Q$6:$Q$10000,$B$5:$B$1104)</f>
        <v>-108917.71</v>
      </c>
      <c r="G23" s="68">
        <f>SUMIFS(SALE!$K$6:$K$10000,SALE!$A$6:$A$10000,G20,SALE!$Q$6:$Q$10000,$B$5:$B$1104)</f>
        <v>-119985.80000000002</v>
      </c>
      <c r="H23" s="68">
        <f>SUMIFS(SALE!$K$6:$K$10000,SALE!$A$6:$A$10000,H20,SALE!$Q$6:$Q$10000,$B$5:$B$1104)</f>
        <v>-2892</v>
      </c>
      <c r="I23" s="68">
        <f>SUMIFS(SALE!$K$6:$K$10000,SALE!$A$6:$A$10000,I20,SALE!$Q$6:$Q$10000,$B$5:$B$1104)</f>
        <v>0</v>
      </c>
      <c r="J23" s="68">
        <f>SUMIFS(SALE!$K$6:$K$10000,SALE!$A$6:$A$10000,J20,SALE!$Q$6:$Q$10000,$B$5:$B$1104)</f>
        <v>0</v>
      </c>
      <c r="K23" s="68">
        <f>SUMIFS(SALE!$K$6:$K$10000,SALE!$A$6:$A$10000,K20,SALE!$Q$6:$Q$10000,$B$5:$B$1104)</f>
        <v>0</v>
      </c>
      <c r="L23" s="68">
        <f>SUMIFS(SALE!$K$6:$K$10000,SALE!$A$6:$A$10000,L20,SALE!$Q$6:$Q$10000,$B$5:$B$1104)</f>
        <v>0</v>
      </c>
      <c r="M23" s="68">
        <f>SUMIFS(SALE!$K$6:$K$10000,SALE!$A$6:$A$10000,M20,SALE!$Q$6:$Q$10000,$B$5:$B$1104)</f>
        <v>0</v>
      </c>
      <c r="N23" s="70">
        <f>SUMIFS(SALE!$K$6:$K$10000,SALE!$A$6:$A$10000,N20,SALE!$Q$6:$Q$10000,$B$5:$B$1104)</f>
        <v>0</v>
      </c>
      <c r="O23" s="71">
        <f t="shared" si="1"/>
        <v>-314039.21000000008</v>
      </c>
    </row>
    <row r="24" spans="1:15" x14ac:dyDescent="0.2">
      <c r="A24" s="34" t="s">
        <v>283</v>
      </c>
      <c r="B24" s="34" t="s">
        <v>334</v>
      </c>
      <c r="C24" s="68">
        <f>SUMIFS(SALE!$L$6:$L$10000,SALE!$A$6:$A$10000,C20,SALE!$Q$6:$Q$10000,$B$5:$B$1104)</f>
        <v>-1705.9308000000001</v>
      </c>
      <c r="D24" s="68">
        <f>SUMIFS(SALE!$L$6:$L$10000,SALE!$A$6:$A$10000,D20,SALE!$Q$6:$Q$10000,$B$5:$B$1104)</f>
        <v>0</v>
      </c>
      <c r="E24" s="68">
        <f>SUMIFS(SALE!$L$6:$L$10000,SALE!$A$6:$A$10000,E20,SALE!$Q$6:$Q$10000,$B$5:$B$1104)</f>
        <v>-8525.9439999999995</v>
      </c>
      <c r="F24" s="68">
        <f>SUMIFS(SALE!$L$6:$L$10000,SALE!$A$6:$A$10000,F20,SALE!$Q$6:$Q$10000,$B$5:$B$1104)</f>
        <v>-1698.06</v>
      </c>
      <c r="G24" s="68">
        <f>SUMIFS(SALE!$L$6:$L$10000,SALE!$A$6:$A$10000,G20,SALE!$Q$6:$Q$10000,$B$5:$B$1104)</f>
        <v>0</v>
      </c>
      <c r="H24" s="68">
        <f>SUMIFS(SALE!$L$6:$L$10000,SALE!$A$6:$A$10000,H20,SALE!$Q$6:$Q$10000,$B$5:$B$1104)</f>
        <v>0</v>
      </c>
      <c r="I24" s="68">
        <f>SUMIFS(SALE!$L$6:$L$10000,SALE!$A$6:$A$10000,I20,SALE!$Q$6:$Q$10000,$B$5:$B$1104)</f>
        <v>0</v>
      </c>
      <c r="J24" s="68">
        <f>SUMIFS(SALE!$L$6:$L$10000,SALE!$A$6:$A$10000,J20,SALE!$Q$6:$Q$10000,$B$5:$B$1104)</f>
        <v>0</v>
      </c>
      <c r="K24" s="68">
        <f>SUMIFS(SALE!$L$6:$L$10000,SALE!$A$6:$A$10000,K20,SALE!$Q$6:$Q$10000,$B$5:$B$1104)</f>
        <v>0</v>
      </c>
      <c r="L24" s="68">
        <f>SUMIFS(SALE!$L$6:$L$10000,SALE!$A$6:$A$10000,L20,SALE!$Q$6:$Q$10000,$B$5:$B$1104)</f>
        <v>0</v>
      </c>
      <c r="M24" s="68">
        <f>SUMIFS(SALE!$L$6:$L$10000,SALE!$A$6:$A$10000,M20,SALE!$Q$6:$Q$10000,$B$5:$B$1104)</f>
        <v>0</v>
      </c>
      <c r="N24" s="70">
        <f>SUMIFS(SALE!$L$6:$L$10000,SALE!$A$6:$A$10000,N20,SALE!$Q$6:$Q$10000,$B$5:$B$1104)</f>
        <v>0</v>
      </c>
      <c r="O24" s="71">
        <f t="shared" si="1"/>
        <v>-11929.934799999999</v>
      </c>
    </row>
    <row r="25" spans="1:15" x14ac:dyDescent="0.2">
      <c r="A25" s="34" t="s">
        <v>284</v>
      </c>
      <c r="B25" s="34" t="s">
        <v>334</v>
      </c>
      <c r="C25" s="68">
        <f>SUMIFS(SALE!$M$6:$M$10000,SALE!$A$6:$A$10000,C20,SALE!$Q$6:$Q$10000,$B$5:$B$1104)</f>
        <v>0</v>
      </c>
      <c r="D25" s="68">
        <f>SUMIFS(SALE!$M$6:$M$10000,SALE!$A$6:$A$10000,D20,SALE!$Q$6:$Q$10000,$B$5:$B$1104)</f>
        <v>-3553.2671999999998</v>
      </c>
      <c r="E25" s="68">
        <f>SUMIFS(SALE!$M$6:$M$10000,SALE!$A$6:$A$10000,E20,SALE!$Q$6:$Q$10000,$B$5:$B$1104)</f>
        <v>-2844.9133999999999</v>
      </c>
      <c r="F25" s="68">
        <f>SUMIFS(SALE!$M$6:$M$10000,SALE!$A$6:$A$10000,F20,SALE!$Q$6:$Q$10000,$B$5:$B$1104)</f>
        <v>-14399.449400000001</v>
      </c>
      <c r="G25" s="68">
        <f>SUMIFS(SALE!$M$6:$M$10000,SALE!$A$6:$A$10000,G20,SALE!$Q$6:$Q$10000,$B$5:$B$1104)</f>
        <v>-16798.011999999999</v>
      </c>
      <c r="H25" s="68">
        <f>SUMIFS(SALE!$M$6:$M$10000,SALE!$A$6:$A$10000,H20,SALE!$Q$6:$Q$10000,$B$5:$B$1104)</f>
        <v>-260.28000000000003</v>
      </c>
      <c r="I25" s="68">
        <f>SUMIFS(SALE!$M$6:$M$10000,SALE!$A$6:$A$10000,I20,SALE!$Q$6:$Q$10000,$B$5:$B$1104)</f>
        <v>0</v>
      </c>
      <c r="J25" s="68">
        <f>SUMIFS(SALE!$M$6:$M$10000,SALE!$A$6:$A$10000,J20,SALE!$Q$6:$Q$10000,$B$5:$B$1104)</f>
        <v>0</v>
      </c>
      <c r="K25" s="68">
        <f>SUMIFS(SALE!$M$6:$M$10000,SALE!$A$6:$A$10000,K20,SALE!$Q$6:$Q$10000,$B$5:$B$1104)</f>
        <v>0</v>
      </c>
      <c r="L25" s="68">
        <f>SUMIFS(SALE!$M$6:$M$10000,SALE!$A$6:$A$10000,L20,SALE!$Q$6:$Q$10000,$B$5:$B$1104)</f>
        <v>0</v>
      </c>
      <c r="M25" s="68">
        <f>SUMIFS(SALE!$M$6:$M$10000,SALE!$A$6:$A$10000,M20,SALE!$Q$6:$Q$10000,$B$5:$B$1104)</f>
        <v>0</v>
      </c>
      <c r="N25" s="70">
        <f>SUMIFS(SALE!$M$6:$M$10000,SALE!$A$6:$A$10000,N20,SALE!$Q$6:$Q$10000,$B$5:$B$1104)</f>
        <v>0</v>
      </c>
      <c r="O25" s="71">
        <f t="shared" si="1"/>
        <v>-37855.921999999999</v>
      </c>
    </row>
    <row r="26" spans="1:15" x14ac:dyDescent="0.2">
      <c r="A26" s="34" t="s">
        <v>285</v>
      </c>
      <c r="B26" s="34" t="s">
        <v>334</v>
      </c>
      <c r="C26" s="68">
        <f>SUMIFS(SALE!$N$6:$N$10000,SALE!$A$6:$A$10000,C20,SALE!$Q$6:$Q$10000,$B$5:$B$1104)</f>
        <v>0</v>
      </c>
      <c r="D26" s="68">
        <f>SUMIFS(SALE!$N$6:$N$10000,SALE!$A$6:$A$10000,D20,SALE!$Q$6:$Q$10000,$B$5:$B$1104)</f>
        <v>-3553.2671999999998</v>
      </c>
      <c r="E26" s="68">
        <f>SUMIFS(SALE!$N$6:$N$10000,SALE!$A$6:$A$10000,E20,SALE!$Q$6:$Q$10000,$B$5:$B$1104)</f>
        <v>-2844.9133999999999</v>
      </c>
      <c r="F26" s="68">
        <f>SUMIFS(SALE!$N$6:$N$10000,SALE!$A$6:$A$10000,F20,SALE!$Q$6:$Q$10000,$B$5:$B$1104)</f>
        <v>-14399.449400000001</v>
      </c>
      <c r="G26" s="68">
        <f>SUMIFS(SALE!$N$6:$N$10000,SALE!$A$6:$A$10000,G20,SALE!$Q$6:$Q$10000,$B$5:$B$1104)</f>
        <v>-16798.011999999999</v>
      </c>
      <c r="H26" s="68">
        <f>SUMIFS(SALE!$N$6:$N$10000,SALE!$A$6:$A$10000,H20,SALE!$Q$6:$Q$10000,$B$5:$B$1104)</f>
        <v>-260.28000000000003</v>
      </c>
      <c r="I26" s="68">
        <f>SUMIFS(SALE!$N$6:$N$10000,SALE!$A$6:$A$10000,I20,SALE!$Q$6:$Q$10000,$B$5:$B$1104)</f>
        <v>0</v>
      </c>
      <c r="J26" s="68">
        <f>SUMIFS(SALE!$N$6:$N$10000,SALE!$A$6:$A$10000,J20,SALE!$Q$6:$Q$10000,$B$5:$B$1104)</f>
        <v>0</v>
      </c>
      <c r="K26" s="68">
        <f>SUMIFS(SALE!$N$6:$N$10000,SALE!$A$6:$A$10000,K20,SALE!$Q$6:$Q$10000,$B$5:$B$1104)</f>
        <v>0</v>
      </c>
      <c r="L26" s="68">
        <f>SUMIFS(SALE!$N$6:$N$10000,SALE!$A$6:$A$10000,L20,SALE!$Q$6:$Q$10000,$B$5:$B$1104)</f>
        <v>0</v>
      </c>
      <c r="M26" s="68">
        <f>SUMIFS(SALE!$N$6:$N$10000,SALE!$A$6:$A$10000,M20,SALE!$Q$6:$Q$10000,$B$5:$B$1104)</f>
        <v>0</v>
      </c>
      <c r="N26" s="70">
        <f>SUMIFS(SALE!$N$6:$N$10000,SALE!$A$6:$A$10000,N20,SALE!$Q$6:$Q$10000,$B$5:$B$1104)</f>
        <v>0</v>
      </c>
      <c r="O26" s="71">
        <f t="shared" si="1"/>
        <v>-37855.921999999999</v>
      </c>
    </row>
    <row r="27" spans="1:15" x14ac:dyDescent="0.2">
      <c r="A27" s="34" t="s">
        <v>286</v>
      </c>
      <c r="B27" s="34" t="s">
        <v>334</v>
      </c>
      <c r="C27" s="68">
        <f>SUMIFS(SALE!$O$6:$O$10000,SALE!$A$6:$A$10000,C20,SALE!$Q$6:$Q$10000,$B$5:$B$1104)</f>
        <v>0</v>
      </c>
      <c r="D27" s="68">
        <f>SUMIFS(SALE!$O$6:$O$10000,SALE!$A$6:$A$10000,D20,SALE!$Q$6:$Q$10000,$B$5:$B$1104)</f>
        <v>0</v>
      </c>
      <c r="E27" s="68">
        <f>SUMIFS(SALE!$O$6:$O$10000,SALE!$A$6:$A$10000,E20,SALE!$Q$6:$Q$10000,$B$5:$B$1104)</f>
        <v>0</v>
      </c>
      <c r="F27" s="68">
        <f>SUMIFS(SALE!$O$6:$O$10000,SALE!$A$6:$A$10000,F20,SALE!$Q$6:$Q$10000,$B$5:$B$1104)</f>
        <v>0</v>
      </c>
      <c r="G27" s="68">
        <f>SUMIFS(SALE!$O$6:$O$10000,SALE!$A$6:$A$10000,G20,SALE!$Q$6:$Q$10000,$B$5:$B$1104)</f>
        <v>0</v>
      </c>
      <c r="H27" s="68">
        <f>SUMIFS(SALE!$O$6:$O$10000,SALE!$A$6:$A$10000,H20,SALE!$Q$6:$Q$10000,$B$5:$B$1104)</f>
        <v>0</v>
      </c>
      <c r="I27" s="68">
        <f>SUMIFS(SALE!$O$6:$O$10000,SALE!$A$6:$A$10000,I20,SALE!$Q$6:$Q$10000,$B$5:$B$1104)</f>
        <v>0</v>
      </c>
      <c r="J27" s="68">
        <f>SUMIFS(SALE!$O$6:$O$10000,SALE!$A$6:$A$10000,J20,SALE!$Q$6:$Q$10000,$B$5:$B$1104)</f>
        <v>0</v>
      </c>
      <c r="K27" s="68">
        <f>SUMIFS(SALE!$O$6:$O$10000,SALE!$A$6:$A$10000,K20,SALE!$Q$6:$Q$10000,$B$5:$B$1104)</f>
        <v>0</v>
      </c>
      <c r="L27" s="68">
        <f>SUMIFS(SALE!$O$6:$O$10000,SALE!$A$6:$A$10000,L20,SALE!$Q$6:$Q$10000,$B$5:$B$1104)</f>
        <v>0</v>
      </c>
      <c r="M27" s="68">
        <f>SUMIFS(SALE!$O$6:$O$10000,SALE!$A$6:$A$10000,M20,SALE!$Q$6:$Q$10000,$B$5:$B$1104)</f>
        <v>0</v>
      </c>
      <c r="N27" s="70">
        <f>SUMIFS(SALE!$O$6:$O$10000,SALE!$A$6:$A$10000,N20,SALE!$Q$6:$Q$10000,$B$5:$B$1104)</f>
        <v>0</v>
      </c>
      <c r="O27" s="71">
        <f t="shared" si="1"/>
        <v>0</v>
      </c>
    </row>
    <row r="28" spans="1:15" x14ac:dyDescent="0.2">
      <c r="A28" s="1009" t="s">
        <v>336</v>
      </c>
      <c r="B28" s="1010"/>
      <c r="C28" s="1010"/>
      <c r="D28" s="1010"/>
      <c r="E28" s="1010"/>
      <c r="F28" s="1010"/>
      <c r="G28" s="1010"/>
      <c r="H28" s="1010"/>
      <c r="I28" s="1010"/>
      <c r="J28" s="1010"/>
      <c r="K28" s="1010"/>
      <c r="L28" s="1010"/>
      <c r="M28" s="1010"/>
      <c r="N28" s="1010"/>
      <c r="O28" s="1011"/>
    </row>
    <row r="29" spans="1:15" x14ac:dyDescent="0.2">
      <c r="A29" s="63" t="s">
        <v>279</v>
      </c>
      <c r="B29" s="63"/>
      <c r="C29" s="64">
        <v>43556</v>
      </c>
      <c r="D29" s="64">
        <v>43586</v>
      </c>
      <c r="E29" s="64">
        <v>43617</v>
      </c>
      <c r="F29" s="64">
        <v>43647</v>
      </c>
      <c r="G29" s="64">
        <v>43678</v>
      </c>
      <c r="H29" s="64">
        <v>43709</v>
      </c>
      <c r="I29" s="64">
        <v>43739</v>
      </c>
      <c r="J29" s="64">
        <v>43770</v>
      </c>
      <c r="K29" s="64">
        <v>43800</v>
      </c>
      <c r="L29" s="64">
        <v>43831</v>
      </c>
      <c r="M29" s="64">
        <v>43862</v>
      </c>
      <c r="N29" s="65">
        <v>43891</v>
      </c>
      <c r="O29" s="66" t="s">
        <v>347</v>
      </c>
    </row>
    <row r="30" spans="1:15" ht="15" customHeight="1" x14ac:dyDescent="0.2">
      <c r="A30" s="34" t="s">
        <v>280</v>
      </c>
      <c r="B30" s="34"/>
      <c r="C30" s="68">
        <v>0</v>
      </c>
      <c r="D30" s="68"/>
      <c r="E30" s="68"/>
      <c r="F30" s="68"/>
      <c r="G30" s="68"/>
      <c r="H30" s="68"/>
      <c r="I30" s="68"/>
      <c r="J30" s="68"/>
      <c r="K30" s="68"/>
      <c r="L30" s="68"/>
      <c r="M30" s="68"/>
      <c r="N30" s="70"/>
      <c r="O30" s="71">
        <f t="shared" si="1"/>
        <v>0</v>
      </c>
    </row>
    <row r="31" spans="1:15" x14ac:dyDescent="0.2">
      <c r="A31" s="34" t="s">
        <v>281</v>
      </c>
      <c r="B31" s="34" t="s">
        <v>391</v>
      </c>
      <c r="C31" s="68">
        <f>+C32+C33+C34+C35+C36</f>
        <v>0</v>
      </c>
      <c r="D31" s="68">
        <f t="shared" ref="D31:N31" si="4">+D32+D33+D34+D35+D36</f>
        <v>0</v>
      </c>
      <c r="E31" s="68">
        <f t="shared" si="4"/>
        <v>721177.66400000011</v>
      </c>
      <c r="F31" s="68">
        <f t="shared" si="4"/>
        <v>32101.120000000003</v>
      </c>
      <c r="G31" s="68">
        <f t="shared" si="4"/>
        <v>0</v>
      </c>
      <c r="H31" s="68">
        <f t="shared" si="4"/>
        <v>0</v>
      </c>
      <c r="I31" s="68">
        <f t="shared" si="4"/>
        <v>0</v>
      </c>
      <c r="J31" s="68">
        <f t="shared" si="4"/>
        <v>0</v>
      </c>
      <c r="K31" s="68">
        <f t="shared" si="4"/>
        <v>0</v>
      </c>
      <c r="L31" s="68">
        <f t="shared" si="4"/>
        <v>0</v>
      </c>
      <c r="M31" s="68">
        <f t="shared" si="4"/>
        <v>0</v>
      </c>
      <c r="N31" s="70">
        <f t="shared" si="4"/>
        <v>0</v>
      </c>
      <c r="O31" s="71">
        <f t="shared" si="1"/>
        <v>753278.7840000001</v>
      </c>
    </row>
    <row r="32" spans="1:15" x14ac:dyDescent="0.2">
      <c r="A32" s="34" t="s">
        <v>282</v>
      </c>
      <c r="B32" s="34" t="s">
        <v>391</v>
      </c>
      <c r="C32" s="68">
        <f>SUMIFS(SALE!$K$6:$K$10000,SALE!$A$6:$A$10000,C29,SALE!$Q$6:$Q$10000,$B$5:$B$1104)</f>
        <v>0</v>
      </c>
      <c r="D32" s="68">
        <f>SUMIFS(SALE!$K$6:$K$10000,SALE!$A$6:$A$10000,D29,SALE!$Q$6:$Q$10000,$B$5:$B$1104)</f>
        <v>0</v>
      </c>
      <c r="E32" s="68">
        <f>SUMIFS(SALE!$K$6:$K$10000,SALE!$A$6:$A$10000,E29,SALE!$Q$6:$Q$10000,$B$5:$B$1104)</f>
        <v>563420.05000000005</v>
      </c>
      <c r="F32" s="68">
        <f>SUMIFS(SALE!$K$6:$K$10000,SALE!$A$6:$A$10000,F29,SALE!$Q$6:$Q$10000,$B$5:$B$1104)</f>
        <v>25079</v>
      </c>
      <c r="G32" s="68">
        <f>SUMIFS(SALE!$K$6:$K$10000,SALE!$A$6:$A$10000,G29,SALE!$Q$6:$Q$10000,$B$5:$B$1104)</f>
        <v>0</v>
      </c>
      <c r="H32" s="68">
        <f>SUMIFS(SALE!$K$6:$K$10000,SALE!$A$6:$A$10000,H29,SALE!$Q$6:$Q$10000,$B$5:$B$1104)</f>
        <v>0</v>
      </c>
      <c r="I32" s="68">
        <f>SUMIFS(SALE!$K$6:$K$10000,SALE!$A$6:$A$10000,I29,SALE!$Q$6:$Q$10000,$B$5:$B$1104)</f>
        <v>0</v>
      </c>
      <c r="J32" s="68">
        <f>SUMIFS(SALE!$K$6:$K$10000,SALE!$A$6:$A$10000,J29,SALE!$Q$6:$Q$10000,$B$5:$B$1104)</f>
        <v>0</v>
      </c>
      <c r="K32" s="68">
        <f>SUMIFS(SALE!$K$6:$K$10000,SALE!$A$6:$A$10000,K29,SALE!$Q$6:$Q$10000,$B$5:$B$1104)</f>
        <v>0</v>
      </c>
      <c r="L32" s="68">
        <f>SUMIFS(SALE!$K$6:$K$10000,SALE!$A$6:$A$10000,L29,SALE!$Q$6:$Q$10000,$B$5:$B$1104)</f>
        <v>0</v>
      </c>
      <c r="M32" s="68">
        <f>SUMIFS(SALE!$K$6:$K$10000,SALE!$A$6:$A$10000,M29,SALE!$Q$6:$Q$10000,$B$5:$B$1104)</f>
        <v>0</v>
      </c>
      <c r="N32" s="70">
        <f>SUMIFS(SALE!$K$6:$K$10000,SALE!$A$6:$A$10000,N29,SALE!$Q$6:$Q$10000,$B$5:$B$1104)</f>
        <v>0</v>
      </c>
      <c r="O32" s="71">
        <f t="shared" si="1"/>
        <v>588499.05000000005</v>
      </c>
    </row>
    <row r="33" spans="1:15" x14ac:dyDescent="0.2">
      <c r="A33" s="34" t="s">
        <v>283</v>
      </c>
      <c r="B33" s="34" t="s">
        <v>391</v>
      </c>
      <c r="C33" s="68">
        <f>SUMIFS(SALE!$L$6:$L$10000,SALE!$A$6:$A$10000,C29,SALE!$Q$6:$Q$10000,$B$5:$B$1104)</f>
        <v>0</v>
      </c>
      <c r="D33" s="68">
        <f>SUMIFS(SALE!$L$6:$L$10000,SALE!$A$6:$A$10000,D29,SALE!$Q$6:$Q$10000,$B$5:$B$1104)</f>
        <v>0</v>
      </c>
      <c r="E33" s="68">
        <f>SUMIFS(SALE!$L$6:$L$10000,SALE!$A$6:$A$10000,E29,SALE!$Q$6:$Q$10000,$B$5:$B$1104)</f>
        <v>0</v>
      </c>
      <c r="F33" s="68">
        <f>SUMIFS(SALE!$L$6:$L$10000,SALE!$A$6:$A$10000,F29,SALE!$Q$6:$Q$10000,$B$5:$B$1104)</f>
        <v>0</v>
      </c>
      <c r="G33" s="68">
        <f>SUMIFS(SALE!$L$6:$L$10000,SALE!$A$6:$A$10000,G29,SALE!$Q$6:$Q$10000,$B$5:$B$1104)</f>
        <v>0</v>
      </c>
      <c r="H33" s="68">
        <f>SUMIFS(SALE!$L$6:$L$10000,SALE!$A$6:$A$10000,H29,SALE!$Q$6:$Q$10000,$B$5:$B$1104)</f>
        <v>0</v>
      </c>
      <c r="I33" s="68">
        <f>SUMIFS(SALE!$L$6:$L$10000,SALE!$A$6:$A$10000,I29,SALE!$Q$6:$Q$10000,$B$5:$B$1104)</f>
        <v>0</v>
      </c>
      <c r="J33" s="68">
        <f>SUMIFS(SALE!$L$6:$L$10000,SALE!$A$6:$A$10000,J29,SALE!$Q$6:$Q$10000,$B$5:$B$1104)</f>
        <v>0</v>
      </c>
      <c r="K33" s="68">
        <f>SUMIFS(SALE!$L$6:$L$10000,SALE!$A$6:$A$10000,K29,SALE!$Q$6:$Q$10000,$B$5:$B$1104)</f>
        <v>0</v>
      </c>
      <c r="L33" s="68">
        <f>SUMIFS(SALE!$L$6:$L$10000,SALE!$A$6:$A$10000,L29,SALE!$Q$6:$Q$10000,$B$5:$B$1104)</f>
        <v>0</v>
      </c>
      <c r="M33" s="68">
        <f>SUMIFS(SALE!$L$6:$L$10000,SALE!$A$6:$A$10000,M29,SALE!$Q$6:$Q$10000,$B$5:$B$1104)</f>
        <v>0</v>
      </c>
      <c r="N33" s="70">
        <f>SUMIFS(SALE!$L$6:$L$10000,SALE!$A$6:$A$10000,N29,SALE!$Q$6:$Q$10000,$B$5:$B$1104)</f>
        <v>0</v>
      </c>
      <c r="O33" s="71">
        <f t="shared" si="1"/>
        <v>0</v>
      </c>
    </row>
    <row r="34" spans="1:15" x14ac:dyDescent="0.2">
      <c r="A34" s="34" t="s">
        <v>284</v>
      </c>
      <c r="B34" s="34" t="s">
        <v>391</v>
      </c>
      <c r="C34" s="68">
        <f>SUMIFS(SALE!$M$6:$M$10000,SALE!$A$6:$A$10000,C29,SALE!$Q$6:$Q$10000,$B$5:$B$1104)</f>
        <v>0</v>
      </c>
      <c r="D34" s="68">
        <f>SUMIFS(SALE!$M$6:$M$10000,SALE!$A$6:$A$10000,D29,SALE!$Q$6:$Q$10000,$B$5:$B$1104)</f>
        <v>0</v>
      </c>
      <c r="E34" s="68">
        <f>SUMIFS(SALE!$M$6:$M$10000,SALE!$A$6:$A$10000,E29,SALE!$Q$6:$Q$10000,$B$5:$B$1104)</f>
        <v>78878.807000000015</v>
      </c>
      <c r="F34" s="68">
        <f>SUMIFS(SALE!$M$6:$M$10000,SALE!$A$6:$A$10000,F29,SALE!$Q$6:$Q$10000,$B$5:$B$1104)</f>
        <v>3511.06</v>
      </c>
      <c r="G34" s="68">
        <f>SUMIFS(SALE!$M$6:$M$10000,SALE!$A$6:$A$10000,G29,SALE!$Q$6:$Q$10000,$B$5:$B$1104)</f>
        <v>0</v>
      </c>
      <c r="H34" s="68">
        <f>SUMIFS(SALE!$M$6:$M$10000,SALE!$A$6:$A$10000,H29,SALE!$Q$6:$Q$10000,$B$5:$B$1104)</f>
        <v>0</v>
      </c>
      <c r="I34" s="68">
        <f>SUMIFS(SALE!$M$6:$M$10000,SALE!$A$6:$A$10000,I29,SALE!$Q$6:$Q$10000,$B$5:$B$1104)</f>
        <v>0</v>
      </c>
      <c r="J34" s="68">
        <f>SUMIFS(SALE!$M$6:$M$10000,SALE!$A$6:$A$10000,J29,SALE!$Q$6:$Q$10000,$B$5:$B$1104)</f>
        <v>0</v>
      </c>
      <c r="K34" s="68">
        <f>SUMIFS(SALE!$M$6:$M$10000,SALE!$A$6:$A$10000,K29,SALE!$Q$6:$Q$10000,$B$5:$B$1104)</f>
        <v>0</v>
      </c>
      <c r="L34" s="68">
        <f>SUMIFS(SALE!$M$6:$M$10000,SALE!$A$6:$A$10000,L29,SALE!$Q$6:$Q$10000,$B$5:$B$1104)</f>
        <v>0</v>
      </c>
      <c r="M34" s="68">
        <f>SUMIFS(SALE!$M$6:$M$10000,SALE!$A$6:$A$10000,M29,SALE!$Q$6:$Q$10000,$B$5:$B$1104)</f>
        <v>0</v>
      </c>
      <c r="N34" s="70">
        <f>SUMIFS(SALE!$M$6:$M$10000,SALE!$A$6:$A$10000,N29,SALE!$Q$6:$Q$10000,$B$5:$B$1104)</f>
        <v>0</v>
      </c>
      <c r="O34" s="71">
        <f t="shared" si="1"/>
        <v>82389.867000000013</v>
      </c>
    </row>
    <row r="35" spans="1:15" x14ac:dyDescent="0.2">
      <c r="A35" s="34" t="s">
        <v>285</v>
      </c>
      <c r="B35" s="34" t="s">
        <v>391</v>
      </c>
      <c r="C35" s="68">
        <f>SUMIFS(SALE!$N$6:$N$10000,SALE!$A$6:$A$10000,C29,SALE!$Q$6:$Q$10000,$B$5:$B$1104)</f>
        <v>0</v>
      </c>
      <c r="D35" s="68">
        <f>SUMIFS(SALE!$N$6:$N$10000,SALE!$A$6:$A$10000,D29,SALE!$Q$6:$Q$10000,$B$5:$B$1104)</f>
        <v>0</v>
      </c>
      <c r="E35" s="68">
        <f>SUMIFS(SALE!$N$6:$N$10000,SALE!$A$6:$A$10000,E29,SALE!$Q$6:$Q$10000,$B$5:$B$1104)</f>
        <v>78878.807000000015</v>
      </c>
      <c r="F35" s="68">
        <f>SUMIFS(SALE!$N$6:$N$10000,SALE!$A$6:$A$10000,F29,SALE!$Q$6:$Q$10000,$B$5:$B$1104)</f>
        <v>3511.06</v>
      </c>
      <c r="G35" s="68">
        <f>SUMIFS(SALE!$N$6:$N$10000,SALE!$A$6:$A$10000,G29,SALE!$Q$6:$Q$10000,$B$5:$B$1104)</f>
        <v>0</v>
      </c>
      <c r="H35" s="68">
        <f>SUMIFS(SALE!$N$6:$N$10000,SALE!$A$6:$A$10000,H29,SALE!$Q$6:$Q$10000,$B$5:$B$1104)</f>
        <v>0</v>
      </c>
      <c r="I35" s="68">
        <f>SUMIFS(SALE!$N$6:$N$10000,SALE!$A$6:$A$10000,I29,SALE!$Q$6:$Q$10000,$B$5:$B$1104)</f>
        <v>0</v>
      </c>
      <c r="J35" s="68">
        <f>SUMIFS(SALE!$N$6:$N$10000,SALE!$A$6:$A$10000,J29,SALE!$Q$6:$Q$10000,$B$5:$B$1104)</f>
        <v>0</v>
      </c>
      <c r="K35" s="68">
        <f>SUMIFS(SALE!$N$6:$N$10000,SALE!$A$6:$A$10000,K29,SALE!$Q$6:$Q$10000,$B$5:$B$1104)</f>
        <v>0</v>
      </c>
      <c r="L35" s="68">
        <f>SUMIFS(SALE!$N$6:$N$10000,SALE!$A$6:$A$10000,L29,SALE!$Q$6:$Q$10000,$B$5:$B$1104)</f>
        <v>0</v>
      </c>
      <c r="M35" s="68">
        <f>SUMIFS(SALE!$N$6:$N$10000,SALE!$A$6:$A$10000,M29,SALE!$Q$6:$Q$10000,$B$5:$B$1104)</f>
        <v>0</v>
      </c>
      <c r="N35" s="70">
        <f>SUMIFS(SALE!$N$6:$N$10000,SALE!$A$6:$A$10000,N29,SALE!$Q$6:$Q$10000,$B$5:$B$1104)</f>
        <v>0</v>
      </c>
      <c r="O35" s="71">
        <f t="shared" si="1"/>
        <v>82389.867000000013</v>
      </c>
    </row>
    <row r="36" spans="1:15" x14ac:dyDescent="0.2">
      <c r="A36" s="34" t="s">
        <v>286</v>
      </c>
      <c r="B36" s="34" t="s">
        <v>391</v>
      </c>
      <c r="C36" s="68">
        <f>SUMIFS(SALE!$O$6:$O$10000,SALE!$A$6:$A$10000,C29,SALE!$Q$6:$Q$10000,$B$5:$B$1104)</f>
        <v>0</v>
      </c>
      <c r="D36" s="68">
        <f>SUMIFS(SALE!$O$6:$O$10000,SALE!$A$6:$A$10000,D29,SALE!$Q$6:$Q$10000,$B$5:$B$1104)</f>
        <v>0</v>
      </c>
      <c r="E36" s="68">
        <f>SUMIFS(SALE!$O$6:$O$10000,SALE!$A$6:$A$10000,E29,SALE!$Q$6:$Q$10000,$B$5:$B$1104)</f>
        <v>0</v>
      </c>
      <c r="F36" s="68">
        <f>SUMIFS(SALE!$O$6:$O$10000,SALE!$A$6:$A$10000,F29,SALE!$Q$6:$Q$10000,$B$5:$B$1104)</f>
        <v>0</v>
      </c>
      <c r="G36" s="68">
        <f>SUMIFS(SALE!$O$6:$O$10000,SALE!$A$6:$A$10000,G29,SALE!$Q$6:$Q$10000,$B$5:$B$1104)</f>
        <v>0</v>
      </c>
      <c r="H36" s="68">
        <f>SUMIFS(SALE!$O$6:$O$10000,SALE!$A$6:$A$10000,H29,SALE!$Q$6:$Q$10000,$B$5:$B$1104)</f>
        <v>0</v>
      </c>
      <c r="I36" s="68">
        <f>SUMIFS(SALE!$O$6:$O$10000,SALE!$A$6:$A$10000,I29,SALE!$Q$6:$Q$10000,$B$5:$B$1104)</f>
        <v>0</v>
      </c>
      <c r="J36" s="68">
        <f>SUMIFS(SALE!$O$6:$O$10000,SALE!$A$6:$A$10000,J29,SALE!$Q$6:$Q$10000,$B$5:$B$1104)</f>
        <v>0</v>
      </c>
      <c r="K36" s="68">
        <f>SUMIFS(SALE!$O$6:$O$10000,SALE!$A$6:$A$10000,K29,SALE!$Q$6:$Q$10000,$B$5:$B$1104)</f>
        <v>0</v>
      </c>
      <c r="L36" s="68">
        <f>SUMIFS(SALE!$O$6:$O$10000,SALE!$A$6:$A$10000,L29,SALE!$Q$6:$Q$10000,$B$5:$B$1104)</f>
        <v>0</v>
      </c>
      <c r="M36" s="68">
        <f>SUMIFS(SALE!$O$6:$O$10000,SALE!$A$6:$A$10000,M29,SALE!$Q$6:$Q$10000,$B$5:$B$1104)</f>
        <v>0</v>
      </c>
      <c r="N36" s="70">
        <f>SUMIFS(SALE!$O$6:$O$10000,SALE!$A$6:$A$10000,N29,SALE!$Q$6:$Q$10000,$B$5:$B$1104)</f>
        <v>0</v>
      </c>
      <c r="O36" s="71">
        <f t="shared" si="1"/>
        <v>0</v>
      </c>
    </row>
    <row r="37" spans="1:15" x14ac:dyDescent="0.2">
      <c r="A37" s="1012" t="s">
        <v>337</v>
      </c>
      <c r="B37" s="1013"/>
      <c r="C37" s="1013"/>
      <c r="D37" s="1013"/>
      <c r="E37" s="1013"/>
      <c r="F37" s="1013"/>
      <c r="G37" s="1013"/>
      <c r="H37" s="1013"/>
      <c r="I37" s="1013"/>
      <c r="J37" s="1013"/>
      <c r="K37" s="1013"/>
      <c r="L37" s="1013"/>
      <c r="M37" s="1013"/>
      <c r="N37" s="1013"/>
      <c r="O37" s="1014"/>
    </row>
    <row r="38" spans="1:15" x14ac:dyDescent="0.2">
      <c r="A38" s="63" t="s">
        <v>279</v>
      </c>
      <c r="B38" s="63"/>
      <c r="C38" s="64">
        <v>43556</v>
      </c>
      <c r="D38" s="64">
        <v>43586</v>
      </c>
      <c r="E38" s="64">
        <v>43617</v>
      </c>
      <c r="F38" s="64">
        <v>43647</v>
      </c>
      <c r="G38" s="64">
        <v>43678</v>
      </c>
      <c r="H38" s="64">
        <v>43709</v>
      </c>
      <c r="I38" s="64">
        <v>43739</v>
      </c>
      <c r="J38" s="64">
        <v>43770</v>
      </c>
      <c r="K38" s="64">
        <v>43800</v>
      </c>
      <c r="L38" s="64">
        <v>43831</v>
      </c>
      <c r="M38" s="64">
        <v>43862</v>
      </c>
      <c r="N38" s="65">
        <v>43891</v>
      </c>
      <c r="O38" s="66" t="s">
        <v>347</v>
      </c>
    </row>
    <row r="39" spans="1:15" ht="15" customHeight="1" x14ac:dyDescent="0.2">
      <c r="A39" s="34" t="s">
        <v>280</v>
      </c>
      <c r="B39" s="34"/>
      <c r="C39" s="68">
        <v>0</v>
      </c>
      <c r="D39" s="34"/>
      <c r="E39" s="34"/>
      <c r="F39" s="34"/>
      <c r="G39" s="34"/>
      <c r="H39" s="34"/>
      <c r="I39" s="34"/>
      <c r="J39" s="34"/>
      <c r="K39" s="34"/>
      <c r="L39" s="34"/>
      <c r="M39" s="34"/>
      <c r="N39" s="74"/>
      <c r="O39" s="71">
        <f t="shared" si="1"/>
        <v>0</v>
      </c>
    </row>
    <row r="40" spans="1:15" x14ac:dyDescent="0.2">
      <c r="A40" s="34" t="s">
        <v>281</v>
      </c>
      <c r="B40" s="34" t="s">
        <v>347</v>
      </c>
      <c r="C40" s="68">
        <f>+C22+C31</f>
        <v>-7798.5407999999998</v>
      </c>
      <c r="D40" s="68">
        <f t="shared" ref="D40:N40" si="5">+D22+D31</f>
        <v>-32487.014399999996</v>
      </c>
      <c r="E40" s="68">
        <f t="shared" si="5"/>
        <v>656191.28320000006</v>
      </c>
      <c r="F40" s="68">
        <f t="shared" si="5"/>
        <v>-107313.54880000002</v>
      </c>
      <c r="G40" s="68">
        <f t="shared" si="5"/>
        <v>-153581.82399999999</v>
      </c>
      <c r="H40" s="68">
        <f t="shared" si="5"/>
        <v>-3412.5600000000004</v>
      </c>
      <c r="I40" s="68">
        <f t="shared" si="5"/>
        <v>0</v>
      </c>
      <c r="J40" s="68">
        <f t="shared" si="5"/>
        <v>0</v>
      </c>
      <c r="K40" s="68">
        <f t="shared" si="5"/>
        <v>0</v>
      </c>
      <c r="L40" s="68">
        <f t="shared" si="5"/>
        <v>0</v>
      </c>
      <c r="M40" s="68">
        <f t="shared" si="5"/>
        <v>0</v>
      </c>
      <c r="N40" s="70">
        <f t="shared" si="5"/>
        <v>0</v>
      </c>
      <c r="O40" s="71">
        <f t="shared" si="1"/>
        <v>351597.79520000011</v>
      </c>
    </row>
    <row r="41" spans="1:15" x14ac:dyDescent="0.2">
      <c r="A41" s="34" t="s">
        <v>282</v>
      </c>
      <c r="B41" s="34" t="s">
        <v>347</v>
      </c>
      <c r="C41" s="68">
        <f t="shared" ref="C41:N45" si="6">+C23+C32</f>
        <v>-6092.61</v>
      </c>
      <c r="D41" s="68">
        <f t="shared" si="6"/>
        <v>-25380.48</v>
      </c>
      <c r="E41" s="68">
        <f t="shared" si="6"/>
        <v>512649.44000000006</v>
      </c>
      <c r="F41" s="68">
        <f t="shared" si="6"/>
        <v>-83838.710000000006</v>
      </c>
      <c r="G41" s="68">
        <f t="shared" si="6"/>
        <v>-119985.80000000002</v>
      </c>
      <c r="H41" s="68">
        <f t="shared" si="6"/>
        <v>-2892</v>
      </c>
      <c r="I41" s="68">
        <f t="shared" si="6"/>
        <v>0</v>
      </c>
      <c r="J41" s="68">
        <f t="shared" si="6"/>
        <v>0</v>
      </c>
      <c r="K41" s="68">
        <f t="shared" si="6"/>
        <v>0</v>
      </c>
      <c r="L41" s="68">
        <f t="shared" si="6"/>
        <v>0</v>
      </c>
      <c r="M41" s="68">
        <f t="shared" si="6"/>
        <v>0</v>
      </c>
      <c r="N41" s="70">
        <f t="shared" si="6"/>
        <v>0</v>
      </c>
      <c r="O41" s="71">
        <f t="shared" si="1"/>
        <v>274459.83999999997</v>
      </c>
    </row>
    <row r="42" spans="1:15" x14ac:dyDescent="0.2">
      <c r="A42" s="34" t="s">
        <v>283</v>
      </c>
      <c r="B42" s="34" t="s">
        <v>347</v>
      </c>
      <c r="C42" s="68">
        <f t="shared" si="6"/>
        <v>-1705.9308000000001</v>
      </c>
      <c r="D42" s="68">
        <f t="shared" si="6"/>
        <v>0</v>
      </c>
      <c r="E42" s="68">
        <f t="shared" si="6"/>
        <v>-8525.9439999999995</v>
      </c>
      <c r="F42" s="68">
        <f t="shared" si="6"/>
        <v>-1698.06</v>
      </c>
      <c r="G42" s="68">
        <f t="shared" si="6"/>
        <v>0</v>
      </c>
      <c r="H42" s="68">
        <f t="shared" si="6"/>
        <v>0</v>
      </c>
      <c r="I42" s="68">
        <f t="shared" si="6"/>
        <v>0</v>
      </c>
      <c r="J42" s="68">
        <f t="shared" si="6"/>
        <v>0</v>
      </c>
      <c r="K42" s="68">
        <f t="shared" si="6"/>
        <v>0</v>
      </c>
      <c r="L42" s="68">
        <f t="shared" si="6"/>
        <v>0</v>
      </c>
      <c r="M42" s="68">
        <f t="shared" si="6"/>
        <v>0</v>
      </c>
      <c r="N42" s="70">
        <f t="shared" si="6"/>
        <v>0</v>
      </c>
      <c r="O42" s="71">
        <f t="shared" si="1"/>
        <v>-11929.934799999999</v>
      </c>
    </row>
    <row r="43" spans="1:15" x14ac:dyDescent="0.2">
      <c r="A43" s="34" t="s">
        <v>284</v>
      </c>
      <c r="B43" s="34" t="s">
        <v>347</v>
      </c>
      <c r="C43" s="68">
        <f t="shared" si="6"/>
        <v>0</v>
      </c>
      <c r="D43" s="68">
        <f t="shared" si="6"/>
        <v>-3553.2671999999998</v>
      </c>
      <c r="E43" s="68">
        <f t="shared" si="6"/>
        <v>76033.89360000001</v>
      </c>
      <c r="F43" s="68">
        <f t="shared" si="6"/>
        <v>-10888.389400000002</v>
      </c>
      <c r="G43" s="68">
        <f t="shared" si="6"/>
        <v>-16798.011999999999</v>
      </c>
      <c r="H43" s="68">
        <f t="shared" si="6"/>
        <v>-260.28000000000003</v>
      </c>
      <c r="I43" s="68">
        <f t="shared" si="6"/>
        <v>0</v>
      </c>
      <c r="J43" s="68">
        <f t="shared" si="6"/>
        <v>0</v>
      </c>
      <c r="K43" s="68">
        <f t="shared" si="6"/>
        <v>0</v>
      </c>
      <c r="L43" s="68">
        <f t="shared" si="6"/>
        <v>0</v>
      </c>
      <c r="M43" s="68">
        <f t="shared" si="6"/>
        <v>0</v>
      </c>
      <c r="N43" s="70">
        <f t="shared" si="6"/>
        <v>0</v>
      </c>
      <c r="O43" s="71">
        <f t="shared" si="1"/>
        <v>44533.945000000007</v>
      </c>
    </row>
    <row r="44" spans="1:15" x14ac:dyDescent="0.2">
      <c r="A44" s="34" t="s">
        <v>285</v>
      </c>
      <c r="B44" s="34" t="s">
        <v>347</v>
      </c>
      <c r="C44" s="68">
        <f t="shared" si="6"/>
        <v>0</v>
      </c>
      <c r="D44" s="68">
        <f t="shared" si="6"/>
        <v>-3553.2671999999998</v>
      </c>
      <c r="E44" s="68">
        <f t="shared" si="6"/>
        <v>76033.89360000001</v>
      </c>
      <c r="F44" s="68">
        <f t="shared" si="6"/>
        <v>-10888.389400000002</v>
      </c>
      <c r="G44" s="68">
        <f t="shared" si="6"/>
        <v>-16798.011999999999</v>
      </c>
      <c r="H44" s="68">
        <f t="shared" si="6"/>
        <v>-260.28000000000003</v>
      </c>
      <c r="I44" s="68">
        <f t="shared" si="6"/>
        <v>0</v>
      </c>
      <c r="J44" s="68">
        <f t="shared" si="6"/>
        <v>0</v>
      </c>
      <c r="K44" s="68">
        <f t="shared" si="6"/>
        <v>0</v>
      </c>
      <c r="L44" s="68">
        <f t="shared" si="6"/>
        <v>0</v>
      </c>
      <c r="M44" s="68">
        <f t="shared" si="6"/>
        <v>0</v>
      </c>
      <c r="N44" s="70">
        <f t="shared" si="6"/>
        <v>0</v>
      </c>
      <c r="O44" s="71">
        <f t="shared" si="1"/>
        <v>44533.945000000007</v>
      </c>
    </row>
    <row r="45" spans="1:15" x14ac:dyDescent="0.2">
      <c r="A45" s="34" t="s">
        <v>286</v>
      </c>
      <c r="B45" s="34" t="s">
        <v>347</v>
      </c>
      <c r="C45" s="68">
        <f t="shared" si="6"/>
        <v>0</v>
      </c>
      <c r="D45" s="68">
        <f t="shared" si="6"/>
        <v>0</v>
      </c>
      <c r="E45" s="68">
        <f t="shared" si="6"/>
        <v>0</v>
      </c>
      <c r="F45" s="68">
        <f t="shared" si="6"/>
        <v>0</v>
      </c>
      <c r="G45" s="68">
        <f t="shared" si="6"/>
        <v>0</v>
      </c>
      <c r="H45" s="68">
        <f t="shared" si="6"/>
        <v>0</v>
      </c>
      <c r="I45" s="68">
        <f t="shared" si="6"/>
        <v>0</v>
      </c>
      <c r="J45" s="68">
        <f t="shared" si="6"/>
        <v>0</v>
      </c>
      <c r="K45" s="68">
        <f t="shared" si="6"/>
        <v>0</v>
      </c>
      <c r="L45" s="68">
        <f t="shared" si="6"/>
        <v>0</v>
      </c>
      <c r="M45" s="68">
        <f t="shared" si="6"/>
        <v>0</v>
      </c>
      <c r="N45" s="70">
        <f t="shared" si="6"/>
        <v>0</v>
      </c>
      <c r="O45" s="71">
        <f t="shared" si="1"/>
        <v>0</v>
      </c>
    </row>
    <row r="46" spans="1:15" ht="15.75" customHeight="1" x14ac:dyDescent="0.2">
      <c r="A46" s="1015" t="s">
        <v>338</v>
      </c>
      <c r="B46" s="1016"/>
      <c r="C46" s="1016"/>
      <c r="D46" s="1016"/>
      <c r="E46" s="1016"/>
      <c r="F46" s="1016"/>
      <c r="G46" s="1016"/>
      <c r="H46" s="1016"/>
      <c r="I46" s="1016"/>
      <c r="J46" s="1016"/>
      <c r="K46" s="1016"/>
      <c r="L46" s="1016"/>
      <c r="M46" s="1016"/>
      <c r="N46" s="1016"/>
      <c r="O46" s="1017"/>
    </row>
    <row r="47" spans="1:15" x14ac:dyDescent="0.2">
      <c r="A47" s="63" t="s">
        <v>279</v>
      </c>
      <c r="B47" s="63"/>
      <c r="C47" s="64">
        <v>43556</v>
      </c>
      <c r="D47" s="64">
        <v>43586</v>
      </c>
      <c r="E47" s="64">
        <v>43617</v>
      </c>
      <c r="F47" s="64">
        <v>43647</v>
      </c>
      <c r="G47" s="64">
        <v>43678</v>
      </c>
      <c r="H47" s="64">
        <v>43709</v>
      </c>
      <c r="I47" s="64">
        <v>43739</v>
      </c>
      <c r="J47" s="64">
        <v>43770</v>
      </c>
      <c r="K47" s="64">
        <v>43800</v>
      </c>
      <c r="L47" s="64">
        <v>43831</v>
      </c>
      <c r="M47" s="64">
        <v>43862</v>
      </c>
      <c r="N47" s="65">
        <v>43891</v>
      </c>
      <c r="O47" s="66" t="s">
        <v>347</v>
      </c>
    </row>
    <row r="48" spans="1:15" ht="15" customHeight="1" x14ac:dyDescent="0.2">
      <c r="A48" s="34" t="s">
        <v>280</v>
      </c>
      <c r="B48" s="34"/>
      <c r="C48" s="71"/>
      <c r="D48" s="71"/>
      <c r="E48" s="71"/>
      <c r="F48" s="71"/>
      <c r="G48" s="71"/>
      <c r="H48" s="71"/>
      <c r="I48" s="71"/>
      <c r="J48" s="71"/>
      <c r="K48" s="71"/>
      <c r="L48" s="71"/>
      <c r="M48" s="71"/>
      <c r="N48" s="73"/>
      <c r="O48" s="71">
        <f t="shared" si="1"/>
        <v>0</v>
      </c>
    </row>
    <row r="49" spans="1:15" x14ac:dyDescent="0.2">
      <c r="A49" s="34" t="s">
        <v>281</v>
      </c>
      <c r="B49" s="34" t="s">
        <v>393</v>
      </c>
      <c r="C49" s="75">
        <f>+C50+C51+C52</f>
        <v>0</v>
      </c>
      <c r="D49" s="75">
        <f t="shared" ref="D49:N49" si="7">+D50+D51+D52</f>
        <v>0</v>
      </c>
      <c r="E49" s="75">
        <f t="shared" si="7"/>
        <v>0</v>
      </c>
      <c r="F49" s="75">
        <f t="shared" si="7"/>
        <v>0</v>
      </c>
      <c r="G49" s="75">
        <f t="shared" si="7"/>
        <v>0</v>
      </c>
      <c r="H49" s="75">
        <f t="shared" si="7"/>
        <v>0</v>
      </c>
      <c r="I49" s="75">
        <f t="shared" si="7"/>
        <v>0</v>
      </c>
      <c r="J49" s="75">
        <f t="shared" si="7"/>
        <v>0</v>
      </c>
      <c r="K49" s="75">
        <f t="shared" si="7"/>
        <v>0</v>
      </c>
      <c r="L49" s="75">
        <f t="shared" si="7"/>
        <v>0</v>
      </c>
      <c r="M49" s="75">
        <f t="shared" si="7"/>
        <v>0</v>
      </c>
      <c r="N49" s="76">
        <f t="shared" si="7"/>
        <v>0</v>
      </c>
      <c r="O49" s="71">
        <f t="shared" si="1"/>
        <v>0</v>
      </c>
    </row>
    <row r="50" spans="1:15" x14ac:dyDescent="0.2">
      <c r="A50" s="34" t="s">
        <v>282</v>
      </c>
      <c r="B50" s="34" t="s">
        <v>393</v>
      </c>
      <c r="C50" s="68">
        <f>SUMIFS(SALE!$K$6:$K$10000,SALE!$A$6:$A$10000,C47,SALE!$Q$6:$Q$10000,$B$5:$B$1104)</f>
        <v>0</v>
      </c>
      <c r="D50" s="68">
        <f>SUMIFS(SALE!$K$6:$K$10000,SALE!$A$6:$A$10000,D47,SALE!$Q$6:$Q$10000,$B$5:$B$1104)</f>
        <v>0</v>
      </c>
      <c r="E50" s="68">
        <f>SUMIFS(SALE!$K$6:$K$10000,SALE!$A$6:$A$10000,E47,SALE!$Q$6:$Q$10000,$B$5:$B$1104)</f>
        <v>0</v>
      </c>
      <c r="F50" s="68">
        <f>SUMIFS(SALE!$K$6:$K$10000,SALE!$A$6:$A$10000,F47,SALE!$Q$6:$Q$10000,$B$5:$B$1104)</f>
        <v>0</v>
      </c>
      <c r="G50" s="68">
        <f>SUMIFS(SALE!$K$6:$K$10000,SALE!$A$6:$A$10000,G47,SALE!$Q$6:$Q$10000,$B$5:$B$1104)</f>
        <v>0</v>
      </c>
      <c r="H50" s="68">
        <f>SUMIFS(SALE!$K$6:$K$10000,SALE!$A$6:$A$10000,H47,SALE!$Q$6:$Q$10000,$B$5:$B$1104)</f>
        <v>0</v>
      </c>
      <c r="I50" s="68">
        <f>SUMIFS(SALE!$K$6:$K$10000,SALE!$A$6:$A$10000,I47,SALE!$Q$6:$Q$10000,$B$5:$B$1104)</f>
        <v>0</v>
      </c>
      <c r="J50" s="68">
        <f>SUMIFS(SALE!$K$6:$K$10000,SALE!$A$6:$A$10000,J47,SALE!$Q$6:$Q$10000,$B$5:$B$1104)</f>
        <v>0</v>
      </c>
      <c r="K50" s="68">
        <f>SUMIFS(SALE!$K$6:$K$10000,SALE!$A$6:$A$10000,K47,SALE!$Q$6:$Q$10000,$B$5:$B$1104)</f>
        <v>0</v>
      </c>
      <c r="L50" s="68">
        <f>SUMIFS(SALE!$K$6:$K$10000,SALE!$A$6:$A$10000,L47,SALE!$Q$6:$Q$10000,$B$5:$B$1104)</f>
        <v>0</v>
      </c>
      <c r="M50" s="68">
        <f>SUMIFS(SALE!$K$6:$K$10000,SALE!$A$6:$A$10000,M47,SALE!$Q$6:$Q$10000,$B$5:$B$1104)</f>
        <v>0</v>
      </c>
      <c r="N50" s="70">
        <f>SUMIFS(SALE!$K$6:$K$10000,SALE!$A$6:$A$10000,N47,SALE!$Q$6:$Q$10000,$B$5:$B$1104)</f>
        <v>0</v>
      </c>
      <c r="O50" s="71">
        <f t="shared" si="1"/>
        <v>0</v>
      </c>
    </row>
    <row r="51" spans="1:15" x14ac:dyDescent="0.2">
      <c r="A51" s="34" t="s">
        <v>283</v>
      </c>
      <c r="B51" s="34" t="s">
        <v>393</v>
      </c>
      <c r="C51" s="68">
        <f>SUMIFS(SALE!$L$6:$L$10000,SALE!$A$6:$A$10000,C47,SALE!$Q$6:$Q$10000,$B$5:$B$1104)</f>
        <v>0</v>
      </c>
      <c r="D51" s="68">
        <f>SUMIFS(SALE!$L$6:$L$10000,SALE!$A$6:$A$10000,D47,SALE!$Q$6:$Q$10000,$B$5:$B$1104)</f>
        <v>0</v>
      </c>
      <c r="E51" s="68">
        <f>SUMIFS(SALE!$L$6:$L$10000,SALE!$A$6:$A$10000,E47,SALE!$Q$6:$Q$10000,$B$5:$B$1104)</f>
        <v>0</v>
      </c>
      <c r="F51" s="68">
        <f>SUMIFS(SALE!$L$6:$L$10000,SALE!$A$6:$A$10000,F47,SALE!$Q$6:$Q$10000,$B$5:$B$1104)</f>
        <v>0</v>
      </c>
      <c r="G51" s="68">
        <f>SUMIFS(SALE!$L$6:$L$10000,SALE!$A$6:$A$10000,G47,SALE!$Q$6:$Q$10000,$B$5:$B$1104)</f>
        <v>0</v>
      </c>
      <c r="H51" s="68">
        <f>SUMIFS(SALE!$L$6:$L$10000,SALE!$A$6:$A$10000,H47,SALE!$Q$6:$Q$10000,$B$5:$B$1104)</f>
        <v>0</v>
      </c>
      <c r="I51" s="68">
        <f>SUMIFS(SALE!$L$6:$L$10000,SALE!$A$6:$A$10000,I47,SALE!$Q$6:$Q$10000,$B$5:$B$1104)</f>
        <v>0</v>
      </c>
      <c r="J51" s="68">
        <f>SUMIFS(SALE!$L$6:$L$10000,SALE!$A$6:$A$10000,J47,SALE!$Q$6:$Q$10000,$B$5:$B$1104)</f>
        <v>0</v>
      </c>
      <c r="K51" s="68">
        <f>SUMIFS(SALE!$L$6:$L$10000,SALE!$A$6:$A$10000,K47,SALE!$Q$6:$Q$10000,$B$5:$B$1104)</f>
        <v>0</v>
      </c>
      <c r="L51" s="68">
        <f>SUMIFS(SALE!$L$6:$L$10000,SALE!$A$6:$A$10000,L47,SALE!$Q$6:$Q$10000,$B$5:$B$1104)</f>
        <v>0</v>
      </c>
      <c r="M51" s="68">
        <f>SUMIFS(SALE!$L$6:$L$10000,SALE!$A$6:$A$10000,M47,SALE!$Q$6:$Q$10000,$B$5:$B$1104)</f>
        <v>0</v>
      </c>
      <c r="N51" s="70">
        <f>SUMIFS(SALE!$L$6:$L$10000,SALE!$A$6:$A$10000,N47,SALE!$Q$6:$Q$10000,$B$5:$B$1104)</f>
        <v>0</v>
      </c>
      <c r="O51" s="71">
        <f t="shared" si="1"/>
        <v>0</v>
      </c>
    </row>
    <row r="52" spans="1:15" x14ac:dyDescent="0.2">
      <c r="A52" s="34" t="s">
        <v>286</v>
      </c>
      <c r="B52" s="34" t="s">
        <v>393</v>
      </c>
      <c r="C52" s="68">
        <f>SUMIFS(SALE!$O$6:$O$10000,SALE!$A$6:$A$10000,C47,SALE!$Q$6:$Q$10000,$B$5:$B$1104)</f>
        <v>0</v>
      </c>
      <c r="D52" s="68">
        <f>SUMIFS(SALE!$O$6:$O$10000,SALE!$A$6:$A$10000,D47,SALE!$Q$6:$Q$10000,$B$5:$B$1104)</f>
        <v>0</v>
      </c>
      <c r="E52" s="68">
        <f>SUMIFS(SALE!$O$6:$O$10000,SALE!$A$6:$A$10000,E47,SALE!$Q$6:$Q$10000,$B$5:$B$1104)</f>
        <v>0</v>
      </c>
      <c r="F52" s="68">
        <f>SUMIFS(SALE!$O$6:$O$10000,SALE!$A$6:$A$10000,F47,SALE!$Q$6:$Q$10000,$B$5:$B$1104)</f>
        <v>0</v>
      </c>
      <c r="G52" s="68">
        <f>SUMIFS(SALE!$O$6:$O$10000,SALE!$A$6:$A$10000,G47,SALE!$Q$6:$Q$10000,$B$5:$B$1104)</f>
        <v>0</v>
      </c>
      <c r="H52" s="68">
        <f>SUMIFS(SALE!$O$6:$O$10000,SALE!$A$6:$A$10000,H47,SALE!$Q$6:$Q$10000,$B$5:$B$1104)</f>
        <v>0</v>
      </c>
      <c r="I52" s="68">
        <f>SUMIFS(SALE!$O$6:$O$10000,SALE!$A$6:$A$10000,I47,SALE!$Q$6:$Q$10000,$B$5:$B$1104)</f>
        <v>0</v>
      </c>
      <c r="J52" s="68">
        <f>SUMIFS(SALE!$O$6:$O$10000,SALE!$A$6:$A$10000,J47,SALE!$Q$6:$Q$10000,$B$5:$B$1104)</f>
        <v>0</v>
      </c>
      <c r="K52" s="68">
        <f>SUMIFS(SALE!$O$6:$O$10000,SALE!$A$6:$A$10000,K47,SALE!$Q$6:$Q$10000,$B$5:$B$1104)</f>
        <v>0</v>
      </c>
      <c r="L52" s="68">
        <f>SUMIFS(SALE!$O$6:$O$10000,SALE!$A$6:$A$10000,L47,SALE!$Q$6:$Q$10000,$B$5:$B$1104)</f>
        <v>0</v>
      </c>
      <c r="M52" s="68">
        <f>SUMIFS(SALE!$O$6:$O$10000,SALE!$A$6:$A$10000,M47,SALE!$Q$6:$Q$10000,$B$5:$B$1104)</f>
        <v>0</v>
      </c>
      <c r="N52" s="70">
        <f>SUMIFS(SALE!$O$6:$O$10000,SALE!$A$6:$A$10000,N47,SALE!$Q$6:$Q$10000,$B$5:$B$1104)</f>
        <v>0</v>
      </c>
      <c r="O52" s="71">
        <f t="shared" si="1"/>
        <v>0</v>
      </c>
    </row>
    <row r="53" spans="1:15" ht="15.75" customHeight="1" x14ac:dyDescent="0.2">
      <c r="A53" s="1015" t="s">
        <v>339</v>
      </c>
      <c r="B53" s="1016"/>
      <c r="C53" s="1016"/>
      <c r="D53" s="1016"/>
      <c r="E53" s="1016"/>
      <c r="F53" s="1016"/>
      <c r="G53" s="1016"/>
      <c r="H53" s="1016"/>
      <c r="I53" s="1016"/>
      <c r="J53" s="1016"/>
      <c r="K53" s="1016"/>
      <c r="L53" s="1016"/>
      <c r="M53" s="1016"/>
      <c r="N53" s="1016"/>
      <c r="O53" s="1017"/>
    </row>
    <row r="54" spans="1:15" x14ac:dyDescent="0.2">
      <c r="A54" s="63" t="s">
        <v>279</v>
      </c>
      <c r="B54" s="63"/>
      <c r="C54" s="64">
        <v>43556</v>
      </c>
      <c r="D54" s="64">
        <v>43586</v>
      </c>
      <c r="E54" s="64">
        <v>43617</v>
      </c>
      <c r="F54" s="64">
        <v>43647</v>
      </c>
      <c r="G54" s="64">
        <v>43678</v>
      </c>
      <c r="H54" s="64">
        <v>43709</v>
      </c>
      <c r="I54" s="64">
        <v>43739</v>
      </c>
      <c r="J54" s="64">
        <v>43770</v>
      </c>
      <c r="K54" s="64">
        <v>43800</v>
      </c>
      <c r="L54" s="64">
        <v>43831</v>
      </c>
      <c r="M54" s="64">
        <v>43862</v>
      </c>
      <c r="N54" s="65">
        <v>43891</v>
      </c>
      <c r="O54" s="66" t="s">
        <v>347</v>
      </c>
    </row>
    <row r="55" spans="1:15" ht="15" customHeight="1" x14ac:dyDescent="0.2">
      <c r="A55" s="34" t="s">
        <v>280</v>
      </c>
      <c r="B55" s="34"/>
      <c r="C55" s="71"/>
      <c r="D55" s="71"/>
      <c r="E55" s="71"/>
      <c r="F55" s="71"/>
      <c r="G55" s="71"/>
      <c r="H55" s="71"/>
      <c r="I55" s="71"/>
      <c r="J55" s="71"/>
      <c r="K55" s="71"/>
      <c r="L55" s="71"/>
      <c r="M55" s="71"/>
      <c r="N55" s="73"/>
      <c r="O55" s="71">
        <f t="shared" si="1"/>
        <v>0</v>
      </c>
    </row>
    <row r="56" spans="1:15" x14ac:dyDescent="0.2">
      <c r="A56" s="34" t="s">
        <v>281</v>
      </c>
      <c r="B56" s="34" t="s">
        <v>370</v>
      </c>
      <c r="C56" s="75">
        <f>+C57+C58+C59</f>
        <v>0</v>
      </c>
      <c r="D56" s="75">
        <f t="shared" ref="D56:N56" si="8">+D57+D58+D59</f>
        <v>0</v>
      </c>
      <c r="E56" s="75">
        <f t="shared" si="8"/>
        <v>0</v>
      </c>
      <c r="F56" s="75">
        <f t="shared" si="8"/>
        <v>0</v>
      </c>
      <c r="G56" s="75">
        <f t="shared" si="8"/>
        <v>0</v>
      </c>
      <c r="H56" s="75">
        <f t="shared" si="8"/>
        <v>0</v>
      </c>
      <c r="I56" s="75">
        <f t="shared" si="8"/>
        <v>0</v>
      </c>
      <c r="J56" s="75">
        <f t="shared" si="8"/>
        <v>0</v>
      </c>
      <c r="K56" s="75">
        <f t="shared" si="8"/>
        <v>0</v>
      </c>
      <c r="L56" s="75">
        <f t="shared" si="8"/>
        <v>0</v>
      </c>
      <c r="M56" s="75">
        <f t="shared" si="8"/>
        <v>0</v>
      </c>
      <c r="N56" s="76">
        <f t="shared" si="8"/>
        <v>0</v>
      </c>
      <c r="O56" s="71">
        <f t="shared" si="1"/>
        <v>0</v>
      </c>
    </row>
    <row r="57" spans="1:15" x14ac:dyDescent="0.2">
      <c r="A57" s="34" t="s">
        <v>282</v>
      </c>
      <c r="B57" s="34" t="s">
        <v>370</v>
      </c>
      <c r="C57" s="68">
        <f>SUMIFS(SALE!$K$6:$K$10000,SALE!$A$6:$A$10000,C54,SALE!$Q$6:$Q$10000,$B$5:$B$1104)</f>
        <v>0</v>
      </c>
      <c r="D57" s="68">
        <f>SUMIFS(SALE!$K$6:$K$10000,SALE!$A$6:$A$10000,D54,SALE!$Q$6:$Q$10000,$B$5:$B$1104)</f>
        <v>0</v>
      </c>
      <c r="E57" s="68">
        <f>SUMIFS(SALE!$K$6:$K$10000,SALE!$A$6:$A$10000,E54,SALE!$Q$6:$Q$10000,$B$5:$B$1104)</f>
        <v>0</v>
      </c>
      <c r="F57" s="68">
        <f>SUMIFS(SALE!$K$6:$K$10000,SALE!$A$6:$A$10000,F54,SALE!$Q$6:$Q$10000,$B$5:$B$1104)</f>
        <v>0</v>
      </c>
      <c r="G57" s="68">
        <f>SUMIFS(SALE!$K$6:$K$10000,SALE!$A$6:$A$10000,G54,SALE!$Q$6:$Q$10000,$B$5:$B$1104)</f>
        <v>0</v>
      </c>
      <c r="H57" s="68">
        <f>SUMIFS(SALE!$K$6:$K$10000,SALE!$A$6:$A$10000,H54,SALE!$Q$6:$Q$10000,$B$5:$B$1104)</f>
        <v>0</v>
      </c>
      <c r="I57" s="68">
        <f>SUMIFS(SALE!$K$6:$K$10000,SALE!$A$6:$A$10000,I54,SALE!$Q$6:$Q$10000,$B$5:$B$1104)</f>
        <v>0</v>
      </c>
      <c r="J57" s="68">
        <f>SUMIFS(SALE!$K$6:$K$10000,SALE!$A$6:$A$10000,J54,SALE!$Q$6:$Q$10000,$B$5:$B$1104)</f>
        <v>0</v>
      </c>
      <c r="K57" s="68">
        <f>SUMIFS(SALE!$K$6:$K$10000,SALE!$A$6:$A$10000,K54,SALE!$Q$6:$Q$10000,$B$5:$B$1104)</f>
        <v>0</v>
      </c>
      <c r="L57" s="68">
        <f>SUMIFS(SALE!$K$6:$K$10000,SALE!$A$6:$A$10000,L54,SALE!$Q$6:$Q$10000,$B$5:$B$1104)</f>
        <v>0</v>
      </c>
      <c r="M57" s="68">
        <f>SUMIFS(SALE!$K$6:$K$10000,SALE!$A$6:$A$10000,M54,SALE!$Q$6:$Q$10000,$B$5:$B$1104)</f>
        <v>0</v>
      </c>
      <c r="N57" s="70">
        <f>SUMIFS(SALE!$K$6:$K$10000,SALE!$A$6:$A$10000,N54,SALE!$Q$6:$Q$10000,$B$5:$B$1104)</f>
        <v>0</v>
      </c>
      <c r="O57" s="71">
        <f t="shared" si="1"/>
        <v>0</v>
      </c>
    </row>
    <row r="58" spans="1:15" x14ac:dyDescent="0.2">
      <c r="A58" s="34" t="s">
        <v>283</v>
      </c>
      <c r="B58" s="34" t="s">
        <v>370</v>
      </c>
      <c r="C58" s="68">
        <f>SUMIFS(SALE!$L$6:$L$10000,SALE!$A$6:$A$10000,C54,SALE!$Q$6:$Q$10000,$B$5:$B$1104)</f>
        <v>0</v>
      </c>
      <c r="D58" s="68">
        <f>SUMIFS(SALE!$L$6:$L$10000,SALE!$A$6:$A$10000,D54,SALE!$Q$6:$Q$10000,$B$5:$B$1104)</f>
        <v>0</v>
      </c>
      <c r="E58" s="68">
        <f>SUMIFS(SALE!$L$6:$L$10000,SALE!$A$6:$A$10000,E54,SALE!$Q$6:$Q$10000,$B$5:$B$1104)</f>
        <v>0</v>
      </c>
      <c r="F58" s="68">
        <f>SUMIFS(SALE!$L$6:$L$10000,SALE!$A$6:$A$10000,F54,SALE!$Q$6:$Q$10000,$B$5:$B$1104)</f>
        <v>0</v>
      </c>
      <c r="G58" s="68">
        <f>SUMIFS(SALE!$L$6:$L$10000,SALE!$A$6:$A$10000,G54,SALE!$Q$6:$Q$10000,$B$5:$B$1104)</f>
        <v>0</v>
      </c>
      <c r="H58" s="68">
        <f>SUMIFS(SALE!$L$6:$L$10000,SALE!$A$6:$A$10000,H54,SALE!$Q$6:$Q$10000,$B$5:$B$1104)</f>
        <v>0</v>
      </c>
      <c r="I58" s="68">
        <f>SUMIFS(SALE!$L$6:$L$10000,SALE!$A$6:$A$10000,I54,SALE!$Q$6:$Q$10000,$B$5:$B$1104)</f>
        <v>0</v>
      </c>
      <c r="J58" s="68">
        <f>SUMIFS(SALE!$L$6:$L$10000,SALE!$A$6:$A$10000,J54,SALE!$Q$6:$Q$10000,$B$5:$B$1104)</f>
        <v>0</v>
      </c>
      <c r="K58" s="68">
        <f>SUMIFS(SALE!$L$6:$L$10000,SALE!$A$6:$A$10000,K54,SALE!$Q$6:$Q$10000,$B$5:$B$1104)</f>
        <v>0</v>
      </c>
      <c r="L58" s="68">
        <f>SUMIFS(SALE!$L$6:$L$10000,SALE!$A$6:$A$10000,L54,SALE!$Q$6:$Q$10000,$B$5:$B$1104)</f>
        <v>0</v>
      </c>
      <c r="M58" s="68">
        <f>SUMIFS(SALE!$L$6:$L$10000,SALE!$A$6:$A$10000,M54,SALE!$Q$6:$Q$10000,$B$5:$B$1104)</f>
        <v>0</v>
      </c>
      <c r="N58" s="70">
        <f>SUMIFS(SALE!$L$6:$L$10000,SALE!$A$6:$A$10000,N54,SALE!$Q$6:$Q$10000,$B$5:$B$1104)</f>
        <v>0</v>
      </c>
      <c r="O58" s="71">
        <f t="shared" si="1"/>
        <v>0</v>
      </c>
    </row>
    <row r="59" spans="1:15" x14ac:dyDescent="0.2">
      <c r="A59" s="34" t="s">
        <v>286</v>
      </c>
      <c r="B59" s="34" t="s">
        <v>370</v>
      </c>
      <c r="C59" s="68">
        <f>SUMIFS(SALE!$O$6:$O$10000,SALE!$A$6:$A$10000,C54,SALE!$Q$6:$Q$10000,$B$5:$B$1104)</f>
        <v>0</v>
      </c>
      <c r="D59" s="68">
        <f>SUMIFS(SALE!$O$6:$O$10000,SALE!$A$6:$A$10000,D54,SALE!$Q$6:$Q$10000,$B$5:$B$1104)</f>
        <v>0</v>
      </c>
      <c r="E59" s="68">
        <f>SUMIFS(SALE!$O$6:$O$10000,SALE!$A$6:$A$10000,E54,SALE!$Q$6:$Q$10000,$B$5:$B$1104)</f>
        <v>0</v>
      </c>
      <c r="F59" s="68">
        <f>SUMIFS(SALE!$O$6:$O$10000,SALE!$A$6:$A$10000,F54,SALE!$Q$6:$Q$10000,$B$5:$B$1104)</f>
        <v>0</v>
      </c>
      <c r="G59" s="68">
        <f>SUMIFS(SALE!$O$6:$O$10000,SALE!$A$6:$A$10000,G54,SALE!$Q$6:$Q$10000,$B$5:$B$1104)</f>
        <v>0</v>
      </c>
      <c r="H59" s="68">
        <f>SUMIFS(SALE!$O$6:$O$10000,SALE!$A$6:$A$10000,H54,SALE!$Q$6:$Q$10000,$B$5:$B$1104)</f>
        <v>0</v>
      </c>
      <c r="I59" s="68">
        <f>SUMIFS(SALE!$O$6:$O$10000,SALE!$A$6:$A$10000,I54,SALE!$Q$6:$Q$10000,$B$5:$B$1104)</f>
        <v>0</v>
      </c>
      <c r="J59" s="68">
        <f>SUMIFS(SALE!$O$6:$O$10000,SALE!$A$6:$A$10000,J54,SALE!$Q$6:$Q$10000,$B$5:$B$1104)</f>
        <v>0</v>
      </c>
      <c r="K59" s="68">
        <f>SUMIFS(SALE!$O$6:$O$10000,SALE!$A$6:$A$10000,K54,SALE!$Q$6:$Q$10000,$B$5:$B$1104)</f>
        <v>0</v>
      </c>
      <c r="L59" s="68">
        <f>SUMIFS(SALE!$O$6:$O$10000,SALE!$A$6:$A$10000,L54,SALE!$Q$6:$Q$10000,$B$5:$B$1104)</f>
        <v>0</v>
      </c>
      <c r="M59" s="68">
        <f>SUMIFS(SALE!$O$6:$O$10000,SALE!$A$6:$A$10000,M54,SALE!$Q$6:$Q$10000,$B$5:$B$1104)</f>
        <v>0</v>
      </c>
      <c r="N59" s="70">
        <f>SUMIFS(SALE!$O$6:$O$10000,SALE!$A$6:$A$10000,N54,SALE!$Q$6:$Q$10000,$B$5:$B$1104)</f>
        <v>0</v>
      </c>
      <c r="O59" s="71">
        <f t="shared" si="1"/>
        <v>0</v>
      </c>
    </row>
    <row r="60" spans="1:15" x14ac:dyDescent="0.2">
      <c r="A60" s="1012" t="s">
        <v>340</v>
      </c>
      <c r="B60" s="1013"/>
      <c r="C60" s="1013"/>
      <c r="D60" s="1013"/>
      <c r="E60" s="1013"/>
      <c r="F60" s="1013"/>
      <c r="G60" s="1013"/>
      <c r="H60" s="1013"/>
      <c r="I60" s="1013"/>
      <c r="J60" s="1013"/>
      <c r="K60" s="1013"/>
      <c r="L60" s="1013"/>
      <c r="M60" s="1013"/>
      <c r="N60" s="1013"/>
      <c r="O60" s="1014"/>
    </row>
    <row r="61" spans="1:15" x14ac:dyDescent="0.2">
      <c r="A61" s="63" t="s">
        <v>279</v>
      </c>
      <c r="B61" s="63"/>
      <c r="C61" s="64">
        <v>43556</v>
      </c>
      <c r="D61" s="64">
        <v>43586</v>
      </c>
      <c r="E61" s="64">
        <v>43617</v>
      </c>
      <c r="F61" s="64">
        <v>43647</v>
      </c>
      <c r="G61" s="64">
        <v>43678</v>
      </c>
      <c r="H61" s="64">
        <v>43709</v>
      </c>
      <c r="I61" s="64">
        <v>43739</v>
      </c>
      <c r="J61" s="64">
        <v>43770</v>
      </c>
      <c r="K61" s="64">
        <v>43800</v>
      </c>
      <c r="L61" s="64">
        <v>43831</v>
      </c>
      <c r="M61" s="64">
        <v>43862</v>
      </c>
      <c r="N61" s="65">
        <v>43891</v>
      </c>
      <c r="O61" s="66" t="s">
        <v>347</v>
      </c>
    </row>
    <row r="62" spans="1:15" ht="15" customHeight="1" x14ac:dyDescent="0.2">
      <c r="A62" s="34" t="s">
        <v>280</v>
      </c>
      <c r="B62" s="34"/>
      <c r="C62" s="71"/>
      <c r="D62" s="71"/>
      <c r="E62" s="71"/>
      <c r="F62" s="71"/>
      <c r="G62" s="71"/>
      <c r="H62" s="71"/>
      <c r="I62" s="71"/>
      <c r="J62" s="71"/>
      <c r="K62" s="71"/>
      <c r="L62" s="71"/>
      <c r="M62" s="71"/>
      <c r="N62" s="73"/>
      <c r="O62" s="71">
        <f t="shared" si="1"/>
        <v>0</v>
      </c>
    </row>
    <row r="63" spans="1:15" x14ac:dyDescent="0.2">
      <c r="A63" s="34" t="s">
        <v>281</v>
      </c>
      <c r="B63" s="34" t="s">
        <v>347</v>
      </c>
      <c r="C63" s="75">
        <f>+C49+C56</f>
        <v>0</v>
      </c>
      <c r="D63" s="75">
        <f t="shared" ref="D63:N63" si="9">+D49+D56</f>
        <v>0</v>
      </c>
      <c r="E63" s="75">
        <f t="shared" si="9"/>
        <v>0</v>
      </c>
      <c r="F63" s="75">
        <f t="shared" si="9"/>
        <v>0</v>
      </c>
      <c r="G63" s="75">
        <f t="shared" si="9"/>
        <v>0</v>
      </c>
      <c r="H63" s="75">
        <f t="shared" si="9"/>
        <v>0</v>
      </c>
      <c r="I63" s="75">
        <f t="shared" si="9"/>
        <v>0</v>
      </c>
      <c r="J63" s="75">
        <f t="shared" si="9"/>
        <v>0</v>
      </c>
      <c r="K63" s="75">
        <f t="shared" si="9"/>
        <v>0</v>
      </c>
      <c r="L63" s="75">
        <f t="shared" si="9"/>
        <v>0</v>
      </c>
      <c r="M63" s="75">
        <f t="shared" si="9"/>
        <v>0</v>
      </c>
      <c r="N63" s="76">
        <f t="shared" si="9"/>
        <v>0</v>
      </c>
      <c r="O63" s="71">
        <f t="shared" si="1"/>
        <v>0</v>
      </c>
    </row>
    <row r="64" spans="1:15" x14ac:dyDescent="0.2">
      <c r="A64" s="34" t="s">
        <v>282</v>
      </c>
      <c r="B64" s="34" t="s">
        <v>347</v>
      </c>
      <c r="C64" s="75">
        <f t="shared" ref="C64:N66" si="10">+C50+C57</f>
        <v>0</v>
      </c>
      <c r="D64" s="75">
        <f t="shared" si="10"/>
        <v>0</v>
      </c>
      <c r="E64" s="75">
        <f t="shared" si="10"/>
        <v>0</v>
      </c>
      <c r="F64" s="75">
        <f t="shared" si="10"/>
        <v>0</v>
      </c>
      <c r="G64" s="75">
        <f t="shared" si="10"/>
        <v>0</v>
      </c>
      <c r="H64" s="75">
        <f t="shared" si="10"/>
        <v>0</v>
      </c>
      <c r="I64" s="75">
        <f t="shared" si="10"/>
        <v>0</v>
      </c>
      <c r="J64" s="75">
        <f t="shared" si="10"/>
        <v>0</v>
      </c>
      <c r="K64" s="75">
        <f t="shared" si="10"/>
        <v>0</v>
      </c>
      <c r="L64" s="75">
        <f t="shared" si="10"/>
        <v>0</v>
      </c>
      <c r="M64" s="75">
        <f t="shared" si="10"/>
        <v>0</v>
      </c>
      <c r="N64" s="76">
        <f t="shared" si="10"/>
        <v>0</v>
      </c>
      <c r="O64" s="71">
        <f t="shared" si="1"/>
        <v>0</v>
      </c>
    </row>
    <row r="65" spans="1:15" x14ac:dyDescent="0.2">
      <c r="A65" s="34" t="s">
        <v>283</v>
      </c>
      <c r="B65" s="34" t="s">
        <v>347</v>
      </c>
      <c r="C65" s="75">
        <f t="shared" si="10"/>
        <v>0</v>
      </c>
      <c r="D65" s="75">
        <f t="shared" si="10"/>
        <v>0</v>
      </c>
      <c r="E65" s="75">
        <f t="shared" si="10"/>
        <v>0</v>
      </c>
      <c r="F65" s="75">
        <f t="shared" si="10"/>
        <v>0</v>
      </c>
      <c r="G65" s="75">
        <f t="shared" si="10"/>
        <v>0</v>
      </c>
      <c r="H65" s="75">
        <f t="shared" si="10"/>
        <v>0</v>
      </c>
      <c r="I65" s="75">
        <f t="shared" si="10"/>
        <v>0</v>
      </c>
      <c r="J65" s="75">
        <f t="shared" si="10"/>
        <v>0</v>
      </c>
      <c r="K65" s="75">
        <f t="shared" si="10"/>
        <v>0</v>
      </c>
      <c r="L65" s="75">
        <f t="shared" si="10"/>
        <v>0</v>
      </c>
      <c r="M65" s="75">
        <f t="shared" si="10"/>
        <v>0</v>
      </c>
      <c r="N65" s="76">
        <f t="shared" si="10"/>
        <v>0</v>
      </c>
      <c r="O65" s="71">
        <f t="shared" si="1"/>
        <v>0</v>
      </c>
    </row>
    <row r="66" spans="1:15" x14ac:dyDescent="0.2">
      <c r="A66" s="34" t="s">
        <v>286</v>
      </c>
      <c r="B66" s="34" t="s">
        <v>347</v>
      </c>
      <c r="C66" s="75">
        <f t="shared" si="10"/>
        <v>0</v>
      </c>
      <c r="D66" s="75">
        <f t="shared" si="10"/>
        <v>0</v>
      </c>
      <c r="E66" s="75">
        <f t="shared" si="10"/>
        <v>0</v>
      </c>
      <c r="F66" s="75">
        <f t="shared" si="10"/>
        <v>0</v>
      </c>
      <c r="G66" s="75">
        <f t="shared" si="10"/>
        <v>0</v>
      </c>
      <c r="H66" s="75">
        <f t="shared" si="10"/>
        <v>0</v>
      </c>
      <c r="I66" s="75">
        <f t="shared" si="10"/>
        <v>0</v>
      </c>
      <c r="J66" s="75">
        <f t="shared" si="10"/>
        <v>0</v>
      </c>
      <c r="K66" s="75">
        <f t="shared" si="10"/>
        <v>0</v>
      </c>
      <c r="L66" s="75">
        <f t="shared" si="10"/>
        <v>0</v>
      </c>
      <c r="M66" s="75">
        <f t="shared" si="10"/>
        <v>0</v>
      </c>
      <c r="N66" s="76">
        <f t="shared" si="10"/>
        <v>0</v>
      </c>
      <c r="O66" s="71">
        <f t="shared" si="1"/>
        <v>0</v>
      </c>
    </row>
    <row r="67" spans="1:15" x14ac:dyDescent="0.2">
      <c r="A67" s="1018" t="s">
        <v>290</v>
      </c>
      <c r="B67" s="1019"/>
      <c r="C67" s="1019"/>
      <c r="D67" s="1019"/>
      <c r="E67" s="1019"/>
      <c r="F67" s="1019"/>
      <c r="G67" s="1019"/>
      <c r="H67" s="1019"/>
      <c r="I67" s="1019"/>
      <c r="J67" s="1019"/>
      <c r="K67" s="1019"/>
      <c r="L67" s="1019"/>
      <c r="M67" s="1019"/>
      <c r="N67" s="1019"/>
      <c r="O67" s="1020"/>
    </row>
    <row r="68" spans="1:15" x14ac:dyDescent="0.2">
      <c r="A68" s="63" t="s">
        <v>279</v>
      </c>
      <c r="B68" s="63"/>
      <c r="C68" s="64">
        <v>43556</v>
      </c>
      <c r="D68" s="64">
        <v>43586</v>
      </c>
      <c r="E68" s="64">
        <v>43617</v>
      </c>
      <c r="F68" s="64">
        <v>43647</v>
      </c>
      <c r="G68" s="64">
        <v>43678</v>
      </c>
      <c r="H68" s="64">
        <v>43709</v>
      </c>
      <c r="I68" s="64">
        <v>43739</v>
      </c>
      <c r="J68" s="64">
        <v>43770</v>
      </c>
      <c r="K68" s="64">
        <v>43800</v>
      </c>
      <c r="L68" s="64">
        <v>43831</v>
      </c>
      <c r="M68" s="64">
        <v>43862</v>
      </c>
      <c r="N68" s="65">
        <v>43891</v>
      </c>
      <c r="O68" s="66" t="s">
        <v>347</v>
      </c>
    </row>
    <row r="69" spans="1:15" ht="15" customHeight="1" x14ac:dyDescent="0.2">
      <c r="A69" s="34" t="s">
        <v>280</v>
      </c>
      <c r="B69" s="34"/>
      <c r="C69" s="71"/>
      <c r="D69" s="71"/>
      <c r="E69" s="71"/>
      <c r="F69" s="71"/>
      <c r="G69" s="71"/>
      <c r="H69" s="71"/>
      <c r="I69" s="71"/>
      <c r="J69" s="71"/>
      <c r="K69" s="71"/>
      <c r="L69" s="71"/>
      <c r="M69" s="71"/>
      <c r="N69" s="73"/>
      <c r="O69" s="71">
        <f t="shared" si="1"/>
        <v>0</v>
      </c>
    </row>
    <row r="70" spans="1:15" x14ac:dyDescent="0.2">
      <c r="A70" s="34" t="s">
        <v>281</v>
      </c>
      <c r="B70" s="34" t="s">
        <v>396</v>
      </c>
      <c r="C70" s="72">
        <f>+C71+C72</f>
        <v>0</v>
      </c>
      <c r="D70" s="72">
        <f t="shared" ref="D70:N70" si="11">+D71+D72</f>
        <v>0</v>
      </c>
      <c r="E70" s="72">
        <f t="shared" si="11"/>
        <v>0</v>
      </c>
      <c r="F70" s="72">
        <f t="shared" si="11"/>
        <v>0</v>
      </c>
      <c r="G70" s="72">
        <f t="shared" si="11"/>
        <v>0</v>
      </c>
      <c r="H70" s="72">
        <f t="shared" si="11"/>
        <v>0</v>
      </c>
      <c r="I70" s="72">
        <f t="shared" si="11"/>
        <v>0</v>
      </c>
      <c r="J70" s="72">
        <f t="shared" si="11"/>
        <v>0</v>
      </c>
      <c r="K70" s="72">
        <f t="shared" si="11"/>
        <v>0</v>
      </c>
      <c r="L70" s="72">
        <f t="shared" si="11"/>
        <v>0</v>
      </c>
      <c r="M70" s="72">
        <f t="shared" si="11"/>
        <v>0</v>
      </c>
      <c r="N70" s="72">
        <f t="shared" si="11"/>
        <v>0</v>
      </c>
      <c r="O70" s="71">
        <f t="shared" ref="O70:O132" si="12">SUM(C70:N70)</f>
        <v>0</v>
      </c>
    </row>
    <row r="71" spans="1:15" x14ac:dyDescent="0.2">
      <c r="A71" s="34" t="s">
        <v>282</v>
      </c>
      <c r="B71" s="34" t="s">
        <v>396</v>
      </c>
      <c r="C71" s="68">
        <f>SUMIFS(SALE!$K$6:$K$10000,SALE!$A$6:$A$10000,C68,SALE!$Q$6:$Q$10000,$B$5:$B$1104)</f>
        <v>0</v>
      </c>
      <c r="D71" s="68">
        <f>SUMIFS(SALE!$K$6:$K$10000,SALE!$A$6:$A$10000,D68,SALE!$Q$6:$Q$10000,$B$5:$B$1104)</f>
        <v>0</v>
      </c>
      <c r="E71" s="68">
        <f>SUMIFS(SALE!$K$6:$K$10000,SALE!$A$6:$A$10000,E68,SALE!$Q$6:$Q$10000,$B$5:$B$1104)</f>
        <v>0</v>
      </c>
      <c r="F71" s="68">
        <f>SUMIFS(SALE!$K$6:$K$10000,SALE!$A$6:$A$10000,F68,SALE!$Q$6:$Q$10000,$B$5:$B$1104)</f>
        <v>0</v>
      </c>
      <c r="G71" s="68">
        <f>SUMIFS(SALE!$K$6:$K$10000,SALE!$A$6:$A$10000,G68,SALE!$Q$6:$Q$10000,$B$5:$B$1104)</f>
        <v>0</v>
      </c>
      <c r="H71" s="68">
        <f>SUMIFS(SALE!$K$6:$K$10000,SALE!$A$6:$A$10000,H68,SALE!$Q$6:$Q$10000,$B$5:$B$1104)</f>
        <v>0</v>
      </c>
      <c r="I71" s="68">
        <f>SUMIFS(SALE!$K$6:$K$10000,SALE!$A$6:$A$10000,I68,SALE!$Q$6:$Q$10000,$B$5:$B$1104)</f>
        <v>0</v>
      </c>
      <c r="J71" s="68">
        <f>SUMIFS(SALE!$K$6:$K$10000,SALE!$A$6:$A$10000,J68,SALE!$Q$6:$Q$10000,$B$5:$B$1104)</f>
        <v>0</v>
      </c>
      <c r="K71" s="68">
        <f>SUMIFS(SALE!$K$6:$K$10000,SALE!$A$6:$A$10000,K68,SALE!$Q$6:$Q$10000,$B$5:$B$1104)</f>
        <v>0</v>
      </c>
      <c r="L71" s="68">
        <f>SUMIFS(SALE!$K$6:$K$10000,SALE!$A$6:$A$10000,L68,SALE!$Q$6:$Q$10000,$B$5:$B$1104)</f>
        <v>0</v>
      </c>
      <c r="M71" s="68">
        <f>SUMIFS(SALE!$K$6:$K$10000,SALE!$A$6:$A$10000,M68,SALE!$Q$6:$Q$10000,$B$5:$B$1104)</f>
        <v>0</v>
      </c>
      <c r="N71" s="70">
        <f>SUMIFS(SALE!$K$6:$K$10000,SALE!$A$6:$A$10000,N68,SALE!$Q$6:$Q$10000,$B$5:$B$1104)</f>
        <v>0</v>
      </c>
      <c r="O71" s="71">
        <f t="shared" si="12"/>
        <v>0</v>
      </c>
    </row>
    <row r="72" spans="1:15" x14ac:dyDescent="0.2">
      <c r="A72" s="34" t="s">
        <v>283</v>
      </c>
      <c r="B72" s="34" t="s">
        <v>396</v>
      </c>
      <c r="C72" s="68">
        <f>SUMIFS(SALE!$L$6:$L$10000,SALE!$A$6:$A$10000,C68,SALE!$Q$6:$Q$10000,$B$5:$B$1104)</f>
        <v>0</v>
      </c>
      <c r="D72" s="68">
        <f>SUMIFS(SALE!$L$6:$L$10000,SALE!$A$6:$A$10000,D68,SALE!$Q$6:$Q$10000,$B$5:$B$1104)</f>
        <v>0</v>
      </c>
      <c r="E72" s="68">
        <f>SUMIFS(SALE!$L$6:$L$10000,SALE!$A$6:$A$10000,E68,SALE!$Q$6:$Q$10000,$B$5:$B$1104)</f>
        <v>0</v>
      </c>
      <c r="F72" s="68">
        <f>SUMIFS(SALE!$L$6:$L$10000,SALE!$A$6:$A$10000,F68,SALE!$Q$6:$Q$10000,$B$5:$B$1104)</f>
        <v>0</v>
      </c>
      <c r="G72" s="68">
        <f>SUMIFS(SALE!$L$6:$L$10000,SALE!$A$6:$A$10000,G68,SALE!$Q$6:$Q$10000,$B$5:$B$1104)</f>
        <v>0</v>
      </c>
      <c r="H72" s="68">
        <f>SUMIFS(SALE!$L$6:$L$10000,SALE!$A$6:$A$10000,H68,SALE!$Q$6:$Q$10000,$B$5:$B$1104)</f>
        <v>0</v>
      </c>
      <c r="I72" s="68">
        <f>SUMIFS(SALE!$L$6:$L$10000,SALE!$A$6:$A$10000,I68,SALE!$Q$6:$Q$10000,$B$5:$B$1104)</f>
        <v>0</v>
      </c>
      <c r="J72" s="68">
        <f>SUMIFS(SALE!$L$6:$L$10000,SALE!$A$6:$A$10000,J68,SALE!$Q$6:$Q$10000,$B$5:$B$1104)</f>
        <v>0</v>
      </c>
      <c r="K72" s="68">
        <f>SUMIFS(SALE!$L$6:$L$10000,SALE!$A$6:$A$10000,K68,SALE!$Q$6:$Q$10000,$B$5:$B$1104)</f>
        <v>0</v>
      </c>
      <c r="L72" s="68">
        <f>SUMIFS(SALE!$L$6:$L$10000,SALE!$A$6:$A$10000,L68,SALE!$Q$6:$Q$10000,$B$5:$B$1104)</f>
        <v>0</v>
      </c>
      <c r="M72" s="68">
        <f>SUMIFS(SALE!$L$6:$L$10000,SALE!$A$6:$A$10000,M68,SALE!$Q$6:$Q$10000,$B$5:$B$1104)</f>
        <v>0</v>
      </c>
      <c r="N72" s="70">
        <f>SUMIFS(SALE!$L$6:$L$10000,SALE!$A$6:$A$10000,N68,SALE!$Q$6:$Q$10000,$B$5:$B$1104)</f>
        <v>0</v>
      </c>
      <c r="O72" s="71">
        <f t="shared" si="12"/>
        <v>0</v>
      </c>
    </row>
    <row r="73" spans="1:15" x14ac:dyDescent="0.2">
      <c r="A73" s="1021" t="s">
        <v>291</v>
      </c>
      <c r="B73" s="1022"/>
      <c r="C73" s="1022"/>
      <c r="D73" s="1022"/>
      <c r="E73" s="1022"/>
      <c r="F73" s="1022"/>
      <c r="G73" s="1022"/>
      <c r="H73" s="1022"/>
      <c r="I73" s="1022"/>
      <c r="J73" s="1022"/>
      <c r="K73" s="1022"/>
      <c r="L73" s="1022"/>
      <c r="M73" s="1022"/>
      <c r="N73" s="1022"/>
      <c r="O73" s="1023"/>
    </row>
    <row r="74" spans="1:15" x14ac:dyDescent="0.2">
      <c r="A74" s="63" t="s">
        <v>279</v>
      </c>
      <c r="B74" s="63"/>
      <c r="C74" s="64">
        <v>43556</v>
      </c>
      <c r="D74" s="64">
        <v>43586</v>
      </c>
      <c r="E74" s="64">
        <v>43617</v>
      </c>
      <c r="F74" s="64">
        <v>43647</v>
      </c>
      <c r="G74" s="64">
        <v>43678</v>
      </c>
      <c r="H74" s="64">
        <v>43709</v>
      </c>
      <c r="I74" s="64">
        <v>43739</v>
      </c>
      <c r="J74" s="64">
        <v>43770</v>
      </c>
      <c r="K74" s="64">
        <v>43800</v>
      </c>
      <c r="L74" s="64">
        <v>43831</v>
      </c>
      <c r="M74" s="64">
        <v>43862</v>
      </c>
      <c r="N74" s="65">
        <v>43891</v>
      </c>
      <c r="O74" s="66" t="s">
        <v>347</v>
      </c>
    </row>
    <row r="75" spans="1:15" x14ac:dyDescent="0.2">
      <c r="A75" s="34" t="s">
        <v>280</v>
      </c>
      <c r="B75" s="34"/>
      <c r="C75" s="71"/>
      <c r="D75" s="71"/>
      <c r="E75" s="71"/>
      <c r="F75" s="71"/>
      <c r="G75" s="71"/>
      <c r="H75" s="71"/>
      <c r="I75" s="71"/>
      <c r="J75" s="71"/>
      <c r="K75" s="71"/>
      <c r="L75" s="71"/>
      <c r="M75" s="71"/>
      <c r="N75" s="73"/>
      <c r="O75" s="71">
        <f t="shared" si="12"/>
        <v>0</v>
      </c>
    </row>
    <row r="76" spans="1:15" x14ac:dyDescent="0.2">
      <c r="A76" s="34" t="s">
        <v>281</v>
      </c>
      <c r="B76" s="34" t="s">
        <v>374</v>
      </c>
      <c r="C76" s="68">
        <f>+C77+C78+C79+C80+C81</f>
        <v>0</v>
      </c>
      <c r="D76" s="71"/>
      <c r="E76" s="71"/>
      <c r="F76" s="71"/>
      <c r="G76" s="71"/>
      <c r="H76" s="71"/>
      <c r="I76" s="71"/>
      <c r="J76" s="71"/>
      <c r="K76" s="71"/>
      <c r="L76" s="71"/>
      <c r="M76" s="71"/>
      <c r="N76" s="73"/>
      <c r="O76" s="71">
        <f t="shared" si="12"/>
        <v>0</v>
      </c>
    </row>
    <row r="77" spans="1:15" x14ac:dyDescent="0.2">
      <c r="A77" s="34" t="s">
        <v>282</v>
      </c>
      <c r="B77" s="34" t="s">
        <v>374</v>
      </c>
      <c r="C77" s="68">
        <f>SUMIFS(SALE!$K$6:$K$10000,SALE!$A$6:$A$10000,C74,SALE!$Q$6:$Q$10000,$B$5:$B$1104)</f>
        <v>0</v>
      </c>
      <c r="D77" s="71"/>
      <c r="E77" s="71"/>
      <c r="F77" s="71"/>
      <c r="G77" s="71"/>
      <c r="H77" s="71"/>
      <c r="I77" s="71"/>
      <c r="J77" s="71"/>
      <c r="K77" s="71"/>
      <c r="L77" s="71"/>
      <c r="M77" s="71"/>
      <c r="N77" s="73"/>
      <c r="O77" s="71">
        <f t="shared" si="12"/>
        <v>0</v>
      </c>
    </row>
    <row r="78" spans="1:15" x14ac:dyDescent="0.2">
      <c r="A78" s="34" t="s">
        <v>283</v>
      </c>
      <c r="B78" s="34" t="s">
        <v>374</v>
      </c>
      <c r="C78" s="68">
        <f>SUMIFS(SALE!$L$6:$L$10000,SALE!$A$6:$A$10000,C74,SALE!$Q$6:$Q$10000,$B$5:$B$1104)</f>
        <v>0</v>
      </c>
      <c r="D78" s="71"/>
      <c r="E78" s="71"/>
      <c r="F78" s="71"/>
      <c r="G78" s="71"/>
      <c r="H78" s="71"/>
      <c r="I78" s="71"/>
      <c r="J78" s="71"/>
      <c r="K78" s="71"/>
      <c r="L78" s="71"/>
      <c r="M78" s="71"/>
      <c r="N78" s="73"/>
      <c r="O78" s="71">
        <f t="shared" si="12"/>
        <v>0</v>
      </c>
    </row>
    <row r="79" spans="1:15" x14ac:dyDescent="0.2">
      <c r="A79" s="34" t="s">
        <v>284</v>
      </c>
      <c r="B79" s="34" t="s">
        <v>374</v>
      </c>
      <c r="C79" s="68">
        <f>SUMIFS(SALE!$M$6:$M$10000,SALE!$A$6:$A$10000,C74,SALE!$Q$6:$Q$10000,$B$5:$B$1104)</f>
        <v>0</v>
      </c>
      <c r="D79" s="71"/>
      <c r="E79" s="71"/>
      <c r="F79" s="71"/>
      <c r="G79" s="71"/>
      <c r="H79" s="71"/>
      <c r="I79" s="71"/>
      <c r="J79" s="71"/>
      <c r="K79" s="71"/>
      <c r="L79" s="71"/>
      <c r="M79" s="71"/>
      <c r="N79" s="73"/>
      <c r="O79" s="71">
        <f t="shared" si="12"/>
        <v>0</v>
      </c>
    </row>
    <row r="80" spans="1:15" x14ac:dyDescent="0.2">
      <c r="A80" s="34" t="s">
        <v>285</v>
      </c>
      <c r="B80" s="34" t="s">
        <v>374</v>
      </c>
      <c r="C80" s="68">
        <f>SUMIFS(SALE!$N$6:$N$10000,SALE!$A$6:$A$10000,C74,SALE!$Q$6:$Q$10000,$B$5:$B$1104)</f>
        <v>0</v>
      </c>
      <c r="D80" s="71"/>
      <c r="E80" s="71"/>
      <c r="F80" s="71"/>
      <c r="G80" s="71"/>
      <c r="H80" s="71"/>
      <c r="I80" s="71"/>
      <c r="J80" s="71"/>
      <c r="K80" s="71"/>
      <c r="L80" s="71"/>
      <c r="M80" s="71"/>
      <c r="N80" s="73"/>
      <c r="O80" s="71">
        <f t="shared" si="12"/>
        <v>0</v>
      </c>
    </row>
    <row r="81" spans="1:15" x14ac:dyDescent="0.2">
      <c r="A81" s="34" t="s">
        <v>286</v>
      </c>
      <c r="B81" s="34" t="s">
        <v>374</v>
      </c>
      <c r="C81" s="68">
        <f>SUMIFS(SALE!$O$6:$O$10000,SALE!$A$6:$A$10000,C74,SALE!$Q$6:$Q$10000,$B$5:$B$1104)</f>
        <v>0</v>
      </c>
      <c r="D81" s="71"/>
      <c r="E81" s="71"/>
      <c r="F81" s="71"/>
      <c r="G81" s="71"/>
      <c r="H81" s="71"/>
      <c r="I81" s="71"/>
      <c r="J81" s="71"/>
      <c r="K81" s="71"/>
      <c r="L81" s="71"/>
      <c r="M81" s="71"/>
      <c r="N81" s="73"/>
      <c r="O81" s="71">
        <f t="shared" si="12"/>
        <v>0</v>
      </c>
    </row>
    <row r="82" spans="1:15" ht="15.75" customHeight="1" x14ac:dyDescent="0.2">
      <c r="A82" s="1024" t="s">
        <v>292</v>
      </c>
      <c r="B82" s="1025"/>
      <c r="C82" s="1025"/>
      <c r="D82" s="1025"/>
      <c r="E82" s="1025"/>
      <c r="F82" s="1025"/>
      <c r="G82" s="1025"/>
      <c r="H82" s="1025"/>
      <c r="I82" s="1025"/>
      <c r="J82" s="1025"/>
      <c r="K82" s="1025"/>
      <c r="L82" s="1025"/>
      <c r="M82" s="1025"/>
      <c r="N82" s="1025"/>
      <c r="O82" s="1026"/>
    </row>
    <row r="83" spans="1:15" x14ac:dyDescent="0.2">
      <c r="A83" s="63" t="s">
        <v>279</v>
      </c>
      <c r="B83" s="63"/>
      <c r="C83" s="64">
        <v>43556</v>
      </c>
      <c r="D83" s="64">
        <v>43586</v>
      </c>
      <c r="E83" s="64">
        <v>43617</v>
      </c>
      <c r="F83" s="64">
        <v>43647</v>
      </c>
      <c r="G83" s="64">
        <v>43678</v>
      </c>
      <c r="H83" s="64">
        <v>43709</v>
      </c>
      <c r="I83" s="64">
        <v>43739</v>
      </c>
      <c r="J83" s="64">
        <v>43770</v>
      </c>
      <c r="K83" s="64">
        <v>43800</v>
      </c>
      <c r="L83" s="64">
        <v>43831</v>
      </c>
      <c r="M83" s="64">
        <v>43862</v>
      </c>
      <c r="N83" s="65">
        <v>43891</v>
      </c>
      <c r="O83" s="66" t="s">
        <v>347</v>
      </c>
    </row>
    <row r="84" spans="1:15" x14ac:dyDescent="0.2">
      <c r="A84" s="34" t="s">
        <v>280</v>
      </c>
      <c r="B84" s="34"/>
      <c r="C84" s="34">
        <v>0</v>
      </c>
      <c r="D84" s="34">
        <v>0</v>
      </c>
      <c r="E84" s="34"/>
      <c r="F84" s="34"/>
      <c r="G84" s="34"/>
      <c r="H84" s="34"/>
      <c r="I84" s="34"/>
      <c r="J84" s="34"/>
      <c r="K84" s="34"/>
      <c r="L84" s="34"/>
      <c r="M84" s="34"/>
      <c r="N84" s="74"/>
      <c r="O84" s="71">
        <f t="shared" si="12"/>
        <v>0</v>
      </c>
    </row>
    <row r="85" spans="1:15" x14ac:dyDescent="0.2">
      <c r="A85" s="34" t="s">
        <v>293</v>
      </c>
      <c r="B85" s="34" t="s">
        <v>375</v>
      </c>
      <c r="C85" s="68">
        <f>SUMIFS(SALE!$K$6:$K$10000,SALE!$A$6:$A$10000,C83,SALE!$Q$6:$Q$10000,$B$5:$B$1104)</f>
        <v>0</v>
      </c>
      <c r="D85" s="68">
        <f>SUMIFS(SALE!$K$6:$K$10000,SALE!$A$6:$A$10000,D83,SALE!$Q$6:$Q$10000,$B$5:$B$1104)</f>
        <v>0</v>
      </c>
      <c r="E85" s="68">
        <f>SUMIFS(SALE!$K$6:$K$10000,SALE!$A$6:$A$10000,E83,SALE!$Q$6:$Q$10000,$B$5:$B$1104)</f>
        <v>0</v>
      </c>
      <c r="F85" s="68">
        <f>SUMIFS(SALE!$K$6:$K$10000,SALE!$A$6:$A$10000,F83,SALE!$Q$6:$Q$10000,$B$5:$B$1104)</f>
        <v>0</v>
      </c>
      <c r="G85" s="68">
        <f>SUMIFS(SALE!$K$6:$K$10000,SALE!$A$6:$A$10000,G83,SALE!$Q$6:$Q$10000,$B$5:$B$1104)</f>
        <v>0</v>
      </c>
      <c r="H85" s="68">
        <f>SUMIFS(SALE!$K$6:$K$10000,SALE!$A$6:$A$10000,H83,SALE!$Q$6:$Q$10000,$B$5:$B$1104)</f>
        <v>0</v>
      </c>
      <c r="I85" s="68">
        <f>SUMIFS(SALE!$K$6:$K$10000,SALE!$A$6:$A$10000,I83,SALE!$Q$6:$Q$10000,$B$5:$B$1104)</f>
        <v>0</v>
      </c>
      <c r="J85" s="68">
        <f>SUMIFS(SALE!$K$6:$K$10000,SALE!$A$6:$A$10000,J83,SALE!$Q$6:$Q$10000,$B$5:$B$1104)</f>
        <v>0</v>
      </c>
      <c r="K85" s="68">
        <f>SUMIFS(SALE!$K$6:$K$10000,SALE!$A$6:$A$10000,K83,SALE!$Q$6:$Q$10000,$B$5:$B$1104)</f>
        <v>0</v>
      </c>
      <c r="L85" s="68">
        <f>SUMIFS(SALE!$K$6:$K$10000,SALE!$A$6:$A$10000,L83,SALE!$Q$6:$Q$10000,$B$5:$B$1104)</f>
        <v>0</v>
      </c>
      <c r="M85" s="68">
        <f>SUMIFS(SALE!$K$6:$K$10000,SALE!$A$6:$A$10000,M83,SALE!$Q$6:$Q$10000,$B$5:$B$1104)</f>
        <v>0</v>
      </c>
      <c r="N85" s="70">
        <f>SUMIFS(SALE!$K$6:$K$10000,SALE!$A$6:$A$10000,N83,SALE!$Q$6:$Q$10000,$B$5:$B$1104)</f>
        <v>0</v>
      </c>
      <c r="O85" s="71">
        <f t="shared" si="12"/>
        <v>0</v>
      </c>
    </row>
    <row r="86" spans="1:15" x14ac:dyDescent="0.2">
      <c r="A86" s="34" t="s">
        <v>294</v>
      </c>
      <c r="B86" s="34" t="s">
        <v>377</v>
      </c>
      <c r="C86" s="68">
        <f>SUMIFS(SALE!$K$6:$K$10000,SALE!$A$6:$A$10000,C83,SALE!$Q$6:$Q$10000,$B$5:$B$1104)</f>
        <v>0</v>
      </c>
      <c r="D86" s="68">
        <f>SUMIFS(SALE!$K$6:$K$10000,SALE!$A$6:$A$10000,D83,SALE!$Q$6:$Q$10000,$B$5:$B$1104)</f>
        <v>0</v>
      </c>
      <c r="E86" s="68">
        <f>SUMIFS(SALE!$K$6:$K$10000,SALE!$A$6:$A$10000,E83,SALE!$Q$6:$Q$10000,$B$5:$B$1104)</f>
        <v>0</v>
      </c>
      <c r="F86" s="68">
        <f>SUMIFS(SALE!$K$6:$K$10000,SALE!$A$6:$A$10000,F83,SALE!$Q$6:$Q$10000,$B$5:$B$1104)</f>
        <v>0</v>
      </c>
      <c r="G86" s="68">
        <f>SUMIFS(SALE!$K$6:$K$10000,SALE!$A$6:$A$10000,G83,SALE!$Q$6:$Q$10000,$B$5:$B$1104)</f>
        <v>0</v>
      </c>
      <c r="H86" s="68">
        <f>SUMIFS(SALE!$K$6:$K$10000,SALE!$A$6:$A$10000,H83,SALE!$Q$6:$Q$10000,$B$5:$B$1104)</f>
        <v>0</v>
      </c>
      <c r="I86" s="68">
        <f>SUMIFS(SALE!$K$6:$K$10000,SALE!$A$6:$A$10000,I83,SALE!$Q$6:$Q$10000,$B$5:$B$1104)</f>
        <v>0</v>
      </c>
      <c r="J86" s="68">
        <f>SUMIFS(SALE!$K$6:$K$10000,SALE!$A$6:$A$10000,J83,SALE!$Q$6:$Q$10000,$B$5:$B$1104)</f>
        <v>0</v>
      </c>
      <c r="K86" s="68">
        <f>SUMIFS(SALE!$K$6:$K$10000,SALE!$A$6:$A$10000,K83,SALE!$Q$6:$Q$10000,$B$5:$B$1104)</f>
        <v>0</v>
      </c>
      <c r="L86" s="68">
        <f>SUMIFS(SALE!$K$6:$K$10000,SALE!$A$6:$A$10000,L83,SALE!$Q$6:$Q$10000,$B$5:$B$1104)</f>
        <v>0</v>
      </c>
      <c r="M86" s="68">
        <f>SUMIFS(SALE!$K$6:$K$10000,SALE!$A$6:$A$10000,M83,SALE!$Q$6:$Q$10000,$B$5:$B$1104)</f>
        <v>0</v>
      </c>
      <c r="N86" s="70">
        <f>SUMIFS(SALE!$K$6:$K$10000,SALE!$A$6:$A$10000,N83,SALE!$Q$6:$Q$10000,$B$5:$B$1104)</f>
        <v>0</v>
      </c>
      <c r="O86" s="71">
        <f t="shared" si="12"/>
        <v>0</v>
      </c>
    </row>
    <row r="87" spans="1:15" x14ac:dyDescent="0.2">
      <c r="A87" s="34" t="s">
        <v>295</v>
      </c>
      <c r="B87" s="34" t="s">
        <v>378</v>
      </c>
      <c r="C87" s="68">
        <f>SUMIFS(SALE!$K$6:$K$10000,SALE!$A$6:$A$10000,C83,SALE!$Q$6:$Q$10000,$B$5:$B$1104)</f>
        <v>0</v>
      </c>
      <c r="D87" s="68">
        <f>SUMIFS(SALE!$K$6:$K$10000,SALE!$A$6:$A$10000,D83,SALE!$Q$6:$Q$10000,$B$5:$B$1104)</f>
        <v>0</v>
      </c>
      <c r="E87" s="68">
        <f>SUMIFS(SALE!$K$6:$K$10000,SALE!$A$6:$A$10000,E83,SALE!$Q$6:$Q$10000,$B$5:$B$1104)</f>
        <v>0</v>
      </c>
      <c r="F87" s="68">
        <f>SUMIFS(SALE!$K$6:$K$10000,SALE!$A$6:$A$10000,F83,SALE!$Q$6:$Q$10000,$B$5:$B$1104)</f>
        <v>0</v>
      </c>
      <c r="G87" s="68">
        <f>SUMIFS(SALE!$K$6:$K$10000,SALE!$A$6:$A$10000,G83,SALE!$Q$6:$Q$10000,$B$5:$B$1104)</f>
        <v>0</v>
      </c>
      <c r="H87" s="68">
        <f>SUMIFS(SALE!$K$6:$K$10000,SALE!$A$6:$A$10000,H83,SALE!$Q$6:$Q$10000,$B$5:$B$1104)</f>
        <v>0</v>
      </c>
      <c r="I87" s="68">
        <f>SUMIFS(SALE!$K$6:$K$10000,SALE!$A$6:$A$10000,I83,SALE!$Q$6:$Q$10000,$B$5:$B$1104)</f>
        <v>0</v>
      </c>
      <c r="J87" s="68">
        <f>SUMIFS(SALE!$K$6:$K$10000,SALE!$A$6:$A$10000,J83,SALE!$Q$6:$Q$10000,$B$5:$B$1104)</f>
        <v>0</v>
      </c>
      <c r="K87" s="68">
        <f>SUMIFS(SALE!$K$6:$K$10000,SALE!$A$6:$A$10000,K83,SALE!$Q$6:$Q$10000,$B$5:$B$1104)</f>
        <v>0</v>
      </c>
      <c r="L87" s="68">
        <f>SUMIFS(SALE!$K$6:$K$10000,SALE!$A$6:$A$10000,L83,SALE!$Q$6:$Q$10000,$B$5:$B$1104)</f>
        <v>0</v>
      </c>
      <c r="M87" s="68">
        <f>SUMIFS(SALE!$K$6:$K$10000,SALE!$A$6:$A$10000,M83,SALE!$Q$6:$Q$10000,$B$5:$B$1104)</f>
        <v>0</v>
      </c>
      <c r="N87" s="70">
        <f>SUMIFS(SALE!$K$6:$K$10000,SALE!$A$6:$A$10000,N83,SALE!$Q$6:$Q$10000,$B$5:$B$1104)</f>
        <v>0</v>
      </c>
      <c r="O87" s="71">
        <f t="shared" si="12"/>
        <v>0</v>
      </c>
    </row>
    <row r="88" spans="1:15" x14ac:dyDescent="0.2">
      <c r="A88" s="34" t="s">
        <v>282</v>
      </c>
      <c r="B88" s="34" t="s">
        <v>376</v>
      </c>
      <c r="C88" s="68">
        <f>SUMIFS(SALE!$K$6:$K$10000,SALE!$A$6:$A$10000,C83,SALE!$Q$6:$Q$10000,$B$5:$B$1104)</f>
        <v>0</v>
      </c>
      <c r="D88" s="68">
        <f>SUMIFS(SALE!$K$6:$K$10000,SALE!$A$6:$A$10000,D83,SALE!$Q$6:$Q$10000,$B$5:$B$1104)</f>
        <v>0</v>
      </c>
      <c r="E88" s="68">
        <f>SUMIFS(SALE!$K$6:$K$10000,SALE!$A$6:$A$10000,E83,SALE!$Q$6:$Q$10000,$B$5:$B$1104)</f>
        <v>0</v>
      </c>
      <c r="F88" s="68">
        <f>SUMIFS(SALE!$K$6:$K$10000,SALE!$A$6:$A$10000,F83,SALE!$Q$6:$Q$10000,$B$5:$B$1104)</f>
        <v>0</v>
      </c>
      <c r="G88" s="68">
        <f>SUMIFS(SALE!$K$6:$K$10000,SALE!$A$6:$A$10000,G83,SALE!$Q$6:$Q$10000,$B$5:$B$1104)</f>
        <v>0</v>
      </c>
      <c r="H88" s="68">
        <f>SUMIFS(SALE!$K$6:$K$10000,SALE!$A$6:$A$10000,H83,SALE!$Q$6:$Q$10000,$B$5:$B$1104)</f>
        <v>0</v>
      </c>
      <c r="I88" s="68">
        <f>SUMIFS(SALE!$K$6:$K$10000,SALE!$A$6:$A$10000,I83,SALE!$Q$6:$Q$10000,$B$5:$B$1104)</f>
        <v>0</v>
      </c>
      <c r="J88" s="68">
        <f>SUMIFS(SALE!$K$6:$K$10000,SALE!$A$6:$A$10000,J83,SALE!$Q$6:$Q$10000,$B$5:$B$1104)</f>
        <v>0</v>
      </c>
      <c r="K88" s="68">
        <f>SUMIFS(SALE!$K$6:$K$10000,SALE!$A$6:$A$10000,K83,SALE!$Q$6:$Q$10000,$B$5:$B$1104)</f>
        <v>0</v>
      </c>
      <c r="L88" s="68">
        <f>SUMIFS(SALE!$K$6:$K$10000,SALE!$A$6:$A$10000,L83,SALE!$Q$6:$Q$10000,$B$5:$B$1104)</f>
        <v>0</v>
      </c>
      <c r="M88" s="68">
        <f>SUMIFS(SALE!$K$6:$K$10000,SALE!$A$6:$A$10000,M83,SALE!$Q$6:$Q$10000,$B$5:$B$1104)</f>
        <v>0</v>
      </c>
      <c r="N88" s="70">
        <f>SUMIFS(SALE!$K$6:$K$10000,SALE!$A$6:$A$10000,N83,SALE!$Q$6:$Q$10000,$B$5:$B$1104)</f>
        <v>0</v>
      </c>
      <c r="O88" s="71">
        <f t="shared" si="12"/>
        <v>0</v>
      </c>
    </row>
    <row r="89" spans="1:15" x14ac:dyDescent="0.2">
      <c r="A89" s="34" t="s">
        <v>283</v>
      </c>
      <c r="B89" s="34" t="s">
        <v>376</v>
      </c>
      <c r="C89" s="68">
        <f>SUMIFS(SALE!$L$6:$L$10000,SALE!$A$6:$A$10000,C83,SALE!$Q$6:$Q$10000,$B$5:$B$1104)</f>
        <v>0</v>
      </c>
      <c r="D89" s="68"/>
      <c r="E89" s="68"/>
      <c r="F89" s="68"/>
      <c r="G89" s="68"/>
      <c r="H89" s="68"/>
      <c r="I89" s="68"/>
      <c r="J89" s="68"/>
      <c r="K89" s="68"/>
      <c r="L89" s="68"/>
      <c r="M89" s="68"/>
      <c r="N89" s="70"/>
      <c r="O89" s="71">
        <f t="shared" si="12"/>
        <v>0</v>
      </c>
    </row>
    <row r="90" spans="1:15" x14ac:dyDescent="0.2">
      <c r="A90" s="34" t="s">
        <v>286</v>
      </c>
      <c r="B90" s="34" t="s">
        <v>376</v>
      </c>
      <c r="C90" s="68">
        <f>SUMIFS(SALE!$O$6:$O$10000,SALE!$A$6:$A$10000,C83,SALE!$Q$6:$Q$10000,$B$5:$B$1104)</f>
        <v>0</v>
      </c>
      <c r="D90" s="68"/>
      <c r="E90" s="68"/>
      <c r="F90" s="68"/>
      <c r="G90" s="68"/>
      <c r="H90" s="68"/>
      <c r="I90" s="68"/>
      <c r="J90" s="68"/>
      <c r="K90" s="68"/>
      <c r="L90" s="68"/>
      <c r="M90" s="68"/>
      <c r="N90" s="70"/>
      <c r="O90" s="71">
        <f t="shared" si="12"/>
        <v>0</v>
      </c>
    </row>
    <row r="91" spans="1:15" ht="15.75" customHeight="1" x14ac:dyDescent="0.2">
      <c r="A91" s="1027" t="s">
        <v>296</v>
      </c>
      <c r="B91" s="1028"/>
      <c r="C91" s="1028"/>
      <c r="D91" s="1028"/>
      <c r="E91" s="1028"/>
      <c r="F91" s="1028"/>
      <c r="G91" s="1028"/>
      <c r="H91" s="1028"/>
      <c r="I91" s="1028"/>
      <c r="J91" s="1028"/>
      <c r="K91" s="1028"/>
      <c r="L91" s="1028"/>
      <c r="M91" s="1028"/>
      <c r="N91" s="1028"/>
      <c r="O91" s="1029"/>
    </row>
    <row r="92" spans="1:15" x14ac:dyDescent="0.2">
      <c r="A92" s="63" t="s">
        <v>279</v>
      </c>
      <c r="B92" s="63"/>
      <c r="C92" s="64">
        <v>43556</v>
      </c>
      <c r="D92" s="64">
        <v>43586</v>
      </c>
      <c r="E92" s="64">
        <v>43617</v>
      </c>
      <c r="F92" s="64">
        <v>43647</v>
      </c>
      <c r="G92" s="64">
        <v>43678</v>
      </c>
      <c r="H92" s="64">
        <v>43709</v>
      </c>
      <c r="I92" s="64">
        <v>43739</v>
      </c>
      <c r="J92" s="64">
        <v>43770</v>
      </c>
      <c r="K92" s="64">
        <v>43800</v>
      </c>
      <c r="L92" s="64">
        <v>43831</v>
      </c>
      <c r="M92" s="64">
        <v>43862</v>
      </c>
      <c r="N92" s="65">
        <v>43891</v>
      </c>
      <c r="O92" s="66" t="s">
        <v>347</v>
      </c>
    </row>
    <row r="93" spans="1:15" x14ac:dyDescent="0.2">
      <c r="A93" s="34" t="s">
        <v>280</v>
      </c>
      <c r="B93" s="34"/>
      <c r="C93" s="34"/>
      <c r="D93" s="34"/>
      <c r="E93" s="34"/>
      <c r="F93" s="34"/>
      <c r="G93" s="34"/>
      <c r="H93" s="34"/>
      <c r="I93" s="34"/>
      <c r="J93" s="34"/>
      <c r="K93" s="34"/>
      <c r="L93" s="34"/>
      <c r="M93" s="34"/>
      <c r="N93" s="74"/>
      <c r="O93" s="71">
        <f t="shared" si="12"/>
        <v>0</v>
      </c>
    </row>
    <row r="94" spans="1:15" x14ac:dyDescent="0.2">
      <c r="A94" s="34" t="s">
        <v>281</v>
      </c>
      <c r="B94" s="34" t="s">
        <v>395</v>
      </c>
      <c r="C94" s="68">
        <f>+C95+C96+C97+C98+C99</f>
        <v>0</v>
      </c>
      <c r="D94" s="68">
        <f t="shared" ref="D94:N94" si="13">+D95+D96+D97+D98+D99</f>
        <v>0</v>
      </c>
      <c r="E94" s="68">
        <f t="shared" si="13"/>
        <v>0</v>
      </c>
      <c r="F94" s="68">
        <f t="shared" si="13"/>
        <v>0</v>
      </c>
      <c r="G94" s="68">
        <f t="shared" si="13"/>
        <v>0</v>
      </c>
      <c r="H94" s="68">
        <f t="shared" si="13"/>
        <v>0</v>
      </c>
      <c r="I94" s="68">
        <f t="shared" si="13"/>
        <v>0</v>
      </c>
      <c r="J94" s="68">
        <f t="shared" si="13"/>
        <v>0</v>
      </c>
      <c r="K94" s="68">
        <f t="shared" si="13"/>
        <v>0</v>
      </c>
      <c r="L94" s="68">
        <f t="shared" si="13"/>
        <v>0</v>
      </c>
      <c r="M94" s="68">
        <f t="shared" si="13"/>
        <v>0</v>
      </c>
      <c r="N94" s="70">
        <f t="shared" si="13"/>
        <v>0</v>
      </c>
      <c r="O94" s="71">
        <f t="shared" si="12"/>
        <v>0</v>
      </c>
    </row>
    <row r="95" spans="1:15" x14ac:dyDescent="0.2">
      <c r="A95" s="34" t="s">
        <v>282</v>
      </c>
      <c r="B95" s="34" t="s">
        <v>395</v>
      </c>
      <c r="C95" s="68">
        <f>SUMIFS(SALE!$K$6:$K$10000,SALE!$A$6:$A$10000,C92,SALE!$Q$6:$Q$10000,$B$5:$B$1104)</f>
        <v>0</v>
      </c>
      <c r="D95" s="68">
        <f>SUMIFS(SALE!$K$6:$K$10000,SALE!$A$6:$A$10000,D92,SALE!$Q$6:$Q$10000,$B$5:$B$1104)</f>
        <v>0</v>
      </c>
      <c r="E95" s="68">
        <f>SUMIFS(SALE!$K$6:$K$10000,SALE!$A$6:$A$10000,E92,SALE!$Q$6:$Q$10000,$B$5:$B$1104)</f>
        <v>0</v>
      </c>
      <c r="F95" s="68">
        <f>SUMIFS(SALE!$K$6:$K$10000,SALE!$A$6:$A$10000,F92,SALE!$Q$6:$Q$10000,$B$5:$B$1104)</f>
        <v>0</v>
      </c>
      <c r="G95" s="68">
        <f>SUMIFS(SALE!$K$6:$K$10000,SALE!$A$6:$A$10000,G92,SALE!$Q$6:$Q$10000,$B$5:$B$1104)</f>
        <v>0</v>
      </c>
      <c r="H95" s="68">
        <f>SUMIFS(SALE!$K$6:$K$10000,SALE!$A$6:$A$10000,H92,SALE!$Q$6:$Q$10000,$B$5:$B$1104)</f>
        <v>0</v>
      </c>
      <c r="I95" s="68">
        <f>SUMIFS(SALE!$K$6:$K$10000,SALE!$A$6:$A$10000,I92,SALE!$Q$6:$Q$10000,$B$5:$B$1104)</f>
        <v>0</v>
      </c>
      <c r="J95" s="68">
        <f>SUMIFS(SALE!$K$6:$K$10000,SALE!$A$6:$A$10000,J92,SALE!$Q$6:$Q$10000,$B$5:$B$1104)</f>
        <v>0</v>
      </c>
      <c r="K95" s="68">
        <f>SUMIFS(SALE!$K$6:$K$10000,SALE!$A$6:$A$10000,K92,SALE!$Q$6:$Q$10000,$B$5:$B$1104)</f>
        <v>0</v>
      </c>
      <c r="L95" s="68">
        <f>SUMIFS(SALE!$K$6:$K$10000,SALE!$A$6:$A$10000,L92,SALE!$Q$6:$Q$10000,$B$5:$B$1104)</f>
        <v>0</v>
      </c>
      <c r="M95" s="68">
        <f>SUMIFS(SALE!$K$6:$K$10000,SALE!$A$6:$A$10000,M92,SALE!$Q$6:$Q$10000,$B$5:$B$1104)</f>
        <v>0</v>
      </c>
      <c r="N95" s="70">
        <f>SUMIFS(SALE!$K$6:$K$10000,SALE!$A$6:$A$10000,N92,SALE!$Q$6:$Q$10000,$B$5:$B$1104)</f>
        <v>0</v>
      </c>
      <c r="O95" s="71">
        <f t="shared" si="12"/>
        <v>0</v>
      </c>
    </row>
    <row r="96" spans="1:15" x14ac:dyDescent="0.2">
      <c r="A96" s="34" t="s">
        <v>283</v>
      </c>
      <c r="B96" s="34" t="s">
        <v>395</v>
      </c>
      <c r="C96" s="68">
        <f>SUMIFS(SALE!$L$6:$L$10000,SALE!$A$6:$A$10000,C92,SALE!$Q$6:$Q$10000,$B$5:$B$1104)</f>
        <v>0</v>
      </c>
      <c r="D96" s="68">
        <f>SUMIFS(SALE!$L$6:$L$10000,SALE!$A$6:$A$10000,D92,SALE!$Q$6:$Q$10000,$B$5:$B$1104)</f>
        <v>0</v>
      </c>
      <c r="E96" s="68">
        <f>SUMIFS(SALE!$L$6:$L$10000,SALE!$A$6:$A$10000,E92,SALE!$Q$6:$Q$10000,$B$5:$B$1104)</f>
        <v>0</v>
      </c>
      <c r="F96" s="68">
        <f>SUMIFS(SALE!$L$6:$L$10000,SALE!$A$6:$A$10000,F92,SALE!$Q$6:$Q$10000,$B$5:$B$1104)</f>
        <v>0</v>
      </c>
      <c r="G96" s="68">
        <f>SUMIFS(SALE!$L$6:$L$10000,SALE!$A$6:$A$10000,G92,SALE!$Q$6:$Q$10000,$B$5:$B$1104)</f>
        <v>0</v>
      </c>
      <c r="H96" s="68">
        <f>SUMIFS(SALE!$L$6:$L$10000,SALE!$A$6:$A$10000,H92,SALE!$Q$6:$Q$10000,$B$5:$B$1104)</f>
        <v>0</v>
      </c>
      <c r="I96" s="68">
        <f>SUMIFS(SALE!$L$6:$L$10000,SALE!$A$6:$A$10000,I92,SALE!$Q$6:$Q$10000,$B$5:$B$1104)</f>
        <v>0</v>
      </c>
      <c r="J96" s="68">
        <f>SUMIFS(SALE!$L$6:$L$10000,SALE!$A$6:$A$10000,J92,SALE!$Q$6:$Q$10000,$B$5:$B$1104)</f>
        <v>0</v>
      </c>
      <c r="K96" s="68">
        <f>SUMIFS(SALE!$L$6:$L$10000,SALE!$A$6:$A$10000,K92,SALE!$Q$6:$Q$10000,$B$5:$B$1104)</f>
        <v>0</v>
      </c>
      <c r="L96" s="68">
        <f>SUMIFS(SALE!$L$6:$L$10000,SALE!$A$6:$A$10000,L92,SALE!$Q$6:$Q$10000,$B$5:$B$1104)</f>
        <v>0</v>
      </c>
      <c r="M96" s="68">
        <f>SUMIFS(SALE!$L$6:$L$10000,SALE!$A$6:$A$10000,M92,SALE!$Q$6:$Q$10000,$B$5:$B$1104)</f>
        <v>0</v>
      </c>
      <c r="N96" s="70">
        <f>SUMIFS(SALE!$L$6:$L$10000,SALE!$A$6:$A$10000,N92,SALE!$Q$6:$Q$10000,$B$5:$B$1104)</f>
        <v>0</v>
      </c>
      <c r="O96" s="71">
        <f t="shared" si="12"/>
        <v>0</v>
      </c>
    </row>
    <row r="97" spans="1:15" x14ac:dyDescent="0.2">
      <c r="A97" s="34" t="s">
        <v>284</v>
      </c>
      <c r="B97" s="34" t="s">
        <v>395</v>
      </c>
      <c r="C97" s="68">
        <f>SUMIFS(SALE!$M$6:$M$10000,SALE!$A$6:$A$10000,C92,SALE!$Q$6:$Q$10000,$B$5:$B$1104)</f>
        <v>0</v>
      </c>
      <c r="D97" s="68">
        <f>SUMIFS(SALE!$M$6:$M$10000,SALE!$A$6:$A$10000,D92,SALE!$Q$6:$Q$10000,$B$5:$B$1104)</f>
        <v>0</v>
      </c>
      <c r="E97" s="68">
        <f>SUMIFS(SALE!$M$6:$M$10000,SALE!$A$6:$A$10000,E92,SALE!$Q$6:$Q$10000,$B$5:$B$1104)</f>
        <v>0</v>
      </c>
      <c r="F97" s="68">
        <f>SUMIFS(SALE!$M$6:$M$10000,SALE!$A$6:$A$10000,F92,SALE!$Q$6:$Q$10000,$B$5:$B$1104)</f>
        <v>0</v>
      </c>
      <c r="G97" s="68">
        <f>SUMIFS(SALE!$M$6:$M$10000,SALE!$A$6:$A$10000,G92,SALE!$Q$6:$Q$10000,$B$5:$B$1104)</f>
        <v>0</v>
      </c>
      <c r="H97" s="68">
        <f>SUMIFS(SALE!$M$6:$M$10000,SALE!$A$6:$A$10000,H92,SALE!$Q$6:$Q$10000,$B$5:$B$1104)</f>
        <v>0</v>
      </c>
      <c r="I97" s="68">
        <f>SUMIFS(SALE!$M$6:$M$10000,SALE!$A$6:$A$10000,I92,SALE!$Q$6:$Q$10000,$B$5:$B$1104)</f>
        <v>0</v>
      </c>
      <c r="J97" s="68">
        <f>SUMIFS(SALE!$M$6:$M$10000,SALE!$A$6:$A$10000,J92,SALE!$Q$6:$Q$10000,$B$5:$B$1104)</f>
        <v>0</v>
      </c>
      <c r="K97" s="68">
        <f>SUMIFS(SALE!$M$6:$M$10000,SALE!$A$6:$A$10000,K92,SALE!$Q$6:$Q$10000,$B$5:$B$1104)</f>
        <v>0</v>
      </c>
      <c r="L97" s="68">
        <f>SUMIFS(SALE!$M$6:$M$10000,SALE!$A$6:$A$10000,L92,SALE!$Q$6:$Q$10000,$B$5:$B$1104)</f>
        <v>0</v>
      </c>
      <c r="M97" s="68">
        <f>SUMIFS(SALE!$M$6:$M$10000,SALE!$A$6:$A$10000,M92,SALE!$Q$6:$Q$10000,$B$5:$B$1104)</f>
        <v>0</v>
      </c>
      <c r="N97" s="70">
        <f>SUMIFS(SALE!$M$6:$M$10000,SALE!$A$6:$A$10000,N92,SALE!$Q$6:$Q$10000,$B$5:$B$1104)</f>
        <v>0</v>
      </c>
      <c r="O97" s="71">
        <f t="shared" si="12"/>
        <v>0</v>
      </c>
    </row>
    <row r="98" spans="1:15" x14ac:dyDescent="0.2">
      <c r="A98" s="34" t="s">
        <v>285</v>
      </c>
      <c r="B98" s="34" t="s">
        <v>395</v>
      </c>
      <c r="C98" s="68">
        <f>SUMIFS(SALE!$N$6:$N$10000,SALE!$A$6:$A$10000,C92,SALE!$Q$6:$Q$10000,$B$5:$B$1104)</f>
        <v>0</v>
      </c>
      <c r="D98" s="68">
        <f>SUMIFS(SALE!$N$6:$N$10000,SALE!$A$6:$A$10000,D92,SALE!$Q$6:$Q$10000,$B$5:$B$1104)</f>
        <v>0</v>
      </c>
      <c r="E98" s="68">
        <f>SUMIFS(SALE!$N$6:$N$10000,SALE!$A$6:$A$10000,E92,SALE!$Q$6:$Q$10000,$B$5:$B$1104)</f>
        <v>0</v>
      </c>
      <c r="F98" s="68">
        <f>SUMIFS(SALE!$N$6:$N$10000,SALE!$A$6:$A$10000,F92,SALE!$Q$6:$Q$10000,$B$5:$B$1104)</f>
        <v>0</v>
      </c>
      <c r="G98" s="68">
        <f>SUMIFS(SALE!$N$6:$N$10000,SALE!$A$6:$A$10000,G92,SALE!$Q$6:$Q$10000,$B$5:$B$1104)</f>
        <v>0</v>
      </c>
      <c r="H98" s="68">
        <f>SUMIFS(SALE!$N$6:$N$10000,SALE!$A$6:$A$10000,H92,SALE!$Q$6:$Q$10000,$B$5:$B$1104)</f>
        <v>0</v>
      </c>
      <c r="I98" s="68">
        <f>SUMIFS(SALE!$N$6:$N$10000,SALE!$A$6:$A$10000,I92,SALE!$Q$6:$Q$10000,$B$5:$B$1104)</f>
        <v>0</v>
      </c>
      <c r="J98" s="68">
        <f>SUMIFS(SALE!$N$6:$N$10000,SALE!$A$6:$A$10000,J92,SALE!$Q$6:$Q$10000,$B$5:$B$1104)</f>
        <v>0</v>
      </c>
      <c r="K98" s="68">
        <f>SUMIFS(SALE!$N$6:$N$10000,SALE!$A$6:$A$10000,K92,SALE!$Q$6:$Q$10000,$B$5:$B$1104)</f>
        <v>0</v>
      </c>
      <c r="L98" s="68">
        <f>SUMIFS(SALE!$N$6:$N$10000,SALE!$A$6:$A$10000,L92,SALE!$Q$6:$Q$10000,$B$5:$B$1104)</f>
        <v>0</v>
      </c>
      <c r="M98" s="68">
        <f>SUMIFS(SALE!$N$6:$N$10000,SALE!$A$6:$A$10000,M92,SALE!$Q$6:$Q$10000,$B$5:$B$1104)</f>
        <v>0</v>
      </c>
      <c r="N98" s="70">
        <f>SUMIFS(SALE!$N$6:$N$10000,SALE!$A$6:$A$10000,N92,SALE!$Q$6:$Q$10000,$B$5:$B$1104)</f>
        <v>0</v>
      </c>
      <c r="O98" s="71">
        <f t="shared" si="12"/>
        <v>0</v>
      </c>
    </row>
    <row r="99" spans="1:15" x14ac:dyDescent="0.2">
      <c r="A99" s="34" t="s">
        <v>286</v>
      </c>
      <c r="B99" s="34" t="s">
        <v>395</v>
      </c>
      <c r="C99" s="68">
        <f>SUMIFS(SALE!$O$6:$O$10000,SALE!$A$6:$A$10000,C92,SALE!$Q$6:$Q$10000,$B$5:$B$1104)</f>
        <v>0</v>
      </c>
      <c r="D99" s="68">
        <f>SUMIFS(SALE!$O$6:$O$10000,SALE!$A$6:$A$10000,D92,SALE!$Q$6:$Q$10000,$B$5:$B$1104)</f>
        <v>0</v>
      </c>
      <c r="E99" s="68">
        <f>SUMIFS(SALE!$O$6:$O$10000,SALE!$A$6:$A$10000,E92,SALE!$Q$6:$Q$10000,$B$5:$B$1104)</f>
        <v>0</v>
      </c>
      <c r="F99" s="68">
        <f>SUMIFS(SALE!$O$6:$O$10000,SALE!$A$6:$A$10000,F92,SALE!$Q$6:$Q$10000,$B$5:$B$1104)</f>
        <v>0</v>
      </c>
      <c r="G99" s="68">
        <f>SUMIFS(SALE!$O$6:$O$10000,SALE!$A$6:$A$10000,G92,SALE!$Q$6:$Q$10000,$B$5:$B$1104)</f>
        <v>0</v>
      </c>
      <c r="H99" s="68">
        <f>SUMIFS(SALE!$O$6:$O$10000,SALE!$A$6:$A$10000,H92,SALE!$Q$6:$Q$10000,$B$5:$B$1104)</f>
        <v>0</v>
      </c>
      <c r="I99" s="68">
        <f>SUMIFS(SALE!$O$6:$O$10000,SALE!$A$6:$A$10000,I92,SALE!$Q$6:$Q$10000,$B$5:$B$1104)</f>
        <v>0</v>
      </c>
      <c r="J99" s="68">
        <f>SUMIFS(SALE!$O$6:$O$10000,SALE!$A$6:$A$10000,J92,SALE!$Q$6:$Q$10000,$B$5:$B$1104)</f>
        <v>0</v>
      </c>
      <c r="K99" s="68">
        <f>SUMIFS(SALE!$O$6:$O$10000,SALE!$A$6:$A$10000,K92,SALE!$Q$6:$Q$10000,$B$5:$B$1104)</f>
        <v>0</v>
      </c>
      <c r="L99" s="68">
        <f>SUMIFS(SALE!$O$6:$O$10000,SALE!$A$6:$A$10000,L92,SALE!$Q$6:$Q$10000,$B$5:$B$1104)</f>
        <v>0</v>
      </c>
      <c r="M99" s="68">
        <f>SUMIFS(SALE!$O$6:$O$10000,SALE!$A$6:$A$10000,M92,SALE!$Q$6:$Q$10000,$B$5:$B$1104)</f>
        <v>0</v>
      </c>
      <c r="N99" s="70">
        <f>SUMIFS(SALE!$O$6:$O$10000,SALE!$A$6:$A$10000,N92,SALE!$Q$6:$Q$10000,$B$5:$B$1104)</f>
        <v>0</v>
      </c>
      <c r="O99" s="71">
        <f t="shared" si="12"/>
        <v>0</v>
      </c>
    </row>
    <row r="100" spans="1:15" ht="15.75" customHeight="1" x14ac:dyDescent="0.2">
      <c r="A100" s="1030" t="s">
        <v>297</v>
      </c>
      <c r="B100" s="1031"/>
      <c r="C100" s="1031"/>
      <c r="D100" s="1031"/>
      <c r="E100" s="1031"/>
      <c r="F100" s="1031"/>
      <c r="G100" s="1031"/>
      <c r="H100" s="1031"/>
      <c r="I100" s="1031"/>
      <c r="J100" s="1031"/>
      <c r="K100" s="1031"/>
      <c r="L100" s="1031"/>
      <c r="M100" s="1031"/>
      <c r="N100" s="1031"/>
      <c r="O100" s="1032"/>
    </row>
    <row r="101" spans="1:15" x14ac:dyDescent="0.2">
      <c r="A101" s="63" t="s">
        <v>279</v>
      </c>
      <c r="B101" s="63"/>
      <c r="C101" s="64">
        <v>43556</v>
      </c>
      <c r="D101" s="64">
        <v>43586</v>
      </c>
      <c r="E101" s="64">
        <v>43617</v>
      </c>
      <c r="F101" s="64">
        <v>43647</v>
      </c>
      <c r="G101" s="64">
        <v>43678</v>
      </c>
      <c r="H101" s="64">
        <v>43709</v>
      </c>
      <c r="I101" s="64">
        <v>43739</v>
      </c>
      <c r="J101" s="64">
        <v>43770</v>
      </c>
      <c r="K101" s="64">
        <v>43800</v>
      </c>
      <c r="L101" s="64">
        <v>43831</v>
      </c>
      <c r="M101" s="64">
        <v>43862</v>
      </c>
      <c r="N101" s="65">
        <v>43891</v>
      </c>
      <c r="O101" s="66" t="s">
        <v>347</v>
      </c>
    </row>
    <row r="102" spans="1:15" x14ac:dyDescent="0.2">
      <c r="A102" s="34" t="s">
        <v>280</v>
      </c>
      <c r="B102" s="34"/>
      <c r="C102" s="34"/>
      <c r="D102" s="34"/>
      <c r="E102" s="34"/>
      <c r="F102" s="34"/>
      <c r="G102" s="34"/>
      <c r="H102" s="34"/>
      <c r="I102" s="34"/>
      <c r="J102" s="34"/>
      <c r="K102" s="34"/>
      <c r="L102" s="34"/>
      <c r="M102" s="34"/>
      <c r="N102" s="74"/>
      <c r="O102" s="71">
        <f t="shared" si="12"/>
        <v>0</v>
      </c>
    </row>
    <row r="103" spans="1:15" x14ac:dyDescent="0.2">
      <c r="A103" s="34" t="s">
        <v>281</v>
      </c>
      <c r="B103" s="34" t="s">
        <v>397</v>
      </c>
      <c r="C103" s="68">
        <f>+C104+C105+C106+C107+C108</f>
        <v>0</v>
      </c>
      <c r="D103" s="68">
        <f t="shared" ref="D103:N103" si="14">+D104+D105+D106+D107+D108</f>
        <v>0</v>
      </c>
      <c r="E103" s="68">
        <f t="shared" si="14"/>
        <v>0</v>
      </c>
      <c r="F103" s="68">
        <f t="shared" si="14"/>
        <v>0</v>
      </c>
      <c r="G103" s="68">
        <f t="shared" si="14"/>
        <v>0</v>
      </c>
      <c r="H103" s="68">
        <f t="shared" si="14"/>
        <v>0</v>
      </c>
      <c r="I103" s="68">
        <f t="shared" si="14"/>
        <v>0</v>
      </c>
      <c r="J103" s="68">
        <f t="shared" si="14"/>
        <v>0</v>
      </c>
      <c r="K103" s="68">
        <f t="shared" si="14"/>
        <v>0</v>
      </c>
      <c r="L103" s="68">
        <f t="shared" si="14"/>
        <v>0</v>
      </c>
      <c r="M103" s="68">
        <f t="shared" si="14"/>
        <v>0</v>
      </c>
      <c r="N103" s="70">
        <f t="shared" si="14"/>
        <v>0</v>
      </c>
      <c r="O103" s="71">
        <f t="shared" si="12"/>
        <v>0</v>
      </c>
    </row>
    <row r="104" spans="1:15" x14ac:dyDescent="0.2">
      <c r="A104" s="34" t="s">
        <v>282</v>
      </c>
      <c r="B104" s="34" t="s">
        <v>397</v>
      </c>
      <c r="C104" s="68">
        <f>SUMIFS(SALE!$K$6:$K$10000,SALE!$A$6:$A$10000,C101,SALE!$Q$6:$Q$10000,$B$5:$B$1104)</f>
        <v>0</v>
      </c>
      <c r="D104" s="68">
        <f>SUMIFS(SALE!$K$6:$K$10000,SALE!$A$6:$A$10000,D101,SALE!$Q$6:$Q$10000,$B$5:$B$1104)</f>
        <v>0</v>
      </c>
      <c r="E104" s="68">
        <f>SUMIFS(SALE!$K$6:$K$10000,SALE!$A$6:$A$10000,E101,SALE!$Q$6:$Q$10000,$B$5:$B$1104)</f>
        <v>0</v>
      </c>
      <c r="F104" s="68">
        <f>SUMIFS(SALE!$K$6:$K$10000,SALE!$A$6:$A$10000,F101,SALE!$Q$6:$Q$10000,$B$5:$B$1104)</f>
        <v>0</v>
      </c>
      <c r="G104" s="68">
        <f>SUMIFS(SALE!$K$6:$K$10000,SALE!$A$6:$A$10000,G101,SALE!$Q$6:$Q$10000,$B$5:$B$1104)</f>
        <v>0</v>
      </c>
      <c r="H104" s="68">
        <f>SUMIFS(SALE!$K$6:$K$10000,SALE!$A$6:$A$10000,H101,SALE!$Q$6:$Q$10000,$B$5:$B$1104)</f>
        <v>0</v>
      </c>
      <c r="I104" s="68">
        <f>SUMIFS(SALE!$K$6:$K$10000,SALE!$A$6:$A$10000,I101,SALE!$Q$6:$Q$10000,$B$5:$B$1104)</f>
        <v>0</v>
      </c>
      <c r="J104" s="68">
        <f>SUMIFS(SALE!$K$6:$K$10000,SALE!$A$6:$A$10000,J101,SALE!$Q$6:$Q$10000,$B$5:$B$1104)</f>
        <v>0</v>
      </c>
      <c r="K104" s="68">
        <f>SUMIFS(SALE!$K$6:$K$10000,SALE!$A$6:$A$10000,K101,SALE!$Q$6:$Q$10000,$B$5:$B$1104)</f>
        <v>0</v>
      </c>
      <c r="L104" s="68">
        <f>SUMIFS(SALE!$K$6:$K$10000,SALE!$A$6:$A$10000,L101,SALE!$Q$6:$Q$10000,$B$5:$B$1104)</f>
        <v>0</v>
      </c>
      <c r="M104" s="68">
        <f>SUMIFS(SALE!$K$6:$K$10000,SALE!$A$6:$A$10000,M101,SALE!$Q$6:$Q$10000,$B$5:$B$1104)</f>
        <v>0</v>
      </c>
      <c r="N104" s="70">
        <f>SUMIFS(SALE!$K$6:$K$10000,SALE!$A$6:$A$10000,N101,SALE!$Q$6:$Q$10000,$B$5:$B$1104)</f>
        <v>0</v>
      </c>
      <c r="O104" s="71">
        <f t="shared" si="12"/>
        <v>0</v>
      </c>
    </row>
    <row r="105" spans="1:15" x14ac:dyDescent="0.2">
      <c r="A105" s="34" t="s">
        <v>283</v>
      </c>
      <c r="B105" s="34" t="s">
        <v>397</v>
      </c>
      <c r="C105" s="68">
        <f>SUMIFS(SALE!$L$6:$L$10000,SALE!$A$6:$A$10000,C101,SALE!$Q$6:$Q$10000,$B$5:$B$1104)</f>
        <v>0</v>
      </c>
      <c r="D105" s="68">
        <f>SUMIFS(SALE!$L$6:$L$10000,SALE!$A$6:$A$10000,D101,SALE!$Q$6:$Q$10000,$B$5:$B$1104)</f>
        <v>0</v>
      </c>
      <c r="E105" s="68">
        <f>SUMIFS(SALE!$L$6:$L$10000,SALE!$A$6:$A$10000,E101,SALE!$Q$6:$Q$10000,$B$5:$B$1104)</f>
        <v>0</v>
      </c>
      <c r="F105" s="68">
        <f>SUMIFS(SALE!$L$6:$L$10000,SALE!$A$6:$A$10000,F101,SALE!$Q$6:$Q$10000,$B$5:$B$1104)</f>
        <v>0</v>
      </c>
      <c r="G105" s="68">
        <f>SUMIFS(SALE!$L$6:$L$10000,SALE!$A$6:$A$10000,G101,SALE!$Q$6:$Q$10000,$B$5:$B$1104)</f>
        <v>0</v>
      </c>
      <c r="H105" s="68">
        <f>SUMIFS(SALE!$L$6:$L$10000,SALE!$A$6:$A$10000,H101,SALE!$Q$6:$Q$10000,$B$5:$B$1104)</f>
        <v>0</v>
      </c>
      <c r="I105" s="68">
        <f>SUMIFS(SALE!$L$6:$L$10000,SALE!$A$6:$A$10000,I101,SALE!$Q$6:$Q$10000,$B$5:$B$1104)</f>
        <v>0</v>
      </c>
      <c r="J105" s="68">
        <f>SUMIFS(SALE!$L$6:$L$10000,SALE!$A$6:$A$10000,J101,SALE!$Q$6:$Q$10000,$B$5:$B$1104)</f>
        <v>0</v>
      </c>
      <c r="K105" s="68">
        <f>SUMIFS(SALE!$L$6:$L$10000,SALE!$A$6:$A$10000,K101,SALE!$Q$6:$Q$10000,$B$5:$B$1104)</f>
        <v>0</v>
      </c>
      <c r="L105" s="68">
        <f>SUMIFS(SALE!$L$6:$L$10000,SALE!$A$6:$A$10000,L101,SALE!$Q$6:$Q$10000,$B$5:$B$1104)</f>
        <v>0</v>
      </c>
      <c r="M105" s="68">
        <f>SUMIFS(SALE!$L$6:$L$10000,SALE!$A$6:$A$10000,M101,SALE!$Q$6:$Q$10000,$B$5:$B$1104)</f>
        <v>0</v>
      </c>
      <c r="N105" s="70">
        <f>SUMIFS(SALE!$L$6:$L$10000,SALE!$A$6:$A$10000,N101,SALE!$Q$6:$Q$10000,$B$5:$B$1104)</f>
        <v>0</v>
      </c>
      <c r="O105" s="71">
        <f t="shared" si="12"/>
        <v>0</v>
      </c>
    </row>
    <row r="106" spans="1:15" x14ac:dyDescent="0.2">
      <c r="A106" s="34" t="s">
        <v>284</v>
      </c>
      <c r="B106" s="34" t="s">
        <v>397</v>
      </c>
      <c r="C106" s="68">
        <f>SUMIFS(SALE!$M$6:$M$10000,SALE!$A$6:$A$10000,C101,SALE!$Q$6:$Q$10000,$B$5:$B$1104)</f>
        <v>0</v>
      </c>
      <c r="D106" s="68">
        <f>SUMIFS(SALE!$M$6:$M$10000,SALE!$A$6:$A$10000,D101,SALE!$Q$6:$Q$10000,$B$5:$B$1104)</f>
        <v>0</v>
      </c>
      <c r="E106" s="68">
        <f>SUMIFS(SALE!$M$6:$M$10000,SALE!$A$6:$A$10000,E101,SALE!$Q$6:$Q$10000,$B$5:$B$1104)</f>
        <v>0</v>
      </c>
      <c r="F106" s="68">
        <f>SUMIFS(SALE!$M$6:$M$10000,SALE!$A$6:$A$10000,F101,SALE!$Q$6:$Q$10000,$B$5:$B$1104)</f>
        <v>0</v>
      </c>
      <c r="G106" s="68">
        <f>SUMIFS(SALE!$M$6:$M$10000,SALE!$A$6:$A$10000,G101,SALE!$Q$6:$Q$10000,$B$5:$B$1104)</f>
        <v>0</v>
      </c>
      <c r="H106" s="68">
        <f>SUMIFS(SALE!$M$6:$M$10000,SALE!$A$6:$A$10000,H101,SALE!$Q$6:$Q$10000,$B$5:$B$1104)</f>
        <v>0</v>
      </c>
      <c r="I106" s="68">
        <f>SUMIFS(SALE!$M$6:$M$10000,SALE!$A$6:$A$10000,I101,SALE!$Q$6:$Q$10000,$B$5:$B$1104)</f>
        <v>0</v>
      </c>
      <c r="J106" s="68">
        <f>SUMIFS(SALE!$M$6:$M$10000,SALE!$A$6:$A$10000,J101,SALE!$Q$6:$Q$10000,$B$5:$B$1104)</f>
        <v>0</v>
      </c>
      <c r="K106" s="68">
        <f>SUMIFS(SALE!$M$6:$M$10000,SALE!$A$6:$A$10000,K101,SALE!$Q$6:$Q$10000,$B$5:$B$1104)</f>
        <v>0</v>
      </c>
      <c r="L106" s="68">
        <f>SUMIFS(SALE!$M$6:$M$10000,SALE!$A$6:$A$10000,L101,SALE!$Q$6:$Q$10000,$B$5:$B$1104)</f>
        <v>0</v>
      </c>
      <c r="M106" s="68">
        <f>SUMIFS(SALE!$M$6:$M$10000,SALE!$A$6:$A$10000,M101,SALE!$Q$6:$Q$10000,$B$5:$B$1104)</f>
        <v>0</v>
      </c>
      <c r="N106" s="70">
        <f>SUMIFS(SALE!$M$6:$M$10000,SALE!$A$6:$A$10000,N101,SALE!$Q$6:$Q$10000,$B$5:$B$1104)</f>
        <v>0</v>
      </c>
      <c r="O106" s="71">
        <f t="shared" si="12"/>
        <v>0</v>
      </c>
    </row>
    <row r="107" spans="1:15" x14ac:dyDescent="0.2">
      <c r="A107" s="34" t="s">
        <v>285</v>
      </c>
      <c r="B107" s="34" t="s">
        <v>397</v>
      </c>
      <c r="C107" s="68">
        <f>SUMIFS(SALE!$N$6:$N$10000,SALE!$A$6:$A$10000,C101,SALE!$Q$6:$Q$10000,$B$5:$B$1104)</f>
        <v>0</v>
      </c>
      <c r="D107" s="68">
        <f>SUMIFS(SALE!$N$6:$N$10000,SALE!$A$6:$A$10000,D101,SALE!$Q$6:$Q$10000,$B$5:$B$1104)</f>
        <v>0</v>
      </c>
      <c r="E107" s="68">
        <f>SUMIFS(SALE!$N$6:$N$10000,SALE!$A$6:$A$10000,E101,SALE!$Q$6:$Q$10000,$B$5:$B$1104)</f>
        <v>0</v>
      </c>
      <c r="F107" s="68">
        <f>SUMIFS(SALE!$N$6:$N$10000,SALE!$A$6:$A$10000,F101,SALE!$Q$6:$Q$10000,$B$5:$B$1104)</f>
        <v>0</v>
      </c>
      <c r="G107" s="68">
        <f>SUMIFS(SALE!$N$6:$N$10000,SALE!$A$6:$A$10000,G101,SALE!$Q$6:$Q$10000,$B$5:$B$1104)</f>
        <v>0</v>
      </c>
      <c r="H107" s="68">
        <f>SUMIFS(SALE!$N$6:$N$10000,SALE!$A$6:$A$10000,H101,SALE!$Q$6:$Q$10000,$B$5:$B$1104)</f>
        <v>0</v>
      </c>
      <c r="I107" s="68">
        <f>SUMIFS(SALE!$N$6:$N$10000,SALE!$A$6:$A$10000,I101,SALE!$Q$6:$Q$10000,$B$5:$B$1104)</f>
        <v>0</v>
      </c>
      <c r="J107" s="68">
        <f>SUMIFS(SALE!$N$6:$N$10000,SALE!$A$6:$A$10000,J101,SALE!$Q$6:$Q$10000,$B$5:$B$1104)</f>
        <v>0</v>
      </c>
      <c r="K107" s="68">
        <f>SUMIFS(SALE!$N$6:$N$10000,SALE!$A$6:$A$10000,K101,SALE!$Q$6:$Q$10000,$B$5:$B$1104)</f>
        <v>0</v>
      </c>
      <c r="L107" s="68">
        <f>SUMIFS(SALE!$N$6:$N$10000,SALE!$A$6:$A$10000,L101,SALE!$Q$6:$Q$10000,$B$5:$B$1104)</f>
        <v>0</v>
      </c>
      <c r="M107" s="68">
        <f>SUMIFS(SALE!$N$6:$N$10000,SALE!$A$6:$A$10000,M101,SALE!$Q$6:$Q$10000,$B$5:$B$1104)</f>
        <v>0</v>
      </c>
      <c r="N107" s="70">
        <f>SUMIFS(SALE!$N$6:$N$10000,SALE!$A$6:$A$10000,N101,SALE!$Q$6:$Q$10000,$B$5:$B$1104)</f>
        <v>0</v>
      </c>
      <c r="O107" s="71">
        <f t="shared" si="12"/>
        <v>0</v>
      </c>
    </row>
    <row r="108" spans="1:15" x14ac:dyDescent="0.2">
      <c r="A108" s="34" t="s">
        <v>286</v>
      </c>
      <c r="B108" s="34" t="s">
        <v>397</v>
      </c>
      <c r="C108" s="68">
        <f>SUMIFS(SALE!$O$6:$O$10000,SALE!$A$6:$A$10000,C101,SALE!$Q$6:$Q$10000,$B$5:$B$1104)</f>
        <v>0</v>
      </c>
      <c r="D108" s="68">
        <f>SUMIFS(SALE!$O$6:$O$10000,SALE!$A$6:$A$10000,D101,SALE!$Q$6:$Q$10000,$B$5:$B$1104)</f>
        <v>0</v>
      </c>
      <c r="E108" s="68">
        <f>SUMIFS(SALE!$O$6:$O$10000,SALE!$A$6:$A$10000,E101,SALE!$Q$6:$Q$10000,$B$5:$B$1104)</f>
        <v>0</v>
      </c>
      <c r="F108" s="68">
        <f>SUMIFS(SALE!$O$6:$O$10000,SALE!$A$6:$A$10000,F101,SALE!$Q$6:$Q$10000,$B$5:$B$1104)</f>
        <v>0</v>
      </c>
      <c r="G108" s="68">
        <f>SUMIFS(SALE!$O$6:$O$10000,SALE!$A$6:$A$10000,G101,SALE!$Q$6:$Q$10000,$B$5:$B$1104)</f>
        <v>0</v>
      </c>
      <c r="H108" s="68">
        <f>SUMIFS(SALE!$O$6:$O$10000,SALE!$A$6:$A$10000,H101,SALE!$Q$6:$Q$10000,$B$5:$B$1104)</f>
        <v>0</v>
      </c>
      <c r="I108" s="68">
        <f>SUMIFS(SALE!$O$6:$O$10000,SALE!$A$6:$A$10000,I101,SALE!$Q$6:$Q$10000,$B$5:$B$1104)</f>
        <v>0</v>
      </c>
      <c r="J108" s="68">
        <f>SUMIFS(SALE!$O$6:$O$10000,SALE!$A$6:$A$10000,J101,SALE!$Q$6:$Q$10000,$B$5:$B$1104)</f>
        <v>0</v>
      </c>
      <c r="K108" s="68">
        <f>SUMIFS(SALE!$O$6:$O$10000,SALE!$A$6:$A$10000,K101,SALE!$Q$6:$Q$10000,$B$5:$B$1104)</f>
        <v>0</v>
      </c>
      <c r="L108" s="68">
        <f>SUMIFS(SALE!$O$6:$O$10000,SALE!$A$6:$A$10000,L101,SALE!$Q$6:$Q$10000,$B$5:$B$1104)</f>
        <v>0</v>
      </c>
      <c r="M108" s="68">
        <f>SUMIFS(SALE!$O$6:$O$10000,SALE!$A$6:$A$10000,M101,SALE!$Q$6:$Q$10000,$B$5:$B$1104)</f>
        <v>0</v>
      </c>
      <c r="N108" s="70">
        <f>SUMIFS(SALE!$O$6:$O$10000,SALE!$A$6:$A$10000,N101,SALE!$Q$6:$Q$10000,$B$5:$B$1104)</f>
        <v>0</v>
      </c>
      <c r="O108" s="71">
        <f t="shared" si="12"/>
        <v>0</v>
      </c>
    </row>
    <row r="109" spans="1:15" x14ac:dyDescent="0.2">
      <c r="A109" s="1033" t="s">
        <v>298</v>
      </c>
      <c r="B109" s="1034"/>
      <c r="C109" s="1034"/>
      <c r="D109" s="1034"/>
      <c r="E109" s="1034"/>
      <c r="F109" s="1034"/>
      <c r="G109" s="1034"/>
      <c r="H109" s="1034"/>
      <c r="I109" s="1034"/>
      <c r="J109" s="1034"/>
      <c r="K109" s="1034"/>
      <c r="L109" s="1034"/>
      <c r="M109" s="1034"/>
      <c r="N109" s="1034"/>
      <c r="O109" s="1035"/>
    </row>
    <row r="110" spans="1:15" x14ac:dyDescent="0.2">
      <c r="A110" s="63" t="s">
        <v>279</v>
      </c>
      <c r="B110" s="63"/>
      <c r="C110" s="64">
        <v>43556</v>
      </c>
      <c r="D110" s="64">
        <v>43586</v>
      </c>
      <c r="E110" s="64">
        <v>43617</v>
      </c>
      <c r="F110" s="64">
        <v>43647</v>
      </c>
      <c r="G110" s="64">
        <v>43678</v>
      </c>
      <c r="H110" s="64">
        <v>43709</v>
      </c>
      <c r="I110" s="64">
        <v>43739</v>
      </c>
      <c r="J110" s="64">
        <v>43770</v>
      </c>
      <c r="K110" s="64">
        <v>43800</v>
      </c>
      <c r="L110" s="64">
        <v>43831</v>
      </c>
      <c r="M110" s="64">
        <v>43862</v>
      </c>
      <c r="N110" s="65">
        <v>43891</v>
      </c>
      <c r="O110" s="66" t="s">
        <v>347</v>
      </c>
    </row>
    <row r="111" spans="1:15" x14ac:dyDescent="0.2">
      <c r="A111" s="34" t="s">
        <v>280</v>
      </c>
      <c r="B111" s="34"/>
      <c r="C111" s="34">
        <v>7</v>
      </c>
      <c r="D111" s="34">
        <v>6</v>
      </c>
      <c r="E111" s="34"/>
      <c r="F111" s="34"/>
      <c r="G111" s="34"/>
      <c r="H111" s="34"/>
      <c r="I111" s="34"/>
      <c r="J111" s="34"/>
      <c r="K111" s="34"/>
      <c r="L111" s="34"/>
      <c r="M111" s="34"/>
      <c r="N111" s="74"/>
      <c r="O111" s="71">
        <f t="shared" si="12"/>
        <v>13</v>
      </c>
    </row>
    <row r="112" spans="1:15" x14ac:dyDescent="0.2">
      <c r="A112" s="34" t="s">
        <v>281</v>
      </c>
      <c r="B112" s="34"/>
      <c r="C112" s="75">
        <f>+'SALE HSN SUMMERY'!C1</f>
        <v>4218128.9145999998</v>
      </c>
      <c r="D112" s="75">
        <f>+'SALE HSN SUMMERY'!H1</f>
        <v>5037615.2319999998</v>
      </c>
      <c r="E112" s="75">
        <f>+'SALE HSN SUMMERY'!M1</f>
        <v>6429357.6057200013</v>
      </c>
      <c r="F112" s="75">
        <f>+'SALE HSN SUMMERY'!R1</f>
        <v>8118439.6100000003</v>
      </c>
      <c r="G112" s="75">
        <f>+'SALE HSN SUMMERY'!W1</f>
        <v>6588737.6376</v>
      </c>
      <c r="H112" s="75">
        <f>+'SALE HSN SUMMERY'!AB1</f>
        <v>5853050.2851999998</v>
      </c>
      <c r="I112" s="75">
        <f>+'SALE HSN SUMMERY'!AG1</f>
        <v>5195214.9595999997</v>
      </c>
      <c r="J112" s="75">
        <f>+'SALE HSN SUMMERY'!AL1</f>
        <v>0</v>
      </c>
      <c r="K112" s="75">
        <f>+'SALE HSN SUMMERY'!AQ1</f>
        <v>0</v>
      </c>
      <c r="L112" s="75">
        <f>+'SALE HSN SUMMERY'!AV1</f>
        <v>0</v>
      </c>
      <c r="M112" s="75">
        <f>+'SALE HSN SUMMERY'!BA1</f>
        <v>0</v>
      </c>
      <c r="N112" s="76">
        <f>+'SALE HSN SUMMERY'!BF1</f>
        <v>0</v>
      </c>
      <c r="O112" s="71">
        <f t="shared" si="12"/>
        <v>41440544.244720004</v>
      </c>
    </row>
    <row r="113" spans="1:15" x14ac:dyDescent="0.2">
      <c r="A113" s="34" t="s">
        <v>282</v>
      </c>
      <c r="B113" s="34"/>
      <c r="C113" s="75">
        <f>+'SALE HSN SUMMERY'!D1</f>
        <v>3348680.7699999996</v>
      </c>
      <c r="D113" s="75">
        <f>+'SALE HSN SUMMERY'!I1</f>
        <v>4057558.6999999997</v>
      </c>
      <c r="E113" s="75">
        <f>+'SALE HSN SUMMERY'!N1</f>
        <v>5184963.1240000008</v>
      </c>
      <c r="F113" s="75">
        <f>+'SALE HSN SUMMERY'!S1</f>
        <v>6550168.9500000002</v>
      </c>
      <c r="G113" s="75">
        <f>+'SALE HSN SUMMERY'!X1</f>
        <v>5362317.62</v>
      </c>
      <c r="H113" s="75">
        <f>+'SALE HSN SUMMERY'!AC1</f>
        <v>4785767.8899999997</v>
      </c>
      <c r="I113" s="75">
        <f>+'SALE HSN SUMMERY'!AH1</f>
        <v>4303915.0200000005</v>
      </c>
      <c r="J113" s="75">
        <f>+'SALE HSN SUMMERY'!AM1</f>
        <v>0</v>
      </c>
      <c r="K113" s="75">
        <f>+'SALE HSN SUMMERY'!AR1</f>
        <v>0</v>
      </c>
      <c r="L113" s="75">
        <f>+'SALE HSN SUMMERY'!AW1</f>
        <v>0</v>
      </c>
      <c r="M113" s="75">
        <f>+'SALE HSN SUMMERY'!BB1</f>
        <v>0</v>
      </c>
      <c r="N113" s="76">
        <f>+'SALE HSN SUMMERY'!BG1</f>
        <v>0</v>
      </c>
      <c r="O113" s="71">
        <f t="shared" si="12"/>
        <v>33593372.074000001</v>
      </c>
    </row>
    <row r="114" spans="1:15" x14ac:dyDescent="0.2">
      <c r="A114" s="34" t="s">
        <v>283</v>
      </c>
      <c r="B114" s="34"/>
      <c r="C114" s="75">
        <f>+'SALE HSN SUMMERY'!E1</f>
        <v>34940.68759999999</v>
      </c>
      <c r="D114" s="75">
        <f>+'SALE HSN SUMMERY'!J1</f>
        <v>55549.74040000001</v>
      </c>
      <c r="E114" s="75">
        <f>+'SALE HSN SUMMERY'!O1</f>
        <v>141109.85840000003</v>
      </c>
      <c r="F114" s="75">
        <f>+'SALE HSN SUMMERY'!T1</f>
        <v>64427.327999999994</v>
      </c>
      <c r="G114" s="75">
        <f>+'SALE HSN SUMMERY'!Y1</f>
        <v>30473.3688</v>
      </c>
      <c r="H114" s="75">
        <f>+'SALE HSN SUMMERY'!AD1</f>
        <v>75713.330000000016</v>
      </c>
      <c r="I114" s="75">
        <f>+'SALE HSN SUMMERY'!AI1</f>
        <v>51945.630799999992</v>
      </c>
      <c r="J114" s="75">
        <f>+'SALE HSN SUMMERY'!AN1</f>
        <v>0</v>
      </c>
      <c r="K114" s="75">
        <f>+'SALE HSN SUMMERY'!AS1</f>
        <v>0</v>
      </c>
      <c r="L114" s="75">
        <f>+'SALE HSN SUMMERY'!AX1</f>
        <v>0</v>
      </c>
      <c r="M114" s="75">
        <f>+'SALE HSN SUMMERY'!BC1</f>
        <v>0</v>
      </c>
      <c r="N114" s="76">
        <f>+'SALE HSN SUMMERY'!BH1</f>
        <v>0</v>
      </c>
      <c r="O114" s="71">
        <f t="shared" si="12"/>
        <v>454159.94400000002</v>
      </c>
    </row>
    <row r="115" spans="1:15" x14ac:dyDescent="0.2">
      <c r="A115" s="34" t="s">
        <v>284</v>
      </c>
      <c r="B115" s="34"/>
      <c r="C115" s="75">
        <f>+'SALE HSN SUMMERY'!F1</f>
        <v>417253.72850000008</v>
      </c>
      <c r="D115" s="75">
        <f>+'SALE HSN SUMMERY'!K1</f>
        <v>462253.3958</v>
      </c>
      <c r="E115" s="75">
        <f>+'SALE HSN SUMMERY'!P1</f>
        <v>551642.31166000001</v>
      </c>
      <c r="F115" s="75">
        <f>+'SALE HSN SUMMERY'!U1</f>
        <v>751921.66600000008</v>
      </c>
      <c r="G115" s="75">
        <f>+'SALE HSN SUMMERY'!Z1</f>
        <v>597973.32440000004</v>
      </c>
      <c r="H115" s="75">
        <f>+'SALE HSN SUMMERY'!AE1</f>
        <v>495784.53260000009</v>
      </c>
      <c r="I115" s="75">
        <f>+'SALE HSN SUMMERY'!AJ1</f>
        <v>419677.1544</v>
      </c>
      <c r="J115" s="75">
        <f>+'SALE HSN SUMMERY'!AO1</f>
        <v>0</v>
      </c>
      <c r="K115" s="75">
        <f>+'SALE HSN SUMMERY'!AT1</f>
        <v>0</v>
      </c>
      <c r="L115" s="75">
        <f>+'SALE HSN SUMMERY'!AY1</f>
        <v>0</v>
      </c>
      <c r="M115" s="75">
        <f>+'SALE HSN SUMMERY'!BD1</f>
        <v>0</v>
      </c>
      <c r="N115" s="76">
        <f>+'SALE HSN SUMMERY'!BI1</f>
        <v>0</v>
      </c>
      <c r="O115" s="71">
        <f t="shared" si="12"/>
        <v>3696506.1133599998</v>
      </c>
    </row>
    <row r="116" spans="1:15" x14ac:dyDescent="0.2">
      <c r="A116" s="34" t="s">
        <v>285</v>
      </c>
      <c r="B116" s="34"/>
      <c r="C116" s="75">
        <f t="shared" ref="C116:N116" si="15">+C115</f>
        <v>417253.72850000008</v>
      </c>
      <c r="D116" s="75">
        <f t="shared" si="15"/>
        <v>462253.3958</v>
      </c>
      <c r="E116" s="75">
        <f t="shared" si="15"/>
        <v>551642.31166000001</v>
      </c>
      <c r="F116" s="75">
        <f t="shared" si="15"/>
        <v>751921.66600000008</v>
      </c>
      <c r="G116" s="75">
        <f t="shared" si="15"/>
        <v>597973.32440000004</v>
      </c>
      <c r="H116" s="75">
        <f t="shared" si="15"/>
        <v>495784.53260000009</v>
      </c>
      <c r="I116" s="75">
        <f t="shared" si="15"/>
        <v>419677.1544</v>
      </c>
      <c r="J116" s="75">
        <f t="shared" si="15"/>
        <v>0</v>
      </c>
      <c r="K116" s="75">
        <f t="shared" si="15"/>
        <v>0</v>
      </c>
      <c r="L116" s="75">
        <f t="shared" si="15"/>
        <v>0</v>
      </c>
      <c r="M116" s="75">
        <f t="shared" si="15"/>
        <v>0</v>
      </c>
      <c r="N116" s="76">
        <f t="shared" si="15"/>
        <v>0</v>
      </c>
      <c r="O116" s="71">
        <f t="shared" si="12"/>
        <v>3696506.1133599998</v>
      </c>
    </row>
    <row r="117" spans="1:15" x14ac:dyDescent="0.2">
      <c r="A117" s="34" t="s">
        <v>286</v>
      </c>
      <c r="B117" s="34"/>
      <c r="C117" s="75"/>
      <c r="D117" s="75"/>
      <c r="E117" s="75"/>
      <c r="F117" s="75"/>
      <c r="G117" s="75">
        <v>0</v>
      </c>
      <c r="H117" s="75">
        <v>0</v>
      </c>
      <c r="I117" s="75">
        <v>0</v>
      </c>
      <c r="J117" s="75">
        <v>0</v>
      </c>
      <c r="K117" s="75">
        <v>0</v>
      </c>
      <c r="L117" s="75">
        <v>0</v>
      </c>
      <c r="M117" s="75">
        <v>0</v>
      </c>
      <c r="N117" s="76">
        <v>0</v>
      </c>
      <c r="O117" s="71">
        <f t="shared" si="12"/>
        <v>0</v>
      </c>
    </row>
    <row r="118" spans="1:15" x14ac:dyDescent="0.2">
      <c r="A118" s="1036" t="s">
        <v>299</v>
      </c>
      <c r="B118" s="1037"/>
      <c r="C118" s="1037"/>
      <c r="D118" s="1037"/>
      <c r="E118" s="1037"/>
      <c r="F118" s="1037"/>
      <c r="G118" s="1037"/>
      <c r="H118" s="1037"/>
      <c r="I118" s="1037"/>
      <c r="J118" s="1037"/>
      <c r="K118" s="1037"/>
      <c r="L118" s="1037"/>
      <c r="M118" s="1037"/>
      <c r="N118" s="1037"/>
      <c r="O118" s="1038"/>
    </row>
    <row r="119" spans="1:15" x14ac:dyDescent="0.2">
      <c r="A119" s="63" t="s">
        <v>279</v>
      </c>
      <c r="B119" s="63"/>
      <c r="C119" s="64">
        <v>43556</v>
      </c>
      <c r="D119" s="64">
        <v>43586</v>
      </c>
      <c r="E119" s="64">
        <v>43617</v>
      </c>
      <c r="F119" s="64">
        <v>43647</v>
      </c>
      <c r="G119" s="64">
        <v>43678</v>
      </c>
      <c r="H119" s="64">
        <v>43709</v>
      </c>
      <c r="I119" s="64">
        <v>43739</v>
      </c>
      <c r="J119" s="64">
        <v>43770</v>
      </c>
      <c r="K119" s="64">
        <v>43800</v>
      </c>
      <c r="L119" s="64">
        <v>43831</v>
      </c>
      <c r="M119" s="64">
        <v>43862</v>
      </c>
      <c r="N119" s="65">
        <v>43891</v>
      </c>
      <c r="O119" s="66" t="s">
        <v>347</v>
      </c>
    </row>
    <row r="120" spans="1:15" x14ac:dyDescent="0.2">
      <c r="A120" s="34" t="s">
        <v>280</v>
      </c>
      <c r="B120" s="34"/>
      <c r="C120" s="34">
        <v>2</v>
      </c>
      <c r="D120" s="34">
        <v>2</v>
      </c>
      <c r="E120" s="34"/>
      <c r="F120" s="34"/>
      <c r="G120" s="34"/>
      <c r="H120" s="34"/>
      <c r="I120" s="34"/>
      <c r="J120" s="34"/>
      <c r="K120" s="34"/>
      <c r="L120" s="34"/>
      <c r="M120" s="34"/>
      <c r="N120" s="74"/>
      <c r="O120" s="71">
        <f t="shared" si="12"/>
        <v>4</v>
      </c>
    </row>
    <row r="121" spans="1:15" x14ac:dyDescent="0.2">
      <c r="A121" s="34" t="s">
        <v>299</v>
      </c>
      <c r="B121" s="34"/>
      <c r="C121" s="34">
        <v>165</v>
      </c>
      <c r="D121" s="34">
        <v>250</v>
      </c>
      <c r="E121" s="34"/>
      <c r="F121" s="34"/>
      <c r="G121" s="34"/>
      <c r="H121" s="34"/>
      <c r="I121" s="34"/>
      <c r="J121" s="34"/>
      <c r="K121" s="34"/>
      <c r="L121" s="34"/>
      <c r="M121" s="34"/>
      <c r="N121" s="74"/>
      <c r="O121" s="71">
        <f t="shared" si="12"/>
        <v>415</v>
      </c>
    </row>
    <row r="122" spans="1:15" x14ac:dyDescent="0.2">
      <c r="A122" s="34" t="s">
        <v>300</v>
      </c>
      <c r="B122" s="34"/>
      <c r="C122" s="34">
        <v>1</v>
      </c>
      <c r="D122" s="34">
        <v>0</v>
      </c>
      <c r="E122" s="34"/>
      <c r="F122" s="34"/>
      <c r="G122" s="34"/>
      <c r="H122" s="34"/>
      <c r="I122" s="34"/>
      <c r="J122" s="34"/>
      <c r="K122" s="34"/>
      <c r="L122" s="34"/>
      <c r="M122" s="34"/>
      <c r="N122" s="74"/>
      <c r="O122" s="71">
        <f t="shared" si="12"/>
        <v>1</v>
      </c>
    </row>
    <row r="123" spans="1:15" x14ac:dyDescent="0.2">
      <c r="A123" s="34" t="s">
        <v>301</v>
      </c>
      <c r="B123" s="34"/>
      <c r="C123" s="34">
        <v>164</v>
      </c>
      <c r="D123" s="34">
        <v>250</v>
      </c>
      <c r="E123" s="34"/>
      <c r="F123" s="34"/>
      <c r="G123" s="34"/>
      <c r="H123" s="34"/>
      <c r="I123" s="34"/>
      <c r="J123" s="34"/>
      <c r="K123" s="34"/>
      <c r="L123" s="34"/>
      <c r="M123" s="34"/>
      <c r="N123" s="74"/>
      <c r="O123" s="71">
        <f t="shared" si="12"/>
        <v>414</v>
      </c>
    </row>
    <row r="124" spans="1:15" ht="15.75" customHeight="1" x14ac:dyDescent="0.2">
      <c r="A124" s="1046" t="s">
        <v>302</v>
      </c>
      <c r="B124" s="1047"/>
      <c r="C124" s="1047"/>
      <c r="D124" s="1047"/>
      <c r="E124" s="1047"/>
      <c r="F124" s="1047"/>
      <c r="G124" s="1047"/>
      <c r="H124" s="1047"/>
      <c r="I124" s="1047"/>
      <c r="J124" s="1047"/>
      <c r="K124" s="1047"/>
      <c r="L124" s="1047"/>
      <c r="M124" s="1047"/>
      <c r="N124" s="1047"/>
      <c r="O124" s="1048"/>
    </row>
    <row r="125" spans="1:15" x14ac:dyDescent="0.2">
      <c r="A125" s="63" t="s">
        <v>279</v>
      </c>
      <c r="B125" s="63"/>
      <c r="C125" s="64">
        <v>43556</v>
      </c>
      <c r="D125" s="64">
        <v>43586</v>
      </c>
      <c r="E125" s="64">
        <v>43617</v>
      </c>
      <c r="F125" s="64">
        <v>43647</v>
      </c>
      <c r="G125" s="64">
        <v>43678</v>
      </c>
      <c r="H125" s="64">
        <v>43709</v>
      </c>
      <c r="I125" s="64">
        <v>43739</v>
      </c>
      <c r="J125" s="64">
        <v>43770</v>
      </c>
      <c r="K125" s="64">
        <v>43800</v>
      </c>
      <c r="L125" s="64">
        <v>43831</v>
      </c>
      <c r="M125" s="64">
        <v>43862</v>
      </c>
      <c r="N125" s="65">
        <v>43891</v>
      </c>
      <c r="O125" s="66" t="s">
        <v>347</v>
      </c>
    </row>
    <row r="126" spans="1:15" x14ac:dyDescent="0.2">
      <c r="A126" s="34" t="s">
        <v>280</v>
      </c>
      <c r="B126" s="34"/>
      <c r="C126" s="34"/>
      <c r="D126" s="34">
        <v>0</v>
      </c>
      <c r="E126" s="34"/>
      <c r="F126" s="34"/>
      <c r="G126" s="34"/>
      <c r="H126" s="34"/>
      <c r="I126" s="34"/>
      <c r="J126" s="34"/>
      <c r="K126" s="34"/>
      <c r="L126" s="34"/>
      <c r="M126" s="34"/>
      <c r="N126" s="74"/>
      <c r="O126" s="71">
        <f t="shared" si="12"/>
        <v>0</v>
      </c>
    </row>
    <row r="127" spans="1:15" x14ac:dyDescent="0.2">
      <c r="A127" s="34" t="s">
        <v>281</v>
      </c>
      <c r="B127" s="34" t="s">
        <v>385</v>
      </c>
      <c r="C127" s="68">
        <f>+C128+C129+C130+C131+C132</f>
        <v>0</v>
      </c>
      <c r="D127" s="68">
        <f t="shared" ref="D127:N127" si="16">+D128+D129+D130+D131+D132</f>
        <v>0</v>
      </c>
      <c r="E127" s="68">
        <f t="shared" si="16"/>
        <v>0</v>
      </c>
      <c r="F127" s="68">
        <f t="shared" si="16"/>
        <v>0</v>
      </c>
      <c r="G127" s="68">
        <f t="shared" si="16"/>
        <v>0</v>
      </c>
      <c r="H127" s="68">
        <f t="shared" si="16"/>
        <v>0</v>
      </c>
      <c r="I127" s="68">
        <f t="shared" si="16"/>
        <v>0</v>
      </c>
      <c r="J127" s="68">
        <f t="shared" si="16"/>
        <v>0</v>
      </c>
      <c r="K127" s="68">
        <f t="shared" si="16"/>
        <v>0</v>
      </c>
      <c r="L127" s="68">
        <f t="shared" si="16"/>
        <v>0</v>
      </c>
      <c r="M127" s="68">
        <f t="shared" si="16"/>
        <v>0</v>
      </c>
      <c r="N127" s="70">
        <f t="shared" si="16"/>
        <v>0</v>
      </c>
      <c r="O127" s="71">
        <f t="shared" si="12"/>
        <v>0</v>
      </c>
    </row>
    <row r="128" spans="1:15" x14ac:dyDescent="0.2">
      <c r="A128" s="34" t="s">
        <v>282</v>
      </c>
      <c r="B128" s="34" t="s">
        <v>385</v>
      </c>
      <c r="C128" s="68">
        <f>SUMIFS(SALE!$K$6:$K$10000,SALE!$A$6:$A$10000,C125,SALE!$Q$6:$Q$10000,$B$5:$B$1104)</f>
        <v>0</v>
      </c>
      <c r="D128" s="68">
        <f>SUMIFS(SALE!$K$6:$K$10000,SALE!$A$6:$A$10000,D125,SALE!$Q$6:$Q$10000,$B$5:$B$1104)</f>
        <v>0</v>
      </c>
      <c r="E128" s="68">
        <f>SUMIFS(SALE!$K$6:$K$10000,SALE!$A$6:$A$10000,E125,SALE!$Q$6:$Q$10000,$B$5:$B$1104)</f>
        <v>0</v>
      </c>
      <c r="F128" s="68">
        <f>SUMIFS(SALE!$K$6:$K$10000,SALE!$A$6:$A$10000,F125,SALE!$Q$6:$Q$10000,$B$5:$B$1104)</f>
        <v>0</v>
      </c>
      <c r="G128" s="68">
        <f>SUMIFS(SALE!$K$6:$K$10000,SALE!$A$6:$A$10000,G125,SALE!$Q$6:$Q$10000,$B$5:$B$1104)</f>
        <v>0</v>
      </c>
      <c r="H128" s="68">
        <f>SUMIFS(SALE!$K$6:$K$10000,SALE!$A$6:$A$10000,H125,SALE!$Q$6:$Q$10000,$B$5:$B$1104)</f>
        <v>0</v>
      </c>
      <c r="I128" s="68">
        <f>SUMIFS(SALE!$K$6:$K$10000,SALE!$A$6:$A$10000,I125,SALE!$Q$6:$Q$10000,$B$5:$B$1104)</f>
        <v>0</v>
      </c>
      <c r="J128" s="68">
        <f>SUMIFS(SALE!$K$6:$K$10000,SALE!$A$6:$A$10000,J125,SALE!$Q$6:$Q$10000,$B$5:$B$1104)</f>
        <v>0</v>
      </c>
      <c r="K128" s="68">
        <f>SUMIFS(SALE!$K$6:$K$10000,SALE!$A$6:$A$10000,K125,SALE!$Q$6:$Q$10000,$B$5:$B$1104)</f>
        <v>0</v>
      </c>
      <c r="L128" s="68">
        <f>SUMIFS(SALE!$K$6:$K$10000,SALE!$A$6:$A$10000,L125,SALE!$Q$6:$Q$10000,$B$5:$B$1104)</f>
        <v>0</v>
      </c>
      <c r="M128" s="68">
        <f>SUMIFS(SALE!$K$6:$K$10000,SALE!$A$6:$A$10000,M125,SALE!$Q$6:$Q$10000,$B$5:$B$1104)</f>
        <v>0</v>
      </c>
      <c r="N128" s="70">
        <f>SUMIFS(SALE!$K$6:$K$10000,SALE!$A$6:$A$10000,N125,SALE!$Q$6:$Q$10000,$B$5:$B$1104)</f>
        <v>0</v>
      </c>
      <c r="O128" s="71">
        <f t="shared" si="12"/>
        <v>0</v>
      </c>
    </row>
    <row r="129" spans="1:15" x14ac:dyDescent="0.2">
      <c r="A129" s="34" t="s">
        <v>283</v>
      </c>
      <c r="B129" s="34" t="s">
        <v>385</v>
      </c>
      <c r="C129" s="68">
        <f>SUMIFS(SALE!$L$6:$L$10000,SALE!$A$6:$A$10000,C125,SALE!$Q$6:$Q$10000,$B$5:$B$1104)</f>
        <v>0</v>
      </c>
      <c r="D129" s="68">
        <f>SUMIFS(SALE!$L$6:$L$10000,SALE!$A$6:$A$10000,D125,SALE!$Q$6:$Q$10000,$B$5:$B$1104)</f>
        <v>0</v>
      </c>
      <c r="E129" s="68">
        <f>SUMIFS(SALE!$L$6:$L$10000,SALE!$A$6:$A$10000,E125,SALE!$Q$6:$Q$10000,$B$5:$B$1104)</f>
        <v>0</v>
      </c>
      <c r="F129" s="68">
        <f>SUMIFS(SALE!$L$6:$L$10000,SALE!$A$6:$A$10000,F125,SALE!$Q$6:$Q$10000,$B$5:$B$1104)</f>
        <v>0</v>
      </c>
      <c r="G129" s="68">
        <f>SUMIFS(SALE!$L$6:$L$10000,SALE!$A$6:$A$10000,G125,SALE!$Q$6:$Q$10000,$B$5:$B$1104)</f>
        <v>0</v>
      </c>
      <c r="H129" s="68">
        <f>SUMIFS(SALE!$L$6:$L$10000,SALE!$A$6:$A$10000,H125,SALE!$Q$6:$Q$10000,$B$5:$B$1104)</f>
        <v>0</v>
      </c>
      <c r="I129" s="68">
        <f>SUMIFS(SALE!$L$6:$L$10000,SALE!$A$6:$A$10000,I125,SALE!$Q$6:$Q$10000,$B$5:$B$1104)</f>
        <v>0</v>
      </c>
      <c r="J129" s="68">
        <f>SUMIFS(SALE!$L$6:$L$10000,SALE!$A$6:$A$10000,J125,SALE!$Q$6:$Q$10000,$B$5:$B$1104)</f>
        <v>0</v>
      </c>
      <c r="K129" s="68">
        <f>SUMIFS(SALE!$L$6:$L$10000,SALE!$A$6:$A$10000,K125,SALE!$Q$6:$Q$10000,$B$5:$B$1104)</f>
        <v>0</v>
      </c>
      <c r="L129" s="68">
        <f>SUMIFS(SALE!$L$6:$L$10000,SALE!$A$6:$A$10000,L125,SALE!$Q$6:$Q$10000,$B$5:$B$1104)</f>
        <v>0</v>
      </c>
      <c r="M129" s="68">
        <f>SUMIFS(SALE!$L$6:$L$10000,SALE!$A$6:$A$10000,M125,SALE!$Q$6:$Q$10000,$B$5:$B$1104)</f>
        <v>0</v>
      </c>
      <c r="N129" s="70">
        <f>SUMIFS(SALE!$L$6:$L$10000,SALE!$A$6:$A$10000,N125,SALE!$Q$6:$Q$10000,$B$5:$B$1104)</f>
        <v>0</v>
      </c>
      <c r="O129" s="71">
        <f t="shared" si="12"/>
        <v>0</v>
      </c>
    </row>
    <row r="130" spans="1:15" x14ac:dyDescent="0.2">
      <c r="A130" s="34" t="s">
        <v>284</v>
      </c>
      <c r="B130" s="34" t="s">
        <v>385</v>
      </c>
      <c r="C130" s="68">
        <f>SUMIFS(SALE!$M$6:$M$10000,SALE!$A$6:$A$10000,C125,SALE!$Q$6:$Q$10000,$B$5:$B$1104)</f>
        <v>0</v>
      </c>
      <c r="D130" s="68">
        <f>SUMIFS(SALE!$M$6:$M$10000,SALE!$A$6:$A$10000,D125,SALE!$Q$6:$Q$10000,$B$5:$B$1104)</f>
        <v>0</v>
      </c>
      <c r="E130" s="68">
        <f>SUMIFS(SALE!$M$6:$M$10000,SALE!$A$6:$A$10000,E125,SALE!$Q$6:$Q$10000,$B$5:$B$1104)</f>
        <v>0</v>
      </c>
      <c r="F130" s="68">
        <f>SUMIFS(SALE!$M$6:$M$10000,SALE!$A$6:$A$10000,F125,SALE!$Q$6:$Q$10000,$B$5:$B$1104)</f>
        <v>0</v>
      </c>
      <c r="G130" s="68">
        <f>SUMIFS(SALE!$M$6:$M$10000,SALE!$A$6:$A$10000,G125,SALE!$Q$6:$Q$10000,$B$5:$B$1104)</f>
        <v>0</v>
      </c>
      <c r="H130" s="68">
        <f>SUMIFS(SALE!$M$6:$M$10000,SALE!$A$6:$A$10000,H125,SALE!$Q$6:$Q$10000,$B$5:$B$1104)</f>
        <v>0</v>
      </c>
      <c r="I130" s="68">
        <f>SUMIFS(SALE!$M$6:$M$10000,SALE!$A$6:$A$10000,I125,SALE!$Q$6:$Q$10000,$B$5:$B$1104)</f>
        <v>0</v>
      </c>
      <c r="J130" s="68">
        <f>SUMIFS(SALE!$M$6:$M$10000,SALE!$A$6:$A$10000,J125,SALE!$Q$6:$Q$10000,$B$5:$B$1104)</f>
        <v>0</v>
      </c>
      <c r="K130" s="68">
        <f>SUMIFS(SALE!$M$6:$M$10000,SALE!$A$6:$A$10000,K125,SALE!$Q$6:$Q$10000,$B$5:$B$1104)</f>
        <v>0</v>
      </c>
      <c r="L130" s="68">
        <f>SUMIFS(SALE!$M$6:$M$10000,SALE!$A$6:$A$10000,L125,SALE!$Q$6:$Q$10000,$B$5:$B$1104)</f>
        <v>0</v>
      </c>
      <c r="M130" s="68">
        <f>SUMIFS(SALE!$M$6:$M$10000,SALE!$A$6:$A$10000,M125,SALE!$Q$6:$Q$10000,$B$5:$B$1104)</f>
        <v>0</v>
      </c>
      <c r="N130" s="70">
        <f>SUMIFS(SALE!$M$6:$M$10000,SALE!$A$6:$A$10000,N125,SALE!$Q$6:$Q$10000,$B$5:$B$1104)</f>
        <v>0</v>
      </c>
      <c r="O130" s="71">
        <f t="shared" si="12"/>
        <v>0</v>
      </c>
    </row>
    <row r="131" spans="1:15" x14ac:dyDescent="0.2">
      <c r="A131" s="34" t="s">
        <v>285</v>
      </c>
      <c r="B131" s="34" t="s">
        <v>385</v>
      </c>
      <c r="C131" s="68">
        <f>SUMIFS(SALE!$N$6:$N$10000,SALE!$A$6:$A$10000,C125,SALE!$Q$6:$Q$10000,$B$5:$B$1104)</f>
        <v>0</v>
      </c>
      <c r="D131" s="68">
        <f>SUMIFS(SALE!$N$6:$N$10000,SALE!$A$6:$A$10000,D125,SALE!$Q$6:$Q$10000,$B$5:$B$1104)</f>
        <v>0</v>
      </c>
      <c r="E131" s="68">
        <f>SUMIFS(SALE!$N$6:$N$10000,SALE!$A$6:$A$10000,E125,SALE!$Q$6:$Q$10000,$B$5:$B$1104)</f>
        <v>0</v>
      </c>
      <c r="F131" s="68">
        <f>SUMIFS(SALE!$N$6:$N$10000,SALE!$A$6:$A$10000,F125,SALE!$Q$6:$Q$10000,$B$5:$B$1104)</f>
        <v>0</v>
      </c>
      <c r="G131" s="68">
        <f>SUMIFS(SALE!$N$6:$N$10000,SALE!$A$6:$A$10000,G125,SALE!$Q$6:$Q$10000,$B$5:$B$1104)</f>
        <v>0</v>
      </c>
      <c r="H131" s="68">
        <f>SUMIFS(SALE!$N$6:$N$10000,SALE!$A$6:$A$10000,H125,SALE!$Q$6:$Q$10000,$B$5:$B$1104)</f>
        <v>0</v>
      </c>
      <c r="I131" s="68">
        <f>SUMIFS(SALE!$N$6:$N$10000,SALE!$A$6:$A$10000,I125,SALE!$Q$6:$Q$10000,$B$5:$B$1104)</f>
        <v>0</v>
      </c>
      <c r="J131" s="68">
        <f>SUMIFS(SALE!$N$6:$N$10000,SALE!$A$6:$A$10000,J125,SALE!$Q$6:$Q$10000,$B$5:$B$1104)</f>
        <v>0</v>
      </c>
      <c r="K131" s="68">
        <f>SUMIFS(SALE!$N$6:$N$10000,SALE!$A$6:$A$10000,K125,SALE!$Q$6:$Q$10000,$B$5:$B$1104)</f>
        <v>0</v>
      </c>
      <c r="L131" s="68">
        <f>SUMIFS(SALE!$N$6:$N$10000,SALE!$A$6:$A$10000,L125,SALE!$Q$6:$Q$10000,$B$5:$B$1104)</f>
        <v>0</v>
      </c>
      <c r="M131" s="68">
        <f>SUMIFS(SALE!$N$6:$N$10000,SALE!$A$6:$A$10000,M125,SALE!$Q$6:$Q$10000,$B$5:$B$1104)</f>
        <v>0</v>
      </c>
      <c r="N131" s="70">
        <f>SUMIFS(SALE!$N$6:$N$10000,SALE!$A$6:$A$10000,N125,SALE!$Q$6:$Q$10000,$B$5:$B$1104)</f>
        <v>0</v>
      </c>
      <c r="O131" s="71">
        <f t="shared" si="12"/>
        <v>0</v>
      </c>
    </row>
    <row r="132" spans="1:15" x14ac:dyDescent="0.2">
      <c r="A132" s="34" t="s">
        <v>286</v>
      </c>
      <c r="B132" s="34" t="s">
        <v>385</v>
      </c>
      <c r="C132" s="68">
        <f>SUMIFS(SALE!$O$6:$O$10000,SALE!$A$6:$A$10000,C125,SALE!$Q$6:$Q$10000,$B$5:$B$1104)</f>
        <v>0</v>
      </c>
      <c r="D132" s="68">
        <f>SUMIFS(SALE!$O$6:$O$10000,SALE!$A$6:$A$10000,D125,SALE!$Q$6:$Q$10000,$B$5:$B$1104)</f>
        <v>0</v>
      </c>
      <c r="E132" s="68">
        <f>SUMIFS(SALE!$O$6:$O$10000,SALE!$A$6:$A$10000,E125,SALE!$Q$6:$Q$10000,$B$5:$B$1104)</f>
        <v>0</v>
      </c>
      <c r="F132" s="68">
        <f>SUMIFS(SALE!$O$6:$O$10000,SALE!$A$6:$A$10000,F125,SALE!$Q$6:$Q$10000,$B$5:$B$1104)</f>
        <v>0</v>
      </c>
      <c r="G132" s="68">
        <f>SUMIFS(SALE!$O$6:$O$10000,SALE!$A$6:$A$10000,G125,SALE!$Q$6:$Q$10000,$B$5:$B$1104)</f>
        <v>0</v>
      </c>
      <c r="H132" s="68">
        <f>SUMIFS(SALE!$O$6:$O$10000,SALE!$A$6:$A$10000,H125,SALE!$Q$6:$Q$10000,$B$5:$B$1104)</f>
        <v>0</v>
      </c>
      <c r="I132" s="68">
        <f>SUMIFS(SALE!$O$6:$O$10000,SALE!$A$6:$A$10000,I125,SALE!$Q$6:$Q$10000,$B$5:$B$1104)</f>
        <v>0</v>
      </c>
      <c r="J132" s="68">
        <f>SUMIFS(SALE!$O$6:$O$10000,SALE!$A$6:$A$10000,J125,SALE!$Q$6:$Q$10000,$B$5:$B$1104)</f>
        <v>0</v>
      </c>
      <c r="K132" s="68">
        <f>SUMIFS(SALE!$O$6:$O$10000,SALE!$A$6:$A$10000,K125,SALE!$Q$6:$Q$10000,$B$5:$B$1104)</f>
        <v>0</v>
      </c>
      <c r="L132" s="68">
        <f>SUMIFS(SALE!$O$6:$O$10000,SALE!$A$6:$A$10000,L125,SALE!$Q$6:$Q$10000,$B$5:$B$1104)</f>
        <v>0</v>
      </c>
      <c r="M132" s="68">
        <f>SUMIFS(SALE!$O$6:$O$10000,SALE!$A$6:$A$10000,M125,SALE!$Q$6:$Q$10000,$B$5:$B$1104)</f>
        <v>0</v>
      </c>
      <c r="N132" s="70">
        <f>SUMIFS(SALE!$O$6:$O$10000,SALE!$A$6:$A$10000,N125,SALE!$Q$6:$Q$10000,$B$5:$B$1104)</f>
        <v>0</v>
      </c>
      <c r="O132" s="71">
        <f t="shared" si="12"/>
        <v>0</v>
      </c>
    </row>
    <row r="133" spans="1:15" x14ac:dyDescent="0.2">
      <c r="A133" s="1049" t="s">
        <v>303</v>
      </c>
      <c r="B133" s="1050"/>
      <c r="C133" s="1050"/>
      <c r="D133" s="1050"/>
      <c r="E133" s="1050"/>
      <c r="F133" s="1050"/>
      <c r="G133" s="1050"/>
      <c r="H133" s="1050"/>
      <c r="I133" s="1050"/>
      <c r="J133" s="1050"/>
      <c r="K133" s="1050"/>
      <c r="L133" s="1050"/>
      <c r="M133" s="1050"/>
      <c r="N133" s="1050"/>
      <c r="O133" s="1051"/>
    </row>
    <row r="134" spans="1:15" x14ac:dyDescent="0.2">
      <c r="A134" s="63" t="s">
        <v>279</v>
      </c>
      <c r="B134" s="63"/>
      <c r="C134" s="64">
        <v>43556</v>
      </c>
      <c r="D134" s="64">
        <v>43586</v>
      </c>
      <c r="E134" s="64">
        <v>43617</v>
      </c>
      <c r="F134" s="64">
        <v>43647</v>
      </c>
      <c r="G134" s="64">
        <v>43678</v>
      </c>
      <c r="H134" s="64">
        <v>43709</v>
      </c>
      <c r="I134" s="64">
        <v>43739</v>
      </c>
      <c r="J134" s="64">
        <v>43770</v>
      </c>
      <c r="K134" s="64">
        <v>43800</v>
      </c>
      <c r="L134" s="64">
        <v>43831</v>
      </c>
      <c r="M134" s="64">
        <v>43862</v>
      </c>
      <c r="N134" s="65">
        <v>43891</v>
      </c>
      <c r="O134" s="66" t="s">
        <v>347</v>
      </c>
    </row>
    <row r="135" spans="1:15" x14ac:dyDescent="0.2">
      <c r="A135" s="34" t="s">
        <v>280</v>
      </c>
      <c r="B135" s="34"/>
      <c r="C135" s="34">
        <v>0</v>
      </c>
      <c r="D135" s="34">
        <v>0</v>
      </c>
      <c r="E135" s="34"/>
      <c r="F135" s="34"/>
      <c r="G135" s="34"/>
      <c r="H135" s="34"/>
      <c r="I135" s="34"/>
      <c r="J135" s="34"/>
      <c r="K135" s="34"/>
      <c r="L135" s="34"/>
      <c r="M135" s="34"/>
      <c r="N135" s="74"/>
      <c r="O135" s="71">
        <f t="shared" ref="O135:O197" si="17">SUM(C135:N135)</f>
        <v>0</v>
      </c>
    </row>
    <row r="136" spans="1:15" x14ac:dyDescent="0.2">
      <c r="A136" s="34" t="s">
        <v>281</v>
      </c>
      <c r="B136" s="34" t="s">
        <v>386</v>
      </c>
      <c r="C136" s="68">
        <f>+C137+C138+C139</f>
        <v>0</v>
      </c>
      <c r="D136" s="68">
        <f t="shared" ref="D136:N136" si="18">+D137+D138+D139</f>
        <v>0</v>
      </c>
      <c r="E136" s="68">
        <f t="shared" si="18"/>
        <v>0</v>
      </c>
      <c r="F136" s="68">
        <f t="shared" si="18"/>
        <v>0</v>
      </c>
      <c r="G136" s="68">
        <f t="shared" si="18"/>
        <v>0</v>
      </c>
      <c r="H136" s="68">
        <f t="shared" si="18"/>
        <v>0</v>
      </c>
      <c r="I136" s="68">
        <f t="shared" si="18"/>
        <v>0</v>
      </c>
      <c r="J136" s="68">
        <f t="shared" si="18"/>
        <v>0</v>
      </c>
      <c r="K136" s="68">
        <f t="shared" si="18"/>
        <v>0</v>
      </c>
      <c r="L136" s="68">
        <f t="shared" si="18"/>
        <v>0</v>
      </c>
      <c r="M136" s="68">
        <f t="shared" si="18"/>
        <v>0</v>
      </c>
      <c r="N136" s="70">
        <f t="shared" si="18"/>
        <v>0</v>
      </c>
      <c r="O136" s="71">
        <f t="shared" si="17"/>
        <v>0</v>
      </c>
    </row>
    <row r="137" spans="1:15" x14ac:dyDescent="0.2">
      <c r="A137" s="34" t="s">
        <v>282</v>
      </c>
      <c r="B137" s="34" t="s">
        <v>386</v>
      </c>
      <c r="C137" s="68">
        <f>SUMIFS(SALE!$K$6:$K$10000,SALE!$A$6:$A$10000,C134,SALE!$Q$6:$Q$10000,$B$5:$B$1104)</f>
        <v>0</v>
      </c>
      <c r="D137" s="68">
        <f>SUMIFS(SALE!$K$6:$K$10000,SALE!$A$6:$A$10000,D134,SALE!$Q$6:$Q$10000,$B$5:$B$1104)</f>
        <v>0</v>
      </c>
      <c r="E137" s="68">
        <f>SUMIFS(SALE!$K$6:$K$10000,SALE!$A$6:$A$10000,E134,SALE!$Q$6:$Q$10000,$B$5:$B$1104)</f>
        <v>0</v>
      </c>
      <c r="F137" s="68">
        <f>SUMIFS(SALE!$K$6:$K$10000,SALE!$A$6:$A$10000,F134,SALE!$Q$6:$Q$10000,$B$5:$B$1104)</f>
        <v>0</v>
      </c>
      <c r="G137" s="68">
        <f>SUMIFS(SALE!$K$6:$K$10000,SALE!$A$6:$A$10000,G134,SALE!$Q$6:$Q$10000,$B$5:$B$1104)</f>
        <v>0</v>
      </c>
      <c r="H137" s="68">
        <f>SUMIFS(SALE!$K$6:$K$10000,SALE!$A$6:$A$10000,H134,SALE!$Q$6:$Q$10000,$B$5:$B$1104)</f>
        <v>0</v>
      </c>
      <c r="I137" s="68">
        <f>SUMIFS(SALE!$K$6:$K$10000,SALE!$A$6:$A$10000,I134,SALE!$Q$6:$Q$10000,$B$5:$B$1104)</f>
        <v>0</v>
      </c>
      <c r="J137" s="68">
        <f>SUMIFS(SALE!$K$6:$K$10000,SALE!$A$6:$A$10000,J134,SALE!$Q$6:$Q$10000,$B$5:$B$1104)</f>
        <v>0</v>
      </c>
      <c r="K137" s="68">
        <f>SUMIFS(SALE!$K$6:$K$10000,SALE!$A$6:$A$10000,K134,SALE!$Q$6:$Q$10000,$B$5:$B$1104)</f>
        <v>0</v>
      </c>
      <c r="L137" s="68">
        <f>SUMIFS(SALE!$K$6:$K$10000,SALE!$A$6:$A$10000,L134,SALE!$Q$6:$Q$10000,$B$5:$B$1104)</f>
        <v>0</v>
      </c>
      <c r="M137" s="68">
        <f>SUMIFS(SALE!$K$6:$K$10000,SALE!$A$6:$A$10000,M134,SALE!$Q$6:$Q$10000,$B$5:$B$1104)</f>
        <v>0</v>
      </c>
      <c r="N137" s="70">
        <f>SUMIFS(SALE!$K$6:$K$10000,SALE!$A$6:$A$10000,N134,SALE!$Q$6:$Q$10000,$B$5:$B$1104)</f>
        <v>0</v>
      </c>
      <c r="O137" s="71">
        <f t="shared" si="17"/>
        <v>0</v>
      </c>
    </row>
    <row r="138" spans="1:15" x14ac:dyDescent="0.2">
      <c r="A138" s="34" t="s">
        <v>283</v>
      </c>
      <c r="B138" s="34" t="s">
        <v>386</v>
      </c>
      <c r="C138" s="68">
        <f>SUMIFS(SALE!$L$6:$L$10000,SALE!$A$6:$A$10000,C134,SALE!$Q$6:$Q$10000,$B$5:$B$1104)</f>
        <v>0</v>
      </c>
      <c r="D138" s="68">
        <f>SUMIFS(SALE!$L$6:$L$10000,SALE!$A$6:$A$10000,D134,SALE!$Q$6:$Q$10000,$B$5:$B$1104)</f>
        <v>0</v>
      </c>
      <c r="E138" s="68">
        <f>SUMIFS(SALE!$L$6:$L$10000,SALE!$A$6:$A$10000,E134,SALE!$Q$6:$Q$10000,$B$5:$B$1104)</f>
        <v>0</v>
      </c>
      <c r="F138" s="68">
        <f>SUMIFS(SALE!$L$6:$L$10000,SALE!$A$6:$A$10000,F134,SALE!$Q$6:$Q$10000,$B$5:$B$1104)</f>
        <v>0</v>
      </c>
      <c r="G138" s="68">
        <f>SUMIFS(SALE!$L$6:$L$10000,SALE!$A$6:$A$10000,G134,SALE!$Q$6:$Q$10000,$B$5:$B$1104)</f>
        <v>0</v>
      </c>
      <c r="H138" s="68">
        <f>SUMIFS(SALE!$L$6:$L$10000,SALE!$A$6:$A$10000,H134,SALE!$Q$6:$Q$10000,$B$5:$B$1104)</f>
        <v>0</v>
      </c>
      <c r="I138" s="68">
        <f>SUMIFS(SALE!$L$6:$L$10000,SALE!$A$6:$A$10000,I134,SALE!$Q$6:$Q$10000,$B$5:$B$1104)</f>
        <v>0</v>
      </c>
      <c r="J138" s="68">
        <f>SUMIFS(SALE!$L$6:$L$10000,SALE!$A$6:$A$10000,J134,SALE!$Q$6:$Q$10000,$B$5:$B$1104)</f>
        <v>0</v>
      </c>
      <c r="K138" s="68">
        <f>SUMIFS(SALE!$L$6:$L$10000,SALE!$A$6:$A$10000,K134,SALE!$Q$6:$Q$10000,$B$5:$B$1104)</f>
        <v>0</v>
      </c>
      <c r="L138" s="68">
        <f>SUMIFS(SALE!$L$6:$L$10000,SALE!$A$6:$A$10000,L134,SALE!$Q$6:$Q$10000,$B$5:$B$1104)</f>
        <v>0</v>
      </c>
      <c r="M138" s="68">
        <f>SUMIFS(SALE!$L$6:$L$10000,SALE!$A$6:$A$10000,M134,SALE!$Q$6:$Q$10000,$B$5:$B$1104)</f>
        <v>0</v>
      </c>
      <c r="N138" s="70">
        <f>SUMIFS(SALE!$L$6:$L$10000,SALE!$A$6:$A$10000,N134,SALE!$Q$6:$Q$10000,$B$5:$B$1104)</f>
        <v>0</v>
      </c>
      <c r="O138" s="71">
        <f t="shared" si="17"/>
        <v>0</v>
      </c>
    </row>
    <row r="139" spans="1:15" x14ac:dyDescent="0.2">
      <c r="A139" s="34" t="s">
        <v>286</v>
      </c>
      <c r="B139" s="34" t="s">
        <v>386</v>
      </c>
      <c r="C139" s="68">
        <f>SUMIFS(SALE!$O$6:$O$10000,SALE!$A$6:$A$10000,C132,SALE!$Q$6:$Q$10000,$B$5:$B$1104)</f>
        <v>0</v>
      </c>
      <c r="D139" s="68">
        <f>SUMIFS(SALE!$O$6:$O$10000,SALE!$A$6:$A$10000,D132,SALE!$Q$6:$Q$10000,$B$5:$B$1104)</f>
        <v>0</v>
      </c>
      <c r="E139" s="68">
        <f>SUMIFS(SALE!$O$6:$O$10000,SALE!$A$6:$A$10000,E132,SALE!$Q$6:$Q$10000,$B$5:$B$1104)</f>
        <v>0</v>
      </c>
      <c r="F139" s="68">
        <f>SUMIFS(SALE!$O$6:$O$10000,SALE!$A$6:$A$10000,F132,SALE!$Q$6:$Q$10000,$B$5:$B$1104)</f>
        <v>0</v>
      </c>
      <c r="G139" s="68">
        <f>SUMIFS(SALE!$O$6:$O$10000,SALE!$A$6:$A$10000,G132,SALE!$Q$6:$Q$10000,$B$5:$B$1104)</f>
        <v>0</v>
      </c>
      <c r="H139" s="68">
        <f>SUMIFS(SALE!$O$6:$O$10000,SALE!$A$6:$A$10000,H132,SALE!$Q$6:$Q$10000,$B$5:$B$1104)</f>
        <v>0</v>
      </c>
      <c r="I139" s="68">
        <f>SUMIFS(SALE!$O$6:$O$10000,SALE!$A$6:$A$10000,I132,SALE!$Q$6:$Q$10000,$B$5:$B$1104)</f>
        <v>0</v>
      </c>
      <c r="J139" s="68">
        <f>SUMIFS(SALE!$O$6:$O$10000,SALE!$A$6:$A$10000,J132,SALE!$Q$6:$Q$10000,$B$5:$B$1104)</f>
        <v>0</v>
      </c>
      <c r="K139" s="68">
        <f>SUMIFS(SALE!$O$6:$O$10000,SALE!$A$6:$A$10000,K132,SALE!$Q$6:$Q$10000,$B$5:$B$1104)</f>
        <v>0</v>
      </c>
      <c r="L139" s="68">
        <f>SUMIFS(SALE!$O$6:$O$10000,SALE!$A$6:$A$10000,L132,SALE!$Q$6:$Q$10000,$B$5:$B$1104)</f>
        <v>0</v>
      </c>
      <c r="M139" s="68">
        <f>SUMIFS(SALE!$O$6:$O$10000,SALE!$A$6:$A$10000,M132,SALE!$Q$6:$Q$10000,$B$5:$B$1104)</f>
        <v>0</v>
      </c>
      <c r="N139" s="70">
        <f>SUMIFS(SALE!$O$6:$O$10000,SALE!$A$6:$A$10000,N132,SALE!$Q$6:$Q$10000,$B$5:$B$1104)</f>
        <v>0</v>
      </c>
      <c r="O139" s="71">
        <f t="shared" si="17"/>
        <v>0</v>
      </c>
    </row>
    <row r="140" spans="1:15" x14ac:dyDescent="0.2">
      <c r="A140" s="1052" t="s">
        <v>341</v>
      </c>
      <c r="B140" s="1053"/>
      <c r="C140" s="1053"/>
      <c r="D140" s="1053"/>
      <c r="E140" s="1053"/>
      <c r="F140" s="1053"/>
      <c r="G140" s="1053"/>
      <c r="H140" s="1053"/>
      <c r="I140" s="1053"/>
      <c r="J140" s="1053"/>
      <c r="K140" s="1053"/>
      <c r="L140" s="1053"/>
      <c r="M140" s="1053"/>
      <c r="N140" s="1053"/>
      <c r="O140" s="1054"/>
    </row>
    <row r="141" spans="1:15" x14ac:dyDescent="0.2">
      <c r="A141" s="63" t="s">
        <v>279</v>
      </c>
      <c r="B141" s="63"/>
      <c r="C141" s="64">
        <v>43556</v>
      </c>
      <c r="D141" s="64">
        <v>43586</v>
      </c>
      <c r="E141" s="64">
        <v>43617</v>
      </c>
      <c r="F141" s="64">
        <v>43647</v>
      </c>
      <c r="G141" s="64">
        <v>43678</v>
      </c>
      <c r="H141" s="64">
        <v>43709</v>
      </c>
      <c r="I141" s="64">
        <v>43739</v>
      </c>
      <c r="J141" s="64">
        <v>43770</v>
      </c>
      <c r="K141" s="64">
        <v>43800</v>
      </c>
      <c r="L141" s="64">
        <v>43831</v>
      </c>
      <c r="M141" s="64">
        <v>43862</v>
      </c>
      <c r="N141" s="65">
        <v>43891</v>
      </c>
      <c r="O141" s="66" t="s">
        <v>347</v>
      </c>
    </row>
    <row r="142" spans="1:15" x14ac:dyDescent="0.2">
      <c r="A142" s="34" t="s">
        <v>280</v>
      </c>
      <c r="B142" s="34"/>
      <c r="C142" s="34"/>
      <c r="D142" s="34"/>
      <c r="E142" s="34"/>
      <c r="F142" s="34"/>
      <c r="G142" s="34"/>
      <c r="H142" s="34"/>
      <c r="I142" s="34"/>
      <c r="J142" s="34"/>
      <c r="K142" s="34"/>
      <c r="L142" s="34"/>
      <c r="M142" s="34"/>
      <c r="N142" s="74"/>
      <c r="O142" s="71">
        <f t="shared" si="17"/>
        <v>0</v>
      </c>
    </row>
    <row r="143" spans="1:15" x14ac:dyDescent="0.2">
      <c r="A143" s="34" t="s">
        <v>281</v>
      </c>
      <c r="B143" s="34" t="s">
        <v>398</v>
      </c>
      <c r="C143" s="68">
        <f>+C144+C145+C146+C147+C148</f>
        <v>0</v>
      </c>
      <c r="D143" s="68">
        <f t="shared" ref="D143:N143" si="19">+D144+D145+D146+D147+D148</f>
        <v>0</v>
      </c>
      <c r="E143" s="68">
        <f t="shared" si="19"/>
        <v>0</v>
      </c>
      <c r="F143" s="68">
        <f t="shared" si="19"/>
        <v>0</v>
      </c>
      <c r="G143" s="68">
        <f t="shared" si="19"/>
        <v>0</v>
      </c>
      <c r="H143" s="68">
        <f t="shared" si="19"/>
        <v>0</v>
      </c>
      <c r="I143" s="68">
        <f t="shared" si="19"/>
        <v>0</v>
      </c>
      <c r="J143" s="68">
        <f t="shared" si="19"/>
        <v>0</v>
      </c>
      <c r="K143" s="68">
        <f t="shared" si="19"/>
        <v>0</v>
      </c>
      <c r="L143" s="68">
        <f t="shared" si="19"/>
        <v>0</v>
      </c>
      <c r="M143" s="68">
        <f t="shared" si="19"/>
        <v>0</v>
      </c>
      <c r="N143" s="70">
        <f t="shared" si="19"/>
        <v>0</v>
      </c>
      <c r="O143" s="71">
        <f t="shared" si="17"/>
        <v>0</v>
      </c>
    </row>
    <row r="144" spans="1:15" x14ac:dyDescent="0.2">
      <c r="A144" s="34" t="s">
        <v>282</v>
      </c>
      <c r="B144" s="34" t="s">
        <v>398</v>
      </c>
      <c r="C144" s="68">
        <f>SUMIFS(SALE!$K$6:$K$10000,SALE!$A$6:$A$10000,C141,SALE!$Q$6:$Q$10000,$B$5:$B$1104)</f>
        <v>0</v>
      </c>
      <c r="D144" s="68">
        <f>SUMIFS(SALE!$K$6:$K$10000,SALE!$A$6:$A$10000,D141,SALE!$Q$6:$Q$10000,$B$5:$B$1104)</f>
        <v>0</v>
      </c>
      <c r="E144" s="68">
        <f>SUMIFS(SALE!$K$6:$K$10000,SALE!$A$6:$A$10000,E141,SALE!$Q$6:$Q$10000,$B$5:$B$1104)</f>
        <v>0</v>
      </c>
      <c r="F144" s="68">
        <f>SUMIFS(SALE!$K$6:$K$10000,SALE!$A$6:$A$10000,F141,SALE!$Q$6:$Q$10000,$B$5:$B$1104)</f>
        <v>0</v>
      </c>
      <c r="G144" s="68">
        <f>SUMIFS(SALE!$K$6:$K$10000,SALE!$A$6:$A$10000,G141,SALE!$Q$6:$Q$10000,$B$5:$B$1104)</f>
        <v>0</v>
      </c>
      <c r="H144" s="68">
        <f>SUMIFS(SALE!$K$6:$K$10000,SALE!$A$6:$A$10000,H141,SALE!$Q$6:$Q$10000,$B$5:$B$1104)</f>
        <v>0</v>
      </c>
      <c r="I144" s="68">
        <f>SUMIFS(SALE!$K$6:$K$10000,SALE!$A$6:$A$10000,I141,SALE!$Q$6:$Q$10000,$B$5:$B$1104)</f>
        <v>0</v>
      </c>
      <c r="J144" s="68">
        <f>SUMIFS(SALE!$K$6:$K$10000,SALE!$A$6:$A$10000,J141,SALE!$Q$6:$Q$10000,$B$5:$B$1104)</f>
        <v>0</v>
      </c>
      <c r="K144" s="68">
        <f>SUMIFS(SALE!$K$6:$K$10000,SALE!$A$6:$A$10000,K141,SALE!$Q$6:$Q$10000,$B$5:$B$1104)</f>
        <v>0</v>
      </c>
      <c r="L144" s="68">
        <f>SUMIFS(SALE!$K$6:$K$10000,SALE!$A$6:$A$10000,L141,SALE!$Q$6:$Q$10000,$B$5:$B$1104)</f>
        <v>0</v>
      </c>
      <c r="M144" s="68">
        <f>SUMIFS(SALE!$K$6:$K$10000,SALE!$A$6:$A$10000,M141,SALE!$Q$6:$Q$10000,$B$5:$B$1104)</f>
        <v>0</v>
      </c>
      <c r="N144" s="70">
        <f>SUMIFS(SALE!$K$6:$K$10000,SALE!$A$6:$A$10000,N141,SALE!$Q$6:$Q$10000,$B$5:$B$1104)</f>
        <v>0</v>
      </c>
      <c r="O144" s="71">
        <f t="shared" si="17"/>
        <v>0</v>
      </c>
    </row>
    <row r="145" spans="1:15" x14ac:dyDescent="0.2">
      <c r="A145" s="34" t="s">
        <v>283</v>
      </c>
      <c r="B145" s="34" t="s">
        <v>398</v>
      </c>
      <c r="C145" s="68">
        <f>SUMIFS(SALE!$L$6:$L$10000,SALE!$A$6:$A$10000,C141,SALE!$Q$6:$Q$10000,$B$5:$B$1104)</f>
        <v>0</v>
      </c>
      <c r="D145" s="68">
        <f>SUMIFS(SALE!$L$6:$L$10000,SALE!$A$6:$A$10000,D141,SALE!$Q$6:$Q$10000,$B$5:$B$1104)</f>
        <v>0</v>
      </c>
      <c r="E145" s="68">
        <f>SUMIFS(SALE!$L$6:$L$10000,SALE!$A$6:$A$10000,E141,SALE!$Q$6:$Q$10000,$B$5:$B$1104)</f>
        <v>0</v>
      </c>
      <c r="F145" s="68">
        <f>SUMIFS(SALE!$L$6:$L$10000,SALE!$A$6:$A$10000,F141,SALE!$Q$6:$Q$10000,$B$5:$B$1104)</f>
        <v>0</v>
      </c>
      <c r="G145" s="68">
        <f>SUMIFS(SALE!$L$6:$L$10000,SALE!$A$6:$A$10000,G141,SALE!$Q$6:$Q$10000,$B$5:$B$1104)</f>
        <v>0</v>
      </c>
      <c r="H145" s="68">
        <f>SUMIFS(SALE!$L$6:$L$10000,SALE!$A$6:$A$10000,H141,SALE!$Q$6:$Q$10000,$B$5:$B$1104)</f>
        <v>0</v>
      </c>
      <c r="I145" s="68">
        <f>SUMIFS(SALE!$L$6:$L$10000,SALE!$A$6:$A$10000,I141,SALE!$Q$6:$Q$10000,$B$5:$B$1104)</f>
        <v>0</v>
      </c>
      <c r="J145" s="68">
        <f>SUMIFS(SALE!$L$6:$L$10000,SALE!$A$6:$A$10000,J141,SALE!$Q$6:$Q$10000,$B$5:$B$1104)</f>
        <v>0</v>
      </c>
      <c r="K145" s="68">
        <f>SUMIFS(SALE!$L$6:$L$10000,SALE!$A$6:$A$10000,K141,SALE!$Q$6:$Q$10000,$B$5:$B$1104)</f>
        <v>0</v>
      </c>
      <c r="L145" s="68">
        <f>SUMIFS(SALE!$L$6:$L$10000,SALE!$A$6:$A$10000,L141,SALE!$Q$6:$Q$10000,$B$5:$B$1104)</f>
        <v>0</v>
      </c>
      <c r="M145" s="68">
        <f>SUMIFS(SALE!$L$6:$L$10000,SALE!$A$6:$A$10000,M141,SALE!$Q$6:$Q$10000,$B$5:$B$1104)</f>
        <v>0</v>
      </c>
      <c r="N145" s="70">
        <f>SUMIFS(SALE!$L$6:$L$10000,SALE!$A$6:$A$10000,N141,SALE!$Q$6:$Q$10000,$B$5:$B$1104)</f>
        <v>0</v>
      </c>
      <c r="O145" s="71">
        <f t="shared" si="17"/>
        <v>0</v>
      </c>
    </row>
    <row r="146" spans="1:15" x14ac:dyDescent="0.2">
      <c r="A146" s="34" t="s">
        <v>284</v>
      </c>
      <c r="B146" s="34" t="s">
        <v>398</v>
      </c>
      <c r="C146" s="68">
        <f>SUMIFS(SALE!$M$6:$M$10000,SALE!$A$6:$A$10000,C141,SALE!$Q$6:$Q$10000,$B$5:$B$1104)</f>
        <v>0</v>
      </c>
      <c r="D146" s="68">
        <f>SUMIFS(SALE!$M$6:$M$10000,SALE!$A$6:$A$10000,D141,SALE!$Q$6:$Q$10000,$B$5:$B$1104)</f>
        <v>0</v>
      </c>
      <c r="E146" s="68">
        <f>SUMIFS(SALE!$M$6:$M$10000,SALE!$A$6:$A$10000,E141,SALE!$Q$6:$Q$10000,$B$5:$B$1104)</f>
        <v>0</v>
      </c>
      <c r="F146" s="68">
        <f>SUMIFS(SALE!$M$6:$M$10000,SALE!$A$6:$A$10000,F141,SALE!$Q$6:$Q$10000,$B$5:$B$1104)</f>
        <v>0</v>
      </c>
      <c r="G146" s="68">
        <f>SUMIFS(SALE!$M$6:$M$10000,SALE!$A$6:$A$10000,G141,SALE!$Q$6:$Q$10000,$B$5:$B$1104)</f>
        <v>0</v>
      </c>
      <c r="H146" s="68">
        <f>SUMIFS(SALE!$M$6:$M$10000,SALE!$A$6:$A$10000,H141,SALE!$Q$6:$Q$10000,$B$5:$B$1104)</f>
        <v>0</v>
      </c>
      <c r="I146" s="68">
        <f>SUMIFS(SALE!$M$6:$M$10000,SALE!$A$6:$A$10000,I141,SALE!$Q$6:$Q$10000,$B$5:$B$1104)</f>
        <v>0</v>
      </c>
      <c r="J146" s="68">
        <f>SUMIFS(SALE!$M$6:$M$10000,SALE!$A$6:$A$10000,J141,SALE!$Q$6:$Q$10000,$B$5:$B$1104)</f>
        <v>0</v>
      </c>
      <c r="K146" s="68">
        <f>SUMIFS(SALE!$M$6:$M$10000,SALE!$A$6:$A$10000,K141,SALE!$Q$6:$Q$10000,$B$5:$B$1104)</f>
        <v>0</v>
      </c>
      <c r="L146" s="68">
        <f>SUMIFS(SALE!$M$6:$M$10000,SALE!$A$6:$A$10000,L141,SALE!$Q$6:$Q$10000,$B$5:$B$1104)</f>
        <v>0</v>
      </c>
      <c r="M146" s="68">
        <f>SUMIFS(SALE!$M$6:$M$10000,SALE!$A$6:$A$10000,M141,SALE!$Q$6:$Q$10000,$B$5:$B$1104)</f>
        <v>0</v>
      </c>
      <c r="N146" s="70">
        <f>SUMIFS(SALE!$M$6:$M$10000,SALE!$A$6:$A$10000,N141,SALE!$Q$6:$Q$10000,$B$5:$B$1104)</f>
        <v>0</v>
      </c>
      <c r="O146" s="71">
        <f t="shared" si="17"/>
        <v>0</v>
      </c>
    </row>
    <row r="147" spans="1:15" x14ac:dyDescent="0.2">
      <c r="A147" s="34" t="s">
        <v>285</v>
      </c>
      <c r="B147" s="34" t="s">
        <v>398</v>
      </c>
      <c r="C147" s="68">
        <f>SUMIFS(SALE!$N$6:$N$10000,SALE!$A$6:$A$10000,C141,SALE!$Q$6:$Q$10000,$B$5:$B$1104)</f>
        <v>0</v>
      </c>
      <c r="D147" s="68">
        <f>SUMIFS(SALE!$N$6:$N$10000,SALE!$A$6:$A$10000,D141,SALE!$Q$6:$Q$10000,$B$5:$B$1104)</f>
        <v>0</v>
      </c>
      <c r="E147" s="68">
        <f>SUMIFS(SALE!$N$6:$N$10000,SALE!$A$6:$A$10000,E141,SALE!$Q$6:$Q$10000,$B$5:$B$1104)</f>
        <v>0</v>
      </c>
      <c r="F147" s="68">
        <f>SUMIFS(SALE!$N$6:$N$10000,SALE!$A$6:$A$10000,F141,SALE!$Q$6:$Q$10000,$B$5:$B$1104)</f>
        <v>0</v>
      </c>
      <c r="G147" s="68">
        <f>SUMIFS(SALE!$N$6:$N$10000,SALE!$A$6:$A$10000,G141,SALE!$Q$6:$Q$10000,$B$5:$B$1104)</f>
        <v>0</v>
      </c>
      <c r="H147" s="68">
        <f>SUMIFS(SALE!$N$6:$N$10000,SALE!$A$6:$A$10000,H141,SALE!$Q$6:$Q$10000,$B$5:$B$1104)</f>
        <v>0</v>
      </c>
      <c r="I147" s="68">
        <f>SUMIFS(SALE!$N$6:$N$10000,SALE!$A$6:$A$10000,I141,SALE!$Q$6:$Q$10000,$B$5:$B$1104)</f>
        <v>0</v>
      </c>
      <c r="J147" s="68">
        <f>SUMIFS(SALE!$N$6:$N$10000,SALE!$A$6:$A$10000,J141,SALE!$Q$6:$Q$10000,$B$5:$B$1104)</f>
        <v>0</v>
      </c>
      <c r="K147" s="68">
        <f>SUMIFS(SALE!$N$6:$N$10000,SALE!$A$6:$A$10000,K141,SALE!$Q$6:$Q$10000,$B$5:$B$1104)</f>
        <v>0</v>
      </c>
      <c r="L147" s="68">
        <f>SUMIFS(SALE!$N$6:$N$10000,SALE!$A$6:$A$10000,L141,SALE!$Q$6:$Q$10000,$B$5:$B$1104)</f>
        <v>0</v>
      </c>
      <c r="M147" s="68">
        <f>SUMIFS(SALE!$N$6:$N$10000,SALE!$A$6:$A$10000,M141,SALE!$Q$6:$Q$10000,$B$5:$B$1104)</f>
        <v>0</v>
      </c>
      <c r="N147" s="70">
        <f>SUMIFS(SALE!$N$6:$N$10000,SALE!$A$6:$A$10000,N141,SALE!$Q$6:$Q$10000,$B$5:$B$1104)</f>
        <v>0</v>
      </c>
      <c r="O147" s="71">
        <f t="shared" si="17"/>
        <v>0</v>
      </c>
    </row>
    <row r="148" spans="1:15" x14ac:dyDescent="0.2">
      <c r="A148" s="34" t="s">
        <v>286</v>
      </c>
      <c r="B148" s="34" t="s">
        <v>398</v>
      </c>
      <c r="C148" s="68">
        <f>SUMIFS(SALE!$O$6:$O$10000,SALE!$A$6:$A$10000,C141,SALE!$Q$6:$Q$10000,$B$5:$B$1104)</f>
        <v>0</v>
      </c>
      <c r="D148" s="68">
        <f>SUMIFS(SALE!$O$6:$O$10000,SALE!$A$6:$A$10000,D141,SALE!$Q$6:$Q$10000,$B$5:$B$1104)</f>
        <v>0</v>
      </c>
      <c r="E148" s="68">
        <f>SUMIFS(SALE!$O$6:$O$10000,SALE!$A$6:$A$10000,E141,SALE!$Q$6:$Q$10000,$B$5:$B$1104)</f>
        <v>0</v>
      </c>
      <c r="F148" s="68">
        <f>SUMIFS(SALE!$O$6:$O$10000,SALE!$A$6:$A$10000,F141,SALE!$Q$6:$Q$10000,$B$5:$B$1104)</f>
        <v>0</v>
      </c>
      <c r="G148" s="68">
        <f>SUMIFS(SALE!$O$6:$O$10000,SALE!$A$6:$A$10000,G141,SALE!$Q$6:$Q$10000,$B$5:$B$1104)</f>
        <v>0</v>
      </c>
      <c r="H148" s="68">
        <f>SUMIFS(SALE!$O$6:$O$10000,SALE!$A$6:$A$10000,H141,SALE!$Q$6:$Q$10000,$B$5:$B$1104)</f>
        <v>0</v>
      </c>
      <c r="I148" s="68">
        <f>SUMIFS(SALE!$O$6:$O$10000,SALE!$A$6:$A$10000,I141,SALE!$Q$6:$Q$10000,$B$5:$B$1104)</f>
        <v>0</v>
      </c>
      <c r="J148" s="68">
        <f>SUMIFS(SALE!$O$6:$O$10000,SALE!$A$6:$A$10000,J141,SALE!$Q$6:$Q$10000,$B$5:$B$1104)</f>
        <v>0</v>
      </c>
      <c r="K148" s="68">
        <f>SUMIFS(SALE!$O$6:$O$10000,SALE!$A$6:$A$10000,K141,SALE!$Q$6:$Q$10000,$B$5:$B$1104)</f>
        <v>0</v>
      </c>
      <c r="L148" s="68">
        <f>SUMIFS(SALE!$O$6:$O$10000,SALE!$A$6:$A$10000,L141,SALE!$Q$6:$Q$10000,$B$5:$B$1104)</f>
        <v>0</v>
      </c>
      <c r="M148" s="68">
        <f>SUMIFS(SALE!$O$6:$O$10000,SALE!$A$6:$A$10000,M141,SALE!$Q$6:$Q$10000,$B$5:$B$1104)</f>
        <v>0</v>
      </c>
      <c r="N148" s="70">
        <f>SUMIFS(SALE!$O$6:$O$10000,SALE!$A$6:$A$10000,N141,SALE!$Q$6:$Q$10000,$B$5:$B$1104)</f>
        <v>0</v>
      </c>
      <c r="O148" s="71">
        <f t="shared" si="17"/>
        <v>0</v>
      </c>
    </row>
    <row r="149" spans="1:15" x14ac:dyDescent="0.2">
      <c r="A149" s="1052" t="s">
        <v>342</v>
      </c>
      <c r="B149" s="1053"/>
      <c r="C149" s="1053"/>
      <c r="D149" s="1053"/>
      <c r="E149" s="1053"/>
      <c r="F149" s="1053"/>
      <c r="G149" s="1053"/>
      <c r="H149" s="1053"/>
      <c r="I149" s="1053"/>
      <c r="J149" s="1053"/>
      <c r="K149" s="1053"/>
      <c r="L149" s="1053"/>
      <c r="M149" s="1053"/>
      <c r="N149" s="1053"/>
      <c r="O149" s="1054"/>
    </row>
    <row r="150" spans="1:15" x14ac:dyDescent="0.2">
      <c r="A150" s="63" t="s">
        <v>279</v>
      </c>
      <c r="B150" s="63"/>
      <c r="C150" s="64">
        <v>43556</v>
      </c>
      <c r="D150" s="64">
        <v>43586</v>
      </c>
      <c r="E150" s="64">
        <v>43617</v>
      </c>
      <c r="F150" s="64">
        <v>43647</v>
      </c>
      <c r="G150" s="64">
        <v>43678</v>
      </c>
      <c r="H150" s="64">
        <v>43709</v>
      </c>
      <c r="I150" s="64">
        <v>43739</v>
      </c>
      <c r="J150" s="64">
        <v>43770</v>
      </c>
      <c r="K150" s="64">
        <v>43800</v>
      </c>
      <c r="L150" s="64">
        <v>43831</v>
      </c>
      <c r="M150" s="64">
        <v>43862</v>
      </c>
      <c r="N150" s="65">
        <v>43891</v>
      </c>
      <c r="O150" s="66" t="s">
        <v>347</v>
      </c>
    </row>
    <row r="151" spans="1:15" x14ac:dyDescent="0.2">
      <c r="A151" s="34" t="s">
        <v>280</v>
      </c>
      <c r="B151" s="34"/>
      <c r="C151" s="34"/>
      <c r="D151" s="34"/>
      <c r="E151" s="34"/>
      <c r="F151" s="34"/>
      <c r="G151" s="34"/>
      <c r="H151" s="34"/>
      <c r="I151" s="34"/>
      <c r="J151" s="34"/>
      <c r="K151" s="34"/>
      <c r="L151" s="34"/>
      <c r="M151" s="34"/>
      <c r="N151" s="74"/>
      <c r="O151" s="71">
        <f t="shared" si="17"/>
        <v>0</v>
      </c>
    </row>
    <row r="152" spans="1:15" x14ac:dyDescent="0.2">
      <c r="A152" s="34" t="s">
        <v>281</v>
      </c>
      <c r="B152" s="34" t="s">
        <v>400</v>
      </c>
      <c r="C152" s="68">
        <f>+C153+C154+C155+C156+C157</f>
        <v>0</v>
      </c>
      <c r="D152" s="68">
        <f t="shared" ref="D152:N152" si="20">+D153+D154+D155+D156+D157</f>
        <v>0</v>
      </c>
      <c r="E152" s="68">
        <f t="shared" si="20"/>
        <v>0</v>
      </c>
      <c r="F152" s="68">
        <f t="shared" si="20"/>
        <v>0</v>
      </c>
      <c r="G152" s="68">
        <f t="shared" si="20"/>
        <v>0</v>
      </c>
      <c r="H152" s="68">
        <f t="shared" si="20"/>
        <v>0</v>
      </c>
      <c r="I152" s="68">
        <f t="shared" si="20"/>
        <v>0</v>
      </c>
      <c r="J152" s="68">
        <f t="shared" si="20"/>
        <v>0</v>
      </c>
      <c r="K152" s="68">
        <f t="shared" si="20"/>
        <v>0</v>
      </c>
      <c r="L152" s="68">
        <f t="shared" si="20"/>
        <v>0</v>
      </c>
      <c r="M152" s="68">
        <f t="shared" si="20"/>
        <v>0</v>
      </c>
      <c r="N152" s="70">
        <f t="shared" si="20"/>
        <v>0</v>
      </c>
      <c r="O152" s="71">
        <f t="shared" si="17"/>
        <v>0</v>
      </c>
    </row>
    <row r="153" spans="1:15" x14ac:dyDescent="0.2">
      <c r="A153" s="34" t="s">
        <v>282</v>
      </c>
      <c r="B153" s="34" t="s">
        <v>400</v>
      </c>
      <c r="C153" s="68">
        <f>SUMIFS(SALE!$K$6:$K$10000,SALE!$A$6:$A$10000,C150,SALE!$Q$6:$Q$10000,$B$5:$B$1104)</f>
        <v>0</v>
      </c>
      <c r="D153" s="68">
        <f>SUMIFS(SALE!$K$6:$K$10000,SALE!$A$6:$A$10000,D150,SALE!$Q$6:$Q$10000,$B$5:$B$1104)</f>
        <v>0</v>
      </c>
      <c r="E153" s="68">
        <f>SUMIFS(SALE!$K$6:$K$10000,SALE!$A$6:$A$10000,E150,SALE!$Q$6:$Q$10000,$B$5:$B$1104)</f>
        <v>0</v>
      </c>
      <c r="F153" s="68">
        <f>SUMIFS(SALE!$K$6:$K$10000,SALE!$A$6:$A$10000,F150,SALE!$Q$6:$Q$10000,$B$5:$B$1104)</f>
        <v>0</v>
      </c>
      <c r="G153" s="68">
        <f>SUMIFS(SALE!$K$6:$K$10000,SALE!$A$6:$A$10000,G150,SALE!$Q$6:$Q$10000,$B$5:$B$1104)</f>
        <v>0</v>
      </c>
      <c r="H153" s="68">
        <f>SUMIFS(SALE!$K$6:$K$10000,SALE!$A$6:$A$10000,H150,SALE!$Q$6:$Q$10000,$B$5:$B$1104)</f>
        <v>0</v>
      </c>
      <c r="I153" s="68">
        <f>SUMIFS(SALE!$K$6:$K$10000,SALE!$A$6:$A$10000,I150,SALE!$Q$6:$Q$10000,$B$5:$B$1104)</f>
        <v>0</v>
      </c>
      <c r="J153" s="68">
        <f>SUMIFS(SALE!$K$6:$K$10000,SALE!$A$6:$A$10000,J150,SALE!$Q$6:$Q$10000,$B$5:$B$1104)</f>
        <v>0</v>
      </c>
      <c r="K153" s="68">
        <f>SUMIFS(SALE!$K$6:$K$10000,SALE!$A$6:$A$10000,K150,SALE!$Q$6:$Q$10000,$B$5:$B$1104)</f>
        <v>0</v>
      </c>
      <c r="L153" s="68">
        <f>SUMIFS(SALE!$K$6:$K$10000,SALE!$A$6:$A$10000,L150,SALE!$Q$6:$Q$10000,$B$5:$B$1104)</f>
        <v>0</v>
      </c>
      <c r="M153" s="68">
        <f>SUMIFS(SALE!$K$6:$K$10000,SALE!$A$6:$A$10000,M150,SALE!$Q$6:$Q$10000,$B$5:$B$1104)</f>
        <v>0</v>
      </c>
      <c r="N153" s="70">
        <f>SUMIFS(SALE!$K$6:$K$10000,SALE!$A$6:$A$10000,N150,SALE!$Q$6:$Q$10000,$B$5:$B$1104)</f>
        <v>0</v>
      </c>
      <c r="O153" s="71">
        <f t="shared" si="17"/>
        <v>0</v>
      </c>
    </row>
    <row r="154" spans="1:15" x14ac:dyDescent="0.2">
      <c r="A154" s="34" t="s">
        <v>283</v>
      </c>
      <c r="B154" s="34" t="s">
        <v>400</v>
      </c>
      <c r="C154" s="68">
        <f>SUMIFS(SALE!$L$6:$L$10000,SALE!$A$6:$A$10000,C150,SALE!$Q$6:$Q$10000,$B$5:$B$1104)</f>
        <v>0</v>
      </c>
      <c r="D154" s="68">
        <f>SUMIFS(SALE!$L$6:$L$10000,SALE!$A$6:$A$10000,D150,SALE!$Q$6:$Q$10000,$B$5:$B$1104)</f>
        <v>0</v>
      </c>
      <c r="E154" s="68">
        <f>SUMIFS(SALE!$L$6:$L$10000,SALE!$A$6:$A$10000,E150,SALE!$Q$6:$Q$10000,$B$5:$B$1104)</f>
        <v>0</v>
      </c>
      <c r="F154" s="68">
        <f>SUMIFS(SALE!$L$6:$L$10000,SALE!$A$6:$A$10000,F150,SALE!$Q$6:$Q$10000,$B$5:$B$1104)</f>
        <v>0</v>
      </c>
      <c r="G154" s="68">
        <f>SUMIFS(SALE!$L$6:$L$10000,SALE!$A$6:$A$10000,G150,SALE!$Q$6:$Q$10000,$B$5:$B$1104)</f>
        <v>0</v>
      </c>
      <c r="H154" s="68">
        <f>SUMIFS(SALE!$L$6:$L$10000,SALE!$A$6:$A$10000,H150,SALE!$Q$6:$Q$10000,$B$5:$B$1104)</f>
        <v>0</v>
      </c>
      <c r="I154" s="68">
        <f>SUMIFS(SALE!$L$6:$L$10000,SALE!$A$6:$A$10000,I150,SALE!$Q$6:$Q$10000,$B$5:$B$1104)</f>
        <v>0</v>
      </c>
      <c r="J154" s="68">
        <f>SUMIFS(SALE!$L$6:$L$10000,SALE!$A$6:$A$10000,J150,SALE!$Q$6:$Q$10000,$B$5:$B$1104)</f>
        <v>0</v>
      </c>
      <c r="K154" s="68">
        <f>SUMIFS(SALE!$L$6:$L$10000,SALE!$A$6:$A$10000,K150,SALE!$Q$6:$Q$10000,$B$5:$B$1104)</f>
        <v>0</v>
      </c>
      <c r="L154" s="68">
        <f>SUMIFS(SALE!$L$6:$L$10000,SALE!$A$6:$A$10000,L150,SALE!$Q$6:$Q$10000,$B$5:$B$1104)</f>
        <v>0</v>
      </c>
      <c r="M154" s="68">
        <f>SUMIFS(SALE!$L$6:$L$10000,SALE!$A$6:$A$10000,M150,SALE!$Q$6:$Q$10000,$B$5:$B$1104)</f>
        <v>0</v>
      </c>
      <c r="N154" s="70">
        <f>SUMIFS(SALE!$L$6:$L$10000,SALE!$A$6:$A$10000,N150,SALE!$Q$6:$Q$10000,$B$5:$B$1104)</f>
        <v>0</v>
      </c>
      <c r="O154" s="71">
        <f t="shared" si="17"/>
        <v>0</v>
      </c>
    </row>
    <row r="155" spans="1:15" x14ac:dyDescent="0.2">
      <c r="A155" s="34" t="s">
        <v>284</v>
      </c>
      <c r="B155" s="34" t="s">
        <v>400</v>
      </c>
      <c r="C155" s="68">
        <f>SUMIFS(SALE!$M$6:$M$10000,SALE!$A$6:$A$10000,C150,SALE!$Q$6:$Q$10000,$B$5:$B$1104)</f>
        <v>0</v>
      </c>
      <c r="D155" s="68">
        <f>SUMIFS(SALE!$M$6:$M$10000,SALE!$A$6:$A$10000,D150,SALE!$Q$6:$Q$10000,$B$5:$B$1104)</f>
        <v>0</v>
      </c>
      <c r="E155" s="68">
        <f>SUMIFS(SALE!$M$6:$M$10000,SALE!$A$6:$A$10000,E150,SALE!$Q$6:$Q$10000,$B$5:$B$1104)</f>
        <v>0</v>
      </c>
      <c r="F155" s="68">
        <f>SUMIFS(SALE!$M$6:$M$10000,SALE!$A$6:$A$10000,F150,SALE!$Q$6:$Q$10000,$B$5:$B$1104)</f>
        <v>0</v>
      </c>
      <c r="G155" s="68">
        <f>SUMIFS(SALE!$M$6:$M$10000,SALE!$A$6:$A$10000,G150,SALE!$Q$6:$Q$10000,$B$5:$B$1104)</f>
        <v>0</v>
      </c>
      <c r="H155" s="68">
        <f>SUMIFS(SALE!$M$6:$M$10000,SALE!$A$6:$A$10000,H150,SALE!$Q$6:$Q$10000,$B$5:$B$1104)</f>
        <v>0</v>
      </c>
      <c r="I155" s="68">
        <f>SUMIFS(SALE!$M$6:$M$10000,SALE!$A$6:$A$10000,I150,SALE!$Q$6:$Q$10000,$B$5:$B$1104)</f>
        <v>0</v>
      </c>
      <c r="J155" s="68">
        <f>SUMIFS(SALE!$M$6:$M$10000,SALE!$A$6:$A$10000,J150,SALE!$Q$6:$Q$10000,$B$5:$B$1104)</f>
        <v>0</v>
      </c>
      <c r="K155" s="68">
        <f>SUMIFS(SALE!$M$6:$M$10000,SALE!$A$6:$A$10000,K150,SALE!$Q$6:$Q$10000,$B$5:$B$1104)</f>
        <v>0</v>
      </c>
      <c r="L155" s="68">
        <f>SUMIFS(SALE!$M$6:$M$10000,SALE!$A$6:$A$10000,L150,SALE!$Q$6:$Q$10000,$B$5:$B$1104)</f>
        <v>0</v>
      </c>
      <c r="M155" s="68">
        <f>SUMIFS(SALE!$M$6:$M$10000,SALE!$A$6:$A$10000,M150,SALE!$Q$6:$Q$10000,$B$5:$B$1104)</f>
        <v>0</v>
      </c>
      <c r="N155" s="70">
        <f>SUMIFS(SALE!$M$6:$M$10000,SALE!$A$6:$A$10000,N150,SALE!$Q$6:$Q$10000,$B$5:$B$1104)</f>
        <v>0</v>
      </c>
      <c r="O155" s="71">
        <f t="shared" si="17"/>
        <v>0</v>
      </c>
    </row>
    <row r="156" spans="1:15" x14ac:dyDescent="0.2">
      <c r="A156" s="34" t="s">
        <v>285</v>
      </c>
      <c r="B156" s="34" t="s">
        <v>400</v>
      </c>
      <c r="C156" s="68">
        <f>SUMIFS(SALE!$N$6:$N$10000,SALE!$A$6:$A$10000,C150,SALE!$Q$6:$Q$10000,$B$5:$B$1104)</f>
        <v>0</v>
      </c>
      <c r="D156" s="68">
        <f>SUMIFS(SALE!$N$6:$N$10000,SALE!$A$6:$A$10000,D150,SALE!$Q$6:$Q$10000,$B$5:$B$1104)</f>
        <v>0</v>
      </c>
      <c r="E156" s="68">
        <f>SUMIFS(SALE!$N$6:$N$10000,SALE!$A$6:$A$10000,E150,SALE!$Q$6:$Q$10000,$B$5:$B$1104)</f>
        <v>0</v>
      </c>
      <c r="F156" s="68">
        <f>SUMIFS(SALE!$N$6:$N$10000,SALE!$A$6:$A$10000,F150,SALE!$Q$6:$Q$10000,$B$5:$B$1104)</f>
        <v>0</v>
      </c>
      <c r="G156" s="68">
        <f>SUMIFS(SALE!$N$6:$N$10000,SALE!$A$6:$A$10000,G150,SALE!$Q$6:$Q$10000,$B$5:$B$1104)</f>
        <v>0</v>
      </c>
      <c r="H156" s="68">
        <f>SUMIFS(SALE!$N$6:$N$10000,SALE!$A$6:$A$10000,H150,SALE!$Q$6:$Q$10000,$B$5:$B$1104)</f>
        <v>0</v>
      </c>
      <c r="I156" s="68">
        <f>SUMIFS(SALE!$N$6:$N$10000,SALE!$A$6:$A$10000,I150,SALE!$Q$6:$Q$10000,$B$5:$B$1104)</f>
        <v>0</v>
      </c>
      <c r="J156" s="68">
        <f>SUMIFS(SALE!$N$6:$N$10000,SALE!$A$6:$A$10000,J150,SALE!$Q$6:$Q$10000,$B$5:$B$1104)</f>
        <v>0</v>
      </c>
      <c r="K156" s="68">
        <f>SUMIFS(SALE!$N$6:$N$10000,SALE!$A$6:$A$10000,K150,SALE!$Q$6:$Q$10000,$B$5:$B$1104)</f>
        <v>0</v>
      </c>
      <c r="L156" s="68">
        <f>SUMIFS(SALE!$N$6:$N$10000,SALE!$A$6:$A$10000,L150,SALE!$Q$6:$Q$10000,$B$5:$B$1104)</f>
        <v>0</v>
      </c>
      <c r="M156" s="68">
        <f>SUMIFS(SALE!$N$6:$N$10000,SALE!$A$6:$A$10000,M150,SALE!$Q$6:$Q$10000,$B$5:$B$1104)</f>
        <v>0</v>
      </c>
      <c r="N156" s="70">
        <f>SUMIFS(SALE!$N$6:$N$10000,SALE!$A$6:$A$10000,N150,SALE!$Q$6:$Q$10000,$B$5:$B$1104)</f>
        <v>0</v>
      </c>
      <c r="O156" s="71">
        <f t="shared" si="17"/>
        <v>0</v>
      </c>
    </row>
    <row r="157" spans="1:15" x14ac:dyDescent="0.2">
      <c r="A157" s="34" t="s">
        <v>286</v>
      </c>
      <c r="B157" s="34" t="s">
        <v>400</v>
      </c>
      <c r="C157" s="68">
        <f>SUMIFS(SALE!$O$6:$O$10000,SALE!$A$6:$A$10000,C150,SALE!$Q$6:$Q$10000,$B$5:$B$1104)</f>
        <v>0</v>
      </c>
      <c r="D157" s="68">
        <f>SUMIFS(SALE!$O$6:$O$10000,SALE!$A$6:$A$10000,D150,SALE!$Q$6:$Q$10000,$B$5:$B$1104)</f>
        <v>0</v>
      </c>
      <c r="E157" s="68">
        <f>SUMIFS(SALE!$O$6:$O$10000,SALE!$A$6:$A$10000,E150,SALE!$Q$6:$Q$10000,$B$5:$B$1104)</f>
        <v>0</v>
      </c>
      <c r="F157" s="68">
        <f>SUMIFS(SALE!$O$6:$O$10000,SALE!$A$6:$A$10000,F150,SALE!$Q$6:$Q$10000,$B$5:$B$1104)</f>
        <v>0</v>
      </c>
      <c r="G157" s="68">
        <f>SUMIFS(SALE!$O$6:$O$10000,SALE!$A$6:$A$10000,G150,SALE!$Q$6:$Q$10000,$B$5:$B$1104)</f>
        <v>0</v>
      </c>
      <c r="H157" s="68">
        <f>SUMIFS(SALE!$O$6:$O$10000,SALE!$A$6:$A$10000,H150,SALE!$Q$6:$Q$10000,$B$5:$B$1104)</f>
        <v>0</v>
      </c>
      <c r="I157" s="68">
        <f>SUMIFS(SALE!$O$6:$O$10000,SALE!$A$6:$A$10000,I150,SALE!$Q$6:$Q$10000,$B$5:$B$1104)</f>
        <v>0</v>
      </c>
      <c r="J157" s="68">
        <f>SUMIFS(SALE!$O$6:$O$10000,SALE!$A$6:$A$10000,J150,SALE!$Q$6:$Q$10000,$B$5:$B$1104)</f>
        <v>0</v>
      </c>
      <c r="K157" s="68">
        <f>SUMIFS(SALE!$O$6:$O$10000,SALE!$A$6:$A$10000,K150,SALE!$Q$6:$Q$10000,$B$5:$B$1104)</f>
        <v>0</v>
      </c>
      <c r="L157" s="68">
        <f>SUMIFS(SALE!$O$6:$O$10000,SALE!$A$6:$A$10000,L150,SALE!$Q$6:$Q$10000,$B$5:$B$1104)</f>
        <v>0</v>
      </c>
      <c r="M157" s="68">
        <f>SUMIFS(SALE!$O$6:$O$10000,SALE!$A$6:$A$10000,M150,SALE!$Q$6:$Q$10000,$B$5:$B$1104)</f>
        <v>0</v>
      </c>
      <c r="N157" s="70">
        <f>SUMIFS(SALE!$O$6:$O$10000,SALE!$A$6:$A$10000,N150,SALE!$Q$6:$Q$10000,$B$5:$B$1104)</f>
        <v>0</v>
      </c>
      <c r="O157" s="71">
        <f t="shared" si="17"/>
        <v>0</v>
      </c>
    </row>
    <row r="158" spans="1:15" x14ac:dyDescent="0.2">
      <c r="A158" s="1052" t="s">
        <v>343</v>
      </c>
      <c r="B158" s="1053"/>
      <c r="C158" s="1053"/>
      <c r="D158" s="1053"/>
      <c r="E158" s="1053"/>
      <c r="F158" s="1053"/>
      <c r="G158" s="1053"/>
      <c r="H158" s="1053"/>
      <c r="I158" s="1053"/>
      <c r="J158" s="1053"/>
      <c r="K158" s="1053"/>
      <c r="L158" s="1053"/>
      <c r="M158" s="1053"/>
      <c r="N158" s="1053"/>
      <c r="O158" s="1054"/>
    </row>
    <row r="159" spans="1:15" x14ac:dyDescent="0.2">
      <c r="A159" s="63" t="s">
        <v>279</v>
      </c>
      <c r="B159" s="63"/>
      <c r="C159" s="64">
        <v>43556</v>
      </c>
      <c r="D159" s="64">
        <v>43586</v>
      </c>
      <c r="E159" s="64">
        <v>43617</v>
      </c>
      <c r="F159" s="64">
        <v>43647</v>
      </c>
      <c r="G159" s="64">
        <v>43678</v>
      </c>
      <c r="H159" s="64">
        <v>43709</v>
      </c>
      <c r="I159" s="64">
        <v>43739</v>
      </c>
      <c r="J159" s="64">
        <v>43770</v>
      </c>
      <c r="K159" s="64">
        <v>43800</v>
      </c>
      <c r="L159" s="64">
        <v>43831</v>
      </c>
      <c r="M159" s="64">
        <v>43862</v>
      </c>
      <c r="N159" s="65">
        <v>43891</v>
      </c>
      <c r="O159" s="66" t="s">
        <v>347</v>
      </c>
    </row>
    <row r="160" spans="1:15" x14ac:dyDescent="0.2">
      <c r="A160" s="34" t="s">
        <v>280</v>
      </c>
      <c r="B160" s="34"/>
      <c r="C160" s="34">
        <v>0</v>
      </c>
      <c r="D160" s="34">
        <v>0</v>
      </c>
      <c r="E160" s="34"/>
      <c r="F160" s="34"/>
      <c r="G160" s="34"/>
      <c r="H160" s="34"/>
      <c r="I160" s="34"/>
      <c r="J160" s="34"/>
      <c r="K160" s="34"/>
      <c r="L160" s="34"/>
      <c r="M160" s="34"/>
      <c r="N160" s="74"/>
      <c r="O160" s="71">
        <f t="shared" si="17"/>
        <v>0</v>
      </c>
    </row>
    <row r="161" spans="1:15" x14ac:dyDescent="0.2">
      <c r="A161" s="34" t="s">
        <v>281</v>
      </c>
      <c r="B161" s="34" t="s">
        <v>347</v>
      </c>
      <c r="C161" s="71">
        <f>+C143+C152</f>
        <v>0</v>
      </c>
      <c r="D161" s="71">
        <f t="shared" ref="D161:N161" si="21">+D143+D152</f>
        <v>0</v>
      </c>
      <c r="E161" s="71">
        <f t="shared" si="21"/>
        <v>0</v>
      </c>
      <c r="F161" s="71">
        <f t="shared" si="21"/>
        <v>0</v>
      </c>
      <c r="G161" s="71">
        <f t="shared" si="21"/>
        <v>0</v>
      </c>
      <c r="H161" s="71">
        <f t="shared" si="21"/>
        <v>0</v>
      </c>
      <c r="I161" s="71">
        <f t="shared" si="21"/>
        <v>0</v>
      </c>
      <c r="J161" s="71">
        <f t="shared" si="21"/>
        <v>0</v>
      </c>
      <c r="K161" s="71">
        <f t="shared" si="21"/>
        <v>0</v>
      </c>
      <c r="L161" s="71">
        <f t="shared" si="21"/>
        <v>0</v>
      </c>
      <c r="M161" s="71">
        <f t="shared" si="21"/>
        <v>0</v>
      </c>
      <c r="N161" s="73">
        <f t="shared" si="21"/>
        <v>0</v>
      </c>
      <c r="O161" s="71">
        <f t="shared" si="17"/>
        <v>0</v>
      </c>
    </row>
    <row r="162" spans="1:15" x14ac:dyDescent="0.2">
      <c r="A162" s="34" t="s">
        <v>282</v>
      </c>
      <c r="B162" s="34" t="s">
        <v>347</v>
      </c>
      <c r="C162" s="71">
        <f t="shared" ref="C162:N166" si="22">+C144+C153</f>
        <v>0</v>
      </c>
      <c r="D162" s="71">
        <f t="shared" si="22"/>
        <v>0</v>
      </c>
      <c r="E162" s="71">
        <f t="shared" si="22"/>
        <v>0</v>
      </c>
      <c r="F162" s="71">
        <f t="shared" si="22"/>
        <v>0</v>
      </c>
      <c r="G162" s="71">
        <f t="shared" si="22"/>
        <v>0</v>
      </c>
      <c r="H162" s="71">
        <f t="shared" si="22"/>
        <v>0</v>
      </c>
      <c r="I162" s="71">
        <f t="shared" si="22"/>
        <v>0</v>
      </c>
      <c r="J162" s="71">
        <f t="shared" si="22"/>
        <v>0</v>
      </c>
      <c r="K162" s="71">
        <f t="shared" si="22"/>
        <v>0</v>
      </c>
      <c r="L162" s="71">
        <f t="shared" si="22"/>
        <v>0</v>
      </c>
      <c r="M162" s="71">
        <f t="shared" si="22"/>
        <v>0</v>
      </c>
      <c r="N162" s="73">
        <f t="shared" si="22"/>
        <v>0</v>
      </c>
      <c r="O162" s="71">
        <f t="shared" si="17"/>
        <v>0</v>
      </c>
    </row>
    <row r="163" spans="1:15" x14ac:dyDescent="0.2">
      <c r="A163" s="34" t="s">
        <v>283</v>
      </c>
      <c r="B163" s="34" t="s">
        <v>347</v>
      </c>
      <c r="C163" s="71">
        <f t="shared" si="22"/>
        <v>0</v>
      </c>
      <c r="D163" s="71">
        <f t="shared" si="22"/>
        <v>0</v>
      </c>
      <c r="E163" s="71">
        <f t="shared" si="22"/>
        <v>0</v>
      </c>
      <c r="F163" s="71">
        <f t="shared" si="22"/>
        <v>0</v>
      </c>
      <c r="G163" s="71">
        <f t="shared" si="22"/>
        <v>0</v>
      </c>
      <c r="H163" s="71">
        <f t="shared" si="22"/>
        <v>0</v>
      </c>
      <c r="I163" s="71">
        <f t="shared" si="22"/>
        <v>0</v>
      </c>
      <c r="J163" s="71">
        <f t="shared" si="22"/>
        <v>0</v>
      </c>
      <c r="K163" s="71">
        <f t="shared" si="22"/>
        <v>0</v>
      </c>
      <c r="L163" s="71">
        <f t="shared" si="22"/>
        <v>0</v>
      </c>
      <c r="M163" s="71">
        <f t="shared" si="22"/>
        <v>0</v>
      </c>
      <c r="N163" s="73">
        <f t="shared" si="22"/>
        <v>0</v>
      </c>
      <c r="O163" s="71">
        <f t="shared" si="17"/>
        <v>0</v>
      </c>
    </row>
    <row r="164" spans="1:15" x14ac:dyDescent="0.2">
      <c r="A164" s="34" t="s">
        <v>284</v>
      </c>
      <c r="B164" s="34" t="s">
        <v>347</v>
      </c>
      <c r="C164" s="71">
        <f t="shared" si="22"/>
        <v>0</v>
      </c>
      <c r="D164" s="71">
        <f t="shared" si="22"/>
        <v>0</v>
      </c>
      <c r="E164" s="71">
        <f t="shared" si="22"/>
        <v>0</v>
      </c>
      <c r="F164" s="71">
        <f t="shared" si="22"/>
        <v>0</v>
      </c>
      <c r="G164" s="71">
        <f t="shared" si="22"/>
        <v>0</v>
      </c>
      <c r="H164" s="71">
        <f t="shared" si="22"/>
        <v>0</v>
      </c>
      <c r="I164" s="71">
        <f t="shared" si="22"/>
        <v>0</v>
      </c>
      <c r="J164" s="71">
        <f t="shared" si="22"/>
        <v>0</v>
      </c>
      <c r="K164" s="71">
        <f t="shared" si="22"/>
        <v>0</v>
      </c>
      <c r="L164" s="71">
        <f t="shared" si="22"/>
        <v>0</v>
      </c>
      <c r="M164" s="71">
        <f t="shared" si="22"/>
        <v>0</v>
      </c>
      <c r="N164" s="73">
        <f t="shared" si="22"/>
        <v>0</v>
      </c>
      <c r="O164" s="71">
        <f t="shared" si="17"/>
        <v>0</v>
      </c>
    </row>
    <row r="165" spans="1:15" x14ac:dyDescent="0.2">
      <c r="A165" s="34" t="s">
        <v>285</v>
      </c>
      <c r="B165" s="34" t="s">
        <v>347</v>
      </c>
      <c r="C165" s="71">
        <f t="shared" si="22"/>
        <v>0</v>
      </c>
      <c r="D165" s="71">
        <f t="shared" si="22"/>
        <v>0</v>
      </c>
      <c r="E165" s="71">
        <f t="shared" si="22"/>
        <v>0</v>
      </c>
      <c r="F165" s="71">
        <f t="shared" si="22"/>
        <v>0</v>
      </c>
      <c r="G165" s="71">
        <f t="shared" si="22"/>
        <v>0</v>
      </c>
      <c r="H165" s="71">
        <f t="shared" si="22"/>
        <v>0</v>
      </c>
      <c r="I165" s="71">
        <f t="shared" si="22"/>
        <v>0</v>
      </c>
      <c r="J165" s="71">
        <f t="shared" si="22"/>
        <v>0</v>
      </c>
      <c r="K165" s="71">
        <f t="shared" si="22"/>
        <v>0</v>
      </c>
      <c r="L165" s="71">
        <f t="shared" si="22"/>
        <v>0</v>
      </c>
      <c r="M165" s="71">
        <f t="shared" si="22"/>
        <v>0</v>
      </c>
      <c r="N165" s="73">
        <f t="shared" si="22"/>
        <v>0</v>
      </c>
      <c r="O165" s="71">
        <f t="shared" si="17"/>
        <v>0</v>
      </c>
    </row>
    <row r="166" spans="1:15" x14ac:dyDescent="0.2">
      <c r="A166" s="34" t="s">
        <v>286</v>
      </c>
      <c r="B166" s="34" t="s">
        <v>347</v>
      </c>
      <c r="C166" s="71">
        <f t="shared" si="22"/>
        <v>0</v>
      </c>
      <c r="D166" s="71">
        <f t="shared" si="22"/>
        <v>0</v>
      </c>
      <c r="E166" s="71">
        <f t="shared" si="22"/>
        <v>0</v>
      </c>
      <c r="F166" s="71">
        <f t="shared" si="22"/>
        <v>0</v>
      </c>
      <c r="G166" s="71">
        <f t="shared" si="22"/>
        <v>0</v>
      </c>
      <c r="H166" s="71">
        <f t="shared" si="22"/>
        <v>0</v>
      </c>
      <c r="I166" s="71">
        <f t="shared" si="22"/>
        <v>0</v>
      </c>
      <c r="J166" s="71">
        <f t="shared" si="22"/>
        <v>0</v>
      </c>
      <c r="K166" s="71">
        <f t="shared" si="22"/>
        <v>0</v>
      </c>
      <c r="L166" s="71">
        <f t="shared" si="22"/>
        <v>0</v>
      </c>
      <c r="M166" s="71">
        <f t="shared" si="22"/>
        <v>0</v>
      </c>
      <c r="N166" s="73">
        <f t="shared" si="22"/>
        <v>0</v>
      </c>
      <c r="O166" s="71">
        <f t="shared" si="17"/>
        <v>0</v>
      </c>
    </row>
    <row r="167" spans="1:15" x14ac:dyDescent="0.2">
      <c r="A167" s="1036" t="s">
        <v>344</v>
      </c>
      <c r="B167" s="1037"/>
      <c r="C167" s="1037"/>
      <c r="D167" s="1037"/>
      <c r="E167" s="1037"/>
      <c r="F167" s="1037"/>
      <c r="G167" s="1037"/>
      <c r="H167" s="1037"/>
      <c r="I167" s="1037"/>
      <c r="J167" s="1037"/>
      <c r="K167" s="1037"/>
      <c r="L167" s="1037"/>
      <c r="M167" s="1037"/>
      <c r="N167" s="1037"/>
      <c r="O167" s="1038"/>
    </row>
    <row r="168" spans="1:15" x14ac:dyDescent="0.2">
      <c r="A168" s="63" t="s">
        <v>279</v>
      </c>
      <c r="B168" s="63"/>
      <c r="C168" s="64">
        <v>43556</v>
      </c>
      <c r="D168" s="64">
        <v>43586</v>
      </c>
      <c r="E168" s="64">
        <v>43617</v>
      </c>
      <c r="F168" s="64">
        <v>43647</v>
      </c>
      <c r="G168" s="64">
        <v>43678</v>
      </c>
      <c r="H168" s="64">
        <v>43709</v>
      </c>
      <c r="I168" s="64">
        <v>43739</v>
      </c>
      <c r="J168" s="64">
        <v>43770</v>
      </c>
      <c r="K168" s="64">
        <v>43800</v>
      </c>
      <c r="L168" s="64">
        <v>43831</v>
      </c>
      <c r="M168" s="64">
        <v>43862</v>
      </c>
      <c r="N168" s="65">
        <v>43891</v>
      </c>
      <c r="O168" s="66" t="s">
        <v>347</v>
      </c>
    </row>
    <row r="169" spans="1:15" x14ac:dyDescent="0.2">
      <c r="A169" s="34" t="s">
        <v>280</v>
      </c>
      <c r="B169" s="34"/>
      <c r="C169" s="34">
        <v>0</v>
      </c>
      <c r="D169" s="34">
        <v>0</v>
      </c>
      <c r="E169" s="34"/>
      <c r="F169" s="34"/>
      <c r="G169" s="34"/>
      <c r="H169" s="34"/>
      <c r="I169" s="34"/>
      <c r="J169" s="34"/>
      <c r="K169" s="34"/>
      <c r="L169" s="34"/>
      <c r="M169" s="34"/>
      <c r="N169" s="74"/>
      <c r="O169" s="71">
        <f t="shared" si="17"/>
        <v>0</v>
      </c>
    </row>
    <row r="170" spans="1:15" x14ac:dyDescent="0.2">
      <c r="A170" s="34" t="s">
        <v>281</v>
      </c>
      <c r="B170" s="34" t="s">
        <v>399</v>
      </c>
      <c r="C170" s="71">
        <f>+C171+C172+C173</f>
        <v>0</v>
      </c>
      <c r="D170" s="71">
        <f t="shared" ref="D170:N170" si="23">+D171+D172+D173</f>
        <v>0</v>
      </c>
      <c r="E170" s="71">
        <f t="shared" si="23"/>
        <v>0</v>
      </c>
      <c r="F170" s="71">
        <f t="shared" si="23"/>
        <v>0</v>
      </c>
      <c r="G170" s="71">
        <f t="shared" si="23"/>
        <v>0</v>
      </c>
      <c r="H170" s="71">
        <f t="shared" si="23"/>
        <v>0</v>
      </c>
      <c r="I170" s="71">
        <f t="shared" si="23"/>
        <v>0</v>
      </c>
      <c r="J170" s="71">
        <f t="shared" si="23"/>
        <v>0</v>
      </c>
      <c r="K170" s="71">
        <f t="shared" si="23"/>
        <v>0</v>
      </c>
      <c r="L170" s="71">
        <f t="shared" si="23"/>
        <v>0</v>
      </c>
      <c r="M170" s="71">
        <f t="shared" si="23"/>
        <v>0</v>
      </c>
      <c r="N170" s="73">
        <f t="shared" si="23"/>
        <v>0</v>
      </c>
      <c r="O170" s="71">
        <f t="shared" si="17"/>
        <v>0</v>
      </c>
    </row>
    <row r="171" spans="1:15" x14ac:dyDescent="0.2">
      <c r="A171" s="34" t="s">
        <v>282</v>
      </c>
      <c r="B171" s="34" t="s">
        <v>399</v>
      </c>
      <c r="C171" s="68">
        <f>SUMIFS(SALE!$K$6:$K$10000,SALE!$A$6:$A$10000,C168,SALE!$Q$6:$Q$10000,$B$5:$B$1104)</f>
        <v>0</v>
      </c>
      <c r="D171" s="68">
        <f>SUMIFS(SALE!$K$6:$K$10000,SALE!$A$6:$A$10000,D168,SALE!$Q$6:$Q$10000,$B$5:$B$1104)</f>
        <v>0</v>
      </c>
      <c r="E171" s="68">
        <f>SUMIFS(SALE!$K$6:$K$10000,SALE!$A$6:$A$10000,E168,SALE!$Q$6:$Q$10000,$B$5:$B$1104)</f>
        <v>0</v>
      </c>
      <c r="F171" s="68">
        <f>SUMIFS(SALE!$K$6:$K$10000,SALE!$A$6:$A$10000,F168,SALE!$Q$6:$Q$10000,$B$5:$B$1104)</f>
        <v>0</v>
      </c>
      <c r="G171" s="68">
        <f>SUMIFS(SALE!$K$6:$K$10000,SALE!$A$6:$A$10000,G168,SALE!$Q$6:$Q$10000,$B$5:$B$1104)</f>
        <v>0</v>
      </c>
      <c r="H171" s="68">
        <f>SUMIFS(SALE!$K$6:$K$10000,SALE!$A$6:$A$10000,H168,SALE!$Q$6:$Q$10000,$B$5:$B$1104)</f>
        <v>0</v>
      </c>
      <c r="I171" s="68">
        <f>SUMIFS(SALE!$K$6:$K$10000,SALE!$A$6:$A$10000,I168,SALE!$Q$6:$Q$10000,$B$5:$B$1104)</f>
        <v>0</v>
      </c>
      <c r="J171" s="68">
        <f>SUMIFS(SALE!$K$6:$K$10000,SALE!$A$6:$A$10000,J168,SALE!$Q$6:$Q$10000,$B$5:$B$1104)</f>
        <v>0</v>
      </c>
      <c r="K171" s="68">
        <f>SUMIFS(SALE!$K$6:$K$10000,SALE!$A$6:$A$10000,K168,SALE!$Q$6:$Q$10000,$B$5:$B$1104)</f>
        <v>0</v>
      </c>
      <c r="L171" s="68">
        <f>SUMIFS(SALE!$K$6:$K$10000,SALE!$A$6:$A$10000,L168,SALE!$Q$6:$Q$10000,$B$5:$B$1104)</f>
        <v>0</v>
      </c>
      <c r="M171" s="68">
        <f>SUMIFS(SALE!$K$6:$K$10000,SALE!$A$6:$A$10000,M168,SALE!$Q$6:$Q$10000,$B$5:$B$1104)</f>
        <v>0</v>
      </c>
      <c r="N171" s="70">
        <f>SUMIFS(SALE!$K$6:$K$10000,SALE!$A$6:$A$10000,N168,SALE!$Q$6:$Q$10000,$B$5:$B$1104)</f>
        <v>0</v>
      </c>
      <c r="O171" s="71">
        <f t="shared" si="17"/>
        <v>0</v>
      </c>
    </row>
    <row r="172" spans="1:15" x14ac:dyDescent="0.2">
      <c r="A172" s="34" t="s">
        <v>283</v>
      </c>
      <c r="B172" s="34" t="s">
        <v>399</v>
      </c>
      <c r="C172" s="68">
        <f>SUMIFS(SALE!$L$6:$L$10000,SALE!$A$6:$A$10000,C168,SALE!$Q$6:$Q$10000,$B$5:$B$1104)</f>
        <v>0</v>
      </c>
      <c r="D172" s="68">
        <f>SUMIFS(SALE!$L$6:$L$10000,SALE!$A$6:$A$10000,D168,SALE!$Q$6:$Q$10000,$B$5:$B$1104)</f>
        <v>0</v>
      </c>
      <c r="E172" s="68">
        <f>SUMIFS(SALE!$L$6:$L$10000,SALE!$A$6:$A$10000,E168,SALE!$Q$6:$Q$10000,$B$5:$B$1104)</f>
        <v>0</v>
      </c>
      <c r="F172" s="68">
        <f>SUMIFS(SALE!$L$6:$L$10000,SALE!$A$6:$A$10000,F168,SALE!$Q$6:$Q$10000,$B$5:$B$1104)</f>
        <v>0</v>
      </c>
      <c r="G172" s="68">
        <f>SUMIFS(SALE!$L$6:$L$10000,SALE!$A$6:$A$10000,G168,SALE!$Q$6:$Q$10000,$B$5:$B$1104)</f>
        <v>0</v>
      </c>
      <c r="H172" s="68">
        <f>SUMIFS(SALE!$L$6:$L$10000,SALE!$A$6:$A$10000,H168,SALE!$Q$6:$Q$10000,$B$5:$B$1104)</f>
        <v>0</v>
      </c>
      <c r="I172" s="68">
        <f>SUMIFS(SALE!$L$6:$L$10000,SALE!$A$6:$A$10000,I168,SALE!$Q$6:$Q$10000,$B$5:$B$1104)</f>
        <v>0</v>
      </c>
      <c r="J172" s="68">
        <f>SUMIFS(SALE!$L$6:$L$10000,SALE!$A$6:$A$10000,J168,SALE!$Q$6:$Q$10000,$B$5:$B$1104)</f>
        <v>0</v>
      </c>
      <c r="K172" s="68">
        <f>SUMIFS(SALE!$L$6:$L$10000,SALE!$A$6:$A$10000,K168,SALE!$Q$6:$Q$10000,$B$5:$B$1104)</f>
        <v>0</v>
      </c>
      <c r="L172" s="68">
        <f>SUMIFS(SALE!$L$6:$L$10000,SALE!$A$6:$A$10000,L168,SALE!$Q$6:$Q$10000,$B$5:$B$1104)</f>
        <v>0</v>
      </c>
      <c r="M172" s="68">
        <f>SUMIFS(SALE!$L$6:$L$10000,SALE!$A$6:$A$10000,M168,SALE!$Q$6:$Q$10000,$B$5:$B$1104)</f>
        <v>0</v>
      </c>
      <c r="N172" s="70">
        <f>SUMIFS(SALE!$L$6:$L$10000,SALE!$A$6:$A$10000,N168,SALE!$Q$6:$Q$10000,$B$5:$B$1104)</f>
        <v>0</v>
      </c>
      <c r="O172" s="71">
        <f t="shared" si="17"/>
        <v>0</v>
      </c>
    </row>
    <row r="173" spans="1:15" x14ac:dyDescent="0.2">
      <c r="A173" s="34" t="s">
        <v>286</v>
      </c>
      <c r="B173" s="34" t="s">
        <v>399</v>
      </c>
      <c r="C173" s="68">
        <f>SUMIFS(SALE!$O$6:$O$10000,SALE!$A$6:$A$10000,C168,SALE!$Q$6:$Q$10000,$B$5:$B$1104)</f>
        <v>0</v>
      </c>
      <c r="D173" s="68">
        <f>SUMIFS(SALE!$O$6:$O$10000,SALE!$A$6:$A$10000,D168,SALE!$Q$6:$Q$10000,$B$5:$B$1104)</f>
        <v>0</v>
      </c>
      <c r="E173" s="68">
        <f>SUMIFS(SALE!$O$6:$O$10000,SALE!$A$6:$A$10000,E168,SALE!$Q$6:$Q$10000,$B$5:$B$1104)</f>
        <v>0</v>
      </c>
      <c r="F173" s="68">
        <f>SUMIFS(SALE!$O$6:$O$10000,SALE!$A$6:$A$10000,F168,SALE!$Q$6:$Q$10000,$B$5:$B$1104)</f>
        <v>0</v>
      </c>
      <c r="G173" s="68">
        <f>SUMIFS(SALE!$O$6:$O$10000,SALE!$A$6:$A$10000,G168,SALE!$Q$6:$Q$10000,$B$5:$B$1104)</f>
        <v>0</v>
      </c>
      <c r="H173" s="68">
        <f>SUMIFS(SALE!$O$6:$O$10000,SALE!$A$6:$A$10000,H168,SALE!$Q$6:$Q$10000,$B$5:$B$1104)</f>
        <v>0</v>
      </c>
      <c r="I173" s="68">
        <f>SUMIFS(SALE!$O$6:$O$10000,SALE!$A$6:$A$10000,I168,SALE!$Q$6:$Q$10000,$B$5:$B$1104)</f>
        <v>0</v>
      </c>
      <c r="J173" s="68">
        <f>SUMIFS(SALE!$O$6:$O$10000,SALE!$A$6:$A$10000,J168,SALE!$Q$6:$Q$10000,$B$5:$B$1104)</f>
        <v>0</v>
      </c>
      <c r="K173" s="68">
        <f>SUMIFS(SALE!$O$6:$O$10000,SALE!$A$6:$A$10000,K168,SALE!$Q$6:$Q$10000,$B$5:$B$1104)</f>
        <v>0</v>
      </c>
      <c r="L173" s="68">
        <f>SUMIFS(SALE!$O$6:$O$10000,SALE!$A$6:$A$10000,L168,SALE!$Q$6:$Q$10000,$B$5:$B$1104)</f>
        <v>0</v>
      </c>
      <c r="M173" s="68">
        <f>SUMIFS(SALE!$O$6:$O$10000,SALE!$A$6:$A$10000,M168,SALE!$Q$6:$Q$10000,$B$5:$B$1104)</f>
        <v>0</v>
      </c>
      <c r="N173" s="70">
        <f>SUMIFS(SALE!$O$6:$O$10000,SALE!$A$6:$A$10000,N168,SALE!$Q$6:$Q$10000,$B$5:$B$1104)</f>
        <v>0</v>
      </c>
      <c r="O173" s="71">
        <f t="shared" si="17"/>
        <v>0</v>
      </c>
    </row>
    <row r="174" spans="1:15" x14ac:dyDescent="0.2">
      <c r="A174" s="1036" t="s">
        <v>345</v>
      </c>
      <c r="B174" s="1037"/>
      <c r="C174" s="1037"/>
      <c r="D174" s="1037"/>
      <c r="E174" s="1037"/>
      <c r="F174" s="1037"/>
      <c r="G174" s="1037"/>
      <c r="H174" s="1037"/>
      <c r="I174" s="1037"/>
      <c r="J174" s="1037"/>
      <c r="K174" s="1037"/>
      <c r="L174" s="1037"/>
      <c r="M174" s="1037"/>
      <c r="N174" s="1037"/>
      <c r="O174" s="1038"/>
    </row>
    <row r="175" spans="1:15" x14ac:dyDescent="0.2">
      <c r="A175" s="63" t="s">
        <v>279</v>
      </c>
      <c r="B175" s="63"/>
      <c r="C175" s="64">
        <v>43556</v>
      </c>
      <c r="D175" s="64">
        <v>43586</v>
      </c>
      <c r="E175" s="64">
        <v>43617</v>
      </c>
      <c r="F175" s="64">
        <v>43647</v>
      </c>
      <c r="G175" s="64">
        <v>43678</v>
      </c>
      <c r="H175" s="64">
        <v>43709</v>
      </c>
      <c r="I175" s="64">
        <v>43739</v>
      </c>
      <c r="J175" s="64">
        <v>43770</v>
      </c>
      <c r="K175" s="64">
        <v>43800</v>
      </c>
      <c r="L175" s="64">
        <v>43831</v>
      </c>
      <c r="M175" s="64">
        <v>43862</v>
      </c>
      <c r="N175" s="65">
        <v>43891</v>
      </c>
      <c r="O175" s="66" t="s">
        <v>347</v>
      </c>
    </row>
    <row r="176" spans="1:15" x14ac:dyDescent="0.2">
      <c r="A176" s="34" t="s">
        <v>280</v>
      </c>
      <c r="B176" s="34"/>
      <c r="C176" s="34">
        <v>0</v>
      </c>
      <c r="D176" s="34">
        <v>0</v>
      </c>
      <c r="E176" s="34"/>
      <c r="F176" s="34"/>
      <c r="G176" s="34"/>
      <c r="H176" s="34"/>
      <c r="I176" s="34"/>
      <c r="J176" s="34"/>
      <c r="K176" s="34"/>
      <c r="L176" s="34"/>
      <c r="M176" s="34"/>
      <c r="N176" s="74"/>
      <c r="O176" s="71">
        <f t="shared" si="17"/>
        <v>0</v>
      </c>
    </row>
    <row r="177" spans="1:15" x14ac:dyDescent="0.2">
      <c r="A177" s="34" t="s">
        <v>281</v>
      </c>
      <c r="B177" s="34" t="s">
        <v>401</v>
      </c>
      <c r="C177" s="71">
        <f>+C178+C179+C180</f>
        <v>0</v>
      </c>
      <c r="D177" s="71">
        <f t="shared" ref="D177:N177" si="24">+D178+D179+D180</f>
        <v>0</v>
      </c>
      <c r="E177" s="71">
        <f t="shared" si="24"/>
        <v>0</v>
      </c>
      <c r="F177" s="71">
        <f t="shared" si="24"/>
        <v>0</v>
      </c>
      <c r="G177" s="71">
        <f t="shared" si="24"/>
        <v>0</v>
      </c>
      <c r="H177" s="71">
        <f t="shared" si="24"/>
        <v>0</v>
      </c>
      <c r="I177" s="71">
        <f t="shared" si="24"/>
        <v>0</v>
      </c>
      <c r="J177" s="71">
        <f t="shared" si="24"/>
        <v>0</v>
      </c>
      <c r="K177" s="71">
        <f t="shared" si="24"/>
        <v>0</v>
      </c>
      <c r="L177" s="71">
        <f t="shared" si="24"/>
        <v>0</v>
      </c>
      <c r="M177" s="71">
        <f t="shared" si="24"/>
        <v>0</v>
      </c>
      <c r="N177" s="73">
        <f t="shared" si="24"/>
        <v>0</v>
      </c>
      <c r="O177" s="71">
        <f t="shared" si="17"/>
        <v>0</v>
      </c>
    </row>
    <row r="178" spans="1:15" x14ac:dyDescent="0.2">
      <c r="A178" s="34" t="s">
        <v>282</v>
      </c>
      <c r="B178" s="34" t="s">
        <v>401</v>
      </c>
      <c r="C178" s="68">
        <f>SUMIFS(SALE!$K$6:$K$10000,SALE!$A$6:$A$10000,C175,SALE!$Q$6:$Q$10000,$B$5:$B$1104)</f>
        <v>0</v>
      </c>
      <c r="D178" s="68">
        <f>SUMIFS(SALE!$K$6:$K$10000,SALE!$A$6:$A$10000,D175,SALE!$Q$6:$Q$10000,$B$5:$B$1104)</f>
        <v>0</v>
      </c>
      <c r="E178" s="68">
        <f>SUMIFS(SALE!$K$6:$K$10000,SALE!$A$6:$A$10000,E175,SALE!$Q$6:$Q$10000,$B$5:$B$1104)</f>
        <v>0</v>
      </c>
      <c r="F178" s="68">
        <f>SUMIFS(SALE!$K$6:$K$10000,SALE!$A$6:$A$10000,F175,SALE!$Q$6:$Q$10000,$B$5:$B$1104)</f>
        <v>0</v>
      </c>
      <c r="G178" s="68">
        <f>SUMIFS(SALE!$K$6:$K$10000,SALE!$A$6:$A$10000,G175,SALE!$Q$6:$Q$10000,$B$5:$B$1104)</f>
        <v>0</v>
      </c>
      <c r="H178" s="68">
        <f>SUMIFS(SALE!$K$6:$K$10000,SALE!$A$6:$A$10000,H175,SALE!$Q$6:$Q$10000,$B$5:$B$1104)</f>
        <v>0</v>
      </c>
      <c r="I178" s="68">
        <f>SUMIFS(SALE!$K$6:$K$10000,SALE!$A$6:$A$10000,I175,SALE!$Q$6:$Q$10000,$B$5:$B$1104)</f>
        <v>0</v>
      </c>
      <c r="J178" s="68">
        <f>SUMIFS(SALE!$K$6:$K$10000,SALE!$A$6:$A$10000,J175,SALE!$Q$6:$Q$10000,$B$5:$B$1104)</f>
        <v>0</v>
      </c>
      <c r="K178" s="68">
        <f>SUMIFS(SALE!$K$6:$K$10000,SALE!$A$6:$A$10000,K175,SALE!$Q$6:$Q$10000,$B$5:$B$1104)</f>
        <v>0</v>
      </c>
      <c r="L178" s="68">
        <f>SUMIFS(SALE!$K$6:$K$10000,SALE!$A$6:$A$10000,L175,SALE!$Q$6:$Q$10000,$B$5:$B$1104)</f>
        <v>0</v>
      </c>
      <c r="M178" s="68">
        <f>SUMIFS(SALE!$K$6:$K$10000,SALE!$A$6:$A$10000,M175,SALE!$Q$6:$Q$10000,$B$5:$B$1104)</f>
        <v>0</v>
      </c>
      <c r="N178" s="70">
        <f>SUMIFS(SALE!$K$6:$K$10000,SALE!$A$6:$A$10000,N175,SALE!$Q$6:$Q$10000,$B$5:$B$1104)</f>
        <v>0</v>
      </c>
      <c r="O178" s="71">
        <f t="shared" si="17"/>
        <v>0</v>
      </c>
    </row>
    <row r="179" spans="1:15" x14ac:dyDescent="0.2">
      <c r="A179" s="34" t="s">
        <v>283</v>
      </c>
      <c r="B179" s="34" t="s">
        <v>401</v>
      </c>
      <c r="C179" s="68">
        <f>SUMIFS(SALE!$L$6:$L$10000,SALE!$A$6:$A$10000,C175,SALE!$Q$6:$Q$10000,$B$5:$B$1104)</f>
        <v>0</v>
      </c>
      <c r="D179" s="68">
        <f>SUMIFS(SALE!$L$6:$L$10000,SALE!$A$6:$A$10000,D175,SALE!$Q$6:$Q$10000,$B$5:$B$1104)</f>
        <v>0</v>
      </c>
      <c r="E179" s="68">
        <f>SUMIFS(SALE!$L$6:$L$10000,SALE!$A$6:$A$10000,E175,SALE!$Q$6:$Q$10000,$B$5:$B$1104)</f>
        <v>0</v>
      </c>
      <c r="F179" s="68">
        <f>SUMIFS(SALE!$L$6:$L$10000,SALE!$A$6:$A$10000,F175,SALE!$Q$6:$Q$10000,$B$5:$B$1104)</f>
        <v>0</v>
      </c>
      <c r="G179" s="68">
        <f>SUMIFS(SALE!$L$6:$L$10000,SALE!$A$6:$A$10000,G175,SALE!$Q$6:$Q$10000,$B$5:$B$1104)</f>
        <v>0</v>
      </c>
      <c r="H179" s="68">
        <f>SUMIFS(SALE!$L$6:$L$10000,SALE!$A$6:$A$10000,H175,SALE!$Q$6:$Q$10000,$B$5:$B$1104)</f>
        <v>0</v>
      </c>
      <c r="I179" s="68">
        <f>SUMIFS(SALE!$L$6:$L$10000,SALE!$A$6:$A$10000,I175,SALE!$Q$6:$Q$10000,$B$5:$B$1104)</f>
        <v>0</v>
      </c>
      <c r="J179" s="68">
        <f>SUMIFS(SALE!$L$6:$L$10000,SALE!$A$6:$A$10000,J175,SALE!$Q$6:$Q$10000,$B$5:$B$1104)</f>
        <v>0</v>
      </c>
      <c r="K179" s="68">
        <f>SUMIFS(SALE!$L$6:$L$10000,SALE!$A$6:$A$10000,K175,SALE!$Q$6:$Q$10000,$B$5:$B$1104)</f>
        <v>0</v>
      </c>
      <c r="L179" s="68">
        <f>SUMIFS(SALE!$L$6:$L$10000,SALE!$A$6:$A$10000,L175,SALE!$Q$6:$Q$10000,$B$5:$B$1104)</f>
        <v>0</v>
      </c>
      <c r="M179" s="68">
        <f>SUMIFS(SALE!$L$6:$L$10000,SALE!$A$6:$A$10000,M175,SALE!$Q$6:$Q$10000,$B$5:$B$1104)</f>
        <v>0</v>
      </c>
      <c r="N179" s="70">
        <f>SUMIFS(SALE!$L$6:$L$10000,SALE!$A$6:$A$10000,N175,SALE!$Q$6:$Q$10000,$B$5:$B$1104)</f>
        <v>0</v>
      </c>
      <c r="O179" s="71">
        <f t="shared" si="17"/>
        <v>0</v>
      </c>
    </row>
    <row r="180" spans="1:15" x14ac:dyDescent="0.2">
      <c r="A180" s="34" t="s">
        <v>286</v>
      </c>
      <c r="B180" s="34" t="s">
        <v>401</v>
      </c>
      <c r="C180" s="68">
        <f>SUMIFS(SALE!$O$6:$O$10000,SALE!$A$6:$A$10000,C175,SALE!$Q$6:$Q$10000,$B$5:$B$1104)</f>
        <v>0</v>
      </c>
      <c r="D180" s="68">
        <f>SUMIFS(SALE!$O$6:$O$10000,SALE!$A$6:$A$10000,D175,SALE!$Q$6:$Q$10000,$B$5:$B$1104)</f>
        <v>0</v>
      </c>
      <c r="E180" s="68">
        <f>SUMIFS(SALE!$O$6:$O$10000,SALE!$A$6:$A$10000,E175,SALE!$Q$6:$Q$10000,$B$5:$B$1104)</f>
        <v>0</v>
      </c>
      <c r="F180" s="68">
        <f>SUMIFS(SALE!$O$6:$O$10000,SALE!$A$6:$A$10000,F175,SALE!$Q$6:$Q$10000,$B$5:$B$1104)</f>
        <v>0</v>
      </c>
      <c r="G180" s="68">
        <f>SUMIFS(SALE!$O$6:$O$10000,SALE!$A$6:$A$10000,G175,SALE!$Q$6:$Q$10000,$B$5:$B$1104)</f>
        <v>0</v>
      </c>
      <c r="H180" s="68">
        <f>SUMIFS(SALE!$O$6:$O$10000,SALE!$A$6:$A$10000,H175,SALE!$Q$6:$Q$10000,$B$5:$B$1104)</f>
        <v>0</v>
      </c>
      <c r="I180" s="68">
        <f>SUMIFS(SALE!$O$6:$O$10000,SALE!$A$6:$A$10000,I175,SALE!$Q$6:$Q$10000,$B$5:$B$1104)</f>
        <v>0</v>
      </c>
      <c r="J180" s="68">
        <f>SUMIFS(SALE!$O$6:$O$10000,SALE!$A$6:$A$10000,J175,SALE!$Q$6:$Q$10000,$B$5:$B$1104)</f>
        <v>0</v>
      </c>
      <c r="K180" s="68">
        <f>SUMIFS(SALE!$O$6:$O$10000,SALE!$A$6:$A$10000,K175,SALE!$Q$6:$Q$10000,$B$5:$B$1104)</f>
        <v>0</v>
      </c>
      <c r="L180" s="68">
        <f>SUMIFS(SALE!$O$6:$O$10000,SALE!$A$6:$A$10000,L175,SALE!$Q$6:$Q$10000,$B$5:$B$1104)</f>
        <v>0</v>
      </c>
      <c r="M180" s="68">
        <f>SUMIFS(SALE!$O$6:$O$10000,SALE!$A$6:$A$10000,M175,SALE!$Q$6:$Q$10000,$B$5:$B$1104)</f>
        <v>0</v>
      </c>
      <c r="N180" s="70">
        <f>SUMIFS(SALE!$O$6:$O$10000,SALE!$A$6:$A$10000,N175,SALE!$Q$6:$Q$10000,$B$5:$B$1104)</f>
        <v>0</v>
      </c>
      <c r="O180" s="71">
        <f t="shared" si="17"/>
        <v>0</v>
      </c>
    </row>
    <row r="181" spans="1:15" x14ac:dyDescent="0.2">
      <c r="A181" s="1036" t="s">
        <v>346</v>
      </c>
      <c r="B181" s="1037"/>
      <c r="C181" s="1037"/>
      <c r="D181" s="1037"/>
      <c r="E181" s="1037"/>
      <c r="F181" s="1037"/>
      <c r="G181" s="1037"/>
      <c r="H181" s="1037"/>
      <c r="I181" s="1037"/>
      <c r="J181" s="1037"/>
      <c r="K181" s="1037"/>
      <c r="L181" s="1037"/>
      <c r="M181" s="1037"/>
      <c r="N181" s="1037"/>
      <c r="O181" s="1038"/>
    </row>
    <row r="182" spans="1:15" x14ac:dyDescent="0.2">
      <c r="A182" s="63" t="s">
        <v>279</v>
      </c>
      <c r="B182" s="63"/>
      <c r="C182" s="64">
        <v>43556</v>
      </c>
      <c r="D182" s="64">
        <v>43586</v>
      </c>
      <c r="E182" s="64">
        <v>43617</v>
      </c>
      <c r="F182" s="64">
        <v>43647</v>
      </c>
      <c r="G182" s="64">
        <v>43678</v>
      </c>
      <c r="H182" s="64">
        <v>43709</v>
      </c>
      <c r="I182" s="64">
        <v>43739</v>
      </c>
      <c r="J182" s="64">
        <v>43770</v>
      </c>
      <c r="K182" s="64">
        <v>43800</v>
      </c>
      <c r="L182" s="64">
        <v>43831</v>
      </c>
      <c r="M182" s="64">
        <v>43862</v>
      </c>
      <c r="N182" s="65">
        <v>43891</v>
      </c>
      <c r="O182" s="66" t="s">
        <v>347</v>
      </c>
    </row>
    <row r="183" spans="1:15" x14ac:dyDescent="0.2">
      <c r="A183" s="34" t="s">
        <v>280</v>
      </c>
      <c r="B183" s="34" t="s">
        <v>347</v>
      </c>
      <c r="C183" s="34">
        <v>0</v>
      </c>
      <c r="D183" s="34">
        <v>0</v>
      </c>
      <c r="E183" s="34"/>
      <c r="F183" s="34"/>
      <c r="G183" s="34"/>
      <c r="H183" s="34"/>
      <c r="I183" s="34"/>
      <c r="J183" s="34"/>
      <c r="K183" s="34"/>
      <c r="L183" s="34"/>
      <c r="M183" s="34"/>
      <c r="N183" s="74"/>
      <c r="O183" s="71">
        <f t="shared" si="17"/>
        <v>0</v>
      </c>
    </row>
    <row r="184" spans="1:15" x14ac:dyDescent="0.2">
      <c r="A184" s="34" t="s">
        <v>281</v>
      </c>
      <c r="B184" s="34" t="s">
        <v>347</v>
      </c>
      <c r="C184" s="71">
        <f>+C170+C177</f>
        <v>0</v>
      </c>
      <c r="D184" s="71">
        <f t="shared" ref="D184:N184" si="25">+D170+D177</f>
        <v>0</v>
      </c>
      <c r="E184" s="71">
        <f t="shared" si="25"/>
        <v>0</v>
      </c>
      <c r="F184" s="71">
        <f t="shared" si="25"/>
        <v>0</v>
      </c>
      <c r="G184" s="71">
        <f t="shared" si="25"/>
        <v>0</v>
      </c>
      <c r="H184" s="71">
        <f t="shared" si="25"/>
        <v>0</v>
      </c>
      <c r="I184" s="71">
        <f t="shared" si="25"/>
        <v>0</v>
      </c>
      <c r="J184" s="71">
        <f t="shared" si="25"/>
        <v>0</v>
      </c>
      <c r="K184" s="71">
        <f t="shared" si="25"/>
        <v>0</v>
      </c>
      <c r="L184" s="71">
        <f t="shared" si="25"/>
        <v>0</v>
      </c>
      <c r="M184" s="71">
        <f t="shared" si="25"/>
        <v>0</v>
      </c>
      <c r="N184" s="73">
        <f t="shared" si="25"/>
        <v>0</v>
      </c>
      <c r="O184" s="71">
        <f t="shared" si="17"/>
        <v>0</v>
      </c>
    </row>
    <row r="185" spans="1:15" x14ac:dyDescent="0.2">
      <c r="A185" s="34" t="s">
        <v>282</v>
      </c>
      <c r="B185" s="34" t="s">
        <v>347</v>
      </c>
      <c r="C185" s="71">
        <f t="shared" ref="C185:N187" si="26">+C171+C178</f>
        <v>0</v>
      </c>
      <c r="D185" s="71">
        <f t="shared" si="26"/>
        <v>0</v>
      </c>
      <c r="E185" s="71">
        <f t="shared" si="26"/>
        <v>0</v>
      </c>
      <c r="F185" s="71">
        <f t="shared" si="26"/>
        <v>0</v>
      </c>
      <c r="G185" s="71">
        <f t="shared" si="26"/>
        <v>0</v>
      </c>
      <c r="H185" s="71">
        <f t="shared" si="26"/>
        <v>0</v>
      </c>
      <c r="I185" s="71">
        <f t="shared" si="26"/>
        <v>0</v>
      </c>
      <c r="J185" s="71">
        <f t="shared" si="26"/>
        <v>0</v>
      </c>
      <c r="K185" s="71">
        <f t="shared" si="26"/>
        <v>0</v>
      </c>
      <c r="L185" s="71">
        <f t="shared" si="26"/>
        <v>0</v>
      </c>
      <c r="M185" s="71">
        <f t="shared" si="26"/>
        <v>0</v>
      </c>
      <c r="N185" s="73">
        <f t="shared" si="26"/>
        <v>0</v>
      </c>
      <c r="O185" s="71">
        <f t="shared" si="17"/>
        <v>0</v>
      </c>
    </row>
    <row r="186" spans="1:15" x14ac:dyDescent="0.2">
      <c r="A186" s="34" t="s">
        <v>283</v>
      </c>
      <c r="B186" s="34" t="s">
        <v>347</v>
      </c>
      <c r="C186" s="71">
        <f t="shared" si="26"/>
        <v>0</v>
      </c>
      <c r="D186" s="71">
        <f t="shared" si="26"/>
        <v>0</v>
      </c>
      <c r="E186" s="71">
        <f t="shared" si="26"/>
        <v>0</v>
      </c>
      <c r="F186" s="71">
        <f t="shared" si="26"/>
        <v>0</v>
      </c>
      <c r="G186" s="71">
        <f t="shared" si="26"/>
        <v>0</v>
      </c>
      <c r="H186" s="71">
        <f t="shared" si="26"/>
        <v>0</v>
      </c>
      <c r="I186" s="71">
        <f t="shared" si="26"/>
        <v>0</v>
      </c>
      <c r="J186" s="71">
        <f t="shared" si="26"/>
        <v>0</v>
      </c>
      <c r="K186" s="71">
        <f t="shared" si="26"/>
        <v>0</v>
      </c>
      <c r="L186" s="71">
        <f t="shared" si="26"/>
        <v>0</v>
      </c>
      <c r="M186" s="71">
        <f t="shared" si="26"/>
        <v>0</v>
      </c>
      <c r="N186" s="73">
        <f t="shared" si="26"/>
        <v>0</v>
      </c>
      <c r="O186" s="71">
        <f t="shared" si="17"/>
        <v>0</v>
      </c>
    </row>
    <row r="187" spans="1:15" x14ac:dyDescent="0.2">
      <c r="A187" s="34" t="s">
        <v>286</v>
      </c>
      <c r="B187" s="34" t="s">
        <v>347</v>
      </c>
      <c r="C187" s="71">
        <f t="shared" si="26"/>
        <v>0</v>
      </c>
      <c r="D187" s="71">
        <f t="shared" si="26"/>
        <v>0</v>
      </c>
      <c r="E187" s="71">
        <f t="shared" si="26"/>
        <v>0</v>
      </c>
      <c r="F187" s="71">
        <f t="shared" si="26"/>
        <v>0</v>
      </c>
      <c r="G187" s="71">
        <f t="shared" si="26"/>
        <v>0</v>
      </c>
      <c r="H187" s="71">
        <f t="shared" si="26"/>
        <v>0</v>
      </c>
      <c r="I187" s="71">
        <f t="shared" si="26"/>
        <v>0</v>
      </c>
      <c r="J187" s="71">
        <f t="shared" si="26"/>
        <v>0</v>
      </c>
      <c r="K187" s="71">
        <f t="shared" si="26"/>
        <v>0</v>
      </c>
      <c r="L187" s="71">
        <f t="shared" si="26"/>
        <v>0</v>
      </c>
      <c r="M187" s="71">
        <f t="shared" si="26"/>
        <v>0</v>
      </c>
      <c r="N187" s="73">
        <f t="shared" si="26"/>
        <v>0</v>
      </c>
      <c r="O187" s="71">
        <f t="shared" si="17"/>
        <v>0</v>
      </c>
    </row>
    <row r="188" spans="1:15" x14ac:dyDescent="0.2">
      <c r="A188" s="1055" t="s">
        <v>306</v>
      </c>
      <c r="B188" s="1056"/>
      <c r="C188" s="1056"/>
      <c r="D188" s="1056"/>
      <c r="E188" s="1056"/>
      <c r="F188" s="1056"/>
      <c r="G188" s="1056"/>
      <c r="H188" s="1056"/>
      <c r="I188" s="1056"/>
      <c r="J188" s="1056"/>
      <c r="K188" s="1056"/>
      <c r="L188" s="1056"/>
      <c r="M188" s="1056"/>
      <c r="N188" s="1056"/>
      <c r="O188" s="1057"/>
    </row>
    <row r="189" spans="1:15" x14ac:dyDescent="0.2">
      <c r="A189" s="63" t="s">
        <v>279</v>
      </c>
      <c r="B189" s="63"/>
      <c r="C189" s="64">
        <v>43556</v>
      </c>
      <c r="D189" s="64">
        <v>43586</v>
      </c>
      <c r="E189" s="64">
        <v>43617</v>
      </c>
      <c r="F189" s="64">
        <v>43647</v>
      </c>
      <c r="G189" s="64">
        <v>43678</v>
      </c>
      <c r="H189" s="64">
        <v>43709</v>
      </c>
      <c r="I189" s="64">
        <v>43739</v>
      </c>
      <c r="J189" s="64">
        <v>43770</v>
      </c>
      <c r="K189" s="64">
        <v>43800</v>
      </c>
      <c r="L189" s="64">
        <v>43831</v>
      </c>
      <c r="M189" s="64">
        <v>43862</v>
      </c>
      <c r="N189" s="65">
        <v>43891</v>
      </c>
      <c r="O189" s="66" t="s">
        <v>347</v>
      </c>
    </row>
    <row r="190" spans="1:15" x14ac:dyDescent="0.2">
      <c r="A190" s="34" t="s">
        <v>280</v>
      </c>
      <c r="B190" s="34"/>
      <c r="C190" s="34">
        <v>0</v>
      </c>
      <c r="D190" s="34">
        <v>0</v>
      </c>
      <c r="E190" s="34"/>
      <c r="F190" s="34"/>
      <c r="G190" s="34"/>
      <c r="H190" s="34"/>
      <c r="I190" s="34"/>
      <c r="J190" s="34"/>
      <c r="K190" s="34"/>
      <c r="L190" s="34"/>
      <c r="M190" s="34"/>
      <c r="N190" s="74"/>
      <c r="O190" s="71">
        <f t="shared" si="17"/>
        <v>0</v>
      </c>
    </row>
    <row r="191" spans="1:15" x14ac:dyDescent="0.2">
      <c r="A191" s="34" t="s">
        <v>281</v>
      </c>
      <c r="B191" s="34" t="s">
        <v>402</v>
      </c>
      <c r="C191" s="71">
        <f>+C192+C193+C194</f>
        <v>0</v>
      </c>
      <c r="D191" s="71">
        <f t="shared" ref="D191:N191" si="27">+D192+D193+D194</f>
        <v>0</v>
      </c>
      <c r="E191" s="71">
        <f t="shared" si="27"/>
        <v>0</v>
      </c>
      <c r="F191" s="71">
        <f t="shared" si="27"/>
        <v>0</v>
      </c>
      <c r="G191" s="71">
        <f t="shared" si="27"/>
        <v>0</v>
      </c>
      <c r="H191" s="71">
        <f t="shared" si="27"/>
        <v>0</v>
      </c>
      <c r="I191" s="71">
        <f t="shared" si="27"/>
        <v>0</v>
      </c>
      <c r="J191" s="71">
        <f t="shared" si="27"/>
        <v>0</v>
      </c>
      <c r="K191" s="71">
        <f t="shared" si="27"/>
        <v>0</v>
      </c>
      <c r="L191" s="71">
        <f t="shared" si="27"/>
        <v>0</v>
      </c>
      <c r="M191" s="71">
        <f t="shared" si="27"/>
        <v>0</v>
      </c>
      <c r="N191" s="73">
        <f t="shared" si="27"/>
        <v>0</v>
      </c>
      <c r="O191" s="71">
        <f t="shared" si="17"/>
        <v>0</v>
      </c>
    </row>
    <row r="192" spans="1:15" x14ac:dyDescent="0.2">
      <c r="A192" s="34" t="s">
        <v>282</v>
      </c>
      <c r="B192" s="34" t="s">
        <v>402</v>
      </c>
      <c r="C192" s="68">
        <f>SUMIFS(SALE!$K$6:$K$10000,SALE!$A$6:$A$10000,C189,SALE!$Q$6:$Q$10000,$B$5:$B$1104)</f>
        <v>0</v>
      </c>
      <c r="D192" s="68">
        <f>SUMIFS(SALE!$K$6:$K$10000,SALE!$A$6:$A$10000,D189,SALE!$Q$6:$Q$10000,$B$5:$B$1104)</f>
        <v>0</v>
      </c>
      <c r="E192" s="68">
        <f>SUMIFS(SALE!$K$6:$K$10000,SALE!$A$6:$A$10000,E189,SALE!$Q$6:$Q$10000,$B$5:$B$1104)</f>
        <v>0</v>
      </c>
      <c r="F192" s="68">
        <f>SUMIFS(SALE!$K$6:$K$10000,SALE!$A$6:$A$10000,F189,SALE!$Q$6:$Q$10000,$B$5:$B$1104)</f>
        <v>0</v>
      </c>
      <c r="G192" s="68">
        <f>SUMIFS(SALE!$K$6:$K$10000,SALE!$A$6:$A$10000,G189,SALE!$Q$6:$Q$10000,$B$5:$B$1104)</f>
        <v>0</v>
      </c>
      <c r="H192" s="68">
        <f>SUMIFS(SALE!$K$6:$K$10000,SALE!$A$6:$A$10000,H189,SALE!$Q$6:$Q$10000,$B$5:$B$1104)</f>
        <v>0</v>
      </c>
      <c r="I192" s="68">
        <f>SUMIFS(SALE!$K$6:$K$10000,SALE!$A$6:$A$10000,I189,SALE!$Q$6:$Q$10000,$B$5:$B$1104)</f>
        <v>0</v>
      </c>
      <c r="J192" s="68">
        <f>SUMIFS(SALE!$K$6:$K$10000,SALE!$A$6:$A$10000,J189,SALE!$Q$6:$Q$10000,$B$5:$B$1104)</f>
        <v>0</v>
      </c>
      <c r="K192" s="68">
        <f>SUMIFS(SALE!$K$6:$K$10000,SALE!$A$6:$A$10000,K189,SALE!$Q$6:$Q$10000,$B$5:$B$1104)</f>
        <v>0</v>
      </c>
      <c r="L192" s="68">
        <f>SUMIFS(SALE!$K$6:$K$10000,SALE!$A$6:$A$10000,L189,SALE!$Q$6:$Q$10000,$B$5:$B$1104)</f>
        <v>0</v>
      </c>
      <c r="M192" s="68">
        <f>SUMIFS(SALE!$K$6:$K$10000,SALE!$A$6:$A$10000,M189,SALE!$Q$6:$Q$10000,$B$5:$B$1104)</f>
        <v>0</v>
      </c>
      <c r="N192" s="70">
        <f>SUMIFS(SALE!$K$6:$K$10000,SALE!$A$6:$A$10000,N189,SALE!$Q$6:$Q$10000,$B$5:$B$1104)</f>
        <v>0</v>
      </c>
      <c r="O192" s="71">
        <f t="shared" si="17"/>
        <v>0</v>
      </c>
    </row>
    <row r="193" spans="1:15" x14ac:dyDescent="0.2">
      <c r="A193" s="34" t="s">
        <v>283</v>
      </c>
      <c r="B193" s="34" t="s">
        <v>402</v>
      </c>
      <c r="C193" s="68">
        <f>SUMIFS(SALE!$L$6:$L$10000,SALE!$A$6:$A$10000,C189,SALE!$Q$6:$Q$10000,$B$5:$B$1104)</f>
        <v>0</v>
      </c>
      <c r="D193" s="68">
        <f>SUMIFS(SALE!$L$6:$L$10000,SALE!$A$6:$A$10000,D189,SALE!$Q$6:$Q$10000,$B$5:$B$1104)</f>
        <v>0</v>
      </c>
      <c r="E193" s="68">
        <f>SUMIFS(SALE!$L$6:$L$10000,SALE!$A$6:$A$10000,E189,SALE!$Q$6:$Q$10000,$B$5:$B$1104)</f>
        <v>0</v>
      </c>
      <c r="F193" s="68">
        <f>SUMIFS(SALE!$L$6:$L$10000,SALE!$A$6:$A$10000,F189,SALE!$Q$6:$Q$10000,$B$5:$B$1104)</f>
        <v>0</v>
      </c>
      <c r="G193" s="68">
        <f>SUMIFS(SALE!$L$6:$L$10000,SALE!$A$6:$A$10000,G189,SALE!$Q$6:$Q$10000,$B$5:$B$1104)</f>
        <v>0</v>
      </c>
      <c r="H193" s="68">
        <f>SUMIFS(SALE!$L$6:$L$10000,SALE!$A$6:$A$10000,H189,SALE!$Q$6:$Q$10000,$B$5:$B$1104)</f>
        <v>0</v>
      </c>
      <c r="I193" s="68">
        <f>SUMIFS(SALE!$L$6:$L$10000,SALE!$A$6:$A$10000,I189,SALE!$Q$6:$Q$10000,$B$5:$B$1104)</f>
        <v>0</v>
      </c>
      <c r="J193" s="68">
        <f>SUMIFS(SALE!$L$6:$L$10000,SALE!$A$6:$A$10000,J189,SALE!$Q$6:$Q$10000,$B$5:$B$1104)</f>
        <v>0</v>
      </c>
      <c r="K193" s="68">
        <f>SUMIFS(SALE!$L$6:$L$10000,SALE!$A$6:$A$10000,K189,SALE!$Q$6:$Q$10000,$B$5:$B$1104)</f>
        <v>0</v>
      </c>
      <c r="L193" s="68">
        <f>SUMIFS(SALE!$L$6:$L$10000,SALE!$A$6:$A$10000,L189,SALE!$Q$6:$Q$10000,$B$5:$B$1104)</f>
        <v>0</v>
      </c>
      <c r="M193" s="68">
        <f>SUMIFS(SALE!$L$6:$L$10000,SALE!$A$6:$A$10000,M189,SALE!$Q$6:$Q$10000,$B$5:$B$1104)</f>
        <v>0</v>
      </c>
      <c r="N193" s="70">
        <f>SUMIFS(SALE!$L$6:$L$10000,SALE!$A$6:$A$10000,N189,SALE!$Q$6:$Q$10000,$B$5:$B$1104)</f>
        <v>0</v>
      </c>
      <c r="O193" s="71">
        <f t="shared" si="17"/>
        <v>0</v>
      </c>
    </row>
    <row r="194" spans="1:15" x14ac:dyDescent="0.2">
      <c r="A194" s="1006" t="s">
        <v>307</v>
      </c>
      <c r="B194" s="1007"/>
      <c r="C194" s="1007"/>
      <c r="D194" s="1007"/>
      <c r="E194" s="1007"/>
      <c r="F194" s="1007"/>
      <c r="G194" s="1007"/>
      <c r="H194" s="1007"/>
      <c r="I194" s="1007"/>
      <c r="J194" s="1007"/>
      <c r="K194" s="1007"/>
      <c r="L194" s="1007"/>
      <c r="M194" s="1007"/>
      <c r="N194" s="1007"/>
      <c r="O194" s="1008"/>
    </row>
    <row r="195" spans="1:15" x14ac:dyDescent="0.2">
      <c r="A195" s="63" t="s">
        <v>279</v>
      </c>
      <c r="B195" s="63"/>
      <c r="C195" s="64">
        <v>43556</v>
      </c>
      <c r="D195" s="64">
        <v>43586</v>
      </c>
      <c r="E195" s="64">
        <v>43617</v>
      </c>
      <c r="F195" s="64">
        <v>43647</v>
      </c>
      <c r="G195" s="64">
        <v>43678</v>
      </c>
      <c r="H195" s="64">
        <v>43709</v>
      </c>
      <c r="I195" s="64">
        <v>43739</v>
      </c>
      <c r="J195" s="64">
        <v>43770</v>
      </c>
      <c r="K195" s="64">
        <v>43800</v>
      </c>
      <c r="L195" s="64">
        <v>43831</v>
      </c>
      <c r="M195" s="64">
        <v>43862</v>
      </c>
      <c r="N195" s="65">
        <v>43891</v>
      </c>
      <c r="O195" s="66" t="s">
        <v>347</v>
      </c>
    </row>
    <row r="196" spans="1:15" x14ac:dyDescent="0.2">
      <c r="A196" s="34" t="s">
        <v>280</v>
      </c>
      <c r="B196" s="34"/>
      <c r="C196" s="34"/>
      <c r="D196" s="34"/>
      <c r="E196" s="34"/>
      <c r="F196" s="34"/>
      <c r="G196" s="34"/>
      <c r="H196" s="34"/>
      <c r="I196" s="34"/>
      <c r="J196" s="34"/>
      <c r="K196" s="34"/>
      <c r="L196" s="34"/>
      <c r="M196" s="34"/>
      <c r="N196" s="74"/>
      <c r="O196" s="71">
        <f t="shared" si="17"/>
        <v>0</v>
      </c>
    </row>
    <row r="197" spans="1:15" x14ac:dyDescent="0.2">
      <c r="A197" s="34" t="s">
        <v>281</v>
      </c>
      <c r="B197" s="34" t="s">
        <v>388</v>
      </c>
      <c r="C197" s="68">
        <f>+C198+C199+C200+C201+C202</f>
        <v>0</v>
      </c>
      <c r="D197" s="68">
        <f t="shared" ref="D197:N197" si="28">+D198+D199+D200+D201+D202</f>
        <v>0</v>
      </c>
      <c r="E197" s="68">
        <f t="shared" si="28"/>
        <v>0</v>
      </c>
      <c r="F197" s="68">
        <f t="shared" si="28"/>
        <v>0</v>
      </c>
      <c r="G197" s="68">
        <f t="shared" si="28"/>
        <v>0</v>
      </c>
      <c r="H197" s="68">
        <f t="shared" si="28"/>
        <v>0</v>
      </c>
      <c r="I197" s="68">
        <f t="shared" si="28"/>
        <v>0</v>
      </c>
      <c r="J197" s="68">
        <f t="shared" si="28"/>
        <v>0</v>
      </c>
      <c r="K197" s="68">
        <f t="shared" si="28"/>
        <v>0</v>
      </c>
      <c r="L197" s="68">
        <f t="shared" si="28"/>
        <v>0</v>
      </c>
      <c r="M197" s="68">
        <f t="shared" si="28"/>
        <v>0</v>
      </c>
      <c r="N197" s="70">
        <f t="shared" si="28"/>
        <v>0</v>
      </c>
      <c r="O197" s="71">
        <f t="shared" si="17"/>
        <v>0</v>
      </c>
    </row>
    <row r="198" spans="1:15" x14ac:dyDescent="0.2">
      <c r="A198" s="34" t="s">
        <v>282</v>
      </c>
      <c r="B198" s="34" t="s">
        <v>388</v>
      </c>
      <c r="C198" s="68">
        <f>SUMIFS(SALE!$K$6:$K$10000,SALE!$A$6:$A$10000,C195,SALE!$Q$6:$Q$10000,$B$5:$B$1104)</f>
        <v>0</v>
      </c>
      <c r="D198" s="68">
        <f>SUMIFS(SALE!$K$6:$K$10000,SALE!$A$6:$A$10000,D195,SALE!$Q$6:$Q$10000,$B$5:$B$1104)</f>
        <v>0</v>
      </c>
      <c r="E198" s="68">
        <f>SUMIFS(SALE!$K$6:$K$10000,SALE!$A$6:$A$10000,E195,SALE!$Q$6:$Q$10000,$B$5:$B$1104)</f>
        <v>0</v>
      </c>
      <c r="F198" s="68">
        <f>SUMIFS(SALE!$K$6:$K$10000,SALE!$A$6:$A$10000,F195,SALE!$Q$6:$Q$10000,$B$5:$B$1104)</f>
        <v>0</v>
      </c>
      <c r="G198" s="68">
        <f>SUMIFS(SALE!$K$6:$K$10000,SALE!$A$6:$A$10000,G195,SALE!$Q$6:$Q$10000,$B$5:$B$1104)</f>
        <v>0</v>
      </c>
      <c r="H198" s="68">
        <f>SUMIFS(SALE!$K$6:$K$10000,SALE!$A$6:$A$10000,H195,SALE!$Q$6:$Q$10000,$B$5:$B$1104)</f>
        <v>0</v>
      </c>
      <c r="I198" s="68">
        <f>SUMIFS(SALE!$K$6:$K$10000,SALE!$A$6:$A$10000,I195,SALE!$Q$6:$Q$10000,$B$5:$B$1104)</f>
        <v>0</v>
      </c>
      <c r="J198" s="68">
        <f>SUMIFS(SALE!$K$6:$K$10000,SALE!$A$6:$A$10000,J195,SALE!$Q$6:$Q$10000,$B$5:$B$1104)</f>
        <v>0</v>
      </c>
      <c r="K198" s="68">
        <f>SUMIFS(SALE!$K$6:$K$10000,SALE!$A$6:$A$10000,K195,SALE!$Q$6:$Q$10000,$B$5:$B$1104)</f>
        <v>0</v>
      </c>
      <c r="L198" s="68">
        <f>SUMIFS(SALE!$K$6:$K$10000,SALE!$A$6:$A$10000,L195,SALE!$Q$6:$Q$10000,$B$5:$B$1104)</f>
        <v>0</v>
      </c>
      <c r="M198" s="68">
        <f>SUMIFS(SALE!$K$6:$K$10000,SALE!$A$6:$A$10000,M195,SALE!$Q$6:$Q$10000,$B$5:$B$1104)</f>
        <v>0</v>
      </c>
      <c r="N198" s="70">
        <f>SUMIFS(SALE!$K$6:$K$10000,SALE!$A$6:$A$10000,N195,SALE!$Q$6:$Q$10000,$B$5:$B$1104)</f>
        <v>0</v>
      </c>
      <c r="O198" s="71">
        <f t="shared" ref="O198:O229" si="29">SUM(C198:N198)</f>
        <v>0</v>
      </c>
    </row>
    <row r="199" spans="1:15" x14ac:dyDescent="0.2">
      <c r="A199" s="34" t="s">
        <v>283</v>
      </c>
      <c r="B199" s="34" t="s">
        <v>388</v>
      </c>
      <c r="C199" s="68">
        <f>SUMIFS(SALE!$L$6:$L$10000,SALE!$A$6:$A$10000,C195,SALE!$Q$6:$Q$10000,$B$5:$B$1104)</f>
        <v>0</v>
      </c>
      <c r="D199" s="68">
        <f>SUMIFS(SALE!$L$6:$L$10000,SALE!$A$6:$A$10000,D195,SALE!$Q$6:$Q$10000,$B$5:$B$1104)</f>
        <v>0</v>
      </c>
      <c r="E199" s="68">
        <f>SUMIFS(SALE!$L$6:$L$10000,SALE!$A$6:$A$10000,E195,SALE!$Q$6:$Q$10000,$B$5:$B$1104)</f>
        <v>0</v>
      </c>
      <c r="F199" s="68">
        <f>SUMIFS(SALE!$L$6:$L$10000,SALE!$A$6:$A$10000,F195,SALE!$Q$6:$Q$10000,$B$5:$B$1104)</f>
        <v>0</v>
      </c>
      <c r="G199" s="68">
        <f>SUMIFS(SALE!$L$6:$L$10000,SALE!$A$6:$A$10000,G195,SALE!$Q$6:$Q$10000,$B$5:$B$1104)</f>
        <v>0</v>
      </c>
      <c r="H199" s="68">
        <f>SUMIFS(SALE!$L$6:$L$10000,SALE!$A$6:$A$10000,H195,SALE!$Q$6:$Q$10000,$B$5:$B$1104)</f>
        <v>0</v>
      </c>
      <c r="I199" s="68">
        <f>SUMIFS(SALE!$L$6:$L$10000,SALE!$A$6:$A$10000,I195,SALE!$Q$6:$Q$10000,$B$5:$B$1104)</f>
        <v>0</v>
      </c>
      <c r="J199" s="68">
        <f>SUMIFS(SALE!$L$6:$L$10000,SALE!$A$6:$A$10000,J195,SALE!$Q$6:$Q$10000,$B$5:$B$1104)</f>
        <v>0</v>
      </c>
      <c r="K199" s="68">
        <f>SUMIFS(SALE!$L$6:$L$10000,SALE!$A$6:$A$10000,K195,SALE!$Q$6:$Q$10000,$B$5:$B$1104)</f>
        <v>0</v>
      </c>
      <c r="L199" s="68">
        <f>SUMIFS(SALE!$L$6:$L$10000,SALE!$A$6:$A$10000,L195,SALE!$Q$6:$Q$10000,$B$5:$B$1104)</f>
        <v>0</v>
      </c>
      <c r="M199" s="68">
        <f>SUMIFS(SALE!$L$6:$L$10000,SALE!$A$6:$A$10000,M195,SALE!$Q$6:$Q$10000,$B$5:$B$1104)</f>
        <v>0</v>
      </c>
      <c r="N199" s="70">
        <f>SUMIFS(SALE!$L$6:$L$10000,SALE!$A$6:$A$10000,N195,SALE!$Q$6:$Q$10000,$B$5:$B$1104)</f>
        <v>0</v>
      </c>
      <c r="O199" s="71">
        <f t="shared" si="29"/>
        <v>0</v>
      </c>
    </row>
    <row r="200" spans="1:15" x14ac:dyDescent="0.2">
      <c r="A200" s="34" t="s">
        <v>284</v>
      </c>
      <c r="B200" s="34" t="s">
        <v>388</v>
      </c>
      <c r="C200" s="68">
        <f>SUMIFS(SALE!$M$6:$M$10000,SALE!$A$6:$A$10000,C195,SALE!$Q$6:$Q$10000,$B$5:$B$1104)</f>
        <v>0</v>
      </c>
      <c r="D200" s="68">
        <f>SUMIFS(SALE!$M$6:$M$10000,SALE!$A$6:$A$10000,D195,SALE!$Q$6:$Q$10000,$B$5:$B$1104)</f>
        <v>0</v>
      </c>
      <c r="E200" s="68">
        <f>SUMIFS(SALE!$M$6:$M$10000,SALE!$A$6:$A$10000,E195,SALE!$Q$6:$Q$10000,$B$5:$B$1104)</f>
        <v>0</v>
      </c>
      <c r="F200" s="68">
        <f>SUMIFS(SALE!$M$6:$M$10000,SALE!$A$6:$A$10000,F195,SALE!$Q$6:$Q$10000,$B$5:$B$1104)</f>
        <v>0</v>
      </c>
      <c r="G200" s="68">
        <f>SUMIFS(SALE!$M$6:$M$10000,SALE!$A$6:$A$10000,G195,SALE!$Q$6:$Q$10000,$B$5:$B$1104)</f>
        <v>0</v>
      </c>
      <c r="H200" s="68">
        <f>SUMIFS(SALE!$M$6:$M$10000,SALE!$A$6:$A$10000,H195,SALE!$Q$6:$Q$10000,$B$5:$B$1104)</f>
        <v>0</v>
      </c>
      <c r="I200" s="68">
        <f>SUMIFS(SALE!$M$6:$M$10000,SALE!$A$6:$A$10000,I195,SALE!$Q$6:$Q$10000,$B$5:$B$1104)</f>
        <v>0</v>
      </c>
      <c r="J200" s="68">
        <f>SUMIFS(SALE!$M$6:$M$10000,SALE!$A$6:$A$10000,J195,SALE!$Q$6:$Q$10000,$B$5:$B$1104)</f>
        <v>0</v>
      </c>
      <c r="K200" s="68">
        <f>SUMIFS(SALE!$M$6:$M$10000,SALE!$A$6:$A$10000,K195,SALE!$Q$6:$Q$10000,$B$5:$B$1104)</f>
        <v>0</v>
      </c>
      <c r="L200" s="68">
        <f>SUMIFS(SALE!$M$6:$M$10000,SALE!$A$6:$A$10000,L195,SALE!$Q$6:$Q$10000,$B$5:$B$1104)</f>
        <v>0</v>
      </c>
      <c r="M200" s="68">
        <f>SUMIFS(SALE!$M$6:$M$10000,SALE!$A$6:$A$10000,M195,SALE!$Q$6:$Q$10000,$B$5:$B$1104)</f>
        <v>0</v>
      </c>
      <c r="N200" s="70">
        <f>SUMIFS(SALE!$M$6:$M$10000,SALE!$A$6:$A$10000,N195,SALE!$Q$6:$Q$10000,$B$5:$B$1104)</f>
        <v>0</v>
      </c>
      <c r="O200" s="71">
        <f t="shared" si="29"/>
        <v>0</v>
      </c>
    </row>
    <row r="201" spans="1:15" x14ac:dyDescent="0.2">
      <c r="A201" s="34" t="s">
        <v>285</v>
      </c>
      <c r="B201" s="34" t="s">
        <v>388</v>
      </c>
      <c r="C201" s="68">
        <f>SUMIFS(SALE!$N$6:$N$10000,SALE!$A$6:$A$10000,C195,SALE!$Q$6:$Q$10000,$B$5:$B$1104)</f>
        <v>0</v>
      </c>
      <c r="D201" s="68">
        <f>SUMIFS(SALE!$N$6:$N$10000,SALE!$A$6:$A$10000,D195,SALE!$Q$6:$Q$10000,$B$5:$B$1104)</f>
        <v>0</v>
      </c>
      <c r="E201" s="68">
        <f>SUMIFS(SALE!$N$6:$N$10000,SALE!$A$6:$A$10000,E195,SALE!$Q$6:$Q$10000,$B$5:$B$1104)</f>
        <v>0</v>
      </c>
      <c r="F201" s="68">
        <f>SUMIFS(SALE!$N$6:$N$10000,SALE!$A$6:$A$10000,F195,SALE!$Q$6:$Q$10000,$B$5:$B$1104)</f>
        <v>0</v>
      </c>
      <c r="G201" s="68">
        <f>SUMIFS(SALE!$N$6:$N$10000,SALE!$A$6:$A$10000,G195,SALE!$Q$6:$Q$10000,$B$5:$B$1104)</f>
        <v>0</v>
      </c>
      <c r="H201" s="68">
        <f>SUMIFS(SALE!$N$6:$N$10000,SALE!$A$6:$A$10000,H195,SALE!$Q$6:$Q$10000,$B$5:$B$1104)</f>
        <v>0</v>
      </c>
      <c r="I201" s="68">
        <f>SUMIFS(SALE!$N$6:$N$10000,SALE!$A$6:$A$10000,I195,SALE!$Q$6:$Q$10000,$B$5:$B$1104)</f>
        <v>0</v>
      </c>
      <c r="J201" s="68">
        <f>SUMIFS(SALE!$N$6:$N$10000,SALE!$A$6:$A$10000,J195,SALE!$Q$6:$Q$10000,$B$5:$B$1104)</f>
        <v>0</v>
      </c>
      <c r="K201" s="68">
        <f>SUMIFS(SALE!$N$6:$N$10000,SALE!$A$6:$A$10000,K195,SALE!$Q$6:$Q$10000,$B$5:$B$1104)</f>
        <v>0</v>
      </c>
      <c r="L201" s="68">
        <f>SUMIFS(SALE!$N$6:$N$10000,SALE!$A$6:$A$10000,L195,SALE!$Q$6:$Q$10000,$B$5:$B$1104)</f>
        <v>0</v>
      </c>
      <c r="M201" s="68">
        <f>SUMIFS(SALE!$N$6:$N$10000,SALE!$A$6:$A$10000,M195,SALE!$Q$6:$Q$10000,$B$5:$B$1104)</f>
        <v>0</v>
      </c>
      <c r="N201" s="70">
        <f>SUMIFS(SALE!$N$6:$N$10000,SALE!$A$6:$A$10000,N195,SALE!$Q$6:$Q$10000,$B$5:$B$1104)</f>
        <v>0</v>
      </c>
      <c r="O201" s="71">
        <f t="shared" si="29"/>
        <v>0</v>
      </c>
    </row>
    <row r="202" spans="1:15" x14ac:dyDescent="0.2">
      <c r="A202" s="34" t="s">
        <v>286</v>
      </c>
      <c r="B202" s="34" t="s">
        <v>388</v>
      </c>
      <c r="C202" s="68">
        <f>SUMIFS(SALE!$O$6:$O$10000,SALE!$A$6:$A$10000,C195,SALE!$Q$6:$Q$10000,$B$5:$B$1104)</f>
        <v>0</v>
      </c>
      <c r="D202" s="68">
        <f>SUMIFS(SALE!$O$6:$O$10000,SALE!$A$6:$A$10000,D195,SALE!$Q$6:$Q$10000,$B$5:$B$1104)</f>
        <v>0</v>
      </c>
      <c r="E202" s="68">
        <f>SUMIFS(SALE!$O$6:$O$10000,SALE!$A$6:$A$10000,E195,SALE!$Q$6:$Q$10000,$B$5:$B$1104)</f>
        <v>0</v>
      </c>
      <c r="F202" s="68">
        <f>SUMIFS(SALE!$O$6:$O$10000,SALE!$A$6:$A$10000,F195,SALE!$Q$6:$Q$10000,$B$5:$B$1104)</f>
        <v>0</v>
      </c>
      <c r="G202" s="68">
        <f>SUMIFS(SALE!$O$6:$O$10000,SALE!$A$6:$A$10000,G195,SALE!$Q$6:$Q$10000,$B$5:$B$1104)</f>
        <v>0</v>
      </c>
      <c r="H202" s="68">
        <f>SUMIFS(SALE!$O$6:$O$10000,SALE!$A$6:$A$10000,H195,SALE!$Q$6:$Q$10000,$B$5:$B$1104)</f>
        <v>0</v>
      </c>
      <c r="I202" s="68">
        <f>SUMIFS(SALE!$O$6:$O$10000,SALE!$A$6:$A$10000,I195,SALE!$Q$6:$Q$10000,$B$5:$B$1104)</f>
        <v>0</v>
      </c>
      <c r="J202" s="68">
        <f>SUMIFS(SALE!$O$6:$O$10000,SALE!$A$6:$A$10000,J195,SALE!$Q$6:$Q$10000,$B$5:$B$1104)</f>
        <v>0</v>
      </c>
      <c r="K202" s="68">
        <f>SUMIFS(SALE!$O$6:$O$10000,SALE!$A$6:$A$10000,K195,SALE!$Q$6:$Q$10000,$B$5:$B$1104)</f>
        <v>0</v>
      </c>
      <c r="L202" s="68">
        <f>SUMIFS(SALE!$O$6:$O$10000,SALE!$A$6:$A$10000,L195,SALE!$Q$6:$Q$10000,$B$5:$B$1104)</f>
        <v>0</v>
      </c>
      <c r="M202" s="68">
        <f>SUMIFS(SALE!$O$6:$O$10000,SALE!$A$6:$A$10000,M195,SALE!$Q$6:$Q$10000,$B$5:$B$1104)</f>
        <v>0</v>
      </c>
      <c r="N202" s="70">
        <f>SUMIFS(SALE!$O$6:$O$10000,SALE!$A$6:$A$10000,N195,SALE!$Q$6:$Q$10000,$B$5:$B$1104)</f>
        <v>0</v>
      </c>
      <c r="O202" s="71">
        <f t="shared" si="29"/>
        <v>0</v>
      </c>
    </row>
    <row r="203" spans="1:15" x14ac:dyDescent="0.2">
      <c r="A203" s="1006" t="s">
        <v>347</v>
      </c>
      <c r="B203" s="1007"/>
      <c r="C203" s="1007"/>
      <c r="D203" s="1007"/>
      <c r="E203" s="1007"/>
      <c r="F203" s="1007"/>
      <c r="G203" s="1007"/>
      <c r="H203" s="1007"/>
      <c r="I203" s="1007"/>
      <c r="J203" s="1007"/>
      <c r="K203" s="1007"/>
      <c r="L203" s="1007"/>
      <c r="M203" s="1007"/>
      <c r="N203" s="1007"/>
      <c r="O203" s="1008"/>
    </row>
    <row r="204" spans="1:15" x14ac:dyDescent="0.2">
      <c r="A204" s="63" t="s">
        <v>279</v>
      </c>
      <c r="B204" s="63"/>
      <c r="C204" s="64">
        <v>43556</v>
      </c>
      <c r="D204" s="64">
        <v>43586</v>
      </c>
      <c r="E204" s="64">
        <v>43617</v>
      </c>
      <c r="F204" s="64">
        <v>43647</v>
      </c>
      <c r="G204" s="64">
        <v>43678</v>
      </c>
      <c r="H204" s="64">
        <v>43709</v>
      </c>
      <c r="I204" s="64">
        <v>43739</v>
      </c>
      <c r="J204" s="64">
        <v>43770</v>
      </c>
      <c r="K204" s="64">
        <v>43800</v>
      </c>
      <c r="L204" s="64">
        <v>43831</v>
      </c>
      <c r="M204" s="64">
        <v>43862</v>
      </c>
      <c r="N204" s="65">
        <v>43891</v>
      </c>
      <c r="O204" s="66" t="s">
        <v>347</v>
      </c>
    </row>
    <row r="205" spans="1:15" x14ac:dyDescent="0.2">
      <c r="A205" s="77" t="s">
        <v>281</v>
      </c>
      <c r="B205" s="77"/>
      <c r="C205" s="78">
        <f>+C6+C15+C40+C63+C76</f>
        <v>4218128.9145999961</v>
      </c>
      <c r="D205" s="78">
        <f t="shared" ref="D205:N205" si="30">+D6+D15+D40+D63+D76</f>
        <v>5037615.2319999989</v>
      </c>
      <c r="E205" s="78">
        <f t="shared" si="30"/>
        <v>7150535.2697199974</v>
      </c>
      <c r="F205" s="78">
        <f t="shared" si="30"/>
        <v>8118439.6099999947</v>
      </c>
      <c r="G205" s="78">
        <f t="shared" si="30"/>
        <v>6588737.6375999963</v>
      </c>
      <c r="H205" s="78">
        <f t="shared" si="30"/>
        <v>5853050.2851999998</v>
      </c>
      <c r="I205" s="78">
        <f t="shared" si="30"/>
        <v>5195214.9596000006</v>
      </c>
      <c r="J205" s="78">
        <f t="shared" si="30"/>
        <v>3093087.6043999996</v>
      </c>
      <c r="K205" s="78">
        <f t="shared" si="30"/>
        <v>3823717.7932000002</v>
      </c>
      <c r="L205" s="78">
        <f t="shared" si="30"/>
        <v>6518351.3991999961</v>
      </c>
      <c r="M205" s="78">
        <f t="shared" si="30"/>
        <v>0</v>
      </c>
      <c r="N205" s="79">
        <f t="shared" si="30"/>
        <v>0</v>
      </c>
      <c r="O205" s="71">
        <f t="shared" si="29"/>
        <v>55596878.705519989</v>
      </c>
    </row>
    <row r="206" spans="1:15" x14ac:dyDescent="0.2">
      <c r="A206" s="77" t="s">
        <v>282</v>
      </c>
      <c r="B206" s="77"/>
      <c r="C206" s="78">
        <f>+C7+C16+C41+C64+C77</f>
        <v>3348680.7699999963</v>
      </c>
      <c r="D206" s="78">
        <f t="shared" ref="D206:N206" si="31">+D7+D16+D41+D64+D77</f>
        <v>4057558.6999999983</v>
      </c>
      <c r="E206" s="78">
        <f t="shared" si="31"/>
        <v>5748383.1739999969</v>
      </c>
      <c r="F206" s="78">
        <f t="shared" si="31"/>
        <v>6550168.9499999927</v>
      </c>
      <c r="G206" s="78">
        <f t="shared" si="31"/>
        <v>5362317.6199999955</v>
      </c>
      <c r="H206" s="78">
        <f t="shared" si="31"/>
        <v>4785767.8899999997</v>
      </c>
      <c r="I206" s="78">
        <f t="shared" si="31"/>
        <v>4303915.0199999996</v>
      </c>
      <c r="J206" s="78">
        <f t="shared" si="31"/>
        <v>2528210.6899999995</v>
      </c>
      <c r="K206" s="78">
        <f t="shared" si="31"/>
        <v>3164150.0799999996</v>
      </c>
      <c r="L206" s="78">
        <f t="shared" si="31"/>
        <v>5452403.9399999948</v>
      </c>
      <c r="M206" s="78">
        <f t="shared" si="31"/>
        <v>0</v>
      </c>
      <c r="N206" s="79">
        <f t="shared" si="31"/>
        <v>0</v>
      </c>
      <c r="O206" s="71">
        <f t="shared" si="29"/>
        <v>45301556.833999977</v>
      </c>
    </row>
    <row r="207" spans="1:15" x14ac:dyDescent="0.2">
      <c r="A207" s="77" t="s">
        <v>283</v>
      </c>
      <c r="B207" s="77"/>
      <c r="C207" s="78">
        <f>+C8+C17+C42+C65+C78</f>
        <v>34940.687599999997</v>
      </c>
      <c r="D207" s="78">
        <f t="shared" ref="D207:N207" si="32">+D8+D17+D42+D65+D78</f>
        <v>55549.74040000001</v>
      </c>
      <c r="E207" s="78">
        <f t="shared" si="32"/>
        <v>141109.85840000003</v>
      </c>
      <c r="F207" s="78">
        <f t="shared" si="32"/>
        <v>64427.327999999994</v>
      </c>
      <c r="G207" s="78">
        <f t="shared" si="32"/>
        <v>30473.3688</v>
      </c>
      <c r="H207" s="78">
        <f t="shared" si="32"/>
        <v>75713.330000000016</v>
      </c>
      <c r="I207" s="78">
        <f t="shared" si="32"/>
        <v>51945.630799999992</v>
      </c>
      <c r="J207" s="78">
        <f t="shared" si="32"/>
        <v>50926.2068</v>
      </c>
      <c r="K207" s="78">
        <f t="shared" si="32"/>
        <v>128383.5336</v>
      </c>
      <c r="L207" s="78">
        <f t="shared" si="32"/>
        <v>38884.86</v>
      </c>
      <c r="M207" s="78">
        <f t="shared" si="32"/>
        <v>0</v>
      </c>
      <c r="N207" s="79">
        <f t="shared" si="32"/>
        <v>0</v>
      </c>
      <c r="O207" s="71">
        <f t="shared" si="29"/>
        <v>672354.54440000001</v>
      </c>
    </row>
    <row r="208" spans="1:15" x14ac:dyDescent="0.2">
      <c r="A208" s="77" t="s">
        <v>284</v>
      </c>
      <c r="B208" s="77"/>
      <c r="C208" s="78">
        <f>+C9+C43+C79</f>
        <v>417253.72849999991</v>
      </c>
      <c r="D208" s="78">
        <f t="shared" ref="D208:N208" si="33">+D9+D43+D79</f>
        <v>462253.39580000017</v>
      </c>
      <c r="E208" s="78">
        <f t="shared" si="33"/>
        <v>630521.11866000015</v>
      </c>
      <c r="F208" s="78">
        <f t="shared" si="33"/>
        <v>751921.66600000055</v>
      </c>
      <c r="G208" s="78">
        <f t="shared" si="33"/>
        <v>597973.32440000016</v>
      </c>
      <c r="H208" s="78">
        <f t="shared" si="33"/>
        <v>495784.53260000021</v>
      </c>
      <c r="I208" s="78">
        <f t="shared" si="33"/>
        <v>419677.1544</v>
      </c>
      <c r="J208" s="78">
        <f t="shared" si="33"/>
        <v>256975.35380000001</v>
      </c>
      <c r="K208" s="78">
        <f t="shared" si="33"/>
        <v>265592.08979999996</v>
      </c>
      <c r="L208" s="78">
        <f t="shared" si="33"/>
        <v>513531.29960000014</v>
      </c>
      <c r="M208" s="78">
        <f t="shared" si="33"/>
        <v>0</v>
      </c>
      <c r="N208" s="79">
        <f t="shared" si="33"/>
        <v>0</v>
      </c>
      <c r="O208" s="71">
        <f t="shared" si="29"/>
        <v>4811483.6635600012</v>
      </c>
    </row>
    <row r="209" spans="1:15" x14ac:dyDescent="0.2">
      <c r="A209" s="77" t="s">
        <v>285</v>
      </c>
      <c r="B209" s="77"/>
      <c r="C209" s="78">
        <f>+C10+C44+C80</f>
        <v>417253.72849999991</v>
      </c>
      <c r="D209" s="78">
        <f t="shared" ref="D209:N209" si="34">+D10+D44+D80</f>
        <v>462253.39580000017</v>
      </c>
      <c r="E209" s="78">
        <f t="shared" si="34"/>
        <v>630521.11866000015</v>
      </c>
      <c r="F209" s="78">
        <f t="shared" si="34"/>
        <v>751921.66600000055</v>
      </c>
      <c r="G209" s="78">
        <f t="shared" si="34"/>
        <v>597973.32440000016</v>
      </c>
      <c r="H209" s="78">
        <f t="shared" si="34"/>
        <v>495784.53260000021</v>
      </c>
      <c r="I209" s="78">
        <f t="shared" si="34"/>
        <v>419677.1544</v>
      </c>
      <c r="J209" s="78">
        <f t="shared" si="34"/>
        <v>256975.35380000001</v>
      </c>
      <c r="K209" s="78">
        <f t="shared" si="34"/>
        <v>265592.08979999996</v>
      </c>
      <c r="L209" s="78">
        <f t="shared" si="34"/>
        <v>513531.29960000014</v>
      </c>
      <c r="M209" s="78">
        <f t="shared" si="34"/>
        <v>0</v>
      </c>
      <c r="N209" s="79">
        <f t="shared" si="34"/>
        <v>0</v>
      </c>
      <c r="O209" s="71">
        <f t="shared" si="29"/>
        <v>4811483.6635600012</v>
      </c>
    </row>
    <row r="210" spans="1:15" x14ac:dyDescent="0.2">
      <c r="A210" s="80" t="s">
        <v>286</v>
      </c>
      <c r="B210" s="80"/>
      <c r="C210" s="81">
        <f>+C11+C45+C81</f>
        <v>0</v>
      </c>
      <c r="D210" s="81">
        <f t="shared" ref="D210:N210" si="35">+D11+D45+D81</f>
        <v>0</v>
      </c>
      <c r="E210" s="81">
        <f t="shared" si="35"/>
        <v>0</v>
      </c>
      <c r="F210" s="81">
        <f t="shared" si="35"/>
        <v>0</v>
      </c>
      <c r="G210" s="81">
        <f t="shared" si="35"/>
        <v>0</v>
      </c>
      <c r="H210" s="81">
        <f t="shared" si="35"/>
        <v>0</v>
      </c>
      <c r="I210" s="81">
        <f t="shared" si="35"/>
        <v>0</v>
      </c>
      <c r="J210" s="81">
        <f t="shared" si="35"/>
        <v>0</v>
      </c>
      <c r="K210" s="81">
        <f t="shared" si="35"/>
        <v>0</v>
      </c>
      <c r="L210" s="81">
        <f t="shared" si="35"/>
        <v>0</v>
      </c>
      <c r="M210" s="81">
        <f t="shared" si="35"/>
        <v>0</v>
      </c>
      <c r="N210" s="82">
        <f t="shared" si="35"/>
        <v>0</v>
      </c>
      <c r="O210" s="71">
        <f t="shared" si="29"/>
        <v>0</v>
      </c>
    </row>
    <row r="211" spans="1:15" x14ac:dyDescent="0.2">
      <c r="A211" s="1006" t="s">
        <v>458</v>
      </c>
      <c r="B211" s="1007"/>
      <c r="C211" s="1007"/>
      <c r="D211" s="1007"/>
      <c r="E211" s="1007"/>
      <c r="F211" s="1007"/>
      <c r="G211" s="1007"/>
      <c r="H211" s="1007"/>
      <c r="I211" s="1007"/>
      <c r="J211" s="1007"/>
      <c r="K211" s="1007"/>
      <c r="L211" s="1007"/>
      <c r="M211" s="1007"/>
      <c r="N211" s="1007"/>
      <c r="O211" s="1008"/>
    </row>
    <row r="212" spans="1:15" x14ac:dyDescent="0.2">
      <c r="A212" s="63" t="s">
        <v>279</v>
      </c>
      <c r="B212" s="63"/>
      <c r="C212" s="64">
        <v>43556</v>
      </c>
      <c r="D212" s="64">
        <v>43586</v>
      </c>
      <c r="E212" s="64">
        <v>43617</v>
      </c>
      <c r="F212" s="64">
        <v>43647</v>
      </c>
      <c r="G212" s="64">
        <v>43678</v>
      </c>
      <c r="H212" s="64">
        <v>43709</v>
      </c>
      <c r="I212" s="64">
        <v>43739</v>
      </c>
      <c r="J212" s="64">
        <v>43770</v>
      </c>
      <c r="K212" s="64">
        <v>43800</v>
      </c>
      <c r="L212" s="64">
        <v>43831</v>
      </c>
      <c r="M212" s="64">
        <v>43862</v>
      </c>
      <c r="N212" s="65">
        <v>43891</v>
      </c>
      <c r="O212" s="66" t="s">
        <v>347</v>
      </c>
    </row>
    <row r="213" spans="1:15" x14ac:dyDescent="0.2">
      <c r="A213" s="34" t="s">
        <v>280</v>
      </c>
      <c r="B213" s="34"/>
      <c r="C213" s="34"/>
      <c r="D213" s="34"/>
      <c r="E213" s="34"/>
      <c r="F213" s="34"/>
      <c r="G213" s="34"/>
      <c r="H213" s="34"/>
      <c r="I213" s="34"/>
      <c r="J213" s="34"/>
      <c r="K213" s="34"/>
      <c r="L213" s="34"/>
      <c r="M213" s="34"/>
      <c r="N213" s="74"/>
      <c r="O213" s="71">
        <f t="shared" si="29"/>
        <v>0</v>
      </c>
    </row>
    <row r="214" spans="1:15" x14ac:dyDescent="0.2">
      <c r="A214" s="34" t="s">
        <v>281</v>
      </c>
      <c r="B214" s="34" t="s">
        <v>458</v>
      </c>
      <c r="C214" s="68">
        <f>+C215+C216+C217+C218+C219</f>
        <v>19425</v>
      </c>
      <c r="D214" s="68">
        <f t="shared" ref="D214:N214" si="36">+D215+D216+D217+D218+D219</f>
        <v>47838</v>
      </c>
      <c r="E214" s="68">
        <f t="shared" si="36"/>
        <v>25830</v>
      </c>
      <c r="F214" s="68">
        <f t="shared" si="36"/>
        <v>32812.5</v>
      </c>
      <c r="G214" s="68">
        <f t="shared" si="36"/>
        <v>37695</v>
      </c>
      <c r="H214" s="68">
        <f t="shared" si="36"/>
        <v>38797.5</v>
      </c>
      <c r="I214" s="68">
        <f t="shared" si="36"/>
        <v>30555</v>
      </c>
      <c r="J214" s="68">
        <f t="shared" si="36"/>
        <v>28770</v>
      </c>
      <c r="K214" s="68">
        <f t="shared" si="36"/>
        <v>52249.05</v>
      </c>
      <c r="L214" s="68">
        <f t="shared" si="36"/>
        <v>0</v>
      </c>
      <c r="M214" s="68">
        <f t="shared" si="36"/>
        <v>0</v>
      </c>
      <c r="N214" s="70">
        <f t="shared" si="36"/>
        <v>0</v>
      </c>
      <c r="O214" s="71">
        <f t="shared" si="29"/>
        <v>313972.05</v>
      </c>
    </row>
    <row r="215" spans="1:15" x14ac:dyDescent="0.2">
      <c r="A215" s="34" t="s">
        <v>282</v>
      </c>
      <c r="B215" s="34" t="s">
        <v>458</v>
      </c>
      <c r="C215" s="68">
        <f>SUMIFS('SALE-RMC'!$K$6:$K$5000,'SALE-RMC'!$A$6:$A$5000,$C$212:$N$212,'SALE-RMC'!$Q$6:$Q$5000,$B$215:$B$219)</f>
        <v>18500</v>
      </c>
      <c r="D215" s="68">
        <f>SUMIFS('SALE-RMC'!$K$6:$K$5000,'SALE-RMC'!$A$6:$A$5000,$C$212:$N$212,'SALE-RMC'!$Q$6:$Q$5000,$B$215:$B$219)</f>
        <v>45560</v>
      </c>
      <c r="E215" s="68">
        <f>SUMIFS('SALE-RMC'!$K$6:$K$5000,'SALE-RMC'!$A$6:$A$5000,$C$212:$N$212,'SALE-RMC'!$Q$6:$Q$5000,$B$215:$B$219)</f>
        <v>24600</v>
      </c>
      <c r="F215" s="68">
        <f>SUMIFS('SALE-RMC'!$K$6:$K$5000,'SALE-RMC'!$A$6:$A$5000,$C$212:$N$212,'SALE-RMC'!$Q$6:$Q$5000,$B$215:$B$219)</f>
        <v>31250</v>
      </c>
      <c r="G215" s="68">
        <f>SUMIFS('SALE-RMC'!$K$6:$K$5000,'SALE-RMC'!$A$6:$A$5000,$C$212:$N$212,'SALE-RMC'!$Q$6:$Q$5000,$B$215:$B$219)</f>
        <v>35900</v>
      </c>
      <c r="H215" s="68">
        <f>SUMIFS('SALE-RMC'!$K$6:$K$5000,'SALE-RMC'!$A$6:$A$5000,$C$212:$N$212,'SALE-RMC'!$Q$6:$Q$5000,$B$215:$B$219)</f>
        <v>36950</v>
      </c>
      <c r="I215" s="68">
        <f>SUMIFS('SALE-RMC'!$K$6:$K$5000,'SALE-RMC'!$A$6:$A$5000,$C$212:$N$212,'SALE-RMC'!$Q$6:$Q$5000,$B$215:$B$219)</f>
        <v>29100</v>
      </c>
      <c r="J215" s="68">
        <f>SUMIFS('SALE-RMC'!$K$6:$K$5000,'SALE-RMC'!$A$6:$A$5000,$C$212:$N$212,'SALE-RMC'!$Q$6:$Q$5000,$B$215:$B$219)</f>
        <v>27400</v>
      </c>
      <c r="K215" s="68">
        <f>SUMIFS('SALE-RMC'!$K$6:$K$5000,'SALE-RMC'!$A$6:$A$5000,$C$212:$N$212,'SALE-RMC'!$Q$6:$Q$5000,$B$215:$B$219)</f>
        <v>49761</v>
      </c>
      <c r="L215" s="68">
        <f>SUMIFS('SALE-RMC'!$K$6:$K$5000,'SALE-RMC'!$A$6:$A$5000,$C$212:$N$212,'SALE-RMC'!$Q$6:$Q$5000,$B$215:$B$219)</f>
        <v>0</v>
      </c>
      <c r="M215" s="68">
        <f>SUMIFS('SALE-RMC'!$K$6:$K$5000,'SALE-RMC'!$A$6:$A$5000,$C$212:$N$212,'SALE-RMC'!$Q$6:$Q$5000,$B$215:$B$219)</f>
        <v>0</v>
      </c>
      <c r="N215" s="70">
        <f>SUMIFS('SALE-RMC'!$K$6:$K$5000,'SALE-RMC'!$A$6:$A$5000,$C$212:$N$212,'SALE-RMC'!$Q$6:$Q$5000,$B$215:$B$219)</f>
        <v>0</v>
      </c>
      <c r="O215" s="71">
        <f t="shared" si="29"/>
        <v>299021</v>
      </c>
    </row>
    <row r="216" spans="1:15" x14ac:dyDescent="0.2">
      <c r="A216" s="34" t="s">
        <v>283</v>
      </c>
      <c r="B216" s="34" t="s">
        <v>458</v>
      </c>
      <c r="C216" s="68">
        <f>SUMIFS('SALE-RMC'!$L$6:$L$5000,'SALE-RMC'!$A$6:$A$5000,$C$212:$N$212,'SALE-RMC'!$Q$6:$Q$5000,$B$215:$B$219)</f>
        <v>0</v>
      </c>
      <c r="D216" s="68">
        <f>SUMIFS('SALE-RMC'!$L$6:$L$5000,'SALE-RMC'!$A$6:$A$5000,$C$212:$N$212,'SALE-RMC'!$Q$6:$Q$5000,$B$215:$B$219)</f>
        <v>0</v>
      </c>
      <c r="E216" s="68">
        <f>SUMIFS('SALE-RMC'!$L$6:$L$5000,'SALE-RMC'!$A$6:$A$5000,$C$212:$N$212,'SALE-RMC'!$Q$6:$Q$5000,$B$215:$B$219)</f>
        <v>0</v>
      </c>
      <c r="F216" s="68">
        <f>SUMIFS('SALE-RMC'!$L$6:$L$5000,'SALE-RMC'!$A$6:$A$5000,$C$212:$N$212,'SALE-RMC'!$Q$6:$Q$5000,$B$215:$B$219)</f>
        <v>0</v>
      </c>
      <c r="G216" s="68">
        <f>SUMIFS('SALE-RMC'!$L$6:$L$5000,'SALE-RMC'!$A$6:$A$5000,$C$212:$N$212,'SALE-RMC'!$Q$6:$Q$5000,$B$215:$B$219)</f>
        <v>0</v>
      </c>
      <c r="H216" s="68">
        <f>SUMIFS('SALE-RMC'!$L$6:$L$5000,'SALE-RMC'!$A$6:$A$5000,$C$212:$N$212,'SALE-RMC'!$Q$6:$Q$5000,$B$215:$B$219)</f>
        <v>0</v>
      </c>
      <c r="I216" s="68">
        <f>SUMIFS('SALE-RMC'!$L$6:$L$5000,'SALE-RMC'!$A$6:$A$5000,$C$212:$N$212,'SALE-RMC'!$Q$6:$Q$5000,$B$215:$B$219)</f>
        <v>0</v>
      </c>
      <c r="J216" s="68">
        <f>SUMIFS('SALE-RMC'!$L$6:$L$5000,'SALE-RMC'!$A$6:$A$5000,$C$212:$N$212,'SALE-RMC'!$Q$6:$Q$5000,$B$215:$B$219)</f>
        <v>0</v>
      </c>
      <c r="K216" s="68">
        <f>SUMIFS('SALE-RMC'!$L$6:$L$5000,'SALE-RMC'!$A$6:$A$5000,$C$212:$N$212,'SALE-RMC'!$Q$6:$Q$5000,$B$215:$B$219)</f>
        <v>118.05</v>
      </c>
      <c r="L216" s="68">
        <f>SUMIFS('SALE-RMC'!$L$6:$L$5000,'SALE-RMC'!$A$6:$A$5000,$C$212:$N$212,'SALE-RMC'!$Q$6:$Q$5000,$B$215:$B$219)</f>
        <v>0</v>
      </c>
      <c r="M216" s="68">
        <f>SUMIFS('SALE-RMC'!$L$6:$L$5000,'SALE-RMC'!$A$6:$A$5000,$C$212:$N$212,'SALE-RMC'!$Q$6:$Q$5000,$B$215:$B$219)</f>
        <v>0</v>
      </c>
      <c r="N216" s="70">
        <f>SUMIFS('SALE-RMC'!$L$6:$L$5000,'SALE-RMC'!$A$6:$A$5000,$C$212:$N$212,'SALE-RMC'!$Q$6:$Q$5000,$B$215:$B$219)</f>
        <v>0</v>
      </c>
      <c r="O216" s="71">
        <f t="shared" si="29"/>
        <v>118.05</v>
      </c>
    </row>
    <row r="217" spans="1:15" x14ac:dyDescent="0.2">
      <c r="A217" s="34" t="s">
        <v>284</v>
      </c>
      <c r="B217" s="34" t="s">
        <v>458</v>
      </c>
      <c r="C217" s="68">
        <f>SUMIFS('SALE-RMC'!$M$6:$M$5000,'SALE-RMC'!$A$6:$A$5000,$C$212:$N$212,'SALE-RMC'!$Q$6:$Q$5000,$B$215:$B$219)</f>
        <v>462.5</v>
      </c>
      <c r="D217" s="68">
        <f>SUMIFS('SALE-RMC'!$M$6:$M$5000,'SALE-RMC'!$A$6:$A$5000,$C$212:$N$212,'SALE-RMC'!$Q$6:$Q$5000,$B$215:$B$219)</f>
        <v>1139</v>
      </c>
      <c r="E217" s="68">
        <f>SUMIFS('SALE-RMC'!$M$6:$M$5000,'SALE-RMC'!$A$6:$A$5000,$C$212:$N$212,'SALE-RMC'!$Q$6:$Q$5000,$B$215:$B$219)</f>
        <v>615</v>
      </c>
      <c r="F217" s="68">
        <f>SUMIFS('SALE-RMC'!$M$6:$M$5000,'SALE-RMC'!$A$6:$A$5000,$C$212:$N$212,'SALE-RMC'!$Q$6:$Q$5000,$B$215:$B$219)</f>
        <v>781.25</v>
      </c>
      <c r="G217" s="68">
        <f>SUMIFS('SALE-RMC'!$M$6:$M$5000,'SALE-RMC'!$A$6:$A$5000,$C$212:$N$212,'SALE-RMC'!$Q$6:$Q$5000,$B$215:$B$219)</f>
        <v>897.5</v>
      </c>
      <c r="H217" s="68">
        <f>SUMIFS('SALE-RMC'!$M$6:$M$5000,'SALE-RMC'!$A$6:$A$5000,$C$212:$N$212,'SALE-RMC'!$Q$6:$Q$5000,$B$215:$B$219)</f>
        <v>923.75</v>
      </c>
      <c r="I217" s="68">
        <f>SUMIFS('SALE-RMC'!$M$6:$M$5000,'SALE-RMC'!$A$6:$A$5000,$C$212:$N$212,'SALE-RMC'!$Q$6:$Q$5000,$B$215:$B$219)</f>
        <v>727.5</v>
      </c>
      <c r="J217" s="68">
        <f>SUMIFS('SALE-RMC'!$M$6:$M$5000,'SALE-RMC'!$A$6:$A$5000,$C$212:$N$212,'SALE-RMC'!$Q$6:$Q$5000,$B$215:$B$219)</f>
        <v>685</v>
      </c>
      <c r="K217" s="68">
        <f>SUMIFS('SALE-RMC'!$M$6:$M$5000,'SALE-RMC'!$A$6:$A$5000,$C$212:$N$212,'SALE-RMC'!$Q$6:$Q$5000,$B$215:$B$219)</f>
        <v>1185</v>
      </c>
      <c r="L217" s="68">
        <f>SUMIFS('SALE-RMC'!$M$6:$M$5000,'SALE-RMC'!$A$6:$A$5000,$C$212:$N$212,'SALE-RMC'!$Q$6:$Q$5000,$B$215:$B$219)</f>
        <v>0</v>
      </c>
      <c r="M217" s="68">
        <f>SUMIFS('SALE-RMC'!$M$6:$M$5000,'SALE-RMC'!$A$6:$A$5000,$C$212:$N$212,'SALE-RMC'!$Q$6:$Q$5000,$B$215:$B$219)</f>
        <v>0</v>
      </c>
      <c r="N217" s="70">
        <f>SUMIFS('SALE-RMC'!$M$6:$M$5000,'SALE-RMC'!$A$6:$A$5000,$C$212:$N$212,'SALE-RMC'!$Q$6:$Q$5000,$B$215:$B$219)</f>
        <v>0</v>
      </c>
      <c r="O217" s="71">
        <f t="shared" si="29"/>
        <v>7416.5</v>
      </c>
    </row>
    <row r="218" spans="1:15" x14ac:dyDescent="0.2">
      <c r="A218" s="34" t="s">
        <v>285</v>
      </c>
      <c r="B218" s="34" t="s">
        <v>458</v>
      </c>
      <c r="C218" s="68">
        <f>SUMIFS('SALE-RMC'!$N$6:$N$5000,'SALE-RMC'!$A$6:$A$5000,$C$212:$N$212,'SALE-RMC'!$Q$6:$Q$5000,$B$215:$B$219)</f>
        <v>462.5</v>
      </c>
      <c r="D218" s="68">
        <f>SUMIFS('SALE-RMC'!$N$6:$N$5000,'SALE-RMC'!$A$6:$A$5000,$C$212:$N$212,'SALE-RMC'!$Q$6:$Q$5000,$B$215:$B$219)</f>
        <v>1139</v>
      </c>
      <c r="E218" s="68">
        <f>SUMIFS('SALE-RMC'!$N$6:$N$5000,'SALE-RMC'!$A$6:$A$5000,$C$212:$N$212,'SALE-RMC'!$Q$6:$Q$5000,$B$215:$B$219)</f>
        <v>615</v>
      </c>
      <c r="F218" s="68">
        <f>SUMIFS('SALE-RMC'!$N$6:$N$5000,'SALE-RMC'!$A$6:$A$5000,$C$212:$N$212,'SALE-RMC'!$Q$6:$Q$5000,$B$215:$B$219)</f>
        <v>781.25</v>
      </c>
      <c r="G218" s="68">
        <f>SUMIFS('SALE-RMC'!$N$6:$N$5000,'SALE-RMC'!$A$6:$A$5000,$C$212:$N$212,'SALE-RMC'!$Q$6:$Q$5000,$B$215:$B$219)</f>
        <v>897.5</v>
      </c>
      <c r="H218" s="68">
        <f>SUMIFS('SALE-RMC'!$N$6:$N$5000,'SALE-RMC'!$A$6:$A$5000,$C$212:$N$212,'SALE-RMC'!$Q$6:$Q$5000,$B$215:$B$219)</f>
        <v>923.75</v>
      </c>
      <c r="I218" s="68">
        <f>SUMIFS('SALE-RMC'!$N$6:$N$5000,'SALE-RMC'!$A$6:$A$5000,$C$212:$N$212,'SALE-RMC'!$Q$6:$Q$5000,$B$215:$B$219)</f>
        <v>727.5</v>
      </c>
      <c r="J218" s="68">
        <f>SUMIFS('SALE-RMC'!$N$6:$N$5000,'SALE-RMC'!$A$6:$A$5000,$C$212:$N$212,'SALE-RMC'!$Q$6:$Q$5000,$B$215:$B$219)</f>
        <v>685</v>
      </c>
      <c r="K218" s="68">
        <f>SUMIFS('SALE-RMC'!$N$6:$N$5000,'SALE-RMC'!$A$6:$A$5000,$C$212:$N$212,'SALE-RMC'!$Q$6:$Q$5000,$B$215:$B$219)</f>
        <v>1185</v>
      </c>
      <c r="L218" s="68">
        <f>SUMIFS('SALE-RMC'!$N$6:$N$5000,'SALE-RMC'!$A$6:$A$5000,$C$212:$N$212,'SALE-RMC'!$Q$6:$Q$5000,$B$215:$B$219)</f>
        <v>0</v>
      </c>
      <c r="M218" s="68">
        <f>SUMIFS('SALE-RMC'!$N$6:$N$5000,'SALE-RMC'!$A$6:$A$5000,$C$212:$N$212,'SALE-RMC'!$Q$6:$Q$5000,$B$215:$B$219)</f>
        <v>0</v>
      </c>
      <c r="N218" s="70">
        <f>SUMIFS('SALE-RMC'!$N$6:$N$5000,'SALE-RMC'!$A$6:$A$5000,$C$212:$N$212,'SALE-RMC'!$Q$6:$Q$5000,$B$215:$B$219)</f>
        <v>0</v>
      </c>
      <c r="O218" s="71">
        <f t="shared" si="29"/>
        <v>7416.5</v>
      </c>
    </row>
    <row r="219" spans="1:15" x14ac:dyDescent="0.2">
      <c r="A219" s="34" t="s">
        <v>286</v>
      </c>
      <c r="B219" s="34" t="s">
        <v>458</v>
      </c>
      <c r="C219" s="68">
        <f>SUMIFS('SALE-RMC'!$O$6:$O$5000,'SALE-RMC'!$A$6:$A$5000,$C$212:$N$212,'SALE-RMC'!$Q$6:$Q$5000,$B$215:$B$219)</f>
        <v>0</v>
      </c>
      <c r="D219" s="68">
        <f>SUMIFS('SALE-RMC'!$O$6:$O$5000,'SALE-RMC'!$A$6:$A$5000,$C$212:$N$212,'SALE-RMC'!$Q$6:$Q$5000,$B$215:$B$219)</f>
        <v>0</v>
      </c>
      <c r="E219" s="68">
        <f>SUMIFS('SALE-RMC'!$O$6:$O$5000,'SALE-RMC'!$A$6:$A$5000,$C$212:$N$212,'SALE-RMC'!$Q$6:$Q$5000,$B$215:$B$219)</f>
        <v>0</v>
      </c>
      <c r="F219" s="68">
        <f>SUMIFS('SALE-RMC'!$O$6:$O$5000,'SALE-RMC'!$A$6:$A$5000,$C$212:$N$212,'SALE-RMC'!$Q$6:$Q$5000,$B$215:$B$219)</f>
        <v>0</v>
      </c>
      <c r="G219" s="68">
        <f>SUMIFS('SALE-RMC'!$O$6:$O$5000,'SALE-RMC'!$A$6:$A$5000,$C$212:$N$212,'SALE-RMC'!$Q$6:$Q$5000,$B$215:$B$219)</f>
        <v>0</v>
      </c>
      <c r="H219" s="68">
        <f>SUMIFS('SALE-RMC'!$O$6:$O$5000,'SALE-RMC'!$A$6:$A$5000,$C$212:$N$212,'SALE-RMC'!$Q$6:$Q$5000,$B$215:$B$219)</f>
        <v>0</v>
      </c>
      <c r="I219" s="68">
        <f>SUMIFS('SALE-RMC'!$O$6:$O$5000,'SALE-RMC'!$A$6:$A$5000,$C$212:$N$212,'SALE-RMC'!$Q$6:$Q$5000,$B$215:$B$219)</f>
        <v>0</v>
      </c>
      <c r="J219" s="68">
        <f>SUMIFS('SALE-RMC'!$O$6:$O$5000,'SALE-RMC'!$A$6:$A$5000,$C$212:$N$212,'SALE-RMC'!$Q$6:$Q$5000,$B$215:$B$219)</f>
        <v>0</v>
      </c>
      <c r="K219" s="68">
        <f>SUMIFS('SALE-RMC'!$O$6:$O$5000,'SALE-RMC'!$A$6:$A$5000,$C$212:$N$212,'SALE-RMC'!$Q$6:$Q$5000,$B$215:$B$219)</f>
        <v>0</v>
      </c>
      <c r="L219" s="68">
        <f>SUMIFS('SALE-RMC'!$O$6:$O$5000,'SALE-RMC'!$A$6:$A$5000,$C$212:$N$212,'SALE-RMC'!$Q$6:$Q$5000,$B$215:$B$219)</f>
        <v>0</v>
      </c>
      <c r="M219" s="68">
        <f>SUMIFS('SALE-RMC'!$O$6:$O$5000,'SALE-RMC'!$A$6:$A$5000,$C$212:$N$212,'SALE-RMC'!$Q$6:$Q$5000,$B$215:$B$219)</f>
        <v>0</v>
      </c>
      <c r="N219" s="70">
        <f>SUMIFS('SALE-RMC'!$O$6:$O$5000,'SALE-RMC'!$A$6:$A$5000,$C$212:$N$212,'SALE-RMC'!$Q$6:$Q$5000,$B$215:$B$219)</f>
        <v>0</v>
      </c>
      <c r="O219" s="71">
        <f t="shared" si="29"/>
        <v>0</v>
      </c>
    </row>
    <row r="220" spans="1:15" x14ac:dyDescent="0.2">
      <c r="A220" s="1006" t="s">
        <v>459</v>
      </c>
      <c r="B220" s="1007"/>
      <c r="C220" s="1007"/>
      <c r="D220" s="1007"/>
      <c r="E220" s="1007"/>
      <c r="F220" s="1007"/>
      <c r="G220" s="1007"/>
      <c r="H220" s="1007"/>
      <c r="I220" s="1007"/>
      <c r="J220" s="1007"/>
      <c r="K220" s="1007"/>
      <c r="L220" s="1007"/>
      <c r="M220" s="1007"/>
      <c r="N220" s="1007"/>
      <c r="O220" s="1008"/>
    </row>
    <row r="221" spans="1:15" x14ac:dyDescent="0.2">
      <c r="A221" s="63" t="s">
        <v>279</v>
      </c>
      <c r="B221" s="63"/>
      <c r="C221" s="64">
        <v>43556</v>
      </c>
      <c r="D221" s="64">
        <v>43586</v>
      </c>
      <c r="E221" s="64">
        <v>43617</v>
      </c>
      <c r="F221" s="64">
        <v>43647</v>
      </c>
      <c r="G221" s="64">
        <v>43678</v>
      </c>
      <c r="H221" s="64">
        <v>43709</v>
      </c>
      <c r="I221" s="64">
        <v>43739</v>
      </c>
      <c r="J221" s="64">
        <v>43770</v>
      </c>
      <c r="K221" s="64">
        <v>43800</v>
      </c>
      <c r="L221" s="64">
        <v>43831</v>
      </c>
      <c r="M221" s="64">
        <v>43862</v>
      </c>
      <c r="N221" s="65">
        <v>43891</v>
      </c>
      <c r="O221" s="66" t="s">
        <v>347</v>
      </c>
    </row>
    <row r="222" spans="1:15" x14ac:dyDescent="0.2">
      <c r="A222" s="24" t="s">
        <v>281</v>
      </c>
      <c r="B222" s="24" t="s">
        <v>459</v>
      </c>
      <c r="C222" s="83">
        <f>+C223</f>
        <v>0</v>
      </c>
      <c r="D222" s="83">
        <f t="shared" ref="D222:N222" si="37">+D223</f>
        <v>0</v>
      </c>
      <c r="E222" s="83">
        <f t="shared" si="37"/>
        <v>0</v>
      </c>
      <c r="F222" s="83">
        <f t="shared" si="37"/>
        <v>0</v>
      </c>
      <c r="G222" s="83">
        <f t="shared" si="37"/>
        <v>0</v>
      </c>
      <c r="H222" s="83">
        <f t="shared" si="37"/>
        <v>0</v>
      </c>
      <c r="I222" s="83">
        <f t="shared" si="37"/>
        <v>0</v>
      </c>
      <c r="J222" s="83">
        <f t="shared" si="37"/>
        <v>0</v>
      </c>
      <c r="K222" s="83">
        <f t="shared" si="37"/>
        <v>0</v>
      </c>
      <c r="L222" s="83">
        <f t="shared" si="37"/>
        <v>0</v>
      </c>
      <c r="M222" s="83">
        <f t="shared" si="37"/>
        <v>0</v>
      </c>
      <c r="N222" s="83">
        <f t="shared" si="37"/>
        <v>0</v>
      </c>
      <c r="O222" s="84">
        <f t="shared" si="29"/>
        <v>0</v>
      </c>
    </row>
    <row r="223" spans="1:15" x14ac:dyDescent="0.2">
      <c r="A223" s="34" t="s">
        <v>282</v>
      </c>
      <c r="B223" s="34" t="s">
        <v>459</v>
      </c>
      <c r="C223" s="68">
        <f>SUMIFS(SALE!$K$6:$K$10000,SALE!$A$6:$A$10000,C220,SALE!$Q$6:$Q$10000,$B$5:$B$1104)</f>
        <v>0</v>
      </c>
      <c r="D223" s="68">
        <f>SUMIFS(SALE!$K$6:$K$10000,SALE!$A$6:$A$10000,D220,SALE!$Q$6:$Q$10000,$B$5:$B$1104)</f>
        <v>0</v>
      </c>
      <c r="E223" s="68">
        <f>SUMIFS(SALE!$K$6:$K$10000,SALE!$A$6:$A$10000,E220,SALE!$Q$6:$Q$10000,$B$5:$B$1104)</f>
        <v>0</v>
      </c>
      <c r="F223" s="68">
        <f>SUMIFS(SALE!$K$6:$K$10000,SALE!$A$6:$A$10000,F220,SALE!$Q$6:$Q$10000,$B$5:$B$1104)</f>
        <v>0</v>
      </c>
      <c r="G223" s="68">
        <f>SUMIFS(SALE!$K$6:$K$10000,SALE!$A$6:$A$10000,G220,SALE!$Q$6:$Q$10000,$B$5:$B$1104)</f>
        <v>0</v>
      </c>
      <c r="H223" s="68">
        <f>SUMIFS(SALE!$K$6:$K$10000,SALE!$A$6:$A$10000,H220,SALE!$Q$6:$Q$10000,$B$5:$B$1104)</f>
        <v>0</v>
      </c>
      <c r="I223" s="68">
        <f>SUMIFS(SALE!$K$6:$K$10000,SALE!$A$6:$A$10000,I220,SALE!$Q$6:$Q$10000,$B$5:$B$1104)</f>
        <v>0</v>
      </c>
      <c r="J223" s="68">
        <f>SUMIFS(SALE!$K$6:$K$10000,SALE!$A$6:$A$10000,J220,SALE!$Q$6:$Q$10000,$B$5:$B$1104)</f>
        <v>0</v>
      </c>
      <c r="K223" s="68">
        <f>SUMIFS(SALE!$K$6:$K$10000,SALE!$A$6:$A$10000,K220,SALE!$Q$6:$Q$10000,$B$5:$B$1104)</f>
        <v>0</v>
      </c>
      <c r="L223" s="68">
        <f>SUMIFS(SALE!$K$6:$K$10000,SALE!$A$6:$A$10000,L220,SALE!$Q$6:$Q$10000,$B$5:$B$1104)</f>
        <v>0</v>
      </c>
      <c r="M223" s="68">
        <f>SUMIFS(SALE!$K$6:$K$10000,SALE!$A$6:$A$10000,M220,SALE!$Q$6:$Q$10000,$B$5:$B$1104)</f>
        <v>0</v>
      </c>
      <c r="N223" s="68">
        <f>SUMIFS(SALE!$K$6:$K$10000,SALE!$A$6:$A$10000,N220,SALE!$Q$6:$Q$10000,$B$5:$B$1104)</f>
        <v>0</v>
      </c>
      <c r="O223" s="71">
        <f t="shared" si="29"/>
        <v>0</v>
      </c>
    </row>
    <row r="224" spans="1:15" x14ac:dyDescent="0.2">
      <c r="A224" s="1006" t="s">
        <v>460</v>
      </c>
      <c r="B224" s="1007"/>
      <c r="C224" s="1007"/>
      <c r="D224" s="1007"/>
      <c r="E224" s="1007"/>
      <c r="F224" s="1007"/>
      <c r="G224" s="1007"/>
      <c r="H224" s="1007"/>
      <c r="I224" s="1007"/>
      <c r="J224" s="1007"/>
      <c r="K224" s="1007"/>
      <c r="L224" s="1007"/>
      <c r="M224" s="1007"/>
      <c r="N224" s="1007"/>
      <c r="O224" s="1008"/>
    </row>
    <row r="225" spans="1:15" x14ac:dyDescent="0.2">
      <c r="A225" s="34" t="s">
        <v>281</v>
      </c>
      <c r="B225" s="34" t="s">
        <v>460</v>
      </c>
      <c r="C225" s="68">
        <f>+C226</f>
        <v>0</v>
      </c>
      <c r="D225" s="68">
        <f t="shared" ref="D225:N225" si="38">+D226</f>
        <v>0</v>
      </c>
      <c r="E225" s="68">
        <f t="shared" si="38"/>
        <v>0</v>
      </c>
      <c r="F225" s="68">
        <f t="shared" si="38"/>
        <v>0</v>
      </c>
      <c r="G225" s="68">
        <f t="shared" si="38"/>
        <v>0</v>
      </c>
      <c r="H225" s="68">
        <f t="shared" si="38"/>
        <v>0</v>
      </c>
      <c r="I225" s="68">
        <f t="shared" si="38"/>
        <v>0</v>
      </c>
      <c r="J225" s="68">
        <f t="shared" si="38"/>
        <v>0</v>
      </c>
      <c r="K225" s="68">
        <f t="shared" si="38"/>
        <v>0</v>
      </c>
      <c r="L225" s="68">
        <f t="shared" si="38"/>
        <v>0</v>
      </c>
      <c r="M225" s="68">
        <f t="shared" si="38"/>
        <v>0</v>
      </c>
      <c r="N225" s="68">
        <f t="shared" si="38"/>
        <v>0</v>
      </c>
      <c r="O225" s="71">
        <f t="shared" si="29"/>
        <v>0</v>
      </c>
    </row>
    <row r="226" spans="1:15" x14ac:dyDescent="0.2">
      <c r="A226" s="34" t="s">
        <v>282</v>
      </c>
      <c r="B226" s="34" t="s">
        <v>460</v>
      </c>
      <c r="C226" s="68">
        <f>SUMIFS(SALE!$K$6:$K$10000,SALE!$A$6:$A$10000,C220,SALE!$Q$6:$Q$10000,$B$5:$B$1104)</f>
        <v>0</v>
      </c>
      <c r="D226" s="68">
        <f>SUMIFS(SALE!$K$6:$K$10000,SALE!$A$6:$A$10000,D220,SALE!$Q$6:$Q$10000,$B$5:$B$1104)</f>
        <v>0</v>
      </c>
      <c r="E226" s="68">
        <f>SUMIFS(SALE!$K$6:$K$10000,SALE!$A$6:$A$10000,E220,SALE!$Q$6:$Q$10000,$B$5:$B$1104)</f>
        <v>0</v>
      </c>
      <c r="F226" s="68">
        <f>SUMIFS(SALE!$K$6:$K$10000,SALE!$A$6:$A$10000,F220,SALE!$Q$6:$Q$10000,$B$5:$B$1104)</f>
        <v>0</v>
      </c>
      <c r="G226" s="68">
        <f>SUMIFS(SALE!$K$6:$K$10000,SALE!$A$6:$A$10000,G220,SALE!$Q$6:$Q$10000,$B$5:$B$1104)</f>
        <v>0</v>
      </c>
      <c r="H226" s="68">
        <f>SUMIFS(SALE!$K$6:$K$10000,SALE!$A$6:$A$10000,H220,SALE!$Q$6:$Q$10000,$B$5:$B$1104)</f>
        <v>0</v>
      </c>
      <c r="I226" s="68">
        <f>SUMIFS(SALE!$K$6:$K$10000,SALE!$A$6:$A$10000,I220,SALE!$Q$6:$Q$10000,$B$5:$B$1104)</f>
        <v>0</v>
      </c>
      <c r="J226" s="68">
        <f>SUMIFS(SALE!$K$6:$K$10000,SALE!$A$6:$A$10000,J220,SALE!$Q$6:$Q$10000,$B$5:$B$1104)</f>
        <v>0</v>
      </c>
      <c r="K226" s="68">
        <f>SUMIFS(SALE!$K$6:$K$10000,SALE!$A$6:$A$10000,K220,SALE!$Q$6:$Q$10000,$B$5:$B$1104)</f>
        <v>0</v>
      </c>
      <c r="L226" s="68">
        <f>SUMIFS(SALE!$K$6:$K$10000,SALE!$A$6:$A$10000,L220,SALE!$Q$6:$Q$10000,$B$5:$B$1104)</f>
        <v>0</v>
      </c>
      <c r="M226" s="68">
        <f>SUMIFS(SALE!$K$6:$K$10000,SALE!$A$6:$A$10000,M220,SALE!$Q$6:$Q$10000,$B$5:$B$1104)</f>
        <v>0</v>
      </c>
      <c r="N226" s="68">
        <f>SUMIFS(SALE!$K$6:$K$10000,SALE!$A$6:$A$10000,N220,SALE!$Q$6:$Q$10000,$B$5:$B$1104)</f>
        <v>0</v>
      </c>
      <c r="O226" s="71">
        <f t="shared" si="29"/>
        <v>0</v>
      </c>
    </row>
    <row r="227" spans="1:15" x14ac:dyDescent="0.2">
      <c r="A227" s="1006" t="s">
        <v>461</v>
      </c>
      <c r="B227" s="1007"/>
      <c r="C227" s="1007"/>
      <c r="D227" s="1007"/>
      <c r="E227" s="1007"/>
      <c r="F227" s="1007"/>
      <c r="G227" s="1007"/>
      <c r="H227" s="1007"/>
      <c r="I227" s="1007"/>
      <c r="J227" s="1007"/>
      <c r="K227" s="1007"/>
      <c r="L227" s="1007"/>
      <c r="M227" s="1007"/>
      <c r="N227" s="1007"/>
      <c r="O227" s="1008"/>
    </row>
    <row r="228" spans="1:15" x14ac:dyDescent="0.2">
      <c r="A228" s="34" t="s">
        <v>281</v>
      </c>
      <c r="B228" s="34" t="s">
        <v>461</v>
      </c>
      <c r="C228" s="68">
        <f>+C229</f>
        <v>0</v>
      </c>
      <c r="D228" s="68">
        <f t="shared" ref="D228:N228" si="39">+D229</f>
        <v>0</v>
      </c>
      <c r="E228" s="68">
        <f t="shared" si="39"/>
        <v>0</v>
      </c>
      <c r="F228" s="68">
        <f t="shared" si="39"/>
        <v>0</v>
      </c>
      <c r="G228" s="68">
        <f t="shared" si="39"/>
        <v>0</v>
      </c>
      <c r="H228" s="68">
        <f t="shared" si="39"/>
        <v>0</v>
      </c>
      <c r="I228" s="68">
        <f t="shared" si="39"/>
        <v>0</v>
      </c>
      <c r="J228" s="68">
        <f t="shared" si="39"/>
        <v>0</v>
      </c>
      <c r="K228" s="68">
        <f t="shared" si="39"/>
        <v>0</v>
      </c>
      <c r="L228" s="68">
        <f t="shared" si="39"/>
        <v>0</v>
      </c>
      <c r="M228" s="68">
        <f t="shared" si="39"/>
        <v>0</v>
      </c>
      <c r="N228" s="68">
        <f t="shared" si="39"/>
        <v>0</v>
      </c>
      <c r="O228" s="71">
        <f t="shared" si="29"/>
        <v>0</v>
      </c>
    </row>
    <row r="229" spans="1:15" x14ac:dyDescent="0.2">
      <c r="A229" s="63" t="s">
        <v>282</v>
      </c>
      <c r="B229" s="63" t="s">
        <v>461</v>
      </c>
      <c r="C229" s="85">
        <f>SUMIFS(SALE!$K$6:$K$10000,SALE!$A$6:$A$10000,C220,SALE!$Q$6:$Q$10000,$B$5:$B$1104)</f>
        <v>0</v>
      </c>
      <c r="D229" s="85">
        <f>SUMIFS(SALE!$K$6:$K$10000,SALE!$A$6:$A$10000,D220,SALE!$Q$6:$Q$10000,$B$5:$B$1104)</f>
        <v>0</v>
      </c>
      <c r="E229" s="85">
        <f>SUMIFS(SALE!$K$6:$K$10000,SALE!$A$6:$A$10000,E220,SALE!$Q$6:$Q$10000,$B$5:$B$1104)</f>
        <v>0</v>
      </c>
      <c r="F229" s="85">
        <f>SUMIFS(SALE!$K$6:$K$10000,SALE!$A$6:$A$10000,F220,SALE!$Q$6:$Q$10000,$B$5:$B$1104)</f>
        <v>0</v>
      </c>
      <c r="G229" s="85">
        <f>SUMIFS(SALE!$K$6:$K$10000,SALE!$A$6:$A$10000,G220,SALE!$Q$6:$Q$10000,$B$5:$B$1104)</f>
        <v>0</v>
      </c>
      <c r="H229" s="85">
        <f>SUMIFS(SALE!$K$6:$K$10000,SALE!$A$6:$A$10000,H220,SALE!$Q$6:$Q$10000,$B$5:$B$1104)</f>
        <v>0</v>
      </c>
      <c r="I229" s="85">
        <f>SUMIFS(SALE!$K$6:$K$10000,SALE!$A$6:$A$10000,I220,SALE!$Q$6:$Q$10000,$B$5:$B$1104)</f>
        <v>0</v>
      </c>
      <c r="J229" s="85">
        <f>SUMIFS(SALE!$K$6:$K$10000,SALE!$A$6:$A$10000,J220,SALE!$Q$6:$Q$10000,$B$5:$B$1104)</f>
        <v>0</v>
      </c>
      <c r="K229" s="85">
        <f>SUMIFS(SALE!$K$6:$K$10000,SALE!$A$6:$A$10000,K220,SALE!$Q$6:$Q$10000,$B$5:$B$1104)</f>
        <v>0</v>
      </c>
      <c r="L229" s="85">
        <f>SUMIFS(SALE!$K$6:$K$10000,SALE!$A$6:$A$10000,L220,SALE!$Q$6:$Q$10000,$B$5:$B$1104)</f>
        <v>0</v>
      </c>
      <c r="M229" s="85">
        <f>SUMIFS(SALE!$K$6:$K$10000,SALE!$A$6:$A$10000,M220,SALE!$Q$6:$Q$10000,$B$5:$B$1104)</f>
        <v>0</v>
      </c>
      <c r="N229" s="85">
        <f>SUMIFS(SALE!$K$6:$K$10000,SALE!$A$6:$A$10000,N220,SALE!$Q$6:$Q$10000,$B$5:$B$1104)</f>
        <v>0</v>
      </c>
      <c r="O229" s="86">
        <f t="shared" si="29"/>
        <v>0</v>
      </c>
    </row>
    <row r="230" spans="1:15" x14ac:dyDescent="0.2">
      <c r="A230" s="1006" t="s">
        <v>379</v>
      </c>
      <c r="B230" s="1007"/>
      <c r="C230" s="1007"/>
      <c r="D230" s="1007"/>
      <c r="E230" s="1007"/>
      <c r="F230" s="1007"/>
      <c r="G230" s="1007"/>
      <c r="H230" s="1007"/>
      <c r="I230" s="1007"/>
      <c r="J230" s="1007"/>
      <c r="K230" s="1007"/>
      <c r="L230" s="1007"/>
      <c r="M230" s="1007"/>
      <c r="N230" s="1007"/>
      <c r="O230" s="1008"/>
    </row>
    <row r="231" spans="1:15" x14ac:dyDescent="0.2">
      <c r="A231" s="63" t="s">
        <v>279</v>
      </c>
      <c r="B231" s="63"/>
      <c r="C231" s="64">
        <v>43556</v>
      </c>
      <c r="D231" s="64">
        <v>43586</v>
      </c>
      <c r="E231" s="64">
        <v>43617</v>
      </c>
      <c r="F231" s="64">
        <v>43647</v>
      </c>
      <c r="G231" s="64">
        <v>43678</v>
      </c>
      <c r="H231" s="64">
        <v>43709</v>
      </c>
      <c r="I231" s="64">
        <v>43739</v>
      </c>
      <c r="J231" s="64">
        <v>43770</v>
      </c>
      <c r="K231" s="64">
        <v>43800</v>
      </c>
      <c r="L231" s="64">
        <v>43831</v>
      </c>
      <c r="M231" s="64">
        <v>43862</v>
      </c>
      <c r="N231" s="65">
        <v>43891</v>
      </c>
      <c r="O231" s="66" t="s">
        <v>347</v>
      </c>
    </row>
    <row r="232" spans="1:15" x14ac:dyDescent="0.2">
      <c r="A232" s="34" t="s">
        <v>280</v>
      </c>
      <c r="B232" s="34"/>
      <c r="C232" s="34"/>
      <c r="D232" s="34"/>
      <c r="E232" s="34"/>
      <c r="F232" s="34"/>
      <c r="G232" s="34"/>
      <c r="H232" s="34"/>
      <c r="I232" s="34"/>
      <c r="J232" s="34"/>
      <c r="K232" s="34"/>
      <c r="L232" s="34"/>
      <c r="M232" s="34"/>
      <c r="N232" s="74"/>
      <c r="O232" s="71">
        <f t="shared" ref="O232:O238" si="40">SUM(C232:N232)</f>
        <v>0</v>
      </c>
    </row>
    <row r="233" spans="1:15" x14ac:dyDescent="0.2">
      <c r="A233" s="34" t="s">
        <v>281</v>
      </c>
      <c r="B233" s="34" t="s">
        <v>379</v>
      </c>
      <c r="C233" s="68">
        <f>+C234+C235+C236+C237+C238</f>
        <v>0</v>
      </c>
      <c r="D233" s="68">
        <f t="shared" ref="D233:N233" si="41">+D234+D235+D236+D237+D238</f>
        <v>0</v>
      </c>
      <c r="E233" s="68">
        <f t="shared" si="41"/>
        <v>0</v>
      </c>
      <c r="F233" s="68">
        <f t="shared" si="41"/>
        <v>0</v>
      </c>
      <c r="G233" s="68">
        <f t="shared" si="41"/>
        <v>0</v>
      </c>
      <c r="H233" s="68">
        <f t="shared" si="41"/>
        <v>0</v>
      </c>
      <c r="I233" s="68">
        <f t="shared" si="41"/>
        <v>0</v>
      </c>
      <c r="J233" s="68">
        <f t="shared" si="41"/>
        <v>0</v>
      </c>
      <c r="K233" s="68">
        <f t="shared" si="41"/>
        <v>0</v>
      </c>
      <c r="L233" s="68">
        <f t="shared" si="41"/>
        <v>0</v>
      </c>
      <c r="M233" s="68">
        <f t="shared" si="41"/>
        <v>0</v>
      </c>
      <c r="N233" s="70">
        <f t="shared" si="41"/>
        <v>0</v>
      </c>
      <c r="O233" s="71">
        <f t="shared" si="40"/>
        <v>0</v>
      </c>
    </row>
    <row r="234" spans="1:15" x14ac:dyDescent="0.2">
      <c r="A234" s="34" t="s">
        <v>282</v>
      </c>
      <c r="B234" s="34" t="s">
        <v>379</v>
      </c>
      <c r="C234" s="68">
        <f>SUMIFS(SALE!$K$6:$K$10000,SALE!$A$6:$A$10000,C231,SALE!$Q$6:$Q$10000,$B$5:$B$1104)</f>
        <v>0</v>
      </c>
      <c r="D234" s="68">
        <f>SUMIFS(SALE!$K$6:$K$10000,SALE!$A$6:$A$10000,D231,SALE!$Q$6:$Q$10000,$B$5:$B$1104)</f>
        <v>0</v>
      </c>
      <c r="E234" s="68">
        <f>SUMIFS(SALE!$K$6:$K$10000,SALE!$A$6:$A$10000,E231,SALE!$Q$6:$Q$10000,$B$5:$B$1104)</f>
        <v>0</v>
      </c>
      <c r="F234" s="68">
        <f>SUMIFS(SALE!$K$6:$K$10000,SALE!$A$6:$A$10000,F231,SALE!$Q$6:$Q$10000,$B$5:$B$1104)</f>
        <v>0</v>
      </c>
      <c r="G234" s="68">
        <f>SUMIFS(SALE!$K$6:$K$10000,SALE!$A$6:$A$10000,G231,SALE!$Q$6:$Q$10000,$B$5:$B$1104)</f>
        <v>0</v>
      </c>
      <c r="H234" s="68">
        <f>SUMIFS(SALE!$K$6:$K$10000,SALE!$A$6:$A$10000,H231,SALE!$Q$6:$Q$10000,$B$5:$B$1104)</f>
        <v>0</v>
      </c>
      <c r="I234" s="68">
        <f>SUMIFS(SALE!$K$6:$K$10000,SALE!$A$6:$A$10000,I231,SALE!$Q$6:$Q$10000,$B$5:$B$1104)</f>
        <v>0</v>
      </c>
      <c r="J234" s="68">
        <f>SUMIFS(SALE!$K$6:$K$10000,SALE!$A$6:$A$10000,J231,SALE!$Q$6:$Q$10000,$B$5:$B$1104)</f>
        <v>0</v>
      </c>
      <c r="K234" s="68">
        <f>SUMIFS(SALE!$K$6:$K$10000,SALE!$A$6:$A$10000,K231,SALE!$Q$6:$Q$10000,$B$5:$B$1104)</f>
        <v>0</v>
      </c>
      <c r="L234" s="68">
        <f>SUMIFS(SALE!$K$6:$K$10000,SALE!$A$6:$A$10000,L231,SALE!$Q$6:$Q$10000,$B$5:$B$1104)</f>
        <v>0</v>
      </c>
      <c r="M234" s="68">
        <f>SUMIFS(SALE!$K$6:$K$10000,SALE!$A$6:$A$10000,M231,SALE!$Q$6:$Q$10000,$B$5:$B$1104)</f>
        <v>0</v>
      </c>
      <c r="N234" s="70">
        <f>SUMIFS(SALE!$K$6:$K$10000,SALE!$A$6:$A$10000,N231,SALE!$Q$6:$Q$10000,$B$5:$B$1104)</f>
        <v>0</v>
      </c>
      <c r="O234" s="71">
        <f t="shared" si="40"/>
        <v>0</v>
      </c>
    </row>
    <row r="235" spans="1:15" x14ac:dyDescent="0.2">
      <c r="A235" s="34" t="s">
        <v>283</v>
      </c>
      <c r="B235" s="34" t="s">
        <v>379</v>
      </c>
      <c r="C235" s="68">
        <f>SUMIFS(SALE!$L$6:$L$10000,SALE!$A$6:$A$10000,C231,SALE!$Q$6:$Q$10000,$B$5:$B$1104)</f>
        <v>0</v>
      </c>
      <c r="D235" s="68">
        <f>SUMIFS(SALE!$L$6:$L$10000,SALE!$A$6:$A$10000,D231,SALE!$Q$6:$Q$10000,$B$5:$B$1104)</f>
        <v>0</v>
      </c>
      <c r="E235" s="68">
        <f>SUMIFS(SALE!$L$6:$L$10000,SALE!$A$6:$A$10000,E231,SALE!$Q$6:$Q$10000,$B$5:$B$1104)</f>
        <v>0</v>
      </c>
      <c r="F235" s="68">
        <f>SUMIFS(SALE!$L$6:$L$10000,SALE!$A$6:$A$10000,F231,SALE!$Q$6:$Q$10000,$B$5:$B$1104)</f>
        <v>0</v>
      </c>
      <c r="G235" s="68">
        <f>SUMIFS(SALE!$L$6:$L$10000,SALE!$A$6:$A$10000,G231,SALE!$Q$6:$Q$10000,$B$5:$B$1104)</f>
        <v>0</v>
      </c>
      <c r="H235" s="68">
        <f>SUMIFS(SALE!$L$6:$L$10000,SALE!$A$6:$A$10000,H231,SALE!$Q$6:$Q$10000,$B$5:$B$1104)</f>
        <v>0</v>
      </c>
      <c r="I235" s="68">
        <f>SUMIFS(SALE!$L$6:$L$10000,SALE!$A$6:$A$10000,I231,SALE!$Q$6:$Q$10000,$B$5:$B$1104)</f>
        <v>0</v>
      </c>
      <c r="J235" s="68">
        <f>SUMIFS(SALE!$L$6:$L$10000,SALE!$A$6:$A$10000,J231,SALE!$Q$6:$Q$10000,$B$5:$B$1104)</f>
        <v>0</v>
      </c>
      <c r="K235" s="68">
        <f>SUMIFS(SALE!$L$6:$L$10000,SALE!$A$6:$A$10000,K231,SALE!$Q$6:$Q$10000,$B$5:$B$1104)</f>
        <v>0</v>
      </c>
      <c r="L235" s="68">
        <f>SUMIFS(SALE!$L$6:$L$10000,SALE!$A$6:$A$10000,L231,SALE!$Q$6:$Q$10000,$B$5:$B$1104)</f>
        <v>0</v>
      </c>
      <c r="M235" s="68">
        <f>SUMIFS(SALE!$L$6:$L$10000,SALE!$A$6:$A$10000,M231,SALE!$Q$6:$Q$10000,$B$5:$B$1104)</f>
        <v>0</v>
      </c>
      <c r="N235" s="70">
        <f>SUMIFS(SALE!$L$6:$L$10000,SALE!$A$6:$A$10000,N231,SALE!$Q$6:$Q$10000,$B$5:$B$1104)</f>
        <v>0</v>
      </c>
      <c r="O235" s="71">
        <f t="shared" si="40"/>
        <v>0</v>
      </c>
    </row>
    <row r="236" spans="1:15" x14ac:dyDescent="0.2">
      <c r="A236" s="34" t="s">
        <v>284</v>
      </c>
      <c r="B236" s="34" t="s">
        <v>379</v>
      </c>
      <c r="C236" s="68">
        <f>SUMIFS(SALE!$M$6:$M$10000,SALE!$A$6:$A$10000,C231,SALE!$Q$6:$Q$10000,$B$5:$B$1104)</f>
        <v>0</v>
      </c>
      <c r="D236" s="68">
        <f>SUMIFS(SALE!$M$6:$M$10000,SALE!$A$6:$A$10000,D231,SALE!$Q$6:$Q$10000,$B$5:$B$1104)</f>
        <v>0</v>
      </c>
      <c r="E236" s="68">
        <f>SUMIFS(SALE!$M$6:$M$10000,SALE!$A$6:$A$10000,E231,SALE!$Q$6:$Q$10000,$B$5:$B$1104)</f>
        <v>0</v>
      </c>
      <c r="F236" s="68">
        <f>SUMIFS(SALE!$M$6:$M$10000,SALE!$A$6:$A$10000,F231,SALE!$Q$6:$Q$10000,$B$5:$B$1104)</f>
        <v>0</v>
      </c>
      <c r="G236" s="68">
        <f>SUMIFS(SALE!$M$6:$M$10000,SALE!$A$6:$A$10000,G231,SALE!$Q$6:$Q$10000,$B$5:$B$1104)</f>
        <v>0</v>
      </c>
      <c r="H236" s="68">
        <f>SUMIFS(SALE!$M$6:$M$10000,SALE!$A$6:$A$10000,H231,SALE!$Q$6:$Q$10000,$B$5:$B$1104)</f>
        <v>0</v>
      </c>
      <c r="I236" s="68">
        <f>SUMIFS(SALE!$M$6:$M$10000,SALE!$A$6:$A$10000,I231,SALE!$Q$6:$Q$10000,$B$5:$B$1104)</f>
        <v>0</v>
      </c>
      <c r="J236" s="68">
        <f>SUMIFS(SALE!$M$6:$M$10000,SALE!$A$6:$A$10000,J231,SALE!$Q$6:$Q$10000,$B$5:$B$1104)</f>
        <v>0</v>
      </c>
      <c r="K236" s="68">
        <f>SUMIFS(SALE!$M$6:$M$10000,SALE!$A$6:$A$10000,K231,SALE!$Q$6:$Q$10000,$B$5:$B$1104)</f>
        <v>0</v>
      </c>
      <c r="L236" s="68">
        <f>SUMIFS(SALE!$M$6:$M$10000,SALE!$A$6:$A$10000,L231,SALE!$Q$6:$Q$10000,$B$5:$B$1104)</f>
        <v>0</v>
      </c>
      <c r="M236" s="68">
        <f>SUMIFS(SALE!$M$6:$M$10000,SALE!$A$6:$A$10000,M231,SALE!$Q$6:$Q$10000,$B$5:$B$1104)</f>
        <v>0</v>
      </c>
      <c r="N236" s="70">
        <f>SUMIFS(SALE!$M$6:$M$10000,SALE!$A$6:$A$10000,N231,SALE!$Q$6:$Q$10000,$B$5:$B$1104)</f>
        <v>0</v>
      </c>
      <c r="O236" s="71">
        <f t="shared" si="40"/>
        <v>0</v>
      </c>
    </row>
    <row r="237" spans="1:15" x14ac:dyDescent="0.2">
      <c r="A237" s="34" t="s">
        <v>285</v>
      </c>
      <c r="B237" s="34" t="s">
        <v>379</v>
      </c>
      <c r="C237" s="68">
        <f>SUMIFS(SALE!$N$6:$N$10000,SALE!$A$6:$A$10000,C231,SALE!$Q$6:$Q$10000,$B$5:$B$1104)</f>
        <v>0</v>
      </c>
      <c r="D237" s="68">
        <f>SUMIFS(SALE!$N$6:$N$10000,SALE!$A$6:$A$10000,D231,SALE!$Q$6:$Q$10000,$B$5:$B$1104)</f>
        <v>0</v>
      </c>
      <c r="E237" s="68">
        <f>SUMIFS(SALE!$N$6:$N$10000,SALE!$A$6:$A$10000,E231,SALE!$Q$6:$Q$10000,$B$5:$B$1104)</f>
        <v>0</v>
      </c>
      <c r="F237" s="68">
        <f>SUMIFS(SALE!$N$6:$N$10000,SALE!$A$6:$A$10000,F231,SALE!$Q$6:$Q$10000,$B$5:$B$1104)</f>
        <v>0</v>
      </c>
      <c r="G237" s="68">
        <f>SUMIFS(SALE!$N$6:$N$10000,SALE!$A$6:$A$10000,G231,SALE!$Q$6:$Q$10000,$B$5:$B$1104)</f>
        <v>0</v>
      </c>
      <c r="H237" s="68">
        <f>SUMIFS(SALE!$N$6:$N$10000,SALE!$A$6:$A$10000,H231,SALE!$Q$6:$Q$10000,$B$5:$B$1104)</f>
        <v>0</v>
      </c>
      <c r="I237" s="68">
        <f>SUMIFS(SALE!$N$6:$N$10000,SALE!$A$6:$A$10000,I231,SALE!$Q$6:$Q$10000,$B$5:$B$1104)</f>
        <v>0</v>
      </c>
      <c r="J237" s="68">
        <f>SUMIFS(SALE!$N$6:$N$10000,SALE!$A$6:$A$10000,J231,SALE!$Q$6:$Q$10000,$B$5:$B$1104)</f>
        <v>0</v>
      </c>
      <c r="K237" s="68">
        <f>SUMIFS(SALE!$N$6:$N$10000,SALE!$A$6:$A$10000,K231,SALE!$Q$6:$Q$10000,$B$5:$B$1104)</f>
        <v>0</v>
      </c>
      <c r="L237" s="68">
        <f>SUMIFS(SALE!$N$6:$N$10000,SALE!$A$6:$A$10000,L231,SALE!$Q$6:$Q$10000,$B$5:$B$1104)</f>
        <v>0</v>
      </c>
      <c r="M237" s="68">
        <f>SUMIFS(SALE!$N$6:$N$10000,SALE!$A$6:$A$10000,M231,SALE!$Q$6:$Q$10000,$B$5:$B$1104)</f>
        <v>0</v>
      </c>
      <c r="N237" s="70">
        <f>SUMIFS(SALE!$N$6:$N$10000,SALE!$A$6:$A$10000,N231,SALE!$Q$6:$Q$10000,$B$5:$B$1104)</f>
        <v>0</v>
      </c>
      <c r="O237" s="71">
        <f t="shared" si="40"/>
        <v>0</v>
      </c>
    </row>
    <row r="238" spans="1:15" x14ac:dyDescent="0.2">
      <c r="A238" s="34" t="s">
        <v>286</v>
      </c>
      <c r="B238" s="34" t="s">
        <v>379</v>
      </c>
      <c r="C238" s="68">
        <f>SUMIFS(SALE!$O$6:$O$10000,SALE!$A$6:$A$10000,C231,SALE!$Q$6:$Q$10000,$B$5:$B$1104)</f>
        <v>0</v>
      </c>
      <c r="D238" s="68">
        <f>SUMIFS(SALE!$O$6:$O$10000,SALE!$A$6:$A$10000,D231,SALE!$Q$6:$Q$10000,$B$5:$B$1104)</f>
        <v>0</v>
      </c>
      <c r="E238" s="68">
        <f>SUMIFS(SALE!$O$6:$O$10000,SALE!$A$6:$A$10000,E231,SALE!$Q$6:$Q$10000,$B$5:$B$1104)</f>
        <v>0</v>
      </c>
      <c r="F238" s="68">
        <f>SUMIFS(SALE!$O$6:$O$10000,SALE!$A$6:$A$10000,F231,SALE!$Q$6:$Q$10000,$B$5:$B$1104)</f>
        <v>0</v>
      </c>
      <c r="G238" s="68">
        <f>SUMIFS(SALE!$O$6:$O$10000,SALE!$A$6:$A$10000,G231,SALE!$Q$6:$Q$10000,$B$5:$B$1104)</f>
        <v>0</v>
      </c>
      <c r="H238" s="68">
        <f>SUMIFS(SALE!$O$6:$O$10000,SALE!$A$6:$A$10000,H231,SALE!$Q$6:$Q$10000,$B$5:$B$1104)</f>
        <v>0</v>
      </c>
      <c r="I238" s="68">
        <f>SUMIFS(SALE!$O$6:$O$10000,SALE!$A$6:$A$10000,I231,SALE!$Q$6:$Q$10000,$B$5:$B$1104)</f>
        <v>0</v>
      </c>
      <c r="J238" s="68">
        <f>SUMIFS(SALE!$O$6:$O$10000,SALE!$A$6:$A$10000,J231,SALE!$Q$6:$Q$10000,$B$5:$B$1104)</f>
        <v>0</v>
      </c>
      <c r="K238" s="68">
        <f>SUMIFS(SALE!$O$6:$O$10000,SALE!$A$6:$A$10000,K231,SALE!$Q$6:$Q$10000,$B$5:$B$1104)</f>
        <v>0</v>
      </c>
      <c r="L238" s="68">
        <f>SUMIFS(SALE!$O$6:$O$10000,SALE!$A$6:$A$10000,L231,SALE!$Q$6:$Q$10000,$B$5:$B$1104)</f>
        <v>0</v>
      </c>
      <c r="M238" s="68">
        <f>SUMIFS(SALE!$O$6:$O$10000,SALE!$A$6:$A$10000,M231,SALE!$Q$6:$Q$10000,$B$5:$B$1104)</f>
        <v>0</v>
      </c>
      <c r="N238" s="70">
        <f>SUMIFS(SALE!$O$6:$O$10000,SALE!$A$6:$A$10000,N231,SALE!$Q$6:$Q$10000,$B$5:$B$1104)</f>
        <v>0</v>
      </c>
      <c r="O238" s="71">
        <f t="shared" si="40"/>
        <v>0</v>
      </c>
    </row>
    <row r="239" spans="1:15" x14ac:dyDescent="0.2">
      <c r="A239" s="1006" t="s">
        <v>380</v>
      </c>
      <c r="B239" s="1007"/>
      <c r="C239" s="1007"/>
      <c r="D239" s="1007"/>
      <c r="E239" s="1007"/>
      <c r="F239" s="1007"/>
      <c r="G239" s="1007"/>
      <c r="H239" s="1007"/>
      <c r="I239" s="1007"/>
      <c r="J239" s="1007"/>
      <c r="K239" s="1007"/>
      <c r="L239" s="1007"/>
      <c r="M239" s="1007"/>
      <c r="N239" s="1007"/>
      <c r="O239" s="1008"/>
    </row>
    <row r="240" spans="1:15" x14ac:dyDescent="0.2">
      <c r="A240" s="63" t="s">
        <v>279</v>
      </c>
      <c r="B240" s="63"/>
      <c r="C240" s="64">
        <v>43556</v>
      </c>
      <c r="D240" s="64">
        <v>43586</v>
      </c>
      <c r="E240" s="64">
        <v>43617</v>
      </c>
      <c r="F240" s="64">
        <v>43647</v>
      </c>
      <c r="G240" s="64">
        <v>43678</v>
      </c>
      <c r="H240" s="64">
        <v>43709</v>
      </c>
      <c r="I240" s="64">
        <v>43739</v>
      </c>
      <c r="J240" s="64">
        <v>43770</v>
      </c>
      <c r="K240" s="64">
        <v>43800</v>
      </c>
      <c r="L240" s="64">
        <v>43831</v>
      </c>
      <c r="M240" s="64">
        <v>43862</v>
      </c>
      <c r="N240" s="65">
        <v>43891</v>
      </c>
      <c r="O240" s="66" t="s">
        <v>347</v>
      </c>
    </row>
    <row r="241" spans="1:15" x14ac:dyDescent="0.2">
      <c r="A241" s="34" t="s">
        <v>280</v>
      </c>
      <c r="B241" s="34"/>
      <c r="C241" s="34"/>
      <c r="D241" s="34"/>
      <c r="E241" s="34"/>
      <c r="F241" s="34"/>
      <c r="G241" s="34"/>
      <c r="H241" s="34"/>
      <c r="I241" s="34"/>
      <c r="J241" s="34"/>
      <c r="K241" s="34"/>
      <c r="L241" s="34"/>
      <c r="M241" s="34"/>
      <c r="N241" s="74"/>
      <c r="O241" s="71">
        <f t="shared" ref="O241:O247" si="42">SUM(C241:N241)</f>
        <v>0</v>
      </c>
    </row>
    <row r="242" spans="1:15" x14ac:dyDescent="0.2">
      <c r="A242" s="34" t="s">
        <v>281</v>
      </c>
      <c r="B242" s="34" t="s">
        <v>380</v>
      </c>
      <c r="C242" s="68">
        <f>+C243+C244+C245+C246+C247</f>
        <v>0</v>
      </c>
      <c r="D242" s="68">
        <f t="shared" ref="D242:N242" si="43">+D243+D244+D245+D246+D247</f>
        <v>0</v>
      </c>
      <c r="E242" s="68">
        <f t="shared" si="43"/>
        <v>0</v>
      </c>
      <c r="F242" s="68">
        <f t="shared" si="43"/>
        <v>0</v>
      </c>
      <c r="G242" s="68">
        <f t="shared" si="43"/>
        <v>0</v>
      </c>
      <c r="H242" s="68">
        <f t="shared" si="43"/>
        <v>0</v>
      </c>
      <c r="I242" s="68">
        <f t="shared" si="43"/>
        <v>0</v>
      </c>
      <c r="J242" s="68">
        <f t="shared" si="43"/>
        <v>0</v>
      </c>
      <c r="K242" s="68">
        <f t="shared" si="43"/>
        <v>0</v>
      </c>
      <c r="L242" s="68">
        <f t="shared" si="43"/>
        <v>0</v>
      </c>
      <c r="M242" s="68">
        <f t="shared" si="43"/>
        <v>0</v>
      </c>
      <c r="N242" s="70">
        <f t="shared" si="43"/>
        <v>0</v>
      </c>
      <c r="O242" s="71">
        <f t="shared" si="42"/>
        <v>0</v>
      </c>
    </row>
    <row r="243" spans="1:15" x14ac:dyDescent="0.2">
      <c r="A243" s="34" t="s">
        <v>282</v>
      </c>
      <c r="B243" s="34" t="s">
        <v>380</v>
      </c>
      <c r="C243" s="68">
        <f>SUMIFS(SALE!$K$6:$K$10000,SALE!$A$6:$A$10000,C240,SALE!$Q$6:$Q$10000,$B$5:$B$1104)</f>
        <v>0</v>
      </c>
      <c r="D243" s="68">
        <f>SUMIFS(SALE!$K$6:$K$10000,SALE!$A$6:$A$10000,D240,SALE!$Q$6:$Q$10000,$B$5:$B$1104)</f>
        <v>0</v>
      </c>
      <c r="E243" s="68">
        <f>SUMIFS(SALE!$K$6:$K$10000,SALE!$A$6:$A$10000,E240,SALE!$Q$6:$Q$10000,$B$5:$B$1104)</f>
        <v>0</v>
      </c>
      <c r="F243" s="68">
        <f>SUMIFS(SALE!$K$6:$K$10000,SALE!$A$6:$A$10000,F240,SALE!$Q$6:$Q$10000,$B$5:$B$1104)</f>
        <v>0</v>
      </c>
      <c r="G243" s="68">
        <f>SUMIFS(SALE!$K$6:$K$10000,SALE!$A$6:$A$10000,G240,SALE!$Q$6:$Q$10000,$B$5:$B$1104)</f>
        <v>0</v>
      </c>
      <c r="H243" s="68">
        <f>SUMIFS(SALE!$K$6:$K$10000,SALE!$A$6:$A$10000,H240,SALE!$Q$6:$Q$10000,$B$5:$B$1104)</f>
        <v>0</v>
      </c>
      <c r="I243" s="68">
        <f>SUMIFS(SALE!$K$6:$K$10000,SALE!$A$6:$A$10000,I240,SALE!$Q$6:$Q$10000,$B$5:$B$1104)</f>
        <v>0</v>
      </c>
      <c r="J243" s="68">
        <f>SUMIFS(SALE!$K$6:$K$10000,SALE!$A$6:$A$10000,J240,SALE!$Q$6:$Q$10000,$B$5:$B$1104)</f>
        <v>0</v>
      </c>
      <c r="K243" s="68">
        <f>SUMIFS(SALE!$K$6:$K$10000,SALE!$A$6:$A$10000,K240,SALE!$Q$6:$Q$10000,$B$5:$B$1104)</f>
        <v>0</v>
      </c>
      <c r="L243" s="68">
        <f>SUMIFS(SALE!$K$6:$K$10000,SALE!$A$6:$A$10000,L240,SALE!$Q$6:$Q$10000,$B$5:$B$1104)</f>
        <v>0</v>
      </c>
      <c r="M243" s="68">
        <f>SUMIFS(SALE!$K$6:$K$10000,SALE!$A$6:$A$10000,M240,SALE!$Q$6:$Q$10000,$B$5:$B$1104)</f>
        <v>0</v>
      </c>
      <c r="N243" s="70">
        <f>SUMIFS(SALE!$K$6:$K$10000,SALE!$A$6:$A$10000,N240,SALE!$Q$6:$Q$10000,$B$5:$B$1104)</f>
        <v>0</v>
      </c>
      <c r="O243" s="71">
        <f t="shared" si="42"/>
        <v>0</v>
      </c>
    </row>
    <row r="244" spans="1:15" x14ac:dyDescent="0.2">
      <c r="A244" s="34" t="s">
        <v>283</v>
      </c>
      <c r="B244" s="34" t="s">
        <v>380</v>
      </c>
      <c r="C244" s="68">
        <f>SUMIFS(SALE!$L$6:$L$10000,SALE!$A$6:$A$10000,C240,SALE!$Q$6:$Q$10000,$B$5:$B$1104)</f>
        <v>0</v>
      </c>
      <c r="D244" s="68">
        <f>SUMIFS(SALE!$L$6:$L$10000,SALE!$A$6:$A$10000,D240,SALE!$Q$6:$Q$10000,$B$5:$B$1104)</f>
        <v>0</v>
      </c>
      <c r="E244" s="68">
        <f>SUMIFS(SALE!$L$6:$L$10000,SALE!$A$6:$A$10000,E240,SALE!$Q$6:$Q$10000,$B$5:$B$1104)</f>
        <v>0</v>
      </c>
      <c r="F244" s="68">
        <f>SUMIFS(SALE!$L$6:$L$10000,SALE!$A$6:$A$10000,F240,SALE!$Q$6:$Q$10000,$B$5:$B$1104)</f>
        <v>0</v>
      </c>
      <c r="G244" s="68">
        <f>SUMIFS(SALE!$L$6:$L$10000,SALE!$A$6:$A$10000,G240,SALE!$Q$6:$Q$10000,$B$5:$B$1104)</f>
        <v>0</v>
      </c>
      <c r="H244" s="68">
        <f>SUMIFS(SALE!$L$6:$L$10000,SALE!$A$6:$A$10000,H240,SALE!$Q$6:$Q$10000,$B$5:$B$1104)</f>
        <v>0</v>
      </c>
      <c r="I244" s="68">
        <f>SUMIFS(SALE!$L$6:$L$10000,SALE!$A$6:$A$10000,I240,SALE!$Q$6:$Q$10000,$B$5:$B$1104)</f>
        <v>0</v>
      </c>
      <c r="J244" s="68">
        <f>SUMIFS(SALE!$L$6:$L$10000,SALE!$A$6:$A$10000,J240,SALE!$Q$6:$Q$10000,$B$5:$B$1104)</f>
        <v>0</v>
      </c>
      <c r="K244" s="68">
        <f>SUMIFS(SALE!$L$6:$L$10000,SALE!$A$6:$A$10000,K240,SALE!$Q$6:$Q$10000,$B$5:$B$1104)</f>
        <v>0</v>
      </c>
      <c r="L244" s="68">
        <f>SUMIFS(SALE!$L$6:$L$10000,SALE!$A$6:$A$10000,L240,SALE!$Q$6:$Q$10000,$B$5:$B$1104)</f>
        <v>0</v>
      </c>
      <c r="M244" s="68">
        <f>SUMIFS(SALE!$L$6:$L$10000,SALE!$A$6:$A$10000,M240,SALE!$Q$6:$Q$10000,$B$5:$B$1104)</f>
        <v>0</v>
      </c>
      <c r="N244" s="70">
        <f>SUMIFS(SALE!$L$6:$L$10000,SALE!$A$6:$A$10000,N240,SALE!$Q$6:$Q$10000,$B$5:$B$1104)</f>
        <v>0</v>
      </c>
      <c r="O244" s="71">
        <f t="shared" si="42"/>
        <v>0</v>
      </c>
    </row>
    <row r="245" spans="1:15" x14ac:dyDescent="0.2">
      <c r="A245" s="34" t="s">
        <v>284</v>
      </c>
      <c r="B245" s="34" t="s">
        <v>380</v>
      </c>
      <c r="C245" s="68">
        <f>SUMIFS(SALE!$M$6:$M$10000,SALE!$A$6:$A$10000,C240,SALE!$Q$6:$Q$10000,$B$5:$B$1104)</f>
        <v>0</v>
      </c>
      <c r="D245" s="68">
        <f>SUMIFS(SALE!$M$6:$M$10000,SALE!$A$6:$A$10000,D240,SALE!$Q$6:$Q$10000,$B$5:$B$1104)</f>
        <v>0</v>
      </c>
      <c r="E245" s="68">
        <f>SUMIFS(SALE!$M$6:$M$10000,SALE!$A$6:$A$10000,E240,SALE!$Q$6:$Q$10000,$B$5:$B$1104)</f>
        <v>0</v>
      </c>
      <c r="F245" s="68">
        <f>SUMIFS(SALE!$M$6:$M$10000,SALE!$A$6:$A$10000,F240,SALE!$Q$6:$Q$10000,$B$5:$B$1104)</f>
        <v>0</v>
      </c>
      <c r="G245" s="68">
        <f>SUMIFS(SALE!$M$6:$M$10000,SALE!$A$6:$A$10000,G240,SALE!$Q$6:$Q$10000,$B$5:$B$1104)</f>
        <v>0</v>
      </c>
      <c r="H245" s="68">
        <f>SUMIFS(SALE!$M$6:$M$10000,SALE!$A$6:$A$10000,H240,SALE!$Q$6:$Q$10000,$B$5:$B$1104)</f>
        <v>0</v>
      </c>
      <c r="I245" s="68">
        <f>SUMIFS(SALE!$M$6:$M$10000,SALE!$A$6:$A$10000,I240,SALE!$Q$6:$Q$10000,$B$5:$B$1104)</f>
        <v>0</v>
      </c>
      <c r="J245" s="68">
        <f>SUMIFS(SALE!$M$6:$M$10000,SALE!$A$6:$A$10000,J240,SALE!$Q$6:$Q$10000,$B$5:$B$1104)</f>
        <v>0</v>
      </c>
      <c r="K245" s="68">
        <f>SUMIFS(SALE!$M$6:$M$10000,SALE!$A$6:$A$10000,K240,SALE!$Q$6:$Q$10000,$B$5:$B$1104)</f>
        <v>0</v>
      </c>
      <c r="L245" s="68">
        <f>SUMIFS(SALE!$M$6:$M$10000,SALE!$A$6:$A$10000,L240,SALE!$Q$6:$Q$10000,$B$5:$B$1104)</f>
        <v>0</v>
      </c>
      <c r="M245" s="68">
        <f>SUMIFS(SALE!$M$6:$M$10000,SALE!$A$6:$A$10000,M240,SALE!$Q$6:$Q$10000,$B$5:$B$1104)</f>
        <v>0</v>
      </c>
      <c r="N245" s="70">
        <f>SUMIFS(SALE!$M$6:$M$10000,SALE!$A$6:$A$10000,N240,SALE!$Q$6:$Q$10000,$B$5:$B$1104)</f>
        <v>0</v>
      </c>
      <c r="O245" s="71">
        <f t="shared" si="42"/>
        <v>0</v>
      </c>
    </row>
    <row r="246" spans="1:15" x14ac:dyDescent="0.2">
      <c r="A246" s="34" t="s">
        <v>285</v>
      </c>
      <c r="B246" s="34" t="s">
        <v>380</v>
      </c>
      <c r="C246" s="68">
        <f>SUMIFS(SALE!$N$6:$N$10000,SALE!$A$6:$A$10000,C240,SALE!$Q$6:$Q$10000,$B$5:$B$1104)</f>
        <v>0</v>
      </c>
      <c r="D246" s="68">
        <f>SUMIFS(SALE!$N$6:$N$10000,SALE!$A$6:$A$10000,D240,SALE!$Q$6:$Q$10000,$B$5:$B$1104)</f>
        <v>0</v>
      </c>
      <c r="E246" s="68">
        <f>SUMIFS(SALE!$N$6:$N$10000,SALE!$A$6:$A$10000,E240,SALE!$Q$6:$Q$10000,$B$5:$B$1104)</f>
        <v>0</v>
      </c>
      <c r="F246" s="68">
        <f>SUMIFS(SALE!$N$6:$N$10000,SALE!$A$6:$A$10000,F240,SALE!$Q$6:$Q$10000,$B$5:$B$1104)</f>
        <v>0</v>
      </c>
      <c r="G246" s="68">
        <f>SUMIFS(SALE!$N$6:$N$10000,SALE!$A$6:$A$10000,G240,SALE!$Q$6:$Q$10000,$B$5:$B$1104)</f>
        <v>0</v>
      </c>
      <c r="H246" s="68">
        <f>SUMIFS(SALE!$N$6:$N$10000,SALE!$A$6:$A$10000,H240,SALE!$Q$6:$Q$10000,$B$5:$B$1104)</f>
        <v>0</v>
      </c>
      <c r="I246" s="68">
        <f>SUMIFS(SALE!$N$6:$N$10000,SALE!$A$6:$A$10000,I240,SALE!$Q$6:$Q$10000,$B$5:$B$1104)</f>
        <v>0</v>
      </c>
      <c r="J246" s="68">
        <f>SUMIFS(SALE!$N$6:$N$10000,SALE!$A$6:$A$10000,J240,SALE!$Q$6:$Q$10000,$B$5:$B$1104)</f>
        <v>0</v>
      </c>
      <c r="K246" s="68">
        <f>SUMIFS(SALE!$N$6:$N$10000,SALE!$A$6:$A$10000,K240,SALE!$Q$6:$Q$10000,$B$5:$B$1104)</f>
        <v>0</v>
      </c>
      <c r="L246" s="68">
        <f>SUMIFS(SALE!$N$6:$N$10000,SALE!$A$6:$A$10000,L240,SALE!$Q$6:$Q$10000,$B$5:$B$1104)</f>
        <v>0</v>
      </c>
      <c r="M246" s="68">
        <f>SUMIFS(SALE!$N$6:$N$10000,SALE!$A$6:$A$10000,M240,SALE!$Q$6:$Q$10000,$B$5:$B$1104)</f>
        <v>0</v>
      </c>
      <c r="N246" s="70">
        <f>SUMIFS(SALE!$N$6:$N$10000,SALE!$A$6:$A$10000,N240,SALE!$Q$6:$Q$10000,$B$5:$B$1104)</f>
        <v>0</v>
      </c>
      <c r="O246" s="71">
        <f t="shared" si="42"/>
        <v>0</v>
      </c>
    </row>
    <row r="247" spans="1:15" x14ac:dyDescent="0.2">
      <c r="A247" s="34" t="s">
        <v>286</v>
      </c>
      <c r="B247" s="34" t="s">
        <v>380</v>
      </c>
      <c r="C247" s="68">
        <f>SUMIFS(SALE!$O$6:$O$10000,SALE!$A$6:$A$10000,C240,SALE!$Q$6:$Q$10000,$B$5:$B$1104)</f>
        <v>0</v>
      </c>
      <c r="D247" s="68">
        <f>SUMIFS(SALE!$O$6:$O$10000,SALE!$A$6:$A$10000,D240,SALE!$Q$6:$Q$10000,$B$5:$B$1104)</f>
        <v>0</v>
      </c>
      <c r="E247" s="68">
        <f>SUMIFS(SALE!$O$6:$O$10000,SALE!$A$6:$A$10000,E240,SALE!$Q$6:$Q$10000,$B$5:$B$1104)</f>
        <v>0</v>
      </c>
      <c r="F247" s="68">
        <f>SUMIFS(SALE!$O$6:$O$10000,SALE!$A$6:$A$10000,F240,SALE!$Q$6:$Q$10000,$B$5:$B$1104)</f>
        <v>0</v>
      </c>
      <c r="G247" s="68">
        <f>SUMIFS(SALE!$O$6:$O$10000,SALE!$A$6:$A$10000,G240,SALE!$Q$6:$Q$10000,$B$5:$B$1104)</f>
        <v>0</v>
      </c>
      <c r="H247" s="68">
        <f>SUMIFS(SALE!$O$6:$O$10000,SALE!$A$6:$A$10000,H240,SALE!$Q$6:$Q$10000,$B$5:$B$1104)</f>
        <v>0</v>
      </c>
      <c r="I247" s="68">
        <f>SUMIFS(SALE!$O$6:$O$10000,SALE!$A$6:$A$10000,I240,SALE!$Q$6:$Q$10000,$B$5:$B$1104)</f>
        <v>0</v>
      </c>
      <c r="J247" s="68">
        <f>SUMIFS(SALE!$O$6:$O$10000,SALE!$A$6:$A$10000,J240,SALE!$Q$6:$Q$10000,$B$5:$B$1104)</f>
        <v>0</v>
      </c>
      <c r="K247" s="68">
        <f>SUMIFS(SALE!$O$6:$O$10000,SALE!$A$6:$A$10000,K240,SALE!$Q$6:$Q$10000,$B$5:$B$1104)</f>
        <v>0</v>
      </c>
      <c r="L247" s="68">
        <f>SUMIFS(SALE!$O$6:$O$10000,SALE!$A$6:$A$10000,L240,SALE!$Q$6:$Q$10000,$B$5:$B$1104)</f>
        <v>0</v>
      </c>
      <c r="M247" s="68">
        <f>SUMIFS(SALE!$O$6:$O$10000,SALE!$A$6:$A$10000,M240,SALE!$Q$6:$Q$10000,$B$5:$B$1104)</f>
        <v>0</v>
      </c>
      <c r="N247" s="70">
        <f>SUMIFS(SALE!$O$6:$O$10000,SALE!$A$6:$A$10000,N240,SALE!$Q$6:$Q$10000,$B$5:$B$1104)</f>
        <v>0</v>
      </c>
      <c r="O247" s="71">
        <f t="shared" si="42"/>
        <v>0</v>
      </c>
    </row>
    <row r="248" spans="1:15" x14ac:dyDescent="0.2">
      <c r="A248" s="1006" t="s">
        <v>3363</v>
      </c>
      <c r="B248" s="1007"/>
      <c r="C248" s="1007"/>
      <c r="D248" s="1007"/>
      <c r="E248" s="1007"/>
      <c r="F248" s="1007"/>
      <c r="G248" s="1007"/>
      <c r="H248" s="1007"/>
      <c r="I248" s="1007"/>
      <c r="J248" s="1007"/>
      <c r="K248" s="1007"/>
      <c r="L248" s="1007"/>
      <c r="M248" s="1007"/>
      <c r="N248" s="1007"/>
      <c r="O248" s="1008"/>
    </row>
    <row r="249" spans="1:15" x14ac:dyDescent="0.2">
      <c r="A249" s="63" t="s">
        <v>279</v>
      </c>
      <c r="B249" s="63"/>
      <c r="C249" s="64">
        <v>43556</v>
      </c>
      <c r="D249" s="64">
        <v>43586</v>
      </c>
      <c r="E249" s="64">
        <v>43617</v>
      </c>
      <c r="F249" s="64">
        <v>43647</v>
      </c>
      <c r="G249" s="64">
        <v>43678</v>
      </c>
      <c r="H249" s="64">
        <v>43709</v>
      </c>
      <c r="I249" s="64">
        <v>43739</v>
      </c>
      <c r="J249" s="64">
        <v>43770</v>
      </c>
      <c r="K249" s="64">
        <v>43800</v>
      </c>
      <c r="L249" s="64">
        <v>43831</v>
      </c>
      <c r="M249" s="64">
        <v>43862</v>
      </c>
      <c r="N249" s="65">
        <v>43891</v>
      </c>
      <c r="O249" s="66" t="s">
        <v>347</v>
      </c>
    </row>
    <row r="250" spans="1:15" x14ac:dyDescent="0.2">
      <c r="A250" s="34" t="s">
        <v>280</v>
      </c>
      <c r="B250" s="34"/>
      <c r="C250" s="34"/>
      <c r="D250" s="34"/>
      <c r="E250" s="34"/>
      <c r="F250" s="34"/>
      <c r="G250" s="34"/>
      <c r="H250" s="34"/>
      <c r="I250" s="34"/>
      <c r="J250" s="34"/>
      <c r="K250" s="34"/>
      <c r="L250" s="34"/>
      <c r="M250" s="34"/>
      <c r="N250" s="74"/>
      <c r="O250" s="71">
        <f t="shared" ref="O250:O256" si="44">SUM(C250:N250)</f>
        <v>0</v>
      </c>
    </row>
    <row r="251" spans="1:15" x14ac:dyDescent="0.2">
      <c r="A251" s="34" t="s">
        <v>281</v>
      </c>
      <c r="B251" s="34" t="s">
        <v>381</v>
      </c>
      <c r="C251" s="68">
        <f>+C252+C253+C254+C255+C256</f>
        <v>0</v>
      </c>
      <c r="D251" s="68">
        <f t="shared" ref="D251:N251" si="45">+D252+D253+D254+D255+D256</f>
        <v>0</v>
      </c>
      <c r="E251" s="68">
        <f t="shared" si="45"/>
        <v>0</v>
      </c>
      <c r="F251" s="68">
        <f t="shared" si="45"/>
        <v>0</v>
      </c>
      <c r="G251" s="68">
        <f t="shared" si="45"/>
        <v>0</v>
      </c>
      <c r="H251" s="68">
        <f t="shared" si="45"/>
        <v>0</v>
      </c>
      <c r="I251" s="68">
        <f t="shared" si="45"/>
        <v>0</v>
      </c>
      <c r="J251" s="68">
        <f t="shared" si="45"/>
        <v>0</v>
      </c>
      <c r="K251" s="68">
        <f t="shared" si="45"/>
        <v>0</v>
      </c>
      <c r="L251" s="68">
        <f t="shared" si="45"/>
        <v>0</v>
      </c>
      <c r="M251" s="68">
        <f t="shared" si="45"/>
        <v>0</v>
      </c>
      <c r="N251" s="70">
        <f t="shared" si="45"/>
        <v>0</v>
      </c>
      <c r="O251" s="71">
        <f t="shared" si="44"/>
        <v>0</v>
      </c>
    </row>
    <row r="252" spans="1:15" x14ac:dyDescent="0.2">
      <c r="A252" s="34" t="s">
        <v>282</v>
      </c>
      <c r="B252" s="34" t="s">
        <v>381</v>
      </c>
      <c r="C252" s="68">
        <f>SUMIFS(SALE!$K$6:$K$10000,SALE!$A$6:$A$10000,C249,SALE!$Q$6:$Q$10000,$B$5:$B$1104)</f>
        <v>0</v>
      </c>
      <c r="D252" s="68">
        <f>SUMIFS(SALE!$K$6:$K$10000,SALE!$A$6:$A$10000,D249,SALE!$Q$6:$Q$10000,$B$5:$B$1104)</f>
        <v>0</v>
      </c>
      <c r="E252" s="68">
        <f>SUMIFS(SALE!$K$6:$K$10000,SALE!$A$6:$A$10000,E249,SALE!$Q$6:$Q$10000,$B$5:$B$1104)</f>
        <v>0</v>
      </c>
      <c r="F252" s="68">
        <f>SUMIFS(SALE!$K$6:$K$10000,SALE!$A$6:$A$10000,F249,SALE!$Q$6:$Q$10000,$B$5:$B$1104)</f>
        <v>0</v>
      </c>
      <c r="G252" s="68">
        <f>SUMIFS(SALE!$K$6:$K$10000,SALE!$A$6:$A$10000,G249,SALE!$Q$6:$Q$10000,$B$5:$B$1104)</f>
        <v>0</v>
      </c>
      <c r="H252" s="68">
        <f>SUMIFS(SALE!$K$6:$K$10000,SALE!$A$6:$A$10000,H249,SALE!$Q$6:$Q$10000,$B$5:$B$1104)</f>
        <v>0</v>
      </c>
      <c r="I252" s="68">
        <f>SUMIFS(SALE!$K$6:$K$10000,SALE!$A$6:$A$10000,I249,SALE!$Q$6:$Q$10000,$B$5:$B$1104)</f>
        <v>0</v>
      </c>
      <c r="J252" s="68">
        <f>SUMIFS(SALE!$K$6:$K$10000,SALE!$A$6:$A$10000,J249,SALE!$Q$6:$Q$10000,$B$5:$B$1104)</f>
        <v>0</v>
      </c>
      <c r="K252" s="68">
        <f>SUMIFS(SALE!$K$6:$K$10000,SALE!$A$6:$A$10000,K249,SALE!$Q$6:$Q$10000,$B$5:$B$1104)</f>
        <v>0</v>
      </c>
      <c r="L252" s="68">
        <f>SUMIFS(SALE!$K$6:$K$10000,SALE!$A$6:$A$10000,L249,SALE!$Q$6:$Q$10000,$B$5:$B$1104)</f>
        <v>0</v>
      </c>
      <c r="M252" s="68">
        <f>SUMIFS(SALE!$K$6:$K$10000,SALE!$A$6:$A$10000,M249,SALE!$Q$6:$Q$10000,$B$5:$B$1104)</f>
        <v>0</v>
      </c>
      <c r="N252" s="70">
        <f>SUMIFS(SALE!$K$6:$K$10000,SALE!$A$6:$A$10000,N249,SALE!$Q$6:$Q$10000,$B$5:$B$1104)</f>
        <v>0</v>
      </c>
      <c r="O252" s="71">
        <f t="shared" si="44"/>
        <v>0</v>
      </c>
    </row>
    <row r="253" spans="1:15" x14ac:dyDescent="0.2">
      <c r="A253" s="34" t="s">
        <v>283</v>
      </c>
      <c r="B253" s="34" t="s">
        <v>381</v>
      </c>
      <c r="C253" s="68">
        <f>SUMIFS(SALE!$L$6:$L$10000,SALE!$A$6:$A$10000,C249,SALE!$Q$6:$Q$10000,$B$5:$B$1104)</f>
        <v>0</v>
      </c>
      <c r="D253" s="68">
        <f>SUMIFS(SALE!$L$6:$L$10000,SALE!$A$6:$A$10000,D249,SALE!$Q$6:$Q$10000,$B$5:$B$1104)</f>
        <v>0</v>
      </c>
      <c r="E253" s="68">
        <f>SUMIFS(SALE!$L$6:$L$10000,SALE!$A$6:$A$10000,E249,SALE!$Q$6:$Q$10000,$B$5:$B$1104)</f>
        <v>0</v>
      </c>
      <c r="F253" s="68">
        <f>SUMIFS(SALE!$L$6:$L$10000,SALE!$A$6:$A$10000,F249,SALE!$Q$6:$Q$10000,$B$5:$B$1104)</f>
        <v>0</v>
      </c>
      <c r="G253" s="68">
        <f>SUMIFS(SALE!$L$6:$L$10000,SALE!$A$6:$A$10000,G249,SALE!$Q$6:$Q$10000,$B$5:$B$1104)</f>
        <v>0</v>
      </c>
      <c r="H253" s="68">
        <f>SUMIFS(SALE!$L$6:$L$10000,SALE!$A$6:$A$10000,H249,SALE!$Q$6:$Q$10000,$B$5:$B$1104)</f>
        <v>0</v>
      </c>
      <c r="I253" s="68">
        <f>SUMIFS(SALE!$L$6:$L$10000,SALE!$A$6:$A$10000,I249,SALE!$Q$6:$Q$10000,$B$5:$B$1104)</f>
        <v>0</v>
      </c>
      <c r="J253" s="68">
        <f>SUMIFS(SALE!$L$6:$L$10000,SALE!$A$6:$A$10000,J249,SALE!$Q$6:$Q$10000,$B$5:$B$1104)</f>
        <v>0</v>
      </c>
      <c r="K253" s="68">
        <f>SUMIFS(SALE!$L$6:$L$10000,SALE!$A$6:$A$10000,K249,SALE!$Q$6:$Q$10000,$B$5:$B$1104)</f>
        <v>0</v>
      </c>
      <c r="L253" s="68">
        <f>SUMIFS(SALE!$L$6:$L$10000,SALE!$A$6:$A$10000,L249,SALE!$Q$6:$Q$10000,$B$5:$B$1104)</f>
        <v>0</v>
      </c>
      <c r="M253" s="68">
        <f>SUMIFS(SALE!$L$6:$L$10000,SALE!$A$6:$A$10000,M249,SALE!$Q$6:$Q$10000,$B$5:$B$1104)</f>
        <v>0</v>
      </c>
      <c r="N253" s="70">
        <f>SUMIFS(SALE!$L$6:$L$10000,SALE!$A$6:$A$10000,N249,SALE!$Q$6:$Q$10000,$B$5:$B$1104)</f>
        <v>0</v>
      </c>
      <c r="O253" s="71">
        <f t="shared" si="44"/>
        <v>0</v>
      </c>
    </row>
    <row r="254" spans="1:15" x14ac:dyDescent="0.2">
      <c r="A254" s="34" t="s">
        <v>284</v>
      </c>
      <c r="B254" s="34" t="s">
        <v>381</v>
      </c>
      <c r="C254" s="68">
        <f>SUMIFS(SALE!$M$6:$M$10000,SALE!$A$6:$A$10000,C249,SALE!$Q$6:$Q$10000,$B$5:$B$1104)</f>
        <v>0</v>
      </c>
      <c r="D254" s="68">
        <f>SUMIFS(SALE!$M$6:$M$10000,SALE!$A$6:$A$10000,D249,SALE!$Q$6:$Q$10000,$B$5:$B$1104)</f>
        <v>0</v>
      </c>
      <c r="E254" s="68">
        <f>SUMIFS(SALE!$M$6:$M$10000,SALE!$A$6:$A$10000,E249,SALE!$Q$6:$Q$10000,$B$5:$B$1104)</f>
        <v>0</v>
      </c>
      <c r="F254" s="68">
        <f>SUMIFS(SALE!$M$6:$M$10000,SALE!$A$6:$A$10000,F249,SALE!$Q$6:$Q$10000,$B$5:$B$1104)</f>
        <v>0</v>
      </c>
      <c r="G254" s="68">
        <f>SUMIFS(SALE!$M$6:$M$10000,SALE!$A$6:$A$10000,G249,SALE!$Q$6:$Q$10000,$B$5:$B$1104)</f>
        <v>0</v>
      </c>
      <c r="H254" s="68">
        <f>SUMIFS(SALE!$M$6:$M$10000,SALE!$A$6:$A$10000,H249,SALE!$Q$6:$Q$10000,$B$5:$B$1104)</f>
        <v>0</v>
      </c>
      <c r="I254" s="68">
        <f>SUMIFS(SALE!$M$6:$M$10000,SALE!$A$6:$A$10000,I249,SALE!$Q$6:$Q$10000,$B$5:$B$1104)</f>
        <v>0</v>
      </c>
      <c r="J254" s="68">
        <f>SUMIFS(SALE!$M$6:$M$10000,SALE!$A$6:$A$10000,J249,SALE!$Q$6:$Q$10000,$B$5:$B$1104)</f>
        <v>0</v>
      </c>
      <c r="K254" s="68">
        <f>SUMIFS(SALE!$M$6:$M$10000,SALE!$A$6:$A$10000,K249,SALE!$Q$6:$Q$10000,$B$5:$B$1104)</f>
        <v>0</v>
      </c>
      <c r="L254" s="68">
        <f>SUMIFS(SALE!$M$6:$M$10000,SALE!$A$6:$A$10000,L249,SALE!$Q$6:$Q$10000,$B$5:$B$1104)</f>
        <v>0</v>
      </c>
      <c r="M254" s="68">
        <f>SUMIFS(SALE!$M$6:$M$10000,SALE!$A$6:$A$10000,M249,SALE!$Q$6:$Q$10000,$B$5:$B$1104)</f>
        <v>0</v>
      </c>
      <c r="N254" s="70">
        <f>SUMIFS(SALE!$M$6:$M$10000,SALE!$A$6:$A$10000,N249,SALE!$Q$6:$Q$10000,$B$5:$B$1104)</f>
        <v>0</v>
      </c>
      <c r="O254" s="71">
        <f t="shared" si="44"/>
        <v>0</v>
      </c>
    </row>
    <row r="255" spans="1:15" x14ac:dyDescent="0.2">
      <c r="A255" s="34" t="s">
        <v>285</v>
      </c>
      <c r="B255" s="34" t="s">
        <v>381</v>
      </c>
      <c r="C255" s="68">
        <f>SUMIFS(SALE!$N$6:$N$10000,SALE!$A$6:$A$10000,C249,SALE!$Q$6:$Q$10000,$B$5:$B$1104)</f>
        <v>0</v>
      </c>
      <c r="D255" s="68">
        <f>SUMIFS(SALE!$N$6:$N$10000,SALE!$A$6:$A$10000,D249,SALE!$Q$6:$Q$10000,$B$5:$B$1104)</f>
        <v>0</v>
      </c>
      <c r="E255" s="68">
        <f>SUMIFS(SALE!$N$6:$N$10000,SALE!$A$6:$A$10000,E249,SALE!$Q$6:$Q$10000,$B$5:$B$1104)</f>
        <v>0</v>
      </c>
      <c r="F255" s="68">
        <f>SUMIFS(SALE!$N$6:$N$10000,SALE!$A$6:$A$10000,F249,SALE!$Q$6:$Q$10000,$B$5:$B$1104)</f>
        <v>0</v>
      </c>
      <c r="G255" s="68">
        <f>SUMIFS(SALE!$N$6:$N$10000,SALE!$A$6:$A$10000,G249,SALE!$Q$6:$Q$10000,$B$5:$B$1104)</f>
        <v>0</v>
      </c>
      <c r="H255" s="68">
        <f>SUMIFS(SALE!$N$6:$N$10000,SALE!$A$6:$A$10000,H249,SALE!$Q$6:$Q$10000,$B$5:$B$1104)</f>
        <v>0</v>
      </c>
      <c r="I255" s="68">
        <f>SUMIFS(SALE!$N$6:$N$10000,SALE!$A$6:$A$10000,I249,SALE!$Q$6:$Q$10000,$B$5:$B$1104)</f>
        <v>0</v>
      </c>
      <c r="J255" s="68">
        <f>SUMIFS(SALE!$N$6:$N$10000,SALE!$A$6:$A$10000,J249,SALE!$Q$6:$Q$10000,$B$5:$B$1104)</f>
        <v>0</v>
      </c>
      <c r="K255" s="68">
        <f>SUMIFS(SALE!$N$6:$N$10000,SALE!$A$6:$A$10000,K249,SALE!$Q$6:$Q$10000,$B$5:$B$1104)</f>
        <v>0</v>
      </c>
      <c r="L255" s="68">
        <f>SUMIFS(SALE!$N$6:$N$10000,SALE!$A$6:$A$10000,L249,SALE!$Q$6:$Q$10000,$B$5:$B$1104)</f>
        <v>0</v>
      </c>
      <c r="M255" s="68">
        <f>SUMIFS(SALE!$N$6:$N$10000,SALE!$A$6:$A$10000,M249,SALE!$Q$6:$Q$10000,$B$5:$B$1104)</f>
        <v>0</v>
      </c>
      <c r="N255" s="70">
        <f>SUMIFS(SALE!$N$6:$N$10000,SALE!$A$6:$A$10000,N249,SALE!$Q$6:$Q$10000,$B$5:$B$1104)</f>
        <v>0</v>
      </c>
      <c r="O255" s="71">
        <f t="shared" si="44"/>
        <v>0</v>
      </c>
    </row>
    <row r="256" spans="1:15" x14ac:dyDescent="0.2">
      <c r="A256" s="34" t="s">
        <v>286</v>
      </c>
      <c r="B256" s="34" t="s">
        <v>381</v>
      </c>
      <c r="C256" s="68">
        <f>SUMIFS(SALE!$O$6:$O$10000,SALE!$A$6:$A$10000,C249,SALE!$Q$6:$Q$10000,$B$5:$B$1104)</f>
        <v>0</v>
      </c>
      <c r="D256" s="68">
        <f>SUMIFS(SALE!$O$6:$O$10000,SALE!$A$6:$A$10000,D249,SALE!$Q$6:$Q$10000,$B$5:$B$1104)</f>
        <v>0</v>
      </c>
      <c r="E256" s="68">
        <f>SUMIFS(SALE!$O$6:$O$10000,SALE!$A$6:$A$10000,E249,SALE!$Q$6:$Q$10000,$B$5:$B$1104)</f>
        <v>0</v>
      </c>
      <c r="F256" s="68">
        <f>SUMIFS(SALE!$O$6:$O$10000,SALE!$A$6:$A$10000,F249,SALE!$Q$6:$Q$10000,$B$5:$B$1104)</f>
        <v>0</v>
      </c>
      <c r="G256" s="68">
        <f>SUMIFS(SALE!$O$6:$O$10000,SALE!$A$6:$A$10000,G249,SALE!$Q$6:$Q$10000,$B$5:$B$1104)</f>
        <v>0</v>
      </c>
      <c r="H256" s="68">
        <f>SUMIFS(SALE!$O$6:$O$10000,SALE!$A$6:$A$10000,H249,SALE!$Q$6:$Q$10000,$B$5:$B$1104)</f>
        <v>0</v>
      </c>
      <c r="I256" s="68">
        <f>SUMIFS(SALE!$O$6:$O$10000,SALE!$A$6:$A$10000,I249,SALE!$Q$6:$Q$10000,$B$5:$B$1104)</f>
        <v>0</v>
      </c>
      <c r="J256" s="68">
        <f>SUMIFS(SALE!$O$6:$O$10000,SALE!$A$6:$A$10000,J249,SALE!$Q$6:$Q$10000,$B$5:$B$1104)</f>
        <v>0</v>
      </c>
      <c r="K256" s="68">
        <f>SUMIFS(SALE!$O$6:$O$10000,SALE!$A$6:$A$10000,K249,SALE!$Q$6:$Q$10000,$B$5:$B$1104)</f>
        <v>0</v>
      </c>
      <c r="L256" s="68">
        <f>SUMIFS(SALE!$O$6:$O$10000,SALE!$A$6:$A$10000,L249,SALE!$Q$6:$Q$10000,$B$5:$B$1104)</f>
        <v>0</v>
      </c>
      <c r="M256" s="68">
        <f>SUMIFS(SALE!$O$6:$O$10000,SALE!$A$6:$A$10000,M249,SALE!$Q$6:$Q$10000,$B$5:$B$1104)</f>
        <v>0</v>
      </c>
      <c r="N256" s="70">
        <f>SUMIFS(SALE!$O$6:$O$10000,SALE!$A$6:$A$10000,N249,SALE!$Q$6:$Q$10000,$B$5:$B$1104)</f>
        <v>0</v>
      </c>
      <c r="O256" s="71">
        <f t="shared" si="44"/>
        <v>0</v>
      </c>
    </row>
    <row r="257" spans="1:15" x14ac:dyDescent="0.2">
      <c r="A257" s="1006" t="s">
        <v>3364</v>
      </c>
      <c r="B257" s="1007"/>
      <c r="C257" s="1007"/>
      <c r="D257" s="1007"/>
      <c r="E257" s="1007"/>
      <c r="F257" s="1007"/>
      <c r="G257" s="1007"/>
      <c r="H257" s="1007"/>
      <c r="I257" s="1007"/>
      <c r="J257" s="1007"/>
      <c r="K257" s="1007"/>
      <c r="L257" s="1007"/>
      <c r="M257" s="1007"/>
      <c r="N257" s="1007"/>
      <c r="O257" s="1008"/>
    </row>
    <row r="258" spans="1:15" x14ac:dyDescent="0.2">
      <c r="A258" s="63" t="s">
        <v>279</v>
      </c>
      <c r="B258" s="63"/>
      <c r="C258" s="64">
        <v>43556</v>
      </c>
      <c r="D258" s="64">
        <v>43586</v>
      </c>
      <c r="E258" s="64">
        <v>43617</v>
      </c>
      <c r="F258" s="64">
        <v>43647</v>
      </c>
      <c r="G258" s="64">
        <v>43678</v>
      </c>
      <c r="H258" s="64">
        <v>43709</v>
      </c>
      <c r="I258" s="64">
        <v>43739</v>
      </c>
      <c r="J258" s="64">
        <v>43770</v>
      </c>
      <c r="K258" s="64">
        <v>43800</v>
      </c>
      <c r="L258" s="64">
        <v>43831</v>
      </c>
      <c r="M258" s="64">
        <v>43862</v>
      </c>
      <c r="N258" s="65">
        <v>43891</v>
      </c>
      <c r="O258" s="66" t="s">
        <v>347</v>
      </c>
    </row>
    <row r="259" spans="1:15" x14ac:dyDescent="0.2">
      <c r="A259" s="34" t="s">
        <v>280</v>
      </c>
      <c r="B259" s="34"/>
      <c r="C259" s="34"/>
      <c r="D259" s="34"/>
      <c r="E259" s="34"/>
      <c r="F259" s="34"/>
      <c r="G259" s="34"/>
      <c r="H259" s="34"/>
      <c r="I259" s="34"/>
      <c r="J259" s="34"/>
      <c r="K259" s="34"/>
      <c r="L259" s="34"/>
      <c r="M259" s="34"/>
      <c r="N259" s="74"/>
      <c r="O259" s="71">
        <f t="shared" ref="O259:O265" si="46">SUM(C259:N259)</f>
        <v>0</v>
      </c>
    </row>
    <row r="260" spans="1:15" x14ac:dyDescent="0.2">
      <c r="A260" s="34" t="s">
        <v>281</v>
      </c>
      <c r="B260" s="34" t="s">
        <v>382</v>
      </c>
      <c r="C260" s="68">
        <f>+C261+C262+C263+C264+C265</f>
        <v>0</v>
      </c>
      <c r="D260" s="68">
        <f t="shared" ref="D260:N260" si="47">+D261+D262+D263+D264+D265</f>
        <v>0</v>
      </c>
      <c r="E260" s="68">
        <f t="shared" si="47"/>
        <v>0</v>
      </c>
      <c r="F260" s="68">
        <f t="shared" si="47"/>
        <v>0</v>
      </c>
      <c r="G260" s="68">
        <f t="shared" si="47"/>
        <v>0</v>
      </c>
      <c r="H260" s="68">
        <f t="shared" si="47"/>
        <v>0</v>
      </c>
      <c r="I260" s="68">
        <f t="shared" si="47"/>
        <v>0</v>
      </c>
      <c r="J260" s="68">
        <f t="shared" si="47"/>
        <v>0</v>
      </c>
      <c r="K260" s="68">
        <f t="shared" si="47"/>
        <v>0</v>
      </c>
      <c r="L260" s="68">
        <f t="shared" si="47"/>
        <v>0</v>
      </c>
      <c r="M260" s="68">
        <f t="shared" si="47"/>
        <v>0</v>
      </c>
      <c r="N260" s="70">
        <f t="shared" si="47"/>
        <v>0</v>
      </c>
      <c r="O260" s="71">
        <f t="shared" si="46"/>
        <v>0</v>
      </c>
    </row>
    <row r="261" spans="1:15" x14ac:dyDescent="0.2">
      <c r="A261" s="34" t="s">
        <v>282</v>
      </c>
      <c r="B261" s="34" t="s">
        <v>382</v>
      </c>
      <c r="C261" s="68">
        <f>SUMIFS(SALE!$K$6:$K$10000,SALE!$A$6:$A$10000,C258,SALE!$Q$6:$Q$10000,$B$5:$B$1104)</f>
        <v>0</v>
      </c>
      <c r="D261" s="68">
        <f>SUMIFS(SALE!$K$6:$K$10000,SALE!$A$6:$A$10000,D258,SALE!$Q$6:$Q$10000,$B$5:$B$1104)</f>
        <v>0</v>
      </c>
      <c r="E261" s="68">
        <f>SUMIFS(SALE!$K$6:$K$10000,SALE!$A$6:$A$10000,E258,SALE!$Q$6:$Q$10000,$B$5:$B$1104)</f>
        <v>0</v>
      </c>
      <c r="F261" s="68">
        <f>SUMIFS(SALE!$K$6:$K$10000,SALE!$A$6:$A$10000,F258,SALE!$Q$6:$Q$10000,$B$5:$B$1104)</f>
        <v>0</v>
      </c>
      <c r="G261" s="68">
        <f>SUMIFS(SALE!$K$6:$K$10000,SALE!$A$6:$A$10000,G258,SALE!$Q$6:$Q$10000,$B$5:$B$1104)</f>
        <v>0</v>
      </c>
      <c r="H261" s="68">
        <f>SUMIFS(SALE!$K$6:$K$10000,SALE!$A$6:$A$10000,H258,SALE!$Q$6:$Q$10000,$B$5:$B$1104)</f>
        <v>0</v>
      </c>
      <c r="I261" s="68">
        <f>SUMIFS(SALE!$K$6:$K$10000,SALE!$A$6:$A$10000,I258,SALE!$Q$6:$Q$10000,$B$5:$B$1104)</f>
        <v>0</v>
      </c>
      <c r="J261" s="68">
        <f>SUMIFS(SALE!$K$6:$K$10000,SALE!$A$6:$A$10000,J258,SALE!$Q$6:$Q$10000,$B$5:$B$1104)</f>
        <v>0</v>
      </c>
      <c r="K261" s="68">
        <f>SUMIFS(SALE!$K$6:$K$10000,SALE!$A$6:$A$10000,K258,SALE!$Q$6:$Q$10000,$B$5:$B$1104)</f>
        <v>0</v>
      </c>
      <c r="L261" s="68">
        <f>SUMIFS(SALE!$K$6:$K$10000,SALE!$A$6:$A$10000,L258,SALE!$Q$6:$Q$10000,$B$5:$B$1104)</f>
        <v>0</v>
      </c>
      <c r="M261" s="68">
        <f>SUMIFS(SALE!$K$6:$K$10000,SALE!$A$6:$A$10000,M258,SALE!$Q$6:$Q$10000,$B$5:$B$1104)</f>
        <v>0</v>
      </c>
      <c r="N261" s="70">
        <f>SUMIFS(SALE!$K$6:$K$10000,SALE!$A$6:$A$10000,N258,SALE!$Q$6:$Q$10000,$B$5:$B$1104)</f>
        <v>0</v>
      </c>
      <c r="O261" s="71">
        <f t="shared" si="46"/>
        <v>0</v>
      </c>
    </row>
    <row r="262" spans="1:15" x14ac:dyDescent="0.2">
      <c r="A262" s="34" t="s">
        <v>283</v>
      </c>
      <c r="B262" s="34" t="s">
        <v>382</v>
      </c>
      <c r="C262" s="68">
        <f>SUMIFS(SALE!$L$6:$L$10000,SALE!$A$6:$A$10000,C258,SALE!$Q$6:$Q$10000,$B$5:$B$1104)</f>
        <v>0</v>
      </c>
      <c r="D262" s="68">
        <f>SUMIFS(SALE!$L$6:$L$10000,SALE!$A$6:$A$10000,D258,SALE!$Q$6:$Q$10000,$B$5:$B$1104)</f>
        <v>0</v>
      </c>
      <c r="E262" s="68">
        <f>SUMIFS(SALE!$L$6:$L$10000,SALE!$A$6:$A$10000,E258,SALE!$Q$6:$Q$10000,$B$5:$B$1104)</f>
        <v>0</v>
      </c>
      <c r="F262" s="68">
        <f>SUMIFS(SALE!$L$6:$L$10000,SALE!$A$6:$A$10000,F258,SALE!$Q$6:$Q$10000,$B$5:$B$1104)</f>
        <v>0</v>
      </c>
      <c r="G262" s="68">
        <f>SUMIFS(SALE!$L$6:$L$10000,SALE!$A$6:$A$10000,G258,SALE!$Q$6:$Q$10000,$B$5:$B$1104)</f>
        <v>0</v>
      </c>
      <c r="H262" s="68">
        <f>SUMIFS(SALE!$L$6:$L$10000,SALE!$A$6:$A$10000,H258,SALE!$Q$6:$Q$10000,$B$5:$B$1104)</f>
        <v>0</v>
      </c>
      <c r="I262" s="68">
        <f>SUMIFS(SALE!$L$6:$L$10000,SALE!$A$6:$A$10000,I258,SALE!$Q$6:$Q$10000,$B$5:$B$1104)</f>
        <v>0</v>
      </c>
      <c r="J262" s="68">
        <f>SUMIFS(SALE!$L$6:$L$10000,SALE!$A$6:$A$10000,J258,SALE!$Q$6:$Q$10000,$B$5:$B$1104)</f>
        <v>0</v>
      </c>
      <c r="K262" s="68">
        <f>SUMIFS(SALE!$L$6:$L$10000,SALE!$A$6:$A$10000,K258,SALE!$Q$6:$Q$10000,$B$5:$B$1104)</f>
        <v>0</v>
      </c>
      <c r="L262" s="68">
        <f>SUMIFS(SALE!$L$6:$L$10000,SALE!$A$6:$A$10000,L258,SALE!$Q$6:$Q$10000,$B$5:$B$1104)</f>
        <v>0</v>
      </c>
      <c r="M262" s="68">
        <f>SUMIFS(SALE!$L$6:$L$10000,SALE!$A$6:$A$10000,M258,SALE!$Q$6:$Q$10000,$B$5:$B$1104)</f>
        <v>0</v>
      </c>
      <c r="N262" s="70">
        <f>SUMIFS(SALE!$L$6:$L$10000,SALE!$A$6:$A$10000,N258,SALE!$Q$6:$Q$10000,$B$5:$B$1104)</f>
        <v>0</v>
      </c>
      <c r="O262" s="71">
        <f t="shared" si="46"/>
        <v>0</v>
      </c>
    </row>
    <row r="263" spans="1:15" x14ac:dyDescent="0.2">
      <c r="A263" s="34" t="s">
        <v>284</v>
      </c>
      <c r="B263" s="34" t="s">
        <v>382</v>
      </c>
      <c r="C263" s="68">
        <f>SUMIFS(SALE!$M$6:$M$10000,SALE!$A$6:$A$10000,C258,SALE!$Q$6:$Q$10000,$B$5:$B$1104)</f>
        <v>0</v>
      </c>
      <c r="D263" s="68">
        <f>SUMIFS(SALE!$M$6:$M$10000,SALE!$A$6:$A$10000,D258,SALE!$Q$6:$Q$10000,$B$5:$B$1104)</f>
        <v>0</v>
      </c>
      <c r="E263" s="68">
        <f>SUMIFS(SALE!$M$6:$M$10000,SALE!$A$6:$A$10000,E258,SALE!$Q$6:$Q$10000,$B$5:$B$1104)</f>
        <v>0</v>
      </c>
      <c r="F263" s="68">
        <f>SUMIFS(SALE!$M$6:$M$10000,SALE!$A$6:$A$10000,F258,SALE!$Q$6:$Q$10000,$B$5:$B$1104)</f>
        <v>0</v>
      </c>
      <c r="G263" s="68">
        <f>SUMIFS(SALE!$M$6:$M$10000,SALE!$A$6:$A$10000,G258,SALE!$Q$6:$Q$10000,$B$5:$B$1104)</f>
        <v>0</v>
      </c>
      <c r="H263" s="68">
        <f>SUMIFS(SALE!$M$6:$M$10000,SALE!$A$6:$A$10000,H258,SALE!$Q$6:$Q$10000,$B$5:$B$1104)</f>
        <v>0</v>
      </c>
      <c r="I263" s="68">
        <f>SUMIFS(SALE!$M$6:$M$10000,SALE!$A$6:$A$10000,I258,SALE!$Q$6:$Q$10000,$B$5:$B$1104)</f>
        <v>0</v>
      </c>
      <c r="J263" s="68">
        <f>SUMIFS(SALE!$M$6:$M$10000,SALE!$A$6:$A$10000,J258,SALE!$Q$6:$Q$10000,$B$5:$B$1104)</f>
        <v>0</v>
      </c>
      <c r="K263" s="68">
        <f>SUMIFS(SALE!$M$6:$M$10000,SALE!$A$6:$A$10000,K258,SALE!$Q$6:$Q$10000,$B$5:$B$1104)</f>
        <v>0</v>
      </c>
      <c r="L263" s="68">
        <f>SUMIFS(SALE!$M$6:$M$10000,SALE!$A$6:$A$10000,L258,SALE!$Q$6:$Q$10000,$B$5:$B$1104)</f>
        <v>0</v>
      </c>
      <c r="M263" s="68">
        <f>SUMIFS(SALE!$M$6:$M$10000,SALE!$A$6:$A$10000,M258,SALE!$Q$6:$Q$10000,$B$5:$B$1104)</f>
        <v>0</v>
      </c>
      <c r="N263" s="70">
        <f>SUMIFS(SALE!$M$6:$M$10000,SALE!$A$6:$A$10000,N258,SALE!$Q$6:$Q$10000,$B$5:$B$1104)</f>
        <v>0</v>
      </c>
      <c r="O263" s="71">
        <f t="shared" si="46"/>
        <v>0</v>
      </c>
    </row>
    <row r="264" spans="1:15" x14ac:dyDescent="0.2">
      <c r="A264" s="34" t="s">
        <v>285</v>
      </c>
      <c r="B264" s="34" t="s">
        <v>382</v>
      </c>
      <c r="C264" s="68">
        <f>SUMIFS(SALE!$N$6:$N$10000,SALE!$A$6:$A$10000,C258,SALE!$Q$6:$Q$10000,$B$5:$B$1104)</f>
        <v>0</v>
      </c>
      <c r="D264" s="68">
        <f>SUMIFS(SALE!$N$6:$N$10000,SALE!$A$6:$A$10000,D258,SALE!$Q$6:$Q$10000,$B$5:$B$1104)</f>
        <v>0</v>
      </c>
      <c r="E264" s="68">
        <f>SUMIFS(SALE!$N$6:$N$10000,SALE!$A$6:$A$10000,E258,SALE!$Q$6:$Q$10000,$B$5:$B$1104)</f>
        <v>0</v>
      </c>
      <c r="F264" s="68">
        <f>SUMIFS(SALE!$N$6:$N$10000,SALE!$A$6:$A$10000,F258,SALE!$Q$6:$Q$10000,$B$5:$B$1104)</f>
        <v>0</v>
      </c>
      <c r="G264" s="68">
        <f>SUMIFS(SALE!$N$6:$N$10000,SALE!$A$6:$A$10000,G258,SALE!$Q$6:$Q$10000,$B$5:$B$1104)</f>
        <v>0</v>
      </c>
      <c r="H264" s="68">
        <f>SUMIFS(SALE!$N$6:$N$10000,SALE!$A$6:$A$10000,H258,SALE!$Q$6:$Q$10000,$B$5:$B$1104)</f>
        <v>0</v>
      </c>
      <c r="I264" s="68">
        <f>SUMIFS(SALE!$N$6:$N$10000,SALE!$A$6:$A$10000,I258,SALE!$Q$6:$Q$10000,$B$5:$B$1104)</f>
        <v>0</v>
      </c>
      <c r="J264" s="68">
        <f>SUMIFS(SALE!$N$6:$N$10000,SALE!$A$6:$A$10000,J258,SALE!$Q$6:$Q$10000,$B$5:$B$1104)</f>
        <v>0</v>
      </c>
      <c r="K264" s="68">
        <f>SUMIFS(SALE!$N$6:$N$10000,SALE!$A$6:$A$10000,K258,SALE!$Q$6:$Q$10000,$B$5:$B$1104)</f>
        <v>0</v>
      </c>
      <c r="L264" s="68">
        <f>SUMIFS(SALE!$N$6:$N$10000,SALE!$A$6:$A$10000,L258,SALE!$Q$6:$Q$10000,$B$5:$B$1104)</f>
        <v>0</v>
      </c>
      <c r="M264" s="68">
        <f>SUMIFS(SALE!$N$6:$N$10000,SALE!$A$6:$A$10000,M258,SALE!$Q$6:$Q$10000,$B$5:$B$1104)</f>
        <v>0</v>
      </c>
      <c r="N264" s="70">
        <f>SUMIFS(SALE!$N$6:$N$10000,SALE!$A$6:$A$10000,N258,SALE!$Q$6:$Q$10000,$B$5:$B$1104)</f>
        <v>0</v>
      </c>
      <c r="O264" s="71">
        <f t="shared" si="46"/>
        <v>0</v>
      </c>
    </row>
    <row r="265" spans="1:15" x14ac:dyDescent="0.2">
      <c r="A265" s="34" t="s">
        <v>286</v>
      </c>
      <c r="B265" s="34" t="s">
        <v>382</v>
      </c>
      <c r="C265" s="68">
        <f>SUMIFS(SALE!$O$6:$O$10000,SALE!$A$6:$A$10000,C258,SALE!$Q$6:$Q$10000,$B$5:$B$1104)</f>
        <v>0</v>
      </c>
      <c r="D265" s="68">
        <f>SUMIFS(SALE!$O$6:$O$10000,SALE!$A$6:$A$10000,D258,SALE!$Q$6:$Q$10000,$B$5:$B$1104)</f>
        <v>0</v>
      </c>
      <c r="E265" s="68">
        <f>SUMIFS(SALE!$O$6:$O$10000,SALE!$A$6:$A$10000,E258,SALE!$Q$6:$Q$10000,$B$5:$B$1104)</f>
        <v>0</v>
      </c>
      <c r="F265" s="68">
        <f>SUMIFS(SALE!$O$6:$O$10000,SALE!$A$6:$A$10000,F258,SALE!$Q$6:$Q$10000,$B$5:$B$1104)</f>
        <v>0</v>
      </c>
      <c r="G265" s="68">
        <f>SUMIFS(SALE!$O$6:$O$10000,SALE!$A$6:$A$10000,G258,SALE!$Q$6:$Q$10000,$B$5:$B$1104)</f>
        <v>0</v>
      </c>
      <c r="H265" s="68">
        <f>SUMIFS(SALE!$O$6:$O$10000,SALE!$A$6:$A$10000,H258,SALE!$Q$6:$Q$10000,$B$5:$B$1104)</f>
        <v>0</v>
      </c>
      <c r="I265" s="68">
        <f>SUMIFS(SALE!$O$6:$O$10000,SALE!$A$6:$A$10000,I258,SALE!$Q$6:$Q$10000,$B$5:$B$1104)</f>
        <v>0</v>
      </c>
      <c r="J265" s="68">
        <f>SUMIFS(SALE!$O$6:$O$10000,SALE!$A$6:$A$10000,J258,SALE!$Q$6:$Q$10000,$B$5:$B$1104)</f>
        <v>0</v>
      </c>
      <c r="K265" s="68">
        <f>SUMIFS(SALE!$O$6:$O$10000,SALE!$A$6:$A$10000,K258,SALE!$Q$6:$Q$10000,$B$5:$B$1104)</f>
        <v>0</v>
      </c>
      <c r="L265" s="68">
        <f>SUMIFS(SALE!$O$6:$O$10000,SALE!$A$6:$A$10000,L258,SALE!$Q$6:$Q$10000,$B$5:$B$1104)</f>
        <v>0</v>
      </c>
      <c r="M265" s="68">
        <f>SUMIFS(SALE!$O$6:$O$10000,SALE!$A$6:$A$10000,M258,SALE!$Q$6:$Q$10000,$B$5:$B$1104)</f>
        <v>0</v>
      </c>
      <c r="N265" s="70">
        <f>SUMIFS(SALE!$O$6:$O$10000,SALE!$A$6:$A$10000,N258,SALE!$Q$6:$Q$10000,$B$5:$B$1104)</f>
        <v>0</v>
      </c>
      <c r="O265" s="71">
        <f t="shared" si="46"/>
        <v>0</v>
      </c>
    </row>
    <row r="266" spans="1:15" x14ac:dyDescent="0.2">
      <c r="A266" s="1006" t="s">
        <v>371</v>
      </c>
      <c r="B266" s="1007"/>
      <c r="C266" s="1007"/>
      <c r="D266" s="1007"/>
      <c r="E266" s="1007"/>
      <c r="F266" s="1007"/>
      <c r="G266" s="1007"/>
      <c r="H266" s="1007"/>
      <c r="I266" s="1007"/>
      <c r="J266" s="1007"/>
      <c r="K266" s="1007"/>
      <c r="L266" s="1007"/>
      <c r="M266" s="1007"/>
      <c r="N266" s="1007"/>
      <c r="O266" s="1008"/>
    </row>
    <row r="267" spans="1:15" x14ac:dyDescent="0.2">
      <c r="A267" s="63" t="s">
        <v>279</v>
      </c>
      <c r="B267" s="63"/>
      <c r="C267" s="64">
        <v>43556</v>
      </c>
      <c r="D267" s="64">
        <v>43586</v>
      </c>
      <c r="E267" s="64">
        <v>43617</v>
      </c>
      <c r="F267" s="64">
        <v>43647</v>
      </c>
      <c r="G267" s="64">
        <v>43678</v>
      </c>
      <c r="H267" s="64">
        <v>43709</v>
      </c>
      <c r="I267" s="64">
        <v>43739</v>
      </c>
      <c r="J267" s="64">
        <v>43770</v>
      </c>
      <c r="K267" s="64">
        <v>43800</v>
      </c>
      <c r="L267" s="64">
        <v>43831</v>
      </c>
      <c r="M267" s="64">
        <v>43862</v>
      </c>
      <c r="N267" s="65">
        <v>43891</v>
      </c>
      <c r="O267" s="66" t="s">
        <v>347</v>
      </c>
    </row>
    <row r="268" spans="1:15" x14ac:dyDescent="0.2">
      <c r="A268" s="34" t="s">
        <v>280</v>
      </c>
      <c r="B268" s="34"/>
      <c r="C268" s="34"/>
      <c r="D268" s="34"/>
      <c r="E268" s="34"/>
      <c r="F268" s="34"/>
      <c r="G268" s="34"/>
      <c r="H268" s="34"/>
      <c r="I268" s="34"/>
      <c r="J268" s="34"/>
      <c r="K268" s="34"/>
      <c r="L268" s="34"/>
      <c r="M268" s="34"/>
      <c r="N268" s="74"/>
      <c r="O268" s="71">
        <f t="shared" ref="O268:O274" si="48">SUM(C268:N268)</f>
        <v>0</v>
      </c>
    </row>
    <row r="269" spans="1:15" x14ac:dyDescent="0.2">
      <c r="A269" s="34" t="s">
        <v>281</v>
      </c>
      <c r="B269" s="34" t="s">
        <v>371</v>
      </c>
      <c r="C269" s="68">
        <f>+C270+C271+C272+C273+C274</f>
        <v>0</v>
      </c>
      <c r="D269" s="68">
        <f t="shared" ref="D269:N269" si="49">+D270+D271+D272+D273+D274</f>
        <v>0</v>
      </c>
      <c r="E269" s="68">
        <f t="shared" si="49"/>
        <v>0</v>
      </c>
      <c r="F269" s="68">
        <f t="shared" si="49"/>
        <v>0</v>
      </c>
      <c r="G269" s="68">
        <f t="shared" si="49"/>
        <v>0</v>
      </c>
      <c r="H269" s="68">
        <f t="shared" si="49"/>
        <v>0</v>
      </c>
      <c r="I269" s="68">
        <f t="shared" si="49"/>
        <v>0</v>
      </c>
      <c r="J269" s="68">
        <f t="shared" si="49"/>
        <v>0</v>
      </c>
      <c r="K269" s="68">
        <f t="shared" si="49"/>
        <v>0</v>
      </c>
      <c r="L269" s="68">
        <f t="shared" si="49"/>
        <v>0</v>
      </c>
      <c r="M269" s="68">
        <f t="shared" si="49"/>
        <v>0</v>
      </c>
      <c r="N269" s="70">
        <f t="shared" si="49"/>
        <v>0</v>
      </c>
      <c r="O269" s="71">
        <f t="shared" si="48"/>
        <v>0</v>
      </c>
    </row>
    <row r="270" spans="1:15" x14ac:dyDescent="0.2">
      <c r="A270" s="34" t="s">
        <v>282</v>
      </c>
      <c r="B270" s="34" t="s">
        <v>371</v>
      </c>
      <c r="C270" s="68">
        <f>SUMIFS(SALE!$K$6:$K$10000,SALE!$A$6:$A$10000,C267,SALE!$Q$6:$Q$10000,$B$5:$B$1104)</f>
        <v>0</v>
      </c>
      <c r="D270" s="68">
        <f>SUMIFS(SALE!$K$6:$K$10000,SALE!$A$6:$A$10000,D267,SALE!$Q$6:$Q$10000,$B$5:$B$1104)</f>
        <v>0</v>
      </c>
      <c r="E270" s="68">
        <f>SUMIFS(SALE!$K$6:$K$10000,SALE!$A$6:$A$10000,E267,SALE!$Q$6:$Q$10000,$B$5:$B$1104)</f>
        <v>0</v>
      </c>
      <c r="F270" s="68">
        <f>SUMIFS(SALE!$K$6:$K$10000,SALE!$A$6:$A$10000,F267,SALE!$Q$6:$Q$10000,$B$5:$B$1104)</f>
        <v>0</v>
      </c>
      <c r="G270" s="68">
        <f>SUMIFS(SALE!$K$6:$K$10000,SALE!$A$6:$A$10000,G267,SALE!$Q$6:$Q$10000,$B$5:$B$1104)</f>
        <v>0</v>
      </c>
      <c r="H270" s="68">
        <f>SUMIFS(SALE!$K$6:$K$10000,SALE!$A$6:$A$10000,H267,SALE!$Q$6:$Q$10000,$B$5:$B$1104)</f>
        <v>0</v>
      </c>
      <c r="I270" s="68">
        <f>SUMIFS(SALE!$K$6:$K$10000,SALE!$A$6:$A$10000,I267,SALE!$Q$6:$Q$10000,$B$5:$B$1104)</f>
        <v>0</v>
      </c>
      <c r="J270" s="68">
        <f>SUMIFS(SALE!$K$6:$K$10000,SALE!$A$6:$A$10000,J267,SALE!$Q$6:$Q$10000,$B$5:$B$1104)</f>
        <v>0</v>
      </c>
      <c r="K270" s="68">
        <f>SUMIFS(SALE!$K$6:$K$10000,SALE!$A$6:$A$10000,K267,SALE!$Q$6:$Q$10000,$B$5:$B$1104)</f>
        <v>0</v>
      </c>
      <c r="L270" s="68">
        <f>SUMIFS(SALE!$K$6:$K$10000,SALE!$A$6:$A$10000,L267,SALE!$Q$6:$Q$10000,$B$5:$B$1104)</f>
        <v>0</v>
      </c>
      <c r="M270" s="68">
        <f>SUMIFS(SALE!$K$6:$K$10000,SALE!$A$6:$A$10000,M267,SALE!$Q$6:$Q$10000,$B$5:$B$1104)</f>
        <v>0</v>
      </c>
      <c r="N270" s="70">
        <f>SUMIFS(SALE!$K$6:$K$10000,SALE!$A$6:$A$10000,N267,SALE!$Q$6:$Q$10000,$B$5:$B$1104)</f>
        <v>0</v>
      </c>
      <c r="O270" s="71">
        <f t="shared" si="48"/>
        <v>0</v>
      </c>
    </row>
    <row r="271" spans="1:15" x14ac:dyDescent="0.2">
      <c r="A271" s="34" t="s">
        <v>283</v>
      </c>
      <c r="B271" s="34" t="s">
        <v>371</v>
      </c>
      <c r="C271" s="68">
        <f>SUMIFS(SALE!$L$6:$L$10000,SALE!$A$6:$A$10000,C267,SALE!$Q$6:$Q$10000,$B$5:$B$1104)</f>
        <v>0</v>
      </c>
      <c r="D271" s="68">
        <f>SUMIFS(SALE!$L$6:$L$10000,SALE!$A$6:$A$10000,D267,SALE!$Q$6:$Q$10000,$B$5:$B$1104)</f>
        <v>0</v>
      </c>
      <c r="E271" s="68">
        <f>SUMIFS(SALE!$L$6:$L$10000,SALE!$A$6:$A$10000,E267,SALE!$Q$6:$Q$10000,$B$5:$B$1104)</f>
        <v>0</v>
      </c>
      <c r="F271" s="68">
        <f>SUMIFS(SALE!$L$6:$L$10000,SALE!$A$6:$A$10000,F267,SALE!$Q$6:$Q$10000,$B$5:$B$1104)</f>
        <v>0</v>
      </c>
      <c r="G271" s="68">
        <f>SUMIFS(SALE!$L$6:$L$10000,SALE!$A$6:$A$10000,G267,SALE!$Q$6:$Q$10000,$B$5:$B$1104)</f>
        <v>0</v>
      </c>
      <c r="H271" s="68">
        <f>SUMIFS(SALE!$L$6:$L$10000,SALE!$A$6:$A$10000,H267,SALE!$Q$6:$Q$10000,$B$5:$B$1104)</f>
        <v>0</v>
      </c>
      <c r="I271" s="68">
        <f>SUMIFS(SALE!$L$6:$L$10000,SALE!$A$6:$A$10000,I267,SALE!$Q$6:$Q$10000,$B$5:$B$1104)</f>
        <v>0</v>
      </c>
      <c r="J271" s="68">
        <f>SUMIFS(SALE!$L$6:$L$10000,SALE!$A$6:$A$10000,J267,SALE!$Q$6:$Q$10000,$B$5:$B$1104)</f>
        <v>0</v>
      </c>
      <c r="K271" s="68">
        <f>SUMIFS(SALE!$L$6:$L$10000,SALE!$A$6:$A$10000,K267,SALE!$Q$6:$Q$10000,$B$5:$B$1104)</f>
        <v>0</v>
      </c>
      <c r="L271" s="68">
        <f>SUMIFS(SALE!$L$6:$L$10000,SALE!$A$6:$A$10000,L267,SALE!$Q$6:$Q$10000,$B$5:$B$1104)</f>
        <v>0</v>
      </c>
      <c r="M271" s="68">
        <f>SUMIFS(SALE!$L$6:$L$10000,SALE!$A$6:$A$10000,M267,SALE!$Q$6:$Q$10000,$B$5:$B$1104)</f>
        <v>0</v>
      </c>
      <c r="N271" s="70">
        <f>SUMIFS(SALE!$L$6:$L$10000,SALE!$A$6:$A$10000,N267,SALE!$Q$6:$Q$10000,$B$5:$B$1104)</f>
        <v>0</v>
      </c>
      <c r="O271" s="71">
        <f t="shared" si="48"/>
        <v>0</v>
      </c>
    </row>
    <row r="272" spans="1:15" x14ac:dyDescent="0.2">
      <c r="A272" s="34" t="s">
        <v>284</v>
      </c>
      <c r="B272" s="34" t="s">
        <v>371</v>
      </c>
      <c r="C272" s="68">
        <f>SUMIFS(SALE!$M$6:$M$10000,SALE!$A$6:$A$10000,C267,SALE!$Q$6:$Q$10000,$B$5:$B$1104)</f>
        <v>0</v>
      </c>
      <c r="D272" s="68">
        <f>SUMIFS(SALE!$M$6:$M$10000,SALE!$A$6:$A$10000,D267,SALE!$Q$6:$Q$10000,$B$5:$B$1104)</f>
        <v>0</v>
      </c>
      <c r="E272" s="68">
        <f>SUMIFS(SALE!$M$6:$M$10000,SALE!$A$6:$A$10000,E267,SALE!$Q$6:$Q$10000,$B$5:$B$1104)</f>
        <v>0</v>
      </c>
      <c r="F272" s="68">
        <f>SUMIFS(SALE!$M$6:$M$10000,SALE!$A$6:$A$10000,F267,SALE!$Q$6:$Q$10000,$B$5:$B$1104)</f>
        <v>0</v>
      </c>
      <c r="G272" s="68">
        <f>SUMIFS(SALE!$M$6:$M$10000,SALE!$A$6:$A$10000,G267,SALE!$Q$6:$Q$10000,$B$5:$B$1104)</f>
        <v>0</v>
      </c>
      <c r="H272" s="68">
        <f>SUMIFS(SALE!$M$6:$M$10000,SALE!$A$6:$A$10000,H267,SALE!$Q$6:$Q$10000,$B$5:$B$1104)</f>
        <v>0</v>
      </c>
      <c r="I272" s="68">
        <f>SUMIFS(SALE!$M$6:$M$10000,SALE!$A$6:$A$10000,I267,SALE!$Q$6:$Q$10000,$B$5:$B$1104)</f>
        <v>0</v>
      </c>
      <c r="J272" s="68">
        <f>SUMIFS(SALE!$M$6:$M$10000,SALE!$A$6:$A$10000,J267,SALE!$Q$6:$Q$10000,$B$5:$B$1104)</f>
        <v>0</v>
      </c>
      <c r="K272" s="68">
        <f>SUMIFS(SALE!$M$6:$M$10000,SALE!$A$6:$A$10000,K267,SALE!$Q$6:$Q$10000,$B$5:$B$1104)</f>
        <v>0</v>
      </c>
      <c r="L272" s="68">
        <f>SUMIFS(SALE!$M$6:$M$10000,SALE!$A$6:$A$10000,L267,SALE!$Q$6:$Q$10000,$B$5:$B$1104)</f>
        <v>0</v>
      </c>
      <c r="M272" s="68">
        <f>SUMIFS(SALE!$M$6:$M$10000,SALE!$A$6:$A$10000,M267,SALE!$Q$6:$Q$10000,$B$5:$B$1104)</f>
        <v>0</v>
      </c>
      <c r="N272" s="70">
        <f>SUMIFS(SALE!$M$6:$M$10000,SALE!$A$6:$A$10000,N267,SALE!$Q$6:$Q$10000,$B$5:$B$1104)</f>
        <v>0</v>
      </c>
      <c r="O272" s="71">
        <f t="shared" si="48"/>
        <v>0</v>
      </c>
    </row>
    <row r="273" spans="1:15" x14ac:dyDescent="0.2">
      <c r="A273" s="34" t="s">
        <v>285</v>
      </c>
      <c r="B273" s="34" t="s">
        <v>371</v>
      </c>
      <c r="C273" s="68">
        <f>SUMIFS(SALE!$N$6:$N$10000,SALE!$A$6:$A$10000,C267,SALE!$Q$6:$Q$10000,$B$5:$B$1104)</f>
        <v>0</v>
      </c>
      <c r="D273" s="68">
        <f>SUMIFS(SALE!$N$6:$N$10000,SALE!$A$6:$A$10000,D267,SALE!$Q$6:$Q$10000,$B$5:$B$1104)</f>
        <v>0</v>
      </c>
      <c r="E273" s="68">
        <f>SUMIFS(SALE!$N$6:$N$10000,SALE!$A$6:$A$10000,E267,SALE!$Q$6:$Q$10000,$B$5:$B$1104)</f>
        <v>0</v>
      </c>
      <c r="F273" s="68">
        <f>SUMIFS(SALE!$N$6:$N$10000,SALE!$A$6:$A$10000,F267,SALE!$Q$6:$Q$10000,$B$5:$B$1104)</f>
        <v>0</v>
      </c>
      <c r="G273" s="68">
        <f>SUMIFS(SALE!$N$6:$N$10000,SALE!$A$6:$A$10000,G267,SALE!$Q$6:$Q$10000,$B$5:$B$1104)</f>
        <v>0</v>
      </c>
      <c r="H273" s="68">
        <f>SUMIFS(SALE!$N$6:$N$10000,SALE!$A$6:$A$10000,H267,SALE!$Q$6:$Q$10000,$B$5:$B$1104)</f>
        <v>0</v>
      </c>
      <c r="I273" s="68">
        <f>SUMIFS(SALE!$N$6:$N$10000,SALE!$A$6:$A$10000,I267,SALE!$Q$6:$Q$10000,$B$5:$B$1104)</f>
        <v>0</v>
      </c>
      <c r="J273" s="68">
        <f>SUMIFS(SALE!$N$6:$N$10000,SALE!$A$6:$A$10000,J267,SALE!$Q$6:$Q$10000,$B$5:$B$1104)</f>
        <v>0</v>
      </c>
      <c r="K273" s="68">
        <f>SUMIFS(SALE!$N$6:$N$10000,SALE!$A$6:$A$10000,K267,SALE!$Q$6:$Q$10000,$B$5:$B$1104)</f>
        <v>0</v>
      </c>
      <c r="L273" s="68">
        <f>SUMIFS(SALE!$N$6:$N$10000,SALE!$A$6:$A$10000,L267,SALE!$Q$6:$Q$10000,$B$5:$B$1104)</f>
        <v>0</v>
      </c>
      <c r="M273" s="68">
        <f>SUMIFS(SALE!$N$6:$N$10000,SALE!$A$6:$A$10000,M267,SALE!$Q$6:$Q$10000,$B$5:$B$1104)</f>
        <v>0</v>
      </c>
      <c r="N273" s="70">
        <f>SUMIFS(SALE!$N$6:$N$10000,SALE!$A$6:$A$10000,N267,SALE!$Q$6:$Q$10000,$B$5:$B$1104)</f>
        <v>0</v>
      </c>
      <c r="O273" s="71">
        <f t="shared" si="48"/>
        <v>0</v>
      </c>
    </row>
    <row r="274" spans="1:15" x14ac:dyDescent="0.2">
      <c r="A274" s="34" t="s">
        <v>286</v>
      </c>
      <c r="B274" s="34" t="s">
        <v>371</v>
      </c>
      <c r="C274" s="68">
        <f>SUMIFS(SALE!$O$6:$O$10000,SALE!$A$6:$A$10000,C267,SALE!$Q$6:$Q$10000,$B$5:$B$1104)</f>
        <v>0</v>
      </c>
      <c r="D274" s="68">
        <f>SUMIFS(SALE!$O$6:$O$10000,SALE!$A$6:$A$10000,D267,SALE!$Q$6:$Q$10000,$B$5:$B$1104)</f>
        <v>0</v>
      </c>
      <c r="E274" s="68">
        <f>SUMIFS(SALE!$O$6:$O$10000,SALE!$A$6:$A$10000,E267,SALE!$Q$6:$Q$10000,$B$5:$B$1104)</f>
        <v>0</v>
      </c>
      <c r="F274" s="68">
        <f>SUMIFS(SALE!$O$6:$O$10000,SALE!$A$6:$A$10000,F267,SALE!$Q$6:$Q$10000,$B$5:$B$1104)</f>
        <v>0</v>
      </c>
      <c r="G274" s="68">
        <f>SUMIFS(SALE!$O$6:$O$10000,SALE!$A$6:$A$10000,G267,SALE!$Q$6:$Q$10000,$B$5:$B$1104)</f>
        <v>0</v>
      </c>
      <c r="H274" s="68">
        <f>SUMIFS(SALE!$O$6:$O$10000,SALE!$A$6:$A$10000,H267,SALE!$Q$6:$Q$10000,$B$5:$B$1104)</f>
        <v>0</v>
      </c>
      <c r="I274" s="68">
        <f>SUMIFS(SALE!$O$6:$O$10000,SALE!$A$6:$A$10000,I267,SALE!$Q$6:$Q$10000,$B$5:$B$1104)</f>
        <v>0</v>
      </c>
      <c r="J274" s="68">
        <f>SUMIFS(SALE!$O$6:$O$10000,SALE!$A$6:$A$10000,J267,SALE!$Q$6:$Q$10000,$B$5:$B$1104)</f>
        <v>0</v>
      </c>
      <c r="K274" s="68">
        <f>SUMIFS(SALE!$O$6:$O$10000,SALE!$A$6:$A$10000,K267,SALE!$Q$6:$Q$10000,$B$5:$B$1104)</f>
        <v>0</v>
      </c>
      <c r="L274" s="68">
        <f>SUMIFS(SALE!$O$6:$O$10000,SALE!$A$6:$A$10000,L267,SALE!$Q$6:$Q$10000,$B$5:$B$1104)</f>
        <v>0</v>
      </c>
      <c r="M274" s="68">
        <f>SUMIFS(SALE!$O$6:$O$10000,SALE!$A$6:$A$10000,M267,SALE!$Q$6:$Q$10000,$B$5:$B$1104)</f>
        <v>0</v>
      </c>
      <c r="N274" s="70">
        <f>SUMIFS(SALE!$O$6:$O$10000,SALE!$A$6:$A$10000,N267,SALE!$Q$6:$Q$10000,$B$5:$B$1104)</f>
        <v>0</v>
      </c>
      <c r="O274" s="71">
        <f t="shared" si="48"/>
        <v>0</v>
      </c>
    </row>
    <row r="275" spans="1:15" x14ac:dyDescent="0.2">
      <c r="A275" s="1006" t="s">
        <v>373</v>
      </c>
      <c r="B275" s="1007"/>
      <c r="C275" s="1007"/>
      <c r="D275" s="1007"/>
      <c r="E275" s="1007"/>
      <c r="F275" s="1007"/>
      <c r="G275" s="1007"/>
      <c r="H275" s="1007"/>
      <c r="I275" s="1007"/>
      <c r="J275" s="1007"/>
      <c r="K275" s="1007"/>
      <c r="L275" s="1007"/>
      <c r="M275" s="1007"/>
      <c r="N275" s="1007"/>
      <c r="O275" s="1008"/>
    </row>
    <row r="276" spans="1:15" x14ac:dyDescent="0.2">
      <c r="A276" s="63" t="s">
        <v>279</v>
      </c>
      <c r="B276" s="63"/>
      <c r="C276" s="64">
        <v>43556</v>
      </c>
      <c r="D276" s="64">
        <v>43586</v>
      </c>
      <c r="E276" s="64">
        <v>43617</v>
      </c>
      <c r="F276" s="64">
        <v>43647</v>
      </c>
      <c r="G276" s="64">
        <v>43678</v>
      </c>
      <c r="H276" s="64">
        <v>43709</v>
      </c>
      <c r="I276" s="64">
        <v>43739</v>
      </c>
      <c r="J276" s="64">
        <v>43770</v>
      </c>
      <c r="K276" s="64">
        <v>43800</v>
      </c>
      <c r="L276" s="64">
        <v>43831</v>
      </c>
      <c r="M276" s="64">
        <v>43862</v>
      </c>
      <c r="N276" s="65">
        <v>43891</v>
      </c>
      <c r="O276" s="66" t="s">
        <v>347</v>
      </c>
    </row>
    <row r="277" spans="1:15" x14ac:dyDescent="0.2">
      <c r="A277" s="34" t="s">
        <v>280</v>
      </c>
      <c r="B277" s="34"/>
      <c r="C277" s="34"/>
      <c r="D277" s="34"/>
      <c r="E277" s="34"/>
      <c r="F277" s="34"/>
      <c r="G277" s="34"/>
      <c r="H277" s="34"/>
      <c r="I277" s="34"/>
      <c r="J277" s="34"/>
      <c r="K277" s="34"/>
      <c r="L277" s="34"/>
      <c r="M277" s="34"/>
      <c r="N277" s="74"/>
      <c r="O277" s="71">
        <f t="shared" ref="O277:O283" si="50">SUM(C277:N277)</f>
        <v>0</v>
      </c>
    </row>
    <row r="278" spans="1:15" x14ac:dyDescent="0.2">
      <c r="A278" s="34" t="s">
        <v>281</v>
      </c>
      <c r="B278" s="34" t="s">
        <v>373</v>
      </c>
      <c r="C278" s="68">
        <f>+C279+C280+C281+C282+C283</f>
        <v>0</v>
      </c>
      <c r="D278" s="68">
        <f t="shared" ref="D278:N278" si="51">+D279+D280+D281+D282+D283</f>
        <v>0</v>
      </c>
      <c r="E278" s="68">
        <f t="shared" si="51"/>
        <v>0</v>
      </c>
      <c r="F278" s="68">
        <f t="shared" si="51"/>
        <v>0</v>
      </c>
      <c r="G278" s="68">
        <f t="shared" si="51"/>
        <v>0</v>
      </c>
      <c r="H278" s="68">
        <f t="shared" si="51"/>
        <v>0</v>
      </c>
      <c r="I278" s="68">
        <f t="shared" si="51"/>
        <v>0</v>
      </c>
      <c r="J278" s="68">
        <f t="shared" si="51"/>
        <v>0</v>
      </c>
      <c r="K278" s="68">
        <f t="shared" si="51"/>
        <v>0</v>
      </c>
      <c r="L278" s="68">
        <f t="shared" si="51"/>
        <v>0</v>
      </c>
      <c r="M278" s="68">
        <f t="shared" si="51"/>
        <v>0</v>
      </c>
      <c r="N278" s="70">
        <f t="shared" si="51"/>
        <v>0</v>
      </c>
      <c r="O278" s="71">
        <f t="shared" si="50"/>
        <v>0</v>
      </c>
    </row>
    <row r="279" spans="1:15" x14ac:dyDescent="0.2">
      <c r="A279" s="34" t="s">
        <v>282</v>
      </c>
      <c r="B279" s="34" t="s">
        <v>373</v>
      </c>
      <c r="C279" s="68">
        <f>SUMIFS(SALE!$K$6:$K$10000,SALE!$A$6:$A$10000,C276,SALE!$Q$6:$Q$10000,$B$5:$B$1104)</f>
        <v>0</v>
      </c>
      <c r="D279" s="68">
        <f>SUMIFS(SALE!$K$6:$K$10000,SALE!$A$6:$A$10000,D276,SALE!$Q$6:$Q$10000,$B$5:$B$1104)</f>
        <v>0</v>
      </c>
      <c r="E279" s="68">
        <f>SUMIFS(SALE!$K$6:$K$10000,SALE!$A$6:$A$10000,E276,SALE!$Q$6:$Q$10000,$B$5:$B$1104)</f>
        <v>0</v>
      </c>
      <c r="F279" s="68">
        <f>SUMIFS(SALE!$K$6:$K$10000,SALE!$A$6:$A$10000,F276,SALE!$Q$6:$Q$10000,$B$5:$B$1104)</f>
        <v>0</v>
      </c>
      <c r="G279" s="68">
        <f>SUMIFS(SALE!$K$6:$K$10000,SALE!$A$6:$A$10000,G276,SALE!$Q$6:$Q$10000,$B$5:$B$1104)</f>
        <v>0</v>
      </c>
      <c r="H279" s="68">
        <f>SUMIFS(SALE!$K$6:$K$10000,SALE!$A$6:$A$10000,H276,SALE!$Q$6:$Q$10000,$B$5:$B$1104)</f>
        <v>0</v>
      </c>
      <c r="I279" s="68">
        <f>SUMIFS(SALE!$K$6:$K$10000,SALE!$A$6:$A$10000,I276,SALE!$Q$6:$Q$10000,$B$5:$B$1104)</f>
        <v>0</v>
      </c>
      <c r="J279" s="68">
        <f>SUMIFS(SALE!$K$6:$K$10000,SALE!$A$6:$A$10000,J276,SALE!$Q$6:$Q$10000,$B$5:$B$1104)</f>
        <v>0</v>
      </c>
      <c r="K279" s="68">
        <f>SUMIFS(SALE!$K$6:$K$10000,SALE!$A$6:$A$10000,K276,SALE!$Q$6:$Q$10000,$B$5:$B$1104)</f>
        <v>0</v>
      </c>
      <c r="L279" s="68">
        <f>SUMIFS(SALE!$K$6:$K$10000,SALE!$A$6:$A$10000,L276,SALE!$Q$6:$Q$10000,$B$5:$B$1104)</f>
        <v>0</v>
      </c>
      <c r="M279" s="68">
        <f>SUMIFS(SALE!$K$6:$K$10000,SALE!$A$6:$A$10000,M276,SALE!$Q$6:$Q$10000,$B$5:$B$1104)</f>
        <v>0</v>
      </c>
      <c r="N279" s="70">
        <f>SUMIFS(SALE!$K$6:$K$10000,SALE!$A$6:$A$10000,N276,SALE!$Q$6:$Q$10000,$B$5:$B$1104)</f>
        <v>0</v>
      </c>
      <c r="O279" s="71">
        <f t="shared" si="50"/>
        <v>0</v>
      </c>
    </row>
    <row r="280" spans="1:15" x14ac:dyDescent="0.2">
      <c r="A280" s="34" t="s">
        <v>283</v>
      </c>
      <c r="B280" s="34" t="s">
        <v>373</v>
      </c>
      <c r="C280" s="68">
        <f>SUMIFS(SALE!$L$6:$L$10000,SALE!$A$6:$A$10000,C276,SALE!$Q$6:$Q$10000,$B$5:$B$1104)</f>
        <v>0</v>
      </c>
      <c r="D280" s="68">
        <f>SUMIFS(SALE!$L$6:$L$10000,SALE!$A$6:$A$10000,D276,SALE!$Q$6:$Q$10000,$B$5:$B$1104)</f>
        <v>0</v>
      </c>
      <c r="E280" s="68">
        <f>SUMIFS(SALE!$L$6:$L$10000,SALE!$A$6:$A$10000,E276,SALE!$Q$6:$Q$10000,$B$5:$B$1104)</f>
        <v>0</v>
      </c>
      <c r="F280" s="68">
        <f>SUMIFS(SALE!$L$6:$L$10000,SALE!$A$6:$A$10000,F276,SALE!$Q$6:$Q$10000,$B$5:$B$1104)</f>
        <v>0</v>
      </c>
      <c r="G280" s="68">
        <f>SUMIFS(SALE!$L$6:$L$10000,SALE!$A$6:$A$10000,G276,SALE!$Q$6:$Q$10000,$B$5:$B$1104)</f>
        <v>0</v>
      </c>
      <c r="H280" s="68">
        <f>SUMIFS(SALE!$L$6:$L$10000,SALE!$A$6:$A$10000,H276,SALE!$Q$6:$Q$10000,$B$5:$B$1104)</f>
        <v>0</v>
      </c>
      <c r="I280" s="68">
        <f>SUMIFS(SALE!$L$6:$L$10000,SALE!$A$6:$A$10000,I276,SALE!$Q$6:$Q$10000,$B$5:$B$1104)</f>
        <v>0</v>
      </c>
      <c r="J280" s="68">
        <f>SUMIFS(SALE!$L$6:$L$10000,SALE!$A$6:$A$10000,J276,SALE!$Q$6:$Q$10000,$B$5:$B$1104)</f>
        <v>0</v>
      </c>
      <c r="K280" s="68">
        <f>SUMIFS(SALE!$L$6:$L$10000,SALE!$A$6:$A$10000,K276,SALE!$Q$6:$Q$10000,$B$5:$B$1104)</f>
        <v>0</v>
      </c>
      <c r="L280" s="68">
        <f>SUMIFS(SALE!$L$6:$L$10000,SALE!$A$6:$A$10000,L276,SALE!$Q$6:$Q$10000,$B$5:$B$1104)</f>
        <v>0</v>
      </c>
      <c r="M280" s="68">
        <f>SUMIFS(SALE!$L$6:$L$10000,SALE!$A$6:$A$10000,M276,SALE!$Q$6:$Q$10000,$B$5:$B$1104)</f>
        <v>0</v>
      </c>
      <c r="N280" s="70">
        <f>SUMIFS(SALE!$L$6:$L$10000,SALE!$A$6:$A$10000,N276,SALE!$Q$6:$Q$10000,$B$5:$B$1104)</f>
        <v>0</v>
      </c>
      <c r="O280" s="71">
        <f t="shared" si="50"/>
        <v>0</v>
      </c>
    </row>
    <row r="281" spans="1:15" x14ac:dyDescent="0.2">
      <c r="A281" s="34" t="s">
        <v>284</v>
      </c>
      <c r="B281" s="34" t="s">
        <v>373</v>
      </c>
      <c r="C281" s="68">
        <f>SUMIFS(SALE!$M$6:$M$10000,SALE!$A$6:$A$10000,C276,SALE!$Q$6:$Q$10000,$B$5:$B$1104)</f>
        <v>0</v>
      </c>
      <c r="D281" s="68">
        <f>SUMIFS(SALE!$M$6:$M$10000,SALE!$A$6:$A$10000,D276,SALE!$Q$6:$Q$10000,$B$5:$B$1104)</f>
        <v>0</v>
      </c>
      <c r="E281" s="68">
        <f>SUMIFS(SALE!$M$6:$M$10000,SALE!$A$6:$A$10000,E276,SALE!$Q$6:$Q$10000,$B$5:$B$1104)</f>
        <v>0</v>
      </c>
      <c r="F281" s="68">
        <f>SUMIFS(SALE!$M$6:$M$10000,SALE!$A$6:$A$10000,F276,SALE!$Q$6:$Q$10000,$B$5:$B$1104)</f>
        <v>0</v>
      </c>
      <c r="G281" s="68">
        <f>SUMIFS(SALE!$M$6:$M$10000,SALE!$A$6:$A$10000,G276,SALE!$Q$6:$Q$10000,$B$5:$B$1104)</f>
        <v>0</v>
      </c>
      <c r="H281" s="68">
        <f>SUMIFS(SALE!$M$6:$M$10000,SALE!$A$6:$A$10000,H276,SALE!$Q$6:$Q$10000,$B$5:$B$1104)</f>
        <v>0</v>
      </c>
      <c r="I281" s="68">
        <f>SUMIFS(SALE!$M$6:$M$10000,SALE!$A$6:$A$10000,I276,SALE!$Q$6:$Q$10000,$B$5:$B$1104)</f>
        <v>0</v>
      </c>
      <c r="J281" s="68">
        <f>SUMIFS(SALE!$M$6:$M$10000,SALE!$A$6:$A$10000,J276,SALE!$Q$6:$Q$10000,$B$5:$B$1104)</f>
        <v>0</v>
      </c>
      <c r="K281" s="68">
        <f>SUMIFS(SALE!$M$6:$M$10000,SALE!$A$6:$A$10000,K276,SALE!$Q$6:$Q$10000,$B$5:$B$1104)</f>
        <v>0</v>
      </c>
      <c r="L281" s="68">
        <f>SUMIFS(SALE!$M$6:$M$10000,SALE!$A$6:$A$10000,L276,SALE!$Q$6:$Q$10000,$B$5:$B$1104)</f>
        <v>0</v>
      </c>
      <c r="M281" s="68">
        <f>SUMIFS(SALE!$M$6:$M$10000,SALE!$A$6:$A$10000,M276,SALE!$Q$6:$Q$10000,$B$5:$B$1104)</f>
        <v>0</v>
      </c>
      <c r="N281" s="70">
        <f>SUMIFS(SALE!$M$6:$M$10000,SALE!$A$6:$A$10000,N276,SALE!$Q$6:$Q$10000,$B$5:$B$1104)</f>
        <v>0</v>
      </c>
      <c r="O281" s="71">
        <f t="shared" si="50"/>
        <v>0</v>
      </c>
    </row>
    <row r="282" spans="1:15" x14ac:dyDescent="0.2">
      <c r="A282" s="34" t="s">
        <v>285</v>
      </c>
      <c r="B282" s="34" t="s">
        <v>373</v>
      </c>
      <c r="C282" s="68">
        <f>SUMIFS(SALE!$N$6:$N$10000,SALE!$A$6:$A$10000,C276,SALE!$Q$6:$Q$10000,$B$5:$B$1104)</f>
        <v>0</v>
      </c>
      <c r="D282" s="68">
        <f>SUMIFS(SALE!$N$6:$N$10000,SALE!$A$6:$A$10000,D276,SALE!$Q$6:$Q$10000,$B$5:$B$1104)</f>
        <v>0</v>
      </c>
      <c r="E282" s="68">
        <f>SUMIFS(SALE!$N$6:$N$10000,SALE!$A$6:$A$10000,E276,SALE!$Q$6:$Q$10000,$B$5:$B$1104)</f>
        <v>0</v>
      </c>
      <c r="F282" s="68">
        <f>SUMIFS(SALE!$N$6:$N$10000,SALE!$A$6:$A$10000,F276,SALE!$Q$6:$Q$10000,$B$5:$B$1104)</f>
        <v>0</v>
      </c>
      <c r="G282" s="68">
        <f>SUMIFS(SALE!$N$6:$N$10000,SALE!$A$6:$A$10000,G276,SALE!$Q$6:$Q$10000,$B$5:$B$1104)</f>
        <v>0</v>
      </c>
      <c r="H282" s="68">
        <f>SUMIFS(SALE!$N$6:$N$10000,SALE!$A$6:$A$10000,H276,SALE!$Q$6:$Q$10000,$B$5:$B$1104)</f>
        <v>0</v>
      </c>
      <c r="I282" s="68">
        <f>SUMIFS(SALE!$N$6:$N$10000,SALE!$A$6:$A$10000,I276,SALE!$Q$6:$Q$10000,$B$5:$B$1104)</f>
        <v>0</v>
      </c>
      <c r="J282" s="68">
        <f>SUMIFS(SALE!$N$6:$N$10000,SALE!$A$6:$A$10000,J276,SALE!$Q$6:$Q$10000,$B$5:$B$1104)</f>
        <v>0</v>
      </c>
      <c r="K282" s="68">
        <f>SUMIFS(SALE!$N$6:$N$10000,SALE!$A$6:$A$10000,K276,SALE!$Q$6:$Q$10000,$B$5:$B$1104)</f>
        <v>0</v>
      </c>
      <c r="L282" s="68">
        <f>SUMIFS(SALE!$N$6:$N$10000,SALE!$A$6:$A$10000,L276,SALE!$Q$6:$Q$10000,$B$5:$B$1104)</f>
        <v>0</v>
      </c>
      <c r="M282" s="68">
        <f>SUMIFS(SALE!$N$6:$N$10000,SALE!$A$6:$A$10000,M276,SALE!$Q$6:$Q$10000,$B$5:$B$1104)</f>
        <v>0</v>
      </c>
      <c r="N282" s="70">
        <f>SUMIFS(SALE!$N$6:$N$10000,SALE!$A$6:$A$10000,N276,SALE!$Q$6:$Q$10000,$B$5:$B$1104)</f>
        <v>0</v>
      </c>
      <c r="O282" s="71">
        <f t="shared" si="50"/>
        <v>0</v>
      </c>
    </row>
    <row r="283" spans="1:15" x14ac:dyDescent="0.2">
      <c r="A283" s="34" t="s">
        <v>286</v>
      </c>
      <c r="B283" s="34" t="s">
        <v>373</v>
      </c>
      <c r="C283" s="68">
        <f>SUMIFS(SALE!$O$6:$O$10000,SALE!$A$6:$A$10000,C276,SALE!$Q$6:$Q$10000,$B$5:$B$1104)</f>
        <v>0</v>
      </c>
      <c r="D283" s="68">
        <f>SUMIFS(SALE!$O$6:$O$10000,SALE!$A$6:$A$10000,D276,SALE!$Q$6:$Q$10000,$B$5:$B$1104)</f>
        <v>0</v>
      </c>
      <c r="E283" s="68">
        <f>SUMIFS(SALE!$O$6:$O$10000,SALE!$A$6:$A$10000,E276,SALE!$Q$6:$Q$10000,$B$5:$B$1104)</f>
        <v>0</v>
      </c>
      <c r="F283" s="68">
        <f>SUMIFS(SALE!$O$6:$O$10000,SALE!$A$6:$A$10000,F276,SALE!$Q$6:$Q$10000,$B$5:$B$1104)</f>
        <v>0</v>
      </c>
      <c r="G283" s="68">
        <f>SUMIFS(SALE!$O$6:$O$10000,SALE!$A$6:$A$10000,G276,SALE!$Q$6:$Q$10000,$B$5:$B$1104)</f>
        <v>0</v>
      </c>
      <c r="H283" s="68">
        <f>SUMIFS(SALE!$O$6:$O$10000,SALE!$A$6:$A$10000,H276,SALE!$Q$6:$Q$10000,$B$5:$B$1104)</f>
        <v>0</v>
      </c>
      <c r="I283" s="68">
        <f>SUMIFS(SALE!$O$6:$O$10000,SALE!$A$6:$A$10000,I276,SALE!$Q$6:$Q$10000,$B$5:$B$1104)</f>
        <v>0</v>
      </c>
      <c r="J283" s="68">
        <f>SUMIFS(SALE!$O$6:$O$10000,SALE!$A$6:$A$10000,J276,SALE!$Q$6:$Q$10000,$B$5:$B$1104)</f>
        <v>0</v>
      </c>
      <c r="K283" s="68">
        <f>SUMIFS(SALE!$O$6:$O$10000,SALE!$A$6:$A$10000,K276,SALE!$Q$6:$Q$10000,$B$5:$B$1104)</f>
        <v>0</v>
      </c>
      <c r="L283" s="68">
        <f>SUMIFS(SALE!$O$6:$O$10000,SALE!$A$6:$A$10000,L276,SALE!$Q$6:$Q$10000,$B$5:$B$1104)</f>
        <v>0</v>
      </c>
      <c r="M283" s="68">
        <f>SUMIFS(SALE!$O$6:$O$10000,SALE!$A$6:$A$10000,M276,SALE!$Q$6:$Q$10000,$B$5:$B$1104)</f>
        <v>0</v>
      </c>
      <c r="N283" s="70">
        <f>SUMIFS(SALE!$O$6:$O$10000,SALE!$A$6:$A$10000,N276,SALE!$Q$6:$Q$10000,$B$5:$B$1104)</f>
        <v>0</v>
      </c>
      <c r="O283" s="71">
        <f t="shared" si="50"/>
        <v>0</v>
      </c>
    </row>
    <row r="284" spans="1:15" x14ac:dyDescent="0.2">
      <c r="A284" s="1006" t="s">
        <v>373</v>
      </c>
      <c r="B284" s="1007"/>
      <c r="C284" s="1007"/>
      <c r="D284" s="1007"/>
      <c r="E284" s="1007"/>
      <c r="F284" s="1007"/>
      <c r="G284" s="1007"/>
      <c r="H284" s="1007"/>
      <c r="I284" s="1007"/>
      <c r="J284" s="1007"/>
      <c r="K284" s="1007"/>
      <c r="L284" s="1007"/>
      <c r="M284" s="1007"/>
      <c r="N284" s="1007"/>
      <c r="O284" s="1008"/>
    </row>
    <row r="285" spans="1:15" x14ac:dyDescent="0.2">
      <c r="A285" s="63" t="s">
        <v>279</v>
      </c>
      <c r="B285" s="63"/>
      <c r="C285" s="64">
        <v>43556</v>
      </c>
      <c r="D285" s="64">
        <v>43586</v>
      </c>
      <c r="E285" s="64">
        <v>43617</v>
      </c>
      <c r="F285" s="64">
        <v>43647</v>
      </c>
      <c r="G285" s="64">
        <v>43678</v>
      </c>
      <c r="H285" s="64">
        <v>43709</v>
      </c>
      <c r="I285" s="64">
        <v>43739</v>
      </c>
      <c r="J285" s="64">
        <v>43770</v>
      </c>
      <c r="K285" s="64">
        <v>43800</v>
      </c>
      <c r="L285" s="64">
        <v>43831</v>
      </c>
      <c r="M285" s="64">
        <v>43862</v>
      </c>
      <c r="N285" s="65">
        <v>43891</v>
      </c>
      <c r="O285" s="66" t="s">
        <v>347</v>
      </c>
    </row>
    <row r="286" spans="1:15" x14ac:dyDescent="0.2">
      <c r="A286" s="34" t="s">
        <v>280</v>
      </c>
      <c r="B286" s="34"/>
      <c r="C286" s="34"/>
      <c r="D286" s="34"/>
      <c r="E286" s="34"/>
      <c r="F286" s="34"/>
      <c r="G286" s="34"/>
      <c r="H286" s="34"/>
      <c r="I286" s="34"/>
      <c r="J286" s="34"/>
      <c r="K286" s="34"/>
      <c r="L286" s="34"/>
      <c r="M286" s="34"/>
      <c r="N286" s="74"/>
      <c r="O286" s="71">
        <f t="shared" ref="O286:O292" si="52">SUM(C286:N286)</f>
        <v>0</v>
      </c>
    </row>
    <row r="287" spans="1:15" x14ac:dyDescent="0.2">
      <c r="A287" s="34" t="s">
        <v>281</v>
      </c>
      <c r="B287" s="34" t="s">
        <v>373</v>
      </c>
      <c r="C287" s="68">
        <f>+C288+C289+C290+C291+C292</f>
        <v>0</v>
      </c>
      <c r="D287" s="68">
        <f t="shared" ref="D287:N287" si="53">+D288+D289+D290+D291+D292</f>
        <v>0</v>
      </c>
      <c r="E287" s="68">
        <f t="shared" si="53"/>
        <v>0</v>
      </c>
      <c r="F287" s="68">
        <f t="shared" si="53"/>
        <v>0</v>
      </c>
      <c r="G287" s="68">
        <f t="shared" si="53"/>
        <v>0</v>
      </c>
      <c r="H287" s="68">
        <f t="shared" si="53"/>
        <v>0</v>
      </c>
      <c r="I287" s="68">
        <f t="shared" si="53"/>
        <v>0</v>
      </c>
      <c r="J287" s="68">
        <f t="shared" si="53"/>
        <v>0</v>
      </c>
      <c r="K287" s="68">
        <f t="shared" si="53"/>
        <v>0</v>
      </c>
      <c r="L287" s="68">
        <f t="shared" si="53"/>
        <v>0</v>
      </c>
      <c r="M287" s="68">
        <f t="shared" si="53"/>
        <v>0</v>
      </c>
      <c r="N287" s="70">
        <f t="shared" si="53"/>
        <v>0</v>
      </c>
      <c r="O287" s="71">
        <f t="shared" si="52"/>
        <v>0</v>
      </c>
    </row>
    <row r="288" spans="1:15" x14ac:dyDescent="0.2">
      <c r="A288" s="34" t="s">
        <v>282</v>
      </c>
      <c r="B288" s="34" t="s">
        <v>373</v>
      </c>
      <c r="C288" s="68">
        <f>SUMIFS(SALE!$K$6:$K$10000,SALE!$A$6:$A$10000,C285,SALE!$Q$6:$Q$10000,$B$5:$B$1104)</f>
        <v>0</v>
      </c>
      <c r="D288" s="68">
        <f>SUMIFS(SALE!$K$6:$K$10000,SALE!$A$6:$A$10000,D285,SALE!$Q$6:$Q$10000,$B$5:$B$1104)</f>
        <v>0</v>
      </c>
      <c r="E288" s="68">
        <f>SUMIFS(SALE!$K$6:$K$10000,SALE!$A$6:$A$10000,E285,SALE!$Q$6:$Q$10000,$B$5:$B$1104)</f>
        <v>0</v>
      </c>
      <c r="F288" s="68">
        <f>SUMIFS(SALE!$K$6:$K$10000,SALE!$A$6:$A$10000,F285,SALE!$Q$6:$Q$10000,$B$5:$B$1104)</f>
        <v>0</v>
      </c>
      <c r="G288" s="68">
        <f>SUMIFS(SALE!$K$6:$K$10000,SALE!$A$6:$A$10000,G285,SALE!$Q$6:$Q$10000,$B$5:$B$1104)</f>
        <v>0</v>
      </c>
      <c r="H288" s="68">
        <f>SUMIFS(SALE!$K$6:$K$10000,SALE!$A$6:$A$10000,H285,SALE!$Q$6:$Q$10000,$B$5:$B$1104)</f>
        <v>0</v>
      </c>
      <c r="I288" s="68">
        <f>SUMIFS(SALE!$K$6:$K$10000,SALE!$A$6:$A$10000,I285,SALE!$Q$6:$Q$10000,$B$5:$B$1104)</f>
        <v>0</v>
      </c>
      <c r="J288" s="68">
        <f>SUMIFS(SALE!$K$6:$K$10000,SALE!$A$6:$A$10000,J285,SALE!$Q$6:$Q$10000,$B$5:$B$1104)</f>
        <v>0</v>
      </c>
      <c r="K288" s="68">
        <f>SUMIFS(SALE!$K$6:$K$10000,SALE!$A$6:$A$10000,K285,SALE!$Q$6:$Q$10000,$B$5:$B$1104)</f>
        <v>0</v>
      </c>
      <c r="L288" s="68">
        <f>SUMIFS(SALE!$K$6:$K$10000,SALE!$A$6:$A$10000,L285,SALE!$Q$6:$Q$10000,$B$5:$B$1104)</f>
        <v>0</v>
      </c>
      <c r="M288" s="68">
        <f>SUMIFS(SALE!$K$6:$K$10000,SALE!$A$6:$A$10000,M285,SALE!$Q$6:$Q$10000,$B$5:$B$1104)</f>
        <v>0</v>
      </c>
      <c r="N288" s="70">
        <f>SUMIFS(SALE!$K$6:$K$10000,SALE!$A$6:$A$10000,N285,SALE!$Q$6:$Q$10000,$B$5:$B$1104)</f>
        <v>0</v>
      </c>
      <c r="O288" s="71">
        <f t="shared" si="52"/>
        <v>0</v>
      </c>
    </row>
    <row r="289" spans="1:15" x14ac:dyDescent="0.2">
      <c r="A289" s="34" t="s">
        <v>283</v>
      </c>
      <c r="B289" s="34" t="s">
        <v>373</v>
      </c>
      <c r="C289" s="68">
        <f>SUMIFS(SALE!$L$6:$L$10000,SALE!$A$6:$A$10000,C285,SALE!$Q$6:$Q$10000,$B$5:$B$1104)</f>
        <v>0</v>
      </c>
      <c r="D289" s="68">
        <f>SUMIFS(SALE!$L$6:$L$10000,SALE!$A$6:$A$10000,D285,SALE!$Q$6:$Q$10000,$B$5:$B$1104)</f>
        <v>0</v>
      </c>
      <c r="E289" s="68">
        <f>SUMIFS(SALE!$L$6:$L$10000,SALE!$A$6:$A$10000,E285,SALE!$Q$6:$Q$10000,$B$5:$B$1104)</f>
        <v>0</v>
      </c>
      <c r="F289" s="68">
        <f>SUMIFS(SALE!$L$6:$L$10000,SALE!$A$6:$A$10000,F285,SALE!$Q$6:$Q$10000,$B$5:$B$1104)</f>
        <v>0</v>
      </c>
      <c r="G289" s="68">
        <f>SUMIFS(SALE!$L$6:$L$10000,SALE!$A$6:$A$10000,G285,SALE!$Q$6:$Q$10000,$B$5:$B$1104)</f>
        <v>0</v>
      </c>
      <c r="H289" s="68">
        <f>SUMIFS(SALE!$L$6:$L$10000,SALE!$A$6:$A$10000,H285,SALE!$Q$6:$Q$10000,$B$5:$B$1104)</f>
        <v>0</v>
      </c>
      <c r="I289" s="68">
        <f>SUMIFS(SALE!$L$6:$L$10000,SALE!$A$6:$A$10000,I285,SALE!$Q$6:$Q$10000,$B$5:$B$1104)</f>
        <v>0</v>
      </c>
      <c r="J289" s="68">
        <f>SUMIFS(SALE!$L$6:$L$10000,SALE!$A$6:$A$10000,J285,SALE!$Q$6:$Q$10000,$B$5:$B$1104)</f>
        <v>0</v>
      </c>
      <c r="K289" s="68">
        <f>SUMIFS(SALE!$L$6:$L$10000,SALE!$A$6:$A$10000,K285,SALE!$Q$6:$Q$10000,$B$5:$B$1104)</f>
        <v>0</v>
      </c>
      <c r="L289" s="68">
        <f>SUMIFS(SALE!$L$6:$L$10000,SALE!$A$6:$A$10000,L285,SALE!$Q$6:$Q$10000,$B$5:$B$1104)</f>
        <v>0</v>
      </c>
      <c r="M289" s="68">
        <f>SUMIFS(SALE!$L$6:$L$10000,SALE!$A$6:$A$10000,M285,SALE!$Q$6:$Q$10000,$B$5:$B$1104)</f>
        <v>0</v>
      </c>
      <c r="N289" s="70">
        <f>SUMIFS(SALE!$L$6:$L$10000,SALE!$A$6:$A$10000,N285,SALE!$Q$6:$Q$10000,$B$5:$B$1104)</f>
        <v>0</v>
      </c>
      <c r="O289" s="71">
        <f t="shared" si="52"/>
        <v>0</v>
      </c>
    </row>
    <row r="290" spans="1:15" x14ac:dyDescent="0.2">
      <c r="A290" s="34" t="s">
        <v>284</v>
      </c>
      <c r="B290" s="34" t="s">
        <v>373</v>
      </c>
      <c r="C290" s="68">
        <f>SUMIFS(SALE!$M$6:$M$10000,SALE!$A$6:$A$10000,C285,SALE!$Q$6:$Q$10000,$B$5:$B$1104)</f>
        <v>0</v>
      </c>
      <c r="D290" s="68">
        <f>SUMIFS(SALE!$M$6:$M$10000,SALE!$A$6:$A$10000,D285,SALE!$Q$6:$Q$10000,$B$5:$B$1104)</f>
        <v>0</v>
      </c>
      <c r="E290" s="68">
        <f>SUMIFS(SALE!$M$6:$M$10000,SALE!$A$6:$A$10000,E285,SALE!$Q$6:$Q$10000,$B$5:$B$1104)</f>
        <v>0</v>
      </c>
      <c r="F290" s="68">
        <f>SUMIFS(SALE!$M$6:$M$10000,SALE!$A$6:$A$10000,F285,SALE!$Q$6:$Q$10000,$B$5:$B$1104)</f>
        <v>0</v>
      </c>
      <c r="G290" s="68">
        <f>SUMIFS(SALE!$M$6:$M$10000,SALE!$A$6:$A$10000,G285,SALE!$Q$6:$Q$10000,$B$5:$B$1104)</f>
        <v>0</v>
      </c>
      <c r="H290" s="68">
        <f>SUMIFS(SALE!$M$6:$M$10000,SALE!$A$6:$A$10000,H285,SALE!$Q$6:$Q$10000,$B$5:$B$1104)</f>
        <v>0</v>
      </c>
      <c r="I290" s="68">
        <f>SUMIFS(SALE!$M$6:$M$10000,SALE!$A$6:$A$10000,I285,SALE!$Q$6:$Q$10000,$B$5:$B$1104)</f>
        <v>0</v>
      </c>
      <c r="J290" s="68">
        <f>SUMIFS(SALE!$M$6:$M$10000,SALE!$A$6:$A$10000,J285,SALE!$Q$6:$Q$10000,$B$5:$B$1104)</f>
        <v>0</v>
      </c>
      <c r="K290" s="68">
        <f>SUMIFS(SALE!$M$6:$M$10000,SALE!$A$6:$A$10000,K285,SALE!$Q$6:$Q$10000,$B$5:$B$1104)</f>
        <v>0</v>
      </c>
      <c r="L290" s="68">
        <f>SUMIFS(SALE!$M$6:$M$10000,SALE!$A$6:$A$10000,L285,SALE!$Q$6:$Q$10000,$B$5:$B$1104)</f>
        <v>0</v>
      </c>
      <c r="M290" s="68">
        <f>SUMIFS(SALE!$M$6:$M$10000,SALE!$A$6:$A$10000,M285,SALE!$Q$6:$Q$10000,$B$5:$B$1104)</f>
        <v>0</v>
      </c>
      <c r="N290" s="70">
        <f>SUMIFS(SALE!$M$6:$M$10000,SALE!$A$6:$A$10000,N285,SALE!$Q$6:$Q$10000,$B$5:$B$1104)</f>
        <v>0</v>
      </c>
      <c r="O290" s="71">
        <f t="shared" si="52"/>
        <v>0</v>
      </c>
    </row>
    <row r="291" spans="1:15" x14ac:dyDescent="0.2">
      <c r="A291" s="34" t="s">
        <v>285</v>
      </c>
      <c r="B291" s="34" t="s">
        <v>373</v>
      </c>
      <c r="C291" s="68">
        <f>SUMIFS(SALE!$N$6:$N$10000,SALE!$A$6:$A$10000,C285,SALE!$Q$6:$Q$10000,$B$5:$B$1104)</f>
        <v>0</v>
      </c>
      <c r="D291" s="68">
        <f>SUMIFS(SALE!$N$6:$N$10000,SALE!$A$6:$A$10000,D285,SALE!$Q$6:$Q$10000,$B$5:$B$1104)</f>
        <v>0</v>
      </c>
      <c r="E291" s="68">
        <f>SUMIFS(SALE!$N$6:$N$10000,SALE!$A$6:$A$10000,E285,SALE!$Q$6:$Q$10000,$B$5:$B$1104)</f>
        <v>0</v>
      </c>
      <c r="F291" s="68">
        <f>SUMIFS(SALE!$N$6:$N$10000,SALE!$A$6:$A$10000,F285,SALE!$Q$6:$Q$10000,$B$5:$B$1104)</f>
        <v>0</v>
      </c>
      <c r="G291" s="68">
        <f>SUMIFS(SALE!$N$6:$N$10000,SALE!$A$6:$A$10000,G285,SALE!$Q$6:$Q$10000,$B$5:$B$1104)</f>
        <v>0</v>
      </c>
      <c r="H291" s="68">
        <f>SUMIFS(SALE!$N$6:$N$10000,SALE!$A$6:$A$10000,H285,SALE!$Q$6:$Q$10000,$B$5:$B$1104)</f>
        <v>0</v>
      </c>
      <c r="I291" s="68">
        <f>SUMIFS(SALE!$N$6:$N$10000,SALE!$A$6:$A$10000,I285,SALE!$Q$6:$Q$10000,$B$5:$B$1104)</f>
        <v>0</v>
      </c>
      <c r="J291" s="68">
        <f>SUMIFS(SALE!$N$6:$N$10000,SALE!$A$6:$A$10000,J285,SALE!$Q$6:$Q$10000,$B$5:$B$1104)</f>
        <v>0</v>
      </c>
      <c r="K291" s="68">
        <f>SUMIFS(SALE!$N$6:$N$10000,SALE!$A$6:$A$10000,K285,SALE!$Q$6:$Q$10000,$B$5:$B$1104)</f>
        <v>0</v>
      </c>
      <c r="L291" s="68">
        <f>SUMIFS(SALE!$N$6:$N$10000,SALE!$A$6:$A$10000,L285,SALE!$Q$6:$Q$10000,$B$5:$B$1104)</f>
        <v>0</v>
      </c>
      <c r="M291" s="68">
        <f>SUMIFS(SALE!$N$6:$N$10000,SALE!$A$6:$A$10000,M285,SALE!$Q$6:$Q$10000,$B$5:$B$1104)</f>
        <v>0</v>
      </c>
      <c r="N291" s="70">
        <f>SUMIFS(SALE!$N$6:$N$10000,SALE!$A$6:$A$10000,N285,SALE!$Q$6:$Q$10000,$B$5:$B$1104)</f>
        <v>0</v>
      </c>
      <c r="O291" s="71">
        <f t="shared" si="52"/>
        <v>0</v>
      </c>
    </row>
    <row r="292" spans="1:15" x14ac:dyDescent="0.2">
      <c r="A292" s="34" t="s">
        <v>286</v>
      </c>
      <c r="B292" s="34" t="s">
        <v>373</v>
      </c>
      <c r="C292" s="68">
        <f>SUMIFS(SALE!$O$6:$O$10000,SALE!$A$6:$A$10000,C285,SALE!$Q$6:$Q$10000,$B$5:$B$1104)</f>
        <v>0</v>
      </c>
      <c r="D292" s="68">
        <f>SUMIFS(SALE!$O$6:$O$10000,SALE!$A$6:$A$10000,D285,SALE!$Q$6:$Q$10000,$B$5:$B$1104)</f>
        <v>0</v>
      </c>
      <c r="E292" s="68">
        <f>SUMIFS(SALE!$O$6:$O$10000,SALE!$A$6:$A$10000,E285,SALE!$Q$6:$Q$10000,$B$5:$B$1104)</f>
        <v>0</v>
      </c>
      <c r="F292" s="68">
        <f>SUMIFS(SALE!$O$6:$O$10000,SALE!$A$6:$A$10000,F285,SALE!$Q$6:$Q$10000,$B$5:$B$1104)</f>
        <v>0</v>
      </c>
      <c r="G292" s="68">
        <f>SUMIFS(SALE!$O$6:$O$10000,SALE!$A$6:$A$10000,G285,SALE!$Q$6:$Q$10000,$B$5:$B$1104)</f>
        <v>0</v>
      </c>
      <c r="H292" s="68">
        <f>SUMIFS(SALE!$O$6:$O$10000,SALE!$A$6:$A$10000,H285,SALE!$Q$6:$Q$10000,$B$5:$B$1104)</f>
        <v>0</v>
      </c>
      <c r="I292" s="68">
        <f>SUMIFS(SALE!$O$6:$O$10000,SALE!$A$6:$A$10000,I285,SALE!$Q$6:$Q$10000,$B$5:$B$1104)</f>
        <v>0</v>
      </c>
      <c r="J292" s="68">
        <f>SUMIFS(SALE!$O$6:$O$10000,SALE!$A$6:$A$10000,J285,SALE!$Q$6:$Q$10000,$B$5:$B$1104)</f>
        <v>0</v>
      </c>
      <c r="K292" s="68">
        <f>SUMIFS(SALE!$O$6:$O$10000,SALE!$A$6:$A$10000,K285,SALE!$Q$6:$Q$10000,$B$5:$B$1104)</f>
        <v>0</v>
      </c>
      <c r="L292" s="68">
        <f>SUMIFS(SALE!$O$6:$O$10000,SALE!$A$6:$A$10000,L285,SALE!$Q$6:$Q$10000,$B$5:$B$1104)</f>
        <v>0</v>
      </c>
      <c r="M292" s="68">
        <f>SUMIFS(SALE!$O$6:$O$10000,SALE!$A$6:$A$10000,M285,SALE!$Q$6:$Q$10000,$B$5:$B$1104)</f>
        <v>0</v>
      </c>
      <c r="N292" s="70">
        <f>SUMIFS(SALE!$O$6:$O$10000,SALE!$A$6:$A$10000,N285,SALE!$Q$6:$Q$10000,$B$5:$B$1104)</f>
        <v>0</v>
      </c>
      <c r="O292" s="71">
        <f t="shared" si="52"/>
        <v>0</v>
      </c>
    </row>
    <row r="293" spans="1:15" x14ac:dyDescent="0.2">
      <c r="A293" s="1006" t="s">
        <v>383</v>
      </c>
      <c r="B293" s="1007"/>
      <c r="C293" s="1007"/>
      <c r="D293" s="1007"/>
      <c r="E293" s="1007"/>
      <c r="F293" s="1007"/>
      <c r="G293" s="1007"/>
      <c r="H293" s="1007"/>
      <c r="I293" s="1007"/>
      <c r="J293" s="1007"/>
      <c r="K293" s="1007"/>
      <c r="L293" s="1007"/>
      <c r="M293" s="1007"/>
      <c r="N293" s="1007"/>
      <c r="O293" s="1008"/>
    </row>
    <row r="294" spans="1:15" x14ac:dyDescent="0.2">
      <c r="A294" s="63" t="s">
        <v>279</v>
      </c>
      <c r="B294" s="63"/>
      <c r="C294" s="64">
        <v>43556</v>
      </c>
      <c r="D294" s="64">
        <v>43586</v>
      </c>
      <c r="E294" s="64">
        <v>43617</v>
      </c>
      <c r="F294" s="64">
        <v>43647</v>
      </c>
      <c r="G294" s="64">
        <v>43678</v>
      </c>
      <c r="H294" s="64">
        <v>43709</v>
      </c>
      <c r="I294" s="64">
        <v>43739</v>
      </c>
      <c r="J294" s="64">
        <v>43770</v>
      </c>
      <c r="K294" s="64">
        <v>43800</v>
      </c>
      <c r="L294" s="64">
        <v>43831</v>
      </c>
      <c r="M294" s="64">
        <v>43862</v>
      </c>
      <c r="N294" s="65">
        <v>43891</v>
      </c>
      <c r="O294" s="66" t="s">
        <v>347</v>
      </c>
    </row>
    <row r="295" spans="1:15" x14ac:dyDescent="0.2">
      <c r="A295" s="24" t="s">
        <v>280</v>
      </c>
      <c r="B295" s="24"/>
      <c r="C295" s="24"/>
      <c r="D295" s="24"/>
      <c r="E295" s="24"/>
      <c r="F295" s="24"/>
      <c r="G295" s="24"/>
      <c r="H295" s="24"/>
      <c r="I295" s="24"/>
      <c r="J295" s="24"/>
      <c r="K295" s="24"/>
      <c r="L295" s="24"/>
      <c r="M295" s="24"/>
      <c r="N295" s="87"/>
      <c r="O295" s="84">
        <f t="shared" ref="O295:O301" si="54">SUM(C295:N295)</f>
        <v>0</v>
      </c>
    </row>
    <row r="296" spans="1:15" x14ac:dyDescent="0.2">
      <c r="A296" s="34" t="s">
        <v>281</v>
      </c>
      <c r="B296" s="34" t="s">
        <v>383</v>
      </c>
      <c r="C296" s="68">
        <f>+C297+C298+C299+C300+C301</f>
        <v>0</v>
      </c>
      <c r="D296" s="68">
        <f t="shared" ref="D296:N296" si="55">+D297+D298+D299+D300+D301</f>
        <v>0</v>
      </c>
      <c r="E296" s="68">
        <f t="shared" si="55"/>
        <v>0</v>
      </c>
      <c r="F296" s="68">
        <f t="shared" si="55"/>
        <v>0</v>
      </c>
      <c r="G296" s="68">
        <f t="shared" si="55"/>
        <v>0</v>
      </c>
      <c r="H296" s="68">
        <f t="shared" si="55"/>
        <v>0</v>
      </c>
      <c r="I296" s="68">
        <f t="shared" si="55"/>
        <v>0</v>
      </c>
      <c r="J296" s="68">
        <f t="shared" si="55"/>
        <v>0</v>
      </c>
      <c r="K296" s="68">
        <f t="shared" si="55"/>
        <v>0</v>
      </c>
      <c r="L296" s="68">
        <f t="shared" si="55"/>
        <v>0</v>
      </c>
      <c r="M296" s="68">
        <f t="shared" si="55"/>
        <v>0</v>
      </c>
      <c r="N296" s="70">
        <f t="shared" si="55"/>
        <v>0</v>
      </c>
      <c r="O296" s="71">
        <f t="shared" si="54"/>
        <v>0</v>
      </c>
    </row>
    <row r="297" spans="1:15" x14ac:dyDescent="0.2">
      <c r="A297" s="34" t="s">
        <v>282</v>
      </c>
      <c r="B297" s="34" t="s">
        <v>383</v>
      </c>
      <c r="C297" s="68">
        <f>SUMIFS(SALE!$K$6:$K$10000,SALE!$A$6:$A$10000,C294,SALE!$Q$6:$Q$10000,$B$5:$B$1104)</f>
        <v>0</v>
      </c>
      <c r="D297" s="68">
        <f>SUMIFS(SALE!$K$6:$K$10000,SALE!$A$6:$A$10000,D294,SALE!$Q$6:$Q$10000,$B$5:$B$1104)</f>
        <v>0</v>
      </c>
      <c r="E297" s="68">
        <f>SUMIFS(SALE!$K$6:$K$10000,SALE!$A$6:$A$10000,E294,SALE!$Q$6:$Q$10000,$B$5:$B$1104)</f>
        <v>0</v>
      </c>
      <c r="F297" s="68">
        <f>SUMIFS(SALE!$K$6:$K$10000,SALE!$A$6:$A$10000,F294,SALE!$Q$6:$Q$10000,$B$5:$B$1104)</f>
        <v>0</v>
      </c>
      <c r="G297" s="68">
        <f>SUMIFS(SALE!$K$6:$K$10000,SALE!$A$6:$A$10000,G294,SALE!$Q$6:$Q$10000,$B$5:$B$1104)</f>
        <v>0</v>
      </c>
      <c r="H297" s="68">
        <f>SUMIFS(SALE!$K$6:$K$10000,SALE!$A$6:$A$10000,H294,SALE!$Q$6:$Q$10000,$B$5:$B$1104)</f>
        <v>0</v>
      </c>
      <c r="I297" s="68">
        <f>SUMIFS(SALE!$K$6:$K$10000,SALE!$A$6:$A$10000,I294,SALE!$Q$6:$Q$10000,$B$5:$B$1104)</f>
        <v>0</v>
      </c>
      <c r="J297" s="68">
        <f>SUMIFS(SALE!$K$6:$K$10000,SALE!$A$6:$A$10000,J294,SALE!$Q$6:$Q$10000,$B$5:$B$1104)</f>
        <v>0</v>
      </c>
      <c r="K297" s="68">
        <f>SUMIFS(SALE!$K$6:$K$10000,SALE!$A$6:$A$10000,K294,SALE!$Q$6:$Q$10000,$B$5:$B$1104)</f>
        <v>0</v>
      </c>
      <c r="L297" s="68">
        <f>SUMIFS(SALE!$K$6:$K$10000,SALE!$A$6:$A$10000,L294,SALE!$Q$6:$Q$10000,$B$5:$B$1104)</f>
        <v>0</v>
      </c>
      <c r="M297" s="68">
        <f>SUMIFS(SALE!$K$6:$K$10000,SALE!$A$6:$A$10000,M294,SALE!$Q$6:$Q$10000,$B$5:$B$1104)</f>
        <v>0</v>
      </c>
      <c r="N297" s="70">
        <f>SUMIFS(SALE!$K$6:$K$10000,SALE!$A$6:$A$10000,N294,SALE!$Q$6:$Q$10000,$B$5:$B$1104)</f>
        <v>0</v>
      </c>
      <c r="O297" s="71">
        <f t="shared" si="54"/>
        <v>0</v>
      </c>
    </row>
    <row r="298" spans="1:15" x14ac:dyDescent="0.2">
      <c r="A298" s="34" t="s">
        <v>283</v>
      </c>
      <c r="B298" s="34" t="s">
        <v>383</v>
      </c>
      <c r="C298" s="68">
        <f>SUMIFS(SALE!$L$6:$L$10000,SALE!$A$6:$A$10000,C294,SALE!$Q$6:$Q$10000,$B$5:$B$1104)</f>
        <v>0</v>
      </c>
      <c r="D298" s="68">
        <f>SUMIFS(SALE!$L$6:$L$10000,SALE!$A$6:$A$10000,D294,SALE!$Q$6:$Q$10000,$B$5:$B$1104)</f>
        <v>0</v>
      </c>
      <c r="E298" s="68">
        <f>SUMIFS(SALE!$L$6:$L$10000,SALE!$A$6:$A$10000,E294,SALE!$Q$6:$Q$10000,$B$5:$B$1104)</f>
        <v>0</v>
      </c>
      <c r="F298" s="68">
        <f>SUMIFS(SALE!$L$6:$L$10000,SALE!$A$6:$A$10000,F294,SALE!$Q$6:$Q$10000,$B$5:$B$1104)</f>
        <v>0</v>
      </c>
      <c r="G298" s="68">
        <f>SUMIFS(SALE!$L$6:$L$10000,SALE!$A$6:$A$10000,G294,SALE!$Q$6:$Q$10000,$B$5:$B$1104)</f>
        <v>0</v>
      </c>
      <c r="H298" s="68">
        <f>SUMIFS(SALE!$L$6:$L$10000,SALE!$A$6:$A$10000,H294,SALE!$Q$6:$Q$10000,$B$5:$B$1104)</f>
        <v>0</v>
      </c>
      <c r="I298" s="68">
        <f>SUMIFS(SALE!$L$6:$L$10000,SALE!$A$6:$A$10000,I294,SALE!$Q$6:$Q$10000,$B$5:$B$1104)</f>
        <v>0</v>
      </c>
      <c r="J298" s="68">
        <f>SUMIFS(SALE!$L$6:$L$10000,SALE!$A$6:$A$10000,J294,SALE!$Q$6:$Q$10000,$B$5:$B$1104)</f>
        <v>0</v>
      </c>
      <c r="K298" s="68">
        <f>SUMIFS(SALE!$L$6:$L$10000,SALE!$A$6:$A$10000,K294,SALE!$Q$6:$Q$10000,$B$5:$B$1104)</f>
        <v>0</v>
      </c>
      <c r="L298" s="68">
        <f>SUMIFS(SALE!$L$6:$L$10000,SALE!$A$6:$A$10000,L294,SALE!$Q$6:$Q$10000,$B$5:$B$1104)</f>
        <v>0</v>
      </c>
      <c r="M298" s="68">
        <f>SUMIFS(SALE!$L$6:$L$10000,SALE!$A$6:$A$10000,M294,SALE!$Q$6:$Q$10000,$B$5:$B$1104)</f>
        <v>0</v>
      </c>
      <c r="N298" s="70">
        <f>SUMIFS(SALE!$L$6:$L$10000,SALE!$A$6:$A$10000,N294,SALE!$Q$6:$Q$10000,$B$5:$B$1104)</f>
        <v>0</v>
      </c>
      <c r="O298" s="71">
        <f t="shared" si="54"/>
        <v>0</v>
      </c>
    </row>
    <row r="299" spans="1:15" x14ac:dyDescent="0.2">
      <c r="A299" s="34" t="s">
        <v>284</v>
      </c>
      <c r="B299" s="34" t="s">
        <v>383</v>
      </c>
      <c r="C299" s="68">
        <f>SUMIFS(SALE!$M$6:$M$10000,SALE!$A$6:$A$10000,C294,SALE!$Q$6:$Q$10000,$B$5:$B$1104)</f>
        <v>0</v>
      </c>
      <c r="D299" s="68">
        <f>SUMIFS(SALE!$M$6:$M$10000,SALE!$A$6:$A$10000,D294,SALE!$Q$6:$Q$10000,$B$5:$B$1104)</f>
        <v>0</v>
      </c>
      <c r="E299" s="68">
        <f>SUMIFS(SALE!$M$6:$M$10000,SALE!$A$6:$A$10000,E294,SALE!$Q$6:$Q$10000,$B$5:$B$1104)</f>
        <v>0</v>
      </c>
      <c r="F299" s="68">
        <f>SUMIFS(SALE!$M$6:$M$10000,SALE!$A$6:$A$10000,F294,SALE!$Q$6:$Q$10000,$B$5:$B$1104)</f>
        <v>0</v>
      </c>
      <c r="G299" s="68">
        <f>SUMIFS(SALE!$M$6:$M$10000,SALE!$A$6:$A$10000,G294,SALE!$Q$6:$Q$10000,$B$5:$B$1104)</f>
        <v>0</v>
      </c>
      <c r="H299" s="68">
        <f>SUMIFS(SALE!$M$6:$M$10000,SALE!$A$6:$A$10000,H294,SALE!$Q$6:$Q$10000,$B$5:$B$1104)</f>
        <v>0</v>
      </c>
      <c r="I299" s="68">
        <f>SUMIFS(SALE!$M$6:$M$10000,SALE!$A$6:$A$10000,I294,SALE!$Q$6:$Q$10000,$B$5:$B$1104)</f>
        <v>0</v>
      </c>
      <c r="J299" s="68">
        <f>SUMIFS(SALE!$M$6:$M$10000,SALE!$A$6:$A$10000,J294,SALE!$Q$6:$Q$10000,$B$5:$B$1104)</f>
        <v>0</v>
      </c>
      <c r="K299" s="68">
        <f>SUMIFS(SALE!$M$6:$M$10000,SALE!$A$6:$A$10000,K294,SALE!$Q$6:$Q$10000,$B$5:$B$1104)</f>
        <v>0</v>
      </c>
      <c r="L299" s="68">
        <f>SUMIFS(SALE!$M$6:$M$10000,SALE!$A$6:$A$10000,L294,SALE!$Q$6:$Q$10000,$B$5:$B$1104)</f>
        <v>0</v>
      </c>
      <c r="M299" s="68">
        <f>SUMIFS(SALE!$M$6:$M$10000,SALE!$A$6:$A$10000,M294,SALE!$Q$6:$Q$10000,$B$5:$B$1104)</f>
        <v>0</v>
      </c>
      <c r="N299" s="70">
        <f>SUMIFS(SALE!$M$6:$M$10000,SALE!$A$6:$A$10000,N294,SALE!$Q$6:$Q$10000,$B$5:$B$1104)</f>
        <v>0</v>
      </c>
      <c r="O299" s="71">
        <f t="shared" si="54"/>
        <v>0</v>
      </c>
    </row>
    <row r="300" spans="1:15" x14ac:dyDescent="0.2">
      <c r="A300" s="34" t="s">
        <v>285</v>
      </c>
      <c r="B300" s="34" t="s">
        <v>383</v>
      </c>
      <c r="C300" s="68">
        <f>SUMIFS(SALE!$N$6:$N$10000,SALE!$A$6:$A$10000,C294,SALE!$Q$6:$Q$10000,$B$5:$B$1104)</f>
        <v>0</v>
      </c>
      <c r="D300" s="68">
        <f>SUMIFS(SALE!$N$6:$N$10000,SALE!$A$6:$A$10000,D294,SALE!$Q$6:$Q$10000,$B$5:$B$1104)</f>
        <v>0</v>
      </c>
      <c r="E300" s="68">
        <f>SUMIFS(SALE!$N$6:$N$10000,SALE!$A$6:$A$10000,E294,SALE!$Q$6:$Q$10000,$B$5:$B$1104)</f>
        <v>0</v>
      </c>
      <c r="F300" s="68">
        <f>SUMIFS(SALE!$N$6:$N$10000,SALE!$A$6:$A$10000,F294,SALE!$Q$6:$Q$10000,$B$5:$B$1104)</f>
        <v>0</v>
      </c>
      <c r="G300" s="68">
        <f>SUMIFS(SALE!$N$6:$N$10000,SALE!$A$6:$A$10000,G294,SALE!$Q$6:$Q$10000,$B$5:$B$1104)</f>
        <v>0</v>
      </c>
      <c r="H300" s="68">
        <f>SUMIFS(SALE!$N$6:$N$10000,SALE!$A$6:$A$10000,H294,SALE!$Q$6:$Q$10000,$B$5:$B$1104)</f>
        <v>0</v>
      </c>
      <c r="I300" s="68">
        <f>SUMIFS(SALE!$N$6:$N$10000,SALE!$A$6:$A$10000,I294,SALE!$Q$6:$Q$10000,$B$5:$B$1104)</f>
        <v>0</v>
      </c>
      <c r="J300" s="68">
        <f>SUMIFS(SALE!$N$6:$N$10000,SALE!$A$6:$A$10000,J294,SALE!$Q$6:$Q$10000,$B$5:$B$1104)</f>
        <v>0</v>
      </c>
      <c r="K300" s="68">
        <f>SUMIFS(SALE!$N$6:$N$10000,SALE!$A$6:$A$10000,K294,SALE!$Q$6:$Q$10000,$B$5:$B$1104)</f>
        <v>0</v>
      </c>
      <c r="L300" s="68">
        <f>SUMIFS(SALE!$N$6:$N$10000,SALE!$A$6:$A$10000,L294,SALE!$Q$6:$Q$10000,$B$5:$B$1104)</f>
        <v>0</v>
      </c>
      <c r="M300" s="68">
        <f>SUMIFS(SALE!$N$6:$N$10000,SALE!$A$6:$A$10000,M294,SALE!$Q$6:$Q$10000,$B$5:$B$1104)</f>
        <v>0</v>
      </c>
      <c r="N300" s="70">
        <f>SUMIFS(SALE!$N$6:$N$10000,SALE!$A$6:$A$10000,N294,SALE!$Q$6:$Q$10000,$B$5:$B$1104)</f>
        <v>0</v>
      </c>
      <c r="O300" s="71">
        <f t="shared" si="54"/>
        <v>0</v>
      </c>
    </row>
    <row r="301" spans="1:15" x14ac:dyDescent="0.2">
      <c r="A301" s="63" t="s">
        <v>286</v>
      </c>
      <c r="B301" s="63" t="s">
        <v>383</v>
      </c>
      <c r="C301" s="85">
        <f>SUMIFS(SALE!$O$6:$O$10000,SALE!$A$6:$A$10000,C294,SALE!$Q$6:$Q$10000,$B$5:$B$1104)</f>
        <v>0</v>
      </c>
      <c r="D301" s="85">
        <f>SUMIFS(SALE!$O$6:$O$10000,SALE!$A$6:$A$10000,D294,SALE!$Q$6:$Q$10000,$B$5:$B$1104)</f>
        <v>0</v>
      </c>
      <c r="E301" s="85">
        <f>SUMIFS(SALE!$O$6:$O$10000,SALE!$A$6:$A$10000,E294,SALE!$Q$6:$Q$10000,$B$5:$B$1104)</f>
        <v>0</v>
      </c>
      <c r="F301" s="85">
        <f>SUMIFS(SALE!$O$6:$O$10000,SALE!$A$6:$A$10000,F294,SALE!$Q$6:$Q$10000,$B$5:$B$1104)</f>
        <v>0</v>
      </c>
      <c r="G301" s="85">
        <f>SUMIFS(SALE!$O$6:$O$10000,SALE!$A$6:$A$10000,G294,SALE!$Q$6:$Q$10000,$B$5:$B$1104)</f>
        <v>0</v>
      </c>
      <c r="H301" s="85">
        <f>SUMIFS(SALE!$O$6:$O$10000,SALE!$A$6:$A$10000,H294,SALE!$Q$6:$Q$10000,$B$5:$B$1104)</f>
        <v>0</v>
      </c>
      <c r="I301" s="85">
        <f>SUMIFS(SALE!$O$6:$O$10000,SALE!$A$6:$A$10000,I294,SALE!$Q$6:$Q$10000,$B$5:$B$1104)</f>
        <v>0</v>
      </c>
      <c r="J301" s="85">
        <f>SUMIFS(SALE!$O$6:$O$10000,SALE!$A$6:$A$10000,J294,SALE!$Q$6:$Q$10000,$B$5:$B$1104)</f>
        <v>0</v>
      </c>
      <c r="K301" s="85">
        <f>SUMIFS(SALE!$O$6:$O$10000,SALE!$A$6:$A$10000,K294,SALE!$Q$6:$Q$10000,$B$5:$B$1104)</f>
        <v>0</v>
      </c>
      <c r="L301" s="85">
        <f>SUMIFS(SALE!$O$6:$O$10000,SALE!$A$6:$A$10000,L294,SALE!$Q$6:$Q$10000,$B$5:$B$1104)</f>
        <v>0</v>
      </c>
      <c r="M301" s="85">
        <f>SUMIFS(SALE!$O$6:$O$10000,SALE!$A$6:$A$10000,M294,SALE!$Q$6:$Q$10000,$B$5:$B$1104)</f>
        <v>0</v>
      </c>
      <c r="N301" s="88">
        <f>SUMIFS(SALE!$O$6:$O$10000,SALE!$A$6:$A$10000,N294,SALE!$Q$6:$Q$10000,$B$5:$B$1104)</f>
        <v>0</v>
      </c>
      <c r="O301" s="86">
        <f t="shared" si="54"/>
        <v>0</v>
      </c>
    </row>
  </sheetData>
  <mergeCells count="40">
    <mergeCell ref="A203:O203"/>
    <mergeCell ref="A211:O211"/>
    <mergeCell ref="A220:O220"/>
    <mergeCell ref="A158:O158"/>
    <mergeCell ref="A167:O167"/>
    <mergeCell ref="A174:O174"/>
    <mergeCell ref="A181:O181"/>
    <mergeCell ref="A188:O188"/>
    <mergeCell ref="A124:O124"/>
    <mergeCell ref="A133:O133"/>
    <mergeCell ref="A140:O140"/>
    <mergeCell ref="A149:O149"/>
    <mergeCell ref="A194:O194"/>
    <mergeCell ref="C1:F1"/>
    <mergeCell ref="I1:L1"/>
    <mergeCell ref="A3:O3"/>
    <mergeCell ref="A12:O12"/>
    <mergeCell ref="A19:O19"/>
    <mergeCell ref="A28:O28"/>
    <mergeCell ref="A230:O230"/>
    <mergeCell ref="A239:O239"/>
    <mergeCell ref="A248:O248"/>
    <mergeCell ref="A257:O257"/>
    <mergeCell ref="A37:O37"/>
    <mergeCell ref="A46:O46"/>
    <mergeCell ref="A53:O53"/>
    <mergeCell ref="A60:O60"/>
    <mergeCell ref="A67:O67"/>
    <mergeCell ref="A73:O73"/>
    <mergeCell ref="A82:O82"/>
    <mergeCell ref="A91:O91"/>
    <mergeCell ref="A100:O100"/>
    <mergeCell ref="A109:O109"/>
    <mergeCell ref="A118:O118"/>
    <mergeCell ref="A293:O293"/>
    <mergeCell ref="A266:O266"/>
    <mergeCell ref="A275:O275"/>
    <mergeCell ref="A284:O284"/>
    <mergeCell ref="A224:O224"/>
    <mergeCell ref="A227:O227"/>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 SALE PUR TYPE'!$C$3:$C$15</xm:f>
          </x14:formula1>
          <xm:sqref>B31:B36 B22:B27 B49:B52 B56:B59</xm:sqref>
        </x14:dataValidation>
        <x14:dataValidation type="list" allowBlank="1" showInputMessage="1" showErrorMessage="1">
          <x14:formula1>
            <xm:f>'MASTER SALE PUR TYPE'!$B$3:$B$50</xm:f>
          </x14:formula1>
          <xm:sqref>B5:B11 B214:B219 B228:B229 B222:B223 B225:B226 B85:B90 B191:B193 B177:B180 B170:B173 B152:B157 B143:B148 B136:B139 B127:B132 B103:B108 B94:B99 B14:B18 B70:B72 B76:B81 B197:B202 B233:B238 B242:B247 B251:B256 B260:B265 B269:B274 B278:B283 B287:B292 B296:B301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workbookViewId="0"/>
  </sheetViews>
  <sheetFormatPr defaultRowHeight="10.199999999999999" x14ac:dyDescent="0.2"/>
  <cols>
    <col min="1" max="1" width="6.88671875" style="11" customWidth="1"/>
    <col min="2" max="2" width="4" style="11" customWidth="1"/>
    <col min="3" max="3" width="9.109375" style="11"/>
    <col min="4" max="4" width="15.77734375" style="11" customWidth="1"/>
    <col min="5" max="5" width="6.33203125" style="11" bestFit="1" customWidth="1"/>
    <col min="6" max="6" width="6.6640625" style="11" bestFit="1" customWidth="1"/>
    <col min="7" max="7" width="9.109375" style="11"/>
    <col min="8" max="8" width="9.6640625" style="11" customWidth="1"/>
    <col min="9" max="9" width="9.109375" style="11"/>
    <col min="10" max="10" width="4.109375" style="11" bestFit="1" customWidth="1"/>
    <col min="11" max="11" width="9.109375" style="11"/>
    <col min="12" max="12" width="9.33203125" style="11" bestFit="1" customWidth="1"/>
    <col min="13" max="13" width="7" style="11" bestFit="1" customWidth="1"/>
    <col min="14" max="14" width="6.5546875" style="11" bestFit="1" customWidth="1"/>
    <col min="15" max="15" width="4.44140625" style="11" bestFit="1" customWidth="1"/>
    <col min="16" max="18" width="5.44140625" style="11" bestFit="1" customWidth="1"/>
    <col min="19" max="16384" width="8.88671875" style="11"/>
  </cols>
  <sheetData>
    <row r="1" spans="1:18" x14ac:dyDescent="0.2">
      <c r="A1" s="223"/>
      <c r="B1" s="1327" t="s">
        <v>347</v>
      </c>
      <c r="C1" s="1327"/>
      <c r="D1" s="1327"/>
      <c r="E1" s="1327"/>
      <c r="F1" s="1327"/>
      <c r="G1" s="1327"/>
      <c r="H1" s="223"/>
      <c r="I1" s="224"/>
      <c r="J1" s="225">
        <v>72</v>
      </c>
      <c r="K1" s="224"/>
      <c r="L1" s="225">
        <v>0</v>
      </c>
      <c r="M1" s="225">
        <v>-849.59999999999991</v>
      </c>
      <c r="N1" s="225">
        <v>-720</v>
      </c>
      <c r="O1" s="225">
        <v>0</v>
      </c>
      <c r="P1" s="225">
        <v>-64.8</v>
      </c>
      <c r="Q1" s="225">
        <v>-64.8</v>
      </c>
      <c r="R1" s="225">
        <v>0</v>
      </c>
    </row>
    <row r="2" spans="1:18" x14ac:dyDescent="0.2">
      <c r="B2" s="1328" t="s">
        <v>1031</v>
      </c>
      <c r="C2" s="1329"/>
      <c r="D2" s="1329"/>
      <c r="E2" s="1329"/>
      <c r="F2" s="1329"/>
      <c r="G2" s="1329"/>
      <c r="H2" s="1329"/>
      <c r="I2" s="1329"/>
      <c r="J2" s="1329"/>
      <c r="K2" s="1329"/>
      <c r="L2" s="1329"/>
      <c r="M2" s="1329"/>
      <c r="N2" s="1329"/>
      <c r="O2" s="1329"/>
      <c r="P2" s="1329"/>
      <c r="Q2" s="1329"/>
      <c r="R2" s="1329"/>
    </row>
    <row r="3" spans="1:18" x14ac:dyDescent="0.2">
      <c r="B3" s="1001" t="s">
        <v>1032</v>
      </c>
      <c r="C3" s="1002"/>
      <c r="D3" s="1002"/>
      <c r="E3" s="1002"/>
      <c r="F3" s="1002"/>
      <c r="G3" s="1002"/>
      <c r="H3" s="1002"/>
      <c r="I3" s="1002"/>
      <c r="J3" s="1002"/>
      <c r="K3" s="1002"/>
      <c r="L3" s="1002"/>
      <c r="M3" s="1002"/>
      <c r="N3" s="1002"/>
      <c r="O3" s="1002"/>
      <c r="P3" s="1002"/>
      <c r="Q3" s="1002"/>
      <c r="R3" s="1003"/>
    </row>
    <row r="4" spans="1:18" x14ac:dyDescent="0.2">
      <c r="A4" s="1219" t="s">
        <v>2</v>
      </c>
      <c r="B4" s="994" t="s">
        <v>3</v>
      </c>
      <c r="C4" s="1217" t="s">
        <v>234</v>
      </c>
      <c r="D4" s="1217" t="s">
        <v>235</v>
      </c>
      <c r="E4" s="1219" t="s">
        <v>469</v>
      </c>
      <c r="F4" s="1219" t="s">
        <v>470</v>
      </c>
      <c r="G4" s="1219" t="s">
        <v>9</v>
      </c>
      <c r="H4" s="1219" t="s">
        <v>14</v>
      </c>
      <c r="I4" s="1219" t="s">
        <v>14</v>
      </c>
      <c r="J4" s="994" t="s">
        <v>10</v>
      </c>
      <c r="K4" s="1219" t="s">
        <v>14</v>
      </c>
      <c r="L4" s="1219" t="s">
        <v>1033</v>
      </c>
      <c r="M4" s="1219" t="s">
        <v>13</v>
      </c>
      <c r="N4" s="1219" t="s">
        <v>11</v>
      </c>
      <c r="O4" s="994" t="s">
        <v>12</v>
      </c>
      <c r="P4" s="994"/>
      <c r="Q4" s="994"/>
      <c r="R4" s="994"/>
    </row>
    <row r="5" spans="1:18" ht="22.2" customHeight="1" x14ac:dyDescent="0.2">
      <c r="A5" s="994"/>
      <c r="B5" s="994"/>
      <c r="C5" s="1218"/>
      <c r="D5" s="1218"/>
      <c r="E5" s="994"/>
      <c r="F5" s="994"/>
      <c r="G5" s="994"/>
      <c r="H5" s="994"/>
      <c r="I5" s="994"/>
      <c r="J5" s="994"/>
      <c r="K5" s="994"/>
      <c r="L5" s="994"/>
      <c r="M5" s="994"/>
      <c r="N5" s="994"/>
      <c r="O5" s="19" t="s">
        <v>16</v>
      </c>
      <c r="P5" s="19" t="s">
        <v>17</v>
      </c>
      <c r="Q5" s="19" t="s">
        <v>18</v>
      </c>
      <c r="R5" s="19" t="s">
        <v>19</v>
      </c>
    </row>
    <row r="6" spans="1:18" x14ac:dyDescent="0.2">
      <c r="A6" s="23">
        <v>43556</v>
      </c>
      <c r="B6" s="24">
        <v>1</v>
      </c>
      <c r="C6" s="226" t="s">
        <v>541</v>
      </c>
      <c r="D6" s="24" t="s">
        <v>542</v>
      </c>
      <c r="E6" s="227" t="s">
        <v>1034</v>
      </c>
      <c r="F6" s="228"/>
      <c r="G6" s="24"/>
      <c r="H6" s="24" t="s">
        <v>26</v>
      </c>
      <c r="I6" s="24"/>
      <c r="J6" s="24">
        <v>18</v>
      </c>
      <c r="K6" s="24" t="s">
        <v>1035</v>
      </c>
      <c r="L6" s="24" t="s">
        <v>417</v>
      </c>
      <c r="M6" s="24">
        <v>-212.39999999999998</v>
      </c>
      <c r="N6" s="28">
        <v>-180</v>
      </c>
      <c r="O6" s="24"/>
      <c r="P6" s="24">
        <v>-16.2</v>
      </c>
      <c r="Q6" s="24">
        <v>-16.2</v>
      </c>
      <c r="R6" s="24"/>
    </row>
    <row r="7" spans="1:18" x14ac:dyDescent="0.2">
      <c r="A7" s="33">
        <v>43586</v>
      </c>
      <c r="B7" s="34">
        <v>1</v>
      </c>
      <c r="C7" s="229" t="s">
        <v>541</v>
      </c>
      <c r="D7" s="34" t="s">
        <v>542</v>
      </c>
      <c r="E7" s="230" t="s">
        <v>1034</v>
      </c>
      <c r="F7" s="231"/>
      <c r="G7" s="34"/>
      <c r="H7" s="34" t="s">
        <v>26</v>
      </c>
      <c r="I7" s="34"/>
      <c r="J7" s="34">
        <v>18</v>
      </c>
      <c r="K7" s="34" t="s">
        <v>1035</v>
      </c>
      <c r="L7" s="34" t="s">
        <v>417</v>
      </c>
      <c r="M7" s="34">
        <v>-212.39999999999998</v>
      </c>
      <c r="N7" s="38">
        <v>-180</v>
      </c>
      <c r="O7" s="34"/>
      <c r="P7" s="34">
        <v>-16.2</v>
      </c>
      <c r="Q7" s="34">
        <v>-16.2</v>
      </c>
      <c r="R7" s="34"/>
    </row>
    <row r="8" spans="1:18" x14ac:dyDescent="0.2">
      <c r="A8" s="33">
        <v>43617</v>
      </c>
      <c r="B8" s="34">
        <v>1</v>
      </c>
      <c r="C8" s="229" t="s">
        <v>541</v>
      </c>
      <c r="D8" s="34" t="s">
        <v>542</v>
      </c>
      <c r="E8" s="230" t="s">
        <v>1034</v>
      </c>
      <c r="F8" s="231"/>
      <c r="G8" s="34"/>
      <c r="H8" s="34" t="s">
        <v>26</v>
      </c>
      <c r="I8" s="34"/>
      <c r="J8" s="34">
        <v>18</v>
      </c>
      <c r="K8" s="34" t="s">
        <v>1035</v>
      </c>
      <c r="L8" s="34" t="s">
        <v>417</v>
      </c>
      <c r="M8" s="34">
        <v>-212.39999999999998</v>
      </c>
      <c r="N8" s="38">
        <v>-180</v>
      </c>
      <c r="O8" s="34"/>
      <c r="P8" s="34">
        <v>-16.2</v>
      </c>
      <c r="Q8" s="34">
        <v>-16.2</v>
      </c>
      <c r="R8" s="34"/>
    </row>
    <row r="9" spans="1:18" x14ac:dyDescent="0.2">
      <c r="A9" s="33">
        <v>43647</v>
      </c>
      <c r="B9" s="34">
        <v>1</v>
      </c>
      <c r="C9" s="229" t="s">
        <v>541</v>
      </c>
      <c r="D9" s="34" t="s">
        <v>542</v>
      </c>
      <c r="E9" s="230" t="s">
        <v>1034</v>
      </c>
      <c r="F9" s="231"/>
      <c r="G9" s="34"/>
      <c r="H9" s="34" t="s">
        <v>26</v>
      </c>
      <c r="I9" s="34"/>
      <c r="J9" s="34">
        <v>18</v>
      </c>
      <c r="K9" s="34" t="s">
        <v>1035</v>
      </c>
      <c r="L9" s="34" t="s">
        <v>417</v>
      </c>
      <c r="M9" s="34">
        <v>-212.39999999999998</v>
      </c>
      <c r="N9" s="38">
        <v>-180</v>
      </c>
      <c r="O9" s="34"/>
      <c r="P9" s="34">
        <v>-16.2</v>
      </c>
      <c r="Q9" s="34">
        <v>-16.2</v>
      </c>
      <c r="R9" s="34"/>
    </row>
    <row r="10" spans="1:18" x14ac:dyDescent="0.2">
      <c r="A10" s="33">
        <v>43678</v>
      </c>
      <c r="B10" s="34">
        <v>1</v>
      </c>
      <c r="C10" s="229" t="s">
        <v>541</v>
      </c>
      <c r="D10" s="34" t="s">
        <v>542</v>
      </c>
      <c r="E10" s="230" t="s">
        <v>1034</v>
      </c>
      <c r="F10" s="231"/>
      <c r="G10" s="34"/>
      <c r="H10" s="34" t="s">
        <v>26</v>
      </c>
      <c r="I10" s="34"/>
      <c r="J10" s="34">
        <v>18</v>
      </c>
      <c r="K10" s="34" t="s">
        <v>1035</v>
      </c>
      <c r="L10" s="34" t="s">
        <v>417</v>
      </c>
      <c r="M10" s="34">
        <v>-212.39999999999998</v>
      </c>
      <c r="N10" s="38">
        <v>-180</v>
      </c>
      <c r="O10" s="34"/>
      <c r="P10" s="34">
        <v>-16.2</v>
      </c>
      <c r="Q10" s="34">
        <v>-16.2</v>
      </c>
      <c r="R10" s="34"/>
    </row>
    <row r="11" spans="1:18" x14ac:dyDescent="0.2">
      <c r="A11" s="51">
        <v>43709</v>
      </c>
      <c r="B11" s="34">
        <v>1</v>
      </c>
      <c r="C11" s="229" t="s">
        <v>541</v>
      </c>
      <c r="D11" s="34" t="s">
        <v>542</v>
      </c>
      <c r="E11" s="230" t="s">
        <v>1034</v>
      </c>
      <c r="F11" s="231"/>
      <c r="G11" s="34"/>
      <c r="H11" s="34" t="s">
        <v>26</v>
      </c>
      <c r="I11" s="34"/>
      <c r="J11" s="34">
        <v>18</v>
      </c>
      <c r="K11" s="34" t="s">
        <v>1035</v>
      </c>
      <c r="L11" s="34" t="s">
        <v>417</v>
      </c>
      <c r="M11" s="34">
        <v>-212.39999999999998</v>
      </c>
      <c r="N11" s="38">
        <v>-180</v>
      </c>
      <c r="O11" s="34"/>
      <c r="P11" s="34">
        <v>-16.2</v>
      </c>
      <c r="Q11" s="34">
        <v>-16.2</v>
      </c>
      <c r="R11" s="34"/>
    </row>
    <row r="12" spans="1:18" x14ac:dyDescent="0.2">
      <c r="A12" s="51">
        <v>43739</v>
      </c>
      <c r="B12" s="34">
        <v>1</v>
      </c>
      <c r="C12" s="229" t="s">
        <v>541</v>
      </c>
      <c r="D12" s="34" t="s">
        <v>542</v>
      </c>
      <c r="E12" s="230" t="s">
        <v>1034</v>
      </c>
      <c r="F12" s="231"/>
      <c r="G12" s="34"/>
      <c r="H12" s="34" t="s">
        <v>26</v>
      </c>
      <c r="I12" s="34"/>
      <c r="J12" s="34">
        <v>18</v>
      </c>
      <c r="K12" s="34" t="s">
        <v>1035</v>
      </c>
      <c r="L12" s="34" t="s">
        <v>417</v>
      </c>
      <c r="M12" s="34">
        <v>-212.39999999999998</v>
      </c>
      <c r="N12" s="38">
        <v>-180</v>
      </c>
      <c r="O12" s="34"/>
      <c r="P12" s="34">
        <v>-16.2</v>
      </c>
      <c r="Q12" s="34">
        <v>-16.2</v>
      </c>
      <c r="R12" s="34"/>
    </row>
    <row r="13" spans="1:18" x14ac:dyDescent="0.2">
      <c r="A13" s="51">
        <v>43770</v>
      </c>
      <c r="B13" s="34">
        <v>1</v>
      </c>
      <c r="C13" s="229" t="s">
        <v>541</v>
      </c>
      <c r="D13" s="34" t="s">
        <v>542</v>
      </c>
      <c r="E13" s="230" t="s">
        <v>1034</v>
      </c>
      <c r="F13" s="231"/>
      <c r="G13" s="34"/>
      <c r="H13" s="34" t="s">
        <v>26</v>
      </c>
      <c r="I13" s="34"/>
      <c r="J13" s="34">
        <v>18</v>
      </c>
      <c r="K13" s="34" t="s">
        <v>1035</v>
      </c>
      <c r="L13" s="34" t="s">
        <v>417</v>
      </c>
      <c r="M13" s="34">
        <v>-212.39999999999998</v>
      </c>
      <c r="N13" s="38">
        <v>-180</v>
      </c>
      <c r="O13" s="34"/>
      <c r="P13" s="34">
        <v>-16.2</v>
      </c>
      <c r="Q13" s="34">
        <v>-16.2</v>
      </c>
      <c r="R13" s="34"/>
    </row>
    <row r="14" spans="1:18" x14ac:dyDescent="0.2">
      <c r="A14" s="51">
        <v>43800</v>
      </c>
      <c r="B14" s="34">
        <v>1</v>
      </c>
      <c r="C14" s="229" t="s">
        <v>541</v>
      </c>
      <c r="D14" s="34" t="s">
        <v>542</v>
      </c>
      <c r="E14" s="230" t="s">
        <v>1034</v>
      </c>
      <c r="F14" s="231"/>
      <c r="G14" s="34"/>
      <c r="H14" s="34" t="s">
        <v>26</v>
      </c>
      <c r="I14" s="34"/>
      <c r="J14" s="34">
        <v>18</v>
      </c>
      <c r="K14" s="34" t="s">
        <v>1035</v>
      </c>
      <c r="L14" s="34" t="s">
        <v>417</v>
      </c>
      <c r="M14" s="34">
        <v>-212.39999999999998</v>
      </c>
      <c r="N14" s="38">
        <v>-180</v>
      </c>
      <c r="O14" s="34"/>
      <c r="P14" s="34">
        <v>-16.2</v>
      </c>
      <c r="Q14" s="34">
        <v>-16.2</v>
      </c>
      <c r="R14" s="34"/>
    </row>
  </sheetData>
  <dataConsolidate link="1"/>
  <mergeCells count="18">
    <mergeCell ref="A4:A5"/>
    <mergeCell ref="B4:B5"/>
    <mergeCell ref="C4:C5"/>
    <mergeCell ref="D4:D5"/>
    <mergeCell ref="E4:E5"/>
    <mergeCell ref="L4:L5"/>
    <mergeCell ref="M4:M5"/>
    <mergeCell ref="B1:G1"/>
    <mergeCell ref="B2:R2"/>
    <mergeCell ref="B3:R3"/>
    <mergeCell ref="F4:F5"/>
    <mergeCell ref="N4:N5"/>
    <mergeCell ref="O4:R4"/>
    <mergeCell ref="J4:J5"/>
    <mergeCell ref="G4:G5"/>
    <mergeCell ref="H4:H5"/>
    <mergeCell ref="I4:I5"/>
    <mergeCell ref="K4:K5"/>
  </mergeCells>
  <pageMargins left="0.7" right="0.7" top="0.75" bottom="0.75" header="0.3" footer="0.3"/>
  <pageSetup paperSize="9" orientation="portrait" verticalDpi="0" r:id="rId1"/>
  <ignoredErrors>
    <ignoredError sqref="E6 E7:E12"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 SALE PUR TYPE'!$G$3:$G$12</xm:f>
          </x14:formula1>
          <xm:sqref>L6:L14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heetViews>
  <sheetFormatPr defaultColWidth="9.109375" defaultRowHeight="10.199999999999999" x14ac:dyDescent="0.2"/>
  <cols>
    <col min="1" max="1" width="6.77734375" style="11" bestFit="1" customWidth="1"/>
    <col min="2" max="2" width="6.44140625" style="11" bestFit="1" customWidth="1"/>
    <col min="3" max="3" width="34" style="11" bestFit="1" customWidth="1"/>
    <col min="4" max="4" width="15.77734375" style="11" bestFit="1" customWidth="1"/>
    <col min="5" max="5" width="7.44140625" style="11" bestFit="1" customWidth="1"/>
    <col min="6" max="6" width="7" style="11" bestFit="1" customWidth="1"/>
    <col min="7" max="7" width="8.77734375" style="11" bestFit="1" customWidth="1"/>
    <col min="8" max="8" width="9.88671875" style="11" bestFit="1" customWidth="1"/>
    <col min="9" max="9" width="6.6640625" style="11" bestFit="1" customWidth="1"/>
    <col min="10" max="10" width="4.5546875" style="11" bestFit="1" customWidth="1"/>
    <col min="11" max="11" width="6.6640625" style="11" bestFit="1" customWidth="1"/>
    <col min="12" max="12" width="7.88671875" style="11" bestFit="1" customWidth="1"/>
    <col min="13" max="13" width="8.109375" style="11" bestFit="1" customWidth="1"/>
    <col min="14" max="14" width="6.6640625" style="11" bestFit="1" customWidth="1"/>
    <col min="15" max="15" width="7.109375" style="11" bestFit="1" customWidth="1"/>
    <col min="16" max="16" width="4.88671875" style="11" bestFit="1" customWidth="1"/>
    <col min="17" max="17" width="5.6640625" style="11" bestFit="1" customWidth="1"/>
    <col min="18" max="18" width="5.5546875" style="11" bestFit="1" customWidth="1"/>
    <col min="19" max="19" width="5.44140625" style="11" bestFit="1" customWidth="1"/>
    <col min="20" max="16384" width="9.109375" style="11"/>
  </cols>
  <sheetData>
    <row r="1" spans="1:19" x14ac:dyDescent="0.2">
      <c r="A1" s="223"/>
      <c r="B1" s="120" t="s">
        <v>347</v>
      </c>
      <c r="C1" s="120"/>
      <c r="D1" s="120"/>
      <c r="E1" s="120"/>
      <c r="F1" s="120"/>
      <c r="G1" s="120"/>
      <c r="H1" s="120"/>
      <c r="I1" s="223"/>
      <c r="J1" s="225">
        <v>54</v>
      </c>
      <c r="K1" s="223"/>
      <c r="L1" s="223"/>
      <c r="M1" s="224"/>
      <c r="N1" s="225">
        <v>0</v>
      </c>
      <c r="O1" s="225">
        <v>0</v>
      </c>
      <c r="P1" s="225">
        <v>0</v>
      </c>
      <c r="Q1" s="225">
        <v>0</v>
      </c>
      <c r="R1" s="225">
        <v>0</v>
      </c>
      <c r="S1" s="225">
        <v>0</v>
      </c>
    </row>
    <row r="2" spans="1:19" x14ac:dyDescent="0.2">
      <c r="B2" s="1328" t="s">
        <v>1036</v>
      </c>
      <c r="C2" s="1329"/>
      <c r="D2" s="1329"/>
      <c r="E2" s="1329"/>
      <c r="F2" s="1329"/>
      <c r="G2" s="1329"/>
      <c r="H2" s="1329"/>
      <c r="I2" s="1329"/>
      <c r="J2" s="1329"/>
      <c r="K2" s="1329"/>
      <c r="L2" s="1329"/>
      <c r="M2" s="1329"/>
      <c r="N2" s="1329"/>
      <c r="O2" s="1329"/>
      <c r="P2" s="1329"/>
      <c r="Q2" s="1329"/>
      <c r="R2" s="1329"/>
      <c r="S2" s="1329"/>
    </row>
    <row r="3" spans="1:19" x14ac:dyDescent="0.2">
      <c r="B3" s="1001" t="s">
        <v>1037</v>
      </c>
      <c r="C3" s="1002"/>
      <c r="D3" s="1002"/>
      <c r="E3" s="1002"/>
      <c r="F3" s="1002"/>
      <c r="G3" s="1002"/>
      <c r="H3" s="1002"/>
      <c r="I3" s="1002"/>
      <c r="J3" s="1002"/>
      <c r="K3" s="1002"/>
      <c r="L3" s="1002"/>
      <c r="M3" s="1002"/>
      <c r="N3" s="1002"/>
      <c r="O3" s="1002"/>
      <c r="P3" s="1002"/>
      <c r="Q3" s="1002"/>
      <c r="R3" s="1002"/>
      <c r="S3" s="1003"/>
    </row>
    <row r="4" spans="1:19" ht="12" customHeight="1" x14ac:dyDescent="0.2">
      <c r="A4" s="1219" t="s">
        <v>2</v>
      </c>
      <c r="B4" s="994" t="s">
        <v>3</v>
      </c>
      <c r="C4" s="1217" t="s">
        <v>234</v>
      </c>
      <c r="D4" s="1217" t="s">
        <v>235</v>
      </c>
      <c r="E4" s="1219" t="s">
        <v>236</v>
      </c>
      <c r="F4" s="1219" t="s">
        <v>469</v>
      </c>
      <c r="G4" s="1219" t="s">
        <v>470</v>
      </c>
      <c r="H4" s="1219" t="s">
        <v>9</v>
      </c>
      <c r="I4" s="1219" t="s">
        <v>14</v>
      </c>
      <c r="J4" s="994" t="s">
        <v>10</v>
      </c>
      <c r="K4" s="1219" t="s">
        <v>14</v>
      </c>
      <c r="L4" s="1219" t="s">
        <v>14</v>
      </c>
      <c r="M4" s="1219" t="s">
        <v>1033</v>
      </c>
      <c r="N4" s="1219" t="s">
        <v>13</v>
      </c>
      <c r="O4" s="1219" t="s">
        <v>11</v>
      </c>
      <c r="P4" s="994" t="s">
        <v>12</v>
      </c>
      <c r="Q4" s="994"/>
      <c r="R4" s="994"/>
      <c r="S4" s="994"/>
    </row>
    <row r="5" spans="1:19" x14ac:dyDescent="0.2">
      <c r="A5" s="994"/>
      <c r="B5" s="994"/>
      <c r="C5" s="1218"/>
      <c r="D5" s="1218"/>
      <c r="E5" s="994"/>
      <c r="F5" s="994"/>
      <c r="G5" s="994"/>
      <c r="H5" s="994"/>
      <c r="I5" s="994"/>
      <c r="J5" s="994"/>
      <c r="K5" s="994"/>
      <c r="L5" s="994"/>
      <c r="M5" s="994"/>
      <c r="N5" s="994"/>
      <c r="O5" s="994"/>
      <c r="P5" s="19" t="s">
        <v>16</v>
      </c>
      <c r="Q5" s="19" t="s">
        <v>17</v>
      </c>
      <c r="R5" s="19" t="s">
        <v>18</v>
      </c>
      <c r="S5" s="19" t="s">
        <v>19</v>
      </c>
    </row>
    <row r="6" spans="1:19" x14ac:dyDescent="0.2">
      <c r="A6" s="23">
        <v>43556</v>
      </c>
      <c r="B6" s="24">
        <v>1</v>
      </c>
      <c r="C6" s="25" t="s">
        <v>489</v>
      </c>
      <c r="D6" s="24" t="s">
        <v>490</v>
      </c>
      <c r="E6" s="24"/>
      <c r="F6" s="227" t="s">
        <v>1034</v>
      </c>
      <c r="G6" s="228" t="s">
        <v>768</v>
      </c>
      <c r="H6" s="24">
        <v>32129090</v>
      </c>
      <c r="I6" s="24" t="s">
        <v>26</v>
      </c>
      <c r="J6" s="24">
        <v>18</v>
      </c>
      <c r="K6" s="24"/>
      <c r="L6" s="24" t="s">
        <v>1035</v>
      </c>
      <c r="M6" s="24" t="s">
        <v>420</v>
      </c>
      <c r="N6" s="24">
        <v>0</v>
      </c>
      <c r="O6" s="28">
        <v>0</v>
      </c>
      <c r="P6" s="24">
        <v>0</v>
      </c>
      <c r="Q6" s="24">
        <v>0</v>
      </c>
      <c r="R6" s="24">
        <v>0</v>
      </c>
      <c r="S6" s="24"/>
    </row>
    <row r="7" spans="1:19" x14ac:dyDescent="0.2">
      <c r="A7" s="33">
        <v>43556</v>
      </c>
      <c r="B7" s="34">
        <v>1</v>
      </c>
      <c r="C7" s="35" t="s">
        <v>489</v>
      </c>
      <c r="D7" s="34" t="s">
        <v>490</v>
      </c>
      <c r="E7" s="34"/>
      <c r="F7" s="230" t="s">
        <v>1034</v>
      </c>
      <c r="G7" s="231" t="s">
        <v>768</v>
      </c>
      <c r="H7" s="34">
        <v>32129090</v>
      </c>
      <c r="I7" s="34" t="s">
        <v>26</v>
      </c>
      <c r="J7" s="34">
        <v>18</v>
      </c>
      <c r="K7" s="34"/>
      <c r="L7" s="34" t="s">
        <v>1035</v>
      </c>
      <c r="M7" s="34" t="s">
        <v>1038</v>
      </c>
      <c r="N7" s="34">
        <v>0</v>
      </c>
      <c r="O7" s="38"/>
      <c r="P7" s="34"/>
      <c r="Q7" s="34">
        <v>0</v>
      </c>
      <c r="R7" s="34">
        <v>0</v>
      </c>
      <c r="S7" s="34"/>
    </row>
    <row r="8" spans="1:19" x14ac:dyDescent="0.2">
      <c r="A8" s="33">
        <v>43556</v>
      </c>
      <c r="B8" s="34">
        <v>1</v>
      </c>
      <c r="C8" s="35" t="s">
        <v>489</v>
      </c>
      <c r="D8" s="34" t="s">
        <v>490</v>
      </c>
      <c r="E8" s="34"/>
      <c r="F8" s="230" t="s">
        <v>1034</v>
      </c>
      <c r="G8" s="231" t="s">
        <v>768</v>
      </c>
      <c r="H8" s="34">
        <v>32129090</v>
      </c>
      <c r="I8" s="34" t="s">
        <v>26</v>
      </c>
      <c r="J8" s="34">
        <v>18</v>
      </c>
      <c r="K8" s="34"/>
      <c r="L8" s="34" t="s">
        <v>1035</v>
      </c>
      <c r="M8" s="34" t="s">
        <v>420</v>
      </c>
      <c r="N8" s="34">
        <v>0</v>
      </c>
      <c r="O8" s="38"/>
      <c r="P8" s="34"/>
      <c r="Q8" s="34">
        <v>0</v>
      </c>
      <c r="R8" s="34">
        <v>0</v>
      </c>
      <c r="S8" s="34"/>
    </row>
    <row r="9" spans="1:19" x14ac:dyDescent="0.2">
      <c r="A9" s="34"/>
      <c r="B9" s="34"/>
      <c r="C9" s="34"/>
      <c r="D9" s="34"/>
      <c r="E9" s="34"/>
      <c r="F9" s="34"/>
      <c r="G9" s="34"/>
      <c r="H9" s="34"/>
      <c r="I9" s="34"/>
      <c r="J9" s="34"/>
      <c r="K9" s="34"/>
      <c r="L9" s="34"/>
      <c r="M9" s="34"/>
      <c r="N9" s="34"/>
      <c r="O9" s="34"/>
      <c r="P9" s="34"/>
      <c r="Q9" s="34"/>
      <c r="R9" s="34"/>
      <c r="S9" s="34"/>
    </row>
    <row r="10" spans="1:19" x14ac:dyDescent="0.2">
      <c r="A10" s="34"/>
      <c r="B10" s="34"/>
      <c r="C10" s="34"/>
      <c r="D10" s="34"/>
      <c r="E10" s="34"/>
      <c r="F10" s="34"/>
      <c r="G10" s="34"/>
      <c r="H10" s="34"/>
      <c r="I10" s="34"/>
      <c r="J10" s="34"/>
      <c r="K10" s="34"/>
      <c r="L10" s="34"/>
      <c r="M10" s="34"/>
      <c r="N10" s="34"/>
      <c r="O10" s="34"/>
      <c r="P10" s="34"/>
      <c r="Q10" s="34"/>
      <c r="R10" s="34"/>
      <c r="S10" s="34"/>
    </row>
    <row r="11" spans="1:19" x14ac:dyDescent="0.2">
      <c r="A11" s="34"/>
      <c r="B11" s="34"/>
      <c r="C11" s="34"/>
      <c r="D11" s="34"/>
      <c r="E11" s="34"/>
      <c r="F11" s="34"/>
      <c r="G11" s="34"/>
      <c r="H11" s="34"/>
      <c r="I11" s="34"/>
      <c r="J11" s="34"/>
      <c r="K11" s="34"/>
      <c r="L11" s="34"/>
      <c r="M11" s="34"/>
      <c r="N11" s="34"/>
      <c r="O11" s="34"/>
      <c r="P11" s="34"/>
      <c r="Q11" s="34"/>
      <c r="R11" s="34"/>
      <c r="S11" s="34"/>
    </row>
    <row r="12" spans="1:19" x14ac:dyDescent="0.2">
      <c r="A12" s="34"/>
      <c r="B12" s="34"/>
      <c r="C12" s="34"/>
      <c r="D12" s="34"/>
      <c r="E12" s="34"/>
      <c r="F12" s="34"/>
      <c r="G12" s="34"/>
      <c r="H12" s="34"/>
      <c r="I12" s="34"/>
      <c r="J12" s="34"/>
      <c r="K12" s="34"/>
      <c r="L12" s="34"/>
      <c r="M12" s="34"/>
      <c r="N12" s="34"/>
      <c r="O12" s="34"/>
      <c r="P12" s="34"/>
      <c r="Q12" s="34"/>
      <c r="R12" s="34"/>
      <c r="S12" s="34"/>
    </row>
    <row r="13" spans="1:19" x14ac:dyDescent="0.2">
      <c r="A13" s="34"/>
      <c r="B13" s="34"/>
      <c r="C13" s="34"/>
      <c r="D13" s="34"/>
      <c r="E13" s="34"/>
      <c r="F13" s="34"/>
      <c r="G13" s="34"/>
      <c r="H13" s="34"/>
      <c r="I13" s="34"/>
      <c r="J13" s="34"/>
      <c r="K13" s="34"/>
      <c r="L13" s="34"/>
      <c r="M13" s="34"/>
      <c r="N13" s="34"/>
      <c r="O13" s="34"/>
      <c r="P13" s="34"/>
      <c r="Q13" s="34"/>
      <c r="R13" s="34"/>
      <c r="S13" s="34"/>
    </row>
    <row r="14" spans="1:19" x14ac:dyDescent="0.2">
      <c r="A14" s="34"/>
      <c r="B14" s="34"/>
      <c r="C14" s="34"/>
      <c r="D14" s="34"/>
      <c r="E14" s="34"/>
      <c r="F14" s="34"/>
      <c r="G14" s="34"/>
      <c r="H14" s="34"/>
      <c r="I14" s="34"/>
      <c r="J14" s="34"/>
      <c r="K14" s="34"/>
      <c r="L14" s="34"/>
      <c r="M14" s="34"/>
      <c r="N14" s="34"/>
      <c r="O14" s="34"/>
      <c r="P14" s="34"/>
      <c r="Q14" s="34"/>
      <c r="R14" s="34"/>
      <c r="S14" s="34"/>
    </row>
    <row r="15" spans="1:19" x14ac:dyDescent="0.2">
      <c r="A15" s="34"/>
      <c r="B15" s="34"/>
      <c r="C15" s="34"/>
      <c r="D15" s="34"/>
      <c r="E15" s="34"/>
      <c r="F15" s="34"/>
      <c r="G15" s="34"/>
      <c r="H15" s="34"/>
      <c r="I15" s="34"/>
      <c r="J15" s="34"/>
      <c r="K15" s="34"/>
      <c r="L15" s="34"/>
      <c r="M15" s="34"/>
      <c r="N15" s="34"/>
      <c r="O15" s="34"/>
      <c r="P15" s="34"/>
      <c r="Q15" s="34"/>
      <c r="R15" s="34"/>
      <c r="S15" s="34"/>
    </row>
    <row r="16" spans="1:19" x14ac:dyDescent="0.2">
      <c r="A16" s="34"/>
      <c r="B16" s="34"/>
      <c r="C16" s="34"/>
      <c r="D16" s="34"/>
      <c r="E16" s="34"/>
      <c r="F16" s="34"/>
      <c r="G16" s="34"/>
      <c r="H16" s="34"/>
      <c r="I16" s="34"/>
      <c r="J16" s="34"/>
      <c r="K16" s="34"/>
      <c r="L16" s="34"/>
      <c r="M16" s="34"/>
      <c r="N16" s="34"/>
      <c r="O16" s="34"/>
      <c r="P16" s="34"/>
      <c r="Q16" s="34"/>
      <c r="R16" s="34"/>
      <c r="S16" s="34"/>
    </row>
    <row r="17" spans="1:19" x14ac:dyDescent="0.2">
      <c r="A17" s="34"/>
      <c r="B17" s="34"/>
      <c r="C17" s="34"/>
      <c r="D17" s="34"/>
      <c r="E17" s="34"/>
      <c r="F17" s="34"/>
      <c r="G17" s="34"/>
      <c r="H17" s="34"/>
      <c r="I17" s="34"/>
      <c r="J17" s="34"/>
      <c r="K17" s="34"/>
      <c r="L17" s="34"/>
      <c r="M17" s="34"/>
      <c r="N17" s="34"/>
      <c r="O17" s="34"/>
      <c r="P17" s="34"/>
      <c r="Q17" s="34"/>
      <c r="R17" s="34"/>
      <c r="S17" s="34"/>
    </row>
    <row r="18" spans="1:19" x14ac:dyDescent="0.2">
      <c r="A18" s="34"/>
      <c r="B18" s="34"/>
      <c r="C18" s="34"/>
      <c r="D18" s="34"/>
      <c r="E18" s="34"/>
      <c r="F18" s="34"/>
      <c r="G18" s="34"/>
      <c r="H18" s="34"/>
      <c r="I18" s="34"/>
      <c r="J18" s="34"/>
      <c r="K18" s="34"/>
      <c r="L18" s="34"/>
      <c r="M18" s="34"/>
      <c r="N18" s="34"/>
      <c r="O18" s="34"/>
      <c r="P18" s="34"/>
      <c r="Q18" s="34"/>
      <c r="R18" s="34"/>
      <c r="S18" s="34"/>
    </row>
    <row r="19" spans="1:19" x14ac:dyDescent="0.2">
      <c r="A19" s="34"/>
      <c r="B19" s="34"/>
      <c r="C19" s="34"/>
      <c r="D19" s="34"/>
      <c r="E19" s="34"/>
      <c r="F19" s="34"/>
      <c r="G19" s="34"/>
      <c r="H19" s="34"/>
      <c r="I19" s="34"/>
      <c r="J19" s="34"/>
      <c r="K19" s="34"/>
      <c r="L19" s="34"/>
      <c r="M19" s="34"/>
      <c r="N19" s="34"/>
      <c r="O19" s="34"/>
      <c r="P19" s="34"/>
      <c r="Q19" s="34"/>
      <c r="R19" s="34"/>
      <c r="S19" s="34"/>
    </row>
    <row r="20" spans="1:19" x14ac:dyDescent="0.2">
      <c r="A20" s="34"/>
      <c r="B20" s="34"/>
      <c r="C20" s="34"/>
      <c r="D20" s="34"/>
      <c r="E20" s="34"/>
      <c r="F20" s="34"/>
      <c r="G20" s="34"/>
      <c r="H20" s="34"/>
      <c r="I20" s="34"/>
      <c r="J20" s="34"/>
      <c r="K20" s="34"/>
      <c r="L20" s="34"/>
      <c r="M20" s="34"/>
      <c r="N20" s="34"/>
      <c r="O20" s="34"/>
      <c r="P20" s="34"/>
      <c r="Q20" s="34"/>
      <c r="R20" s="34"/>
      <c r="S20" s="34"/>
    </row>
    <row r="21" spans="1:19" x14ac:dyDescent="0.2">
      <c r="A21" s="34"/>
      <c r="B21" s="34"/>
      <c r="C21" s="34"/>
      <c r="D21" s="34"/>
      <c r="E21" s="34"/>
      <c r="F21" s="34"/>
      <c r="G21" s="34"/>
      <c r="H21" s="34"/>
      <c r="I21" s="34"/>
      <c r="J21" s="34"/>
      <c r="K21" s="34"/>
      <c r="L21" s="34"/>
      <c r="M21" s="34"/>
      <c r="N21" s="34"/>
      <c r="O21" s="34"/>
      <c r="P21" s="34"/>
      <c r="Q21" s="34"/>
      <c r="R21" s="34"/>
      <c r="S21" s="34"/>
    </row>
    <row r="22" spans="1:19" x14ac:dyDescent="0.2">
      <c r="A22" s="34"/>
      <c r="B22" s="34"/>
      <c r="C22" s="34"/>
      <c r="D22" s="34"/>
      <c r="E22" s="34"/>
      <c r="F22" s="34"/>
      <c r="G22" s="34"/>
      <c r="H22" s="34"/>
      <c r="I22" s="34"/>
      <c r="J22" s="34"/>
      <c r="K22" s="34"/>
      <c r="L22" s="34"/>
      <c r="M22" s="34"/>
      <c r="N22" s="34"/>
      <c r="O22" s="34"/>
      <c r="P22" s="34"/>
      <c r="Q22" s="34"/>
      <c r="R22" s="34"/>
      <c r="S22" s="34"/>
    </row>
    <row r="23" spans="1:19" x14ac:dyDescent="0.2">
      <c r="A23" s="34"/>
      <c r="B23" s="34"/>
      <c r="C23" s="34"/>
      <c r="D23" s="34"/>
      <c r="E23" s="34"/>
      <c r="F23" s="34"/>
      <c r="G23" s="34"/>
      <c r="H23" s="34"/>
      <c r="I23" s="34"/>
      <c r="J23" s="34"/>
      <c r="K23" s="34"/>
      <c r="L23" s="34"/>
      <c r="M23" s="34"/>
      <c r="N23" s="34"/>
      <c r="O23" s="34"/>
      <c r="P23" s="34"/>
      <c r="Q23" s="34"/>
      <c r="R23" s="34"/>
      <c r="S23" s="34"/>
    </row>
    <row r="24" spans="1:19" x14ac:dyDescent="0.2">
      <c r="A24" s="34"/>
      <c r="B24" s="34"/>
      <c r="C24" s="34"/>
      <c r="D24" s="34"/>
      <c r="E24" s="34"/>
      <c r="F24" s="34"/>
      <c r="G24" s="34"/>
      <c r="H24" s="34"/>
      <c r="I24" s="34"/>
      <c r="J24" s="34"/>
      <c r="K24" s="34"/>
      <c r="L24" s="34"/>
      <c r="M24" s="34"/>
      <c r="N24" s="34"/>
      <c r="O24" s="34"/>
      <c r="P24" s="34"/>
      <c r="Q24" s="34"/>
      <c r="R24" s="34"/>
      <c r="S24" s="34"/>
    </row>
    <row r="25" spans="1:19" x14ac:dyDescent="0.2">
      <c r="A25" s="34"/>
      <c r="B25" s="34"/>
      <c r="C25" s="34"/>
      <c r="D25" s="34"/>
      <c r="E25" s="34"/>
      <c r="F25" s="34"/>
      <c r="G25" s="34"/>
      <c r="H25" s="34"/>
      <c r="I25" s="34"/>
      <c r="J25" s="34"/>
      <c r="K25" s="34"/>
      <c r="L25" s="34"/>
      <c r="M25" s="34"/>
      <c r="N25" s="34"/>
      <c r="O25" s="34"/>
      <c r="P25" s="34"/>
      <c r="Q25" s="34"/>
      <c r="R25" s="34"/>
      <c r="S25" s="34"/>
    </row>
  </sheetData>
  <mergeCells count="18">
    <mergeCell ref="L4:L5"/>
    <mergeCell ref="M4:M5"/>
    <mergeCell ref="N4:N5"/>
    <mergeCell ref="O4:O5"/>
    <mergeCell ref="B2:S2"/>
    <mergeCell ref="B3:S3"/>
    <mergeCell ref="F4:F5"/>
    <mergeCell ref="G4:G5"/>
    <mergeCell ref="H4:H5"/>
    <mergeCell ref="P4:S4"/>
    <mergeCell ref="J4:J5"/>
    <mergeCell ref="I4:I5"/>
    <mergeCell ref="K4:K5"/>
    <mergeCell ref="A4:A5"/>
    <mergeCell ref="B4:B5"/>
    <mergeCell ref="C4:C5"/>
    <mergeCell ref="D4:D5"/>
    <mergeCell ref="E4:E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 SALE PUR TYPE'!$H$3:$H$13</xm:f>
          </x14:formula1>
          <xm:sqref>M6:M10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6"/>
  <sheetViews>
    <sheetView topLeftCell="A43" workbookViewId="0">
      <selection activeCell="B62" sqref="B62"/>
    </sheetView>
  </sheetViews>
  <sheetFormatPr defaultColWidth="9.109375" defaultRowHeight="10.199999999999999" x14ac:dyDescent="0.2"/>
  <cols>
    <col min="1" max="1" width="17.6640625" style="11" customWidth="1"/>
    <col min="2" max="2" width="13.6640625" style="11" customWidth="1"/>
    <col min="3" max="3" width="13.88671875" style="11" bestFit="1" customWidth="1"/>
    <col min="4" max="5" width="12.33203125" style="11" customWidth="1"/>
    <col min="6" max="6" width="12.77734375" style="11" customWidth="1"/>
    <col min="7" max="9" width="13.88671875" style="11" bestFit="1" customWidth="1"/>
    <col min="10" max="11" width="6.5546875" style="11" customWidth="1"/>
    <col min="12" max="12" width="6.77734375" style="11" bestFit="1" customWidth="1"/>
    <col min="13" max="13" width="7" style="11" bestFit="1" customWidth="1"/>
    <col min="14" max="14" width="7.109375" style="11" bestFit="1" customWidth="1"/>
    <col min="15" max="15" width="15.5546875" style="11" bestFit="1" customWidth="1"/>
    <col min="16" max="16384" width="9.109375" style="11"/>
  </cols>
  <sheetData>
    <row r="1" spans="1:15" ht="15" customHeight="1" x14ac:dyDescent="0.2">
      <c r="A1" s="55" t="s">
        <v>274</v>
      </c>
      <c r="B1" s="56"/>
      <c r="C1" s="1039" t="s">
        <v>275</v>
      </c>
      <c r="D1" s="1039"/>
      <c r="E1" s="1039"/>
      <c r="F1" s="1039"/>
      <c r="G1" s="57"/>
      <c r="H1" s="56" t="s">
        <v>276</v>
      </c>
      <c r="I1" s="1039" t="s">
        <v>277</v>
      </c>
      <c r="J1" s="1039"/>
      <c r="K1" s="1039"/>
      <c r="L1" s="1039"/>
      <c r="M1" s="57"/>
      <c r="N1" s="58"/>
    </row>
    <row r="2" spans="1:15" x14ac:dyDescent="0.2">
      <c r="A2" s="59"/>
      <c r="B2" s="60"/>
      <c r="C2" s="61"/>
      <c r="D2" s="61"/>
      <c r="E2" s="61"/>
      <c r="F2" s="61"/>
      <c r="G2" s="61"/>
      <c r="H2" s="61"/>
      <c r="I2" s="61"/>
      <c r="J2" s="61"/>
      <c r="K2" s="61"/>
      <c r="L2" s="61"/>
      <c r="M2" s="61"/>
      <c r="N2" s="62"/>
    </row>
    <row r="3" spans="1:15" x14ac:dyDescent="0.2">
      <c r="A3" s="1342" t="s">
        <v>439</v>
      </c>
      <c r="B3" s="1343"/>
      <c r="C3" s="1343"/>
      <c r="D3" s="1343"/>
      <c r="E3" s="1343"/>
      <c r="F3" s="1343"/>
      <c r="G3" s="1343"/>
      <c r="H3" s="1343"/>
      <c r="I3" s="1343"/>
      <c r="J3" s="1343"/>
      <c r="K3" s="1343"/>
      <c r="L3" s="1343"/>
      <c r="M3" s="1343"/>
      <c r="N3" s="1343"/>
      <c r="O3" s="1344"/>
    </row>
    <row r="4" spans="1:15" x14ac:dyDescent="0.2">
      <c r="A4" s="66" t="s">
        <v>279</v>
      </c>
      <c r="B4" s="66" t="s">
        <v>333</v>
      </c>
      <c r="C4" s="98">
        <v>43556</v>
      </c>
      <c r="D4" s="98">
        <v>43586</v>
      </c>
      <c r="E4" s="98">
        <v>43617</v>
      </c>
      <c r="F4" s="98">
        <v>43647</v>
      </c>
      <c r="G4" s="98">
        <v>43678</v>
      </c>
      <c r="H4" s="98">
        <v>43709</v>
      </c>
      <c r="I4" s="98">
        <v>43739</v>
      </c>
      <c r="J4" s="98">
        <v>43770</v>
      </c>
      <c r="K4" s="98">
        <v>43800</v>
      </c>
      <c r="L4" s="98">
        <v>43831</v>
      </c>
      <c r="M4" s="98">
        <v>43862</v>
      </c>
      <c r="N4" s="98">
        <v>43891</v>
      </c>
      <c r="O4" s="66" t="s">
        <v>347</v>
      </c>
    </row>
    <row r="5" spans="1:15" ht="15" customHeight="1" x14ac:dyDescent="0.2">
      <c r="A5" s="67" t="s">
        <v>280</v>
      </c>
      <c r="B5" s="34" t="s">
        <v>407</v>
      </c>
      <c r="C5" s="68">
        <v>0</v>
      </c>
      <c r="D5" s="69">
        <v>0</v>
      </c>
      <c r="E5" s="68"/>
      <c r="F5" s="68"/>
      <c r="G5" s="68"/>
      <c r="H5" s="68"/>
      <c r="I5" s="68"/>
      <c r="J5" s="68"/>
      <c r="K5" s="68"/>
      <c r="L5" s="68"/>
      <c r="M5" s="68"/>
      <c r="N5" s="68"/>
      <c r="O5" s="71">
        <f>SUM(C5:N5)</f>
        <v>0</v>
      </c>
    </row>
    <row r="6" spans="1:15" ht="15" customHeight="1" x14ac:dyDescent="0.2">
      <c r="A6" s="67" t="s">
        <v>281</v>
      </c>
      <c r="B6" s="34" t="s">
        <v>407</v>
      </c>
      <c r="C6" s="68">
        <f>+C7+C8+C9</f>
        <v>0</v>
      </c>
      <c r="D6" s="68">
        <f t="shared" ref="D6:N6" si="0">+D7+D8+D9</f>
        <v>669564.21400000004</v>
      </c>
      <c r="E6" s="68">
        <f t="shared" si="0"/>
        <v>0</v>
      </c>
      <c r="F6" s="68">
        <f t="shared" si="0"/>
        <v>297529.92</v>
      </c>
      <c r="G6" s="68">
        <f t="shared" si="0"/>
        <v>570047</v>
      </c>
      <c r="H6" s="68">
        <f t="shared" si="0"/>
        <v>0</v>
      </c>
      <c r="I6" s="68">
        <f t="shared" si="0"/>
        <v>925504.67999999993</v>
      </c>
      <c r="J6" s="68">
        <f t="shared" si="0"/>
        <v>0</v>
      </c>
      <c r="K6" s="68">
        <f t="shared" si="0"/>
        <v>831646.70799999998</v>
      </c>
      <c r="L6" s="68">
        <f t="shared" si="0"/>
        <v>0</v>
      </c>
      <c r="M6" s="68">
        <f t="shared" si="0"/>
        <v>0</v>
      </c>
      <c r="N6" s="68">
        <f t="shared" si="0"/>
        <v>0</v>
      </c>
      <c r="O6" s="71">
        <f t="shared" ref="O6:O69" si="1">SUM(C6:N6)</f>
        <v>3294292.5220000003</v>
      </c>
    </row>
    <row r="7" spans="1:15" ht="15" customHeight="1" x14ac:dyDescent="0.2">
      <c r="A7" s="67" t="s">
        <v>282</v>
      </c>
      <c r="B7" s="34" t="s">
        <v>407</v>
      </c>
      <c r="C7" s="68">
        <f>SUMIFS(PURCHASE!$K$6:$K$10008,PURCHASE!$A$6:$A$10008,$C$4:$N$4,PURCHASE!$Q$6:$Q$10008,$B$5:$B$1043)</f>
        <v>0</v>
      </c>
      <c r="D7" s="68">
        <f>SUMIFS(PURCHASE!$K$6:$K$10008,PURCHASE!$A$6:$A$10008,$C$4:$N$4,PURCHASE!$Q$6:$Q$10008,$B$5:$B$1043)</f>
        <v>567427.30000000005</v>
      </c>
      <c r="E7" s="68">
        <f>SUMIFS(PURCHASE!$K$6:$K$10008,PURCHASE!$A$6:$A$10008,$C$4:$N$4,PURCHASE!$Q$6:$Q$10008,$B$5:$B$1043)</f>
        <v>0</v>
      </c>
      <c r="F7" s="68">
        <f>SUMIFS(PURCHASE!$K$6:$K$10008,PURCHASE!$A$6:$A$10008,$C$4:$N$4,PURCHASE!$Q$6:$Q$10008,$B$5:$B$1043)</f>
        <v>252144</v>
      </c>
      <c r="G7" s="68">
        <f>SUMIFS(PURCHASE!$K$6:$K$10008,PURCHASE!$A$6:$A$10008,$C$4:$N$4,PURCHASE!$Q$6:$Q$10008,$B$5:$B$1043)</f>
        <v>570047</v>
      </c>
      <c r="H7" s="68">
        <f>SUMIFS(PURCHASE!$K$6:$K$10008,PURCHASE!$A$6:$A$10008,$C$4:$N$4,PURCHASE!$Q$6:$Q$10008,$B$5:$B$1043)</f>
        <v>0</v>
      </c>
      <c r="I7" s="68">
        <f>SUMIFS(PURCHASE!$K$6:$K$10008,PURCHASE!$A$6:$A$10008,$C$4:$N$4,PURCHASE!$Q$6:$Q$10008,$B$5:$B$1043)</f>
        <v>784326</v>
      </c>
      <c r="J7" s="68">
        <f>SUMIFS(PURCHASE!$K$6:$K$10008,PURCHASE!$A$6:$A$10008,$C$4:$N$4,PURCHASE!$Q$6:$Q$10008,$B$5:$B$1043)</f>
        <v>0</v>
      </c>
      <c r="K7" s="68">
        <f>SUMIFS(PURCHASE!$K$6:$K$10008,PURCHASE!$A$6:$A$10008,$C$4:$N$4,PURCHASE!$Q$6:$Q$10008,$B$5:$B$1043)</f>
        <v>800200.6</v>
      </c>
      <c r="L7" s="68">
        <f>SUMIFS(PURCHASE!$K$6:$K$10008,PURCHASE!$A$6:$A$10008,$C$4:$N$4,PURCHASE!$Q$6:$Q$10008,$B$5:$B$1043)</f>
        <v>0</v>
      </c>
      <c r="M7" s="68">
        <f>SUMIFS(PURCHASE!$K$6:$K$10008,PURCHASE!$A$6:$A$10008,$C$4:$N$4,PURCHASE!$Q$6:$Q$10008,$B$5:$B$1043)</f>
        <v>0</v>
      </c>
      <c r="N7" s="68">
        <f>SUMIFS(PURCHASE!$K$6:$K$10008,PURCHASE!$A$6:$A$10008,$C$4:$N$4,PURCHASE!$Q$6:$Q$10008,$B$5:$B$1043)</f>
        <v>0</v>
      </c>
      <c r="O7" s="71">
        <f t="shared" si="1"/>
        <v>2974144.9</v>
      </c>
    </row>
    <row r="8" spans="1:15" ht="15" customHeight="1" x14ac:dyDescent="0.2">
      <c r="A8" s="67" t="s">
        <v>283</v>
      </c>
      <c r="B8" s="34" t="s">
        <v>407</v>
      </c>
      <c r="C8" s="68">
        <f>SUMIFS(PURCHASE!$L$6:$L$10008,PURCHASE!$A$6:$A$10008,$C$4:$N$4,PURCHASE!$Q$6:$Q$10008,$B$5:$B$1043)</f>
        <v>0</v>
      </c>
      <c r="D8" s="68">
        <f>SUMIFS(PURCHASE!$L$6:$L$10008,PURCHASE!$A$6:$A$10008,$C$4:$N$4,PURCHASE!$Q$6:$Q$10008,$B$5:$B$1043)</f>
        <v>102136.914</v>
      </c>
      <c r="E8" s="68">
        <f>SUMIFS(PURCHASE!$L$6:$L$10008,PURCHASE!$A$6:$A$10008,$C$4:$N$4,PURCHASE!$Q$6:$Q$10008,$B$5:$B$1043)</f>
        <v>0</v>
      </c>
      <c r="F8" s="68">
        <f>SUMIFS(PURCHASE!$L$6:$L$10008,PURCHASE!$A$6:$A$10008,$C$4:$N$4,PURCHASE!$Q$6:$Q$10008,$B$5:$B$1043)</f>
        <v>45385.919999999998</v>
      </c>
      <c r="G8" s="68">
        <f>SUMIFS(PURCHASE!$L$6:$L$10008,PURCHASE!$A$6:$A$10008,$C$4:$N$4,PURCHASE!$Q$6:$Q$10008,$B$5:$B$1043)</f>
        <v>0</v>
      </c>
      <c r="H8" s="68">
        <f>SUMIFS(PURCHASE!$L$6:$L$10008,PURCHASE!$A$6:$A$10008,$C$4:$N$4,PURCHASE!$Q$6:$Q$10008,$B$5:$B$1043)</f>
        <v>0</v>
      </c>
      <c r="I8" s="68">
        <f>SUMIFS(PURCHASE!$L$6:$L$10008,PURCHASE!$A$6:$A$10008,$C$4:$N$4,PURCHASE!$Q$6:$Q$10008,$B$5:$B$1043)</f>
        <v>141178.68</v>
      </c>
      <c r="J8" s="68">
        <f>SUMIFS(PURCHASE!$L$6:$L$10008,PURCHASE!$A$6:$A$10008,$C$4:$N$4,PURCHASE!$Q$6:$Q$10008,$B$5:$B$1043)</f>
        <v>0</v>
      </c>
      <c r="K8" s="68">
        <f>SUMIFS(PURCHASE!$L$6:$L$10008,PURCHASE!$A$6:$A$10008,$C$4:$N$4,PURCHASE!$Q$6:$Q$10008,$B$5:$B$1043)</f>
        <v>31446.108</v>
      </c>
      <c r="L8" s="68">
        <f>SUMIFS(PURCHASE!$L$6:$L$10008,PURCHASE!$A$6:$A$10008,$C$4:$N$4,PURCHASE!$Q$6:$Q$10008,$B$5:$B$1043)</f>
        <v>0</v>
      </c>
      <c r="M8" s="68">
        <f>SUMIFS(PURCHASE!$L$6:$L$10008,PURCHASE!$A$6:$A$10008,$C$4:$N$4,PURCHASE!$Q$6:$Q$10008,$B$5:$B$1043)</f>
        <v>0</v>
      </c>
      <c r="N8" s="68">
        <f>SUMIFS(PURCHASE!$L$6:$L$10008,PURCHASE!$A$6:$A$10008,$C$4:$N$4,PURCHASE!$Q$6:$Q$10008,$B$5:$B$1043)</f>
        <v>0</v>
      </c>
      <c r="O8" s="71">
        <f t="shared" si="1"/>
        <v>320147.62199999997</v>
      </c>
    </row>
    <row r="9" spans="1:15" ht="15" customHeight="1" x14ac:dyDescent="0.2">
      <c r="A9" s="67" t="s">
        <v>286</v>
      </c>
      <c r="B9" s="34" t="s">
        <v>407</v>
      </c>
      <c r="C9" s="68">
        <f>SUMIFS(PURCHASE!$O$6:$O$10008,PURCHASE!$A$6:$A$10008,$C$4:$N$4,PURCHASE!$Q$6:$Q$10008,$B$5:$B$1043)</f>
        <v>0</v>
      </c>
      <c r="D9" s="68">
        <f>SUMIFS(PURCHASE!$O$6:$O$10008,PURCHASE!$A$6:$A$10008,$C$4:$N$4,PURCHASE!$Q$6:$Q$10008,$B$5:$B$1043)</f>
        <v>0</v>
      </c>
      <c r="E9" s="68">
        <f>SUMIFS(PURCHASE!$O$6:$O$10008,PURCHASE!$A$6:$A$10008,$C$4:$N$4,PURCHASE!$Q$6:$Q$10008,$B$5:$B$1043)</f>
        <v>0</v>
      </c>
      <c r="F9" s="68">
        <f>SUMIFS(PURCHASE!$O$6:$O$10008,PURCHASE!$A$6:$A$10008,$C$4:$N$4,PURCHASE!$Q$6:$Q$10008,$B$5:$B$1043)</f>
        <v>0</v>
      </c>
      <c r="G9" s="68">
        <f>SUMIFS(PURCHASE!$O$6:$O$10008,PURCHASE!$A$6:$A$10008,$C$4:$N$4,PURCHASE!$Q$6:$Q$10008,$B$5:$B$1043)</f>
        <v>0</v>
      </c>
      <c r="H9" s="68">
        <f>SUMIFS(PURCHASE!$O$6:$O$10008,PURCHASE!$A$6:$A$10008,$C$4:$N$4,PURCHASE!$Q$6:$Q$10008,$B$5:$B$1043)</f>
        <v>0</v>
      </c>
      <c r="I9" s="68">
        <f>SUMIFS(PURCHASE!$O$6:$O$10008,PURCHASE!$A$6:$A$10008,$C$4:$N$4,PURCHASE!$Q$6:$Q$10008,$B$5:$B$1043)</f>
        <v>0</v>
      </c>
      <c r="J9" s="68">
        <f>SUMIFS(PURCHASE!$O$6:$O$10008,PURCHASE!$A$6:$A$10008,$C$4:$N$4,PURCHASE!$Q$6:$Q$10008,$B$5:$B$1043)</f>
        <v>0</v>
      </c>
      <c r="K9" s="68">
        <f>SUMIFS(PURCHASE!$O$6:$O$10008,PURCHASE!$A$6:$A$10008,$C$4:$N$4,PURCHASE!$Q$6:$Q$10008,$B$5:$B$1043)</f>
        <v>0</v>
      </c>
      <c r="L9" s="68">
        <f>SUMIFS(PURCHASE!$O$6:$O$10008,PURCHASE!$A$6:$A$10008,$C$4:$N$4,PURCHASE!$Q$6:$Q$10008,$B$5:$B$1043)</f>
        <v>0</v>
      </c>
      <c r="M9" s="68">
        <f>SUMIFS(PURCHASE!$O$6:$O$10008,PURCHASE!$A$6:$A$10008,$C$4:$N$4,PURCHASE!$Q$6:$Q$10008,$B$5:$B$1043)</f>
        <v>0</v>
      </c>
      <c r="N9" s="68">
        <f>SUMIFS(PURCHASE!$O$6:$O$10008,PURCHASE!$A$6:$A$10008,$C$4:$N$4,PURCHASE!$Q$6:$Q$10008,$B$5:$B$1043)</f>
        <v>0</v>
      </c>
      <c r="O9" s="71">
        <f t="shared" si="1"/>
        <v>0</v>
      </c>
    </row>
    <row r="10" spans="1:15" x14ac:dyDescent="0.2">
      <c r="A10" s="1342" t="s">
        <v>3721</v>
      </c>
      <c r="B10" s="1343"/>
      <c r="C10" s="1343"/>
      <c r="D10" s="1343"/>
      <c r="E10" s="1343"/>
      <c r="F10" s="1343"/>
      <c r="G10" s="1343"/>
      <c r="H10" s="1343"/>
      <c r="I10" s="1343"/>
      <c r="J10" s="1343"/>
      <c r="K10" s="1343"/>
      <c r="L10" s="1343"/>
      <c r="M10" s="1343"/>
      <c r="N10" s="1343"/>
      <c r="O10" s="1344"/>
    </row>
    <row r="11" spans="1:15" x14ac:dyDescent="0.2">
      <c r="A11" s="66" t="s">
        <v>279</v>
      </c>
      <c r="B11" s="66" t="s">
        <v>333</v>
      </c>
      <c r="C11" s="98">
        <v>43556</v>
      </c>
      <c r="D11" s="98">
        <v>43586</v>
      </c>
      <c r="E11" s="98">
        <v>43617</v>
      </c>
      <c r="F11" s="98">
        <v>43647</v>
      </c>
      <c r="G11" s="98">
        <v>43678</v>
      </c>
      <c r="H11" s="98">
        <v>43709</v>
      </c>
      <c r="I11" s="98">
        <v>43739</v>
      </c>
      <c r="J11" s="98">
        <v>43770</v>
      </c>
      <c r="K11" s="98">
        <v>43800</v>
      </c>
      <c r="L11" s="98">
        <v>43831</v>
      </c>
      <c r="M11" s="98">
        <v>43862</v>
      </c>
      <c r="N11" s="98">
        <v>43891</v>
      </c>
      <c r="O11" s="66" t="s">
        <v>347</v>
      </c>
    </row>
    <row r="12" spans="1:15" ht="15" customHeight="1" x14ac:dyDescent="0.2">
      <c r="A12" s="67" t="s">
        <v>280</v>
      </c>
      <c r="B12" s="34" t="s">
        <v>2429</v>
      </c>
      <c r="C12" s="68">
        <v>0</v>
      </c>
      <c r="D12" s="69">
        <v>0</v>
      </c>
      <c r="E12" s="68"/>
      <c r="F12" s="68"/>
      <c r="G12" s="68"/>
      <c r="H12" s="68"/>
      <c r="I12" s="68"/>
      <c r="J12" s="68"/>
      <c r="K12" s="68"/>
      <c r="L12" s="68"/>
      <c r="M12" s="68"/>
      <c r="N12" s="68"/>
      <c r="O12" s="71">
        <f t="shared" si="1"/>
        <v>0</v>
      </c>
    </row>
    <row r="13" spans="1:15" ht="15" customHeight="1" x14ac:dyDescent="0.2">
      <c r="A13" s="67" t="s">
        <v>281</v>
      </c>
      <c r="B13" s="34" t="s">
        <v>2429</v>
      </c>
      <c r="C13" s="68">
        <f>+C14+C15+C16</f>
        <v>0</v>
      </c>
      <c r="D13" s="68">
        <f t="shared" ref="D13:N13" si="2">+D14+D15+D16</f>
        <v>0</v>
      </c>
      <c r="E13" s="68">
        <f t="shared" si="2"/>
        <v>0</v>
      </c>
      <c r="F13" s="68">
        <f t="shared" si="2"/>
        <v>0</v>
      </c>
      <c r="G13" s="68">
        <f t="shared" si="2"/>
        <v>0</v>
      </c>
      <c r="H13" s="68">
        <f t="shared" si="2"/>
        <v>0</v>
      </c>
      <c r="I13" s="68">
        <f t="shared" si="2"/>
        <v>0</v>
      </c>
      <c r="J13" s="68">
        <f t="shared" si="2"/>
        <v>0</v>
      </c>
      <c r="K13" s="68">
        <f t="shared" si="2"/>
        <v>0</v>
      </c>
      <c r="L13" s="68">
        <f t="shared" si="2"/>
        <v>0</v>
      </c>
      <c r="M13" s="68">
        <f t="shared" si="2"/>
        <v>0</v>
      </c>
      <c r="N13" s="68">
        <f t="shared" si="2"/>
        <v>0</v>
      </c>
      <c r="O13" s="71">
        <f t="shared" si="1"/>
        <v>0</v>
      </c>
    </row>
    <row r="14" spans="1:15" ht="15" customHeight="1" x14ac:dyDescent="0.2">
      <c r="A14" s="67" t="s">
        <v>282</v>
      </c>
      <c r="B14" s="34" t="s">
        <v>2429</v>
      </c>
      <c r="C14" s="68">
        <f>SUMIFS(PURCHASE!$K$6:$K$10008,PURCHASE!$A$6:$A$10008,$C$4:$N$4,PURCHASE!$Q$6:$Q$10008,$B$5:$B$1043)</f>
        <v>0</v>
      </c>
      <c r="D14" s="68">
        <f>SUMIFS(PURCHASE!$K$6:$K$10008,PURCHASE!$A$6:$A$10008,$C$4:$N$4,PURCHASE!$Q$6:$Q$10008,$B$5:$B$1043)</f>
        <v>0</v>
      </c>
      <c r="E14" s="68">
        <f>SUMIFS(PURCHASE!$K$6:$K$10008,PURCHASE!$A$6:$A$10008,$C$4:$N$4,PURCHASE!$Q$6:$Q$10008,$B$5:$B$1043)</f>
        <v>0</v>
      </c>
      <c r="F14" s="68">
        <f>SUMIFS(PURCHASE!$K$6:$K$10008,PURCHASE!$A$6:$A$10008,$C$4:$N$4,PURCHASE!$Q$6:$Q$10008,$B$5:$B$1043)</f>
        <v>0</v>
      </c>
      <c r="G14" s="68">
        <f>SUMIFS(PURCHASE!$K$6:$K$10008,PURCHASE!$A$6:$A$10008,$C$4:$N$4,PURCHASE!$Q$6:$Q$10008,$B$5:$B$1043)</f>
        <v>0</v>
      </c>
      <c r="H14" s="68">
        <f>SUMIFS(PURCHASE!$K$6:$K$10008,PURCHASE!$A$6:$A$10008,$C$4:$N$4,PURCHASE!$Q$6:$Q$10008,$B$5:$B$1043)</f>
        <v>0</v>
      </c>
      <c r="I14" s="68">
        <f>SUMIFS(PURCHASE!$K$6:$K$10008,PURCHASE!$A$6:$A$10008,$C$4:$N$4,PURCHASE!$Q$6:$Q$10008,$B$5:$B$1043)</f>
        <v>0</v>
      </c>
      <c r="J14" s="68">
        <f>SUMIFS(PURCHASE!$K$6:$K$10008,PURCHASE!$A$6:$A$10008,$C$4:$N$4,PURCHASE!$Q$6:$Q$10008,$B$5:$B$1043)</f>
        <v>0</v>
      </c>
      <c r="K14" s="68">
        <f>SUMIFS(PURCHASE!$K$6:$K$10008,PURCHASE!$A$6:$A$10008,$C$4:$N$4,PURCHASE!$Q$6:$Q$10008,$B$5:$B$1043)</f>
        <v>0</v>
      </c>
      <c r="L14" s="68">
        <f>SUMIFS(PURCHASE!$K$6:$K$10008,PURCHASE!$A$6:$A$10008,$C$4:$N$4,PURCHASE!$Q$6:$Q$10008,$B$5:$B$1043)</f>
        <v>0</v>
      </c>
      <c r="M14" s="68">
        <f>SUMIFS(PURCHASE!$K$6:$K$10008,PURCHASE!$A$6:$A$10008,$C$4:$N$4,PURCHASE!$Q$6:$Q$10008,$B$5:$B$1043)</f>
        <v>0</v>
      </c>
      <c r="N14" s="68">
        <f>SUMIFS(PURCHASE!$K$6:$K$10008,PURCHASE!$A$6:$A$10008,$C$4:$N$4,PURCHASE!$Q$6:$Q$10008,$B$5:$B$1043)</f>
        <v>0</v>
      </c>
      <c r="O14" s="71">
        <f t="shared" si="1"/>
        <v>0</v>
      </c>
    </row>
    <row r="15" spans="1:15" ht="15" customHeight="1" x14ac:dyDescent="0.2">
      <c r="A15" s="67" t="s">
        <v>283</v>
      </c>
      <c r="B15" s="34" t="s">
        <v>2429</v>
      </c>
      <c r="C15" s="68">
        <f>SUMIFS(PURCHASE!$L$6:$L$10008,PURCHASE!$A$6:$A$10008,$C$4:$N$4,PURCHASE!$Q$6:$Q$10008,$B$5:$B$1043)</f>
        <v>0</v>
      </c>
      <c r="D15" s="68">
        <f>SUMIFS(PURCHASE!$L$6:$L$10008,PURCHASE!$A$6:$A$10008,$C$4:$N$4,PURCHASE!$Q$6:$Q$10008,$B$5:$B$1043)</f>
        <v>0</v>
      </c>
      <c r="E15" s="68">
        <f>SUMIFS(PURCHASE!$L$6:$L$10008,PURCHASE!$A$6:$A$10008,$C$4:$N$4,PURCHASE!$Q$6:$Q$10008,$B$5:$B$1043)</f>
        <v>0</v>
      </c>
      <c r="F15" s="68">
        <f>SUMIFS(PURCHASE!$L$6:$L$10008,PURCHASE!$A$6:$A$10008,$C$4:$N$4,PURCHASE!$Q$6:$Q$10008,$B$5:$B$1043)</f>
        <v>0</v>
      </c>
      <c r="G15" s="68">
        <f>SUMIFS(PURCHASE!$L$6:$L$10008,PURCHASE!$A$6:$A$10008,$C$4:$N$4,PURCHASE!$Q$6:$Q$10008,$B$5:$B$1043)</f>
        <v>0</v>
      </c>
      <c r="H15" s="68">
        <f>SUMIFS(PURCHASE!$L$6:$L$10008,PURCHASE!$A$6:$A$10008,$C$4:$N$4,PURCHASE!$Q$6:$Q$10008,$B$5:$B$1043)</f>
        <v>0</v>
      </c>
      <c r="I15" s="68">
        <f>SUMIFS(PURCHASE!$L$6:$L$10008,PURCHASE!$A$6:$A$10008,$C$4:$N$4,PURCHASE!$Q$6:$Q$10008,$B$5:$B$1043)</f>
        <v>0</v>
      </c>
      <c r="J15" s="68">
        <f>SUMIFS(PURCHASE!$L$6:$L$10008,PURCHASE!$A$6:$A$10008,$C$4:$N$4,PURCHASE!$Q$6:$Q$10008,$B$5:$B$1043)</f>
        <v>0</v>
      </c>
      <c r="K15" s="68">
        <f>SUMIFS(PURCHASE!$L$6:$L$10008,PURCHASE!$A$6:$A$10008,$C$4:$N$4,PURCHASE!$Q$6:$Q$10008,$B$5:$B$1043)</f>
        <v>0</v>
      </c>
      <c r="L15" s="68">
        <f>SUMIFS(PURCHASE!$L$6:$L$10008,PURCHASE!$A$6:$A$10008,$C$4:$N$4,PURCHASE!$Q$6:$Q$10008,$B$5:$B$1043)</f>
        <v>0</v>
      </c>
      <c r="M15" s="68">
        <f>SUMIFS(PURCHASE!$L$6:$L$10008,PURCHASE!$A$6:$A$10008,$C$4:$N$4,PURCHASE!$Q$6:$Q$10008,$B$5:$B$1043)</f>
        <v>0</v>
      </c>
      <c r="N15" s="68">
        <f>SUMIFS(PURCHASE!$L$6:$L$10008,PURCHASE!$A$6:$A$10008,$C$4:$N$4,PURCHASE!$Q$6:$Q$10008,$B$5:$B$1043)</f>
        <v>0</v>
      </c>
      <c r="O15" s="71">
        <f t="shared" si="1"/>
        <v>0</v>
      </c>
    </row>
    <row r="16" spans="1:15" ht="15" customHeight="1" x14ac:dyDescent="0.2">
      <c r="A16" s="67" t="s">
        <v>286</v>
      </c>
      <c r="B16" s="34" t="s">
        <v>2429</v>
      </c>
      <c r="C16" s="68">
        <f>SUMIFS(PURCHASE!$O$6:$O$10008,PURCHASE!$A$6:$A$10008,$C$4:$N$4,PURCHASE!$Q$6:$Q$10008,$B$5:$B$1043)</f>
        <v>0</v>
      </c>
      <c r="D16" s="68">
        <f>SUMIFS(PURCHASE!$O$6:$O$10008,PURCHASE!$A$6:$A$10008,$C$4:$N$4,PURCHASE!$Q$6:$Q$10008,$B$5:$B$1043)</f>
        <v>0</v>
      </c>
      <c r="E16" s="68">
        <f>SUMIFS(PURCHASE!$O$6:$O$10008,PURCHASE!$A$6:$A$10008,$C$4:$N$4,PURCHASE!$Q$6:$Q$10008,$B$5:$B$1043)</f>
        <v>0</v>
      </c>
      <c r="F16" s="68">
        <f>SUMIFS(PURCHASE!$O$6:$O$10008,PURCHASE!$A$6:$A$10008,$C$4:$N$4,PURCHASE!$Q$6:$Q$10008,$B$5:$B$1043)</f>
        <v>0</v>
      </c>
      <c r="G16" s="68">
        <f>SUMIFS(PURCHASE!$O$6:$O$10008,PURCHASE!$A$6:$A$10008,$C$4:$N$4,PURCHASE!$Q$6:$Q$10008,$B$5:$B$1043)</f>
        <v>0</v>
      </c>
      <c r="H16" s="68">
        <f>SUMIFS(PURCHASE!$O$6:$O$10008,PURCHASE!$A$6:$A$10008,$C$4:$N$4,PURCHASE!$Q$6:$Q$10008,$B$5:$B$1043)</f>
        <v>0</v>
      </c>
      <c r="I16" s="68">
        <f>SUMIFS(PURCHASE!$O$6:$O$10008,PURCHASE!$A$6:$A$10008,$C$4:$N$4,PURCHASE!$Q$6:$Q$10008,$B$5:$B$1043)</f>
        <v>0</v>
      </c>
      <c r="J16" s="68">
        <f>SUMIFS(PURCHASE!$O$6:$O$10008,PURCHASE!$A$6:$A$10008,$C$4:$N$4,PURCHASE!$Q$6:$Q$10008,$B$5:$B$1043)</f>
        <v>0</v>
      </c>
      <c r="K16" s="68">
        <f>SUMIFS(PURCHASE!$O$6:$O$10008,PURCHASE!$A$6:$A$10008,$C$4:$N$4,PURCHASE!$Q$6:$Q$10008,$B$5:$B$1043)</f>
        <v>0</v>
      </c>
      <c r="L16" s="68">
        <f>SUMIFS(PURCHASE!$O$6:$O$10008,PURCHASE!$A$6:$A$10008,$C$4:$N$4,PURCHASE!$Q$6:$Q$10008,$B$5:$B$1043)</f>
        <v>0</v>
      </c>
      <c r="M16" s="68">
        <f>SUMIFS(PURCHASE!$O$6:$O$10008,PURCHASE!$A$6:$A$10008,$C$4:$N$4,PURCHASE!$Q$6:$Q$10008,$B$5:$B$1043)</f>
        <v>0</v>
      </c>
      <c r="N16" s="68">
        <f>SUMIFS(PURCHASE!$O$6:$O$10008,PURCHASE!$A$6:$A$10008,$C$4:$N$4,PURCHASE!$Q$6:$Q$10008,$B$5:$B$1043)</f>
        <v>0</v>
      </c>
      <c r="O16" s="71">
        <f t="shared" si="1"/>
        <v>0</v>
      </c>
    </row>
    <row r="17" spans="1:15" ht="11.4" customHeight="1" x14ac:dyDescent="0.2">
      <c r="A17" s="1342" t="s">
        <v>440</v>
      </c>
      <c r="B17" s="1343"/>
      <c r="C17" s="1343"/>
      <c r="D17" s="1343"/>
      <c r="E17" s="1343"/>
      <c r="F17" s="1343"/>
      <c r="G17" s="1343"/>
      <c r="H17" s="1343"/>
      <c r="I17" s="1343"/>
      <c r="J17" s="1343"/>
      <c r="K17" s="1343"/>
      <c r="L17" s="1343"/>
      <c r="M17" s="1343"/>
      <c r="N17" s="1343"/>
      <c r="O17" s="1344"/>
    </row>
    <row r="18" spans="1:15" x14ac:dyDescent="0.2">
      <c r="A18" s="66" t="s">
        <v>279</v>
      </c>
      <c r="B18" s="66"/>
      <c r="C18" s="98">
        <v>43556</v>
      </c>
      <c r="D18" s="98">
        <v>43586</v>
      </c>
      <c r="E18" s="98">
        <v>43617</v>
      </c>
      <c r="F18" s="98">
        <v>43647</v>
      </c>
      <c r="G18" s="98">
        <v>43678</v>
      </c>
      <c r="H18" s="98">
        <v>43709</v>
      </c>
      <c r="I18" s="98">
        <v>43739</v>
      </c>
      <c r="J18" s="98">
        <v>43770</v>
      </c>
      <c r="K18" s="98">
        <v>43800</v>
      </c>
      <c r="L18" s="98">
        <v>43831</v>
      </c>
      <c r="M18" s="98">
        <v>43862</v>
      </c>
      <c r="N18" s="98">
        <v>43891</v>
      </c>
      <c r="O18" s="66" t="s">
        <v>347</v>
      </c>
    </row>
    <row r="19" spans="1:15" ht="15" customHeight="1" x14ac:dyDescent="0.2">
      <c r="A19" s="34" t="s">
        <v>280</v>
      </c>
      <c r="B19" s="34" t="s">
        <v>406</v>
      </c>
      <c r="C19" s="68">
        <v>0</v>
      </c>
      <c r="D19" s="68"/>
      <c r="E19" s="68"/>
      <c r="F19" s="68"/>
      <c r="G19" s="68"/>
      <c r="H19" s="68"/>
      <c r="I19" s="68"/>
      <c r="J19" s="68"/>
      <c r="K19" s="68"/>
      <c r="L19" s="68"/>
      <c r="M19" s="68"/>
      <c r="N19" s="68"/>
      <c r="O19" s="71">
        <f t="shared" si="1"/>
        <v>0</v>
      </c>
    </row>
    <row r="20" spans="1:15" ht="15" customHeight="1" x14ac:dyDescent="0.2">
      <c r="A20" s="34" t="s">
        <v>281</v>
      </c>
      <c r="B20" s="34" t="s">
        <v>406</v>
      </c>
      <c r="C20" s="68">
        <f>+C21+C22+C23</f>
        <v>0</v>
      </c>
      <c r="D20" s="68">
        <f t="shared" ref="D20:N20" si="3">+D21+D22+D23</f>
        <v>0</v>
      </c>
      <c r="E20" s="68">
        <f t="shared" si="3"/>
        <v>0</v>
      </c>
      <c r="F20" s="68">
        <f t="shared" si="3"/>
        <v>0</v>
      </c>
      <c r="G20" s="68">
        <f t="shared" si="3"/>
        <v>0</v>
      </c>
      <c r="H20" s="68">
        <f t="shared" si="3"/>
        <v>0</v>
      </c>
      <c r="I20" s="68">
        <f t="shared" si="3"/>
        <v>0</v>
      </c>
      <c r="J20" s="68">
        <f t="shared" si="3"/>
        <v>0</v>
      </c>
      <c r="K20" s="68">
        <f t="shared" si="3"/>
        <v>0</v>
      </c>
      <c r="L20" s="68">
        <f t="shared" si="3"/>
        <v>0</v>
      </c>
      <c r="M20" s="68">
        <f t="shared" si="3"/>
        <v>0</v>
      </c>
      <c r="N20" s="68">
        <f t="shared" si="3"/>
        <v>0</v>
      </c>
      <c r="O20" s="71">
        <f t="shared" si="1"/>
        <v>0</v>
      </c>
    </row>
    <row r="21" spans="1:15" ht="15" customHeight="1" x14ac:dyDescent="0.2">
      <c r="A21" s="34" t="s">
        <v>282</v>
      </c>
      <c r="B21" s="34" t="s">
        <v>406</v>
      </c>
      <c r="C21" s="68">
        <f>SUMIFS(PURCHASE!$K$6:$K$10008,PURCHASE!$A$6:$A$10008,$C$4:$N$4,PURCHASE!$Q$6:$Q$10008,$B$5:$B$1043)</f>
        <v>0</v>
      </c>
      <c r="D21" s="68">
        <f>SUMIFS(PURCHASE!$K$6:$K$10008,PURCHASE!$A$6:$A$10008,$C$4:$N$4,PURCHASE!$Q$6:$Q$10008,$B$5:$B$1043)</f>
        <v>0</v>
      </c>
      <c r="E21" s="68">
        <f>SUMIFS(PURCHASE!$K$6:$K$10008,PURCHASE!$A$6:$A$10008,$C$4:$N$4,PURCHASE!$Q$6:$Q$10008,$B$5:$B$1043)</f>
        <v>0</v>
      </c>
      <c r="F21" s="68">
        <f>SUMIFS(PURCHASE!$K$6:$K$10008,PURCHASE!$A$6:$A$10008,$C$4:$N$4,PURCHASE!$Q$6:$Q$10008,$B$5:$B$1043)</f>
        <v>0</v>
      </c>
      <c r="G21" s="68">
        <f>SUMIFS(PURCHASE!$K$6:$K$10008,PURCHASE!$A$6:$A$10008,$C$4:$N$4,PURCHASE!$Q$6:$Q$10008,$B$5:$B$1043)</f>
        <v>0</v>
      </c>
      <c r="H21" s="68">
        <f>SUMIFS(PURCHASE!$K$6:$K$10008,PURCHASE!$A$6:$A$10008,$C$4:$N$4,PURCHASE!$Q$6:$Q$10008,$B$5:$B$1043)</f>
        <v>0</v>
      </c>
      <c r="I21" s="68">
        <f>SUMIFS(PURCHASE!$K$6:$K$10008,PURCHASE!$A$6:$A$10008,$C$4:$N$4,PURCHASE!$Q$6:$Q$10008,$B$5:$B$1043)</f>
        <v>0</v>
      </c>
      <c r="J21" s="68">
        <f>SUMIFS(PURCHASE!$K$6:$K$10008,PURCHASE!$A$6:$A$10008,$C$4:$N$4,PURCHASE!$Q$6:$Q$10008,$B$5:$B$1043)</f>
        <v>0</v>
      </c>
      <c r="K21" s="68">
        <f>SUMIFS(PURCHASE!$K$6:$K$10008,PURCHASE!$A$6:$A$10008,$C$4:$N$4,PURCHASE!$Q$6:$Q$10008,$B$5:$B$1043)</f>
        <v>0</v>
      </c>
      <c r="L21" s="68">
        <f>SUMIFS(PURCHASE!$K$6:$K$10008,PURCHASE!$A$6:$A$10008,$C$4:$N$4,PURCHASE!$Q$6:$Q$10008,$B$5:$B$1043)</f>
        <v>0</v>
      </c>
      <c r="M21" s="68">
        <f>SUMIFS(PURCHASE!$K$6:$K$10008,PURCHASE!$A$6:$A$10008,$C$4:$N$4,PURCHASE!$Q$6:$Q$10008,$B$5:$B$1043)</f>
        <v>0</v>
      </c>
      <c r="N21" s="68">
        <f>SUMIFS(PURCHASE!$K$6:$K$10008,PURCHASE!$A$6:$A$10008,$C$4:$N$4,PURCHASE!$Q$6:$Q$10008,$B$5:$B$1043)</f>
        <v>0</v>
      </c>
      <c r="O21" s="71">
        <f t="shared" si="1"/>
        <v>0</v>
      </c>
    </row>
    <row r="22" spans="1:15" ht="15" customHeight="1" x14ac:dyDescent="0.2">
      <c r="A22" s="34" t="s">
        <v>283</v>
      </c>
      <c r="B22" s="34" t="s">
        <v>406</v>
      </c>
      <c r="C22" s="68">
        <f>SUMIFS(PURCHASE!$L$6:$L$10008,PURCHASE!$A$6:$A$10008,$C$4:$N$4,PURCHASE!$Q$6:$Q$10008,$B$5:$B$1043)</f>
        <v>0</v>
      </c>
      <c r="D22" s="68">
        <f>SUMIFS(PURCHASE!$L$6:$L$10008,PURCHASE!$A$6:$A$10008,$C$4:$N$4,PURCHASE!$Q$6:$Q$10008,$B$5:$B$1043)</f>
        <v>0</v>
      </c>
      <c r="E22" s="68">
        <f>SUMIFS(PURCHASE!$L$6:$L$10008,PURCHASE!$A$6:$A$10008,$C$4:$N$4,PURCHASE!$Q$6:$Q$10008,$B$5:$B$1043)</f>
        <v>0</v>
      </c>
      <c r="F22" s="68">
        <f>SUMIFS(PURCHASE!$L$6:$L$10008,PURCHASE!$A$6:$A$10008,$C$4:$N$4,PURCHASE!$Q$6:$Q$10008,$B$5:$B$1043)</f>
        <v>0</v>
      </c>
      <c r="G22" s="68">
        <f>SUMIFS(PURCHASE!$L$6:$L$10008,PURCHASE!$A$6:$A$10008,$C$4:$N$4,PURCHASE!$Q$6:$Q$10008,$B$5:$B$1043)</f>
        <v>0</v>
      </c>
      <c r="H22" s="68">
        <f>SUMIFS(PURCHASE!$L$6:$L$10008,PURCHASE!$A$6:$A$10008,$C$4:$N$4,PURCHASE!$Q$6:$Q$10008,$B$5:$B$1043)</f>
        <v>0</v>
      </c>
      <c r="I22" s="68">
        <f>SUMIFS(PURCHASE!$L$6:$L$10008,PURCHASE!$A$6:$A$10008,$C$4:$N$4,PURCHASE!$Q$6:$Q$10008,$B$5:$B$1043)</f>
        <v>0</v>
      </c>
      <c r="J22" s="68">
        <f>SUMIFS(PURCHASE!$L$6:$L$10008,PURCHASE!$A$6:$A$10008,$C$4:$N$4,PURCHASE!$Q$6:$Q$10008,$B$5:$B$1043)</f>
        <v>0</v>
      </c>
      <c r="K22" s="68">
        <f>SUMIFS(PURCHASE!$L$6:$L$10008,PURCHASE!$A$6:$A$10008,$C$4:$N$4,PURCHASE!$Q$6:$Q$10008,$B$5:$B$1043)</f>
        <v>0</v>
      </c>
      <c r="L22" s="68">
        <f>SUMIFS(PURCHASE!$L$6:$L$10008,PURCHASE!$A$6:$A$10008,$C$4:$N$4,PURCHASE!$Q$6:$Q$10008,$B$5:$B$1043)</f>
        <v>0</v>
      </c>
      <c r="M22" s="68">
        <f>SUMIFS(PURCHASE!$L$6:$L$10008,PURCHASE!$A$6:$A$10008,$C$4:$N$4,PURCHASE!$Q$6:$Q$10008,$B$5:$B$1043)</f>
        <v>0</v>
      </c>
      <c r="N22" s="68">
        <f>SUMIFS(PURCHASE!$L$6:$L$10008,PURCHASE!$A$6:$A$10008,$C$4:$N$4,PURCHASE!$Q$6:$Q$10008,$B$5:$B$1043)</f>
        <v>0</v>
      </c>
      <c r="O22" s="71">
        <f t="shared" si="1"/>
        <v>0</v>
      </c>
    </row>
    <row r="23" spans="1:15" ht="15" customHeight="1" x14ac:dyDescent="0.2">
      <c r="A23" s="34" t="s">
        <v>286</v>
      </c>
      <c r="B23" s="34" t="s">
        <v>406</v>
      </c>
      <c r="C23" s="68">
        <f>SUMIFS(PURCHASE!$O$6:$O$10008,PURCHASE!$A$6:$A$10008,$C$4:$N$4,PURCHASE!$Q$6:$Q$10008,$B$5:$B$1043)</f>
        <v>0</v>
      </c>
      <c r="D23" s="68">
        <f>SUMIFS(PURCHASE!$O$6:$O$10008,PURCHASE!$A$6:$A$10008,$C$4:$N$4,PURCHASE!$Q$6:$Q$10008,$B$5:$B$1043)</f>
        <v>0</v>
      </c>
      <c r="E23" s="68">
        <f>SUMIFS(PURCHASE!$O$6:$O$10008,PURCHASE!$A$6:$A$10008,$C$4:$N$4,PURCHASE!$Q$6:$Q$10008,$B$5:$B$1043)</f>
        <v>0</v>
      </c>
      <c r="F23" s="68">
        <f>SUMIFS(PURCHASE!$O$6:$O$10008,PURCHASE!$A$6:$A$10008,$C$4:$N$4,PURCHASE!$Q$6:$Q$10008,$B$5:$B$1043)</f>
        <v>0</v>
      </c>
      <c r="G23" s="68">
        <f>SUMIFS(PURCHASE!$O$6:$O$10008,PURCHASE!$A$6:$A$10008,$C$4:$N$4,PURCHASE!$Q$6:$Q$10008,$B$5:$B$1043)</f>
        <v>0</v>
      </c>
      <c r="H23" s="68">
        <f>SUMIFS(PURCHASE!$O$6:$O$10008,PURCHASE!$A$6:$A$10008,$C$4:$N$4,PURCHASE!$Q$6:$Q$10008,$B$5:$B$1043)</f>
        <v>0</v>
      </c>
      <c r="I23" s="68">
        <f>SUMIFS(PURCHASE!$O$6:$O$10008,PURCHASE!$A$6:$A$10008,$C$4:$N$4,PURCHASE!$Q$6:$Q$10008,$B$5:$B$1043)</f>
        <v>0</v>
      </c>
      <c r="J23" s="68">
        <f>SUMIFS(PURCHASE!$O$6:$O$10008,PURCHASE!$A$6:$A$10008,$C$4:$N$4,PURCHASE!$Q$6:$Q$10008,$B$5:$B$1043)</f>
        <v>0</v>
      </c>
      <c r="K23" s="68">
        <f>SUMIFS(PURCHASE!$O$6:$O$10008,PURCHASE!$A$6:$A$10008,$C$4:$N$4,PURCHASE!$Q$6:$Q$10008,$B$5:$B$1043)</f>
        <v>0</v>
      </c>
      <c r="L23" s="68">
        <f>SUMIFS(PURCHASE!$O$6:$O$10008,PURCHASE!$A$6:$A$10008,$C$4:$N$4,PURCHASE!$Q$6:$Q$10008,$B$5:$B$1043)</f>
        <v>0</v>
      </c>
      <c r="M23" s="68">
        <f>SUMIFS(PURCHASE!$O$6:$O$10008,PURCHASE!$A$6:$A$10008,$C$4:$N$4,PURCHASE!$Q$6:$Q$10008,$B$5:$B$1043)</f>
        <v>0</v>
      </c>
      <c r="N23" s="68">
        <f>SUMIFS(PURCHASE!$O$6:$O$10008,PURCHASE!$A$6:$A$10008,$C$4:$N$4,PURCHASE!$Q$6:$Q$10008,$B$5:$B$1043)</f>
        <v>0</v>
      </c>
      <c r="O23" s="71">
        <f t="shared" si="1"/>
        <v>0</v>
      </c>
    </row>
    <row r="24" spans="1:15" ht="15.75" customHeight="1" x14ac:dyDescent="0.2">
      <c r="A24" s="1333" t="s">
        <v>3722</v>
      </c>
      <c r="B24" s="1334"/>
      <c r="C24" s="1334"/>
      <c r="D24" s="1334"/>
      <c r="E24" s="1334"/>
      <c r="F24" s="1334"/>
      <c r="G24" s="1334"/>
      <c r="H24" s="1334"/>
      <c r="I24" s="1334"/>
      <c r="J24" s="1334"/>
      <c r="K24" s="1334"/>
      <c r="L24" s="1334"/>
      <c r="M24" s="1334"/>
      <c r="N24" s="1334"/>
      <c r="O24" s="1335"/>
    </row>
    <row r="25" spans="1:15" x14ac:dyDescent="0.2">
      <c r="A25" s="66" t="s">
        <v>279</v>
      </c>
      <c r="B25" s="66"/>
      <c r="C25" s="98">
        <v>43556</v>
      </c>
      <c r="D25" s="98">
        <v>43586</v>
      </c>
      <c r="E25" s="98">
        <v>43617</v>
      </c>
      <c r="F25" s="98">
        <v>43647</v>
      </c>
      <c r="G25" s="98">
        <v>43678</v>
      </c>
      <c r="H25" s="98">
        <v>43709</v>
      </c>
      <c r="I25" s="98">
        <v>43739</v>
      </c>
      <c r="J25" s="98">
        <v>43770</v>
      </c>
      <c r="K25" s="98">
        <v>43800</v>
      </c>
      <c r="L25" s="98">
        <v>43831</v>
      </c>
      <c r="M25" s="98">
        <v>43862</v>
      </c>
      <c r="N25" s="98">
        <v>43891</v>
      </c>
      <c r="O25" s="66" t="s">
        <v>347</v>
      </c>
    </row>
    <row r="26" spans="1:15" ht="15" customHeight="1" x14ac:dyDescent="0.2">
      <c r="A26" s="34" t="s">
        <v>280</v>
      </c>
      <c r="B26" s="34"/>
      <c r="C26" s="68"/>
      <c r="D26" s="34"/>
      <c r="E26" s="34"/>
      <c r="F26" s="34"/>
      <c r="G26" s="34"/>
      <c r="H26" s="34"/>
      <c r="I26" s="34"/>
      <c r="J26" s="34"/>
      <c r="K26" s="34"/>
      <c r="L26" s="34"/>
      <c r="M26" s="34"/>
      <c r="N26" s="34"/>
      <c r="O26" s="71">
        <f t="shared" si="1"/>
        <v>0</v>
      </c>
    </row>
    <row r="27" spans="1:15" x14ac:dyDescent="0.2">
      <c r="A27" s="77" t="s">
        <v>281</v>
      </c>
      <c r="B27" s="34" t="s">
        <v>347</v>
      </c>
      <c r="C27" s="68">
        <f>+C6+C13+C20</f>
        <v>0</v>
      </c>
      <c r="D27" s="68">
        <f t="shared" ref="D27:N27" si="4">+D6+D13+D20</f>
        <v>669564.21400000004</v>
      </c>
      <c r="E27" s="68">
        <f t="shared" si="4"/>
        <v>0</v>
      </c>
      <c r="F27" s="68">
        <f t="shared" si="4"/>
        <v>297529.92</v>
      </c>
      <c r="G27" s="68">
        <f t="shared" si="4"/>
        <v>570047</v>
      </c>
      <c r="H27" s="68">
        <f t="shared" si="4"/>
        <v>0</v>
      </c>
      <c r="I27" s="68">
        <f t="shared" si="4"/>
        <v>925504.67999999993</v>
      </c>
      <c r="J27" s="68">
        <f t="shared" si="4"/>
        <v>0</v>
      </c>
      <c r="K27" s="68">
        <f t="shared" si="4"/>
        <v>831646.70799999998</v>
      </c>
      <c r="L27" s="68">
        <f t="shared" si="4"/>
        <v>0</v>
      </c>
      <c r="M27" s="68">
        <f t="shared" si="4"/>
        <v>0</v>
      </c>
      <c r="N27" s="68">
        <f t="shared" si="4"/>
        <v>0</v>
      </c>
      <c r="O27" s="71">
        <f t="shared" si="1"/>
        <v>3294292.5220000003</v>
      </c>
    </row>
    <row r="28" spans="1:15" x14ac:dyDescent="0.2">
      <c r="A28" s="77" t="s">
        <v>282</v>
      </c>
      <c r="B28" s="34" t="s">
        <v>347</v>
      </c>
      <c r="C28" s="68">
        <f t="shared" ref="C28:N30" si="5">+C7+C14+C21</f>
        <v>0</v>
      </c>
      <c r="D28" s="68">
        <f t="shared" si="5"/>
        <v>567427.30000000005</v>
      </c>
      <c r="E28" s="68">
        <f t="shared" si="5"/>
        <v>0</v>
      </c>
      <c r="F28" s="68">
        <f t="shared" si="5"/>
        <v>252144</v>
      </c>
      <c r="G28" s="68">
        <f t="shared" si="5"/>
        <v>570047</v>
      </c>
      <c r="H28" s="68">
        <f t="shared" si="5"/>
        <v>0</v>
      </c>
      <c r="I28" s="68">
        <f t="shared" si="5"/>
        <v>784326</v>
      </c>
      <c r="J28" s="68">
        <f t="shared" si="5"/>
        <v>0</v>
      </c>
      <c r="K28" s="68">
        <f t="shared" si="5"/>
        <v>800200.6</v>
      </c>
      <c r="L28" s="68">
        <f t="shared" si="5"/>
        <v>0</v>
      </c>
      <c r="M28" s="68">
        <f t="shared" si="5"/>
        <v>0</v>
      </c>
      <c r="N28" s="68">
        <f t="shared" si="5"/>
        <v>0</v>
      </c>
      <c r="O28" s="71">
        <f t="shared" si="1"/>
        <v>2974144.9</v>
      </c>
    </row>
    <row r="29" spans="1:15" x14ac:dyDescent="0.2">
      <c r="A29" s="77" t="s">
        <v>283</v>
      </c>
      <c r="B29" s="34" t="s">
        <v>347</v>
      </c>
      <c r="C29" s="68">
        <f t="shared" si="5"/>
        <v>0</v>
      </c>
      <c r="D29" s="68">
        <f t="shared" si="5"/>
        <v>102136.914</v>
      </c>
      <c r="E29" s="68">
        <f t="shared" si="5"/>
        <v>0</v>
      </c>
      <c r="F29" s="68">
        <f t="shared" si="5"/>
        <v>45385.919999999998</v>
      </c>
      <c r="G29" s="68">
        <f t="shared" si="5"/>
        <v>0</v>
      </c>
      <c r="H29" s="68">
        <f t="shared" si="5"/>
        <v>0</v>
      </c>
      <c r="I29" s="68">
        <f t="shared" si="5"/>
        <v>141178.68</v>
      </c>
      <c r="J29" s="68">
        <f t="shared" si="5"/>
        <v>0</v>
      </c>
      <c r="K29" s="68">
        <f t="shared" si="5"/>
        <v>31446.108</v>
      </c>
      <c r="L29" s="68">
        <f t="shared" si="5"/>
        <v>0</v>
      </c>
      <c r="M29" s="68">
        <f t="shared" si="5"/>
        <v>0</v>
      </c>
      <c r="N29" s="68">
        <f t="shared" si="5"/>
        <v>0</v>
      </c>
      <c r="O29" s="71">
        <f t="shared" si="1"/>
        <v>320147.62199999997</v>
      </c>
    </row>
    <row r="30" spans="1:15" x14ac:dyDescent="0.2">
      <c r="A30" s="233" t="s">
        <v>286</v>
      </c>
      <c r="B30" s="34" t="s">
        <v>347</v>
      </c>
      <c r="C30" s="68">
        <f t="shared" si="5"/>
        <v>0</v>
      </c>
      <c r="D30" s="68">
        <f t="shared" si="5"/>
        <v>0</v>
      </c>
      <c r="E30" s="68">
        <f t="shared" si="5"/>
        <v>0</v>
      </c>
      <c r="F30" s="68">
        <f t="shared" si="5"/>
        <v>0</v>
      </c>
      <c r="G30" s="68">
        <f t="shared" si="5"/>
        <v>0</v>
      </c>
      <c r="H30" s="68">
        <f t="shared" si="5"/>
        <v>0</v>
      </c>
      <c r="I30" s="68">
        <f t="shared" si="5"/>
        <v>0</v>
      </c>
      <c r="J30" s="68">
        <f t="shared" si="5"/>
        <v>0</v>
      </c>
      <c r="K30" s="68">
        <f t="shared" si="5"/>
        <v>0</v>
      </c>
      <c r="L30" s="68">
        <f t="shared" si="5"/>
        <v>0</v>
      </c>
      <c r="M30" s="68">
        <f t="shared" si="5"/>
        <v>0</v>
      </c>
      <c r="N30" s="68">
        <f t="shared" si="5"/>
        <v>0</v>
      </c>
      <c r="O30" s="71">
        <f t="shared" si="1"/>
        <v>0</v>
      </c>
    </row>
    <row r="31" spans="1:15" ht="15.75" customHeight="1" x14ac:dyDescent="0.2">
      <c r="A31" s="1336" t="s">
        <v>441</v>
      </c>
      <c r="B31" s="1337"/>
      <c r="C31" s="1337"/>
      <c r="D31" s="1337"/>
      <c r="E31" s="1337"/>
      <c r="F31" s="1337"/>
      <c r="G31" s="1337"/>
      <c r="H31" s="1337"/>
      <c r="I31" s="1337"/>
      <c r="J31" s="1337"/>
      <c r="K31" s="1337"/>
      <c r="L31" s="1337"/>
      <c r="M31" s="1337"/>
      <c r="N31" s="1337"/>
      <c r="O31" s="1338"/>
    </row>
    <row r="32" spans="1:15" x14ac:dyDescent="0.2">
      <c r="A32" s="66" t="s">
        <v>279</v>
      </c>
      <c r="B32" s="66"/>
      <c r="C32" s="98">
        <v>43556</v>
      </c>
      <c r="D32" s="98">
        <v>43586</v>
      </c>
      <c r="E32" s="98">
        <v>43617</v>
      </c>
      <c r="F32" s="98">
        <v>43647</v>
      </c>
      <c r="G32" s="98">
        <v>43678</v>
      </c>
      <c r="H32" s="98">
        <v>43709</v>
      </c>
      <c r="I32" s="98">
        <v>43739</v>
      </c>
      <c r="J32" s="98">
        <v>43770</v>
      </c>
      <c r="K32" s="98">
        <v>43800</v>
      </c>
      <c r="L32" s="98">
        <v>43831</v>
      </c>
      <c r="M32" s="98">
        <v>43862</v>
      </c>
      <c r="N32" s="98">
        <v>43891</v>
      </c>
      <c r="O32" s="66" t="s">
        <v>347</v>
      </c>
    </row>
    <row r="33" spans="1:15" ht="15" customHeight="1" x14ac:dyDescent="0.2">
      <c r="A33" s="34" t="s">
        <v>280</v>
      </c>
      <c r="B33" s="34"/>
      <c r="C33" s="68">
        <v>0</v>
      </c>
      <c r="D33" s="68">
        <v>0</v>
      </c>
      <c r="E33" s="68">
        <v>0</v>
      </c>
      <c r="F33" s="68">
        <v>0</v>
      </c>
      <c r="G33" s="68">
        <v>0</v>
      </c>
      <c r="H33" s="68">
        <v>0</v>
      </c>
      <c r="I33" s="68">
        <v>0</v>
      </c>
      <c r="J33" s="68">
        <v>0</v>
      </c>
      <c r="K33" s="68">
        <v>0</v>
      </c>
      <c r="L33" s="68">
        <v>0</v>
      </c>
      <c r="M33" s="68">
        <v>0</v>
      </c>
      <c r="N33" s="68">
        <v>0</v>
      </c>
      <c r="O33" s="71">
        <f t="shared" si="1"/>
        <v>0</v>
      </c>
    </row>
    <row r="34" spans="1:15" x14ac:dyDescent="0.2">
      <c r="A34" s="34" t="s">
        <v>281</v>
      </c>
      <c r="B34" s="34" t="s">
        <v>458</v>
      </c>
      <c r="C34" s="68">
        <f>+C35+C36+C37+C38+C39</f>
        <v>19425</v>
      </c>
      <c r="D34" s="68">
        <f t="shared" ref="D34:N34" si="6">+D35+D36+D37+D38+D39</f>
        <v>47838</v>
      </c>
      <c r="E34" s="68">
        <f t="shared" si="6"/>
        <v>25830</v>
      </c>
      <c r="F34" s="68">
        <f t="shared" si="6"/>
        <v>32812.5</v>
      </c>
      <c r="G34" s="68">
        <f t="shared" si="6"/>
        <v>37695</v>
      </c>
      <c r="H34" s="68">
        <f t="shared" si="6"/>
        <v>38797.5</v>
      </c>
      <c r="I34" s="68">
        <f t="shared" si="6"/>
        <v>30555</v>
      </c>
      <c r="J34" s="68">
        <f t="shared" si="6"/>
        <v>28770</v>
      </c>
      <c r="K34" s="68">
        <f t="shared" si="6"/>
        <v>52249.05</v>
      </c>
      <c r="L34" s="68">
        <f t="shared" si="6"/>
        <v>0</v>
      </c>
      <c r="M34" s="68">
        <f t="shared" si="6"/>
        <v>0</v>
      </c>
      <c r="N34" s="68">
        <f t="shared" si="6"/>
        <v>0</v>
      </c>
      <c r="O34" s="71">
        <f t="shared" si="1"/>
        <v>313972.05</v>
      </c>
    </row>
    <row r="35" spans="1:15" x14ac:dyDescent="0.2">
      <c r="A35" s="34" t="s">
        <v>282</v>
      </c>
      <c r="B35" s="34" t="s">
        <v>458</v>
      </c>
      <c r="C35" s="68">
        <f>SUMIFS('PURCHASE-RMC'!$K$6:$K$10000,'PURCHASE-RMC'!$A$6:$A$10000,$C$4:$N$4,'PURCHASE-RMC'!$Q$6:$Q$10000,$B$5:$B$1043)</f>
        <v>18500</v>
      </c>
      <c r="D35" s="68">
        <f>SUMIFS('PURCHASE-RMC'!$K$6:$K$10000,'PURCHASE-RMC'!$A$6:$A$10000,$C$4:$N$4,'PURCHASE-RMC'!$Q$6:$Q$10000,$B$5:$B$1043)</f>
        <v>45560</v>
      </c>
      <c r="E35" s="68">
        <f>SUMIFS('PURCHASE-RMC'!$K$6:$K$10000,'PURCHASE-RMC'!$A$6:$A$10000,$C$4:$N$4,'PURCHASE-RMC'!$Q$6:$Q$10000,$B$5:$B$1043)</f>
        <v>24600</v>
      </c>
      <c r="F35" s="68">
        <f>SUMIFS('PURCHASE-RMC'!$K$6:$K$10000,'PURCHASE-RMC'!$A$6:$A$10000,$C$4:$N$4,'PURCHASE-RMC'!$Q$6:$Q$10000,$B$5:$B$1043)</f>
        <v>31250</v>
      </c>
      <c r="G35" s="68">
        <f>SUMIFS('PURCHASE-RMC'!$K$6:$K$10000,'PURCHASE-RMC'!$A$6:$A$10000,$C$4:$N$4,'PURCHASE-RMC'!$Q$6:$Q$10000,$B$5:$B$1043)</f>
        <v>35900</v>
      </c>
      <c r="H35" s="68">
        <f>SUMIFS('PURCHASE-RMC'!$K$6:$K$10000,'PURCHASE-RMC'!$A$6:$A$10000,$C$4:$N$4,'PURCHASE-RMC'!$Q$6:$Q$10000,$B$5:$B$1043)</f>
        <v>36950</v>
      </c>
      <c r="I35" s="68">
        <f>SUMIFS('PURCHASE-RMC'!$K$6:$K$10000,'PURCHASE-RMC'!$A$6:$A$10000,$C$4:$N$4,'PURCHASE-RMC'!$Q$6:$Q$10000,$B$5:$B$1043)</f>
        <v>29100</v>
      </c>
      <c r="J35" s="68">
        <f>SUMIFS('PURCHASE-RMC'!$K$6:$K$10000,'PURCHASE-RMC'!$A$6:$A$10000,$C$4:$N$4,'PURCHASE-RMC'!$Q$6:$Q$10000,$B$5:$B$1043)</f>
        <v>27400</v>
      </c>
      <c r="K35" s="68">
        <f>SUMIFS('PURCHASE-RMC'!$K$6:$K$10000,'PURCHASE-RMC'!$A$6:$A$10000,$C$4:$N$4,'PURCHASE-RMC'!$Q$6:$Q$10000,$B$5:$B$1043)</f>
        <v>49761</v>
      </c>
      <c r="L35" s="68">
        <f>SUMIFS('PURCHASE-RMC'!$K$6:$K$10000,'PURCHASE-RMC'!$A$6:$A$10000,$C$4:$N$4,'PURCHASE-RMC'!$Q$6:$Q$10000,$B$5:$B$1043)</f>
        <v>0</v>
      </c>
      <c r="M35" s="68">
        <f>SUMIFS('PURCHASE-RMC'!$K$6:$K$10000,'PURCHASE-RMC'!$A$6:$A$10000,$C$4:$N$4,'PURCHASE-RMC'!$Q$6:$Q$10000,$B$5:$B$1043)</f>
        <v>0</v>
      </c>
      <c r="N35" s="68">
        <f>SUMIFS('PURCHASE-RMC'!$K$6:$K$10000,'PURCHASE-RMC'!$A$6:$A$10000,$C$4:$N$4,'PURCHASE-RMC'!$Q$6:$Q$10000,$B$5:$B$1043)</f>
        <v>0</v>
      </c>
      <c r="O35" s="71">
        <f t="shared" si="1"/>
        <v>299021</v>
      </c>
    </row>
    <row r="36" spans="1:15" x14ac:dyDescent="0.2">
      <c r="A36" s="34" t="s">
        <v>283</v>
      </c>
      <c r="B36" s="34" t="s">
        <v>458</v>
      </c>
      <c r="C36" s="68">
        <f>SUMIFS('PURCHASE-RMC'!$L$6:$L$10000,'PURCHASE-RMC'!$A$6:$A$10000,$C$4:$N$4,'PURCHASE-RMC'!$Q$6:$Q$10000,$B$5:$B$1043)</f>
        <v>0</v>
      </c>
      <c r="D36" s="68">
        <f>SUMIFS('PURCHASE-RMC'!$L$6:$L$10000,'PURCHASE-RMC'!$A$6:$A$10000,$C$4:$N$4,'PURCHASE-RMC'!$Q$6:$Q$10000,$B$5:$B$1043)</f>
        <v>0</v>
      </c>
      <c r="E36" s="68">
        <f>SUMIFS('PURCHASE-RMC'!$L$6:$L$10000,'PURCHASE-RMC'!$A$6:$A$10000,$C$4:$N$4,'PURCHASE-RMC'!$Q$6:$Q$10000,$B$5:$B$1043)</f>
        <v>0</v>
      </c>
      <c r="F36" s="68">
        <f>SUMIFS('PURCHASE-RMC'!$L$6:$L$10000,'PURCHASE-RMC'!$A$6:$A$10000,$C$4:$N$4,'PURCHASE-RMC'!$Q$6:$Q$10000,$B$5:$B$1043)</f>
        <v>0</v>
      </c>
      <c r="G36" s="68">
        <f>SUMIFS('PURCHASE-RMC'!$L$6:$L$10000,'PURCHASE-RMC'!$A$6:$A$10000,$C$4:$N$4,'PURCHASE-RMC'!$Q$6:$Q$10000,$B$5:$B$1043)</f>
        <v>0</v>
      </c>
      <c r="H36" s="68">
        <f>SUMIFS('PURCHASE-RMC'!$L$6:$L$10000,'PURCHASE-RMC'!$A$6:$A$10000,$C$4:$N$4,'PURCHASE-RMC'!$Q$6:$Q$10000,$B$5:$B$1043)</f>
        <v>0</v>
      </c>
      <c r="I36" s="68">
        <f>SUMIFS('PURCHASE-RMC'!$L$6:$L$10000,'PURCHASE-RMC'!$A$6:$A$10000,$C$4:$N$4,'PURCHASE-RMC'!$Q$6:$Q$10000,$B$5:$B$1043)</f>
        <v>0</v>
      </c>
      <c r="J36" s="68">
        <f>SUMIFS('PURCHASE-RMC'!$L$6:$L$10000,'PURCHASE-RMC'!$A$6:$A$10000,$C$4:$N$4,'PURCHASE-RMC'!$Q$6:$Q$10000,$B$5:$B$1043)</f>
        <v>0</v>
      </c>
      <c r="K36" s="68">
        <f>SUMIFS('PURCHASE-RMC'!$L$6:$L$10000,'PURCHASE-RMC'!$A$6:$A$10000,$C$4:$N$4,'PURCHASE-RMC'!$Q$6:$Q$10000,$B$5:$B$1043)</f>
        <v>0</v>
      </c>
      <c r="L36" s="68">
        <f>SUMIFS('PURCHASE-RMC'!$L$6:$L$10000,'PURCHASE-RMC'!$A$6:$A$10000,$C$4:$N$4,'PURCHASE-RMC'!$Q$6:$Q$10000,$B$5:$B$1043)</f>
        <v>0</v>
      </c>
      <c r="M36" s="68">
        <f>SUMIFS('PURCHASE-RMC'!$L$6:$L$10000,'PURCHASE-RMC'!$A$6:$A$10000,$C$4:$N$4,'PURCHASE-RMC'!$Q$6:$Q$10000,$B$5:$B$1043)</f>
        <v>0</v>
      </c>
      <c r="N36" s="68">
        <f>SUMIFS('PURCHASE-RMC'!$L$6:$L$10000,'PURCHASE-RMC'!$A$6:$A$10000,$C$4:$N$4,'PURCHASE-RMC'!$Q$6:$Q$10000,$B$5:$B$1043)</f>
        <v>0</v>
      </c>
      <c r="O36" s="71">
        <f t="shared" si="1"/>
        <v>0</v>
      </c>
    </row>
    <row r="37" spans="1:15" x14ac:dyDescent="0.2">
      <c r="A37" s="34" t="s">
        <v>284</v>
      </c>
      <c r="B37" s="34" t="s">
        <v>458</v>
      </c>
      <c r="C37" s="68">
        <f>SUMIFS('PURCHASE-RMC'!$M$6:$M$10000,'PURCHASE-RMC'!$A$6:$A$10000,$C$4:$N$4,'PURCHASE-RMC'!$Q$6:$Q$10000,$B$5:$B$1043)</f>
        <v>462.5</v>
      </c>
      <c r="D37" s="68">
        <f>SUMIFS('PURCHASE-RMC'!$M$6:$M$10000,'PURCHASE-RMC'!$A$6:$A$10000,$C$4:$N$4,'PURCHASE-RMC'!$Q$6:$Q$10000,$B$5:$B$1043)</f>
        <v>1139</v>
      </c>
      <c r="E37" s="68">
        <f>SUMIFS('PURCHASE-RMC'!$M$6:$M$10000,'PURCHASE-RMC'!$A$6:$A$10000,$C$4:$N$4,'PURCHASE-RMC'!$Q$6:$Q$10000,$B$5:$B$1043)</f>
        <v>615</v>
      </c>
      <c r="F37" s="68">
        <f>SUMIFS('PURCHASE-RMC'!$M$6:$M$10000,'PURCHASE-RMC'!$A$6:$A$10000,$C$4:$N$4,'PURCHASE-RMC'!$Q$6:$Q$10000,$B$5:$B$1043)</f>
        <v>781.25</v>
      </c>
      <c r="G37" s="68">
        <f>SUMIFS('PURCHASE-RMC'!$M$6:$M$10000,'PURCHASE-RMC'!$A$6:$A$10000,$C$4:$N$4,'PURCHASE-RMC'!$Q$6:$Q$10000,$B$5:$B$1043)</f>
        <v>897.5</v>
      </c>
      <c r="H37" s="68">
        <f>SUMIFS('PURCHASE-RMC'!$M$6:$M$10000,'PURCHASE-RMC'!$A$6:$A$10000,$C$4:$N$4,'PURCHASE-RMC'!$Q$6:$Q$10000,$B$5:$B$1043)</f>
        <v>923.75</v>
      </c>
      <c r="I37" s="68">
        <f>SUMIFS('PURCHASE-RMC'!$M$6:$M$10000,'PURCHASE-RMC'!$A$6:$A$10000,$C$4:$N$4,'PURCHASE-RMC'!$Q$6:$Q$10000,$B$5:$B$1043)</f>
        <v>727.5</v>
      </c>
      <c r="J37" s="68">
        <f>SUMIFS('PURCHASE-RMC'!$M$6:$M$10000,'PURCHASE-RMC'!$A$6:$A$10000,$C$4:$N$4,'PURCHASE-RMC'!$Q$6:$Q$10000,$B$5:$B$1043)</f>
        <v>685</v>
      </c>
      <c r="K37" s="68">
        <f>SUMIFS('PURCHASE-RMC'!$M$6:$M$10000,'PURCHASE-RMC'!$A$6:$A$10000,$C$4:$N$4,'PURCHASE-RMC'!$Q$6:$Q$10000,$B$5:$B$1043)</f>
        <v>1244.0250000000001</v>
      </c>
      <c r="L37" s="68">
        <f>SUMIFS('PURCHASE-RMC'!$M$6:$M$10000,'PURCHASE-RMC'!$A$6:$A$10000,$C$4:$N$4,'PURCHASE-RMC'!$Q$6:$Q$10000,$B$5:$B$1043)</f>
        <v>0</v>
      </c>
      <c r="M37" s="68">
        <f>SUMIFS('PURCHASE-RMC'!$M$6:$M$10000,'PURCHASE-RMC'!$A$6:$A$10000,$C$4:$N$4,'PURCHASE-RMC'!$Q$6:$Q$10000,$B$5:$B$1043)</f>
        <v>0</v>
      </c>
      <c r="N37" s="68">
        <f>SUMIFS('PURCHASE-RMC'!$M$6:$M$10000,'PURCHASE-RMC'!$A$6:$A$10000,$C$4:$N$4,'PURCHASE-RMC'!$Q$6:$Q$10000,$B$5:$B$1043)</f>
        <v>0</v>
      </c>
      <c r="O37" s="71">
        <f t="shared" si="1"/>
        <v>7475.5249999999996</v>
      </c>
    </row>
    <row r="38" spans="1:15" x14ac:dyDescent="0.2">
      <c r="A38" s="34" t="s">
        <v>285</v>
      </c>
      <c r="B38" s="34" t="s">
        <v>458</v>
      </c>
      <c r="C38" s="68">
        <f>SUMIFS('PURCHASE-RMC'!$N$6:$N$10000,'PURCHASE-RMC'!$A$6:$A$10000,$C$4:$N$4,'PURCHASE-RMC'!$Q$6:$Q$10000,$B$5:$B$1043)</f>
        <v>462.5</v>
      </c>
      <c r="D38" s="68">
        <f>SUMIFS('PURCHASE-RMC'!$N$6:$N$10000,'PURCHASE-RMC'!$A$6:$A$10000,$C$4:$N$4,'PURCHASE-RMC'!$Q$6:$Q$10000,$B$5:$B$1043)</f>
        <v>1139</v>
      </c>
      <c r="E38" s="68">
        <f>SUMIFS('PURCHASE-RMC'!$N$6:$N$10000,'PURCHASE-RMC'!$A$6:$A$10000,$C$4:$N$4,'PURCHASE-RMC'!$Q$6:$Q$10000,$B$5:$B$1043)</f>
        <v>615</v>
      </c>
      <c r="F38" s="68">
        <f>SUMIFS('PURCHASE-RMC'!$N$6:$N$10000,'PURCHASE-RMC'!$A$6:$A$10000,$C$4:$N$4,'PURCHASE-RMC'!$Q$6:$Q$10000,$B$5:$B$1043)</f>
        <v>781.25</v>
      </c>
      <c r="G38" s="68">
        <f>SUMIFS('PURCHASE-RMC'!$N$6:$N$10000,'PURCHASE-RMC'!$A$6:$A$10000,$C$4:$N$4,'PURCHASE-RMC'!$Q$6:$Q$10000,$B$5:$B$1043)</f>
        <v>897.5</v>
      </c>
      <c r="H38" s="68">
        <f>SUMIFS('PURCHASE-RMC'!$N$6:$N$10000,'PURCHASE-RMC'!$A$6:$A$10000,$C$4:$N$4,'PURCHASE-RMC'!$Q$6:$Q$10000,$B$5:$B$1043)</f>
        <v>923.75</v>
      </c>
      <c r="I38" s="68">
        <f>SUMIFS('PURCHASE-RMC'!$N$6:$N$10000,'PURCHASE-RMC'!$A$6:$A$10000,$C$4:$N$4,'PURCHASE-RMC'!$Q$6:$Q$10000,$B$5:$B$1043)</f>
        <v>727.5</v>
      </c>
      <c r="J38" s="68">
        <f>SUMIFS('PURCHASE-RMC'!$N$6:$N$10000,'PURCHASE-RMC'!$A$6:$A$10000,$C$4:$N$4,'PURCHASE-RMC'!$Q$6:$Q$10000,$B$5:$B$1043)</f>
        <v>685</v>
      </c>
      <c r="K38" s="68">
        <f>SUMIFS('PURCHASE-RMC'!$N$6:$N$10000,'PURCHASE-RMC'!$A$6:$A$10000,$C$4:$N$4,'PURCHASE-RMC'!$Q$6:$Q$10000,$B$5:$B$1043)</f>
        <v>1244.0250000000001</v>
      </c>
      <c r="L38" s="68">
        <f>SUMIFS('PURCHASE-RMC'!$N$6:$N$10000,'PURCHASE-RMC'!$A$6:$A$10000,$C$4:$N$4,'PURCHASE-RMC'!$Q$6:$Q$10000,$B$5:$B$1043)</f>
        <v>0</v>
      </c>
      <c r="M38" s="68">
        <f>SUMIFS('PURCHASE-RMC'!$N$6:$N$10000,'PURCHASE-RMC'!$A$6:$A$10000,$C$4:$N$4,'PURCHASE-RMC'!$Q$6:$Q$10000,$B$5:$B$1043)</f>
        <v>0</v>
      </c>
      <c r="N38" s="68">
        <f>SUMIFS('PURCHASE-RMC'!$N$6:$N$10000,'PURCHASE-RMC'!$A$6:$A$10000,$C$4:$N$4,'PURCHASE-RMC'!$Q$6:$Q$10000,$B$5:$B$1043)</f>
        <v>0</v>
      </c>
      <c r="O38" s="71">
        <f t="shared" si="1"/>
        <v>7475.5249999999996</v>
      </c>
    </row>
    <row r="39" spans="1:15" x14ac:dyDescent="0.2">
      <c r="A39" s="34" t="s">
        <v>286</v>
      </c>
      <c r="B39" s="34" t="s">
        <v>458</v>
      </c>
      <c r="C39" s="68">
        <f>SUMIFS('PURCHASE-RMC'!$O$6:$O$10000,'PURCHASE-RMC'!$A$6:$A$10000,$C$4:$N$4,'PURCHASE-RMC'!$Q$6:$Q$10000,$B$5:$B$1043)</f>
        <v>0</v>
      </c>
      <c r="D39" s="68">
        <f>SUMIFS('PURCHASE-RMC'!$O$6:$O$10000,'PURCHASE-RMC'!$A$6:$A$10000,$C$4:$N$4,'PURCHASE-RMC'!$Q$6:$Q$10000,$B$5:$B$1043)</f>
        <v>0</v>
      </c>
      <c r="E39" s="68">
        <f>SUMIFS('PURCHASE-RMC'!$O$6:$O$10000,'PURCHASE-RMC'!$A$6:$A$10000,$C$4:$N$4,'PURCHASE-RMC'!$Q$6:$Q$10000,$B$5:$B$1043)</f>
        <v>0</v>
      </c>
      <c r="F39" s="68">
        <f>SUMIFS('PURCHASE-RMC'!$O$6:$O$10000,'PURCHASE-RMC'!$A$6:$A$10000,$C$4:$N$4,'PURCHASE-RMC'!$Q$6:$Q$10000,$B$5:$B$1043)</f>
        <v>0</v>
      </c>
      <c r="G39" s="68">
        <f>SUMIFS('PURCHASE-RMC'!$O$6:$O$10000,'PURCHASE-RMC'!$A$6:$A$10000,$C$4:$N$4,'PURCHASE-RMC'!$Q$6:$Q$10000,$B$5:$B$1043)</f>
        <v>0</v>
      </c>
      <c r="H39" s="68">
        <f>SUMIFS('PURCHASE-RMC'!$O$6:$O$10000,'PURCHASE-RMC'!$A$6:$A$10000,$C$4:$N$4,'PURCHASE-RMC'!$Q$6:$Q$10000,$B$5:$B$1043)</f>
        <v>0</v>
      </c>
      <c r="I39" s="68">
        <f>SUMIFS('PURCHASE-RMC'!$O$6:$O$10000,'PURCHASE-RMC'!$A$6:$A$10000,$C$4:$N$4,'PURCHASE-RMC'!$Q$6:$Q$10000,$B$5:$B$1043)</f>
        <v>0</v>
      </c>
      <c r="J39" s="68">
        <f>SUMIFS('PURCHASE-RMC'!$O$6:$O$10000,'PURCHASE-RMC'!$A$6:$A$10000,$C$4:$N$4,'PURCHASE-RMC'!$Q$6:$Q$10000,$B$5:$B$1043)</f>
        <v>0</v>
      </c>
      <c r="K39" s="68">
        <f>SUMIFS('PURCHASE-RMC'!$O$6:$O$10000,'PURCHASE-RMC'!$A$6:$A$10000,$C$4:$N$4,'PURCHASE-RMC'!$Q$6:$Q$10000,$B$5:$B$1043)</f>
        <v>0</v>
      </c>
      <c r="L39" s="68">
        <f>SUMIFS('PURCHASE-RMC'!$O$6:$O$10000,'PURCHASE-RMC'!$A$6:$A$10000,$C$4:$N$4,'PURCHASE-RMC'!$Q$6:$Q$10000,$B$5:$B$1043)</f>
        <v>0</v>
      </c>
      <c r="M39" s="68">
        <f>SUMIFS('PURCHASE-RMC'!$O$6:$O$10000,'PURCHASE-RMC'!$A$6:$A$10000,$C$4:$N$4,'PURCHASE-RMC'!$Q$6:$Q$10000,$B$5:$B$1043)</f>
        <v>0</v>
      </c>
      <c r="N39" s="68">
        <f>SUMIFS('PURCHASE-RMC'!$O$6:$O$10000,'PURCHASE-RMC'!$A$6:$A$10000,$C$4:$N$4,'PURCHASE-RMC'!$Q$6:$Q$10000,$B$5:$B$1043)</f>
        <v>0</v>
      </c>
      <c r="O39" s="71">
        <f t="shared" si="1"/>
        <v>0</v>
      </c>
    </row>
    <row r="40" spans="1:15" ht="15.75" customHeight="1" x14ac:dyDescent="0.2">
      <c r="A40" s="1339" t="s">
        <v>442</v>
      </c>
      <c r="B40" s="1340"/>
      <c r="C40" s="1340"/>
      <c r="D40" s="1340"/>
      <c r="E40" s="1340"/>
      <c r="F40" s="1340"/>
      <c r="G40" s="1340"/>
      <c r="H40" s="1340"/>
      <c r="I40" s="1340"/>
      <c r="J40" s="1340"/>
      <c r="K40" s="1340"/>
      <c r="L40" s="1340"/>
      <c r="M40" s="1340"/>
      <c r="N40" s="1340"/>
      <c r="O40" s="1341"/>
    </row>
    <row r="41" spans="1:15" x14ac:dyDescent="0.2">
      <c r="A41" s="66" t="s">
        <v>279</v>
      </c>
      <c r="B41" s="66"/>
      <c r="C41" s="98">
        <v>43556</v>
      </c>
      <c r="D41" s="98">
        <v>43586</v>
      </c>
      <c r="E41" s="98">
        <v>43617</v>
      </c>
      <c r="F41" s="98">
        <v>43647</v>
      </c>
      <c r="G41" s="98">
        <v>43678</v>
      </c>
      <c r="H41" s="98">
        <v>43709</v>
      </c>
      <c r="I41" s="98">
        <v>43739</v>
      </c>
      <c r="J41" s="98">
        <v>43770</v>
      </c>
      <c r="K41" s="98">
        <v>43800</v>
      </c>
      <c r="L41" s="98">
        <v>43831</v>
      </c>
      <c r="M41" s="98">
        <v>43862</v>
      </c>
      <c r="N41" s="98">
        <v>43891</v>
      </c>
      <c r="O41" s="66" t="s">
        <v>347</v>
      </c>
    </row>
    <row r="42" spans="1:15" ht="15" customHeight="1" x14ac:dyDescent="0.2">
      <c r="A42" s="34" t="s">
        <v>280</v>
      </c>
      <c r="B42" s="34"/>
      <c r="C42" s="68">
        <v>0</v>
      </c>
      <c r="D42" s="68"/>
      <c r="E42" s="68"/>
      <c r="F42" s="68"/>
      <c r="G42" s="68"/>
      <c r="H42" s="68"/>
      <c r="I42" s="68"/>
      <c r="J42" s="68"/>
      <c r="K42" s="68"/>
      <c r="L42" s="68"/>
      <c r="M42" s="68"/>
      <c r="N42" s="68"/>
      <c r="O42" s="71">
        <f t="shared" si="1"/>
        <v>0</v>
      </c>
    </row>
    <row r="43" spans="1:15" x14ac:dyDescent="0.2">
      <c r="A43" s="34" t="s">
        <v>281</v>
      </c>
      <c r="B43" s="34" t="s">
        <v>462</v>
      </c>
      <c r="C43" s="68">
        <f>+C44+C45+C46</f>
        <v>0</v>
      </c>
      <c r="D43" s="68">
        <f t="shared" ref="D43:N43" si="7">+D44+D45+D46</f>
        <v>0</v>
      </c>
      <c r="E43" s="68">
        <f t="shared" si="7"/>
        <v>0</v>
      </c>
      <c r="F43" s="68">
        <f t="shared" si="7"/>
        <v>0</v>
      </c>
      <c r="G43" s="68">
        <f t="shared" si="7"/>
        <v>0</v>
      </c>
      <c r="H43" s="68">
        <f t="shared" si="7"/>
        <v>0</v>
      </c>
      <c r="I43" s="68">
        <f t="shared" si="7"/>
        <v>0</v>
      </c>
      <c r="J43" s="68">
        <f t="shared" si="7"/>
        <v>0</v>
      </c>
      <c r="K43" s="68">
        <f t="shared" si="7"/>
        <v>0</v>
      </c>
      <c r="L43" s="68">
        <f t="shared" si="7"/>
        <v>0</v>
      </c>
      <c r="M43" s="68">
        <f t="shared" si="7"/>
        <v>0</v>
      </c>
      <c r="N43" s="68">
        <f t="shared" si="7"/>
        <v>0</v>
      </c>
      <c r="O43" s="71">
        <f t="shared" si="1"/>
        <v>0</v>
      </c>
    </row>
    <row r="44" spans="1:15" x14ac:dyDescent="0.2">
      <c r="A44" s="34" t="s">
        <v>282</v>
      </c>
      <c r="B44" s="34" t="s">
        <v>462</v>
      </c>
      <c r="C44" s="68">
        <f>SUMIFS(PURCHASE!$K$6:$K$10008,PURCHASE!$A$6:$A$10008,$C$4:$N$4,PURCHASE!$Q$6:$Q$10008,$B$5:$B$1043)</f>
        <v>0</v>
      </c>
      <c r="D44" s="68">
        <f>SUMIFS(PURCHASE!$K$6:$K$10008,PURCHASE!$A$6:$A$10008,$C$4:$N$4,PURCHASE!$Q$6:$Q$10008,$B$5:$B$1043)</f>
        <v>0</v>
      </c>
      <c r="E44" s="68">
        <f>SUMIFS(PURCHASE!$K$6:$K$10008,PURCHASE!$A$6:$A$10008,$C$4:$N$4,PURCHASE!$Q$6:$Q$10008,$B$5:$B$1043)</f>
        <v>0</v>
      </c>
      <c r="F44" s="68">
        <f>SUMIFS(PURCHASE!$K$6:$K$10008,PURCHASE!$A$6:$A$10008,$C$4:$N$4,PURCHASE!$Q$6:$Q$10008,$B$5:$B$1043)</f>
        <v>0</v>
      </c>
      <c r="G44" s="68">
        <f>SUMIFS(PURCHASE!$K$6:$K$10008,PURCHASE!$A$6:$A$10008,$C$4:$N$4,PURCHASE!$Q$6:$Q$10008,$B$5:$B$1043)</f>
        <v>0</v>
      </c>
      <c r="H44" s="68">
        <f>SUMIFS(PURCHASE!$K$6:$K$10008,PURCHASE!$A$6:$A$10008,$C$4:$N$4,PURCHASE!$Q$6:$Q$10008,$B$5:$B$1043)</f>
        <v>0</v>
      </c>
      <c r="I44" s="68">
        <f>SUMIFS(PURCHASE!$K$6:$K$10008,PURCHASE!$A$6:$A$10008,$C$4:$N$4,PURCHASE!$Q$6:$Q$10008,$B$5:$B$1043)</f>
        <v>0</v>
      </c>
      <c r="J44" s="68">
        <f>SUMIFS(PURCHASE!$K$6:$K$10008,PURCHASE!$A$6:$A$10008,$C$4:$N$4,PURCHASE!$Q$6:$Q$10008,$B$5:$B$1043)</f>
        <v>0</v>
      </c>
      <c r="K44" s="68">
        <f>SUMIFS(PURCHASE!$K$6:$K$10008,PURCHASE!$A$6:$A$10008,$C$4:$N$4,PURCHASE!$Q$6:$Q$10008,$B$5:$B$1043)</f>
        <v>0</v>
      </c>
      <c r="L44" s="68">
        <f>SUMIFS(PURCHASE!$K$6:$K$10008,PURCHASE!$A$6:$A$10008,$C$4:$N$4,PURCHASE!$Q$6:$Q$10008,$B$5:$B$1043)</f>
        <v>0</v>
      </c>
      <c r="M44" s="68">
        <f>SUMIFS(PURCHASE!$K$6:$K$10008,PURCHASE!$A$6:$A$10008,$C$4:$N$4,PURCHASE!$Q$6:$Q$10008,$B$5:$B$1043)</f>
        <v>0</v>
      </c>
      <c r="N44" s="68">
        <f>SUMIFS(PURCHASE!$K$6:$K$10008,PURCHASE!$A$6:$A$10008,$C$4:$N$4,PURCHASE!$Q$6:$Q$10008,$B$5:$B$1043)</f>
        <v>0</v>
      </c>
      <c r="O44" s="71">
        <f t="shared" si="1"/>
        <v>0</v>
      </c>
    </row>
    <row r="45" spans="1:15" x14ac:dyDescent="0.2">
      <c r="A45" s="34" t="s">
        <v>283</v>
      </c>
      <c r="B45" s="34" t="s">
        <v>462</v>
      </c>
      <c r="C45" s="68">
        <f>SUMIFS(PURCHASE!$L$6:$L$10008,PURCHASE!$A$6:$A$10008,$C$4:$N$4,PURCHASE!$Q$6:$Q$10008,$B$5:$B$1043)</f>
        <v>0</v>
      </c>
      <c r="D45" s="68">
        <f>SUMIFS(PURCHASE!$L$6:$L$10008,PURCHASE!$A$6:$A$10008,$C$4:$N$4,PURCHASE!$Q$6:$Q$10008,$B$5:$B$1043)</f>
        <v>0</v>
      </c>
      <c r="E45" s="68">
        <f>SUMIFS(PURCHASE!$L$6:$L$10008,PURCHASE!$A$6:$A$10008,$C$4:$N$4,PURCHASE!$Q$6:$Q$10008,$B$5:$B$1043)</f>
        <v>0</v>
      </c>
      <c r="F45" s="68">
        <f>SUMIFS(PURCHASE!$L$6:$L$10008,PURCHASE!$A$6:$A$10008,$C$4:$N$4,PURCHASE!$Q$6:$Q$10008,$B$5:$B$1043)</f>
        <v>0</v>
      </c>
      <c r="G45" s="68">
        <f>SUMIFS(PURCHASE!$L$6:$L$10008,PURCHASE!$A$6:$A$10008,$C$4:$N$4,PURCHASE!$Q$6:$Q$10008,$B$5:$B$1043)</f>
        <v>0</v>
      </c>
      <c r="H45" s="68">
        <f>SUMIFS(PURCHASE!$L$6:$L$10008,PURCHASE!$A$6:$A$10008,$C$4:$N$4,PURCHASE!$Q$6:$Q$10008,$B$5:$B$1043)</f>
        <v>0</v>
      </c>
      <c r="I45" s="68">
        <f>SUMIFS(PURCHASE!$L$6:$L$10008,PURCHASE!$A$6:$A$10008,$C$4:$N$4,PURCHASE!$Q$6:$Q$10008,$B$5:$B$1043)</f>
        <v>0</v>
      </c>
      <c r="J45" s="68">
        <f>SUMIFS(PURCHASE!$L$6:$L$10008,PURCHASE!$A$6:$A$10008,$C$4:$N$4,PURCHASE!$Q$6:$Q$10008,$B$5:$B$1043)</f>
        <v>0</v>
      </c>
      <c r="K45" s="68">
        <f>SUMIFS(PURCHASE!$L$6:$L$10008,PURCHASE!$A$6:$A$10008,$C$4:$N$4,PURCHASE!$Q$6:$Q$10008,$B$5:$B$1043)</f>
        <v>0</v>
      </c>
      <c r="L45" s="68">
        <f>SUMIFS(PURCHASE!$L$6:$L$10008,PURCHASE!$A$6:$A$10008,$C$4:$N$4,PURCHASE!$Q$6:$Q$10008,$B$5:$B$1043)</f>
        <v>0</v>
      </c>
      <c r="M45" s="68">
        <f>SUMIFS(PURCHASE!$L$6:$L$10008,PURCHASE!$A$6:$A$10008,$C$4:$N$4,PURCHASE!$Q$6:$Q$10008,$B$5:$B$1043)</f>
        <v>0</v>
      </c>
      <c r="N45" s="68">
        <f>SUMIFS(PURCHASE!$L$6:$L$10008,PURCHASE!$A$6:$A$10008,$C$4:$N$4,PURCHASE!$Q$6:$Q$10008,$B$5:$B$1043)</f>
        <v>0</v>
      </c>
      <c r="O45" s="71">
        <f t="shared" si="1"/>
        <v>0</v>
      </c>
    </row>
    <row r="46" spans="1:15" x14ac:dyDescent="0.2">
      <c r="A46" s="34" t="s">
        <v>284</v>
      </c>
      <c r="B46" s="34" t="s">
        <v>462</v>
      </c>
      <c r="C46" s="68">
        <f>SUMIFS(PURCHASE!$M$6:$M$10008,PURCHASE!$A$6:$A$10008,$C$4:$N$4,PURCHASE!$Q$6:$Q$10008,$B$5:$B$1043)</f>
        <v>0</v>
      </c>
      <c r="D46" s="68">
        <f>SUMIFS(PURCHASE!$M$6:$M$10008,PURCHASE!$A$6:$A$10008,$C$4:$N$4,PURCHASE!$Q$6:$Q$10008,$B$5:$B$1043)</f>
        <v>0</v>
      </c>
      <c r="E46" s="68">
        <f>SUMIFS(PURCHASE!$M$6:$M$10008,PURCHASE!$A$6:$A$10008,$C$4:$N$4,PURCHASE!$Q$6:$Q$10008,$B$5:$B$1043)</f>
        <v>0</v>
      </c>
      <c r="F46" s="68">
        <f>SUMIFS(PURCHASE!$M$6:$M$10008,PURCHASE!$A$6:$A$10008,$C$4:$N$4,PURCHASE!$Q$6:$Q$10008,$B$5:$B$1043)</f>
        <v>0</v>
      </c>
      <c r="G46" s="68">
        <f>SUMIFS(PURCHASE!$M$6:$M$10008,PURCHASE!$A$6:$A$10008,$C$4:$N$4,PURCHASE!$Q$6:$Q$10008,$B$5:$B$1043)</f>
        <v>0</v>
      </c>
      <c r="H46" s="68">
        <f>SUMIFS(PURCHASE!$M$6:$M$10008,PURCHASE!$A$6:$A$10008,$C$4:$N$4,PURCHASE!$Q$6:$Q$10008,$B$5:$B$1043)</f>
        <v>0</v>
      </c>
      <c r="I46" s="68">
        <f>SUMIFS(PURCHASE!$M$6:$M$10008,PURCHASE!$A$6:$A$10008,$C$4:$N$4,PURCHASE!$Q$6:$Q$10008,$B$5:$B$1043)</f>
        <v>0</v>
      </c>
      <c r="J46" s="68">
        <f>SUMIFS(PURCHASE!$M$6:$M$10008,PURCHASE!$A$6:$A$10008,$C$4:$N$4,PURCHASE!$Q$6:$Q$10008,$B$5:$B$1043)</f>
        <v>0</v>
      </c>
      <c r="K46" s="68">
        <f>SUMIFS(PURCHASE!$M$6:$M$10008,PURCHASE!$A$6:$A$10008,$C$4:$N$4,PURCHASE!$Q$6:$Q$10008,$B$5:$B$1043)</f>
        <v>0</v>
      </c>
      <c r="L46" s="68">
        <f>SUMIFS(PURCHASE!$M$6:$M$10008,PURCHASE!$A$6:$A$10008,$C$4:$N$4,PURCHASE!$Q$6:$Q$10008,$B$5:$B$1043)</f>
        <v>0</v>
      </c>
      <c r="M46" s="68">
        <f>SUMIFS(PURCHASE!$M$6:$M$10008,PURCHASE!$A$6:$A$10008,$C$4:$N$4,PURCHASE!$Q$6:$Q$10008,$B$5:$B$1043)</f>
        <v>0</v>
      </c>
      <c r="N46" s="68">
        <f>SUMIFS(PURCHASE!$M$6:$M$10008,PURCHASE!$A$6:$A$10008,$C$4:$N$4,PURCHASE!$Q$6:$Q$10008,$B$5:$B$1043)</f>
        <v>0</v>
      </c>
      <c r="O46" s="71">
        <f t="shared" si="1"/>
        <v>0</v>
      </c>
    </row>
    <row r="47" spans="1:15" x14ac:dyDescent="0.2">
      <c r="A47" s="34" t="s">
        <v>285</v>
      </c>
      <c r="B47" s="34" t="s">
        <v>462</v>
      </c>
      <c r="C47" s="68">
        <f>SUMIFS(PURCHASE!$N$6:$N$10008,PURCHASE!$A$6:$A$10008,$C$4:$N$4,PURCHASE!$Q$6:$Q$10008,$B$5:$B$1043)</f>
        <v>0</v>
      </c>
      <c r="D47" s="68">
        <f>SUMIFS(PURCHASE!$N$6:$N$10008,PURCHASE!$A$6:$A$10008,$C$4:$N$4,PURCHASE!$Q$6:$Q$10008,$B$5:$B$1043)</f>
        <v>0</v>
      </c>
      <c r="E47" s="68">
        <f>SUMIFS(PURCHASE!$N$6:$N$10008,PURCHASE!$A$6:$A$10008,$C$4:$N$4,PURCHASE!$Q$6:$Q$10008,$B$5:$B$1043)</f>
        <v>0</v>
      </c>
      <c r="F47" s="68">
        <f>SUMIFS(PURCHASE!$N$6:$N$10008,PURCHASE!$A$6:$A$10008,$C$4:$N$4,PURCHASE!$Q$6:$Q$10008,$B$5:$B$1043)</f>
        <v>0</v>
      </c>
      <c r="G47" s="68">
        <f>SUMIFS(PURCHASE!$N$6:$N$10008,PURCHASE!$A$6:$A$10008,$C$4:$N$4,PURCHASE!$Q$6:$Q$10008,$B$5:$B$1043)</f>
        <v>0</v>
      </c>
      <c r="H47" s="68">
        <f>SUMIFS(PURCHASE!$N$6:$N$10008,PURCHASE!$A$6:$A$10008,$C$4:$N$4,PURCHASE!$Q$6:$Q$10008,$B$5:$B$1043)</f>
        <v>0</v>
      </c>
      <c r="I47" s="68">
        <f>SUMIFS(PURCHASE!$N$6:$N$10008,PURCHASE!$A$6:$A$10008,$C$4:$N$4,PURCHASE!$Q$6:$Q$10008,$B$5:$B$1043)</f>
        <v>0</v>
      </c>
      <c r="J47" s="68">
        <f>SUMIFS(PURCHASE!$N$6:$N$10008,PURCHASE!$A$6:$A$10008,$C$4:$N$4,PURCHASE!$Q$6:$Q$10008,$B$5:$B$1043)</f>
        <v>0</v>
      </c>
      <c r="K47" s="68">
        <f>SUMIFS(PURCHASE!$N$6:$N$10008,PURCHASE!$A$6:$A$10008,$C$4:$N$4,PURCHASE!$Q$6:$Q$10008,$B$5:$B$1043)</f>
        <v>0</v>
      </c>
      <c r="L47" s="68">
        <f>SUMIFS(PURCHASE!$N$6:$N$10008,PURCHASE!$A$6:$A$10008,$C$4:$N$4,PURCHASE!$Q$6:$Q$10008,$B$5:$B$1043)</f>
        <v>0</v>
      </c>
      <c r="M47" s="68">
        <f>SUMIFS(PURCHASE!$N$6:$N$10008,PURCHASE!$A$6:$A$10008,$C$4:$N$4,PURCHASE!$Q$6:$Q$10008,$B$5:$B$1043)</f>
        <v>0</v>
      </c>
      <c r="N47" s="68">
        <f>SUMIFS(PURCHASE!$N$6:$N$10008,PURCHASE!$A$6:$A$10008,$C$4:$N$4,PURCHASE!$Q$6:$Q$10008,$B$5:$B$1043)</f>
        <v>0</v>
      </c>
      <c r="O47" s="71">
        <f t="shared" si="1"/>
        <v>0</v>
      </c>
    </row>
    <row r="48" spans="1:15" x14ac:dyDescent="0.2">
      <c r="A48" s="34" t="s">
        <v>286</v>
      </c>
      <c r="B48" s="34" t="s">
        <v>462</v>
      </c>
      <c r="C48" s="68">
        <f>SUMIFS(PURCHASE!$O$6:$O$10008,PURCHASE!$A$6:$A$10008,$C$4:$N$4,PURCHASE!$Q$6:$Q$10008,$B$5:$B$1043)</f>
        <v>0</v>
      </c>
      <c r="D48" s="68">
        <f>SUMIFS(PURCHASE!$O$6:$O$10008,PURCHASE!$A$6:$A$10008,$C$4:$N$4,PURCHASE!$Q$6:$Q$10008,$B$5:$B$1043)</f>
        <v>0</v>
      </c>
      <c r="E48" s="68">
        <f>SUMIFS(PURCHASE!$O$6:$O$10008,PURCHASE!$A$6:$A$10008,$C$4:$N$4,PURCHASE!$Q$6:$Q$10008,$B$5:$B$1043)</f>
        <v>0</v>
      </c>
      <c r="F48" s="68">
        <f>SUMIFS(PURCHASE!$O$6:$O$10008,PURCHASE!$A$6:$A$10008,$C$4:$N$4,PURCHASE!$Q$6:$Q$10008,$B$5:$B$1043)</f>
        <v>0</v>
      </c>
      <c r="G48" s="68">
        <f>SUMIFS(PURCHASE!$O$6:$O$10008,PURCHASE!$A$6:$A$10008,$C$4:$N$4,PURCHASE!$Q$6:$Q$10008,$B$5:$B$1043)</f>
        <v>0</v>
      </c>
      <c r="H48" s="68">
        <f>SUMIFS(PURCHASE!$O$6:$O$10008,PURCHASE!$A$6:$A$10008,$C$4:$N$4,PURCHASE!$Q$6:$Q$10008,$B$5:$B$1043)</f>
        <v>0</v>
      </c>
      <c r="I48" s="68">
        <f>SUMIFS(PURCHASE!$O$6:$O$10008,PURCHASE!$A$6:$A$10008,$C$4:$N$4,PURCHASE!$Q$6:$Q$10008,$B$5:$B$1043)</f>
        <v>0</v>
      </c>
      <c r="J48" s="68">
        <f>SUMIFS(PURCHASE!$O$6:$O$10008,PURCHASE!$A$6:$A$10008,$C$4:$N$4,PURCHASE!$Q$6:$Q$10008,$B$5:$B$1043)</f>
        <v>0</v>
      </c>
      <c r="K48" s="68">
        <f>SUMIFS(PURCHASE!$O$6:$O$10008,PURCHASE!$A$6:$A$10008,$C$4:$N$4,PURCHASE!$Q$6:$Q$10008,$B$5:$B$1043)</f>
        <v>0</v>
      </c>
      <c r="L48" s="68">
        <f>SUMIFS(PURCHASE!$O$6:$O$10008,PURCHASE!$A$6:$A$10008,$C$4:$N$4,PURCHASE!$Q$6:$Q$10008,$B$5:$B$1043)</f>
        <v>0</v>
      </c>
      <c r="M48" s="68">
        <f>SUMIFS(PURCHASE!$O$6:$O$10008,PURCHASE!$A$6:$A$10008,$C$4:$N$4,PURCHASE!$Q$6:$Q$10008,$B$5:$B$1043)</f>
        <v>0</v>
      </c>
      <c r="N48" s="68">
        <f>SUMIFS(PURCHASE!$O$6:$O$10008,PURCHASE!$A$6:$A$10008,$C$4:$N$4,PURCHASE!$Q$6:$Q$10008,$B$5:$B$1043)</f>
        <v>0</v>
      </c>
      <c r="O48" s="71">
        <f t="shared" si="1"/>
        <v>0</v>
      </c>
    </row>
    <row r="49" spans="1:16" ht="15.75" customHeight="1" x14ac:dyDescent="0.2">
      <c r="A49" s="1333" t="s">
        <v>443</v>
      </c>
      <c r="B49" s="1334"/>
      <c r="C49" s="1334"/>
      <c r="D49" s="1334"/>
      <c r="E49" s="1334"/>
      <c r="F49" s="1334"/>
      <c r="G49" s="1334"/>
      <c r="H49" s="1334"/>
      <c r="I49" s="1334"/>
      <c r="J49" s="1334"/>
      <c r="K49" s="1334"/>
      <c r="L49" s="1334"/>
      <c r="M49" s="1334"/>
      <c r="N49" s="1334"/>
      <c r="O49" s="1335"/>
    </row>
    <row r="50" spans="1:16" x14ac:dyDescent="0.2">
      <c r="A50" s="63" t="s">
        <v>279</v>
      </c>
      <c r="B50" s="63"/>
      <c r="C50" s="64">
        <v>43556</v>
      </c>
      <c r="D50" s="64">
        <v>43586</v>
      </c>
      <c r="E50" s="64">
        <v>43617</v>
      </c>
      <c r="F50" s="64">
        <v>43647</v>
      </c>
      <c r="G50" s="64">
        <v>43678</v>
      </c>
      <c r="H50" s="64">
        <v>43709</v>
      </c>
      <c r="I50" s="64">
        <v>43739</v>
      </c>
      <c r="J50" s="64">
        <v>43770</v>
      </c>
      <c r="K50" s="64">
        <v>43800</v>
      </c>
      <c r="L50" s="64">
        <v>43831</v>
      </c>
      <c r="M50" s="64">
        <v>43862</v>
      </c>
      <c r="N50" s="64">
        <v>43891</v>
      </c>
      <c r="O50" s="66" t="s">
        <v>347</v>
      </c>
    </row>
    <row r="51" spans="1:16" ht="15" customHeight="1" x14ac:dyDescent="0.2">
      <c r="A51" s="34" t="s">
        <v>280</v>
      </c>
      <c r="B51" s="34"/>
      <c r="C51" s="68"/>
      <c r="D51" s="34"/>
      <c r="E51" s="34"/>
      <c r="F51" s="34"/>
      <c r="G51" s="34"/>
      <c r="H51" s="34"/>
      <c r="I51" s="34"/>
      <c r="J51" s="34"/>
      <c r="K51" s="34"/>
      <c r="L51" s="34"/>
      <c r="M51" s="34"/>
      <c r="N51" s="34"/>
      <c r="O51" s="71">
        <f t="shared" si="1"/>
        <v>0</v>
      </c>
    </row>
    <row r="52" spans="1:16" x14ac:dyDescent="0.2">
      <c r="A52" s="34" t="s">
        <v>281</v>
      </c>
      <c r="B52" s="34" t="s">
        <v>347</v>
      </c>
      <c r="C52" s="68">
        <f>+C61+C70+C79</f>
        <v>2977826.5181000005</v>
      </c>
      <c r="D52" s="68">
        <f t="shared" ref="D52:N52" si="8">+D61+D70+D79</f>
        <v>4483782.7914000014</v>
      </c>
      <c r="E52" s="68">
        <f t="shared" si="8"/>
        <v>5135034.5261000004</v>
      </c>
      <c r="F52" s="68">
        <f t="shared" si="8"/>
        <v>6782870.1043999968</v>
      </c>
      <c r="G52" s="68">
        <f t="shared" si="8"/>
        <v>4189511.8606000002</v>
      </c>
      <c r="H52" s="68">
        <f t="shared" si="8"/>
        <v>4244712.5601000004</v>
      </c>
      <c r="I52" s="68">
        <f t="shared" si="8"/>
        <v>4214664.0296000009</v>
      </c>
      <c r="J52" s="68">
        <f t="shared" si="8"/>
        <v>3726081.1602000007</v>
      </c>
      <c r="K52" s="68">
        <f t="shared" si="8"/>
        <v>6568378.3003000002</v>
      </c>
      <c r="L52" s="68">
        <f t="shared" si="8"/>
        <v>3436573.4769000001</v>
      </c>
      <c r="M52" s="68">
        <f t="shared" si="8"/>
        <v>0</v>
      </c>
      <c r="N52" s="68">
        <f t="shared" si="8"/>
        <v>0</v>
      </c>
      <c r="O52" s="71">
        <f t="shared" si="1"/>
        <v>45759435.327700004</v>
      </c>
    </row>
    <row r="53" spans="1:16" x14ac:dyDescent="0.2">
      <c r="A53" s="34" t="s">
        <v>282</v>
      </c>
      <c r="B53" s="34" t="s">
        <v>347</v>
      </c>
      <c r="C53" s="68">
        <f t="shared" ref="C53:N57" si="9">+C62+C71+C80</f>
        <v>2655684.3000000007</v>
      </c>
      <c r="D53" s="68">
        <f t="shared" si="9"/>
        <v>4010965.3600000003</v>
      </c>
      <c r="E53" s="68">
        <f t="shared" si="9"/>
        <v>4588910.58</v>
      </c>
      <c r="F53" s="68">
        <f t="shared" si="9"/>
        <v>6109708.5599999968</v>
      </c>
      <c r="G53" s="68">
        <f t="shared" si="9"/>
        <v>3775003.6500000004</v>
      </c>
      <c r="H53" s="68">
        <f t="shared" si="9"/>
        <v>3805155.22</v>
      </c>
      <c r="I53" s="68">
        <f t="shared" si="9"/>
        <v>3802238.9400000004</v>
      </c>
      <c r="J53" s="68">
        <f t="shared" si="9"/>
        <v>3364665.7700000005</v>
      </c>
      <c r="K53" s="68">
        <f t="shared" si="9"/>
        <v>5853040.4299999997</v>
      </c>
      <c r="L53" s="68">
        <f t="shared" si="9"/>
        <v>3112875.14</v>
      </c>
      <c r="M53" s="68">
        <f t="shared" si="9"/>
        <v>0</v>
      </c>
      <c r="N53" s="68">
        <f t="shared" si="9"/>
        <v>0</v>
      </c>
      <c r="O53" s="71">
        <f t="shared" si="1"/>
        <v>41078247.949999996</v>
      </c>
      <c r="P53" s="72"/>
    </row>
    <row r="54" spans="1:16" x14ac:dyDescent="0.2">
      <c r="A54" s="34" t="s">
        <v>283</v>
      </c>
      <c r="B54" s="34" t="s">
        <v>347</v>
      </c>
      <c r="C54" s="68">
        <f t="shared" si="9"/>
        <v>2079.9351999999999</v>
      </c>
      <c r="D54" s="68">
        <f t="shared" si="9"/>
        <v>36933.315999999999</v>
      </c>
      <c r="E54" s="68">
        <f t="shared" si="9"/>
        <v>89585.376799999998</v>
      </c>
      <c r="F54" s="68">
        <f t="shared" si="9"/>
        <v>23899.64</v>
      </c>
      <c r="G54" s="68">
        <f t="shared" si="9"/>
        <v>10977.877199999999</v>
      </c>
      <c r="H54" s="68">
        <f t="shared" si="9"/>
        <v>57463.603599999988</v>
      </c>
      <c r="I54" s="68">
        <f t="shared" si="9"/>
        <v>35776.299999999996</v>
      </c>
      <c r="J54" s="68">
        <f t="shared" si="9"/>
        <v>28467.498000000003</v>
      </c>
      <c r="K54" s="68">
        <f t="shared" si="9"/>
        <v>293644.29119999998</v>
      </c>
      <c r="L54" s="68">
        <f t="shared" si="9"/>
        <v>23052.937600000001</v>
      </c>
      <c r="M54" s="68">
        <f t="shared" si="9"/>
        <v>0</v>
      </c>
      <c r="N54" s="68">
        <f t="shared" si="9"/>
        <v>0</v>
      </c>
      <c r="O54" s="71">
        <f t="shared" si="1"/>
        <v>601880.77559999994</v>
      </c>
    </row>
    <row r="55" spans="1:16" x14ac:dyDescent="0.2">
      <c r="A55" s="34" t="s">
        <v>284</v>
      </c>
      <c r="B55" s="34" t="s">
        <v>347</v>
      </c>
      <c r="C55" s="68">
        <f t="shared" si="9"/>
        <v>320062.28289999982</v>
      </c>
      <c r="D55" s="68">
        <f t="shared" si="9"/>
        <v>435884.11540000001</v>
      </c>
      <c r="E55" s="68">
        <f t="shared" si="9"/>
        <v>456538.5692999998</v>
      </c>
      <c r="F55" s="68">
        <f t="shared" si="9"/>
        <v>649261.90440000047</v>
      </c>
      <c r="G55" s="68">
        <f t="shared" si="9"/>
        <v>403530.33340000012</v>
      </c>
      <c r="H55" s="68">
        <f t="shared" si="9"/>
        <v>382093.73650000017</v>
      </c>
      <c r="I55" s="68">
        <f t="shared" si="9"/>
        <v>376648.78960000008</v>
      </c>
      <c r="J55" s="68">
        <f t="shared" si="9"/>
        <v>332947.8922</v>
      </c>
      <c r="K55" s="68">
        <f t="shared" si="9"/>
        <v>421693.57909999997</v>
      </c>
      <c r="L55" s="68">
        <f t="shared" si="9"/>
        <v>300645.39929999993</v>
      </c>
      <c r="M55" s="68">
        <f t="shared" si="9"/>
        <v>0</v>
      </c>
      <c r="N55" s="68">
        <f t="shared" si="9"/>
        <v>0</v>
      </c>
      <c r="O55" s="71">
        <f t="shared" si="1"/>
        <v>4079306.6021000007</v>
      </c>
    </row>
    <row r="56" spans="1:16" x14ac:dyDescent="0.2">
      <c r="A56" s="34" t="s">
        <v>285</v>
      </c>
      <c r="B56" s="34" t="s">
        <v>347</v>
      </c>
      <c r="C56" s="68">
        <f t="shared" si="9"/>
        <v>320062.28289999982</v>
      </c>
      <c r="D56" s="68">
        <f t="shared" si="9"/>
        <v>435884.11540000001</v>
      </c>
      <c r="E56" s="68">
        <f t="shared" si="9"/>
        <v>456538.5692999998</v>
      </c>
      <c r="F56" s="68">
        <f t="shared" si="9"/>
        <v>649261.90440000047</v>
      </c>
      <c r="G56" s="68">
        <f t="shared" si="9"/>
        <v>403530.33340000012</v>
      </c>
      <c r="H56" s="68">
        <f t="shared" si="9"/>
        <v>382093.73650000017</v>
      </c>
      <c r="I56" s="68">
        <f t="shared" si="9"/>
        <v>376648.78960000008</v>
      </c>
      <c r="J56" s="68">
        <f t="shared" si="9"/>
        <v>332947.8922</v>
      </c>
      <c r="K56" s="68">
        <f t="shared" si="9"/>
        <v>421693.57909999997</v>
      </c>
      <c r="L56" s="68">
        <f t="shared" si="9"/>
        <v>300645.39929999993</v>
      </c>
      <c r="M56" s="68">
        <f t="shared" si="9"/>
        <v>0</v>
      </c>
      <c r="N56" s="68">
        <f t="shared" si="9"/>
        <v>0</v>
      </c>
      <c r="O56" s="71">
        <f t="shared" si="1"/>
        <v>4079306.6021000007</v>
      </c>
    </row>
    <row r="57" spans="1:16" x14ac:dyDescent="0.2">
      <c r="A57" s="34" t="s">
        <v>286</v>
      </c>
      <c r="B57" s="34" t="s">
        <v>347</v>
      </c>
      <c r="C57" s="68">
        <f t="shared" si="9"/>
        <v>0</v>
      </c>
      <c r="D57" s="68">
        <f t="shared" si="9"/>
        <v>0</v>
      </c>
      <c r="E57" s="68">
        <f t="shared" si="9"/>
        <v>0</v>
      </c>
      <c r="F57" s="68">
        <f t="shared" si="9"/>
        <v>0</v>
      </c>
      <c r="G57" s="68">
        <f t="shared" si="9"/>
        <v>0</v>
      </c>
      <c r="H57" s="68">
        <f t="shared" si="9"/>
        <v>0</v>
      </c>
      <c r="I57" s="68">
        <f t="shared" si="9"/>
        <v>0</v>
      </c>
      <c r="J57" s="68">
        <f t="shared" si="9"/>
        <v>0</v>
      </c>
      <c r="K57" s="68">
        <f t="shared" si="9"/>
        <v>0</v>
      </c>
      <c r="L57" s="68">
        <f t="shared" si="9"/>
        <v>0</v>
      </c>
      <c r="M57" s="68">
        <f t="shared" si="9"/>
        <v>0</v>
      </c>
      <c r="N57" s="68">
        <f t="shared" si="9"/>
        <v>0</v>
      </c>
      <c r="O57" s="71">
        <f t="shared" si="1"/>
        <v>0</v>
      </c>
    </row>
    <row r="58" spans="1:16" ht="15.75" customHeight="1" x14ac:dyDescent="0.2">
      <c r="A58" s="1330" t="s">
        <v>1028</v>
      </c>
      <c r="B58" s="1331"/>
      <c r="C58" s="1331"/>
      <c r="D58" s="1331"/>
      <c r="E58" s="1331"/>
      <c r="F58" s="1331"/>
      <c r="G58" s="1331"/>
      <c r="H58" s="1331"/>
      <c r="I58" s="1331"/>
      <c r="J58" s="1331"/>
      <c r="K58" s="1331"/>
      <c r="L58" s="1331"/>
      <c r="M58" s="1331"/>
      <c r="N58" s="1331"/>
      <c r="O58" s="1332"/>
    </row>
    <row r="59" spans="1:16" x14ac:dyDescent="0.2">
      <c r="A59" s="63" t="s">
        <v>279</v>
      </c>
      <c r="B59" s="63"/>
      <c r="C59" s="64">
        <v>43556</v>
      </c>
      <c r="D59" s="64">
        <v>43586</v>
      </c>
      <c r="E59" s="64">
        <v>43617</v>
      </c>
      <c r="F59" s="64">
        <v>43647</v>
      </c>
      <c r="G59" s="64">
        <v>43678</v>
      </c>
      <c r="H59" s="64">
        <v>43709</v>
      </c>
      <c r="I59" s="64">
        <v>43739</v>
      </c>
      <c r="J59" s="64">
        <v>43770</v>
      </c>
      <c r="K59" s="64">
        <v>43800</v>
      </c>
      <c r="L59" s="64">
        <v>43831</v>
      </c>
      <c r="M59" s="64">
        <v>43862</v>
      </c>
      <c r="N59" s="64">
        <v>43891</v>
      </c>
      <c r="O59" s="66" t="s">
        <v>347</v>
      </c>
    </row>
    <row r="60" spans="1:16" ht="15" customHeight="1" x14ac:dyDescent="0.2">
      <c r="A60" s="34" t="s">
        <v>280</v>
      </c>
      <c r="B60" s="34"/>
      <c r="C60" s="68">
        <v>0</v>
      </c>
      <c r="D60" s="68"/>
      <c r="E60" s="68"/>
      <c r="F60" s="68"/>
      <c r="G60" s="68"/>
      <c r="H60" s="68"/>
      <c r="I60" s="68"/>
      <c r="J60" s="68"/>
      <c r="K60" s="68"/>
      <c r="L60" s="68"/>
      <c r="M60" s="68"/>
      <c r="N60" s="68"/>
      <c r="O60" s="71">
        <f t="shared" si="1"/>
        <v>0</v>
      </c>
    </row>
    <row r="61" spans="1:16" x14ac:dyDescent="0.2">
      <c r="A61" s="34" t="s">
        <v>281</v>
      </c>
      <c r="B61" s="34" t="s">
        <v>410</v>
      </c>
      <c r="C61" s="68">
        <f>+C62+C63+C64</f>
        <v>2209751.4181000004</v>
      </c>
      <c r="D61" s="68">
        <f t="shared" ref="D61:N61" si="10">+D62+D63+D64</f>
        <v>3693206.4672000008</v>
      </c>
      <c r="E61" s="68">
        <f t="shared" si="10"/>
        <v>4168908.7383000003</v>
      </c>
      <c r="F61" s="68">
        <f t="shared" si="10"/>
        <v>5167439.099899997</v>
      </c>
      <c r="G61" s="68">
        <f t="shared" si="10"/>
        <v>3125983.6006000005</v>
      </c>
      <c r="H61" s="68">
        <f t="shared" si="10"/>
        <v>3234839.6906000003</v>
      </c>
      <c r="I61" s="68">
        <f t="shared" si="10"/>
        <v>2189166.7436000006</v>
      </c>
      <c r="J61" s="68">
        <f t="shared" si="10"/>
        <v>2206860.4970000004</v>
      </c>
      <c r="K61" s="68">
        <f t="shared" si="10"/>
        <v>2006737.1403000001</v>
      </c>
      <c r="L61" s="68">
        <f t="shared" si="10"/>
        <v>2276104.8406000002</v>
      </c>
      <c r="M61" s="68">
        <f t="shared" si="10"/>
        <v>0</v>
      </c>
      <c r="N61" s="68">
        <f t="shared" si="10"/>
        <v>0</v>
      </c>
      <c r="O61" s="71">
        <f t="shared" si="1"/>
        <v>30278998.236199997</v>
      </c>
    </row>
    <row r="62" spans="1:16" x14ac:dyDescent="0.2">
      <c r="A62" s="34" t="s">
        <v>282</v>
      </c>
      <c r="B62" s="34" t="s">
        <v>410</v>
      </c>
      <c r="C62" s="68">
        <f>SUMIFS(PURCHASE!$K$6:$K$10008,PURCHASE!$A$6:$A$10008,$C$4:$N$4,PURCHASE!$Q$6:$Q$10008,$B$5:$B$1043)</f>
        <v>1968319.3000000007</v>
      </c>
      <c r="D62" s="68">
        <f>SUMIFS(PURCHASE!$K$6:$K$10008,PURCHASE!$A$6:$A$10008,$C$4:$N$4,PURCHASE!$Q$6:$Q$10008,$B$5:$B$1043)</f>
        <v>3285665.9800000004</v>
      </c>
      <c r="E62" s="68">
        <f>SUMIFS(PURCHASE!$K$6:$K$10008,PURCHASE!$A$6:$A$10008,$C$4:$N$4,PURCHASE!$Q$6:$Q$10008,$B$5:$B$1043)</f>
        <v>3705615.16</v>
      </c>
      <c r="F62" s="68">
        <f>SUMIFS(PURCHASE!$K$6:$K$10008,PURCHASE!$A$6:$A$10008,$C$4:$N$4,PURCHASE!$Q$6:$Q$10008,$B$5:$B$1043)</f>
        <v>4628553.509999997</v>
      </c>
      <c r="G62" s="68">
        <f>SUMIFS(PURCHASE!$K$6:$K$10008,PURCHASE!$A$6:$A$10008,$C$4:$N$4,PURCHASE!$Q$6:$Q$10008,$B$5:$B$1043)</f>
        <v>2799289.6500000004</v>
      </c>
      <c r="H62" s="68">
        <f>SUMIFS(PURCHASE!$K$6:$K$10008,PURCHASE!$A$6:$A$10008,$C$4:$N$4,PURCHASE!$Q$6:$Q$10008,$B$5:$B$1043)</f>
        <v>2878666.6700000004</v>
      </c>
      <c r="I62" s="68">
        <f>SUMIFS(PURCHASE!$K$6:$K$10008,PURCHASE!$A$6:$A$10008,$C$4:$N$4,PURCHASE!$Q$6:$Q$10008,$B$5:$B$1043)</f>
        <v>1961203.3400000003</v>
      </c>
      <c r="J62" s="68">
        <f>SUMIFS(PURCHASE!$K$6:$K$10008,PURCHASE!$A$6:$A$10008,$C$4:$N$4,PURCHASE!$Q$6:$Q$10008,$B$5:$B$1043)</f>
        <v>1988062.0500000007</v>
      </c>
      <c r="K62" s="68">
        <f>SUMIFS(PURCHASE!$K$6:$K$10008,PURCHASE!$A$6:$A$10008,$C$4:$N$4,PURCHASE!$Q$6:$Q$10008,$B$5:$B$1043)</f>
        <v>1813321.43</v>
      </c>
      <c r="L62" s="68">
        <f>SUMIFS(PURCHASE!$K$6:$K$10008,PURCHASE!$A$6:$A$10008,$C$4:$N$4,PURCHASE!$Q$6:$Q$10008,$B$5:$B$1043)</f>
        <v>2065516.07</v>
      </c>
      <c r="M62" s="68">
        <f>SUMIFS(PURCHASE!$K$6:$K$10008,PURCHASE!$A$6:$A$10008,$C$4:$N$4,PURCHASE!$Q$6:$Q$10008,$B$5:$B$1043)</f>
        <v>0</v>
      </c>
      <c r="N62" s="68">
        <f>SUMIFS(PURCHASE!$K$6:$K$10008,PURCHASE!$A$6:$A$10008,$C$4:$N$4,PURCHASE!$Q$6:$Q$10008,$B$5:$B$1043)</f>
        <v>0</v>
      </c>
      <c r="O62" s="71">
        <f t="shared" si="1"/>
        <v>27094213.16</v>
      </c>
    </row>
    <row r="63" spans="1:16" x14ac:dyDescent="0.2">
      <c r="A63" s="34" t="s">
        <v>283</v>
      </c>
      <c r="B63" s="34" t="s">
        <v>410</v>
      </c>
      <c r="C63" s="68">
        <f>SUMIFS(PURCHASE!$L$6:$L$10008,PURCHASE!$A$6:$A$10008,$C$4:$N$4,PURCHASE!$Q$6:$Q$10008,$B$5:$B$1043)</f>
        <v>2079.9351999999999</v>
      </c>
      <c r="D63" s="68">
        <f>SUMIFS(PURCHASE!$L$6:$L$10008,PURCHASE!$A$6:$A$10008,$C$4:$N$4,PURCHASE!$Q$6:$Q$10008,$B$5:$B$1043)</f>
        <v>36933.315999999999</v>
      </c>
      <c r="E63" s="68">
        <f>SUMIFS(PURCHASE!$L$6:$L$10008,PURCHASE!$A$6:$A$10008,$C$4:$N$4,PURCHASE!$Q$6:$Q$10008,$B$5:$B$1043)</f>
        <v>89585.376799999998</v>
      </c>
      <c r="F63" s="68">
        <f>SUMIFS(PURCHASE!$L$6:$L$10008,PURCHASE!$A$6:$A$10008,$C$4:$N$4,PURCHASE!$Q$6:$Q$10008,$B$5:$B$1043)</f>
        <v>21955.64</v>
      </c>
      <c r="G63" s="68">
        <f>SUMIFS(PURCHASE!$L$6:$L$10008,PURCHASE!$A$6:$A$10008,$C$4:$N$4,PURCHASE!$Q$6:$Q$10008,$B$5:$B$1043)</f>
        <v>10977.877199999999</v>
      </c>
      <c r="H63" s="68">
        <f>SUMIFS(PURCHASE!$L$6:$L$10008,PURCHASE!$A$6:$A$10008,$C$4:$N$4,PURCHASE!$Q$6:$Q$10008,$B$5:$B$1043)</f>
        <v>57463.603599999988</v>
      </c>
      <c r="I63" s="68">
        <f>SUMIFS(PURCHASE!$L$6:$L$10008,PURCHASE!$A$6:$A$10008,$C$4:$N$4,PURCHASE!$Q$6:$Q$10008,$B$5:$B$1043)</f>
        <v>35776.299999999996</v>
      </c>
      <c r="J63" s="68">
        <f>SUMIFS(PURCHASE!$L$6:$L$10008,PURCHASE!$A$6:$A$10008,$C$4:$N$4,PURCHASE!$Q$6:$Q$10008,$B$5:$B$1043)</f>
        <v>28467.498000000003</v>
      </c>
      <c r="K63" s="68">
        <f>SUMIFS(PURCHASE!$L$6:$L$10008,PURCHASE!$A$6:$A$10008,$C$4:$N$4,PURCHASE!$Q$6:$Q$10008,$B$5:$B$1043)</f>
        <v>14644.2912</v>
      </c>
      <c r="L63" s="68">
        <f>SUMIFS(PURCHASE!$L$6:$L$10008,PURCHASE!$A$6:$A$10008,$C$4:$N$4,PURCHASE!$Q$6:$Q$10008,$B$5:$B$1043)</f>
        <v>23052.937600000001</v>
      </c>
      <c r="M63" s="68">
        <f>SUMIFS(PURCHASE!$L$6:$L$10008,PURCHASE!$A$6:$A$10008,$C$4:$N$4,PURCHASE!$Q$6:$Q$10008,$B$5:$B$1043)</f>
        <v>0</v>
      </c>
      <c r="N63" s="68">
        <f>SUMIFS(PURCHASE!$L$6:$L$10008,PURCHASE!$A$6:$A$10008,$C$4:$N$4,PURCHASE!$Q$6:$Q$10008,$B$5:$B$1043)</f>
        <v>0</v>
      </c>
      <c r="O63" s="71">
        <f t="shared" si="1"/>
        <v>320936.77559999994</v>
      </c>
    </row>
    <row r="64" spans="1:16" x14ac:dyDescent="0.2">
      <c r="A64" s="34" t="s">
        <v>284</v>
      </c>
      <c r="B64" s="34" t="s">
        <v>410</v>
      </c>
      <c r="C64" s="68">
        <f>SUMIFS(PURCHASE!$M$6:$M$10008,PURCHASE!$A$6:$A$10008,$C$4:$N$4,PURCHASE!$Q$6:$Q$10008,$B$5:$B$1043)</f>
        <v>239352.18289999984</v>
      </c>
      <c r="D64" s="68">
        <f>SUMIFS(PURCHASE!$M$6:$M$10008,PURCHASE!$A$6:$A$10008,$C$4:$N$4,PURCHASE!$Q$6:$Q$10008,$B$5:$B$1043)</f>
        <v>370607.17120000004</v>
      </c>
      <c r="E64" s="68">
        <f>SUMIFS(PURCHASE!$M$6:$M$10008,PURCHASE!$A$6:$A$10008,$C$4:$N$4,PURCHASE!$Q$6:$Q$10008,$B$5:$B$1043)</f>
        <v>373708.20149999985</v>
      </c>
      <c r="F64" s="68">
        <f>SUMIFS(PURCHASE!$M$6:$M$10008,PURCHASE!$A$6:$A$10008,$C$4:$N$4,PURCHASE!$Q$6:$Q$10008,$B$5:$B$1043)</f>
        <v>516929.94990000041</v>
      </c>
      <c r="G64" s="68">
        <f>SUMIFS(PURCHASE!$M$6:$M$10008,PURCHASE!$A$6:$A$10008,$C$4:$N$4,PURCHASE!$Q$6:$Q$10008,$B$5:$B$1043)</f>
        <v>315716.07340000011</v>
      </c>
      <c r="H64" s="68">
        <f>SUMIFS(PURCHASE!$M$6:$M$10008,PURCHASE!$A$6:$A$10008,$C$4:$N$4,PURCHASE!$Q$6:$Q$10008,$B$5:$B$1043)</f>
        <v>298709.41700000013</v>
      </c>
      <c r="I64" s="68">
        <f>SUMIFS(PURCHASE!$M$6:$M$10008,PURCHASE!$A$6:$A$10008,$C$4:$N$4,PURCHASE!$Q$6:$Q$10008,$B$5:$B$1043)</f>
        <v>192187.10360000006</v>
      </c>
      <c r="J64" s="68">
        <f>SUMIFS(PURCHASE!$M$6:$M$10008,PURCHASE!$A$6:$A$10008,$C$4:$N$4,PURCHASE!$Q$6:$Q$10008,$B$5:$B$1043)</f>
        <v>190330.94900000002</v>
      </c>
      <c r="K64" s="68">
        <f>SUMIFS(PURCHASE!$M$6:$M$10008,PURCHASE!$A$6:$A$10008,$C$4:$N$4,PURCHASE!$Q$6:$Q$10008,$B$5:$B$1043)</f>
        <v>178771.4191</v>
      </c>
      <c r="L64" s="68">
        <f>SUMIFS(PURCHASE!$M$6:$M$10008,PURCHASE!$A$6:$A$10008,$C$4:$N$4,PURCHASE!$Q$6:$Q$10008,$B$5:$B$1043)</f>
        <v>187535.83299999996</v>
      </c>
      <c r="M64" s="68">
        <f>SUMIFS(PURCHASE!$M$6:$M$10008,PURCHASE!$A$6:$A$10008,$C$4:$N$4,PURCHASE!$Q$6:$Q$10008,$B$5:$B$1043)</f>
        <v>0</v>
      </c>
      <c r="N64" s="68">
        <f>SUMIFS(PURCHASE!$M$6:$M$10008,PURCHASE!$A$6:$A$10008,$C$4:$N$4,PURCHASE!$Q$6:$Q$10008,$B$5:$B$1043)</f>
        <v>0</v>
      </c>
      <c r="O64" s="71">
        <f t="shared" si="1"/>
        <v>2863848.3006000007</v>
      </c>
    </row>
    <row r="65" spans="1:15" x14ac:dyDescent="0.2">
      <c r="A65" s="34" t="s">
        <v>285</v>
      </c>
      <c r="B65" s="34" t="s">
        <v>410</v>
      </c>
      <c r="C65" s="68">
        <f>SUMIFS(PURCHASE!$N$6:$N$10008,PURCHASE!$A$6:$A$10008,$C$4:$N$4,PURCHASE!$Q$6:$Q$10008,$B$5:$B$1043)</f>
        <v>239352.18289999984</v>
      </c>
      <c r="D65" s="68">
        <f>SUMIFS(PURCHASE!$N$6:$N$10008,PURCHASE!$A$6:$A$10008,$C$4:$N$4,PURCHASE!$Q$6:$Q$10008,$B$5:$B$1043)</f>
        <v>370607.17120000004</v>
      </c>
      <c r="E65" s="68">
        <f>SUMIFS(PURCHASE!$N$6:$N$10008,PURCHASE!$A$6:$A$10008,$C$4:$N$4,PURCHASE!$Q$6:$Q$10008,$B$5:$B$1043)</f>
        <v>373708.20149999985</v>
      </c>
      <c r="F65" s="68">
        <f>SUMIFS(PURCHASE!$N$6:$N$10008,PURCHASE!$A$6:$A$10008,$C$4:$N$4,PURCHASE!$Q$6:$Q$10008,$B$5:$B$1043)</f>
        <v>516929.94990000041</v>
      </c>
      <c r="G65" s="68">
        <f>SUMIFS(PURCHASE!$N$6:$N$10008,PURCHASE!$A$6:$A$10008,$C$4:$N$4,PURCHASE!$Q$6:$Q$10008,$B$5:$B$1043)</f>
        <v>315716.07340000011</v>
      </c>
      <c r="H65" s="68">
        <f>SUMIFS(PURCHASE!$N$6:$N$10008,PURCHASE!$A$6:$A$10008,$C$4:$N$4,PURCHASE!$Q$6:$Q$10008,$B$5:$B$1043)</f>
        <v>298709.41700000013</v>
      </c>
      <c r="I65" s="68">
        <f>SUMIFS(PURCHASE!$N$6:$N$10008,PURCHASE!$A$6:$A$10008,$C$4:$N$4,PURCHASE!$Q$6:$Q$10008,$B$5:$B$1043)</f>
        <v>192187.10360000006</v>
      </c>
      <c r="J65" s="68">
        <f>SUMIFS(PURCHASE!$N$6:$N$10008,PURCHASE!$A$6:$A$10008,$C$4:$N$4,PURCHASE!$Q$6:$Q$10008,$B$5:$B$1043)</f>
        <v>190330.94900000002</v>
      </c>
      <c r="K65" s="68">
        <f>SUMIFS(PURCHASE!$N$6:$N$10008,PURCHASE!$A$6:$A$10008,$C$4:$N$4,PURCHASE!$Q$6:$Q$10008,$B$5:$B$1043)</f>
        <v>178771.4191</v>
      </c>
      <c r="L65" s="68">
        <f>SUMIFS(PURCHASE!$N$6:$N$10008,PURCHASE!$A$6:$A$10008,$C$4:$N$4,PURCHASE!$Q$6:$Q$10008,$B$5:$B$1043)</f>
        <v>187535.83299999996</v>
      </c>
      <c r="M65" s="68">
        <f>SUMIFS(PURCHASE!$N$6:$N$10008,PURCHASE!$A$6:$A$10008,$C$4:$N$4,PURCHASE!$Q$6:$Q$10008,$B$5:$B$1043)</f>
        <v>0</v>
      </c>
      <c r="N65" s="68">
        <f>SUMIFS(PURCHASE!$N$6:$N$10008,PURCHASE!$A$6:$A$10008,$C$4:$N$4,PURCHASE!$Q$6:$Q$10008,$B$5:$B$1043)</f>
        <v>0</v>
      </c>
      <c r="O65" s="71">
        <f t="shared" si="1"/>
        <v>2863848.3006000007</v>
      </c>
    </row>
    <row r="66" spans="1:15" x14ac:dyDescent="0.2">
      <c r="A66" s="34" t="s">
        <v>286</v>
      </c>
      <c r="B66" s="34" t="s">
        <v>410</v>
      </c>
      <c r="C66" s="68">
        <f>SUMIFS(PURCHASE!$O$6:$O$10008,PURCHASE!$A$6:$A$10008,$C$4:$N$4,PURCHASE!$Q$6:$Q$10008,$B$5:$B$1043)</f>
        <v>0</v>
      </c>
      <c r="D66" s="68">
        <f>SUMIFS(PURCHASE!$O$6:$O$10008,PURCHASE!$A$6:$A$10008,$C$4:$N$4,PURCHASE!$Q$6:$Q$10008,$B$5:$B$1043)</f>
        <v>0</v>
      </c>
      <c r="E66" s="68">
        <f>SUMIFS(PURCHASE!$O$6:$O$10008,PURCHASE!$A$6:$A$10008,$C$4:$N$4,PURCHASE!$Q$6:$Q$10008,$B$5:$B$1043)</f>
        <v>0</v>
      </c>
      <c r="F66" s="68">
        <f>SUMIFS(PURCHASE!$O$6:$O$10008,PURCHASE!$A$6:$A$10008,$C$4:$N$4,PURCHASE!$Q$6:$Q$10008,$B$5:$B$1043)</f>
        <v>0</v>
      </c>
      <c r="G66" s="68">
        <f>SUMIFS(PURCHASE!$O$6:$O$10008,PURCHASE!$A$6:$A$10008,$C$4:$N$4,PURCHASE!$Q$6:$Q$10008,$B$5:$B$1043)</f>
        <v>0</v>
      </c>
      <c r="H66" s="68">
        <f>SUMIFS(PURCHASE!$O$6:$O$10008,PURCHASE!$A$6:$A$10008,$C$4:$N$4,PURCHASE!$Q$6:$Q$10008,$B$5:$B$1043)</f>
        <v>0</v>
      </c>
      <c r="I66" s="68">
        <f>SUMIFS(PURCHASE!$O$6:$O$10008,PURCHASE!$A$6:$A$10008,$C$4:$N$4,PURCHASE!$Q$6:$Q$10008,$B$5:$B$1043)</f>
        <v>0</v>
      </c>
      <c r="J66" s="68">
        <f>SUMIFS(PURCHASE!$O$6:$O$10008,PURCHASE!$A$6:$A$10008,$C$4:$N$4,PURCHASE!$Q$6:$Q$10008,$B$5:$B$1043)</f>
        <v>0</v>
      </c>
      <c r="K66" s="68">
        <f>SUMIFS(PURCHASE!$O$6:$O$10008,PURCHASE!$A$6:$A$10008,$C$4:$N$4,PURCHASE!$Q$6:$Q$10008,$B$5:$B$1043)</f>
        <v>0</v>
      </c>
      <c r="L66" s="68">
        <f>SUMIFS(PURCHASE!$O$6:$O$10008,PURCHASE!$A$6:$A$10008,$C$4:$N$4,PURCHASE!$Q$6:$Q$10008,$B$5:$B$1043)</f>
        <v>0</v>
      </c>
      <c r="M66" s="68">
        <f>SUMIFS(PURCHASE!$O$6:$O$10008,PURCHASE!$A$6:$A$10008,$C$4:$N$4,PURCHASE!$Q$6:$Q$10008,$B$5:$B$1043)</f>
        <v>0</v>
      </c>
      <c r="N66" s="68">
        <f>SUMIFS(PURCHASE!$O$6:$O$10008,PURCHASE!$A$6:$A$10008,$C$4:$N$4,PURCHASE!$Q$6:$Q$10008,$B$5:$B$1043)</f>
        <v>0</v>
      </c>
      <c r="O66" s="71">
        <f t="shared" si="1"/>
        <v>0</v>
      </c>
    </row>
    <row r="67" spans="1:15" x14ac:dyDescent="0.2">
      <c r="A67" s="1330" t="s">
        <v>1029</v>
      </c>
      <c r="B67" s="1331"/>
      <c r="C67" s="1331"/>
      <c r="D67" s="1331"/>
      <c r="E67" s="1331"/>
      <c r="F67" s="1331"/>
      <c r="G67" s="1331"/>
      <c r="H67" s="1331"/>
      <c r="I67" s="1331"/>
      <c r="J67" s="1331"/>
      <c r="K67" s="1331"/>
      <c r="L67" s="1331"/>
      <c r="M67" s="1331"/>
      <c r="N67" s="1331"/>
      <c r="O67" s="1332"/>
    </row>
    <row r="68" spans="1:15" x14ac:dyDescent="0.2">
      <c r="A68" s="63" t="s">
        <v>279</v>
      </c>
      <c r="B68" s="63"/>
      <c r="C68" s="64">
        <v>43556</v>
      </c>
      <c r="D68" s="64">
        <v>43586</v>
      </c>
      <c r="E68" s="64">
        <v>43617</v>
      </c>
      <c r="F68" s="64">
        <v>43647</v>
      </c>
      <c r="G68" s="64">
        <v>43678</v>
      </c>
      <c r="H68" s="64">
        <v>43709</v>
      </c>
      <c r="I68" s="64">
        <v>43739</v>
      </c>
      <c r="J68" s="64">
        <v>43770</v>
      </c>
      <c r="K68" s="64">
        <v>43800</v>
      </c>
      <c r="L68" s="64">
        <v>43831</v>
      </c>
      <c r="M68" s="64">
        <v>43862</v>
      </c>
      <c r="N68" s="64">
        <v>43891</v>
      </c>
      <c r="O68" s="66" t="s">
        <v>347</v>
      </c>
    </row>
    <row r="69" spans="1:15" ht="15" customHeight="1" x14ac:dyDescent="0.2">
      <c r="A69" s="34" t="s">
        <v>280</v>
      </c>
      <c r="B69" s="34"/>
      <c r="C69" s="68">
        <v>0</v>
      </c>
      <c r="D69" s="68"/>
      <c r="E69" s="68"/>
      <c r="F69" s="68"/>
      <c r="G69" s="68"/>
      <c r="H69" s="68"/>
      <c r="I69" s="68"/>
      <c r="J69" s="68"/>
      <c r="K69" s="68"/>
      <c r="L69" s="68"/>
      <c r="M69" s="68"/>
      <c r="N69" s="68"/>
      <c r="O69" s="71">
        <f t="shared" si="1"/>
        <v>0</v>
      </c>
    </row>
    <row r="70" spans="1:15" x14ac:dyDescent="0.2">
      <c r="A70" s="34" t="s">
        <v>281</v>
      </c>
      <c r="B70" s="34" t="s">
        <v>411</v>
      </c>
      <c r="C70" s="68">
        <f t="shared" ref="C70:N70" si="11">+C71+C72+C73</f>
        <v>614668.5</v>
      </c>
      <c r="D70" s="68">
        <f t="shared" si="11"/>
        <v>748916.11</v>
      </c>
      <c r="E70" s="68">
        <f t="shared" si="11"/>
        <v>917595.98779999989</v>
      </c>
      <c r="F70" s="68">
        <f t="shared" si="11"/>
        <v>970151.00449999992</v>
      </c>
      <c r="G70" s="68">
        <f t="shared" si="11"/>
        <v>1063528.26</v>
      </c>
      <c r="H70" s="68">
        <f t="shared" si="11"/>
        <v>1009872.8694999999</v>
      </c>
      <c r="I70" s="68">
        <f t="shared" si="11"/>
        <v>2025497.2860000001</v>
      </c>
      <c r="J70" s="68">
        <f t="shared" si="11"/>
        <v>1519220.6632000001</v>
      </c>
      <c r="K70" s="68">
        <f t="shared" si="11"/>
        <v>1226887.9099999999</v>
      </c>
      <c r="L70" s="68">
        <f t="shared" si="11"/>
        <v>1160468.6362999999</v>
      </c>
      <c r="M70" s="68">
        <f t="shared" si="11"/>
        <v>0</v>
      </c>
      <c r="N70" s="68">
        <f t="shared" si="11"/>
        <v>0</v>
      </c>
      <c r="O70" s="71">
        <f t="shared" ref="O70:O132" si="12">SUM(C70:N70)</f>
        <v>11256807.227299999</v>
      </c>
    </row>
    <row r="71" spans="1:15" x14ac:dyDescent="0.2">
      <c r="A71" s="34" t="s">
        <v>282</v>
      </c>
      <c r="B71" s="34" t="s">
        <v>411</v>
      </c>
      <c r="C71" s="68">
        <f>SUMIFS(PURCHASE!$K$6:$K$10008,PURCHASE!$A$6:$A$10008,$C$4:$N$4,PURCHASE!$Q$6:$Q$10008,$B$5:$B$1043)</f>
        <v>546625</v>
      </c>
      <c r="D71" s="68">
        <f>SUMIFS(PURCHASE!$K$6:$K$10008,PURCHASE!$A$6:$A$10008,$C$4:$N$4,PURCHASE!$Q$6:$Q$10008,$B$5:$B$1043)</f>
        <v>687079</v>
      </c>
      <c r="E71" s="68">
        <f>SUMIFS(PURCHASE!$K$6:$K$10008,PURCHASE!$A$6:$A$10008,$C$4:$N$4,PURCHASE!$Q$6:$Q$10008,$B$5:$B$1043)</f>
        <v>840725.41999999993</v>
      </c>
      <c r="F71" s="68">
        <f>SUMIFS(PURCHASE!$K$6:$K$10008,PURCHASE!$A$6:$A$10008,$C$4:$N$4,PURCHASE!$Q$6:$Q$10008,$B$5:$B$1043)</f>
        <v>889155.04999999993</v>
      </c>
      <c r="G71" s="68">
        <f>SUMIFS(PURCHASE!$K$6:$K$10008,PURCHASE!$A$6:$A$10008,$C$4:$N$4,PURCHASE!$Q$6:$Q$10008,$B$5:$B$1043)</f>
        <v>975714</v>
      </c>
      <c r="H71" s="68">
        <f>SUMIFS(PURCHASE!$K$6:$K$10008,PURCHASE!$A$6:$A$10008,$C$4:$N$4,PURCHASE!$Q$6:$Q$10008,$B$5:$B$1043)</f>
        <v>926488.54999999993</v>
      </c>
      <c r="I71" s="68">
        <f>SUMIFS(PURCHASE!$K$6:$K$10008,PURCHASE!$A$6:$A$10008,$C$4:$N$4,PURCHASE!$Q$6:$Q$10008,$B$5:$B$1043)</f>
        <v>1841035.6</v>
      </c>
      <c r="J71" s="68">
        <f>SUMIFS(PURCHASE!$K$6:$K$10008,PURCHASE!$A$6:$A$10008,$C$4:$N$4,PURCHASE!$Q$6:$Q$10008,$B$5:$B$1043)</f>
        <v>1376603.72</v>
      </c>
      <c r="K71" s="68">
        <f>SUMIFS(PURCHASE!$K$6:$K$10008,PURCHASE!$A$6:$A$10008,$C$4:$N$4,PURCHASE!$Q$6:$Q$10008,$B$5:$B$1043)</f>
        <v>1108294</v>
      </c>
      <c r="L71" s="68">
        <f>SUMIFS(PURCHASE!$K$6:$K$10008,PURCHASE!$A$6:$A$10008,$C$4:$N$4,PURCHASE!$Q$6:$Q$10008,$B$5:$B$1043)</f>
        <v>1047359.07</v>
      </c>
      <c r="M71" s="68">
        <f>SUMIFS(PURCHASE!$K$6:$K$10008,PURCHASE!$A$6:$A$10008,$C$4:$N$4,PURCHASE!$Q$6:$Q$10008,$B$5:$B$1043)</f>
        <v>0</v>
      </c>
      <c r="N71" s="68">
        <f>SUMIFS(PURCHASE!$K$6:$K$10008,PURCHASE!$A$6:$A$10008,$C$4:$N$4,PURCHASE!$Q$6:$Q$10008,$B$5:$B$1043)</f>
        <v>0</v>
      </c>
      <c r="O71" s="71">
        <f t="shared" si="12"/>
        <v>10239079.41</v>
      </c>
    </row>
    <row r="72" spans="1:15" x14ac:dyDescent="0.2">
      <c r="A72" s="34" t="s">
        <v>283</v>
      </c>
      <c r="B72" s="34" t="s">
        <v>411</v>
      </c>
      <c r="C72" s="68">
        <f>SUMIFS(PURCHASE!$L$6:$L$10008,PURCHASE!$A$6:$A$10008,$C$4:$N$4,PURCHASE!$Q$6:$Q$10008,$B$5:$B$1043)</f>
        <v>0</v>
      </c>
      <c r="D72" s="68">
        <f>SUMIFS(PURCHASE!$L$6:$L$10008,PURCHASE!$A$6:$A$10008,$C$4:$N$4,PURCHASE!$Q$6:$Q$10008,$B$5:$B$1043)</f>
        <v>0</v>
      </c>
      <c r="E72" s="68">
        <f>SUMIFS(PURCHASE!$L$6:$L$10008,PURCHASE!$A$6:$A$10008,$C$4:$N$4,PURCHASE!$Q$6:$Q$10008,$B$5:$B$1043)</f>
        <v>0</v>
      </c>
      <c r="F72" s="68">
        <f>SUMIFS(PURCHASE!$L$6:$L$10008,PURCHASE!$A$6:$A$10008,$C$4:$N$4,PURCHASE!$Q$6:$Q$10008,$B$5:$B$1043)</f>
        <v>1944</v>
      </c>
      <c r="G72" s="68">
        <f>SUMIFS(PURCHASE!$L$6:$L$10008,PURCHASE!$A$6:$A$10008,$C$4:$N$4,PURCHASE!$Q$6:$Q$10008,$B$5:$B$1043)</f>
        <v>0</v>
      </c>
      <c r="H72" s="68">
        <f>SUMIFS(PURCHASE!$L$6:$L$10008,PURCHASE!$A$6:$A$10008,$C$4:$N$4,PURCHASE!$Q$6:$Q$10008,$B$5:$B$1043)</f>
        <v>0</v>
      </c>
      <c r="I72" s="68">
        <f>SUMIFS(PURCHASE!$L$6:$L$10008,PURCHASE!$A$6:$A$10008,$C$4:$N$4,PURCHASE!$Q$6:$Q$10008,$B$5:$B$1043)</f>
        <v>0</v>
      </c>
      <c r="J72" s="68">
        <f>SUMIFS(PURCHASE!$L$6:$L$10008,PURCHASE!$A$6:$A$10008,$C$4:$N$4,PURCHASE!$Q$6:$Q$10008,$B$5:$B$1043)</f>
        <v>0</v>
      </c>
      <c r="K72" s="68">
        <f>SUMIFS(PURCHASE!$L$6:$L$10008,PURCHASE!$A$6:$A$10008,$C$4:$N$4,PURCHASE!$Q$6:$Q$10008,$B$5:$B$1043)</f>
        <v>0</v>
      </c>
      <c r="L72" s="68">
        <f>SUMIFS(PURCHASE!$L$6:$L$10008,PURCHASE!$A$6:$A$10008,$C$4:$N$4,PURCHASE!$Q$6:$Q$10008,$B$5:$B$1043)</f>
        <v>0</v>
      </c>
      <c r="M72" s="68">
        <f>SUMIFS(PURCHASE!$L$6:$L$10008,PURCHASE!$A$6:$A$10008,$C$4:$N$4,PURCHASE!$Q$6:$Q$10008,$B$5:$B$1043)</f>
        <v>0</v>
      </c>
      <c r="N72" s="68">
        <f>SUMIFS(PURCHASE!$L$6:$L$10008,PURCHASE!$A$6:$A$10008,$C$4:$N$4,PURCHASE!$Q$6:$Q$10008,$B$5:$B$1043)</f>
        <v>0</v>
      </c>
      <c r="O72" s="71">
        <f t="shared" si="12"/>
        <v>1944</v>
      </c>
    </row>
    <row r="73" spans="1:15" x14ac:dyDescent="0.2">
      <c r="A73" s="34" t="s">
        <v>284</v>
      </c>
      <c r="B73" s="34" t="s">
        <v>411</v>
      </c>
      <c r="C73" s="68">
        <f>SUMIFS(PURCHASE!$M$6:$M$10008,PURCHASE!$A$6:$A$10008,$C$4:$N$4,PURCHASE!$Q$6:$Q$10008,$B$5:$B$1043)</f>
        <v>68043.5</v>
      </c>
      <c r="D73" s="68">
        <f>SUMIFS(PURCHASE!$M$6:$M$10008,PURCHASE!$A$6:$A$10008,$C$4:$N$4,PURCHASE!$Q$6:$Q$10008,$B$5:$B$1043)</f>
        <v>61837.11</v>
      </c>
      <c r="E73" s="68">
        <f>SUMIFS(PURCHASE!$M$6:$M$10008,PURCHASE!$A$6:$A$10008,$C$4:$N$4,PURCHASE!$Q$6:$Q$10008,$B$5:$B$1043)</f>
        <v>76870.56779999999</v>
      </c>
      <c r="F73" s="68">
        <f>SUMIFS(PURCHASE!$M$6:$M$10008,PURCHASE!$A$6:$A$10008,$C$4:$N$4,PURCHASE!$Q$6:$Q$10008,$B$5:$B$1043)</f>
        <v>79051.954500000007</v>
      </c>
      <c r="G73" s="68">
        <f>SUMIFS(PURCHASE!$M$6:$M$10008,PURCHASE!$A$6:$A$10008,$C$4:$N$4,PURCHASE!$Q$6:$Q$10008,$B$5:$B$1043)</f>
        <v>87814.260000000009</v>
      </c>
      <c r="H73" s="68">
        <f>SUMIFS(PURCHASE!$M$6:$M$10008,PURCHASE!$A$6:$A$10008,$C$4:$N$4,PURCHASE!$Q$6:$Q$10008,$B$5:$B$1043)</f>
        <v>83384.319500000027</v>
      </c>
      <c r="I73" s="68">
        <f>SUMIFS(PURCHASE!$M$6:$M$10008,PURCHASE!$A$6:$A$10008,$C$4:$N$4,PURCHASE!$Q$6:$Q$10008,$B$5:$B$1043)</f>
        <v>184461.68600000002</v>
      </c>
      <c r="J73" s="68">
        <f>SUMIFS(PURCHASE!$M$6:$M$10008,PURCHASE!$A$6:$A$10008,$C$4:$N$4,PURCHASE!$Q$6:$Q$10008,$B$5:$B$1043)</f>
        <v>142616.94320000001</v>
      </c>
      <c r="K73" s="68">
        <f>SUMIFS(PURCHASE!$M$6:$M$10008,PURCHASE!$A$6:$A$10008,$C$4:$N$4,PURCHASE!$Q$6:$Q$10008,$B$5:$B$1043)</f>
        <v>118593.91</v>
      </c>
      <c r="L73" s="68">
        <f>SUMIFS(PURCHASE!$M$6:$M$10008,PURCHASE!$A$6:$A$10008,$C$4:$N$4,PURCHASE!$Q$6:$Q$10008,$B$5:$B$1043)</f>
        <v>113109.56629999999</v>
      </c>
      <c r="M73" s="68">
        <f>SUMIFS(PURCHASE!$M$6:$M$10008,PURCHASE!$A$6:$A$10008,$C$4:$N$4,PURCHASE!$Q$6:$Q$10008,$B$5:$B$1043)</f>
        <v>0</v>
      </c>
      <c r="N73" s="68">
        <f>SUMIFS(PURCHASE!$M$6:$M$10008,PURCHASE!$A$6:$A$10008,$C$4:$N$4,PURCHASE!$Q$6:$Q$10008,$B$5:$B$1043)</f>
        <v>0</v>
      </c>
      <c r="O73" s="71">
        <f t="shared" si="12"/>
        <v>1015783.8173</v>
      </c>
    </row>
    <row r="74" spans="1:15" x14ac:dyDescent="0.2">
      <c r="A74" s="34" t="s">
        <v>285</v>
      </c>
      <c r="B74" s="34" t="s">
        <v>411</v>
      </c>
      <c r="C74" s="68">
        <f>SUMIFS(PURCHASE!$N$6:$N$10008,PURCHASE!$A$6:$A$10008,$C$4:$N$4,PURCHASE!$Q$6:$Q$10008,$B$5:$B$1043)</f>
        <v>68043.5</v>
      </c>
      <c r="D74" s="68">
        <f>SUMIFS(PURCHASE!$N$6:$N$10008,PURCHASE!$A$6:$A$10008,$C$4:$N$4,PURCHASE!$Q$6:$Q$10008,$B$5:$B$1043)</f>
        <v>61837.11</v>
      </c>
      <c r="E74" s="68">
        <f>SUMIFS(PURCHASE!$N$6:$N$10008,PURCHASE!$A$6:$A$10008,$C$4:$N$4,PURCHASE!$Q$6:$Q$10008,$B$5:$B$1043)</f>
        <v>76870.56779999999</v>
      </c>
      <c r="F74" s="68">
        <f>SUMIFS(PURCHASE!$N$6:$N$10008,PURCHASE!$A$6:$A$10008,$C$4:$N$4,PURCHASE!$Q$6:$Q$10008,$B$5:$B$1043)</f>
        <v>79051.954500000007</v>
      </c>
      <c r="G74" s="68">
        <f>SUMIFS(PURCHASE!$N$6:$N$10008,PURCHASE!$A$6:$A$10008,$C$4:$N$4,PURCHASE!$Q$6:$Q$10008,$B$5:$B$1043)</f>
        <v>87814.260000000009</v>
      </c>
      <c r="H74" s="68">
        <f>SUMIFS(PURCHASE!$N$6:$N$10008,PURCHASE!$A$6:$A$10008,$C$4:$N$4,PURCHASE!$Q$6:$Q$10008,$B$5:$B$1043)</f>
        <v>83384.319500000027</v>
      </c>
      <c r="I74" s="68">
        <f>SUMIFS(PURCHASE!$N$6:$N$10008,PURCHASE!$A$6:$A$10008,$C$4:$N$4,PURCHASE!$Q$6:$Q$10008,$B$5:$B$1043)</f>
        <v>184461.68600000002</v>
      </c>
      <c r="J74" s="68">
        <f>SUMIFS(PURCHASE!$N$6:$N$10008,PURCHASE!$A$6:$A$10008,$C$4:$N$4,PURCHASE!$Q$6:$Q$10008,$B$5:$B$1043)</f>
        <v>142616.94320000001</v>
      </c>
      <c r="K74" s="68">
        <f>SUMIFS(PURCHASE!$N$6:$N$10008,PURCHASE!$A$6:$A$10008,$C$4:$N$4,PURCHASE!$Q$6:$Q$10008,$B$5:$B$1043)</f>
        <v>118593.91</v>
      </c>
      <c r="L74" s="68">
        <f>SUMIFS(PURCHASE!$N$6:$N$10008,PURCHASE!$A$6:$A$10008,$C$4:$N$4,PURCHASE!$Q$6:$Q$10008,$B$5:$B$1043)</f>
        <v>113109.56629999999</v>
      </c>
      <c r="M74" s="68">
        <f>SUMIFS(PURCHASE!$N$6:$N$10008,PURCHASE!$A$6:$A$10008,$C$4:$N$4,PURCHASE!$Q$6:$Q$10008,$B$5:$B$1043)</f>
        <v>0</v>
      </c>
      <c r="N74" s="68">
        <f>SUMIFS(PURCHASE!$N$6:$N$10008,PURCHASE!$A$6:$A$10008,$C$4:$N$4,PURCHASE!$Q$6:$Q$10008,$B$5:$B$1043)</f>
        <v>0</v>
      </c>
      <c r="O74" s="71">
        <f t="shared" si="12"/>
        <v>1015783.8173</v>
      </c>
    </row>
    <row r="75" spans="1:15" x14ac:dyDescent="0.2">
      <c r="A75" s="34" t="s">
        <v>286</v>
      </c>
      <c r="B75" s="34" t="s">
        <v>411</v>
      </c>
      <c r="C75" s="68">
        <f>SUMIFS(PURCHASE!$O$6:$O$10008,PURCHASE!$A$6:$A$10008,$C$4:$N$4,PURCHASE!$Q$6:$Q$10008,$B$5:$B$1043)</f>
        <v>0</v>
      </c>
      <c r="D75" s="68">
        <f>SUMIFS(PURCHASE!$O$6:$O$10008,PURCHASE!$A$6:$A$10008,$C$4:$N$4,PURCHASE!$Q$6:$Q$10008,$B$5:$B$1043)</f>
        <v>0</v>
      </c>
      <c r="E75" s="68">
        <f>SUMIFS(PURCHASE!$O$6:$O$10008,PURCHASE!$A$6:$A$10008,$C$4:$N$4,PURCHASE!$Q$6:$Q$10008,$B$5:$B$1043)</f>
        <v>0</v>
      </c>
      <c r="F75" s="68">
        <f>SUMIFS(PURCHASE!$O$6:$O$10008,PURCHASE!$A$6:$A$10008,$C$4:$N$4,PURCHASE!$Q$6:$Q$10008,$B$5:$B$1043)</f>
        <v>0</v>
      </c>
      <c r="G75" s="68">
        <f>SUMIFS(PURCHASE!$O$6:$O$10008,PURCHASE!$A$6:$A$10008,$C$4:$N$4,PURCHASE!$Q$6:$Q$10008,$B$5:$B$1043)</f>
        <v>0</v>
      </c>
      <c r="H75" s="68">
        <f>SUMIFS(PURCHASE!$O$6:$O$10008,PURCHASE!$A$6:$A$10008,$C$4:$N$4,PURCHASE!$Q$6:$Q$10008,$B$5:$B$1043)</f>
        <v>0</v>
      </c>
      <c r="I75" s="68">
        <f>SUMIFS(PURCHASE!$O$6:$O$10008,PURCHASE!$A$6:$A$10008,$C$4:$N$4,PURCHASE!$Q$6:$Q$10008,$B$5:$B$1043)</f>
        <v>0</v>
      </c>
      <c r="J75" s="68">
        <f>SUMIFS(PURCHASE!$O$6:$O$10008,PURCHASE!$A$6:$A$10008,$C$4:$N$4,PURCHASE!$Q$6:$Q$10008,$B$5:$B$1043)</f>
        <v>0</v>
      </c>
      <c r="K75" s="68">
        <f>SUMIFS(PURCHASE!$O$6:$O$10008,PURCHASE!$A$6:$A$10008,$C$4:$N$4,PURCHASE!$Q$6:$Q$10008,$B$5:$B$1043)</f>
        <v>0</v>
      </c>
      <c r="L75" s="68">
        <f>SUMIFS(PURCHASE!$O$6:$O$10008,PURCHASE!$A$6:$A$10008,$C$4:$N$4,PURCHASE!$Q$6:$Q$10008,$B$5:$B$1043)</f>
        <v>0</v>
      </c>
      <c r="M75" s="68">
        <f>SUMIFS(PURCHASE!$O$6:$O$10008,PURCHASE!$A$6:$A$10008,$C$4:$N$4,PURCHASE!$Q$6:$Q$10008,$B$5:$B$1043)</f>
        <v>0</v>
      </c>
      <c r="N75" s="68">
        <f>SUMIFS(PURCHASE!$O$6:$O$10008,PURCHASE!$A$6:$A$10008,$C$4:$N$4,PURCHASE!$Q$6:$Q$10008,$B$5:$B$1043)</f>
        <v>0</v>
      </c>
      <c r="O75" s="71">
        <f t="shared" si="12"/>
        <v>0</v>
      </c>
    </row>
    <row r="76" spans="1:15" x14ac:dyDescent="0.2">
      <c r="A76" s="1330" t="s">
        <v>1030</v>
      </c>
      <c r="B76" s="1331"/>
      <c r="C76" s="1331"/>
      <c r="D76" s="1331"/>
      <c r="E76" s="1331"/>
      <c r="F76" s="1331"/>
      <c r="G76" s="1331"/>
      <c r="H76" s="1331"/>
      <c r="I76" s="1331"/>
      <c r="J76" s="1331"/>
      <c r="K76" s="1331"/>
      <c r="L76" s="1331"/>
      <c r="M76" s="1331"/>
      <c r="N76" s="1331"/>
      <c r="O76" s="1332"/>
    </row>
    <row r="77" spans="1:15" x14ac:dyDescent="0.2">
      <c r="A77" s="63" t="s">
        <v>279</v>
      </c>
      <c r="B77" s="63"/>
      <c r="C77" s="64">
        <v>43556</v>
      </c>
      <c r="D77" s="64">
        <v>43586</v>
      </c>
      <c r="E77" s="64">
        <v>43617</v>
      </c>
      <c r="F77" s="64">
        <v>43647</v>
      </c>
      <c r="G77" s="64">
        <v>43678</v>
      </c>
      <c r="H77" s="64">
        <v>43709</v>
      </c>
      <c r="I77" s="64">
        <v>43739</v>
      </c>
      <c r="J77" s="64">
        <v>43770</v>
      </c>
      <c r="K77" s="64">
        <v>43800</v>
      </c>
      <c r="L77" s="64">
        <v>43831</v>
      </c>
      <c r="M77" s="64">
        <v>43862</v>
      </c>
      <c r="N77" s="64">
        <v>43891</v>
      </c>
      <c r="O77" s="66" t="s">
        <v>347</v>
      </c>
    </row>
    <row r="78" spans="1:15" ht="15" customHeight="1" x14ac:dyDescent="0.2">
      <c r="A78" s="34" t="s">
        <v>280</v>
      </c>
      <c r="B78" s="34"/>
      <c r="C78" s="68">
        <v>0</v>
      </c>
      <c r="D78" s="68"/>
      <c r="E78" s="68"/>
      <c r="F78" s="68"/>
      <c r="G78" s="68"/>
      <c r="H78" s="68"/>
      <c r="I78" s="68"/>
      <c r="J78" s="68"/>
      <c r="K78" s="68"/>
      <c r="L78" s="68"/>
      <c r="M78" s="68"/>
      <c r="N78" s="68"/>
      <c r="O78" s="71">
        <f t="shared" si="12"/>
        <v>0</v>
      </c>
    </row>
    <row r="79" spans="1:15" x14ac:dyDescent="0.2">
      <c r="A79" s="34" t="s">
        <v>281</v>
      </c>
      <c r="B79" s="34" t="s">
        <v>412</v>
      </c>
      <c r="C79" s="68">
        <f t="shared" ref="C79:N79" si="13">+C80+C81+C82</f>
        <v>153406.6</v>
      </c>
      <c r="D79" s="68">
        <f t="shared" si="13"/>
        <v>41660.214199999995</v>
      </c>
      <c r="E79" s="68">
        <f t="shared" si="13"/>
        <v>48529.8</v>
      </c>
      <c r="F79" s="68">
        <f t="shared" si="13"/>
        <v>645280</v>
      </c>
      <c r="G79" s="68">
        <f t="shared" si="13"/>
        <v>0</v>
      </c>
      <c r="H79" s="68">
        <f t="shared" si="13"/>
        <v>0</v>
      </c>
      <c r="I79" s="68">
        <f t="shared" si="13"/>
        <v>0</v>
      </c>
      <c r="J79" s="68">
        <f t="shared" si="13"/>
        <v>0</v>
      </c>
      <c r="K79" s="68">
        <f t="shared" si="13"/>
        <v>3334753.25</v>
      </c>
      <c r="L79" s="68">
        <f t="shared" si="13"/>
        <v>0</v>
      </c>
      <c r="M79" s="68">
        <f t="shared" si="13"/>
        <v>0</v>
      </c>
      <c r="N79" s="68">
        <f t="shared" si="13"/>
        <v>0</v>
      </c>
      <c r="O79" s="71">
        <f t="shared" si="12"/>
        <v>4223629.8641999997</v>
      </c>
    </row>
    <row r="80" spans="1:15" x14ac:dyDescent="0.2">
      <c r="A80" s="34" t="s">
        <v>282</v>
      </c>
      <c r="B80" s="34" t="s">
        <v>412</v>
      </c>
      <c r="C80" s="68">
        <f>SUMIFS(PURCHASE!$K$6:$K$10008,PURCHASE!$A$6:$A$10008,$C$4:$N$4,PURCHASE!$Q$6:$Q$10008,$B$5:$B$1043)</f>
        <v>140740</v>
      </c>
      <c r="D80" s="68">
        <f>SUMIFS(PURCHASE!$K$6:$K$10008,PURCHASE!$A$6:$A$10008,$C$4:$N$4,PURCHASE!$Q$6:$Q$10008,$B$5:$B$1043)</f>
        <v>38220.379999999997</v>
      </c>
      <c r="E80" s="68">
        <f>SUMIFS(PURCHASE!$K$6:$K$10008,PURCHASE!$A$6:$A$10008,$C$4:$N$4,PURCHASE!$Q$6:$Q$10008,$B$5:$B$1043)</f>
        <v>42570</v>
      </c>
      <c r="F80" s="68">
        <f>SUMIFS(PURCHASE!$K$6:$K$10008,PURCHASE!$A$6:$A$10008,$C$4:$N$4,PURCHASE!$Q$6:$Q$10008,$B$5:$B$1043)</f>
        <v>592000</v>
      </c>
      <c r="G80" s="68">
        <f>SUMIFS(PURCHASE!$K$6:$K$10008,PURCHASE!$A$6:$A$10008,$C$4:$N$4,PURCHASE!$Q$6:$Q$10008,$B$5:$B$1043)</f>
        <v>0</v>
      </c>
      <c r="H80" s="68">
        <f>SUMIFS(PURCHASE!$K$6:$K$10008,PURCHASE!$A$6:$A$10008,$C$4:$N$4,PURCHASE!$Q$6:$Q$10008,$B$5:$B$1043)</f>
        <v>0</v>
      </c>
      <c r="I80" s="68">
        <f>SUMIFS(PURCHASE!$K$6:$K$10008,PURCHASE!$A$6:$A$10008,$C$4:$N$4,PURCHASE!$Q$6:$Q$10008,$B$5:$B$1043)</f>
        <v>0</v>
      </c>
      <c r="J80" s="68">
        <f>SUMIFS(PURCHASE!$K$6:$K$10008,PURCHASE!$A$6:$A$10008,$C$4:$N$4,PURCHASE!$Q$6:$Q$10008,$B$5:$B$1043)</f>
        <v>0</v>
      </c>
      <c r="K80" s="68">
        <f>SUMIFS(PURCHASE!$K$6:$K$10008,PURCHASE!$A$6:$A$10008,$C$4:$N$4,PURCHASE!$Q$6:$Q$10008,$B$5:$B$1043)</f>
        <v>2931425</v>
      </c>
      <c r="L80" s="68">
        <f>SUMIFS(PURCHASE!$K$6:$K$10008,PURCHASE!$A$6:$A$10008,$C$4:$N$4,PURCHASE!$Q$6:$Q$10008,$B$5:$B$1043)</f>
        <v>0</v>
      </c>
      <c r="M80" s="68">
        <f>SUMIFS(PURCHASE!$K$6:$K$10008,PURCHASE!$A$6:$A$10008,$C$4:$N$4,PURCHASE!$Q$6:$Q$10008,$B$5:$B$1043)</f>
        <v>0</v>
      </c>
      <c r="N80" s="68">
        <f>SUMIFS(PURCHASE!$K$6:$K$10008,PURCHASE!$A$6:$A$10008,$C$4:$N$4,PURCHASE!$Q$6:$Q$10008,$B$5:$B$1043)</f>
        <v>0</v>
      </c>
      <c r="O80" s="71">
        <f t="shared" si="12"/>
        <v>3744955.38</v>
      </c>
    </row>
    <row r="81" spans="1:15" x14ac:dyDescent="0.2">
      <c r="A81" s="34" t="s">
        <v>283</v>
      </c>
      <c r="B81" s="34" t="s">
        <v>412</v>
      </c>
      <c r="C81" s="68">
        <f>SUMIFS(PURCHASE!$L$6:$L$10008,PURCHASE!$A$6:$A$10008,$C$4:$N$4,PURCHASE!$Q$6:$Q$10008,$B$5:$B$1043)</f>
        <v>0</v>
      </c>
      <c r="D81" s="68">
        <f>SUMIFS(PURCHASE!$L$6:$L$10008,PURCHASE!$A$6:$A$10008,$C$4:$N$4,PURCHASE!$Q$6:$Q$10008,$B$5:$B$1043)</f>
        <v>0</v>
      </c>
      <c r="E81" s="68">
        <f>SUMIFS(PURCHASE!$L$6:$L$10008,PURCHASE!$A$6:$A$10008,$C$4:$N$4,PURCHASE!$Q$6:$Q$10008,$B$5:$B$1043)</f>
        <v>0</v>
      </c>
      <c r="F81" s="68">
        <f>SUMIFS(PURCHASE!$L$6:$L$10008,PURCHASE!$A$6:$A$10008,$C$4:$N$4,PURCHASE!$Q$6:$Q$10008,$B$5:$B$1043)</f>
        <v>0</v>
      </c>
      <c r="G81" s="68">
        <f>SUMIFS(PURCHASE!$L$6:$L$10008,PURCHASE!$A$6:$A$10008,$C$4:$N$4,PURCHASE!$Q$6:$Q$10008,$B$5:$B$1043)</f>
        <v>0</v>
      </c>
      <c r="H81" s="68">
        <f>SUMIFS(PURCHASE!$L$6:$L$10008,PURCHASE!$A$6:$A$10008,$C$4:$N$4,PURCHASE!$Q$6:$Q$10008,$B$5:$B$1043)</f>
        <v>0</v>
      </c>
      <c r="I81" s="68">
        <f>SUMIFS(PURCHASE!$L$6:$L$10008,PURCHASE!$A$6:$A$10008,$C$4:$N$4,PURCHASE!$Q$6:$Q$10008,$B$5:$B$1043)</f>
        <v>0</v>
      </c>
      <c r="J81" s="68">
        <f>SUMIFS(PURCHASE!$L$6:$L$10008,PURCHASE!$A$6:$A$10008,$C$4:$N$4,PURCHASE!$Q$6:$Q$10008,$B$5:$B$1043)</f>
        <v>0</v>
      </c>
      <c r="K81" s="68">
        <f>SUMIFS(PURCHASE!$L$6:$L$10008,PURCHASE!$A$6:$A$10008,$C$4:$N$4,PURCHASE!$Q$6:$Q$10008,$B$5:$B$1043)</f>
        <v>279000</v>
      </c>
      <c r="L81" s="68">
        <f>SUMIFS(PURCHASE!$L$6:$L$10008,PURCHASE!$A$6:$A$10008,$C$4:$N$4,PURCHASE!$Q$6:$Q$10008,$B$5:$B$1043)</f>
        <v>0</v>
      </c>
      <c r="M81" s="68">
        <f>SUMIFS(PURCHASE!$L$6:$L$10008,PURCHASE!$A$6:$A$10008,$C$4:$N$4,PURCHASE!$Q$6:$Q$10008,$B$5:$B$1043)</f>
        <v>0</v>
      </c>
      <c r="N81" s="68">
        <f>SUMIFS(PURCHASE!$L$6:$L$10008,PURCHASE!$A$6:$A$10008,$C$4:$N$4,PURCHASE!$Q$6:$Q$10008,$B$5:$B$1043)</f>
        <v>0</v>
      </c>
      <c r="O81" s="71">
        <f t="shared" si="12"/>
        <v>279000</v>
      </c>
    </row>
    <row r="82" spans="1:15" x14ac:dyDescent="0.2">
      <c r="A82" s="34" t="s">
        <v>284</v>
      </c>
      <c r="B82" s="34" t="s">
        <v>412</v>
      </c>
      <c r="C82" s="68">
        <f>SUMIFS(PURCHASE!$M$6:$M$10008,PURCHASE!$A$6:$A$10008,$C$4:$N$4,PURCHASE!$Q$6:$Q$10008,$B$5:$B$1043)</f>
        <v>12666.599999999999</v>
      </c>
      <c r="D82" s="68">
        <f>SUMIFS(PURCHASE!$M$6:$M$10008,PURCHASE!$A$6:$A$10008,$C$4:$N$4,PURCHASE!$Q$6:$Q$10008,$B$5:$B$1043)</f>
        <v>3439.8342000000002</v>
      </c>
      <c r="E82" s="68">
        <f>SUMIFS(PURCHASE!$M$6:$M$10008,PURCHASE!$A$6:$A$10008,$C$4:$N$4,PURCHASE!$Q$6:$Q$10008,$B$5:$B$1043)</f>
        <v>5959.8</v>
      </c>
      <c r="F82" s="68">
        <f>SUMIFS(PURCHASE!$M$6:$M$10008,PURCHASE!$A$6:$A$10008,$C$4:$N$4,PURCHASE!$Q$6:$Q$10008,$B$5:$B$1043)</f>
        <v>53280</v>
      </c>
      <c r="G82" s="68">
        <f>SUMIFS(PURCHASE!$M$6:$M$10008,PURCHASE!$A$6:$A$10008,$C$4:$N$4,PURCHASE!$Q$6:$Q$10008,$B$5:$B$1043)</f>
        <v>0</v>
      </c>
      <c r="H82" s="68">
        <f>SUMIFS(PURCHASE!$M$6:$M$10008,PURCHASE!$A$6:$A$10008,$C$4:$N$4,PURCHASE!$Q$6:$Q$10008,$B$5:$B$1043)</f>
        <v>0</v>
      </c>
      <c r="I82" s="68">
        <f>SUMIFS(PURCHASE!$M$6:$M$10008,PURCHASE!$A$6:$A$10008,$C$4:$N$4,PURCHASE!$Q$6:$Q$10008,$B$5:$B$1043)</f>
        <v>0</v>
      </c>
      <c r="J82" s="68">
        <f>SUMIFS(PURCHASE!$M$6:$M$10008,PURCHASE!$A$6:$A$10008,$C$4:$N$4,PURCHASE!$Q$6:$Q$10008,$B$5:$B$1043)</f>
        <v>0</v>
      </c>
      <c r="K82" s="68">
        <f>SUMIFS(PURCHASE!$M$6:$M$10008,PURCHASE!$A$6:$A$10008,$C$4:$N$4,PURCHASE!$Q$6:$Q$10008,$B$5:$B$1043)</f>
        <v>124328.25</v>
      </c>
      <c r="L82" s="68">
        <f>SUMIFS(PURCHASE!$M$6:$M$10008,PURCHASE!$A$6:$A$10008,$C$4:$N$4,PURCHASE!$Q$6:$Q$10008,$B$5:$B$1043)</f>
        <v>0</v>
      </c>
      <c r="M82" s="68">
        <f>SUMIFS(PURCHASE!$M$6:$M$10008,PURCHASE!$A$6:$A$10008,$C$4:$N$4,PURCHASE!$Q$6:$Q$10008,$B$5:$B$1043)</f>
        <v>0</v>
      </c>
      <c r="N82" s="68">
        <f>SUMIFS(PURCHASE!$M$6:$M$10008,PURCHASE!$A$6:$A$10008,$C$4:$N$4,PURCHASE!$Q$6:$Q$10008,$B$5:$B$1043)</f>
        <v>0</v>
      </c>
      <c r="O82" s="71">
        <f t="shared" si="12"/>
        <v>199674.48420000001</v>
      </c>
    </row>
    <row r="83" spans="1:15" x14ac:dyDescent="0.2">
      <c r="A83" s="34" t="s">
        <v>285</v>
      </c>
      <c r="B83" s="34" t="s">
        <v>412</v>
      </c>
      <c r="C83" s="68">
        <f>SUMIFS(PURCHASE!$N$6:$N$10008,PURCHASE!$A$6:$A$10008,$C$4:$N$4,PURCHASE!$Q$6:$Q$10008,$B$5:$B$1043)</f>
        <v>12666.599999999999</v>
      </c>
      <c r="D83" s="68">
        <f>SUMIFS(PURCHASE!$N$6:$N$10008,PURCHASE!$A$6:$A$10008,$C$4:$N$4,PURCHASE!$Q$6:$Q$10008,$B$5:$B$1043)</f>
        <v>3439.8342000000002</v>
      </c>
      <c r="E83" s="68">
        <f>SUMIFS(PURCHASE!$N$6:$N$10008,PURCHASE!$A$6:$A$10008,$C$4:$N$4,PURCHASE!$Q$6:$Q$10008,$B$5:$B$1043)</f>
        <v>5959.8</v>
      </c>
      <c r="F83" s="68">
        <f>SUMIFS(PURCHASE!$N$6:$N$10008,PURCHASE!$A$6:$A$10008,$C$4:$N$4,PURCHASE!$Q$6:$Q$10008,$B$5:$B$1043)</f>
        <v>53280</v>
      </c>
      <c r="G83" s="68">
        <f>SUMIFS(PURCHASE!$N$6:$N$10008,PURCHASE!$A$6:$A$10008,$C$4:$N$4,PURCHASE!$Q$6:$Q$10008,$B$5:$B$1043)</f>
        <v>0</v>
      </c>
      <c r="H83" s="68">
        <f>SUMIFS(PURCHASE!$N$6:$N$10008,PURCHASE!$A$6:$A$10008,$C$4:$N$4,PURCHASE!$Q$6:$Q$10008,$B$5:$B$1043)</f>
        <v>0</v>
      </c>
      <c r="I83" s="68">
        <f>SUMIFS(PURCHASE!$N$6:$N$10008,PURCHASE!$A$6:$A$10008,$C$4:$N$4,PURCHASE!$Q$6:$Q$10008,$B$5:$B$1043)</f>
        <v>0</v>
      </c>
      <c r="J83" s="68">
        <f>SUMIFS(PURCHASE!$N$6:$N$10008,PURCHASE!$A$6:$A$10008,$C$4:$N$4,PURCHASE!$Q$6:$Q$10008,$B$5:$B$1043)</f>
        <v>0</v>
      </c>
      <c r="K83" s="68">
        <f>SUMIFS(PURCHASE!$N$6:$N$10008,PURCHASE!$A$6:$A$10008,$C$4:$N$4,PURCHASE!$Q$6:$Q$10008,$B$5:$B$1043)</f>
        <v>124328.25</v>
      </c>
      <c r="L83" s="68">
        <f>SUMIFS(PURCHASE!$N$6:$N$10008,PURCHASE!$A$6:$A$10008,$C$4:$N$4,PURCHASE!$Q$6:$Q$10008,$B$5:$B$1043)</f>
        <v>0</v>
      </c>
      <c r="M83" s="68">
        <f>SUMIFS(PURCHASE!$N$6:$N$10008,PURCHASE!$A$6:$A$10008,$C$4:$N$4,PURCHASE!$Q$6:$Q$10008,$B$5:$B$1043)</f>
        <v>0</v>
      </c>
      <c r="N83" s="68">
        <f>SUMIFS(PURCHASE!$N$6:$N$10008,PURCHASE!$A$6:$A$10008,$C$4:$N$4,PURCHASE!$Q$6:$Q$10008,$B$5:$B$1043)</f>
        <v>0</v>
      </c>
      <c r="O83" s="71">
        <f t="shared" si="12"/>
        <v>199674.48420000001</v>
      </c>
    </row>
    <row r="84" spans="1:15" x14ac:dyDescent="0.2">
      <c r="A84" s="34" t="s">
        <v>286</v>
      </c>
      <c r="B84" s="34" t="s">
        <v>412</v>
      </c>
      <c r="C84" s="68">
        <f>SUMIFS(PURCHASE!$O$6:$O$10008,PURCHASE!$A$6:$A$10008,$C$4:$N$4,PURCHASE!$Q$6:$Q$10008,$B$5:$B$1043)</f>
        <v>0</v>
      </c>
      <c r="D84" s="68">
        <f>SUMIFS(PURCHASE!$O$6:$O$10008,PURCHASE!$A$6:$A$10008,$C$4:$N$4,PURCHASE!$Q$6:$Q$10008,$B$5:$B$1043)</f>
        <v>0</v>
      </c>
      <c r="E84" s="68">
        <f>SUMIFS(PURCHASE!$O$6:$O$10008,PURCHASE!$A$6:$A$10008,$C$4:$N$4,PURCHASE!$Q$6:$Q$10008,$B$5:$B$1043)</f>
        <v>0</v>
      </c>
      <c r="F84" s="68">
        <f>SUMIFS(PURCHASE!$O$6:$O$10008,PURCHASE!$A$6:$A$10008,$C$4:$N$4,PURCHASE!$Q$6:$Q$10008,$B$5:$B$1043)</f>
        <v>0</v>
      </c>
      <c r="G84" s="68">
        <f>SUMIFS(PURCHASE!$O$6:$O$10008,PURCHASE!$A$6:$A$10008,$C$4:$N$4,PURCHASE!$Q$6:$Q$10008,$B$5:$B$1043)</f>
        <v>0</v>
      </c>
      <c r="H84" s="68">
        <f>SUMIFS(PURCHASE!$O$6:$O$10008,PURCHASE!$A$6:$A$10008,$C$4:$N$4,PURCHASE!$Q$6:$Q$10008,$B$5:$B$1043)</f>
        <v>0</v>
      </c>
      <c r="I84" s="68">
        <f>SUMIFS(PURCHASE!$O$6:$O$10008,PURCHASE!$A$6:$A$10008,$C$4:$N$4,PURCHASE!$Q$6:$Q$10008,$B$5:$B$1043)</f>
        <v>0</v>
      </c>
      <c r="J84" s="68">
        <f>SUMIFS(PURCHASE!$O$6:$O$10008,PURCHASE!$A$6:$A$10008,$C$4:$N$4,PURCHASE!$Q$6:$Q$10008,$B$5:$B$1043)</f>
        <v>0</v>
      </c>
      <c r="K84" s="68">
        <f>SUMIFS(PURCHASE!$O$6:$O$10008,PURCHASE!$A$6:$A$10008,$C$4:$N$4,PURCHASE!$Q$6:$Q$10008,$B$5:$B$1043)</f>
        <v>0</v>
      </c>
      <c r="L84" s="68">
        <f>SUMIFS(PURCHASE!$O$6:$O$10008,PURCHASE!$A$6:$A$10008,$C$4:$N$4,PURCHASE!$Q$6:$Q$10008,$B$5:$B$1043)</f>
        <v>0</v>
      </c>
      <c r="M84" s="68">
        <f>SUMIFS(PURCHASE!$O$6:$O$10008,PURCHASE!$A$6:$A$10008,$C$4:$N$4,PURCHASE!$Q$6:$Q$10008,$B$5:$B$1043)</f>
        <v>0</v>
      </c>
      <c r="N84" s="68">
        <f>SUMIFS(PURCHASE!$O$6:$O$10008,PURCHASE!$A$6:$A$10008,$C$4:$N$4,PURCHASE!$Q$6:$Q$10008,$B$5:$B$1043)</f>
        <v>0</v>
      </c>
      <c r="O84" s="71">
        <f t="shared" si="12"/>
        <v>0</v>
      </c>
    </row>
    <row r="85" spans="1:15" x14ac:dyDescent="0.2">
      <c r="A85" s="1333" t="s">
        <v>2581</v>
      </c>
      <c r="B85" s="1334"/>
      <c r="C85" s="1334"/>
      <c r="D85" s="1334"/>
      <c r="E85" s="1334"/>
      <c r="F85" s="1334"/>
      <c r="G85" s="1334"/>
      <c r="H85" s="1334"/>
      <c r="I85" s="1334"/>
      <c r="J85" s="1334"/>
      <c r="K85" s="1334"/>
      <c r="L85" s="1334"/>
      <c r="M85" s="1334"/>
      <c r="N85" s="1334"/>
      <c r="O85" s="1335"/>
    </row>
    <row r="86" spans="1:15" x14ac:dyDescent="0.2">
      <c r="A86" s="63" t="s">
        <v>279</v>
      </c>
      <c r="B86" s="63"/>
      <c r="C86" s="64">
        <v>43556</v>
      </c>
      <c r="D86" s="64">
        <v>43586</v>
      </c>
      <c r="E86" s="64">
        <v>43617</v>
      </c>
      <c r="F86" s="64">
        <v>43647</v>
      </c>
      <c r="G86" s="64">
        <v>43678</v>
      </c>
      <c r="H86" s="64">
        <v>43709</v>
      </c>
      <c r="I86" s="64">
        <v>43739</v>
      </c>
      <c r="J86" s="64">
        <v>43770</v>
      </c>
      <c r="K86" s="64">
        <v>43800</v>
      </c>
      <c r="L86" s="64">
        <v>43831</v>
      </c>
      <c r="M86" s="64">
        <v>43862</v>
      </c>
      <c r="N86" s="64">
        <v>43891</v>
      </c>
      <c r="O86" s="66" t="s">
        <v>347</v>
      </c>
    </row>
    <row r="87" spans="1:15" ht="15" customHeight="1" x14ac:dyDescent="0.2">
      <c r="A87" s="34" t="s">
        <v>280</v>
      </c>
      <c r="B87" s="34"/>
      <c r="C87" s="68"/>
      <c r="D87" s="34"/>
      <c r="E87" s="34"/>
      <c r="F87" s="34"/>
      <c r="G87" s="34"/>
      <c r="H87" s="34"/>
      <c r="I87" s="34"/>
      <c r="J87" s="34"/>
      <c r="K87" s="34"/>
      <c r="L87" s="34"/>
      <c r="M87" s="34"/>
      <c r="N87" s="34"/>
      <c r="O87" s="71">
        <f t="shared" si="12"/>
        <v>0</v>
      </c>
    </row>
    <row r="88" spans="1:15" x14ac:dyDescent="0.2">
      <c r="A88" s="77" t="s">
        <v>281</v>
      </c>
      <c r="B88" s="34" t="s">
        <v>347</v>
      </c>
      <c r="C88" s="68">
        <f>+C27+C52</f>
        <v>2977826.5181000005</v>
      </c>
      <c r="D88" s="68">
        <f t="shared" ref="D88:N88" si="14">+D27+D52</f>
        <v>5153347.0054000011</v>
      </c>
      <c r="E88" s="68">
        <f t="shared" si="14"/>
        <v>5135034.5261000004</v>
      </c>
      <c r="F88" s="68">
        <f t="shared" si="14"/>
        <v>7080400.0243999967</v>
      </c>
      <c r="G88" s="68">
        <f t="shared" si="14"/>
        <v>4759558.8606000002</v>
      </c>
      <c r="H88" s="68">
        <f t="shared" si="14"/>
        <v>4244712.5601000004</v>
      </c>
      <c r="I88" s="68">
        <f t="shared" si="14"/>
        <v>5140168.7096000006</v>
      </c>
      <c r="J88" s="68">
        <f t="shared" si="14"/>
        <v>3726081.1602000007</v>
      </c>
      <c r="K88" s="68">
        <f t="shared" si="14"/>
        <v>7400025.0082999999</v>
      </c>
      <c r="L88" s="68">
        <f t="shared" si="14"/>
        <v>3436573.4769000001</v>
      </c>
      <c r="M88" s="68">
        <f t="shared" si="14"/>
        <v>0</v>
      </c>
      <c r="N88" s="68">
        <f t="shared" si="14"/>
        <v>0</v>
      </c>
      <c r="O88" s="71">
        <f t="shared" si="12"/>
        <v>49053727.849699989</v>
      </c>
    </row>
    <row r="89" spans="1:15" x14ac:dyDescent="0.2">
      <c r="A89" s="77" t="s">
        <v>282</v>
      </c>
      <c r="B89" s="34" t="s">
        <v>347</v>
      </c>
      <c r="C89" s="68">
        <f t="shared" ref="C89:N90" si="15">+C28+C53</f>
        <v>2655684.3000000007</v>
      </c>
      <c r="D89" s="68">
        <f t="shared" si="15"/>
        <v>4578392.66</v>
      </c>
      <c r="E89" s="68">
        <f t="shared" si="15"/>
        <v>4588910.58</v>
      </c>
      <c r="F89" s="68">
        <f t="shared" si="15"/>
        <v>6361852.5599999968</v>
      </c>
      <c r="G89" s="68">
        <f t="shared" si="15"/>
        <v>4345050.6500000004</v>
      </c>
      <c r="H89" s="68">
        <f t="shared" si="15"/>
        <v>3805155.22</v>
      </c>
      <c r="I89" s="68">
        <f t="shared" si="15"/>
        <v>4586564.9400000004</v>
      </c>
      <c r="J89" s="68">
        <f t="shared" si="15"/>
        <v>3364665.7700000005</v>
      </c>
      <c r="K89" s="68">
        <f t="shared" si="15"/>
        <v>6653241.0299999993</v>
      </c>
      <c r="L89" s="68">
        <f t="shared" si="15"/>
        <v>3112875.14</v>
      </c>
      <c r="M89" s="68">
        <f t="shared" si="15"/>
        <v>0</v>
      </c>
      <c r="N89" s="68">
        <f t="shared" si="15"/>
        <v>0</v>
      </c>
      <c r="O89" s="71">
        <f t="shared" si="12"/>
        <v>44052392.850000001</v>
      </c>
    </row>
    <row r="90" spans="1:15" x14ac:dyDescent="0.2">
      <c r="A90" s="77" t="s">
        <v>283</v>
      </c>
      <c r="B90" s="34" t="s">
        <v>347</v>
      </c>
      <c r="C90" s="68">
        <f t="shared" si="15"/>
        <v>2079.9351999999999</v>
      </c>
      <c r="D90" s="68">
        <f t="shared" si="15"/>
        <v>139070.23000000001</v>
      </c>
      <c r="E90" s="68">
        <f t="shared" si="15"/>
        <v>89585.376799999998</v>
      </c>
      <c r="F90" s="68">
        <f t="shared" si="15"/>
        <v>69285.56</v>
      </c>
      <c r="G90" s="68">
        <f t="shared" si="15"/>
        <v>10977.877199999999</v>
      </c>
      <c r="H90" s="68">
        <f t="shared" si="15"/>
        <v>57463.603599999988</v>
      </c>
      <c r="I90" s="68">
        <f t="shared" si="15"/>
        <v>176954.97999999998</v>
      </c>
      <c r="J90" s="68">
        <f t="shared" si="15"/>
        <v>28467.498000000003</v>
      </c>
      <c r="K90" s="68">
        <f t="shared" si="15"/>
        <v>325090.39919999999</v>
      </c>
      <c r="L90" s="68">
        <f t="shared" si="15"/>
        <v>23052.937600000001</v>
      </c>
      <c r="M90" s="68">
        <f t="shared" si="15"/>
        <v>0</v>
      </c>
      <c r="N90" s="68">
        <f t="shared" si="15"/>
        <v>0</v>
      </c>
      <c r="O90" s="71">
        <f t="shared" si="12"/>
        <v>922028.39759999991</v>
      </c>
    </row>
    <row r="91" spans="1:15" x14ac:dyDescent="0.2">
      <c r="A91" s="77" t="s">
        <v>284</v>
      </c>
      <c r="B91" s="34" t="s">
        <v>347</v>
      </c>
      <c r="C91" s="68">
        <f>+C55</f>
        <v>320062.28289999982</v>
      </c>
      <c r="D91" s="68">
        <f t="shared" ref="D91:N91" si="16">+D55</f>
        <v>435884.11540000001</v>
      </c>
      <c r="E91" s="68">
        <f t="shared" si="16"/>
        <v>456538.5692999998</v>
      </c>
      <c r="F91" s="68">
        <f t="shared" si="16"/>
        <v>649261.90440000047</v>
      </c>
      <c r="G91" s="68">
        <f t="shared" si="16"/>
        <v>403530.33340000012</v>
      </c>
      <c r="H91" s="68">
        <f t="shared" si="16"/>
        <v>382093.73650000017</v>
      </c>
      <c r="I91" s="68">
        <f t="shared" si="16"/>
        <v>376648.78960000008</v>
      </c>
      <c r="J91" s="68">
        <f t="shared" si="16"/>
        <v>332947.8922</v>
      </c>
      <c r="K91" s="68">
        <f t="shared" si="16"/>
        <v>421693.57909999997</v>
      </c>
      <c r="L91" s="68">
        <f t="shared" si="16"/>
        <v>300645.39929999993</v>
      </c>
      <c r="M91" s="68">
        <f t="shared" si="16"/>
        <v>0</v>
      </c>
      <c r="N91" s="68">
        <f t="shared" si="16"/>
        <v>0</v>
      </c>
      <c r="O91" s="71">
        <f t="shared" si="12"/>
        <v>4079306.6021000007</v>
      </c>
    </row>
    <row r="92" spans="1:15" x14ac:dyDescent="0.2">
      <c r="A92" s="77" t="s">
        <v>285</v>
      </c>
      <c r="B92" s="34" t="s">
        <v>347</v>
      </c>
      <c r="C92" s="68">
        <f t="shared" ref="C92:N93" si="17">+C56</f>
        <v>320062.28289999982</v>
      </c>
      <c r="D92" s="68">
        <f t="shared" si="17"/>
        <v>435884.11540000001</v>
      </c>
      <c r="E92" s="68">
        <f t="shared" si="17"/>
        <v>456538.5692999998</v>
      </c>
      <c r="F92" s="68">
        <f t="shared" si="17"/>
        <v>649261.90440000047</v>
      </c>
      <c r="G92" s="68">
        <f t="shared" si="17"/>
        <v>403530.33340000012</v>
      </c>
      <c r="H92" s="68">
        <f t="shared" si="17"/>
        <v>382093.73650000017</v>
      </c>
      <c r="I92" s="68">
        <f t="shared" si="17"/>
        <v>376648.78960000008</v>
      </c>
      <c r="J92" s="68">
        <f t="shared" si="17"/>
        <v>332947.8922</v>
      </c>
      <c r="K92" s="68">
        <f t="shared" si="17"/>
        <v>421693.57909999997</v>
      </c>
      <c r="L92" s="68">
        <f t="shared" si="17"/>
        <v>300645.39929999993</v>
      </c>
      <c r="M92" s="68">
        <f t="shared" si="17"/>
        <v>0</v>
      </c>
      <c r="N92" s="68">
        <f t="shared" si="17"/>
        <v>0</v>
      </c>
      <c r="O92" s="71">
        <f t="shared" si="12"/>
        <v>4079306.6021000007</v>
      </c>
    </row>
    <row r="93" spans="1:15" x14ac:dyDescent="0.2">
      <c r="A93" s="80" t="s">
        <v>286</v>
      </c>
      <c r="B93" s="34" t="s">
        <v>347</v>
      </c>
      <c r="C93" s="68">
        <f t="shared" si="17"/>
        <v>0</v>
      </c>
      <c r="D93" s="68">
        <f t="shared" si="17"/>
        <v>0</v>
      </c>
      <c r="E93" s="68">
        <f t="shared" si="17"/>
        <v>0</v>
      </c>
      <c r="F93" s="68">
        <f t="shared" si="17"/>
        <v>0</v>
      </c>
      <c r="G93" s="68">
        <f t="shared" si="17"/>
        <v>0</v>
      </c>
      <c r="H93" s="68">
        <f t="shared" si="17"/>
        <v>0</v>
      </c>
      <c r="I93" s="68">
        <f t="shared" si="17"/>
        <v>0</v>
      </c>
      <c r="J93" s="68">
        <f t="shared" si="17"/>
        <v>0</v>
      </c>
      <c r="K93" s="68">
        <f t="shared" si="17"/>
        <v>0</v>
      </c>
      <c r="L93" s="68">
        <f t="shared" si="17"/>
        <v>0</v>
      </c>
      <c r="M93" s="68">
        <f t="shared" si="17"/>
        <v>0</v>
      </c>
      <c r="N93" s="68">
        <f t="shared" si="17"/>
        <v>0</v>
      </c>
      <c r="O93" s="71">
        <f t="shared" si="12"/>
        <v>0</v>
      </c>
    </row>
    <row r="94" spans="1:15" x14ac:dyDescent="0.2">
      <c r="A94" s="1018" t="s">
        <v>465</v>
      </c>
      <c r="B94" s="1019"/>
      <c r="C94" s="1019"/>
      <c r="D94" s="1019"/>
      <c r="E94" s="1019"/>
      <c r="F94" s="1019"/>
      <c r="G94" s="1019"/>
      <c r="H94" s="1019"/>
      <c r="I94" s="1019"/>
      <c r="J94" s="1019"/>
      <c r="K94" s="1019"/>
      <c r="L94" s="1019"/>
      <c r="M94" s="1019"/>
      <c r="N94" s="1019"/>
      <c r="O94" s="1020"/>
    </row>
    <row r="95" spans="1:15" x14ac:dyDescent="0.2">
      <c r="A95" s="66" t="s">
        <v>279</v>
      </c>
      <c r="B95" s="66"/>
      <c r="C95" s="98">
        <v>43556</v>
      </c>
      <c r="D95" s="98">
        <v>43586</v>
      </c>
      <c r="E95" s="98">
        <v>43617</v>
      </c>
      <c r="F95" s="98">
        <v>43647</v>
      </c>
      <c r="G95" s="98">
        <v>43678</v>
      </c>
      <c r="H95" s="98">
        <v>43709</v>
      </c>
      <c r="I95" s="98">
        <v>43739</v>
      </c>
      <c r="J95" s="98">
        <v>43770</v>
      </c>
      <c r="K95" s="98">
        <v>43800</v>
      </c>
      <c r="L95" s="98">
        <v>43831</v>
      </c>
      <c r="M95" s="98">
        <v>43862</v>
      </c>
      <c r="N95" s="98">
        <v>43891</v>
      </c>
      <c r="O95" s="66" t="s">
        <v>347</v>
      </c>
    </row>
    <row r="96" spans="1:15" ht="15" customHeight="1" x14ac:dyDescent="0.2">
      <c r="A96" s="34" t="s">
        <v>280</v>
      </c>
      <c r="B96" s="34"/>
      <c r="C96" s="68">
        <v>0</v>
      </c>
      <c r="D96" s="71"/>
      <c r="E96" s="71"/>
      <c r="F96" s="71"/>
      <c r="G96" s="71"/>
      <c r="H96" s="71"/>
      <c r="I96" s="71"/>
      <c r="J96" s="71"/>
      <c r="K96" s="71"/>
      <c r="L96" s="71"/>
      <c r="M96" s="71"/>
      <c r="N96" s="71"/>
      <c r="O96" s="71">
        <f t="shared" si="12"/>
        <v>0</v>
      </c>
    </row>
    <row r="97" spans="1:15" x14ac:dyDescent="0.2">
      <c r="A97" s="34" t="s">
        <v>281</v>
      </c>
      <c r="B97" s="34" t="s">
        <v>465</v>
      </c>
      <c r="C97" s="68"/>
      <c r="D97" s="68"/>
      <c r="E97" s="68"/>
      <c r="F97" s="68"/>
      <c r="G97" s="68"/>
      <c r="H97" s="68"/>
      <c r="I97" s="68"/>
      <c r="J97" s="68"/>
      <c r="K97" s="68"/>
      <c r="L97" s="68"/>
      <c r="M97" s="68"/>
      <c r="N97" s="68"/>
      <c r="O97" s="71">
        <f t="shared" si="12"/>
        <v>0</v>
      </c>
    </row>
    <row r="98" spans="1:15" x14ac:dyDescent="0.2">
      <c r="A98" s="34" t="s">
        <v>282</v>
      </c>
      <c r="B98" s="34" t="s">
        <v>465</v>
      </c>
      <c r="C98" s="68">
        <f>SUMIFS(PURCHASE!$K$6:$K$10008,PURCHASE!$A$6:$A$10008,$C$4:$N$4,PURCHASE!$Q$6:$Q$10008,$B$5:$B$1043)</f>
        <v>0</v>
      </c>
      <c r="D98" s="68">
        <f>SUMIFS(PURCHASE!$K$6:$K$10008,PURCHASE!$A$6:$A$10008,$C$4:$N$4,PURCHASE!$Q$6:$Q$10008,$B$5:$B$1043)</f>
        <v>0</v>
      </c>
      <c r="E98" s="68">
        <f>SUMIFS(PURCHASE!$K$6:$K$10008,PURCHASE!$A$6:$A$10008,$C$4:$N$4,PURCHASE!$Q$6:$Q$10008,$B$5:$B$1043)</f>
        <v>0</v>
      </c>
      <c r="F98" s="68">
        <f>SUMIFS(PURCHASE!$K$6:$K$10008,PURCHASE!$A$6:$A$10008,$C$4:$N$4,PURCHASE!$Q$6:$Q$10008,$B$5:$B$1043)</f>
        <v>0</v>
      </c>
      <c r="G98" s="68">
        <f>SUMIFS(PURCHASE!$K$6:$K$10008,PURCHASE!$A$6:$A$10008,$C$4:$N$4,PURCHASE!$Q$6:$Q$10008,$B$5:$B$1043)</f>
        <v>0</v>
      </c>
      <c r="H98" s="68">
        <f>SUMIFS(PURCHASE!$K$6:$K$10008,PURCHASE!$A$6:$A$10008,$C$4:$N$4,PURCHASE!$Q$6:$Q$10008,$B$5:$B$1043)</f>
        <v>0</v>
      </c>
      <c r="I98" s="68">
        <f>SUMIFS(PURCHASE!$K$6:$K$10008,PURCHASE!$A$6:$A$10008,$C$4:$N$4,PURCHASE!$Q$6:$Q$10008,$B$5:$B$1043)</f>
        <v>0</v>
      </c>
      <c r="J98" s="68">
        <f>SUMIFS(PURCHASE!$K$6:$K$10008,PURCHASE!$A$6:$A$10008,$C$4:$N$4,PURCHASE!$Q$6:$Q$10008,$B$5:$B$1043)</f>
        <v>0</v>
      </c>
      <c r="K98" s="68">
        <f>SUMIFS(PURCHASE!$K$6:$K$10008,PURCHASE!$A$6:$A$10008,$C$4:$N$4,PURCHASE!$Q$6:$Q$10008,$B$5:$B$1043)</f>
        <v>0</v>
      </c>
      <c r="L98" s="68">
        <f>SUMIFS(PURCHASE!$K$6:$K$10008,PURCHASE!$A$6:$A$10008,$C$4:$N$4,PURCHASE!$Q$6:$Q$10008,$B$5:$B$1043)</f>
        <v>0</v>
      </c>
      <c r="M98" s="68">
        <f>SUMIFS(PURCHASE!$K$6:$K$10008,PURCHASE!$A$6:$A$10008,$C$4:$N$4,PURCHASE!$Q$6:$Q$10008,$B$5:$B$1043)</f>
        <v>0</v>
      </c>
      <c r="N98" s="68">
        <f>SUMIFS(PURCHASE!$K$6:$K$10008,PURCHASE!$A$6:$A$10008,$C$4:$N$4,PURCHASE!$Q$6:$Q$10008,$B$5:$B$1043)</f>
        <v>0</v>
      </c>
      <c r="O98" s="71">
        <f t="shared" si="12"/>
        <v>0</v>
      </c>
    </row>
    <row r="99" spans="1:15" x14ac:dyDescent="0.2">
      <c r="A99" s="1024" t="s">
        <v>467</v>
      </c>
      <c r="B99" s="1025"/>
      <c r="C99" s="1025"/>
      <c r="D99" s="1025"/>
      <c r="E99" s="1025"/>
      <c r="F99" s="1025"/>
      <c r="G99" s="1025"/>
      <c r="H99" s="1025"/>
      <c r="I99" s="1025"/>
      <c r="J99" s="1025"/>
      <c r="K99" s="1025"/>
      <c r="L99" s="1025"/>
      <c r="M99" s="1025"/>
      <c r="N99" s="1025"/>
      <c r="O99" s="1026"/>
    </row>
    <row r="100" spans="1:15" x14ac:dyDescent="0.2">
      <c r="A100" s="66" t="s">
        <v>279</v>
      </c>
      <c r="B100" s="66"/>
      <c r="C100" s="98">
        <v>43556</v>
      </c>
      <c r="D100" s="98">
        <v>43586</v>
      </c>
      <c r="E100" s="98">
        <v>43617</v>
      </c>
      <c r="F100" s="98">
        <v>43647</v>
      </c>
      <c r="G100" s="98">
        <v>43678</v>
      </c>
      <c r="H100" s="98">
        <v>43709</v>
      </c>
      <c r="I100" s="98">
        <v>43739</v>
      </c>
      <c r="J100" s="98">
        <v>43770</v>
      </c>
      <c r="K100" s="98">
        <v>43800</v>
      </c>
      <c r="L100" s="98">
        <v>43831</v>
      </c>
      <c r="M100" s="98">
        <v>43862</v>
      </c>
      <c r="N100" s="98">
        <v>43891</v>
      </c>
      <c r="O100" s="66" t="s">
        <v>347</v>
      </c>
    </row>
    <row r="101" spans="1:15" ht="15" customHeight="1" x14ac:dyDescent="0.2">
      <c r="A101" s="34" t="s">
        <v>280</v>
      </c>
      <c r="B101" s="34"/>
      <c r="C101" s="68">
        <v>0</v>
      </c>
      <c r="D101" s="71"/>
      <c r="E101" s="71"/>
      <c r="F101" s="71"/>
      <c r="G101" s="71"/>
      <c r="H101" s="71"/>
      <c r="I101" s="71"/>
      <c r="J101" s="71"/>
      <c r="K101" s="71"/>
      <c r="L101" s="71"/>
      <c r="M101" s="71"/>
      <c r="N101" s="71"/>
      <c r="O101" s="71">
        <f t="shared" si="12"/>
        <v>0</v>
      </c>
    </row>
    <row r="102" spans="1:15" x14ac:dyDescent="0.2">
      <c r="A102" s="34" t="s">
        <v>281</v>
      </c>
      <c r="B102" s="34" t="s">
        <v>467</v>
      </c>
      <c r="C102" s="68"/>
      <c r="D102" s="68"/>
      <c r="E102" s="68"/>
      <c r="F102" s="68"/>
      <c r="G102" s="68"/>
      <c r="H102" s="68"/>
      <c r="I102" s="68"/>
      <c r="J102" s="68"/>
      <c r="K102" s="68"/>
      <c r="L102" s="68"/>
      <c r="M102" s="68"/>
      <c r="N102" s="68"/>
      <c r="O102" s="71">
        <f t="shared" si="12"/>
        <v>0</v>
      </c>
    </row>
    <row r="103" spans="1:15" x14ac:dyDescent="0.2">
      <c r="A103" s="34" t="s">
        <v>282</v>
      </c>
      <c r="B103" s="34" t="s">
        <v>467</v>
      </c>
      <c r="C103" s="68">
        <f>SUMIFS(PURCHASE!$K$6:$K$10008,PURCHASE!$A$6:$A$10008,$C$4:$N$4,PURCHASE!$Q$6:$Q$10008,$B$5:$B$1043)</f>
        <v>0</v>
      </c>
      <c r="D103" s="68">
        <f>SUMIFS(PURCHASE!$K$6:$K$10008,PURCHASE!$A$6:$A$10008,$C$4:$N$4,PURCHASE!$Q$6:$Q$10008,$B$5:$B$1043)</f>
        <v>0</v>
      </c>
      <c r="E103" s="68">
        <f>SUMIFS(PURCHASE!$K$6:$K$10008,PURCHASE!$A$6:$A$10008,$C$4:$N$4,PURCHASE!$Q$6:$Q$10008,$B$5:$B$1043)</f>
        <v>0</v>
      </c>
      <c r="F103" s="68">
        <f>SUMIFS(PURCHASE!$K$6:$K$10008,PURCHASE!$A$6:$A$10008,$C$4:$N$4,PURCHASE!$Q$6:$Q$10008,$B$5:$B$1043)</f>
        <v>0</v>
      </c>
      <c r="G103" s="68">
        <f>SUMIFS(PURCHASE!$K$6:$K$10008,PURCHASE!$A$6:$A$10008,$C$4:$N$4,PURCHASE!$Q$6:$Q$10008,$B$5:$B$1043)</f>
        <v>0</v>
      </c>
      <c r="H103" s="68">
        <f>SUMIFS(PURCHASE!$K$6:$K$10008,PURCHASE!$A$6:$A$10008,$C$4:$N$4,PURCHASE!$Q$6:$Q$10008,$B$5:$B$1043)</f>
        <v>0</v>
      </c>
      <c r="I103" s="68">
        <f>SUMIFS(PURCHASE!$K$6:$K$10008,PURCHASE!$A$6:$A$10008,$C$4:$N$4,PURCHASE!$Q$6:$Q$10008,$B$5:$B$1043)</f>
        <v>0</v>
      </c>
      <c r="J103" s="68">
        <f>SUMIFS(PURCHASE!$K$6:$K$10008,PURCHASE!$A$6:$A$10008,$C$4:$N$4,PURCHASE!$Q$6:$Q$10008,$B$5:$B$1043)</f>
        <v>0</v>
      </c>
      <c r="K103" s="68">
        <f>SUMIFS(PURCHASE!$K$6:$K$10008,PURCHASE!$A$6:$A$10008,$C$4:$N$4,PURCHASE!$Q$6:$Q$10008,$B$5:$B$1043)</f>
        <v>0</v>
      </c>
      <c r="L103" s="68">
        <f>SUMIFS(PURCHASE!$K$6:$K$10008,PURCHASE!$A$6:$A$10008,$C$4:$N$4,PURCHASE!$Q$6:$Q$10008,$B$5:$B$1043)</f>
        <v>0</v>
      </c>
      <c r="M103" s="68">
        <f>SUMIFS(PURCHASE!$K$6:$K$10008,PURCHASE!$A$6:$A$10008,$C$4:$N$4,PURCHASE!$Q$6:$Q$10008,$B$5:$B$1043)</f>
        <v>0</v>
      </c>
      <c r="N103" s="68">
        <f>SUMIFS(PURCHASE!$K$6:$K$10008,PURCHASE!$A$6:$A$10008,$C$4:$N$4,PURCHASE!$Q$6:$Q$10008,$B$5:$B$1043)</f>
        <v>0</v>
      </c>
      <c r="O103" s="71">
        <f t="shared" si="12"/>
        <v>0</v>
      </c>
    </row>
    <row r="104" spans="1:15" x14ac:dyDescent="0.2">
      <c r="A104" s="1030" t="s">
        <v>463</v>
      </c>
      <c r="B104" s="1031"/>
      <c r="C104" s="1031"/>
      <c r="D104" s="1031"/>
      <c r="E104" s="1031"/>
      <c r="F104" s="1031"/>
      <c r="G104" s="1031"/>
      <c r="H104" s="1031"/>
      <c r="I104" s="1031"/>
      <c r="J104" s="1031"/>
      <c r="K104" s="1031"/>
      <c r="L104" s="1031"/>
      <c r="M104" s="1031"/>
      <c r="N104" s="1031"/>
      <c r="O104" s="1032"/>
    </row>
    <row r="105" spans="1:15" x14ac:dyDescent="0.2">
      <c r="A105" s="66" t="s">
        <v>279</v>
      </c>
      <c r="B105" s="66"/>
      <c r="C105" s="98">
        <v>43556</v>
      </c>
      <c r="D105" s="98">
        <v>43586</v>
      </c>
      <c r="E105" s="98">
        <v>43617</v>
      </c>
      <c r="F105" s="98">
        <v>43647</v>
      </c>
      <c r="G105" s="98">
        <v>43678</v>
      </c>
      <c r="H105" s="98">
        <v>43709</v>
      </c>
      <c r="I105" s="98">
        <v>43739</v>
      </c>
      <c r="J105" s="98">
        <v>43770</v>
      </c>
      <c r="K105" s="98">
        <v>43800</v>
      </c>
      <c r="L105" s="98">
        <v>43831</v>
      </c>
      <c r="M105" s="98">
        <v>43862</v>
      </c>
      <c r="N105" s="98">
        <v>43891</v>
      </c>
      <c r="O105" s="66" t="s">
        <v>347</v>
      </c>
    </row>
    <row r="106" spans="1:15" ht="15" customHeight="1" x14ac:dyDescent="0.2">
      <c r="A106" s="34" t="s">
        <v>280</v>
      </c>
      <c r="B106" s="34"/>
      <c r="C106" s="68">
        <v>0</v>
      </c>
      <c r="D106" s="71"/>
      <c r="E106" s="71"/>
      <c r="F106" s="71"/>
      <c r="G106" s="71"/>
      <c r="H106" s="71"/>
      <c r="I106" s="71"/>
      <c r="J106" s="71"/>
      <c r="K106" s="71"/>
      <c r="L106" s="71"/>
      <c r="M106" s="71"/>
      <c r="N106" s="71"/>
      <c r="O106" s="71">
        <f t="shared" si="12"/>
        <v>0</v>
      </c>
    </row>
    <row r="107" spans="1:15" x14ac:dyDescent="0.2">
      <c r="A107" s="34" t="s">
        <v>281</v>
      </c>
      <c r="B107" s="34" t="s">
        <v>463</v>
      </c>
      <c r="C107" s="68"/>
      <c r="D107" s="68"/>
      <c r="E107" s="68"/>
      <c r="F107" s="68"/>
      <c r="G107" s="68"/>
      <c r="H107" s="68"/>
      <c r="I107" s="68"/>
      <c r="J107" s="68"/>
      <c r="K107" s="68"/>
      <c r="L107" s="68"/>
      <c r="M107" s="68"/>
      <c r="N107" s="68"/>
      <c r="O107" s="71">
        <f t="shared" si="12"/>
        <v>0</v>
      </c>
    </row>
    <row r="108" spans="1:15" x14ac:dyDescent="0.2">
      <c r="A108" s="34" t="s">
        <v>282</v>
      </c>
      <c r="B108" s="34" t="s">
        <v>463</v>
      </c>
      <c r="C108" s="68">
        <f>SUMIFS(PURCHASE!$K$6:$K$10008,PURCHASE!$A$6:$A$10008,$C$4:$N$4,PURCHASE!$Q$6:$Q$10008,$B$5:$B$1043)</f>
        <v>0</v>
      </c>
      <c r="D108" s="68">
        <f>SUMIFS(PURCHASE!$K$6:$K$10008,PURCHASE!$A$6:$A$10008,$C$4:$N$4,PURCHASE!$Q$6:$Q$10008,$B$5:$B$1043)</f>
        <v>0</v>
      </c>
      <c r="E108" s="68">
        <f>SUMIFS(PURCHASE!$K$6:$K$10008,PURCHASE!$A$6:$A$10008,$C$4:$N$4,PURCHASE!$Q$6:$Q$10008,$B$5:$B$1043)</f>
        <v>0</v>
      </c>
      <c r="F108" s="68">
        <f>SUMIFS(PURCHASE!$K$6:$K$10008,PURCHASE!$A$6:$A$10008,$C$4:$N$4,PURCHASE!$Q$6:$Q$10008,$B$5:$B$1043)</f>
        <v>0</v>
      </c>
      <c r="G108" s="68">
        <f>SUMIFS(PURCHASE!$K$6:$K$10008,PURCHASE!$A$6:$A$10008,$C$4:$N$4,PURCHASE!$Q$6:$Q$10008,$B$5:$B$1043)</f>
        <v>0</v>
      </c>
      <c r="H108" s="68">
        <f>SUMIFS(PURCHASE!$K$6:$K$10008,PURCHASE!$A$6:$A$10008,$C$4:$N$4,PURCHASE!$Q$6:$Q$10008,$B$5:$B$1043)</f>
        <v>0</v>
      </c>
      <c r="I108" s="68">
        <f>SUMIFS(PURCHASE!$K$6:$K$10008,PURCHASE!$A$6:$A$10008,$C$4:$N$4,PURCHASE!$Q$6:$Q$10008,$B$5:$B$1043)</f>
        <v>0</v>
      </c>
      <c r="J108" s="68">
        <f>SUMIFS(PURCHASE!$K$6:$K$10008,PURCHASE!$A$6:$A$10008,$C$4:$N$4,PURCHASE!$Q$6:$Q$10008,$B$5:$B$1043)</f>
        <v>0</v>
      </c>
      <c r="K108" s="68">
        <f>SUMIFS(PURCHASE!$K$6:$K$10008,PURCHASE!$A$6:$A$10008,$C$4:$N$4,PURCHASE!$Q$6:$Q$10008,$B$5:$B$1043)</f>
        <v>0</v>
      </c>
      <c r="L108" s="68">
        <f>SUMIFS(PURCHASE!$K$6:$K$10008,PURCHASE!$A$6:$A$10008,$C$4:$N$4,PURCHASE!$Q$6:$Q$10008,$B$5:$B$1043)</f>
        <v>0</v>
      </c>
      <c r="M108" s="68">
        <f>SUMIFS(PURCHASE!$K$6:$K$10008,PURCHASE!$A$6:$A$10008,$C$4:$N$4,PURCHASE!$Q$6:$Q$10008,$B$5:$B$1043)</f>
        <v>0</v>
      </c>
      <c r="N108" s="68">
        <f>SUMIFS(PURCHASE!$K$6:$K$10008,PURCHASE!$A$6:$A$10008,$C$4:$N$4,PURCHASE!$Q$6:$Q$10008,$B$5:$B$1043)</f>
        <v>0</v>
      </c>
      <c r="O108" s="71">
        <f t="shared" si="12"/>
        <v>0</v>
      </c>
    </row>
    <row r="109" spans="1:15" x14ac:dyDescent="0.2">
      <c r="A109" s="1021" t="s">
        <v>466</v>
      </c>
      <c r="B109" s="1022"/>
      <c r="C109" s="1022"/>
      <c r="D109" s="1022"/>
      <c r="E109" s="1022"/>
      <c r="F109" s="1022"/>
      <c r="G109" s="1022"/>
      <c r="H109" s="1022"/>
      <c r="I109" s="1022"/>
      <c r="J109" s="1022"/>
      <c r="K109" s="1022"/>
      <c r="L109" s="1022"/>
      <c r="M109" s="1022"/>
      <c r="N109" s="1022"/>
      <c r="O109" s="1023"/>
    </row>
    <row r="110" spans="1:15" x14ac:dyDescent="0.2">
      <c r="A110" s="66" t="s">
        <v>279</v>
      </c>
      <c r="B110" s="66"/>
      <c r="C110" s="98">
        <v>43556</v>
      </c>
      <c r="D110" s="98">
        <v>43586</v>
      </c>
      <c r="E110" s="98">
        <v>43617</v>
      </c>
      <c r="F110" s="98">
        <v>43647</v>
      </c>
      <c r="G110" s="98">
        <v>43678</v>
      </c>
      <c r="H110" s="98">
        <v>43709</v>
      </c>
      <c r="I110" s="98">
        <v>43739</v>
      </c>
      <c r="J110" s="98">
        <v>43770</v>
      </c>
      <c r="K110" s="98">
        <v>43800</v>
      </c>
      <c r="L110" s="98">
        <v>43831</v>
      </c>
      <c r="M110" s="98">
        <v>43862</v>
      </c>
      <c r="N110" s="98">
        <v>43891</v>
      </c>
      <c r="O110" s="66" t="s">
        <v>347</v>
      </c>
    </row>
    <row r="111" spans="1:15" x14ac:dyDescent="0.2">
      <c r="A111" s="34" t="s">
        <v>280</v>
      </c>
      <c r="B111" s="34"/>
      <c r="C111" s="68">
        <v>0</v>
      </c>
      <c r="D111" s="68"/>
      <c r="E111" s="68"/>
      <c r="F111" s="68"/>
      <c r="G111" s="68"/>
      <c r="H111" s="68"/>
      <c r="I111" s="68"/>
      <c r="J111" s="68"/>
      <c r="K111" s="68"/>
      <c r="L111" s="68"/>
      <c r="M111" s="68"/>
      <c r="N111" s="68"/>
      <c r="O111" s="71">
        <f t="shared" si="12"/>
        <v>0</v>
      </c>
    </row>
    <row r="112" spans="1:15" x14ac:dyDescent="0.2">
      <c r="A112" s="34" t="s">
        <v>281</v>
      </c>
      <c r="B112" s="34" t="s">
        <v>466</v>
      </c>
      <c r="C112" s="68"/>
      <c r="D112" s="68"/>
      <c r="E112" s="68"/>
      <c r="F112" s="68"/>
      <c r="G112" s="68"/>
      <c r="H112" s="68"/>
      <c r="I112" s="68"/>
      <c r="J112" s="68"/>
      <c r="K112" s="68"/>
      <c r="L112" s="68"/>
      <c r="M112" s="68"/>
      <c r="N112" s="68"/>
      <c r="O112" s="71">
        <f t="shared" si="12"/>
        <v>0</v>
      </c>
    </row>
    <row r="113" spans="1:15" x14ac:dyDescent="0.2">
      <c r="A113" s="34" t="s">
        <v>282</v>
      </c>
      <c r="B113" s="34" t="s">
        <v>466</v>
      </c>
      <c r="C113" s="68">
        <f>SUMIFS(PURCHASE!$K$6:$K$10008,PURCHASE!$A$6:$A$10008,$C$4:$N$4,PURCHASE!$Q$6:$Q$10008,$B$5:$B$1043)</f>
        <v>0</v>
      </c>
      <c r="D113" s="68">
        <f>SUMIFS(PURCHASE!$K$6:$K$10008,PURCHASE!$A$6:$A$10008,$C$4:$N$4,PURCHASE!$Q$6:$Q$10008,$B$5:$B$1043)</f>
        <v>0</v>
      </c>
      <c r="E113" s="68">
        <f>SUMIFS(PURCHASE!$K$6:$K$10008,PURCHASE!$A$6:$A$10008,$C$4:$N$4,PURCHASE!$Q$6:$Q$10008,$B$5:$B$1043)</f>
        <v>0</v>
      </c>
      <c r="F113" s="68">
        <f>SUMIFS(PURCHASE!$K$6:$K$10008,PURCHASE!$A$6:$A$10008,$C$4:$N$4,PURCHASE!$Q$6:$Q$10008,$B$5:$B$1043)</f>
        <v>0</v>
      </c>
      <c r="G113" s="68">
        <f>SUMIFS(PURCHASE!$K$6:$K$10008,PURCHASE!$A$6:$A$10008,$C$4:$N$4,PURCHASE!$Q$6:$Q$10008,$B$5:$B$1043)</f>
        <v>0</v>
      </c>
      <c r="H113" s="68">
        <f>SUMIFS(PURCHASE!$K$6:$K$10008,PURCHASE!$A$6:$A$10008,$C$4:$N$4,PURCHASE!$Q$6:$Q$10008,$B$5:$B$1043)</f>
        <v>0</v>
      </c>
      <c r="I113" s="68">
        <f>SUMIFS(PURCHASE!$K$6:$K$10008,PURCHASE!$A$6:$A$10008,$C$4:$N$4,PURCHASE!$Q$6:$Q$10008,$B$5:$B$1043)</f>
        <v>0</v>
      </c>
      <c r="J113" s="68">
        <f>SUMIFS(PURCHASE!$K$6:$K$10008,PURCHASE!$A$6:$A$10008,$C$4:$N$4,PURCHASE!$Q$6:$Q$10008,$B$5:$B$1043)</f>
        <v>0</v>
      </c>
      <c r="K113" s="68">
        <f>SUMIFS(PURCHASE!$K$6:$K$10008,PURCHASE!$A$6:$A$10008,$C$4:$N$4,PURCHASE!$Q$6:$Q$10008,$B$5:$B$1043)</f>
        <v>0</v>
      </c>
      <c r="L113" s="68">
        <f>SUMIFS(PURCHASE!$K$6:$K$10008,PURCHASE!$A$6:$A$10008,$C$4:$N$4,PURCHASE!$Q$6:$Q$10008,$B$5:$B$1043)</f>
        <v>0</v>
      </c>
      <c r="M113" s="68">
        <f>SUMIFS(PURCHASE!$K$6:$K$10008,PURCHASE!$A$6:$A$10008,$C$4:$N$4,PURCHASE!$Q$6:$Q$10008,$B$5:$B$1043)</f>
        <v>0</v>
      </c>
      <c r="N113" s="68">
        <f>SUMIFS(PURCHASE!$K$6:$K$10008,PURCHASE!$A$6:$A$10008,$C$4:$N$4,PURCHASE!$Q$6:$Q$10008,$B$5:$B$1043)</f>
        <v>0</v>
      </c>
      <c r="O113" s="71">
        <f t="shared" si="12"/>
        <v>0</v>
      </c>
    </row>
    <row r="114" spans="1:15" ht="15.75" customHeight="1" x14ac:dyDescent="0.2">
      <c r="A114" s="1027" t="s">
        <v>468</v>
      </c>
      <c r="B114" s="1028"/>
      <c r="C114" s="1028"/>
      <c r="D114" s="1028"/>
      <c r="E114" s="1028"/>
      <c r="F114" s="1028"/>
      <c r="G114" s="1028"/>
      <c r="H114" s="1028"/>
      <c r="I114" s="1028"/>
      <c r="J114" s="1028"/>
      <c r="K114" s="1028"/>
      <c r="L114" s="1028"/>
      <c r="M114" s="1028"/>
      <c r="N114" s="1028"/>
      <c r="O114" s="1029"/>
    </row>
    <row r="115" spans="1:15" x14ac:dyDescent="0.2">
      <c r="A115" s="66" t="s">
        <v>279</v>
      </c>
      <c r="B115" s="66"/>
      <c r="C115" s="98">
        <v>43556</v>
      </c>
      <c r="D115" s="98">
        <v>43586</v>
      </c>
      <c r="E115" s="98">
        <v>43617</v>
      </c>
      <c r="F115" s="98">
        <v>43647</v>
      </c>
      <c r="G115" s="98">
        <v>43678</v>
      </c>
      <c r="H115" s="98">
        <v>43709</v>
      </c>
      <c r="I115" s="98">
        <v>43739</v>
      </c>
      <c r="J115" s="98">
        <v>43770</v>
      </c>
      <c r="K115" s="98">
        <v>43800</v>
      </c>
      <c r="L115" s="98">
        <v>43831</v>
      </c>
      <c r="M115" s="98">
        <v>43862</v>
      </c>
      <c r="N115" s="98">
        <v>43891</v>
      </c>
      <c r="O115" s="66" t="s">
        <v>347</v>
      </c>
    </row>
    <row r="116" spans="1:15" x14ac:dyDescent="0.2">
      <c r="A116" s="34" t="s">
        <v>280</v>
      </c>
      <c r="B116" s="34"/>
      <c r="C116" s="68">
        <v>0</v>
      </c>
      <c r="D116" s="68"/>
      <c r="E116" s="68"/>
      <c r="F116" s="68"/>
      <c r="G116" s="68"/>
      <c r="H116" s="68"/>
      <c r="I116" s="68"/>
      <c r="J116" s="68"/>
      <c r="K116" s="68"/>
      <c r="L116" s="68"/>
      <c r="M116" s="68"/>
      <c r="N116" s="68"/>
      <c r="O116" s="71">
        <f t="shared" si="12"/>
        <v>0</v>
      </c>
    </row>
    <row r="117" spans="1:15" x14ac:dyDescent="0.2">
      <c r="A117" s="34" t="s">
        <v>281</v>
      </c>
      <c r="B117" s="34" t="s">
        <v>468</v>
      </c>
      <c r="C117" s="68"/>
      <c r="D117" s="68"/>
      <c r="E117" s="68"/>
      <c r="F117" s="68"/>
      <c r="G117" s="68"/>
      <c r="H117" s="68"/>
      <c r="I117" s="68"/>
      <c r="J117" s="68"/>
      <c r="K117" s="68"/>
      <c r="L117" s="68"/>
      <c r="M117" s="68"/>
      <c r="N117" s="68"/>
      <c r="O117" s="71">
        <f t="shared" si="12"/>
        <v>0</v>
      </c>
    </row>
    <row r="118" spans="1:15" x14ac:dyDescent="0.2">
      <c r="A118" s="34" t="s">
        <v>282</v>
      </c>
      <c r="B118" s="34" t="s">
        <v>468</v>
      </c>
      <c r="C118" s="68">
        <f>SUMIFS(PURCHASE!$K$6:$K$10008,PURCHASE!$A$6:$A$10008,$C$4:$N$4,PURCHASE!$Q$6:$Q$10008,$B$5:$B$1043)</f>
        <v>0</v>
      </c>
      <c r="D118" s="68">
        <f>SUMIFS(PURCHASE!$K$6:$K$10008,PURCHASE!$A$6:$A$10008,$C$4:$N$4,PURCHASE!$Q$6:$Q$10008,$B$5:$B$1043)</f>
        <v>0</v>
      </c>
      <c r="E118" s="68">
        <f>SUMIFS(PURCHASE!$K$6:$K$10008,PURCHASE!$A$6:$A$10008,$C$4:$N$4,PURCHASE!$Q$6:$Q$10008,$B$5:$B$1043)</f>
        <v>0</v>
      </c>
      <c r="F118" s="68">
        <f>SUMIFS(PURCHASE!$K$6:$K$10008,PURCHASE!$A$6:$A$10008,$C$4:$N$4,PURCHASE!$Q$6:$Q$10008,$B$5:$B$1043)</f>
        <v>0</v>
      </c>
      <c r="G118" s="68">
        <f>SUMIFS(PURCHASE!$K$6:$K$10008,PURCHASE!$A$6:$A$10008,$C$4:$N$4,PURCHASE!$Q$6:$Q$10008,$B$5:$B$1043)</f>
        <v>0</v>
      </c>
      <c r="H118" s="68">
        <f>SUMIFS(PURCHASE!$K$6:$K$10008,PURCHASE!$A$6:$A$10008,$C$4:$N$4,PURCHASE!$Q$6:$Q$10008,$B$5:$B$1043)</f>
        <v>0</v>
      </c>
      <c r="I118" s="68">
        <f>SUMIFS(PURCHASE!$K$6:$K$10008,PURCHASE!$A$6:$A$10008,$C$4:$N$4,PURCHASE!$Q$6:$Q$10008,$B$5:$B$1043)</f>
        <v>0</v>
      </c>
      <c r="J118" s="68">
        <f>SUMIFS(PURCHASE!$K$6:$K$10008,PURCHASE!$A$6:$A$10008,$C$4:$N$4,PURCHASE!$Q$6:$Q$10008,$B$5:$B$1043)</f>
        <v>0</v>
      </c>
      <c r="K118" s="68">
        <f>SUMIFS(PURCHASE!$K$6:$K$10008,PURCHASE!$A$6:$A$10008,$C$4:$N$4,PURCHASE!$Q$6:$Q$10008,$B$5:$B$1043)</f>
        <v>0</v>
      </c>
      <c r="L118" s="68">
        <f>SUMIFS(PURCHASE!$K$6:$K$10008,PURCHASE!$A$6:$A$10008,$C$4:$N$4,PURCHASE!$Q$6:$Q$10008,$B$5:$B$1043)</f>
        <v>0</v>
      </c>
      <c r="M118" s="68">
        <f>SUMIFS(PURCHASE!$K$6:$K$10008,PURCHASE!$A$6:$A$10008,$C$4:$N$4,PURCHASE!$Q$6:$Q$10008,$B$5:$B$1043)</f>
        <v>0</v>
      </c>
      <c r="N118" s="68">
        <f>SUMIFS(PURCHASE!$K$6:$K$10008,PURCHASE!$A$6:$A$10008,$C$4:$N$4,PURCHASE!$Q$6:$Q$10008,$B$5:$B$1043)</f>
        <v>0</v>
      </c>
      <c r="O118" s="71">
        <f t="shared" si="12"/>
        <v>0</v>
      </c>
    </row>
    <row r="119" spans="1:15" ht="15.75" customHeight="1" x14ac:dyDescent="0.2">
      <c r="A119" s="1033" t="s">
        <v>464</v>
      </c>
      <c r="B119" s="1034"/>
      <c r="C119" s="1034"/>
      <c r="D119" s="1034"/>
      <c r="E119" s="1034"/>
      <c r="F119" s="1034"/>
      <c r="G119" s="1034"/>
      <c r="H119" s="1034"/>
      <c r="I119" s="1034"/>
      <c r="J119" s="1034"/>
      <c r="K119" s="1034"/>
      <c r="L119" s="1034"/>
      <c r="M119" s="1034"/>
      <c r="N119" s="1034"/>
      <c r="O119" s="1035"/>
    </row>
    <row r="120" spans="1:15" x14ac:dyDescent="0.2">
      <c r="A120" s="66" t="s">
        <v>279</v>
      </c>
      <c r="B120" s="66"/>
      <c r="C120" s="98">
        <v>43556</v>
      </c>
      <c r="D120" s="98">
        <v>43586</v>
      </c>
      <c r="E120" s="98">
        <v>43617</v>
      </c>
      <c r="F120" s="98">
        <v>43647</v>
      </c>
      <c r="G120" s="98">
        <v>43678</v>
      </c>
      <c r="H120" s="98">
        <v>43709</v>
      </c>
      <c r="I120" s="98">
        <v>43739</v>
      </c>
      <c r="J120" s="98">
        <v>43770</v>
      </c>
      <c r="K120" s="98">
        <v>43800</v>
      </c>
      <c r="L120" s="98">
        <v>43831</v>
      </c>
      <c r="M120" s="98">
        <v>43862</v>
      </c>
      <c r="N120" s="98">
        <v>43891</v>
      </c>
      <c r="O120" s="66" t="s">
        <v>347</v>
      </c>
    </row>
    <row r="121" spans="1:15" x14ac:dyDescent="0.2">
      <c r="A121" s="34" t="s">
        <v>280</v>
      </c>
      <c r="B121" s="34"/>
      <c r="C121" s="68">
        <v>0</v>
      </c>
      <c r="D121" s="68"/>
      <c r="E121" s="68"/>
      <c r="F121" s="68"/>
      <c r="G121" s="68"/>
      <c r="H121" s="68"/>
      <c r="I121" s="68"/>
      <c r="J121" s="68"/>
      <c r="K121" s="68"/>
      <c r="L121" s="68"/>
      <c r="M121" s="68"/>
      <c r="N121" s="68"/>
      <c r="O121" s="71">
        <f t="shared" si="12"/>
        <v>0</v>
      </c>
    </row>
    <row r="122" spans="1:15" x14ac:dyDescent="0.2">
      <c r="A122" s="34" t="s">
        <v>281</v>
      </c>
      <c r="B122" s="34" t="s">
        <v>464</v>
      </c>
      <c r="C122" s="68"/>
      <c r="D122" s="68"/>
      <c r="E122" s="68"/>
      <c r="F122" s="68"/>
      <c r="G122" s="68"/>
      <c r="H122" s="68"/>
      <c r="I122" s="68"/>
      <c r="J122" s="68"/>
      <c r="K122" s="68"/>
      <c r="L122" s="68"/>
      <c r="M122" s="68"/>
      <c r="N122" s="68"/>
      <c r="O122" s="71">
        <f t="shared" si="12"/>
        <v>0</v>
      </c>
    </row>
    <row r="123" spans="1:15" x14ac:dyDescent="0.2">
      <c r="A123" s="34" t="s">
        <v>282</v>
      </c>
      <c r="B123" s="34" t="s">
        <v>464</v>
      </c>
      <c r="C123" s="68">
        <f>SUMIFS(PURCHASE!$K$6:$K$10008,PURCHASE!$A$6:$A$10008,$C$4:$N$4,PURCHASE!$Q$6:$Q$10008,$B$5:$B$1043)</f>
        <v>0</v>
      </c>
      <c r="D123" s="68">
        <f>SUMIFS(PURCHASE!$K$6:$K$10008,PURCHASE!$A$6:$A$10008,$C$4:$N$4,PURCHASE!$Q$6:$Q$10008,$B$5:$B$1043)</f>
        <v>0</v>
      </c>
      <c r="E123" s="68">
        <f>SUMIFS(PURCHASE!$K$6:$K$10008,PURCHASE!$A$6:$A$10008,$C$4:$N$4,PURCHASE!$Q$6:$Q$10008,$B$5:$B$1043)</f>
        <v>0</v>
      </c>
      <c r="F123" s="68">
        <f>SUMIFS(PURCHASE!$K$6:$K$10008,PURCHASE!$A$6:$A$10008,$C$4:$N$4,PURCHASE!$Q$6:$Q$10008,$B$5:$B$1043)</f>
        <v>0</v>
      </c>
      <c r="G123" s="68">
        <f>SUMIFS(PURCHASE!$K$6:$K$10008,PURCHASE!$A$6:$A$10008,$C$4:$N$4,PURCHASE!$Q$6:$Q$10008,$B$5:$B$1043)</f>
        <v>0</v>
      </c>
      <c r="H123" s="68">
        <f>SUMIFS(PURCHASE!$K$6:$K$10008,PURCHASE!$A$6:$A$10008,$C$4:$N$4,PURCHASE!$Q$6:$Q$10008,$B$5:$B$1043)</f>
        <v>0</v>
      </c>
      <c r="I123" s="68">
        <f>SUMIFS(PURCHASE!$K$6:$K$10008,PURCHASE!$A$6:$A$10008,$C$4:$N$4,PURCHASE!$Q$6:$Q$10008,$B$5:$B$1043)</f>
        <v>0</v>
      </c>
      <c r="J123" s="68">
        <f>SUMIFS(PURCHASE!$K$6:$K$10008,PURCHASE!$A$6:$A$10008,$C$4:$N$4,PURCHASE!$Q$6:$Q$10008,$B$5:$B$1043)</f>
        <v>0</v>
      </c>
      <c r="K123" s="68">
        <f>SUMIFS(PURCHASE!$K$6:$K$10008,PURCHASE!$A$6:$A$10008,$C$4:$N$4,PURCHASE!$Q$6:$Q$10008,$B$5:$B$1043)</f>
        <v>0</v>
      </c>
      <c r="L123" s="68">
        <f>SUMIFS(PURCHASE!$K$6:$K$10008,PURCHASE!$A$6:$A$10008,$C$4:$N$4,PURCHASE!$Q$6:$Q$10008,$B$5:$B$1043)</f>
        <v>0</v>
      </c>
      <c r="M123" s="68">
        <f>SUMIFS(PURCHASE!$K$6:$K$10008,PURCHASE!$A$6:$A$10008,$C$4:$N$4,PURCHASE!$Q$6:$Q$10008,$B$5:$B$1043)</f>
        <v>0</v>
      </c>
      <c r="N123" s="68">
        <f>SUMIFS(PURCHASE!$K$6:$K$10008,PURCHASE!$A$6:$A$10008,$C$4:$N$4,PURCHASE!$Q$6:$Q$10008,$B$5:$B$1043)</f>
        <v>0</v>
      </c>
      <c r="O123" s="71">
        <f t="shared" si="12"/>
        <v>0</v>
      </c>
    </row>
    <row r="124" spans="1:15" x14ac:dyDescent="0.2">
      <c r="A124" s="1036" t="s">
        <v>376</v>
      </c>
      <c r="B124" s="1037"/>
      <c r="C124" s="1037"/>
      <c r="D124" s="1037"/>
      <c r="E124" s="1037"/>
      <c r="F124" s="1037"/>
      <c r="G124" s="1037"/>
      <c r="H124" s="1037"/>
      <c r="I124" s="1037"/>
      <c r="J124" s="1037"/>
      <c r="K124" s="1037"/>
      <c r="L124" s="1037"/>
      <c r="M124" s="1037"/>
      <c r="N124" s="1037"/>
      <c r="O124" s="1038"/>
    </row>
    <row r="125" spans="1:15" x14ac:dyDescent="0.2">
      <c r="A125" s="66" t="s">
        <v>279</v>
      </c>
      <c r="B125" s="66"/>
      <c r="C125" s="98">
        <v>43556</v>
      </c>
      <c r="D125" s="98">
        <v>43586</v>
      </c>
      <c r="E125" s="98">
        <v>43617</v>
      </c>
      <c r="F125" s="98">
        <v>43647</v>
      </c>
      <c r="G125" s="98">
        <v>43678</v>
      </c>
      <c r="H125" s="98">
        <v>43709</v>
      </c>
      <c r="I125" s="98">
        <v>43739</v>
      </c>
      <c r="J125" s="98">
        <v>43770</v>
      </c>
      <c r="K125" s="98">
        <v>43800</v>
      </c>
      <c r="L125" s="98">
        <v>43831</v>
      </c>
      <c r="M125" s="98">
        <v>43862</v>
      </c>
      <c r="N125" s="98">
        <v>43891</v>
      </c>
      <c r="O125" s="66" t="s">
        <v>347</v>
      </c>
    </row>
    <row r="126" spans="1:15" x14ac:dyDescent="0.2">
      <c r="A126" s="34" t="s">
        <v>280</v>
      </c>
      <c r="B126" s="34"/>
      <c r="C126" s="68">
        <v>0</v>
      </c>
      <c r="D126" s="68"/>
      <c r="E126" s="68"/>
      <c r="F126" s="68"/>
      <c r="G126" s="68"/>
      <c r="H126" s="68"/>
      <c r="I126" s="68"/>
      <c r="J126" s="68"/>
      <c r="K126" s="68"/>
      <c r="L126" s="68"/>
      <c r="M126" s="68"/>
      <c r="N126" s="68"/>
      <c r="O126" s="71">
        <f t="shared" si="12"/>
        <v>0</v>
      </c>
    </row>
    <row r="127" spans="1:15" x14ac:dyDescent="0.2">
      <c r="A127" s="34" t="s">
        <v>281</v>
      </c>
      <c r="B127" s="34" t="s">
        <v>376</v>
      </c>
      <c r="C127" s="68">
        <f t="shared" ref="C127:N127" si="18">+C128+C129+C130</f>
        <v>0</v>
      </c>
      <c r="D127" s="68">
        <f t="shared" si="18"/>
        <v>0</v>
      </c>
      <c r="E127" s="68">
        <f t="shared" si="18"/>
        <v>0</v>
      </c>
      <c r="F127" s="68">
        <f t="shared" si="18"/>
        <v>0</v>
      </c>
      <c r="G127" s="68">
        <f t="shared" si="18"/>
        <v>0</v>
      </c>
      <c r="H127" s="68">
        <f t="shared" si="18"/>
        <v>0</v>
      </c>
      <c r="I127" s="68">
        <f t="shared" si="18"/>
        <v>0</v>
      </c>
      <c r="J127" s="68">
        <f t="shared" si="18"/>
        <v>0</v>
      </c>
      <c r="K127" s="68">
        <f t="shared" si="18"/>
        <v>0</v>
      </c>
      <c r="L127" s="68">
        <f t="shared" si="18"/>
        <v>0</v>
      </c>
      <c r="M127" s="68">
        <f t="shared" si="18"/>
        <v>0</v>
      </c>
      <c r="N127" s="68">
        <f t="shared" si="18"/>
        <v>0</v>
      </c>
      <c r="O127" s="71">
        <f t="shared" si="12"/>
        <v>0</v>
      </c>
    </row>
    <row r="128" spans="1:15" x14ac:dyDescent="0.2">
      <c r="A128" s="34" t="s">
        <v>282</v>
      </c>
      <c r="B128" s="34" t="s">
        <v>376</v>
      </c>
      <c r="C128" s="68">
        <f>SUMIFS(PURCHASE!$K$6:$K$10008,PURCHASE!$A$6:$A$10008,$C$4:$N$4,PURCHASE!$Q$6:$Q$10008,$B$5:$B$1043)</f>
        <v>0</v>
      </c>
      <c r="D128" s="68">
        <f>SUMIFS(PURCHASE!$K$6:$K$10008,PURCHASE!$A$6:$A$10008,$C$4:$N$4,PURCHASE!$Q$6:$Q$10008,$B$5:$B$1043)</f>
        <v>0</v>
      </c>
      <c r="E128" s="68">
        <f>SUMIFS(PURCHASE!$K$6:$K$10008,PURCHASE!$A$6:$A$10008,$C$4:$N$4,PURCHASE!$Q$6:$Q$10008,$B$5:$B$1043)</f>
        <v>0</v>
      </c>
      <c r="F128" s="68">
        <f>SUMIFS(PURCHASE!$K$6:$K$10008,PURCHASE!$A$6:$A$10008,$C$4:$N$4,PURCHASE!$Q$6:$Q$10008,$B$5:$B$1043)</f>
        <v>0</v>
      </c>
      <c r="G128" s="68">
        <f>SUMIFS(PURCHASE!$K$6:$K$10008,PURCHASE!$A$6:$A$10008,$C$4:$N$4,PURCHASE!$Q$6:$Q$10008,$B$5:$B$1043)</f>
        <v>0</v>
      </c>
      <c r="H128" s="68">
        <f>SUMIFS(PURCHASE!$K$6:$K$10008,PURCHASE!$A$6:$A$10008,$C$4:$N$4,PURCHASE!$Q$6:$Q$10008,$B$5:$B$1043)</f>
        <v>0</v>
      </c>
      <c r="I128" s="68">
        <f>SUMIFS(PURCHASE!$K$6:$K$10008,PURCHASE!$A$6:$A$10008,$C$4:$N$4,PURCHASE!$Q$6:$Q$10008,$B$5:$B$1043)</f>
        <v>0</v>
      </c>
      <c r="J128" s="68">
        <f>SUMIFS(PURCHASE!$K$6:$K$10008,PURCHASE!$A$6:$A$10008,$C$4:$N$4,PURCHASE!$Q$6:$Q$10008,$B$5:$B$1043)</f>
        <v>0</v>
      </c>
      <c r="K128" s="68">
        <f>SUMIFS(PURCHASE!$K$6:$K$10008,PURCHASE!$A$6:$A$10008,$C$4:$N$4,PURCHASE!$Q$6:$Q$10008,$B$5:$B$1043)</f>
        <v>0</v>
      </c>
      <c r="L128" s="68">
        <f>SUMIFS(PURCHASE!$K$6:$K$10008,PURCHASE!$A$6:$A$10008,$C$4:$N$4,PURCHASE!$Q$6:$Q$10008,$B$5:$B$1043)</f>
        <v>0</v>
      </c>
      <c r="M128" s="68">
        <f>SUMIFS(PURCHASE!$K$6:$K$10008,PURCHASE!$A$6:$A$10008,$C$4:$N$4,PURCHASE!$Q$6:$Q$10008,$B$5:$B$1043)</f>
        <v>0</v>
      </c>
      <c r="N128" s="68">
        <f>SUMIFS(PURCHASE!$K$6:$K$10008,PURCHASE!$A$6:$A$10008,$C$4:$N$4,PURCHASE!$Q$6:$Q$10008,$B$5:$B$1043)</f>
        <v>0</v>
      </c>
      <c r="O128" s="71">
        <f t="shared" si="12"/>
        <v>0</v>
      </c>
    </row>
    <row r="129" spans="1:15" x14ac:dyDescent="0.2">
      <c r="A129" s="34" t="s">
        <v>283</v>
      </c>
      <c r="B129" s="34" t="s">
        <v>376</v>
      </c>
      <c r="C129" s="68">
        <f>SUMIFS(PURCHASE!$L$6:$L$10008,PURCHASE!$A$6:$A$10008,$C$4:$N$4,PURCHASE!$Q$6:$Q$10008,$B$5:$B$1043)</f>
        <v>0</v>
      </c>
      <c r="D129" s="68">
        <f>SUMIFS(PURCHASE!$L$6:$L$10008,PURCHASE!$A$6:$A$10008,$C$4:$N$4,PURCHASE!$Q$6:$Q$10008,$B$5:$B$1043)</f>
        <v>0</v>
      </c>
      <c r="E129" s="68">
        <f>SUMIFS(PURCHASE!$L$6:$L$10008,PURCHASE!$A$6:$A$10008,$C$4:$N$4,PURCHASE!$Q$6:$Q$10008,$B$5:$B$1043)</f>
        <v>0</v>
      </c>
      <c r="F129" s="68">
        <f>SUMIFS(PURCHASE!$L$6:$L$10008,PURCHASE!$A$6:$A$10008,$C$4:$N$4,PURCHASE!$Q$6:$Q$10008,$B$5:$B$1043)</f>
        <v>0</v>
      </c>
      <c r="G129" s="68">
        <f>SUMIFS(PURCHASE!$L$6:$L$10008,PURCHASE!$A$6:$A$10008,$C$4:$N$4,PURCHASE!$Q$6:$Q$10008,$B$5:$B$1043)</f>
        <v>0</v>
      </c>
      <c r="H129" s="68">
        <f>SUMIFS(PURCHASE!$L$6:$L$10008,PURCHASE!$A$6:$A$10008,$C$4:$N$4,PURCHASE!$Q$6:$Q$10008,$B$5:$B$1043)</f>
        <v>0</v>
      </c>
      <c r="I129" s="68">
        <f>SUMIFS(PURCHASE!$L$6:$L$10008,PURCHASE!$A$6:$A$10008,$C$4:$N$4,PURCHASE!$Q$6:$Q$10008,$B$5:$B$1043)</f>
        <v>0</v>
      </c>
      <c r="J129" s="68">
        <f>SUMIFS(PURCHASE!$L$6:$L$10008,PURCHASE!$A$6:$A$10008,$C$4:$N$4,PURCHASE!$Q$6:$Q$10008,$B$5:$B$1043)</f>
        <v>0</v>
      </c>
      <c r="K129" s="68">
        <f>SUMIFS(PURCHASE!$L$6:$L$10008,PURCHASE!$A$6:$A$10008,$C$4:$N$4,PURCHASE!$Q$6:$Q$10008,$B$5:$B$1043)</f>
        <v>0</v>
      </c>
      <c r="L129" s="68">
        <f>SUMIFS(PURCHASE!$L$6:$L$10008,PURCHASE!$A$6:$A$10008,$C$4:$N$4,PURCHASE!$Q$6:$Q$10008,$B$5:$B$1043)</f>
        <v>0</v>
      </c>
      <c r="M129" s="68">
        <f>SUMIFS(PURCHASE!$L$6:$L$10008,PURCHASE!$A$6:$A$10008,$C$4:$N$4,PURCHASE!$Q$6:$Q$10008,$B$5:$B$1043)</f>
        <v>0</v>
      </c>
      <c r="N129" s="68">
        <f>SUMIFS(PURCHASE!$L$6:$L$10008,PURCHASE!$A$6:$A$10008,$C$4:$N$4,PURCHASE!$Q$6:$Q$10008,$B$5:$B$1043)</f>
        <v>0</v>
      </c>
      <c r="O129" s="71">
        <f t="shared" si="12"/>
        <v>0</v>
      </c>
    </row>
    <row r="130" spans="1:15" x14ac:dyDescent="0.2">
      <c r="A130" s="34" t="s">
        <v>284</v>
      </c>
      <c r="B130" s="34" t="s">
        <v>376</v>
      </c>
      <c r="C130" s="68">
        <f>SUMIFS(PURCHASE!$M$6:$M$10008,PURCHASE!$A$6:$A$10008,$C$4:$N$4,PURCHASE!$Q$6:$Q$10008,$B$5:$B$1043)</f>
        <v>0</v>
      </c>
      <c r="D130" s="68">
        <f>SUMIFS(PURCHASE!$M$6:$M$10008,PURCHASE!$A$6:$A$10008,$C$4:$N$4,PURCHASE!$Q$6:$Q$10008,$B$5:$B$1043)</f>
        <v>0</v>
      </c>
      <c r="E130" s="68">
        <f>SUMIFS(PURCHASE!$M$6:$M$10008,PURCHASE!$A$6:$A$10008,$C$4:$N$4,PURCHASE!$Q$6:$Q$10008,$B$5:$B$1043)</f>
        <v>0</v>
      </c>
      <c r="F130" s="68">
        <f>SUMIFS(PURCHASE!$M$6:$M$10008,PURCHASE!$A$6:$A$10008,$C$4:$N$4,PURCHASE!$Q$6:$Q$10008,$B$5:$B$1043)</f>
        <v>0</v>
      </c>
      <c r="G130" s="68">
        <f>SUMIFS(PURCHASE!$M$6:$M$10008,PURCHASE!$A$6:$A$10008,$C$4:$N$4,PURCHASE!$Q$6:$Q$10008,$B$5:$B$1043)</f>
        <v>0</v>
      </c>
      <c r="H130" s="68">
        <f>SUMIFS(PURCHASE!$M$6:$M$10008,PURCHASE!$A$6:$A$10008,$C$4:$N$4,PURCHASE!$Q$6:$Q$10008,$B$5:$B$1043)</f>
        <v>0</v>
      </c>
      <c r="I130" s="68">
        <f>SUMIFS(PURCHASE!$M$6:$M$10008,PURCHASE!$A$6:$A$10008,$C$4:$N$4,PURCHASE!$Q$6:$Q$10008,$B$5:$B$1043)</f>
        <v>0</v>
      </c>
      <c r="J130" s="68">
        <f>SUMIFS(PURCHASE!$M$6:$M$10008,PURCHASE!$A$6:$A$10008,$C$4:$N$4,PURCHASE!$Q$6:$Q$10008,$B$5:$B$1043)</f>
        <v>0</v>
      </c>
      <c r="K130" s="68">
        <f>SUMIFS(PURCHASE!$M$6:$M$10008,PURCHASE!$A$6:$A$10008,$C$4:$N$4,PURCHASE!$Q$6:$Q$10008,$B$5:$B$1043)</f>
        <v>0</v>
      </c>
      <c r="L130" s="68">
        <f>SUMIFS(PURCHASE!$M$6:$M$10008,PURCHASE!$A$6:$A$10008,$C$4:$N$4,PURCHASE!$Q$6:$Q$10008,$B$5:$B$1043)</f>
        <v>0</v>
      </c>
      <c r="M130" s="68">
        <f>SUMIFS(PURCHASE!$M$6:$M$10008,PURCHASE!$A$6:$A$10008,$C$4:$N$4,PURCHASE!$Q$6:$Q$10008,$B$5:$B$1043)</f>
        <v>0</v>
      </c>
      <c r="N130" s="68">
        <f>SUMIFS(PURCHASE!$M$6:$M$10008,PURCHASE!$A$6:$A$10008,$C$4:$N$4,PURCHASE!$Q$6:$Q$10008,$B$5:$B$1043)</f>
        <v>0</v>
      </c>
      <c r="O130" s="71">
        <f t="shared" si="12"/>
        <v>0</v>
      </c>
    </row>
    <row r="131" spans="1:15" x14ac:dyDescent="0.2">
      <c r="A131" s="34" t="s">
        <v>285</v>
      </c>
      <c r="B131" s="34" t="s">
        <v>376</v>
      </c>
      <c r="C131" s="68">
        <f>SUMIFS(PURCHASE!$N$6:$N$10008,PURCHASE!$A$6:$A$10008,$C$4:$N$4,PURCHASE!$Q$6:$Q$10008,$B$5:$B$1043)</f>
        <v>0</v>
      </c>
      <c r="D131" s="68">
        <f>SUMIFS(PURCHASE!$N$6:$N$10008,PURCHASE!$A$6:$A$10008,$C$4:$N$4,PURCHASE!$Q$6:$Q$10008,$B$5:$B$1043)</f>
        <v>0</v>
      </c>
      <c r="E131" s="68">
        <f>SUMIFS(PURCHASE!$N$6:$N$10008,PURCHASE!$A$6:$A$10008,$C$4:$N$4,PURCHASE!$Q$6:$Q$10008,$B$5:$B$1043)</f>
        <v>0</v>
      </c>
      <c r="F131" s="68">
        <f>SUMIFS(PURCHASE!$N$6:$N$10008,PURCHASE!$A$6:$A$10008,$C$4:$N$4,PURCHASE!$Q$6:$Q$10008,$B$5:$B$1043)</f>
        <v>0</v>
      </c>
      <c r="G131" s="68">
        <f>SUMIFS(PURCHASE!$N$6:$N$10008,PURCHASE!$A$6:$A$10008,$C$4:$N$4,PURCHASE!$Q$6:$Q$10008,$B$5:$B$1043)</f>
        <v>0</v>
      </c>
      <c r="H131" s="68">
        <f>SUMIFS(PURCHASE!$N$6:$N$10008,PURCHASE!$A$6:$A$10008,$C$4:$N$4,PURCHASE!$Q$6:$Q$10008,$B$5:$B$1043)</f>
        <v>0</v>
      </c>
      <c r="I131" s="68">
        <f>SUMIFS(PURCHASE!$N$6:$N$10008,PURCHASE!$A$6:$A$10008,$C$4:$N$4,PURCHASE!$Q$6:$Q$10008,$B$5:$B$1043)</f>
        <v>0</v>
      </c>
      <c r="J131" s="68">
        <f>SUMIFS(PURCHASE!$N$6:$N$10008,PURCHASE!$A$6:$A$10008,$C$4:$N$4,PURCHASE!$Q$6:$Q$10008,$B$5:$B$1043)</f>
        <v>0</v>
      </c>
      <c r="K131" s="68">
        <f>SUMIFS(PURCHASE!$N$6:$N$10008,PURCHASE!$A$6:$A$10008,$C$4:$N$4,PURCHASE!$Q$6:$Q$10008,$B$5:$B$1043)</f>
        <v>0</v>
      </c>
      <c r="L131" s="68">
        <f>SUMIFS(PURCHASE!$N$6:$N$10008,PURCHASE!$A$6:$A$10008,$C$4:$N$4,PURCHASE!$Q$6:$Q$10008,$B$5:$B$1043)</f>
        <v>0</v>
      </c>
      <c r="M131" s="68">
        <f>SUMIFS(PURCHASE!$N$6:$N$10008,PURCHASE!$A$6:$A$10008,$C$4:$N$4,PURCHASE!$Q$6:$Q$10008,$B$5:$B$1043)</f>
        <v>0</v>
      </c>
      <c r="N131" s="68">
        <f>SUMIFS(PURCHASE!$N$6:$N$10008,PURCHASE!$A$6:$A$10008,$C$4:$N$4,PURCHASE!$Q$6:$Q$10008,$B$5:$B$1043)</f>
        <v>0</v>
      </c>
      <c r="O131" s="71">
        <f t="shared" si="12"/>
        <v>0</v>
      </c>
    </row>
    <row r="132" spans="1:15" x14ac:dyDescent="0.2">
      <c r="A132" s="34" t="s">
        <v>286</v>
      </c>
      <c r="B132" s="34" t="s">
        <v>376</v>
      </c>
      <c r="C132" s="68">
        <f>SUMIFS(PURCHASE!$O$6:$O$10008,PURCHASE!$A$6:$A$10008,$C$4:$N$4,PURCHASE!$Q$6:$Q$10008,$B$5:$B$1043)</f>
        <v>0</v>
      </c>
      <c r="D132" s="68">
        <f>SUMIFS(PURCHASE!$O$6:$O$10008,PURCHASE!$A$6:$A$10008,$C$4:$N$4,PURCHASE!$Q$6:$Q$10008,$B$5:$B$1043)</f>
        <v>0</v>
      </c>
      <c r="E132" s="68">
        <f>SUMIFS(PURCHASE!$O$6:$O$10008,PURCHASE!$A$6:$A$10008,$C$4:$N$4,PURCHASE!$Q$6:$Q$10008,$B$5:$B$1043)</f>
        <v>0</v>
      </c>
      <c r="F132" s="68">
        <f>SUMIFS(PURCHASE!$O$6:$O$10008,PURCHASE!$A$6:$A$10008,$C$4:$N$4,PURCHASE!$Q$6:$Q$10008,$B$5:$B$1043)</f>
        <v>0</v>
      </c>
      <c r="G132" s="68">
        <f>SUMIFS(PURCHASE!$O$6:$O$10008,PURCHASE!$A$6:$A$10008,$C$4:$N$4,PURCHASE!$Q$6:$Q$10008,$B$5:$B$1043)</f>
        <v>0</v>
      </c>
      <c r="H132" s="68">
        <f>SUMIFS(PURCHASE!$O$6:$O$10008,PURCHASE!$A$6:$A$10008,$C$4:$N$4,PURCHASE!$Q$6:$Q$10008,$B$5:$B$1043)</f>
        <v>0</v>
      </c>
      <c r="I132" s="68">
        <f>SUMIFS(PURCHASE!$O$6:$O$10008,PURCHASE!$A$6:$A$10008,$C$4:$N$4,PURCHASE!$Q$6:$Q$10008,$B$5:$B$1043)</f>
        <v>0</v>
      </c>
      <c r="J132" s="68">
        <f>SUMIFS(PURCHASE!$O$6:$O$10008,PURCHASE!$A$6:$A$10008,$C$4:$N$4,PURCHASE!$Q$6:$Q$10008,$B$5:$B$1043)</f>
        <v>0</v>
      </c>
      <c r="K132" s="68">
        <f>SUMIFS(PURCHASE!$O$6:$O$10008,PURCHASE!$A$6:$A$10008,$C$4:$N$4,PURCHASE!$Q$6:$Q$10008,$B$5:$B$1043)</f>
        <v>0</v>
      </c>
      <c r="L132" s="68">
        <f>SUMIFS(PURCHASE!$O$6:$O$10008,PURCHASE!$A$6:$A$10008,$C$4:$N$4,PURCHASE!$Q$6:$Q$10008,$B$5:$B$1043)</f>
        <v>0</v>
      </c>
      <c r="M132" s="68">
        <f>SUMIFS(PURCHASE!$O$6:$O$10008,PURCHASE!$A$6:$A$10008,$C$4:$N$4,PURCHASE!$Q$6:$Q$10008,$B$5:$B$1043)</f>
        <v>0</v>
      </c>
      <c r="N132" s="68">
        <f>SUMIFS(PURCHASE!$O$6:$O$10008,PURCHASE!$A$6:$A$10008,$C$4:$N$4,PURCHASE!$Q$6:$Q$10008,$B$5:$B$1043)</f>
        <v>0</v>
      </c>
      <c r="O132" s="71">
        <f t="shared" si="12"/>
        <v>0</v>
      </c>
    </row>
    <row r="133" spans="1:15" ht="15.75" customHeight="1" x14ac:dyDescent="0.2">
      <c r="A133" s="1046" t="s">
        <v>408</v>
      </c>
      <c r="B133" s="1047"/>
      <c r="C133" s="1047"/>
      <c r="D133" s="1047"/>
      <c r="E133" s="1047"/>
      <c r="F133" s="1047"/>
      <c r="G133" s="1047"/>
      <c r="H133" s="1047"/>
      <c r="I133" s="1047"/>
      <c r="J133" s="1047"/>
      <c r="K133" s="1047"/>
      <c r="L133" s="1047"/>
      <c r="M133" s="1047"/>
      <c r="N133" s="1047"/>
      <c r="O133" s="1048"/>
    </row>
    <row r="134" spans="1:15" x14ac:dyDescent="0.2">
      <c r="A134" s="66" t="s">
        <v>279</v>
      </c>
      <c r="B134" s="66"/>
      <c r="C134" s="98">
        <v>43556</v>
      </c>
      <c r="D134" s="98">
        <v>43586</v>
      </c>
      <c r="E134" s="98">
        <v>43617</v>
      </c>
      <c r="F134" s="98">
        <v>43647</v>
      </c>
      <c r="G134" s="98">
        <v>43678</v>
      </c>
      <c r="H134" s="98">
        <v>43709</v>
      </c>
      <c r="I134" s="98">
        <v>43739</v>
      </c>
      <c r="J134" s="98">
        <v>43770</v>
      </c>
      <c r="K134" s="98">
        <v>43800</v>
      </c>
      <c r="L134" s="98">
        <v>43831</v>
      </c>
      <c r="M134" s="98">
        <v>43862</v>
      </c>
      <c r="N134" s="98">
        <v>43891</v>
      </c>
      <c r="O134" s="66" t="s">
        <v>347</v>
      </c>
    </row>
    <row r="135" spans="1:15" x14ac:dyDescent="0.2">
      <c r="A135" s="34" t="s">
        <v>280</v>
      </c>
      <c r="B135" s="34"/>
      <c r="C135" s="68">
        <v>0</v>
      </c>
      <c r="D135" s="68"/>
      <c r="E135" s="68"/>
      <c r="F135" s="68"/>
      <c r="G135" s="68"/>
      <c r="H135" s="68"/>
      <c r="I135" s="68"/>
      <c r="J135" s="68"/>
      <c r="K135" s="68"/>
      <c r="L135" s="68"/>
      <c r="M135" s="68"/>
      <c r="N135" s="68"/>
      <c r="O135" s="71">
        <f t="shared" ref="O135:O204" si="19">SUM(C135:N135)</f>
        <v>0</v>
      </c>
    </row>
    <row r="136" spans="1:15" x14ac:dyDescent="0.2">
      <c r="A136" s="34" t="s">
        <v>281</v>
      </c>
      <c r="B136" s="34" t="s">
        <v>408</v>
      </c>
      <c r="C136" s="68">
        <f t="shared" ref="C136:N136" si="20">+C137+C138+C139</f>
        <v>0</v>
      </c>
      <c r="D136" s="68">
        <f t="shared" si="20"/>
        <v>0</v>
      </c>
      <c r="E136" s="68">
        <f t="shared" si="20"/>
        <v>0</v>
      </c>
      <c r="F136" s="68">
        <f t="shared" si="20"/>
        <v>0</v>
      </c>
      <c r="G136" s="68">
        <f t="shared" si="20"/>
        <v>0</v>
      </c>
      <c r="H136" s="68">
        <f t="shared" si="20"/>
        <v>0</v>
      </c>
      <c r="I136" s="68">
        <f t="shared" si="20"/>
        <v>0</v>
      </c>
      <c r="J136" s="68">
        <f t="shared" si="20"/>
        <v>0</v>
      </c>
      <c r="K136" s="68">
        <f t="shared" si="20"/>
        <v>0</v>
      </c>
      <c r="L136" s="68">
        <f t="shared" si="20"/>
        <v>0</v>
      </c>
      <c r="M136" s="68">
        <f t="shared" si="20"/>
        <v>0</v>
      </c>
      <c r="N136" s="68">
        <f t="shared" si="20"/>
        <v>0</v>
      </c>
      <c r="O136" s="71">
        <f t="shared" si="19"/>
        <v>0</v>
      </c>
    </row>
    <row r="137" spans="1:15" x14ac:dyDescent="0.2">
      <c r="A137" s="34" t="s">
        <v>282</v>
      </c>
      <c r="B137" s="34" t="s">
        <v>408</v>
      </c>
      <c r="C137" s="68">
        <f>SUMIFS(PURCHASE!$K$6:$K$10008,PURCHASE!$A$6:$A$10008,$C$4:$N$4,PURCHASE!$Q$6:$Q$10008,$B$5:$B$1043)</f>
        <v>0</v>
      </c>
      <c r="D137" s="68">
        <f>SUMIFS(PURCHASE!$K$6:$K$10008,PURCHASE!$A$6:$A$10008,$C$4:$N$4,PURCHASE!$Q$6:$Q$10008,$B$5:$B$1043)</f>
        <v>0</v>
      </c>
      <c r="E137" s="68">
        <f>SUMIFS(PURCHASE!$K$6:$K$10008,PURCHASE!$A$6:$A$10008,$C$4:$N$4,PURCHASE!$Q$6:$Q$10008,$B$5:$B$1043)</f>
        <v>0</v>
      </c>
      <c r="F137" s="68">
        <f>SUMIFS(PURCHASE!$K$6:$K$10008,PURCHASE!$A$6:$A$10008,$C$4:$N$4,PURCHASE!$Q$6:$Q$10008,$B$5:$B$1043)</f>
        <v>0</v>
      </c>
      <c r="G137" s="68">
        <f>SUMIFS(PURCHASE!$K$6:$K$10008,PURCHASE!$A$6:$A$10008,$C$4:$N$4,PURCHASE!$Q$6:$Q$10008,$B$5:$B$1043)</f>
        <v>0</v>
      </c>
      <c r="H137" s="68">
        <f>SUMIFS(PURCHASE!$K$6:$K$10008,PURCHASE!$A$6:$A$10008,$C$4:$N$4,PURCHASE!$Q$6:$Q$10008,$B$5:$B$1043)</f>
        <v>0</v>
      </c>
      <c r="I137" s="68">
        <f>SUMIFS(PURCHASE!$K$6:$K$10008,PURCHASE!$A$6:$A$10008,$C$4:$N$4,PURCHASE!$Q$6:$Q$10008,$B$5:$B$1043)</f>
        <v>0</v>
      </c>
      <c r="J137" s="68">
        <f>SUMIFS(PURCHASE!$K$6:$K$10008,PURCHASE!$A$6:$A$10008,$C$4:$N$4,PURCHASE!$Q$6:$Q$10008,$B$5:$B$1043)</f>
        <v>0</v>
      </c>
      <c r="K137" s="68">
        <f>SUMIFS(PURCHASE!$K$6:$K$10008,PURCHASE!$A$6:$A$10008,$C$4:$N$4,PURCHASE!$Q$6:$Q$10008,$B$5:$B$1043)</f>
        <v>0</v>
      </c>
      <c r="L137" s="68">
        <f>SUMIFS(PURCHASE!$K$6:$K$10008,PURCHASE!$A$6:$A$10008,$C$4:$N$4,PURCHASE!$Q$6:$Q$10008,$B$5:$B$1043)</f>
        <v>0</v>
      </c>
      <c r="M137" s="68">
        <f>SUMIFS(PURCHASE!$K$6:$K$10008,PURCHASE!$A$6:$A$10008,$C$4:$N$4,PURCHASE!$Q$6:$Q$10008,$B$5:$B$1043)</f>
        <v>0</v>
      </c>
      <c r="N137" s="68">
        <f>SUMIFS(PURCHASE!$K$6:$K$10008,PURCHASE!$A$6:$A$10008,$C$4:$N$4,PURCHASE!$Q$6:$Q$10008,$B$5:$B$1043)</f>
        <v>0</v>
      </c>
      <c r="O137" s="71">
        <f t="shared" si="19"/>
        <v>0</v>
      </c>
    </row>
    <row r="138" spans="1:15" x14ac:dyDescent="0.2">
      <c r="A138" s="34" t="s">
        <v>283</v>
      </c>
      <c r="B138" s="34" t="s">
        <v>408</v>
      </c>
      <c r="C138" s="68">
        <f>SUMIFS(PURCHASE!$L$6:$L$10008,PURCHASE!$A$6:$A$10008,$C$4:$N$4,PURCHASE!$Q$6:$Q$10008,$B$5:$B$1043)</f>
        <v>0</v>
      </c>
      <c r="D138" s="68">
        <f>SUMIFS(PURCHASE!$L$6:$L$10008,PURCHASE!$A$6:$A$10008,$C$4:$N$4,PURCHASE!$Q$6:$Q$10008,$B$5:$B$1043)</f>
        <v>0</v>
      </c>
      <c r="E138" s="68">
        <f>SUMIFS(PURCHASE!$L$6:$L$10008,PURCHASE!$A$6:$A$10008,$C$4:$N$4,PURCHASE!$Q$6:$Q$10008,$B$5:$B$1043)</f>
        <v>0</v>
      </c>
      <c r="F138" s="68">
        <f>SUMIFS(PURCHASE!$L$6:$L$10008,PURCHASE!$A$6:$A$10008,$C$4:$N$4,PURCHASE!$Q$6:$Q$10008,$B$5:$B$1043)</f>
        <v>0</v>
      </c>
      <c r="G138" s="68">
        <f>SUMIFS(PURCHASE!$L$6:$L$10008,PURCHASE!$A$6:$A$10008,$C$4:$N$4,PURCHASE!$Q$6:$Q$10008,$B$5:$B$1043)</f>
        <v>0</v>
      </c>
      <c r="H138" s="68">
        <f>SUMIFS(PURCHASE!$L$6:$L$10008,PURCHASE!$A$6:$A$10008,$C$4:$N$4,PURCHASE!$Q$6:$Q$10008,$B$5:$B$1043)</f>
        <v>0</v>
      </c>
      <c r="I138" s="68">
        <f>SUMIFS(PURCHASE!$L$6:$L$10008,PURCHASE!$A$6:$A$10008,$C$4:$N$4,PURCHASE!$Q$6:$Q$10008,$B$5:$B$1043)</f>
        <v>0</v>
      </c>
      <c r="J138" s="68">
        <f>SUMIFS(PURCHASE!$L$6:$L$10008,PURCHASE!$A$6:$A$10008,$C$4:$N$4,PURCHASE!$Q$6:$Q$10008,$B$5:$B$1043)</f>
        <v>0</v>
      </c>
      <c r="K138" s="68">
        <f>SUMIFS(PURCHASE!$L$6:$L$10008,PURCHASE!$A$6:$A$10008,$C$4:$N$4,PURCHASE!$Q$6:$Q$10008,$B$5:$B$1043)</f>
        <v>0</v>
      </c>
      <c r="L138" s="68">
        <f>SUMIFS(PURCHASE!$L$6:$L$10008,PURCHASE!$A$6:$A$10008,$C$4:$N$4,PURCHASE!$Q$6:$Q$10008,$B$5:$B$1043)</f>
        <v>0</v>
      </c>
      <c r="M138" s="68">
        <f>SUMIFS(PURCHASE!$L$6:$L$10008,PURCHASE!$A$6:$A$10008,$C$4:$N$4,PURCHASE!$Q$6:$Q$10008,$B$5:$B$1043)</f>
        <v>0</v>
      </c>
      <c r="N138" s="68">
        <f>SUMIFS(PURCHASE!$L$6:$L$10008,PURCHASE!$A$6:$A$10008,$C$4:$N$4,PURCHASE!$Q$6:$Q$10008,$B$5:$B$1043)</f>
        <v>0</v>
      </c>
      <c r="O138" s="71">
        <f t="shared" si="19"/>
        <v>0</v>
      </c>
    </row>
    <row r="139" spans="1:15" x14ac:dyDescent="0.2">
      <c r="A139" s="34" t="s">
        <v>284</v>
      </c>
      <c r="B139" s="34" t="s">
        <v>408</v>
      </c>
      <c r="C139" s="68">
        <f>SUMIFS(PURCHASE!$M$6:$M$10008,PURCHASE!$A$6:$A$10008,$C$4:$N$4,PURCHASE!$Q$6:$Q$10008,$B$5:$B$1043)</f>
        <v>0</v>
      </c>
      <c r="D139" s="68">
        <f>SUMIFS(PURCHASE!$M$6:$M$10008,PURCHASE!$A$6:$A$10008,$C$4:$N$4,PURCHASE!$Q$6:$Q$10008,$B$5:$B$1043)</f>
        <v>0</v>
      </c>
      <c r="E139" s="68">
        <f>SUMIFS(PURCHASE!$M$6:$M$10008,PURCHASE!$A$6:$A$10008,$C$4:$N$4,PURCHASE!$Q$6:$Q$10008,$B$5:$B$1043)</f>
        <v>0</v>
      </c>
      <c r="F139" s="68">
        <f>SUMIFS(PURCHASE!$M$6:$M$10008,PURCHASE!$A$6:$A$10008,$C$4:$N$4,PURCHASE!$Q$6:$Q$10008,$B$5:$B$1043)</f>
        <v>0</v>
      </c>
      <c r="G139" s="68">
        <f>SUMIFS(PURCHASE!$M$6:$M$10008,PURCHASE!$A$6:$A$10008,$C$4:$N$4,PURCHASE!$Q$6:$Q$10008,$B$5:$B$1043)</f>
        <v>0</v>
      </c>
      <c r="H139" s="68">
        <f>SUMIFS(PURCHASE!$M$6:$M$10008,PURCHASE!$A$6:$A$10008,$C$4:$N$4,PURCHASE!$Q$6:$Q$10008,$B$5:$B$1043)</f>
        <v>0</v>
      </c>
      <c r="I139" s="68">
        <f>SUMIFS(PURCHASE!$M$6:$M$10008,PURCHASE!$A$6:$A$10008,$C$4:$N$4,PURCHASE!$Q$6:$Q$10008,$B$5:$B$1043)</f>
        <v>0</v>
      </c>
      <c r="J139" s="68">
        <f>SUMIFS(PURCHASE!$M$6:$M$10008,PURCHASE!$A$6:$A$10008,$C$4:$N$4,PURCHASE!$Q$6:$Q$10008,$B$5:$B$1043)</f>
        <v>0</v>
      </c>
      <c r="K139" s="68">
        <f>SUMIFS(PURCHASE!$M$6:$M$10008,PURCHASE!$A$6:$A$10008,$C$4:$N$4,PURCHASE!$Q$6:$Q$10008,$B$5:$B$1043)</f>
        <v>0</v>
      </c>
      <c r="L139" s="68">
        <f>SUMIFS(PURCHASE!$M$6:$M$10008,PURCHASE!$A$6:$A$10008,$C$4:$N$4,PURCHASE!$Q$6:$Q$10008,$B$5:$B$1043)</f>
        <v>0</v>
      </c>
      <c r="M139" s="68">
        <f>SUMIFS(PURCHASE!$M$6:$M$10008,PURCHASE!$A$6:$A$10008,$C$4:$N$4,PURCHASE!$Q$6:$Q$10008,$B$5:$B$1043)</f>
        <v>0</v>
      </c>
      <c r="N139" s="68">
        <f>SUMIFS(PURCHASE!$M$6:$M$10008,PURCHASE!$A$6:$A$10008,$C$4:$N$4,PURCHASE!$Q$6:$Q$10008,$B$5:$B$1043)</f>
        <v>0</v>
      </c>
      <c r="O139" s="71">
        <f t="shared" si="19"/>
        <v>0</v>
      </c>
    </row>
    <row r="140" spans="1:15" x14ac:dyDescent="0.2">
      <c r="A140" s="34" t="s">
        <v>285</v>
      </c>
      <c r="B140" s="34" t="s">
        <v>408</v>
      </c>
      <c r="C140" s="68">
        <f>SUMIFS(PURCHASE!$N$6:$N$10008,PURCHASE!$A$6:$A$10008,$C$4:$N$4,PURCHASE!$Q$6:$Q$10008,$B$5:$B$1043)</f>
        <v>0</v>
      </c>
      <c r="D140" s="68">
        <f>SUMIFS(PURCHASE!$N$6:$N$10008,PURCHASE!$A$6:$A$10008,$C$4:$N$4,PURCHASE!$Q$6:$Q$10008,$B$5:$B$1043)</f>
        <v>0</v>
      </c>
      <c r="E140" s="68">
        <f>SUMIFS(PURCHASE!$N$6:$N$10008,PURCHASE!$A$6:$A$10008,$C$4:$N$4,PURCHASE!$Q$6:$Q$10008,$B$5:$B$1043)</f>
        <v>0</v>
      </c>
      <c r="F140" s="68">
        <f>SUMIFS(PURCHASE!$N$6:$N$10008,PURCHASE!$A$6:$A$10008,$C$4:$N$4,PURCHASE!$Q$6:$Q$10008,$B$5:$B$1043)</f>
        <v>0</v>
      </c>
      <c r="G140" s="68">
        <f>SUMIFS(PURCHASE!$N$6:$N$10008,PURCHASE!$A$6:$A$10008,$C$4:$N$4,PURCHASE!$Q$6:$Q$10008,$B$5:$B$1043)</f>
        <v>0</v>
      </c>
      <c r="H140" s="68">
        <f>SUMIFS(PURCHASE!$N$6:$N$10008,PURCHASE!$A$6:$A$10008,$C$4:$N$4,PURCHASE!$Q$6:$Q$10008,$B$5:$B$1043)</f>
        <v>0</v>
      </c>
      <c r="I140" s="68">
        <f>SUMIFS(PURCHASE!$N$6:$N$10008,PURCHASE!$A$6:$A$10008,$C$4:$N$4,PURCHASE!$Q$6:$Q$10008,$B$5:$B$1043)</f>
        <v>0</v>
      </c>
      <c r="J140" s="68">
        <f>SUMIFS(PURCHASE!$N$6:$N$10008,PURCHASE!$A$6:$A$10008,$C$4:$N$4,PURCHASE!$Q$6:$Q$10008,$B$5:$B$1043)</f>
        <v>0</v>
      </c>
      <c r="K140" s="68">
        <f>SUMIFS(PURCHASE!$N$6:$N$10008,PURCHASE!$A$6:$A$10008,$C$4:$N$4,PURCHASE!$Q$6:$Q$10008,$B$5:$B$1043)</f>
        <v>0</v>
      </c>
      <c r="L140" s="68">
        <f>SUMIFS(PURCHASE!$N$6:$N$10008,PURCHASE!$A$6:$A$10008,$C$4:$N$4,PURCHASE!$Q$6:$Q$10008,$B$5:$B$1043)</f>
        <v>0</v>
      </c>
      <c r="M140" s="68">
        <f>SUMIFS(PURCHASE!$N$6:$N$10008,PURCHASE!$A$6:$A$10008,$C$4:$N$4,PURCHASE!$Q$6:$Q$10008,$B$5:$B$1043)</f>
        <v>0</v>
      </c>
      <c r="N140" s="68">
        <f>SUMIFS(PURCHASE!$N$6:$N$10008,PURCHASE!$A$6:$A$10008,$C$4:$N$4,PURCHASE!$Q$6:$Q$10008,$B$5:$B$1043)</f>
        <v>0</v>
      </c>
      <c r="O140" s="71">
        <f t="shared" si="19"/>
        <v>0</v>
      </c>
    </row>
    <row r="141" spans="1:15" x14ac:dyDescent="0.2">
      <c r="A141" s="34" t="s">
        <v>286</v>
      </c>
      <c r="B141" s="34" t="s">
        <v>408</v>
      </c>
      <c r="C141" s="68">
        <f>SUMIFS(PURCHASE!$O$6:$O$10008,PURCHASE!$A$6:$A$10008,$C$4:$N$4,PURCHASE!$Q$6:$Q$10008,$B$5:$B$1043)</f>
        <v>0</v>
      </c>
      <c r="D141" s="68">
        <f>SUMIFS(PURCHASE!$O$6:$O$10008,PURCHASE!$A$6:$A$10008,$C$4:$N$4,PURCHASE!$Q$6:$Q$10008,$B$5:$B$1043)</f>
        <v>0</v>
      </c>
      <c r="E141" s="68">
        <f>SUMIFS(PURCHASE!$O$6:$O$10008,PURCHASE!$A$6:$A$10008,$C$4:$N$4,PURCHASE!$Q$6:$Q$10008,$B$5:$B$1043)</f>
        <v>0</v>
      </c>
      <c r="F141" s="68">
        <f>SUMIFS(PURCHASE!$O$6:$O$10008,PURCHASE!$A$6:$A$10008,$C$4:$N$4,PURCHASE!$Q$6:$Q$10008,$B$5:$B$1043)</f>
        <v>0</v>
      </c>
      <c r="G141" s="68">
        <f>SUMIFS(PURCHASE!$O$6:$O$10008,PURCHASE!$A$6:$A$10008,$C$4:$N$4,PURCHASE!$Q$6:$Q$10008,$B$5:$B$1043)</f>
        <v>0</v>
      </c>
      <c r="H141" s="68">
        <f>SUMIFS(PURCHASE!$O$6:$O$10008,PURCHASE!$A$6:$A$10008,$C$4:$N$4,PURCHASE!$Q$6:$Q$10008,$B$5:$B$1043)</f>
        <v>0</v>
      </c>
      <c r="I141" s="68">
        <f>SUMIFS(PURCHASE!$O$6:$O$10008,PURCHASE!$A$6:$A$10008,$C$4:$N$4,PURCHASE!$Q$6:$Q$10008,$B$5:$B$1043)</f>
        <v>0</v>
      </c>
      <c r="J141" s="68">
        <f>SUMIFS(PURCHASE!$O$6:$O$10008,PURCHASE!$A$6:$A$10008,$C$4:$N$4,PURCHASE!$Q$6:$Q$10008,$B$5:$B$1043)</f>
        <v>0</v>
      </c>
      <c r="K141" s="68">
        <f>SUMIFS(PURCHASE!$O$6:$O$10008,PURCHASE!$A$6:$A$10008,$C$4:$N$4,PURCHASE!$Q$6:$Q$10008,$B$5:$B$1043)</f>
        <v>0</v>
      </c>
      <c r="L141" s="68">
        <f>SUMIFS(PURCHASE!$O$6:$O$10008,PURCHASE!$A$6:$A$10008,$C$4:$N$4,PURCHASE!$Q$6:$Q$10008,$B$5:$B$1043)</f>
        <v>0</v>
      </c>
      <c r="M141" s="68">
        <f>SUMIFS(PURCHASE!$O$6:$O$10008,PURCHASE!$A$6:$A$10008,$C$4:$N$4,PURCHASE!$Q$6:$Q$10008,$B$5:$B$1043)</f>
        <v>0</v>
      </c>
      <c r="N141" s="68">
        <f>SUMIFS(PURCHASE!$O$6:$O$10008,PURCHASE!$A$6:$A$10008,$C$4:$N$4,PURCHASE!$Q$6:$Q$10008,$B$5:$B$1043)</f>
        <v>0</v>
      </c>
      <c r="O141" s="71">
        <f t="shared" si="19"/>
        <v>0</v>
      </c>
    </row>
    <row r="142" spans="1:15" x14ac:dyDescent="0.2">
      <c r="A142" s="1049" t="s">
        <v>409</v>
      </c>
      <c r="B142" s="1050"/>
      <c r="C142" s="1050"/>
      <c r="D142" s="1050"/>
      <c r="E142" s="1050"/>
      <c r="F142" s="1050"/>
      <c r="G142" s="1050"/>
      <c r="H142" s="1050"/>
      <c r="I142" s="1050"/>
      <c r="J142" s="1050"/>
      <c r="K142" s="1050"/>
      <c r="L142" s="1050"/>
      <c r="M142" s="1050"/>
      <c r="N142" s="1050"/>
      <c r="O142" s="1051"/>
    </row>
    <row r="143" spans="1:15" x14ac:dyDescent="0.2">
      <c r="A143" s="66" t="s">
        <v>279</v>
      </c>
      <c r="B143" s="66"/>
      <c r="C143" s="98">
        <v>43556</v>
      </c>
      <c r="D143" s="98">
        <v>43586</v>
      </c>
      <c r="E143" s="98">
        <v>43617</v>
      </c>
      <c r="F143" s="98">
        <v>43647</v>
      </c>
      <c r="G143" s="98">
        <v>43678</v>
      </c>
      <c r="H143" s="98">
        <v>43709</v>
      </c>
      <c r="I143" s="98">
        <v>43739</v>
      </c>
      <c r="J143" s="98">
        <v>43770</v>
      </c>
      <c r="K143" s="98">
        <v>43800</v>
      </c>
      <c r="L143" s="98">
        <v>43831</v>
      </c>
      <c r="M143" s="98">
        <v>43862</v>
      </c>
      <c r="N143" s="98">
        <v>43891</v>
      </c>
      <c r="O143" s="66" t="s">
        <v>347</v>
      </c>
    </row>
    <row r="144" spans="1:15" x14ac:dyDescent="0.2">
      <c r="A144" s="34" t="s">
        <v>280</v>
      </c>
      <c r="B144" s="34"/>
      <c r="C144" s="68">
        <v>0</v>
      </c>
      <c r="D144" s="68"/>
      <c r="E144" s="68"/>
      <c r="F144" s="68"/>
      <c r="G144" s="68"/>
      <c r="H144" s="68"/>
      <c r="I144" s="68"/>
      <c r="J144" s="68"/>
      <c r="K144" s="68"/>
      <c r="L144" s="68"/>
      <c r="M144" s="68"/>
      <c r="N144" s="68"/>
      <c r="O144" s="71">
        <f t="shared" si="19"/>
        <v>0</v>
      </c>
    </row>
    <row r="145" spans="1:15" x14ac:dyDescent="0.2">
      <c r="A145" s="34" t="s">
        <v>281</v>
      </c>
      <c r="B145" s="34" t="s">
        <v>409</v>
      </c>
      <c r="C145" s="68">
        <f t="shared" ref="C145:N145" si="21">+C146+C147+C148</f>
        <v>0</v>
      </c>
      <c r="D145" s="68">
        <f t="shared" si="21"/>
        <v>0</v>
      </c>
      <c r="E145" s="68">
        <f t="shared" si="21"/>
        <v>0</v>
      </c>
      <c r="F145" s="68">
        <f t="shared" si="21"/>
        <v>0</v>
      </c>
      <c r="G145" s="68">
        <f t="shared" si="21"/>
        <v>0</v>
      </c>
      <c r="H145" s="68">
        <f t="shared" si="21"/>
        <v>0</v>
      </c>
      <c r="I145" s="68">
        <f t="shared" si="21"/>
        <v>0</v>
      </c>
      <c r="J145" s="68">
        <f t="shared" si="21"/>
        <v>0</v>
      </c>
      <c r="K145" s="68">
        <f t="shared" si="21"/>
        <v>0</v>
      </c>
      <c r="L145" s="68">
        <f t="shared" si="21"/>
        <v>0</v>
      </c>
      <c r="M145" s="68">
        <f t="shared" si="21"/>
        <v>0</v>
      </c>
      <c r="N145" s="68">
        <f t="shared" si="21"/>
        <v>0</v>
      </c>
      <c r="O145" s="71">
        <f t="shared" si="19"/>
        <v>0</v>
      </c>
    </row>
    <row r="146" spans="1:15" x14ac:dyDescent="0.2">
      <c r="A146" s="34" t="s">
        <v>282</v>
      </c>
      <c r="B146" s="34" t="s">
        <v>409</v>
      </c>
      <c r="C146" s="68">
        <f>SUMIFS(PURCHASE!$K$6:$K$10008,PURCHASE!$A$6:$A$10008,$C$4:$N$4,PURCHASE!$Q$6:$Q$10008,$B$5:$B$1043)</f>
        <v>0</v>
      </c>
      <c r="D146" s="68">
        <f>SUMIFS(PURCHASE!$K$6:$K$10008,PURCHASE!$A$6:$A$10008,$C$4:$N$4,PURCHASE!$Q$6:$Q$10008,$B$5:$B$1043)</f>
        <v>0</v>
      </c>
      <c r="E146" s="68">
        <f>SUMIFS(PURCHASE!$K$6:$K$10008,PURCHASE!$A$6:$A$10008,$C$4:$N$4,PURCHASE!$Q$6:$Q$10008,$B$5:$B$1043)</f>
        <v>0</v>
      </c>
      <c r="F146" s="68">
        <f>SUMIFS(PURCHASE!$K$6:$K$10008,PURCHASE!$A$6:$A$10008,$C$4:$N$4,PURCHASE!$Q$6:$Q$10008,$B$5:$B$1043)</f>
        <v>0</v>
      </c>
      <c r="G146" s="68">
        <f>SUMIFS(PURCHASE!$K$6:$K$10008,PURCHASE!$A$6:$A$10008,$C$4:$N$4,PURCHASE!$Q$6:$Q$10008,$B$5:$B$1043)</f>
        <v>0</v>
      </c>
      <c r="H146" s="68">
        <f>SUMIFS(PURCHASE!$K$6:$K$10008,PURCHASE!$A$6:$A$10008,$C$4:$N$4,PURCHASE!$Q$6:$Q$10008,$B$5:$B$1043)</f>
        <v>0</v>
      </c>
      <c r="I146" s="68">
        <f>SUMIFS(PURCHASE!$K$6:$K$10008,PURCHASE!$A$6:$A$10008,$C$4:$N$4,PURCHASE!$Q$6:$Q$10008,$B$5:$B$1043)</f>
        <v>0</v>
      </c>
      <c r="J146" s="68">
        <f>SUMIFS(PURCHASE!$K$6:$K$10008,PURCHASE!$A$6:$A$10008,$C$4:$N$4,PURCHASE!$Q$6:$Q$10008,$B$5:$B$1043)</f>
        <v>0</v>
      </c>
      <c r="K146" s="68">
        <f>SUMIFS(PURCHASE!$K$6:$K$10008,PURCHASE!$A$6:$A$10008,$C$4:$N$4,PURCHASE!$Q$6:$Q$10008,$B$5:$B$1043)</f>
        <v>0</v>
      </c>
      <c r="L146" s="68">
        <f>SUMIFS(PURCHASE!$K$6:$K$10008,PURCHASE!$A$6:$A$10008,$C$4:$N$4,PURCHASE!$Q$6:$Q$10008,$B$5:$B$1043)</f>
        <v>0</v>
      </c>
      <c r="M146" s="68">
        <f>SUMIFS(PURCHASE!$K$6:$K$10008,PURCHASE!$A$6:$A$10008,$C$4:$N$4,PURCHASE!$Q$6:$Q$10008,$B$5:$B$1043)</f>
        <v>0</v>
      </c>
      <c r="N146" s="68">
        <f>SUMIFS(PURCHASE!$K$6:$K$10008,PURCHASE!$A$6:$A$10008,$C$4:$N$4,PURCHASE!$Q$6:$Q$10008,$B$5:$B$1043)</f>
        <v>0</v>
      </c>
      <c r="O146" s="71">
        <f t="shared" si="19"/>
        <v>0</v>
      </c>
    </row>
    <row r="147" spans="1:15" x14ac:dyDescent="0.2">
      <c r="A147" s="34" t="s">
        <v>283</v>
      </c>
      <c r="B147" s="34" t="s">
        <v>409</v>
      </c>
      <c r="C147" s="68">
        <f>SUMIFS(PURCHASE!$L$6:$L$10008,PURCHASE!$A$6:$A$10008,$C$4:$N$4,PURCHASE!$Q$6:$Q$10008,$B$5:$B$1043)</f>
        <v>0</v>
      </c>
      <c r="D147" s="68">
        <f>SUMIFS(PURCHASE!$L$6:$L$10008,PURCHASE!$A$6:$A$10008,$C$4:$N$4,PURCHASE!$Q$6:$Q$10008,$B$5:$B$1043)</f>
        <v>0</v>
      </c>
      <c r="E147" s="68">
        <f>SUMIFS(PURCHASE!$L$6:$L$10008,PURCHASE!$A$6:$A$10008,$C$4:$N$4,PURCHASE!$Q$6:$Q$10008,$B$5:$B$1043)</f>
        <v>0</v>
      </c>
      <c r="F147" s="68">
        <f>SUMIFS(PURCHASE!$L$6:$L$10008,PURCHASE!$A$6:$A$10008,$C$4:$N$4,PURCHASE!$Q$6:$Q$10008,$B$5:$B$1043)</f>
        <v>0</v>
      </c>
      <c r="G147" s="68">
        <f>SUMIFS(PURCHASE!$L$6:$L$10008,PURCHASE!$A$6:$A$10008,$C$4:$N$4,PURCHASE!$Q$6:$Q$10008,$B$5:$B$1043)</f>
        <v>0</v>
      </c>
      <c r="H147" s="68">
        <f>SUMIFS(PURCHASE!$L$6:$L$10008,PURCHASE!$A$6:$A$10008,$C$4:$N$4,PURCHASE!$Q$6:$Q$10008,$B$5:$B$1043)</f>
        <v>0</v>
      </c>
      <c r="I147" s="68">
        <f>SUMIFS(PURCHASE!$L$6:$L$10008,PURCHASE!$A$6:$A$10008,$C$4:$N$4,PURCHASE!$Q$6:$Q$10008,$B$5:$B$1043)</f>
        <v>0</v>
      </c>
      <c r="J147" s="68">
        <f>SUMIFS(PURCHASE!$L$6:$L$10008,PURCHASE!$A$6:$A$10008,$C$4:$N$4,PURCHASE!$Q$6:$Q$10008,$B$5:$B$1043)</f>
        <v>0</v>
      </c>
      <c r="K147" s="68">
        <f>SUMIFS(PURCHASE!$L$6:$L$10008,PURCHASE!$A$6:$A$10008,$C$4:$N$4,PURCHASE!$Q$6:$Q$10008,$B$5:$B$1043)</f>
        <v>0</v>
      </c>
      <c r="L147" s="68">
        <f>SUMIFS(PURCHASE!$L$6:$L$10008,PURCHASE!$A$6:$A$10008,$C$4:$N$4,PURCHASE!$Q$6:$Q$10008,$B$5:$B$1043)</f>
        <v>0</v>
      </c>
      <c r="M147" s="68">
        <f>SUMIFS(PURCHASE!$L$6:$L$10008,PURCHASE!$A$6:$A$10008,$C$4:$N$4,PURCHASE!$Q$6:$Q$10008,$B$5:$B$1043)</f>
        <v>0</v>
      </c>
      <c r="N147" s="68">
        <f>SUMIFS(PURCHASE!$L$6:$L$10008,PURCHASE!$A$6:$A$10008,$C$4:$N$4,PURCHASE!$Q$6:$Q$10008,$B$5:$B$1043)</f>
        <v>0</v>
      </c>
      <c r="O147" s="71">
        <f t="shared" si="19"/>
        <v>0</v>
      </c>
    </row>
    <row r="148" spans="1:15" x14ac:dyDescent="0.2">
      <c r="A148" s="34" t="s">
        <v>284</v>
      </c>
      <c r="B148" s="34" t="s">
        <v>409</v>
      </c>
      <c r="C148" s="68">
        <f>SUMIFS(PURCHASE!$M$6:$M$10008,PURCHASE!$A$6:$A$10008,$C$4:$N$4,PURCHASE!$Q$6:$Q$10008,$B$5:$B$1043)</f>
        <v>0</v>
      </c>
      <c r="D148" s="68">
        <f>SUMIFS(PURCHASE!$M$6:$M$10008,PURCHASE!$A$6:$A$10008,$C$4:$N$4,PURCHASE!$Q$6:$Q$10008,$B$5:$B$1043)</f>
        <v>0</v>
      </c>
      <c r="E148" s="68">
        <f>SUMIFS(PURCHASE!$M$6:$M$10008,PURCHASE!$A$6:$A$10008,$C$4:$N$4,PURCHASE!$Q$6:$Q$10008,$B$5:$B$1043)</f>
        <v>0</v>
      </c>
      <c r="F148" s="68">
        <f>SUMIFS(PURCHASE!$M$6:$M$10008,PURCHASE!$A$6:$A$10008,$C$4:$N$4,PURCHASE!$Q$6:$Q$10008,$B$5:$B$1043)</f>
        <v>0</v>
      </c>
      <c r="G148" s="68">
        <f>SUMIFS(PURCHASE!$M$6:$M$10008,PURCHASE!$A$6:$A$10008,$C$4:$N$4,PURCHASE!$Q$6:$Q$10008,$B$5:$B$1043)</f>
        <v>0</v>
      </c>
      <c r="H148" s="68">
        <f>SUMIFS(PURCHASE!$M$6:$M$10008,PURCHASE!$A$6:$A$10008,$C$4:$N$4,PURCHASE!$Q$6:$Q$10008,$B$5:$B$1043)</f>
        <v>0</v>
      </c>
      <c r="I148" s="68">
        <f>SUMIFS(PURCHASE!$M$6:$M$10008,PURCHASE!$A$6:$A$10008,$C$4:$N$4,PURCHASE!$Q$6:$Q$10008,$B$5:$B$1043)</f>
        <v>0</v>
      </c>
      <c r="J148" s="68">
        <f>SUMIFS(PURCHASE!$M$6:$M$10008,PURCHASE!$A$6:$A$10008,$C$4:$N$4,PURCHASE!$Q$6:$Q$10008,$B$5:$B$1043)</f>
        <v>0</v>
      </c>
      <c r="K148" s="68">
        <f>SUMIFS(PURCHASE!$M$6:$M$10008,PURCHASE!$A$6:$A$10008,$C$4:$N$4,PURCHASE!$Q$6:$Q$10008,$B$5:$B$1043)</f>
        <v>0</v>
      </c>
      <c r="L148" s="68">
        <f>SUMIFS(PURCHASE!$M$6:$M$10008,PURCHASE!$A$6:$A$10008,$C$4:$N$4,PURCHASE!$Q$6:$Q$10008,$B$5:$B$1043)</f>
        <v>0</v>
      </c>
      <c r="M148" s="68">
        <f>SUMIFS(PURCHASE!$M$6:$M$10008,PURCHASE!$A$6:$A$10008,$C$4:$N$4,PURCHASE!$Q$6:$Q$10008,$B$5:$B$1043)</f>
        <v>0</v>
      </c>
      <c r="N148" s="68">
        <f>SUMIFS(PURCHASE!$M$6:$M$10008,PURCHASE!$A$6:$A$10008,$C$4:$N$4,PURCHASE!$Q$6:$Q$10008,$B$5:$B$1043)</f>
        <v>0</v>
      </c>
      <c r="O148" s="71">
        <f t="shared" si="19"/>
        <v>0</v>
      </c>
    </row>
    <row r="149" spans="1:15" x14ac:dyDescent="0.2">
      <c r="A149" s="34" t="s">
        <v>285</v>
      </c>
      <c r="B149" s="34" t="s">
        <v>409</v>
      </c>
      <c r="C149" s="68">
        <f>SUMIFS(PURCHASE!$N$6:$N$10008,PURCHASE!$A$6:$A$10008,$C$4:$N$4,PURCHASE!$Q$6:$Q$10008,$B$5:$B$1043)</f>
        <v>0</v>
      </c>
      <c r="D149" s="68">
        <f>SUMIFS(PURCHASE!$N$6:$N$10008,PURCHASE!$A$6:$A$10008,$C$4:$N$4,PURCHASE!$Q$6:$Q$10008,$B$5:$B$1043)</f>
        <v>0</v>
      </c>
      <c r="E149" s="68">
        <f>SUMIFS(PURCHASE!$N$6:$N$10008,PURCHASE!$A$6:$A$10008,$C$4:$N$4,PURCHASE!$Q$6:$Q$10008,$B$5:$B$1043)</f>
        <v>0</v>
      </c>
      <c r="F149" s="68">
        <f>SUMIFS(PURCHASE!$N$6:$N$10008,PURCHASE!$A$6:$A$10008,$C$4:$N$4,PURCHASE!$Q$6:$Q$10008,$B$5:$B$1043)</f>
        <v>0</v>
      </c>
      <c r="G149" s="68">
        <f>SUMIFS(PURCHASE!$N$6:$N$10008,PURCHASE!$A$6:$A$10008,$C$4:$N$4,PURCHASE!$Q$6:$Q$10008,$B$5:$B$1043)</f>
        <v>0</v>
      </c>
      <c r="H149" s="68">
        <f>SUMIFS(PURCHASE!$N$6:$N$10008,PURCHASE!$A$6:$A$10008,$C$4:$N$4,PURCHASE!$Q$6:$Q$10008,$B$5:$B$1043)</f>
        <v>0</v>
      </c>
      <c r="I149" s="68">
        <f>SUMIFS(PURCHASE!$N$6:$N$10008,PURCHASE!$A$6:$A$10008,$C$4:$N$4,PURCHASE!$Q$6:$Q$10008,$B$5:$B$1043)</f>
        <v>0</v>
      </c>
      <c r="J149" s="68">
        <f>SUMIFS(PURCHASE!$N$6:$N$10008,PURCHASE!$A$6:$A$10008,$C$4:$N$4,PURCHASE!$Q$6:$Q$10008,$B$5:$B$1043)</f>
        <v>0</v>
      </c>
      <c r="K149" s="68">
        <f>SUMIFS(PURCHASE!$N$6:$N$10008,PURCHASE!$A$6:$A$10008,$C$4:$N$4,PURCHASE!$Q$6:$Q$10008,$B$5:$B$1043)</f>
        <v>0</v>
      </c>
      <c r="L149" s="68">
        <f>SUMIFS(PURCHASE!$N$6:$N$10008,PURCHASE!$A$6:$A$10008,$C$4:$N$4,PURCHASE!$Q$6:$Q$10008,$B$5:$B$1043)</f>
        <v>0</v>
      </c>
      <c r="M149" s="68">
        <f>SUMIFS(PURCHASE!$N$6:$N$10008,PURCHASE!$A$6:$A$10008,$C$4:$N$4,PURCHASE!$Q$6:$Q$10008,$B$5:$B$1043)</f>
        <v>0</v>
      </c>
      <c r="N149" s="68">
        <f>SUMIFS(PURCHASE!$N$6:$N$10008,PURCHASE!$A$6:$A$10008,$C$4:$N$4,PURCHASE!$Q$6:$Q$10008,$B$5:$B$1043)</f>
        <v>0</v>
      </c>
      <c r="O149" s="71">
        <f t="shared" si="19"/>
        <v>0</v>
      </c>
    </row>
    <row r="150" spans="1:15" x14ac:dyDescent="0.2">
      <c r="A150" s="34" t="s">
        <v>286</v>
      </c>
      <c r="B150" s="34" t="s">
        <v>409</v>
      </c>
      <c r="C150" s="68">
        <f>SUMIFS(PURCHASE!$O$6:$O$10008,PURCHASE!$A$6:$A$10008,$C$4:$N$4,PURCHASE!$Q$6:$Q$10008,$B$5:$B$1043)</f>
        <v>0</v>
      </c>
      <c r="D150" s="68">
        <f>SUMIFS(PURCHASE!$O$6:$O$10008,PURCHASE!$A$6:$A$10008,$C$4:$N$4,PURCHASE!$Q$6:$Q$10008,$B$5:$B$1043)</f>
        <v>0</v>
      </c>
      <c r="E150" s="68">
        <f>SUMIFS(PURCHASE!$O$6:$O$10008,PURCHASE!$A$6:$A$10008,$C$4:$N$4,PURCHASE!$Q$6:$Q$10008,$B$5:$B$1043)</f>
        <v>0</v>
      </c>
      <c r="F150" s="68">
        <f>SUMIFS(PURCHASE!$O$6:$O$10008,PURCHASE!$A$6:$A$10008,$C$4:$N$4,PURCHASE!$Q$6:$Q$10008,$B$5:$B$1043)</f>
        <v>0</v>
      </c>
      <c r="G150" s="68">
        <f>SUMIFS(PURCHASE!$O$6:$O$10008,PURCHASE!$A$6:$A$10008,$C$4:$N$4,PURCHASE!$Q$6:$Q$10008,$B$5:$B$1043)</f>
        <v>0</v>
      </c>
      <c r="H150" s="68">
        <f>SUMIFS(PURCHASE!$O$6:$O$10008,PURCHASE!$A$6:$A$10008,$C$4:$N$4,PURCHASE!$Q$6:$Q$10008,$B$5:$B$1043)</f>
        <v>0</v>
      </c>
      <c r="I150" s="68">
        <f>SUMIFS(PURCHASE!$O$6:$O$10008,PURCHASE!$A$6:$A$10008,$C$4:$N$4,PURCHASE!$Q$6:$Q$10008,$B$5:$B$1043)</f>
        <v>0</v>
      </c>
      <c r="J150" s="68">
        <f>SUMIFS(PURCHASE!$O$6:$O$10008,PURCHASE!$A$6:$A$10008,$C$4:$N$4,PURCHASE!$Q$6:$Q$10008,$B$5:$B$1043)</f>
        <v>0</v>
      </c>
      <c r="K150" s="68">
        <f>SUMIFS(PURCHASE!$O$6:$O$10008,PURCHASE!$A$6:$A$10008,$C$4:$N$4,PURCHASE!$Q$6:$Q$10008,$B$5:$B$1043)</f>
        <v>0</v>
      </c>
      <c r="L150" s="68">
        <f>SUMIFS(PURCHASE!$O$6:$O$10008,PURCHASE!$A$6:$A$10008,$C$4:$N$4,PURCHASE!$Q$6:$Q$10008,$B$5:$B$1043)</f>
        <v>0</v>
      </c>
      <c r="M150" s="68">
        <f>SUMIFS(PURCHASE!$O$6:$O$10008,PURCHASE!$A$6:$A$10008,$C$4:$N$4,PURCHASE!$Q$6:$Q$10008,$B$5:$B$1043)</f>
        <v>0</v>
      </c>
      <c r="N150" s="68">
        <f>SUMIFS(PURCHASE!$O$6:$O$10008,PURCHASE!$A$6:$A$10008,$C$4:$N$4,PURCHASE!$Q$6:$Q$10008,$B$5:$B$1043)</f>
        <v>0</v>
      </c>
      <c r="O150" s="71">
        <f t="shared" si="19"/>
        <v>0</v>
      </c>
    </row>
    <row r="151" spans="1:15" x14ac:dyDescent="0.2">
      <c r="A151" s="1052" t="s">
        <v>2426</v>
      </c>
      <c r="B151" s="1053"/>
      <c r="C151" s="1053"/>
      <c r="D151" s="1053"/>
      <c r="E151" s="1053"/>
      <c r="F151" s="1053"/>
      <c r="G151" s="1053"/>
      <c r="H151" s="1053"/>
      <c r="I151" s="1053"/>
      <c r="J151" s="1053"/>
      <c r="K151" s="1053"/>
      <c r="L151" s="1053"/>
      <c r="M151" s="1053"/>
      <c r="N151" s="1053"/>
      <c r="O151" s="1054"/>
    </row>
    <row r="152" spans="1:15" x14ac:dyDescent="0.2">
      <c r="A152" s="66" t="s">
        <v>279</v>
      </c>
      <c r="B152" s="66"/>
      <c r="C152" s="98">
        <v>43556</v>
      </c>
      <c r="D152" s="98">
        <v>43586</v>
      </c>
      <c r="E152" s="98">
        <v>43617</v>
      </c>
      <c r="F152" s="98">
        <v>43647</v>
      </c>
      <c r="G152" s="98">
        <v>43678</v>
      </c>
      <c r="H152" s="98">
        <v>43709</v>
      </c>
      <c r="I152" s="98">
        <v>43739</v>
      </c>
      <c r="J152" s="98">
        <v>43770</v>
      </c>
      <c r="K152" s="98">
        <v>43800</v>
      </c>
      <c r="L152" s="98">
        <v>43831</v>
      </c>
      <c r="M152" s="98">
        <v>43862</v>
      </c>
      <c r="N152" s="98">
        <v>43891</v>
      </c>
      <c r="O152" s="66" t="s">
        <v>347</v>
      </c>
    </row>
    <row r="153" spans="1:15" x14ac:dyDescent="0.2">
      <c r="A153" s="34" t="s">
        <v>280</v>
      </c>
      <c r="B153" s="34"/>
      <c r="C153" s="68">
        <v>0</v>
      </c>
      <c r="D153" s="68"/>
      <c r="E153" s="68"/>
      <c r="F153" s="68"/>
      <c r="G153" s="68"/>
      <c r="H153" s="68"/>
      <c r="I153" s="68"/>
      <c r="J153" s="68"/>
      <c r="K153" s="68"/>
      <c r="L153" s="68"/>
      <c r="M153" s="68"/>
      <c r="N153" s="68"/>
      <c r="O153" s="71">
        <f t="shared" si="19"/>
        <v>0</v>
      </c>
    </row>
    <row r="154" spans="1:15" x14ac:dyDescent="0.2">
      <c r="A154" s="34" t="s">
        <v>281</v>
      </c>
      <c r="B154" s="34" t="s">
        <v>2426</v>
      </c>
      <c r="C154" s="68">
        <f t="shared" ref="C154:N154" si="22">+C155+C156+C157</f>
        <v>0</v>
      </c>
      <c r="D154" s="68">
        <f t="shared" si="22"/>
        <v>0</v>
      </c>
      <c r="E154" s="68">
        <f t="shared" si="22"/>
        <v>0</v>
      </c>
      <c r="F154" s="68">
        <f t="shared" si="22"/>
        <v>0</v>
      </c>
      <c r="G154" s="68">
        <f t="shared" si="22"/>
        <v>0</v>
      </c>
      <c r="H154" s="68">
        <f t="shared" si="22"/>
        <v>0</v>
      </c>
      <c r="I154" s="68">
        <f t="shared" si="22"/>
        <v>0</v>
      </c>
      <c r="J154" s="68">
        <f t="shared" si="22"/>
        <v>0</v>
      </c>
      <c r="K154" s="68">
        <f t="shared" si="22"/>
        <v>0</v>
      </c>
      <c r="L154" s="68">
        <f t="shared" si="22"/>
        <v>0</v>
      </c>
      <c r="M154" s="68">
        <f t="shared" si="22"/>
        <v>0</v>
      </c>
      <c r="N154" s="68">
        <f t="shared" si="22"/>
        <v>0</v>
      </c>
      <c r="O154" s="71">
        <f t="shared" si="19"/>
        <v>0</v>
      </c>
    </row>
    <row r="155" spans="1:15" x14ac:dyDescent="0.2">
      <c r="A155" s="34" t="s">
        <v>282</v>
      </c>
      <c r="B155" s="34" t="s">
        <v>2426</v>
      </c>
      <c r="C155" s="68">
        <f>SUMIFS(PURCHASE!$K$6:$K$10008,PURCHASE!$A$6:$A$10008,$C$4:$N$4,PURCHASE!$Q$6:$Q$10008,$B$5:$B$1043)</f>
        <v>0</v>
      </c>
      <c r="D155" s="68">
        <f>SUMIFS(PURCHASE!$K$6:$K$10008,PURCHASE!$A$6:$A$10008,$C$4:$N$4,PURCHASE!$Q$6:$Q$10008,$B$5:$B$1043)</f>
        <v>0</v>
      </c>
      <c r="E155" s="68">
        <f>SUMIFS(PURCHASE!$K$6:$K$10008,PURCHASE!$A$6:$A$10008,$C$4:$N$4,PURCHASE!$Q$6:$Q$10008,$B$5:$B$1043)</f>
        <v>0</v>
      </c>
      <c r="F155" s="68">
        <f>SUMIFS(PURCHASE!$K$6:$K$10008,PURCHASE!$A$6:$A$10008,$C$4:$N$4,PURCHASE!$Q$6:$Q$10008,$B$5:$B$1043)</f>
        <v>0</v>
      </c>
      <c r="G155" s="68">
        <f>SUMIFS(PURCHASE!$K$6:$K$10008,PURCHASE!$A$6:$A$10008,$C$4:$N$4,PURCHASE!$Q$6:$Q$10008,$B$5:$B$1043)</f>
        <v>0</v>
      </c>
      <c r="H155" s="68">
        <f>SUMIFS(PURCHASE!$K$6:$K$10008,PURCHASE!$A$6:$A$10008,$C$4:$N$4,PURCHASE!$Q$6:$Q$10008,$B$5:$B$1043)</f>
        <v>0</v>
      </c>
      <c r="I155" s="68">
        <f>SUMIFS(PURCHASE!$K$6:$K$10008,PURCHASE!$A$6:$A$10008,$C$4:$N$4,PURCHASE!$Q$6:$Q$10008,$B$5:$B$1043)</f>
        <v>0</v>
      </c>
      <c r="J155" s="68">
        <f>SUMIFS(PURCHASE!$K$6:$K$10008,PURCHASE!$A$6:$A$10008,$C$4:$N$4,PURCHASE!$Q$6:$Q$10008,$B$5:$B$1043)</f>
        <v>0</v>
      </c>
      <c r="K155" s="68">
        <f>SUMIFS(PURCHASE!$K$6:$K$10008,PURCHASE!$A$6:$A$10008,$C$4:$N$4,PURCHASE!$Q$6:$Q$10008,$B$5:$B$1043)</f>
        <v>0</v>
      </c>
      <c r="L155" s="68">
        <f>SUMIFS(PURCHASE!$K$6:$K$10008,PURCHASE!$A$6:$A$10008,$C$4:$N$4,PURCHASE!$Q$6:$Q$10008,$B$5:$B$1043)</f>
        <v>0</v>
      </c>
      <c r="M155" s="68">
        <f>SUMIFS(PURCHASE!$K$6:$K$10008,PURCHASE!$A$6:$A$10008,$C$4:$N$4,PURCHASE!$Q$6:$Q$10008,$B$5:$B$1043)</f>
        <v>0</v>
      </c>
      <c r="N155" s="68">
        <f>SUMIFS(PURCHASE!$K$6:$K$10008,PURCHASE!$A$6:$A$10008,$C$4:$N$4,PURCHASE!$Q$6:$Q$10008,$B$5:$B$1043)</f>
        <v>0</v>
      </c>
      <c r="O155" s="71">
        <f t="shared" si="19"/>
        <v>0</v>
      </c>
    </row>
    <row r="156" spans="1:15" x14ac:dyDescent="0.2">
      <c r="A156" s="34" t="s">
        <v>283</v>
      </c>
      <c r="B156" s="34" t="s">
        <v>2426</v>
      </c>
      <c r="C156" s="68">
        <f>SUMIFS(PURCHASE!$L$6:$L$10008,PURCHASE!$A$6:$A$10008,$C$4:$N$4,PURCHASE!$Q$6:$Q$10008,$B$5:$B$1043)</f>
        <v>0</v>
      </c>
      <c r="D156" s="68">
        <f>SUMIFS(PURCHASE!$L$6:$L$10008,PURCHASE!$A$6:$A$10008,$C$4:$N$4,PURCHASE!$Q$6:$Q$10008,$B$5:$B$1043)</f>
        <v>0</v>
      </c>
      <c r="E156" s="68">
        <f>SUMIFS(PURCHASE!$L$6:$L$10008,PURCHASE!$A$6:$A$10008,$C$4:$N$4,PURCHASE!$Q$6:$Q$10008,$B$5:$B$1043)</f>
        <v>0</v>
      </c>
      <c r="F156" s="68">
        <f>SUMIFS(PURCHASE!$L$6:$L$10008,PURCHASE!$A$6:$A$10008,$C$4:$N$4,PURCHASE!$Q$6:$Q$10008,$B$5:$B$1043)</f>
        <v>0</v>
      </c>
      <c r="G156" s="68">
        <f>SUMIFS(PURCHASE!$L$6:$L$10008,PURCHASE!$A$6:$A$10008,$C$4:$N$4,PURCHASE!$Q$6:$Q$10008,$B$5:$B$1043)</f>
        <v>0</v>
      </c>
      <c r="H156" s="68">
        <f>SUMIFS(PURCHASE!$L$6:$L$10008,PURCHASE!$A$6:$A$10008,$C$4:$N$4,PURCHASE!$Q$6:$Q$10008,$B$5:$B$1043)</f>
        <v>0</v>
      </c>
      <c r="I156" s="68">
        <f>SUMIFS(PURCHASE!$L$6:$L$10008,PURCHASE!$A$6:$A$10008,$C$4:$N$4,PURCHASE!$Q$6:$Q$10008,$B$5:$B$1043)</f>
        <v>0</v>
      </c>
      <c r="J156" s="68">
        <f>SUMIFS(PURCHASE!$L$6:$L$10008,PURCHASE!$A$6:$A$10008,$C$4:$N$4,PURCHASE!$Q$6:$Q$10008,$B$5:$B$1043)</f>
        <v>0</v>
      </c>
      <c r="K156" s="68">
        <f>SUMIFS(PURCHASE!$L$6:$L$10008,PURCHASE!$A$6:$A$10008,$C$4:$N$4,PURCHASE!$Q$6:$Q$10008,$B$5:$B$1043)</f>
        <v>0</v>
      </c>
      <c r="L156" s="68">
        <f>SUMIFS(PURCHASE!$L$6:$L$10008,PURCHASE!$A$6:$A$10008,$C$4:$N$4,PURCHASE!$Q$6:$Q$10008,$B$5:$B$1043)</f>
        <v>0</v>
      </c>
      <c r="M156" s="68">
        <f>SUMIFS(PURCHASE!$L$6:$L$10008,PURCHASE!$A$6:$A$10008,$C$4:$N$4,PURCHASE!$Q$6:$Q$10008,$B$5:$B$1043)</f>
        <v>0</v>
      </c>
      <c r="N156" s="68">
        <f>SUMIFS(PURCHASE!$L$6:$L$10008,PURCHASE!$A$6:$A$10008,$C$4:$N$4,PURCHASE!$Q$6:$Q$10008,$B$5:$B$1043)</f>
        <v>0</v>
      </c>
      <c r="O156" s="71">
        <f t="shared" si="19"/>
        <v>0</v>
      </c>
    </row>
    <row r="157" spans="1:15" x14ac:dyDescent="0.2">
      <c r="A157" s="34" t="s">
        <v>284</v>
      </c>
      <c r="B157" s="34" t="s">
        <v>2426</v>
      </c>
      <c r="C157" s="68">
        <f>SUMIFS(PURCHASE!$M$6:$M$10008,PURCHASE!$A$6:$A$10008,$C$4:$N$4,PURCHASE!$Q$6:$Q$10008,$B$5:$B$1043)</f>
        <v>0</v>
      </c>
      <c r="D157" s="68">
        <f>SUMIFS(PURCHASE!$M$6:$M$10008,PURCHASE!$A$6:$A$10008,$C$4:$N$4,PURCHASE!$Q$6:$Q$10008,$B$5:$B$1043)</f>
        <v>0</v>
      </c>
      <c r="E157" s="68">
        <f>SUMIFS(PURCHASE!$M$6:$M$10008,PURCHASE!$A$6:$A$10008,$C$4:$N$4,PURCHASE!$Q$6:$Q$10008,$B$5:$B$1043)</f>
        <v>0</v>
      </c>
      <c r="F157" s="68">
        <f>SUMIFS(PURCHASE!$M$6:$M$10008,PURCHASE!$A$6:$A$10008,$C$4:$N$4,PURCHASE!$Q$6:$Q$10008,$B$5:$B$1043)</f>
        <v>0</v>
      </c>
      <c r="G157" s="68">
        <f>SUMIFS(PURCHASE!$M$6:$M$10008,PURCHASE!$A$6:$A$10008,$C$4:$N$4,PURCHASE!$Q$6:$Q$10008,$B$5:$B$1043)</f>
        <v>0</v>
      </c>
      <c r="H157" s="68">
        <f>SUMIFS(PURCHASE!$M$6:$M$10008,PURCHASE!$A$6:$A$10008,$C$4:$N$4,PURCHASE!$Q$6:$Q$10008,$B$5:$B$1043)</f>
        <v>0</v>
      </c>
      <c r="I157" s="68">
        <f>SUMIFS(PURCHASE!$M$6:$M$10008,PURCHASE!$A$6:$A$10008,$C$4:$N$4,PURCHASE!$Q$6:$Q$10008,$B$5:$B$1043)</f>
        <v>0</v>
      </c>
      <c r="J157" s="68">
        <f>SUMIFS(PURCHASE!$M$6:$M$10008,PURCHASE!$A$6:$A$10008,$C$4:$N$4,PURCHASE!$Q$6:$Q$10008,$B$5:$B$1043)</f>
        <v>0</v>
      </c>
      <c r="K157" s="68">
        <f>SUMIFS(PURCHASE!$M$6:$M$10008,PURCHASE!$A$6:$A$10008,$C$4:$N$4,PURCHASE!$Q$6:$Q$10008,$B$5:$B$1043)</f>
        <v>0</v>
      </c>
      <c r="L157" s="68">
        <f>SUMIFS(PURCHASE!$M$6:$M$10008,PURCHASE!$A$6:$A$10008,$C$4:$N$4,PURCHASE!$Q$6:$Q$10008,$B$5:$B$1043)</f>
        <v>0</v>
      </c>
      <c r="M157" s="68">
        <f>SUMIFS(PURCHASE!$M$6:$M$10008,PURCHASE!$A$6:$A$10008,$C$4:$N$4,PURCHASE!$Q$6:$Q$10008,$B$5:$B$1043)</f>
        <v>0</v>
      </c>
      <c r="N157" s="68">
        <f>SUMIFS(PURCHASE!$M$6:$M$10008,PURCHASE!$A$6:$A$10008,$C$4:$N$4,PURCHASE!$Q$6:$Q$10008,$B$5:$B$1043)</f>
        <v>0</v>
      </c>
      <c r="O157" s="71">
        <f t="shared" si="19"/>
        <v>0</v>
      </c>
    </row>
    <row r="158" spans="1:15" x14ac:dyDescent="0.2">
      <c r="A158" s="34" t="s">
        <v>285</v>
      </c>
      <c r="B158" s="34" t="s">
        <v>2426</v>
      </c>
      <c r="C158" s="68">
        <f>SUMIFS(PURCHASE!$N$6:$N$10008,PURCHASE!$A$6:$A$10008,$C$4:$N$4,PURCHASE!$Q$6:$Q$10008,$B$5:$B$1043)</f>
        <v>0</v>
      </c>
      <c r="D158" s="68">
        <f>SUMIFS(PURCHASE!$N$6:$N$10008,PURCHASE!$A$6:$A$10008,$C$4:$N$4,PURCHASE!$Q$6:$Q$10008,$B$5:$B$1043)</f>
        <v>0</v>
      </c>
      <c r="E158" s="68">
        <f>SUMIFS(PURCHASE!$N$6:$N$10008,PURCHASE!$A$6:$A$10008,$C$4:$N$4,PURCHASE!$Q$6:$Q$10008,$B$5:$B$1043)</f>
        <v>0</v>
      </c>
      <c r="F158" s="68">
        <f>SUMIFS(PURCHASE!$N$6:$N$10008,PURCHASE!$A$6:$A$10008,$C$4:$N$4,PURCHASE!$Q$6:$Q$10008,$B$5:$B$1043)</f>
        <v>0</v>
      </c>
      <c r="G158" s="68">
        <f>SUMIFS(PURCHASE!$N$6:$N$10008,PURCHASE!$A$6:$A$10008,$C$4:$N$4,PURCHASE!$Q$6:$Q$10008,$B$5:$B$1043)</f>
        <v>0</v>
      </c>
      <c r="H158" s="68">
        <f>SUMIFS(PURCHASE!$N$6:$N$10008,PURCHASE!$A$6:$A$10008,$C$4:$N$4,PURCHASE!$Q$6:$Q$10008,$B$5:$B$1043)</f>
        <v>0</v>
      </c>
      <c r="I158" s="68">
        <f>SUMIFS(PURCHASE!$N$6:$N$10008,PURCHASE!$A$6:$A$10008,$C$4:$N$4,PURCHASE!$Q$6:$Q$10008,$B$5:$B$1043)</f>
        <v>0</v>
      </c>
      <c r="J158" s="68">
        <f>SUMIFS(PURCHASE!$N$6:$N$10008,PURCHASE!$A$6:$A$10008,$C$4:$N$4,PURCHASE!$Q$6:$Q$10008,$B$5:$B$1043)</f>
        <v>0</v>
      </c>
      <c r="K158" s="68">
        <f>SUMIFS(PURCHASE!$N$6:$N$10008,PURCHASE!$A$6:$A$10008,$C$4:$N$4,PURCHASE!$Q$6:$Q$10008,$B$5:$B$1043)</f>
        <v>0</v>
      </c>
      <c r="L158" s="68">
        <f>SUMIFS(PURCHASE!$N$6:$N$10008,PURCHASE!$A$6:$A$10008,$C$4:$N$4,PURCHASE!$Q$6:$Q$10008,$B$5:$B$1043)</f>
        <v>0</v>
      </c>
      <c r="M158" s="68">
        <f>SUMIFS(PURCHASE!$N$6:$N$10008,PURCHASE!$A$6:$A$10008,$C$4:$N$4,PURCHASE!$Q$6:$Q$10008,$B$5:$B$1043)</f>
        <v>0</v>
      </c>
      <c r="N158" s="68">
        <f>SUMIFS(PURCHASE!$N$6:$N$10008,PURCHASE!$A$6:$A$10008,$C$4:$N$4,PURCHASE!$Q$6:$Q$10008,$B$5:$B$1043)</f>
        <v>0</v>
      </c>
      <c r="O158" s="71">
        <f t="shared" si="19"/>
        <v>0</v>
      </c>
    </row>
    <row r="159" spans="1:15" x14ac:dyDescent="0.2">
      <c r="A159" s="34" t="s">
        <v>286</v>
      </c>
      <c r="B159" s="34" t="s">
        <v>2426</v>
      </c>
      <c r="C159" s="68">
        <f>SUMIFS(PURCHASE!$O$6:$O$10008,PURCHASE!$A$6:$A$10008,$C$4:$N$4,PURCHASE!$Q$6:$Q$10008,$B$5:$B$1043)</f>
        <v>0</v>
      </c>
      <c r="D159" s="68">
        <f>SUMIFS(PURCHASE!$O$6:$O$10008,PURCHASE!$A$6:$A$10008,$C$4:$N$4,PURCHASE!$Q$6:$Q$10008,$B$5:$B$1043)</f>
        <v>0</v>
      </c>
      <c r="E159" s="68">
        <f>SUMIFS(PURCHASE!$O$6:$O$10008,PURCHASE!$A$6:$A$10008,$C$4:$N$4,PURCHASE!$Q$6:$Q$10008,$B$5:$B$1043)</f>
        <v>0</v>
      </c>
      <c r="F159" s="68">
        <f>SUMIFS(PURCHASE!$O$6:$O$10008,PURCHASE!$A$6:$A$10008,$C$4:$N$4,PURCHASE!$Q$6:$Q$10008,$B$5:$B$1043)</f>
        <v>0</v>
      </c>
      <c r="G159" s="68">
        <f>SUMIFS(PURCHASE!$O$6:$O$10008,PURCHASE!$A$6:$A$10008,$C$4:$N$4,PURCHASE!$Q$6:$Q$10008,$B$5:$B$1043)</f>
        <v>0</v>
      </c>
      <c r="H159" s="68">
        <f>SUMIFS(PURCHASE!$O$6:$O$10008,PURCHASE!$A$6:$A$10008,$C$4:$N$4,PURCHASE!$Q$6:$Q$10008,$B$5:$B$1043)</f>
        <v>0</v>
      </c>
      <c r="I159" s="68">
        <f>SUMIFS(PURCHASE!$O$6:$O$10008,PURCHASE!$A$6:$A$10008,$C$4:$N$4,PURCHASE!$Q$6:$Q$10008,$B$5:$B$1043)</f>
        <v>0</v>
      </c>
      <c r="J159" s="68">
        <f>SUMIFS(PURCHASE!$O$6:$O$10008,PURCHASE!$A$6:$A$10008,$C$4:$N$4,PURCHASE!$Q$6:$Q$10008,$B$5:$B$1043)</f>
        <v>0</v>
      </c>
      <c r="K159" s="68">
        <f>SUMIFS(PURCHASE!$O$6:$O$10008,PURCHASE!$A$6:$A$10008,$C$4:$N$4,PURCHASE!$Q$6:$Q$10008,$B$5:$B$1043)</f>
        <v>0</v>
      </c>
      <c r="L159" s="68">
        <f>SUMIFS(PURCHASE!$O$6:$O$10008,PURCHASE!$A$6:$A$10008,$C$4:$N$4,PURCHASE!$Q$6:$Q$10008,$B$5:$B$1043)</f>
        <v>0</v>
      </c>
      <c r="M159" s="68">
        <f>SUMIFS(PURCHASE!$O$6:$O$10008,PURCHASE!$A$6:$A$10008,$C$4:$N$4,PURCHASE!$Q$6:$Q$10008,$B$5:$B$1043)</f>
        <v>0</v>
      </c>
      <c r="N159" s="68">
        <f>SUMIFS(PURCHASE!$O$6:$O$10008,PURCHASE!$A$6:$A$10008,$C$4:$N$4,PURCHASE!$Q$6:$Q$10008,$B$5:$B$1043)</f>
        <v>0</v>
      </c>
      <c r="O159" s="71">
        <f t="shared" si="19"/>
        <v>0</v>
      </c>
    </row>
    <row r="160" spans="1:15" x14ac:dyDescent="0.2">
      <c r="A160" s="1052" t="s">
        <v>2431</v>
      </c>
      <c r="B160" s="1053"/>
      <c r="C160" s="1053"/>
      <c r="D160" s="1053"/>
      <c r="E160" s="1053"/>
      <c r="F160" s="1053"/>
      <c r="G160" s="1053"/>
      <c r="H160" s="1053"/>
      <c r="I160" s="1053"/>
      <c r="J160" s="1053"/>
      <c r="K160" s="1053"/>
      <c r="L160" s="1053"/>
      <c r="M160" s="1053"/>
      <c r="N160" s="1053"/>
      <c r="O160" s="1054"/>
    </row>
    <row r="161" spans="1:15" x14ac:dyDescent="0.2">
      <c r="A161" s="66" t="s">
        <v>279</v>
      </c>
      <c r="B161" s="66"/>
      <c r="C161" s="98">
        <v>43556</v>
      </c>
      <c r="D161" s="98">
        <v>43586</v>
      </c>
      <c r="E161" s="98">
        <v>43617</v>
      </c>
      <c r="F161" s="98">
        <v>43647</v>
      </c>
      <c r="G161" s="98">
        <v>43678</v>
      </c>
      <c r="H161" s="98">
        <v>43709</v>
      </c>
      <c r="I161" s="98">
        <v>43739</v>
      </c>
      <c r="J161" s="98">
        <v>43770</v>
      </c>
      <c r="K161" s="98">
        <v>43800</v>
      </c>
      <c r="L161" s="98">
        <v>43831</v>
      </c>
      <c r="M161" s="98">
        <v>43862</v>
      </c>
      <c r="N161" s="98">
        <v>43891</v>
      </c>
      <c r="O161" s="66" t="s">
        <v>347</v>
      </c>
    </row>
    <row r="162" spans="1:15" x14ac:dyDescent="0.2">
      <c r="A162" s="34" t="s">
        <v>280</v>
      </c>
      <c r="B162" s="34"/>
      <c r="C162" s="68">
        <v>0</v>
      </c>
      <c r="D162" s="68"/>
      <c r="E162" s="68"/>
      <c r="F162" s="68"/>
      <c r="G162" s="68"/>
      <c r="H162" s="68"/>
      <c r="I162" s="68"/>
      <c r="J162" s="68"/>
      <c r="K162" s="68"/>
      <c r="L162" s="68"/>
      <c r="M162" s="68"/>
      <c r="N162" s="68"/>
      <c r="O162" s="71">
        <f t="shared" si="19"/>
        <v>0</v>
      </c>
    </row>
    <row r="163" spans="1:15" x14ac:dyDescent="0.2">
      <c r="A163" s="34" t="s">
        <v>281</v>
      </c>
      <c r="B163" s="34" t="s">
        <v>2427</v>
      </c>
      <c r="C163" s="68">
        <f>+C164+C165+C166</f>
        <v>0</v>
      </c>
      <c r="D163" s="68">
        <f t="shared" ref="D163:N163" si="23">+D164+D165+D166</f>
        <v>0</v>
      </c>
      <c r="E163" s="68">
        <f t="shared" si="23"/>
        <v>0</v>
      </c>
      <c r="F163" s="68">
        <f t="shared" si="23"/>
        <v>0</v>
      </c>
      <c r="G163" s="68">
        <f t="shared" si="23"/>
        <v>0</v>
      </c>
      <c r="H163" s="68">
        <f t="shared" si="23"/>
        <v>0</v>
      </c>
      <c r="I163" s="68">
        <f t="shared" si="23"/>
        <v>0</v>
      </c>
      <c r="J163" s="68">
        <f t="shared" si="23"/>
        <v>0</v>
      </c>
      <c r="K163" s="68">
        <f t="shared" si="23"/>
        <v>0</v>
      </c>
      <c r="L163" s="68">
        <f t="shared" si="23"/>
        <v>0</v>
      </c>
      <c r="M163" s="68">
        <f t="shared" si="23"/>
        <v>0</v>
      </c>
      <c r="N163" s="68">
        <f t="shared" si="23"/>
        <v>0</v>
      </c>
      <c r="O163" s="71">
        <f t="shared" si="19"/>
        <v>0</v>
      </c>
    </row>
    <row r="164" spans="1:15" x14ac:dyDescent="0.2">
      <c r="A164" s="34" t="s">
        <v>282</v>
      </c>
      <c r="B164" s="34" t="s">
        <v>2427</v>
      </c>
      <c r="C164" s="68">
        <f>SUMIFS(PURCHASE!$K$6:$K$10008,PURCHASE!$A$6:$A$10008,$C$4:$N$4,PURCHASE!$Q$6:$Q$10008,$B$5:$B$1043)</f>
        <v>0</v>
      </c>
      <c r="D164" s="68">
        <f>SUMIFS(PURCHASE!$K$6:$K$10008,PURCHASE!$A$6:$A$10008,$C$4:$N$4,PURCHASE!$Q$6:$Q$10008,$B$5:$B$1043)</f>
        <v>0</v>
      </c>
      <c r="E164" s="68">
        <f>SUMIFS(PURCHASE!$K$6:$K$10008,PURCHASE!$A$6:$A$10008,$C$4:$N$4,PURCHASE!$Q$6:$Q$10008,$B$5:$B$1043)</f>
        <v>0</v>
      </c>
      <c r="F164" s="68">
        <f>SUMIFS(PURCHASE!$K$6:$K$10008,PURCHASE!$A$6:$A$10008,$C$4:$N$4,PURCHASE!$Q$6:$Q$10008,$B$5:$B$1043)</f>
        <v>0</v>
      </c>
      <c r="G164" s="68">
        <f>SUMIFS(PURCHASE!$K$6:$K$10008,PURCHASE!$A$6:$A$10008,$C$4:$N$4,PURCHASE!$Q$6:$Q$10008,$B$5:$B$1043)</f>
        <v>0</v>
      </c>
      <c r="H164" s="68">
        <f>SUMIFS(PURCHASE!$K$6:$K$10008,PURCHASE!$A$6:$A$10008,$C$4:$N$4,PURCHASE!$Q$6:$Q$10008,$B$5:$B$1043)</f>
        <v>0</v>
      </c>
      <c r="I164" s="68">
        <f>SUMIFS(PURCHASE!$K$6:$K$10008,PURCHASE!$A$6:$A$10008,$C$4:$N$4,PURCHASE!$Q$6:$Q$10008,$B$5:$B$1043)</f>
        <v>0</v>
      </c>
      <c r="J164" s="68">
        <f>SUMIFS(PURCHASE!$K$6:$K$10008,PURCHASE!$A$6:$A$10008,$C$4:$N$4,PURCHASE!$Q$6:$Q$10008,$B$5:$B$1043)</f>
        <v>0</v>
      </c>
      <c r="K164" s="68">
        <f>SUMIFS(PURCHASE!$K$6:$K$10008,PURCHASE!$A$6:$A$10008,$C$4:$N$4,PURCHASE!$Q$6:$Q$10008,$B$5:$B$1043)</f>
        <v>0</v>
      </c>
      <c r="L164" s="68">
        <f>SUMIFS(PURCHASE!$K$6:$K$10008,PURCHASE!$A$6:$A$10008,$C$4:$N$4,PURCHASE!$Q$6:$Q$10008,$B$5:$B$1043)</f>
        <v>0</v>
      </c>
      <c r="M164" s="68">
        <f>SUMIFS(PURCHASE!$K$6:$K$10008,PURCHASE!$A$6:$A$10008,$C$4:$N$4,PURCHASE!$Q$6:$Q$10008,$B$5:$B$1043)</f>
        <v>0</v>
      </c>
      <c r="N164" s="68">
        <f>SUMIFS(PURCHASE!$K$6:$K$10008,PURCHASE!$A$6:$A$10008,$C$4:$N$4,PURCHASE!$Q$6:$Q$10008,$B$5:$B$1043)</f>
        <v>0</v>
      </c>
      <c r="O164" s="71">
        <f t="shared" si="19"/>
        <v>0</v>
      </c>
    </row>
    <row r="165" spans="1:15" x14ac:dyDescent="0.2">
      <c r="A165" s="34" t="s">
        <v>283</v>
      </c>
      <c r="B165" s="34" t="s">
        <v>2427</v>
      </c>
      <c r="C165" s="68">
        <f>SUMIFS(PURCHASE!$L$6:$L$10008,PURCHASE!$A$6:$A$10008,$C$4:$N$4,PURCHASE!$Q$6:$Q$10008,$B$5:$B$1043)</f>
        <v>0</v>
      </c>
      <c r="D165" s="68">
        <f>SUMIFS(PURCHASE!$L$6:$L$10008,PURCHASE!$A$6:$A$10008,$C$4:$N$4,PURCHASE!$Q$6:$Q$10008,$B$5:$B$1043)</f>
        <v>0</v>
      </c>
      <c r="E165" s="68">
        <f>SUMIFS(PURCHASE!$L$6:$L$10008,PURCHASE!$A$6:$A$10008,$C$4:$N$4,PURCHASE!$Q$6:$Q$10008,$B$5:$B$1043)</f>
        <v>0</v>
      </c>
      <c r="F165" s="68">
        <f>SUMIFS(PURCHASE!$L$6:$L$10008,PURCHASE!$A$6:$A$10008,$C$4:$N$4,PURCHASE!$Q$6:$Q$10008,$B$5:$B$1043)</f>
        <v>0</v>
      </c>
      <c r="G165" s="68">
        <f>SUMIFS(PURCHASE!$L$6:$L$10008,PURCHASE!$A$6:$A$10008,$C$4:$N$4,PURCHASE!$Q$6:$Q$10008,$B$5:$B$1043)</f>
        <v>0</v>
      </c>
      <c r="H165" s="68">
        <f>SUMIFS(PURCHASE!$L$6:$L$10008,PURCHASE!$A$6:$A$10008,$C$4:$N$4,PURCHASE!$Q$6:$Q$10008,$B$5:$B$1043)</f>
        <v>0</v>
      </c>
      <c r="I165" s="68">
        <f>SUMIFS(PURCHASE!$L$6:$L$10008,PURCHASE!$A$6:$A$10008,$C$4:$N$4,PURCHASE!$Q$6:$Q$10008,$B$5:$B$1043)</f>
        <v>0</v>
      </c>
      <c r="J165" s="68">
        <f>SUMIFS(PURCHASE!$L$6:$L$10008,PURCHASE!$A$6:$A$10008,$C$4:$N$4,PURCHASE!$Q$6:$Q$10008,$B$5:$B$1043)</f>
        <v>0</v>
      </c>
      <c r="K165" s="68">
        <f>SUMIFS(PURCHASE!$L$6:$L$10008,PURCHASE!$A$6:$A$10008,$C$4:$N$4,PURCHASE!$Q$6:$Q$10008,$B$5:$B$1043)</f>
        <v>0</v>
      </c>
      <c r="L165" s="68">
        <f>SUMIFS(PURCHASE!$L$6:$L$10008,PURCHASE!$A$6:$A$10008,$C$4:$N$4,PURCHASE!$Q$6:$Q$10008,$B$5:$B$1043)</f>
        <v>0</v>
      </c>
      <c r="M165" s="68">
        <f>SUMIFS(PURCHASE!$L$6:$L$10008,PURCHASE!$A$6:$A$10008,$C$4:$N$4,PURCHASE!$Q$6:$Q$10008,$B$5:$B$1043)</f>
        <v>0</v>
      </c>
      <c r="N165" s="68">
        <f>SUMIFS(PURCHASE!$L$6:$L$10008,PURCHASE!$A$6:$A$10008,$C$4:$N$4,PURCHASE!$Q$6:$Q$10008,$B$5:$B$1043)</f>
        <v>0</v>
      </c>
      <c r="O165" s="71">
        <f t="shared" si="19"/>
        <v>0</v>
      </c>
    </row>
    <row r="166" spans="1:15" x14ac:dyDescent="0.2">
      <c r="A166" s="34" t="s">
        <v>284</v>
      </c>
      <c r="B166" s="34" t="s">
        <v>2427</v>
      </c>
      <c r="C166" s="68">
        <f>SUMIFS(PURCHASE!$M$6:$M$10008,PURCHASE!$A$6:$A$10008,$C$4:$N$4,PURCHASE!$Q$6:$Q$10008,$B$5:$B$1043)</f>
        <v>0</v>
      </c>
      <c r="D166" s="68">
        <f>SUMIFS(PURCHASE!$M$6:$M$10008,PURCHASE!$A$6:$A$10008,$C$4:$N$4,PURCHASE!$Q$6:$Q$10008,$B$5:$B$1043)</f>
        <v>0</v>
      </c>
      <c r="E166" s="68">
        <f>SUMIFS(PURCHASE!$M$6:$M$10008,PURCHASE!$A$6:$A$10008,$C$4:$N$4,PURCHASE!$Q$6:$Q$10008,$B$5:$B$1043)</f>
        <v>0</v>
      </c>
      <c r="F166" s="68">
        <f>SUMIFS(PURCHASE!$M$6:$M$10008,PURCHASE!$A$6:$A$10008,$C$4:$N$4,PURCHASE!$Q$6:$Q$10008,$B$5:$B$1043)</f>
        <v>0</v>
      </c>
      <c r="G166" s="68">
        <f>SUMIFS(PURCHASE!$M$6:$M$10008,PURCHASE!$A$6:$A$10008,$C$4:$N$4,PURCHASE!$Q$6:$Q$10008,$B$5:$B$1043)</f>
        <v>0</v>
      </c>
      <c r="H166" s="68">
        <f>SUMIFS(PURCHASE!$M$6:$M$10008,PURCHASE!$A$6:$A$10008,$C$4:$N$4,PURCHASE!$Q$6:$Q$10008,$B$5:$B$1043)</f>
        <v>0</v>
      </c>
      <c r="I166" s="68">
        <f>SUMIFS(PURCHASE!$M$6:$M$10008,PURCHASE!$A$6:$A$10008,$C$4:$N$4,PURCHASE!$Q$6:$Q$10008,$B$5:$B$1043)</f>
        <v>0</v>
      </c>
      <c r="J166" s="68">
        <f>SUMIFS(PURCHASE!$M$6:$M$10008,PURCHASE!$A$6:$A$10008,$C$4:$N$4,PURCHASE!$Q$6:$Q$10008,$B$5:$B$1043)</f>
        <v>0</v>
      </c>
      <c r="K166" s="68">
        <f>SUMIFS(PURCHASE!$M$6:$M$10008,PURCHASE!$A$6:$A$10008,$C$4:$N$4,PURCHASE!$Q$6:$Q$10008,$B$5:$B$1043)</f>
        <v>0</v>
      </c>
      <c r="L166" s="68">
        <f>SUMIFS(PURCHASE!$M$6:$M$10008,PURCHASE!$A$6:$A$10008,$C$4:$N$4,PURCHASE!$Q$6:$Q$10008,$B$5:$B$1043)</f>
        <v>0</v>
      </c>
      <c r="M166" s="68">
        <f>SUMIFS(PURCHASE!$M$6:$M$10008,PURCHASE!$A$6:$A$10008,$C$4:$N$4,PURCHASE!$Q$6:$Q$10008,$B$5:$B$1043)</f>
        <v>0</v>
      </c>
      <c r="N166" s="68">
        <f>SUMIFS(PURCHASE!$M$6:$M$10008,PURCHASE!$A$6:$A$10008,$C$4:$N$4,PURCHASE!$Q$6:$Q$10008,$B$5:$B$1043)</f>
        <v>0</v>
      </c>
      <c r="O166" s="71">
        <f t="shared" si="19"/>
        <v>0</v>
      </c>
    </row>
    <row r="167" spans="1:15" x14ac:dyDescent="0.2">
      <c r="A167" s="34" t="s">
        <v>285</v>
      </c>
      <c r="B167" s="34" t="s">
        <v>2427</v>
      </c>
      <c r="C167" s="68">
        <f>SUMIFS(PURCHASE!$N$6:$N$10008,PURCHASE!$A$6:$A$10008,$C$4:$N$4,PURCHASE!$Q$6:$Q$10008,$B$5:$B$1043)</f>
        <v>0</v>
      </c>
      <c r="D167" s="68">
        <f>SUMIFS(PURCHASE!$N$6:$N$10008,PURCHASE!$A$6:$A$10008,$C$4:$N$4,PURCHASE!$Q$6:$Q$10008,$B$5:$B$1043)</f>
        <v>0</v>
      </c>
      <c r="E167" s="68">
        <f>SUMIFS(PURCHASE!$N$6:$N$10008,PURCHASE!$A$6:$A$10008,$C$4:$N$4,PURCHASE!$Q$6:$Q$10008,$B$5:$B$1043)</f>
        <v>0</v>
      </c>
      <c r="F167" s="68">
        <f>SUMIFS(PURCHASE!$N$6:$N$10008,PURCHASE!$A$6:$A$10008,$C$4:$N$4,PURCHASE!$Q$6:$Q$10008,$B$5:$B$1043)</f>
        <v>0</v>
      </c>
      <c r="G167" s="68">
        <f>SUMIFS(PURCHASE!$N$6:$N$10008,PURCHASE!$A$6:$A$10008,$C$4:$N$4,PURCHASE!$Q$6:$Q$10008,$B$5:$B$1043)</f>
        <v>0</v>
      </c>
      <c r="H167" s="68">
        <f>SUMIFS(PURCHASE!$N$6:$N$10008,PURCHASE!$A$6:$A$10008,$C$4:$N$4,PURCHASE!$Q$6:$Q$10008,$B$5:$B$1043)</f>
        <v>0</v>
      </c>
      <c r="I167" s="68">
        <f>SUMIFS(PURCHASE!$N$6:$N$10008,PURCHASE!$A$6:$A$10008,$C$4:$N$4,PURCHASE!$Q$6:$Q$10008,$B$5:$B$1043)</f>
        <v>0</v>
      </c>
      <c r="J167" s="68">
        <f>SUMIFS(PURCHASE!$N$6:$N$10008,PURCHASE!$A$6:$A$10008,$C$4:$N$4,PURCHASE!$Q$6:$Q$10008,$B$5:$B$1043)</f>
        <v>0</v>
      </c>
      <c r="K167" s="68">
        <f>SUMIFS(PURCHASE!$N$6:$N$10008,PURCHASE!$A$6:$A$10008,$C$4:$N$4,PURCHASE!$Q$6:$Q$10008,$B$5:$B$1043)</f>
        <v>0</v>
      </c>
      <c r="L167" s="68">
        <f>SUMIFS(PURCHASE!$N$6:$N$10008,PURCHASE!$A$6:$A$10008,$C$4:$N$4,PURCHASE!$Q$6:$Q$10008,$B$5:$B$1043)</f>
        <v>0</v>
      </c>
      <c r="M167" s="68">
        <f>SUMIFS(PURCHASE!$N$6:$N$10008,PURCHASE!$A$6:$A$10008,$C$4:$N$4,PURCHASE!$Q$6:$Q$10008,$B$5:$B$1043)</f>
        <v>0</v>
      </c>
      <c r="N167" s="68">
        <f>SUMIFS(PURCHASE!$N$6:$N$10008,PURCHASE!$A$6:$A$10008,$C$4:$N$4,PURCHASE!$Q$6:$Q$10008,$B$5:$B$1043)</f>
        <v>0</v>
      </c>
      <c r="O167" s="71">
        <f t="shared" si="19"/>
        <v>0</v>
      </c>
    </row>
    <row r="168" spans="1:15" x14ac:dyDescent="0.2">
      <c r="A168" s="34" t="s">
        <v>286</v>
      </c>
      <c r="B168" s="34" t="s">
        <v>2427</v>
      </c>
      <c r="C168" s="68">
        <f>SUMIFS(PURCHASE!$O$6:$O$10008,PURCHASE!$A$6:$A$10008,$C$4:$N$4,PURCHASE!$Q$6:$Q$10008,$B$5:$B$1043)</f>
        <v>0</v>
      </c>
      <c r="D168" s="68">
        <f>SUMIFS(PURCHASE!$O$6:$O$10008,PURCHASE!$A$6:$A$10008,$C$4:$N$4,PURCHASE!$Q$6:$Q$10008,$B$5:$B$1043)</f>
        <v>0</v>
      </c>
      <c r="E168" s="68">
        <f>SUMIFS(PURCHASE!$O$6:$O$10008,PURCHASE!$A$6:$A$10008,$C$4:$N$4,PURCHASE!$Q$6:$Q$10008,$B$5:$B$1043)</f>
        <v>0</v>
      </c>
      <c r="F168" s="68">
        <f>SUMIFS(PURCHASE!$O$6:$O$10008,PURCHASE!$A$6:$A$10008,$C$4:$N$4,PURCHASE!$Q$6:$Q$10008,$B$5:$B$1043)</f>
        <v>0</v>
      </c>
      <c r="G168" s="68">
        <f>SUMIFS(PURCHASE!$O$6:$O$10008,PURCHASE!$A$6:$A$10008,$C$4:$N$4,PURCHASE!$Q$6:$Q$10008,$B$5:$B$1043)</f>
        <v>0</v>
      </c>
      <c r="H168" s="68">
        <f>SUMIFS(PURCHASE!$O$6:$O$10008,PURCHASE!$A$6:$A$10008,$C$4:$N$4,PURCHASE!$Q$6:$Q$10008,$B$5:$B$1043)</f>
        <v>0</v>
      </c>
      <c r="I168" s="68">
        <f>SUMIFS(PURCHASE!$O$6:$O$10008,PURCHASE!$A$6:$A$10008,$C$4:$N$4,PURCHASE!$Q$6:$Q$10008,$B$5:$B$1043)</f>
        <v>0</v>
      </c>
      <c r="J168" s="68">
        <f>SUMIFS(PURCHASE!$O$6:$O$10008,PURCHASE!$A$6:$A$10008,$C$4:$N$4,PURCHASE!$Q$6:$Q$10008,$B$5:$B$1043)</f>
        <v>0</v>
      </c>
      <c r="K168" s="68">
        <f>SUMIFS(PURCHASE!$O$6:$O$10008,PURCHASE!$A$6:$A$10008,$C$4:$N$4,PURCHASE!$Q$6:$Q$10008,$B$5:$B$1043)</f>
        <v>0</v>
      </c>
      <c r="L168" s="68">
        <f>SUMIFS(PURCHASE!$O$6:$O$10008,PURCHASE!$A$6:$A$10008,$C$4:$N$4,PURCHASE!$Q$6:$Q$10008,$B$5:$B$1043)</f>
        <v>0</v>
      </c>
      <c r="M168" s="68">
        <f>SUMIFS(PURCHASE!$O$6:$O$10008,PURCHASE!$A$6:$A$10008,$C$4:$N$4,PURCHASE!$Q$6:$Q$10008,$B$5:$B$1043)</f>
        <v>0</v>
      </c>
      <c r="N168" s="68">
        <f>SUMIFS(PURCHASE!$O$6:$O$10008,PURCHASE!$A$6:$A$10008,$C$4:$N$4,PURCHASE!$Q$6:$Q$10008,$B$5:$B$1043)</f>
        <v>0</v>
      </c>
      <c r="O168" s="71">
        <f t="shared" si="19"/>
        <v>0</v>
      </c>
    </row>
    <row r="169" spans="1:15" x14ac:dyDescent="0.2">
      <c r="A169" s="1052" t="s">
        <v>380</v>
      </c>
      <c r="B169" s="1053"/>
      <c r="C169" s="1053"/>
      <c r="D169" s="1053"/>
      <c r="E169" s="1053"/>
      <c r="F169" s="1053"/>
      <c r="G169" s="1053"/>
      <c r="H169" s="1053"/>
      <c r="I169" s="1053"/>
      <c r="J169" s="1053"/>
      <c r="K169" s="1053"/>
      <c r="L169" s="1053"/>
      <c r="M169" s="1053"/>
      <c r="N169" s="1053"/>
      <c r="O169" s="1054"/>
    </row>
    <row r="170" spans="1:15" x14ac:dyDescent="0.2">
      <c r="A170" s="66" t="s">
        <v>279</v>
      </c>
      <c r="B170" s="66"/>
      <c r="C170" s="98">
        <v>43556</v>
      </c>
      <c r="D170" s="98">
        <v>43586</v>
      </c>
      <c r="E170" s="98">
        <v>43617</v>
      </c>
      <c r="F170" s="98">
        <v>43647</v>
      </c>
      <c r="G170" s="98">
        <v>43678</v>
      </c>
      <c r="H170" s="98">
        <v>43709</v>
      </c>
      <c r="I170" s="98">
        <v>43739</v>
      </c>
      <c r="J170" s="98">
        <v>43770</v>
      </c>
      <c r="K170" s="98">
        <v>43800</v>
      </c>
      <c r="L170" s="98">
        <v>43831</v>
      </c>
      <c r="M170" s="98">
        <v>43862</v>
      </c>
      <c r="N170" s="98">
        <v>43891</v>
      </c>
      <c r="O170" s="66" t="s">
        <v>347</v>
      </c>
    </row>
    <row r="171" spans="1:15" x14ac:dyDescent="0.2">
      <c r="A171" s="34" t="s">
        <v>280</v>
      </c>
      <c r="B171" s="34"/>
      <c r="C171" s="68">
        <v>0</v>
      </c>
      <c r="D171" s="68"/>
      <c r="E171" s="68"/>
      <c r="F171" s="68"/>
      <c r="G171" s="68"/>
      <c r="H171" s="68"/>
      <c r="I171" s="68"/>
      <c r="J171" s="68"/>
      <c r="K171" s="68"/>
      <c r="L171" s="68"/>
      <c r="M171" s="68"/>
      <c r="N171" s="68"/>
      <c r="O171" s="71">
        <f t="shared" si="19"/>
        <v>0</v>
      </c>
    </row>
    <row r="172" spans="1:15" x14ac:dyDescent="0.2">
      <c r="A172" s="34" t="s">
        <v>281</v>
      </c>
      <c r="B172" s="34" t="s">
        <v>380</v>
      </c>
      <c r="C172" s="68">
        <f t="shared" ref="C172:N172" si="24">+C173+C174+C175</f>
        <v>0</v>
      </c>
      <c r="D172" s="68">
        <f t="shared" si="24"/>
        <v>0</v>
      </c>
      <c r="E172" s="68">
        <f t="shared" si="24"/>
        <v>0</v>
      </c>
      <c r="F172" s="68">
        <f t="shared" si="24"/>
        <v>0</v>
      </c>
      <c r="G172" s="68">
        <f t="shared" si="24"/>
        <v>0</v>
      </c>
      <c r="H172" s="68">
        <f t="shared" si="24"/>
        <v>0</v>
      </c>
      <c r="I172" s="68">
        <f t="shared" si="24"/>
        <v>0</v>
      </c>
      <c r="J172" s="68">
        <f t="shared" si="24"/>
        <v>0</v>
      </c>
      <c r="K172" s="68">
        <f t="shared" si="24"/>
        <v>0</v>
      </c>
      <c r="L172" s="68">
        <f t="shared" si="24"/>
        <v>0</v>
      </c>
      <c r="M172" s="68">
        <f t="shared" si="24"/>
        <v>0</v>
      </c>
      <c r="N172" s="68">
        <f t="shared" si="24"/>
        <v>0</v>
      </c>
      <c r="O172" s="71">
        <f t="shared" si="19"/>
        <v>0</v>
      </c>
    </row>
    <row r="173" spans="1:15" x14ac:dyDescent="0.2">
      <c r="A173" s="34" t="s">
        <v>282</v>
      </c>
      <c r="B173" s="34" t="s">
        <v>380</v>
      </c>
      <c r="C173" s="68">
        <f>SUMIFS(PURCHASE!$K$6:$K$10008,PURCHASE!$A$6:$A$10008,$C$4:$N$4,PURCHASE!$Q$6:$Q$10008,$B$5:$B$1043)</f>
        <v>0</v>
      </c>
      <c r="D173" s="68">
        <f>SUMIFS(PURCHASE!$K$6:$K$10008,PURCHASE!$A$6:$A$10008,$C$4:$N$4,PURCHASE!$Q$6:$Q$10008,$B$5:$B$1043)</f>
        <v>0</v>
      </c>
      <c r="E173" s="68">
        <f>SUMIFS(PURCHASE!$K$6:$K$10008,PURCHASE!$A$6:$A$10008,$C$4:$N$4,PURCHASE!$Q$6:$Q$10008,$B$5:$B$1043)</f>
        <v>0</v>
      </c>
      <c r="F173" s="68">
        <f>SUMIFS(PURCHASE!$K$6:$K$10008,PURCHASE!$A$6:$A$10008,$C$4:$N$4,PURCHASE!$Q$6:$Q$10008,$B$5:$B$1043)</f>
        <v>0</v>
      </c>
      <c r="G173" s="68">
        <f>SUMIFS(PURCHASE!$K$6:$K$10008,PURCHASE!$A$6:$A$10008,$C$4:$N$4,PURCHASE!$Q$6:$Q$10008,$B$5:$B$1043)</f>
        <v>0</v>
      </c>
      <c r="H173" s="68">
        <f>SUMIFS(PURCHASE!$K$6:$K$10008,PURCHASE!$A$6:$A$10008,$C$4:$N$4,PURCHASE!$Q$6:$Q$10008,$B$5:$B$1043)</f>
        <v>0</v>
      </c>
      <c r="I173" s="68">
        <f>SUMIFS(PURCHASE!$K$6:$K$10008,PURCHASE!$A$6:$A$10008,$C$4:$N$4,PURCHASE!$Q$6:$Q$10008,$B$5:$B$1043)</f>
        <v>0</v>
      </c>
      <c r="J173" s="68">
        <f>SUMIFS(PURCHASE!$K$6:$K$10008,PURCHASE!$A$6:$A$10008,$C$4:$N$4,PURCHASE!$Q$6:$Q$10008,$B$5:$B$1043)</f>
        <v>0</v>
      </c>
      <c r="K173" s="68">
        <f>SUMIFS(PURCHASE!$K$6:$K$10008,PURCHASE!$A$6:$A$10008,$C$4:$N$4,PURCHASE!$Q$6:$Q$10008,$B$5:$B$1043)</f>
        <v>0</v>
      </c>
      <c r="L173" s="68">
        <f>SUMIFS(PURCHASE!$K$6:$K$10008,PURCHASE!$A$6:$A$10008,$C$4:$N$4,PURCHASE!$Q$6:$Q$10008,$B$5:$B$1043)</f>
        <v>0</v>
      </c>
      <c r="M173" s="68">
        <f>SUMIFS(PURCHASE!$K$6:$K$10008,PURCHASE!$A$6:$A$10008,$C$4:$N$4,PURCHASE!$Q$6:$Q$10008,$B$5:$B$1043)</f>
        <v>0</v>
      </c>
      <c r="N173" s="68">
        <f>SUMIFS(PURCHASE!$K$6:$K$10008,PURCHASE!$A$6:$A$10008,$C$4:$N$4,PURCHASE!$Q$6:$Q$10008,$B$5:$B$1043)</f>
        <v>0</v>
      </c>
      <c r="O173" s="71">
        <f t="shared" si="19"/>
        <v>0</v>
      </c>
    </row>
    <row r="174" spans="1:15" x14ac:dyDescent="0.2">
      <c r="A174" s="34" t="s">
        <v>283</v>
      </c>
      <c r="B174" s="34" t="s">
        <v>380</v>
      </c>
      <c r="C174" s="68">
        <f>SUMIFS(PURCHASE!$L$6:$L$10008,PURCHASE!$A$6:$A$10008,$C$4:$N$4,PURCHASE!$Q$6:$Q$10008,$B$5:$B$1043)</f>
        <v>0</v>
      </c>
      <c r="D174" s="68">
        <f>SUMIFS(PURCHASE!$L$6:$L$10008,PURCHASE!$A$6:$A$10008,$C$4:$N$4,PURCHASE!$Q$6:$Q$10008,$B$5:$B$1043)</f>
        <v>0</v>
      </c>
      <c r="E174" s="68">
        <f>SUMIFS(PURCHASE!$L$6:$L$10008,PURCHASE!$A$6:$A$10008,$C$4:$N$4,PURCHASE!$Q$6:$Q$10008,$B$5:$B$1043)</f>
        <v>0</v>
      </c>
      <c r="F174" s="68">
        <f>SUMIFS(PURCHASE!$L$6:$L$10008,PURCHASE!$A$6:$A$10008,$C$4:$N$4,PURCHASE!$Q$6:$Q$10008,$B$5:$B$1043)</f>
        <v>0</v>
      </c>
      <c r="G174" s="68">
        <f>SUMIFS(PURCHASE!$L$6:$L$10008,PURCHASE!$A$6:$A$10008,$C$4:$N$4,PURCHASE!$Q$6:$Q$10008,$B$5:$B$1043)</f>
        <v>0</v>
      </c>
      <c r="H174" s="68">
        <f>SUMIFS(PURCHASE!$L$6:$L$10008,PURCHASE!$A$6:$A$10008,$C$4:$N$4,PURCHASE!$Q$6:$Q$10008,$B$5:$B$1043)</f>
        <v>0</v>
      </c>
      <c r="I174" s="68">
        <f>SUMIFS(PURCHASE!$L$6:$L$10008,PURCHASE!$A$6:$A$10008,$C$4:$N$4,PURCHASE!$Q$6:$Q$10008,$B$5:$B$1043)</f>
        <v>0</v>
      </c>
      <c r="J174" s="68">
        <f>SUMIFS(PURCHASE!$L$6:$L$10008,PURCHASE!$A$6:$A$10008,$C$4:$N$4,PURCHASE!$Q$6:$Q$10008,$B$5:$B$1043)</f>
        <v>0</v>
      </c>
      <c r="K174" s="68">
        <f>SUMIFS(PURCHASE!$L$6:$L$10008,PURCHASE!$A$6:$A$10008,$C$4:$N$4,PURCHASE!$Q$6:$Q$10008,$B$5:$B$1043)</f>
        <v>0</v>
      </c>
      <c r="L174" s="68">
        <f>SUMIFS(PURCHASE!$L$6:$L$10008,PURCHASE!$A$6:$A$10008,$C$4:$N$4,PURCHASE!$Q$6:$Q$10008,$B$5:$B$1043)</f>
        <v>0</v>
      </c>
      <c r="M174" s="68">
        <f>SUMIFS(PURCHASE!$L$6:$L$10008,PURCHASE!$A$6:$A$10008,$C$4:$N$4,PURCHASE!$Q$6:$Q$10008,$B$5:$B$1043)</f>
        <v>0</v>
      </c>
      <c r="N174" s="68">
        <f>SUMIFS(PURCHASE!$L$6:$L$10008,PURCHASE!$A$6:$A$10008,$C$4:$N$4,PURCHASE!$Q$6:$Q$10008,$B$5:$B$1043)</f>
        <v>0</v>
      </c>
      <c r="O174" s="71">
        <f t="shared" si="19"/>
        <v>0</v>
      </c>
    </row>
    <row r="175" spans="1:15" x14ac:dyDescent="0.2">
      <c r="A175" s="34" t="s">
        <v>284</v>
      </c>
      <c r="B175" s="34" t="s">
        <v>380</v>
      </c>
      <c r="C175" s="68">
        <f>SUMIFS(PURCHASE!$M$6:$M$10008,PURCHASE!$A$6:$A$10008,$C$4:$N$4,PURCHASE!$Q$6:$Q$10008,$B$5:$B$1043)</f>
        <v>0</v>
      </c>
      <c r="D175" s="68">
        <f>SUMIFS(PURCHASE!$M$6:$M$10008,PURCHASE!$A$6:$A$10008,$C$4:$N$4,PURCHASE!$Q$6:$Q$10008,$B$5:$B$1043)</f>
        <v>0</v>
      </c>
      <c r="E175" s="68">
        <f>SUMIFS(PURCHASE!$M$6:$M$10008,PURCHASE!$A$6:$A$10008,$C$4:$N$4,PURCHASE!$Q$6:$Q$10008,$B$5:$B$1043)</f>
        <v>0</v>
      </c>
      <c r="F175" s="68">
        <f>SUMIFS(PURCHASE!$M$6:$M$10008,PURCHASE!$A$6:$A$10008,$C$4:$N$4,PURCHASE!$Q$6:$Q$10008,$B$5:$B$1043)</f>
        <v>0</v>
      </c>
      <c r="G175" s="68">
        <f>SUMIFS(PURCHASE!$M$6:$M$10008,PURCHASE!$A$6:$A$10008,$C$4:$N$4,PURCHASE!$Q$6:$Q$10008,$B$5:$B$1043)</f>
        <v>0</v>
      </c>
      <c r="H175" s="68">
        <f>SUMIFS(PURCHASE!$M$6:$M$10008,PURCHASE!$A$6:$A$10008,$C$4:$N$4,PURCHASE!$Q$6:$Q$10008,$B$5:$B$1043)</f>
        <v>0</v>
      </c>
      <c r="I175" s="68">
        <f>SUMIFS(PURCHASE!$M$6:$M$10008,PURCHASE!$A$6:$A$10008,$C$4:$N$4,PURCHASE!$Q$6:$Q$10008,$B$5:$B$1043)</f>
        <v>0</v>
      </c>
      <c r="J175" s="68">
        <f>SUMIFS(PURCHASE!$M$6:$M$10008,PURCHASE!$A$6:$A$10008,$C$4:$N$4,PURCHASE!$Q$6:$Q$10008,$B$5:$B$1043)</f>
        <v>0</v>
      </c>
      <c r="K175" s="68">
        <f>SUMIFS(PURCHASE!$M$6:$M$10008,PURCHASE!$A$6:$A$10008,$C$4:$N$4,PURCHASE!$Q$6:$Q$10008,$B$5:$B$1043)</f>
        <v>0</v>
      </c>
      <c r="L175" s="68">
        <f>SUMIFS(PURCHASE!$M$6:$M$10008,PURCHASE!$A$6:$A$10008,$C$4:$N$4,PURCHASE!$Q$6:$Q$10008,$B$5:$B$1043)</f>
        <v>0</v>
      </c>
      <c r="M175" s="68">
        <f>SUMIFS(PURCHASE!$M$6:$M$10008,PURCHASE!$A$6:$A$10008,$C$4:$N$4,PURCHASE!$Q$6:$Q$10008,$B$5:$B$1043)</f>
        <v>0</v>
      </c>
      <c r="N175" s="68">
        <f>SUMIFS(PURCHASE!$M$6:$M$10008,PURCHASE!$A$6:$A$10008,$C$4:$N$4,PURCHASE!$Q$6:$Q$10008,$B$5:$B$1043)</f>
        <v>0</v>
      </c>
      <c r="O175" s="71">
        <f t="shared" si="19"/>
        <v>0</v>
      </c>
    </row>
    <row r="176" spans="1:15" x14ac:dyDescent="0.2">
      <c r="A176" s="34" t="s">
        <v>285</v>
      </c>
      <c r="B176" s="34" t="s">
        <v>380</v>
      </c>
      <c r="C176" s="68">
        <f>SUMIFS(PURCHASE!$N$6:$N$10008,PURCHASE!$A$6:$A$10008,$C$4:$N$4,PURCHASE!$Q$6:$Q$10008,$B$5:$B$1043)</f>
        <v>0</v>
      </c>
      <c r="D176" s="68">
        <f>SUMIFS(PURCHASE!$N$6:$N$10008,PURCHASE!$A$6:$A$10008,$C$4:$N$4,PURCHASE!$Q$6:$Q$10008,$B$5:$B$1043)</f>
        <v>0</v>
      </c>
      <c r="E176" s="68">
        <f>SUMIFS(PURCHASE!$N$6:$N$10008,PURCHASE!$A$6:$A$10008,$C$4:$N$4,PURCHASE!$Q$6:$Q$10008,$B$5:$B$1043)</f>
        <v>0</v>
      </c>
      <c r="F176" s="68">
        <f>SUMIFS(PURCHASE!$N$6:$N$10008,PURCHASE!$A$6:$A$10008,$C$4:$N$4,PURCHASE!$Q$6:$Q$10008,$B$5:$B$1043)</f>
        <v>0</v>
      </c>
      <c r="G176" s="68">
        <f>SUMIFS(PURCHASE!$N$6:$N$10008,PURCHASE!$A$6:$A$10008,$C$4:$N$4,PURCHASE!$Q$6:$Q$10008,$B$5:$B$1043)</f>
        <v>0</v>
      </c>
      <c r="H176" s="68">
        <f>SUMIFS(PURCHASE!$N$6:$N$10008,PURCHASE!$A$6:$A$10008,$C$4:$N$4,PURCHASE!$Q$6:$Q$10008,$B$5:$B$1043)</f>
        <v>0</v>
      </c>
      <c r="I176" s="68">
        <f>SUMIFS(PURCHASE!$N$6:$N$10008,PURCHASE!$A$6:$A$10008,$C$4:$N$4,PURCHASE!$Q$6:$Q$10008,$B$5:$B$1043)</f>
        <v>0</v>
      </c>
      <c r="J176" s="68">
        <f>SUMIFS(PURCHASE!$N$6:$N$10008,PURCHASE!$A$6:$A$10008,$C$4:$N$4,PURCHASE!$Q$6:$Q$10008,$B$5:$B$1043)</f>
        <v>0</v>
      </c>
      <c r="K176" s="68">
        <f>SUMIFS(PURCHASE!$N$6:$N$10008,PURCHASE!$A$6:$A$10008,$C$4:$N$4,PURCHASE!$Q$6:$Q$10008,$B$5:$B$1043)</f>
        <v>0</v>
      </c>
      <c r="L176" s="68">
        <f>SUMIFS(PURCHASE!$N$6:$N$10008,PURCHASE!$A$6:$A$10008,$C$4:$N$4,PURCHASE!$Q$6:$Q$10008,$B$5:$B$1043)</f>
        <v>0</v>
      </c>
      <c r="M176" s="68">
        <f>SUMIFS(PURCHASE!$N$6:$N$10008,PURCHASE!$A$6:$A$10008,$C$4:$N$4,PURCHASE!$Q$6:$Q$10008,$B$5:$B$1043)</f>
        <v>0</v>
      </c>
      <c r="N176" s="68">
        <f>SUMIFS(PURCHASE!$N$6:$N$10008,PURCHASE!$A$6:$A$10008,$C$4:$N$4,PURCHASE!$Q$6:$Q$10008,$B$5:$B$1043)</f>
        <v>0</v>
      </c>
      <c r="O176" s="71">
        <f t="shared" si="19"/>
        <v>0</v>
      </c>
    </row>
    <row r="177" spans="1:15" x14ac:dyDescent="0.2">
      <c r="A177" s="34" t="s">
        <v>286</v>
      </c>
      <c r="B177" s="34" t="s">
        <v>380</v>
      </c>
      <c r="C177" s="68">
        <f>SUMIFS(PURCHASE!$O$6:$O$10008,PURCHASE!$A$6:$A$10008,$C$4:$N$4,PURCHASE!$Q$6:$Q$10008,$B$5:$B$1043)</f>
        <v>0</v>
      </c>
      <c r="D177" s="68">
        <f>SUMIFS(PURCHASE!$O$6:$O$10008,PURCHASE!$A$6:$A$10008,$C$4:$N$4,PURCHASE!$Q$6:$Q$10008,$B$5:$B$1043)</f>
        <v>0</v>
      </c>
      <c r="E177" s="68">
        <f>SUMIFS(PURCHASE!$O$6:$O$10008,PURCHASE!$A$6:$A$10008,$C$4:$N$4,PURCHASE!$Q$6:$Q$10008,$B$5:$B$1043)</f>
        <v>0</v>
      </c>
      <c r="F177" s="68">
        <f>SUMIFS(PURCHASE!$O$6:$O$10008,PURCHASE!$A$6:$A$10008,$C$4:$N$4,PURCHASE!$Q$6:$Q$10008,$B$5:$B$1043)</f>
        <v>0</v>
      </c>
      <c r="G177" s="68">
        <f>SUMIFS(PURCHASE!$O$6:$O$10008,PURCHASE!$A$6:$A$10008,$C$4:$N$4,PURCHASE!$Q$6:$Q$10008,$B$5:$B$1043)</f>
        <v>0</v>
      </c>
      <c r="H177" s="68">
        <f>SUMIFS(PURCHASE!$O$6:$O$10008,PURCHASE!$A$6:$A$10008,$C$4:$N$4,PURCHASE!$Q$6:$Q$10008,$B$5:$B$1043)</f>
        <v>0</v>
      </c>
      <c r="I177" s="68">
        <f>SUMIFS(PURCHASE!$O$6:$O$10008,PURCHASE!$A$6:$A$10008,$C$4:$N$4,PURCHASE!$Q$6:$Q$10008,$B$5:$B$1043)</f>
        <v>0</v>
      </c>
      <c r="J177" s="68">
        <f>SUMIFS(PURCHASE!$O$6:$O$10008,PURCHASE!$A$6:$A$10008,$C$4:$N$4,PURCHASE!$Q$6:$Q$10008,$B$5:$B$1043)</f>
        <v>0</v>
      </c>
      <c r="K177" s="68">
        <f>SUMIFS(PURCHASE!$O$6:$O$10008,PURCHASE!$A$6:$A$10008,$C$4:$N$4,PURCHASE!$Q$6:$Q$10008,$B$5:$B$1043)</f>
        <v>0</v>
      </c>
      <c r="L177" s="68">
        <f>SUMIFS(PURCHASE!$O$6:$O$10008,PURCHASE!$A$6:$A$10008,$C$4:$N$4,PURCHASE!$Q$6:$Q$10008,$B$5:$B$1043)</f>
        <v>0</v>
      </c>
      <c r="M177" s="68">
        <f>SUMIFS(PURCHASE!$O$6:$O$10008,PURCHASE!$A$6:$A$10008,$C$4:$N$4,PURCHASE!$Q$6:$Q$10008,$B$5:$B$1043)</f>
        <v>0</v>
      </c>
      <c r="N177" s="68">
        <f>SUMIFS(PURCHASE!$O$6:$O$10008,PURCHASE!$A$6:$A$10008,$C$4:$N$4,PURCHASE!$Q$6:$Q$10008,$B$5:$B$1043)</f>
        <v>0</v>
      </c>
      <c r="O177" s="71">
        <f t="shared" si="19"/>
        <v>0</v>
      </c>
    </row>
    <row r="178" spans="1:15" x14ac:dyDescent="0.2">
      <c r="A178" s="1052" t="s">
        <v>413</v>
      </c>
      <c r="B178" s="1053"/>
      <c r="C178" s="1053"/>
      <c r="D178" s="1053"/>
      <c r="E178" s="1053"/>
      <c r="F178" s="1053"/>
      <c r="G178" s="1053"/>
      <c r="H178" s="1053"/>
      <c r="I178" s="1053"/>
      <c r="J178" s="1053"/>
      <c r="K178" s="1053"/>
      <c r="L178" s="1053"/>
      <c r="M178" s="1053"/>
      <c r="N178" s="1053"/>
      <c r="O178" s="1054"/>
    </row>
    <row r="179" spans="1:15" x14ac:dyDescent="0.2">
      <c r="A179" s="66" t="s">
        <v>279</v>
      </c>
      <c r="B179" s="66"/>
      <c r="C179" s="98">
        <v>43556</v>
      </c>
      <c r="D179" s="98">
        <v>43586</v>
      </c>
      <c r="E179" s="98">
        <v>43617</v>
      </c>
      <c r="F179" s="98">
        <v>43647</v>
      </c>
      <c r="G179" s="98">
        <v>43678</v>
      </c>
      <c r="H179" s="98">
        <v>43709</v>
      </c>
      <c r="I179" s="98">
        <v>43739</v>
      </c>
      <c r="J179" s="98">
        <v>43770</v>
      </c>
      <c r="K179" s="98">
        <v>43800</v>
      </c>
      <c r="L179" s="98">
        <v>43831</v>
      </c>
      <c r="M179" s="98">
        <v>43862</v>
      </c>
      <c r="N179" s="98">
        <v>43891</v>
      </c>
      <c r="O179" s="66" t="s">
        <v>347</v>
      </c>
    </row>
    <row r="180" spans="1:15" x14ac:dyDescent="0.2">
      <c r="A180" s="34" t="s">
        <v>280</v>
      </c>
      <c r="B180" s="34"/>
      <c r="C180" s="68">
        <v>0</v>
      </c>
      <c r="D180" s="68"/>
      <c r="E180" s="68"/>
      <c r="F180" s="68"/>
      <c r="G180" s="68"/>
      <c r="H180" s="68"/>
      <c r="I180" s="68"/>
      <c r="J180" s="68"/>
      <c r="K180" s="68"/>
      <c r="L180" s="68"/>
      <c r="M180" s="68"/>
      <c r="N180" s="68"/>
      <c r="O180" s="71">
        <f t="shared" si="19"/>
        <v>0</v>
      </c>
    </row>
    <row r="181" spans="1:15" x14ac:dyDescent="0.2">
      <c r="A181" s="34" t="s">
        <v>281</v>
      </c>
      <c r="B181" s="34" t="s">
        <v>413</v>
      </c>
      <c r="C181" s="68">
        <f t="shared" ref="C181" si="25">+C182+C183+C184</f>
        <v>0</v>
      </c>
      <c r="D181" s="68">
        <f t="shared" ref="D181:N181" si="26">+D182+D183+D184</f>
        <v>0</v>
      </c>
      <c r="E181" s="68">
        <f t="shared" si="26"/>
        <v>0</v>
      </c>
      <c r="F181" s="68">
        <f t="shared" si="26"/>
        <v>0</v>
      </c>
      <c r="G181" s="68">
        <f t="shared" si="26"/>
        <v>0</v>
      </c>
      <c r="H181" s="68">
        <f t="shared" si="26"/>
        <v>0</v>
      </c>
      <c r="I181" s="68">
        <f t="shared" si="26"/>
        <v>0</v>
      </c>
      <c r="J181" s="68">
        <f t="shared" si="26"/>
        <v>0</v>
      </c>
      <c r="K181" s="68">
        <f t="shared" si="26"/>
        <v>0</v>
      </c>
      <c r="L181" s="68">
        <f t="shared" si="26"/>
        <v>0</v>
      </c>
      <c r="M181" s="68">
        <f t="shared" si="26"/>
        <v>0</v>
      </c>
      <c r="N181" s="68">
        <f t="shared" si="26"/>
        <v>0</v>
      </c>
      <c r="O181" s="71">
        <f t="shared" si="19"/>
        <v>0</v>
      </c>
    </row>
    <row r="182" spans="1:15" x14ac:dyDescent="0.2">
      <c r="A182" s="34" t="s">
        <v>282</v>
      </c>
      <c r="B182" s="34" t="s">
        <v>413</v>
      </c>
      <c r="C182" s="68">
        <f>SUMIFS(PURCHASE!$K$6:$K$10008,PURCHASE!$A$6:$A$10008,$C$4:$N$4,PURCHASE!$Q$6:$Q$10008,$B$5:$B$1043)</f>
        <v>0</v>
      </c>
      <c r="D182" s="68">
        <f>SUMIFS(PURCHASE!$K$6:$K$10008,PURCHASE!$A$6:$A$10008,$C$4:$N$4,PURCHASE!$Q$6:$Q$10008,$B$5:$B$1043)</f>
        <v>0</v>
      </c>
      <c r="E182" s="68">
        <f>SUMIFS(PURCHASE!$K$6:$K$10008,PURCHASE!$A$6:$A$10008,$C$4:$N$4,PURCHASE!$Q$6:$Q$10008,$B$5:$B$1043)</f>
        <v>0</v>
      </c>
      <c r="F182" s="68">
        <f>SUMIFS(PURCHASE!$K$6:$K$10008,PURCHASE!$A$6:$A$10008,$C$4:$N$4,PURCHASE!$Q$6:$Q$10008,$B$5:$B$1043)</f>
        <v>0</v>
      </c>
      <c r="G182" s="68">
        <f>SUMIFS(PURCHASE!$K$6:$K$10008,PURCHASE!$A$6:$A$10008,$C$4:$N$4,PURCHASE!$Q$6:$Q$10008,$B$5:$B$1043)</f>
        <v>0</v>
      </c>
      <c r="H182" s="68">
        <f>SUMIFS(PURCHASE!$K$6:$K$10008,PURCHASE!$A$6:$A$10008,$C$4:$N$4,PURCHASE!$Q$6:$Q$10008,$B$5:$B$1043)</f>
        <v>0</v>
      </c>
      <c r="I182" s="68">
        <f>SUMIFS(PURCHASE!$K$6:$K$10008,PURCHASE!$A$6:$A$10008,$C$4:$N$4,PURCHASE!$Q$6:$Q$10008,$B$5:$B$1043)</f>
        <v>0</v>
      </c>
      <c r="J182" s="68">
        <f>SUMIFS(PURCHASE!$K$6:$K$10008,PURCHASE!$A$6:$A$10008,$C$4:$N$4,PURCHASE!$Q$6:$Q$10008,$B$5:$B$1043)</f>
        <v>0</v>
      </c>
      <c r="K182" s="68">
        <f>SUMIFS(PURCHASE!$K$6:$K$10008,PURCHASE!$A$6:$A$10008,$C$4:$N$4,PURCHASE!$Q$6:$Q$10008,$B$5:$B$1043)</f>
        <v>0</v>
      </c>
      <c r="L182" s="68">
        <f>SUMIFS(PURCHASE!$K$6:$K$10008,PURCHASE!$A$6:$A$10008,$C$4:$N$4,PURCHASE!$Q$6:$Q$10008,$B$5:$B$1043)</f>
        <v>0</v>
      </c>
      <c r="M182" s="68">
        <f>SUMIFS(PURCHASE!$K$6:$K$10008,PURCHASE!$A$6:$A$10008,$C$4:$N$4,PURCHASE!$Q$6:$Q$10008,$B$5:$B$1043)</f>
        <v>0</v>
      </c>
      <c r="N182" s="68">
        <f>SUMIFS(PURCHASE!$K$6:$K$10008,PURCHASE!$A$6:$A$10008,$C$4:$N$4,PURCHASE!$Q$6:$Q$10008,$B$5:$B$1043)</f>
        <v>0</v>
      </c>
      <c r="O182" s="71">
        <f t="shared" si="19"/>
        <v>0</v>
      </c>
    </row>
    <row r="183" spans="1:15" x14ac:dyDescent="0.2">
      <c r="A183" s="34" t="s">
        <v>283</v>
      </c>
      <c r="B183" s="34" t="s">
        <v>413</v>
      </c>
      <c r="C183" s="68">
        <f>SUMIFS(PURCHASE!$L$6:$L$10008,PURCHASE!$A$6:$A$10008,$C$4:$N$4,PURCHASE!$Q$6:$Q$10008,$B$5:$B$1043)</f>
        <v>0</v>
      </c>
      <c r="D183" s="68">
        <f>SUMIFS(PURCHASE!$L$6:$L$10008,PURCHASE!$A$6:$A$10008,$C$4:$N$4,PURCHASE!$Q$6:$Q$10008,$B$5:$B$1043)</f>
        <v>0</v>
      </c>
      <c r="E183" s="68">
        <f>SUMIFS(PURCHASE!$L$6:$L$10008,PURCHASE!$A$6:$A$10008,$C$4:$N$4,PURCHASE!$Q$6:$Q$10008,$B$5:$B$1043)</f>
        <v>0</v>
      </c>
      <c r="F183" s="68">
        <f>SUMIFS(PURCHASE!$L$6:$L$10008,PURCHASE!$A$6:$A$10008,$C$4:$N$4,PURCHASE!$Q$6:$Q$10008,$B$5:$B$1043)</f>
        <v>0</v>
      </c>
      <c r="G183" s="68">
        <f>SUMIFS(PURCHASE!$L$6:$L$10008,PURCHASE!$A$6:$A$10008,$C$4:$N$4,PURCHASE!$Q$6:$Q$10008,$B$5:$B$1043)</f>
        <v>0</v>
      </c>
      <c r="H183" s="68">
        <f>SUMIFS(PURCHASE!$L$6:$L$10008,PURCHASE!$A$6:$A$10008,$C$4:$N$4,PURCHASE!$Q$6:$Q$10008,$B$5:$B$1043)</f>
        <v>0</v>
      </c>
      <c r="I183" s="68">
        <f>SUMIFS(PURCHASE!$L$6:$L$10008,PURCHASE!$A$6:$A$10008,$C$4:$N$4,PURCHASE!$Q$6:$Q$10008,$B$5:$B$1043)</f>
        <v>0</v>
      </c>
      <c r="J183" s="68">
        <f>SUMIFS(PURCHASE!$L$6:$L$10008,PURCHASE!$A$6:$A$10008,$C$4:$N$4,PURCHASE!$Q$6:$Q$10008,$B$5:$B$1043)</f>
        <v>0</v>
      </c>
      <c r="K183" s="68">
        <f>SUMIFS(PURCHASE!$L$6:$L$10008,PURCHASE!$A$6:$A$10008,$C$4:$N$4,PURCHASE!$Q$6:$Q$10008,$B$5:$B$1043)</f>
        <v>0</v>
      </c>
      <c r="L183" s="68">
        <f>SUMIFS(PURCHASE!$L$6:$L$10008,PURCHASE!$A$6:$A$10008,$C$4:$N$4,PURCHASE!$Q$6:$Q$10008,$B$5:$B$1043)</f>
        <v>0</v>
      </c>
      <c r="M183" s="68">
        <f>SUMIFS(PURCHASE!$L$6:$L$10008,PURCHASE!$A$6:$A$10008,$C$4:$N$4,PURCHASE!$Q$6:$Q$10008,$B$5:$B$1043)</f>
        <v>0</v>
      </c>
      <c r="N183" s="68">
        <f>SUMIFS(PURCHASE!$L$6:$L$10008,PURCHASE!$A$6:$A$10008,$C$4:$N$4,PURCHASE!$Q$6:$Q$10008,$B$5:$B$1043)</f>
        <v>0</v>
      </c>
      <c r="O183" s="71">
        <f t="shared" si="19"/>
        <v>0</v>
      </c>
    </row>
    <row r="184" spans="1:15" x14ac:dyDescent="0.2">
      <c r="A184" s="34" t="s">
        <v>284</v>
      </c>
      <c r="B184" s="34" t="s">
        <v>413</v>
      </c>
      <c r="C184" s="68">
        <f>SUMIFS(PURCHASE!$M$6:$M$10008,PURCHASE!$A$6:$A$10008,$C$4:$N$4,PURCHASE!$Q$6:$Q$10008,$B$5:$B$1043)</f>
        <v>0</v>
      </c>
      <c r="D184" s="68">
        <f>SUMIFS(PURCHASE!$M$6:$M$10008,PURCHASE!$A$6:$A$10008,$C$4:$N$4,PURCHASE!$Q$6:$Q$10008,$B$5:$B$1043)</f>
        <v>0</v>
      </c>
      <c r="E184" s="68">
        <f>SUMIFS(PURCHASE!$M$6:$M$10008,PURCHASE!$A$6:$A$10008,$C$4:$N$4,PURCHASE!$Q$6:$Q$10008,$B$5:$B$1043)</f>
        <v>0</v>
      </c>
      <c r="F184" s="68">
        <f>SUMIFS(PURCHASE!$M$6:$M$10008,PURCHASE!$A$6:$A$10008,$C$4:$N$4,PURCHASE!$Q$6:$Q$10008,$B$5:$B$1043)</f>
        <v>0</v>
      </c>
      <c r="G184" s="68">
        <f>SUMIFS(PURCHASE!$M$6:$M$10008,PURCHASE!$A$6:$A$10008,$C$4:$N$4,PURCHASE!$Q$6:$Q$10008,$B$5:$B$1043)</f>
        <v>0</v>
      </c>
      <c r="H184" s="68">
        <f>SUMIFS(PURCHASE!$M$6:$M$10008,PURCHASE!$A$6:$A$10008,$C$4:$N$4,PURCHASE!$Q$6:$Q$10008,$B$5:$B$1043)</f>
        <v>0</v>
      </c>
      <c r="I184" s="68">
        <f>SUMIFS(PURCHASE!$M$6:$M$10008,PURCHASE!$A$6:$A$10008,$C$4:$N$4,PURCHASE!$Q$6:$Q$10008,$B$5:$B$1043)</f>
        <v>0</v>
      </c>
      <c r="J184" s="68">
        <f>SUMIFS(PURCHASE!$M$6:$M$10008,PURCHASE!$A$6:$A$10008,$C$4:$N$4,PURCHASE!$Q$6:$Q$10008,$B$5:$B$1043)</f>
        <v>0</v>
      </c>
      <c r="K184" s="68">
        <f>SUMIFS(PURCHASE!$M$6:$M$10008,PURCHASE!$A$6:$A$10008,$C$4:$N$4,PURCHASE!$Q$6:$Q$10008,$B$5:$B$1043)</f>
        <v>0</v>
      </c>
      <c r="L184" s="68">
        <f>SUMIFS(PURCHASE!$M$6:$M$10008,PURCHASE!$A$6:$A$10008,$C$4:$N$4,PURCHASE!$Q$6:$Q$10008,$B$5:$B$1043)</f>
        <v>0</v>
      </c>
      <c r="M184" s="68">
        <f>SUMIFS(PURCHASE!$M$6:$M$10008,PURCHASE!$A$6:$A$10008,$C$4:$N$4,PURCHASE!$Q$6:$Q$10008,$B$5:$B$1043)</f>
        <v>0</v>
      </c>
      <c r="N184" s="68">
        <f>SUMIFS(PURCHASE!$M$6:$M$10008,PURCHASE!$A$6:$A$10008,$C$4:$N$4,PURCHASE!$Q$6:$Q$10008,$B$5:$B$1043)</f>
        <v>0</v>
      </c>
      <c r="O184" s="71">
        <f t="shared" si="19"/>
        <v>0</v>
      </c>
    </row>
    <row r="185" spans="1:15" x14ac:dyDescent="0.2">
      <c r="A185" s="34" t="s">
        <v>285</v>
      </c>
      <c r="B185" s="34" t="s">
        <v>413</v>
      </c>
      <c r="C185" s="68">
        <f>SUMIFS(PURCHASE!$N$6:$N$10008,PURCHASE!$A$6:$A$10008,$C$4:$N$4,PURCHASE!$Q$6:$Q$10008,$B$5:$B$1043)</f>
        <v>0</v>
      </c>
      <c r="D185" s="68">
        <f>SUMIFS(PURCHASE!$N$6:$N$10008,PURCHASE!$A$6:$A$10008,$C$4:$N$4,PURCHASE!$Q$6:$Q$10008,$B$5:$B$1043)</f>
        <v>0</v>
      </c>
      <c r="E185" s="68">
        <f>SUMIFS(PURCHASE!$N$6:$N$10008,PURCHASE!$A$6:$A$10008,$C$4:$N$4,PURCHASE!$Q$6:$Q$10008,$B$5:$B$1043)</f>
        <v>0</v>
      </c>
      <c r="F185" s="68">
        <f>SUMIFS(PURCHASE!$N$6:$N$10008,PURCHASE!$A$6:$A$10008,$C$4:$N$4,PURCHASE!$Q$6:$Q$10008,$B$5:$B$1043)</f>
        <v>0</v>
      </c>
      <c r="G185" s="68">
        <f>SUMIFS(PURCHASE!$N$6:$N$10008,PURCHASE!$A$6:$A$10008,$C$4:$N$4,PURCHASE!$Q$6:$Q$10008,$B$5:$B$1043)</f>
        <v>0</v>
      </c>
      <c r="H185" s="68">
        <f>SUMIFS(PURCHASE!$N$6:$N$10008,PURCHASE!$A$6:$A$10008,$C$4:$N$4,PURCHASE!$Q$6:$Q$10008,$B$5:$B$1043)</f>
        <v>0</v>
      </c>
      <c r="I185" s="68">
        <f>SUMIFS(PURCHASE!$N$6:$N$10008,PURCHASE!$A$6:$A$10008,$C$4:$N$4,PURCHASE!$Q$6:$Q$10008,$B$5:$B$1043)</f>
        <v>0</v>
      </c>
      <c r="J185" s="68">
        <f>SUMIFS(PURCHASE!$N$6:$N$10008,PURCHASE!$A$6:$A$10008,$C$4:$N$4,PURCHASE!$Q$6:$Q$10008,$B$5:$B$1043)</f>
        <v>0</v>
      </c>
      <c r="K185" s="68">
        <f>SUMIFS(PURCHASE!$N$6:$N$10008,PURCHASE!$A$6:$A$10008,$C$4:$N$4,PURCHASE!$Q$6:$Q$10008,$B$5:$B$1043)</f>
        <v>0</v>
      </c>
      <c r="L185" s="68">
        <f>SUMIFS(PURCHASE!$N$6:$N$10008,PURCHASE!$A$6:$A$10008,$C$4:$N$4,PURCHASE!$Q$6:$Q$10008,$B$5:$B$1043)</f>
        <v>0</v>
      </c>
      <c r="M185" s="68">
        <f>SUMIFS(PURCHASE!$N$6:$N$10008,PURCHASE!$A$6:$A$10008,$C$4:$N$4,PURCHASE!$Q$6:$Q$10008,$B$5:$B$1043)</f>
        <v>0</v>
      </c>
      <c r="N185" s="68">
        <f>SUMIFS(PURCHASE!$N$6:$N$10008,PURCHASE!$A$6:$A$10008,$C$4:$N$4,PURCHASE!$Q$6:$Q$10008,$B$5:$B$1043)</f>
        <v>0</v>
      </c>
      <c r="O185" s="71">
        <f t="shared" si="19"/>
        <v>0</v>
      </c>
    </row>
    <row r="186" spans="1:15" x14ac:dyDescent="0.2">
      <c r="A186" s="34" t="s">
        <v>286</v>
      </c>
      <c r="B186" s="34" t="s">
        <v>413</v>
      </c>
      <c r="C186" s="68">
        <f>SUMIFS(PURCHASE!$O$6:$O$10008,PURCHASE!$A$6:$A$10008,$C$4:$N$4,PURCHASE!$Q$6:$Q$10008,$B$5:$B$1043)</f>
        <v>0</v>
      </c>
      <c r="D186" s="68">
        <f>SUMIFS(PURCHASE!$O$6:$O$10008,PURCHASE!$A$6:$A$10008,$C$4:$N$4,PURCHASE!$Q$6:$Q$10008,$B$5:$B$1043)</f>
        <v>0</v>
      </c>
      <c r="E186" s="68">
        <f>SUMIFS(PURCHASE!$O$6:$O$10008,PURCHASE!$A$6:$A$10008,$C$4:$N$4,PURCHASE!$Q$6:$Q$10008,$B$5:$B$1043)</f>
        <v>0</v>
      </c>
      <c r="F186" s="68">
        <f>SUMIFS(PURCHASE!$O$6:$O$10008,PURCHASE!$A$6:$A$10008,$C$4:$N$4,PURCHASE!$Q$6:$Q$10008,$B$5:$B$1043)</f>
        <v>0</v>
      </c>
      <c r="G186" s="68">
        <f>SUMIFS(PURCHASE!$O$6:$O$10008,PURCHASE!$A$6:$A$10008,$C$4:$N$4,PURCHASE!$Q$6:$Q$10008,$B$5:$B$1043)</f>
        <v>0</v>
      </c>
      <c r="H186" s="68">
        <f>SUMIFS(PURCHASE!$O$6:$O$10008,PURCHASE!$A$6:$A$10008,$C$4:$N$4,PURCHASE!$Q$6:$Q$10008,$B$5:$B$1043)</f>
        <v>0</v>
      </c>
      <c r="I186" s="68">
        <f>SUMIFS(PURCHASE!$O$6:$O$10008,PURCHASE!$A$6:$A$10008,$C$4:$N$4,PURCHASE!$Q$6:$Q$10008,$B$5:$B$1043)</f>
        <v>0</v>
      </c>
      <c r="J186" s="68">
        <f>SUMIFS(PURCHASE!$O$6:$O$10008,PURCHASE!$A$6:$A$10008,$C$4:$N$4,PURCHASE!$Q$6:$Q$10008,$B$5:$B$1043)</f>
        <v>0</v>
      </c>
      <c r="K186" s="68">
        <f>SUMIFS(PURCHASE!$O$6:$O$10008,PURCHASE!$A$6:$A$10008,$C$4:$N$4,PURCHASE!$Q$6:$Q$10008,$B$5:$B$1043)</f>
        <v>0</v>
      </c>
      <c r="L186" s="68">
        <f>SUMIFS(PURCHASE!$O$6:$O$10008,PURCHASE!$A$6:$A$10008,$C$4:$N$4,PURCHASE!$Q$6:$Q$10008,$B$5:$B$1043)</f>
        <v>0</v>
      </c>
      <c r="M186" s="68">
        <f>SUMIFS(PURCHASE!$O$6:$O$10008,PURCHASE!$A$6:$A$10008,$C$4:$N$4,PURCHASE!$Q$6:$Q$10008,$B$5:$B$1043)</f>
        <v>0</v>
      </c>
      <c r="N186" s="68">
        <f>SUMIFS(PURCHASE!$O$6:$O$10008,PURCHASE!$A$6:$A$10008,$C$4:$N$4,PURCHASE!$Q$6:$Q$10008,$B$5:$B$1043)</f>
        <v>0</v>
      </c>
      <c r="O186" s="71">
        <f t="shared" si="19"/>
        <v>0</v>
      </c>
    </row>
    <row r="187" spans="1:15" x14ac:dyDescent="0.2">
      <c r="A187" s="1001" t="s">
        <v>383</v>
      </c>
      <c r="B187" s="1002"/>
      <c r="C187" s="1002"/>
      <c r="D187" s="1002"/>
      <c r="E187" s="1002"/>
      <c r="F187" s="1002"/>
      <c r="G187" s="1002"/>
      <c r="H187" s="1002"/>
      <c r="I187" s="1002"/>
      <c r="J187" s="1002"/>
      <c r="K187" s="1002"/>
      <c r="L187" s="1002"/>
      <c r="M187" s="1002"/>
      <c r="N187" s="1002"/>
      <c r="O187" s="1003"/>
    </row>
    <row r="188" spans="1:15" x14ac:dyDescent="0.2">
      <c r="A188" s="66" t="s">
        <v>279</v>
      </c>
      <c r="B188" s="66"/>
      <c r="C188" s="98">
        <v>43556</v>
      </c>
      <c r="D188" s="98">
        <v>43586</v>
      </c>
      <c r="E188" s="98">
        <v>43617</v>
      </c>
      <c r="F188" s="98">
        <v>43647</v>
      </c>
      <c r="G188" s="98">
        <v>43678</v>
      </c>
      <c r="H188" s="98">
        <v>43709</v>
      </c>
      <c r="I188" s="98">
        <v>43739</v>
      </c>
      <c r="J188" s="98">
        <v>43770</v>
      </c>
      <c r="K188" s="98">
        <v>43800</v>
      </c>
      <c r="L188" s="98">
        <v>43831</v>
      </c>
      <c r="M188" s="98">
        <v>43862</v>
      </c>
      <c r="N188" s="98">
        <v>43891</v>
      </c>
      <c r="O188" s="66" t="s">
        <v>347</v>
      </c>
    </row>
    <row r="189" spans="1:15" x14ac:dyDescent="0.2">
      <c r="A189" s="34" t="s">
        <v>280</v>
      </c>
      <c r="B189" s="34"/>
      <c r="C189" s="68">
        <v>0</v>
      </c>
      <c r="D189" s="68"/>
      <c r="E189" s="68"/>
      <c r="F189" s="68"/>
      <c r="G189" s="68"/>
      <c r="H189" s="68"/>
      <c r="I189" s="68"/>
      <c r="J189" s="68"/>
      <c r="K189" s="68"/>
      <c r="L189" s="68"/>
      <c r="M189" s="68"/>
      <c r="N189" s="68"/>
      <c r="O189" s="71">
        <f t="shared" ref="O189:O195" si="27">SUM(C189:N189)</f>
        <v>0</v>
      </c>
    </row>
    <row r="190" spans="1:15" x14ac:dyDescent="0.2">
      <c r="A190" s="34" t="s">
        <v>281</v>
      </c>
      <c r="B190" s="34" t="s">
        <v>383</v>
      </c>
      <c r="C190" s="68">
        <f t="shared" ref="C190:N190" si="28">+C191+C192+C193</f>
        <v>0</v>
      </c>
      <c r="D190" s="68">
        <f t="shared" si="28"/>
        <v>0</v>
      </c>
      <c r="E190" s="68">
        <f t="shared" si="28"/>
        <v>0</v>
      </c>
      <c r="F190" s="68">
        <f t="shared" si="28"/>
        <v>0</v>
      </c>
      <c r="G190" s="68">
        <f t="shared" si="28"/>
        <v>0</v>
      </c>
      <c r="H190" s="68">
        <f t="shared" si="28"/>
        <v>0</v>
      </c>
      <c r="I190" s="68">
        <f t="shared" si="28"/>
        <v>0</v>
      </c>
      <c r="J190" s="68">
        <f t="shared" si="28"/>
        <v>0</v>
      </c>
      <c r="K190" s="68">
        <f t="shared" si="28"/>
        <v>0</v>
      </c>
      <c r="L190" s="68">
        <f t="shared" si="28"/>
        <v>0</v>
      </c>
      <c r="M190" s="68">
        <f t="shared" si="28"/>
        <v>0</v>
      </c>
      <c r="N190" s="68">
        <f t="shared" si="28"/>
        <v>0</v>
      </c>
      <c r="O190" s="71">
        <f t="shared" si="27"/>
        <v>0</v>
      </c>
    </row>
    <row r="191" spans="1:15" x14ac:dyDescent="0.2">
      <c r="A191" s="34" t="s">
        <v>282</v>
      </c>
      <c r="B191" s="34" t="s">
        <v>383</v>
      </c>
      <c r="C191" s="68">
        <f>SUMIFS(PURCHASE!$K$6:$K$10008,PURCHASE!$A$6:$A$10008,$C$4:$N$4,PURCHASE!$Q$6:$Q$10008,$B$5:$B$1043)</f>
        <v>0</v>
      </c>
      <c r="D191" s="68">
        <f>SUMIFS(PURCHASE!$K$6:$K$10008,PURCHASE!$A$6:$A$10008,$C$4:$N$4,PURCHASE!$Q$6:$Q$10008,$B$5:$B$1043)</f>
        <v>0</v>
      </c>
      <c r="E191" s="68">
        <f>SUMIFS(PURCHASE!$K$6:$K$10008,PURCHASE!$A$6:$A$10008,$C$4:$N$4,PURCHASE!$Q$6:$Q$10008,$B$5:$B$1043)</f>
        <v>0</v>
      </c>
      <c r="F191" s="68">
        <f>SUMIFS(PURCHASE!$K$6:$K$10008,PURCHASE!$A$6:$A$10008,$C$4:$N$4,PURCHASE!$Q$6:$Q$10008,$B$5:$B$1043)</f>
        <v>0</v>
      </c>
      <c r="G191" s="68">
        <f>SUMIFS(PURCHASE!$K$6:$K$10008,PURCHASE!$A$6:$A$10008,$C$4:$N$4,PURCHASE!$Q$6:$Q$10008,$B$5:$B$1043)</f>
        <v>0</v>
      </c>
      <c r="H191" s="68">
        <f>SUMIFS(PURCHASE!$K$6:$K$10008,PURCHASE!$A$6:$A$10008,$C$4:$N$4,PURCHASE!$Q$6:$Q$10008,$B$5:$B$1043)</f>
        <v>0</v>
      </c>
      <c r="I191" s="68">
        <f>SUMIFS(PURCHASE!$K$6:$K$10008,PURCHASE!$A$6:$A$10008,$C$4:$N$4,PURCHASE!$Q$6:$Q$10008,$B$5:$B$1043)</f>
        <v>0</v>
      </c>
      <c r="J191" s="68">
        <f>SUMIFS(PURCHASE!$K$6:$K$10008,PURCHASE!$A$6:$A$10008,$C$4:$N$4,PURCHASE!$Q$6:$Q$10008,$B$5:$B$1043)</f>
        <v>0</v>
      </c>
      <c r="K191" s="68">
        <f>SUMIFS(PURCHASE!$K$6:$K$10008,PURCHASE!$A$6:$A$10008,$C$4:$N$4,PURCHASE!$Q$6:$Q$10008,$B$5:$B$1043)</f>
        <v>0</v>
      </c>
      <c r="L191" s="68">
        <f>SUMIFS(PURCHASE!$K$6:$K$10008,PURCHASE!$A$6:$A$10008,$C$4:$N$4,PURCHASE!$Q$6:$Q$10008,$B$5:$B$1043)</f>
        <v>0</v>
      </c>
      <c r="M191" s="68">
        <f>SUMIFS(PURCHASE!$K$6:$K$10008,PURCHASE!$A$6:$A$10008,$C$4:$N$4,PURCHASE!$Q$6:$Q$10008,$B$5:$B$1043)</f>
        <v>0</v>
      </c>
      <c r="N191" s="68">
        <f>SUMIFS(PURCHASE!$K$6:$K$10008,PURCHASE!$A$6:$A$10008,$C$4:$N$4,PURCHASE!$Q$6:$Q$10008,$B$5:$B$1043)</f>
        <v>0</v>
      </c>
      <c r="O191" s="71">
        <f t="shared" si="27"/>
        <v>0</v>
      </c>
    </row>
    <row r="192" spans="1:15" x14ac:dyDescent="0.2">
      <c r="A192" s="34" t="s">
        <v>283</v>
      </c>
      <c r="B192" s="34" t="s">
        <v>383</v>
      </c>
      <c r="C192" s="68">
        <f>SUMIFS(PURCHASE!$L$6:$L$10008,PURCHASE!$A$6:$A$10008,$C$4:$N$4,PURCHASE!$Q$6:$Q$10008,$B$5:$B$1043)</f>
        <v>0</v>
      </c>
      <c r="D192" s="68">
        <f>SUMIFS(PURCHASE!$L$6:$L$10008,PURCHASE!$A$6:$A$10008,$C$4:$N$4,PURCHASE!$Q$6:$Q$10008,$B$5:$B$1043)</f>
        <v>0</v>
      </c>
      <c r="E192" s="68">
        <f>SUMIFS(PURCHASE!$L$6:$L$10008,PURCHASE!$A$6:$A$10008,$C$4:$N$4,PURCHASE!$Q$6:$Q$10008,$B$5:$B$1043)</f>
        <v>0</v>
      </c>
      <c r="F192" s="68">
        <f>SUMIFS(PURCHASE!$L$6:$L$10008,PURCHASE!$A$6:$A$10008,$C$4:$N$4,PURCHASE!$Q$6:$Q$10008,$B$5:$B$1043)</f>
        <v>0</v>
      </c>
      <c r="G192" s="68">
        <f>SUMIFS(PURCHASE!$L$6:$L$10008,PURCHASE!$A$6:$A$10008,$C$4:$N$4,PURCHASE!$Q$6:$Q$10008,$B$5:$B$1043)</f>
        <v>0</v>
      </c>
      <c r="H192" s="68">
        <f>SUMIFS(PURCHASE!$L$6:$L$10008,PURCHASE!$A$6:$A$10008,$C$4:$N$4,PURCHASE!$Q$6:$Q$10008,$B$5:$B$1043)</f>
        <v>0</v>
      </c>
      <c r="I192" s="68">
        <f>SUMIFS(PURCHASE!$L$6:$L$10008,PURCHASE!$A$6:$A$10008,$C$4:$N$4,PURCHASE!$Q$6:$Q$10008,$B$5:$B$1043)</f>
        <v>0</v>
      </c>
      <c r="J192" s="68">
        <f>SUMIFS(PURCHASE!$L$6:$L$10008,PURCHASE!$A$6:$A$10008,$C$4:$N$4,PURCHASE!$Q$6:$Q$10008,$B$5:$B$1043)</f>
        <v>0</v>
      </c>
      <c r="K192" s="68">
        <f>SUMIFS(PURCHASE!$L$6:$L$10008,PURCHASE!$A$6:$A$10008,$C$4:$N$4,PURCHASE!$Q$6:$Q$10008,$B$5:$B$1043)</f>
        <v>0</v>
      </c>
      <c r="L192" s="68">
        <f>SUMIFS(PURCHASE!$L$6:$L$10008,PURCHASE!$A$6:$A$10008,$C$4:$N$4,PURCHASE!$Q$6:$Q$10008,$B$5:$B$1043)</f>
        <v>0</v>
      </c>
      <c r="M192" s="68">
        <f>SUMIFS(PURCHASE!$L$6:$L$10008,PURCHASE!$A$6:$A$10008,$C$4:$N$4,PURCHASE!$Q$6:$Q$10008,$B$5:$B$1043)</f>
        <v>0</v>
      </c>
      <c r="N192" s="68">
        <f>SUMIFS(PURCHASE!$L$6:$L$10008,PURCHASE!$A$6:$A$10008,$C$4:$N$4,PURCHASE!$Q$6:$Q$10008,$B$5:$B$1043)</f>
        <v>0</v>
      </c>
      <c r="O192" s="71">
        <f t="shared" si="27"/>
        <v>0</v>
      </c>
    </row>
    <row r="193" spans="1:15" x14ac:dyDescent="0.2">
      <c r="A193" s="34" t="s">
        <v>284</v>
      </c>
      <c r="B193" s="34" t="s">
        <v>383</v>
      </c>
      <c r="C193" s="68">
        <f>SUMIFS(PURCHASE!$M$6:$M$10008,PURCHASE!$A$6:$A$10008,$C$4:$N$4,PURCHASE!$Q$6:$Q$10008,$B$5:$B$1043)</f>
        <v>0</v>
      </c>
      <c r="D193" s="68">
        <f>SUMIFS(PURCHASE!$M$6:$M$10008,PURCHASE!$A$6:$A$10008,$C$4:$N$4,PURCHASE!$Q$6:$Q$10008,$B$5:$B$1043)</f>
        <v>0</v>
      </c>
      <c r="E193" s="68">
        <f>SUMIFS(PURCHASE!$M$6:$M$10008,PURCHASE!$A$6:$A$10008,$C$4:$N$4,PURCHASE!$Q$6:$Q$10008,$B$5:$B$1043)</f>
        <v>0</v>
      </c>
      <c r="F193" s="68">
        <f>SUMIFS(PURCHASE!$M$6:$M$10008,PURCHASE!$A$6:$A$10008,$C$4:$N$4,PURCHASE!$Q$6:$Q$10008,$B$5:$B$1043)</f>
        <v>0</v>
      </c>
      <c r="G193" s="68">
        <f>SUMIFS(PURCHASE!$M$6:$M$10008,PURCHASE!$A$6:$A$10008,$C$4:$N$4,PURCHASE!$Q$6:$Q$10008,$B$5:$B$1043)</f>
        <v>0</v>
      </c>
      <c r="H193" s="68">
        <f>SUMIFS(PURCHASE!$M$6:$M$10008,PURCHASE!$A$6:$A$10008,$C$4:$N$4,PURCHASE!$Q$6:$Q$10008,$B$5:$B$1043)</f>
        <v>0</v>
      </c>
      <c r="I193" s="68">
        <f>SUMIFS(PURCHASE!$M$6:$M$10008,PURCHASE!$A$6:$A$10008,$C$4:$N$4,PURCHASE!$Q$6:$Q$10008,$B$5:$B$1043)</f>
        <v>0</v>
      </c>
      <c r="J193" s="68">
        <f>SUMIFS(PURCHASE!$M$6:$M$10008,PURCHASE!$A$6:$A$10008,$C$4:$N$4,PURCHASE!$Q$6:$Q$10008,$B$5:$B$1043)</f>
        <v>0</v>
      </c>
      <c r="K193" s="68">
        <f>SUMIFS(PURCHASE!$M$6:$M$10008,PURCHASE!$A$6:$A$10008,$C$4:$N$4,PURCHASE!$Q$6:$Q$10008,$B$5:$B$1043)</f>
        <v>0</v>
      </c>
      <c r="L193" s="68">
        <f>SUMIFS(PURCHASE!$M$6:$M$10008,PURCHASE!$A$6:$A$10008,$C$4:$N$4,PURCHASE!$Q$6:$Q$10008,$B$5:$B$1043)</f>
        <v>0</v>
      </c>
      <c r="M193" s="68">
        <f>SUMIFS(PURCHASE!$M$6:$M$10008,PURCHASE!$A$6:$A$10008,$C$4:$N$4,PURCHASE!$Q$6:$Q$10008,$B$5:$B$1043)</f>
        <v>0</v>
      </c>
      <c r="N193" s="68">
        <f>SUMIFS(PURCHASE!$M$6:$M$10008,PURCHASE!$A$6:$A$10008,$C$4:$N$4,PURCHASE!$Q$6:$Q$10008,$B$5:$B$1043)</f>
        <v>0</v>
      </c>
      <c r="O193" s="71">
        <f t="shared" si="27"/>
        <v>0</v>
      </c>
    </row>
    <row r="194" spans="1:15" x14ac:dyDescent="0.2">
      <c r="A194" s="34" t="s">
        <v>285</v>
      </c>
      <c r="B194" s="34" t="s">
        <v>383</v>
      </c>
      <c r="C194" s="68">
        <f>SUMIFS(PURCHASE!$N$6:$N$10008,PURCHASE!$A$6:$A$10008,$C$4:$N$4,PURCHASE!$Q$6:$Q$10008,$B$5:$B$1043)</f>
        <v>0</v>
      </c>
      <c r="D194" s="68">
        <f>SUMIFS(PURCHASE!$N$6:$N$10008,PURCHASE!$A$6:$A$10008,$C$4:$N$4,PURCHASE!$Q$6:$Q$10008,$B$5:$B$1043)</f>
        <v>0</v>
      </c>
      <c r="E194" s="68">
        <f>SUMIFS(PURCHASE!$N$6:$N$10008,PURCHASE!$A$6:$A$10008,$C$4:$N$4,PURCHASE!$Q$6:$Q$10008,$B$5:$B$1043)</f>
        <v>0</v>
      </c>
      <c r="F194" s="68">
        <f>SUMIFS(PURCHASE!$N$6:$N$10008,PURCHASE!$A$6:$A$10008,$C$4:$N$4,PURCHASE!$Q$6:$Q$10008,$B$5:$B$1043)</f>
        <v>0</v>
      </c>
      <c r="G194" s="68">
        <f>SUMIFS(PURCHASE!$N$6:$N$10008,PURCHASE!$A$6:$A$10008,$C$4:$N$4,PURCHASE!$Q$6:$Q$10008,$B$5:$B$1043)</f>
        <v>0</v>
      </c>
      <c r="H194" s="68">
        <f>SUMIFS(PURCHASE!$N$6:$N$10008,PURCHASE!$A$6:$A$10008,$C$4:$N$4,PURCHASE!$Q$6:$Q$10008,$B$5:$B$1043)</f>
        <v>0</v>
      </c>
      <c r="I194" s="68">
        <f>SUMIFS(PURCHASE!$N$6:$N$10008,PURCHASE!$A$6:$A$10008,$C$4:$N$4,PURCHASE!$Q$6:$Q$10008,$B$5:$B$1043)</f>
        <v>0</v>
      </c>
      <c r="J194" s="68">
        <f>SUMIFS(PURCHASE!$N$6:$N$10008,PURCHASE!$A$6:$A$10008,$C$4:$N$4,PURCHASE!$Q$6:$Q$10008,$B$5:$B$1043)</f>
        <v>0</v>
      </c>
      <c r="K194" s="68">
        <f>SUMIFS(PURCHASE!$N$6:$N$10008,PURCHASE!$A$6:$A$10008,$C$4:$N$4,PURCHASE!$Q$6:$Q$10008,$B$5:$B$1043)</f>
        <v>0</v>
      </c>
      <c r="L194" s="68">
        <f>SUMIFS(PURCHASE!$N$6:$N$10008,PURCHASE!$A$6:$A$10008,$C$4:$N$4,PURCHASE!$Q$6:$Q$10008,$B$5:$B$1043)</f>
        <v>0</v>
      </c>
      <c r="M194" s="68">
        <f>SUMIFS(PURCHASE!$N$6:$N$10008,PURCHASE!$A$6:$A$10008,$C$4:$N$4,PURCHASE!$Q$6:$Q$10008,$B$5:$B$1043)</f>
        <v>0</v>
      </c>
      <c r="N194" s="68">
        <f>SUMIFS(PURCHASE!$N$6:$N$10008,PURCHASE!$A$6:$A$10008,$C$4:$N$4,PURCHASE!$Q$6:$Q$10008,$B$5:$B$1043)</f>
        <v>0</v>
      </c>
      <c r="O194" s="71">
        <f t="shared" si="27"/>
        <v>0</v>
      </c>
    </row>
    <row r="195" spans="1:15" x14ac:dyDescent="0.2">
      <c r="A195" s="34" t="s">
        <v>286</v>
      </c>
      <c r="B195" s="34" t="s">
        <v>383</v>
      </c>
      <c r="C195" s="68">
        <f>SUMIFS(PURCHASE!$O$6:$O$10008,PURCHASE!$A$6:$A$10008,$C$4:$N$4,PURCHASE!$Q$6:$Q$10008,$B$5:$B$1043)</f>
        <v>0</v>
      </c>
      <c r="D195" s="68">
        <f>SUMIFS(PURCHASE!$O$6:$O$10008,PURCHASE!$A$6:$A$10008,$C$4:$N$4,PURCHASE!$Q$6:$Q$10008,$B$5:$B$1043)</f>
        <v>0</v>
      </c>
      <c r="E195" s="68">
        <f>SUMIFS(PURCHASE!$O$6:$O$10008,PURCHASE!$A$6:$A$10008,$C$4:$N$4,PURCHASE!$Q$6:$Q$10008,$B$5:$B$1043)</f>
        <v>0</v>
      </c>
      <c r="F195" s="68">
        <f>SUMIFS(PURCHASE!$O$6:$O$10008,PURCHASE!$A$6:$A$10008,$C$4:$N$4,PURCHASE!$Q$6:$Q$10008,$B$5:$B$1043)</f>
        <v>0</v>
      </c>
      <c r="G195" s="68">
        <f>SUMIFS(PURCHASE!$O$6:$O$10008,PURCHASE!$A$6:$A$10008,$C$4:$N$4,PURCHASE!$Q$6:$Q$10008,$B$5:$B$1043)</f>
        <v>0</v>
      </c>
      <c r="H195" s="68">
        <f>SUMIFS(PURCHASE!$O$6:$O$10008,PURCHASE!$A$6:$A$10008,$C$4:$N$4,PURCHASE!$Q$6:$Q$10008,$B$5:$B$1043)</f>
        <v>0</v>
      </c>
      <c r="I195" s="68">
        <f>SUMIFS(PURCHASE!$O$6:$O$10008,PURCHASE!$A$6:$A$10008,$C$4:$N$4,PURCHASE!$Q$6:$Q$10008,$B$5:$B$1043)</f>
        <v>0</v>
      </c>
      <c r="J195" s="68">
        <f>SUMIFS(PURCHASE!$O$6:$O$10008,PURCHASE!$A$6:$A$10008,$C$4:$N$4,PURCHASE!$Q$6:$Q$10008,$B$5:$B$1043)</f>
        <v>0</v>
      </c>
      <c r="K195" s="68">
        <f>SUMIFS(PURCHASE!$O$6:$O$10008,PURCHASE!$A$6:$A$10008,$C$4:$N$4,PURCHASE!$Q$6:$Q$10008,$B$5:$B$1043)</f>
        <v>0</v>
      </c>
      <c r="L195" s="68">
        <f>SUMIFS(PURCHASE!$O$6:$O$10008,PURCHASE!$A$6:$A$10008,$C$4:$N$4,PURCHASE!$Q$6:$Q$10008,$B$5:$B$1043)</f>
        <v>0</v>
      </c>
      <c r="M195" s="68">
        <f>SUMIFS(PURCHASE!$O$6:$O$10008,PURCHASE!$A$6:$A$10008,$C$4:$N$4,PURCHASE!$Q$6:$Q$10008,$B$5:$B$1043)</f>
        <v>0</v>
      </c>
      <c r="N195" s="68">
        <f>SUMIFS(PURCHASE!$O$6:$O$10008,PURCHASE!$A$6:$A$10008,$C$4:$N$4,PURCHASE!$Q$6:$Q$10008,$B$5:$B$1043)</f>
        <v>0</v>
      </c>
      <c r="O195" s="71">
        <f t="shared" si="27"/>
        <v>0</v>
      </c>
    </row>
    <row r="196" spans="1:15" x14ac:dyDescent="0.2">
      <c r="A196" s="1006" t="s">
        <v>458</v>
      </c>
      <c r="B196" s="1007"/>
      <c r="C196" s="1007"/>
      <c r="D196" s="1007"/>
      <c r="E196" s="1007"/>
      <c r="F196" s="1007"/>
      <c r="G196" s="1007"/>
      <c r="H196" s="1007"/>
      <c r="I196" s="1007"/>
      <c r="J196" s="1007"/>
      <c r="K196" s="1007"/>
      <c r="L196" s="1007"/>
      <c r="M196" s="1007"/>
      <c r="N196" s="1007"/>
      <c r="O196" s="1008"/>
    </row>
    <row r="197" spans="1:15" x14ac:dyDescent="0.2">
      <c r="A197" s="66" t="s">
        <v>279</v>
      </c>
      <c r="B197" s="66"/>
      <c r="C197" s="98">
        <v>43556</v>
      </c>
      <c r="D197" s="98">
        <v>43586</v>
      </c>
      <c r="E197" s="98">
        <v>43617</v>
      </c>
      <c r="F197" s="98">
        <v>43647</v>
      </c>
      <c r="G197" s="98">
        <v>43678</v>
      </c>
      <c r="H197" s="98">
        <v>43709</v>
      </c>
      <c r="I197" s="98">
        <v>43739</v>
      </c>
      <c r="J197" s="98">
        <v>43770</v>
      </c>
      <c r="K197" s="98">
        <v>43800</v>
      </c>
      <c r="L197" s="98">
        <v>43831</v>
      </c>
      <c r="M197" s="98">
        <v>43862</v>
      </c>
      <c r="N197" s="98">
        <v>43891</v>
      </c>
      <c r="O197" s="66" t="s">
        <v>347</v>
      </c>
    </row>
    <row r="198" spans="1:15" x14ac:dyDescent="0.2">
      <c r="A198" s="34" t="s">
        <v>280</v>
      </c>
      <c r="B198" s="34"/>
      <c r="C198" s="68">
        <v>0</v>
      </c>
      <c r="D198" s="68"/>
      <c r="E198" s="68"/>
      <c r="F198" s="68"/>
      <c r="G198" s="68"/>
      <c r="H198" s="68"/>
      <c r="I198" s="68"/>
      <c r="J198" s="68"/>
      <c r="K198" s="68"/>
      <c r="L198" s="68"/>
      <c r="M198" s="68"/>
      <c r="N198" s="68"/>
      <c r="O198" s="71">
        <f t="shared" si="19"/>
        <v>0</v>
      </c>
    </row>
    <row r="199" spans="1:15" x14ac:dyDescent="0.2">
      <c r="A199" s="34" t="s">
        <v>281</v>
      </c>
      <c r="B199" s="34" t="s">
        <v>458</v>
      </c>
      <c r="C199" s="68">
        <f>+C200+C201+C202</f>
        <v>18962.5</v>
      </c>
      <c r="D199" s="68">
        <f t="shared" ref="D199:N199" si="29">+D200+D201+D202</f>
        <v>46699</v>
      </c>
      <c r="E199" s="68">
        <f t="shared" si="29"/>
        <v>25215</v>
      </c>
      <c r="F199" s="68">
        <f t="shared" si="29"/>
        <v>32031.25</v>
      </c>
      <c r="G199" s="68">
        <f t="shared" si="29"/>
        <v>36797.5</v>
      </c>
      <c r="H199" s="68">
        <f t="shared" si="29"/>
        <v>37873.75</v>
      </c>
      <c r="I199" s="68">
        <f t="shared" si="29"/>
        <v>29827.5</v>
      </c>
      <c r="J199" s="68">
        <f t="shared" si="29"/>
        <v>28085</v>
      </c>
      <c r="K199" s="68">
        <f t="shared" si="29"/>
        <v>51005.025000000001</v>
      </c>
      <c r="L199" s="68">
        <f t="shared" si="29"/>
        <v>0</v>
      </c>
      <c r="M199" s="68">
        <f t="shared" si="29"/>
        <v>0</v>
      </c>
      <c r="N199" s="68">
        <f t="shared" si="29"/>
        <v>0</v>
      </c>
      <c r="O199" s="71">
        <f t="shared" si="19"/>
        <v>306496.52500000002</v>
      </c>
    </row>
    <row r="200" spans="1:15" x14ac:dyDescent="0.2">
      <c r="A200" s="34" t="s">
        <v>282</v>
      </c>
      <c r="B200" s="34" t="s">
        <v>458</v>
      </c>
      <c r="C200" s="68">
        <f>SUMIFS('PURCHASE-RMC'!$K$6:$K$10000,'PURCHASE-RMC'!$A$6:$A$10000,$C$4:$N$4,'PURCHASE-RMC'!$Q$6:$Q$10000,$B$5:$B$1043)</f>
        <v>18500</v>
      </c>
      <c r="D200" s="68">
        <f>SUMIFS('PURCHASE-RMC'!$K$6:$K$10000,'PURCHASE-RMC'!$A$6:$A$10000,$C$4:$N$4,'PURCHASE-RMC'!$Q$6:$Q$10000,$B$5:$B$1043)</f>
        <v>45560</v>
      </c>
      <c r="E200" s="68">
        <f>SUMIFS('PURCHASE-RMC'!$K$6:$K$10000,'PURCHASE-RMC'!$A$6:$A$10000,$C$4:$N$4,'PURCHASE-RMC'!$Q$6:$Q$10000,$B$5:$B$1043)</f>
        <v>24600</v>
      </c>
      <c r="F200" s="68">
        <f>SUMIFS('PURCHASE-RMC'!$K$6:$K$10000,'PURCHASE-RMC'!$A$6:$A$10000,$C$4:$N$4,'PURCHASE-RMC'!$Q$6:$Q$10000,$B$5:$B$1043)</f>
        <v>31250</v>
      </c>
      <c r="G200" s="68">
        <f>SUMIFS('PURCHASE-RMC'!$K$6:$K$10000,'PURCHASE-RMC'!$A$6:$A$10000,$C$4:$N$4,'PURCHASE-RMC'!$Q$6:$Q$10000,$B$5:$B$1043)</f>
        <v>35900</v>
      </c>
      <c r="H200" s="68">
        <f>SUMIFS('PURCHASE-RMC'!$K$6:$K$10000,'PURCHASE-RMC'!$A$6:$A$10000,$C$4:$N$4,'PURCHASE-RMC'!$Q$6:$Q$10000,$B$5:$B$1043)</f>
        <v>36950</v>
      </c>
      <c r="I200" s="68">
        <f>SUMIFS('PURCHASE-RMC'!$K$6:$K$10000,'PURCHASE-RMC'!$A$6:$A$10000,$C$4:$N$4,'PURCHASE-RMC'!$Q$6:$Q$10000,$B$5:$B$1043)</f>
        <v>29100</v>
      </c>
      <c r="J200" s="68">
        <f>SUMIFS('PURCHASE-RMC'!$K$6:$K$10000,'PURCHASE-RMC'!$A$6:$A$10000,$C$4:$N$4,'PURCHASE-RMC'!$Q$6:$Q$10000,$B$5:$B$1043)</f>
        <v>27400</v>
      </c>
      <c r="K200" s="68">
        <f>SUMIFS('PURCHASE-RMC'!$K$6:$K$10000,'PURCHASE-RMC'!$A$6:$A$10000,$C$4:$N$4,'PURCHASE-RMC'!$Q$6:$Q$10000,$B$5:$B$1043)</f>
        <v>49761</v>
      </c>
      <c r="L200" s="68">
        <f>SUMIFS('PURCHASE-RMC'!$K$6:$K$10000,'PURCHASE-RMC'!$A$6:$A$10000,$C$4:$N$4,'PURCHASE-RMC'!$Q$6:$Q$10000,$B$5:$B$1043)</f>
        <v>0</v>
      </c>
      <c r="M200" s="68">
        <f>SUMIFS('PURCHASE-RMC'!$K$6:$K$10000,'PURCHASE-RMC'!$A$6:$A$10000,$C$4:$N$4,'PURCHASE-RMC'!$Q$6:$Q$10000,$B$5:$B$1043)</f>
        <v>0</v>
      </c>
      <c r="N200" s="68">
        <f>SUMIFS('PURCHASE-RMC'!$K$6:$K$10000,'PURCHASE-RMC'!$A$6:$A$10000,$C$4:$N$4,'PURCHASE-RMC'!$Q$6:$Q$10000,$B$5:$B$1043)</f>
        <v>0</v>
      </c>
      <c r="O200" s="71">
        <f t="shared" si="19"/>
        <v>299021</v>
      </c>
    </row>
    <row r="201" spans="1:15" x14ac:dyDescent="0.2">
      <c r="A201" s="34" t="s">
        <v>283</v>
      </c>
      <c r="B201" s="34" t="s">
        <v>458</v>
      </c>
      <c r="C201" s="68">
        <f>SUMIFS('PURCHASE-RMC'!$L$6:$L$10000,'PURCHASE-RMC'!$A$6:$A$10000,$C$4:$N$4,'PURCHASE-RMC'!$Q$6:$Q$10000,$B$5:$B$1043)</f>
        <v>0</v>
      </c>
      <c r="D201" s="68">
        <f>SUMIFS('PURCHASE-RMC'!$L$6:$L$10000,'PURCHASE-RMC'!$A$6:$A$10000,$C$4:$N$4,'PURCHASE-RMC'!$Q$6:$Q$10000,$B$5:$B$1043)</f>
        <v>0</v>
      </c>
      <c r="E201" s="68">
        <f>SUMIFS('PURCHASE-RMC'!$L$6:$L$10000,'PURCHASE-RMC'!$A$6:$A$10000,$C$4:$N$4,'PURCHASE-RMC'!$Q$6:$Q$10000,$B$5:$B$1043)</f>
        <v>0</v>
      </c>
      <c r="F201" s="68">
        <f>SUMIFS('PURCHASE-RMC'!$L$6:$L$10000,'PURCHASE-RMC'!$A$6:$A$10000,$C$4:$N$4,'PURCHASE-RMC'!$Q$6:$Q$10000,$B$5:$B$1043)</f>
        <v>0</v>
      </c>
      <c r="G201" s="68">
        <f>SUMIFS('PURCHASE-RMC'!$L$6:$L$10000,'PURCHASE-RMC'!$A$6:$A$10000,$C$4:$N$4,'PURCHASE-RMC'!$Q$6:$Q$10000,$B$5:$B$1043)</f>
        <v>0</v>
      </c>
      <c r="H201" s="68">
        <f>SUMIFS('PURCHASE-RMC'!$L$6:$L$10000,'PURCHASE-RMC'!$A$6:$A$10000,$C$4:$N$4,'PURCHASE-RMC'!$Q$6:$Q$10000,$B$5:$B$1043)</f>
        <v>0</v>
      </c>
      <c r="I201" s="68">
        <f>SUMIFS('PURCHASE-RMC'!$L$6:$L$10000,'PURCHASE-RMC'!$A$6:$A$10000,$C$4:$N$4,'PURCHASE-RMC'!$Q$6:$Q$10000,$B$5:$B$1043)</f>
        <v>0</v>
      </c>
      <c r="J201" s="68">
        <f>SUMIFS('PURCHASE-RMC'!$L$6:$L$10000,'PURCHASE-RMC'!$A$6:$A$10000,$C$4:$N$4,'PURCHASE-RMC'!$Q$6:$Q$10000,$B$5:$B$1043)</f>
        <v>0</v>
      </c>
      <c r="K201" s="68">
        <f>SUMIFS('PURCHASE-RMC'!$L$6:$L$10000,'PURCHASE-RMC'!$A$6:$A$10000,$C$4:$N$4,'PURCHASE-RMC'!$Q$6:$Q$10000,$B$5:$B$1043)</f>
        <v>0</v>
      </c>
      <c r="L201" s="68">
        <f>SUMIFS('PURCHASE-RMC'!$L$6:$L$10000,'PURCHASE-RMC'!$A$6:$A$10000,$C$4:$N$4,'PURCHASE-RMC'!$Q$6:$Q$10000,$B$5:$B$1043)</f>
        <v>0</v>
      </c>
      <c r="M201" s="68">
        <f>SUMIFS('PURCHASE-RMC'!$L$6:$L$10000,'PURCHASE-RMC'!$A$6:$A$10000,$C$4:$N$4,'PURCHASE-RMC'!$Q$6:$Q$10000,$B$5:$B$1043)</f>
        <v>0</v>
      </c>
      <c r="N201" s="68">
        <f>SUMIFS('PURCHASE-RMC'!$L$6:$L$10000,'PURCHASE-RMC'!$A$6:$A$10000,$C$4:$N$4,'PURCHASE-RMC'!$Q$6:$Q$10000,$B$5:$B$1043)</f>
        <v>0</v>
      </c>
      <c r="O201" s="71">
        <f t="shared" si="19"/>
        <v>0</v>
      </c>
    </row>
    <row r="202" spans="1:15" x14ac:dyDescent="0.2">
      <c r="A202" s="34" t="s">
        <v>284</v>
      </c>
      <c r="B202" s="34" t="s">
        <v>458</v>
      </c>
      <c r="C202" s="68">
        <f>SUMIFS('PURCHASE-RMC'!$M$6:$M$10000,'PURCHASE-RMC'!$A$6:$A$10000,$C$4:$N$4,'PURCHASE-RMC'!$Q$6:$Q$10000,$B$5:$B$1043)</f>
        <v>462.5</v>
      </c>
      <c r="D202" s="68">
        <f>SUMIFS('PURCHASE-RMC'!$M$6:$M$10000,'PURCHASE-RMC'!$A$6:$A$10000,$C$4:$N$4,'PURCHASE-RMC'!$Q$6:$Q$10000,$B$5:$B$1043)</f>
        <v>1139</v>
      </c>
      <c r="E202" s="68">
        <f>SUMIFS('PURCHASE-RMC'!$M$6:$M$10000,'PURCHASE-RMC'!$A$6:$A$10000,$C$4:$N$4,'PURCHASE-RMC'!$Q$6:$Q$10000,$B$5:$B$1043)</f>
        <v>615</v>
      </c>
      <c r="F202" s="68">
        <f>SUMIFS('PURCHASE-RMC'!$M$6:$M$10000,'PURCHASE-RMC'!$A$6:$A$10000,$C$4:$N$4,'PURCHASE-RMC'!$Q$6:$Q$10000,$B$5:$B$1043)</f>
        <v>781.25</v>
      </c>
      <c r="G202" s="68">
        <f>SUMIFS('PURCHASE-RMC'!$M$6:$M$10000,'PURCHASE-RMC'!$A$6:$A$10000,$C$4:$N$4,'PURCHASE-RMC'!$Q$6:$Q$10000,$B$5:$B$1043)</f>
        <v>897.5</v>
      </c>
      <c r="H202" s="68">
        <f>SUMIFS('PURCHASE-RMC'!$M$6:$M$10000,'PURCHASE-RMC'!$A$6:$A$10000,$C$4:$N$4,'PURCHASE-RMC'!$Q$6:$Q$10000,$B$5:$B$1043)</f>
        <v>923.75</v>
      </c>
      <c r="I202" s="68">
        <f>SUMIFS('PURCHASE-RMC'!$M$6:$M$10000,'PURCHASE-RMC'!$A$6:$A$10000,$C$4:$N$4,'PURCHASE-RMC'!$Q$6:$Q$10000,$B$5:$B$1043)</f>
        <v>727.5</v>
      </c>
      <c r="J202" s="68">
        <f>SUMIFS('PURCHASE-RMC'!$M$6:$M$10000,'PURCHASE-RMC'!$A$6:$A$10000,$C$4:$N$4,'PURCHASE-RMC'!$Q$6:$Q$10000,$B$5:$B$1043)</f>
        <v>685</v>
      </c>
      <c r="K202" s="68">
        <f>SUMIFS('PURCHASE-RMC'!$M$6:$M$10000,'PURCHASE-RMC'!$A$6:$A$10000,$C$4:$N$4,'PURCHASE-RMC'!$Q$6:$Q$10000,$B$5:$B$1043)</f>
        <v>1244.0250000000001</v>
      </c>
      <c r="L202" s="68">
        <f>SUMIFS('PURCHASE-RMC'!$M$6:$M$10000,'PURCHASE-RMC'!$A$6:$A$10000,$C$4:$N$4,'PURCHASE-RMC'!$Q$6:$Q$10000,$B$5:$B$1043)</f>
        <v>0</v>
      </c>
      <c r="M202" s="68">
        <f>SUMIFS('PURCHASE-RMC'!$M$6:$M$10000,'PURCHASE-RMC'!$A$6:$A$10000,$C$4:$N$4,'PURCHASE-RMC'!$Q$6:$Q$10000,$B$5:$B$1043)</f>
        <v>0</v>
      </c>
      <c r="N202" s="68">
        <f>SUMIFS('PURCHASE-RMC'!$M$6:$M$10000,'PURCHASE-RMC'!$A$6:$A$10000,$C$4:$N$4,'PURCHASE-RMC'!$Q$6:$Q$10000,$B$5:$B$1043)</f>
        <v>0</v>
      </c>
      <c r="O202" s="71">
        <f t="shared" si="19"/>
        <v>7475.5249999999996</v>
      </c>
    </row>
    <row r="203" spans="1:15" x14ac:dyDescent="0.2">
      <c r="A203" s="34" t="s">
        <v>285</v>
      </c>
      <c r="B203" s="34" t="s">
        <v>458</v>
      </c>
      <c r="C203" s="68">
        <f>SUMIFS('PURCHASE-RMC'!$N$6:$N$10000,'PURCHASE-RMC'!$A$6:$A$10000,$C$4:$N$4,'PURCHASE-RMC'!$Q$6:$Q$10000,$B$5:$B$1043)</f>
        <v>462.5</v>
      </c>
      <c r="D203" s="68">
        <f>SUMIFS('PURCHASE-RMC'!$N$6:$N$10000,'PURCHASE-RMC'!$A$6:$A$10000,$C$4:$N$4,'PURCHASE-RMC'!$Q$6:$Q$10000,$B$5:$B$1043)</f>
        <v>1139</v>
      </c>
      <c r="E203" s="68">
        <f>SUMIFS('PURCHASE-RMC'!$N$6:$N$10000,'PURCHASE-RMC'!$A$6:$A$10000,$C$4:$N$4,'PURCHASE-RMC'!$Q$6:$Q$10000,$B$5:$B$1043)</f>
        <v>615</v>
      </c>
      <c r="F203" s="68">
        <f>SUMIFS('PURCHASE-RMC'!$N$6:$N$10000,'PURCHASE-RMC'!$A$6:$A$10000,$C$4:$N$4,'PURCHASE-RMC'!$Q$6:$Q$10000,$B$5:$B$1043)</f>
        <v>781.25</v>
      </c>
      <c r="G203" s="68">
        <f>SUMIFS('PURCHASE-RMC'!$N$6:$N$10000,'PURCHASE-RMC'!$A$6:$A$10000,$C$4:$N$4,'PURCHASE-RMC'!$Q$6:$Q$10000,$B$5:$B$1043)</f>
        <v>897.5</v>
      </c>
      <c r="H203" s="68">
        <f>SUMIFS('PURCHASE-RMC'!$N$6:$N$10000,'PURCHASE-RMC'!$A$6:$A$10000,$C$4:$N$4,'PURCHASE-RMC'!$Q$6:$Q$10000,$B$5:$B$1043)</f>
        <v>923.75</v>
      </c>
      <c r="I203" s="68">
        <f>SUMIFS('PURCHASE-RMC'!$N$6:$N$10000,'PURCHASE-RMC'!$A$6:$A$10000,$C$4:$N$4,'PURCHASE-RMC'!$Q$6:$Q$10000,$B$5:$B$1043)</f>
        <v>727.5</v>
      </c>
      <c r="J203" s="68">
        <f>SUMIFS('PURCHASE-RMC'!$N$6:$N$10000,'PURCHASE-RMC'!$A$6:$A$10000,$C$4:$N$4,'PURCHASE-RMC'!$Q$6:$Q$10000,$B$5:$B$1043)</f>
        <v>685</v>
      </c>
      <c r="K203" s="68">
        <f>SUMIFS('PURCHASE-RMC'!$N$6:$N$10000,'PURCHASE-RMC'!$A$6:$A$10000,$C$4:$N$4,'PURCHASE-RMC'!$Q$6:$Q$10000,$B$5:$B$1043)</f>
        <v>1244.0250000000001</v>
      </c>
      <c r="L203" s="68">
        <f>SUMIFS('PURCHASE-RMC'!$N$6:$N$10000,'PURCHASE-RMC'!$A$6:$A$10000,$C$4:$N$4,'PURCHASE-RMC'!$Q$6:$Q$10000,$B$5:$B$1043)</f>
        <v>0</v>
      </c>
      <c r="M203" s="68">
        <f>SUMIFS('PURCHASE-RMC'!$N$6:$N$10000,'PURCHASE-RMC'!$A$6:$A$10000,$C$4:$N$4,'PURCHASE-RMC'!$Q$6:$Q$10000,$B$5:$B$1043)</f>
        <v>0</v>
      </c>
      <c r="N203" s="68">
        <f>SUMIFS('PURCHASE-RMC'!$N$6:$N$10000,'PURCHASE-RMC'!$A$6:$A$10000,$C$4:$N$4,'PURCHASE-RMC'!$Q$6:$Q$10000,$B$5:$B$1043)</f>
        <v>0</v>
      </c>
      <c r="O203" s="71">
        <f t="shared" si="19"/>
        <v>7475.5249999999996</v>
      </c>
    </row>
    <row r="204" spans="1:15" x14ac:dyDescent="0.2">
      <c r="A204" s="34" t="s">
        <v>286</v>
      </c>
      <c r="B204" s="34" t="s">
        <v>458</v>
      </c>
      <c r="C204" s="68">
        <f>SUMIFS('PURCHASE-RMC'!$O$6:$O$10000,'PURCHASE-RMC'!$A$6:$A$10000,$C$4:$N$4,'PURCHASE-RMC'!$Q$6:$Q$10000,$B$5:$B$1043)</f>
        <v>0</v>
      </c>
      <c r="D204" s="68">
        <f>SUMIFS('PURCHASE-RMC'!$O$6:$O$10000,'PURCHASE-RMC'!$A$6:$A$10000,$C$4:$N$4,'PURCHASE-RMC'!$Q$6:$Q$10000,$B$5:$B$1043)</f>
        <v>0</v>
      </c>
      <c r="E204" s="68">
        <f>SUMIFS('PURCHASE-RMC'!$O$6:$O$10000,'PURCHASE-RMC'!$A$6:$A$10000,$C$4:$N$4,'PURCHASE-RMC'!$Q$6:$Q$10000,$B$5:$B$1043)</f>
        <v>0</v>
      </c>
      <c r="F204" s="68">
        <f>SUMIFS('PURCHASE-RMC'!$O$6:$O$10000,'PURCHASE-RMC'!$A$6:$A$10000,$C$4:$N$4,'PURCHASE-RMC'!$Q$6:$Q$10000,$B$5:$B$1043)</f>
        <v>0</v>
      </c>
      <c r="G204" s="68">
        <f>SUMIFS('PURCHASE-RMC'!$O$6:$O$10000,'PURCHASE-RMC'!$A$6:$A$10000,$C$4:$N$4,'PURCHASE-RMC'!$Q$6:$Q$10000,$B$5:$B$1043)</f>
        <v>0</v>
      </c>
      <c r="H204" s="68">
        <f>SUMIFS('PURCHASE-RMC'!$O$6:$O$10000,'PURCHASE-RMC'!$A$6:$A$10000,$C$4:$N$4,'PURCHASE-RMC'!$Q$6:$Q$10000,$B$5:$B$1043)</f>
        <v>0</v>
      </c>
      <c r="I204" s="68">
        <f>SUMIFS('PURCHASE-RMC'!$O$6:$O$10000,'PURCHASE-RMC'!$A$6:$A$10000,$C$4:$N$4,'PURCHASE-RMC'!$Q$6:$Q$10000,$B$5:$B$1043)</f>
        <v>0</v>
      </c>
      <c r="J204" s="68">
        <f>SUMIFS('PURCHASE-RMC'!$O$6:$O$10000,'PURCHASE-RMC'!$A$6:$A$10000,$C$4:$N$4,'PURCHASE-RMC'!$Q$6:$Q$10000,$B$5:$B$1043)</f>
        <v>0</v>
      </c>
      <c r="K204" s="68">
        <f>SUMIFS('PURCHASE-RMC'!$O$6:$O$10000,'PURCHASE-RMC'!$A$6:$A$10000,$C$4:$N$4,'PURCHASE-RMC'!$Q$6:$Q$10000,$B$5:$B$1043)</f>
        <v>0</v>
      </c>
      <c r="L204" s="68">
        <f>SUMIFS('PURCHASE-RMC'!$O$6:$O$10000,'PURCHASE-RMC'!$A$6:$A$10000,$C$4:$N$4,'PURCHASE-RMC'!$Q$6:$Q$10000,$B$5:$B$1043)</f>
        <v>0</v>
      </c>
      <c r="M204" s="68">
        <f>SUMIFS('PURCHASE-RMC'!$O$6:$O$10000,'PURCHASE-RMC'!$A$6:$A$10000,$C$4:$N$4,'PURCHASE-RMC'!$Q$6:$Q$10000,$B$5:$B$1043)</f>
        <v>0</v>
      </c>
      <c r="N204" s="68">
        <f>SUMIFS('PURCHASE-RMC'!$O$6:$O$10000,'PURCHASE-RMC'!$A$6:$A$10000,$C$4:$N$4,'PURCHASE-RMC'!$Q$6:$Q$10000,$B$5:$B$1043)</f>
        <v>0</v>
      </c>
      <c r="O204" s="71">
        <f t="shared" si="19"/>
        <v>0</v>
      </c>
    </row>
    <row r="205" spans="1:15" x14ac:dyDescent="0.2">
      <c r="A205" s="1006" t="s">
        <v>307</v>
      </c>
      <c r="B205" s="1007"/>
      <c r="C205" s="1007"/>
      <c r="D205" s="1007"/>
      <c r="E205" s="1007"/>
      <c r="F205" s="1007"/>
      <c r="G205" s="1007"/>
      <c r="H205" s="1007"/>
      <c r="I205" s="1007"/>
      <c r="J205" s="1007"/>
      <c r="K205" s="1007"/>
      <c r="L205" s="1007"/>
      <c r="M205" s="1007"/>
      <c r="N205" s="1007"/>
      <c r="O205" s="1008"/>
    </row>
    <row r="206" spans="1:15" x14ac:dyDescent="0.2">
      <c r="A206" s="66" t="s">
        <v>279</v>
      </c>
      <c r="B206" s="66"/>
      <c r="C206" s="98">
        <v>43556</v>
      </c>
      <c r="D206" s="98">
        <v>43586</v>
      </c>
      <c r="E206" s="98">
        <v>43617</v>
      </c>
      <c r="F206" s="98">
        <v>43647</v>
      </c>
      <c r="G206" s="98">
        <v>43678</v>
      </c>
      <c r="H206" s="98">
        <v>43709</v>
      </c>
      <c r="I206" s="98">
        <v>43739</v>
      </c>
      <c r="J206" s="98">
        <v>43770</v>
      </c>
      <c r="K206" s="98">
        <v>43800</v>
      </c>
      <c r="L206" s="98">
        <v>43831</v>
      </c>
      <c r="M206" s="98">
        <v>43862</v>
      </c>
      <c r="N206" s="98">
        <v>43891</v>
      </c>
      <c r="O206" s="66" t="s">
        <v>347</v>
      </c>
    </row>
    <row r="207" spans="1:15" x14ac:dyDescent="0.2">
      <c r="A207" s="34" t="s">
        <v>280</v>
      </c>
      <c r="B207" s="34"/>
      <c r="C207" s="34"/>
      <c r="D207" s="34"/>
      <c r="E207" s="34"/>
      <c r="F207" s="34"/>
      <c r="G207" s="34"/>
      <c r="H207" s="34"/>
      <c r="I207" s="34"/>
      <c r="J207" s="34"/>
      <c r="K207" s="34"/>
      <c r="L207" s="34"/>
      <c r="M207" s="34"/>
      <c r="N207" s="34"/>
      <c r="O207" s="71">
        <f t="shared" ref="O207:O299" si="30">SUM(C207:N207)</f>
        <v>0</v>
      </c>
    </row>
    <row r="208" spans="1:15" x14ac:dyDescent="0.2">
      <c r="A208" s="34" t="s">
        <v>281</v>
      </c>
      <c r="B208" s="34" t="s">
        <v>388</v>
      </c>
      <c r="C208" s="68"/>
      <c r="D208" s="68">
        <v>0</v>
      </c>
      <c r="E208" s="68">
        <v>0</v>
      </c>
      <c r="F208" s="68">
        <v>0</v>
      </c>
      <c r="G208" s="68">
        <v>0</v>
      </c>
      <c r="H208" s="68">
        <v>0</v>
      </c>
      <c r="I208" s="68">
        <v>0</v>
      </c>
      <c r="J208" s="68">
        <v>0</v>
      </c>
      <c r="K208" s="68">
        <v>0</v>
      </c>
      <c r="L208" s="68">
        <v>0</v>
      </c>
      <c r="M208" s="68">
        <v>0</v>
      </c>
      <c r="N208" s="68">
        <v>0</v>
      </c>
      <c r="O208" s="71">
        <f t="shared" si="30"/>
        <v>0</v>
      </c>
    </row>
    <row r="209" spans="1:15" x14ac:dyDescent="0.2">
      <c r="A209" s="34" t="s">
        <v>282</v>
      </c>
      <c r="B209" s="34" t="s">
        <v>388</v>
      </c>
      <c r="C209" s="68"/>
      <c r="D209" s="68">
        <v>0</v>
      </c>
      <c r="E209" s="68">
        <v>0</v>
      </c>
      <c r="F209" s="68">
        <v>0</v>
      </c>
      <c r="G209" s="68">
        <v>0</v>
      </c>
      <c r="H209" s="68">
        <v>0</v>
      </c>
      <c r="I209" s="68">
        <v>0</v>
      </c>
      <c r="J209" s="68">
        <v>0</v>
      </c>
      <c r="K209" s="68">
        <v>0</v>
      </c>
      <c r="L209" s="68">
        <v>0</v>
      </c>
      <c r="M209" s="68">
        <v>0</v>
      </c>
      <c r="N209" s="68">
        <v>0</v>
      </c>
      <c r="O209" s="71">
        <f t="shared" si="30"/>
        <v>0</v>
      </c>
    </row>
    <row r="210" spans="1:15" x14ac:dyDescent="0.2">
      <c r="A210" s="34" t="s">
        <v>283</v>
      </c>
      <c r="B210" s="34" t="s">
        <v>388</v>
      </c>
      <c r="C210" s="68"/>
      <c r="D210" s="68">
        <v>0</v>
      </c>
      <c r="E210" s="68">
        <v>0</v>
      </c>
      <c r="F210" s="68">
        <v>0</v>
      </c>
      <c r="G210" s="68">
        <v>0</v>
      </c>
      <c r="H210" s="68">
        <v>0</v>
      </c>
      <c r="I210" s="68">
        <v>0</v>
      </c>
      <c r="J210" s="68">
        <v>0</v>
      </c>
      <c r="K210" s="68">
        <v>0</v>
      </c>
      <c r="L210" s="68">
        <v>0</v>
      </c>
      <c r="M210" s="68">
        <v>0</v>
      </c>
      <c r="N210" s="68">
        <v>0</v>
      </c>
      <c r="O210" s="71">
        <f t="shared" si="30"/>
        <v>0</v>
      </c>
    </row>
    <row r="211" spans="1:15" x14ac:dyDescent="0.2">
      <c r="A211" s="34" t="s">
        <v>284</v>
      </c>
      <c r="B211" s="34" t="s">
        <v>388</v>
      </c>
      <c r="C211" s="68"/>
      <c r="D211" s="68">
        <v>0</v>
      </c>
      <c r="E211" s="68">
        <v>0</v>
      </c>
      <c r="F211" s="68">
        <v>0</v>
      </c>
      <c r="G211" s="68">
        <v>0</v>
      </c>
      <c r="H211" s="68">
        <v>0</v>
      </c>
      <c r="I211" s="68">
        <v>0</v>
      </c>
      <c r="J211" s="68">
        <v>0</v>
      </c>
      <c r="K211" s="68">
        <v>0</v>
      </c>
      <c r="L211" s="68">
        <v>0</v>
      </c>
      <c r="M211" s="68">
        <v>0</v>
      </c>
      <c r="N211" s="68">
        <v>0</v>
      </c>
      <c r="O211" s="71">
        <f t="shared" si="30"/>
        <v>0</v>
      </c>
    </row>
    <row r="212" spans="1:15" x14ac:dyDescent="0.2">
      <c r="A212" s="34" t="s">
        <v>285</v>
      </c>
      <c r="B212" s="34" t="s">
        <v>388</v>
      </c>
      <c r="C212" s="68"/>
      <c r="D212" s="68">
        <v>0</v>
      </c>
      <c r="E212" s="68">
        <v>0</v>
      </c>
      <c r="F212" s="68">
        <v>0</v>
      </c>
      <c r="G212" s="68">
        <v>0</v>
      </c>
      <c r="H212" s="68">
        <v>0</v>
      </c>
      <c r="I212" s="68">
        <v>0</v>
      </c>
      <c r="J212" s="68">
        <v>0</v>
      </c>
      <c r="K212" s="68">
        <v>0</v>
      </c>
      <c r="L212" s="68">
        <v>0</v>
      </c>
      <c r="M212" s="68">
        <v>0</v>
      </c>
      <c r="N212" s="68">
        <v>0</v>
      </c>
      <c r="O212" s="71">
        <f t="shared" si="30"/>
        <v>0</v>
      </c>
    </row>
    <row r="213" spans="1:15" x14ac:dyDescent="0.2">
      <c r="A213" s="34" t="s">
        <v>286</v>
      </c>
      <c r="B213" s="34" t="s">
        <v>388</v>
      </c>
      <c r="C213" s="68"/>
      <c r="D213" s="68">
        <v>0</v>
      </c>
      <c r="E213" s="68">
        <v>0</v>
      </c>
      <c r="F213" s="68">
        <v>0</v>
      </c>
      <c r="G213" s="68">
        <v>0</v>
      </c>
      <c r="H213" s="68">
        <v>0</v>
      </c>
      <c r="I213" s="68">
        <v>0</v>
      </c>
      <c r="J213" s="68">
        <v>0</v>
      </c>
      <c r="K213" s="68">
        <v>0</v>
      </c>
      <c r="L213" s="68">
        <v>0</v>
      </c>
      <c r="M213" s="68">
        <v>0</v>
      </c>
      <c r="N213" s="68">
        <v>0</v>
      </c>
      <c r="O213" s="71">
        <f t="shared" si="30"/>
        <v>0</v>
      </c>
    </row>
    <row r="214" spans="1:15" x14ac:dyDescent="0.2">
      <c r="A214" s="1006" t="s">
        <v>347</v>
      </c>
      <c r="B214" s="1007"/>
      <c r="C214" s="1007"/>
      <c r="D214" s="1007"/>
      <c r="E214" s="1007"/>
      <c r="F214" s="1007"/>
      <c r="G214" s="1007"/>
      <c r="H214" s="1007"/>
      <c r="I214" s="1007"/>
      <c r="J214" s="1007"/>
      <c r="K214" s="1007"/>
      <c r="L214" s="1007"/>
      <c r="M214" s="1007"/>
      <c r="N214" s="1007"/>
      <c r="O214" s="1008"/>
    </row>
    <row r="215" spans="1:15" x14ac:dyDescent="0.2">
      <c r="A215" s="66" t="s">
        <v>279</v>
      </c>
      <c r="B215" s="66" t="s">
        <v>1041</v>
      </c>
      <c r="C215" s="98">
        <v>43556</v>
      </c>
      <c r="D215" s="98">
        <v>43586</v>
      </c>
      <c r="E215" s="98">
        <v>43617</v>
      </c>
      <c r="F215" s="98">
        <v>43647</v>
      </c>
      <c r="G215" s="98">
        <v>43678</v>
      </c>
      <c r="H215" s="98">
        <v>43709</v>
      </c>
      <c r="I215" s="98">
        <v>43739</v>
      </c>
      <c r="J215" s="98">
        <v>43770</v>
      </c>
      <c r="K215" s="98">
        <v>43800</v>
      </c>
      <c r="L215" s="98">
        <v>43831</v>
      </c>
      <c r="M215" s="98">
        <v>43862</v>
      </c>
      <c r="N215" s="98">
        <v>43891</v>
      </c>
      <c r="O215" s="66" t="s">
        <v>347</v>
      </c>
    </row>
    <row r="216" spans="1:15" x14ac:dyDescent="0.2">
      <c r="A216" s="77" t="s">
        <v>281</v>
      </c>
      <c r="B216" s="66" t="s">
        <v>1041</v>
      </c>
      <c r="C216" s="78">
        <f t="shared" ref="C216:N216" si="31">+C52+C199</f>
        <v>2996789.0181000005</v>
      </c>
      <c r="D216" s="78">
        <f t="shared" si="31"/>
        <v>4530481.7914000014</v>
      </c>
      <c r="E216" s="78">
        <f t="shared" si="31"/>
        <v>5160249.5261000004</v>
      </c>
      <c r="F216" s="78">
        <f t="shared" si="31"/>
        <v>6814901.3543999968</v>
      </c>
      <c r="G216" s="78">
        <f t="shared" si="31"/>
        <v>4226309.3606000002</v>
      </c>
      <c r="H216" s="78">
        <f t="shared" si="31"/>
        <v>4282586.3101000004</v>
      </c>
      <c r="I216" s="78">
        <f t="shared" si="31"/>
        <v>4244491.5296000009</v>
      </c>
      <c r="J216" s="78">
        <f t="shared" si="31"/>
        <v>3754166.1602000007</v>
      </c>
      <c r="K216" s="78">
        <f t="shared" si="31"/>
        <v>6619383.3253000006</v>
      </c>
      <c r="L216" s="78">
        <f t="shared" si="31"/>
        <v>3436573.4769000001</v>
      </c>
      <c r="M216" s="78">
        <f t="shared" si="31"/>
        <v>0</v>
      </c>
      <c r="N216" s="78">
        <f t="shared" si="31"/>
        <v>0</v>
      </c>
      <c r="O216" s="71">
        <f t="shared" si="30"/>
        <v>46065931.85270001</v>
      </c>
    </row>
    <row r="217" spans="1:15" x14ac:dyDescent="0.2">
      <c r="A217" s="77" t="s">
        <v>282</v>
      </c>
      <c r="B217" s="66" t="s">
        <v>1041</v>
      </c>
      <c r="C217" s="78">
        <f t="shared" ref="C217:N217" si="32">+C53+C200</f>
        <v>2674184.3000000007</v>
      </c>
      <c r="D217" s="78">
        <f t="shared" si="32"/>
        <v>4056525.3600000003</v>
      </c>
      <c r="E217" s="78">
        <f t="shared" si="32"/>
        <v>4613510.58</v>
      </c>
      <c r="F217" s="78">
        <f t="shared" si="32"/>
        <v>6140958.5599999968</v>
      </c>
      <c r="G217" s="78">
        <f t="shared" si="32"/>
        <v>3810903.6500000004</v>
      </c>
      <c r="H217" s="78">
        <f t="shared" si="32"/>
        <v>3842105.22</v>
      </c>
      <c r="I217" s="78">
        <f t="shared" si="32"/>
        <v>3831338.9400000004</v>
      </c>
      <c r="J217" s="78">
        <f t="shared" si="32"/>
        <v>3392065.7700000005</v>
      </c>
      <c r="K217" s="78">
        <f t="shared" si="32"/>
        <v>5902801.4299999997</v>
      </c>
      <c r="L217" s="78">
        <f t="shared" si="32"/>
        <v>3112875.14</v>
      </c>
      <c r="M217" s="78">
        <f t="shared" si="32"/>
        <v>0</v>
      </c>
      <c r="N217" s="78">
        <f t="shared" si="32"/>
        <v>0</v>
      </c>
      <c r="O217" s="71">
        <f t="shared" si="30"/>
        <v>41377268.949999996</v>
      </c>
    </row>
    <row r="218" spans="1:15" x14ac:dyDescent="0.2">
      <c r="A218" s="77" t="s">
        <v>283</v>
      </c>
      <c r="B218" s="66" t="s">
        <v>1041</v>
      </c>
      <c r="C218" s="78">
        <f t="shared" ref="C218:N218" si="33">+C54+C201</f>
        <v>2079.9351999999999</v>
      </c>
      <c r="D218" s="78">
        <f t="shared" si="33"/>
        <v>36933.315999999999</v>
      </c>
      <c r="E218" s="78">
        <f t="shared" si="33"/>
        <v>89585.376799999998</v>
      </c>
      <c r="F218" s="78">
        <f t="shared" si="33"/>
        <v>23899.64</v>
      </c>
      <c r="G218" s="78">
        <f t="shared" si="33"/>
        <v>10977.877199999999</v>
      </c>
      <c r="H218" s="78">
        <f t="shared" si="33"/>
        <v>57463.603599999988</v>
      </c>
      <c r="I218" s="78">
        <f t="shared" si="33"/>
        <v>35776.299999999996</v>
      </c>
      <c r="J218" s="78">
        <f t="shared" si="33"/>
        <v>28467.498000000003</v>
      </c>
      <c r="K218" s="78">
        <f t="shared" si="33"/>
        <v>293644.29119999998</v>
      </c>
      <c r="L218" s="78">
        <f t="shared" si="33"/>
        <v>23052.937600000001</v>
      </c>
      <c r="M218" s="78">
        <f t="shared" si="33"/>
        <v>0</v>
      </c>
      <c r="N218" s="78">
        <f t="shared" si="33"/>
        <v>0</v>
      </c>
      <c r="O218" s="71">
        <f t="shared" si="30"/>
        <v>601880.77559999994</v>
      </c>
    </row>
    <row r="219" spans="1:15" x14ac:dyDescent="0.2">
      <c r="A219" s="77" t="s">
        <v>284</v>
      </c>
      <c r="B219" s="66" t="s">
        <v>1041</v>
      </c>
      <c r="C219" s="78">
        <f t="shared" ref="C219:N219" si="34">+C55+C202</f>
        <v>320524.78289999982</v>
      </c>
      <c r="D219" s="78">
        <f t="shared" si="34"/>
        <v>437023.11540000001</v>
      </c>
      <c r="E219" s="78">
        <f t="shared" si="34"/>
        <v>457153.5692999998</v>
      </c>
      <c r="F219" s="78">
        <f t="shared" si="34"/>
        <v>650043.15440000047</v>
      </c>
      <c r="G219" s="78">
        <f t="shared" si="34"/>
        <v>404427.83340000012</v>
      </c>
      <c r="H219" s="78">
        <f t="shared" si="34"/>
        <v>383017.48650000017</v>
      </c>
      <c r="I219" s="78">
        <f t="shared" si="34"/>
        <v>377376.28960000008</v>
      </c>
      <c r="J219" s="78">
        <f t="shared" si="34"/>
        <v>333632.8922</v>
      </c>
      <c r="K219" s="78">
        <f t="shared" si="34"/>
        <v>422937.6041</v>
      </c>
      <c r="L219" s="78">
        <f t="shared" si="34"/>
        <v>300645.39929999993</v>
      </c>
      <c r="M219" s="78">
        <f t="shared" si="34"/>
        <v>0</v>
      </c>
      <c r="N219" s="78">
        <f t="shared" si="34"/>
        <v>0</v>
      </c>
      <c r="O219" s="71">
        <f t="shared" si="30"/>
        <v>4086782.1271000011</v>
      </c>
    </row>
    <row r="220" spans="1:15" x14ac:dyDescent="0.2">
      <c r="A220" s="77" t="s">
        <v>285</v>
      </c>
      <c r="B220" s="66" t="s">
        <v>1041</v>
      </c>
      <c r="C220" s="78">
        <f t="shared" ref="C220:N220" si="35">+C56+C203</f>
        <v>320524.78289999982</v>
      </c>
      <c r="D220" s="78">
        <f t="shared" si="35"/>
        <v>437023.11540000001</v>
      </c>
      <c r="E220" s="78">
        <f t="shared" si="35"/>
        <v>457153.5692999998</v>
      </c>
      <c r="F220" s="78">
        <f t="shared" si="35"/>
        <v>650043.15440000047</v>
      </c>
      <c r="G220" s="78">
        <f t="shared" si="35"/>
        <v>404427.83340000012</v>
      </c>
      <c r="H220" s="78">
        <f t="shared" si="35"/>
        <v>383017.48650000017</v>
      </c>
      <c r="I220" s="78">
        <f t="shared" si="35"/>
        <v>377376.28960000008</v>
      </c>
      <c r="J220" s="78">
        <f t="shared" si="35"/>
        <v>333632.8922</v>
      </c>
      <c r="K220" s="78">
        <f t="shared" si="35"/>
        <v>422937.6041</v>
      </c>
      <c r="L220" s="78">
        <f t="shared" si="35"/>
        <v>300645.39929999993</v>
      </c>
      <c r="M220" s="78">
        <f t="shared" si="35"/>
        <v>0</v>
      </c>
      <c r="N220" s="78">
        <f t="shared" si="35"/>
        <v>0</v>
      </c>
      <c r="O220" s="71">
        <f t="shared" si="30"/>
        <v>4086782.1271000011</v>
      </c>
    </row>
    <row r="221" spans="1:15" x14ac:dyDescent="0.2">
      <c r="A221" s="80" t="s">
        <v>286</v>
      </c>
      <c r="B221" s="66" t="s">
        <v>1041</v>
      </c>
      <c r="C221" s="81">
        <f t="shared" ref="C221:N221" si="36">+C57+C204</f>
        <v>0</v>
      </c>
      <c r="D221" s="81">
        <f t="shared" si="36"/>
        <v>0</v>
      </c>
      <c r="E221" s="81">
        <f t="shared" si="36"/>
        <v>0</v>
      </c>
      <c r="F221" s="81">
        <f t="shared" si="36"/>
        <v>0</v>
      </c>
      <c r="G221" s="81">
        <f t="shared" si="36"/>
        <v>0</v>
      </c>
      <c r="H221" s="81">
        <f t="shared" si="36"/>
        <v>0</v>
      </c>
      <c r="I221" s="81">
        <f t="shared" si="36"/>
        <v>0</v>
      </c>
      <c r="J221" s="81">
        <f t="shared" si="36"/>
        <v>0</v>
      </c>
      <c r="K221" s="81">
        <f t="shared" si="36"/>
        <v>0</v>
      </c>
      <c r="L221" s="81">
        <f t="shared" si="36"/>
        <v>0</v>
      </c>
      <c r="M221" s="81">
        <f t="shared" si="36"/>
        <v>0</v>
      </c>
      <c r="N221" s="81">
        <f t="shared" si="36"/>
        <v>0</v>
      </c>
      <c r="O221" s="71">
        <f t="shared" si="30"/>
        <v>0</v>
      </c>
    </row>
    <row r="222" spans="1:15" x14ac:dyDescent="0.2">
      <c r="A222" s="1006" t="s">
        <v>417</v>
      </c>
      <c r="B222" s="1007"/>
      <c r="C222" s="1007"/>
      <c r="D222" s="1007"/>
      <c r="E222" s="1007"/>
      <c r="F222" s="1007"/>
      <c r="G222" s="1007"/>
      <c r="H222" s="1007"/>
      <c r="I222" s="1007"/>
      <c r="J222" s="1007"/>
      <c r="K222" s="1007"/>
      <c r="L222" s="1007"/>
      <c r="M222" s="1007"/>
      <c r="N222" s="1007"/>
      <c r="O222" s="1008"/>
    </row>
    <row r="223" spans="1:15" x14ac:dyDescent="0.2">
      <c r="A223" s="66" t="s">
        <v>279</v>
      </c>
      <c r="B223" s="66"/>
      <c r="C223" s="98">
        <v>43556</v>
      </c>
      <c r="D223" s="98">
        <v>43586</v>
      </c>
      <c r="E223" s="98">
        <v>43617</v>
      </c>
      <c r="F223" s="98">
        <v>43647</v>
      </c>
      <c r="G223" s="98">
        <v>43678</v>
      </c>
      <c r="H223" s="98">
        <v>43709</v>
      </c>
      <c r="I223" s="98">
        <v>43739</v>
      </c>
      <c r="J223" s="98">
        <v>43770</v>
      </c>
      <c r="K223" s="98">
        <v>43800</v>
      </c>
      <c r="L223" s="98">
        <v>43831</v>
      </c>
      <c r="M223" s="98">
        <v>43862</v>
      </c>
      <c r="N223" s="98">
        <v>43891</v>
      </c>
      <c r="O223" s="66" t="s">
        <v>347</v>
      </c>
    </row>
    <row r="224" spans="1:15" x14ac:dyDescent="0.2">
      <c r="A224" s="34" t="s">
        <v>280</v>
      </c>
      <c r="B224" s="34"/>
      <c r="C224" s="34"/>
      <c r="D224" s="34"/>
      <c r="E224" s="34"/>
      <c r="F224" s="34"/>
      <c r="G224" s="34"/>
      <c r="H224" s="34"/>
      <c r="I224" s="34"/>
      <c r="J224" s="34"/>
      <c r="K224" s="34"/>
      <c r="L224" s="34"/>
      <c r="M224" s="34"/>
      <c r="N224" s="34"/>
      <c r="O224" s="71">
        <f t="shared" si="30"/>
        <v>0</v>
      </c>
    </row>
    <row r="225" spans="1:15" x14ac:dyDescent="0.2">
      <c r="A225" s="34" t="s">
        <v>281</v>
      </c>
      <c r="B225" s="34" t="s">
        <v>417</v>
      </c>
      <c r="C225" s="68">
        <f>+C226+C227+C228+C229+C230</f>
        <v>-212.39999999999998</v>
      </c>
      <c r="D225" s="68">
        <f t="shared" ref="D225:N225" si="37">+D226+D227+D228+D229+D230</f>
        <v>-212.39999999999998</v>
      </c>
      <c r="E225" s="68">
        <f t="shared" si="37"/>
        <v>-212.39999999999998</v>
      </c>
      <c r="F225" s="68">
        <f t="shared" si="37"/>
        <v>-212.39999999999998</v>
      </c>
      <c r="G225" s="68">
        <f t="shared" si="37"/>
        <v>-212.39999999999998</v>
      </c>
      <c r="H225" s="68">
        <f t="shared" si="37"/>
        <v>-212.39999999999998</v>
      </c>
      <c r="I225" s="68">
        <f t="shared" si="37"/>
        <v>-212.39999999999998</v>
      </c>
      <c r="J225" s="68">
        <f t="shared" si="37"/>
        <v>-212.39999999999998</v>
      </c>
      <c r="K225" s="68">
        <f t="shared" si="37"/>
        <v>-212.39999999999998</v>
      </c>
      <c r="L225" s="68">
        <f t="shared" si="37"/>
        <v>0</v>
      </c>
      <c r="M225" s="68">
        <f t="shared" si="37"/>
        <v>0</v>
      </c>
      <c r="N225" s="68">
        <f t="shared" si="37"/>
        <v>0</v>
      </c>
      <c r="O225" s="71">
        <f t="shared" si="30"/>
        <v>-1911.6000000000004</v>
      </c>
    </row>
    <row r="226" spans="1:15" x14ac:dyDescent="0.2">
      <c r="A226" s="34" t="s">
        <v>282</v>
      </c>
      <c r="B226" s="34" t="s">
        <v>417</v>
      </c>
      <c r="C226" s="68">
        <f>SUMIFS('RULE 37,39,42&amp;43'!$N$6:$N$10000,'RULE 37,39,42&amp;43'!$A$6:$A$10000,$C$223:$N$223,'RULE 37,39,42&amp;43'!$L$6:$L$10000,$B$225:$B$248)</f>
        <v>-180</v>
      </c>
      <c r="D226" s="68">
        <f>SUMIFS('RULE 37,39,42&amp;43'!$N$6:$N$10000,'RULE 37,39,42&amp;43'!$A$6:$A$10000,$C$223:$N$223,'RULE 37,39,42&amp;43'!$L$6:$L$10000,$B$225:$B$248)</f>
        <v>-180</v>
      </c>
      <c r="E226" s="68">
        <f>SUMIFS('RULE 37,39,42&amp;43'!$N$6:$N$10000,'RULE 37,39,42&amp;43'!$A$6:$A$10000,$C$223:$N$223,'RULE 37,39,42&amp;43'!$L$6:$L$10000,$B$225:$B$248)</f>
        <v>-180</v>
      </c>
      <c r="F226" s="68">
        <f>SUMIFS('RULE 37,39,42&amp;43'!$N$6:$N$10000,'RULE 37,39,42&amp;43'!$A$6:$A$10000,$C$223:$N$223,'RULE 37,39,42&amp;43'!$L$6:$L$10000,$B$225:$B$248)</f>
        <v>-180</v>
      </c>
      <c r="G226" s="68">
        <f>SUMIFS('RULE 37,39,42&amp;43'!$N$6:$N$10000,'RULE 37,39,42&amp;43'!$A$6:$A$10000,$C$223:$N$223,'RULE 37,39,42&amp;43'!$L$6:$L$10000,$B$225:$B$248)</f>
        <v>-180</v>
      </c>
      <c r="H226" s="68">
        <f>SUMIFS('RULE 37,39,42&amp;43'!$N$6:$N$10000,'RULE 37,39,42&amp;43'!$A$6:$A$10000,$C$223:$N$223,'RULE 37,39,42&amp;43'!$L$6:$L$10000,$B$225:$B$248)</f>
        <v>-180</v>
      </c>
      <c r="I226" s="68">
        <f>SUMIFS('RULE 37,39,42&amp;43'!$N$6:$N$10000,'RULE 37,39,42&amp;43'!$A$6:$A$10000,$C$223:$N$223,'RULE 37,39,42&amp;43'!$L$6:$L$10000,$B$225:$B$248)</f>
        <v>-180</v>
      </c>
      <c r="J226" s="68">
        <f>SUMIFS('RULE 37,39,42&amp;43'!$N$6:$N$10000,'RULE 37,39,42&amp;43'!$A$6:$A$10000,$C$223:$N$223,'RULE 37,39,42&amp;43'!$L$6:$L$10000,$B$225:$B$248)</f>
        <v>-180</v>
      </c>
      <c r="K226" s="68">
        <f>SUMIFS('RULE 37,39,42&amp;43'!$N$6:$N$10000,'RULE 37,39,42&amp;43'!$A$6:$A$10000,$C$223:$N$223,'RULE 37,39,42&amp;43'!$L$6:$L$10000,$B$225:$B$248)</f>
        <v>-180</v>
      </c>
      <c r="L226" s="68">
        <f>SUMIFS('RULE 37,39,42&amp;43'!$N$6:$N$10000,'RULE 37,39,42&amp;43'!$A$6:$A$10000,$C$223:$N$223,'RULE 37,39,42&amp;43'!$L$6:$L$10000,$B$225:$B$248)</f>
        <v>0</v>
      </c>
      <c r="M226" s="68">
        <f>SUMIFS('RULE 37,39,42&amp;43'!$N$6:$N$10000,'RULE 37,39,42&amp;43'!$A$6:$A$10000,$C$223:$N$223,'RULE 37,39,42&amp;43'!$L$6:$L$10000,$B$225:$B$248)</f>
        <v>0</v>
      </c>
      <c r="N226" s="68">
        <f>SUMIFS('RULE 37,39,42&amp;43'!$N$6:$N$10000,'RULE 37,39,42&amp;43'!$A$6:$A$10000,$C$223:$N$223,'RULE 37,39,42&amp;43'!$L$6:$L$10000,$B$225:$B$248)</f>
        <v>0</v>
      </c>
      <c r="O226" s="71">
        <f t="shared" si="30"/>
        <v>-1620</v>
      </c>
    </row>
    <row r="227" spans="1:15" x14ac:dyDescent="0.2">
      <c r="A227" s="34" t="s">
        <v>283</v>
      </c>
      <c r="B227" s="34" t="s">
        <v>417</v>
      </c>
      <c r="C227" s="68">
        <f>SUMIFS('RULE 37,39,42&amp;43'!$O$6:$O$10000,'RULE 37,39,42&amp;43'!$A$6:$A$10000,$C$223:$N$223,'RULE 37,39,42&amp;43'!$L$6:$L$10000,$B$225:$B$248)</f>
        <v>0</v>
      </c>
      <c r="D227" s="68">
        <f>SUMIFS('RULE 37,39,42&amp;43'!$O$6:$O$10000,'RULE 37,39,42&amp;43'!$A$6:$A$10000,$C$223:$N$223,'RULE 37,39,42&amp;43'!$L$6:$L$10000,$B$225:$B$248)</f>
        <v>0</v>
      </c>
      <c r="E227" s="68">
        <f>SUMIFS('RULE 37,39,42&amp;43'!$O$6:$O$10000,'RULE 37,39,42&amp;43'!$A$6:$A$10000,$C$223:$N$223,'RULE 37,39,42&amp;43'!$L$6:$L$10000,$B$225:$B$248)</f>
        <v>0</v>
      </c>
      <c r="F227" s="68">
        <f>SUMIFS('RULE 37,39,42&amp;43'!$O$6:$O$10000,'RULE 37,39,42&amp;43'!$A$6:$A$10000,$C$223:$N$223,'RULE 37,39,42&amp;43'!$L$6:$L$10000,$B$225:$B$248)</f>
        <v>0</v>
      </c>
      <c r="G227" s="68">
        <f>SUMIFS('RULE 37,39,42&amp;43'!$O$6:$O$10000,'RULE 37,39,42&amp;43'!$A$6:$A$10000,$C$223:$N$223,'RULE 37,39,42&amp;43'!$L$6:$L$10000,$B$225:$B$248)</f>
        <v>0</v>
      </c>
      <c r="H227" s="68">
        <f>SUMIFS('RULE 37,39,42&amp;43'!$O$6:$O$10000,'RULE 37,39,42&amp;43'!$A$6:$A$10000,$C$223:$N$223,'RULE 37,39,42&amp;43'!$L$6:$L$10000,$B$225:$B$248)</f>
        <v>0</v>
      </c>
      <c r="I227" s="68">
        <f>SUMIFS('RULE 37,39,42&amp;43'!$O$6:$O$10000,'RULE 37,39,42&amp;43'!$A$6:$A$10000,$C$223:$N$223,'RULE 37,39,42&amp;43'!$L$6:$L$10000,$B$225:$B$248)</f>
        <v>0</v>
      </c>
      <c r="J227" s="68">
        <f>SUMIFS('RULE 37,39,42&amp;43'!$O$6:$O$10000,'RULE 37,39,42&amp;43'!$A$6:$A$10000,$C$223:$N$223,'RULE 37,39,42&amp;43'!$L$6:$L$10000,$B$225:$B$248)</f>
        <v>0</v>
      </c>
      <c r="K227" s="68">
        <f>SUMIFS('RULE 37,39,42&amp;43'!$O$6:$O$10000,'RULE 37,39,42&amp;43'!$A$6:$A$10000,$C$223:$N$223,'RULE 37,39,42&amp;43'!$L$6:$L$10000,$B$225:$B$248)</f>
        <v>0</v>
      </c>
      <c r="L227" s="68">
        <f>SUMIFS('RULE 37,39,42&amp;43'!$O$6:$O$10000,'RULE 37,39,42&amp;43'!$A$6:$A$10000,$C$223:$N$223,'RULE 37,39,42&amp;43'!$L$6:$L$10000,$B$225:$B$248)</f>
        <v>0</v>
      </c>
      <c r="M227" s="68">
        <f>SUMIFS('RULE 37,39,42&amp;43'!$O$6:$O$10000,'RULE 37,39,42&amp;43'!$A$6:$A$10000,$C$223:$N$223,'RULE 37,39,42&amp;43'!$L$6:$L$10000,$B$225:$B$248)</f>
        <v>0</v>
      </c>
      <c r="N227" s="68">
        <f>SUMIFS('RULE 37,39,42&amp;43'!$O$6:$O$10000,'RULE 37,39,42&amp;43'!$A$6:$A$10000,$C$223:$N$223,'RULE 37,39,42&amp;43'!$L$6:$L$10000,$B$225:$B$248)</f>
        <v>0</v>
      </c>
      <c r="O227" s="71">
        <f t="shared" si="30"/>
        <v>0</v>
      </c>
    </row>
    <row r="228" spans="1:15" x14ac:dyDescent="0.2">
      <c r="A228" s="34" t="s">
        <v>284</v>
      </c>
      <c r="B228" s="34" t="s">
        <v>417</v>
      </c>
      <c r="C228" s="68">
        <f>SUMIFS('RULE 37,39,42&amp;43'!$P$6:$P$10000,'RULE 37,39,42&amp;43'!$A$6:$A$10000,$C$223:$N$223,'RULE 37,39,42&amp;43'!$L$6:$L$10000,$B$225:$B$248)</f>
        <v>-16.2</v>
      </c>
      <c r="D228" s="68">
        <f>SUMIFS('RULE 37,39,42&amp;43'!$P$6:$P$10000,'RULE 37,39,42&amp;43'!$A$6:$A$10000,$C$223:$N$223,'RULE 37,39,42&amp;43'!$L$6:$L$10000,$B$225:$B$248)</f>
        <v>-16.2</v>
      </c>
      <c r="E228" s="68">
        <f>SUMIFS('RULE 37,39,42&amp;43'!$P$6:$P$10000,'RULE 37,39,42&amp;43'!$A$6:$A$10000,$C$223:$N$223,'RULE 37,39,42&amp;43'!$L$6:$L$10000,$B$225:$B$248)</f>
        <v>-16.2</v>
      </c>
      <c r="F228" s="68">
        <f>SUMIFS('RULE 37,39,42&amp;43'!$P$6:$P$10000,'RULE 37,39,42&amp;43'!$A$6:$A$10000,$C$223:$N$223,'RULE 37,39,42&amp;43'!$L$6:$L$10000,$B$225:$B$248)</f>
        <v>-16.2</v>
      </c>
      <c r="G228" s="68">
        <f>SUMIFS('RULE 37,39,42&amp;43'!$P$6:$P$10000,'RULE 37,39,42&amp;43'!$A$6:$A$10000,$C$223:$N$223,'RULE 37,39,42&amp;43'!$L$6:$L$10000,$B$225:$B$248)</f>
        <v>-16.2</v>
      </c>
      <c r="H228" s="68">
        <f>SUMIFS('RULE 37,39,42&amp;43'!$P$6:$P$10000,'RULE 37,39,42&amp;43'!$A$6:$A$10000,$C$223:$N$223,'RULE 37,39,42&amp;43'!$L$6:$L$10000,$B$225:$B$248)</f>
        <v>-16.2</v>
      </c>
      <c r="I228" s="68">
        <f>SUMIFS('RULE 37,39,42&amp;43'!$P$6:$P$10000,'RULE 37,39,42&amp;43'!$A$6:$A$10000,$C$223:$N$223,'RULE 37,39,42&amp;43'!$L$6:$L$10000,$B$225:$B$248)</f>
        <v>-16.2</v>
      </c>
      <c r="J228" s="68">
        <f>SUMIFS('RULE 37,39,42&amp;43'!$P$6:$P$10000,'RULE 37,39,42&amp;43'!$A$6:$A$10000,$C$223:$N$223,'RULE 37,39,42&amp;43'!$L$6:$L$10000,$B$225:$B$248)</f>
        <v>-16.2</v>
      </c>
      <c r="K228" s="68">
        <f>SUMIFS('RULE 37,39,42&amp;43'!$P$6:$P$10000,'RULE 37,39,42&amp;43'!$A$6:$A$10000,$C$223:$N$223,'RULE 37,39,42&amp;43'!$L$6:$L$10000,$B$225:$B$248)</f>
        <v>-16.2</v>
      </c>
      <c r="L228" s="68">
        <f>SUMIFS('RULE 37,39,42&amp;43'!$P$6:$P$10000,'RULE 37,39,42&amp;43'!$A$6:$A$10000,$C$223:$N$223,'RULE 37,39,42&amp;43'!$L$6:$L$10000,$B$225:$B$248)</f>
        <v>0</v>
      </c>
      <c r="M228" s="68">
        <f>SUMIFS('RULE 37,39,42&amp;43'!$P$6:$P$10000,'RULE 37,39,42&amp;43'!$A$6:$A$10000,$C$223:$N$223,'RULE 37,39,42&amp;43'!$L$6:$L$10000,$B$225:$B$248)</f>
        <v>0</v>
      </c>
      <c r="N228" s="68">
        <f>SUMIFS('RULE 37,39,42&amp;43'!$P$6:$P$10000,'RULE 37,39,42&amp;43'!$A$6:$A$10000,$C$223:$N$223,'RULE 37,39,42&amp;43'!$L$6:$L$10000,$B$225:$B$248)</f>
        <v>0</v>
      </c>
      <c r="O228" s="71">
        <f t="shared" si="30"/>
        <v>-145.79999999999998</v>
      </c>
    </row>
    <row r="229" spans="1:15" x14ac:dyDescent="0.2">
      <c r="A229" s="34" t="s">
        <v>285</v>
      </c>
      <c r="B229" s="34" t="s">
        <v>417</v>
      </c>
      <c r="C229" s="68">
        <f>SUMIFS('RULE 37,39,42&amp;43'!$Q$6:$Q$10000,'RULE 37,39,42&amp;43'!$A$6:$A$10000,$C$223:$N$223,'RULE 37,39,42&amp;43'!$L$6:$L$10000,$B$225:$B$248)</f>
        <v>-16.2</v>
      </c>
      <c r="D229" s="68">
        <f>SUMIFS('RULE 37,39,42&amp;43'!$Q$6:$Q$10000,'RULE 37,39,42&amp;43'!$A$6:$A$10000,$C$223:$N$223,'RULE 37,39,42&amp;43'!$L$6:$L$10000,$B$225:$B$248)</f>
        <v>-16.2</v>
      </c>
      <c r="E229" s="68">
        <f>SUMIFS('RULE 37,39,42&amp;43'!$Q$6:$Q$10000,'RULE 37,39,42&amp;43'!$A$6:$A$10000,$C$223:$N$223,'RULE 37,39,42&amp;43'!$L$6:$L$10000,$B$225:$B$248)</f>
        <v>-16.2</v>
      </c>
      <c r="F229" s="68">
        <f>SUMIFS('RULE 37,39,42&amp;43'!$Q$6:$Q$10000,'RULE 37,39,42&amp;43'!$A$6:$A$10000,$C$223:$N$223,'RULE 37,39,42&amp;43'!$L$6:$L$10000,$B$225:$B$248)</f>
        <v>-16.2</v>
      </c>
      <c r="G229" s="68">
        <f>SUMIFS('RULE 37,39,42&amp;43'!$Q$6:$Q$10000,'RULE 37,39,42&amp;43'!$A$6:$A$10000,$C$223:$N$223,'RULE 37,39,42&amp;43'!$L$6:$L$10000,$B$225:$B$248)</f>
        <v>-16.2</v>
      </c>
      <c r="H229" s="68">
        <f>SUMIFS('RULE 37,39,42&amp;43'!$Q$6:$Q$10000,'RULE 37,39,42&amp;43'!$A$6:$A$10000,$C$223:$N$223,'RULE 37,39,42&amp;43'!$L$6:$L$10000,$B$225:$B$248)</f>
        <v>-16.2</v>
      </c>
      <c r="I229" s="68">
        <f>SUMIFS('RULE 37,39,42&amp;43'!$Q$6:$Q$10000,'RULE 37,39,42&amp;43'!$A$6:$A$10000,$C$223:$N$223,'RULE 37,39,42&amp;43'!$L$6:$L$10000,$B$225:$B$248)</f>
        <v>-16.2</v>
      </c>
      <c r="J229" s="68">
        <f>SUMIFS('RULE 37,39,42&amp;43'!$Q$6:$Q$10000,'RULE 37,39,42&amp;43'!$A$6:$A$10000,$C$223:$N$223,'RULE 37,39,42&amp;43'!$L$6:$L$10000,$B$225:$B$248)</f>
        <v>-16.2</v>
      </c>
      <c r="K229" s="68">
        <f>SUMIFS('RULE 37,39,42&amp;43'!$Q$6:$Q$10000,'RULE 37,39,42&amp;43'!$A$6:$A$10000,$C$223:$N$223,'RULE 37,39,42&amp;43'!$L$6:$L$10000,$B$225:$B$248)</f>
        <v>-16.2</v>
      </c>
      <c r="L229" s="68">
        <f>SUMIFS('RULE 37,39,42&amp;43'!$Q$6:$Q$10000,'RULE 37,39,42&amp;43'!$A$6:$A$10000,$C$223:$N$223,'RULE 37,39,42&amp;43'!$L$6:$L$10000,$B$225:$B$248)</f>
        <v>0</v>
      </c>
      <c r="M229" s="68">
        <f>SUMIFS('RULE 37,39,42&amp;43'!$Q$6:$Q$10000,'RULE 37,39,42&amp;43'!$A$6:$A$10000,$C$223:$N$223,'RULE 37,39,42&amp;43'!$L$6:$L$10000,$B$225:$B$248)</f>
        <v>0</v>
      </c>
      <c r="N229" s="68">
        <f>SUMIFS('RULE 37,39,42&amp;43'!$Q$6:$Q$10000,'RULE 37,39,42&amp;43'!$A$6:$A$10000,$C$223:$N$223,'RULE 37,39,42&amp;43'!$L$6:$L$10000,$B$225:$B$248)</f>
        <v>0</v>
      </c>
      <c r="O229" s="71">
        <f t="shared" si="30"/>
        <v>-145.79999999999998</v>
      </c>
    </row>
    <row r="230" spans="1:15" x14ac:dyDescent="0.2">
      <c r="A230" s="34" t="s">
        <v>286</v>
      </c>
      <c r="B230" s="34" t="s">
        <v>417</v>
      </c>
      <c r="C230" s="68">
        <f>SUMIFS('RULE 37,39,42&amp;43'!$R$6:$R$10000,'RULE 37,39,42&amp;43'!$A$6:$A$10000,$C$223:$N$223,'RULE 37,39,42&amp;43'!$L$6:$L$10000,$B$225:$B$248)</f>
        <v>0</v>
      </c>
      <c r="D230" s="68">
        <f>SUMIFS('RULE 37,39,42&amp;43'!$R$6:$R$10000,'RULE 37,39,42&amp;43'!$A$6:$A$10000,$C$223:$N$223,'RULE 37,39,42&amp;43'!$L$6:$L$10000,$B$225:$B$248)</f>
        <v>0</v>
      </c>
      <c r="E230" s="68">
        <f>SUMIFS('RULE 37,39,42&amp;43'!$R$6:$R$10000,'RULE 37,39,42&amp;43'!$A$6:$A$10000,$C$223:$N$223,'RULE 37,39,42&amp;43'!$L$6:$L$10000,$B$225:$B$248)</f>
        <v>0</v>
      </c>
      <c r="F230" s="68">
        <f>SUMIFS('RULE 37,39,42&amp;43'!$R$6:$R$10000,'RULE 37,39,42&amp;43'!$A$6:$A$10000,$C$223:$N$223,'RULE 37,39,42&amp;43'!$L$6:$L$10000,$B$225:$B$248)</f>
        <v>0</v>
      </c>
      <c r="G230" s="68">
        <f>SUMIFS('RULE 37,39,42&amp;43'!$R$6:$R$10000,'RULE 37,39,42&amp;43'!$A$6:$A$10000,$C$223:$N$223,'RULE 37,39,42&amp;43'!$L$6:$L$10000,$B$225:$B$248)</f>
        <v>0</v>
      </c>
      <c r="H230" s="68">
        <f>SUMIFS('RULE 37,39,42&amp;43'!$R$6:$R$10000,'RULE 37,39,42&amp;43'!$A$6:$A$10000,$C$223:$N$223,'RULE 37,39,42&amp;43'!$L$6:$L$10000,$B$225:$B$248)</f>
        <v>0</v>
      </c>
      <c r="I230" s="68">
        <f>SUMIFS('RULE 37,39,42&amp;43'!$R$6:$R$10000,'RULE 37,39,42&amp;43'!$A$6:$A$10000,$C$223:$N$223,'RULE 37,39,42&amp;43'!$L$6:$L$10000,$B$225:$B$248)</f>
        <v>0</v>
      </c>
      <c r="J230" s="68">
        <f>SUMIFS('RULE 37,39,42&amp;43'!$R$6:$R$10000,'RULE 37,39,42&amp;43'!$A$6:$A$10000,$C$223:$N$223,'RULE 37,39,42&amp;43'!$L$6:$L$10000,$B$225:$B$248)</f>
        <v>0</v>
      </c>
      <c r="K230" s="68">
        <f>SUMIFS('RULE 37,39,42&amp;43'!$R$6:$R$10000,'RULE 37,39,42&amp;43'!$A$6:$A$10000,$C$223:$N$223,'RULE 37,39,42&amp;43'!$L$6:$L$10000,$B$225:$B$248)</f>
        <v>0</v>
      </c>
      <c r="L230" s="68">
        <f>SUMIFS('RULE 37,39,42&amp;43'!$R$6:$R$10000,'RULE 37,39,42&amp;43'!$A$6:$A$10000,$C$223:$N$223,'RULE 37,39,42&amp;43'!$L$6:$L$10000,$B$225:$B$248)</f>
        <v>0</v>
      </c>
      <c r="M230" s="68">
        <f>SUMIFS('RULE 37,39,42&amp;43'!$R$6:$R$10000,'RULE 37,39,42&amp;43'!$A$6:$A$10000,$C$223:$N$223,'RULE 37,39,42&amp;43'!$L$6:$L$10000,$B$225:$B$248)</f>
        <v>0</v>
      </c>
      <c r="N230" s="68">
        <f>SUMIFS('RULE 37,39,42&amp;43'!$R$6:$R$10000,'RULE 37,39,42&amp;43'!$A$6:$A$10000,$C$223:$N$223,'RULE 37,39,42&amp;43'!$L$6:$L$10000,$B$225:$B$248)</f>
        <v>0</v>
      </c>
      <c r="O230" s="71">
        <f t="shared" si="30"/>
        <v>0</v>
      </c>
    </row>
    <row r="231" spans="1:15" x14ac:dyDescent="0.2">
      <c r="A231" s="1006" t="s">
        <v>418</v>
      </c>
      <c r="B231" s="1007"/>
      <c r="C231" s="1007"/>
      <c r="D231" s="1007"/>
      <c r="E231" s="1007"/>
      <c r="F231" s="1007"/>
      <c r="G231" s="1007"/>
      <c r="H231" s="1007"/>
      <c r="I231" s="1007"/>
      <c r="J231" s="1007"/>
      <c r="K231" s="1007"/>
      <c r="L231" s="1007"/>
      <c r="M231" s="1007"/>
      <c r="N231" s="1007"/>
      <c r="O231" s="1008"/>
    </row>
    <row r="232" spans="1:15" x14ac:dyDescent="0.2">
      <c r="A232" s="66" t="s">
        <v>279</v>
      </c>
      <c r="B232" s="66"/>
      <c r="C232" s="98">
        <v>43556</v>
      </c>
      <c r="D232" s="98">
        <v>43586</v>
      </c>
      <c r="E232" s="98">
        <v>43617</v>
      </c>
      <c r="F232" s="98">
        <v>43647</v>
      </c>
      <c r="G232" s="98">
        <v>43678</v>
      </c>
      <c r="H232" s="98">
        <v>43709</v>
      </c>
      <c r="I232" s="98">
        <v>43739</v>
      </c>
      <c r="J232" s="98">
        <v>43770</v>
      </c>
      <c r="K232" s="98">
        <v>43800</v>
      </c>
      <c r="L232" s="98">
        <v>43831</v>
      </c>
      <c r="M232" s="98">
        <v>43862</v>
      </c>
      <c r="N232" s="98">
        <v>43891</v>
      </c>
      <c r="O232" s="66" t="s">
        <v>347</v>
      </c>
    </row>
    <row r="233" spans="1:15" x14ac:dyDescent="0.2">
      <c r="A233" s="34" t="s">
        <v>280</v>
      </c>
      <c r="B233" s="34"/>
      <c r="C233" s="34"/>
      <c r="D233" s="34"/>
      <c r="E233" s="34"/>
      <c r="F233" s="34"/>
      <c r="G233" s="34"/>
      <c r="H233" s="34"/>
      <c r="I233" s="34"/>
      <c r="J233" s="34"/>
      <c r="K233" s="34"/>
      <c r="L233" s="34"/>
      <c r="M233" s="34"/>
      <c r="N233" s="34"/>
      <c r="O233" s="71">
        <f t="shared" si="30"/>
        <v>0</v>
      </c>
    </row>
    <row r="234" spans="1:15" x14ac:dyDescent="0.2">
      <c r="A234" s="34" t="s">
        <v>281</v>
      </c>
      <c r="B234" s="34" t="s">
        <v>418</v>
      </c>
      <c r="C234" s="68">
        <f t="shared" ref="C234:N234" si="38">+C235+C236+C237+C238+C239</f>
        <v>0</v>
      </c>
      <c r="D234" s="68">
        <f t="shared" si="38"/>
        <v>0</v>
      </c>
      <c r="E234" s="68">
        <f t="shared" si="38"/>
        <v>0</v>
      </c>
      <c r="F234" s="68">
        <f t="shared" si="38"/>
        <v>0</v>
      </c>
      <c r="G234" s="68">
        <f t="shared" si="38"/>
        <v>0</v>
      </c>
      <c r="H234" s="68">
        <f t="shared" si="38"/>
        <v>0</v>
      </c>
      <c r="I234" s="68">
        <f t="shared" si="38"/>
        <v>0</v>
      </c>
      <c r="J234" s="68">
        <f t="shared" si="38"/>
        <v>0</v>
      </c>
      <c r="K234" s="68">
        <f t="shared" si="38"/>
        <v>0</v>
      </c>
      <c r="L234" s="68">
        <f t="shared" si="38"/>
        <v>0</v>
      </c>
      <c r="M234" s="68">
        <f t="shared" si="38"/>
        <v>0</v>
      </c>
      <c r="N234" s="68">
        <f t="shared" si="38"/>
        <v>0</v>
      </c>
      <c r="O234" s="71">
        <f t="shared" si="30"/>
        <v>0</v>
      </c>
    </row>
    <row r="235" spans="1:15" x14ac:dyDescent="0.2">
      <c r="A235" s="34" t="s">
        <v>282</v>
      </c>
      <c r="B235" s="34" t="s">
        <v>418</v>
      </c>
      <c r="C235" s="68">
        <f>SUMIFS('RULE 37,39,42&amp;43'!$N$6:$N$10000,'RULE 37,39,42&amp;43'!$A$6:$A$10000,$C$223:$N$223,'RULE 37,39,42&amp;43'!$L$6:$L$10000,$B$225:$B$248)</f>
        <v>0</v>
      </c>
      <c r="D235" s="68">
        <f>SUMIFS('RULE 37,39,42&amp;43'!$N$6:$N$10000,'RULE 37,39,42&amp;43'!$A$6:$A$10000,$C$223:$N$223,'RULE 37,39,42&amp;43'!$L$6:$L$10000,$B$225:$B$248)</f>
        <v>0</v>
      </c>
      <c r="E235" s="68">
        <f>SUMIFS('RULE 37,39,42&amp;43'!$N$6:$N$10000,'RULE 37,39,42&amp;43'!$A$6:$A$10000,$C$223:$N$223,'RULE 37,39,42&amp;43'!$L$6:$L$10000,$B$225:$B$248)</f>
        <v>0</v>
      </c>
      <c r="F235" s="68">
        <f>SUMIFS('RULE 37,39,42&amp;43'!$N$6:$N$10000,'RULE 37,39,42&amp;43'!$A$6:$A$10000,$C$223:$N$223,'RULE 37,39,42&amp;43'!$L$6:$L$10000,$B$225:$B$248)</f>
        <v>0</v>
      </c>
      <c r="G235" s="68">
        <f>SUMIFS('RULE 37,39,42&amp;43'!$N$6:$N$10000,'RULE 37,39,42&amp;43'!$A$6:$A$10000,$C$223:$N$223,'RULE 37,39,42&amp;43'!$L$6:$L$10000,$B$225:$B$248)</f>
        <v>0</v>
      </c>
      <c r="H235" s="68">
        <f>SUMIFS('RULE 37,39,42&amp;43'!$N$6:$N$10000,'RULE 37,39,42&amp;43'!$A$6:$A$10000,$C$223:$N$223,'RULE 37,39,42&amp;43'!$L$6:$L$10000,$B$225:$B$248)</f>
        <v>0</v>
      </c>
      <c r="I235" s="68">
        <f>SUMIFS('RULE 37,39,42&amp;43'!$N$6:$N$10000,'RULE 37,39,42&amp;43'!$A$6:$A$10000,$C$223:$N$223,'RULE 37,39,42&amp;43'!$L$6:$L$10000,$B$225:$B$248)</f>
        <v>0</v>
      </c>
      <c r="J235" s="68">
        <f>SUMIFS('RULE 37,39,42&amp;43'!$N$6:$N$10000,'RULE 37,39,42&amp;43'!$A$6:$A$10000,$C$223:$N$223,'RULE 37,39,42&amp;43'!$L$6:$L$10000,$B$225:$B$248)</f>
        <v>0</v>
      </c>
      <c r="K235" s="68">
        <f>SUMIFS('RULE 37,39,42&amp;43'!$N$6:$N$10000,'RULE 37,39,42&amp;43'!$A$6:$A$10000,$C$223:$N$223,'RULE 37,39,42&amp;43'!$L$6:$L$10000,$B$225:$B$248)</f>
        <v>0</v>
      </c>
      <c r="L235" s="68">
        <f>SUMIFS('RULE 37,39,42&amp;43'!$N$6:$N$10000,'RULE 37,39,42&amp;43'!$A$6:$A$10000,$C$223:$N$223,'RULE 37,39,42&amp;43'!$L$6:$L$10000,$B$225:$B$248)</f>
        <v>0</v>
      </c>
      <c r="M235" s="68">
        <f>SUMIFS('RULE 37,39,42&amp;43'!$N$6:$N$10000,'RULE 37,39,42&amp;43'!$A$6:$A$10000,$C$223:$N$223,'RULE 37,39,42&amp;43'!$L$6:$L$10000,$B$225:$B$248)</f>
        <v>0</v>
      </c>
      <c r="N235" s="68">
        <f>SUMIFS('RULE 37,39,42&amp;43'!$N$6:$N$10000,'RULE 37,39,42&amp;43'!$A$6:$A$10000,$C$223:$N$223,'RULE 37,39,42&amp;43'!$L$6:$L$10000,$B$225:$B$248)</f>
        <v>0</v>
      </c>
      <c r="O235" s="71">
        <f t="shared" si="30"/>
        <v>0</v>
      </c>
    </row>
    <row r="236" spans="1:15" x14ac:dyDescent="0.2">
      <c r="A236" s="34" t="s">
        <v>283</v>
      </c>
      <c r="B236" s="34" t="s">
        <v>418</v>
      </c>
      <c r="C236" s="68">
        <f>SUMIFS('RULE 37,39,42&amp;43'!$O$6:$O$10000,'RULE 37,39,42&amp;43'!$A$6:$A$10000,$C$223:$N$223,'RULE 37,39,42&amp;43'!$L$6:$L$10000,$B$225:$B$248)</f>
        <v>0</v>
      </c>
      <c r="D236" s="68">
        <f>SUMIFS('RULE 37,39,42&amp;43'!$O$6:$O$10000,'RULE 37,39,42&amp;43'!$A$6:$A$10000,$C$223:$N$223,'RULE 37,39,42&amp;43'!$L$6:$L$10000,$B$225:$B$248)</f>
        <v>0</v>
      </c>
      <c r="E236" s="68">
        <f>SUMIFS('RULE 37,39,42&amp;43'!$O$6:$O$10000,'RULE 37,39,42&amp;43'!$A$6:$A$10000,$C$223:$N$223,'RULE 37,39,42&amp;43'!$L$6:$L$10000,$B$225:$B$248)</f>
        <v>0</v>
      </c>
      <c r="F236" s="68">
        <f>SUMIFS('RULE 37,39,42&amp;43'!$O$6:$O$10000,'RULE 37,39,42&amp;43'!$A$6:$A$10000,$C$223:$N$223,'RULE 37,39,42&amp;43'!$L$6:$L$10000,$B$225:$B$248)</f>
        <v>0</v>
      </c>
      <c r="G236" s="68">
        <f>SUMIFS('RULE 37,39,42&amp;43'!$O$6:$O$10000,'RULE 37,39,42&amp;43'!$A$6:$A$10000,$C$223:$N$223,'RULE 37,39,42&amp;43'!$L$6:$L$10000,$B$225:$B$248)</f>
        <v>0</v>
      </c>
      <c r="H236" s="68">
        <f>SUMIFS('RULE 37,39,42&amp;43'!$O$6:$O$10000,'RULE 37,39,42&amp;43'!$A$6:$A$10000,$C$223:$N$223,'RULE 37,39,42&amp;43'!$L$6:$L$10000,$B$225:$B$248)</f>
        <v>0</v>
      </c>
      <c r="I236" s="68">
        <f>SUMIFS('RULE 37,39,42&amp;43'!$O$6:$O$10000,'RULE 37,39,42&amp;43'!$A$6:$A$10000,$C$223:$N$223,'RULE 37,39,42&amp;43'!$L$6:$L$10000,$B$225:$B$248)</f>
        <v>0</v>
      </c>
      <c r="J236" s="68">
        <f>SUMIFS('RULE 37,39,42&amp;43'!$O$6:$O$10000,'RULE 37,39,42&amp;43'!$A$6:$A$10000,$C$223:$N$223,'RULE 37,39,42&amp;43'!$L$6:$L$10000,$B$225:$B$248)</f>
        <v>0</v>
      </c>
      <c r="K236" s="68">
        <f>SUMIFS('RULE 37,39,42&amp;43'!$O$6:$O$10000,'RULE 37,39,42&amp;43'!$A$6:$A$10000,$C$223:$N$223,'RULE 37,39,42&amp;43'!$L$6:$L$10000,$B$225:$B$248)</f>
        <v>0</v>
      </c>
      <c r="L236" s="68">
        <f>SUMIFS('RULE 37,39,42&amp;43'!$O$6:$O$10000,'RULE 37,39,42&amp;43'!$A$6:$A$10000,$C$223:$N$223,'RULE 37,39,42&amp;43'!$L$6:$L$10000,$B$225:$B$248)</f>
        <v>0</v>
      </c>
      <c r="M236" s="68">
        <f>SUMIFS('RULE 37,39,42&amp;43'!$O$6:$O$10000,'RULE 37,39,42&amp;43'!$A$6:$A$10000,$C$223:$N$223,'RULE 37,39,42&amp;43'!$L$6:$L$10000,$B$225:$B$248)</f>
        <v>0</v>
      </c>
      <c r="N236" s="68">
        <f>SUMIFS('RULE 37,39,42&amp;43'!$O$6:$O$10000,'RULE 37,39,42&amp;43'!$A$6:$A$10000,$C$223:$N$223,'RULE 37,39,42&amp;43'!$L$6:$L$10000,$B$225:$B$248)</f>
        <v>0</v>
      </c>
      <c r="O236" s="71">
        <f t="shared" si="30"/>
        <v>0</v>
      </c>
    </row>
    <row r="237" spans="1:15" x14ac:dyDescent="0.2">
      <c r="A237" s="34" t="s">
        <v>284</v>
      </c>
      <c r="B237" s="34" t="s">
        <v>418</v>
      </c>
      <c r="C237" s="68">
        <f>SUMIFS('RULE 37,39,42&amp;43'!$P$6:$P$10000,'RULE 37,39,42&amp;43'!$A$6:$A$10000,$C$223:$N$223,'RULE 37,39,42&amp;43'!$L$6:$L$10000,$B$225:$B$248)</f>
        <v>0</v>
      </c>
      <c r="D237" s="68">
        <f>SUMIFS('RULE 37,39,42&amp;43'!$P$6:$P$10000,'RULE 37,39,42&amp;43'!$A$6:$A$10000,$C$223:$N$223,'RULE 37,39,42&amp;43'!$L$6:$L$10000,$B$225:$B$248)</f>
        <v>0</v>
      </c>
      <c r="E237" s="68">
        <f>SUMIFS('RULE 37,39,42&amp;43'!$P$6:$P$10000,'RULE 37,39,42&amp;43'!$A$6:$A$10000,$C$223:$N$223,'RULE 37,39,42&amp;43'!$L$6:$L$10000,$B$225:$B$248)</f>
        <v>0</v>
      </c>
      <c r="F237" s="68">
        <f>SUMIFS('RULE 37,39,42&amp;43'!$P$6:$P$10000,'RULE 37,39,42&amp;43'!$A$6:$A$10000,$C$223:$N$223,'RULE 37,39,42&amp;43'!$L$6:$L$10000,$B$225:$B$248)</f>
        <v>0</v>
      </c>
      <c r="G237" s="68">
        <f>SUMIFS('RULE 37,39,42&amp;43'!$P$6:$P$10000,'RULE 37,39,42&amp;43'!$A$6:$A$10000,$C$223:$N$223,'RULE 37,39,42&amp;43'!$L$6:$L$10000,$B$225:$B$248)</f>
        <v>0</v>
      </c>
      <c r="H237" s="68">
        <f>SUMIFS('RULE 37,39,42&amp;43'!$P$6:$P$10000,'RULE 37,39,42&amp;43'!$A$6:$A$10000,$C$223:$N$223,'RULE 37,39,42&amp;43'!$L$6:$L$10000,$B$225:$B$248)</f>
        <v>0</v>
      </c>
      <c r="I237" s="68">
        <f>SUMIFS('RULE 37,39,42&amp;43'!$P$6:$P$10000,'RULE 37,39,42&amp;43'!$A$6:$A$10000,$C$223:$N$223,'RULE 37,39,42&amp;43'!$L$6:$L$10000,$B$225:$B$248)</f>
        <v>0</v>
      </c>
      <c r="J237" s="68">
        <f>SUMIFS('RULE 37,39,42&amp;43'!$P$6:$P$10000,'RULE 37,39,42&amp;43'!$A$6:$A$10000,$C$223:$N$223,'RULE 37,39,42&amp;43'!$L$6:$L$10000,$B$225:$B$248)</f>
        <v>0</v>
      </c>
      <c r="K237" s="68">
        <f>SUMIFS('RULE 37,39,42&amp;43'!$P$6:$P$10000,'RULE 37,39,42&amp;43'!$A$6:$A$10000,$C$223:$N$223,'RULE 37,39,42&amp;43'!$L$6:$L$10000,$B$225:$B$248)</f>
        <v>0</v>
      </c>
      <c r="L237" s="68">
        <f>SUMIFS('RULE 37,39,42&amp;43'!$P$6:$P$10000,'RULE 37,39,42&amp;43'!$A$6:$A$10000,$C$223:$N$223,'RULE 37,39,42&amp;43'!$L$6:$L$10000,$B$225:$B$248)</f>
        <v>0</v>
      </c>
      <c r="M237" s="68">
        <f>SUMIFS('RULE 37,39,42&amp;43'!$P$6:$P$10000,'RULE 37,39,42&amp;43'!$A$6:$A$10000,$C$223:$N$223,'RULE 37,39,42&amp;43'!$L$6:$L$10000,$B$225:$B$248)</f>
        <v>0</v>
      </c>
      <c r="N237" s="68">
        <f>SUMIFS('RULE 37,39,42&amp;43'!$P$6:$P$10000,'RULE 37,39,42&amp;43'!$A$6:$A$10000,$C$223:$N$223,'RULE 37,39,42&amp;43'!$L$6:$L$10000,$B$225:$B$248)</f>
        <v>0</v>
      </c>
      <c r="O237" s="71">
        <f t="shared" si="30"/>
        <v>0</v>
      </c>
    </row>
    <row r="238" spans="1:15" x14ac:dyDescent="0.2">
      <c r="A238" s="34" t="s">
        <v>285</v>
      </c>
      <c r="B238" s="34" t="s">
        <v>418</v>
      </c>
      <c r="C238" s="68">
        <f>SUMIFS('RULE 37,39,42&amp;43'!$Q$6:$Q$10000,'RULE 37,39,42&amp;43'!$A$6:$A$10000,$C$223:$N$223,'RULE 37,39,42&amp;43'!$L$6:$L$10000,$B$225:$B$248)</f>
        <v>0</v>
      </c>
      <c r="D238" s="68">
        <f>SUMIFS('RULE 37,39,42&amp;43'!$Q$6:$Q$10000,'RULE 37,39,42&amp;43'!$A$6:$A$10000,$C$223:$N$223,'RULE 37,39,42&amp;43'!$L$6:$L$10000,$B$225:$B$248)</f>
        <v>0</v>
      </c>
      <c r="E238" s="68">
        <f>SUMIFS('RULE 37,39,42&amp;43'!$Q$6:$Q$10000,'RULE 37,39,42&amp;43'!$A$6:$A$10000,$C$223:$N$223,'RULE 37,39,42&amp;43'!$L$6:$L$10000,$B$225:$B$248)</f>
        <v>0</v>
      </c>
      <c r="F238" s="68">
        <f>SUMIFS('RULE 37,39,42&amp;43'!$Q$6:$Q$10000,'RULE 37,39,42&amp;43'!$A$6:$A$10000,$C$223:$N$223,'RULE 37,39,42&amp;43'!$L$6:$L$10000,$B$225:$B$248)</f>
        <v>0</v>
      </c>
      <c r="G238" s="68">
        <f>SUMIFS('RULE 37,39,42&amp;43'!$Q$6:$Q$10000,'RULE 37,39,42&amp;43'!$A$6:$A$10000,$C$223:$N$223,'RULE 37,39,42&amp;43'!$L$6:$L$10000,$B$225:$B$248)</f>
        <v>0</v>
      </c>
      <c r="H238" s="68">
        <f>SUMIFS('RULE 37,39,42&amp;43'!$Q$6:$Q$10000,'RULE 37,39,42&amp;43'!$A$6:$A$10000,$C$223:$N$223,'RULE 37,39,42&amp;43'!$L$6:$L$10000,$B$225:$B$248)</f>
        <v>0</v>
      </c>
      <c r="I238" s="68">
        <f>SUMIFS('RULE 37,39,42&amp;43'!$Q$6:$Q$10000,'RULE 37,39,42&amp;43'!$A$6:$A$10000,$C$223:$N$223,'RULE 37,39,42&amp;43'!$L$6:$L$10000,$B$225:$B$248)</f>
        <v>0</v>
      </c>
      <c r="J238" s="68">
        <f>SUMIFS('RULE 37,39,42&amp;43'!$Q$6:$Q$10000,'RULE 37,39,42&amp;43'!$A$6:$A$10000,$C$223:$N$223,'RULE 37,39,42&amp;43'!$L$6:$L$10000,$B$225:$B$248)</f>
        <v>0</v>
      </c>
      <c r="K238" s="68">
        <f>SUMIFS('RULE 37,39,42&amp;43'!$Q$6:$Q$10000,'RULE 37,39,42&amp;43'!$A$6:$A$10000,$C$223:$N$223,'RULE 37,39,42&amp;43'!$L$6:$L$10000,$B$225:$B$248)</f>
        <v>0</v>
      </c>
      <c r="L238" s="68">
        <f>SUMIFS('RULE 37,39,42&amp;43'!$Q$6:$Q$10000,'RULE 37,39,42&amp;43'!$A$6:$A$10000,$C$223:$N$223,'RULE 37,39,42&amp;43'!$L$6:$L$10000,$B$225:$B$248)</f>
        <v>0</v>
      </c>
      <c r="M238" s="68">
        <f>SUMIFS('RULE 37,39,42&amp;43'!$Q$6:$Q$10000,'RULE 37,39,42&amp;43'!$A$6:$A$10000,$C$223:$N$223,'RULE 37,39,42&amp;43'!$L$6:$L$10000,$B$225:$B$248)</f>
        <v>0</v>
      </c>
      <c r="N238" s="68">
        <f>SUMIFS('RULE 37,39,42&amp;43'!$Q$6:$Q$10000,'RULE 37,39,42&amp;43'!$A$6:$A$10000,$C$223:$N$223,'RULE 37,39,42&amp;43'!$L$6:$L$10000,$B$225:$B$248)</f>
        <v>0</v>
      </c>
      <c r="O238" s="71">
        <f t="shared" si="30"/>
        <v>0</v>
      </c>
    </row>
    <row r="239" spans="1:15" x14ac:dyDescent="0.2">
      <c r="A239" s="34" t="s">
        <v>286</v>
      </c>
      <c r="B239" s="34" t="s">
        <v>418</v>
      </c>
      <c r="C239" s="68">
        <f>SUMIFS('RULE 37,39,42&amp;43'!$R$6:$R$10000,'RULE 37,39,42&amp;43'!$A$6:$A$10000,$C$223:$N$223,'RULE 37,39,42&amp;43'!$L$6:$L$10000,$B$225:$B$248)</f>
        <v>0</v>
      </c>
      <c r="D239" s="68">
        <f>SUMIFS('RULE 37,39,42&amp;43'!$R$6:$R$10000,'RULE 37,39,42&amp;43'!$A$6:$A$10000,$C$223:$N$223,'RULE 37,39,42&amp;43'!$L$6:$L$10000,$B$225:$B$248)</f>
        <v>0</v>
      </c>
      <c r="E239" s="68">
        <f>SUMIFS('RULE 37,39,42&amp;43'!$R$6:$R$10000,'RULE 37,39,42&amp;43'!$A$6:$A$10000,$C$223:$N$223,'RULE 37,39,42&amp;43'!$L$6:$L$10000,$B$225:$B$248)</f>
        <v>0</v>
      </c>
      <c r="F239" s="68">
        <f>SUMIFS('RULE 37,39,42&amp;43'!$R$6:$R$10000,'RULE 37,39,42&amp;43'!$A$6:$A$10000,$C$223:$N$223,'RULE 37,39,42&amp;43'!$L$6:$L$10000,$B$225:$B$248)</f>
        <v>0</v>
      </c>
      <c r="G239" s="68">
        <f>SUMIFS('RULE 37,39,42&amp;43'!$R$6:$R$10000,'RULE 37,39,42&amp;43'!$A$6:$A$10000,$C$223:$N$223,'RULE 37,39,42&amp;43'!$L$6:$L$10000,$B$225:$B$248)</f>
        <v>0</v>
      </c>
      <c r="H239" s="68">
        <f>SUMIFS('RULE 37,39,42&amp;43'!$R$6:$R$10000,'RULE 37,39,42&amp;43'!$A$6:$A$10000,$C$223:$N$223,'RULE 37,39,42&amp;43'!$L$6:$L$10000,$B$225:$B$248)</f>
        <v>0</v>
      </c>
      <c r="I239" s="68">
        <f>SUMIFS('RULE 37,39,42&amp;43'!$R$6:$R$10000,'RULE 37,39,42&amp;43'!$A$6:$A$10000,$C$223:$N$223,'RULE 37,39,42&amp;43'!$L$6:$L$10000,$B$225:$B$248)</f>
        <v>0</v>
      </c>
      <c r="J239" s="68">
        <f>SUMIFS('RULE 37,39,42&amp;43'!$R$6:$R$10000,'RULE 37,39,42&amp;43'!$A$6:$A$10000,$C$223:$N$223,'RULE 37,39,42&amp;43'!$L$6:$L$10000,$B$225:$B$248)</f>
        <v>0</v>
      </c>
      <c r="K239" s="68">
        <f>SUMIFS('RULE 37,39,42&amp;43'!$R$6:$R$10000,'RULE 37,39,42&amp;43'!$A$6:$A$10000,$C$223:$N$223,'RULE 37,39,42&amp;43'!$L$6:$L$10000,$B$225:$B$248)</f>
        <v>0</v>
      </c>
      <c r="L239" s="68">
        <f>SUMIFS('RULE 37,39,42&amp;43'!$R$6:$R$10000,'RULE 37,39,42&amp;43'!$A$6:$A$10000,$C$223:$N$223,'RULE 37,39,42&amp;43'!$L$6:$L$10000,$B$225:$B$248)</f>
        <v>0</v>
      </c>
      <c r="M239" s="68">
        <f>SUMIFS('RULE 37,39,42&amp;43'!$R$6:$R$10000,'RULE 37,39,42&amp;43'!$A$6:$A$10000,$C$223:$N$223,'RULE 37,39,42&amp;43'!$L$6:$L$10000,$B$225:$B$248)</f>
        <v>0</v>
      </c>
      <c r="N239" s="68">
        <f>SUMIFS('RULE 37,39,42&amp;43'!$R$6:$R$10000,'RULE 37,39,42&amp;43'!$A$6:$A$10000,$C$223:$N$223,'RULE 37,39,42&amp;43'!$L$6:$L$10000,$B$225:$B$248)</f>
        <v>0</v>
      </c>
      <c r="O239" s="71">
        <f t="shared" si="30"/>
        <v>0</v>
      </c>
    </row>
    <row r="240" spans="1:15" x14ac:dyDescent="0.2">
      <c r="A240" s="1006" t="s">
        <v>419</v>
      </c>
      <c r="B240" s="1007"/>
      <c r="C240" s="1007"/>
      <c r="D240" s="1007"/>
      <c r="E240" s="1007"/>
      <c r="F240" s="1007"/>
      <c r="G240" s="1007"/>
      <c r="H240" s="1007"/>
      <c r="I240" s="1007"/>
      <c r="J240" s="1007"/>
      <c r="K240" s="1007"/>
      <c r="L240" s="1007"/>
      <c r="M240" s="1007"/>
      <c r="N240" s="1007"/>
      <c r="O240" s="1008"/>
    </row>
    <row r="241" spans="1:15" x14ac:dyDescent="0.2">
      <c r="A241" s="66" t="s">
        <v>279</v>
      </c>
      <c r="B241" s="66"/>
      <c r="C241" s="98">
        <v>43556</v>
      </c>
      <c r="D241" s="98">
        <v>43586</v>
      </c>
      <c r="E241" s="98">
        <v>43617</v>
      </c>
      <c r="F241" s="98">
        <v>43647</v>
      </c>
      <c r="G241" s="98">
        <v>43678</v>
      </c>
      <c r="H241" s="98">
        <v>43709</v>
      </c>
      <c r="I241" s="98">
        <v>43739</v>
      </c>
      <c r="J241" s="98">
        <v>43770</v>
      </c>
      <c r="K241" s="98">
        <v>43800</v>
      </c>
      <c r="L241" s="98">
        <v>43831</v>
      </c>
      <c r="M241" s="98">
        <v>43862</v>
      </c>
      <c r="N241" s="98">
        <v>43891</v>
      </c>
      <c r="O241" s="66" t="s">
        <v>347</v>
      </c>
    </row>
    <row r="242" spans="1:15" x14ac:dyDescent="0.2">
      <c r="A242" s="34" t="s">
        <v>280</v>
      </c>
      <c r="B242" s="34"/>
      <c r="C242" s="34"/>
      <c r="D242" s="34"/>
      <c r="E242" s="34"/>
      <c r="F242" s="34"/>
      <c r="G242" s="34"/>
      <c r="H242" s="34"/>
      <c r="I242" s="34"/>
      <c r="J242" s="34"/>
      <c r="K242" s="34"/>
      <c r="L242" s="34"/>
      <c r="M242" s="34"/>
      <c r="N242" s="34"/>
      <c r="O242" s="71">
        <f t="shared" si="30"/>
        <v>0</v>
      </c>
    </row>
    <row r="243" spans="1:15" x14ac:dyDescent="0.2">
      <c r="A243" s="34" t="s">
        <v>281</v>
      </c>
      <c r="B243" s="34" t="s">
        <v>419</v>
      </c>
      <c r="C243" s="68">
        <f t="shared" ref="C243:N243" si="39">+C244+C245+C246+C247+C248</f>
        <v>0</v>
      </c>
      <c r="D243" s="68">
        <f t="shared" si="39"/>
        <v>0</v>
      </c>
      <c r="E243" s="68">
        <f t="shared" si="39"/>
        <v>0</v>
      </c>
      <c r="F243" s="68">
        <f t="shared" si="39"/>
        <v>0</v>
      </c>
      <c r="G243" s="68">
        <f t="shared" si="39"/>
        <v>0</v>
      </c>
      <c r="H243" s="68">
        <f t="shared" si="39"/>
        <v>0</v>
      </c>
      <c r="I243" s="68">
        <f t="shared" si="39"/>
        <v>0</v>
      </c>
      <c r="J243" s="68">
        <f t="shared" si="39"/>
        <v>0</v>
      </c>
      <c r="K243" s="68">
        <f t="shared" si="39"/>
        <v>0</v>
      </c>
      <c r="L243" s="68">
        <f t="shared" si="39"/>
        <v>0</v>
      </c>
      <c r="M243" s="68">
        <f t="shared" si="39"/>
        <v>0</v>
      </c>
      <c r="N243" s="68">
        <f t="shared" si="39"/>
        <v>0</v>
      </c>
      <c r="O243" s="71">
        <f t="shared" si="30"/>
        <v>0</v>
      </c>
    </row>
    <row r="244" spans="1:15" x14ac:dyDescent="0.2">
      <c r="A244" s="34" t="s">
        <v>282</v>
      </c>
      <c r="B244" s="34" t="s">
        <v>419</v>
      </c>
      <c r="C244" s="68">
        <f>SUMIFS('RULE 37,39,42&amp;43'!$N$6:$N$10000,'RULE 37,39,42&amp;43'!$A$6:$A$10000,$C$223:$N$223,'RULE 37,39,42&amp;43'!$L$6:$L$10000,$B$225:$B$248)</f>
        <v>0</v>
      </c>
      <c r="D244" s="68">
        <f>SUMIFS('RULE 37,39,42&amp;43'!$N$6:$N$10000,'RULE 37,39,42&amp;43'!$A$6:$A$10000,$C$223:$N$223,'RULE 37,39,42&amp;43'!$L$6:$L$10000,$B$225:$B$248)</f>
        <v>0</v>
      </c>
      <c r="E244" s="68">
        <f>SUMIFS('RULE 37,39,42&amp;43'!$N$6:$N$10000,'RULE 37,39,42&amp;43'!$A$6:$A$10000,$C$223:$N$223,'RULE 37,39,42&amp;43'!$L$6:$L$10000,$B$225:$B$248)</f>
        <v>0</v>
      </c>
      <c r="F244" s="68">
        <f>SUMIFS('RULE 37,39,42&amp;43'!$N$6:$N$10000,'RULE 37,39,42&amp;43'!$A$6:$A$10000,$C$223:$N$223,'RULE 37,39,42&amp;43'!$L$6:$L$10000,$B$225:$B$248)</f>
        <v>0</v>
      </c>
      <c r="G244" s="68">
        <f>SUMIFS('RULE 37,39,42&amp;43'!$N$6:$N$10000,'RULE 37,39,42&amp;43'!$A$6:$A$10000,$C$223:$N$223,'RULE 37,39,42&amp;43'!$L$6:$L$10000,$B$225:$B$248)</f>
        <v>0</v>
      </c>
      <c r="H244" s="68">
        <f>SUMIFS('RULE 37,39,42&amp;43'!$N$6:$N$10000,'RULE 37,39,42&amp;43'!$A$6:$A$10000,$C$223:$N$223,'RULE 37,39,42&amp;43'!$L$6:$L$10000,$B$225:$B$248)</f>
        <v>0</v>
      </c>
      <c r="I244" s="68">
        <f>SUMIFS('RULE 37,39,42&amp;43'!$N$6:$N$10000,'RULE 37,39,42&amp;43'!$A$6:$A$10000,$C$223:$N$223,'RULE 37,39,42&amp;43'!$L$6:$L$10000,$B$225:$B$248)</f>
        <v>0</v>
      </c>
      <c r="J244" s="68">
        <f>SUMIFS('RULE 37,39,42&amp;43'!$N$6:$N$10000,'RULE 37,39,42&amp;43'!$A$6:$A$10000,$C$223:$N$223,'RULE 37,39,42&amp;43'!$L$6:$L$10000,$B$225:$B$248)</f>
        <v>0</v>
      </c>
      <c r="K244" s="68">
        <f>SUMIFS('RULE 37,39,42&amp;43'!$N$6:$N$10000,'RULE 37,39,42&amp;43'!$A$6:$A$10000,$C$223:$N$223,'RULE 37,39,42&amp;43'!$L$6:$L$10000,$B$225:$B$248)</f>
        <v>0</v>
      </c>
      <c r="L244" s="68">
        <f>SUMIFS('RULE 37,39,42&amp;43'!$N$6:$N$10000,'RULE 37,39,42&amp;43'!$A$6:$A$10000,$C$223:$N$223,'RULE 37,39,42&amp;43'!$L$6:$L$10000,$B$225:$B$248)</f>
        <v>0</v>
      </c>
      <c r="M244" s="68">
        <f>SUMIFS('RULE 37,39,42&amp;43'!$N$6:$N$10000,'RULE 37,39,42&amp;43'!$A$6:$A$10000,$C$223:$N$223,'RULE 37,39,42&amp;43'!$L$6:$L$10000,$B$225:$B$248)</f>
        <v>0</v>
      </c>
      <c r="N244" s="68">
        <f>SUMIFS('RULE 37,39,42&amp;43'!$N$6:$N$10000,'RULE 37,39,42&amp;43'!$A$6:$A$10000,$C$223:$N$223,'RULE 37,39,42&amp;43'!$L$6:$L$10000,$B$225:$B$248)</f>
        <v>0</v>
      </c>
      <c r="O244" s="71">
        <f t="shared" si="30"/>
        <v>0</v>
      </c>
    </row>
    <row r="245" spans="1:15" x14ac:dyDescent="0.2">
      <c r="A245" s="34" t="s">
        <v>283</v>
      </c>
      <c r="B245" s="34" t="s">
        <v>419</v>
      </c>
      <c r="C245" s="68">
        <f>SUMIFS('RULE 37,39,42&amp;43'!$O$6:$O$10000,'RULE 37,39,42&amp;43'!$A$6:$A$10000,$C$223:$N$223,'RULE 37,39,42&amp;43'!$L$6:$L$10000,$B$225:$B$248)</f>
        <v>0</v>
      </c>
      <c r="D245" s="68">
        <f>SUMIFS('RULE 37,39,42&amp;43'!$O$6:$O$10000,'RULE 37,39,42&amp;43'!$A$6:$A$10000,$C$223:$N$223,'RULE 37,39,42&amp;43'!$L$6:$L$10000,$B$225:$B$248)</f>
        <v>0</v>
      </c>
      <c r="E245" s="68">
        <f>SUMIFS('RULE 37,39,42&amp;43'!$O$6:$O$10000,'RULE 37,39,42&amp;43'!$A$6:$A$10000,$C$223:$N$223,'RULE 37,39,42&amp;43'!$L$6:$L$10000,$B$225:$B$248)</f>
        <v>0</v>
      </c>
      <c r="F245" s="68">
        <f>SUMIFS('RULE 37,39,42&amp;43'!$O$6:$O$10000,'RULE 37,39,42&amp;43'!$A$6:$A$10000,$C$223:$N$223,'RULE 37,39,42&amp;43'!$L$6:$L$10000,$B$225:$B$248)</f>
        <v>0</v>
      </c>
      <c r="G245" s="68">
        <f>SUMIFS('RULE 37,39,42&amp;43'!$O$6:$O$10000,'RULE 37,39,42&amp;43'!$A$6:$A$10000,$C$223:$N$223,'RULE 37,39,42&amp;43'!$L$6:$L$10000,$B$225:$B$248)</f>
        <v>0</v>
      </c>
      <c r="H245" s="68">
        <f>SUMIFS('RULE 37,39,42&amp;43'!$O$6:$O$10000,'RULE 37,39,42&amp;43'!$A$6:$A$10000,$C$223:$N$223,'RULE 37,39,42&amp;43'!$L$6:$L$10000,$B$225:$B$248)</f>
        <v>0</v>
      </c>
      <c r="I245" s="68">
        <f>SUMIFS('RULE 37,39,42&amp;43'!$O$6:$O$10000,'RULE 37,39,42&amp;43'!$A$6:$A$10000,$C$223:$N$223,'RULE 37,39,42&amp;43'!$L$6:$L$10000,$B$225:$B$248)</f>
        <v>0</v>
      </c>
      <c r="J245" s="68">
        <f>SUMIFS('RULE 37,39,42&amp;43'!$O$6:$O$10000,'RULE 37,39,42&amp;43'!$A$6:$A$10000,$C$223:$N$223,'RULE 37,39,42&amp;43'!$L$6:$L$10000,$B$225:$B$248)</f>
        <v>0</v>
      </c>
      <c r="K245" s="68">
        <f>SUMIFS('RULE 37,39,42&amp;43'!$O$6:$O$10000,'RULE 37,39,42&amp;43'!$A$6:$A$10000,$C$223:$N$223,'RULE 37,39,42&amp;43'!$L$6:$L$10000,$B$225:$B$248)</f>
        <v>0</v>
      </c>
      <c r="L245" s="68">
        <f>SUMIFS('RULE 37,39,42&amp;43'!$O$6:$O$10000,'RULE 37,39,42&amp;43'!$A$6:$A$10000,$C$223:$N$223,'RULE 37,39,42&amp;43'!$L$6:$L$10000,$B$225:$B$248)</f>
        <v>0</v>
      </c>
      <c r="M245" s="68">
        <f>SUMIFS('RULE 37,39,42&amp;43'!$O$6:$O$10000,'RULE 37,39,42&amp;43'!$A$6:$A$10000,$C$223:$N$223,'RULE 37,39,42&amp;43'!$L$6:$L$10000,$B$225:$B$248)</f>
        <v>0</v>
      </c>
      <c r="N245" s="68">
        <f>SUMIFS('RULE 37,39,42&amp;43'!$O$6:$O$10000,'RULE 37,39,42&amp;43'!$A$6:$A$10000,$C$223:$N$223,'RULE 37,39,42&amp;43'!$L$6:$L$10000,$B$225:$B$248)</f>
        <v>0</v>
      </c>
      <c r="O245" s="71">
        <f t="shared" si="30"/>
        <v>0</v>
      </c>
    </row>
    <row r="246" spans="1:15" x14ac:dyDescent="0.2">
      <c r="A246" s="34" t="s">
        <v>284</v>
      </c>
      <c r="B246" s="34" t="s">
        <v>419</v>
      </c>
      <c r="C246" s="68">
        <f>SUMIFS('RULE 37,39,42&amp;43'!$P$6:$P$10000,'RULE 37,39,42&amp;43'!$A$6:$A$10000,$C$223:$N$223,'RULE 37,39,42&amp;43'!$L$6:$L$10000,$B$225:$B$248)</f>
        <v>0</v>
      </c>
      <c r="D246" s="68">
        <f>SUMIFS('RULE 37,39,42&amp;43'!$P$6:$P$10000,'RULE 37,39,42&amp;43'!$A$6:$A$10000,$C$223:$N$223,'RULE 37,39,42&amp;43'!$L$6:$L$10000,$B$225:$B$248)</f>
        <v>0</v>
      </c>
      <c r="E246" s="68">
        <f>SUMIFS('RULE 37,39,42&amp;43'!$P$6:$P$10000,'RULE 37,39,42&amp;43'!$A$6:$A$10000,$C$223:$N$223,'RULE 37,39,42&amp;43'!$L$6:$L$10000,$B$225:$B$248)</f>
        <v>0</v>
      </c>
      <c r="F246" s="68">
        <f>SUMIFS('RULE 37,39,42&amp;43'!$P$6:$P$10000,'RULE 37,39,42&amp;43'!$A$6:$A$10000,$C$223:$N$223,'RULE 37,39,42&amp;43'!$L$6:$L$10000,$B$225:$B$248)</f>
        <v>0</v>
      </c>
      <c r="G246" s="68">
        <f>SUMIFS('RULE 37,39,42&amp;43'!$P$6:$P$10000,'RULE 37,39,42&amp;43'!$A$6:$A$10000,$C$223:$N$223,'RULE 37,39,42&amp;43'!$L$6:$L$10000,$B$225:$B$248)</f>
        <v>0</v>
      </c>
      <c r="H246" s="68">
        <f>SUMIFS('RULE 37,39,42&amp;43'!$P$6:$P$10000,'RULE 37,39,42&amp;43'!$A$6:$A$10000,$C$223:$N$223,'RULE 37,39,42&amp;43'!$L$6:$L$10000,$B$225:$B$248)</f>
        <v>0</v>
      </c>
      <c r="I246" s="68">
        <f>SUMIFS('RULE 37,39,42&amp;43'!$P$6:$P$10000,'RULE 37,39,42&amp;43'!$A$6:$A$10000,$C$223:$N$223,'RULE 37,39,42&amp;43'!$L$6:$L$10000,$B$225:$B$248)</f>
        <v>0</v>
      </c>
      <c r="J246" s="68">
        <f>SUMIFS('RULE 37,39,42&amp;43'!$P$6:$P$10000,'RULE 37,39,42&amp;43'!$A$6:$A$10000,$C$223:$N$223,'RULE 37,39,42&amp;43'!$L$6:$L$10000,$B$225:$B$248)</f>
        <v>0</v>
      </c>
      <c r="K246" s="68">
        <f>SUMIFS('RULE 37,39,42&amp;43'!$P$6:$P$10000,'RULE 37,39,42&amp;43'!$A$6:$A$10000,$C$223:$N$223,'RULE 37,39,42&amp;43'!$L$6:$L$10000,$B$225:$B$248)</f>
        <v>0</v>
      </c>
      <c r="L246" s="68">
        <f>SUMIFS('RULE 37,39,42&amp;43'!$P$6:$P$10000,'RULE 37,39,42&amp;43'!$A$6:$A$10000,$C$223:$N$223,'RULE 37,39,42&amp;43'!$L$6:$L$10000,$B$225:$B$248)</f>
        <v>0</v>
      </c>
      <c r="M246" s="68">
        <f>SUMIFS('RULE 37,39,42&amp;43'!$P$6:$P$10000,'RULE 37,39,42&amp;43'!$A$6:$A$10000,$C$223:$N$223,'RULE 37,39,42&amp;43'!$L$6:$L$10000,$B$225:$B$248)</f>
        <v>0</v>
      </c>
      <c r="N246" s="68">
        <f>SUMIFS('RULE 37,39,42&amp;43'!$P$6:$P$10000,'RULE 37,39,42&amp;43'!$A$6:$A$10000,$C$223:$N$223,'RULE 37,39,42&amp;43'!$L$6:$L$10000,$B$225:$B$248)</f>
        <v>0</v>
      </c>
      <c r="O246" s="71">
        <f t="shared" si="30"/>
        <v>0</v>
      </c>
    </row>
    <row r="247" spans="1:15" x14ac:dyDescent="0.2">
      <c r="A247" s="34" t="s">
        <v>285</v>
      </c>
      <c r="B247" s="34" t="s">
        <v>419</v>
      </c>
      <c r="C247" s="68">
        <f>SUMIFS('RULE 37,39,42&amp;43'!$Q$6:$Q$10000,'RULE 37,39,42&amp;43'!$A$6:$A$10000,$C$223:$N$223,'RULE 37,39,42&amp;43'!$L$6:$L$10000,$B$225:$B$248)</f>
        <v>0</v>
      </c>
      <c r="D247" s="68">
        <f>SUMIFS('RULE 37,39,42&amp;43'!$Q$6:$Q$10000,'RULE 37,39,42&amp;43'!$A$6:$A$10000,$C$223:$N$223,'RULE 37,39,42&amp;43'!$L$6:$L$10000,$B$225:$B$248)</f>
        <v>0</v>
      </c>
      <c r="E247" s="68">
        <f>SUMIFS('RULE 37,39,42&amp;43'!$Q$6:$Q$10000,'RULE 37,39,42&amp;43'!$A$6:$A$10000,$C$223:$N$223,'RULE 37,39,42&amp;43'!$L$6:$L$10000,$B$225:$B$248)</f>
        <v>0</v>
      </c>
      <c r="F247" s="68">
        <f>SUMIFS('RULE 37,39,42&amp;43'!$Q$6:$Q$10000,'RULE 37,39,42&amp;43'!$A$6:$A$10000,$C$223:$N$223,'RULE 37,39,42&amp;43'!$L$6:$L$10000,$B$225:$B$248)</f>
        <v>0</v>
      </c>
      <c r="G247" s="68">
        <f>SUMIFS('RULE 37,39,42&amp;43'!$Q$6:$Q$10000,'RULE 37,39,42&amp;43'!$A$6:$A$10000,$C$223:$N$223,'RULE 37,39,42&amp;43'!$L$6:$L$10000,$B$225:$B$248)</f>
        <v>0</v>
      </c>
      <c r="H247" s="68">
        <f>SUMIFS('RULE 37,39,42&amp;43'!$Q$6:$Q$10000,'RULE 37,39,42&amp;43'!$A$6:$A$10000,$C$223:$N$223,'RULE 37,39,42&amp;43'!$L$6:$L$10000,$B$225:$B$248)</f>
        <v>0</v>
      </c>
      <c r="I247" s="68">
        <f>SUMIFS('RULE 37,39,42&amp;43'!$Q$6:$Q$10000,'RULE 37,39,42&amp;43'!$A$6:$A$10000,$C$223:$N$223,'RULE 37,39,42&amp;43'!$L$6:$L$10000,$B$225:$B$248)</f>
        <v>0</v>
      </c>
      <c r="J247" s="68">
        <f>SUMIFS('RULE 37,39,42&amp;43'!$Q$6:$Q$10000,'RULE 37,39,42&amp;43'!$A$6:$A$10000,$C$223:$N$223,'RULE 37,39,42&amp;43'!$L$6:$L$10000,$B$225:$B$248)</f>
        <v>0</v>
      </c>
      <c r="K247" s="68">
        <f>SUMIFS('RULE 37,39,42&amp;43'!$Q$6:$Q$10000,'RULE 37,39,42&amp;43'!$A$6:$A$10000,$C$223:$N$223,'RULE 37,39,42&amp;43'!$L$6:$L$10000,$B$225:$B$248)</f>
        <v>0</v>
      </c>
      <c r="L247" s="68">
        <f>SUMIFS('RULE 37,39,42&amp;43'!$Q$6:$Q$10000,'RULE 37,39,42&amp;43'!$A$6:$A$10000,$C$223:$N$223,'RULE 37,39,42&amp;43'!$L$6:$L$10000,$B$225:$B$248)</f>
        <v>0</v>
      </c>
      <c r="M247" s="68">
        <f>SUMIFS('RULE 37,39,42&amp;43'!$Q$6:$Q$10000,'RULE 37,39,42&amp;43'!$A$6:$A$10000,$C$223:$N$223,'RULE 37,39,42&amp;43'!$L$6:$L$10000,$B$225:$B$248)</f>
        <v>0</v>
      </c>
      <c r="N247" s="68">
        <f>SUMIFS('RULE 37,39,42&amp;43'!$Q$6:$Q$10000,'RULE 37,39,42&amp;43'!$A$6:$A$10000,$C$223:$N$223,'RULE 37,39,42&amp;43'!$L$6:$L$10000,$B$225:$B$248)</f>
        <v>0</v>
      </c>
      <c r="O247" s="71">
        <f t="shared" si="30"/>
        <v>0</v>
      </c>
    </row>
    <row r="248" spans="1:15" x14ac:dyDescent="0.2">
      <c r="A248" s="34" t="s">
        <v>286</v>
      </c>
      <c r="B248" s="34" t="s">
        <v>419</v>
      </c>
      <c r="C248" s="68">
        <f>SUMIFS('RULE 37,39,42&amp;43'!$R$6:$R$10000,'RULE 37,39,42&amp;43'!$A$6:$A$10000,$C$223:$N$223,'RULE 37,39,42&amp;43'!$L$6:$L$10000,$B$225:$B$248)</f>
        <v>0</v>
      </c>
      <c r="D248" s="68">
        <f>SUMIFS('RULE 37,39,42&amp;43'!$R$6:$R$10000,'RULE 37,39,42&amp;43'!$A$6:$A$10000,$C$223:$N$223,'RULE 37,39,42&amp;43'!$L$6:$L$10000,$B$225:$B$248)</f>
        <v>0</v>
      </c>
      <c r="E248" s="68">
        <f>SUMIFS('RULE 37,39,42&amp;43'!$R$6:$R$10000,'RULE 37,39,42&amp;43'!$A$6:$A$10000,$C$223:$N$223,'RULE 37,39,42&amp;43'!$L$6:$L$10000,$B$225:$B$248)</f>
        <v>0</v>
      </c>
      <c r="F248" s="68">
        <f>SUMIFS('RULE 37,39,42&amp;43'!$R$6:$R$10000,'RULE 37,39,42&amp;43'!$A$6:$A$10000,$C$223:$N$223,'RULE 37,39,42&amp;43'!$L$6:$L$10000,$B$225:$B$248)</f>
        <v>0</v>
      </c>
      <c r="G248" s="68">
        <f>SUMIFS('RULE 37,39,42&amp;43'!$R$6:$R$10000,'RULE 37,39,42&amp;43'!$A$6:$A$10000,$C$223:$N$223,'RULE 37,39,42&amp;43'!$L$6:$L$10000,$B$225:$B$248)</f>
        <v>0</v>
      </c>
      <c r="H248" s="68">
        <f>SUMIFS('RULE 37,39,42&amp;43'!$R$6:$R$10000,'RULE 37,39,42&amp;43'!$A$6:$A$10000,$C$223:$N$223,'RULE 37,39,42&amp;43'!$L$6:$L$10000,$B$225:$B$248)</f>
        <v>0</v>
      </c>
      <c r="I248" s="68">
        <f>SUMIFS('RULE 37,39,42&amp;43'!$R$6:$R$10000,'RULE 37,39,42&amp;43'!$A$6:$A$10000,$C$223:$N$223,'RULE 37,39,42&amp;43'!$L$6:$L$10000,$B$225:$B$248)</f>
        <v>0</v>
      </c>
      <c r="J248" s="68">
        <f>SUMIFS('RULE 37,39,42&amp;43'!$R$6:$R$10000,'RULE 37,39,42&amp;43'!$A$6:$A$10000,$C$223:$N$223,'RULE 37,39,42&amp;43'!$L$6:$L$10000,$B$225:$B$248)</f>
        <v>0</v>
      </c>
      <c r="K248" s="68">
        <f>SUMIFS('RULE 37,39,42&amp;43'!$R$6:$R$10000,'RULE 37,39,42&amp;43'!$A$6:$A$10000,$C$223:$N$223,'RULE 37,39,42&amp;43'!$L$6:$L$10000,$B$225:$B$248)</f>
        <v>0</v>
      </c>
      <c r="L248" s="68">
        <f>SUMIFS('RULE 37,39,42&amp;43'!$R$6:$R$10000,'RULE 37,39,42&amp;43'!$A$6:$A$10000,$C$223:$N$223,'RULE 37,39,42&amp;43'!$L$6:$L$10000,$B$225:$B$248)</f>
        <v>0</v>
      </c>
      <c r="M248" s="68">
        <f>SUMIFS('RULE 37,39,42&amp;43'!$R$6:$R$10000,'RULE 37,39,42&amp;43'!$A$6:$A$10000,$C$223:$N$223,'RULE 37,39,42&amp;43'!$L$6:$L$10000,$B$225:$B$248)</f>
        <v>0</v>
      </c>
      <c r="N248" s="68">
        <f>SUMIFS('RULE 37,39,42&amp;43'!$R$6:$R$10000,'RULE 37,39,42&amp;43'!$A$6:$A$10000,$C$223:$N$223,'RULE 37,39,42&amp;43'!$L$6:$L$10000,$B$225:$B$248)</f>
        <v>0</v>
      </c>
      <c r="O248" s="71">
        <f t="shared" si="30"/>
        <v>0</v>
      </c>
    </row>
    <row r="249" spans="1:15" x14ac:dyDescent="0.2">
      <c r="A249" s="1006" t="s">
        <v>3705</v>
      </c>
      <c r="B249" s="1007"/>
      <c r="C249" s="1007"/>
      <c r="D249" s="1007"/>
      <c r="E249" s="1007"/>
      <c r="F249" s="1007"/>
      <c r="G249" s="1007"/>
      <c r="H249" s="1007"/>
      <c r="I249" s="1007"/>
      <c r="J249" s="1007"/>
      <c r="K249" s="1007"/>
      <c r="L249" s="1007"/>
      <c r="M249" s="1007"/>
      <c r="N249" s="1007"/>
      <c r="O249" s="1008"/>
    </row>
    <row r="250" spans="1:15" x14ac:dyDescent="0.2">
      <c r="A250" s="66" t="s">
        <v>279</v>
      </c>
      <c r="B250" s="66" t="s">
        <v>1041</v>
      </c>
      <c r="C250" s="98">
        <v>43556</v>
      </c>
      <c r="D250" s="98">
        <v>43586</v>
      </c>
      <c r="E250" s="98">
        <v>43617</v>
      </c>
      <c r="F250" s="98">
        <v>43647</v>
      </c>
      <c r="G250" s="98">
        <v>43678</v>
      </c>
      <c r="H250" s="98">
        <v>43709</v>
      </c>
      <c r="I250" s="98">
        <v>43739</v>
      </c>
      <c r="J250" s="98">
        <v>43770</v>
      </c>
      <c r="K250" s="98">
        <v>43800</v>
      </c>
      <c r="L250" s="98">
        <v>43831</v>
      </c>
      <c r="M250" s="98">
        <v>43862</v>
      </c>
      <c r="N250" s="98">
        <v>43891</v>
      </c>
      <c r="O250" s="66" t="s">
        <v>347</v>
      </c>
    </row>
    <row r="251" spans="1:15" x14ac:dyDescent="0.2">
      <c r="A251" s="77" t="s">
        <v>281</v>
      </c>
      <c r="B251" s="66" t="s">
        <v>1041</v>
      </c>
      <c r="C251" s="78">
        <f t="shared" ref="C251:C256" si="40">+C225+C234+C243</f>
        <v>-212.39999999999998</v>
      </c>
      <c r="D251" s="78">
        <f t="shared" ref="D251:N251" si="41">+D225+D234+D243</f>
        <v>-212.39999999999998</v>
      </c>
      <c r="E251" s="78">
        <f t="shared" si="41"/>
        <v>-212.39999999999998</v>
      </c>
      <c r="F251" s="78">
        <f t="shared" si="41"/>
        <v>-212.39999999999998</v>
      </c>
      <c r="G251" s="78">
        <f t="shared" si="41"/>
        <v>-212.39999999999998</v>
      </c>
      <c r="H251" s="78">
        <f t="shared" si="41"/>
        <v>-212.39999999999998</v>
      </c>
      <c r="I251" s="78">
        <f t="shared" si="41"/>
        <v>-212.39999999999998</v>
      </c>
      <c r="J251" s="78">
        <f t="shared" si="41"/>
        <v>-212.39999999999998</v>
      </c>
      <c r="K251" s="78">
        <f t="shared" si="41"/>
        <v>-212.39999999999998</v>
      </c>
      <c r="L251" s="78">
        <f t="shared" si="41"/>
        <v>0</v>
      </c>
      <c r="M251" s="78">
        <f t="shared" si="41"/>
        <v>0</v>
      </c>
      <c r="N251" s="78">
        <f t="shared" si="41"/>
        <v>0</v>
      </c>
      <c r="O251" s="71">
        <f t="shared" si="30"/>
        <v>-1911.6000000000004</v>
      </c>
    </row>
    <row r="252" spans="1:15" x14ac:dyDescent="0.2">
      <c r="A252" s="77" t="s">
        <v>282</v>
      </c>
      <c r="B252" s="66" t="s">
        <v>1041</v>
      </c>
      <c r="C252" s="78">
        <f t="shared" si="40"/>
        <v>-180</v>
      </c>
      <c r="D252" s="78">
        <f t="shared" ref="D252:N252" si="42">+D226+D235+D244</f>
        <v>-180</v>
      </c>
      <c r="E252" s="78">
        <f t="shared" si="42"/>
        <v>-180</v>
      </c>
      <c r="F252" s="78">
        <f t="shared" si="42"/>
        <v>-180</v>
      </c>
      <c r="G252" s="78">
        <f t="shared" si="42"/>
        <v>-180</v>
      </c>
      <c r="H252" s="78">
        <f t="shared" si="42"/>
        <v>-180</v>
      </c>
      <c r="I252" s="78">
        <f t="shared" si="42"/>
        <v>-180</v>
      </c>
      <c r="J252" s="78">
        <f t="shared" si="42"/>
        <v>-180</v>
      </c>
      <c r="K252" s="78">
        <f t="shared" si="42"/>
        <v>-180</v>
      </c>
      <c r="L252" s="78">
        <f t="shared" si="42"/>
        <v>0</v>
      </c>
      <c r="M252" s="78">
        <f t="shared" si="42"/>
        <v>0</v>
      </c>
      <c r="N252" s="78">
        <f t="shared" si="42"/>
        <v>0</v>
      </c>
      <c r="O252" s="71">
        <f t="shared" si="30"/>
        <v>-1620</v>
      </c>
    </row>
    <row r="253" spans="1:15" x14ac:dyDescent="0.2">
      <c r="A253" s="77" t="s">
        <v>283</v>
      </c>
      <c r="B253" s="66" t="s">
        <v>1041</v>
      </c>
      <c r="C253" s="78">
        <f t="shared" si="40"/>
        <v>0</v>
      </c>
      <c r="D253" s="78">
        <f t="shared" ref="D253:N253" si="43">+D227+D236+D245</f>
        <v>0</v>
      </c>
      <c r="E253" s="78">
        <f t="shared" si="43"/>
        <v>0</v>
      </c>
      <c r="F253" s="78">
        <f t="shared" si="43"/>
        <v>0</v>
      </c>
      <c r="G253" s="78">
        <f t="shared" si="43"/>
        <v>0</v>
      </c>
      <c r="H253" s="78">
        <f t="shared" si="43"/>
        <v>0</v>
      </c>
      <c r="I253" s="78">
        <f t="shared" si="43"/>
        <v>0</v>
      </c>
      <c r="J253" s="78">
        <f t="shared" si="43"/>
        <v>0</v>
      </c>
      <c r="K253" s="78">
        <f t="shared" si="43"/>
        <v>0</v>
      </c>
      <c r="L253" s="78">
        <f t="shared" si="43"/>
        <v>0</v>
      </c>
      <c r="M253" s="78">
        <f t="shared" si="43"/>
        <v>0</v>
      </c>
      <c r="N253" s="78">
        <f t="shared" si="43"/>
        <v>0</v>
      </c>
      <c r="O253" s="71">
        <f t="shared" si="30"/>
        <v>0</v>
      </c>
    </row>
    <row r="254" spans="1:15" x14ac:dyDescent="0.2">
      <c r="A254" s="77" t="s">
        <v>284</v>
      </c>
      <c r="B254" s="66" t="s">
        <v>1041</v>
      </c>
      <c r="C254" s="78">
        <f t="shared" si="40"/>
        <v>-16.2</v>
      </c>
      <c r="D254" s="78">
        <f t="shared" ref="D254:N254" si="44">+D228+D237+D246</f>
        <v>-16.2</v>
      </c>
      <c r="E254" s="78">
        <f t="shared" si="44"/>
        <v>-16.2</v>
      </c>
      <c r="F254" s="78">
        <f t="shared" si="44"/>
        <v>-16.2</v>
      </c>
      <c r="G254" s="78">
        <f t="shared" si="44"/>
        <v>-16.2</v>
      </c>
      <c r="H254" s="78">
        <f t="shared" si="44"/>
        <v>-16.2</v>
      </c>
      <c r="I254" s="78">
        <f t="shared" si="44"/>
        <v>-16.2</v>
      </c>
      <c r="J254" s="78">
        <f t="shared" si="44"/>
        <v>-16.2</v>
      </c>
      <c r="K254" s="78">
        <f t="shared" si="44"/>
        <v>-16.2</v>
      </c>
      <c r="L254" s="78">
        <f t="shared" si="44"/>
        <v>0</v>
      </c>
      <c r="M254" s="78">
        <f t="shared" si="44"/>
        <v>0</v>
      </c>
      <c r="N254" s="78">
        <f t="shared" si="44"/>
        <v>0</v>
      </c>
      <c r="O254" s="71">
        <f t="shared" si="30"/>
        <v>-145.79999999999998</v>
      </c>
    </row>
    <row r="255" spans="1:15" x14ac:dyDescent="0.2">
      <c r="A255" s="77" t="s">
        <v>285</v>
      </c>
      <c r="B255" s="66" t="s">
        <v>1041</v>
      </c>
      <c r="C255" s="78">
        <f t="shared" si="40"/>
        <v>-16.2</v>
      </c>
      <c r="D255" s="78">
        <f t="shared" ref="D255:N255" si="45">+D229+D238+D247</f>
        <v>-16.2</v>
      </c>
      <c r="E255" s="78">
        <f t="shared" si="45"/>
        <v>-16.2</v>
      </c>
      <c r="F255" s="78">
        <f t="shared" si="45"/>
        <v>-16.2</v>
      </c>
      <c r="G255" s="78">
        <f t="shared" si="45"/>
        <v>-16.2</v>
      </c>
      <c r="H255" s="78">
        <f t="shared" si="45"/>
        <v>-16.2</v>
      </c>
      <c r="I255" s="78">
        <f t="shared" si="45"/>
        <v>-16.2</v>
      </c>
      <c r="J255" s="78">
        <f t="shared" si="45"/>
        <v>-16.2</v>
      </c>
      <c r="K255" s="78">
        <f t="shared" si="45"/>
        <v>-16.2</v>
      </c>
      <c r="L255" s="78">
        <f t="shared" si="45"/>
        <v>0</v>
      </c>
      <c r="M255" s="78">
        <f t="shared" si="45"/>
        <v>0</v>
      </c>
      <c r="N255" s="78">
        <f t="shared" si="45"/>
        <v>0</v>
      </c>
      <c r="O255" s="71">
        <f t="shared" si="30"/>
        <v>-145.79999999999998</v>
      </c>
    </row>
    <row r="256" spans="1:15" x14ac:dyDescent="0.2">
      <c r="A256" s="80" t="s">
        <v>286</v>
      </c>
      <c r="B256" s="66" t="s">
        <v>1041</v>
      </c>
      <c r="C256" s="81">
        <f t="shared" si="40"/>
        <v>0</v>
      </c>
      <c r="D256" s="81">
        <f t="shared" ref="D256:N256" si="46">+D230+D239+D248</f>
        <v>0</v>
      </c>
      <c r="E256" s="81">
        <f t="shared" si="46"/>
        <v>0</v>
      </c>
      <c r="F256" s="81">
        <f t="shared" si="46"/>
        <v>0</v>
      </c>
      <c r="G256" s="81">
        <f t="shared" si="46"/>
        <v>0</v>
      </c>
      <c r="H256" s="81">
        <f t="shared" si="46"/>
        <v>0</v>
      </c>
      <c r="I256" s="81">
        <f t="shared" si="46"/>
        <v>0</v>
      </c>
      <c r="J256" s="81">
        <f t="shared" si="46"/>
        <v>0</v>
      </c>
      <c r="K256" s="81">
        <f t="shared" si="46"/>
        <v>0</v>
      </c>
      <c r="L256" s="81">
        <f t="shared" si="46"/>
        <v>0</v>
      </c>
      <c r="M256" s="81">
        <f t="shared" si="46"/>
        <v>0</v>
      </c>
      <c r="N256" s="81">
        <f t="shared" si="46"/>
        <v>0</v>
      </c>
      <c r="O256" s="71">
        <f t="shared" si="30"/>
        <v>0</v>
      </c>
    </row>
    <row r="257" spans="1:15" x14ac:dyDescent="0.2">
      <c r="A257" s="1006" t="s">
        <v>3699</v>
      </c>
      <c r="B257" s="1007"/>
      <c r="C257" s="1007"/>
      <c r="D257" s="1007"/>
      <c r="E257" s="1007"/>
      <c r="F257" s="1007"/>
      <c r="G257" s="1007"/>
      <c r="H257" s="1007"/>
      <c r="I257" s="1007"/>
      <c r="J257" s="1007"/>
      <c r="K257" s="1007"/>
      <c r="L257" s="1007"/>
      <c r="M257" s="1007"/>
      <c r="N257" s="1007"/>
      <c r="O257" s="1008"/>
    </row>
    <row r="258" spans="1:15" x14ac:dyDescent="0.2">
      <c r="A258" s="66" t="s">
        <v>279</v>
      </c>
      <c r="B258" s="66"/>
      <c r="C258" s="98">
        <v>43556</v>
      </c>
      <c r="D258" s="98">
        <v>43586</v>
      </c>
      <c r="E258" s="98">
        <v>43617</v>
      </c>
      <c r="F258" s="98">
        <v>43647</v>
      </c>
      <c r="G258" s="98">
        <v>43678</v>
      </c>
      <c r="H258" s="98">
        <v>43709</v>
      </c>
      <c r="I258" s="98">
        <v>43739</v>
      </c>
      <c r="J258" s="98">
        <v>43770</v>
      </c>
      <c r="K258" s="98">
        <v>43800</v>
      </c>
      <c r="L258" s="98">
        <v>43831</v>
      </c>
      <c r="M258" s="98">
        <v>43862</v>
      </c>
      <c r="N258" s="98">
        <v>43891</v>
      </c>
      <c r="O258" s="66" t="s">
        <v>347</v>
      </c>
    </row>
    <row r="259" spans="1:15" x14ac:dyDescent="0.2">
      <c r="A259" s="34" t="s">
        <v>280</v>
      </c>
      <c r="B259" s="34"/>
      <c r="C259" s="34"/>
      <c r="D259" s="34"/>
      <c r="E259" s="34"/>
      <c r="F259" s="34"/>
      <c r="G259" s="34"/>
      <c r="H259" s="34"/>
      <c r="I259" s="34"/>
      <c r="J259" s="34"/>
      <c r="K259" s="34"/>
      <c r="L259" s="34"/>
      <c r="M259" s="34"/>
      <c r="N259" s="34"/>
      <c r="O259" s="71">
        <f t="shared" ref="O259:O265" si="47">SUM(C259:N259)</f>
        <v>0</v>
      </c>
    </row>
    <row r="260" spans="1:15" x14ac:dyDescent="0.2">
      <c r="A260" s="34" t="s">
        <v>281</v>
      </c>
      <c r="B260" s="34" t="s">
        <v>3699</v>
      </c>
      <c r="C260" s="68">
        <f>+C261+C262+C263+C264+C265</f>
        <v>0</v>
      </c>
      <c r="D260" s="68">
        <f t="shared" ref="D260:N260" si="48">+D261+D262+D263+D264+D265</f>
        <v>0</v>
      </c>
      <c r="E260" s="68">
        <f t="shared" si="48"/>
        <v>0</v>
      </c>
      <c r="F260" s="68">
        <f t="shared" si="48"/>
        <v>0</v>
      </c>
      <c r="G260" s="68">
        <f t="shared" si="48"/>
        <v>0</v>
      </c>
      <c r="H260" s="68">
        <f t="shared" si="48"/>
        <v>0</v>
      </c>
      <c r="I260" s="68">
        <f t="shared" si="48"/>
        <v>0</v>
      </c>
      <c r="J260" s="68">
        <f t="shared" si="48"/>
        <v>0</v>
      </c>
      <c r="K260" s="68">
        <f t="shared" si="48"/>
        <v>0</v>
      </c>
      <c r="L260" s="68">
        <f t="shared" si="48"/>
        <v>0</v>
      </c>
      <c r="M260" s="68">
        <f t="shared" si="48"/>
        <v>0</v>
      </c>
      <c r="N260" s="68">
        <f t="shared" si="48"/>
        <v>0</v>
      </c>
      <c r="O260" s="71">
        <f t="shared" si="47"/>
        <v>0</v>
      </c>
    </row>
    <row r="261" spans="1:15" x14ac:dyDescent="0.2">
      <c r="A261" s="34" t="s">
        <v>282</v>
      </c>
      <c r="B261" s="34" t="s">
        <v>3699</v>
      </c>
      <c r="C261" s="68">
        <f>SUMIFS('RULE 37,39,42&amp;43'!$N$6:$N$10000,'RULE 37,39,42&amp;43'!$A$6:$A$10000,$C$223:$N$223,'RULE 37,39,42&amp;43'!$L$6:$L$10000,$B$225:$B$248)</f>
        <v>0</v>
      </c>
      <c r="D261" s="68">
        <f>SUMIFS('RULE 37,39,42&amp;43'!$N$6:$N$10000,'RULE 37,39,42&amp;43'!$A$6:$A$10000,$C$223:$N$223,'RULE 37,39,42&amp;43'!$L$6:$L$10000,$B$225:$B$248)</f>
        <v>0</v>
      </c>
      <c r="E261" s="68">
        <f>SUMIFS('RULE 37,39,42&amp;43'!$N$6:$N$10000,'RULE 37,39,42&amp;43'!$A$6:$A$10000,$C$223:$N$223,'RULE 37,39,42&amp;43'!$L$6:$L$10000,$B$225:$B$248)</f>
        <v>0</v>
      </c>
      <c r="F261" s="68">
        <f>SUMIFS('RULE 37,39,42&amp;43'!$N$6:$N$10000,'RULE 37,39,42&amp;43'!$A$6:$A$10000,$C$223:$N$223,'RULE 37,39,42&amp;43'!$L$6:$L$10000,$B$225:$B$248)</f>
        <v>0</v>
      </c>
      <c r="G261" s="68">
        <f>SUMIFS('RULE 37,39,42&amp;43'!$N$6:$N$10000,'RULE 37,39,42&amp;43'!$A$6:$A$10000,$C$223:$N$223,'RULE 37,39,42&amp;43'!$L$6:$L$10000,$B$225:$B$248)</f>
        <v>0</v>
      </c>
      <c r="H261" s="68">
        <f>SUMIFS('RULE 37,39,42&amp;43'!$N$6:$N$10000,'RULE 37,39,42&amp;43'!$A$6:$A$10000,$C$223:$N$223,'RULE 37,39,42&amp;43'!$L$6:$L$10000,$B$225:$B$248)</f>
        <v>0</v>
      </c>
      <c r="I261" s="68">
        <f>SUMIFS('RULE 37,39,42&amp;43'!$N$6:$N$10000,'RULE 37,39,42&amp;43'!$A$6:$A$10000,$C$223:$N$223,'RULE 37,39,42&amp;43'!$L$6:$L$10000,$B$225:$B$248)</f>
        <v>0</v>
      </c>
      <c r="J261" s="68">
        <f>SUMIFS('RULE 37,39,42&amp;43'!$N$6:$N$10000,'RULE 37,39,42&amp;43'!$A$6:$A$10000,$C$223:$N$223,'RULE 37,39,42&amp;43'!$L$6:$L$10000,$B$225:$B$248)</f>
        <v>0</v>
      </c>
      <c r="K261" s="68">
        <f>SUMIFS('RULE 37,39,42&amp;43'!$N$6:$N$10000,'RULE 37,39,42&amp;43'!$A$6:$A$10000,$C$223:$N$223,'RULE 37,39,42&amp;43'!$L$6:$L$10000,$B$225:$B$248)</f>
        <v>0</v>
      </c>
      <c r="L261" s="68">
        <f>SUMIFS('RULE 37,39,42&amp;43'!$N$6:$N$10000,'RULE 37,39,42&amp;43'!$A$6:$A$10000,$C$223:$N$223,'RULE 37,39,42&amp;43'!$L$6:$L$10000,$B$225:$B$248)</f>
        <v>0</v>
      </c>
      <c r="M261" s="68">
        <f>SUMIFS('RULE 37,39,42&amp;43'!$N$6:$N$10000,'RULE 37,39,42&amp;43'!$A$6:$A$10000,$C$223:$N$223,'RULE 37,39,42&amp;43'!$L$6:$L$10000,$B$225:$B$248)</f>
        <v>0</v>
      </c>
      <c r="N261" s="68">
        <f>SUMIFS('RULE 37,39,42&amp;43'!$N$6:$N$10000,'RULE 37,39,42&amp;43'!$A$6:$A$10000,$C$223:$N$223,'RULE 37,39,42&amp;43'!$L$6:$L$10000,$B$225:$B$248)</f>
        <v>0</v>
      </c>
      <c r="O261" s="71">
        <f t="shared" si="47"/>
        <v>0</v>
      </c>
    </row>
    <row r="262" spans="1:15" x14ac:dyDescent="0.2">
      <c r="A262" s="34" t="s">
        <v>283</v>
      </c>
      <c r="B262" s="34" t="s">
        <v>3699</v>
      </c>
      <c r="C262" s="68">
        <f>SUMIFS('RULE 37,39,42&amp;43'!$O$6:$O$10000,'RULE 37,39,42&amp;43'!$A$6:$A$10000,$C$223:$N$223,'RULE 37,39,42&amp;43'!$L$6:$L$10000,$B$225:$B$248)</f>
        <v>0</v>
      </c>
      <c r="D262" s="68">
        <f>SUMIFS('RULE 37,39,42&amp;43'!$O$6:$O$10000,'RULE 37,39,42&amp;43'!$A$6:$A$10000,$C$223:$N$223,'RULE 37,39,42&amp;43'!$L$6:$L$10000,$B$225:$B$248)</f>
        <v>0</v>
      </c>
      <c r="E262" s="68">
        <f>SUMIFS('RULE 37,39,42&amp;43'!$O$6:$O$10000,'RULE 37,39,42&amp;43'!$A$6:$A$10000,$C$223:$N$223,'RULE 37,39,42&amp;43'!$L$6:$L$10000,$B$225:$B$248)</f>
        <v>0</v>
      </c>
      <c r="F262" s="68">
        <f>SUMIFS('RULE 37,39,42&amp;43'!$O$6:$O$10000,'RULE 37,39,42&amp;43'!$A$6:$A$10000,$C$223:$N$223,'RULE 37,39,42&amp;43'!$L$6:$L$10000,$B$225:$B$248)</f>
        <v>0</v>
      </c>
      <c r="G262" s="68">
        <f>SUMIFS('RULE 37,39,42&amp;43'!$O$6:$O$10000,'RULE 37,39,42&amp;43'!$A$6:$A$10000,$C$223:$N$223,'RULE 37,39,42&amp;43'!$L$6:$L$10000,$B$225:$B$248)</f>
        <v>0</v>
      </c>
      <c r="H262" s="68">
        <f>SUMIFS('RULE 37,39,42&amp;43'!$O$6:$O$10000,'RULE 37,39,42&amp;43'!$A$6:$A$10000,$C$223:$N$223,'RULE 37,39,42&amp;43'!$L$6:$L$10000,$B$225:$B$248)</f>
        <v>0</v>
      </c>
      <c r="I262" s="68">
        <f>SUMIFS('RULE 37,39,42&amp;43'!$O$6:$O$10000,'RULE 37,39,42&amp;43'!$A$6:$A$10000,$C$223:$N$223,'RULE 37,39,42&amp;43'!$L$6:$L$10000,$B$225:$B$248)</f>
        <v>0</v>
      </c>
      <c r="J262" s="68">
        <f>SUMIFS('RULE 37,39,42&amp;43'!$O$6:$O$10000,'RULE 37,39,42&amp;43'!$A$6:$A$10000,$C$223:$N$223,'RULE 37,39,42&amp;43'!$L$6:$L$10000,$B$225:$B$248)</f>
        <v>0</v>
      </c>
      <c r="K262" s="68">
        <f>SUMIFS('RULE 37,39,42&amp;43'!$O$6:$O$10000,'RULE 37,39,42&amp;43'!$A$6:$A$10000,$C$223:$N$223,'RULE 37,39,42&amp;43'!$L$6:$L$10000,$B$225:$B$248)</f>
        <v>0</v>
      </c>
      <c r="L262" s="68">
        <f>SUMIFS('RULE 37,39,42&amp;43'!$O$6:$O$10000,'RULE 37,39,42&amp;43'!$A$6:$A$10000,$C$223:$N$223,'RULE 37,39,42&amp;43'!$L$6:$L$10000,$B$225:$B$248)</f>
        <v>0</v>
      </c>
      <c r="M262" s="68">
        <f>SUMIFS('RULE 37,39,42&amp;43'!$O$6:$O$10000,'RULE 37,39,42&amp;43'!$A$6:$A$10000,$C$223:$N$223,'RULE 37,39,42&amp;43'!$L$6:$L$10000,$B$225:$B$248)</f>
        <v>0</v>
      </c>
      <c r="N262" s="68">
        <f>SUMIFS('RULE 37,39,42&amp;43'!$O$6:$O$10000,'RULE 37,39,42&amp;43'!$A$6:$A$10000,$C$223:$N$223,'RULE 37,39,42&amp;43'!$L$6:$L$10000,$B$225:$B$248)</f>
        <v>0</v>
      </c>
      <c r="O262" s="71">
        <f t="shared" si="47"/>
        <v>0</v>
      </c>
    </row>
    <row r="263" spans="1:15" x14ac:dyDescent="0.2">
      <c r="A263" s="34" t="s">
        <v>284</v>
      </c>
      <c r="B263" s="34" t="s">
        <v>3699</v>
      </c>
      <c r="C263" s="68">
        <f>SUMIFS('RULE 37,39,42&amp;43'!$P$6:$P$10000,'RULE 37,39,42&amp;43'!$A$6:$A$10000,$C$223:$N$223,'RULE 37,39,42&amp;43'!$L$6:$L$10000,$B$225:$B$248)</f>
        <v>0</v>
      </c>
      <c r="D263" s="68">
        <f>SUMIFS('RULE 37,39,42&amp;43'!$P$6:$P$10000,'RULE 37,39,42&amp;43'!$A$6:$A$10000,$C$223:$N$223,'RULE 37,39,42&amp;43'!$L$6:$L$10000,$B$225:$B$248)</f>
        <v>0</v>
      </c>
      <c r="E263" s="68">
        <f>SUMIFS('RULE 37,39,42&amp;43'!$P$6:$P$10000,'RULE 37,39,42&amp;43'!$A$6:$A$10000,$C$223:$N$223,'RULE 37,39,42&amp;43'!$L$6:$L$10000,$B$225:$B$248)</f>
        <v>0</v>
      </c>
      <c r="F263" s="68">
        <f>SUMIFS('RULE 37,39,42&amp;43'!$P$6:$P$10000,'RULE 37,39,42&amp;43'!$A$6:$A$10000,$C$223:$N$223,'RULE 37,39,42&amp;43'!$L$6:$L$10000,$B$225:$B$248)</f>
        <v>0</v>
      </c>
      <c r="G263" s="68">
        <f>SUMIFS('RULE 37,39,42&amp;43'!$P$6:$P$10000,'RULE 37,39,42&amp;43'!$A$6:$A$10000,$C$223:$N$223,'RULE 37,39,42&amp;43'!$L$6:$L$10000,$B$225:$B$248)</f>
        <v>0</v>
      </c>
      <c r="H263" s="68">
        <f>SUMIFS('RULE 37,39,42&amp;43'!$P$6:$P$10000,'RULE 37,39,42&amp;43'!$A$6:$A$10000,$C$223:$N$223,'RULE 37,39,42&amp;43'!$L$6:$L$10000,$B$225:$B$248)</f>
        <v>0</v>
      </c>
      <c r="I263" s="68">
        <f>SUMIFS('RULE 37,39,42&amp;43'!$P$6:$P$10000,'RULE 37,39,42&amp;43'!$A$6:$A$10000,$C$223:$N$223,'RULE 37,39,42&amp;43'!$L$6:$L$10000,$B$225:$B$248)</f>
        <v>0</v>
      </c>
      <c r="J263" s="68">
        <f>SUMIFS('RULE 37,39,42&amp;43'!$P$6:$P$10000,'RULE 37,39,42&amp;43'!$A$6:$A$10000,$C$223:$N$223,'RULE 37,39,42&amp;43'!$L$6:$L$10000,$B$225:$B$248)</f>
        <v>0</v>
      </c>
      <c r="K263" s="68">
        <f>SUMIFS('RULE 37,39,42&amp;43'!$P$6:$P$10000,'RULE 37,39,42&amp;43'!$A$6:$A$10000,$C$223:$N$223,'RULE 37,39,42&amp;43'!$L$6:$L$10000,$B$225:$B$248)</f>
        <v>0</v>
      </c>
      <c r="L263" s="68">
        <f>SUMIFS('RULE 37,39,42&amp;43'!$P$6:$P$10000,'RULE 37,39,42&amp;43'!$A$6:$A$10000,$C$223:$N$223,'RULE 37,39,42&amp;43'!$L$6:$L$10000,$B$225:$B$248)</f>
        <v>0</v>
      </c>
      <c r="M263" s="68">
        <f>SUMIFS('RULE 37,39,42&amp;43'!$P$6:$P$10000,'RULE 37,39,42&amp;43'!$A$6:$A$10000,$C$223:$N$223,'RULE 37,39,42&amp;43'!$L$6:$L$10000,$B$225:$B$248)</f>
        <v>0</v>
      </c>
      <c r="N263" s="68">
        <f>SUMIFS('RULE 37,39,42&amp;43'!$P$6:$P$10000,'RULE 37,39,42&amp;43'!$A$6:$A$10000,$C$223:$N$223,'RULE 37,39,42&amp;43'!$L$6:$L$10000,$B$225:$B$248)</f>
        <v>0</v>
      </c>
      <c r="O263" s="71">
        <f t="shared" si="47"/>
        <v>0</v>
      </c>
    </row>
    <row r="264" spans="1:15" x14ac:dyDescent="0.2">
      <c r="A264" s="34" t="s">
        <v>285</v>
      </c>
      <c r="B264" s="34" t="s">
        <v>3699</v>
      </c>
      <c r="C264" s="68">
        <f>SUMIFS('RULE 37,39,42&amp;43'!$Q$6:$Q$10000,'RULE 37,39,42&amp;43'!$A$6:$A$10000,$C$223:$N$223,'RULE 37,39,42&amp;43'!$L$6:$L$10000,$B$225:$B$248)</f>
        <v>0</v>
      </c>
      <c r="D264" s="68">
        <f>SUMIFS('RULE 37,39,42&amp;43'!$Q$6:$Q$10000,'RULE 37,39,42&amp;43'!$A$6:$A$10000,$C$223:$N$223,'RULE 37,39,42&amp;43'!$L$6:$L$10000,$B$225:$B$248)</f>
        <v>0</v>
      </c>
      <c r="E264" s="68">
        <f>SUMIFS('RULE 37,39,42&amp;43'!$Q$6:$Q$10000,'RULE 37,39,42&amp;43'!$A$6:$A$10000,$C$223:$N$223,'RULE 37,39,42&amp;43'!$L$6:$L$10000,$B$225:$B$248)</f>
        <v>0</v>
      </c>
      <c r="F264" s="68">
        <f>SUMIFS('RULE 37,39,42&amp;43'!$Q$6:$Q$10000,'RULE 37,39,42&amp;43'!$A$6:$A$10000,$C$223:$N$223,'RULE 37,39,42&amp;43'!$L$6:$L$10000,$B$225:$B$248)</f>
        <v>0</v>
      </c>
      <c r="G264" s="68">
        <f>SUMIFS('RULE 37,39,42&amp;43'!$Q$6:$Q$10000,'RULE 37,39,42&amp;43'!$A$6:$A$10000,$C$223:$N$223,'RULE 37,39,42&amp;43'!$L$6:$L$10000,$B$225:$B$248)</f>
        <v>0</v>
      </c>
      <c r="H264" s="68">
        <f>SUMIFS('RULE 37,39,42&amp;43'!$Q$6:$Q$10000,'RULE 37,39,42&amp;43'!$A$6:$A$10000,$C$223:$N$223,'RULE 37,39,42&amp;43'!$L$6:$L$10000,$B$225:$B$248)</f>
        <v>0</v>
      </c>
      <c r="I264" s="68">
        <f>SUMIFS('RULE 37,39,42&amp;43'!$Q$6:$Q$10000,'RULE 37,39,42&amp;43'!$A$6:$A$10000,$C$223:$N$223,'RULE 37,39,42&amp;43'!$L$6:$L$10000,$B$225:$B$248)</f>
        <v>0</v>
      </c>
      <c r="J264" s="68">
        <f>SUMIFS('RULE 37,39,42&amp;43'!$Q$6:$Q$10000,'RULE 37,39,42&amp;43'!$A$6:$A$10000,$C$223:$N$223,'RULE 37,39,42&amp;43'!$L$6:$L$10000,$B$225:$B$248)</f>
        <v>0</v>
      </c>
      <c r="K264" s="68">
        <f>SUMIFS('RULE 37,39,42&amp;43'!$Q$6:$Q$10000,'RULE 37,39,42&amp;43'!$A$6:$A$10000,$C$223:$N$223,'RULE 37,39,42&amp;43'!$L$6:$L$10000,$B$225:$B$248)</f>
        <v>0</v>
      </c>
      <c r="L264" s="68">
        <f>SUMIFS('RULE 37,39,42&amp;43'!$Q$6:$Q$10000,'RULE 37,39,42&amp;43'!$A$6:$A$10000,$C$223:$N$223,'RULE 37,39,42&amp;43'!$L$6:$L$10000,$B$225:$B$248)</f>
        <v>0</v>
      </c>
      <c r="M264" s="68">
        <f>SUMIFS('RULE 37,39,42&amp;43'!$Q$6:$Q$10000,'RULE 37,39,42&amp;43'!$A$6:$A$10000,$C$223:$N$223,'RULE 37,39,42&amp;43'!$L$6:$L$10000,$B$225:$B$248)</f>
        <v>0</v>
      </c>
      <c r="N264" s="68">
        <f>SUMIFS('RULE 37,39,42&amp;43'!$Q$6:$Q$10000,'RULE 37,39,42&amp;43'!$A$6:$A$10000,$C$223:$N$223,'RULE 37,39,42&amp;43'!$L$6:$L$10000,$B$225:$B$248)</f>
        <v>0</v>
      </c>
      <c r="O264" s="71">
        <f t="shared" si="47"/>
        <v>0</v>
      </c>
    </row>
    <row r="265" spans="1:15" x14ac:dyDescent="0.2">
      <c r="A265" s="34" t="s">
        <v>286</v>
      </c>
      <c r="B265" s="34" t="s">
        <v>3699</v>
      </c>
      <c r="C265" s="68">
        <f>SUMIFS('RULE 37,39,42&amp;43'!$R$6:$R$10000,'RULE 37,39,42&amp;43'!$A$6:$A$10000,$C$223:$N$223,'RULE 37,39,42&amp;43'!$L$6:$L$10000,$B$225:$B$248)</f>
        <v>0</v>
      </c>
      <c r="D265" s="68">
        <f>SUMIFS('RULE 37,39,42&amp;43'!$R$6:$R$10000,'RULE 37,39,42&amp;43'!$A$6:$A$10000,$C$223:$N$223,'RULE 37,39,42&amp;43'!$L$6:$L$10000,$B$225:$B$248)</f>
        <v>0</v>
      </c>
      <c r="E265" s="68">
        <f>SUMIFS('RULE 37,39,42&amp;43'!$R$6:$R$10000,'RULE 37,39,42&amp;43'!$A$6:$A$10000,$C$223:$N$223,'RULE 37,39,42&amp;43'!$L$6:$L$10000,$B$225:$B$248)</f>
        <v>0</v>
      </c>
      <c r="F265" s="68">
        <f>SUMIFS('RULE 37,39,42&amp;43'!$R$6:$R$10000,'RULE 37,39,42&amp;43'!$A$6:$A$10000,$C$223:$N$223,'RULE 37,39,42&amp;43'!$L$6:$L$10000,$B$225:$B$248)</f>
        <v>0</v>
      </c>
      <c r="G265" s="68">
        <f>SUMIFS('RULE 37,39,42&amp;43'!$R$6:$R$10000,'RULE 37,39,42&amp;43'!$A$6:$A$10000,$C$223:$N$223,'RULE 37,39,42&amp;43'!$L$6:$L$10000,$B$225:$B$248)</f>
        <v>0</v>
      </c>
      <c r="H265" s="68">
        <f>SUMIFS('RULE 37,39,42&amp;43'!$R$6:$R$10000,'RULE 37,39,42&amp;43'!$A$6:$A$10000,$C$223:$N$223,'RULE 37,39,42&amp;43'!$L$6:$L$10000,$B$225:$B$248)</f>
        <v>0</v>
      </c>
      <c r="I265" s="68">
        <f>SUMIFS('RULE 37,39,42&amp;43'!$R$6:$R$10000,'RULE 37,39,42&amp;43'!$A$6:$A$10000,$C$223:$N$223,'RULE 37,39,42&amp;43'!$L$6:$L$10000,$B$225:$B$248)</f>
        <v>0</v>
      </c>
      <c r="J265" s="68">
        <f>SUMIFS('RULE 37,39,42&amp;43'!$R$6:$R$10000,'RULE 37,39,42&amp;43'!$A$6:$A$10000,$C$223:$N$223,'RULE 37,39,42&amp;43'!$L$6:$L$10000,$B$225:$B$248)</f>
        <v>0</v>
      </c>
      <c r="K265" s="68">
        <f>SUMIFS('RULE 37,39,42&amp;43'!$R$6:$R$10000,'RULE 37,39,42&amp;43'!$A$6:$A$10000,$C$223:$N$223,'RULE 37,39,42&amp;43'!$L$6:$L$10000,$B$225:$B$248)</f>
        <v>0</v>
      </c>
      <c r="L265" s="68">
        <f>SUMIFS('RULE 37,39,42&amp;43'!$R$6:$R$10000,'RULE 37,39,42&amp;43'!$A$6:$A$10000,$C$223:$N$223,'RULE 37,39,42&amp;43'!$L$6:$L$10000,$B$225:$B$248)</f>
        <v>0</v>
      </c>
      <c r="M265" s="68">
        <f>SUMIFS('RULE 37,39,42&amp;43'!$R$6:$R$10000,'RULE 37,39,42&amp;43'!$A$6:$A$10000,$C$223:$N$223,'RULE 37,39,42&amp;43'!$L$6:$L$10000,$B$225:$B$248)</f>
        <v>0</v>
      </c>
      <c r="N265" s="68">
        <f>SUMIFS('RULE 37,39,42&amp;43'!$R$6:$R$10000,'RULE 37,39,42&amp;43'!$A$6:$A$10000,$C$223:$N$223,'RULE 37,39,42&amp;43'!$L$6:$L$10000,$B$225:$B$248)</f>
        <v>0</v>
      </c>
      <c r="O265" s="71">
        <f t="shared" si="47"/>
        <v>0</v>
      </c>
    </row>
    <row r="266" spans="1:15" x14ac:dyDescent="0.2">
      <c r="A266" s="1006" t="s">
        <v>3700</v>
      </c>
      <c r="B266" s="1007"/>
      <c r="C266" s="1007"/>
      <c r="D266" s="1007"/>
      <c r="E266" s="1007"/>
      <c r="F266" s="1007"/>
      <c r="G266" s="1007"/>
      <c r="H266" s="1007"/>
      <c r="I266" s="1007"/>
      <c r="J266" s="1007"/>
      <c r="K266" s="1007"/>
      <c r="L266" s="1007"/>
      <c r="M266" s="1007"/>
      <c r="N266" s="1007"/>
      <c r="O266" s="1008"/>
    </row>
    <row r="267" spans="1:15" x14ac:dyDescent="0.2">
      <c r="A267" s="66" t="s">
        <v>279</v>
      </c>
      <c r="B267" s="66"/>
      <c r="C267" s="98">
        <v>43556</v>
      </c>
      <c r="D267" s="98">
        <v>43586</v>
      </c>
      <c r="E267" s="98">
        <v>43617</v>
      </c>
      <c r="F267" s="98">
        <v>43647</v>
      </c>
      <c r="G267" s="98">
        <v>43678</v>
      </c>
      <c r="H267" s="98">
        <v>43709</v>
      </c>
      <c r="I267" s="98">
        <v>43739</v>
      </c>
      <c r="J267" s="98">
        <v>43770</v>
      </c>
      <c r="K267" s="98">
        <v>43800</v>
      </c>
      <c r="L267" s="98">
        <v>43831</v>
      </c>
      <c r="M267" s="98">
        <v>43862</v>
      </c>
      <c r="N267" s="98">
        <v>43891</v>
      </c>
      <c r="O267" s="66" t="s">
        <v>347</v>
      </c>
    </row>
    <row r="268" spans="1:15" x14ac:dyDescent="0.2">
      <c r="A268" s="34" t="s">
        <v>280</v>
      </c>
      <c r="B268" s="34"/>
      <c r="C268" s="34"/>
      <c r="D268" s="34"/>
      <c r="E268" s="34"/>
      <c r="F268" s="34"/>
      <c r="G268" s="34"/>
      <c r="H268" s="34"/>
      <c r="I268" s="34"/>
      <c r="J268" s="34"/>
      <c r="K268" s="34"/>
      <c r="L268" s="34"/>
      <c r="M268" s="34"/>
      <c r="N268" s="34"/>
      <c r="O268" s="71">
        <f t="shared" ref="O268:O274" si="49">SUM(C268:N268)</f>
        <v>0</v>
      </c>
    </row>
    <row r="269" spans="1:15" x14ac:dyDescent="0.2">
      <c r="A269" s="34" t="s">
        <v>281</v>
      </c>
      <c r="B269" s="34" t="s">
        <v>3700</v>
      </c>
      <c r="C269" s="68">
        <f t="shared" ref="C269:N269" si="50">+C270+C271+C272+C273+C274</f>
        <v>0</v>
      </c>
      <c r="D269" s="68">
        <f t="shared" si="50"/>
        <v>0</v>
      </c>
      <c r="E269" s="68">
        <f t="shared" si="50"/>
        <v>0</v>
      </c>
      <c r="F269" s="68">
        <f t="shared" si="50"/>
        <v>0</v>
      </c>
      <c r="G269" s="68">
        <f t="shared" si="50"/>
        <v>0</v>
      </c>
      <c r="H269" s="68">
        <f t="shared" si="50"/>
        <v>0</v>
      </c>
      <c r="I269" s="68">
        <f t="shared" si="50"/>
        <v>0</v>
      </c>
      <c r="J269" s="68">
        <f t="shared" si="50"/>
        <v>0</v>
      </c>
      <c r="K269" s="68">
        <f t="shared" si="50"/>
        <v>0</v>
      </c>
      <c r="L269" s="68">
        <f t="shared" si="50"/>
        <v>0</v>
      </c>
      <c r="M269" s="68">
        <f t="shared" si="50"/>
        <v>0</v>
      </c>
      <c r="N269" s="68">
        <f t="shared" si="50"/>
        <v>0</v>
      </c>
      <c r="O269" s="71">
        <f t="shared" si="49"/>
        <v>0</v>
      </c>
    </row>
    <row r="270" spans="1:15" x14ac:dyDescent="0.2">
      <c r="A270" s="34" t="s">
        <v>282</v>
      </c>
      <c r="B270" s="34" t="s">
        <v>3700</v>
      </c>
      <c r="C270" s="68">
        <f>SUMIFS('RULE 37,39,42&amp;43'!$N$6:$N$10000,'RULE 37,39,42&amp;43'!$A$6:$A$10000,$C$223:$N$223,'RULE 37,39,42&amp;43'!$L$6:$L$10000,$B$225:$B$248)</f>
        <v>0</v>
      </c>
      <c r="D270" s="68">
        <f>SUMIFS('RULE 37,39,42&amp;43'!$N$6:$N$10000,'RULE 37,39,42&amp;43'!$A$6:$A$10000,$C$223:$N$223,'RULE 37,39,42&amp;43'!$L$6:$L$10000,$B$225:$B$248)</f>
        <v>0</v>
      </c>
      <c r="E270" s="68">
        <f>SUMIFS('RULE 37,39,42&amp;43'!$N$6:$N$10000,'RULE 37,39,42&amp;43'!$A$6:$A$10000,$C$223:$N$223,'RULE 37,39,42&amp;43'!$L$6:$L$10000,$B$225:$B$248)</f>
        <v>0</v>
      </c>
      <c r="F270" s="68">
        <f>SUMIFS('RULE 37,39,42&amp;43'!$N$6:$N$10000,'RULE 37,39,42&amp;43'!$A$6:$A$10000,$C$223:$N$223,'RULE 37,39,42&amp;43'!$L$6:$L$10000,$B$225:$B$248)</f>
        <v>0</v>
      </c>
      <c r="G270" s="68">
        <f>SUMIFS('RULE 37,39,42&amp;43'!$N$6:$N$10000,'RULE 37,39,42&amp;43'!$A$6:$A$10000,$C$223:$N$223,'RULE 37,39,42&amp;43'!$L$6:$L$10000,$B$225:$B$248)</f>
        <v>0</v>
      </c>
      <c r="H270" s="68">
        <f>SUMIFS('RULE 37,39,42&amp;43'!$N$6:$N$10000,'RULE 37,39,42&amp;43'!$A$6:$A$10000,$C$223:$N$223,'RULE 37,39,42&amp;43'!$L$6:$L$10000,$B$225:$B$248)</f>
        <v>0</v>
      </c>
      <c r="I270" s="68">
        <f>SUMIFS('RULE 37,39,42&amp;43'!$N$6:$N$10000,'RULE 37,39,42&amp;43'!$A$6:$A$10000,$C$223:$N$223,'RULE 37,39,42&amp;43'!$L$6:$L$10000,$B$225:$B$248)</f>
        <v>0</v>
      </c>
      <c r="J270" s="68">
        <f>SUMIFS('RULE 37,39,42&amp;43'!$N$6:$N$10000,'RULE 37,39,42&amp;43'!$A$6:$A$10000,$C$223:$N$223,'RULE 37,39,42&amp;43'!$L$6:$L$10000,$B$225:$B$248)</f>
        <v>0</v>
      </c>
      <c r="K270" s="68">
        <f>SUMIFS('RULE 37,39,42&amp;43'!$N$6:$N$10000,'RULE 37,39,42&amp;43'!$A$6:$A$10000,$C$223:$N$223,'RULE 37,39,42&amp;43'!$L$6:$L$10000,$B$225:$B$248)</f>
        <v>0</v>
      </c>
      <c r="L270" s="68">
        <f>SUMIFS('RULE 37,39,42&amp;43'!$N$6:$N$10000,'RULE 37,39,42&amp;43'!$A$6:$A$10000,$C$223:$N$223,'RULE 37,39,42&amp;43'!$L$6:$L$10000,$B$225:$B$248)</f>
        <v>0</v>
      </c>
      <c r="M270" s="68">
        <f>SUMIFS('RULE 37,39,42&amp;43'!$N$6:$N$10000,'RULE 37,39,42&amp;43'!$A$6:$A$10000,$C$223:$N$223,'RULE 37,39,42&amp;43'!$L$6:$L$10000,$B$225:$B$248)</f>
        <v>0</v>
      </c>
      <c r="N270" s="68">
        <f>SUMIFS('RULE 37,39,42&amp;43'!$N$6:$N$10000,'RULE 37,39,42&amp;43'!$A$6:$A$10000,$C$223:$N$223,'RULE 37,39,42&amp;43'!$L$6:$L$10000,$B$225:$B$248)</f>
        <v>0</v>
      </c>
      <c r="O270" s="71">
        <f t="shared" si="49"/>
        <v>0</v>
      </c>
    </row>
    <row r="271" spans="1:15" x14ac:dyDescent="0.2">
      <c r="A271" s="34" t="s">
        <v>283</v>
      </c>
      <c r="B271" s="34" t="s">
        <v>3700</v>
      </c>
      <c r="C271" s="68">
        <f>SUMIFS('RULE 37,39,42&amp;43'!$O$6:$O$10000,'RULE 37,39,42&amp;43'!$A$6:$A$10000,$C$223:$N$223,'RULE 37,39,42&amp;43'!$L$6:$L$10000,$B$225:$B$248)</f>
        <v>0</v>
      </c>
      <c r="D271" s="68">
        <f>SUMIFS('RULE 37,39,42&amp;43'!$O$6:$O$10000,'RULE 37,39,42&amp;43'!$A$6:$A$10000,$C$223:$N$223,'RULE 37,39,42&amp;43'!$L$6:$L$10000,$B$225:$B$248)</f>
        <v>0</v>
      </c>
      <c r="E271" s="68">
        <f>SUMIFS('RULE 37,39,42&amp;43'!$O$6:$O$10000,'RULE 37,39,42&amp;43'!$A$6:$A$10000,$C$223:$N$223,'RULE 37,39,42&amp;43'!$L$6:$L$10000,$B$225:$B$248)</f>
        <v>0</v>
      </c>
      <c r="F271" s="68">
        <f>SUMIFS('RULE 37,39,42&amp;43'!$O$6:$O$10000,'RULE 37,39,42&amp;43'!$A$6:$A$10000,$C$223:$N$223,'RULE 37,39,42&amp;43'!$L$6:$L$10000,$B$225:$B$248)</f>
        <v>0</v>
      </c>
      <c r="G271" s="68">
        <f>SUMIFS('RULE 37,39,42&amp;43'!$O$6:$O$10000,'RULE 37,39,42&amp;43'!$A$6:$A$10000,$C$223:$N$223,'RULE 37,39,42&amp;43'!$L$6:$L$10000,$B$225:$B$248)</f>
        <v>0</v>
      </c>
      <c r="H271" s="68">
        <f>SUMIFS('RULE 37,39,42&amp;43'!$O$6:$O$10000,'RULE 37,39,42&amp;43'!$A$6:$A$10000,$C$223:$N$223,'RULE 37,39,42&amp;43'!$L$6:$L$10000,$B$225:$B$248)</f>
        <v>0</v>
      </c>
      <c r="I271" s="68">
        <f>SUMIFS('RULE 37,39,42&amp;43'!$O$6:$O$10000,'RULE 37,39,42&amp;43'!$A$6:$A$10000,$C$223:$N$223,'RULE 37,39,42&amp;43'!$L$6:$L$10000,$B$225:$B$248)</f>
        <v>0</v>
      </c>
      <c r="J271" s="68">
        <f>SUMIFS('RULE 37,39,42&amp;43'!$O$6:$O$10000,'RULE 37,39,42&amp;43'!$A$6:$A$10000,$C$223:$N$223,'RULE 37,39,42&amp;43'!$L$6:$L$10000,$B$225:$B$248)</f>
        <v>0</v>
      </c>
      <c r="K271" s="68">
        <f>SUMIFS('RULE 37,39,42&amp;43'!$O$6:$O$10000,'RULE 37,39,42&amp;43'!$A$6:$A$10000,$C$223:$N$223,'RULE 37,39,42&amp;43'!$L$6:$L$10000,$B$225:$B$248)</f>
        <v>0</v>
      </c>
      <c r="L271" s="68">
        <f>SUMIFS('RULE 37,39,42&amp;43'!$O$6:$O$10000,'RULE 37,39,42&amp;43'!$A$6:$A$10000,$C$223:$N$223,'RULE 37,39,42&amp;43'!$L$6:$L$10000,$B$225:$B$248)</f>
        <v>0</v>
      </c>
      <c r="M271" s="68">
        <f>SUMIFS('RULE 37,39,42&amp;43'!$O$6:$O$10000,'RULE 37,39,42&amp;43'!$A$6:$A$10000,$C$223:$N$223,'RULE 37,39,42&amp;43'!$L$6:$L$10000,$B$225:$B$248)</f>
        <v>0</v>
      </c>
      <c r="N271" s="68">
        <f>SUMIFS('RULE 37,39,42&amp;43'!$O$6:$O$10000,'RULE 37,39,42&amp;43'!$A$6:$A$10000,$C$223:$N$223,'RULE 37,39,42&amp;43'!$L$6:$L$10000,$B$225:$B$248)</f>
        <v>0</v>
      </c>
      <c r="O271" s="71">
        <f t="shared" si="49"/>
        <v>0</v>
      </c>
    </row>
    <row r="272" spans="1:15" x14ac:dyDescent="0.2">
      <c r="A272" s="34" t="s">
        <v>284</v>
      </c>
      <c r="B272" s="34" t="s">
        <v>3700</v>
      </c>
      <c r="C272" s="68">
        <f>SUMIFS('RULE 37,39,42&amp;43'!$P$6:$P$10000,'RULE 37,39,42&amp;43'!$A$6:$A$10000,$C$223:$N$223,'RULE 37,39,42&amp;43'!$L$6:$L$10000,$B$225:$B$248)</f>
        <v>0</v>
      </c>
      <c r="D272" s="68">
        <f>SUMIFS('RULE 37,39,42&amp;43'!$P$6:$P$10000,'RULE 37,39,42&amp;43'!$A$6:$A$10000,$C$223:$N$223,'RULE 37,39,42&amp;43'!$L$6:$L$10000,$B$225:$B$248)</f>
        <v>0</v>
      </c>
      <c r="E272" s="68">
        <f>SUMIFS('RULE 37,39,42&amp;43'!$P$6:$P$10000,'RULE 37,39,42&amp;43'!$A$6:$A$10000,$C$223:$N$223,'RULE 37,39,42&amp;43'!$L$6:$L$10000,$B$225:$B$248)</f>
        <v>0</v>
      </c>
      <c r="F272" s="68">
        <f>SUMIFS('RULE 37,39,42&amp;43'!$P$6:$P$10000,'RULE 37,39,42&amp;43'!$A$6:$A$10000,$C$223:$N$223,'RULE 37,39,42&amp;43'!$L$6:$L$10000,$B$225:$B$248)</f>
        <v>0</v>
      </c>
      <c r="G272" s="68">
        <f>SUMIFS('RULE 37,39,42&amp;43'!$P$6:$P$10000,'RULE 37,39,42&amp;43'!$A$6:$A$10000,$C$223:$N$223,'RULE 37,39,42&amp;43'!$L$6:$L$10000,$B$225:$B$248)</f>
        <v>0</v>
      </c>
      <c r="H272" s="68">
        <f>SUMIFS('RULE 37,39,42&amp;43'!$P$6:$P$10000,'RULE 37,39,42&amp;43'!$A$6:$A$10000,$C$223:$N$223,'RULE 37,39,42&amp;43'!$L$6:$L$10000,$B$225:$B$248)</f>
        <v>0</v>
      </c>
      <c r="I272" s="68">
        <f>SUMIFS('RULE 37,39,42&amp;43'!$P$6:$P$10000,'RULE 37,39,42&amp;43'!$A$6:$A$10000,$C$223:$N$223,'RULE 37,39,42&amp;43'!$L$6:$L$10000,$B$225:$B$248)</f>
        <v>0</v>
      </c>
      <c r="J272" s="68">
        <f>SUMIFS('RULE 37,39,42&amp;43'!$P$6:$P$10000,'RULE 37,39,42&amp;43'!$A$6:$A$10000,$C$223:$N$223,'RULE 37,39,42&amp;43'!$L$6:$L$10000,$B$225:$B$248)</f>
        <v>0</v>
      </c>
      <c r="K272" s="68">
        <f>SUMIFS('RULE 37,39,42&amp;43'!$P$6:$P$10000,'RULE 37,39,42&amp;43'!$A$6:$A$10000,$C$223:$N$223,'RULE 37,39,42&amp;43'!$L$6:$L$10000,$B$225:$B$248)</f>
        <v>0</v>
      </c>
      <c r="L272" s="68">
        <f>SUMIFS('RULE 37,39,42&amp;43'!$P$6:$P$10000,'RULE 37,39,42&amp;43'!$A$6:$A$10000,$C$223:$N$223,'RULE 37,39,42&amp;43'!$L$6:$L$10000,$B$225:$B$248)</f>
        <v>0</v>
      </c>
      <c r="M272" s="68">
        <f>SUMIFS('RULE 37,39,42&amp;43'!$P$6:$P$10000,'RULE 37,39,42&amp;43'!$A$6:$A$10000,$C$223:$N$223,'RULE 37,39,42&amp;43'!$L$6:$L$10000,$B$225:$B$248)</f>
        <v>0</v>
      </c>
      <c r="N272" s="68">
        <f>SUMIFS('RULE 37,39,42&amp;43'!$P$6:$P$10000,'RULE 37,39,42&amp;43'!$A$6:$A$10000,$C$223:$N$223,'RULE 37,39,42&amp;43'!$L$6:$L$10000,$B$225:$B$248)</f>
        <v>0</v>
      </c>
      <c r="O272" s="71">
        <f t="shared" si="49"/>
        <v>0</v>
      </c>
    </row>
    <row r="273" spans="1:15" x14ac:dyDescent="0.2">
      <c r="A273" s="34" t="s">
        <v>285</v>
      </c>
      <c r="B273" s="34" t="s">
        <v>3700</v>
      </c>
      <c r="C273" s="68">
        <f>SUMIFS('RULE 37,39,42&amp;43'!$Q$6:$Q$10000,'RULE 37,39,42&amp;43'!$A$6:$A$10000,$C$223:$N$223,'RULE 37,39,42&amp;43'!$L$6:$L$10000,$B$225:$B$248)</f>
        <v>0</v>
      </c>
      <c r="D273" s="68">
        <f>SUMIFS('RULE 37,39,42&amp;43'!$Q$6:$Q$10000,'RULE 37,39,42&amp;43'!$A$6:$A$10000,$C$223:$N$223,'RULE 37,39,42&amp;43'!$L$6:$L$10000,$B$225:$B$248)</f>
        <v>0</v>
      </c>
      <c r="E273" s="68">
        <f>SUMIFS('RULE 37,39,42&amp;43'!$Q$6:$Q$10000,'RULE 37,39,42&amp;43'!$A$6:$A$10000,$C$223:$N$223,'RULE 37,39,42&amp;43'!$L$6:$L$10000,$B$225:$B$248)</f>
        <v>0</v>
      </c>
      <c r="F273" s="68">
        <f>SUMIFS('RULE 37,39,42&amp;43'!$Q$6:$Q$10000,'RULE 37,39,42&amp;43'!$A$6:$A$10000,$C$223:$N$223,'RULE 37,39,42&amp;43'!$L$6:$L$10000,$B$225:$B$248)</f>
        <v>0</v>
      </c>
      <c r="G273" s="68">
        <f>SUMIFS('RULE 37,39,42&amp;43'!$Q$6:$Q$10000,'RULE 37,39,42&amp;43'!$A$6:$A$10000,$C$223:$N$223,'RULE 37,39,42&amp;43'!$L$6:$L$10000,$B$225:$B$248)</f>
        <v>0</v>
      </c>
      <c r="H273" s="68">
        <f>SUMIFS('RULE 37,39,42&amp;43'!$Q$6:$Q$10000,'RULE 37,39,42&amp;43'!$A$6:$A$10000,$C$223:$N$223,'RULE 37,39,42&amp;43'!$L$6:$L$10000,$B$225:$B$248)</f>
        <v>0</v>
      </c>
      <c r="I273" s="68">
        <f>SUMIFS('RULE 37,39,42&amp;43'!$Q$6:$Q$10000,'RULE 37,39,42&amp;43'!$A$6:$A$10000,$C$223:$N$223,'RULE 37,39,42&amp;43'!$L$6:$L$10000,$B$225:$B$248)</f>
        <v>0</v>
      </c>
      <c r="J273" s="68">
        <f>SUMIFS('RULE 37,39,42&amp;43'!$Q$6:$Q$10000,'RULE 37,39,42&amp;43'!$A$6:$A$10000,$C$223:$N$223,'RULE 37,39,42&amp;43'!$L$6:$L$10000,$B$225:$B$248)</f>
        <v>0</v>
      </c>
      <c r="K273" s="68">
        <f>SUMIFS('RULE 37,39,42&amp;43'!$Q$6:$Q$10000,'RULE 37,39,42&amp;43'!$A$6:$A$10000,$C$223:$N$223,'RULE 37,39,42&amp;43'!$L$6:$L$10000,$B$225:$B$248)</f>
        <v>0</v>
      </c>
      <c r="L273" s="68">
        <f>SUMIFS('RULE 37,39,42&amp;43'!$Q$6:$Q$10000,'RULE 37,39,42&amp;43'!$A$6:$A$10000,$C$223:$N$223,'RULE 37,39,42&amp;43'!$L$6:$L$10000,$B$225:$B$248)</f>
        <v>0</v>
      </c>
      <c r="M273" s="68">
        <f>SUMIFS('RULE 37,39,42&amp;43'!$Q$6:$Q$10000,'RULE 37,39,42&amp;43'!$A$6:$A$10000,$C$223:$N$223,'RULE 37,39,42&amp;43'!$L$6:$L$10000,$B$225:$B$248)</f>
        <v>0</v>
      </c>
      <c r="N273" s="68">
        <f>SUMIFS('RULE 37,39,42&amp;43'!$Q$6:$Q$10000,'RULE 37,39,42&amp;43'!$A$6:$A$10000,$C$223:$N$223,'RULE 37,39,42&amp;43'!$L$6:$L$10000,$B$225:$B$248)</f>
        <v>0</v>
      </c>
      <c r="O273" s="71">
        <f t="shared" si="49"/>
        <v>0</v>
      </c>
    </row>
    <row r="274" spans="1:15" x14ac:dyDescent="0.2">
      <c r="A274" s="34" t="s">
        <v>286</v>
      </c>
      <c r="B274" s="34" t="s">
        <v>3700</v>
      </c>
      <c r="C274" s="68">
        <f>SUMIFS('RULE 37,39,42&amp;43'!$R$6:$R$10000,'RULE 37,39,42&amp;43'!$A$6:$A$10000,$C$223:$N$223,'RULE 37,39,42&amp;43'!$L$6:$L$10000,$B$225:$B$248)</f>
        <v>0</v>
      </c>
      <c r="D274" s="68">
        <f>SUMIFS('RULE 37,39,42&amp;43'!$R$6:$R$10000,'RULE 37,39,42&amp;43'!$A$6:$A$10000,$C$223:$N$223,'RULE 37,39,42&amp;43'!$L$6:$L$10000,$B$225:$B$248)</f>
        <v>0</v>
      </c>
      <c r="E274" s="68">
        <f>SUMIFS('RULE 37,39,42&amp;43'!$R$6:$R$10000,'RULE 37,39,42&amp;43'!$A$6:$A$10000,$C$223:$N$223,'RULE 37,39,42&amp;43'!$L$6:$L$10000,$B$225:$B$248)</f>
        <v>0</v>
      </c>
      <c r="F274" s="68">
        <f>SUMIFS('RULE 37,39,42&amp;43'!$R$6:$R$10000,'RULE 37,39,42&amp;43'!$A$6:$A$10000,$C$223:$N$223,'RULE 37,39,42&amp;43'!$L$6:$L$10000,$B$225:$B$248)</f>
        <v>0</v>
      </c>
      <c r="G274" s="68">
        <f>SUMIFS('RULE 37,39,42&amp;43'!$R$6:$R$10000,'RULE 37,39,42&amp;43'!$A$6:$A$10000,$C$223:$N$223,'RULE 37,39,42&amp;43'!$L$6:$L$10000,$B$225:$B$248)</f>
        <v>0</v>
      </c>
      <c r="H274" s="68">
        <f>SUMIFS('RULE 37,39,42&amp;43'!$R$6:$R$10000,'RULE 37,39,42&amp;43'!$A$6:$A$10000,$C$223:$N$223,'RULE 37,39,42&amp;43'!$L$6:$L$10000,$B$225:$B$248)</f>
        <v>0</v>
      </c>
      <c r="I274" s="68">
        <f>SUMIFS('RULE 37,39,42&amp;43'!$R$6:$R$10000,'RULE 37,39,42&amp;43'!$A$6:$A$10000,$C$223:$N$223,'RULE 37,39,42&amp;43'!$L$6:$L$10000,$B$225:$B$248)</f>
        <v>0</v>
      </c>
      <c r="J274" s="68">
        <f>SUMIFS('RULE 37,39,42&amp;43'!$R$6:$R$10000,'RULE 37,39,42&amp;43'!$A$6:$A$10000,$C$223:$N$223,'RULE 37,39,42&amp;43'!$L$6:$L$10000,$B$225:$B$248)</f>
        <v>0</v>
      </c>
      <c r="K274" s="68">
        <f>SUMIFS('RULE 37,39,42&amp;43'!$R$6:$R$10000,'RULE 37,39,42&amp;43'!$A$6:$A$10000,$C$223:$N$223,'RULE 37,39,42&amp;43'!$L$6:$L$10000,$B$225:$B$248)</f>
        <v>0</v>
      </c>
      <c r="L274" s="68">
        <f>SUMIFS('RULE 37,39,42&amp;43'!$R$6:$R$10000,'RULE 37,39,42&amp;43'!$A$6:$A$10000,$C$223:$N$223,'RULE 37,39,42&amp;43'!$L$6:$L$10000,$B$225:$B$248)</f>
        <v>0</v>
      </c>
      <c r="M274" s="68">
        <f>SUMIFS('RULE 37,39,42&amp;43'!$R$6:$R$10000,'RULE 37,39,42&amp;43'!$A$6:$A$10000,$C$223:$N$223,'RULE 37,39,42&amp;43'!$L$6:$L$10000,$B$225:$B$248)</f>
        <v>0</v>
      </c>
      <c r="N274" s="68">
        <f>SUMIFS('RULE 37,39,42&amp;43'!$R$6:$R$10000,'RULE 37,39,42&amp;43'!$A$6:$A$10000,$C$223:$N$223,'RULE 37,39,42&amp;43'!$L$6:$L$10000,$B$225:$B$248)</f>
        <v>0</v>
      </c>
      <c r="O274" s="71">
        <f t="shared" si="49"/>
        <v>0</v>
      </c>
    </row>
    <row r="275" spans="1:15" x14ac:dyDescent="0.2">
      <c r="A275" s="1006" t="s">
        <v>3703</v>
      </c>
      <c r="B275" s="1007"/>
      <c r="C275" s="1007"/>
      <c r="D275" s="1007"/>
      <c r="E275" s="1007"/>
      <c r="F275" s="1007"/>
      <c r="G275" s="1007"/>
      <c r="H275" s="1007"/>
      <c r="I275" s="1007"/>
      <c r="J275" s="1007"/>
      <c r="K275" s="1007"/>
      <c r="L275" s="1007"/>
      <c r="M275" s="1007"/>
      <c r="N275" s="1007"/>
      <c r="O275" s="1008"/>
    </row>
    <row r="276" spans="1:15" x14ac:dyDescent="0.2">
      <c r="A276" s="66" t="s">
        <v>279</v>
      </c>
      <c r="B276" s="66" t="s">
        <v>1041</v>
      </c>
      <c r="C276" s="98">
        <v>43556</v>
      </c>
      <c r="D276" s="98">
        <v>43586</v>
      </c>
      <c r="E276" s="98">
        <v>43617</v>
      </c>
      <c r="F276" s="98">
        <v>43647</v>
      </c>
      <c r="G276" s="98">
        <v>43678</v>
      </c>
      <c r="H276" s="98">
        <v>43709</v>
      </c>
      <c r="I276" s="98">
        <v>43739</v>
      </c>
      <c r="J276" s="98">
        <v>43770</v>
      </c>
      <c r="K276" s="98">
        <v>43800</v>
      </c>
      <c r="L276" s="98">
        <v>43831</v>
      </c>
      <c r="M276" s="98">
        <v>43862</v>
      </c>
      <c r="N276" s="98">
        <v>43891</v>
      </c>
      <c r="O276" s="66" t="s">
        <v>347</v>
      </c>
    </row>
    <row r="277" spans="1:15" x14ac:dyDescent="0.2">
      <c r="A277" s="77" t="s">
        <v>281</v>
      </c>
      <c r="B277" s="66" t="s">
        <v>1041</v>
      </c>
      <c r="C277" s="78">
        <f t="shared" ref="C277:N282" si="51">+C260+C269</f>
        <v>0</v>
      </c>
      <c r="D277" s="78">
        <f t="shared" si="51"/>
        <v>0</v>
      </c>
      <c r="E277" s="78">
        <f t="shared" si="51"/>
        <v>0</v>
      </c>
      <c r="F277" s="78">
        <f t="shared" si="51"/>
        <v>0</v>
      </c>
      <c r="G277" s="78">
        <f t="shared" si="51"/>
        <v>0</v>
      </c>
      <c r="H277" s="78">
        <f t="shared" si="51"/>
        <v>0</v>
      </c>
      <c r="I277" s="78">
        <f t="shared" si="51"/>
        <v>0</v>
      </c>
      <c r="J277" s="78">
        <f t="shared" si="51"/>
        <v>0</v>
      </c>
      <c r="K277" s="78">
        <f t="shared" si="51"/>
        <v>0</v>
      </c>
      <c r="L277" s="78">
        <f t="shared" si="51"/>
        <v>0</v>
      </c>
      <c r="M277" s="78">
        <f t="shared" si="51"/>
        <v>0</v>
      </c>
      <c r="N277" s="78">
        <f t="shared" si="51"/>
        <v>0</v>
      </c>
      <c r="O277" s="71">
        <f t="shared" ref="O277:O282" si="52">SUM(C277:N277)</f>
        <v>0</v>
      </c>
    </row>
    <row r="278" spans="1:15" x14ac:dyDescent="0.2">
      <c r="A278" s="77" t="s">
        <v>282</v>
      </c>
      <c r="B278" s="66" t="s">
        <v>1041</v>
      </c>
      <c r="C278" s="78">
        <f t="shared" si="51"/>
        <v>0</v>
      </c>
      <c r="D278" s="78">
        <f t="shared" si="51"/>
        <v>0</v>
      </c>
      <c r="E278" s="78">
        <f t="shared" si="51"/>
        <v>0</v>
      </c>
      <c r="F278" s="78">
        <f t="shared" si="51"/>
        <v>0</v>
      </c>
      <c r="G278" s="78">
        <f t="shared" si="51"/>
        <v>0</v>
      </c>
      <c r="H278" s="78">
        <f t="shared" si="51"/>
        <v>0</v>
      </c>
      <c r="I278" s="78">
        <f t="shared" si="51"/>
        <v>0</v>
      </c>
      <c r="J278" s="78">
        <f t="shared" si="51"/>
        <v>0</v>
      </c>
      <c r="K278" s="78">
        <f t="shared" si="51"/>
        <v>0</v>
      </c>
      <c r="L278" s="78">
        <f t="shared" si="51"/>
        <v>0</v>
      </c>
      <c r="M278" s="78">
        <f t="shared" si="51"/>
        <v>0</v>
      </c>
      <c r="N278" s="78">
        <f t="shared" si="51"/>
        <v>0</v>
      </c>
      <c r="O278" s="71">
        <f t="shared" si="52"/>
        <v>0</v>
      </c>
    </row>
    <row r="279" spans="1:15" x14ac:dyDescent="0.2">
      <c r="A279" s="77" t="s">
        <v>283</v>
      </c>
      <c r="B279" s="66" t="s">
        <v>1041</v>
      </c>
      <c r="C279" s="78">
        <f t="shared" si="51"/>
        <v>0</v>
      </c>
      <c r="D279" s="78">
        <f t="shared" si="51"/>
        <v>0</v>
      </c>
      <c r="E279" s="78">
        <f t="shared" si="51"/>
        <v>0</v>
      </c>
      <c r="F279" s="78">
        <f t="shared" si="51"/>
        <v>0</v>
      </c>
      <c r="G279" s="78">
        <f t="shared" si="51"/>
        <v>0</v>
      </c>
      <c r="H279" s="78">
        <f t="shared" si="51"/>
        <v>0</v>
      </c>
      <c r="I279" s="78">
        <f t="shared" si="51"/>
        <v>0</v>
      </c>
      <c r="J279" s="78">
        <f t="shared" si="51"/>
        <v>0</v>
      </c>
      <c r="K279" s="78">
        <f t="shared" si="51"/>
        <v>0</v>
      </c>
      <c r="L279" s="78">
        <f t="shared" si="51"/>
        <v>0</v>
      </c>
      <c r="M279" s="78">
        <f t="shared" si="51"/>
        <v>0</v>
      </c>
      <c r="N279" s="78">
        <f t="shared" si="51"/>
        <v>0</v>
      </c>
      <c r="O279" s="71">
        <f t="shared" si="52"/>
        <v>0</v>
      </c>
    </row>
    <row r="280" spans="1:15" x14ac:dyDescent="0.2">
      <c r="A280" s="77" t="s">
        <v>284</v>
      </c>
      <c r="B280" s="66" t="s">
        <v>1041</v>
      </c>
      <c r="C280" s="78">
        <f t="shared" si="51"/>
        <v>0</v>
      </c>
      <c r="D280" s="78">
        <f t="shared" si="51"/>
        <v>0</v>
      </c>
      <c r="E280" s="78">
        <f t="shared" si="51"/>
        <v>0</v>
      </c>
      <c r="F280" s="78">
        <f t="shared" si="51"/>
        <v>0</v>
      </c>
      <c r="G280" s="78">
        <f t="shared" si="51"/>
        <v>0</v>
      </c>
      <c r="H280" s="78">
        <f t="shared" si="51"/>
        <v>0</v>
      </c>
      <c r="I280" s="78">
        <f t="shared" si="51"/>
        <v>0</v>
      </c>
      <c r="J280" s="78">
        <f t="shared" si="51"/>
        <v>0</v>
      </c>
      <c r="K280" s="78">
        <f t="shared" si="51"/>
        <v>0</v>
      </c>
      <c r="L280" s="78">
        <f t="shared" si="51"/>
        <v>0</v>
      </c>
      <c r="M280" s="78">
        <f t="shared" si="51"/>
        <v>0</v>
      </c>
      <c r="N280" s="78">
        <f t="shared" si="51"/>
        <v>0</v>
      </c>
      <c r="O280" s="71">
        <f t="shared" si="52"/>
        <v>0</v>
      </c>
    </row>
    <row r="281" spans="1:15" x14ac:dyDescent="0.2">
      <c r="A281" s="77" t="s">
        <v>285</v>
      </c>
      <c r="B281" s="66" t="s">
        <v>1041</v>
      </c>
      <c r="C281" s="78">
        <f t="shared" si="51"/>
        <v>0</v>
      </c>
      <c r="D281" s="78">
        <f t="shared" si="51"/>
        <v>0</v>
      </c>
      <c r="E281" s="78">
        <f t="shared" si="51"/>
        <v>0</v>
      </c>
      <c r="F281" s="78">
        <f t="shared" si="51"/>
        <v>0</v>
      </c>
      <c r="G281" s="78">
        <f t="shared" si="51"/>
        <v>0</v>
      </c>
      <c r="H281" s="78">
        <f t="shared" si="51"/>
        <v>0</v>
      </c>
      <c r="I281" s="78">
        <f t="shared" si="51"/>
        <v>0</v>
      </c>
      <c r="J281" s="78">
        <f t="shared" si="51"/>
        <v>0</v>
      </c>
      <c r="K281" s="78">
        <f t="shared" si="51"/>
        <v>0</v>
      </c>
      <c r="L281" s="78">
        <f t="shared" si="51"/>
        <v>0</v>
      </c>
      <c r="M281" s="78">
        <f t="shared" si="51"/>
        <v>0</v>
      </c>
      <c r="N281" s="78">
        <f t="shared" si="51"/>
        <v>0</v>
      </c>
      <c r="O281" s="71">
        <f t="shared" si="52"/>
        <v>0</v>
      </c>
    </row>
    <row r="282" spans="1:15" x14ac:dyDescent="0.2">
      <c r="A282" s="77" t="s">
        <v>286</v>
      </c>
      <c r="B282" s="66" t="s">
        <v>1041</v>
      </c>
      <c r="C282" s="78">
        <f t="shared" si="51"/>
        <v>0</v>
      </c>
      <c r="D282" s="78">
        <f t="shared" si="51"/>
        <v>0</v>
      </c>
      <c r="E282" s="78">
        <f t="shared" si="51"/>
        <v>0</v>
      </c>
      <c r="F282" s="78">
        <f t="shared" si="51"/>
        <v>0</v>
      </c>
      <c r="G282" s="78">
        <f t="shared" si="51"/>
        <v>0</v>
      </c>
      <c r="H282" s="78">
        <f t="shared" si="51"/>
        <v>0</v>
      </c>
      <c r="I282" s="78">
        <f t="shared" si="51"/>
        <v>0</v>
      </c>
      <c r="J282" s="78">
        <f t="shared" si="51"/>
        <v>0</v>
      </c>
      <c r="K282" s="78">
        <f t="shared" si="51"/>
        <v>0</v>
      </c>
      <c r="L282" s="78">
        <f t="shared" si="51"/>
        <v>0</v>
      </c>
      <c r="M282" s="78">
        <f t="shared" si="51"/>
        <v>0</v>
      </c>
      <c r="N282" s="78">
        <f t="shared" si="51"/>
        <v>0</v>
      </c>
      <c r="O282" s="71">
        <f t="shared" si="52"/>
        <v>0</v>
      </c>
    </row>
    <row r="283" spans="1:15" x14ac:dyDescent="0.2">
      <c r="A283" s="1006" t="s">
        <v>420</v>
      </c>
      <c r="B283" s="1007"/>
      <c r="C283" s="1007"/>
      <c r="D283" s="1007"/>
      <c r="E283" s="1007"/>
      <c r="F283" s="1007"/>
      <c r="G283" s="1007"/>
      <c r="H283" s="1007"/>
      <c r="I283" s="1007"/>
      <c r="J283" s="1007"/>
      <c r="K283" s="1007"/>
      <c r="L283" s="1007"/>
      <c r="M283" s="1007"/>
      <c r="N283" s="1007"/>
      <c r="O283" s="1008"/>
    </row>
    <row r="284" spans="1:15" x14ac:dyDescent="0.2">
      <c r="A284" s="66" t="s">
        <v>279</v>
      </c>
      <c r="B284" s="66"/>
      <c r="C284" s="98">
        <v>43556</v>
      </c>
      <c r="D284" s="98">
        <v>43586</v>
      </c>
      <c r="E284" s="98">
        <v>43617</v>
      </c>
      <c r="F284" s="98">
        <v>43647</v>
      </c>
      <c r="G284" s="98">
        <v>43678</v>
      </c>
      <c r="H284" s="98">
        <v>43709</v>
      </c>
      <c r="I284" s="98">
        <v>43739</v>
      </c>
      <c r="J284" s="98">
        <v>43770</v>
      </c>
      <c r="K284" s="98">
        <v>43800</v>
      </c>
      <c r="L284" s="98">
        <v>43831</v>
      </c>
      <c r="M284" s="98">
        <v>43862</v>
      </c>
      <c r="N284" s="98">
        <v>43891</v>
      </c>
      <c r="O284" s="66" t="s">
        <v>347</v>
      </c>
    </row>
    <row r="285" spans="1:15" x14ac:dyDescent="0.2">
      <c r="A285" s="34" t="s">
        <v>280</v>
      </c>
      <c r="B285" s="34"/>
      <c r="C285" s="34"/>
      <c r="D285" s="34"/>
      <c r="E285" s="34"/>
      <c r="F285" s="34"/>
      <c r="G285" s="34"/>
      <c r="H285" s="34"/>
      <c r="I285" s="34"/>
      <c r="J285" s="34"/>
      <c r="K285" s="34"/>
      <c r="L285" s="34"/>
      <c r="M285" s="34"/>
      <c r="N285" s="34"/>
      <c r="O285" s="71">
        <f t="shared" si="30"/>
        <v>0</v>
      </c>
    </row>
    <row r="286" spans="1:15" x14ac:dyDescent="0.2">
      <c r="A286" s="34" t="s">
        <v>281</v>
      </c>
      <c r="B286" s="11" t="s">
        <v>420</v>
      </c>
      <c r="C286" s="68">
        <f>+C287+C288+C289+C290+C291</f>
        <v>0</v>
      </c>
      <c r="D286" s="68">
        <f t="shared" ref="D286:N286" si="53">+D287+D288+D289+D290+D291</f>
        <v>0</v>
      </c>
      <c r="E286" s="68">
        <f t="shared" si="53"/>
        <v>0</v>
      </c>
      <c r="F286" s="68">
        <f t="shared" si="53"/>
        <v>0</v>
      </c>
      <c r="G286" s="68">
        <f t="shared" si="53"/>
        <v>0</v>
      </c>
      <c r="H286" s="68">
        <f t="shared" si="53"/>
        <v>0</v>
      </c>
      <c r="I286" s="68">
        <f t="shared" si="53"/>
        <v>0</v>
      </c>
      <c r="J286" s="68">
        <f t="shared" si="53"/>
        <v>0</v>
      </c>
      <c r="K286" s="68">
        <f t="shared" si="53"/>
        <v>0</v>
      </c>
      <c r="L286" s="68">
        <f t="shared" si="53"/>
        <v>0</v>
      </c>
      <c r="M286" s="68">
        <f t="shared" si="53"/>
        <v>0</v>
      </c>
      <c r="N286" s="68">
        <f t="shared" si="53"/>
        <v>0</v>
      </c>
      <c r="O286" s="71">
        <f t="shared" si="30"/>
        <v>0</v>
      </c>
    </row>
    <row r="287" spans="1:15" x14ac:dyDescent="0.2">
      <c r="A287" s="34" t="s">
        <v>282</v>
      </c>
      <c r="B287" s="11" t="s">
        <v>420</v>
      </c>
      <c r="C287" s="68">
        <f>SUMIFS('SEC (17)'!$O$6:$O$5000,'SEC (17)'!$A$6:$A$5000,$C$284:$N$284,'SEC (17)'!$M$6:$M$5000,$B$287:$B$291)</f>
        <v>0</v>
      </c>
      <c r="D287" s="68">
        <f>SUMIFS('SEC (17)'!$O$6:$O$5000,'SEC (17)'!$A$6:$A$5000,$C$284:$N$284,'SEC (17)'!$M$6:$M$5000,$B$287:$B$291)</f>
        <v>0</v>
      </c>
      <c r="E287" s="68">
        <f>SUMIFS('SEC (17)'!$O$6:$O$5000,'SEC (17)'!$A$6:$A$5000,$C$284:$N$284,'SEC (17)'!$M$6:$M$5000,$B$287:$B$291)</f>
        <v>0</v>
      </c>
      <c r="F287" s="68">
        <f>SUMIFS('SEC (17)'!$O$6:$O$5000,'SEC (17)'!$A$6:$A$5000,$C$284:$N$284,'SEC (17)'!$M$6:$M$5000,$B$287:$B$291)</f>
        <v>0</v>
      </c>
      <c r="G287" s="68">
        <f>SUMIFS('SEC (17)'!$O$6:$O$5000,'SEC (17)'!$A$6:$A$5000,$C$284:$N$284,'SEC (17)'!$M$6:$M$5000,$B$287:$B$291)</f>
        <v>0</v>
      </c>
      <c r="H287" s="68">
        <f>SUMIFS('SEC (17)'!$O$6:$O$5000,'SEC (17)'!$A$6:$A$5000,$C$284:$N$284,'SEC (17)'!$M$6:$M$5000,$B$287:$B$291)</f>
        <v>0</v>
      </c>
      <c r="I287" s="68">
        <f>SUMIFS('SEC (17)'!$O$6:$O$5000,'SEC (17)'!$A$6:$A$5000,$C$284:$N$284,'SEC (17)'!$M$6:$M$5000,$B$287:$B$291)</f>
        <v>0</v>
      </c>
      <c r="J287" s="68">
        <f>SUMIFS('SEC (17)'!$O$6:$O$5000,'SEC (17)'!$A$6:$A$5000,$C$284:$N$284,'SEC (17)'!$M$6:$M$5000,$B$287:$B$291)</f>
        <v>0</v>
      </c>
      <c r="K287" s="68">
        <f>SUMIFS('SEC (17)'!$O$6:$O$5000,'SEC (17)'!$A$6:$A$5000,$C$284:$N$284,'SEC (17)'!$M$6:$M$5000,$B$287:$B$291)</f>
        <v>0</v>
      </c>
      <c r="L287" s="68">
        <f>SUMIFS('SEC (17)'!$O$6:$O$5000,'SEC (17)'!$A$6:$A$5000,$C$284:$N$284,'SEC (17)'!$M$6:$M$5000,$B$287:$B$291)</f>
        <v>0</v>
      </c>
      <c r="M287" s="68">
        <f>SUMIFS('SEC (17)'!$O$6:$O$5000,'SEC (17)'!$A$6:$A$5000,$C$284:$N$284,'SEC (17)'!$M$6:$M$5000,$B$287:$B$291)</f>
        <v>0</v>
      </c>
      <c r="N287" s="68">
        <f>SUMIFS('SEC (17)'!$O$6:$O$5000,'SEC (17)'!$A$6:$A$5000,$C$284:$N$284,'SEC (17)'!$M$6:$M$5000,$B$287:$B$291)</f>
        <v>0</v>
      </c>
      <c r="O287" s="71">
        <f t="shared" si="30"/>
        <v>0</v>
      </c>
    </row>
    <row r="288" spans="1:15" x14ac:dyDescent="0.2">
      <c r="A288" s="34" t="s">
        <v>283</v>
      </c>
      <c r="B288" s="11" t="s">
        <v>420</v>
      </c>
      <c r="C288" s="68">
        <f>SUMIFS('SEC (17)'!$P$6:$P$5000,'SEC (17)'!$A$6:$A$5000,$C$284:$N$284,'SEC (17)'!$M$6:$M$5000,$B$287:$B$291)</f>
        <v>0</v>
      </c>
      <c r="D288" s="68">
        <f>SUMIFS('SEC (17)'!$P$6:$P$5000,'SEC (17)'!$A$6:$A$5000,$C$284:$N$284,'SEC (17)'!$M$6:$M$5000,$B$287:$B$291)</f>
        <v>0</v>
      </c>
      <c r="E288" s="68">
        <f>SUMIFS('SEC (17)'!$P$6:$P$5000,'SEC (17)'!$A$6:$A$5000,$C$284:$N$284,'SEC (17)'!$M$6:$M$5000,$B$287:$B$291)</f>
        <v>0</v>
      </c>
      <c r="F288" s="68">
        <f>SUMIFS('SEC (17)'!$P$6:$P$5000,'SEC (17)'!$A$6:$A$5000,$C$284:$N$284,'SEC (17)'!$M$6:$M$5000,$B$287:$B$291)</f>
        <v>0</v>
      </c>
      <c r="G288" s="68">
        <f>SUMIFS('SEC (17)'!$P$6:$P$5000,'SEC (17)'!$A$6:$A$5000,$C$284:$N$284,'SEC (17)'!$M$6:$M$5000,$B$287:$B$291)</f>
        <v>0</v>
      </c>
      <c r="H288" s="68">
        <f>SUMIFS('SEC (17)'!$P$6:$P$5000,'SEC (17)'!$A$6:$A$5000,$C$284:$N$284,'SEC (17)'!$M$6:$M$5000,$B$287:$B$291)</f>
        <v>0</v>
      </c>
      <c r="I288" s="68">
        <f>SUMIFS('SEC (17)'!$P$6:$P$5000,'SEC (17)'!$A$6:$A$5000,$C$284:$N$284,'SEC (17)'!$M$6:$M$5000,$B$287:$B$291)</f>
        <v>0</v>
      </c>
      <c r="J288" s="68">
        <f>SUMIFS('SEC (17)'!$P$6:$P$5000,'SEC (17)'!$A$6:$A$5000,$C$284:$N$284,'SEC (17)'!$M$6:$M$5000,$B$287:$B$291)</f>
        <v>0</v>
      </c>
      <c r="K288" s="68">
        <f>SUMIFS('SEC (17)'!$P$6:$P$5000,'SEC (17)'!$A$6:$A$5000,$C$284:$N$284,'SEC (17)'!$M$6:$M$5000,$B$287:$B$291)</f>
        <v>0</v>
      </c>
      <c r="L288" s="68">
        <f>SUMIFS('SEC (17)'!$P$6:$P$5000,'SEC (17)'!$A$6:$A$5000,$C$284:$N$284,'SEC (17)'!$M$6:$M$5000,$B$287:$B$291)</f>
        <v>0</v>
      </c>
      <c r="M288" s="68">
        <f>SUMIFS('SEC (17)'!$P$6:$P$5000,'SEC (17)'!$A$6:$A$5000,$C$284:$N$284,'SEC (17)'!$M$6:$M$5000,$B$287:$B$291)</f>
        <v>0</v>
      </c>
      <c r="N288" s="68">
        <f>SUMIFS('SEC (17)'!$P$6:$P$5000,'SEC (17)'!$A$6:$A$5000,$C$284:$N$284,'SEC (17)'!$M$6:$M$5000,$B$287:$B$291)</f>
        <v>0</v>
      </c>
      <c r="O288" s="71">
        <f t="shared" si="30"/>
        <v>0</v>
      </c>
    </row>
    <row r="289" spans="1:15" x14ac:dyDescent="0.2">
      <c r="A289" s="34" t="s">
        <v>284</v>
      </c>
      <c r="B289" s="11" t="s">
        <v>420</v>
      </c>
      <c r="C289" s="68">
        <f>SUMIFS('SEC (17)'!$Q$6:$Q$5000,'SEC (17)'!$A$6:$A$5000,$C$284:$N$284,'SEC (17)'!$M$6:$M$5000,$B$287:$B$291)</f>
        <v>0</v>
      </c>
      <c r="D289" s="68">
        <f>SUMIFS('SEC (17)'!$Q$6:$Q$5000,'SEC (17)'!$A$6:$A$5000,$C$284:$N$284,'SEC (17)'!$M$6:$M$5000,$B$287:$B$291)</f>
        <v>0</v>
      </c>
      <c r="E289" s="68">
        <f>SUMIFS('SEC (17)'!$Q$6:$Q$5000,'SEC (17)'!$A$6:$A$5000,$C$284:$N$284,'SEC (17)'!$M$6:$M$5000,$B$287:$B$291)</f>
        <v>0</v>
      </c>
      <c r="F289" s="68">
        <f>SUMIFS('SEC (17)'!$Q$6:$Q$5000,'SEC (17)'!$A$6:$A$5000,$C$284:$N$284,'SEC (17)'!$M$6:$M$5000,$B$287:$B$291)</f>
        <v>0</v>
      </c>
      <c r="G289" s="68">
        <f>SUMIFS('SEC (17)'!$Q$6:$Q$5000,'SEC (17)'!$A$6:$A$5000,$C$284:$N$284,'SEC (17)'!$M$6:$M$5000,$B$287:$B$291)</f>
        <v>0</v>
      </c>
      <c r="H289" s="68">
        <f>SUMIFS('SEC (17)'!$Q$6:$Q$5000,'SEC (17)'!$A$6:$A$5000,$C$284:$N$284,'SEC (17)'!$M$6:$M$5000,$B$287:$B$291)</f>
        <v>0</v>
      </c>
      <c r="I289" s="68">
        <f>SUMIFS('SEC (17)'!$Q$6:$Q$5000,'SEC (17)'!$A$6:$A$5000,$C$284:$N$284,'SEC (17)'!$M$6:$M$5000,$B$287:$B$291)</f>
        <v>0</v>
      </c>
      <c r="J289" s="68">
        <f>SUMIFS('SEC (17)'!$Q$6:$Q$5000,'SEC (17)'!$A$6:$A$5000,$C$284:$N$284,'SEC (17)'!$M$6:$M$5000,$B$287:$B$291)</f>
        <v>0</v>
      </c>
      <c r="K289" s="68">
        <f>SUMIFS('SEC (17)'!$Q$6:$Q$5000,'SEC (17)'!$A$6:$A$5000,$C$284:$N$284,'SEC (17)'!$M$6:$M$5000,$B$287:$B$291)</f>
        <v>0</v>
      </c>
      <c r="L289" s="68">
        <f>SUMIFS('SEC (17)'!$Q$6:$Q$5000,'SEC (17)'!$A$6:$A$5000,$C$284:$N$284,'SEC (17)'!$M$6:$M$5000,$B$287:$B$291)</f>
        <v>0</v>
      </c>
      <c r="M289" s="68">
        <f>SUMIFS('SEC (17)'!$Q$6:$Q$5000,'SEC (17)'!$A$6:$A$5000,$C$284:$N$284,'SEC (17)'!$M$6:$M$5000,$B$287:$B$291)</f>
        <v>0</v>
      </c>
      <c r="N289" s="68">
        <f>SUMIFS('SEC (17)'!$Q$6:$Q$5000,'SEC (17)'!$A$6:$A$5000,$C$284:$N$284,'SEC (17)'!$M$6:$M$5000,$B$287:$B$291)</f>
        <v>0</v>
      </c>
      <c r="O289" s="71">
        <f t="shared" si="30"/>
        <v>0</v>
      </c>
    </row>
    <row r="290" spans="1:15" x14ac:dyDescent="0.2">
      <c r="A290" s="34" t="s">
        <v>285</v>
      </c>
      <c r="B290" s="11" t="s">
        <v>420</v>
      </c>
      <c r="C290" s="68">
        <f>SUMIFS('SEC (17)'!$R$6:$R$5000,'SEC (17)'!$A$6:$A$5000,$C$284:$N$284,'SEC (17)'!$M$6:$M$5000,$B$287:$B$291)</f>
        <v>0</v>
      </c>
      <c r="D290" s="68">
        <f>SUMIFS('SEC (17)'!$R$6:$R$5000,'SEC (17)'!$A$6:$A$5000,$C$284:$N$284,'SEC (17)'!$M$6:$M$5000,$B$287:$B$291)</f>
        <v>0</v>
      </c>
      <c r="E290" s="68">
        <f>SUMIFS('SEC (17)'!$R$6:$R$5000,'SEC (17)'!$A$6:$A$5000,$C$284:$N$284,'SEC (17)'!$M$6:$M$5000,$B$287:$B$291)</f>
        <v>0</v>
      </c>
      <c r="F290" s="68">
        <f>SUMIFS('SEC (17)'!$R$6:$R$5000,'SEC (17)'!$A$6:$A$5000,$C$284:$N$284,'SEC (17)'!$M$6:$M$5000,$B$287:$B$291)</f>
        <v>0</v>
      </c>
      <c r="G290" s="68">
        <f>SUMIFS('SEC (17)'!$R$6:$R$5000,'SEC (17)'!$A$6:$A$5000,$C$284:$N$284,'SEC (17)'!$M$6:$M$5000,$B$287:$B$291)</f>
        <v>0</v>
      </c>
      <c r="H290" s="68">
        <f>SUMIFS('SEC (17)'!$R$6:$R$5000,'SEC (17)'!$A$6:$A$5000,$C$284:$N$284,'SEC (17)'!$M$6:$M$5000,$B$287:$B$291)</f>
        <v>0</v>
      </c>
      <c r="I290" s="68">
        <f>SUMIFS('SEC (17)'!$R$6:$R$5000,'SEC (17)'!$A$6:$A$5000,$C$284:$N$284,'SEC (17)'!$M$6:$M$5000,$B$287:$B$291)</f>
        <v>0</v>
      </c>
      <c r="J290" s="68">
        <f>SUMIFS('SEC (17)'!$R$6:$R$5000,'SEC (17)'!$A$6:$A$5000,$C$284:$N$284,'SEC (17)'!$M$6:$M$5000,$B$287:$B$291)</f>
        <v>0</v>
      </c>
      <c r="K290" s="68">
        <f>SUMIFS('SEC (17)'!$R$6:$R$5000,'SEC (17)'!$A$6:$A$5000,$C$284:$N$284,'SEC (17)'!$M$6:$M$5000,$B$287:$B$291)</f>
        <v>0</v>
      </c>
      <c r="L290" s="68">
        <f>SUMIFS('SEC (17)'!$R$6:$R$5000,'SEC (17)'!$A$6:$A$5000,$C$284:$N$284,'SEC (17)'!$M$6:$M$5000,$B$287:$B$291)</f>
        <v>0</v>
      </c>
      <c r="M290" s="68">
        <f>SUMIFS('SEC (17)'!$R$6:$R$5000,'SEC (17)'!$A$6:$A$5000,$C$284:$N$284,'SEC (17)'!$M$6:$M$5000,$B$287:$B$291)</f>
        <v>0</v>
      </c>
      <c r="N290" s="68">
        <f>SUMIFS('SEC (17)'!$R$6:$R$5000,'SEC (17)'!$A$6:$A$5000,$C$284:$N$284,'SEC (17)'!$M$6:$M$5000,$B$287:$B$291)</f>
        <v>0</v>
      </c>
      <c r="O290" s="71">
        <f t="shared" si="30"/>
        <v>0</v>
      </c>
    </row>
    <row r="291" spans="1:15" x14ac:dyDescent="0.2">
      <c r="A291" s="34" t="s">
        <v>286</v>
      </c>
      <c r="B291" s="11" t="s">
        <v>420</v>
      </c>
      <c r="C291" s="68">
        <f>SUMIFS('SEC (17)'!$S$6:$S$5000,'SEC (17)'!$A$6:$A$5000,$C$284:$N$284,'SEC (17)'!$M$6:$M$5000,$B$287:$B$291)</f>
        <v>0</v>
      </c>
      <c r="D291" s="68">
        <f>SUMIFS('SEC (17)'!$S$6:$S$5000,'SEC (17)'!$A$6:$A$5000,$C$284:$N$284,'SEC (17)'!$M$6:$M$5000,$B$287:$B$291)</f>
        <v>0</v>
      </c>
      <c r="E291" s="68">
        <f>SUMIFS('SEC (17)'!$S$6:$S$5000,'SEC (17)'!$A$6:$A$5000,$C$284:$N$284,'SEC (17)'!$M$6:$M$5000,$B$287:$B$291)</f>
        <v>0</v>
      </c>
      <c r="F291" s="68">
        <f>SUMIFS('SEC (17)'!$S$6:$S$5000,'SEC (17)'!$A$6:$A$5000,$C$284:$N$284,'SEC (17)'!$M$6:$M$5000,$B$287:$B$291)</f>
        <v>0</v>
      </c>
      <c r="G291" s="68">
        <f>SUMIFS('SEC (17)'!$S$6:$S$5000,'SEC (17)'!$A$6:$A$5000,$C$284:$N$284,'SEC (17)'!$M$6:$M$5000,$B$287:$B$291)</f>
        <v>0</v>
      </c>
      <c r="H291" s="68">
        <f>SUMIFS('SEC (17)'!$S$6:$S$5000,'SEC (17)'!$A$6:$A$5000,$C$284:$N$284,'SEC (17)'!$M$6:$M$5000,$B$287:$B$291)</f>
        <v>0</v>
      </c>
      <c r="I291" s="68">
        <f>SUMIFS('SEC (17)'!$S$6:$S$5000,'SEC (17)'!$A$6:$A$5000,$C$284:$N$284,'SEC (17)'!$M$6:$M$5000,$B$287:$B$291)</f>
        <v>0</v>
      </c>
      <c r="J291" s="68">
        <f>SUMIFS('SEC (17)'!$S$6:$S$5000,'SEC (17)'!$A$6:$A$5000,$C$284:$N$284,'SEC (17)'!$M$6:$M$5000,$B$287:$B$291)</f>
        <v>0</v>
      </c>
      <c r="K291" s="68">
        <f>SUMIFS('SEC (17)'!$S$6:$S$5000,'SEC (17)'!$A$6:$A$5000,$C$284:$N$284,'SEC (17)'!$M$6:$M$5000,$B$287:$B$291)</f>
        <v>0</v>
      </c>
      <c r="L291" s="68">
        <f>SUMIFS('SEC (17)'!$S$6:$S$5000,'SEC (17)'!$A$6:$A$5000,$C$284:$N$284,'SEC (17)'!$M$6:$M$5000,$B$287:$B$291)</f>
        <v>0</v>
      </c>
      <c r="M291" s="68">
        <f>SUMIFS('SEC (17)'!$S$6:$S$5000,'SEC (17)'!$A$6:$A$5000,$C$284:$N$284,'SEC (17)'!$M$6:$M$5000,$B$287:$B$291)</f>
        <v>0</v>
      </c>
      <c r="N291" s="68">
        <f>SUMIFS('SEC (17)'!$S$6:$S$5000,'SEC (17)'!$A$6:$A$5000,$C$284:$N$284,'SEC (17)'!$M$6:$M$5000,$B$287:$B$291)</f>
        <v>0</v>
      </c>
      <c r="O291" s="71">
        <f t="shared" si="30"/>
        <v>0</v>
      </c>
    </row>
    <row r="292" spans="1:15" x14ac:dyDescent="0.2">
      <c r="A292" s="1006" t="s">
        <v>419</v>
      </c>
      <c r="B292" s="1007"/>
      <c r="C292" s="1007"/>
      <c r="D292" s="1007"/>
      <c r="E292" s="1007"/>
      <c r="F292" s="1007"/>
      <c r="G292" s="1007"/>
      <c r="H292" s="1007"/>
      <c r="I292" s="1007"/>
      <c r="J292" s="1007"/>
      <c r="K292" s="1007"/>
      <c r="L292" s="1007"/>
      <c r="M292" s="1007"/>
      <c r="N292" s="1007"/>
      <c r="O292" s="1008"/>
    </row>
    <row r="293" spans="1:15" x14ac:dyDescent="0.2">
      <c r="A293" s="66" t="s">
        <v>279</v>
      </c>
      <c r="B293" s="66"/>
      <c r="C293" s="98">
        <v>43556</v>
      </c>
      <c r="D293" s="98">
        <v>43586</v>
      </c>
      <c r="E293" s="98">
        <v>43617</v>
      </c>
      <c r="F293" s="98">
        <v>43647</v>
      </c>
      <c r="G293" s="98">
        <v>43678</v>
      </c>
      <c r="H293" s="98">
        <v>43709</v>
      </c>
      <c r="I293" s="98">
        <v>43739</v>
      </c>
      <c r="J293" s="98">
        <v>43770</v>
      </c>
      <c r="K293" s="98">
        <v>43800</v>
      </c>
      <c r="L293" s="98">
        <v>43831</v>
      </c>
      <c r="M293" s="98">
        <v>43862</v>
      </c>
      <c r="N293" s="98">
        <v>43891</v>
      </c>
      <c r="O293" s="66" t="s">
        <v>347</v>
      </c>
    </row>
    <row r="294" spans="1:15" x14ac:dyDescent="0.2">
      <c r="A294" s="34" t="s">
        <v>280</v>
      </c>
      <c r="B294" s="34"/>
      <c r="C294" s="34"/>
      <c r="D294" s="34"/>
      <c r="E294" s="34"/>
      <c r="F294" s="34"/>
      <c r="G294" s="34"/>
      <c r="H294" s="34"/>
      <c r="I294" s="34"/>
      <c r="J294" s="34"/>
      <c r="K294" s="34"/>
      <c r="L294" s="34"/>
      <c r="M294" s="34"/>
      <c r="N294" s="34"/>
      <c r="O294" s="71">
        <f t="shared" si="30"/>
        <v>0</v>
      </c>
    </row>
    <row r="295" spans="1:15" x14ac:dyDescent="0.2">
      <c r="A295" s="34" t="s">
        <v>281</v>
      </c>
      <c r="B295" s="11" t="s">
        <v>419</v>
      </c>
      <c r="C295" s="68">
        <f t="shared" ref="C295:N295" si="54">+C296+C297+C298+C299+C300</f>
        <v>0</v>
      </c>
      <c r="D295" s="68">
        <f t="shared" si="54"/>
        <v>0</v>
      </c>
      <c r="E295" s="68">
        <f t="shared" si="54"/>
        <v>0</v>
      </c>
      <c r="F295" s="68">
        <f t="shared" si="54"/>
        <v>0</v>
      </c>
      <c r="G295" s="68">
        <f t="shared" si="54"/>
        <v>0</v>
      </c>
      <c r="H295" s="68">
        <f t="shared" si="54"/>
        <v>0</v>
      </c>
      <c r="I295" s="68">
        <f t="shared" si="54"/>
        <v>0</v>
      </c>
      <c r="J295" s="68">
        <f t="shared" si="54"/>
        <v>0</v>
      </c>
      <c r="K295" s="68">
        <f t="shared" si="54"/>
        <v>0</v>
      </c>
      <c r="L295" s="68">
        <f t="shared" si="54"/>
        <v>0</v>
      </c>
      <c r="M295" s="68">
        <f t="shared" si="54"/>
        <v>0</v>
      </c>
      <c r="N295" s="68">
        <f t="shared" si="54"/>
        <v>0</v>
      </c>
      <c r="O295" s="71">
        <f t="shared" si="30"/>
        <v>0</v>
      </c>
    </row>
    <row r="296" spans="1:15" x14ac:dyDescent="0.2">
      <c r="A296" s="34" t="s">
        <v>282</v>
      </c>
      <c r="B296" s="11" t="s">
        <v>419</v>
      </c>
      <c r="C296" s="68">
        <f>SUMIFS('SEC (17)'!$O$6:$O$5000,'SEC (17)'!$A$6:$A$5000,$C$284:$N$284,'SEC (17)'!$M$6:$M$5000,$B$287:$B$291)</f>
        <v>0</v>
      </c>
      <c r="D296" s="68">
        <f>SUMIFS('SEC (17)'!$O$6:$O$5000,'SEC (17)'!$A$6:$A$5000,$C$284:$N$284,'SEC (17)'!$M$6:$M$5000,$B$287:$B$291)</f>
        <v>0</v>
      </c>
      <c r="E296" s="68">
        <f>SUMIFS('SEC (17)'!$O$6:$O$5000,'SEC (17)'!$A$6:$A$5000,$C$284:$N$284,'SEC (17)'!$M$6:$M$5000,$B$287:$B$291)</f>
        <v>0</v>
      </c>
      <c r="F296" s="68">
        <f>SUMIFS('SEC (17)'!$O$6:$O$5000,'SEC (17)'!$A$6:$A$5000,$C$284:$N$284,'SEC (17)'!$M$6:$M$5000,$B$287:$B$291)</f>
        <v>0</v>
      </c>
      <c r="G296" s="68">
        <f>SUMIFS('SEC (17)'!$O$6:$O$5000,'SEC (17)'!$A$6:$A$5000,$C$284:$N$284,'SEC (17)'!$M$6:$M$5000,$B$287:$B$291)</f>
        <v>0</v>
      </c>
      <c r="H296" s="68">
        <f>SUMIFS('SEC (17)'!$O$6:$O$5000,'SEC (17)'!$A$6:$A$5000,$C$284:$N$284,'SEC (17)'!$M$6:$M$5000,$B$287:$B$291)</f>
        <v>0</v>
      </c>
      <c r="I296" s="68">
        <f>SUMIFS('SEC (17)'!$O$6:$O$5000,'SEC (17)'!$A$6:$A$5000,$C$284:$N$284,'SEC (17)'!$M$6:$M$5000,$B$287:$B$291)</f>
        <v>0</v>
      </c>
      <c r="J296" s="68">
        <f>SUMIFS('SEC (17)'!$O$6:$O$5000,'SEC (17)'!$A$6:$A$5000,$C$284:$N$284,'SEC (17)'!$M$6:$M$5000,$B$287:$B$291)</f>
        <v>0</v>
      </c>
      <c r="K296" s="68">
        <f>SUMIFS('SEC (17)'!$O$6:$O$5000,'SEC (17)'!$A$6:$A$5000,$C$284:$N$284,'SEC (17)'!$M$6:$M$5000,$B$287:$B$291)</f>
        <v>0</v>
      </c>
      <c r="L296" s="68">
        <f>SUMIFS('SEC (17)'!$O$6:$O$5000,'SEC (17)'!$A$6:$A$5000,$C$284:$N$284,'SEC (17)'!$M$6:$M$5000,$B$287:$B$291)</f>
        <v>0</v>
      </c>
      <c r="M296" s="68">
        <f>SUMIFS('SEC (17)'!$O$6:$O$5000,'SEC (17)'!$A$6:$A$5000,$C$284:$N$284,'SEC (17)'!$M$6:$M$5000,$B$287:$B$291)</f>
        <v>0</v>
      </c>
      <c r="N296" s="68">
        <f>SUMIFS('SEC (17)'!$O$6:$O$5000,'SEC (17)'!$A$6:$A$5000,$C$284:$N$284,'SEC (17)'!$M$6:$M$5000,$B$287:$B$291)</f>
        <v>0</v>
      </c>
      <c r="O296" s="71">
        <f t="shared" si="30"/>
        <v>0</v>
      </c>
    </row>
    <row r="297" spans="1:15" x14ac:dyDescent="0.2">
      <c r="A297" s="34" t="s">
        <v>283</v>
      </c>
      <c r="B297" s="11" t="s">
        <v>419</v>
      </c>
      <c r="C297" s="68">
        <f>SUMIFS('SEC (17)'!$P$6:$P$5000,'SEC (17)'!$A$6:$A$5000,$C$284:$N$284,'SEC (17)'!$M$6:$M$5000,$B$287:$B$291)</f>
        <v>0</v>
      </c>
      <c r="D297" s="68">
        <f>SUMIFS('SEC (17)'!$P$6:$P$5000,'SEC (17)'!$A$6:$A$5000,$C$284:$N$284,'SEC (17)'!$M$6:$M$5000,$B$287:$B$291)</f>
        <v>0</v>
      </c>
      <c r="E297" s="68">
        <f>SUMIFS('SEC (17)'!$P$6:$P$5000,'SEC (17)'!$A$6:$A$5000,$C$284:$N$284,'SEC (17)'!$M$6:$M$5000,$B$287:$B$291)</f>
        <v>0</v>
      </c>
      <c r="F297" s="68">
        <f>SUMIFS('SEC (17)'!$P$6:$P$5000,'SEC (17)'!$A$6:$A$5000,$C$284:$N$284,'SEC (17)'!$M$6:$M$5000,$B$287:$B$291)</f>
        <v>0</v>
      </c>
      <c r="G297" s="68">
        <f>SUMIFS('SEC (17)'!$P$6:$P$5000,'SEC (17)'!$A$6:$A$5000,$C$284:$N$284,'SEC (17)'!$M$6:$M$5000,$B$287:$B$291)</f>
        <v>0</v>
      </c>
      <c r="H297" s="68">
        <f>SUMIFS('SEC (17)'!$P$6:$P$5000,'SEC (17)'!$A$6:$A$5000,$C$284:$N$284,'SEC (17)'!$M$6:$M$5000,$B$287:$B$291)</f>
        <v>0</v>
      </c>
      <c r="I297" s="68">
        <f>SUMIFS('SEC (17)'!$P$6:$P$5000,'SEC (17)'!$A$6:$A$5000,$C$284:$N$284,'SEC (17)'!$M$6:$M$5000,$B$287:$B$291)</f>
        <v>0</v>
      </c>
      <c r="J297" s="68">
        <f>SUMIFS('SEC (17)'!$P$6:$P$5000,'SEC (17)'!$A$6:$A$5000,$C$284:$N$284,'SEC (17)'!$M$6:$M$5000,$B$287:$B$291)</f>
        <v>0</v>
      </c>
      <c r="K297" s="68">
        <f>SUMIFS('SEC (17)'!$P$6:$P$5000,'SEC (17)'!$A$6:$A$5000,$C$284:$N$284,'SEC (17)'!$M$6:$M$5000,$B$287:$B$291)</f>
        <v>0</v>
      </c>
      <c r="L297" s="68">
        <f>SUMIFS('SEC (17)'!$P$6:$P$5000,'SEC (17)'!$A$6:$A$5000,$C$284:$N$284,'SEC (17)'!$M$6:$M$5000,$B$287:$B$291)</f>
        <v>0</v>
      </c>
      <c r="M297" s="68">
        <f>SUMIFS('SEC (17)'!$P$6:$P$5000,'SEC (17)'!$A$6:$A$5000,$C$284:$N$284,'SEC (17)'!$M$6:$M$5000,$B$287:$B$291)</f>
        <v>0</v>
      </c>
      <c r="N297" s="68">
        <f>SUMIFS('SEC (17)'!$P$6:$P$5000,'SEC (17)'!$A$6:$A$5000,$C$284:$N$284,'SEC (17)'!$M$6:$M$5000,$B$287:$B$291)</f>
        <v>0</v>
      </c>
      <c r="O297" s="71">
        <f t="shared" si="30"/>
        <v>0</v>
      </c>
    </row>
    <row r="298" spans="1:15" x14ac:dyDescent="0.2">
      <c r="A298" s="34" t="s">
        <v>284</v>
      </c>
      <c r="B298" s="11" t="s">
        <v>419</v>
      </c>
      <c r="C298" s="68">
        <f>SUMIFS('SEC (17)'!$Q$6:$Q$5000,'SEC (17)'!$A$6:$A$5000,$C$284:$N$284,'SEC (17)'!$M$6:$M$5000,$B$287:$B$291)</f>
        <v>0</v>
      </c>
      <c r="D298" s="68">
        <f>SUMIFS('SEC (17)'!$Q$6:$Q$5000,'SEC (17)'!$A$6:$A$5000,$C$284:$N$284,'SEC (17)'!$M$6:$M$5000,$B$287:$B$291)</f>
        <v>0</v>
      </c>
      <c r="E298" s="68">
        <f>SUMIFS('SEC (17)'!$Q$6:$Q$5000,'SEC (17)'!$A$6:$A$5000,$C$284:$N$284,'SEC (17)'!$M$6:$M$5000,$B$287:$B$291)</f>
        <v>0</v>
      </c>
      <c r="F298" s="68">
        <f>SUMIFS('SEC (17)'!$Q$6:$Q$5000,'SEC (17)'!$A$6:$A$5000,$C$284:$N$284,'SEC (17)'!$M$6:$M$5000,$B$287:$B$291)</f>
        <v>0</v>
      </c>
      <c r="G298" s="68">
        <f>SUMIFS('SEC (17)'!$Q$6:$Q$5000,'SEC (17)'!$A$6:$A$5000,$C$284:$N$284,'SEC (17)'!$M$6:$M$5000,$B$287:$B$291)</f>
        <v>0</v>
      </c>
      <c r="H298" s="68">
        <f>SUMIFS('SEC (17)'!$Q$6:$Q$5000,'SEC (17)'!$A$6:$A$5000,$C$284:$N$284,'SEC (17)'!$M$6:$M$5000,$B$287:$B$291)</f>
        <v>0</v>
      </c>
      <c r="I298" s="68">
        <f>SUMIFS('SEC (17)'!$Q$6:$Q$5000,'SEC (17)'!$A$6:$A$5000,$C$284:$N$284,'SEC (17)'!$M$6:$M$5000,$B$287:$B$291)</f>
        <v>0</v>
      </c>
      <c r="J298" s="68">
        <f>SUMIFS('SEC (17)'!$Q$6:$Q$5000,'SEC (17)'!$A$6:$A$5000,$C$284:$N$284,'SEC (17)'!$M$6:$M$5000,$B$287:$B$291)</f>
        <v>0</v>
      </c>
      <c r="K298" s="68">
        <f>SUMIFS('SEC (17)'!$Q$6:$Q$5000,'SEC (17)'!$A$6:$A$5000,$C$284:$N$284,'SEC (17)'!$M$6:$M$5000,$B$287:$B$291)</f>
        <v>0</v>
      </c>
      <c r="L298" s="68">
        <f>SUMIFS('SEC (17)'!$Q$6:$Q$5000,'SEC (17)'!$A$6:$A$5000,$C$284:$N$284,'SEC (17)'!$M$6:$M$5000,$B$287:$B$291)</f>
        <v>0</v>
      </c>
      <c r="M298" s="68">
        <f>SUMIFS('SEC (17)'!$Q$6:$Q$5000,'SEC (17)'!$A$6:$A$5000,$C$284:$N$284,'SEC (17)'!$M$6:$M$5000,$B$287:$B$291)</f>
        <v>0</v>
      </c>
      <c r="N298" s="68">
        <f>SUMIFS('SEC (17)'!$Q$6:$Q$5000,'SEC (17)'!$A$6:$A$5000,$C$284:$N$284,'SEC (17)'!$M$6:$M$5000,$B$287:$B$291)</f>
        <v>0</v>
      </c>
      <c r="O298" s="71">
        <f t="shared" si="30"/>
        <v>0</v>
      </c>
    </row>
    <row r="299" spans="1:15" x14ac:dyDescent="0.2">
      <c r="A299" s="34" t="s">
        <v>285</v>
      </c>
      <c r="B299" s="11" t="s">
        <v>419</v>
      </c>
      <c r="C299" s="68">
        <f>SUMIFS('SEC (17)'!$R$6:$R$5000,'SEC (17)'!$A$6:$A$5000,$C$284:$N$284,'SEC (17)'!$M$6:$M$5000,$B$287:$B$291)</f>
        <v>0</v>
      </c>
      <c r="D299" s="68">
        <f>SUMIFS('SEC (17)'!$R$6:$R$5000,'SEC (17)'!$A$6:$A$5000,$C$284:$N$284,'SEC (17)'!$M$6:$M$5000,$B$287:$B$291)</f>
        <v>0</v>
      </c>
      <c r="E299" s="68">
        <f>SUMIFS('SEC (17)'!$R$6:$R$5000,'SEC (17)'!$A$6:$A$5000,$C$284:$N$284,'SEC (17)'!$M$6:$M$5000,$B$287:$B$291)</f>
        <v>0</v>
      </c>
      <c r="F299" s="68">
        <f>SUMIFS('SEC (17)'!$R$6:$R$5000,'SEC (17)'!$A$6:$A$5000,$C$284:$N$284,'SEC (17)'!$M$6:$M$5000,$B$287:$B$291)</f>
        <v>0</v>
      </c>
      <c r="G299" s="68">
        <f>SUMIFS('SEC (17)'!$R$6:$R$5000,'SEC (17)'!$A$6:$A$5000,$C$284:$N$284,'SEC (17)'!$M$6:$M$5000,$B$287:$B$291)</f>
        <v>0</v>
      </c>
      <c r="H299" s="68">
        <f>SUMIFS('SEC (17)'!$R$6:$R$5000,'SEC (17)'!$A$6:$A$5000,$C$284:$N$284,'SEC (17)'!$M$6:$M$5000,$B$287:$B$291)</f>
        <v>0</v>
      </c>
      <c r="I299" s="68">
        <f>SUMIFS('SEC (17)'!$R$6:$R$5000,'SEC (17)'!$A$6:$A$5000,$C$284:$N$284,'SEC (17)'!$M$6:$M$5000,$B$287:$B$291)</f>
        <v>0</v>
      </c>
      <c r="J299" s="68">
        <f>SUMIFS('SEC (17)'!$R$6:$R$5000,'SEC (17)'!$A$6:$A$5000,$C$284:$N$284,'SEC (17)'!$M$6:$M$5000,$B$287:$B$291)</f>
        <v>0</v>
      </c>
      <c r="K299" s="68">
        <f>SUMIFS('SEC (17)'!$R$6:$R$5000,'SEC (17)'!$A$6:$A$5000,$C$284:$N$284,'SEC (17)'!$M$6:$M$5000,$B$287:$B$291)</f>
        <v>0</v>
      </c>
      <c r="L299" s="68">
        <f>SUMIFS('SEC (17)'!$R$6:$R$5000,'SEC (17)'!$A$6:$A$5000,$C$284:$N$284,'SEC (17)'!$M$6:$M$5000,$B$287:$B$291)</f>
        <v>0</v>
      </c>
      <c r="M299" s="68">
        <f>SUMIFS('SEC (17)'!$R$6:$R$5000,'SEC (17)'!$A$6:$A$5000,$C$284:$N$284,'SEC (17)'!$M$6:$M$5000,$B$287:$B$291)</f>
        <v>0</v>
      </c>
      <c r="N299" s="68">
        <f>SUMIFS('SEC (17)'!$R$6:$R$5000,'SEC (17)'!$A$6:$A$5000,$C$284:$N$284,'SEC (17)'!$M$6:$M$5000,$B$287:$B$291)</f>
        <v>0</v>
      </c>
      <c r="O299" s="71">
        <f t="shared" si="30"/>
        <v>0</v>
      </c>
    </row>
    <row r="300" spans="1:15" x14ac:dyDescent="0.2">
      <c r="A300" s="34" t="s">
        <v>286</v>
      </c>
      <c r="B300" s="11" t="s">
        <v>419</v>
      </c>
      <c r="C300" s="68">
        <f>SUMIFS('SEC (17)'!$S$6:$S$5000,'SEC (17)'!$A$6:$A$5000,$C$284:$N$284,'SEC (17)'!$M$6:$M$5000,$B$287:$B$291)</f>
        <v>0</v>
      </c>
      <c r="D300" s="68">
        <f>SUMIFS('SEC (17)'!$S$6:$S$5000,'SEC (17)'!$A$6:$A$5000,$C$284:$N$284,'SEC (17)'!$M$6:$M$5000,$B$287:$B$291)</f>
        <v>0</v>
      </c>
      <c r="E300" s="68">
        <f>SUMIFS('SEC (17)'!$S$6:$S$5000,'SEC (17)'!$A$6:$A$5000,$C$284:$N$284,'SEC (17)'!$M$6:$M$5000,$B$287:$B$291)</f>
        <v>0</v>
      </c>
      <c r="F300" s="68">
        <f>SUMIFS('SEC (17)'!$S$6:$S$5000,'SEC (17)'!$A$6:$A$5000,$C$284:$N$284,'SEC (17)'!$M$6:$M$5000,$B$287:$B$291)</f>
        <v>0</v>
      </c>
      <c r="G300" s="68">
        <f>SUMIFS('SEC (17)'!$S$6:$S$5000,'SEC (17)'!$A$6:$A$5000,$C$284:$N$284,'SEC (17)'!$M$6:$M$5000,$B$287:$B$291)</f>
        <v>0</v>
      </c>
      <c r="H300" s="68">
        <f>SUMIFS('SEC (17)'!$S$6:$S$5000,'SEC (17)'!$A$6:$A$5000,$C$284:$N$284,'SEC (17)'!$M$6:$M$5000,$B$287:$B$291)</f>
        <v>0</v>
      </c>
      <c r="I300" s="68">
        <f>SUMIFS('SEC (17)'!$S$6:$S$5000,'SEC (17)'!$A$6:$A$5000,$C$284:$N$284,'SEC (17)'!$M$6:$M$5000,$B$287:$B$291)</f>
        <v>0</v>
      </c>
      <c r="J300" s="68">
        <f>SUMIFS('SEC (17)'!$S$6:$S$5000,'SEC (17)'!$A$6:$A$5000,$C$284:$N$284,'SEC (17)'!$M$6:$M$5000,$B$287:$B$291)</f>
        <v>0</v>
      </c>
      <c r="K300" s="68">
        <f>SUMIFS('SEC (17)'!$S$6:$S$5000,'SEC (17)'!$A$6:$A$5000,$C$284:$N$284,'SEC (17)'!$M$6:$M$5000,$B$287:$B$291)</f>
        <v>0</v>
      </c>
      <c r="L300" s="68">
        <f>SUMIFS('SEC (17)'!$S$6:$S$5000,'SEC (17)'!$A$6:$A$5000,$C$284:$N$284,'SEC (17)'!$M$6:$M$5000,$B$287:$B$291)</f>
        <v>0</v>
      </c>
      <c r="M300" s="68">
        <f>SUMIFS('SEC (17)'!$S$6:$S$5000,'SEC (17)'!$A$6:$A$5000,$C$284:$N$284,'SEC (17)'!$M$6:$M$5000,$B$287:$B$291)</f>
        <v>0</v>
      </c>
      <c r="N300" s="68">
        <f>SUMIFS('SEC (17)'!$S$6:$S$5000,'SEC (17)'!$A$6:$A$5000,$C$284:$N$284,'SEC (17)'!$M$6:$M$5000,$B$287:$B$291)</f>
        <v>0</v>
      </c>
      <c r="O300" s="71">
        <f t="shared" ref="O300:O316" si="55">SUM(C300:N300)</f>
        <v>0</v>
      </c>
    </row>
    <row r="301" spans="1:15" x14ac:dyDescent="0.2">
      <c r="A301" s="1006" t="s">
        <v>3704</v>
      </c>
      <c r="B301" s="1007"/>
      <c r="C301" s="1007"/>
      <c r="D301" s="1007"/>
      <c r="E301" s="1007"/>
      <c r="F301" s="1007"/>
      <c r="G301" s="1007"/>
      <c r="H301" s="1007"/>
      <c r="I301" s="1007"/>
      <c r="J301" s="1007"/>
      <c r="K301" s="1007"/>
      <c r="L301" s="1007"/>
      <c r="M301" s="1007"/>
      <c r="N301" s="1007"/>
      <c r="O301" s="1008"/>
    </row>
    <row r="302" spans="1:15" x14ac:dyDescent="0.2">
      <c r="A302" s="66" t="s">
        <v>279</v>
      </c>
      <c r="B302" s="66" t="s">
        <v>1041</v>
      </c>
      <c r="C302" s="98">
        <v>43556</v>
      </c>
      <c r="D302" s="98">
        <v>43586</v>
      </c>
      <c r="E302" s="98">
        <v>43617</v>
      </c>
      <c r="F302" s="98">
        <v>43647</v>
      </c>
      <c r="G302" s="98">
        <v>43678</v>
      </c>
      <c r="H302" s="98">
        <v>43709</v>
      </c>
      <c r="I302" s="98">
        <v>43739</v>
      </c>
      <c r="J302" s="98">
        <v>43770</v>
      </c>
      <c r="K302" s="98">
        <v>43800</v>
      </c>
      <c r="L302" s="98">
        <v>43831</v>
      </c>
      <c r="M302" s="98">
        <v>43862</v>
      </c>
      <c r="N302" s="98">
        <v>43891</v>
      </c>
      <c r="O302" s="66" t="s">
        <v>347</v>
      </c>
    </row>
    <row r="303" spans="1:15" x14ac:dyDescent="0.2">
      <c r="A303" s="77" t="s">
        <v>281</v>
      </c>
      <c r="B303" s="66" t="s">
        <v>1041</v>
      </c>
      <c r="C303" s="78">
        <f t="shared" ref="C303:C308" si="56">+C286+C295</f>
        <v>0</v>
      </c>
      <c r="D303" s="78">
        <f t="shared" ref="D303:N303" si="57">+D286+D295</f>
        <v>0</v>
      </c>
      <c r="E303" s="78">
        <f t="shared" si="57"/>
        <v>0</v>
      </c>
      <c r="F303" s="78">
        <f t="shared" si="57"/>
        <v>0</v>
      </c>
      <c r="G303" s="78">
        <f t="shared" si="57"/>
        <v>0</v>
      </c>
      <c r="H303" s="78">
        <f t="shared" si="57"/>
        <v>0</v>
      </c>
      <c r="I303" s="78">
        <f t="shared" si="57"/>
        <v>0</v>
      </c>
      <c r="J303" s="78">
        <f t="shared" si="57"/>
        <v>0</v>
      </c>
      <c r="K303" s="78">
        <f t="shared" si="57"/>
        <v>0</v>
      </c>
      <c r="L303" s="78">
        <f t="shared" si="57"/>
        <v>0</v>
      </c>
      <c r="M303" s="78">
        <f t="shared" si="57"/>
        <v>0</v>
      </c>
      <c r="N303" s="78">
        <f t="shared" si="57"/>
        <v>0</v>
      </c>
      <c r="O303" s="71">
        <f t="shared" si="55"/>
        <v>0</v>
      </c>
    </row>
    <row r="304" spans="1:15" x14ac:dyDescent="0.2">
      <c r="A304" s="77" t="s">
        <v>282</v>
      </c>
      <c r="B304" s="66" t="s">
        <v>1041</v>
      </c>
      <c r="C304" s="78">
        <f t="shared" si="56"/>
        <v>0</v>
      </c>
      <c r="D304" s="78">
        <f t="shared" ref="D304:N304" si="58">+D287+D296</f>
        <v>0</v>
      </c>
      <c r="E304" s="78">
        <f t="shared" si="58"/>
        <v>0</v>
      </c>
      <c r="F304" s="78">
        <f t="shared" si="58"/>
        <v>0</v>
      </c>
      <c r="G304" s="78">
        <f t="shared" si="58"/>
        <v>0</v>
      </c>
      <c r="H304" s="78">
        <f t="shared" si="58"/>
        <v>0</v>
      </c>
      <c r="I304" s="78">
        <f t="shared" si="58"/>
        <v>0</v>
      </c>
      <c r="J304" s="78">
        <f t="shared" si="58"/>
        <v>0</v>
      </c>
      <c r="K304" s="78">
        <f t="shared" si="58"/>
        <v>0</v>
      </c>
      <c r="L304" s="78">
        <f t="shared" si="58"/>
        <v>0</v>
      </c>
      <c r="M304" s="78">
        <f t="shared" si="58"/>
        <v>0</v>
      </c>
      <c r="N304" s="78">
        <f t="shared" si="58"/>
        <v>0</v>
      </c>
      <c r="O304" s="71">
        <f t="shared" si="55"/>
        <v>0</v>
      </c>
    </row>
    <row r="305" spans="1:15" x14ac:dyDescent="0.2">
      <c r="A305" s="77" t="s">
        <v>283</v>
      </c>
      <c r="B305" s="66" t="s">
        <v>1041</v>
      </c>
      <c r="C305" s="78">
        <f t="shared" si="56"/>
        <v>0</v>
      </c>
      <c r="D305" s="78">
        <f t="shared" ref="D305:N305" si="59">+D288+D297</f>
        <v>0</v>
      </c>
      <c r="E305" s="78">
        <f t="shared" si="59"/>
        <v>0</v>
      </c>
      <c r="F305" s="78">
        <f t="shared" si="59"/>
        <v>0</v>
      </c>
      <c r="G305" s="78">
        <f t="shared" si="59"/>
        <v>0</v>
      </c>
      <c r="H305" s="78">
        <f t="shared" si="59"/>
        <v>0</v>
      </c>
      <c r="I305" s="78">
        <f t="shared" si="59"/>
        <v>0</v>
      </c>
      <c r="J305" s="78">
        <f t="shared" si="59"/>
        <v>0</v>
      </c>
      <c r="K305" s="78">
        <f t="shared" si="59"/>
        <v>0</v>
      </c>
      <c r="L305" s="78">
        <f t="shared" si="59"/>
        <v>0</v>
      </c>
      <c r="M305" s="78">
        <f t="shared" si="59"/>
        <v>0</v>
      </c>
      <c r="N305" s="78">
        <f t="shared" si="59"/>
        <v>0</v>
      </c>
      <c r="O305" s="71">
        <f t="shared" si="55"/>
        <v>0</v>
      </c>
    </row>
    <row r="306" spans="1:15" x14ac:dyDescent="0.2">
      <c r="A306" s="77" t="s">
        <v>284</v>
      </c>
      <c r="B306" s="66" t="s">
        <v>1041</v>
      </c>
      <c r="C306" s="78">
        <f t="shared" si="56"/>
        <v>0</v>
      </c>
      <c r="D306" s="78">
        <f t="shared" ref="D306:N306" si="60">+D289+D298</f>
        <v>0</v>
      </c>
      <c r="E306" s="78">
        <f t="shared" si="60"/>
        <v>0</v>
      </c>
      <c r="F306" s="78">
        <f t="shared" si="60"/>
        <v>0</v>
      </c>
      <c r="G306" s="78">
        <f t="shared" si="60"/>
        <v>0</v>
      </c>
      <c r="H306" s="78">
        <f t="shared" si="60"/>
        <v>0</v>
      </c>
      <c r="I306" s="78">
        <f t="shared" si="60"/>
        <v>0</v>
      </c>
      <c r="J306" s="78">
        <f t="shared" si="60"/>
        <v>0</v>
      </c>
      <c r="K306" s="78">
        <f t="shared" si="60"/>
        <v>0</v>
      </c>
      <c r="L306" s="78">
        <f t="shared" si="60"/>
        <v>0</v>
      </c>
      <c r="M306" s="78">
        <f t="shared" si="60"/>
        <v>0</v>
      </c>
      <c r="N306" s="78">
        <f t="shared" si="60"/>
        <v>0</v>
      </c>
      <c r="O306" s="71">
        <f t="shared" si="55"/>
        <v>0</v>
      </c>
    </row>
    <row r="307" spans="1:15" x14ac:dyDescent="0.2">
      <c r="A307" s="77" t="s">
        <v>285</v>
      </c>
      <c r="B307" s="66" t="s">
        <v>1041</v>
      </c>
      <c r="C307" s="78">
        <f t="shared" si="56"/>
        <v>0</v>
      </c>
      <c r="D307" s="78">
        <f t="shared" ref="D307:N307" si="61">+D290+D299</f>
        <v>0</v>
      </c>
      <c r="E307" s="78">
        <f t="shared" si="61"/>
        <v>0</v>
      </c>
      <c r="F307" s="78">
        <f t="shared" si="61"/>
        <v>0</v>
      </c>
      <c r="G307" s="78">
        <f t="shared" si="61"/>
        <v>0</v>
      </c>
      <c r="H307" s="78">
        <f t="shared" si="61"/>
        <v>0</v>
      </c>
      <c r="I307" s="78">
        <f t="shared" si="61"/>
        <v>0</v>
      </c>
      <c r="J307" s="78">
        <f t="shared" si="61"/>
        <v>0</v>
      </c>
      <c r="K307" s="78">
        <f t="shared" si="61"/>
        <v>0</v>
      </c>
      <c r="L307" s="78">
        <f t="shared" si="61"/>
        <v>0</v>
      </c>
      <c r="M307" s="78">
        <f t="shared" si="61"/>
        <v>0</v>
      </c>
      <c r="N307" s="78">
        <f t="shared" si="61"/>
        <v>0</v>
      </c>
      <c r="O307" s="71">
        <f t="shared" si="55"/>
        <v>0</v>
      </c>
    </row>
    <row r="308" spans="1:15" x14ac:dyDescent="0.2">
      <c r="A308" s="77" t="s">
        <v>286</v>
      </c>
      <c r="B308" s="66" t="s">
        <v>1041</v>
      </c>
      <c r="C308" s="78">
        <f t="shared" si="56"/>
        <v>0</v>
      </c>
      <c r="D308" s="78">
        <f t="shared" ref="D308:N308" si="62">+D291+D300</f>
        <v>0</v>
      </c>
      <c r="E308" s="78">
        <f t="shared" si="62"/>
        <v>0</v>
      </c>
      <c r="F308" s="78">
        <f t="shared" si="62"/>
        <v>0</v>
      </c>
      <c r="G308" s="78">
        <f t="shared" si="62"/>
        <v>0</v>
      </c>
      <c r="H308" s="78">
        <f t="shared" si="62"/>
        <v>0</v>
      </c>
      <c r="I308" s="78">
        <f t="shared" si="62"/>
        <v>0</v>
      </c>
      <c r="J308" s="78">
        <f t="shared" si="62"/>
        <v>0</v>
      </c>
      <c r="K308" s="78">
        <f t="shared" si="62"/>
        <v>0</v>
      </c>
      <c r="L308" s="78">
        <f t="shared" si="62"/>
        <v>0</v>
      </c>
      <c r="M308" s="78">
        <f t="shared" si="62"/>
        <v>0</v>
      </c>
      <c r="N308" s="78">
        <f t="shared" si="62"/>
        <v>0</v>
      </c>
      <c r="O308" s="71">
        <f t="shared" si="55"/>
        <v>0</v>
      </c>
    </row>
    <row r="309" spans="1:15" x14ac:dyDescent="0.2">
      <c r="A309" s="1006" t="s">
        <v>347</v>
      </c>
      <c r="B309" s="1007"/>
      <c r="C309" s="1007"/>
      <c r="D309" s="1007"/>
      <c r="E309" s="1007"/>
      <c r="F309" s="1007"/>
      <c r="G309" s="1007"/>
      <c r="H309" s="1007"/>
      <c r="I309" s="1007"/>
      <c r="J309" s="1007"/>
      <c r="K309" s="1007"/>
      <c r="L309" s="1007"/>
      <c r="M309" s="1007"/>
      <c r="N309" s="1007"/>
      <c r="O309" s="1008"/>
    </row>
    <row r="310" spans="1:15" x14ac:dyDescent="0.2">
      <c r="A310" s="66" t="s">
        <v>279</v>
      </c>
      <c r="B310" s="66" t="s">
        <v>1041</v>
      </c>
      <c r="C310" s="98">
        <v>43556</v>
      </c>
      <c r="D310" s="98">
        <v>43586</v>
      </c>
      <c r="E310" s="98">
        <v>43617</v>
      </c>
      <c r="F310" s="98">
        <v>43647</v>
      </c>
      <c r="G310" s="98">
        <v>43678</v>
      </c>
      <c r="H310" s="98">
        <v>43709</v>
      </c>
      <c r="I310" s="98">
        <v>43739</v>
      </c>
      <c r="J310" s="98">
        <v>43770</v>
      </c>
      <c r="K310" s="98">
        <v>43800</v>
      </c>
      <c r="L310" s="98">
        <v>43831</v>
      </c>
      <c r="M310" s="98">
        <v>43862</v>
      </c>
      <c r="N310" s="98">
        <v>43891</v>
      </c>
      <c r="O310" s="66" t="s">
        <v>347</v>
      </c>
    </row>
    <row r="311" spans="1:15" x14ac:dyDescent="0.2">
      <c r="A311" s="77" t="s">
        <v>281</v>
      </c>
      <c r="B311" s="66" t="s">
        <v>1041</v>
      </c>
      <c r="C311" s="78">
        <f t="shared" ref="C311:C316" si="63">+C216+C251+C303</f>
        <v>2996576.6181000005</v>
      </c>
      <c r="D311" s="78">
        <f t="shared" ref="D311:N311" si="64">+D216+D251+D303</f>
        <v>4530269.391400001</v>
      </c>
      <c r="E311" s="78">
        <f t="shared" si="64"/>
        <v>5160037.1261</v>
      </c>
      <c r="F311" s="78">
        <f t="shared" si="64"/>
        <v>6814688.9543999964</v>
      </c>
      <c r="G311" s="78">
        <f t="shared" si="64"/>
        <v>4226096.9605999999</v>
      </c>
      <c r="H311" s="78">
        <f t="shared" si="64"/>
        <v>4282373.9101</v>
      </c>
      <c r="I311" s="78">
        <f t="shared" si="64"/>
        <v>4244279.1296000006</v>
      </c>
      <c r="J311" s="78">
        <f t="shared" si="64"/>
        <v>3753953.7602000008</v>
      </c>
      <c r="K311" s="78">
        <f t="shared" si="64"/>
        <v>6619170.9253000002</v>
      </c>
      <c r="L311" s="78">
        <f t="shared" si="64"/>
        <v>3436573.4769000001</v>
      </c>
      <c r="M311" s="78">
        <f t="shared" si="64"/>
        <v>0</v>
      </c>
      <c r="N311" s="78">
        <f t="shared" si="64"/>
        <v>0</v>
      </c>
      <c r="O311" s="71">
        <f t="shared" si="55"/>
        <v>46064020.252700001</v>
      </c>
    </row>
    <row r="312" spans="1:15" x14ac:dyDescent="0.2">
      <c r="A312" s="77" t="s">
        <v>282</v>
      </c>
      <c r="B312" s="66" t="s">
        <v>1041</v>
      </c>
      <c r="C312" s="78">
        <f t="shared" si="63"/>
        <v>2674004.3000000007</v>
      </c>
      <c r="D312" s="78">
        <f t="shared" ref="D312:N312" si="65">+D217+D252+D304</f>
        <v>4056345.3600000003</v>
      </c>
      <c r="E312" s="78">
        <f t="shared" si="65"/>
        <v>4613330.58</v>
      </c>
      <c r="F312" s="78">
        <f t="shared" si="65"/>
        <v>6140778.5599999968</v>
      </c>
      <c r="G312" s="78">
        <f t="shared" si="65"/>
        <v>3810723.6500000004</v>
      </c>
      <c r="H312" s="78">
        <f t="shared" si="65"/>
        <v>3841925.22</v>
      </c>
      <c r="I312" s="78">
        <f t="shared" si="65"/>
        <v>3831158.9400000004</v>
      </c>
      <c r="J312" s="78">
        <f t="shared" si="65"/>
        <v>3391885.7700000005</v>
      </c>
      <c r="K312" s="78">
        <f t="shared" si="65"/>
        <v>5902621.4299999997</v>
      </c>
      <c r="L312" s="78">
        <f t="shared" si="65"/>
        <v>3112875.14</v>
      </c>
      <c r="M312" s="78">
        <f t="shared" si="65"/>
        <v>0</v>
      </c>
      <c r="N312" s="78">
        <f t="shared" si="65"/>
        <v>0</v>
      </c>
      <c r="O312" s="71">
        <f t="shared" si="55"/>
        <v>41375648.949999996</v>
      </c>
    </row>
    <row r="313" spans="1:15" x14ac:dyDescent="0.2">
      <c r="A313" s="77" t="s">
        <v>283</v>
      </c>
      <c r="B313" s="66" t="s">
        <v>1041</v>
      </c>
      <c r="C313" s="78">
        <f t="shared" si="63"/>
        <v>2079.9351999999999</v>
      </c>
      <c r="D313" s="78">
        <f t="shared" ref="D313:N313" si="66">+D218+D253+D305</f>
        <v>36933.315999999999</v>
      </c>
      <c r="E313" s="78">
        <f t="shared" si="66"/>
        <v>89585.376799999998</v>
      </c>
      <c r="F313" s="78">
        <f t="shared" si="66"/>
        <v>23899.64</v>
      </c>
      <c r="G313" s="78">
        <f t="shared" si="66"/>
        <v>10977.877199999999</v>
      </c>
      <c r="H313" s="78">
        <f t="shared" si="66"/>
        <v>57463.603599999988</v>
      </c>
      <c r="I313" s="78">
        <f t="shared" si="66"/>
        <v>35776.299999999996</v>
      </c>
      <c r="J313" s="78">
        <f t="shared" si="66"/>
        <v>28467.498000000003</v>
      </c>
      <c r="K313" s="78">
        <f t="shared" si="66"/>
        <v>293644.29119999998</v>
      </c>
      <c r="L313" s="78">
        <f t="shared" si="66"/>
        <v>23052.937600000001</v>
      </c>
      <c r="M313" s="78">
        <f t="shared" si="66"/>
        <v>0</v>
      </c>
      <c r="N313" s="78">
        <f t="shared" si="66"/>
        <v>0</v>
      </c>
      <c r="O313" s="71">
        <f t="shared" si="55"/>
        <v>601880.77559999994</v>
      </c>
    </row>
    <row r="314" spans="1:15" x14ac:dyDescent="0.2">
      <c r="A314" s="77" t="s">
        <v>284</v>
      </c>
      <c r="B314" s="66" t="s">
        <v>1041</v>
      </c>
      <c r="C314" s="78">
        <f t="shared" si="63"/>
        <v>320508.5828999998</v>
      </c>
      <c r="D314" s="78">
        <f t="shared" ref="D314:N314" si="67">+D219+D254+D306</f>
        <v>437006.9154</v>
      </c>
      <c r="E314" s="78">
        <f t="shared" si="67"/>
        <v>457137.36929999979</v>
      </c>
      <c r="F314" s="78">
        <f t="shared" si="67"/>
        <v>650026.95440000051</v>
      </c>
      <c r="G314" s="78">
        <f t="shared" si="67"/>
        <v>404411.63340000011</v>
      </c>
      <c r="H314" s="78">
        <f t="shared" si="67"/>
        <v>383001.28650000016</v>
      </c>
      <c r="I314" s="78">
        <f t="shared" si="67"/>
        <v>377360.08960000006</v>
      </c>
      <c r="J314" s="78">
        <f t="shared" si="67"/>
        <v>333616.69219999999</v>
      </c>
      <c r="K314" s="78">
        <f t="shared" si="67"/>
        <v>422921.40409999999</v>
      </c>
      <c r="L314" s="78">
        <f t="shared" si="67"/>
        <v>300645.39929999993</v>
      </c>
      <c r="M314" s="78">
        <f t="shared" si="67"/>
        <v>0</v>
      </c>
      <c r="N314" s="78">
        <f t="shared" si="67"/>
        <v>0</v>
      </c>
      <c r="O314" s="71">
        <f t="shared" si="55"/>
        <v>4086636.3271000003</v>
      </c>
    </row>
    <row r="315" spans="1:15" x14ac:dyDescent="0.2">
      <c r="A315" s="77" t="s">
        <v>285</v>
      </c>
      <c r="B315" s="66" t="s">
        <v>1041</v>
      </c>
      <c r="C315" s="78">
        <f t="shared" si="63"/>
        <v>320508.5828999998</v>
      </c>
      <c r="D315" s="78">
        <f t="shared" ref="D315:N315" si="68">+D220+D255+D307</f>
        <v>437006.9154</v>
      </c>
      <c r="E315" s="78">
        <f t="shared" si="68"/>
        <v>457137.36929999979</v>
      </c>
      <c r="F315" s="78">
        <f t="shared" si="68"/>
        <v>650026.95440000051</v>
      </c>
      <c r="G315" s="78">
        <f t="shared" si="68"/>
        <v>404411.63340000011</v>
      </c>
      <c r="H315" s="78">
        <f t="shared" si="68"/>
        <v>383001.28650000016</v>
      </c>
      <c r="I315" s="78">
        <f t="shared" si="68"/>
        <v>377360.08960000006</v>
      </c>
      <c r="J315" s="78">
        <f t="shared" si="68"/>
        <v>333616.69219999999</v>
      </c>
      <c r="K315" s="78">
        <f t="shared" si="68"/>
        <v>422921.40409999999</v>
      </c>
      <c r="L315" s="78">
        <f t="shared" si="68"/>
        <v>300645.39929999993</v>
      </c>
      <c r="M315" s="78">
        <f t="shared" si="68"/>
        <v>0</v>
      </c>
      <c r="N315" s="78">
        <f t="shared" si="68"/>
        <v>0</v>
      </c>
      <c r="O315" s="71">
        <f t="shared" si="55"/>
        <v>4086636.3271000003</v>
      </c>
    </row>
    <row r="316" spans="1:15" x14ac:dyDescent="0.2">
      <c r="A316" s="77" t="s">
        <v>286</v>
      </c>
      <c r="B316" s="66" t="s">
        <v>1041</v>
      </c>
      <c r="C316" s="78">
        <f t="shared" si="63"/>
        <v>0</v>
      </c>
      <c r="D316" s="78">
        <f t="shared" ref="D316:N316" si="69">+D221+D256+D308</f>
        <v>0</v>
      </c>
      <c r="E316" s="78">
        <f t="shared" si="69"/>
        <v>0</v>
      </c>
      <c r="F316" s="78">
        <f t="shared" si="69"/>
        <v>0</v>
      </c>
      <c r="G316" s="78">
        <f t="shared" si="69"/>
        <v>0</v>
      </c>
      <c r="H316" s="78">
        <f t="shared" si="69"/>
        <v>0</v>
      </c>
      <c r="I316" s="78">
        <f t="shared" si="69"/>
        <v>0</v>
      </c>
      <c r="J316" s="78">
        <f t="shared" si="69"/>
        <v>0</v>
      </c>
      <c r="K316" s="78">
        <f t="shared" si="69"/>
        <v>0</v>
      </c>
      <c r="L316" s="78">
        <f t="shared" si="69"/>
        <v>0</v>
      </c>
      <c r="M316" s="78">
        <f t="shared" si="69"/>
        <v>0</v>
      </c>
      <c r="N316" s="78">
        <f t="shared" si="69"/>
        <v>0</v>
      </c>
      <c r="O316" s="86">
        <f t="shared" si="55"/>
        <v>0</v>
      </c>
    </row>
  </sheetData>
  <mergeCells count="41">
    <mergeCell ref="A178:O178"/>
    <mergeCell ref="A196:O196"/>
    <mergeCell ref="A205:O205"/>
    <mergeCell ref="A222:O222"/>
    <mergeCell ref="A187:O187"/>
    <mergeCell ref="A301:O301"/>
    <mergeCell ref="A309:O309"/>
    <mergeCell ref="A231:O231"/>
    <mergeCell ref="A240:O240"/>
    <mergeCell ref="A283:O283"/>
    <mergeCell ref="A292:O292"/>
    <mergeCell ref="A257:O257"/>
    <mergeCell ref="A266:O266"/>
    <mergeCell ref="A275:O275"/>
    <mergeCell ref="A76:O76"/>
    <mergeCell ref="A85:O85"/>
    <mergeCell ref="A214:O214"/>
    <mergeCell ref="A249:O249"/>
    <mergeCell ref="A94:O94"/>
    <mergeCell ref="A99:O99"/>
    <mergeCell ref="A104:O104"/>
    <mergeCell ref="A109:O109"/>
    <mergeCell ref="A114:O114"/>
    <mergeCell ref="A119:O119"/>
    <mergeCell ref="A124:O124"/>
    <mergeCell ref="A133:O133"/>
    <mergeCell ref="A142:O142"/>
    <mergeCell ref="A151:O151"/>
    <mergeCell ref="A160:O160"/>
    <mergeCell ref="A169:O169"/>
    <mergeCell ref="C1:F1"/>
    <mergeCell ref="I1:L1"/>
    <mergeCell ref="A3:O3"/>
    <mergeCell ref="A10:O10"/>
    <mergeCell ref="A17:O17"/>
    <mergeCell ref="A67:O67"/>
    <mergeCell ref="A24:O24"/>
    <mergeCell ref="A31:O31"/>
    <mergeCell ref="A40:O40"/>
    <mergeCell ref="A49:O49"/>
    <mergeCell ref="A58:O58"/>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'MASTER SALE PUR TYPE'!$G$3:$G$12</xm:f>
          </x14:formula1>
          <xm:sqref>B225:B230 B234:B239 B243:B248 B260:B265 B269:B274</xm:sqref>
        </x14:dataValidation>
        <x14:dataValidation type="list" allowBlank="1" showInputMessage="1" showErrorMessage="1">
          <x14:formula1>
            <xm:f>'MASTER SALE PUR TYPE'!$H$3:$H$13</xm:f>
          </x14:formula1>
          <xm:sqref>B286:B291 B295:B300</xm:sqref>
        </x14:dataValidation>
        <x14:dataValidation type="list" allowBlank="1" showInputMessage="1" showErrorMessage="1">
          <x14:formula1>
            <xm:f>'MASTER SALE PUR TYPE'!$E$3:$E$39</xm:f>
          </x14:formula1>
          <xm:sqref>B79:B84 B199:B204 B19:B23 B172:B177 B12:B16 B145:B150 B136:B141 B127:B132 B122:B123 B112:B113 B117:B118 B107:B108 B102:B103 B97:B98 B154:B159 B70:B75 B61:B66 B43:B48 B34:B39 B5:B9 B163:B168 B181:B186 B190:B195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4"/>
  <sheetViews>
    <sheetView workbookViewId="0"/>
  </sheetViews>
  <sheetFormatPr defaultColWidth="9.109375" defaultRowHeight="10.199999999999999" x14ac:dyDescent="0.2"/>
  <cols>
    <col min="1" max="1" width="5.44140625" style="11" customWidth="1"/>
    <col min="2" max="2" width="22.44140625" style="11" bestFit="1" customWidth="1"/>
    <col min="3" max="14" width="9" style="11" customWidth="1"/>
    <col min="15" max="15" width="10.6640625" style="11" customWidth="1"/>
    <col min="16" max="16384" width="9.109375" style="11"/>
  </cols>
  <sheetData>
    <row r="1" spans="1:15" ht="15" customHeight="1" thickBot="1" x14ac:dyDescent="0.25">
      <c r="A1" s="243"/>
      <c r="B1" s="244" t="s">
        <v>274</v>
      </c>
      <c r="C1" s="1351" t="s">
        <v>275</v>
      </c>
      <c r="D1" s="1351"/>
      <c r="E1" s="1351"/>
      <c r="F1" s="1351"/>
      <c r="G1" s="245"/>
      <c r="H1" s="246" t="s">
        <v>276</v>
      </c>
      <c r="I1" s="1351" t="s">
        <v>277</v>
      </c>
      <c r="J1" s="1351"/>
      <c r="K1" s="1351"/>
      <c r="L1" s="1351"/>
      <c r="M1" s="1321" t="s">
        <v>421</v>
      </c>
      <c r="N1" s="1321"/>
      <c r="O1" s="1322"/>
    </row>
    <row r="2" spans="1:15" ht="15.75" customHeight="1" x14ac:dyDescent="0.2">
      <c r="A2" s="1345" t="s">
        <v>422</v>
      </c>
      <c r="B2" s="1346"/>
      <c r="C2" s="1346"/>
      <c r="D2" s="1346"/>
      <c r="E2" s="1346"/>
      <c r="F2" s="1346"/>
      <c r="G2" s="1346"/>
      <c r="H2" s="1346"/>
      <c r="I2" s="1346"/>
      <c r="J2" s="1346"/>
      <c r="K2" s="1346"/>
      <c r="L2" s="1346"/>
      <c r="M2" s="1346"/>
      <c r="N2" s="1346"/>
      <c r="O2" s="1347"/>
    </row>
    <row r="3" spans="1:15" ht="15" customHeight="1" x14ac:dyDescent="0.2">
      <c r="A3" s="1352" t="s">
        <v>423</v>
      </c>
      <c r="B3" s="1353"/>
      <c r="C3" s="1353"/>
      <c r="D3" s="1353"/>
      <c r="E3" s="1353"/>
      <c r="F3" s="1353"/>
      <c r="G3" s="1353"/>
      <c r="H3" s="1353"/>
      <c r="I3" s="1353"/>
      <c r="J3" s="1353"/>
      <c r="K3" s="1353"/>
      <c r="L3" s="1353"/>
      <c r="M3" s="1353"/>
      <c r="N3" s="1353"/>
      <c r="O3" s="1354"/>
    </row>
    <row r="4" spans="1:15" x14ac:dyDescent="0.2">
      <c r="A4" s="66" t="s">
        <v>2</v>
      </c>
      <c r="B4" s="66"/>
      <c r="C4" s="98" t="s">
        <v>424</v>
      </c>
      <c r="D4" s="98" t="s">
        <v>425</v>
      </c>
      <c r="E4" s="98" t="s">
        <v>426</v>
      </c>
      <c r="F4" s="98">
        <v>43647</v>
      </c>
      <c r="G4" s="98">
        <v>43678</v>
      </c>
      <c r="H4" s="98">
        <v>43709</v>
      </c>
      <c r="I4" s="98">
        <v>43739</v>
      </c>
      <c r="J4" s="98">
        <v>43770</v>
      </c>
      <c r="K4" s="98">
        <v>43800</v>
      </c>
      <c r="L4" s="98">
        <v>43831</v>
      </c>
      <c r="M4" s="98">
        <v>43862</v>
      </c>
      <c r="N4" s="98">
        <v>43891</v>
      </c>
      <c r="O4" s="66" t="s">
        <v>1041</v>
      </c>
    </row>
    <row r="5" spans="1:15" x14ac:dyDescent="0.2">
      <c r="A5" s="247" t="s">
        <v>2555</v>
      </c>
      <c r="B5" s="247" t="s">
        <v>432</v>
      </c>
      <c r="C5" s="248">
        <f>+'SALE WORKING'!C206</f>
        <v>3348680.7699999963</v>
      </c>
      <c r="D5" s="248">
        <f>+'SALE WORKING'!D206</f>
        <v>4057558.6999999983</v>
      </c>
      <c r="E5" s="248">
        <f>+'SALE WORKING'!E206</f>
        <v>5748383.1739999969</v>
      </c>
      <c r="F5" s="248">
        <f>+'SALE WORKING'!F206</f>
        <v>6550168.9499999927</v>
      </c>
      <c r="G5" s="248">
        <f>+'SALE WORKING'!G206</f>
        <v>5362317.6199999955</v>
      </c>
      <c r="H5" s="248">
        <f>+'SALE WORKING'!H206</f>
        <v>4785767.8899999997</v>
      </c>
      <c r="I5" s="248">
        <f>+'SALE WORKING'!I206</f>
        <v>4303915.0199999996</v>
      </c>
      <c r="J5" s="248">
        <f>+'SALE WORKING'!J206</f>
        <v>2528210.6899999995</v>
      </c>
      <c r="K5" s="248">
        <f>+'SALE WORKING'!K206</f>
        <v>3164150.0799999996</v>
      </c>
      <c r="L5" s="248">
        <f>+'SALE WORKING'!L206</f>
        <v>5452403.9399999948</v>
      </c>
      <c r="M5" s="248">
        <f>+'SALE WORKING'!M206</f>
        <v>0</v>
      </c>
      <c r="N5" s="248">
        <f>+'SALE WORKING'!N206</f>
        <v>0</v>
      </c>
      <c r="O5" s="248">
        <f>SUM(C5:N5)</f>
        <v>45301556.833999977</v>
      </c>
    </row>
    <row r="6" spans="1:15" x14ac:dyDescent="0.2">
      <c r="A6" s="247" t="s">
        <v>2556</v>
      </c>
      <c r="B6" s="247" t="s">
        <v>1463</v>
      </c>
      <c r="C6" s="248">
        <f>+'SALE WORKING'!C207</f>
        <v>34940.687599999997</v>
      </c>
      <c r="D6" s="248">
        <f>+'SALE WORKING'!D207</f>
        <v>55549.74040000001</v>
      </c>
      <c r="E6" s="248">
        <f>+'SALE WORKING'!E207</f>
        <v>141109.85840000003</v>
      </c>
      <c r="F6" s="248">
        <f>+'SALE WORKING'!F207</f>
        <v>64427.327999999994</v>
      </c>
      <c r="G6" s="248">
        <f>+'SALE WORKING'!G207</f>
        <v>30473.3688</v>
      </c>
      <c r="H6" s="248">
        <f>+'SALE WORKING'!H207</f>
        <v>75713.330000000016</v>
      </c>
      <c r="I6" s="248">
        <f>+'SALE WORKING'!I207</f>
        <v>51945.630799999992</v>
      </c>
      <c r="J6" s="248">
        <f>+'SALE WORKING'!J207</f>
        <v>50926.2068</v>
      </c>
      <c r="K6" s="248">
        <f>+'SALE WORKING'!K207</f>
        <v>128383.5336</v>
      </c>
      <c r="L6" s="248">
        <f>+'SALE WORKING'!L207</f>
        <v>38884.86</v>
      </c>
      <c r="M6" s="248">
        <f>+'SALE WORKING'!M207</f>
        <v>0</v>
      </c>
      <c r="N6" s="248">
        <f>+'SALE WORKING'!N207</f>
        <v>0</v>
      </c>
      <c r="O6" s="248">
        <f t="shared" ref="O6:O13" si="0">SUM(C6:N6)</f>
        <v>672354.54440000001</v>
      </c>
    </row>
    <row r="7" spans="1:15" x14ac:dyDescent="0.2">
      <c r="A7" s="247" t="s">
        <v>2557</v>
      </c>
      <c r="B7" s="247" t="s">
        <v>1478</v>
      </c>
      <c r="C7" s="248">
        <f>+'SALE WORKING'!C208</f>
        <v>417253.72849999991</v>
      </c>
      <c r="D7" s="248">
        <f>+'SALE WORKING'!D208</f>
        <v>462253.39580000017</v>
      </c>
      <c r="E7" s="248">
        <f>+'SALE WORKING'!E208</f>
        <v>630521.11866000015</v>
      </c>
      <c r="F7" s="248">
        <f>+'SALE WORKING'!F208</f>
        <v>751921.66600000055</v>
      </c>
      <c r="G7" s="248">
        <f>+'SALE WORKING'!G208</f>
        <v>597973.32440000016</v>
      </c>
      <c r="H7" s="248">
        <f>+'SALE WORKING'!H208</f>
        <v>495784.53260000021</v>
      </c>
      <c r="I7" s="248">
        <f>+'SALE WORKING'!I208</f>
        <v>419677.1544</v>
      </c>
      <c r="J7" s="248">
        <f>+'SALE WORKING'!J208</f>
        <v>256975.35380000001</v>
      </c>
      <c r="K7" s="248">
        <f>+'SALE WORKING'!K208</f>
        <v>265592.08979999996</v>
      </c>
      <c r="L7" s="248">
        <f>+'SALE WORKING'!L208</f>
        <v>513531.29960000014</v>
      </c>
      <c r="M7" s="248">
        <f>+'SALE WORKING'!M208</f>
        <v>0</v>
      </c>
      <c r="N7" s="248">
        <f>+'SALE WORKING'!N208</f>
        <v>0</v>
      </c>
      <c r="O7" s="248">
        <f t="shared" si="0"/>
        <v>4811483.6635600012</v>
      </c>
    </row>
    <row r="8" spans="1:15" x14ac:dyDescent="0.2">
      <c r="A8" s="247" t="s">
        <v>2558</v>
      </c>
      <c r="B8" s="247" t="s">
        <v>1502</v>
      </c>
      <c r="C8" s="248">
        <f>+'SALE WORKING'!C209</f>
        <v>417253.72849999991</v>
      </c>
      <c r="D8" s="248">
        <f>+'SALE WORKING'!D209</f>
        <v>462253.39580000017</v>
      </c>
      <c r="E8" s="248">
        <f>+'SALE WORKING'!E209</f>
        <v>630521.11866000015</v>
      </c>
      <c r="F8" s="248">
        <f>+'SALE WORKING'!F209</f>
        <v>751921.66600000055</v>
      </c>
      <c r="G8" s="248">
        <f>+'SALE WORKING'!G209</f>
        <v>597973.32440000016</v>
      </c>
      <c r="H8" s="248">
        <f>+'SALE WORKING'!H209</f>
        <v>495784.53260000021</v>
      </c>
      <c r="I8" s="248">
        <f>+'SALE WORKING'!I209</f>
        <v>419677.1544</v>
      </c>
      <c r="J8" s="248">
        <f>+'SALE WORKING'!J209</f>
        <v>256975.35380000001</v>
      </c>
      <c r="K8" s="248">
        <f>+'SALE WORKING'!K209</f>
        <v>265592.08979999996</v>
      </c>
      <c r="L8" s="248">
        <f>+'SALE WORKING'!L209</f>
        <v>513531.29960000014</v>
      </c>
      <c r="M8" s="248">
        <f>+'SALE WORKING'!M209</f>
        <v>0</v>
      </c>
      <c r="N8" s="248">
        <f>+'SALE WORKING'!N209</f>
        <v>0</v>
      </c>
      <c r="O8" s="248">
        <f t="shared" si="0"/>
        <v>4811483.6635600012</v>
      </c>
    </row>
    <row r="9" spans="1:15" x14ac:dyDescent="0.2">
      <c r="A9" s="249" t="s">
        <v>2559</v>
      </c>
      <c r="B9" s="249" t="s">
        <v>316</v>
      </c>
      <c r="C9" s="250">
        <f>+'SALE WORKING'!C210</f>
        <v>0</v>
      </c>
      <c r="D9" s="250">
        <f>+'SALE WORKING'!D210</f>
        <v>0</v>
      </c>
      <c r="E9" s="250">
        <f>+'SALE WORKING'!E210</f>
        <v>0</v>
      </c>
      <c r="F9" s="250">
        <f>+'SALE WORKING'!F210</f>
        <v>0</v>
      </c>
      <c r="G9" s="250">
        <f>+'SALE WORKING'!G210</f>
        <v>0</v>
      </c>
      <c r="H9" s="250">
        <f>+'SALE WORKING'!H210</f>
        <v>0</v>
      </c>
      <c r="I9" s="250">
        <f>+'SALE WORKING'!I210</f>
        <v>0</v>
      </c>
      <c r="J9" s="250">
        <f>+'SALE WORKING'!J210</f>
        <v>0</v>
      </c>
      <c r="K9" s="250">
        <f>+'SALE WORKING'!K210</f>
        <v>0</v>
      </c>
      <c r="L9" s="250">
        <f>+'SALE WORKING'!L210</f>
        <v>0</v>
      </c>
      <c r="M9" s="250">
        <f>+'SALE WORKING'!M210</f>
        <v>0</v>
      </c>
      <c r="N9" s="250">
        <f>+'SALE WORKING'!N210</f>
        <v>0</v>
      </c>
      <c r="O9" s="250">
        <f t="shared" si="0"/>
        <v>0</v>
      </c>
    </row>
    <row r="10" spans="1:15" ht="15.75" customHeight="1" x14ac:dyDescent="0.2">
      <c r="A10" s="1389" t="s">
        <v>427</v>
      </c>
      <c r="B10" s="1390"/>
      <c r="C10" s="1390"/>
      <c r="D10" s="1390"/>
      <c r="E10" s="1390"/>
      <c r="F10" s="1390"/>
      <c r="G10" s="1390"/>
      <c r="H10" s="1390"/>
      <c r="I10" s="1390"/>
      <c r="J10" s="1390"/>
      <c r="K10" s="1390"/>
      <c r="L10" s="1390"/>
      <c r="M10" s="1390"/>
      <c r="N10" s="1390"/>
      <c r="O10" s="1391"/>
    </row>
    <row r="11" spans="1:15" x14ac:dyDescent="0.2">
      <c r="A11" s="251" t="s">
        <v>2555</v>
      </c>
      <c r="B11" s="251" t="s">
        <v>432</v>
      </c>
      <c r="C11" s="252">
        <f>+'SALE WORKING'!C88</f>
        <v>0</v>
      </c>
      <c r="D11" s="252">
        <f>+'SALE WORKING'!D88</f>
        <v>0</v>
      </c>
      <c r="E11" s="252">
        <f>+'SALE WORKING'!E88</f>
        <v>0</v>
      </c>
      <c r="F11" s="252">
        <f>+'SALE WORKING'!F88</f>
        <v>0</v>
      </c>
      <c r="G11" s="252">
        <f>+'SALE WORKING'!G88</f>
        <v>0</v>
      </c>
      <c r="H11" s="252">
        <f>+'SALE WORKING'!H88</f>
        <v>0</v>
      </c>
      <c r="I11" s="252">
        <f>+'SALE WORKING'!I88</f>
        <v>0</v>
      </c>
      <c r="J11" s="252">
        <f>+'SALE WORKING'!J88</f>
        <v>0</v>
      </c>
      <c r="K11" s="252">
        <f>+'SALE WORKING'!K88</f>
        <v>0</v>
      </c>
      <c r="L11" s="252">
        <f>+'SALE WORKING'!L88</f>
        <v>0</v>
      </c>
      <c r="M11" s="252">
        <f>+'SALE WORKING'!M88</f>
        <v>0</v>
      </c>
      <c r="N11" s="252">
        <f>+'SALE WORKING'!N88</f>
        <v>0</v>
      </c>
      <c r="O11" s="252">
        <f t="shared" si="0"/>
        <v>0</v>
      </c>
    </row>
    <row r="12" spans="1:15" x14ac:dyDescent="0.2">
      <c r="A12" s="253" t="s">
        <v>2556</v>
      </c>
      <c r="B12" s="253" t="s">
        <v>1463</v>
      </c>
      <c r="C12" s="254">
        <f>+'SALE WORKING'!C89</f>
        <v>0</v>
      </c>
      <c r="D12" s="254">
        <f>+'SALE WORKING'!D89</f>
        <v>0</v>
      </c>
      <c r="E12" s="254">
        <f>+'SALE WORKING'!E89</f>
        <v>0</v>
      </c>
      <c r="F12" s="254">
        <f>+'SALE WORKING'!F89</f>
        <v>0</v>
      </c>
      <c r="G12" s="254">
        <f>+'SALE WORKING'!G89</f>
        <v>0</v>
      </c>
      <c r="H12" s="254">
        <f>+'SALE WORKING'!H89</f>
        <v>0</v>
      </c>
      <c r="I12" s="254">
        <f>+'SALE WORKING'!I89</f>
        <v>0</v>
      </c>
      <c r="J12" s="254">
        <f>+'SALE WORKING'!J89</f>
        <v>0</v>
      </c>
      <c r="K12" s="254">
        <f>+'SALE WORKING'!K89</f>
        <v>0</v>
      </c>
      <c r="L12" s="254">
        <f>+'SALE WORKING'!L89</f>
        <v>0</v>
      </c>
      <c r="M12" s="254">
        <f>+'SALE WORKING'!M89</f>
        <v>0</v>
      </c>
      <c r="N12" s="254">
        <f>+'SALE WORKING'!N89</f>
        <v>0</v>
      </c>
      <c r="O12" s="254">
        <f t="shared" si="0"/>
        <v>0</v>
      </c>
    </row>
    <row r="13" spans="1:15" x14ac:dyDescent="0.2">
      <c r="A13" s="255" t="s">
        <v>2557</v>
      </c>
      <c r="B13" s="255" t="s">
        <v>316</v>
      </c>
      <c r="C13" s="256">
        <f>+'SALE WORKING'!C90</f>
        <v>0</v>
      </c>
      <c r="D13" s="256">
        <f>+'SALE WORKING'!D90</f>
        <v>0</v>
      </c>
      <c r="E13" s="256">
        <f>+'SALE WORKING'!E90</f>
        <v>0</v>
      </c>
      <c r="F13" s="256">
        <f>+'SALE WORKING'!F90</f>
        <v>0</v>
      </c>
      <c r="G13" s="256">
        <f>+'SALE WORKING'!G90</f>
        <v>0</v>
      </c>
      <c r="H13" s="256">
        <f>+'SALE WORKING'!H90</f>
        <v>0</v>
      </c>
      <c r="I13" s="256">
        <f>+'SALE WORKING'!I90</f>
        <v>0</v>
      </c>
      <c r="J13" s="256">
        <f>+'SALE WORKING'!J90</f>
        <v>0</v>
      </c>
      <c r="K13" s="256">
        <f>+'SALE WORKING'!K90</f>
        <v>0</v>
      </c>
      <c r="L13" s="256">
        <f>+'SALE WORKING'!L90</f>
        <v>0</v>
      </c>
      <c r="M13" s="256">
        <f>+'SALE WORKING'!M90</f>
        <v>0</v>
      </c>
      <c r="N13" s="256">
        <f>+'SALE WORKING'!N90</f>
        <v>0</v>
      </c>
      <c r="O13" s="256">
        <f t="shared" si="0"/>
        <v>0</v>
      </c>
    </row>
    <row r="14" spans="1:15" ht="15.75" customHeight="1" x14ac:dyDescent="0.2">
      <c r="A14" s="1392" t="s">
        <v>428</v>
      </c>
      <c r="B14" s="1393"/>
      <c r="C14" s="1393"/>
      <c r="D14" s="1393"/>
      <c r="E14" s="1393"/>
      <c r="F14" s="1393"/>
      <c r="G14" s="1393"/>
      <c r="H14" s="1393"/>
      <c r="I14" s="1393"/>
      <c r="J14" s="1393"/>
      <c r="K14" s="1393"/>
      <c r="L14" s="1393"/>
      <c r="M14" s="1393"/>
      <c r="N14" s="1393"/>
      <c r="O14" s="1394"/>
    </row>
    <row r="15" spans="1:15" ht="15.75" customHeight="1" x14ac:dyDescent="0.2">
      <c r="A15" s="1352"/>
      <c r="B15" s="1353"/>
      <c r="C15" s="1353"/>
      <c r="D15" s="1353"/>
      <c r="E15" s="1353"/>
      <c r="F15" s="1353"/>
      <c r="G15" s="1353"/>
      <c r="H15" s="1353"/>
      <c r="I15" s="1353"/>
      <c r="J15" s="1353"/>
      <c r="K15" s="1353"/>
      <c r="L15" s="1353"/>
      <c r="M15" s="1353"/>
      <c r="N15" s="1354"/>
      <c r="O15" s="66"/>
    </row>
    <row r="16" spans="1:15" x14ac:dyDescent="0.2">
      <c r="A16" s="251" t="s">
        <v>2555</v>
      </c>
      <c r="B16" s="251" t="s">
        <v>432</v>
      </c>
      <c r="C16" s="257">
        <f>+'SALE WORKING'!C85+'SALE WORKING'!C86</f>
        <v>0</v>
      </c>
      <c r="D16" s="257">
        <f>+'SALE WORKING'!D85+'SALE WORKING'!D86</f>
        <v>0</v>
      </c>
      <c r="E16" s="257">
        <f>+'SALE WORKING'!E85+'SALE WORKING'!E86</f>
        <v>0</v>
      </c>
      <c r="F16" s="257">
        <f>+'SALE WORKING'!F85+'SALE WORKING'!F86</f>
        <v>0</v>
      </c>
      <c r="G16" s="257">
        <f>+'SALE WORKING'!G85+'SALE WORKING'!G86</f>
        <v>0</v>
      </c>
      <c r="H16" s="257">
        <f>+'SALE WORKING'!H85+'SALE WORKING'!H86</f>
        <v>0</v>
      </c>
      <c r="I16" s="257">
        <f>+'SALE WORKING'!I85+'SALE WORKING'!I86</f>
        <v>0</v>
      </c>
      <c r="J16" s="257">
        <f>+'SALE WORKING'!J85+'SALE WORKING'!J86</f>
        <v>0</v>
      </c>
      <c r="K16" s="257">
        <f>+'SALE WORKING'!K85+'SALE WORKING'!K86</f>
        <v>0</v>
      </c>
      <c r="L16" s="257">
        <f>+'SALE WORKING'!L85+'SALE WORKING'!L86</f>
        <v>0</v>
      </c>
      <c r="M16" s="257">
        <f>+'SALE WORKING'!M85+'SALE WORKING'!M86</f>
        <v>0</v>
      </c>
      <c r="N16" s="257">
        <f>+'SALE WORKING'!N85+'SALE WORKING'!N86</f>
        <v>0</v>
      </c>
      <c r="O16" s="257">
        <f t="shared" ref="O16" si="1">SUM(C16:N16)</f>
        <v>0</v>
      </c>
    </row>
    <row r="17" spans="1:15" ht="15.75" customHeight="1" x14ac:dyDescent="0.2">
      <c r="A17" s="1395" t="s">
        <v>429</v>
      </c>
      <c r="B17" s="1396"/>
      <c r="C17" s="1396"/>
      <c r="D17" s="1396"/>
      <c r="E17" s="1396"/>
      <c r="F17" s="1396"/>
      <c r="G17" s="1396"/>
      <c r="H17" s="1396"/>
      <c r="I17" s="1396"/>
      <c r="J17" s="1396"/>
      <c r="K17" s="1396"/>
      <c r="L17" s="1396"/>
      <c r="M17" s="1396"/>
      <c r="N17" s="1396"/>
      <c r="O17" s="1397"/>
    </row>
    <row r="18" spans="1:15" x14ac:dyDescent="0.2">
      <c r="A18" s="258" t="s">
        <v>2555</v>
      </c>
      <c r="B18" s="258" t="s">
        <v>432</v>
      </c>
      <c r="C18" s="259">
        <f>+'SALE WORKING'!C215</f>
        <v>18500</v>
      </c>
      <c r="D18" s="259">
        <f>+'SALE WORKING'!D215</f>
        <v>45560</v>
      </c>
      <c r="E18" s="259">
        <f>+'SALE WORKING'!E215</f>
        <v>24600</v>
      </c>
      <c r="F18" s="259">
        <f>+'SALE WORKING'!F215</f>
        <v>31250</v>
      </c>
      <c r="G18" s="259">
        <f>+'SALE WORKING'!G215</f>
        <v>35900</v>
      </c>
      <c r="H18" s="259">
        <f>+'SALE WORKING'!H215</f>
        <v>36950</v>
      </c>
      <c r="I18" s="259">
        <f>+'SALE WORKING'!I215</f>
        <v>29100</v>
      </c>
      <c r="J18" s="259">
        <f>+'SALE WORKING'!J215</f>
        <v>27400</v>
      </c>
      <c r="K18" s="259">
        <f>+'SALE WORKING'!K215</f>
        <v>49761</v>
      </c>
      <c r="L18" s="259">
        <f>+'SALE WORKING'!L215</f>
        <v>0</v>
      </c>
      <c r="M18" s="259">
        <f>+'SALE WORKING'!M215</f>
        <v>0</v>
      </c>
      <c r="N18" s="259">
        <f>+'SALE WORKING'!N215</f>
        <v>0</v>
      </c>
      <c r="O18" s="260">
        <f t="shared" ref="O18:O22" si="2">SUM(C18:N18)</f>
        <v>299021</v>
      </c>
    </row>
    <row r="19" spans="1:15" x14ac:dyDescent="0.2">
      <c r="A19" s="261" t="s">
        <v>2556</v>
      </c>
      <c r="B19" s="261" t="s">
        <v>1463</v>
      </c>
      <c r="C19" s="262">
        <f>+'SALE WORKING'!C216</f>
        <v>0</v>
      </c>
      <c r="D19" s="262">
        <f>+'SALE WORKING'!D216</f>
        <v>0</v>
      </c>
      <c r="E19" s="262">
        <f>+'SALE WORKING'!E216</f>
        <v>0</v>
      </c>
      <c r="F19" s="262">
        <f>+'SALE WORKING'!F216</f>
        <v>0</v>
      </c>
      <c r="G19" s="262">
        <f>+'SALE WORKING'!G216</f>
        <v>0</v>
      </c>
      <c r="H19" s="262">
        <f>+'SALE WORKING'!H216</f>
        <v>0</v>
      </c>
      <c r="I19" s="262">
        <f>+'SALE WORKING'!I216</f>
        <v>0</v>
      </c>
      <c r="J19" s="262">
        <f>+'SALE WORKING'!J216</f>
        <v>0</v>
      </c>
      <c r="K19" s="262">
        <f>+'SALE WORKING'!K216</f>
        <v>118.05</v>
      </c>
      <c r="L19" s="262">
        <f>+'SALE WORKING'!L216</f>
        <v>0</v>
      </c>
      <c r="M19" s="262">
        <f>+'SALE WORKING'!M216</f>
        <v>0</v>
      </c>
      <c r="N19" s="262">
        <f>+'SALE WORKING'!N216</f>
        <v>0</v>
      </c>
      <c r="O19" s="263">
        <f t="shared" si="2"/>
        <v>118.05</v>
      </c>
    </row>
    <row r="20" spans="1:15" x14ac:dyDescent="0.2">
      <c r="A20" s="261" t="s">
        <v>2557</v>
      </c>
      <c r="B20" s="261" t="s">
        <v>1478</v>
      </c>
      <c r="C20" s="262">
        <f>+'SALE WORKING'!C217</f>
        <v>462.5</v>
      </c>
      <c r="D20" s="262">
        <f>+'SALE WORKING'!D217</f>
        <v>1139</v>
      </c>
      <c r="E20" s="262">
        <f>+'SALE WORKING'!E217</f>
        <v>615</v>
      </c>
      <c r="F20" s="262">
        <f>+'SALE WORKING'!F217</f>
        <v>781.25</v>
      </c>
      <c r="G20" s="262">
        <f>+'SALE WORKING'!G217</f>
        <v>897.5</v>
      </c>
      <c r="H20" s="262">
        <f>+'SALE WORKING'!H217</f>
        <v>923.75</v>
      </c>
      <c r="I20" s="262">
        <f>+'SALE WORKING'!I217</f>
        <v>727.5</v>
      </c>
      <c r="J20" s="262">
        <f>+'SALE WORKING'!J217</f>
        <v>685</v>
      </c>
      <c r="K20" s="262">
        <f>+'SALE WORKING'!K217</f>
        <v>1185</v>
      </c>
      <c r="L20" s="262">
        <f>+'SALE WORKING'!L217</f>
        <v>0</v>
      </c>
      <c r="M20" s="262">
        <f>+'SALE WORKING'!M217</f>
        <v>0</v>
      </c>
      <c r="N20" s="262">
        <f>+'SALE WORKING'!N217</f>
        <v>0</v>
      </c>
      <c r="O20" s="263">
        <f t="shared" si="2"/>
        <v>7416.5</v>
      </c>
    </row>
    <row r="21" spans="1:15" x14ac:dyDescent="0.2">
      <c r="A21" s="261" t="s">
        <v>2558</v>
      </c>
      <c r="B21" s="261" t="s">
        <v>1502</v>
      </c>
      <c r="C21" s="262">
        <f>+'SALE WORKING'!C218</f>
        <v>462.5</v>
      </c>
      <c r="D21" s="262">
        <f>+'SALE WORKING'!D218</f>
        <v>1139</v>
      </c>
      <c r="E21" s="262">
        <f>+'SALE WORKING'!E218</f>
        <v>615</v>
      </c>
      <c r="F21" s="262">
        <f>+'SALE WORKING'!F218</f>
        <v>781.25</v>
      </c>
      <c r="G21" s="262">
        <f>+'SALE WORKING'!G218</f>
        <v>897.5</v>
      </c>
      <c r="H21" s="262">
        <f>+'SALE WORKING'!H218</f>
        <v>923.75</v>
      </c>
      <c r="I21" s="262">
        <f>+'SALE WORKING'!I218</f>
        <v>727.5</v>
      </c>
      <c r="J21" s="262">
        <f>+'SALE WORKING'!J218</f>
        <v>685</v>
      </c>
      <c r="K21" s="262">
        <f>+'SALE WORKING'!K218</f>
        <v>1185</v>
      </c>
      <c r="L21" s="262">
        <f>+'SALE WORKING'!L218</f>
        <v>0</v>
      </c>
      <c r="M21" s="262">
        <f>+'SALE WORKING'!M218</f>
        <v>0</v>
      </c>
      <c r="N21" s="262">
        <f>+'SALE WORKING'!N218</f>
        <v>0</v>
      </c>
      <c r="O21" s="263">
        <f t="shared" si="2"/>
        <v>7416.5</v>
      </c>
    </row>
    <row r="22" spans="1:15" x14ac:dyDescent="0.2">
      <c r="A22" s="264" t="s">
        <v>2559</v>
      </c>
      <c r="B22" s="264" t="s">
        <v>316</v>
      </c>
      <c r="C22" s="265">
        <f>+'SALE WORKING'!C219</f>
        <v>0</v>
      </c>
      <c r="D22" s="265">
        <f>+'SALE WORKING'!D219</f>
        <v>0</v>
      </c>
      <c r="E22" s="265">
        <f>+'SALE WORKING'!E219</f>
        <v>0</v>
      </c>
      <c r="F22" s="265">
        <f>+'SALE WORKING'!F219</f>
        <v>0</v>
      </c>
      <c r="G22" s="265">
        <f>+'SALE WORKING'!G219</f>
        <v>0</v>
      </c>
      <c r="H22" s="265">
        <f>+'SALE WORKING'!H219</f>
        <v>0</v>
      </c>
      <c r="I22" s="265">
        <f>+'SALE WORKING'!I219</f>
        <v>0</v>
      </c>
      <c r="J22" s="265">
        <f>+'SALE WORKING'!J219</f>
        <v>0</v>
      </c>
      <c r="K22" s="265">
        <f>+'SALE WORKING'!K219</f>
        <v>0</v>
      </c>
      <c r="L22" s="265">
        <f>+'SALE WORKING'!L219</f>
        <v>0</v>
      </c>
      <c r="M22" s="265">
        <f>+'SALE WORKING'!M219</f>
        <v>0</v>
      </c>
      <c r="N22" s="265">
        <f>+'SALE WORKING'!N219</f>
        <v>0</v>
      </c>
      <c r="O22" s="266">
        <f t="shared" si="2"/>
        <v>0</v>
      </c>
    </row>
    <row r="23" spans="1:15" ht="15.75" customHeight="1" x14ac:dyDescent="0.2">
      <c r="A23" s="1398" t="s">
        <v>430</v>
      </c>
      <c r="B23" s="1399"/>
      <c r="C23" s="1399"/>
      <c r="D23" s="1399"/>
      <c r="E23" s="1399"/>
      <c r="F23" s="1399"/>
      <c r="G23" s="1399"/>
      <c r="H23" s="1399"/>
      <c r="I23" s="1399"/>
      <c r="J23" s="1399"/>
      <c r="K23" s="1399"/>
      <c r="L23" s="1399"/>
      <c r="M23" s="1399"/>
      <c r="N23" s="1399"/>
      <c r="O23" s="1400"/>
    </row>
    <row r="24" spans="1:15" x14ac:dyDescent="0.2">
      <c r="A24" s="253" t="s">
        <v>2555</v>
      </c>
      <c r="B24" s="253" t="s">
        <v>432</v>
      </c>
      <c r="C24" s="248">
        <f>+'SALE WORKING'!C87</f>
        <v>0</v>
      </c>
      <c r="D24" s="248">
        <f>+'SALE WORKING'!D87</f>
        <v>0</v>
      </c>
      <c r="E24" s="248">
        <f>+'SALE WORKING'!E87</f>
        <v>0</v>
      </c>
      <c r="F24" s="248">
        <f>+'SALE WORKING'!F87</f>
        <v>0</v>
      </c>
      <c r="G24" s="248">
        <f>+'SALE WORKING'!G87</f>
        <v>0</v>
      </c>
      <c r="H24" s="248">
        <f>+'SALE WORKING'!H87</f>
        <v>0</v>
      </c>
      <c r="I24" s="248">
        <f>+'SALE WORKING'!I87</f>
        <v>0</v>
      </c>
      <c r="J24" s="248">
        <f>+'SALE WORKING'!J87</f>
        <v>0</v>
      </c>
      <c r="K24" s="248">
        <f>+'SALE WORKING'!K87</f>
        <v>0</v>
      </c>
      <c r="L24" s="248">
        <f>+'SALE WORKING'!L87</f>
        <v>0</v>
      </c>
      <c r="M24" s="248">
        <f>+'SALE WORKING'!M87</f>
        <v>0</v>
      </c>
      <c r="N24" s="248">
        <f>+'SALE WORKING'!N87</f>
        <v>0</v>
      </c>
      <c r="O24" s="248">
        <f t="shared" ref="O24" si="3">SUM(C24:N24)</f>
        <v>0</v>
      </c>
    </row>
    <row r="25" spans="1:15" x14ac:dyDescent="0.2">
      <c r="A25" s="1401" t="s">
        <v>431</v>
      </c>
      <c r="B25" s="1402"/>
      <c r="C25" s="1402"/>
      <c r="D25" s="1402"/>
      <c r="E25" s="1402"/>
      <c r="F25" s="1402"/>
      <c r="G25" s="1402"/>
      <c r="H25" s="1402"/>
      <c r="I25" s="1402"/>
      <c r="J25" s="1402"/>
      <c r="K25" s="1402"/>
      <c r="L25" s="1402"/>
      <c r="M25" s="1402"/>
      <c r="N25" s="1402"/>
      <c r="O25" s="1403"/>
    </row>
    <row r="26" spans="1:15" x14ac:dyDescent="0.2">
      <c r="A26" s="66" t="s">
        <v>432</v>
      </c>
      <c r="B26" s="66"/>
      <c r="C26" s="267"/>
      <c r="D26" s="267"/>
      <c r="E26" s="267"/>
      <c r="F26" s="267"/>
      <c r="G26" s="66"/>
      <c r="H26" s="66"/>
      <c r="I26" s="66"/>
      <c r="J26" s="66"/>
      <c r="K26" s="66"/>
      <c r="L26" s="66"/>
      <c r="M26" s="66"/>
      <c r="N26" s="66"/>
      <c r="O26" s="66"/>
    </row>
    <row r="27" spans="1:15" x14ac:dyDescent="0.2">
      <c r="A27" s="218" t="s">
        <v>433</v>
      </c>
      <c r="B27" s="218"/>
      <c r="C27" s="268">
        <f>+'SALE WORKING'!C223</f>
        <v>0</v>
      </c>
      <c r="D27" s="268">
        <f>+'SALE WORKING'!D223</f>
        <v>0</v>
      </c>
      <c r="E27" s="268">
        <f>+'SALE WORKING'!E223</f>
        <v>0</v>
      </c>
      <c r="F27" s="268">
        <f>+'SALE WORKING'!F223</f>
        <v>0</v>
      </c>
      <c r="G27" s="268">
        <f>+'SALE WORKING'!G223</f>
        <v>0</v>
      </c>
      <c r="H27" s="268">
        <f>+'SALE WORKING'!H223</f>
        <v>0</v>
      </c>
      <c r="I27" s="268">
        <f>+'SALE WORKING'!I223</f>
        <v>0</v>
      </c>
      <c r="J27" s="268">
        <f>+'SALE WORKING'!J223</f>
        <v>0</v>
      </c>
      <c r="K27" s="268">
        <f>+'SALE WORKING'!K223</f>
        <v>0</v>
      </c>
      <c r="L27" s="268">
        <f>+'SALE WORKING'!L223</f>
        <v>0</v>
      </c>
      <c r="M27" s="268">
        <f>+'SALE WORKING'!M223</f>
        <v>0</v>
      </c>
      <c r="N27" s="268">
        <f>+'SALE WORKING'!N223</f>
        <v>0</v>
      </c>
      <c r="O27" s="269">
        <f t="shared" ref="O27:O29" si="4">SUM(C27:N27)</f>
        <v>0</v>
      </c>
    </row>
    <row r="28" spans="1:15" x14ac:dyDescent="0.2">
      <c r="A28" s="43" t="s">
        <v>434</v>
      </c>
      <c r="B28" s="43"/>
      <c r="C28" s="270">
        <f>+'SALE WORKING'!C226</f>
        <v>0</v>
      </c>
      <c r="D28" s="270">
        <f>+'SALE WORKING'!D226</f>
        <v>0</v>
      </c>
      <c r="E28" s="270">
        <f>+'SALE WORKING'!E226</f>
        <v>0</v>
      </c>
      <c r="F28" s="270">
        <f>+'SALE WORKING'!F226</f>
        <v>0</v>
      </c>
      <c r="G28" s="270">
        <f>+'SALE WORKING'!G226</f>
        <v>0</v>
      </c>
      <c r="H28" s="270">
        <f>+'SALE WORKING'!H226</f>
        <v>0</v>
      </c>
      <c r="I28" s="270">
        <f>+'SALE WORKING'!I226</f>
        <v>0</v>
      </c>
      <c r="J28" s="270">
        <f>+'SALE WORKING'!J226</f>
        <v>0</v>
      </c>
      <c r="K28" s="270">
        <f>+'SALE WORKING'!K226</f>
        <v>0</v>
      </c>
      <c r="L28" s="270">
        <f>+'SALE WORKING'!L226</f>
        <v>0</v>
      </c>
      <c r="M28" s="270">
        <f>+'SALE WORKING'!M226</f>
        <v>0</v>
      </c>
      <c r="N28" s="270">
        <f>+'SALE WORKING'!N226</f>
        <v>0</v>
      </c>
      <c r="O28" s="271">
        <f t="shared" si="4"/>
        <v>0</v>
      </c>
    </row>
    <row r="29" spans="1:15" x14ac:dyDescent="0.2">
      <c r="A29" s="272" t="s">
        <v>435</v>
      </c>
      <c r="B29" s="272"/>
      <c r="C29" s="273">
        <f>+'SALE WORKING'!C229</f>
        <v>0</v>
      </c>
      <c r="D29" s="273">
        <f>+'SALE WORKING'!D229</f>
        <v>0</v>
      </c>
      <c r="E29" s="273">
        <f>+'SALE WORKING'!E229</f>
        <v>0</v>
      </c>
      <c r="F29" s="273">
        <f>+'SALE WORKING'!F229</f>
        <v>0</v>
      </c>
      <c r="G29" s="273">
        <f>+'SALE WORKING'!G229</f>
        <v>0</v>
      </c>
      <c r="H29" s="273">
        <f>+'SALE WORKING'!H229</f>
        <v>0</v>
      </c>
      <c r="I29" s="273">
        <f>+'SALE WORKING'!I229</f>
        <v>0</v>
      </c>
      <c r="J29" s="273">
        <f>+'SALE WORKING'!J229</f>
        <v>0</v>
      </c>
      <c r="K29" s="273">
        <f>+'SALE WORKING'!K229</f>
        <v>0</v>
      </c>
      <c r="L29" s="273">
        <f>+'SALE WORKING'!L229</f>
        <v>0</v>
      </c>
      <c r="M29" s="273">
        <f>+'SALE WORKING'!M229</f>
        <v>0</v>
      </c>
      <c r="N29" s="273">
        <f>+'SALE WORKING'!N229</f>
        <v>0</v>
      </c>
      <c r="O29" s="274">
        <f t="shared" si="4"/>
        <v>0</v>
      </c>
    </row>
    <row r="30" spans="1:15" ht="15.75" customHeight="1" x14ac:dyDescent="0.2">
      <c r="A30" s="1404" t="s">
        <v>436</v>
      </c>
      <c r="B30" s="1405"/>
      <c r="C30" s="1405"/>
      <c r="D30" s="1405"/>
      <c r="E30" s="1405"/>
      <c r="F30" s="1405"/>
      <c r="G30" s="1405"/>
      <c r="H30" s="1405"/>
      <c r="I30" s="1405"/>
      <c r="J30" s="1405"/>
      <c r="K30" s="1405"/>
      <c r="L30" s="1405"/>
      <c r="M30" s="1405"/>
      <c r="N30" s="1405"/>
      <c r="O30" s="1406"/>
    </row>
    <row r="31" spans="1:15" ht="15.75" customHeight="1" x14ac:dyDescent="0.2">
      <c r="A31" s="1407" t="s">
        <v>437</v>
      </c>
      <c r="B31" s="1408"/>
      <c r="C31" s="1408"/>
      <c r="D31" s="1408"/>
      <c r="E31" s="1408"/>
      <c r="F31" s="1408"/>
      <c r="G31" s="1408"/>
      <c r="H31" s="1408"/>
      <c r="I31" s="1408"/>
      <c r="J31" s="1408"/>
      <c r="K31" s="1408"/>
      <c r="L31" s="1408"/>
      <c r="M31" s="1408"/>
      <c r="N31" s="1408"/>
      <c r="O31" s="1409"/>
    </row>
    <row r="32" spans="1:15" ht="15.75" customHeight="1" x14ac:dyDescent="0.2">
      <c r="A32" s="1410" t="s">
        <v>438</v>
      </c>
      <c r="B32" s="1411"/>
      <c r="C32" s="1411"/>
      <c r="D32" s="1411"/>
      <c r="E32" s="1411"/>
      <c r="F32" s="1411"/>
      <c r="G32" s="1411"/>
      <c r="H32" s="1411"/>
      <c r="I32" s="1411"/>
      <c r="J32" s="1411"/>
      <c r="K32" s="1411"/>
      <c r="L32" s="1411"/>
      <c r="M32" s="1411"/>
      <c r="N32" s="1411"/>
      <c r="O32" s="1412"/>
    </row>
    <row r="33" spans="1:15" ht="15.75" customHeight="1" x14ac:dyDescent="0.2">
      <c r="A33" s="1342" t="s">
        <v>439</v>
      </c>
      <c r="B33" s="1343"/>
      <c r="C33" s="1343"/>
      <c r="D33" s="1343"/>
      <c r="E33" s="1343"/>
      <c r="F33" s="1343"/>
      <c r="G33" s="1343"/>
      <c r="H33" s="1343"/>
      <c r="I33" s="1343"/>
      <c r="J33" s="1343"/>
      <c r="K33" s="1343"/>
      <c r="L33" s="1343"/>
      <c r="M33" s="1343"/>
      <c r="N33" s="1343"/>
      <c r="O33" s="1344"/>
    </row>
    <row r="34" spans="1:15" x14ac:dyDescent="0.2">
      <c r="A34" s="24" t="s">
        <v>2</v>
      </c>
      <c r="B34" s="24"/>
      <c r="C34" s="110">
        <v>43556</v>
      </c>
      <c r="D34" s="110">
        <v>43586</v>
      </c>
      <c r="E34" s="110">
        <v>43617</v>
      </c>
      <c r="F34" s="110">
        <v>43647</v>
      </c>
      <c r="G34" s="110">
        <v>43678</v>
      </c>
      <c r="H34" s="110">
        <v>43709</v>
      </c>
      <c r="I34" s="110">
        <v>43739</v>
      </c>
      <c r="J34" s="110">
        <v>43770</v>
      </c>
      <c r="K34" s="110">
        <v>43800</v>
      </c>
      <c r="L34" s="110">
        <v>43831</v>
      </c>
      <c r="M34" s="110">
        <v>43862</v>
      </c>
      <c r="N34" s="110">
        <v>43891</v>
      </c>
      <c r="O34" s="24" t="s">
        <v>1041</v>
      </c>
    </row>
    <row r="35" spans="1:15" ht="15.75" customHeight="1" x14ac:dyDescent="0.2">
      <c r="A35" s="251" t="s">
        <v>2555</v>
      </c>
      <c r="B35" s="251" t="s">
        <v>1463</v>
      </c>
      <c r="C35" s="275">
        <f>+'PURCHASE WORKING'!C8</f>
        <v>0</v>
      </c>
      <c r="D35" s="275">
        <f>+'PURCHASE WORKING'!D8</f>
        <v>102136.914</v>
      </c>
      <c r="E35" s="275">
        <f>+'PURCHASE WORKING'!E8</f>
        <v>0</v>
      </c>
      <c r="F35" s="275">
        <f>+'PURCHASE WORKING'!F8</f>
        <v>45385.919999999998</v>
      </c>
      <c r="G35" s="275">
        <f>+'PURCHASE WORKING'!G8</f>
        <v>0</v>
      </c>
      <c r="H35" s="275">
        <f>+'PURCHASE WORKING'!H8</f>
        <v>0</v>
      </c>
      <c r="I35" s="275">
        <f>+'PURCHASE WORKING'!I8</f>
        <v>141178.68</v>
      </c>
      <c r="J35" s="275">
        <f>+'PURCHASE WORKING'!J8</f>
        <v>0</v>
      </c>
      <c r="K35" s="275">
        <f>+'PURCHASE WORKING'!K8</f>
        <v>31446.108</v>
      </c>
      <c r="L35" s="275">
        <f>+'PURCHASE WORKING'!L8</f>
        <v>0</v>
      </c>
      <c r="M35" s="275">
        <f>+'PURCHASE WORKING'!M8</f>
        <v>0</v>
      </c>
      <c r="N35" s="275">
        <f>+'PURCHASE WORKING'!N8</f>
        <v>0</v>
      </c>
      <c r="O35" s="252">
        <f t="shared" ref="O35:O36" si="5">SUM(C35:N35)</f>
        <v>320147.62199999997</v>
      </c>
    </row>
    <row r="36" spans="1:15" ht="15.75" customHeight="1" x14ac:dyDescent="0.2">
      <c r="A36" s="255" t="s">
        <v>2556</v>
      </c>
      <c r="B36" s="255" t="s">
        <v>316</v>
      </c>
      <c r="C36" s="276">
        <f>+'PURCHASE WORKING'!C9</f>
        <v>0</v>
      </c>
      <c r="D36" s="276">
        <f>+'PURCHASE WORKING'!D9</f>
        <v>0</v>
      </c>
      <c r="E36" s="276">
        <f>+'PURCHASE WORKING'!E9</f>
        <v>0</v>
      </c>
      <c r="F36" s="276">
        <f>+'PURCHASE WORKING'!F9</f>
        <v>0</v>
      </c>
      <c r="G36" s="276">
        <f>+'PURCHASE WORKING'!G9</f>
        <v>0</v>
      </c>
      <c r="H36" s="276">
        <f>+'PURCHASE WORKING'!H9</f>
        <v>0</v>
      </c>
      <c r="I36" s="276">
        <f>+'PURCHASE WORKING'!I9</f>
        <v>0</v>
      </c>
      <c r="J36" s="276">
        <f>+'PURCHASE WORKING'!J9</f>
        <v>0</v>
      </c>
      <c r="K36" s="276">
        <f>+'PURCHASE WORKING'!K9</f>
        <v>0</v>
      </c>
      <c r="L36" s="276">
        <f>+'PURCHASE WORKING'!L9</f>
        <v>0</v>
      </c>
      <c r="M36" s="276">
        <f>+'PURCHASE WORKING'!M9</f>
        <v>0</v>
      </c>
      <c r="N36" s="276">
        <f>+'PURCHASE WORKING'!N9</f>
        <v>0</v>
      </c>
      <c r="O36" s="256">
        <f t="shared" si="5"/>
        <v>0</v>
      </c>
    </row>
    <row r="37" spans="1:15" x14ac:dyDescent="0.2">
      <c r="A37" s="1355" t="s">
        <v>440</v>
      </c>
      <c r="B37" s="1356"/>
      <c r="C37" s="1356"/>
      <c r="D37" s="1356"/>
      <c r="E37" s="1356"/>
      <c r="F37" s="1356"/>
      <c r="G37" s="1356"/>
      <c r="H37" s="1356"/>
      <c r="I37" s="1356"/>
      <c r="J37" s="1356"/>
      <c r="K37" s="1356"/>
      <c r="L37" s="1356"/>
      <c r="M37" s="1356"/>
      <c r="N37" s="1356"/>
      <c r="O37" s="1357"/>
    </row>
    <row r="38" spans="1:15" ht="15.75" customHeight="1" x14ac:dyDescent="0.2">
      <c r="A38" s="251" t="s">
        <v>2555</v>
      </c>
      <c r="B38" s="251" t="s">
        <v>1463</v>
      </c>
      <c r="C38" s="277">
        <f>+'PURCHASE WORKING'!C22</f>
        <v>0</v>
      </c>
      <c r="D38" s="277">
        <f>+'PURCHASE WORKING'!D22</f>
        <v>0</v>
      </c>
      <c r="E38" s="277">
        <f>+'PURCHASE WORKING'!E22</f>
        <v>0</v>
      </c>
      <c r="F38" s="277">
        <f>+'PURCHASE WORKING'!F22</f>
        <v>0</v>
      </c>
      <c r="G38" s="277">
        <f>+'PURCHASE WORKING'!G22</f>
        <v>0</v>
      </c>
      <c r="H38" s="277">
        <f>+'PURCHASE WORKING'!H22</f>
        <v>0</v>
      </c>
      <c r="I38" s="277">
        <f>+'PURCHASE WORKING'!I22</f>
        <v>0</v>
      </c>
      <c r="J38" s="277">
        <f>+'PURCHASE WORKING'!J22</f>
        <v>0</v>
      </c>
      <c r="K38" s="277">
        <f>+'PURCHASE WORKING'!K22</f>
        <v>0</v>
      </c>
      <c r="L38" s="277">
        <f>+'PURCHASE WORKING'!L22</f>
        <v>0</v>
      </c>
      <c r="M38" s="277">
        <f>+'PURCHASE WORKING'!M22</f>
        <v>0</v>
      </c>
      <c r="N38" s="277">
        <f>+'PURCHASE WORKING'!N22</f>
        <v>0</v>
      </c>
      <c r="O38" s="252">
        <f t="shared" ref="O38:O39" si="6">SUM(C38:N38)</f>
        <v>0</v>
      </c>
    </row>
    <row r="39" spans="1:15" ht="15.75" customHeight="1" x14ac:dyDescent="0.2">
      <c r="A39" s="255" t="s">
        <v>2556</v>
      </c>
      <c r="B39" s="255" t="s">
        <v>316</v>
      </c>
      <c r="C39" s="278">
        <f>+'PURCHASE WORKING'!C23</f>
        <v>0</v>
      </c>
      <c r="D39" s="278">
        <f>+'PURCHASE WORKING'!D23</f>
        <v>0</v>
      </c>
      <c r="E39" s="278">
        <f>+'PURCHASE WORKING'!E23</f>
        <v>0</v>
      </c>
      <c r="F39" s="278">
        <f>+'PURCHASE WORKING'!F23</f>
        <v>0</v>
      </c>
      <c r="G39" s="278">
        <f>+'PURCHASE WORKING'!G23</f>
        <v>0</v>
      </c>
      <c r="H39" s="278">
        <f>+'PURCHASE WORKING'!H23</f>
        <v>0</v>
      </c>
      <c r="I39" s="278">
        <f>+'PURCHASE WORKING'!I23</f>
        <v>0</v>
      </c>
      <c r="J39" s="278">
        <f>+'PURCHASE WORKING'!J23</f>
        <v>0</v>
      </c>
      <c r="K39" s="278">
        <f>+'PURCHASE WORKING'!K23</f>
        <v>0</v>
      </c>
      <c r="L39" s="278">
        <f>+'PURCHASE WORKING'!L23</f>
        <v>0</v>
      </c>
      <c r="M39" s="278">
        <f>+'PURCHASE WORKING'!M23</f>
        <v>0</v>
      </c>
      <c r="N39" s="278">
        <f>+'PURCHASE WORKING'!N23</f>
        <v>0</v>
      </c>
      <c r="O39" s="256">
        <f t="shared" si="6"/>
        <v>0</v>
      </c>
    </row>
    <row r="40" spans="1:15" x14ac:dyDescent="0.2">
      <c r="A40" s="1358" t="s">
        <v>441</v>
      </c>
      <c r="B40" s="1359"/>
      <c r="C40" s="1359"/>
      <c r="D40" s="1359"/>
      <c r="E40" s="1359"/>
      <c r="F40" s="1359"/>
      <c r="G40" s="1359"/>
      <c r="H40" s="1359"/>
      <c r="I40" s="1359"/>
      <c r="J40" s="1359"/>
      <c r="K40" s="1359"/>
      <c r="L40" s="1359"/>
      <c r="M40" s="1359"/>
      <c r="N40" s="1359"/>
      <c r="O40" s="1360"/>
    </row>
    <row r="41" spans="1:15" s="280" customFormat="1" ht="15.75" customHeight="1" x14ac:dyDescent="0.2">
      <c r="A41" s="251" t="s">
        <v>2555</v>
      </c>
      <c r="B41" s="251" t="s">
        <v>1463</v>
      </c>
      <c r="C41" s="279">
        <f>+'PURCHASE WORKING'!C36</f>
        <v>0</v>
      </c>
      <c r="D41" s="279">
        <f>+'PURCHASE WORKING'!D36</f>
        <v>0</v>
      </c>
      <c r="E41" s="279">
        <f>+'PURCHASE WORKING'!E36</f>
        <v>0</v>
      </c>
      <c r="F41" s="279">
        <f>+'PURCHASE WORKING'!F36</f>
        <v>0</v>
      </c>
      <c r="G41" s="279">
        <f>+'PURCHASE WORKING'!G36</f>
        <v>0</v>
      </c>
      <c r="H41" s="279">
        <f>+'PURCHASE WORKING'!H36</f>
        <v>0</v>
      </c>
      <c r="I41" s="279">
        <f>+'PURCHASE WORKING'!I36</f>
        <v>0</v>
      </c>
      <c r="J41" s="279">
        <f>+'PURCHASE WORKING'!J36</f>
        <v>0</v>
      </c>
      <c r="K41" s="279">
        <f>+'PURCHASE WORKING'!K36</f>
        <v>0</v>
      </c>
      <c r="L41" s="279">
        <f>+'PURCHASE WORKING'!L36</f>
        <v>0</v>
      </c>
      <c r="M41" s="279">
        <f>+'PURCHASE WORKING'!M36</f>
        <v>0</v>
      </c>
      <c r="N41" s="279">
        <f>+'PURCHASE WORKING'!N36</f>
        <v>0</v>
      </c>
      <c r="O41" s="252">
        <f t="shared" ref="O41:O44" si="7">SUM(C41:N41)</f>
        <v>0</v>
      </c>
    </row>
    <row r="42" spans="1:15" s="280" customFormat="1" ht="15.75" customHeight="1" x14ac:dyDescent="0.2">
      <c r="A42" s="253" t="s">
        <v>2556</v>
      </c>
      <c r="B42" s="253" t="s">
        <v>1478</v>
      </c>
      <c r="C42" s="281">
        <f>+'PURCHASE WORKING'!C37</f>
        <v>462.5</v>
      </c>
      <c r="D42" s="281">
        <f>+'PURCHASE WORKING'!D37</f>
        <v>1139</v>
      </c>
      <c r="E42" s="281">
        <f>+'PURCHASE WORKING'!E37</f>
        <v>615</v>
      </c>
      <c r="F42" s="281">
        <f>+'PURCHASE WORKING'!F37</f>
        <v>781.25</v>
      </c>
      <c r="G42" s="281">
        <f>+'PURCHASE WORKING'!G37</f>
        <v>897.5</v>
      </c>
      <c r="H42" s="281">
        <f>+'PURCHASE WORKING'!H37</f>
        <v>923.75</v>
      </c>
      <c r="I42" s="281">
        <f>+'PURCHASE WORKING'!I37</f>
        <v>727.5</v>
      </c>
      <c r="J42" s="281">
        <f>+'PURCHASE WORKING'!J37</f>
        <v>685</v>
      </c>
      <c r="K42" s="281">
        <f>+'PURCHASE WORKING'!K37</f>
        <v>1244.0250000000001</v>
      </c>
      <c r="L42" s="281">
        <f>+'PURCHASE WORKING'!L37</f>
        <v>0</v>
      </c>
      <c r="M42" s="281">
        <f>+'PURCHASE WORKING'!M37</f>
        <v>0</v>
      </c>
      <c r="N42" s="281">
        <f>+'PURCHASE WORKING'!N37</f>
        <v>0</v>
      </c>
      <c r="O42" s="254">
        <f t="shared" si="7"/>
        <v>7475.5249999999996</v>
      </c>
    </row>
    <row r="43" spans="1:15" s="280" customFormat="1" ht="15.75" customHeight="1" x14ac:dyDescent="0.2">
      <c r="A43" s="253" t="s">
        <v>2557</v>
      </c>
      <c r="B43" s="253" t="s">
        <v>1502</v>
      </c>
      <c r="C43" s="281">
        <f>+'PURCHASE WORKING'!C38</f>
        <v>462.5</v>
      </c>
      <c r="D43" s="281">
        <f>+'PURCHASE WORKING'!D38</f>
        <v>1139</v>
      </c>
      <c r="E43" s="281">
        <f>+'PURCHASE WORKING'!E38</f>
        <v>615</v>
      </c>
      <c r="F43" s="281">
        <f>+'PURCHASE WORKING'!F38</f>
        <v>781.25</v>
      </c>
      <c r="G43" s="281">
        <f>+'PURCHASE WORKING'!G38</f>
        <v>897.5</v>
      </c>
      <c r="H43" s="281">
        <f>+'PURCHASE WORKING'!H38</f>
        <v>923.75</v>
      </c>
      <c r="I43" s="281">
        <f>+'PURCHASE WORKING'!I38</f>
        <v>727.5</v>
      </c>
      <c r="J43" s="281">
        <f>+'PURCHASE WORKING'!J38</f>
        <v>685</v>
      </c>
      <c r="K43" s="281">
        <f>+'PURCHASE WORKING'!K38</f>
        <v>1244.0250000000001</v>
      </c>
      <c r="L43" s="281">
        <f>+'PURCHASE WORKING'!L38</f>
        <v>0</v>
      </c>
      <c r="M43" s="281">
        <f>+'PURCHASE WORKING'!M38</f>
        <v>0</v>
      </c>
      <c r="N43" s="281">
        <f>+'PURCHASE WORKING'!N38</f>
        <v>0</v>
      </c>
      <c r="O43" s="254">
        <f t="shared" si="7"/>
        <v>7475.5249999999996</v>
      </c>
    </row>
    <row r="44" spans="1:15" s="280" customFormat="1" ht="15.75" customHeight="1" x14ac:dyDescent="0.2">
      <c r="A44" s="255" t="s">
        <v>2558</v>
      </c>
      <c r="B44" s="255" t="s">
        <v>316</v>
      </c>
      <c r="C44" s="282">
        <f>+'PURCHASE WORKING'!C39</f>
        <v>0</v>
      </c>
      <c r="D44" s="282">
        <f>+'PURCHASE WORKING'!D39</f>
        <v>0</v>
      </c>
      <c r="E44" s="282">
        <f>+'PURCHASE WORKING'!E39</f>
        <v>0</v>
      </c>
      <c r="F44" s="282">
        <f>+'PURCHASE WORKING'!F39</f>
        <v>0</v>
      </c>
      <c r="G44" s="282">
        <f>+'PURCHASE WORKING'!G39</f>
        <v>0</v>
      </c>
      <c r="H44" s="282">
        <f>+'PURCHASE WORKING'!H39</f>
        <v>0</v>
      </c>
      <c r="I44" s="282">
        <f>+'PURCHASE WORKING'!I39</f>
        <v>0</v>
      </c>
      <c r="J44" s="282">
        <f>+'PURCHASE WORKING'!J39</f>
        <v>0</v>
      </c>
      <c r="K44" s="282">
        <f>+'PURCHASE WORKING'!K39</f>
        <v>0</v>
      </c>
      <c r="L44" s="282">
        <f>+'PURCHASE WORKING'!L39</f>
        <v>0</v>
      </c>
      <c r="M44" s="282">
        <f>+'PURCHASE WORKING'!M39</f>
        <v>0</v>
      </c>
      <c r="N44" s="282">
        <f>+'PURCHASE WORKING'!N39</f>
        <v>0</v>
      </c>
      <c r="O44" s="256">
        <f t="shared" si="7"/>
        <v>0</v>
      </c>
    </row>
    <row r="45" spans="1:15" ht="15.75" customHeight="1" x14ac:dyDescent="0.2">
      <c r="A45" s="1361" t="s">
        <v>442</v>
      </c>
      <c r="B45" s="1362"/>
      <c r="C45" s="1362"/>
      <c r="D45" s="1362"/>
      <c r="E45" s="1362"/>
      <c r="F45" s="1362"/>
      <c r="G45" s="1362"/>
      <c r="H45" s="1362"/>
      <c r="I45" s="1362"/>
      <c r="J45" s="1362"/>
      <c r="K45" s="1362"/>
      <c r="L45" s="1362"/>
      <c r="M45" s="1362"/>
      <c r="N45" s="1362"/>
      <c r="O45" s="1363"/>
    </row>
    <row r="46" spans="1:15" s="280" customFormat="1" ht="15.75" customHeight="1" x14ac:dyDescent="0.2">
      <c r="A46" s="251" t="s">
        <v>2555</v>
      </c>
      <c r="B46" s="251" t="s">
        <v>1463</v>
      </c>
      <c r="C46" s="279">
        <f>+'PURCHASE WORKING'!C45</f>
        <v>0</v>
      </c>
      <c r="D46" s="279">
        <f>+'PURCHASE WORKING'!D45</f>
        <v>0</v>
      </c>
      <c r="E46" s="279">
        <f>+'PURCHASE WORKING'!E45</f>
        <v>0</v>
      </c>
      <c r="F46" s="279">
        <f>+'PURCHASE WORKING'!F45</f>
        <v>0</v>
      </c>
      <c r="G46" s="279">
        <f>+'PURCHASE WORKING'!G45</f>
        <v>0</v>
      </c>
      <c r="H46" s="279">
        <f>+'PURCHASE WORKING'!H45</f>
        <v>0</v>
      </c>
      <c r="I46" s="279">
        <f>+'PURCHASE WORKING'!I45</f>
        <v>0</v>
      </c>
      <c r="J46" s="279">
        <f>+'PURCHASE WORKING'!J45</f>
        <v>0</v>
      </c>
      <c r="K46" s="279">
        <f>+'PURCHASE WORKING'!K45</f>
        <v>0</v>
      </c>
      <c r="L46" s="279">
        <f>+'PURCHASE WORKING'!L45</f>
        <v>0</v>
      </c>
      <c r="M46" s="279">
        <f>+'PURCHASE WORKING'!M45</f>
        <v>0</v>
      </c>
      <c r="N46" s="279">
        <f>+'PURCHASE WORKING'!N45</f>
        <v>0</v>
      </c>
      <c r="O46" s="252">
        <f t="shared" ref="O46:O49" si="8">SUM(C46:N46)</f>
        <v>0</v>
      </c>
    </row>
    <row r="47" spans="1:15" s="280" customFormat="1" ht="15.75" customHeight="1" x14ac:dyDescent="0.2">
      <c r="A47" s="253" t="s">
        <v>2556</v>
      </c>
      <c r="B47" s="253" t="s">
        <v>1478</v>
      </c>
      <c r="C47" s="281">
        <f>+'PURCHASE WORKING'!C46</f>
        <v>0</v>
      </c>
      <c r="D47" s="281">
        <f>+'PURCHASE WORKING'!D46</f>
        <v>0</v>
      </c>
      <c r="E47" s="281">
        <f>+'PURCHASE WORKING'!E46</f>
        <v>0</v>
      </c>
      <c r="F47" s="281">
        <f>+'PURCHASE WORKING'!F46</f>
        <v>0</v>
      </c>
      <c r="G47" s="281">
        <f>+'PURCHASE WORKING'!G46</f>
        <v>0</v>
      </c>
      <c r="H47" s="281">
        <f>+'PURCHASE WORKING'!H46</f>
        <v>0</v>
      </c>
      <c r="I47" s="281">
        <f>+'PURCHASE WORKING'!I46</f>
        <v>0</v>
      </c>
      <c r="J47" s="281">
        <f>+'PURCHASE WORKING'!J46</f>
        <v>0</v>
      </c>
      <c r="K47" s="281">
        <f>+'PURCHASE WORKING'!K46</f>
        <v>0</v>
      </c>
      <c r="L47" s="281">
        <f>+'PURCHASE WORKING'!L46</f>
        <v>0</v>
      </c>
      <c r="M47" s="281">
        <f>+'PURCHASE WORKING'!M46</f>
        <v>0</v>
      </c>
      <c r="N47" s="281">
        <f>+'PURCHASE WORKING'!N46</f>
        <v>0</v>
      </c>
      <c r="O47" s="254">
        <f t="shared" si="8"/>
        <v>0</v>
      </c>
    </row>
    <row r="48" spans="1:15" s="280" customFormat="1" ht="15.75" customHeight="1" x14ac:dyDescent="0.2">
      <c r="A48" s="253" t="s">
        <v>2557</v>
      </c>
      <c r="B48" s="253" t="s">
        <v>1502</v>
      </c>
      <c r="C48" s="281">
        <f>+'PURCHASE WORKING'!C47</f>
        <v>0</v>
      </c>
      <c r="D48" s="281">
        <f>+'PURCHASE WORKING'!D47</f>
        <v>0</v>
      </c>
      <c r="E48" s="281">
        <f>+'PURCHASE WORKING'!E47</f>
        <v>0</v>
      </c>
      <c r="F48" s="281">
        <f>+'PURCHASE WORKING'!F47</f>
        <v>0</v>
      </c>
      <c r="G48" s="281">
        <f>+'PURCHASE WORKING'!G47</f>
        <v>0</v>
      </c>
      <c r="H48" s="281">
        <f>+'PURCHASE WORKING'!H47</f>
        <v>0</v>
      </c>
      <c r="I48" s="281">
        <f>+'PURCHASE WORKING'!I47</f>
        <v>0</v>
      </c>
      <c r="J48" s="281">
        <f>+'PURCHASE WORKING'!J47</f>
        <v>0</v>
      </c>
      <c r="K48" s="281">
        <f>+'PURCHASE WORKING'!K47</f>
        <v>0</v>
      </c>
      <c r="L48" s="281">
        <f>+'PURCHASE WORKING'!L47</f>
        <v>0</v>
      </c>
      <c r="M48" s="281">
        <f>+'PURCHASE WORKING'!M47</f>
        <v>0</v>
      </c>
      <c r="N48" s="281">
        <f>+'PURCHASE WORKING'!N47</f>
        <v>0</v>
      </c>
      <c r="O48" s="254">
        <f t="shared" si="8"/>
        <v>0</v>
      </c>
    </row>
    <row r="49" spans="1:15" s="280" customFormat="1" ht="15.75" customHeight="1" x14ac:dyDescent="0.2">
      <c r="A49" s="255" t="s">
        <v>2558</v>
      </c>
      <c r="B49" s="255" t="s">
        <v>316</v>
      </c>
      <c r="C49" s="282">
        <f>+'PURCHASE WORKING'!C48</f>
        <v>0</v>
      </c>
      <c r="D49" s="282">
        <f>+'PURCHASE WORKING'!D48</f>
        <v>0</v>
      </c>
      <c r="E49" s="282">
        <f>+'PURCHASE WORKING'!E48</f>
        <v>0</v>
      </c>
      <c r="F49" s="282">
        <f>+'PURCHASE WORKING'!F48</f>
        <v>0</v>
      </c>
      <c r="G49" s="282">
        <f>+'PURCHASE WORKING'!G48</f>
        <v>0</v>
      </c>
      <c r="H49" s="282">
        <f>+'PURCHASE WORKING'!H48</f>
        <v>0</v>
      </c>
      <c r="I49" s="282">
        <f>+'PURCHASE WORKING'!I48</f>
        <v>0</v>
      </c>
      <c r="J49" s="282">
        <f>+'PURCHASE WORKING'!J48</f>
        <v>0</v>
      </c>
      <c r="K49" s="282">
        <f>+'PURCHASE WORKING'!K48</f>
        <v>0</v>
      </c>
      <c r="L49" s="282">
        <f>+'PURCHASE WORKING'!L48</f>
        <v>0</v>
      </c>
      <c r="M49" s="282">
        <f>+'PURCHASE WORKING'!M48</f>
        <v>0</v>
      </c>
      <c r="N49" s="282">
        <f>+'PURCHASE WORKING'!N48</f>
        <v>0</v>
      </c>
      <c r="O49" s="256">
        <f t="shared" si="8"/>
        <v>0</v>
      </c>
    </row>
    <row r="50" spans="1:15" s="280" customFormat="1" ht="15.75" customHeight="1" x14ac:dyDescent="0.2">
      <c r="A50" s="1364" t="s">
        <v>443</v>
      </c>
      <c r="B50" s="1365"/>
      <c r="C50" s="1365"/>
      <c r="D50" s="1365"/>
      <c r="E50" s="1365"/>
      <c r="F50" s="1365"/>
      <c r="G50" s="1365"/>
      <c r="H50" s="1365"/>
      <c r="I50" s="1365"/>
      <c r="J50" s="1365"/>
      <c r="K50" s="1365"/>
      <c r="L50" s="1365"/>
      <c r="M50" s="1365"/>
      <c r="N50" s="1365"/>
      <c r="O50" s="1366"/>
    </row>
    <row r="51" spans="1:15" x14ac:dyDescent="0.2">
      <c r="A51" s="251" t="s">
        <v>2555</v>
      </c>
      <c r="B51" s="251" t="s">
        <v>1463</v>
      </c>
      <c r="C51" s="252">
        <f>+'PURCHASE WORKING'!C54</f>
        <v>2079.9351999999999</v>
      </c>
      <c r="D51" s="252">
        <f>+'PURCHASE WORKING'!D54</f>
        <v>36933.315999999999</v>
      </c>
      <c r="E51" s="252">
        <f>+'PURCHASE WORKING'!E54</f>
        <v>89585.376799999998</v>
      </c>
      <c r="F51" s="252">
        <f>+'PURCHASE WORKING'!F54</f>
        <v>23899.64</v>
      </c>
      <c r="G51" s="252">
        <f>+'PURCHASE WORKING'!G54</f>
        <v>10977.877199999999</v>
      </c>
      <c r="H51" s="252">
        <f>+'PURCHASE WORKING'!H54</f>
        <v>57463.603599999988</v>
      </c>
      <c r="I51" s="252">
        <f>+'PURCHASE WORKING'!I54</f>
        <v>35776.299999999996</v>
      </c>
      <c r="J51" s="252">
        <f>+'PURCHASE WORKING'!J54</f>
        <v>28467.498000000003</v>
      </c>
      <c r="K51" s="252">
        <f>+'PURCHASE WORKING'!K54</f>
        <v>293644.29119999998</v>
      </c>
      <c r="L51" s="252">
        <f>+'PURCHASE WORKING'!L54</f>
        <v>23052.937600000001</v>
      </c>
      <c r="M51" s="252">
        <f>+'PURCHASE WORKING'!M54</f>
        <v>0</v>
      </c>
      <c r="N51" s="252">
        <f>+'PURCHASE WORKING'!N54</f>
        <v>0</v>
      </c>
      <c r="O51" s="252">
        <f t="shared" ref="O51:O54" si="9">SUM(C51:N51)</f>
        <v>601880.77559999994</v>
      </c>
    </row>
    <row r="52" spans="1:15" x14ac:dyDescent="0.2">
      <c r="A52" s="253" t="s">
        <v>2556</v>
      </c>
      <c r="B52" s="253" t="s">
        <v>1478</v>
      </c>
      <c r="C52" s="254">
        <f>+'PURCHASE WORKING'!C55</f>
        <v>320062.28289999982</v>
      </c>
      <c r="D52" s="254">
        <f>+'PURCHASE WORKING'!D55</f>
        <v>435884.11540000001</v>
      </c>
      <c r="E52" s="254">
        <f>+'PURCHASE WORKING'!E55</f>
        <v>456538.5692999998</v>
      </c>
      <c r="F52" s="254">
        <f>+'PURCHASE WORKING'!F55</f>
        <v>649261.90440000047</v>
      </c>
      <c r="G52" s="254">
        <f>+'PURCHASE WORKING'!G55</f>
        <v>403530.33340000012</v>
      </c>
      <c r="H52" s="254">
        <f>+'PURCHASE WORKING'!H55</f>
        <v>382093.73650000017</v>
      </c>
      <c r="I52" s="254">
        <f>+'PURCHASE WORKING'!I55</f>
        <v>376648.78960000008</v>
      </c>
      <c r="J52" s="254">
        <f>+'PURCHASE WORKING'!J55</f>
        <v>332947.8922</v>
      </c>
      <c r="K52" s="254">
        <f>+'PURCHASE WORKING'!K55</f>
        <v>421693.57909999997</v>
      </c>
      <c r="L52" s="254">
        <f>+'PURCHASE WORKING'!L55</f>
        <v>300645.39929999993</v>
      </c>
      <c r="M52" s="254">
        <f>+'PURCHASE WORKING'!M55</f>
        <v>0</v>
      </c>
      <c r="N52" s="254">
        <f>+'PURCHASE WORKING'!N55</f>
        <v>0</v>
      </c>
      <c r="O52" s="254">
        <f t="shared" si="9"/>
        <v>4079306.6021000007</v>
      </c>
    </row>
    <row r="53" spans="1:15" x14ac:dyDescent="0.2">
      <c r="A53" s="253" t="s">
        <v>2557</v>
      </c>
      <c r="B53" s="253" t="s">
        <v>1502</v>
      </c>
      <c r="C53" s="254">
        <f>+'PURCHASE WORKING'!C56</f>
        <v>320062.28289999982</v>
      </c>
      <c r="D53" s="254">
        <f>+'PURCHASE WORKING'!D56</f>
        <v>435884.11540000001</v>
      </c>
      <c r="E53" s="254">
        <f>+'PURCHASE WORKING'!E56</f>
        <v>456538.5692999998</v>
      </c>
      <c r="F53" s="254">
        <f>+'PURCHASE WORKING'!F56</f>
        <v>649261.90440000047</v>
      </c>
      <c r="G53" s="254">
        <f>+'PURCHASE WORKING'!G56</f>
        <v>403530.33340000012</v>
      </c>
      <c r="H53" s="254">
        <f>+'PURCHASE WORKING'!H56</f>
        <v>382093.73650000017</v>
      </c>
      <c r="I53" s="254">
        <f>+'PURCHASE WORKING'!I56</f>
        <v>376648.78960000008</v>
      </c>
      <c r="J53" s="254">
        <f>+'PURCHASE WORKING'!J56</f>
        <v>332947.8922</v>
      </c>
      <c r="K53" s="254">
        <f>+'PURCHASE WORKING'!K56</f>
        <v>421693.57909999997</v>
      </c>
      <c r="L53" s="254">
        <f>+'PURCHASE WORKING'!L56</f>
        <v>300645.39929999993</v>
      </c>
      <c r="M53" s="254">
        <f>+'PURCHASE WORKING'!M56</f>
        <v>0</v>
      </c>
      <c r="N53" s="254">
        <f>+'PURCHASE WORKING'!N56</f>
        <v>0</v>
      </c>
      <c r="O53" s="254">
        <f t="shared" si="9"/>
        <v>4079306.6021000007</v>
      </c>
    </row>
    <row r="54" spans="1:15" x14ac:dyDescent="0.2">
      <c r="A54" s="255" t="s">
        <v>2558</v>
      </c>
      <c r="B54" s="255" t="s">
        <v>316</v>
      </c>
      <c r="C54" s="256">
        <f>+'PURCHASE WORKING'!C57</f>
        <v>0</v>
      </c>
      <c r="D54" s="256">
        <f>+'PURCHASE WORKING'!D57</f>
        <v>0</v>
      </c>
      <c r="E54" s="256">
        <f>+'PURCHASE WORKING'!E57</f>
        <v>0</v>
      </c>
      <c r="F54" s="256">
        <f>+'PURCHASE WORKING'!F57</f>
        <v>0</v>
      </c>
      <c r="G54" s="256">
        <f>+'PURCHASE WORKING'!G57</f>
        <v>0</v>
      </c>
      <c r="H54" s="256">
        <f>+'PURCHASE WORKING'!H57</f>
        <v>0</v>
      </c>
      <c r="I54" s="256">
        <f>+'PURCHASE WORKING'!I57</f>
        <v>0</v>
      </c>
      <c r="J54" s="256">
        <f>+'PURCHASE WORKING'!J57</f>
        <v>0</v>
      </c>
      <c r="K54" s="256">
        <f>+'PURCHASE WORKING'!K57</f>
        <v>0</v>
      </c>
      <c r="L54" s="256">
        <f>+'PURCHASE WORKING'!L57</f>
        <v>0</v>
      </c>
      <c r="M54" s="256">
        <f>+'PURCHASE WORKING'!M57</f>
        <v>0</v>
      </c>
      <c r="N54" s="256">
        <f>+'PURCHASE WORKING'!N57</f>
        <v>0</v>
      </c>
      <c r="O54" s="256">
        <f t="shared" si="9"/>
        <v>0</v>
      </c>
    </row>
    <row r="55" spans="1:15" ht="15.75" customHeight="1" x14ac:dyDescent="0.2">
      <c r="A55" s="1367" t="s">
        <v>444</v>
      </c>
      <c r="B55" s="1368"/>
      <c r="C55" s="1368"/>
      <c r="D55" s="1368"/>
      <c r="E55" s="1368"/>
      <c r="F55" s="1368"/>
      <c r="G55" s="1368"/>
      <c r="H55" s="1368"/>
      <c r="I55" s="1368"/>
      <c r="J55" s="1368"/>
      <c r="K55" s="1368"/>
      <c r="L55" s="1368"/>
      <c r="M55" s="1368"/>
      <c r="N55" s="1368"/>
      <c r="O55" s="1369"/>
    </row>
    <row r="56" spans="1:15" x14ac:dyDescent="0.2">
      <c r="A56" s="1348" t="s">
        <v>445</v>
      </c>
      <c r="B56" s="1349"/>
      <c r="C56" s="1349"/>
      <c r="D56" s="1349"/>
      <c r="E56" s="1349"/>
      <c r="F56" s="1349"/>
      <c r="G56" s="1349"/>
      <c r="H56" s="1349"/>
      <c r="I56" s="1349"/>
      <c r="J56" s="1349"/>
      <c r="K56" s="1349"/>
      <c r="L56" s="1349"/>
      <c r="M56" s="1349"/>
      <c r="N56" s="1349"/>
      <c r="O56" s="1350"/>
    </row>
    <row r="57" spans="1:15" ht="15" customHeight="1" x14ac:dyDescent="0.2">
      <c r="A57" s="1342" t="s">
        <v>446</v>
      </c>
      <c r="B57" s="1343"/>
      <c r="C57" s="1343"/>
      <c r="D57" s="1343"/>
      <c r="E57" s="1343"/>
      <c r="F57" s="1343"/>
      <c r="G57" s="1343"/>
      <c r="H57" s="1343"/>
      <c r="I57" s="1343"/>
      <c r="J57" s="1343"/>
      <c r="K57" s="1343"/>
      <c r="L57" s="1343"/>
      <c r="M57" s="1343"/>
      <c r="N57" s="1343"/>
      <c r="O57" s="1344"/>
    </row>
    <row r="58" spans="1:15" x14ac:dyDescent="0.2">
      <c r="A58" s="24" t="s">
        <v>2</v>
      </c>
      <c r="B58" s="24"/>
      <c r="C58" s="110">
        <v>43556</v>
      </c>
      <c r="D58" s="110">
        <v>43586</v>
      </c>
      <c r="E58" s="110">
        <v>43617</v>
      </c>
      <c r="F58" s="110">
        <v>43647</v>
      </c>
      <c r="G58" s="110">
        <v>43678</v>
      </c>
      <c r="H58" s="110">
        <v>43709</v>
      </c>
      <c r="I58" s="110">
        <v>43739</v>
      </c>
      <c r="J58" s="110">
        <v>43770</v>
      </c>
      <c r="K58" s="110">
        <v>43800</v>
      </c>
      <c r="L58" s="110">
        <v>43831</v>
      </c>
      <c r="M58" s="110">
        <v>43862</v>
      </c>
      <c r="N58" s="110">
        <v>43891</v>
      </c>
      <c r="O58" s="24" t="s">
        <v>1041</v>
      </c>
    </row>
    <row r="59" spans="1:15" x14ac:dyDescent="0.2">
      <c r="A59" s="251" t="s">
        <v>2555</v>
      </c>
      <c r="B59" s="251" t="s">
        <v>1463</v>
      </c>
      <c r="C59" s="252">
        <f>+'PURCHASE WORKING'!C227+'PURCHASE WORKING'!C235</f>
        <v>0</v>
      </c>
      <c r="D59" s="252">
        <f>+'PURCHASE WORKING'!D227+'PURCHASE WORKING'!D235</f>
        <v>0</v>
      </c>
      <c r="E59" s="252">
        <f>+'PURCHASE WORKING'!E227+'PURCHASE WORKING'!E235</f>
        <v>0</v>
      </c>
      <c r="F59" s="252">
        <f>+'PURCHASE WORKING'!F227+'PURCHASE WORKING'!F235</f>
        <v>0</v>
      </c>
      <c r="G59" s="252">
        <f>+'PURCHASE WORKING'!G227+'PURCHASE WORKING'!G235</f>
        <v>0</v>
      </c>
      <c r="H59" s="252">
        <f>+'PURCHASE WORKING'!H227+'PURCHASE WORKING'!H235</f>
        <v>0</v>
      </c>
      <c r="I59" s="252">
        <f>+'PURCHASE WORKING'!I227+'PURCHASE WORKING'!I235</f>
        <v>0</v>
      </c>
      <c r="J59" s="252">
        <f>+'PURCHASE WORKING'!J227+'PURCHASE WORKING'!J235</f>
        <v>0</v>
      </c>
      <c r="K59" s="252">
        <f>+'PURCHASE WORKING'!K227+'PURCHASE WORKING'!K235</f>
        <v>0</v>
      </c>
      <c r="L59" s="252">
        <f>+'PURCHASE WORKING'!L227+'PURCHASE WORKING'!L235</f>
        <v>0</v>
      </c>
      <c r="M59" s="252">
        <f>+'PURCHASE WORKING'!M227+'PURCHASE WORKING'!M235</f>
        <v>0</v>
      </c>
      <c r="N59" s="252">
        <f>+'PURCHASE WORKING'!N227+'PURCHASE WORKING'!N235</f>
        <v>0</v>
      </c>
      <c r="O59" s="252">
        <f t="shared" ref="O59:O62" si="10">SUM(C59:N59)</f>
        <v>0</v>
      </c>
    </row>
    <row r="60" spans="1:15" x14ac:dyDescent="0.2">
      <c r="A60" s="253" t="s">
        <v>2556</v>
      </c>
      <c r="B60" s="253" t="s">
        <v>1478</v>
      </c>
      <c r="C60" s="254">
        <f>+'PURCHASE WORKING'!C228+'PURCHASE WORKING'!C236</f>
        <v>-16.2</v>
      </c>
      <c r="D60" s="254">
        <f>+'PURCHASE WORKING'!D228+'PURCHASE WORKING'!D236</f>
        <v>-16.2</v>
      </c>
      <c r="E60" s="254">
        <f>+'PURCHASE WORKING'!E228+'PURCHASE WORKING'!E236</f>
        <v>-16.2</v>
      </c>
      <c r="F60" s="254">
        <f>+'PURCHASE WORKING'!F228+'PURCHASE WORKING'!F236</f>
        <v>-16.2</v>
      </c>
      <c r="G60" s="254">
        <f>+'PURCHASE WORKING'!G228+'PURCHASE WORKING'!G236</f>
        <v>-16.2</v>
      </c>
      <c r="H60" s="254">
        <f>+'PURCHASE WORKING'!H228+'PURCHASE WORKING'!H236</f>
        <v>-16.2</v>
      </c>
      <c r="I60" s="254">
        <f>+'PURCHASE WORKING'!I228+'PURCHASE WORKING'!I236</f>
        <v>-16.2</v>
      </c>
      <c r="J60" s="254">
        <f>+'PURCHASE WORKING'!J228+'PURCHASE WORKING'!J236</f>
        <v>-16.2</v>
      </c>
      <c r="K60" s="254">
        <f>+'PURCHASE WORKING'!K228+'PURCHASE WORKING'!K236</f>
        <v>-16.2</v>
      </c>
      <c r="L60" s="254">
        <f>+'PURCHASE WORKING'!L228+'PURCHASE WORKING'!L236</f>
        <v>0</v>
      </c>
      <c r="M60" s="254">
        <f>+'PURCHASE WORKING'!M228+'PURCHASE WORKING'!M236</f>
        <v>0</v>
      </c>
      <c r="N60" s="254">
        <f>+'PURCHASE WORKING'!N228+'PURCHASE WORKING'!N236</f>
        <v>0</v>
      </c>
      <c r="O60" s="254">
        <f t="shared" si="10"/>
        <v>-145.79999999999998</v>
      </c>
    </row>
    <row r="61" spans="1:15" x14ac:dyDescent="0.2">
      <c r="A61" s="253" t="s">
        <v>2557</v>
      </c>
      <c r="B61" s="253" t="s">
        <v>1502</v>
      </c>
      <c r="C61" s="254">
        <f>+'PURCHASE WORKING'!C229+'PURCHASE WORKING'!C237</f>
        <v>-16.2</v>
      </c>
      <c r="D61" s="254">
        <f>+'PURCHASE WORKING'!D229+'PURCHASE WORKING'!D237</f>
        <v>-16.2</v>
      </c>
      <c r="E61" s="254">
        <f>+'PURCHASE WORKING'!E229+'PURCHASE WORKING'!E237</f>
        <v>-16.2</v>
      </c>
      <c r="F61" s="254">
        <f>+'PURCHASE WORKING'!F229+'PURCHASE WORKING'!F237</f>
        <v>-16.2</v>
      </c>
      <c r="G61" s="254">
        <f>+'PURCHASE WORKING'!G229+'PURCHASE WORKING'!G237</f>
        <v>-16.2</v>
      </c>
      <c r="H61" s="254">
        <f>+'PURCHASE WORKING'!H229+'PURCHASE WORKING'!H237</f>
        <v>-16.2</v>
      </c>
      <c r="I61" s="254">
        <f>+'PURCHASE WORKING'!I229+'PURCHASE WORKING'!I237</f>
        <v>-16.2</v>
      </c>
      <c r="J61" s="254">
        <f>+'PURCHASE WORKING'!J229+'PURCHASE WORKING'!J237</f>
        <v>-16.2</v>
      </c>
      <c r="K61" s="254">
        <f>+'PURCHASE WORKING'!K229+'PURCHASE WORKING'!K237</f>
        <v>-16.2</v>
      </c>
      <c r="L61" s="254">
        <f>+'PURCHASE WORKING'!L229+'PURCHASE WORKING'!L237</f>
        <v>0</v>
      </c>
      <c r="M61" s="254">
        <f>+'PURCHASE WORKING'!M229+'PURCHASE WORKING'!M237</f>
        <v>0</v>
      </c>
      <c r="N61" s="254">
        <f>+'PURCHASE WORKING'!N229+'PURCHASE WORKING'!N237</f>
        <v>0</v>
      </c>
      <c r="O61" s="254">
        <f t="shared" si="10"/>
        <v>-145.79999999999998</v>
      </c>
    </row>
    <row r="62" spans="1:15" x14ac:dyDescent="0.2">
      <c r="A62" s="255" t="s">
        <v>2558</v>
      </c>
      <c r="B62" s="255" t="s">
        <v>316</v>
      </c>
      <c r="C62" s="256">
        <f>+'PURCHASE WORKING'!C230+'PURCHASE WORKING'!C238</f>
        <v>0</v>
      </c>
      <c r="D62" s="256">
        <f>+'PURCHASE WORKING'!D230+'PURCHASE WORKING'!D238</f>
        <v>0</v>
      </c>
      <c r="E62" s="256">
        <f>+'PURCHASE WORKING'!E230+'PURCHASE WORKING'!E238</f>
        <v>0</v>
      </c>
      <c r="F62" s="256">
        <f>+'PURCHASE WORKING'!F230+'PURCHASE WORKING'!F238</f>
        <v>0</v>
      </c>
      <c r="G62" s="256">
        <f>+'PURCHASE WORKING'!G230+'PURCHASE WORKING'!G238</f>
        <v>0</v>
      </c>
      <c r="H62" s="256">
        <f>+'PURCHASE WORKING'!H230+'PURCHASE WORKING'!H238</f>
        <v>0</v>
      </c>
      <c r="I62" s="256">
        <f>+'PURCHASE WORKING'!I230+'PURCHASE WORKING'!I238</f>
        <v>0</v>
      </c>
      <c r="J62" s="256">
        <f>+'PURCHASE WORKING'!J230+'PURCHASE WORKING'!J238</f>
        <v>0</v>
      </c>
      <c r="K62" s="256">
        <f>+'PURCHASE WORKING'!K230+'PURCHASE WORKING'!K238</f>
        <v>0</v>
      </c>
      <c r="L62" s="256">
        <f>+'PURCHASE WORKING'!L230+'PURCHASE WORKING'!L238</f>
        <v>0</v>
      </c>
      <c r="M62" s="256">
        <f>+'PURCHASE WORKING'!M230+'PURCHASE WORKING'!M238</f>
        <v>0</v>
      </c>
      <c r="N62" s="256">
        <f>+'PURCHASE WORKING'!N230+'PURCHASE WORKING'!N238</f>
        <v>0</v>
      </c>
      <c r="O62" s="256">
        <f t="shared" si="10"/>
        <v>0</v>
      </c>
    </row>
    <row r="63" spans="1:15" x14ac:dyDescent="0.2">
      <c r="A63" s="1370" t="s">
        <v>447</v>
      </c>
      <c r="B63" s="1371"/>
      <c r="C63" s="1371"/>
      <c r="D63" s="1371"/>
      <c r="E63" s="1371"/>
      <c r="F63" s="1371"/>
      <c r="G63" s="1371"/>
      <c r="H63" s="1371"/>
      <c r="I63" s="1371"/>
      <c r="J63" s="1371"/>
      <c r="K63" s="1371"/>
      <c r="L63" s="1371"/>
      <c r="M63" s="1371"/>
      <c r="N63" s="1371"/>
      <c r="O63" s="1372"/>
    </row>
    <row r="64" spans="1:15" x14ac:dyDescent="0.2">
      <c r="A64" s="251" t="s">
        <v>2555</v>
      </c>
      <c r="B64" s="251" t="s">
        <v>1463</v>
      </c>
      <c r="C64" s="252">
        <f>+'PURCHASE WORKING'!C245</f>
        <v>0</v>
      </c>
      <c r="D64" s="252">
        <f>+'PURCHASE WORKING'!D245</f>
        <v>0</v>
      </c>
      <c r="E64" s="252">
        <f>+'PURCHASE WORKING'!E245</f>
        <v>0</v>
      </c>
      <c r="F64" s="252">
        <f>+'PURCHASE WORKING'!F245</f>
        <v>0</v>
      </c>
      <c r="G64" s="252">
        <f>+'PURCHASE WORKING'!G245</f>
        <v>0</v>
      </c>
      <c r="H64" s="252">
        <f>+'PURCHASE WORKING'!H245</f>
        <v>0</v>
      </c>
      <c r="I64" s="252">
        <f>+'PURCHASE WORKING'!I245</f>
        <v>0</v>
      </c>
      <c r="J64" s="252">
        <f>+'PURCHASE WORKING'!J245</f>
        <v>0</v>
      </c>
      <c r="K64" s="252">
        <f>+'PURCHASE WORKING'!K245</f>
        <v>0</v>
      </c>
      <c r="L64" s="252">
        <f>+'PURCHASE WORKING'!L245</f>
        <v>0</v>
      </c>
      <c r="M64" s="252">
        <f>+'PURCHASE WORKING'!M245</f>
        <v>0</v>
      </c>
      <c r="N64" s="252">
        <f>+'PURCHASE WORKING'!N245</f>
        <v>0</v>
      </c>
      <c r="O64" s="252">
        <f t="shared" ref="O64:O67" si="11">SUM(C64:N64)</f>
        <v>0</v>
      </c>
    </row>
    <row r="65" spans="1:15" x14ac:dyDescent="0.2">
      <c r="A65" s="253" t="s">
        <v>2556</v>
      </c>
      <c r="B65" s="253" t="s">
        <v>1478</v>
      </c>
      <c r="C65" s="254">
        <f>+'PURCHASE WORKING'!C246</f>
        <v>0</v>
      </c>
      <c r="D65" s="254">
        <f>+'PURCHASE WORKING'!D246</f>
        <v>0</v>
      </c>
      <c r="E65" s="254">
        <f>+'PURCHASE WORKING'!E246</f>
        <v>0</v>
      </c>
      <c r="F65" s="254">
        <f>+'PURCHASE WORKING'!F246</f>
        <v>0</v>
      </c>
      <c r="G65" s="254">
        <f>+'PURCHASE WORKING'!G246</f>
        <v>0</v>
      </c>
      <c r="H65" s="254">
        <f>+'PURCHASE WORKING'!H246</f>
        <v>0</v>
      </c>
      <c r="I65" s="254">
        <f>+'PURCHASE WORKING'!I246</f>
        <v>0</v>
      </c>
      <c r="J65" s="254">
        <f>+'PURCHASE WORKING'!J246</f>
        <v>0</v>
      </c>
      <c r="K65" s="254">
        <f>+'PURCHASE WORKING'!K246</f>
        <v>0</v>
      </c>
      <c r="L65" s="254">
        <f>+'PURCHASE WORKING'!L246</f>
        <v>0</v>
      </c>
      <c r="M65" s="254">
        <f>+'PURCHASE WORKING'!M246</f>
        <v>0</v>
      </c>
      <c r="N65" s="254">
        <f>+'PURCHASE WORKING'!N246</f>
        <v>0</v>
      </c>
      <c r="O65" s="254">
        <f t="shared" si="11"/>
        <v>0</v>
      </c>
    </row>
    <row r="66" spans="1:15" x14ac:dyDescent="0.2">
      <c r="A66" s="253" t="s">
        <v>2557</v>
      </c>
      <c r="B66" s="253" t="s">
        <v>1502</v>
      </c>
      <c r="C66" s="254">
        <f>+'PURCHASE WORKING'!C247</f>
        <v>0</v>
      </c>
      <c r="D66" s="254">
        <f>+'PURCHASE WORKING'!D247</f>
        <v>0</v>
      </c>
      <c r="E66" s="254">
        <f>+'PURCHASE WORKING'!E247</f>
        <v>0</v>
      </c>
      <c r="F66" s="254">
        <f>+'PURCHASE WORKING'!F247</f>
        <v>0</v>
      </c>
      <c r="G66" s="254">
        <f>+'PURCHASE WORKING'!G247</f>
        <v>0</v>
      </c>
      <c r="H66" s="254">
        <f>+'PURCHASE WORKING'!H247</f>
        <v>0</v>
      </c>
      <c r="I66" s="254">
        <f>+'PURCHASE WORKING'!I247</f>
        <v>0</v>
      </c>
      <c r="J66" s="254">
        <f>+'PURCHASE WORKING'!J247</f>
        <v>0</v>
      </c>
      <c r="K66" s="254">
        <f>+'PURCHASE WORKING'!K247</f>
        <v>0</v>
      </c>
      <c r="L66" s="254">
        <f>+'PURCHASE WORKING'!L247</f>
        <v>0</v>
      </c>
      <c r="M66" s="254">
        <f>+'PURCHASE WORKING'!M247</f>
        <v>0</v>
      </c>
      <c r="N66" s="254">
        <f>+'PURCHASE WORKING'!N247</f>
        <v>0</v>
      </c>
      <c r="O66" s="254">
        <f t="shared" si="11"/>
        <v>0</v>
      </c>
    </row>
    <row r="67" spans="1:15" x14ac:dyDescent="0.2">
      <c r="A67" s="255" t="s">
        <v>2558</v>
      </c>
      <c r="B67" s="255" t="s">
        <v>316</v>
      </c>
      <c r="C67" s="256">
        <f>+'PURCHASE WORKING'!C248</f>
        <v>0</v>
      </c>
      <c r="D67" s="256">
        <f>+'PURCHASE WORKING'!D248</f>
        <v>0</v>
      </c>
      <c r="E67" s="256">
        <f>+'PURCHASE WORKING'!E248</f>
        <v>0</v>
      </c>
      <c r="F67" s="256">
        <f>+'PURCHASE WORKING'!F248</f>
        <v>0</v>
      </c>
      <c r="G67" s="256">
        <f>+'PURCHASE WORKING'!G248</f>
        <v>0</v>
      </c>
      <c r="H67" s="256">
        <f>+'PURCHASE WORKING'!H248</f>
        <v>0</v>
      </c>
      <c r="I67" s="256">
        <f>+'PURCHASE WORKING'!I248</f>
        <v>0</v>
      </c>
      <c r="J67" s="256">
        <f>+'PURCHASE WORKING'!J248</f>
        <v>0</v>
      </c>
      <c r="K67" s="256">
        <f>+'PURCHASE WORKING'!K248</f>
        <v>0</v>
      </c>
      <c r="L67" s="256">
        <f>+'PURCHASE WORKING'!L248</f>
        <v>0</v>
      </c>
      <c r="M67" s="256">
        <f>+'PURCHASE WORKING'!M248</f>
        <v>0</v>
      </c>
      <c r="N67" s="256">
        <f>+'PURCHASE WORKING'!N248</f>
        <v>0</v>
      </c>
      <c r="O67" s="256">
        <f t="shared" si="11"/>
        <v>0</v>
      </c>
    </row>
    <row r="68" spans="1:15" x14ac:dyDescent="0.2">
      <c r="A68" s="1386" t="s">
        <v>448</v>
      </c>
      <c r="B68" s="1387"/>
      <c r="C68" s="1387"/>
      <c r="D68" s="1387"/>
      <c r="E68" s="1387"/>
      <c r="F68" s="1387"/>
      <c r="G68" s="1387"/>
      <c r="H68" s="1387"/>
      <c r="I68" s="1387"/>
      <c r="J68" s="1387"/>
      <c r="K68" s="1387"/>
      <c r="L68" s="1387"/>
      <c r="M68" s="1387"/>
      <c r="N68" s="1387"/>
      <c r="O68" s="1388"/>
    </row>
    <row r="69" spans="1:15" x14ac:dyDescent="0.2">
      <c r="A69" s="251" t="s">
        <v>2555</v>
      </c>
      <c r="B69" s="251" t="s">
        <v>1463</v>
      </c>
      <c r="C69" s="252">
        <f>+C51+C59+C64</f>
        <v>2079.9351999999999</v>
      </c>
      <c r="D69" s="252">
        <f t="shared" ref="D69:N69" si="12">+D51+D59+D64</f>
        <v>36933.315999999999</v>
      </c>
      <c r="E69" s="252">
        <f t="shared" si="12"/>
        <v>89585.376799999998</v>
      </c>
      <c r="F69" s="252">
        <f t="shared" si="12"/>
        <v>23899.64</v>
      </c>
      <c r="G69" s="252">
        <f t="shared" si="12"/>
        <v>10977.877199999999</v>
      </c>
      <c r="H69" s="252">
        <f t="shared" si="12"/>
        <v>57463.603599999988</v>
      </c>
      <c r="I69" s="252">
        <f t="shared" si="12"/>
        <v>35776.299999999996</v>
      </c>
      <c r="J69" s="252">
        <f t="shared" si="12"/>
        <v>28467.498000000003</v>
      </c>
      <c r="K69" s="252">
        <f t="shared" si="12"/>
        <v>293644.29119999998</v>
      </c>
      <c r="L69" s="252">
        <f t="shared" si="12"/>
        <v>23052.937600000001</v>
      </c>
      <c r="M69" s="252">
        <f t="shared" si="12"/>
        <v>0</v>
      </c>
      <c r="N69" s="252">
        <f t="shared" si="12"/>
        <v>0</v>
      </c>
      <c r="O69" s="252">
        <f t="shared" ref="O69:O72" si="13">SUM(C69:N69)</f>
        <v>601880.77559999994</v>
      </c>
    </row>
    <row r="70" spans="1:15" x14ac:dyDescent="0.2">
      <c r="A70" s="253" t="s">
        <v>2556</v>
      </c>
      <c r="B70" s="253" t="s">
        <v>1478</v>
      </c>
      <c r="C70" s="254">
        <f t="shared" ref="C70:N72" si="14">+C52+C60+C65</f>
        <v>320046.0828999998</v>
      </c>
      <c r="D70" s="254">
        <f t="shared" si="14"/>
        <v>435867.9154</v>
      </c>
      <c r="E70" s="254">
        <f t="shared" si="14"/>
        <v>456522.36929999979</v>
      </c>
      <c r="F70" s="254">
        <f t="shared" si="14"/>
        <v>649245.70440000051</v>
      </c>
      <c r="G70" s="254">
        <f t="shared" si="14"/>
        <v>403514.13340000011</v>
      </c>
      <c r="H70" s="254">
        <f t="shared" si="14"/>
        <v>382077.53650000016</v>
      </c>
      <c r="I70" s="254">
        <f t="shared" si="14"/>
        <v>376632.58960000006</v>
      </c>
      <c r="J70" s="254">
        <f t="shared" si="14"/>
        <v>332931.69219999999</v>
      </c>
      <c r="K70" s="254">
        <f t="shared" si="14"/>
        <v>421677.37909999996</v>
      </c>
      <c r="L70" s="254">
        <f t="shared" si="14"/>
        <v>300645.39929999993</v>
      </c>
      <c r="M70" s="254">
        <f t="shared" si="14"/>
        <v>0</v>
      </c>
      <c r="N70" s="254">
        <f t="shared" si="14"/>
        <v>0</v>
      </c>
      <c r="O70" s="254">
        <f t="shared" si="13"/>
        <v>4079160.8021000009</v>
      </c>
    </row>
    <row r="71" spans="1:15" x14ac:dyDescent="0.2">
      <c r="A71" s="253" t="s">
        <v>2557</v>
      </c>
      <c r="B71" s="253" t="s">
        <v>1502</v>
      </c>
      <c r="C71" s="254">
        <f t="shared" si="14"/>
        <v>320046.0828999998</v>
      </c>
      <c r="D71" s="254">
        <f t="shared" si="14"/>
        <v>435867.9154</v>
      </c>
      <c r="E71" s="254">
        <f t="shared" si="14"/>
        <v>456522.36929999979</v>
      </c>
      <c r="F71" s="254">
        <f t="shared" si="14"/>
        <v>649245.70440000051</v>
      </c>
      <c r="G71" s="254">
        <f t="shared" si="14"/>
        <v>403514.13340000011</v>
      </c>
      <c r="H71" s="254">
        <f t="shared" si="14"/>
        <v>382077.53650000016</v>
      </c>
      <c r="I71" s="254">
        <f t="shared" si="14"/>
        <v>376632.58960000006</v>
      </c>
      <c r="J71" s="254">
        <f t="shared" si="14"/>
        <v>332931.69219999999</v>
      </c>
      <c r="K71" s="254">
        <f t="shared" si="14"/>
        <v>421677.37909999996</v>
      </c>
      <c r="L71" s="254">
        <f t="shared" si="14"/>
        <v>300645.39929999993</v>
      </c>
      <c r="M71" s="254">
        <f t="shared" si="14"/>
        <v>0</v>
      </c>
      <c r="N71" s="254">
        <f t="shared" si="14"/>
        <v>0</v>
      </c>
      <c r="O71" s="254">
        <f t="shared" si="13"/>
        <v>4079160.8021000009</v>
      </c>
    </row>
    <row r="72" spans="1:15" x14ac:dyDescent="0.2">
      <c r="A72" s="255" t="s">
        <v>2558</v>
      </c>
      <c r="B72" s="255" t="s">
        <v>316</v>
      </c>
      <c r="C72" s="256">
        <f t="shared" si="14"/>
        <v>0</v>
      </c>
      <c r="D72" s="256">
        <f t="shared" si="14"/>
        <v>0</v>
      </c>
      <c r="E72" s="256">
        <f t="shared" si="14"/>
        <v>0</v>
      </c>
      <c r="F72" s="256">
        <f t="shared" si="14"/>
        <v>0</v>
      </c>
      <c r="G72" s="256">
        <f t="shared" si="14"/>
        <v>0</v>
      </c>
      <c r="H72" s="256">
        <f t="shared" si="14"/>
        <v>0</v>
      </c>
      <c r="I72" s="256">
        <f t="shared" si="14"/>
        <v>0</v>
      </c>
      <c r="J72" s="256">
        <f t="shared" si="14"/>
        <v>0</v>
      </c>
      <c r="K72" s="256">
        <f t="shared" si="14"/>
        <v>0</v>
      </c>
      <c r="L72" s="256">
        <f t="shared" si="14"/>
        <v>0</v>
      </c>
      <c r="M72" s="256">
        <f t="shared" si="14"/>
        <v>0</v>
      </c>
      <c r="N72" s="256">
        <f t="shared" si="14"/>
        <v>0</v>
      </c>
      <c r="O72" s="256">
        <f t="shared" si="13"/>
        <v>0</v>
      </c>
    </row>
    <row r="73" spans="1:15" ht="15.75" customHeight="1" x14ac:dyDescent="0.2">
      <c r="A73" s="1413" t="s">
        <v>449</v>
      </c>
      <c r="B73" s="1414"/>
      <c r="C73" s="1414"/>
      <c r="D73" s="1414"/>
      <c r="E73" s="1414"/>
      <c r="F73" s="1414"/>
      <c r="G73" s="1414"/>
      <c r="H73" s="1414"/>
      <c r="I73" s="1414"/>
      <c r="J73" s="1414"/>
      <c r="K73" s="1414"/>
      <c r="L73" s="1414"/>
      <c r="M73" s="1414"/>
      <c r="N73" s="1414"/>
      <c r="O73" s="1415"/>
    </row>
    <row r="74" spans="1:15" ht="15.75" customHeight="1" x14ac:dyDescent="0.2">
      <c r="A74" s="1385" t="s">
        <v>450</v>
      </c>
      <c r="B74" s="1385"/>
      <c r="C74" s="1385"/>
      <c r="D74" s="1385"/>
      <c r="E74" s="1385"/>
      <c r="F74" s="1385"/>
      <c r="G74" s="1385"/>
      <c r="H74" s="1385"/>
      <c r="I74" s="1385"/>
      <c r="J74" s="1385"/>
      <c r="K74" s="1385"/>
      <c r="L74" s="1385"/>
      <c r="M74" s="1385"/>
      <c r="N74" s="1385"/>
      <c r="O74" s="66"/>
    </row>
    <row r="75" spans="1:15" ht="15" customHeight="1" x14ac:dyDescent="0.2">
      <c r="A75" s="1342" t="s">
        <v>451</v>
      </c>
      <c r="B75" s="1343"/>
      <c r="C75" s="1343"/>
      <c r="D75" s="1343"/>
      <c r="E75" s="1343"/>
      <c r="F75" s="1343"/>
      <c r="G75" s="1343"/>
      <c r="H75" s="1343"/>
      <c r="I75" s="1343"/>
      <c r="J75" s="1343"/>
      <c r="K75" s="1343"/>
      <c r="L75" s="1343"/>
      <c r="M75" s="1343"/>
      <c r="N75" s="1343"/>
      <c r="O75" s="1344"/>
    </row>
    <row r="76" spans="1:15" x14ac:dyDescent="0.2">
      <c r="A76" s="24" t="s">
        <v>2</v>
      </c>
      <c r="B76" s="24"/>
      <c r="C76" s="110">
        <v>43556</v>
      </c>
      <c r="D76" s="110">
        <v>43586</v>
      </c>
      <c r="E76" s="110">
        <v>43617</v>
      </c>
      <c r="F76" s="110">
        <v>43647</v>
      </c>
      <c r="G76" s="110">
        <v>43678</v>
      </c>
      <c r="H76" s="110">
        <v>43709</v>
      </c>
      <c r="I76" s="110">
        <v>43739</v>
      </c>
      <c r="J76" s="110">
        <v>43770</v>
      </c>
      <c r="K76" s="110">
        <v>43800</v>
      </c>
      <c r="L76" s="110">
        <v>43831</v>
      </c>
      <c r="M76" s="110">
        <v>43862</v>
      </c>
      <c r="N76" s="110">
        <v>43891</v>
      </c>
      <c r="O76" s="24" t="s">
        <v>1041</v>
      </c>
    </row>
    <row r="77" spans="1:15" x14ac:dyDescent="0.2">
      <c r="A77" s="251" t="s">
        <v>2555</v>
      </c>
      <c r="B77" s="251" t="s">
        <v>1463</v>
      </c>
      <c r="C77" s="252">
        <f>+'PURCHASE WORKING'!C288</f>
        <v>0</v>
      </c>
      <c r="D77" s="252">
        <f>+'PURCHASE WORKING'!D288</f>
        <v>0</v>
      </c>
      <c r="E77" s="252">
        <f>+'PURCHASE WORKING'!E288</f>
        <v>0</v>
      </c>
      <c r="F77" s="252">
        <f>+'PURCHASE WORKING'!F288</f>
        <v>0</v>
      </c>
      <c r="G77" s="252">
        <f>+'PURCHASE WORKING'!G288</f>
        <v>0</v>
      </c>
      <c r="H77" s="252">
        <f>+'PURCHASE WORKING'!H288</f>
        <v>0</v>
      </c>
      <c r="I77" s="252">
        <f>+'PURCHASE WORKING'!I288</f>
        <v>0</v>
      </c>
      <c r="J77" s="252">
        <f>+'PURCHASE WORKING'!J288</f>
        <v>0</v>
      </c>
      <c r="K77" s="252">
        <f>+'PURCHASE WORKING'!K288</f>
        <v>0</v>
      </c>
      <c r="L77" s="252">
        <f>+'PURCHASE WORKING'!L288</f>
        <v>0</v>
      </c>
      <c r="M77" s="252">
        <f>+'PURCHASE WORKING'!M288</f>
        <v>0</v>
      </c>
      <c r="N77" s="252">
        <f>+'PURCHASE WORKING'!N288</f>
        <v>0</v>
      </c>
      <c r="O77" s="252">
        <f t="shared" ref="O77:O80" si="15">SUM(C77:N77)</f>
        <v>0</v>
      </c>
    </row>
    <row r="78" spans="1:15" x14ac:dyDescent="0.2">
      <c r="A78" s="253" t="s">
        <v>2556</v>
      </c>
      <c r="B78" s="253" t="s">
        <v>1478</v>
      </c>
      <c r="C78" s="254">
        <f>+'PURCHASE WORKING'!C289</f>
        <v>0</v>
      </c>
      <c r="D78" s="254">
        <f>+'PURCHASE WORKING'!D289</f>
        <v>0</v>
      </c>
      <c r="E78" s="254">
        <f>+'PURCHASE WORKING'!E289</f>
        <v>0</v>
      </c>
      <c r="F78" s="254">
        <f>+'PURCHASE WORKING'!F289</f>
        <v>0</v>
      </c>
      <c r="G78" s="254">
        <f>+'PURCHASE WORKING'!G289</f>
        <v>0</v>
      </c>
      <c r="H78" s="254">
        <f>+'PURCHASE WORKING'!H289</f>
        <v>0</v>
      </c>
      <c r="I78" s="254">
        <f>+'PURCHASE WORKING'!I289</f>
        <v>0</v>
      </c>
      <c r="J78" s="254">
        <f>+'PURCHASE WORKING'!J289</f>
        <v>0</v>
      </c>
      <c r="K78" s="254">
        <f>+'PURCHASE WORKING'!K289</f>
        <v>0</v>
      </c>
      <c r="L78" s="254">
        <f>+'PURCHASE WORKING'!L289</f>
        <v>0</v>
      </c>
      <c r="M78" s="254">
        <f>+'PURCHASE WORKING'!M289</f>
        <v>0</v>
      </c>
      <c r="N78" s="254">
        <f>+'PURCHASE WORKING'!N289</f>
        <v>0</v>
      </c>
      <c r="O78" s="254">
        <f t="shared" si="15"/>
        <v>0</v>
      </c>
    </row>
    <row r="79" spans="1:15" x14ac:dyDescent="0.2">
      <c r="A79" s="253" t="s">
        <v>2557</v>
      </c>
      <c r="B79" s="253" t="s">
        <v>1502</v>
      </c>
      <c r="C79" s="254">
        <f>+'PURCHASE WORKING'!C290</f>
        <v>0</v>
      </c>
      <c r="D79" s="254">
        <f>+'PURCHASE WORKING'!D290</f>
        <v>0</v>
      </c>
      <c r="E79" s="254">
        <f>+'PURCHASE WORKING'!E290</f>
        <v>0</v>
      </c>
      <c r="F79" s="254">
        <f>+'PURCHASE WORKING'!F290</f>
        <v>0</v>
      </c>
      <c r="G79" s="254">
        <f>+'PURCHASE WORKING'!G290</f>
        <v>0</v>
      </c>
      <c r="H79" s="254">
        <f>+'PURCHASE WORKING'!H290</f>
        <v>0</v>
      </c>
      <c r="I79" s="254">
        <f>+'PURCHASE WORKING'!I290</f>
        <v>0</v>
      </c>
      <c r="J79" s="254">
        <f>+'PURCHASE WORKING'!J290</f>
        <v>0</v>
      </c>
      <c r="K79" s="254">
        <f>+'PURCHASE WORKING'!K290</f>
        <v>0</v>
      </c>
      <c r="L79" s="254">
        <f>+'PURCHASE WORKING'!L290</f>
        <v>0</v>
      </c>
      <c r="M79" s="254">
        <f>+'PURCHASE WORKING'!M290</f>
        <v>0</v>
      </c>
      <c r="N79" s="254">
        <f>+'PURCHASE WORKING'!N290</f>
        <v>0</v>
      </c>
      <c r="O79" s="254">
        <f t="shared" si="15"/>
        <v>0</v>
      </c>
    </row>
    <row r="80" spans="1:15" x14ac:dyDescent="0.2">
      <c r="A80" s="255" t="s">
        <v>2558</v>
      </c>
      <c r="B80" s="255" t="s">
        <v>316</v>
      </c>
      <c r="C80" s="256">
        <f>+'PURCHASE WORKING'!C291</f>
        <v>0</v>
      </c>
      <c r="D80" s="256">
        <f>+'PURCHASE WORKING'!D291</f>
        <v>0</v>
      </c>
      <c r="E80" s="256">
        <f>+'PURCHASE WORKING'!E291</f>
        <v>0</v>
      </c>
      <c r="F80" s="256">
        <f>+'PURCHASE WORKING'!F291</f>
        <v>0</v>
      </c>
      <c r="G80" s="256">
        <f>+'PURCHASE WORKING'!G291</f>
        <v>0</v>
      </c>
      <c r="H80" s="256">
        <f>+'PURCHASE WORKING'!H291</f>
        <v>0</v>
      </c>
      <c r="I80" s="256">
        <f>+'PURCHASE WORKING'!I291</f>
        <v>0</v>
      </c>
      <c r="J80" s="256">
        <f>+'PURCHASE WORKING'!J291</f>
        <v>0</v>
      </c>
      <c r="K80" s="256">
        <f>+'PURCHASE WORKING'!K291</f>
        <v>0</v>
      </c>
      <c r="L80" s="256">
        <f>+'PURCHASE WORKING'!L291</f>
        <v>0</v>
      </c>
      <c r="M80" s="256">
        <f>+'PURCHASE WORKING'!M291</f>
        <v>0</v>
      </c>
      <c r="N80" s="256">
        <f>+'PURCHASE WORKING'!N291</f>
        <v>0</v>
      </c>
      <c r="O80" s="256">
        <f t="shared" si="15"/>
        <v>0</v>
      </c>
    </row>
    <row r="81" spans="1:15" ht="15" customHeight="1" x14ac:dyDescent="0.2">
      <c r="A81" s="1370" t="s">
        <v>452</v>
      </c>
      <c r="B81" s="1371"/>
      <c r="C81" s="1371"/>
      <c r="D81" s="1371"/>
      <c r="E81" s="1371"/>
      <c r="F81" s="1371"/>
      <c r="G81" s="1371"/>
      <c r="H81" s="1371"/>
      <c r="I81" s="1371"/>
      <c r="J81" s="1371"/>
      <c r="K81" s="1371"/>
      <c r="L81" s="1371"/>
      <c r="M81" s="1371"/>
      <c r="N81" s="1371"/>
      <c r="O81" s="1372"/>
    </row>
    <row r="82" spans="1:15" x14ac:dyDescent="0.2">
      <c r="A82" s="251" t="s">
        <v>2555</v>
      </c>
      <c r="B82" s="251" t="s">
        <v>1463</v>
      </c>
      <c r="C82" s="252">
        <f>+'PURCHASE WORKING'!C297</f>
        <v>0</v>
      </c>
      <c r="D82" s="252">
        <f>+'PURCHASE WORKING'!D297</f>
        <v>0</v>
      </c>
      <c r="E82" s="252">
        <f>+'PURCHASE WORKING'!E297</f>
        <v>0</v>
      </c>
      <c r="F82" s="252">
        <f>+'PURCHASE WORKING'!F297</f>
        <v>0</v>
      </c>
      <c r="G82" s="252">
        <f>+'PURCHASE WORKING'!G297</f>
        <v>0</v>
      </c>
      <c r="H82" s="252">
        <f>+'PURCHASE WORKING'!H297</f>
        <v>0</v>
      </c>
      <c r="I82" s="252">
        <f>+'PURCHASE WORKING'!I297</f>
        <v>0</v>
      </c>
      <c r="J82" s="252">
        <f>+'PURCHASE WORKING'!J297</f>
        <v>0</v>
      </c>
      <c r="K82" s="252">
        <f>+'PURCHASE WORKING'!K297</f>
        <v>0</v>
      </c>
      <c r="L82" s="252">
        <f>+'PURCHASE WORKING'!L297</f>
        <v>0</v>
      </c>
      <c r="M82" s="252">
        <f>+'PURCHASE WORKING'!M297</f>
        <v>0</v>
      </c>
      <c r="N82" s="252">
        <f>+'PURCHASE WORKING'!N297</f>
        <v>0</v>
      </c>
      <c r="O82" s="252">
        <f t="shared" ref="O82:O85" si="16">SUM(C82:N82)</f>
        <v>0</v>
      </c>
    </row>
    <row r="83" spans="1:15" x14ac:dyDescent="0.2">
      <c r="A83" s="253" t="s">
        <v>2556</v>
      </c>
      <c r="B83" s="253" t="s">
        <v>1478</v>
      </c>
      <c r="C83" s="254">
        <f>+'PURCHASE WORKING'!C298</f>
        <v>0</v>
      </c>
      <c r="D83" s="254">
        <f>+'PURCHASE WORKING'!D298</f>
        <v>0</v>
      </c>
      <c r="E83" s="254">
        <f>+'PURCHASE WORKING'!E298</f>
        <v>0</v>
      </c>
      <c r="F83" s="254">
        <f>+'PURCHASE WORKING'!F298</f>
        <v>0</v>
      </c>
      <c r="G83" s="254">
        <f>+'PURCHASE WORKING'!G298</f>
        <v>0</v>
      </c>
      <c r="H83" s="254">
        <f>+'PURCHASE WORKING'!H298</f>
        <v>0</v>
      </c>
      <c r="I83" s="254">
        <f>+'PURCHASE WORKING'!I298</f>
        <v>0</v>
      </c>
      <c r="J83" s="254">
        <f>+'PURCHASE WORKING'!J298</f>
        <v>0</v>
      </c>
      <c r="K83" s="254">
        <f>+'PURCHASE WORKING'!K298</f>
        <v>0</v>
      </c>
      <c r="L83" s="254">
        <f>+'PURCHASE WORKING'!L298</f>
        <v>0</v>
      </c>
      <c r="M83" s="254">
        <f>+'PURCHASE WORKING'!M298</f>
        <v>0</v>
      </c>
      <c r="N83" s="254">
        <f>+'PURCHASE WORKING'!N298</f>
        <v>0</v>
      </c>
      <c r="O83" s="254">
        <f t="shared" si="16"/>
        <v>0</v>
      </c>
    </row>
    <row r="84" spans="1:15" x14ac:dyDescent="0.2">
      <c r="A84" s="253" t="s">
        <v>2557</v>
      </c>
      <c r="B84" s="253" t="s">
        <v>1502</v>
      </c>
      <c r="C84" s="254">
        <f>+'PURCHASE WORKING'!C299</f>
        <v>0</v>
      </c>
      <c r="D84" s="254">
        <f>+'PURCHASE WORKING'!D299</f>
        <v>0</v>
      </c>
      <c r="E84" s="254">
        <f>+'PURCHASE WORKING'!E299</f>
        <v>0</v>
      </c>
      <c r="F84" s="254">
        <f>+'PURCHASE WORKING'!F299</f>
        <v>0</v>
      </c>
      <c r="G84" s="254">
        <f>+'PURCHASE WORKING'!G299</f>
        <v>0</v>
      </c>
      <c r="H84" s="254">
        <f>+'PURCHASE WORKING'!H299</f>
        <v>0</v>
      </c>
      <c r="I84" s="254">
        <f>+'PURCHASE WORKING'!I299</f>
        <v>0</v>
      </c>
      <c r="J84" s="254">
        <f>+'PURCHASE WORKING'!J299</f>
        <v>0</v>
      </c>
      <c r="K84" s="254">
        <f>+'PURCHASE WORKING'!K299</f>
        <v>0</v>
      </c>
      <c r="L84" s="254">
        <f>+'PURCHASE WORKING'!L299</f>
        <v>0</v>
      </c>
      <c r="M84" s="254">
        <f>+'PURCHASE WORKING'!M299</f>
        <v>0</v>
      </c>
      <c r="N84" s="254">
        <f>+'PURCHASE WORKING'!N299</f>
        <v>0</v>
      </c>
      <c r="O84" s="254">
        <f t="shared" si="16"/>
        <v>0</v>
      </c>
    </row>
    <row r="85" spans="1:15" x14ac:dyDescent="0.2">
      <c r="A85" s="255" t="s">
        <v>2558</v>
      </c>
      <c r="B85" s="255" t="s">
        <v>316</v>
      </c>
      <c r="C85" s="256">
        <f>+'PURCHASE WORKING'!C300</f>
        <v>0</v>
      </c>
      <c r="D85" s="256">
        <f>+'PURCHASE WORKING'!D300</f>
        <v>0</v>
      </c>
      <c r="E85" s="256">
        <f>+'PURCHASE WORKING'!E300</f>
        <v>0</v>
      </c>
      <c r="F85" s="256">
        <f>+'PURCHASE WORKING'!F300</f>
        <v>0</v>
      </c>
      <c r="G85" s="256">
        <f>+'PURCHASE WORKING'!G300</f>
        <v>0</v>
      </c>
      <c r="H85" s="256">
        <f>+'PURCHASE WORKING'!H300</f>
        <v>0</v>
      </c>
      <c r="I85" s="256">
        <f>+'PURCHASE WORKING'!I300</f>
        <v>0</v>
      </c>
      <c r="J85" s="256">
        <f>+'PURCHASE WORKING'!J300</f>
        <v>0</v>
      </c>
      <c r="K85" s="256">
        <f>+'PURCHASE WORKING'!K300</f>
        <v>0</v>
      </c>
      <c r="L85" s="256">
        <f>+'PURCHASE WORKING'!L300</f>
        <v>0</v>
      </c>
      <c r="M85" s="256">
        <f>+'PURCHASE WORKING'!M300</f>
        <v>0</v>
      </c>
      <c r="N85" s="256">
        <f>+'PURCHASE WORKING'!N300</f>
        <v>0</v>
      </c>
      <c r="O85" s="256">
        <f t="shared" si="16"/>
        <v>0</v>
      </c>
    </row>
    <row r="86" spans="1:15" ht="15.75" customHeight="1" x14ac:dyDescent="0.2">
      <c r="A86" s="1379" t="s">
        <v>453</v>
      </c>
      <c r="B86" s="1380"/>
      <c r="C86" s="1380"/>
      <c r="D86" s="1380"/>
      <c r="E86" s="1380"/>
      <c r="F86" s="1380"/>
      <c r="G86" s="1380"/>
      <c r="H86" s="1380"/>
      <c r="I86" s="1380"/>
      <c r="J86" s="1380"/>
      <c r="K86" s="1380"/>
      <c r="L86" s="1380"/>
      <c r="M86" s="1380"/>
      <c r="N86" s="1380"/>
      <c r="O86" s="1381"/>
    </row>
    <row r="87" spans="1:15" x14ac:dyDescent="0.2">
      <c r="A87" s="24" t="s">
        <v>2</v>
      </c>
      <c r="B87" s="24"/>
      <c r="C87" s="110">
        <v>43556</v>
      </c>
      <c r="D87" s="110">
        <v>43586</v>
      </c>
      <c r="E87" s="110">
        <v>43617</v>
      </c>
      <c r="F87" s="110">
        <v>43647</v>
      </c>
      <c r="G87" s="110">
        <v>43678</v>
      </c>
      <c r="H87" s="110">
        <v>43709</v>
      </c>
      <c r="I87" s="110">
        <v>43739</v>
      </c>
      <c r="J87" s="110">
        <v>43770</v>
      </c>
      <c r="K87" s="110">
        <v>43800</v>
      </c>
      <c r="L87" s="110">
        <v>43831</v>
      </c>
      <c r="M87" s="110">
        <v>43862</v>
      </c>
      <c r="N87" s="110">
        <v>43891</v>
      </c>
      <c r="O87" s="24" t="s">
        <v>1041</v>
      </c>
    </row>
    <row r="88" spans="1:15" x14ac:dyDescent="0.2">
      <c r="A88" s="251" t="s">
        <v>2555</v>
      </c>
      <c r="B88" s="283" t="s">
        <v>2560</v>
      </c>
      <c r="C88" s="252">
        <f>+'PURCHASE WORKING'!C113+'PURCHASE WORKING'!C118</f>
        <v>0</v>
      </c>
      <c r="D88" s="252">
        <f>+'PURCHASE WORKING'!D113+'PURCHASE WORKING'!D118</f>
        <v>0</v>
      </c>
      <c r="E88" s="252">
        <f>+'PURCHASE WORKING'!E113+'PURCHASE WORKING'!E118</f>
        <v>0</v>
      </c>
      <c r="F88" s="252">
        <f>+'PURCHASE WORKING'!F113+'PURCHASE WORKING'!F118</f>
        <v>0</v>
      </c>
      <c r="G88" s="252">
        <f>+'PURCHASE WORKING'!G113+'PURCHASE WORKING'!G118</f>
        <v>0</v>
      </c>
      <c r="H88" s="252">
        <f>+'PURCHASE WORKING'!H113+'PURCHASE WORKING'!H118</f>
        <v>0</v>
      </c>
      <c r="I88" s="252">
        <f>+'PURCHASE WORKING'!I113+'PURCHASE WORKING'!I118</f>
        <v>0</v>
      </c>
      <c r="J88" s="252">
        <f>+'PURCHASE WORKING'!J113+'PURCHASE WORKING'!J118</f>
        <v>0</v>
      </c>
      <c r="K88" s="252">
        <f>+'PURCHASE WORKING'!K113+'PURCHASE WORKING'!K118</f>
        <v>0</v>
      </c>
      <c r="L88" s="252">
        <f>+'PURCHASE WORKING'!L113+'PURCHASE WORKING'!L118</f>
        <v>0</v>
      </c>
      <c r="M88" s="252">
        <f>+'PURCHASE WORKING'!M113+'PURCHASE WORKING'!M118</f>
        <v>0</v>
      </c>
      <c r="N88" s="252">
        <f>+'PURCHASE WORKING'!N113+'PURCHASE WORKING'!N118</f>
        <v>0</v>
      </c>
      <c r="O88" s="252">
        <f t="shared" ref="O88:O89" si="17">SUM(C88:N88)</f>
        <v>0</v>
      </c>
    </row>
    <row r="89" spans="1:15" x14ac:dyDescent="0.2">
      <c r="A89" s="255" t="s">
        <v>2556</v>
      </c>
      <c r="B89" s="284" t="s">
        <v>2561</v>
      </c>
      <c r="C89" s="256">
        <f>+'PURCHASE WORKING'!C98+'PURCHASE WORKING'!C103</f>
        <v>0</v>
      </c>
      <c r="D89" s="256">
        <f>+'PURCHASE WORKING'!D98+'PURCHASE WORKING'!D103</f>
        <v>0</v>
      </c>
      <c r="E89" s="256">
        <f>+'PURCHASE WORKING'!E98+'PURCHASE WORKING'!E103</f>
        <v>0</v>
      </c>
      <c r="F89" s="256">
        <f>+'PURCHASE WORKING'!F98+'PURCHASE WORKING'!F103</f>
        <v>0</v>
      </c>
      <c r="G89" s="256">
        <f>+'PURCHASE WORKING'!G98+'PURCHASE WORKING'!G103</f>
        <v>0</v>
      </c>
      <c r="H89" s="256">
        <f>+'PURCHASE WORKING'!H98+'PURCHASE WORKING'!H103</f>
        <v>0</v>
      </c>
      <c r="I89" s="256">
        <f>+'PURCHASE WORKING'!I98+'PURCHASE WORKING'!I103</f>
        <v>0</v>
      </c>
      <c r="J89" s="256">
        <f>+'PURCHASE WORKING'!J98+'PURCHASE WORKING'!J103</f>
        <v>0</v>
      </c>
      <c r="K89" s="256">
        <f>+'PURCHASE WORKING'!K98+'PURCHASE WORKING'!K103</f>
        <v>0</v>
      </c>
      <c r="L89" s="256">
        <f>+'PURCHASE WORKING'!L98+'PURCHASE WORKING'!L103</f>
        <v>0</v>
      </c>
      <c r="M89" s="256">
        <f>+'PURCHASE WORKING'!M98+'PURCHASE WORKING'!M103</f>
        <v>0</v>
      </c>
      <c r="N89" s="256">
        <f>+'PURCHASE WORKING'!N98+'PURCHASE WORKING'!N103</f>
        <v>0</v>
      </c>
      <c r="O89" s="256">
        <f t="shared" si="17"/>
        <v>0</v>
      </c>
    </row>
    <row r="90" spans="1:15" x14ac:dyDescent="0.2">
      <c r="A90" s="1382" t="s">
        <v>454</v>
      </c>
      <c r="B90" s="1383"/>
      <c r="C90" s="1383"/>
      <c r="D90" s="1383"/>
      <c r="E90" s="1383"/>
      <c r="F90" s="1383"/>
      <c r="G90" s="1383"/>
      <c r="H90" s="1383"/>
      <c r="I90" s="1383"/>
      <c r="J90" s="1383"/>
      <c r="K90" s="1383"/>
      <c r="L90" s="1383"/>
      <c r="M90" s="1383"/>
      <c r="N90" s="1383"/>
      <c r="O90" s="1384"/>
    </row>
    <row r="91" spans="1:15" x14ac:dyDescent="0.2">
      <c r="A91" s="251" t="s">
        <v>2555</v>
      </c>
      <c r="B91" s="283" t="s">
        <v>2560</v>
      </c>
      <c r="C91" s="252">
        <f>+'PURCHASE WORKING'!C123</f>
        <v>0</v>
      </c>
      <c r="D91" s="252">
        <f>+'PURCHASE WORKING'!D123</f>
        <v>0</v>
      </c>
      <c r="E91" s="252">
        <f>+'PURCHASE WORKING'!E123</f>
        <v>0</v>
      </c>
      <c r="F91" s="252">
        <f>+'PURCHASE WORKING'!F123</f>
        <v>0</v>
      </c>
      <c r="G91" s="252">
        <f>+'PURCHASE WORKING'!G123</f>
        <v>0</v>
      </c>
      <c r="H91" s="252">
        <f>+'PURCHASE WORKING'!H123</f>
        <v>0</v>
      </c>
      <c r="I91" s="252">
        <f>+'PURCHASE WORKING'!I123</f>
        <v>0</v>
      </c>
      <c r="J91" s="252">
        <f>+'PURCHASE WORKING'!J123</f>
        <v>0</v>
      </c>
      <c r="K91" s="252">
        <f>+'PURCHASE WORKING'!K123</f>
        <v>0</v>
      </c>
      <c r="L91" s="252">
        <f>+'PURCHASE WORKING'!L123</f>
        <v>0</v>
      </c>
      <c r="M91" s="252">
        <f>+'PURCHASE WORKING'!M123</f>
        <v>0</v>
      </c>
      <c r="N91" s="252">
        <f>+'PURCHASE WORKING'!N123</f>
        <v>0</v>
      </c>
      <c r="O91" s="252">
        <f t="shared" ref="O91:O154" si="18">SUM(C91:N91)</f>
        <v>0</v>
      </c>
    </row>
    <row r="92" spans="1:15" x14ac:dyDescent="0.2">
      <c r="A92" s="255" t="s">
        <v>2556</v>
      </c>
      <c r="B92" s="284" t="s">
        <v>2561</v>
      </c>
      <c r="C92" s="256">
        <f>+'PURCHASE WORKING'!C108</f>
        <v>0</v>
      </c>
      <c r="D92" s="256">
        <f>+'PURCHASE WORKING'!D108</f>
        <v>0</v>
      </c>
      <c r="E92" s="256">
        <f>+'PURCHASE WORKING'!E108</f>
        <v>0</v>
      </c>
      <c r="F92" s="256">
        <f>+'PURCHASE WORKING'!F108</f>
        <v>0</v>
      </c>
      <c r="G92" s="256">
        <f>+'PURCHASE WORKING'!G108</f>
        <v>0</v>
      </c>
      <c r="H92" s="256">
        <f>+'PURCHASE WORKING'!H108</f>
        <v>0</v>
      </c>
      <c r="I92" s="256">
        <f>+'PURCHASE WORKING'!I108</f>
        <v>0</v>
      </c>
      <c r="J92" s="256">
        <f>+'PURCHASE WORKING'!J108</f>
        <v>0</v>
      </c>
      <c r="K92" s="256">
        <f>+'PURCHASE WORKING'!K108</f>
        <v>0</v>
      </c>
      <c r="L92" s="256">
        <f>+'PURCHASE WORKING'!L108</f>
        <v>0</v>
      </c>
      <c r="M92" s="256">
        <f>+'PURCHASE WORKING'!M108</f>
        <v>0</v>
      </c>
      <c r="N92" s="256">
        <f>+'PURCHASE WORKING'!N108</f>
        <v>0</v>
      </c>
      <c r="O92" s="256">
        <f t="shared" si="18"/>
        <v>0</v>
      </c>
    </row>
    <row r="93" spans="1:15" ht="12" customHeight="1" x14ac:dyDescent="0.2">
      <c r="A93" s="1376" t="s">
        <v>456</v>
      </c>
      <c r="B93" s="1377"/>
      <c r="C93" s="1377"/>
      <c r="D93" s="1377"/>
      <c r="E93" s="1377"/>
      <c r="F93" s="1377"/>
      <c r="G93" s="1377"/>
      <c r="H93" s="1377"/>
      <c r="I93" s="1377"/>
      <c r="J93" s="1377"/>
      <c r="K93" s="1377"/>
      <c r="L93" s="1377"/>
      <c r="M93" s="1377"/>
      <c r="N93" s="1377"/>
      <c r="O93" s="1378"/>
    </row>
    <row r="94" spans="1:15" x14ac:dyDescent="0.2">
      <c r="A94" s="1021" t="s">
        <v>16</v>
      </c>
      <c r="B94" s="1022"/>
      <c r="C94" s="1022"/>
      <c r="D94" s="1022"/>
      <c r="E94" s="1022"/>
      <c r="F94" s="1022"/>
      <c r="G94" s="1022"/>
      <c r="H94" s="1022"/>
      <c r="I94" s="1022"/>
      <c r="J94" s="1022"/>
      <c r="K94" s="1022"/>
      <c r="L94" s="1022"/>
      <c r="M94" s="1022"/>
      <c r="N94" s="1022"/>
      <c r="O94" s="1023"/>
    </row>
    <row r="95" spans="1:15" x14ac:dyDescent="0.2">
      <c r="A95" s="24" t="s">
        <v>2</v>
      </c>
      <c r="B95" s="24"/>
      <c r="C95" s="110">
        <v>43556</v>
      </c>
      <c r="D95" s="110">
        <v>43586</v>
      </c>
      <c r="E95" s="110">
        <v>43617</v>
      </c>
      <c r="F95" s="110">
        <v>43647</v>
      </c>
      <c r="G95" s="110">
        <v>43678</v>
      </c>
      <c r="H95" s="110">
        <v>43709</v>
      </c>
      <c r="I95" s="110">
        <v>43739</v>
      </c>
      <c r="J95" s="110">
        <v>43770</v>
      </c>
      <c r="K95" s="110">
        <v>43800</v>
      </c>
      <c r="L95" s="110">
        <v>43831</v>
      </c>
      <c r="M95" s="110">
        <v>43862</v>
      </c>
      <c r="N95" s="110">
        <v>43891</v>
      </c>
      <c r="O95" s="24" t="s">
        <v>1041</v>
      </c>
    </row>
    <row r="96" spans="1:15" x14ac:dyDescent="0.2">
      <c r="A96" s="258" t="s">
        <v>2555</v>
      </c>
      <c r="B96" s="258" t="s">
        <v>2562</v>
      </c>
      <c r="C96" s="285"/>
      <c r="D96" s="285"/>
      <c r="E96" s="285"/>
      <c r="F96" s="285"/>
      <c r="G96" s="285"/>
      <c r="H96" s="285"/>
      <c r="I96" s="285"/>
      <c r="J96" s="285"/>
      <c r="K96" s="285"/>
      <c r="L96" s="285"/>
      <c r="M96" s="285"/>
      <c r="N96" s="285"/>
      <c r="O96" s="260">
        <f t="shared" si="18"/>
        <v>0</v>
      </c>
    </row>
    <row r="97" spans="1:15" x14ac:dyDescent="0.2">
      <c r="A97" s="261" t="s">
        <v>2556</v>
      </c>
      <c r="B97" s="261" t="s">
        <v>2563</v>
      </c>
      <c r="C97" s="263">
        <v>0</v>
      </c>
      <c r="D97" s="263"/>
      <c r="E97" s="263"/>
      <c r="F97" s="263"/>
      <c r="G97" s="286"/>
      <c r="H97" s="286"/>
      <c r="I97" s="286"/>
      <c r="J97" s="286"/>
      <c r="K97" s="286"/>
      <c r="L97" s="286"/>
      <c r="M97" s="286"/>
      <c r="N97" s="286"/>
      <c r="O97" s="263">
        <f t="shared" si="18"/>
        <v>0</v>
      </c>
    </row>
    <row r="98" spans="1:15" x14ac:dyDescent="0.2">
      <c r="A98" s="264" t="s">
        <v>2557</v>
      </c>
      <c r="B98" s="264" t="s">
        <v>2564</v>
      </c>
      <c r="C98" s="266">
        <v>0</v>
      </c>
      <c r="D98" s="266"/>
      <c r="E98" s="266"/>
      <c r="F98" s="266"/>
      <c r="G98" s="287"/>
      <c r="H98" s="287"/>
      <c r="I98" s="287"/>
      <c r="J98" s="287"/>
      <c r="K98" s="287"/>
      <c r="L98" s="287"/>
      <c r="M98" s="287"/>
      <c r="N98" s="287"/>
      <c r="O98" s="266">
        <f t="shared" si="18"/>
        <v>0</v>
      </c>
    </row>
    <row r="99" spans="1:15" x14ac:dyDescent="0.2">
      <c r="A99" s="1373" t="s">
        <v>17</v>
      </c>
      <c r="B99" s="1374"/>
      <c r="C99" s="1374"/>
      <c r="D99" s="1374"/>
      <c r="E99" s="1374"/>
      <c r="F99" s="1374"/>
      <c r="G99" s="1374"/>
      <c r="H99" s="1374"/>
      <c r="I99" s="1374"/>
      <c r="J99" s="1374"/>
      <c r="K99" s="1374"/>
      <c r="L99" s="1374"/>
      <c r="M99" s="1374"/>
      <c r="N99" s="1374"/>
      <c r="O99" s="1375"/>
    </row>
    <row r="100" spans="1:15" x14ac:dyDescent="0.2">
      <c r="A100" s="24" t="s">
        <v>2</v>
      </c>
      <c r="B100" s="24"/>
      <c r="C100" s="110">
        <v>43556</v>
      </c>
      <c r="D100" s="110">
        <v>43586</v>
      </c>
      <c r="E100" s="110">
        <v>43617</v>
      </c>
      <c r="F100" s="110">
        <v>43647</v>
      </c>
      <c r="G100" s="110">
        <v>43678</v>
      </c>
      <c r="H100" s="110">
        <v>43709</v>
      </c>
      <c r="I100" s="110">
        <v>43739</v>
      </c>
      <c r="J100" s="110">
        <v>43770</v>
      </c>
      <c r="K100" s="110">
        <v>43800</v>
      </c>
      <c r="L100" s="110">
        <v>43831</v>
      </c>
      <c r="M100" s="110">
        <v>43862</v>
      </c>
      <c r="N100" s="110">
        <v>43891</v>
      </c>
      <c r="O100" s="24" t="s">
        <v>1041</v>
      </c>
    </row>
    <row r="101" spans="1:15" x14ac:dyDescent="0.2">
      <c r="A101" s="258" t="s">
        <v>2555</v>
      </c>
      <c r="B101" s="258" t="s">
        <v>2562</v>
      </c>
      <c r="C101" s="285">
        <v>0</v>
      </c>
      <c r="D101" s="285"/>
      <c r="E101" s="285"/>
      <c r="F101" s="285"/>
      <c r="G101" s="285"/>
      <c r="H101" s="285"/>
      <c r="I101" s="285"/>
      <c r="J101" s="285"/>
      <c r="K101" s="285"/>
      <c r="L101" s="285"/>
      <c r="M101" s="285"/>
      <c r="N101" s="285"/>
      <c r="O101" s="260">
        <f t="shared" si="18"/>
        <v>0</v>
      </c>
    </row>
    <row r="102" spans="1:15" x14ac:dyDescent="0.2">
      <c r="A102" s="261" t="s">
        <v>2556</v>
      </c>
      <c r="B102" s="261" t="s">
        <v>2563</v>
      </c>
      <c r="C102" s="263">
        <v>0</v>
      </c>
      <c r="D102" s="263"/>
      <c r="E102" s="263"/>
      <c r="F102" s="263"/>
      <c r="G102" s="286"/>
      <c r="H102" s="286"/>
      <c r="I102" s="286"/>
      <c r="J102" s="286"/>
      <c r="K102" s="286"/>
      <c r="L102" s="286"/>
      <c r="M102" s="286"/>
      <c r="N102" s="286"/>
      <c r="O102" s="263">
        <f t="shared" si="18"/>
        <v>0</v>
      </c>
    </row>
    <row r="103" spans="1:15" x14ac:dyDescent="0.2">
      <c r="A103" s="264" t="s">
        <v>2557</v>
      </c>
      <c r="B103" s="264" t="s">
        <v>2564</v>
      </c>
      <c r="C103" s="266">
        <v>3575</v>
      </c>
      <c r="D103" s="266"/>
      <c r="E103" s="266"/>
      <c r="F103" s="266"/>
      <c r="G103" s="287"/>
      <c r="H103" s="287"/>
      <c r="I103" s="287"/>
      <c r="J103" s="287"/>
      <c r="K103" s="287"/>
      <c r="L103" s="287"/>
      <c r="M103" s="287"/>
      <c r="N103" s="287"/>
      <c r="O103" s="266">
        <f t="shared" si="18"/>
        <v>3575</v>
      </c>
    </row>
    <row r="104" spans="1:15" x14ac:dyDescent="0.2">
      <c r="A104" s="1373" t="s">
        <v>18</v>
      </c>
      <c r="B104" s="1374"/>
      <c r="C104" s="1374"/>
      <c r="D104" s="1374"/>
      <c r="E104" s="1374"/>
      <c r="F104" s="1374"/>
      <c r="G104" s="1374"/>
      <c r="H104" s="1374"/>
      <c r="I104" s="1374"/>
      <c r="J104" s="1374"/>
      <c r="K104" s="1374"/>
      <c r="L104" s="1374"/>
      <c r="M104" s="1374"/>
      <c r="N104" s="1374"/>
      <c r="O104" s="1375"/>
    </row>
    <row r="105" spans="1:15" x14ac:dyDescent="0.2">
      <c r="A105" s="24" t="s">
        <v>2</v>
      </c>
      <c r="B105" s="24"/>
      <c r="C105" s="110">
        <v>43556</v>
      </c>
      <c r="D105" s="110">
        <v>43586</v>
      </c>
      <c r="E105" s="110">
        <v>43617</v>
      </c>
      <c r="F105" s="110">
        <v>43647</v>
      </c>
      <c r="G105" s="110">
        <v>43678</v>
      </c>
      <c r="H105" s="110">
        <v>43709</v>
      </c>
      <c r="I105" s="110">
        <v>43739</v>
      </c>
      <c r="J105" s="110">
        <v>43770</v>
      </c>
      <c r="K105" s="110">
        <v>43800</v>
      </c>
      <c r="L105" s="110">
        <v>43831</v>
      </c>
      <c r="M105" s="110">
        <v>43862</v>
      </c>
      <c r="N105" s="110">
        <v>43891</v>
      </c>
      <c r="O105" s="24" t="s">
        <v>1041</v>
      </c>
    </row>
    <row r="106" spans="1:15" x14ac:dyDescent="0.2">
      <c r="A106" s="258" t="s">
        <v>2555</v>
      </c>
      <c r="B106" s="258" t="s">
        <v>2562</v>
      </c>
      <c r="C106" s="285">
        <v>0</v>
      </c>
      <c r="D106" s="285"/>
      <c r="E106" s="285"/>
      <c r="F106" s="285"/>
      <c r="G106" s="285"/>
      <c r="H106" s="285"/>
      <c r="I106" s="285"/>
      <c r="J106" s="285"/>
      <c r="K106" s="285"/>
      <c r="L106" s="285"/>
      <c r="M106" s="285"/>
      <c r="N106" s="285"/>
      <c r="O106" s="260">
        <f t="shared" si="18"/>
        <v>0</v>
      </c>
    </row>
    <row r="107" spans="1:15" x14ac:dyDescent="0.2">
      <c r="A107" s="261" t="s">
        <v>2556</v>
      </c>
      <c r="B107" s="261" t="s">
        <v>2563</v>
      </c>
      <c r="C107" s="263">
        <v>0</v>
      </c>
      <c r="D107" s="263"/>
      <c r="E107" s="263"/>
      <c r="F107" s="263"/>
      <c r="G107" s="286"/>
      <c r="H107" s="286"/>
      <c r="I107" s="286"/>
      <c r="J107" s="286"/>
      <c r="K107" s="286"/>
      <c r="L107" s="286"/>
      <c r="M107" s="286"/>
      <c r="N107" s="286"/>
      <c r="O107" s="263">
        <f t="shared" si="18"/>
        <v>0</v>
      </c>
    </row>
    <row r="108" spans="1:15" x14ac:dyDescent="0.2">
      <c r="A108" s="264" t="s">
        <v>2557</v>
      </c>
      <c r="B108" s="264" t="s">
        <v>2564</v>
      </c>
      <c r="C108" s="266">
        <v>3575</v>
      </c>
      <c r="D108" s="266"/>
      <c r="E108" s="266"/>
      <c r="F108" s="266"/>
      <c r="G108" s="287"/>
      <c r="H108" s="287"/>
      <c r="I108" s="287"/>
      <c r="J108" s="287"/>
      <c r="K108" s="287"/>
      <c r="L108" s="287"/>
      <c r="M108" s="287"/>
      <c r="N108" s="287"/>
      <c r="O108" s="266">
        <f t="shared" si="18"/>
        <v>3575</v>
      </c>
    </row>
    <row r="109" spans="1:15" x14ac:dyDescent="0.2">
      <c r="A109" s="1373" t="s">
        <v>19</v>
      </c>
      <c r="B109" s="1374"/>
      <c r="C109" s="1374"/>
      <c r="D109" s="1374"/>
      <c r="E109" s="1374"/>
      <c r="F109" s="1374"/>
      <c r="G109" s="1374"/>
      <c r="H109" s="1374"/>
      <c r="I109" s="1374"/>
      <c r="J109" s="1374"/>
      <c r="K109" s="1374"/>
      <c r="L109" s="1374"/>
      <c r="M109" s="1374"/>
      <c r="N109" s="1374"/>
      <c r="O109" s="1375"/>
    </row>
    <row r="110" spans="1:15" x14ac:dyDescent="0.2">
      <c r="A110" s="24" t="s">
        <v>2</v>
      </c>
      <c r="B110" s="24"/>
      <c r="C110" s="110">
        <v>43556</v>
      </c>
      <c r="D110" s="110">
        <v>43586</v>
      </c>
      <c r="E110" s="110">
        <v>43617</v>
      </c>
      <c r="F110" s="110">
        <v>43647</v>
      </c>
      <c r="G110" s="110">
        <v>43678</v>
      </c>
      <c r="H110" s="110">
        <v>43709</v>
      </c>
      <c r="I110" s="110">
        <v>43739</v>
      </c>
      <c r="J110" s="110">
        <v>43770</v>
      </c>
      <c r="K110" s="110">
        <v>43800</v>
      </c>
      <c r="L110" s="110">
        <v>43831</v>
      </c>
      <c r="M110" s="110">
        <v>43862</v>
      </c>
      <c r="N110" s="110">
        <v>43891</v>
      </c>
      <c r="O110" s="24" t="s">
        <v>1041</v>
      </c>
    </row>
    <row r="111" spans="1:15" x14ac:dyDescent="0.2">
      <c r="A111" s="258" t="s">
        <v>2555</v>
      </c>
      <c r="B111" s="258" t="s">
        <v>2562</v>
      </c>
      <c r="C111" s="285"/>
      <c r="D111" s="285"/>
      <c r="E111" s="285"/>
      <c r="F111" s="285"/>
      <c r="G111" s="285"/>
      <c r="H111" s="285"/>
      <c r="I111" s="285"/>
      <c r="J111" s="285"/>
      <c r="K111" s="285"/>
      <c r="L111" s="285"/>
      <c r="M111" s="285"/>
      <c r="N111" s="285"/>
      <c r="O111" s="260">
        <f t="shared" si="18"/>
        <v>0</v>
      </c>
    </row>
    <row r="112" spans="1:15" x14ac:dyDescent="0.2">
      <c r="A112" s="253" t="s">
        <v>2556</v>
      </c>
      <c r="B112" s="253" t="s">
        <v>2563</v>
      </c>
      <c r="C112" s="254"/>
      <c r="D112" s="254"/>
      <c r="E112" s="254"/>
      <c r="F112" s="254"/>
      <c r="G112" s="288"/>
      <c r="H112" s="288"/>
      <c r="I112" s="288"/>
      <c r="J112" s="288"/>
      <c r="K112" s="288"/>
      <c r="L112" s="288"/>
      <c r="M112" s="288"/>
      <c r="N112" s="288"/>
      <c r="O112" s="254">
        <f t="shared" si="18"/>
        <v>0</v>
      </c>
    </row>
    <row r="113" spans="1:15" x14ac:dyDescent="0.2">
      <c r="A113" s="255" t="s">
        <v>2557</v>
      </c>
      <c r="B113" s="255" t="s">
        <v>2564</v>
      </c>
      <c r="C113" s="256"/>
      <c r="D113" s="256"/>
      <c r="E113" s="256"/>
      <c r="F113" s="256"/>
      <c r="G113" s="289"/>
      <c r="H113" s="289"/>
      <c r="I113" s="289"/>
      <c r="J113" s="289"/>
      <c r="K113" s="289"/>
      <c r="L113" s="289"/>
      <c r="M113" s="289"/>
      <c r="N113" s="289"/>
      <c r="O113" s="256">
        <f t="shared" si="18"/>
        <v>0</v>
      </c>
    </row>
    <row r="114" spans="1:15" x14ac:dyDescent="0.2">
      <c r="A114" s="1373" t="s">
        <v>2591</v>
      </c>
      <c r="B114" s="1374"/>
      <c r="C114" s="1374"/>
      <c r="D114" s="1374"/>
      <c r="E114" s="1374"/>
      <c r="F114" s="1374"/>
      <c r="G114" s="1374"/>
      <c r="H114" s="1374"/>
      <c r="I114" s="1374"/>
      <c r="J114" s="1374"/>
      <c r="K114" s="1374"/>
      <c r="L114" s="1374"/>
      <c r="M114" s="1374"/>
      <c r="N114" s="1374"/>
      <c r="O114" s="1375"/>
    </row>
    <row r="115" spans="1:15" x14ac:dyDescent="0.2">
      <c r="A115" s="66" t="s">
        <v>2</v>
      </c>
      <c r="B115" s="66"/>
      <c r="C115" s="98">
        <v>43556</v>
      </c>
      <c r="D115" s="98">
        <v>43586</v>
      </c>
      <c r="E115" s="98">
        <v>43617</v>
      </c>
      <c r="F115" s="98">
        <v>43647</v>
      </c>
      <c r="G115" s="98">
        <v>43678</v>
      </c>
      <c r="H115" s="98">
        <v>43709</v>
      </c>
      <c r="I115" s="98">
        <v>43739</v>
      </c>
      <c r="J115" s="98">
        <v>43770</v>
      </c>
      <c r="K115" s="98">
        <v>43800</v>
      </c>
      <c r="L115" s="98">
        <v>43831</v>
      </c>
      <c r="M115" s="98">
        <v>43862</v>
      </c>
      <c r="N115" s="98">
        <v>43891</v>
      </c>
      <c r="O115" s="66" t="s">
        <v>1041</v>
      </c>
    </row>
    <row r="116" spans="1:15" x14ac:dyDescent="0.2">
      <c r="A116" s="290" t="s">
        <v>2555</v>
      </c>
      <c r="B116" s="290" t="s">
        <v>2590</v>
      </c>
      <c r="C116" s="291">
        <f>+C6</f>
        <v>34940.687599999997</v>
      </c>
      <c r="D116" s="291">
        <f t="shared" ref="D116:N116" si="19">+D6</f>
        <v>55549.74040000001</v>
      </c>
      <c r="E116" s="291">
        <f t="shared" si="19"/>
        <v>141109.85840000003</v>
      </c>
      <c r="F116" s="291">
        <f t="shared" si="19"/>
        <v>64427.327999999994</v>
      </c>
      <c r="G116" s="291">
        <f t="shared" si="19"/>
        <v>30473.3688</v>
      </c>
      <c r="H116" s="291">
        <f t="shared" si="19"/>
        <v>75713.330000000016</v>
      </c>
      <c r="I116" s="291">
        <f t="shared" si="19"/>
        <v>51945.630799999992</v>
      </c>
      <c r="J116" s="291">
        <f t="shared" si="19"/>
        <v>50926.2068</v>
      </c>
      <c r="K116" s="291">
        <f t="shared" si="19"/>
        <v>128383.5336</v>
      </c>
      <c r="L116" s="291">
        <f t="shared" si="19"/>
        <v>38884.86</v>
      </c>
      <c r="M116" s="291">
        <f t="shared" si="19"/>
        <v>0</v>
      </c>
      <c r="N116" s="291">
        <f t="shared" si="19"/>
        <v>0</v>
      </c>
      <c r="O116" s="269">
        <f t="shared" si="18"/>
        <v>672354.54440000001</v>
      </c>
    </row>
    <row r="117" spans="1:15" x14ac:dyDescent="0.2">
      <c r="A117" s="292"/>
      <c r="B117" s="292" t="s">
        <v>2599</v>
      </c>
      <c r="C117" s="293">
        <f>+C69+C35+C41</f>
        <v>2079.9351999999999</v>
      </c>
      <c r="D117" s="293">
        <f t="shared" ref="D117:N117" si="20">+D69+D35+D41</f>
        <v>139070.23000000001</v>
      </c>
      <c r="E117" s="293">
        <f t="shared" si="20"/>
        <v>89585.376799999998</v>
      </c>
      <c r="F117" s="293">
        <f t="shared" si="20"/>
        <v>69285.56</v>
      </c>
      <c r="G117" s="293">
        <f t="shared" si="20"/>
        <v>10977.877199999999</v>
      </c>
      <c r="H117" s="293">
        <f t="shared" si="20"/>
        <v>57463.603599999988</v>
      </c>
      <c r="I117" s="293">
        <f t="shared" si="20"/>
        <v>176954.97999999998</v>
      </c>
      <c r="J117" s="293">
        <f t="shared" si="20"/>
        <v>28467.498000000003</v>
      </c>
      <c r="K117" s="293">
        <f t="shared" si="20"/>
        <v>325090.39919999999</v>
      </c>
      <c r="L117" s="293">
        <f t="shared" si="20"/>
        <v>23052.937600000001</v>
      </c>
      <c r="M117" s="293">
        <f t="shared" si="20"/>
        <v>0</v>
      </c>
      <c r="N117" s="293">
        <f t="shared" si="20"/>
        <v>0</v>
      </c>
      <c r="O117" s="271">
        <f t="shared" si="18"/>
        <v>922028.39759999991</v>
      </c>
    </row>
    <row r="118" spans="1:15" x14ac:dyDescent="0.2">
      <c r="A118" s="292"/>
      <c r="B118" s="294" t="s">
        <v>2571</v>
      </c>
      <c r="C118" s="293">
        <f>+C116-C117</f>
        <v>32860.752399999998</v>
      </c>
      <c r="D118" s="293">
        <f t="shared" ref="D118:N118" si="21">+D116-D117</f>
        <v>-83520.489600000001</v>
      </c>
      <c r="E118" s="293">
        <f t="shared" si="21"/>
        <v>51524.481600000028</v>
      </c>
      <c r="F118" s="293">
        <f t="shared" si="21"/>
        <v>-4858.2320000000036</v>
      </c>
      <c r="G118" s="293">
        <f t="shared" si="21"/>
        <v>19495.491600000001</v>
      </c>
      <c r="H118" s="293">
        <f t="shared" si="21"/>
        <v>18249.726400000029</v>
      </c>
      <c r="I118" s="293">
        <f t="shared" si="21"/>
        <v>-125009.3492</v>
      </c>
      <c r="J118" s="293">
        <f t="shared" si="21"/>
        <v>22458.708799999997</v>
      </c>
      <c r="K118" s="293">
        <f t="shared" si="21"/>
        <v>-196706.86559999999</v>
      </c>
      <c r="L118" s="293">
        <f t="shared" si="21"/>
        <v>15831.922399999999</v>
      </c>
      <c r="M118" s="293">
        <f t="shared" si="21"/>
        <v>0</v>
      </c>
      <c r="N118" s="293">
        <f t="shared" si="21"/>
        <v>0</v>
      </c>
      <c r="O118" s="271">
        <f t="shared" si="18"/>
        <v>-249673.85319999992</v>
      </c>
    </row>
    <row r="119" spans="1:15" x14ac:dyDescent="0.2">
      <c r="A119" s="292"/>
      <c r="B119" s="292" t="s">
        <v>2585</v>
      </c>
      <c r="C119" s="271">
        <f>+C35+C38+C51</f>
        <v>2079.9351999999999</v>
      </c>
      <c r="D119" s="271">
        <v>55550</v>
      </c>
      <c r="E119" s="271">
        <f t="shared" ref="E119:N119" si="22">+E35+E38+E51</f>
        <v>89585.376799999998</v>
      </c>
      <c r="F119" s="271">
        <f t="shared" si="22"/>
        <v>69285.56</v>
      </c>
      <c r="G119" s="271">
        <f t="shared" si="22"/>
        <v>10977.877199999999</v>
      </c>
      <c r="H119" s="271">
        <f t="shared" si="22"/>
        <v>57463.603599999988</v>
      </c>
      <c r="I119" s="271">
        <f t="shared" si="22"/>
        <v>176954.97999999998</v>
      </c>
      <c r="J119" s="271">
        <f t="shared" si="22"/>
        <v>28467.498000000003</v>
      </c>
      <c r="K119" s="271">
        <f t="shared" si="22"/>
        <v>325090.39919999999</v>
      </c>
      <c r="L119" s="271">
        <f t="shared" si="22"/>
        <v>23052.937600000001</v>
      </c>
      <c r="M119" s="271">
        <f t="shared" si="22"/>
        <v>0</v>
      </c>
      <c r="N119" s="271">
        <f t="shared" si="22"/>
        <v>0</v>
      </c>
      <c r="O119" s="271">
        <f t="shared" si="18"/>
        <v>838508.16759999993</v>
      </c>
    </row>
    <row r="120" spans="1:15" x14ac:dyDescent="0.2">
      <c r="A120" s="292"/>
      <c r="B120" s="292" t="s">
        <v>2586</v>
      </c>
      <c r="C120" s="271">
        <v>32861</v>
      </c>
      <c r="D120" s="271"/>
      <c r="E120" s="271"/>
      <c r="F120" s="271"/>
      <c r="G120" s="43"/>
      <c r="H120" s="43"/>
      <c r="I120" s="43"/>
      <c r="J120" s="43"/>
      <c r="K120" s="43"/>
      <c r="L120" s="43"/>
      <c r="M120" s="43"/>
      <c r="N120" s="43"/>
      <c r="O120" s="271">
        <f t="shared" si="18"/>
        <v>32861</v>
      </c>
    </row>
    <row r="121" spans="1:15" x14ac:dyDescent="0.2">
      <c r="A121" s="292"/>
      <c r="B121" s="292" t="s">
        <v>2587</v>
      </c>
      <c r="C121" s="43"/>
      <c r="D121" s="43"/>
      <c r="E121" s="43"/>
      <c r="F121" s="43"/>
      <c r="G121" s="43"/>
      <c r="H121" s="43"/>
      <c r="I121" s="43"/>
      <c r="J121" s="43"/>
      <c r="K121" s="43"/>
      <c r="L121" s="43"/>
      <c r="M121" s="43"/>
      <c r="N121" s="43"/>
      <c r="O121" s="271">
        <f t="shared" si="18"/>
        <v>0</v>
      </c>
    </row>
    <row r="122" spans="1:15" x14ac:dyDescent="0.2">
      <c r="A122" s="292"/>
      <c r="B122" s="43" t="s">
        <v>2588</v>
      </c>
      <c r="C122" s="271">
        <f>+C121+C120+C119</f>
        <v>34940.9352</v>
      </c>
      <c r="D122" s="271">
        <f t="shared" ref="D122:N122" si="23">+D121+D120+D119</f>
        <v>55550</v>
      </c>
      <c r="E122" s="271">
        <f t="shared" si="23"/>
        <v>89585.376799999998</v>
      </c>
      <c r="F122" s="271">
        <f t="shared" si="23"/>
        <v>69285.56</v>
      </c>
      <c r="G122" s="271">
        <f t="shared" si="23"/>
        <v>10977.877199999999</v>
      </c>
      <c r="H122" s="271">
        <f t="shared" si="23"/>
        <v>57463.603599999988</v>
      </c>
      <c r="I122" s="271">
        <f t="shared" si="23"/>
        <v>176954.97999999998</v>
      </c>
      <c r="J122" s="271">
        <f t="shared" si="23"/>
        <v>28467.498000000003</v>
      </c>
      <c r="K122" s="271">
        <f t="shared" si="23"/>
        <v>325090.39919999999</v>
      </c>
      <c r="L122" s="271">
        <f t="shared" si="23"/>
        <v>23052.937600000001</v>
      </c>
      <c r="M122" s="271">
        <f t="shared" si="23"/>
        <v>0</v>
      </c>
      <c r="N122" s="271">
        <f t="shared" si="23"/>
        <v>0</v>
      </c>
      <c r="O122" s="271">
        <f t="shared" si="18"/>
        <v>871369.16759999993</v>
      </c>
    </row>
    <row r="123" spans="1:15" x14ac:dyDescent="0.2">
      <c r="A123" s="295"/>
      <c r="B123" s="215" t="s">
        <v>2571</v>
      </c>
      <c r="C123" s="296">
        <f t="shared" ref="C123:N123" si="24">+C116-C122</f>
        <v>-0.24760000000242144</v>
      </c>
      <c r="D123" s="296">
        <f t="shared" si="24"/>
        <v>-0.25959999999031425</v>
      </c>
      <c r="E123" s="296">
        <f t="shared" si="24"/>
        <v>51524.481600000028</v>
      </c>
      <c r="F123" s="296">
        <f t="shared" si="24"/>
        <v>-4858.2320000000036</v>
      </c>
      <c r="G123" s="296">
        <f t="shared" si="24"/>
        <v>19495.491600000001</v>
      </c>
      <c r="H123" s="296">
        <f t="shared" si="24"/>
        <v>18249.726400000029</v>
      </c>
      <c r="I123" s="296">
        <f t="shared" si="24"/>
        <v>-125009.3492</v>
      </c>
      <c r="J123" s="296">
        <f t="shared" si="24"/>
        <v>22458.708799999997</v>
      </c>
      <c r="K123" s="296">
        <f t="shared" si="24"/>
        <v>-196706.86559999999</v>
      </c>
      <c r="L123" s="296">
        <f t="shared" si="24"/>
        <v>15831.922399999999</v>
      </c>
      <c r="M123" s="296">
        <f t="shared" si="24"/>
        <v>0</v>
      </c>
      <c r="N123" s="296">
        <f t="shared" si="24"/>
        <v>0</v>
      </c>
      <c r="O123" s="297">
        <f t="shared" si="18"/>
        <v>-199014.62319999991</v>
      </c>
    </row>
    <row r="124" spans="1:15" x14ac:dyDescent="0.2">
      <c r="A124" s="43"/>
      <c r="B124" s="43" t="s">
        <v>2589</v>
      </c>
      <c r="C124" s="43"/>
      <c r="D124" s="43"/>
      <c r="E124" s="43"/>
      <c r="F124" s="43"/>
      <c r="G124" s="43"/>
      <c r="H124" s="43"/>
      <c r="I124" s="43"/>
      <c r="J124" s="43"/>
      <c r="K124" s="43"/>
      <c r="L124" s="43"/>
      <c r="M124" s="43"/>
      <c r="N124" s="43"/>
      <c r="O124" s="271">
        <f t="shared" si="18"/>
        <v>0</v>
      </c>
    </row>
    <row r="125" spans="1:15" x14ac:dyDescent="0.2">
      <c r="A125" s="298"/>
      <c r="B125" s="215" t="s">
        <v>2571</v>
      </c>
      <c r="C125" s="296">
        <f>+C123-C124</f>
        <v>-0.24760000000242144</v>
      </c>
      <c r="D125" s="296">
        <f t="shared" ref="D125:N125" si="25">+D123-D124</f>
        <v>-0.25959999999031425</v>
      </c>
      <c r="E125" s="296">
        <f t="shared" si="25"/>
        <v>51524.481600000028</v>
      </c>
      <c r="F125" s="296">
        <f t="shared" si="25"/>
        <v>-4858.2320000000036</v>
      </c>
      <c r="G125" s="296">
        <f t="shared" si="25"/>
        <v>19495.491600000001</v>
      </c>
      <c r="H125" s="296">
        <f t="shared" si="25"/>
        <v>18249.726400000029</v>
      </c>
      <c r="I125" s="296">
        <f t="shared" si="25"/>
        <v>-125009.3492</v>
      </c>
      <c r="J125" s="296">
        <f t="shared" si="25"/>
        <v>22458.708799999997</v>
      </c>
      <c r="K125" s="296">
        <f t="shared" si="25"/>
        <v>-196706.86559999999</v>
      </c>
      <c r="L125" s="296">
        <f t="shared" si="25"/>
        <v>15831.922399999999</v>
      </c>
      <c r="M125" s="296">
        <f t="shared" si="25"/>
        <v>0</v>
      </c>
      <c r="N125" s="296">
        <f t="shared" si="25"/>
        <v>0</v>
      </c>
      <c r="O125" s="297">
        <f t="shared" si="18"/>
        <v>-199014.62319999991</v>
      </c>
    </row>
    <row r="126" spans="1:15" x14ac:dyDescent="0.2">
      <c r="A126" s="1021" t="s">
        <v>2592</v>
      </c>
      <c r="B126" s="1022"/>
      <c r="C126" s="1022"/>
      <c r="D126" s="1022"/>
      <c r="E126" s="1022"/>
      <c r="F126" s="1022"/>
      <c r="G126" s="1022"/>
      <c r="H126" s="1022"/>
      <c r="I126" s="1022"/>
      <c r="J126" s="1022"/>
      <c r="K126" s="1022"/>
      <c r="L126" s="1022"/>
      <c r="M126" s="1022"/>
      <c r="N126" s="1022"/>
      <c r="O126" s="1023"/>
    </row>
    <row r="127" spans="1:15" x14ac:dyDescent="0.2">
      <c r="A127" s="66" t="s">
        <v>2</v>
      </c>
      <c r="B127" s="66"/>
      <c r="C127" s="98">
        <v>43556</v>
      </c>
      <c r="D127" s="98">
        <v>43586</v>
      </c>
      <c r="E127" s="98">
        <v>43617</v>
      </c>
      <c r="F127" s="98">
        <v>43647</v>
      </c>
      <c r="G127" s="98">
        <v>43678</v>
      </c>
      <c r="H127" s="98">
        <v>43709</v>
      </c>
      <c r="I127" s="98">
        <v>43739</v>
      </c>
      <c r="J127" s="98">
        <v>43770</v>
      </c>
      <c r="K127" s="98">
        <v>43800</v>
      </c>
      <c r="L127" s="98">
        <v>43831</v>
      </c>
      <c r="M127" s="98">
        <v>43862</v>
      </c>
      <c r="N127" s="98">
        <v>43891</v>
      </c>
      <c r="O127" s="267" t="s">
        <v>1041</v>
      </c>
    </row>
    <row r="128" spans="1:15" x14ac:dyDescent="0.2">
      <c r="A128" s="290" t="s">
        <v>2555</v>
      </c>
      <c r="B128" s="290" t="s">
        <v>2595</v>
      </c>
      <c r="C128" s="291">
        <f>+C7</f>
        <v>417253.72849999991</v>
      </c>
      <c r="D128" s="291">
        <f t="shared" ref="D128:N128" si="26">+D7</f>
        <v>462253.39580000017</v>
      </c>
      <c r="E128" s="291">
        <f t="shared" si="26"/>
        <v>630521.11866000015</v>
      </c>
      <c r="F128" s="291">
        <f t="shared" si="26"/>
        <v>751921.66600000055</v>
      </c>
      <c r="G128" s="291">
        <f t="shared" si="26"/>
        <v>597973.32440000016</v>
      </c>
      <c r="H128" s="291">
        <f t="shared" si="26"/>
        <v>495784.53260000021</v>
      </c>
      <c r="I128" s="291">
        <f t="shared" si="26"/>
        <v>419677.1544</v>
      </c>
      <c r="J128" s="291">
        <f t="shared" si="26"/>
        <v>256975.35380000001</v>
      </c>
      <c r="K128" s="291">
        <f t="shared" si="26"/>
        <v>265592.08979999996</v>
      </c>
      <c r="L128" s="291">
        <f t="shared" si="26"/>
        <v>513531.29960000014</v>
      </c>
      <c r="M128" s="291">
        <f t="shared" si="26"/>
        <v>0</v>
      </c>
      <c r="N128" s="291">
        <f t="shared" si="26"/>
        <v>0</v>
      </c>
      <c r="O128" s="269">
        <f t="shared" si="18"/>
        <v>4811483.6635600012</v>
      </c>
    </row>
    <row r="129" spans="1:15" x14ac:dyDescent="0.2">
      <c r="A129" s="292"/>
      <c r="B129" s="292" t="s">
        <v>2600</v>
      </c>
      <c r="C129" s="293">
        <f t="shared" ref="C129:N129" si="27">+C81+C47+C53</f>
        <v>320062.28289999982</v>
      </c>
      <c r="D129" s="293">
        <f t="shared" si="27"/>
        <v>435884.11540000001</v>
      </c>
      <c r="E129" s="293">
        <f t="shared" si="27"/>
        <v>456538.5692999998</v>
      </c>
      <c r="F129" s="293">
        <f t="shared" si="27"/>
        <v>649261.90440000047</v>
      </c>
      <c r="G129" s="293">
        <f t="shared" si="27"/>
        <v>403530.33340000012</v>
      </c>
      <c r="H129" s="293">
        <f t="shared" si="27"/>
        <v>382093.73650000017</v>
      </c>
      <c r="I129" s="293">
        <f t="shared" si="27"/>
        <v>376648.78960000008</v>
      </c>
      <c r="J129" s="293">
        <f t="shared" si="27"/>
        <v>332947.8922</v>
      </c>
      <c r="K129" s="293">
        <f t="shared" si="27"/>
        <v>421693.57909999997</v>
      </c>
      <c r="L129" s="293">
        <f t="shared" si="27"/>
        <v>300645.39929999993</v>
      </c>
      <c r="M129" s="293">
        <f t="shared" si="27"/>
        <v>0</v>
      </c>
      <c r="N129" s="293">
        <f t="shared" si="27"/>
        <v>0</v>
      </c>
      <c r="O129" s="271">
        <f t="shared" si="18"/>
        <v>4079306.6021000007</v>
      </c>
    </row>
    <row r="130" spans="1:15" x14ac:dyDescent="0.2">
      <c r="A130" s="292"/>
      <c r="B130" s="294" t="s">
        <v>2571</v>
      </c>
      <c r="C130" s="293">
        <f>+C128-C129</f>
        <v>97191.445600000094</v>
      </c>
      <c r="D130" s="293">
        <f t="shared" ref="D130" si="28">+D128-D129</f>
        <v>26369.280400000163</v>
      </c>
      <c r="E130" s="293">
        <f t="shared" ref="E130" si="29">+E128-E129</f>
        <v>173982.54936000035</v>
      </c>
      <c r="F130" s="293">
        <f t="shared" ref="F130" si="30">+F128-F129</f>
        <v>102659.76160000009</v>
      </c>
      <c r="G130" s="293">
        <f t="shared" ref="G130" si="31">+G128-G129</f>
        <v>194442.99100000004</v>
      </c>
      <c r="H130" s="293">
        <f t="shared" ref="H130" si="32">+H128-H129</f>
        <v>113690.79610000004</v>
      </c>
      <c r="I130" s="293">
        <f t="shared" ref="I130" si="33">+I128-I129</f>
        <v>43028.364799999923</v>
      </c>
      <c r="J130" s="293">
        <f t="shared" ref="J130" si="34">+J128-J129</f>
        <v>-75972.53839999999</v>
      </c>
      <c r="K130" s="293">
        <f t="shared" ref="K130" si="35">+K128-K129</f>
        <v>-156101.48930000002</v>
      </c>
      <c r="L130" s="293">
        <f t="shared" ref="L130" si="36">+L128-L129</f>
        <v>212885.90030000021</v>
      </c>
      <c r="M130" s="293">
        <f t="shared" ref="M130" si="37">+M128-M129</f>
        <v>0</v>
      </c>
      <c r="N130" s="293">
        <f t="shared" ref="N130" si="38">+N128-N129</f>
        <v>0</v>
      </c>
      <c r="O130" s="271">
        <f t="shared" si="18"/>
        <v>732177.06146000104</v>
      </c>
    </row>
    <row r="131" spans="1:15" x14ac:dyDescent="0.2">
      <c r="A131" s="292"/>
      <c r="B131" s="292" t="s">
        <v>2585</v>
      </c>
      <c r="C131" s="271">
        <v>0</v>
      </c>
      <c r="D131" s="271">
        <v>83520</v>
      </c>
      <c r="E131" s="271"/>
      <c r="F131" s="271"/>
      <c r="G131" s="43"/>
      <c r="H131" s="43"/>
      <c r="I131" s="43"/>
      <c r="J131" s="43"/>
      <c r="K131" s="43"/>
      <c r="L131" s="43"/>
      <c r="M131" s="43"/>
      <c r="N131" s="43"/>
      <c r="O131" s="271">
        <f t="shared" si="18"/>
        <v>83520</v>
      </c>
    </row>
    <row r="132" spans="1:15" x14ac:dyDescent="0.2">
      <c r="A132" s="292"/>
      <c r="B132" s="292" t="s">
        <v>2586</v>
      </c>
      <c r="C132" s="271">
        <v>417254</v>
      </c>
      <c r="D132" s="271">
        <v>378734</v>
      </c>
      <c r="E132" s="271"/>
      <c r="F132" s="271"/>
      <c r="G132" s="43"/>
      <c r="H132" s="43"/>
      <c r="I132" s="43"/>
      <c r="J132" s="43"/>
      <c r="K132" s="43"/>
      <c r="L132" s="43"/>
      <c r="M132" s="43"/>
      <c r="N132" s="43"/>
      <c r="O132" s="271">
        <f t="shared" si="18"/>
        <v>795988</v>
      </c>
    </row>
    <row r="133" spans="1:15" x14ac:dyDescent="0.2">
      <c r="A133" s="292"/>
      <c r="B133" s="292" t="s">
        <v>2587</v>
      </c>
      <c r="C133" s="43"/>
      <c r="D133" s="43"/>
      <c r="E133" s="43"/>
      <c r="F133" s="43"/>
      <c r="G133" s="43"/>
      <c r="H133" s="43"/>
      <c r="I133" s="43"/>
      <c r="J133" s="43"/>
      <c r="K133" s="43"/>
      <c r="L133" s="43"/>
      <c r="M133" s="43"/>
      <c r="N133" s="43"/>
      <c r="O133" s="271">
        <f t="shared" si="18"/>
        <v>0</v>
      </c>
    </row>
    <row r="134" spans="1:15" x14ac:dyDescent="0.2">
      <c r="A134" s="292"/>
      <c r="B134" s="43" t="s">
        <v>2588</v>
      </c>
      <c r="C134" s="271">
        <f>+C133+C132+C131</f>
        <v>417254</v>
      </c>
      <c r="D134" s="271">
        <f t="shared" ref="D134:N134" si="39">+D133+D132+D131</f>
        <v>462254</v>
      </c>
      <c r="E134" s="271">
        <f t="shared" si="39"/>
        <v>0</v>
      </c>
      <c r="F134" s="271">
        <f t="shared" si="39"/>
        <v>0</v>
      </c>
      <c r="G134" s="271">
        <f t="shared" si="39"/>
        <v>0</v>
      </c>
      <c r="H134" s="271">
        <f t="shared" si="39"/>
        <v>0</v>
      </c>
      <c r="I134" s="271">
        <f t="shared" si="39"/>
        <v>0</v>
      </c>
      <c r="J134" s="271">
        <f t="shared" si="39"/>
        <v>0</v>
      </c>
      <c r="K134" s="271">
        <f t="shared" si="39"/>
        <v>0</v>
      </c>
      <c r="L134" s="271">
        <f t="shared" si="39"/>
        <v>0</v>
      </c>
      <c r="M134" s="271">
        <f t="shared" si="39"/>
        <v>0</v>
      </c>
      <c r="N134" s="271">
        <f t="shared" si="39"/>
        <v>0</v>
      </c>
      <c r="O134" s="271">
        <f t="shared" si="18"/>
        <v>879508</v>
      </c>
    </row>
    <row r="135" spans="1:15" x14ac:dyDescent="0.2">
      <c r="A135" s="295"/>
      <c r="B135" s="215" t="s">
        <v>2571</v>
      </c>
      <c r="C135" s="296">
        <f>+C128-C134</f>
        <v>-0.27150000008987263</v>
      </c>
      <c r="D135" s="296">
        <f t="shared" ref="D135:N135" si="40">+D128-D134</f>
        <v>-0.60419999982696027</v>
      </c>
      <c r="E135" s="296">
        <f t="shared" si="40"/>
        <v>630521.11866000015</v>
      </c>
      <c r="F135" s="296">
        <f t="shared" si="40"/>
        <v>751921.66600000055</v>
      </c>
      <c r="G135" s="296">
        <f t="shared" si="40"/>
        <v>597973.32440000016</v>
      </c>
      <c r="H135" s="296">
        <f t="shared" si="40"/>
        <v>495784.53260000021</v>
      </c>
      <c r="I135" s="296">
        <f t="shared" si="40"/>
        <v>419677.1544</v>
      </c>
      <c r="J135" s="296">
        <f t="shared" si="40"/>
        <v>256975.35380000001</v>
      </c>
      <c r="K135" s="296">
        <f t="shared" si="40"/>
        <v>265592.08979999996</v>
      </c>
      <c r="L135" s="296">
        <f t="shared" si="40"/>
        <v>513531.29960000014</v>
      </c>
      <c r="M135" s="296">
        <f t="shared" si="40"/>
        <v>0</v>
      </c>
      <c r="N135" s="296">
        <f t="shared" si="40"/>
        <v>0</v>
      </c>
      <c r="O135" s="297">
        <f t="shared" si="18"/>
        <v>3931975.6635600007</v>
      </c>
    </row>
    <row r="136" spans="1:15" x14ac:dyDescent="0.2">
      <c r="A136" s="43"/>
      <c r="B136" s="43" t="s">
        <v>2589</v>
      </c>
      <c r="C136" s="43"/>
      <c r="D136" s="43"/>
      <c r="E136" s="43"/>
      <c r="F136" s="43"/>
      <c r="G136" s="43"/>
      <c r="H136" s="43"/>
      <c r="I136" s="43"/>
      <c r="J136" s="43"/>
      <c r="K136" s="43"/>
      <c r="L136" s="43"/>
      <c r="M136" s="43"/>
      <c r="N136" s="43"/>
      <c r="O136" s="271">
        <f t="shared" si="18"/>
        <v>0</v>
      </c>
    </row>
    <row r="137" spans="1:15" x14ac:dyDescent="0.2">
      <c r="A137" s="298"/>
      <c r="B137" s="215" t="s">
        <v>2571</v>
      </c>
      <c r="C137" s="296">
        <f>+C135-C136</f>
        <v>-0.27150000008987263</v>
      </c>
      <c r="D137" s="296">
        <f t="shared" ref="D137:N137" si="41">+D135-D136</f>
        <v>-0.60419999982696027</v>
      </c>
      <c r="E137" s="296">
        <f t="shared" si="41"/>
        <v>630521.11866000015</v>
      </c>
      <c r="F137" s="296">
        <f t="shared" si="41"/>
        <v>751921.66600000055</v>
      </c>
      <c r="G137" s="296">
        <f t="shared" si="41"/>
        <v>597973.32440000016</v>
      </c>
      <c r="H137" s="296">
        <f t="shared" si="41"/>
        <v>495784.53260000021</v>
      </c>
      <c r="I137" s="296">
        <f t="shared" si="41"/>
        <v>419677.1544</v>
      </c>
      <c r="J137" s="296">
        <f t="shared" si="41"/>
        <v>256975.35380000001</v>
      </c>
      <c r="K137" s="296">
        <f t="shared" si="41"/>
        <v>265592.08979999996</v>
      </c>
      <c r="L137" s="296">
        <f t="shared" si="41"/>
        <v>513531.29960000014</v>
      </c>
      <c r="M137" s="296">
        <f t="shared" si="41"/>
        <v>0</v>
      </c>
      <c r="N137" s="296">
        <f t="shared" si="41"/>
        <v>0</v>
      </c>
      <c r="O137" s="297">
        <f t="shared" si="18"/>
        <v>3931975.6635600007</v>
      </c>
    </row>
    <row r="138" spans="1:15" x14ac:dyDescent="0.2">
      <c r="A138" s="1021" t="s">
        <v>2593</v>
      </c>
      <c r="B138" s="1022"/>
      <c r="C138" s="1022"/>
      <c r="D138" s="1022"/>
      <c r="E138" s="1022"/>
      <c r="F138" s="1022"/>
      <c r="G138" s="1022"/>
      <c r="H138" s="1022"/>
      <c r="I138" s="1022"/>
      <c r="J138" s="1022"/>
      <c r="K138" s="1022"/>
      <c r="L138" s="1022"/>
      <c r="M138" s="1022"/>
      <c r="N138" s="1022"/>
      <c r="O138" s="1023"/>
    </row>
    <row r="139" spans="1:15" x14ac:dyDescent="0.2">
      <c r="A139" s="66" t="s">
        <v>2</v>
      </c>
      <c r="B139" s="66"/>
      <c r="C139" s="98">
        <v>43556</v>
      </c>
      <c r="D139" s="98">
        <v>43586</v>
      </c>
      <c r="E139" s="98">
        <v>43617</v>
      </c>
      <c r="F139" s="98">
        <v>43647</v>
      </c>
      <c r="G139" s="98">
        <v>43678</v>
      </c>
      <c r="H139" s="98">
        <v>43709</v>
      </c>
      <c r="I139" s="98">
        <v>43739</v>
      </c>
      <c r="J139" s="98">
        <v>43770</v>
      </c>
      <c r="K139" s="98">
        <v>43800</v>
      </c>
      <c r="L139" s="98">
        <v>43831</v>
      </c>
      <c r="M139" s="98">
        <v>43862</v>
      </c>
      <c r="N139" s="98">
        <v>43891</v>
      </c>
      <c r="O139" s="267" t="s">
        <v>1041</v>
      </c>
    </row>
    <row r="140" spans="1:15" x14ac:dyDescent="0.2">
      <c r="A140" s="299" t="s">
        <v>2555</v>
      </c>
      <c r="B140" s="299" t="s">
        <v>2594</v>
      </c>
      <c r="C140" s="300">
        <f>+C8</f>
        <v>417253.72849999991</v>
      </c>
      <c r="D140" s="300">
        <f>+D8</f>
        <v>462253.39580000017</v>
      </c>
      <c r="E140" s="300">
        <f t="shared" ref="E140:N140" si="42">+E8</f>
        <v>630521.11866000015</v>
      </c>
      <c r="F140" s="300">
        <f t="shared" si="42"/>
        <v>751921.66600000055</v>
      </c>
      <c r="G140" s="300">
        <f t="shared" si="42"/>
        <v>597973.32440000016</v>
      </c>
      <c r="H140" s="300">
        <f t="shared" si="42"/>
        <v>495784.53260000021</v>
      </c>
      <c r="I140" s="300">
        <f t="shared" si="42"/>
        <v>419677.1544</v>
      </c>
      <c r="J140" s="300">
        <f t="shared" si="42"/>
        <v>256975.35380000001</v>
      </c>
      <c r="K140" s="300">
        <f t="shared" si="42"/>
        <v>265592.08979999996</v>
      </c>
      <c r="L140" s="300">
        <f t="shared" si="42"/>
        <v>513531.29960000014</v>
      </c>
      <c r="M140" s="300">
        <f t="shared" si="42"/>
        <v>0</v>
      </c>
      <c r="N140" s="300">
        <f t="shared" si="42"/>
        <v>0</v>
      </c>
      <c r="O140" s="257">
        <f t="shared" si="18"/>
        <v>4811483.6635600012</v>
      </c>
    </row>
    <row r="141" spans="1:15" x14ac:dyDescent="0.2">
      <c r="A141" s="247"/>
      <c r="B141" s="247" t="s">
        <v>2601</v>
      </c>
      <c r="C141" s="301">
        <f t="shared" ref="C141:N141" si="43">+C93+C59+C65</f>
        <v>0</v>
      </c>
      <c r="D141" s="301">
        <f t="shared" si="43"/>
        <v>0</v>
      </c>
      <c r="E141" s="301">
        <f t="shared" si="43"/>
        <v>0</v>
      </c>
      <c r="F141" s="301">
        <f t="shared" si="43"/>
        <v>0</v>
      </c>
      <c r="G141" s="301">
        <f t="shared" si="43"/>
        <v>0</v>
      </c>
      <c r="H141" s="301">
        <f t="shared" si="43"/>
        <v>0</v>
      </c>
      <c r="I141" s="301">
        <f t="shared" si="43"/>
        <v>0</v>
      </c>
      <c r="J141" s="301">
        <f t="shared" si="43"/>
        <v>0</v>
      </c>
      <c r="K141" s="301">
        <f t="shared" si="43"/>
        <v>0</v>
      </c>
      <c r="L141" s="301">
        <f t="shared" si="43"/>
        <v>0</v>
      </c>
      <c r="M141" s="301">
        <f t="shared" si="43"/>
        <v>0</v>
      </c>
      <c r="N141" s="301">
        <f t="shared" si="43"/>
        <v>0</v>
      </c>
      <c r="O141" s="248">
        <f t="shared" si="18"/>
        <v>0</v>
      </c>
    </row>
    <row r="142" spans="1:15" x14ac:dyDescent="0.2">
      <c r="A142" s="247"/>
      <c r="B142" s="233" t="s">
        <v>2571</v>
      </c>
      <c r="C142" s="301">
        <f>+C140-C141</f>
        <v>417253.72849999991</v>
      </c>
      <c r="D142" s="301">
        <f t="shared" ref="D142" si="44">+D140-D141</f>
        <v>462253.39580000017</v>
      </c>
      <c r="E142" s="301">
        <f t="shared" ref="E142" si="45">+E140-E141</f>
        <v>630521.11866000015</v>
      </c>
      <c r="F142" s="301">
        <f t="shared" ref="F142" si="46">+F140-F141</f>
        <v>751921.66600000055</v>
      </c>
      <c r="G142" s="301">
        <f t="shared" ref="G142" si="47">+G140-G141</f>
        <v>597973.32440000016</v>
      </c>
      <c r="H142" s="301">
        <f t="shared" ref="H142" si="48">+H140-H141</f>
        <v>495784.53260000021</v>
      </c>
      <c r="I142" s="301">
        <f t="shared" ref="I142" si="49">+I140-I141</f>
        <v>419677.1544</v>
      </c>
      <c r="J142" s="301">
        <f t="shared" ref="J142" si="50">+J140-J141</f>
        <v>256975.35380000001</v>
      </c>
      <c r="K142" s="301">
        <f t="shared" ref="K142" si="51">+K140-K141</f>
        <v>265592.08979999996</v>
      </c>
      <c r="L142" s="301">
        <f t="shared" ref="L142" si="52">+L140-L141</f>
        <v>513531.29960000014</v>
      </c>
      <c r="M142" s="301">
        <f t="shared" ref="M142" si="53">+M140-M141</f>
        <v>0</v>
      </c>
      <c r="N142" s="301">
        <f t="shared" ref="N142" si="54">+N140-N141</f>
        <v>0</v>
      </c>
      <c r="O142" s="248">
        <f t="shared" si="18"/>
        <v>4811483.6635600012</v>
      </c>
    </row>
    <row r="143" spans="1:15" x14ac:dyDescent="0.2">
      <c r="A143" s="247"/>
      <c r="B143" s="247" t="s">
        <v>2585</v>
      </c>
      <c r="C143" s="248">
        <v>0</v>
      </c>
      <c r="D143" s="248"/>
      <c r="E143" s="248"/>
      <c r="F143" s="248"/>
      <c r="G143" s="34"/>
      <c r="H143" s="34"/>
      <c r="I143" s="34"/>
      <c r="J143" s="34"/>
      <c r="K143" s="34"/>
      <c r="L143" s="34"/>
      <c r="M143" s="34"/>
      <c r="N143" s="34"/>
      <c r="O143" s="248">
        <f t="shared" si="18"/>
        <v>0</v>
      </c>
    </row>
    <row r="144" spans="1:15" x14ac:dyDescent="0.2">
      <c r="A144" s="247"/>
      <c r="B144" s="247" t="s">
        <v>2586</v>
      </c>
      <c r="C144" s="248">
        <v>0</v>
      </c>
      <c r="D144" s="248"/>
      <c r="E144" s="248"/>
      <c r="F144" s="248"/>
      <c r="G144" s="34"/>
      <c r="H144" s="34"/>
      <c r="I144" s="34"/>
      <c r="J144" s="34"/>
      <c r="K144" s="34"/>
      <c r="L144" s="34"/>
      <c r="M144" s="34"/>
      <c r="N144" s="34"/>
      <c r="O144" s="248">
        <f t="shared" si="18"/>
        <v>0</v>
      </c>
    </row>
    <row r="145" spans="1:15" x14ac:dyDescent="0.2">
      <c r="A145" s="247"/>
      <c r="B145" s="247" t="s">
        <v>2587</v>
      </c>
      <c r="C145" s="34">
        <v>417254</v>
      </c>
      <c r="D145" s="34">
        <v>462253</v>
      </c>
      <c r="E145" s="34"/>
      <c r="F145" s="34"/>
      <c r="G145" s="34"/>
      <c r="H145" s="34"/>
      <c r="I145" s="34"/>
      <c r="J145" s="34"/>
      <c r="K145" s="34"/>
      <c r="L145" s="34"/>
      <c r="M145" s="34"/>
      <c r="N145" s="34"/>
      <c r="O145" s="248">
        <f t="shared" si="18"/>
        <v>879507</v>
      </c>
    </row>
    <row r="146" spans="1:15" x14ac:dyDescent="0.2">
      <c r="A146" s="247"/>
      <c r="B146" s="34" t="s">
        <v>2588</v>
      </c>
      <c r="C146" s="248">
        <f>+C145+C144+C143</f>
        <v>417254</v>
      </c>
      <c r="D146" s="248">
        <f t="shared" ref="D146:N146" si="55">+D145+D144+D143</f>
        <v>462253</v>
      </c>
      <c r="E146" s="248">
        <f t="shared" si="55"/>
        <v>0</v>
      </c>
      <c r="F146" s="248">
        <f t="shared" si="55"/>
        <v>0</v>
      </c>
      <c r="G146" s="248">
        <f t="shared" si="55"/>
        <v>0</v>
      </c>
      <c r="H146" s="248">
        <f t="shared" si="55"/>
        <v>0</v>
      </c>
      <c r="I146" s="248">
        <f t="shared" si="55"/>
        <v>0</v>
      </c>
      <c r="J146" s="248">
        <f t="shared" si="55"/>
        <v>0</v>
      </c>
      <c r="K146" s="248">
        <f t="shared" si="55"/>
        <v>0</v>
      </c>
      <c r="L146" s="248">
        <f t="shared" si="55"/>
        <v>0</v>
      </c>
      <c r="M146" s="248">
        <f t="shared" si="55"/>
        <v>0</v>
      </c>
      <c r="N146" s="248">
        <f t="shared" si="55"/>
        <v>0</v>
      </c>
      <c r="O146" s="248">
        <f t="shared" si="18"/>
        <v>879507</v>
      </c>
    </row>
    <row r="147" spans="1:15" x14ac:dyDescent="0.2">
      <c r="A147" s="302"/>
      <c r="B147" s="77" t="s">
        <v>2571</v>
      </c>
      <c r="C147" s="303">
        <f>+C140-C146</f>
        <v>-0.27150000008987263</v>
      </c>
      <c r="D147" s="303">
        <f t="shared" ref="D147:N147" si="56">+D140-D146</f>
        <v>0.39580000017303973</v>
      </c>
      <c r="E147" s="303">
        <f t="shared" si="56"/>
        <v>630521.11866000015</v>
      </c>
      <c r="F147" s="303">
        <f t="shared" si="56"/>
        <v>751921.66600000055</v>
      </c>
      <c r="G147" s="303">
        <f t="shared" si="56"/>
        <v>597973.32440000016</v>
      </c>
      <c r="H147" s="303">
        <f t="shared" si="56"/>
        <v>495784.53260000021</v>
      </c>
      <c r="I147" s="303">
        <f t="shared" si="56"/>
        <v>419677.1544</v>
      </c>
      <c r="J147" s="303">
        <f t="shared" si="56"/>
        <v>256975.35380000001</v>
      </c>
      <c r="K147" s="303">
        <f t="shared" si="56"/>
        <v>265592.08979999996</v>
      </c>
      <c r="L147" s="303">
        <f t="shared" si="56"/>
        <v>513531.29960000014</v>
      </c>
      <c r="M147" s="303">
        <f t="shared" si="56"/>
        <v>0</v>
      </c>
      <c r="N147" s="303">
        <f t="shared" si="56"/>
        <v>0</v>
      </c>
      <c r="O147" s="267">
        <f t="shared" si="18"/>
        <v>3931976.6635600007</v>
      </c>
    </row>
    <row r="148" spans="1:15" x14ac:dyDescent="0.2">
      <c r="A148" s="34"/>
      <c r="B148" s="34" t="s">
        <v>2589</v>
      </c>
      <c r="C148" s="34"/>
      <c r="D148" s="34"/>
      <c r="E148" s="34"/>
      <c r="F148" s="34"/>
      <c r="G148" s="34"/>
      <c r="H148" s="34"/>
      <c r="I148" s="34"/>
      <c r="J148" s="34"/>
      <c r="K148" s="34"/>
      <c r="L148" s="34"/>
      <c r="M148" s="34"/>
      <c r="N148" s="34"/>
      <c r="O148" s="248">
        <f t="shared" si="18"/>
        <v>0</v>
      </c>
    </row>
    <row r="149" spans="1:15" x14ac:dyDescent="0.2">
      <c r="A149" s="66"/>
      <c r="B149" s="77" t="s">
        <v>2571</v>
      </c>
      <c r="C149" s="303">
        <f>+C147-C148</f>
        <v>-0.27150000008987263</v>
      </c>
      <c r="D149" s="303">
        <f t="shared" ref="D149:N149" si="57">+D147-D148</f>
        <v>0.39580000017303973</v>
      </c>
      <c r="E149" s="303">
        <f t="shared" si="57"/>
        <v>630521.11866000015</v>
      </c>
      <c r="F149" s="303">
        <f t="shared" si="57"/>
        <v>751921.66600000055</v>
      </c>
      <c r="G149" s="303">
        <f t="shared" si="57"/>
        <v>597973.32440000016</v>
      </c>
      <c r="H149" s="303">
        <f t="shared" si="57"/>
        <v>495784.53260000021</v>
      </c>
      <c r="I149" s="303">
        <f t="shared" si="57"/>
        <v>419677.1544</v>
      </c>
      <c r="J149" s="303">
        <f t="shared" si="57"/>
        <v>256975.35380000001</v>
      </c>
      <c r="K149" s="303">
        <f t="shared" si="57"/>
        <v>265592.08979999996</v>
      </c>
      <c r="L149" s="303">
        <f t="shared" si="57"/>
        <v>513531.29960000014</v>
      </c>
      <c r="M149" s="303">
        <f t="shared" si="57"/>
        <v>0</v>
      </c>
      <c r="N149" s="303">
        <f t="shared" si="57"/>
        <v>0</v>
      </c>
      <c r="O149" s="267">
        <f t="shared" si="18"/>
        <v>3931976.6635600007</v>
      </c>
    </row>
    <row r="150" spans="1:15" x14ac:dyDescent="0.2">
      <c r="A150" s="1021" t="s">
        <v>2596</v>
      </c>
      <c r="B150" s="1022"/>
      <c r="C150" s="1022"/>
      <c r="D150" s="1022"/>
      <c r="E150" s="1022"/>
      <c r="F150" s="1022"/>
      <c r="G150" s="1022"/>
      <c r="H150" s="1022"/>
      <c r="I150" s="1022"/>
      <c r="J150" s="1022"/>
      <c r="K150" s="1022"/>
      <c r="L150" s="1022"/>
      <c r="M150" s="1022"/>
      <c r="N150" s="1022"/>
      <c r="O150" s="1023"/>
    </row>
    <row r="151" spans="1:15" x14ac:dyDescent="0.2">
      <c r="A151" s="66" t="s">
        <v>2</v>
      </c>
      <c r="B151" s="66"/>
      <c r="C151" s="98">
        <v>43556</v>
      </c>
      <c r="D151" s="98">
        <v>43586</v>
      </c>
      <c r="E151" s="98">
        <v>43617</v>
      </c>
      <c r="F151" s="98">
        <v>43647</v>
      </c>
      <c r="G151" s="98">
        <v>43678</v>
      </c>
      <c r="H151" s="98">
        <v>43709</v>
      </c>
      <c r="I151" s="98">
        <v>43739</v>
      </c>
      <c r="J151" s="98">
        <v>43770</v>
      </c>
      <c r="K151" s="98">
        <v>43800</v>
      </c>
      <c r="L151" s="98">
        <v>43831</v>
      </c>
      <c r="M151" s="98">
        <v>43862</v>
      </c>
      <c r="N151" s="98">
        <v>43891</v>
      </c>
      <c r="O151" s="267" t="s">
        <v>1041</v>
      </c>
    </row>
    <row r="152" spans="1:15" x14ac:dyDescent="0.2">
      <c r="A152" s="290" t="s">
        <v>2555</v>
      </c>
      <c r="B152" s="290" t="s">
        <v>2590</v>
      </c>
      <c r="C152" s="291">
        <f>+C19</f>
        <v>0</v>
      </c>
      <c r="D152" s="291">
        <f t="shared" ref="D152:N152" si="58">+D19</f>
        <v>0</v>
      </c>
      <c r="E152" s="291">
        <f t="shared" si="58"/>
        <v>0</v>
      </c>
      <c r="F152" s="291">
        <f t="shared" si="58"/>
        <v>0</v>
      </c>
      <c r="G152" s="291">
        <f t="shared" si="58"/>
        <v>0</v>
      </c>
      <c r="H152" s="291">
        <f t="shared" si="58"/>
        <v>0</v>
      </c>
      <c r="I152" s="291">
        <f t="shared" si="58"/>
        <v>0</v>
      </c>
      <c r="J152" s="291">
        <f t="shared" si="58"/>
        <v>0</v>
      </c>
      <c r="K152" s="291">
        <f t="shared" si="58"/>
        <v>118.05</v>
      </c>
      <c r="L152" s="291">
        <f t="shared" si="58"/>
        <v>0</v>
      </c>
      <c r="M152" s="291">
        <f t="shared" si="58"/>
        <v>0</v>
      </c>
      <c r="N152" s="291">
        <f t="shared" si="58"/>
        <v>0</v>
      </c>
      <c r="O152" s="269">
        <f t="shared" si="18"/>
        <v>118.05</v>
      </c>
    </row>
    <row r="153" spans="1:15" x14ac:dyDescent="0.2">
      <c r="A153" s="43"/>
      <c r="B153" s="43" t="s">
        <v>2589</v>
      </c>
      <c r="C153" s="43"/>
      <c r="D153" s="43"/>
      <c r="E153" s="43"/>
      <c r="F153" s="43"/>
      <c r="G153" s="43"/>
      <c r="H153" s="43"/>
      <c r="I153" s="43"/>
      <c r="J153" s="43"/>
      <c r="K153" s="43"/>
      <c r="L153" s="43"/>
      <c r="M153" s="43"/>
      <c r="N153" s="43"/>
      <c r="O153" s="271">
        <f t="shared" si="18"/>
        <v>0</v>
      </c>
    </row>
    <row r="154" spans="1:15" x14ac:dyDescent="0.2">
      <c r="A154" s="298"/>
      <c r="B154" s="215" t="s">
        <v>2571</v>
      </c>
      <c r="C154" s="296">
        <f>+C152-C153</f>
        <v>0</v>
      </c>
      <c r="D154" s="296">
        <f t="shared" ref="D154:N154" si="59">+D152-D153</f>
        <v>0</v>
      </c>
      <c r="E154" s="296">
        <f t="shared" si="59"/>
        <v>0</v>
      </c>
      <c r="F154" s="296">
        <f t="shared" si="59"/>
        <v>0</v>
      </c>
      <c r="G154" s="296">
        <f t="shared" si="59"/>
        <v>0</v>
      </c>
      <c r="H154" s="296">
        <f t="shared" si="59"/>
        <v>0</v>
      </c>
      <c r="I154" s="296">
        <f t="shared" si="59"/>
        <v>0</v>
      </c>
      <c r="J154" s="296">
        <f t="shared" si="59"/>
        <v>0</v>
      </c>
      <c r="K154" s="296">
        <f t="shared" si="59"/>
        <v>118.05</v>
      </c>
      <c r="L154" s="296">
        <f t="shared" si="59"/>
        <v>0</v>
      </c>
      <c r="M154" s="296">
        <f t="shared" si="59"/>
        <v>0</v>
      </c>
      <c r="N154" s="296">
        <f t="shared" si="59"/>
        <v>0</v>
      </c>
      <c r="O154" s="297">
        <f t="shared" si="18"/>
        <v>118.05</v>
      </c>
    </row>
    <row r="155" spans="1:15" x14ac:dyDescent="0.2">
      <c r="A155" s="1021" t="s">
        <v>2597</v>
      </c>
      <c r="B155" s="1022"/>
      <c r="C155" s="1022"/>
      <c r="D155" s="1022"/>
      <c r="E155" s="1022"/>
      <c r="F155" s="1022"/>
      <c r="G155" s="1022"/>
      <c r="H155" s="1022"/>
      <c r="I155" s="1022"/>
      <c r="J155" s="1022"/>
      <c r="K155" s="1022"/>
      <c r="L155" s="1022"/>
      <c r="M155" s="1022"/>
      <c r="N155" s="1022"/>
      <c r="O155" s="1023"/>
    </row>
    <row r="156" spans="1:15" x14ac:dyDescent="0.2">
      <c r="A156" s="66" t="s">
        <v>2</v>
      </c>
      <c r="B156" s="66"/>
      <c r="C156" s="98">
        <v>43556</v>
      </c>
      <c r="D156" s="98">
        <v>43586</v>
      </c>
      <c r="E156" s="98">
        <v>43617</v>
      </c>
      <c r="F156" s="98">
        <v>43647</v>
      </c>
      <c r="G156" s="98">
        <v>43678</v>
      </c>
      <c r="H156" s="98">
        <v>43709</v>
      </c>
      <c r="I156" s="98">
        <v>43739</v>
      </c>
      <c r="J156" s="98">
        <v>43770</v>
      </c>
      <c r="K156" s="98">
        <v>43800</v>
      </c>
      <c r="L156" s="98">
        <v>43831</v>
      </c>
      <c r="M156" s="98">
        <v>43862</v>
      </c>
      <c r="N156" s="98">
        <v>43891</v>
      </c>
      <c r="O156" s="267" t="s">
        <v>1041</v>
      </c>
    </row>
    <row r="157" spans="1:15" x14ac:dyDescent="0.2">
      <c r="A157" s="290" t="s">
        <v>2555</v>
      </c>
      <c r="B157" s="290" t="s">
        <v>2595</v>
      </c>
      <c r="C157" s="291">
        <f>+C20</f>
        <v>462.5</v>
      </c>
      <c r="D157" s="291">
        <f t="shared" ref="D157:N157" si="60">+D20</f>
        <v>1139</v>
      </c>
      <c r="E157" s="291">
        <f t="shared" si="60"/>
        <v>615</v>
      </c>
      <c r="F157" s="291">
        <f t="shared" si="60"/>
        <v>781.25</v>
      </c>
      <c r="G157" s="291">
        <f t="shared" si="60"/>
        <v>897.5</v>
      </c>
      <c r="H157" s="291">
        <f t="shared" si="60"/>
        <v>923.75</v>
      </c>
      <c r="I157" s="291">
        <f t="shared" si="60"/>
        <v>727.5</v>
      </c>
      <c r="J157" s="291">
        <f t="shared" si="60"/>
        <v>685</v>
      </c>
      <c r="K157" s="291">
        <f t="shared" si="60"/>
        <v>1185</v>
      </c>
      <c r="L157" s="291">
        <f t="shared" si="60"/>
        <v>0</v>
      </c>
      <c r="M157" s="291">
        <f t="shared" si="60"/>
        <v>0</v>
      </c>
      <c r="N157" s="291">
        <f t="shared" si="60"/>
        <v>0</v>
      </c>
      <c r="O157" s="269">
        <f t="shared" ref="O157:O164" si="61">SUM(C157:N157)</f>
        <v>7416.5</v>
      </c>
    </row>
    <row r="158" spans="1:15" x14ac:dyDescent="0.2">
      <c r="A158" s="43"/>
      <c r="B158" s="43" t="s">
        <v>2589</v>
      </c>
      <c r="C158" s="43">
        <v>463</v>
      </c>
      <c r="D158" s="43"/>
      <c r="E158" s="43"/>
      <c r="F158" s="43"/>
      <c r="G158" s="43"/>
      <c r="H158" s="43"/>
      <c r="I158" s="43"/>
      <c r="J158" s="43"/>
      <c r="K158" s="43"/>
      <c r="L158" s="43"/>
      <c r="M158" s="43"/>
      <c r="N158" s="43"/>
      <c r="O158" s="271">
        <f t="shared" si="61"/>
        <v>463</v>
      </c>
    </row>
    <row r="159" spans="1:15" x14ac:dyDescent="0.2">
      <c r="A159" s="298"/>
      <c r="B159" s="215" t="s">
        <v>2571</v>
      </c>
      <c r="C159" s="296">
        <f>+C157-C158</f>
        <v>-0.5</v>
      </c>
      <c r="D159" s="296">
        <f t="shared" ref="D159:N159" si="62">+D157-D158</f>
        <v>1139</v>
      </c>
      <c r="E159" s="296">
        <f t="shared" si="62"/>
        <v>615</v>
      </c>
      <c r="F159" s="296">
        <f t="shared" si="62"/>
        <v>781.25</v>
      </c>
      <c r="G159" s="296">
        <f t="shared" si="62"/>
        <v>897.5</v>
      </c>
      <c r="H159" s="296">
        <f t="shared" si="62"/>
        <v>923.75</v>
      </c>
      <c r="I159" s="296">
        <f t="shared" si="62"/>
        <v>727.5</v>
      </c>
      <c r="J159" s="296">
        <f t="shared" si="62"/>
        <v>685</v>
      </c>
      <c r="K159" s="296">
        <f t="shared" si="62"/>
        <v>1185</v>
      </c>
      <c r="L159" s="296">
        <f t="shared" si="62"/>
        <v>0</v>
      </c>
      <c r="M159" s="296">
        <f t="shared" si="62"/>
        <v>0</v>
      </c>
      <c r="N159" s="296">
        <f t="shared" si="62"/>
        <v>0</v>
      </c>
      <c r="O159" s="297">
        <f t="shared" si="61"/>
        <v>6953.5</v>
      </c>
    </row>
    <row r="160" spans="1:15" x14ac:dyDescent="0.2">
      <c r="A160" s="1021" t="s">
        <v>2598</v>
      </c>
      <c r="B160" s="1022"/>
      <c r="C160" s="1022"/>
      <c r="D160" s="1022"/>
      <c r="E160" s="1022"/>
      <c r="F160" s="1022"/>
      <c r="G160" s="1022"/>
      <c r="H160" s="1022"/>
      <c r="I160" s="1022"/>
      <c r="J160" s="1022"/>
      <c r="K160" s="1022"/>
      <c r="L160" s="1022"/>
      <c r="M160" s="1022"/>
      <c r="N160" s="1022"/>
      <c r="O160" s="1023"/>
    </row>
    <row r="161" spans="1:15" x14ac:dyDescent="0.2">
      <c r="A161" s="66" t="s">
        <v>2</v>
      </c>
      <c r="B161" s="66"/>
      <c r="C161" s="98">
        <v>43556</v>
      </c>
      <c r="D161" s="98">
        <v>43586</v>
      </c>
      <c r="E161" s="98">
        <v>43617</v>
      </c>
      <c r="F161" s="98">
        <v>43647</v>
      </c>
      <c r="G161" s="98">
        <v>43678</v>
      </c>
      <c r="H161" s="98">
        <v>43709</v>
      </c>
      <c r="I161" s="98">
        <v>43739</v>
      </c>
      <c r="J161" s="98">
        <v>43770</v>
      </c>
      <c r="K161" s="98">
        <v>43800</v>
      </c>
      <c r="L161" s="98">
        <v>43831</v>
      </c>
      <c r="M161" s="98">
        <v>43862</v>
      </c>
      <c r="N161" s="98">
        <v>43891</v>
      </c>
      <c r="O161" s="267" t="s">
        <v>1041</v>
      </c>
    </row>
    <row r="162" spans="1:15" x14ac:dyDescent="0.2">
      <c r="A162" s="299" t="s">
        <v>2555</v>
      </c>
      <c r="B162" s="299" t="s">
        <v>2594</v>
      </c>
      <c r="C162" s="300">
        <f>+C21</f>
        <v>462.5</v>
      </c>
      <c r="D162" s="300">
        <f t="shared" ref="D162:N162" si="63">+D21</f>
        <v>1139</v>
      </c>
      <c r="E162" s="300">
        <f t="shared" si="63"/>
        <v>615</v>
      </c>
      <c r="F162" s="300">
        <f t="shared" si="63"/>
        <v>781.25</v>
      </c>
      <c r="G162" s="300">
        <f t="shared" si="63"/>
        <v>897.5</v>
      </c>
      <c r="H162" s="300">
        <f t="shared" si="63"/>
        <v>923.75</v>
      </c>
      <c r="I162" s="300">
        <f t="shared" si="63"/>
        <v>727.5</v>
      </c>
      <c r="J162" s="300">
        <f t="shared" si="63"/>
        <v>685</v>
      </c>
      <c r="K162" s="300">
        <f t="shared" si="63"/>
        <v>1185</v>
      </c>
      <c r="L162" s="300">
        <f t="shared" si="63"/>
        <v>0</v>
      </c>
      <c r="M162" s="300">
        <f t="shared" si="63"/>
        <v>0</v>
      </c>
      <c r="N162" s="300">
        <f t="shared" si="63"/>
        <v>0</v>
      </c>
      <c r="O162" s="257">
        <f t="shared" si="61"/>
        <v>7416.5</v>
      </c>
    </row>
    <row r="163" spans="1:15" x14ac:dyDescent="0.2">
      <c r="A163" s="34"/>
      <c r="B163" s="34" t="s">
        <v>2589</v>
      </c>
      <c r="C163" s="34">
        <v>463</v>
      </c>
      <c r="D163" s="34"/>
      <c r="E163" s="34"/>
      <c r="F163" s="34"/>
      <c r="G163" s="34"/>
      <c r="H163" s="34"/>
      <c r="I163" s="34"/>
      <c r="J163" s="34"/>
      <c r="K163" s="34"/>
      <c r="L163" s="34"/>
      <c r="M163" s="34"/>
      <c r="N163" s="34"/>
      <c r="O163" s="248">
        <f t="shared" si="61"/>
        <v>463</v>
      </c>
    </row>
    <row r="164" spans="1:15" x14ac:dyDescent="0.2">
      <c r="A164" s="66"/>
      <c r="B164" s="77" t="s">
        <v>2571</v>
      </c>
      <c r="C164" s="303">
        <f>+C162-C163</f>
        <v>-0.5</v>
      </c>
      <c r="D164" s="303">
        <f t="shared" ref="D164:N164" si="64">+D162-D163</f>
        <v>1139</v>
      </c>
      <c r="E164" s="303">
        <f t="shared" si="64"/>
        <v>615</v>
      </c>
      <c r="F164" s="303">
        <f t="shared" si="64"/>
        <v>781.25</v>
      </c>
      <c r="G164" s="303">
        <f t="shared" si="64"/>
        <v>897.5</v>
      </c>
      <c r="H164" s="303">
        <f t="shared" si="64"/>
        <v>923.75</v>
      </c>
      <c r="I164" s="303">
        <f t="shared" si="64"/>
        <v>727.5</v>
      </c>
      <c r="J164" s="303">
        <f t="shared" si="64"/>
        <v>685</v>
      </c>
      <c r="K164" s="303">
        <f t="shared" si="64"/>
        <v>1185</v>
      </c>
      <c r="L164" s="303">
        <f t="shared" si="64"/>
        <v>0</v>
      </c>
      <c r="M164" s="303">
        <f t="shared" si="64"/>
        <v>0</v>
      </c>
      <c r="N164" s="303">
        <f t="shared" si="64"/>
        <v>0</v>
      </c>
      <c r="O164" s="267">
        <f t="shared" si="61"/>
        <v>6953.5</v>
      </c>
    </row>
  </sheetData>
  <mergeCells count="41">
    <mergeCell ref="A74:N74"/>
    <mergeCell ref="A57:O57"/>
    <mergeCell ref="A63:O63"/>
    <mergeCell ref="A68:O68"/>
    <mergeCell ref="A3:O3"/>
    <mergeCell ref="A10:O10"/>
    <mergeCell ref="A14:O14"/>
    <mergeCell ref="A17:O17"/>
    <mergeCell ref="A23:O23"/>
    <mergeCell ref="A25:O25"/>
    <mergeCell ref="A30:O30"/>
    <mergeCell ref="A31:O31"/>
    <mergeCell ref="A32:O32"/>
    <mergeCell ref="A33:O33"/>
    <mergeCell ref="A73:O73"/>
    <mergeCell ref="A150:O150"/>
    <mergeCell ref="A155:O155"/>
    <mergeCell ref="A160:O160"/>
    <mergeCell ref="A81:O81"/>
    <mergeCell ref="A75:O75"/>
    <mergeCell ref="A99:O99"/>
    <mergeCell ref="A94:O94"/>
    <mergeCell ref="A104:O104"/>
    <mergeCell ref="A109:O109"/>
    <mergeCell ref="A114:O114"/>
    <mergeCell ref="A126:O126"/>
    <mergeCell ref="A138:O138"/>
    <mergeCell ref="A93:O93"/>
    <mergeCell ref="A86:O86"/>
    <mergeCell ref="A90:O90"/>
    <mergeCell ref="M1:O1"/>
    <mergeCell ref="A2:O2"/>
    <mergeCell ref="A56:O56"/>
    <mergeCell ref="C1:F1"/>
    <mergeCell ref="I1:L1"/>
    <mergeCell ref="A15:N15"/>
    <mergeCell ref="A37:O37"/>
    <mergeCell ref="A40:O40"/>
    <mergeCell ref="A45:O45"/>
    <mergeCell ref="A50:O50"/>
    <mergeCell ref="A55:O5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3"/>
  <sheetViews>
    <sheetView workbookViewId="0"/>
  </sheetViews>
  <sheetFormatPr defaultColWidth="15.6640625" defaultRowHeight="10.199999999999999" x14ac:dyDescent="0.3"/>
  <cols>
    <col min="1" max="1" width="18.21875" style="343" bestFit="1" customWidth="1"/>
    <col min="2" max="2" width="8.5546875" style="305" bestFit="1" customWidth="1"/>
    <col min="3" max="4" width="11.77734375" style="305" bestFit="1" customWidth="1"/>
    <col min="5" max="5" width="10.5546875" style="305" bestFit="1" customWidth="1"/>
    <col min="6" max="7" width="12.44140625" style="305" bestFit="1" customWidth="1"/>
    <col min="8" max="8" width="9.88671875" style="305" bestFit="1" customWidth="1"/>
    <col min="9" max="10" width="12.44140625" style="305" bestFit="1" customWidth="1"/>
    <col min="11" max="11" width="8.77734375" style="305" bestFit="1" customWidth="1"/>
    <col min="12" max="12" width="11.21875" style="305" bestFit="1" customWidth="1"/>
    <col min="13" max="13" width="12.44140625" style="305" bestFit="1" customWidth="1"/>
    <col min="14" max="14" width="8.77734375" style="305" bestFit="1" customWidth="1"/>
    <col min="15" max="15" width="11.21875" style="305" bestFit="1" customWidth="1"/>
    <col min="16" max="16" width="12.44140625" style="305" bestFit="1" customWidth="1"/>
    <col min="17" max="17" width="8.77734375" style="305" bestFit="1" customWidth="1"/>
    <col min="18" max="18" width="11.21875" style="305" bestFit="1" customWidth="1"/>
    <col min="19" max="19" width="12.44140625" style="305" bestFit="1" customWidth="1"/>
    <col min="20" max="20" width="8.77734375" style="305" bestFit="1" customWidth="1"/>
    <col min="21" max="21" width="11.21875" style="305" bestFit="1" customWidth="1"/>
    <col min="22" max="22" width="12.44140625" style="305" bestFit="1" customWidth="1"/>
    <col min="23" max="23" width="8.44140625" style="305" customWidth="1"/>
    <col min="24" max="24" width="11.21875" style="305" bestFit="1" customWidth="1"/>
    <col min="25" max="25" width="12.44140625" style="305" bestFit="1" customWidth="1"/>
    <col min="26" max="26" width="8.6640625" style="305" customWidth="1"/>
    <col min="27" max="27" width="11.21875" style="305" bestFit="1" customWidth="1"/>
    <col min="28" max="28" width="12.44140625" style="305" bestFit="1" customWidth="1"/>
    <col min="29" max="29" width="6" style="305" bestFit="1" customWidth="1"/>
    <col min="30" max="30" width="11.21875" style="305" bestFit="1" customWidth="1"/>
    <col min="31" max="31" width="12.44140625" style="305" bestFit="1" customWidth="1"/>
    <col min="32" max="32" width="6" style="305" bestFit="1" customWidth="1"/>
    <col min="33" max="33" width="11.21875" style="305" bestFit="1" customWidth="1"/>
    <col min="34" max="34" width="12.44140625" style="305" bestFit="1" customWidth="1"/>
    <col min="35" max="35" width="6" style="305" bestFit="1" customWidth="1"/>
    <col min="36" max="36" width="11.21875" style="305" bestFit="1" customWidth="1"/>
    <col min="37" max="37" width="12.44140625" style="305" bestFit="1" customWidth="1"/>
    <col min="38" max="16384" width="15.6640625" style="305"/>
  </cols>
  <sheetData>
    <row r="1" spans="1:37" x14ac:dyDescent="0.3">
      <c r="A1" s="304"/>
      <c r="B1" s="1417">
        <v>43556</v>
      </c>
      <c r="C1" s="1417"/>
      <c r="D1" s="1417"/>
      <c r="E1" s="1416">
        <v>43586</v>
      </c>
      <c r="F1" s="1416"/>
      <c r="G1" s="1416"/>
      <c r="H1" s="1418">
        <v>43617</v>
      </c>
      <c r="I1" s="1418"/>
      <c r="J1" s="1418"/>
      <c r="K1" s="1419">
        <v>43647</v>
      </c>
      <c r="L1" s="1419"/>
      <c r="M1" s="1419"/>
      <c r="N1" s="1417">
        <v>43678</v>
      </c>
      <c r="O1" s="1417"/>
      <c r="P1" s="1417"/>
      <c r="Q1" s="1416">
        <v>43709</v>
      </c>
      <c r="R1" s="1416"/>
      <c r="S1" s="1416"/>
      <c r="T1" s="1417">
        <v>43739</v>
      </c>
      <c r="U1" s="1417"/>
      <c r="V1" s="1417"/>
      <c r="W1" s="1416">
        <v>43770</v>
      </c>
      <c r="X1" s="1416"/>
      <c r="Y1" s="1416"/>
      <c r="Z1" s="1417">
        <v>43800</v>
      </c>
      <c r="AA1" s="1417"/>
      <c r="AB1" s="1417"/>
      <c r="AC1" s="1416">
        <v>43831</v>
      </c>
      <c r="AD1" s="1416"/>
      <c r="AE1" s="1416"/>
      <c r="AF1" s="1417">
        <v>43862</v>
      </c>
      <c r="AG1" s="1417"/>
      <c r="AH1" s="1417"/>
      <c r="AI1" s="1416">
        <v>43891</v>
      </c>
      <c r="AJ1" s="1416"/>
      <c r="AK1" s="1416"/>
    </row>
    <row r="2" spans="1:37" x14ac:dyDescent="0.3">
      <c r="A2" s="306" t="s">
        <v>1517</v>
      </c>
      <c r="B2" s="307" t="s">
        <v>16</v>
      </c>
      <c r="C2" s="307" t="s">
        <v>17</v>
      </c>
      <c r="D2" s="307" t="s">
        <v>18</v>
      </c>
      <c r="E2" s="307" t="s">
        <v>16</v>
      </c>
      <c r="F2" s="307" t="s">
        <v>17</v>
      </c>
      <c r="G2" s="307" t="s">
        <v>18</v>
      </c>
      <c r="H2" s="307" t="s">
        <v>16</v>
      </c>
      <c r="I2" s="307" t="s">
        <v>17</v>
      </c>
      <c r="J2" s="307" t="s">
        <v>18</v>
      </c>
      <c r="K2" s="307" t="s">
        <v>16</v>
      </c>
      <c r="L2" s="307" t="s">
        <v>17</v>
      </c>
      <c r="M2" s="307" t="s">
        <v>18</v>
      </c>
      <c r="N2" s="307" t="s">
        <v>16</v>
      </c>
      <c r="O2" s="307" t="s">
        <v>17</v>
      </c>
      <c r="P2" s="307" t="s">
        <v>18</v>
      </c>
      <c r="Q2" s="307" t="s">
        <v>16</v>
      </c>
      <c r="R2" s="307" t="s">
        <v>17</v>
      </c>
      <c r="S2" s="307" t="s">
        <v>18</v>
      </c>
      <c r="T2" s="307" t="s">
        <v>16</v>
      </c>
      <c r="U2" s="307" t="s">
        <v>17</v>
      </c>
      <c r="V2" s="307" t="s">
        <v>18</v>
      </c>
      <c r="W2" s="307" t="s">
        <v>16</v>
      </c>
      <c r="X2" s="307" t="s">
        <v>17</v>
      </c>
      <c r="Y2" s="307" t="s">
        <v>18</v>
      </c>
      <c r="Z2" s="307" t="s">
        <v>16</v>
      </c>
      <c r="AA2" s="307" t="s">
        <v>17</v>
      </c>
      <c r="AB2" s="307" t="s">
        <v>18</v>
      </c>
      <c r="AC2" s="307" t="s">
        <v>16</v>
      </c>
      <c r="AD2" s="307" t="s">
        <v>17</v>
      </c>
      <c r="AE2" s="307" t="s">
        <v>18</v>
      </c>
      <c r="AF2" s="307" t="s">
        <v>16</v>
      </c>
      <c r="AG2" s="307" t="s">
        <v>17</v>
      </c>
      <c r="AH2" s="307" t="s">
        <v>18</v>
      </c>
      <c r="AI2" s="307" t="s">
        <v>16</v>
      </c>
      <c r="AJ2" s="307" t="s">
        <v>17</v>
      </c>
      <c r="AK2" s="307" t="s">
        <v>18</v>
      </c>
    </row>
    <row r="3" spans="1:37" x14ac:dyDescent="0.3">
      <c r="A3" s="304" t="s">
        <v>2567</v>
      </c>
      <c r="B3" s="308">
        <f>+'RET-GSTR-3B'!C6</f>
        <v>34940.687599999997</v>
      </c>
      <c r="C3" s="308">
        <f>+'RET-GSTR-3B'!C7</f>
        <v>417253.72849999991</v>
      </c>
      <c r="D3" s="308">
        <f>+C3</f>
        <v>417253.72849999991</v>
      </c>
      <c r="E3" s="308">
        <f>+'RET-GSTR-3B'!D6</f>
        <v>55549.74040000001</v>
      </c>
      <c r="F3" s="308">
        <f>+'RET-GSTR-3B'!D7</f>
        <v>462253.39580000017</v>
      </c>
      <c r="G3" s="308">
        <f>+F3</f>
        <v>462253.39580000017</v>
      </c>
      <c r="H3" s="308">
        <f>+'RET-GSTR-3B'!E6</f>
        <v>141109.85840000003</v>
      </c>
      <c r="I3" s="308">
        <f>+'RET-GSTR-3B'!E7</f>
        <v>630521.11866000015</v>
      </c>
      <c r="J3" s="308">
        <f>+I3</f>
        <v>630521.11866000015</v>
      </c>
      <c r="K3" s="308">
        <f>+'RET-GSTR-3B'!F6</f>
        <v>64427.327999999994</v>
      </c>
      <c r="L3" s="308">
        <f>+'RET-GSTR-3B'!F7</f>
        <v>751921.66600000055</v>
      </c>
      <c r="M3" s="308">
        <f>+L3</f>
        <v>751921.66600000055</v>
      </c>
      <c r="N3" s="309">
        <f>+'RET-GSTR-3B'!G6</f>
        <v>30473.3688</v>
      </c>
      <c r="O3" s="309">
        <f>+'RET-GSTR-3B'!G7</f>
        <v>597973.32440000016</v>
      </c>
      <c r="P3" s="309">
        <f>+O3</f>
        <v>597973.32440000016</v>
      </c>
      <c r="Q3" s="309">
        <f>+'RET-GSTR-3B'!H6</f>
        <v>75713.330000000016</v>
      </c>
      <c r="R3" s="309">
        <f>+'RET-GSTR-3B'!H7</f>
        <v>495784.53260000021</v>
      </c>
      <c r="S3" s="309">
        <f>+R3</f>
        <v>495784.53260000021</v>
      </c>
      <c r="T3" s="309">
        <f>+'RET-GSTR-3B'!I6</f>
        <v>51945.630799999992</v>
      </c>
      <c r="U3" s="309">
        <f>+'RET-GSTR-3B'!I7</f>
        <v>419677.1544</v>
      </c>
      <c r="V3" s="309">
        <f>+'RET-GSTR-3B'!I8</f>
        <v>419677.1544</v>
      </c>
      <c r="W3" s="309">
        <f>+'RET-GSTR-3B'!J6</f>
        <v>50926.2068</v>
      </c>
      <c r="X3" s="309">
        <f>+'RET-GSTR-3B'!J7</f>
        <v>256975.35380000001</v>
      </c>
      <c r="Y3" s="309">
        <f>+'RET-GSTR-3B'!J8</f>
        <v>256975.35380000001</v>
      </c>
      <c r="Z3" s="309">
        <f>+'RET-GSTR-3B'!K6</f>
        <v>128383.5336</v>
      </c>
      <c r="AA3" s="309">
        <f>+'RET-GSTR-3B'!K7</f>
        <v>265592.08979999996</v>
      </c>
      <c r="AB3" s="309">
        <f>+'RET-GSTR-3B'!K8</f>
        <v>265592.08979999996</v>
      </c>
      <c r="AC3" s="309">
        <f>+'RET-GSTR-3B'!L6</f>
        <v>38884.86</v>
      </c>
      <c r="AD3" s="309">
        <f>+'RET-GSTR-3B'!L7</f>
        <v>513531.29960000014</v>
      </c>
      <c r="AE3" s="309">
        <f>+'RET-GSTR-3B'!L8</f>
        <v>513531.29960000014</v>
      </c>
      <c r="AF3" s="309">
        <f>+'RET-GSTR-3B'!M6</f>
        <v>0</v>
      </c>
      <c r="AG3" s="309">
        <f>+'RET-GSTR-3B'!M7</f>
        <v>0</v>
      </c>
      <c r="AH3" s="309">
        <f>+'RET-GSTR-3B'!M8</f>
        <v>0</v>
      </c>
      <c r="AI3" s="309">
        <f>+'RET-GSTR-3B'!N6</f>
        <v>0</v>
      </c>
      <c r="AJ3" s="309">
        <f>+'RET-GSTR-3B'!N7</f>
        <v>0</v>
      </c>
      <c r="AK3" s="309">
        <f>+'RET-GSTR-3B'!N8</f>
        <v>0</v>
      </c>
    </row>
    <row r="4" spans="1:37" x14ac:dyDescent="0.2">
      <c r="A4" s="310" t="s">
        <v>1573</v>
      </c>
      <c r="B4" s="75">
        <f>MIN(B3,B22)</f>
        <v>2079.9351999999999</v>
      </c>
      <c r="C4" s="75">
        <f>MIN((C3-C5),(C22-C5))</f>
        <v>0</v>
      </c>
      <c r="D4" s="75">
        <f>MIN((D3-D6-C4),(D22-D6))</f>
        <v>0</v>
      </c>
      <c r="E4" s="75">
        <f>MIN(E3,E22)</f>
        <v>55549.74040000001</v>
      </c>
      <c r="F4" s="75">
        <f>MIN((F3-F5),(F22-F5))</f>
        <v>0</v>
      </c>
      <c r="G4" s="75">
        <f>MIN((G3-G6-F4),(G22-G6))</f>
        <v>0</v>
      </c>
      <c r="H4" s="75">
        <f>MIN(H3,H22)</f>
        <v>89585.376799999998</v>
      </c>
      <c r="I4" s="75">
        <f>MIN((I3-I5),(I22-I5))</f>
        <v>0</v>
      </c>
      <c r="J4" s="75">
        <f>MIN((J3-J6-I4),(J22-J6))</f>
        <v>0</v>
      </c>
      <c r="K4" s="75">
        <f>MIN(K3,K22)</f>
        <v>23899.64</v>
      </c>
      <c r="L4" s="75">
        <f>MIN((L3-L5),(L22-L5))</f>
        <v>0</v>
      </c>
      <c r="M4" s="75">
        <f>MIN((M3-M6-L4),(M22-M6))</f>
        <v>0</v>
      </c>
      <c r="N4" s="75">
        <f>MIN(N3,N22)</f>
        <v>10977.877199999999</v>
      </c>
      <c r="O4" s="75">
        <f>MIN((O3-O5),(O22-O5))</f>
        <v>0</v>
      </c>
      <c r="P4" s="75">
        <f>MIN((P3-P6-O4),(P22-P6))</f>
        <v>0</v>
      </c>
      <c r="Q4" s="75">
        <f>MIN(Q3,Q22)</f>
        <v>57463.603599999988</v>
      </c>
      <c r="R4" s="75">
        <f>MIN((R3-R5),(R22-R5))</f>
        <v>0</v>
      </c>
      <c r="S4" s="75">
        <f>MIN((S3-S6-R4),(S22-S6))</f>
        <v>0</v>
      </c>
      <c r="T4" s="75">
        <f>MIN(T3,T22)</f>
        <v>35776.299999999996</v>
      </c>
      <c r="U4" s="75">
        <f>MIN((U3-U5),(U22-U5))</f>
        <v>0</v>
      </c>
      <c r="V4" s="75">
        <f>MIN((V3-V6-U4),(V22-V6))</f>
        <v>0</v>
      </c>
      <c r="W4" s="311"/>
      <c r="X4" s="311"/>
      <c r="Y4" s="311"/>
      <c r="Z4" s="311"/>
      <c r="AA4" s="311"/>
      <c r="AB4" s="311"/>
      <c r="AC4" s="311"/>
      <c r="AD4" s="311"/>
      <c r="AE4" s="311"/>
      <c r="AF4" s="311"/>
      <c r="AG4" s="311"/>
      <c r="AH4" s="311"/>
      <c r="AI4" s="311"/>
      <c r="AJ4" s="311"/>
      <c r="AK4" s="311"/>
    </row>
    <row r="5" spans="1:37" x14ac:dyDescent="0.2">
      <c r="A5" s="310" t="s">
        <v>1574</v>
      </c>
      <c r="B5" s="75">
        <f>MIN((B3-B4),(C22-B4))</f>
        <v>32860.752399999998</v>
      </c>
      <c r="C5" s="75">
        <f>MIN(C3,C22)</f>
        <v>417253.72849999991</v>
      </c>
      <c r="D5" s="312"/>
      <c r="E5" s="75">
        <f>MIN((E3-E4),(F22-E4))</f>
        <v>0</v>
      </c>
      <c r="F5" s="75">
        <f>MIN(F3,F22)</f>
        <v>462253.39580000017</v>
      </c>
      <c r="G5" s="312"/>
      <c r="H5" s="75">
        <f>MIN((H3-H4),(I22-H4))</f>
        <v>51524.481600000028</v>
      </c>
      <c r="I5" s="75">
        <f>MIN(I3,I22)</f>
        <v>630521.11866000015</v>
      </c>
      <c r="J5" s="312"/>
      <c r="K5" s="75">
        <f>MIN((K3-K4),(L22-K4))</f>
        <v>40527.687999999995</v>
      </c>
      <c r="L5" s="75">
        <f>MIN(L3,L22)</f>
        <v>751921.66600000055</v>
      </c>
      <c r="M5" s="312"/>
      <c r="N5" s="75">
        <f>MIN((N3-N4),(O22-N4))</f>
        <v>19495.491600000001</v>
      </c>
      <c r="O5" s="75">
        <f>MIN(O3,O22)</f>
        <v>597973.32440000016</v>
      </c>
      <c r="P5" s="312"/>
      <c r="Q5" s="75">
        <f>MIN((Q3-Q4),(R22-Q4))</f>
        <v>18249.726400000029</v>
      </c>
      <c r="R5" s="75">
        <f>MIN(R3,R22)</f>
        <v>495784.53260000021</v>
      </c>
      <c r="S5" s="312"/>
      <c r="T5" s="75">
        <f>MIN((T3-T4),(U22-T4))</f>
        <v>16169.330799999996</v>
      </c>
      <c r="U5" s="75">
        <f>MIN(U3,U22)</f>
        <v>419677.1544</v>
      </c>
      <c r="V5" s="312"/>
      <c r="W5" s="311"/>
      <c r="X5" s="311"/>
      <c r="Y5" s="313"/>
      <c r="Z5" s="311"/>
      <c r="AA5" s="311"/>
      <c r="AB5" s="313"/>
      <c r="AC5" s="311"/>
      <c r="AD5" s="311"/>
      <c r="AE5" s="313"/>
      <c r="AF5" s="311"/>
      <c r="AG5" s="311"/>
      <c r="AH5" s="313"/>
      <c r="AI5" s="311"/>
      <c r="AJ5" s="311"/>
      <c r="AK5" s="313"/>
    </row>
    <row r="6" spans="1:37" x14ac:dyDescent="0.2">
      <c r="A6" s="310" t="s">
        <v>1575</v>
      </c>
      <c r="B6" s="75">
        <f>MIN((B3-B4-B5),(D22-C4-D4))</f>
        <v>0</v>
      </c>
      <c r="C6" s="312"/>
      <c r="D6" s="75">
        <f>MIN(D3,D22)</f>
        <v>417253.72849999991</v>
      </c>
      <c r="E6" s="75">
        <f>MIN((E3-E4-E5),(G22-F4-G4))</f>
        <v>0</v>
      </c>
      <c r="F6" s="312"/>
      <c r="G6" s="75">
        <f>MIN(G3,G22)</f>
        <v>462253.39580000017</v>
      </c>
      <c r="H6" s="75">
        <f>MIN((H3-H4-H5),(J22-I4-J4))</f>
        <v>0</v>
      </c>
      <c r="I6" s="312"/>
      <c r="J6" s="75">
        <f>MIN(J3,J22)</f>
        <v>630521.11866000015</v>
      </c>
      <c r="K6" s="75">
        <f>MIN((K3-K4-K5),(M22-L4-M4))</f>
        <v>0</v>
      </c>
      <c r="L6" s="312"/>
      <c r="M6" s="75">
        <f>MIN(M3,M22)</f>
        <v>751921.66600000055</v>
      </c>
      <c r="N6" s="75">
        <f>MIN((N3-N4-N5),(P22-O4-P4))</f>
        <v>0</v>
      </c>
      <c r="O6" s="312"/>
      <c r="P6" s="75">
        <f>MIN(P3,P22)</f>
        <v>597973.32440000016</v>
      </c>
      <c r="Q6" s="75">
        <f>MIN((Q3-Q4-Q5),(S22-R4-S4))</f>
        <v>0</v>
      </c>
      <c r="R6" s="312"/>
      <c r="S6" s="75">
        <f>MIN(S3,S22)</f>
        <v>495784.53260000021</v>
      </c>
      <c r="T6" s="75">
        <f>MIN((T3-T4-T5),(V22-U4-V4))</f>
        <v>0</v>
      </c>
      <c r="U6" s="312"/>
      <c r="V6" s="75">
        <f>MIN(V3,V22)</f>
        <v>419677.1544</v>
      </c>
      <c r="W6" s="311"/>
      <c r="X6" s="313"/>
      <c r="Y6" s="311"/>
      <c r="Z6" s="311"/>
      <c r="AA6" s="313"/>
      <c r="AB6" s="311"/>
      <c r="AC6" s="311"/>
      <c r="AD6" s="313"/>
      <c r="AE6" s="311"/>
      <c r="AF6" s="311"/>
      <c r="AG6" s="313"/>
      <c r="AH6" s="311"/>
      <c r="AI6" s="311"/>
      <c r="AJ6" s="313"/>
      <c r="AK6" s="311"/>
    </row>
    <row r="7" spans="1:37" s="317" customFormat="1" x14ac:dyDescent="0.3">
      <c r="A7" s="314" t="s">
        <v>2568</v>
      </c>
      <c r="B7" s="315">
        <f t="shared" ref="B7:D7" si="0">B3-SUM(B4:B6)</f>
        <v>0</v>
      </c>
      <c r="C7" s="315">
        <f t="shared" si="0"/>
        <v>0</v>
      </c>
      <c r="D7" s="315">
        <f t="shared" si="0"/>
        <v>0</v>
      </c>
      <c r="E7" s="315">
        <f t="shared" ref="E7:G7" si="1">E3-SUM(E4:E6)</f>
        <v>0</v>
      </c>
      <c r="F7" s="315">
        <f t="shared" si="1"/>
        <v>0</v>
      </c>
      <c r="G7" s="315">
        <f t="shared" si="1"/>
        <v>0</v>
      </c>
      <c r="H7" s="315">
        <f t="shared" ref="H7:J7" si="2">H3-SUM(H4:H6)</f>
        <v>0</v>
      </c>
      <c r="I7" s="315">
        <f t="shared" si="2"/>
        <v>0</v>
      </c>
      <c r="J7" s="315">
        <f t="shared" si="2"/>
        <v>0</v>
      </c>
      <c r="K7" s="315">
        <f t="shared" ref="K7:M7" si="3">K3-SUM(K4:K6)</f>
        <v>0</v>
      </c>
      <c r="L7" s="315">
        <f t="shared" si="3"/>
        <v>0</v>
      </c>
      <c r="M7" s="315">
        <f t="shared" si="3"/>
        <v>0</v>
      </c>
      <c r="N7" s="315">
        <f t="shared" ref="N7:P7" si="4">N3-SUM(N4:N6)</f>
        <v>0</v>
      </c>
      <c r="O7" s="315">
        <f t="shared" si="4"/>
        <v>0</v>
      </c>
      <c r="P7" s="315">
        <f t="shared" si="4"/>
        <v>0</v>
      </c>
      <c r="Q7" s="315">
        <f t="shared" ref="Q7:S7" si="5">Q3-SUM(Q4:Q6)</f>
        <v>0</v>
      </c>
      <c r="R7" s="315">
        <f t="shared" si="5"/>
        <v>0</v>
      </c>
      <c r="S7" s="315">
        <f t="shared" si="5"/>
        <v>0</v>
      </c>
      <c r="T7" s="316">
        <f t="shared" ref="T7:AK7" si="6">T3-SUM(T4:T6)</f>
        <v>0</v>
      </c>
      <c r="U7" s="316">
        <f t="shared" si="6"/>
        <v>0</v>
      </c>
      <c r="V7" s="316">
        <f t="shared" si="6"/>
        <v>0</v>
      </c>
      <c r="W7" s="316">
        <f t="shared" si="6"/>
        <v>50926.2068</v>
      </c>
      <c r="X7" s="316">
        <f t="shared" si="6"/>
        <v>256975.35380000001</v>
      </c>
      <c r="Y7" s="316">
        <f t="shared" si="6"/>
        <v>256975.35380000001</v>
      </c>
      <c r="Z7" s="316">
        <f t="shared" si="6"/>
        <v>128383.5336</v>
      </c>
      <c r="AA7" s="316">
        <f t="shared" si="6"/>
        <v>265592.08979999996</v>
      </c>
      <c r="AB7" s="316">
        <f t="shared" si="6"/>
        <v>265592.08979999996</v>
      </c>
      <c r="AC7" s="316">
        <f t="shared" si="6"/>
        <v>38884.86</v>
      </c>
      <c r="AD7" s="316">
        <f t="shared" si="6"/>
        <v>513531.29960000014</v>
      </c>
      <c r="AE7" s="316">
        <f t="shared" si="6"/>
        <v>513531.29960000014</v>
      </c>
      <c r="AF7" s="316">
        <f t="shared" si="6"/>
        <v>0</v>
      </c>
      <c r="AG7" s="316">
        <f t="shared" si="6"/>
        <v>0</v>
      </c>
      <c r="AH7" s="316">
        <f t="shared" si="6"/>
        <v>0</v>
      </c>
      <c r="AI7" s="316">
        <f t="shared" si="6"/>
        <v>0</v>
      </c>
      <c r="AJ7" s="316">
        <f t="shared" si="6"/>
        <v>0</v>
      </c>
      <c r="AK7" s="316">
        <f t="shared" si="6"/>
        <v>0</v>
      </c>
    </row>
    <row r="8" spans="1:37" x14ac:dyDescent="0.3">
      <c r="A8" s="310" t="s">
        <v>3356</v>
      </c>
      <c r="B8" s="318"/>
      <c r="C8" s="318">
        <f>+'RET-GSTR-3B'!C20</f>
        <v>462.5</v>
      </c>
      <c r="D8" s="318">
        <f>+C8</f>
        <v>462.5</v>
      </c>
      <c r="E8" s="318"/>
      <c r="F8" s="318">
        <f>+'RET-GSTR-3B'!D20</f>
        <v>1139</v>
      </c>
      <c r="G8" s="318">
        <f>+F8</f>
        <v>1139</v>
      </c>
      <c r="H8" s="318"/>
      <c r="I8" s="318">
        <f>+'RET-GSTR-3B'!E20</f>
        <v>615</v>
      </c>
      <c r="J8" s="318">
        <f>+I8</f>
        <v>615</v>
      </c>
      <c r="K8" s="318"/>
      <c r="L8" s="318">
        <f>+'RET-GSTR-3B'!F20</f>
        <v>781.25</v>
      </c>
      <c r="M8" s="318">
        <f>+L8</f>
        <v>781.25</v>
      </c>
      <c r="N8" s="318"/>
      <c r="O8" s="318">
        <f>+'RET-GSTR-3B'!G20</f>
        <v>897.5</v>
      </c>
      <c r="P8" s="318">
        <f>+O8</f>
        <v>897.5</v>
      </c>
      <c r="Q8" s="318"/>
      <c r="R8" s="318">
        <f>+'RET-GSTR-3B'!H20</f>
        <v>923.75</v>
      </c>
      <c r="S8" s="318">
        <f>+R8</f>
        <v>923.75</v>
      </c>
      <c r="T8" s="319">
        <f>+'RET-GSTR-3B'!I19</f>
        <v>0</v>
      </c>
      <c r="U8" s="319">
        <f>+'RET-GSTR-3B'!I20</f>
        <v>727.5</v>
      </c>
      <c r="V8" s="319">
        <f>+U8</f>
        <v>727.5</v>
      </c>
      <c r="W8" s="319">
        <f>+'RET-GSTR-3B'!J19</f>
        <v>0</v>
      </c>
      <c r="X8" s="319">
        <f>+'RET-GSTR-3B'!J20</f>
        <v>685</v>
      </c>
      <c r="Y8" s="319">
        <f>+X8</f>
        <v>685</v>
      </c>
      <c r="Z8" s="319">
        <f>+'RET-GSTR-3B'!K19</f>
        <v>118.05</v>
      </c>
      <c r="AA8" s="319">
        <f>+'RET-GSTR-3B'!K20</f>
        <v>1185</v>
      </c>
      <c r="AB8" s="319">
        <f>+AA8</f>
        <v>1185</v>
      </c>
      <c r="AC8" s="319">
        <f>+'RET-GSTR-3B'!L19</f>
        <v>0</v>
      </c>
      <c r="AD8" s="319">
        <f>+'RET-GSTR-3B'!L20</f>
        <v>0</v>
      </c>
      <c r="AE8" s="319">
        <f>+AD8</f>
        <v>0</v>
      </c>
      <c r="AF8" s="319">
        <f>+'RET-GSTR-3B'!M19</f>
        <v>0</v>
      </c>
      <c r="AG8" s="319">
        <f>+'RET-GSTR-3B'!M20</f>
        <v>0</v>
      </c>
      <c r="AH8" s="319">
        <f>+AG8</f>
        <v>0</v>
      </c>
      <c r="AI8" s="319">
        <f>+'RET-GSTR-3B'!N19</f>
        <v>0</v>
      </c>
      <c r="AJ8" s="319">
        <f>+'RET-GSTR-3B'!N20</f>
        <v>0</v>
      </c>
      <c r="AK8" s="319">
        <f>+'RET-GSTR-3B'!N21</f>
        <v>0</v>
      </c>
    </row>
    <row r="9" spans="1:37" x14ac:dyDescent="0.3">
      <c r="A9" s="310" t="s">
        <v>2569</v>
      </c>
      <c r="B9" s="320">
        <f t="shared" ref="B9:AK9" si="7">SUM(B7:B8)</f>
        <v>0</v>
      </c>
      <c r="C9" s="320">
        <f t="shared" si="7"/>
        <v>462.5</v>
      </c>
      <c r="D9" s="320">
        <f t="shared" si="7"/>
        <v>462.5</v>
      </c>
      <c r="E9" s="320">
        <f t="shared" ref="E9:G9" si="8">SUM(E7:E8)</f>
        <v>0</v>
      </c>
      <c r="F9" s="320">
        <f t="shared" si="8"/>
        <v>1139</v>
      </c>
      <c r="G9" s="320">
        <f t="shared" si="8"/>
        <v>1139</v>
      </c>
      <c r="H9" s="320">
        <f t="shared" ref="H9:J9" si="9">SUM(H7:H8)</f>
        <v>0</v>
      </c>
      <c r="I9" s="320">
        <f t="shared" si="9"/>
        <v>615</v>
      </c>
      <c r="J9" s="320">
        <f t="shared" si="9"/>
        <v>615</v>
      </c>
      <c r="K9" s="320">
        <f t="shared" ref="K9:M9" si="10">SUM(K7:K8)</f>
        <v>0</v>
      </c>
      <c r="L9" s="320">
        <f t="shared" si="10"/>
        <v>781.25</v>
      </c>
      <c r="M9" s="320">
        <f t="shared" si="10"/>
        <v>781.25</v>
      </c>
      <c r="N9" s="320">
        <f t="shared" ref="N9:P9" si="11">SUM(N7:N8)</f>
        <v>0</v>
      </c>
      <c r="O9" s="320">
        <f t="shared" si="11"/>
        <v>897.5</v>
      </c>
      <c r="P9" s="320">
        <f t="shared" si="11"/>
        <v>897.5</v>
      </c>
      <c r="Q9" s="320">
        <f t="shared" ref="Q9:S9" si="12">SUM(Q7:Q8)</f>
        <v>0</v>
      </c>
      <c r="R9" s="320">
        <f t="shared" si="12"/>
        <v>923.75</v>
      </c>
      <c r="S9" s="320">
        <f t="shared" si="12"/>
        <v>923.75</v>
      </c>
      <c r="T9" s="321">
        <f t="shared" si="7"/>
        <v>0</v>
      </c>
      <c r="U9" s="321">
        <f t="shared" si="7"/>
        <v>727.5</v>
      </c>
      <c r="V9" s="321">
        <f t="shared" si="7"/>
        <v>727.5</v>
      </c>
      <c r="W9" s="321">
        <f t="shared" si="7"/>
        <v>50926.2068</v>
      </c>
      <c r="X9" s="321">
        <f t="shared" si="7"/>
        <v>257660.35380000001</v>
      </c>
      <c r="Y9" s="321">
        <f t="shared" si="7"/>
        <v>257660.35380000001</v>
      </c>
      <c r="Z9" s="321">
        <f t="shared" si="7"/>
        <v>128501.5836</v>
      </c>
      <c r="AA9" s="321">
        <f t="shared" si="7"/>
        <v>266777.08979999996</v>
      </c>
      <c r="AB9" s="321">
        <f t="shared" si="7"/>
        <v>266777.08979999996</v>
      </c>
      <c r="AC9" s="321">
        <f t="shared" si="7"/>
        <v>38884.86</v>
      </c>
      <c r="AD9" s="321">
        <f t="shared" si="7"/>
        <v>513531.29960000014</v>
      </c>
      <c r="AE9" s="321">
        <f t="shared" si="7"/>
        <v>513531.29960000014</v>
      </c>
      <c r="AF9" s="321">
        <f t="shared" si="7"/>
        <v>0</v>
      </c>
      <c r="AG9" s="321">
        <f t="shared" si="7"/>
        <v>0</v>
      </c>
      <c r="AH9" s="321">
        <f t="shared" si="7"/>
        <v>0</v>
      </c>
      <c r="AI9" s="321">
        <f t="shared" si="7"/>
        <v>0</v>
      </c>
      <c r="AJ9" s="321">
        <f t="shared" si="7"/>
        <v>0</v>
      </c>
      <c r="AK9" s="321">
        <f t="shared" si="7"/>
        <v>0</v>
      </c>
    </row>
    <row r="10" spans="1:37" x14ac:dyDescent="0.3">
      <c r="A10" s="310" t="s">
        <v>2570</v>
      </c>
      <c r="B10" s="320">
        <f>B31</f>
        <v>0</v>
      </c>
      <c r="C10" s="320">
        <f>C31</f>
        <v>463</v>
      </c>
      <c r="D10" s="320">
        <f>D31</f>
        <v>463</v>
      </c>
      <c r="E10" s="320">
        <f>E31</f>
        <v>0</v>
      </c>
      <c r="F10" s="320">
        <f t="shared" ref="F10:G10" si="13">F31</f>
        <v>1139</v>
      </c>
      <c r="G10" s="320">
        <f t="shared" si="13"/>
        <v>1139</v>
      </c>
      <c r="H10" s="320">
        <f>H31</f>
        <v>0</v>
      </c>
      <c r="I10" s="320">
        <f t="shared" ref="I10:J10" si="14">I31</f>
        <v>615</v>
      </c>
      <c r="J10" s="320">
        <f t="shared" si="14"/>
        <v>615</v>
      </c>
      <c r="K10" s="320">
        <f>K31</f>
        <v>0</v>
      </c>
      <c r="L10" s="320">
        <f t="shared" ref="L10:M10" si="15">L31</f>
        <v>781</v>
      </c>
      <c r="M10" s="320">
        <f t="shared" si="15"/>
        <v>781</v>
      </c>
      <c r="N10" s="320">
        <f>N31</f>
        <v>0</v>
      </c>
      <c r="O10" s="320">
        <f t="shared" ref="O10:P10" si="16">O31</f>
        <v>898</v>
      </c>
      <c r="P10" s="320">
        <f t="shared" si="16"/>
        <v>898</v>
      </c>
      <c r="Q10" s="320">
        <f>Q31</f>
        <v>0</v>
      </c>
      <c r="R10" s="320">
        <f t="shared" ref="R10:S10" si="17">R31</f>
        <v>924</v>
      </c>
      <c r="S10" s="320">
        <f t="shared" si="17"/>
        <v>924</v>
      </c>
      <c r="T10" s="321">
        <f t="shared" ref="T10:AK10" si="18">T31</f>
        <v>0</v>
      </c>
      <c r="U10" s="321">
        <f t="shared" si="18"/>
        <v>728</v>
      </c>
      <c r="V10" s="321">
        <f t="shared" si="18"/>
        <v>728</v>
      </c>
      <c r="W10" s="321">
        <f t="shared" si="18"/>
        <v>0</v>
      </c>
      <c r="X10" s="321">
        <f t="shared" si="18"/>
        <v>0</v>
      </c>
      <c r="Y10" s="321">
        <f t="shared" si="18"/>
        <v>0</v>
      </c>
      <c r="Z10" s="321">
        <f t="shared" si="18"/>
        <v>0</v>
      </c>
      <c r="AA10" s="321">
        <f t="shared" si="18"/>
        <v>0</v>
      </c>
      <c r="AB10" s="321">
        <f t="shared" si="18"/>
        <v>0</v>
      </c>
      <c r="AC10" s="321">
        <f t="shared" si="18"/>
        <v>0</v>
      </c>
      <c r="AD10" s="321">
        <f t="shared" si="18"/>
        <v>0</v>
      </c>
      <c r="AE10" s="321">
        <f t="shared" si="18"/>
        <v>0</v>
      </c>
      <c r="AF10" s="321">
        <f t="shared" si="18"/>
        <v>0</v>
      </c>
      <c r="AG10" s="321">
        <f t="shared" si="18"/>
        <v>0</v>
      </c>
      <c r="AH10" s="321">
        <f t="shared" si="18"/>
        <v>0</v>
      </c>
      <c r="AI10" s="321">
        <f t="shared" si="18"/>
        <v>0</v>
      </c>
      <c r="AJ10" s="321">
        <f t="shared" si="18"/>
        <v>0</v>
      </c>
      <c r="AK10" s="321">
        <f t="shared" si="18"/>
        <v>0</v>
      </c>
    </row>
    <row r="11" spans="1:37" x14ac:dyDescent="0.3">
      <c r="A11" s="322" t="s">
        <v>2571</v>
      </c>
      <c r="B11" s="323">
        <f>B9-B10</f>
        <v>0</v>
      </c>
      <c r="C11" s="323">
        <f t="shared" ref="C11:AK11" si="19">C9-C10</f>
        <v>-0.5</v>
      </c>
      <c r="D11" s="323">
        <f t="shared" si="19"/>
        <v>-0.5</v>
      </c>
      <c r="E11" s="323">
        <f>E9-E10</f>
        <v>0</v>
      </c>
      <c r="F11" s="323">
        <f t="shared" ref="F11:G11" si="20">F9-F10</f>
        <v>0</v>
      </c>
      <c r="G11" s="323">
        <f t="shared" si="20"/>
        <v>0</v>
      </c>
      <c r="H11" s="323">
        <f>H9-H10</f>
        <v>0</v>
      </c>
      <c r="I11" s="323">
        <f t="shared" ref="I11:J11" si="21">I9-I10</f>
        <v>0</v>
      </c>
      <c r="J11" s="323">
        <f t="shared" si="21"/>
        <v>0</v>
      </c>
      <c r="K11" s="323">
        <f>K9-K10</f>
        <v>0</v>
      </c>
      <c r="L11" s="323">
        <f t="shared" ref="L11:M11" si="22">L9-L10</f>
        <v>0.25</v>
      </c>
      <c r="M11" s="323">
        <f t="shared" si="22"/>
        <v>0.25</v>
      </c>
      <c r="N11" s="323">
        <f>N9-N10</f>
        <v>0</v>
      </c>
      <c r="O11" s="323">
        <f t="shared" ref="O11:P11" si="23">O9-O10</f>
        <v>-0.5</v>
      </c>
      <c r="P11" s="323">
        <f t="shared" si="23"/>
        <v>-0.5</v>
      </c>
      <c r="Q11" s="323">
        <f>Q9-Q10</f>
        <v>0</v>
      </c>
      <c r="R11" s="323">
        <f t="shared" ref="R11:S11" si="24">R9-R10</f>
        <v>-0.25</v>
      </c>
      <c r="S11" s="323">
        <f t="shared" si="24"/>
        <v>-0.25</v>
      </c>
      <c r="T11" s="324">
        <f t="shared" si="19"/>
        <v>0</v>
      </c>
      <c r="U11" s="324">
        <f t="shared" si="19"/>
        <v>-0.5</v>
      </c>
      <c r="V11" s="324">
        <f t="shared" si="19"/>
        <v>-0.5</v>
      </c>
      <c r="W11" s="324">
        <f t="shared" si="19"/>
        <v>50926.2068</v>
      </c>
      <c r="X11" s="324">
        <f t="shared" si="19"/>
        <v>257660.35380000001</v>
      </c>
      <c r="Y11" s="324">
        <f t="shared" si="19"/>
        <v>257660.35380000001</v>
      </c>
      <c r="Z11" s="324">
        <f t="shared" si="19"/>
        <v>128501.5836</v>
      </c>
      <c r="AA11" s="324">
        <f t="shared" si="19"/>
        <v>266777.08979999996</v>
      </c>
      <c r="AB11" s="324">
        <f t="shared" si="19"/>
        <v>266777.08979999996</v>
      </c>
      <c r="AC11" s="324">
        <f t="shared" si="19"/>
        <v>38884.86</v>
      </c>
      <c r="AD11" s="324">
        <f t="shared" si="19"/>
        <v>513531.29960000014</v>
      </c>
      <c r="AE11" s="324">
        <f t="shared" si="19"/>
        <v>513531.29960000014</v>
      </c>
      <c r="AF11" s="324">
        <f t="shared" si="19"/>
        <v>0</v>
      </c>
      <c r="AG11" s="324">
        <f t="shared" si="19"/>
        <v>0</v>
      </c>
      <c r="AH11" s="324">
        <f t="shared" si="19"/>
        <v>0</v>
      </c>
      <c r="AI11" s="324">
        <f t="shared" si="19"/>
        <v>0</v>
      </c>
      <c r="AJ11" s="324">
        <f t="shared" si="19"/>
        <v>0</v>
      </c>
      <c r="AK11" s="324">
        <f t="shared" si="19"/>
        <v>0</v>
      </c>
    </row>
    <row r="12" spans="1:37" s="317" customFormat="1" x14ac:dyDescent="0.3">
      <c r="A12" s="325"/>
      <c r="B12" s="326"/>
      <c r="C12" s="326"/>
      <c r="D12" s="326"/>
      <c r="E12" s="326"/>
      <c r="F12" s="326"/>
      <c r="G12" s="326"/>
      <c r="H12" s="326"/>
      <c r="I12" s="326"/>
      <c r="J12" s="326"/>
      <c r="K12" s="326"/>
      <c r="L12" s="326"/>
      <c r="M12" s="326"/>
      <c r="N12" s="326"/>
      <c r="O12" s="326"/>
      <c r="P12" s="326"/>
      <c r="Q12" s="326"/>
      <c r="R12" s="326"/>
      <c r="S12" s="326"/>
      <c r="T12" s="327"/>
      <c r="U12" s="327"/>
      <c r="V12" s="327"/>
      <c r="W12" s="327"/>
      <c r="X12" s="327"/>
      <c r="Y12" s="327"/>
      <c r="Z12" s="327"/>
      <c r="AA12" s="327"/>
      <c r="AB12" s="327"/>
      <c r="AC12" s="327"/>
      <c r="AD12" s="327"/>
      <c r="AE12" s="327"/>
      <c r="AF12" s="327"/>
      <c r="AG12" s="327"/>
      <c r="AH12" s="327"/>
      <c r="AI12" s="327"/>
      <c r="AJ12" s="327"/>
      <c r="AK12" s="327"/>
    </row>
    <row r="13" spans="1:37" x14ac:dyDescent="0.3">
      <c r="A13" s="306" t="s">
        <v>2572</v>
      </c>
      <c r="B13" s="307" t="s">
        <v>16</v>
      </c>
      <c r="C13" s="307" t="s">
        <v>17</v>
      </c>
      <c r="D13" s="307" t="s">
        <v>18</v>
      </c>
      <c r="E13" s="307" t="s">
        <v>16</v>
      </c>
      <c r="F13" s="307" t="s">
        <v>17</v>
      </c>
      <c r="G13" s="307" t="s">
        <v>18</v>
      </c>
      <c r="H13" s="307" t="s">
        <v>16</v>
      </c>
      <c r="I13" s="307" t="s">
        <v>17</v>
      </c>
      <c r="J13" s="307" t="s">
        <v>18</v>
      </c>
      <c r="K13" s="307" t="s">
        <v>16</v>
      </c>
      <c r="L13" s="307" t="s">
        <v>17</v>
      </c>
      <c r="M13" s="307" t="s">
        <v>18</v>
      </c>
      <c r="N13" s="307" t="s">
        <v>16</v>
      </c>
      <c r="O13" s="307" t="s">
        <v>17</v>
      </c>
      <c r="P13" s="307" t="s">
        <v>18</v>
      </c>
      <c r="Q13" s="307" t="s">
        <v>16</v>
      </c>
      <c r="R13" s="307" t="s">
        <v>17</v>
      </c>
      <c r="S13" s="307" t="s">
        <v>18</v>
      </c>
      <c r="T13" s="307" t="s">
        <v>16</v>
      </c>
      <c r="U13" s="307" t="s">
        <v>17</v>
      </c>
      <c r="V13" s="307" t="s">
        <v>18</v>
      </c>
      <c r="W13" s="307" t="s">
        <v>16</v>
      </c>
      <c r="X13" s="307" t="s">
        <v>17</v>
      </c>
      <c r="Y13" s="307" t="s">
        <v>18</v>
      </c>
      <c r="Z13" s="307" t="s">
        <v>16</v>
      </c>
      <c r="AA13" s="307" t="s">
        <v>17</v>
      </c>
      <c r="AB13" s="307" t="s">
        <v>18</v>
      </c>
      <c r="AC13" s="307" t="s">
        <v>16</v>
      </c>
      <c r="AD13" s="307" t="s">
        <v>17</v>
      </c>
      <c r="AE13" s="307" t="s">
        <v>18</v>
      </c>
      <c r="AF13" s="307" t="s">
        <v>16</v>
      </c>
      <c r="AG13" s="307" t="s">
        <v>17</v>
      </c>
      <c r="AH13" s="307" t="s">
        <v>18</v>
      </c>
      <c r="AI13" s="307" t="s">
        <v>16</v>
      </c>
      <c r="AJ13" s="307" t="s">
        <v>17</v>
      </c>
      <c r="AK13" s="307" t="s">
        <v>18</v>
      </c>
    </row>
    <row r="14" spans="1:37" s="317" customFormat="1" x14ac:dyDescent="0.3">
      <c r="A14" s="328" t="s">
        <v>2574</v>
      </c>
      <c r="B14" s="329">
        <f>+'RET-GSTR-3B'!C51</f>
        <v>2079.9351999999999</v>
      </c>
      <c r="C14" s="329">
        <f>+'RET-GSTR-3B'!C52</f>
        <v>320062.28289999982</v>
      </c>
      <c r="D14" s="329">
        <f>+C14</f>
        <v>320062.28289999982</v>
      </c>
      <c r="E14" s="329">
        <f>+'RET-GSTR-3B'!D51+'RET-GSTR-3B'!D35+'RET-GSTR-3B'!D38</f>
        <v>139070.23000000001</v>
      </c>
      <c r="F14" s="329">
        <f>+'RET-GSTR-3B'!D52</f>
        <v>435884.11540000001</v>
      </c>
      <c r="G14" s="329">
        <f>+F14</f>
        <v>435884.11540000001</v>
      </c>
      <c r="H14" s="329">
        <f>+'RET-GSTR-3B'!E69</f>
        <v>89585.376799999998</v>
      </c>
      <c r="I14" s="329">
        <f>+'RET-GSTR-3B'!E70</f>
        <v>456522.36929999979</v>
      </c>
      <c r="J14" s="329">
        <f>+I14</f>
        <v>456522.36929999979</v>
      </c>
      <c r="K14" s="329">
        <f>+'RET-GSTR-3B'!F51</f>
        <v>23899.64</v>
      </c>
      <c r="L14" s="329">
        <f>+'RET-GSTR-3B'!F52</f>
        <v>649261.90440000047</v>
      </c>
      <c r="M14" s="329">
        <f>+L14</f>
        <v>649261.90440000047</v>
      </c>
      <c r="N14" s="329">
        <f>+'RET-GSTR-3B'!G51</f>
        <v>10977.877199999999</v>
      </c>
      <c r="O14" s="329">
        <f>+'RET-GSTR-3B'!G52</f>
        <v>403530.33340000012</v>
      </c>
      <c r="P14" s="329">
        <f>+O14</f>
        <v>403530.33340000012</v>
      </c>
      <c r="Q14" s="329">
        <f>+'RET-GSTR-3B'!H51</f>
        <v>57463.603599999988</v>
      </c>
      <c r="R14" s="329">
        <f>+'RET-GSTR-3B'!H52</f>
        <v>382093.73650000017</v>
      </c>
      <c r="S14" s="329">
        <f>+R14</f>
        <v>382093.73650000017</v>
      </c>
      <c r="T14" s="311">
        <f>+'RET-GSTR-3B'!I51</f>
        <v>35776.299999999996</v>
      </c>
      <c r="U14" s="311">
        <f>+'RET-GSTR-3B'!I52</f>
        <v>376648.78960000008</v>
      </c>
      <c r="V14" s="311">
        <f>+U14</f>
        <v>376648.78960000008</v>
      </c>
      <c r="W14" s="311">
        <f>+'RET-GSTR-3B'!J51</f>
        <v>28467.498000000003</v>
      </c>
      <c r="X14" s="311">
        <f>+'RET-GSTR-3B'!J52</f>
        <v>332947.8922</v>
      </c>
      <c r="Y14" s="311">
        <f>+X14</f>
        <v>332947.8922</v>
      </c>
      <c r="Z14" s="311">
        <f>+'RET-GSTR-3B'!K51</f>
        <v>293644.29119999998</v>
      </c>
      <c r="AA14" s="311">
        <f>+'RET-GSTR-3B'!K52</f>
        <v>421693.57909999997</v>
      </c>
      <c r="AB14" s="311">
        <f>+AA14</f>
        <v>421693.57909999997</v>
      </c>
      <c r="AC14" s="311">
        <f>+'RET-GSTR-3B'!L51</f>
        <v>23052.937600000001</v>
      </c>
      <c r="AD14" s="311">
        <f>+'RET-GSTR-3B'!L52</f>
        <v>300645.39929999993</v>
      </c>
      <c r="AE14" s="311">
        <f>+AD14</f>
        <v>300645.39929999993</v>
      </c>
      <c r="AF14" s="311">
        <f>+'RET-GSTR-3B'!M51</f>
        <v>0</v>
      </c>
      <c r="AG14" s="311">
        <f>+'RET-GSTR-3B'!M52</f>
        <v>0</v>
      </c>
      <c r="AH14" s="311">
        <f>+AG14</f>
        <v>0</v>
      </c>
      <c r="AI14" s="311">
        <f>+'RET-GSTR-3B'!N51</f>
        <v>0</v>
      </c>
      <c r="AJ14" s="311">
        <f>+'RET-GSTR-3B'!N52</f>
        <v>0</v>
      </c>
      <c r="AK14" s="311">
        <f>+AJ14</f>
        <v>0</v>
      </c>
    </row>
    <row r="15" spans="1:37" s="317" customFormat="1" x14ac:dyDescent="0.3">
      <c r="A15" s="328" t="s">
        <v>2580</v>
      </c>
      <c r="B15" s="330">
        <f>+'RET-GSTR-3B'!C41</f>
        <v>0</v>
      </c>
      <c r="C15" s="330">
        <f>+'RET-GSTR-3B'!C42</f>
        <v>462.5</v>
      </c>
      <c r="D15" s="330">
        <f>+C15</f>
        <v>462.5</v>
      </c>
      <c r="E15" s="330">
        <f>+'RET-GSTR-3B'!D41</f>
        <v>0</v>
      </c>
      <c r="F15" s="330">
        <f>+'RET-GSTR-3B'!D42</f>
        <v>1139</v>
      </c>
      <c r="G15" s="330">
        <f>+F15</f>
        <v>1139</v>
      </c>
      <c r="H15" s="330">
        <f>+'RET-GSTR-3B'!G41</f>
        <v>0</v>
      </c>
      <c r="I15" s="330">
        <f>+'RET-GSTR-3B'!E42</f>
        <v>615</v>
      </c>
      <c r="J15" s="330">
        <f>+I15</f>
        <v>615</v>
      </c>
      <c r="K15" s="330">
        <f>+'RET-GSTR-3B'!J41</f>
        <v>0</v>
      </c>
      <c r="L15" s="330">
        <f>+'RET-GSTR-3B'!F42</f>
        <v>781.25</v>
      </c>
      <c r="M15" s="330">
        <f>+L15</f>
        <v>781.25</v>
      </c>
      <c r="N15" s="330">
        <f>+'RET-GSTR-3B'!M41</f>
        <v>0</v>
      </c>
      <c r="O15" s="330">
        <f>+'RET-GSTR-3B'!G42</f>
        <v>897.5</v>
      </c>
      <c r="P15" s="330">
        <f>+O15</f>
        <v>897.5</v>
      </c>
      <c r="Q15" s="330">
        <f>+'RET-GSTR-3B'!P41</f>
        <v>0</v>
      </c>
      <c r="R15" s="330">
        <f>+'RET-GSTR-3B'!H42</f>
        <v>923.75</v>
      </c>
      <c r="S15" s="330">
        <f>+R15</f>
        <v>923.75</v>
      </c>
      <c r="T15" s="311">
        <f>+'RET-GSTR-3B'!I41</f>
        <v>0</v>
      </c>
      <c r="U15" s="311">
        <f>+'RET-GSTR-3B'!I42</f>
        <v>727.5</v>
      </c>
      <c r="V15" s="311">
        <f>+U15</f>
        <v>727.5</v>
      </c>
      <c r="W15" s="311">
        <f>+'RET-GSTR-3B'!J41</f>
        <v>0</v>
      </c>
      <c r="X15" s="311">
        <f>+'RET-GSTR-3B'!J42</f>
        <v>685</v>
      </c>
      <c r="Y15" s="311">
        <f>+X15</f>
        <v>685</v>
      </c>
      <c r="Z15" s="311">
        <f>+'RET-GSTR-3B'!K41</f>
        <v>0</v>
      </c>
      <c r="AA15" s="311">
        <f>+'RET-GSTR-3B'!K42</f>
        <v>1244.0250000000001</v>
      </c>
      <c r="AB15" s="311">
        <f>+AA15</f>
        <v>1244.0250000000001</v>
      </c>
      <c r="AC15" s="311">
        <f>+'RET-GSTR-3B'!L41</f>
        <v>0</v>
      </c>
      <c r="AD15" s="311">
        <f>+'RET-GSTR-3B'!L42</f>
        <v>0</v>
      </c>
      <c r="AE15" s="311">
        <f>+AD15</f>
        <v>0</v>
      </c>
      <c r="AF15" s="311">
        <f>+'RET-GSTR-3B'!M41</f>
        <v>0</v>
      </c>
      <c r="AG15" s="311">
        <f>+'RET-GSTR-3B'!M42</f>
        <v>0</v>
      </c>
      <c r="AH15" s="311">
        <f>+AG15</f>
        <v>0</v>
      </c>
      <c r="AI15" s="311">
        <f>+'RET-GSTR-3B'!N41</f>
        <v>0</v>
      </c>
      <c r="AJ15" s="311">
        <f>+'RET-GSTR-3B'!N42</f>
        <v>0</v>
      </c>
      <c r="AK15" s="311">
        <f>+AJ15</f>
        <v>0</v>
      </c>
    </row>
    <row r="16" spans="1:37" s="317" customFormat="1" x14ac:dyDescent="0.3">
      <c r="A16" s="331" t="s">
        <v>347</v>
      </c>
      <c r="B16" s="332">
        <f>+B15+B14</f>
        <v>2079.9351999999999</v>
      </c>
      <c r="C16" s="332">
        <f>+C15+C14</f>
        <v>320524.78289999982</v>
      </c>
      <c r="D16" s="332">
        <f>+D15+D14</f>
        <v>320524.78289999982</v>
      </c>
      <c r="E16" s="332">
        <f t="shared" ref="E16:AK16" si="25">+E15+E14</f>
        <v>139070.23000000001</v>
      </c>
      <c r="F16" s="332">
        <f t="shared" si="25"/>
        <v>437023.11540000001</v>
      </c>
      <c r="G16" s="332">
        <f t="shared" si="25"/>
        <v>437023.11540000001</v>
      </c>
      <c r="H16" s="332">
        <f t="shared" si="25"/>
        <v>89585.376799999998</v>
      </c>
      <c r="I16" s="332">
        <f t="shared" si="25"/>
        <v>457137.36929999979</v>
      </c>
      <c r="J16" s="332">
        <f t="shared" si="25"/>
        <v>457137.36929999979</v>
      </c>
      <c r="K16" s="332">
        <f t="shared" si="25"/>
        <v>23899.64</v>
      </c>
      <c r="L16" s="332">
        <f t="shared" si="25"/>
        <v>650043.15440000047</v>
      </c>
      <c r="M16" s="332">
        <f t="shared" si="25"/>
        <v>650043.15440000047</v>
      </c>
      <c r="N16" s="332">
        <f t="shared" si="25"/>
        <v>10977.877199999999</v>
      </c>
      <c r="O16" s="332">
        <f t="shared" si="25"/>
        <v>404427.83340000012</v>
      </c>
      <c r="P16" s="332">
        <f t="shared" si="25"/>
        <v>404427.83340000012</v>
      </c>
      <c r="Q16" s="332">
        <f t="shared" si="25"/>
        <v>57463.603599999988</v>
      </c>
      <c r="R16" s="332">
        <f t="shared" si="25"/>
        <v>383017.48650000017</v>
      </c>
      <c r="S16" s="332">
        <f t="shared" si="25"/>
        <v>383017.48650000017</v>
      </c>
      <c r="T16" s="332">
        <f t="shared" si="25"/>
        <v>35776.299999999996</v>
      </c>
      <c r="U16" s="332">
        <f t="shared" si="25"/>
        <v>377376.28960000008</v>
      </c>
      <c r="V16" s="332">
        <f t="shared" si="25"/>
        <v>377376.28960000008</v>
      </c>
      <c r="W16" s="332">
        <f t="shared" si="25"/>
        <v>28467.498000000003</v>
      </c>
      <c r="X16" s="332">
        <f t="shared" si="25"/>
        <v>333632.8922</v>
      </c>
      <c r="Y16" s="332">
        <f t="shared" si="25"/>
        <v>333632.8922</v>
      </c>
      <c r="Z16" s="332">
        <f t="shared" si="25"/>
        <v>293644.29119999998</v>
      </c>
      <c r="AA16" s="332">
        <f t="shared" si="25"/>
        <v>422937.6041</v>
      </c>
      <c r="AB16" s="332">
        <f t="shared" si="25"/>
        <v>422937.6041</v>
      </c>
      <c r="AC16" s="332">
        <f t="shared" si="25"/>
        <v>23052.937600000001</v>
      </c>
      <c r="AD16" s="332">
        <f t="shared" si="25"/>
        <v>300645.39929999993</v>
      </c>
      <c r="AE16" s="332">
        <f t="shared" si="25"/>
        <v>300645.39929999993</v>
      </c>
      <c r="AF16" s="332">
        <f t="shared" si="25"/>
        <v>0</v>
      </c>
      <c r="AG16" s="332">
        <f t="shared" si="25"/>
        <v>0</v>
      </c>
      <c r="AH16" s="332">
        <f t="shared" si="25"/>
        <v>0</v>
      </c>
      <c r="AI16" s="332">
        <f t="shared" si="25"/>
        <v>0</v>
      </c>
      <c r="AJ16" s="332">
        <f t="shared" si="25"/>
        <v>0</v>
      </c>
      <c r="AK16" s="332">
        <f t="shared" si="25"/>
        <v>0</v>
      </c>
    </row>
    <row r="17" spans="1:37" s="317" customFormat="1" x14ac:dyDescent="0.3">
      <c r="A17" s="328" t="s">
        <v>3357</v>
      </c>
      <c r="B17" s="329">
        <f>+'RET-GSTR-3B'!C59+'RET-GSTR-3B'!C64</f>
        <v>0</v>
      </c>
      <c r="C17" s="329">
        <f>+'RET-GSTR-3B'!C60+'RET-GSTR-3B'!C65</f>
        <v>-16.2</v>
      </c>
      <c r="D17" s="329">
        <f>+C17</f>
        <v>-16.2</v>
      </c>
      <c r="E17" s="329">
        <f>+'RET-GSTR-3B'!F59+'RET-GSTR-3B'!F64</f>
        <v>0</v>
      </c>
      <c r="F17" s="329">
        <f>+'RET-GSTR-3B'!F60+'RET-GSTR-3B'!F65</f>
        <v>-16.2</v>
      </c>
      <c r="G17" s="329">
        <f>+F17</f>
        <v>-16.2</v>
      </c>
      <c r="H17" s="329">
        <f>+'RET-GSTR-3B'!I59+'RET-GSTR-3B'!I64</f>
        <v>0</v>
      </c>
      <c r="I17" s="329">
        <f>+'RET-GSTR-3B'!E60</f>
        <v>-16.2</v>
      </c>
      <c r="J17" s="329">
        <f>+I17</f>
        <v>-16.2</v>
      </c>
      <c r="K17" s="329">
        <f>+'RET-GSTR-3B'!L59+'RET-GSTR-3B'!L64</f>
        <v>0</v>
      </c>
      <c r="L17" s="330">
        <f>+'RET-GSTR-3B'!F61+'RET-GSTR-3B'!F66</f>
        <v>-16.2</v>
      </c>
      <c r="M17" s="329">
        <f>+L17</f>
        <v>-16.2</v>
      </c>
      <c r="N17" s="329">
        <f>+'RET-GSTR-3B'!O59+'RET-GSTR-3B'!O64</f>
        <v>0</v>
      </c>
      <c r="O17" s="330">
        <f>+'RET-GSTR-3B'!G60+'RET-GSTR-3B'!G65</f>
        <v>-16.2</v>
      </c>
      <c r="P17" s="329">
        <f>+O17</f>
        <v>-16.2</v>
      </c>
      <c r="Q17" s="329">
        <f>+'RET-GSTR-3B'!R59+'RET-GSTR-3B'!R64</f>
        <v>0</v>
      </c>
      <c r="R17" s="330">
        <f>+'RET-GSTR-3B'!H61+'RET-GSTR-3B'!H66</f>
        <v>-16.2</v>
      </c>
      <c r="S17" s="329">
        <f>+R17</f>
        <v>-16.2</v>
      </c>
      <c r="T17" s="311">
        <f>+'RET-GSTR-3B'!I59+'RET-GSTR-3B'!I64</f>
        <v>0</v>
      </c>
      <c r="U17" s="311">
        <f>+'RET-GSTR-3B'!I60+'RET-GSTR-3B'!I65</f>
        <v>-16.2</v>
      </c>
      <c r="V17" s="311">
        <f>+U17</f>
        <v>-16.2</v>
      </c>
      <c r="W17" s="311">
        <f>+'RET-GSTR-3B'!J59+'RET-GSTR-3B'!J64</f>
        <v>0</v>
      </c>
      <c r="X17" s="311">
        <f>+'RET-GSTR-3B'!J60+'RET-GSTR-3B'!J65</f>
        <v>-16.2</v>
      </c>
      <c r="Y17" s="311">
        <f>+X17</f>
        <v>-16.2</v>
      </c>
      <c r="Z17" s="311">
        <f>+'RET-GSTR-3B'!K59+'RET-GSTR-3B'!K64</f>
        <v>0</v>
      </c>
      <c r="AA17" s="311">
        <f>+'RET-GSTR-3B'!K60+'RET-GSTR-3B'!K65</f>
        <v>-16.2</v>
      </c>
      <c r="AB17" s="311">
        <f>+AA17</f>
        <v>-16.2</v>
      </c>
      <c r="AC17" s="311">
        <f>+'RET-GSTR-3B'!L59+'RET-GSTR-3B'!L64</f>
        <v>0</v>
      </c>
      <c r="AD17" s="311">
        <f>+'RET-GSTR-3B'!L60+'RET-GSTR-3B'!L65</f>
        <v>0</v>
      </c>
      <c r="AE17" s="311">
        <f>+AD17</f>
        <v>0</v>
      </c>
      <c r="AF17" s="311">
        <f>+'RET-GSTR-3B'!M59+'RET-GSTR-3B'!M64</f>
        <v>0</v>
      </c>
      <c r="AG17" s="311">
        <f>+'RET-GSTR-3B'!M60+'RET-GSTR-3B'!M65</f>
        <v>0</v>
      </c>
      <c r="AH17" s="311">
        <f>+AG17</f>
        <v>0</v>
      </c>
      <c r="AI17" s="311">
        <f>+'RET-GSTR-3B'!N59+'RET-GSTR-3B'!N64</f>
        <v>0</v>
      </c>
      <c r="AJ17" s="311">
        <f>+'RET-GSTR-3B'!N60+'RET-GSTR-3B'!N65</f>
        <v>0</v>
      </c>
      <c r="AK17" s="311">
        <f>+AJ17</f>
        <v>0</v>
      </c>
    </row>
    <row r="18" spans="1:37" s="317" customFormat="1" x14ac:dyDescent="0.3">
      <c r="A18" s="328" t="s">
        <v>3358</v>
      </c>
      <c r="B18" s="329">
        <f>+'RET-GSTR-3B'!C77+'RET-GSTR-3B'!C82</f>
        <v>0</v>
      </c>
      <c r="C18" s="329">
        <f>+'RET-GSTR-3B'!C78+'RET-GSTR-3B'!C83</f>
        <v>0</v>
      </c>
      <c r="D18" s="329">
        <f>+C18</f>
        <v>0</v>
      </c>
      <c r="E18" s="329">
        <f>+'RET-GSTR-3B'!F77+'RET-GSTR-3B'!F82</f>
        <v>0</v>
      </c>
      <c r="F18" s="329">
        <f>+'RET-GSTR-3B'!F78+'RET-GSTR-3B'!F83</f>
        <v>0</v>
      </c>
      <c r="G18" s="329">
        <f>+F18</f>
        <v>0</v>
      </c>
      <c r="H18" s="329">
        <f>+'RET-GSTR-3B'!I77+'RET-GSTR-3B'!I82</f>
        <v>0</v>
      </c>
      <c r="I18" s="329">
        <f>+'RET-GSTR-3B'!E78+'RET-GSTR-3B'!E83</f>
        <v>0</v>
      </c>
      <c r="J18" s="329">
        <f>+I18</f>
        <v>0</v>
      </c>
      <c r="K18" s="329">
        <f>+'RET-GSTR-3B'!L77+'RET-GSTR-3B'!L82</f>
        <v>0</v>
      </c>
      <c r="L18" s="329">
        <f>+'RET-GSTR-3B'!H78+'RET-GSTR-3B'!H83</f>
        <v>0</v>
      </c>
      <c r="M18" s="329">
        <f>+L18</f>
        <v>0</v>
      </c>
      <c r="N18" s="329">
        <f>+'RET-GSTR-3B'!O77+'RET-GSTR-3B'!O82</f>
        <v>0</v>
      </c>
      <c r="O18" s="329">
        <f>+'RET-GSTR-3B'!G78+'RET-GSTR-3B'!G83</f>
        <v>0</v>
      </c>
      <c r="P18" s="329">
        <f>+O18</f>
        <v>0</v>
      </c>
      <c r="Q18" s="329">
        <f>+'RET-GSTR-3B'!R77+'RET-GSTR-3B'!R82</f>
        <v>0</v>
      </c>
      <c r="R18" s="329">
        <f>+'RET-GSTR-3B'!H78+'RET-GSTR-3B'!H83</f>
        <v>0</v>
      </c>
      <c r="S18" s="329">
        <f>+R18</f>
        <v>0</v>
      </c>
      <c r="T18" s="311">
        <f>+'RET-GSTR-3B'!I77+'RET-GSTR-3B'!I82</f>
        <v>0</v>
      </c>
      <c r="U18" s="311">
        <f>+'RET-GSTR-3B'!I78+'RET-GSTR-3B'!I83</f>
        <v>0</v>
      </c>
      <c r="V18" s="311">
        <f>+U18</f>
        <v>0</v>
      </c>
      <c r="W18" s="311">
        <f>+'RET-GSTR-3B'!J77+'RET-GSTR-3B'!J82</f>
        <v>0</v>
      </c>
      <c r="X18" s="311">
        <f>+'RET-GSTR-3B'!J78+'RET-GSTR-3B'!J83</f>
        <v>0</v>
      </c>
      <c r="Y18" s="311">
        <f>+X18</f>
        <v>0</v>
      </c>
      <c r="Z18" s="311">
        <f>+'RET-GSTR-3B'!K77+'RET-GSTR-3B'!K82</f>
        <v>0</v>
      </c>
      <c r="AA18" s="311">
        <f>+'RET-GSTR-3B'!K78+'RET-GSTR-3B'!K83</f>
        <v>0</v>
      </c>
      <c r="AB18" s="311">
        <f>+AA18</f>
        <v>0</v>
      </c>
      <c r="AC18" s="311">
        <f>+'RET-GSTR-3B'!L77+'RET-GSTR-3B'!L82</f>
        <v>0</v>
      </c>
      <c r="AD18" s="311">
        <f>+'RET-GSTR-3B'!L78+'RET-GSTR-3B'!L83</f>
        <v>0</v>
      </c>
      <c r="AE18" s="311">
        <f>+AD18</f>
        <v>0</v>
      </c>
      <c r="AF18" s="311">
        <f>+'RET-GSTR-3B'!M77+'RET-GSTR-3B'!M82</f>
        <v>0</v>
      </c>
      <c r="AG18" s="311">
        <f>+'RET-GSTR-3B'!M78+'RET-GSTR-3B'!M83</f>
        <v>0</v>
      </c>
      <c r="AH18" s="311">
        <f>+AG18</f>
        <v>0</v>
      </c>
      <c r="AI18" s="311">
        <f>+'RET-GSTR-3B'!N77+'RET-GSTR-3B'!N82</f>
        <v>0</v>
      </c>
      <c r="AJ18" s="311">
        <f>+'RET-GSTR-3B'!N78+'RET-GSTR-3B'!N83</f>
        <v>0</v>
      </c>
      <c r="AK18" s="311">
        <f>+AJ18</f>
        <v>0</v>
      </c>
    </row>
    <row r="19" spans="1:37" s="317" customFormat="1" x14ac:dyDescent="0.3">
      <c r="A19" s="325" t="s">
        <v>347</v>
      </c>
      <c r="B19" s="333">
        <f>+B18+B17</f>
        <v>0</v>
      </c>
      <c r="C19" s="333">
        <f t="shared" ref="C19" si="26">+C18+C17</f>
        <v>-16.2</v>
      </c>
      <c r="D19" s="333">
        <f t="shared" ref="D19" si="27">+D18+D17</f>
        <v>-16.2</v>
      </c>
      <c r="E19" s="333">
        <f t="shared" ref="E19" si="28">+E18+E17</f>
        <v>0</v>
      </c>
      <c r="F19" s="333">
        <f t="shared" ref="F19" si="29">+F18+F17</f>
        <v>-16.2</v>
      </c>
      <c r="G19" s="333">
        <f t="shared" ref="G19" si="30">+G18+G17</f>
        <v>-16.2</v>
      </c>
      <c r="H19" s="333">
        <f t="shared" ref="H19" si="31">+H18+H17</f>
        <v>0</v>
      </c>
      <c r="I19" s="333">
        <f t="shared" ref="I19" si="32">+I18+I17</f>
        <v>-16.2</v>
      </c>
      <c r="J19" s="333">
        <f t="shared" ref="J19" si="33">+J18+J17</f>
        <v>-16.2</v>
      </c>
      <c r="K19" s="333">
        <f t="shared" ref="K19" si="34">+K18+K17</f>
        <v>0</v>
      </c>
      <c r="L19" s="333">
        <f t="shared" ref="L19" si="35">+L18+L17</f>
        <v>-16.2</v>
      </c>
      <c r="M19" s="333">
        <f t="shared" ref="M19" si="36">+M18+M17</f>
        <v>-16.2</v>
      </c>
      <c r="N19" s="333">
        <f t="shared" ref="N19" si="37">+N18+N17</f>
        <v>0</v>
      </c>
      <c r="O19" s="333">
        <f t="shared" ref="O19" si="38">+O18+O17</f>
        <v>-16.2</v>
      </c>
      <c r="P19" s="333">
        <f t="shared" ref="P19" si="39">+P18+P17</f>
        <v>-16.2</v>
      </c>
      <c r="Q19" s="333">
        <f t="shared" ref="Q19" si="40">+Q18+Q17</f>
        <v>0</v>
      </c>
      <c r="R19" s="333">
        <f t="shared" ref="R19" si="41">+R18+R17</f>
        <v>-16.2</v>
      </c>
      <c r="S19" s="333">
        <f t="shared" ref="S19" si="42">+S18+S17</f>
        <v>-16.2</v>
      </c>
      <c r="T19" s="333">
        <f t="shared" ref="T19" si="43">+T18+T17</f>
        <v>0</v>
      </c>
      <c r="U19" s="333">
        <f t="shared" ref="U19" si="44">+U18+U17</f>
        <v>-16.2</v>
      </c>
      <c r="V19" s="333">
        <f t="shared" ref="V19" si="45">+V18+V17</f>
        <v>-16.2</v>
      </c>
      <c r="W19" s="333">
        <f t="shared" ref="W19" si="46">+W18+W17</f>
        <v>0</v>
      </c>
      <c r="X19" s="333">
        <f t="shared" ref="X19" si="47">+X18+X17</f>
        <v>-16.2</v>
      </c>
      <c r="Y19" s="333">
        <f t="shared" ref="Y19" si="48">+Y18+Y17</f>
        <v>-16.2</v>
      </c>
      <c r="Z19" s="333">
        <f t="shared" ref="Z19" si="49">+Z18+Z17</f>
        <v>0</v>
      </c>
      <c r="AA19" s="333">
        <f t="shared" ref="AA19" si="50">+AA18+AA17</f>
        <v>-16.2</v>
      </c>
      <c r="AB19" s="333">
        <f t="shared" ref="AB19" si="51">+AB18+AB17</f>
        <v>-16.2</v>
      </c>
      <c r="AC19" s="333">
        <f t="shared" ref="AC19" si="52">+AC18+AC17</f>
        <v>0</v>
      </c>
      <c r="AD19" s="333">
        <f t="shared" ref="AD19" si="53">+AD18+AD17</f>
        <v>0</v>
      </c>
      <c r="AE19" s="333">
        <f t="shared" ref="AE19" si="54">+AE18+AE17</f>
        <v>0</v>
      </c>
      <c r="AF19" s="333">
        <f t="shared" ref="AF19" si="55">+AF18+AF17</f>
        <v>0</v>
      </c>
      <c r="AG19" s="333">
        <f t="shared" ref="AG19" si="56">+AG18+AG17</f>
        <v>0</v>
      </c>
      <c r="AH19" s="333">
        <f t="shared" ref="AH19" si="57">+AH18+AH17</f>
        <v>0</v>
      </c>
      <c r="AI19" s="333">
        <f t="shared" ref="AI19" si="58">+AI18+AI17</f>
        <v>0</v>
      </c>
      <c r="AJ19" s="333">
        <f t="shared" ref="AJ19" si="59">+AJ18+AJ17</f>
        <v>0</v>
      </c>
      <c r="AK19" s="333">
        <f t="shared" ref="AK19" si="60">+AK18+AK17</f>
        <v>0</v>
      </c>
    </row>
    <row r="20" spans="1:37" s="317" customFormat="1" x14ac:dyDescent="0.3">
      <c r="A20" s="331" t="s">
        <v>347</v>
      </c>
      <c r="B20" s="332">
        <f>+B16+B19</f>
        <v>2079.9351999999999</v>
      </c>
      <c r="C20" s="332">
        <f t="shared" ref="C20:AK20" si="61">+C16+C19</f>
        <v>320508.5828999998</v>
      </c>
      <c r="D20" s="332">
        <f t="shared" si="61"/>
        <v>320508.5828999998</v>
      </c>
      <c r="E20" s="332">
        <f t="shared" si="61"/>
        <v>139070.23000000001</v>
      </c>
      <c r="F20" s="332">
        <f t="shared" si="61"/>
        <v>437006.9154</v>
      </c>
      <c r="G20" s="332">
        <f t="shared" si="61"/>
        <v>437006.9154</v>
      </c>
      <c r="H20" s="332">
        <f t="shared" si="61"/>
        <v>89585.376799999998</v>
      </c>
      <c r="I20" s="332">
        <f t="shared" si="61"/>
        <v>457121.16929999978</v>
      </c>
      <c r="J20" s="332">
        <f t="shared" si="61"/>
        <v>457121.16929999978</v>
      </c>
      <c r="K20" s="332">
        <f t="shared" si="61"/>
        <v>23899.64</v>
      </c>
      <c r="L20" s="332">
        <f t="shared" si="61"/>
        <v>650026.95440000051</v>
      </c>
      <c r="M20" s="332">
        <f t="shared" si="61"/>
        <v>650026.95440000051</v>
      </c>
      <c r="N20" s="332">
        <f t="shared" si="61"/>
        <v>10977.877199999999</v>
      </c>
      <c r="O20" s="332">
        <f t="shared" si="61"/>
        <v>404411.63340000011</v>
      </c>
      <c r="P20" s="332">
        <f t="shared" si="61"/>
        <v>404411.63340000011</v>
      </c>
      <c r="Q20" s="332">
        <f t="shared" si="61"/>
        <v>57463.603599999988</v>
      </c>
      <c r="R20" s="332">
        <f t="shared" si="61"/>
        <v>383001.28650000016</v>
      </c>
      <c r="S20" s="332">
        <f t="shared" si="61"/>
        <v>383001.28650000016</v>
      </c>
      <c r="T20" s="332">
        <f t="shared" si="61"/>
        <v>35776.299999999996</v>
      </c>
      <c r="U20" s="332">
        <f t="shared" si="61"/>
        <v>377360.08960000006</v>
      </c>
      <c r="V20" s="332">
        <f t="shared" si="61"/>
        <v>377360.08960000006</v>
      </c>
      <c r="W20" s="332">
        <f t="shared" si="61"/>
        <v>28467.498000000003</v>
      </c>
      <c r="X20" s="332">
        <f t="shared" si="61"/>
        <v>333616.69219999999</v>
      </c>
      <c r="Y20" s="332">
        <f t="shared" si="61"/>
        <v>333616.69219999999</v>
      </c>
      <c r="Z20" s="332">
        <f t="shared" si="61"/>
        <v>293644.29119999998</v>
      </c>
      <c r="AA20" s="332">
        <f t="shared" si="61"/>
        <v>422921.40409999999</v>
      </c>
      <c r="AB20" s="332">
        <f t="shared" si="61"/>
        <v>422921.40409999999</v>
      </c>
      <c r="AC20" s="332">
        <f t="shared" si="61"/>
        <v>23052.937600000001</v>
      </c>
      <c r="AD20" s="332">
        <f t="shared" si="61"/>
        <v>300645.39929999993</v>
      </c>
      <c r="AE20" s="332">
        <f t="shared" si="61"/>
        <v>300645.39929999993</v>
      </c>
      <c r="AF20" s="332">
        <f t="shared" si="61"/>
        <v>0</v>
      </c>
      <c r="AG20" s="332">
        <f t="shared" si="61"/>
        <v>0</v>
      </c>
      <c r="AH20" s="332">
        <f t="shared" si="61"/>
        <v>0</v>
      </c>
      <c r="AI20" s="332">
        <f t="shared" si="61"/>
        <v>0</v>
      </c>
      <c r="AJ20" s="332">
        <f t="shared" si="61"/>
        <v>0</v>
      </c>
      <c r="AK20" s="332">
        <f t="shared" si="61"/>
        <v>0</v>
      </c>
    </row>
    <row r="21" spans="1:37" x14ac:dyDescent="0.3">
      <c r="A21" s="334" t="s">
        <v>2573</v>
      </c>
      <c r="B21" s="335">
        <v>0</v>
      </c>
      <c r="C21" s="335">
        <v>1293781.69</v>
      </c>
      <c r="D21" s="335">
        <v>1905444.48</v>
      </c>
      <c r="E21" s="336">
        <f>+B26</f>
        <v>0</v>
      </c>
      <c r="F21" s="336">
        <f t="shared" ref="F21:G21" si="62">+C26</f>
        <v>1164175.7919999999</v>
      </c>
      <c r="G21" s="336">
        <f t="shared" si="62"/>
        <v>1808699.3343999998</v>
      </c>
      <c r="H21" s="336">
        <f>+E26</f>
        <v>0</v>
      </c>
      <c r="I21" s="336">
        <f t="shared" ref="I21" si="63">+F26</f>
        <v>1222449.8011999996</v>
      </c>
      <c r="J21" s="336">
        <f t="shared" ref="J21" si="64">+G26</f>
        <v>1783452.8539999998</v>
      </c>
      <c r="K21" s="336">
        <f>+H26</f>
        <v>0</v>
      </c>
      <c r="L21" s="336">
        <f t="shared" ref="L21" si="65">+I26</f>
        <v>997525.37023999915</v>
      </c>
      <c r="M21" s="336">
        <f t="shared" ref="M21" si="66">+J26</f>
        <v>1610052.9046399994</v>
      </c>
      <c r="N21" s="336">
        <f>+K26</f>
        <v>0</v>
      </c>
      <c r="O21" s="336">
        <f t="shared" ref="O21" si="67">+L26</f>
        <v>855102.97063999926</v>
      </c>
      <c r="P21" s="336">
        <f t="shared" ref="P21" si="68">+M26</f>
        <v>1508158.1930399993</v>
      </c>
      <c r="Q21" s="336">
        <f>+N26</f>
        <v>0</v>
      </c>
      <c r="R21" s="336">
        <f t="shared" ref="R21" si="69">+O26</f>
        <v>642045.78803999932</v>
      </c>
      <c r="S21" s="336">
        <f t="shared" ref="S21" si="70">+P26</f>
        <v>1314596.5020399992</v>
      </c>
      <c r="T21" s="336">
        <f>+Q26</f>
        <v>0</v>
      </c>
      <c r="U21" s="336">
        <f t="shared" ref="U21" si="71">+R26</f>
        <v>511012.81553999922</v>
      </c>
      <c r="V21" s="336">
        <f t="shared" ref="V21" si="72">+S26</f>
        <v>1201813.2559399991</v>
      </c>
      <c r="W21" s="336">
        <f>+T26</f>
        <v>0</v>
      </c>
      <c r="X21" s="336">
        <f t="shared" ref="X21" si="73">+U26</f>
        <v>452526.41993999924</v>
      </c>
      <c r="Y21" s="336">
        <f t="shared" ref="Y21" si="74">+V26</f>
        <v>1159496.1911399993</v>
      </c>
      <c r="Z21" s="336">
        <f>+W26</f>
        <v>0</v>
      </c>
      <c r="AA21" s="336">
        <f t="shared" ref="AA21" si="75">+X26</f>
        <v>757675.61413999915</v>
      </c>
      <c r="AB21" s="336">
        <f t="shared" ref="AB21" si="76">+Y26</f>
        <v>1493112.8833399992</v>
      </c>
      <c r="AC21" s="336">
        <f>+Z26</f>
        <v>0</v>
      </c>
      <c r="AD21" s="336">
        <f t="shared" ref="AD21" si="77">+AA26</f>
        <v>886952.72703999921</v>
      </c>
      <c r="AE21" s="336">
        <f t="shared" ref="AE21" si="78">+AB26</f>
        <v>1916034.2874399992</v>
      </c>
      <c r="AF21" s="336">
        <f>+AC26</f>
        <v>0</v>
      </c>
      <c r="AG21" s="336">
        <f t="shared" ref="AG21" si="79">+AD26</f>
        <v>1164545.188739999</v>
      </c>
      <c r="AH21" s="336">
        <f t="shared" ref="AH21" si="80">+AE26</f>
        <v>2216679.6867399989</v>
      </c>
      <c r="AI21" s="336">
        <f>+AF26</f>
        <v>0</v>
      </c>
      <c r="AJ21" s="336">
        <f t="shared" ref="AJ21" si="81">+AG26</f>
        <v>1164545.188739999</v>
      </c>
      <c r="AK21" s="336">
        <f t="shared" ref="AK21" si="82">+AH26</f>
        <v>2216679.6867399989</v>
      </c>
    </row>
    <row r="22" spans="1:37" x14ac:dyDescent="0.3">
      <c r="A22" s="310" t="s">
        <v>2575</v>
      </c>
      <c r="B22" s="320">
        <f>+B20+B21</f>
        <v>2079.9351999999999</v>
      </c>
      <c r="C22" s="320">
        <f t="shared" ref="C22:D22" si="83">+C20+C21</f>
        <v>1614290.2728999997</v>
      </c>
      <c r="D22" s="320">
        <f t="shared" si="83"/>
        <v>2225953.0628999998</v>
      </c>
      <c r="E22" s="320">
        <f>+E20+E21</f>
        <v>139070.23000000001</v>
      </c>
      <c r="F22" s="320">
        <f t="shared" ref="F22" si="84">+F20+F21</f>
        <v>1601182.7074</v>
      </c>
      <c r="G22" s="320">
        <f t="shared" ref="G22" si="85">+G20+G21</f>
        <v>2245706.2497999999</v>
      </c>
      <c r="H22" s="320">
        <f>+H20+H21</f>
        <v>89585.376799999998</v>
      </c>
      <c r="I22" s="320">
        <f t="shared" ref="I22" si="86">+I20+I21</f>
        <v>1679570.9704999994</v>
      </c>
      <c r="J22" s="320">
        <f t="shared" ref="J22" si="87">+J20+J21</f>
        <v>2240574.0232999995</v>
      </c>
      <c r="K22" s="320">
        <f>+K20+K21</f>
        <v>23899.64</v>
      </c>
      <c r="L22" s="320">
        <f t="shared" ref="L22" si="88">+L20+L21</f>
        <v>1647552.3246399998</v>
      </c>
      <c r="M22" s="320">
        <f t="shared" ref="M22" si="89">+M20+M21</f>
        <v>2260079.85904</v>
      </c>
      <c r="N22" s="320">
        <f>+N20+N21</f>
        <v>10977.877199999999</v>
      </c>
      <c r="O22" s="320">
        <f t="shared" ref="O22" si="90">+O20+O21</f>
        <v>1259514.6040399994</v>
      </c>
      <c r="P22" s="320">
        <f t="shared" ref="P22" si="91">+P20+P21</f>
        <v>1912569.8264399995</v>
      </c>
      <c r="Q22" s="320">
        <f>+Q20+Q21</f>
        <v>57463.603599999988</v>
      </c>
      <c r="R22" s="320">
        <f t="shared" ref="R22" si="92">+R20+R21</f>
        <v>1025047.0745399995</v>
      </c>
      <c r="S22" s="320">
        <f t="shared" ref="S22" si="93">+S20+S21</f>
        <v>1697597.7885399994</v>
      </c>
      <c r="T22" s="320">
        <f>+T20+T21</f>
        <v>35776.299999999996</v>
      </c>
      <c r="U22" s="320">
        <f t="shared" ref="U22" si="94">+U20+U21</f>
        <v>888372.90513999923</v>
      </c>
      <c r="V22" s="320">
        <f t="shared" ref="V22" si="95">+V20+V21</f>
        <v>1579173.3455399992</v>
      </c>
      <c r="W22" s="320">
        <f>+W20+W21</f>
        <v>28467.498000000003</v>
      </c>
      <c r="X22" s="320">
        <f t="shared" ref="X22" si="96">+X20+X21</f>
        <v>786143.11213999917</v>
      </c>
      <c r="Y22" s="320">
        <f t="shared" ref="Y22" si="97">+Y20+Y21</f>
        <v>1493112.8833399992</v>
      </c>
      <c r="Z22" s="320">
        <f>+Z20+Z21</f>
        <v>293644.29119999998</v>
      </c>
      <c r="AA22" s="320">
        <f t="shared" ref="AA22" si="98">+AA20+AA21</f>
        <v>1180597.0182399992</v>
      </c>
      <c r="AB22" s="320">
        <f t="shared" ref="AB22" si="99">+AB20+AB21</f>
        <v>1916034.2874399992</v>
      </c>
      <c r="AC22" s="320">
        <f>+AC20+AC21</f>
        <v>23052.937600000001</v>
      </c>
      <c r="AD22" s="320">
        <f t="shared" ref="AD22" si="100">+AD20+AD21</f>
        <v>1187598.126339999</v>
      </c>
      <c r="AE22" s="320">
        <f t="shared" ref="AE22" si="101">+AE20+AE21</f>
        <v>2216679.6867399989</v>
      </c>
      <c r="AF22" s="320">
        <f>+AF20+AF21</f>
        <v>0</v>
      </c>
      <c r="AG22" s="320">
        <f t="shared" ref="AG22" si="102">+AG20+AG21</f>
        <v>1164545.188739999</v>
      </c>
      <c r="AH22" s="320">
        <f t="shared" ref="AH22" si="103">+AH20+AH21</f>
        <v>2216679.6867399989</v>
      </c>
      <c r="AI22" s="320">
        <f>+AI20+AI21</f>
        <v>0</v>
      </c>
      <c r="AJ22" s="320">
        <f t="shared" ref="AJ22" si="104">+AJ20+AJ21</f>
        <v>1164545.188739999</v>
      </c>
      <c r="AK22" s="320">
        <f t="shared" ref="AK22" si="105">+AK20+AK21</f>
        <v>2216679.6867399989</v>
      </c>
    </row>
    <row r="23" spans="1:37" x14ac:dyDescent="0.3">
      <c r="A23" s="310" t="s">
        <v>2576</v>
      </c>
      <c r="B23" s="320">
        <f>SUM(B4:D4)</f>
        <v>2079.9351999999999</v>
      </c>
      <c r="C23" s="320">
        <f>B5+C5</f>
        <v>450114.48089999991</v>
      </c>
      <c r="D23" s="320">
        <f>B6+D6</f>
        <v>417253.72849999991</v>
      </c>
      <c r="E23" s="320">
        <f>SUM(E4:G4)</f>
        <v>55549.74040000001</v>
      </c>
      <c r="F23" s="320">
        <f>E5+F5</f>
        <v>462253.39580000017</v>
      </c>
      <c r="G23" s="320">
        <f>E6+G6</f>
        <v>462253.39580000017</v>
      </c>
      <c r="H23" s="320">
        <f>SUM(H4:J4)</f>
        <v>89585.376799999998</v>
      </c>
      <c r="I23" s="320">
        <f>H5+I5</f>
        <v>682045.60026000021</v>
      </c>
      <c r="J23" s="320">
        <f>H6+J6</f>
        <v>630521.11866000015</v>
      </c>
      <c r="K23" s="320">
        <f>SUM(K4:M4)</f>
        <v>23899.64</v>
      </c>
      <c r="L23" s="320">
        <f>K5+L5</f>
        <v>792449.35400000052</v>
      </c>
      <c r="M23" s="320">
        <f>K6+M6</f>
        <v>751921.66600000055</v>
      </c>
      <c r="N23" s="320">
        <f>SUM(N4:P4)</f>
        <v>10977.877199999999</v>
      </c>
      <c r="O23" s="320">
        <f>N5+O5</f>
        <v>617468.81600000011</v>
      </c>
      <c r="P23" s="320">
        <f>N6+P6</f>
        <v>597973.32440000016</v>
      </c>
      <c r="Q23" s="320">
        <f>SUM(Q4:S4)</f>
        <v>57463.603599999988</v>
      </c>
      <c r="R23" s="320">
        <f>Q5+R5</f>
        <v>514034.25900000025</v>
      </c>
      <c r="S23" s="320">
        <f>Q6+S6</f>
        <v>495784.53260000021</v>
      </c>
      <c r="T23" s="320">
        <f>SUM(T4:V4)</f>
        <v>35776.299999999996</v>
      </c>
      <c r="U23" s="320">
        <f>T5+U5</f>
        <v>435846.4852</v>
      </c>
      <c r="V23" s="320">
        <f>T6+V6</f>
        <v>419677.1544</v>
      </c>
      <c r="W23" s="320">
        <f>SUM(W4:Y4)</f>
        <v>0</v>
      </c>
      <c r="X23" s="320">
        <f>W5+X5</f>
        <v>0</v>
      </c>
      <c r="Y23" s="320">
        <f>W6+Y6</f>
        <v>0</v>
      </c>
      <c r="Z23" s="320">
        <f>SUM(Z4:AB4)</f>
        <v>0</v>
      </c>
      <c r="AA23" s="320">
        <f>Z5+AA5</f>
        <v>0</v>
      </c>
      <c r="AB23" s="320">
        <f>Z6+AB6</f>
        <v>0</v>
      </c>
      <c r="AC23" s="320">
        <f>SUM(AC4:AE4)</f>
        <v>0</v>
      </c>
      <c r="AD23" s="320">
        <f>AC5+AD5</f>
        <v>0</v>
      </c>
      <c r="AE23" s="320">
        <f>AC6+AE6</f>
        <v>0</v>
      </c>
      <c r="AF23" s="320">
        <f>SUM(AF4:AH4)</f>
        <v>0</v>
      </c>
      <c r="AG23" s="320">
        <f>AF5+AG5</f>
        <v>0</v>
      </c>
      <c r="AH23" s="320">
        <f>AF6+AH6</f>
        <v>0</v>
      </c>
      <c r="AI23" s="320">
        <f>SUM(AI4:AK4)</f>
        <v>0</v>
      </c>
      <c r="AJ23" s="320">
        <f>AI5+AJ5</f>
        <v>0</v>
      </c>
      <c r="AK23" s="320">
        <f>AI6+AK6</f>
        <v>0</v>
      </c>
    </row>
    <row r="24" spans="1:37" s="317" customFormat="1" ht="12.6" customHeight="1" x14ac:dyDescent="0.3">
      <c r="A24" s="331" t="s">
        <v>2577</v>
      </c>
      <c r="B24" s="337">
        <f t="shared" ref="B24:D24" si="106">B22-B23</f>
        <v>0</v>
      </c>
      <c r="C24" s="337">
        <f t="shared" si="106"/>
        <v>1164175.7919999999</v>
      </c>
      <c r="D24" s="337">
        <f t="shared" si="106"/>
        <v>1808699.3343999998</v>
      </c>
      <c r="E24" s="337">
        <f t="shared" ref="E24:G24" si="107">E22-E23</f>
        <v>83520.489600000001</v>
      </c>
      <c r="F24" s="337">
        <f t="shared" si="107"/>
        <v>1138929.3115999997</v>
      </c>
      <c r="G24" s="337">
        <f t="shared" si="107"/>
        <v>1783452.8539999998</v>
      </c>
      <c r="H24" s="337">
        <f t="shared" ref="H24:J24" si="108">H22-H23</f>
        <v>0</v>
      </c>
      <c r="I24" s="337">
        <f t="shared" si="108"/>
        <v>997525.37023999915</v>
      </c>
      <c r="J24" s="337">
        <f t="shared" si="108"/>
        <v>1610052.9046399994</v>
      </c>
      <c r="K24" s="337">
        <f t="shared" ref="K24:M24" si="109">K22-K23</f>
        <v>0</v>
      </c>
      <c r="L24" s="337">
        <f t="shared" si="109"/>
        <v>855102.97063999926</v>
      </c>
      <c r="M24" s="337">
        <f t="shared" si="109"/>
        <v>1508158.1930399993</v>
      </c>
      <c r="N24" s="337">
        <f t="shared" ref="N24:AK24" si="110">N22-N23</f>
        <v>0</v>
      </c>
      <c r="O24" s="337">
        <f t="shared" si="110"/>
        <v>642045.78803999932</v>
      </c>
      <c r="P24" s="337">
        <f t="shared" si="110"/>
        <v>1314596.5020399992</v>
      </c>
      <c r="Q24" s="337">
        <f t="shared" si="110"/>
        <v>0</v>
      </c>
      <c r="R24" s="337">
        <f t="shared" si="110"/>
        <v>511012.81553999922</v>
      </c>
      <c r="S24" s="337">
        <f t="shared" si="110"/>
        <v>1201813.2559399991</v>
      </c>
      <c r="T24" s="337">
        <f t="shared" si="110"/>
        <v>0</v>
      </c>
      <c r="U24" s="337">
        <f t="shared" si="110"/>
        <v>452526.41993999924</v>
      </c>
      <c r="V24" s="337">
        <f t="shared" si="110"/>
        <v>1159496.1911399993</v>
      </c>
      <c r="W24" s="337">
        <f t="shared" si="110"/>
        <v>28467.498000000003</v>
      </c>
      <c r="X24" s="337">
        <f t="shared" si="110"/>
        <v>786143.11213999917</v>
      </c>
      <c r="Y24" s="337">
        <f t="shared" si="110"/>
        <v>1493112.8833399992</v>
      </c>
      <c r="Z24" s="337">
        <f t="shared" si="110"/>
        <v>293644.29119999998</v>
      </c>
      <c r="AA24" s="337">
        <f t="shared" si="110"/>
        <v>1180597.0182399992</v>
      </c>
      <c r="AB24" s="337">
        <f t="shared" si="110"/>
        <v>1916034.2874399992</v>
      </c>
      <c r="AC24" s="337">
        <f t="shared" si="110"/>
        <v>23052.937600000001</v>
      </c>
      <c r="AD24" s="337">
        <f t="shared" si="110"/>
        <v>1187598.126339999</v>
      </c>
      <c r="AE24" s="337">
        <f t="shared" si="110"/>
        <v>2216679.6867399989</v>
      </c>
      <c r="AF24" s="337">
        <f t="shared" si="110"/>
        <v>0</v>
      </c>
      <c r="AG24" s="337">
        <f t="shared" si="110"/>
        <v>1164545.188739999</v>
      </c>
      <c r="AH24" s="337">
        <f t="shared" si="110"/>
        <v>2216679.6867399989</v>
      </c>
      <c r="AI24" s="337">
        <f t="shared" si="110"/>
        <v>0</v>
      </c>
      <c r="AJ24" s="337">
        <f t="shared" si="110"/>
        <v>1164545.188739999</v>
      </c>
      <c r="AK24" s="337">
        <f t="shared" si="110"/>
        <v>2216679.6867399989</v>
      </c>
    </row>
    <row r="25" spans="1:37" s="317" customFormat="1" x14ac:dyDescent="0.2">
      <c r="A25" s="328" t="s">
        <v>3359</v>
      </c>
      <c r="B25" s="329"/>
      <c r="C25" s="329"/>
      <c r="D25" s="329"/>
      <c r="E25" s="338">
        <f>MIN(E22-E23)</f>
        <v>83520.489600000001</v>
      </c>
      <c r="F25" s="329">
        <f>+E24</f>
        <v>83520.489600000001</v>
      </c>
      <c r="G25" s="329"/>
      <c r="H25" s="338">
        <f>MIN(H22-H23)</f>
        <v>0</v>
      </c>
      <c r="I25" s="329">
        <f>+H24</f>
        <v>0</v>
      </c>
      <c r="J25" s="329"/>
      <c r="K25" s="338">
        <f>MIN(K22-K23)</f>
        <v>0</v>
      </c>
      <c r="L25" s="329">
        <f>+K24</f>
        <v>0</v>
      </c>
      <c r="M25" s="329"/>
      <c r="N25" s="338">
        <f>MIN(N22-N23)</f>
        <v>0</v>
      </c>
      <c r="O25" s="329">
        <f>+N24</f>
        <v>0</v>
      </c>
      <c r="P25" s="329"/>
      <c r="Q25" s="338">
        <f>MIN(Q22-Q23)</f>
        <v>0</v>
      </c>
      <c r="R25" s="329">
        <f>+Q24</f>
        <v>0</v>
      </c>
      <c r="S25" s="329"/>
      <c r="T25" s="338">
        <f>MIN(T22-T23)</f>
        <v>0</v>
      </c>
      <c r="U25" s="329">
        <f>+T24</f>
        <v>0</v>
      </c>
      <c r="V25" s="329"/>
      <c r="W25" s="338">
        <f>MIN(W22-W23)</f>
        <v>28467.498000000003</v>
      </c>
      <c r="X25" s="329">
        <f>+W24</f>
        <v>28467.498000000003</v>
      </c>
      <c r="Y25" s="329"/>
      <c r="Z25" s="338">
        <f>MIN(Z22-Z23)</f>
        <v>293644.29119999998</v>
      </c>
      <c r="AA25" s="329">
        <f>+Z24</f>
        <v>293644.29119999998</v>
      </c>
      <c r="AB25" s="329"/>
      <c r="AC25" s="338">
        <f>MIN(AC22-AC23)</f>
        <v>23052.937600000001</v>
      </c>
      <c r="AD25" s="329">
        <f>+AC24</f>
        <v>23052.937600000001</v>
      </c>
      <c r="AE25" s="329"/>
      <c r="AF25" s="338">
        <f>MIN(AF22-AF23)</f>
        <v>0</v>
      </c>
      <c r="AG25" s="329">
        <f>+AF24</f>
        <v>0</v>
      </c>
      <c r="AH25" s="329"/>
      <c r="AI25" s="338">
        <f>MIN(AI22-AI23)</f>
        <v>0</v>
      </c>
      <c r="AJ25" s="329">
        <f>+AI24</f>
        <v>0</v>
      </c>
      <c r="AK25" s="329"/>
    </row>
    <row r="26" spans="1:37" s="317" customFormat="1" x14ac:dyDescent="0.3">
      <c r="A26" s="334" t="s">
        <v>2577</v>
      </c>
      <c r="B26" s="335">
        <f>+B24-B25</f>
        <v>0</v>
      </c>
      <c r="C26" s="335">
        <f t="shared" ref="C26:D26" si="111">+C24-C25</f>
        <v>1164175.7919999999</v>
      </c>
      <c r="D26" s="335">
        <f t="shared" si="111"/>
        <v>1808699.3343999998</v>
      </c>
      <c r="E26" s="335">
        <f>+E24-E25</f>
        <v>0</v>
      </c>
      <c r="F26" s="335">
        <f>+F24+F25</f>
        <v>1222449.8011999996</v>
      </c>
      <c r="G26" s="335">
        <f>+G24+G25</f>
        <v>1783452.8539999998</v>
      </c>
      <c r="H26" s="335">
        <f>+H24-H25</f>
        <v>0</v>
      </c>
      <c r="I26" s="335">
        <f t="shared" ref="I26" si="112">+I24-I25</f>
        <v>997525.37023999915</v>
      </c>
      <c r="J26" s="335">
        <f t="shared" ref="J26" si="113">+J24-J25</f>
        <v>1610052.9046399994</v>
      </c>
      <c r="K26" s="335">
        <f>+K24-K25</f>
        <v>0</v>
      </c>
      <c r="L26" s="335">
        <f t="shared" ref="L26" si="114">+L24-L25</f>
        <v>855102.97063999926</v>
      </c>
      <c r="M26" s="335">
        <f t="shared" ref="M26" si="115">+M24-M25</f>
        <v>1508158.1930399993</v>
      </c>
      <c r="N26" s="335">
        <f>+N24-N25</f>
        <v>0</v>
      </c>
      <c r="O26" s="335">
        <f t="shared" ref="O26" si="116">+O24-O25</f>
        <v>642045.78803999932</v>
      </c>
      <c r="P26" s="335">
        <f t="shared" ref="P26" si="117">+P24-P25</f>
        <v>1314596.5020399992</v>
      </c>
      <c r="Q26" s="335">
        <f>+Q24-Q25</f>
        <v>0</v>
      </c>
      <c r="R26" s="335">
        <f t="shared" ref="R26" si="118">+R24-R25</f>
        <v>511012.81553999922</v>
      </c>
      <c r="S26" s="335">
        <f t="shared" ref="S26" si="119">+S24-S25</f>
        <v>1201813.2559399991</v>
      </c>
      <c r="T26" s="335">
        <f>+T24-T25</f>
        <v>0</v>
      </c>
      <c r="U26" s="335">
        <f t="shared" ref="U26" si="120">+U24-U25</f>
        <v>452526.41993999924</v>
      </c>
      <c r="V26" s="335">
        <f t="shared" ref="V26" si="121">+V24-V25</f>
        <v>1159496.1911399993</v>
      </c>
      <c r="W26" s="335">
        <f>+W24-W25</f>
        <v>0</v>
      </c>
      <c r="X26" s="335">
        <f t="shared" ref="X26" si="122">+X24-X25</f>
        <v>757675.61413999915</v>
      </c>
      <c r="Y26" s="335">
        <f t="shared" ref="Y26" si="123">+Y24-Y25</f>
        <v>1493112.8833399992</v>
      </c>
      <c r="Z26" s="335">
        <f>+Z24-Z25</f>
        <v>0</v>
      </c>
      <c r="AA26" s="335">
        <f t="shared" ref="AA26" si="124">+AA24-AA25</f>
        <v>886952.72703999921</v>
      </c>
      <c r="AB26" s="335">
        <f t="shared" ref="AB26" si="125">+AB24-AB25</f>
        <v>1916034.2874399992</v>
      </c>
      <c r="AC26" s="335">
        <f>+AC24-AC25</f>
        <v>0</v>
      </c>
      <c r="AD26" s="335">
        <f t="shared" ref="AD26" si="126">+AD24-AD25</f>
        <v>1164545.188739999</v>
      </c>
      <c r="AE26" s="335">
        <f t="shared" ref="AE26" si="127">+AE24-AE25</f>
        <v>2216679.6867399989</v>
      </c>
      <c r="AF26" s="335">
        <f>+AF24-AF25</f>
        <v>0</v>
      </c>
      <c r="AG26" s="335">
        <f t="shared" ref="AG26" si="128">+AG24-AG25</f>
        <v>1164545.188739999</v>
      </c>
      <c r="AH26" s="335">
        <f t="shared" ref="AH26" si="129">+AH24-AH25</f>
        <v>2216679.6867399989</v>
      </c>
      <c r="AI26" s="335">
        <f>+AI24-AI25</f>
        <v>0</v>
      </c>
      <c r="AJ26" s="335">
        <f t="shared" ref="AJ26" si="130">+AJ24-AJ25</f>
        <v>1164545.188739999</v>
      </c>
      <c r="AK26" s="335">
        <f t="shared" ref="AK26" si="131">+AK24-AK25</f>
        <v>2216679.6867399989</v>
      </c>
    </row>
    <row r="27" spans="1:37" ht="10.8" customHeight="1" x14ac:dyDescent="0.3">
      <c r="A27" s="310"/>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row>
    <row r="28" spans="1:37" x14ac:dyDescent="0.3">
      <c r="A28" s="306" t="s">
        <v>2578</v>
      </c>
      <c r="B28" s="307" t="s">
        <v>16</v>
      </c>
      <c r="C28" s="307" t="s">
        <v>17</v>
      </c>
      <c r="D28" s="307" t="s">
        <v>18</v>
      </c>
      <c r="E28" s="307" t="s">
        <v>16</v>
      </c>
      <c r="F28" s="307" t="s">
        <v>17</v>
      </c>
      <c r="G28" s="307" t="s">
        <v>18</v>
      </c>
      <c r="H28" s="307" t="s">
        <v>16</v>
      </c>
      <c r="I28" s="307" t="s">
        <v>17</v>
      </c>
      <c r="J28" s="307" t="s">
        <v>18</v>
      </c>
      <c r="K28" s="307" t="s">
        <v>16</v>
      </c>
      <c r="L28" s="307" t="s">
        <v>17</v>
      </c>
      <c r="M28" s="307" t="s">
        <v>18</v>
      </c>
      <c r="N28" s="307" t="s">
        <v>16</v>
      </c>
      <c r="O28" s="307" t="s">
        <v>17</v>
      </c>
      <c r="P28" s="307" t="s">
        <v>18</v>
      </c>
      <c r="Q28" s="307" t="s">
        <v>16</v>
      </c>
      <c r="R28" s="307" t="s">
        <v>17</v>
      </c>
      <c r="S28" s="307" t="s">
        <v>18</v>
      </c>
      <c r="T28" s="307" t="s">
        <v>16</v>
      </c>
      <c r="U28" s="307" t="s">
        <v>17</v>
      </c>
      <c r="V28" s="307" t="s">
        <v>18</v>
      </c>
      <c r="W28" s="307" t="s">
        <v>16</v>
      </c>
      <c r="X28" s="307" t="s">
        <v>17</v>
      </c>
      <c r="Y28" s="307" t="s">
        <v>18</v>
      </c>
      <c r="Z28" s="307" t="s">
        <v>16</v>
      </c>
      <c r="AA28" s="307" t="s">
        <v>17</v>
      </c>
      <c r="AB28" s="307" t="s">
        <v>18</v>
      </c>
      <c r="AC28" s="307" t="s">
        <v>16</v>
      </c>
      <c r="AD28" s="307" t="s">
        <v>17</v>
      </c>
      <c r="AE28" s="307" t="s">
        <v>18</v>
      </c>
      <c r="AF28" s="307" t="s">
        <v>16</v>
      </c>
      <c r="AG28" s="307" t="s">
        <v>17</v>
      </c>
      <c r="AH28" s="307" t="s">
        <v>18</v>
      </c>
      <c r="AI28" s="307" t="s">
        <v>16</v>
      </c>
      <c r="AJ28" s="307" t="s">
        <v>17</v>
      </c>
      <c r="AK28" s="307" t="s">
        <v>18</v>
      </c>
    </row>
    <row r="29" spans="1:37" x14ac:dyDescent="0.3">
      <c r="A29" s="310" t="s">
        <v>2573</v>
      </c>
      <c r="B29" s="320">
        <v>0</v>
      </c>
      <c r="C29" s="320">
        <v>0</v>
      </c>
      <c r="D29" s="320">
        <v>0</v>
      </c>
      <c r="E29" s="321">
        <f>B32</f>
        <v>0</v>
      </c>
      <c r="F29" s="321">
        <f t="shared" ref="F29:AK29" si="132">C32</f>
        <v>-463</v>
      </c>
      <c r="G29" s="321">
        <f t="shared" si="132"/>
        <v>-463</v>
      </c>
      <c r="H29" s="321">
        <f t="shared" si="132"/>
        <v>0</v>
      </c>
      <c r="I29" s="321">
        <f t="shared" si="132"/>
        <v>-1602</v>
      </c>
      <c r="J29" s="321">
        <f t="shared" si="132"/>
        <v>-1602</v>
      </c>
      <c r="K29" s="321">
        <f t="shared" si="132"/>
        <v>0</v>
      </c>
      <c r="L29" s="321">
        <f t="shared" si="132"/>
        <v>-2217</v>
      </c>
      <c r="M29" s="321">
        <f t="shared" si="132"/>
        <v>-2217</v>
      </c>
      <c r="N29" s="321">
        <f t="shared" si="132"/>
        <v>0</v>
      </c>
      <c r="O29" s="321">
        <f t="shared" si="132"/>
        <v>-2998</v>
      </c>
      <c r="P29" s="321">
        <f t="shared" si="132"/>
        <v>-2998</v>
      </c>
      <c r="Q29" s="321">
        <f t="shared" si="132"/>
        <v>0</v>
      </c>
      <c r="R29" s="321">
        <f t="shared" si="132"/>
        <v>-3896</v>
      </c>
      <c r="S29" s="321">
        <f t="shared" si="132"/>
        <v>-3896</v>
      </c>
      <c r="T29" s="321">
        <f t="shared" si="132"/>
        <v>0</v>
      </c>
      <c r="U29" s="321">
        <f t="shared" si="132"/>
        <v>3051</v>
      </c>
      <c r="V29" s="321">
        <f t="shared" si="132"/>
        <v>3051</v>
      </c>
      <c r="W29" s="321">
        <f t="shared" si="132"/>
        <v>0</v>
      </c>
      <c r="X29" s="321">
        <f t="shared" si="132"/>
        <v>3051</v>
      </c>
      <c r="Y29" s="321">
        <f t="shared" si="132"/>
        <v>3051</v>
      </c>
      <c r="Z29" s="321">
        <f t="shared" si="132"/>
        <v>0</v>
      </c>
      <c r="AA29" s="321">
        <f t="shared" si="132"/>
        <v>3051</v>
      </c>
      <c r="AB29" s="321">
        <f t="shared" si="132"/>
        <v>3051</v>
      </c>
      <c r="AC29" s="321">
        <f t="shared" si="132"/>
        <v>0</v>
      </c>
      <c r="AD29" s="321">
        <f t="shared" si="132"/>
        <v>3051</v>
      </c>
      <c r="AE29" s="321">
        <f t="shared" si="132"/>
        <v>3051</v>
      </c>
      <c r="AF29" s="321">
        <f t="shared" si="132"/>
        <v>0</v>
      </c>
      <c r="AG29" s="321">
        <f t="shared" si="132"/>
        <v>3051</v>
      </c>
      <c r="AH29" s="321">
        <f t="shared" si="132"/>
        <v>3051</v>
      </c>
      <c r="AI29" s="321">
        <f t="shared" si="132"/>
        <v>0</v>
      </c>
      <c r="AJ29" s="321">
        <f t="shared" si="132"/>
        <v>3051</v>
      </c>
      <c r="AK29" s="321">
        <f t="shared" si="132"/>
        <v>3051</v>
      </c>
    </row>
    <row r="30" spans="1:37" x14ac:dyDescent="0.3">
      <c r="A30" s="310" t="s">
        <v>1477</v>
      </c>
      <c r="B30" s="320"/>
      <c r="C30" s="320">
        <v>0</v>
      </c>
      <c r="D30" s="320">
        <v>0</v>
      </c>
      <c r="E30" s="321"/>
      <c r="F30" s="339">
        <v>0</v>
      </c>
      <c r="G30" s="339">
        <v>0</v>
      </c>
      <c r="H30" s="321">
        <v>0</v>
      </c>
      <c r="I30" s="321">
        <v>0</v>
      </c>
      <c r="J30" s="321">
        <f>+I30</f>
        <v>0</v>
      </c>
      <c r="K30" s="321"/>
      <c r="L30" s="321">
        <v>0</v>
      </c>
      <c r="M30" s="321">
        <f>+L30</f>
        <v>0</v>
      </c>
      <c r="N30" s="321"/>
      <c r="O30" s="321">
        <v>0</v>
      </c>
      <c r="P30" s="321">
        <f>+O30</f>
        <v>0</v>
      </c>
      <c r="Q30" s="321"/>
      <c r="R30" s="321">
        <v>7871</v>
      </c>
      <c r="S30" s="321">
        <v>7871</v>
      </c>
      <c r="T30" s="321"/>
      <c r="U30" s="321">
        <v>728</v>
      </c>
      <c r="V30" s="321">
        <v>728</v>
      </c>
      <c r="W30" s="321"/>
      <c r="X30" s="321"/>
      <c r="Y30" s="321"/>
      <c r="Z30" s="321"/>
      <c r="AA30" s="321"/>
      <c r="AB30" s="321"/>
      <c r="AC30" s="321"/>
      <c r="AD30" s="321"/>
      <c r="AE30" s="321"/>
      <c r="AF30" s="321"/>
      <c r="AG30" s="321"/>
      <c r="AH30" s="321"/>
      <c r="AI30" s="321"/>
      <c r="AJ30" s="321"/>
      <c r="AK30" s="321"/>
    </row>
    <row r="31" spans="1:37" x14ac:dyDescent="0.3">
      <c r="A31" s="310" t="s">
        <v>2579</v>
      </c>
      <c r="B31" s="320"/>
      <c r="C31" s="320">
        <v>463</v>
      </c>
      <c r="D31" s="320">
        <v>463</v>
      </c>
      <c r="E31" s="321"/>
      <c r="F31" s="321">
        <v>1139</v>
      </c>
      <c r="G31" s="321">
        <v>1139</v>
      </c>
      <c r="H31" s="321"/>
      <c r="I31" s="321">
        <v>615</v>
      </c>
      <c r="J31" s="321">
        <f>+I31</f>
        <v>615</v>
      </c>
      <c r="K31" s="321"/>
      <c r="L31" s="321">
        <v>781</v>
      </c>
      <c r="M31" s="321">
        <f>+L31</f>
        <v>781</v>
      </c>
      <c r="N31" s="321"/>
      <c r="O31" s="321">
        <v>898</v>
      </c>
      <c r="P31" s="321">
        <v>898</v>
      </c>
      <c r="Q31" s="321"/>
      <c r="R31" s="321">
        <v>924</v>
      </c>
      <c r="S31" s="321">
        <v>924</v>
      </c>
      <c r="T31" s="321"/>
      <c r="U31" s="321">
        <v>728</v>
      </c>
      <c r="V31" s="321">
        <v>728</v>
      </c>
      <c r="W31" s="321"/>
      <c r="X31" s="321"/>
      <c r="Y31" s="321"/>
      <c r="Z31" s="321"/>
      <c r="AA31" s="321"/>
      <c r="AB31" s="321"/>
      <c r="AC31" s="321"/>
      <c r="AD31" s="321"/>
      <c r="AE31" s="321"/>
      <c r="AF31" s="321"/>
      <c r="AG31" s="321"/>
      <c r="AH31" s="321"/>
      <c r="AI31" s="321"/>
      <c r="AJ31" s="321"/>
      <c r="AK31" s="321"/>
    </row>
    <row r="32" spans="1:37" x14ac:dyDescent="0.3">
      <c r="A32" s="340" t="s">
        <v>2577</v>
      </c>
      <c r="B32" s="341">
        <f>B29+B30-B31</f>
        <v>0</v>
      </c>
      <c r="C32" s="341">
        <f t="shared" ref="C32:AK32" si="133">C29+C30-C31</f>
        <v>-463</v>
      </c>
      <c r="D32" s="341">
        <f t="shared" si="133"/>
        <v>-463</v>
      </c>
      <c r="E32" s="342">
        <f t="shared" si="133"/>
        <v>0</v>
      </c>
      <c r="F32" s="342">
        <f t="shared" si="133"/>
        <v>-1602</v>
      </c>
      <c r="G32" s="342">
        <f t="shared" si="133"/>
        <v>-1602</v>
      </c>
      <c r="H32" s="342">
        <f t="shared" si="133"/>
        <v>0</v>
      </c>
      <c r="I32" s="342">
        <f t="shared" si="133"/>
        <v>-2217</v>
      </c>
      <c r="J32" s="342">
        <f t="shared" si="133"/>
        <v>-2217</v>
      </c>
      <c r="K32" s="342">
        <f t="shared" si="133"/>
        <v>0</v>
      </c>
      <c r="L32" s="342">
        <f t="shared" si="133"/>
        <v>-2998</v>
      </c>
      <c r="M32" s="342">
        <f t="shared" si="133"/>
        <v>-2998</v>
      </c>
      <c r="N32" s="342">
        <f t="shared" si="133"/>
        <v>0</v>
      </c>
      <c r="O32" s="342">
        <f t="shared" si="133"/>
        <v>-3896</v>
      </c>
      <c r="P32" s="342">
        <f t="shared" si="133"/>
        <v>-3896</v>
      </c>
      <c r="Q32" s="342">
        <f t="shared" si="133"/>
        <v>0</v>
      </c>
      <c r="R32" s="342">
        <f t="shared" si="133"/>
        <v>3051</v>
      </c>
      <c r="S32" s="342">
        <f t="shared" si="133"/>
        <v>3051</v>
      </c>
      <c r="T32" s="342">
        <f t="shared" si="133"/>
        <v>0</v>
      </c>
      <c r="U32" s="342">
        <f t="shared" si="133"/>
        <v>3051</v>
      </c>
      <c r="V32" s="342">
        <f t="shared" si="133"/>
        <v>3051</v>
      </c>
      <c r="W32" s="342">
        <f t="shared" si="133"/>
        <v>0</v>
      </c>
      <c r="X32" s="342">
        <f t="shared" si="133"/>
        <v>3051</v>
      </c>
      <c r="Y32" s="342">
        <f t="shared" si="133"/>
        <v>3051</v>
      </c>
      <c r="Z32" s="342">
        <f t="shared" si="133"/>
        <v>0</v>
      </c>
      <c r="AA32" s="342">
        <f t="shared" si="133"/>
        <v>3051</v>
      </c>
      <c r="AB32" s="342">
        <f t="shared" si="133"/>
        <v>3051</v>
      </c>
      <c r="AC32" s="342">
        <f t="shared" si="133"/>
        <v>0</v>
      </c>
      <c r="AD32" s="342">
        <f t="shared" si="133"/>
        <v>3051</v>
      </c>
      <c r="AE32" s="342">
        <f t="shared" si="133"/>
        <v>3051</v>
      </c>
      <c r="AF32" s="342">
        <f t="shared" si="133"/>
        <v>0</v>
      </c>
      <c r="AG32" s="342">
        <f t="shared" si="133"/>
        <v>3051</v>
      </c>
      <c r="AH32" s="342">
        <f t="shared" si="133"/>
        <v>3051</v>
      </c>
      <c r="AI32" s="342">
        <f t="shared" si="133"/>
        <v>0</v>
      </c>
      <c r="AJ32" s="342">
        <f t="shared" si="133"/>
        <v>3051</v>
      </c>
      <c r="AK32" s="342">
        <f t="shared" si="133"/>
        <v>3051</v>
      </c>
    </row>
    <row r="33" spans="1:37" x14ac:dyDescent="0.3">
      <c r="A33" s="343" t="s">
        <v>4024</v>
      </c>
      <c r="B33" s="344"/>
      <c r="C33" s="344"/>
      <c r="D33" s="344"/>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row>
    <row r="34" spans="1:37" x14ac:dyDescent="0.3">
      <c r="A34" s="343" t="s">
        <v>4020</v>
      </c>
      <c r="B34" s="345">
        <v>264274.36</v>
      </c>
      <c r="C34" s="345">
        <v>474647.98</v>
      </c>
      <c r="D34" s="345">
        <v>307385.34000000003</v>
      </c>
      <c r="E34" s="833">
        <f>+B37</f>
        <v>264274.36</v>
      </c>
      <c r="F34" s="833">
        <f>+C37</f>
        <v>474647.98000000004</v>
      </c>
      <c r="G34" s="833">
        <f>+D37</f>
        <v>307385.34000000003</v>
      </c>
      <c r="H34" s="833">
        <f t="shared" ref="H34:AK34" si="134">+E37</f>
        <v>264274.36</v>
      </c>
      <c r="I34" s="833">
        <f t="shared" si="134"/>
        <v>474647.9800000001</v>
      </c>
      <c r="J34" s="833">
        <f t="shared" si="134"/>
        <v>307385.33999999997</v>
      </c>
      <c r="K34" s="833">
        <f t="shared" si="134"/>
        <v>264274.36</v>
      </c>
      <c r="L34" s="833">
        <f t="shared" si="134"/>
        <v>474647.98</v>
      </c>
      <c r="M34" s="833">
        <f t="shared" si="134"/>
        <v>307385.33999999997</v>
      </c>
      <c r="N34" s="833">
        <f t="shared" si="134"/>
        <v>264274.36</v>
      </c>
      <c r="O34" s="833">
        <f t="shared" si="134"/>
        <v>474647.9800000001</v>
      </c>
      <c r="P34" s="833">
        <f t="shared" si="134"/>
        <v>307385.33999999997</v>
      </c>
      <c r="Q34" s="833">
        <f t="shared" si="134"/>
        <v>264274.36</v>
      </c>
      <c r="R34" s="833">
        <f t="shared" si="134"/>
        <v>474647.9800000001</v>
      </c>
      <c r="S34" s="833">
        <f t="shared" si="134"/>
        <v>307385.33999999997</v>
      </c>
      <c r="T34" s="833">
        <f t="shared" si="134"/>
        <v>264274.36</v>
      </c>
      <c r="U34" s="833">
        <f t="shared" si="134"/>
        <v>474647.98000000004</v>
      </c>
      <c r="V34" s="833">
        <f t="shared" si="134"/>
        <v>307385.33999999991</v>
      </c>
      <c r="W34" s="833">
        <f t="shared" si="134"/>
        <v>264274.36</v>
      </c>
      <c r="X34" s="833">
        <f t="shared" si="134"/>
        <v>474647.9800000001</v>
      </c>
      <c r="Y34" s="833">
        <f t="shared" si="134"/>
        <v>307385.33999999997</v>
      </c>
      <c r="Z34" s="833">
        <f t="shared" si="134"/>
        <v>315200.56679999997</v>
      </c>
      <c r="AA34" s="833">
        <f t="shared" si="134"/>
        <v>731623.33380000014</v>
      </c>
      <c r="AB34" s="833">
        <f t="shared" si="134"/>
        <v>564360.69380000001</v>
      </c>
      <c r="AC34" s="833">
        <f t="shared" si="134"/>
        <v>443584.1004</v>
      </c>
      <c r="AD34" s="833">
        <f t="shared" si="134"/>
        <v>997215.4236000001</v>
      </c>
      <c r="AE34" s="833">
        <f t="shared" si="134"/>
        <v>829952.78359999997</v>
      </c>
      <c r="AF34" s="833">
        <f t="shared" si="134"/>
        <v>482468.96039999998</v>
      </c>
      <c r="AG34" s="833">
        <f t="shared" si="134"/>
        <v>1510746.7232000004</v>
      </c>
      <c r="AH34" s="833">
        <f t="shared" si="134"/>
        <v>1343484.0832000002</v>
      </c>
      <c r="AI34" s="833">
        <f t="shared" si="134"/>
        <v>482468.96039999998</v>
      </c>
      <c r="AJ34" s="833">
        <f t="shared" si="134"/>
        <v>1510746.7232000004</v>
      </c>
      <c r="AK34" s="833">
        <f t="shared" si="134"/>
        <v>1343484.0832000002</v>
      </c>
    </row>
    <row r="35" spans="1:37" x14ac:dyDescent="0.3">
      <c r="A35" s="343" t="s">
        <v>4021</v>
      </c>
      <c r="B35" s="345">
        <f>+B3</f>
        <v>34940.687599999997</v>
      </c>
      <c r="C35" s="345">
        <f>+C3</f>
        <v>417253.72849999991</v>
      </c>
      <c r="D35" s="345">
        <f>+D3</f>
        <v>417253.72849999991</v>
      </c>
      <c r="E35" s="345">
        <f t="shared" ref="E35:AK35" si="135">+E3</f>
        <v>55549.74040000001</v>
      </c>
      <c r="F35" s="345">
        <f t="shared" si="135"/>
        <v>462253.39580000017</v>
      </c>
      <c r="G35" s="345">
        <f t="shared" si="135"/>
        <v>462253.39580000017</v>
      </c>
      <c r="H35" s="345">
        <f t="shared" si="135"/>
        <v>141109.85840000003</v>
      </c>
      <c r="I35" s="345">
        <f t="shared" si="135"/>
        <v>630521.11866000015</v>
      </c>
      <c r="J35" s="345">
        <f t="shared" si="135"/>
        <v>630521.11866000015</v>
      </c>
      <c r="K35" s="345">
        <f t="shared" si="135"/>
        <v>64427.327999999994</v>
      </c>
      <c r="L35" s="345">
        <f t="shared" si="135"/>
        <v>751921.66600000055</v>
      </c>
      <c r="M35" s="345">
        <f t="shared" si="135"/>
        <v>751921.66600000055</v>
      </c>
      <c r="N35" s="345">
        <f t="shared" si="135"/>
        <v>30473.3688</v>
      </c>
      <c r="O35" s="345">
        <f t="shared" si="135"/>
        <v>597973.32440000016</v>
      </c>
      <c r="P35" s="345">
        <f t="shared" si="135"/>
        <v>597973.32440000016</v>
      </c>
      <c r="Q35" s="345">
        <f t="shared" si="135"/>
        <v>75713.330000000016</v>
      </c>
      <c r="R35" s="345">
        <f t="shared" si="135"/>
        <v>495784.53260000021</v>
      </c>
      <c r="S35" s="345">
        <f t="shared" si="135"/>
        <v>495784.53260000021</v>
      </c>
      <c r="T35" s="345">
        <f t="shared" si="135"/>
        <v>51945.630799999992</v>
      </c>
      <c r="U35" s="345">
        <f t="shared" si="135"/>
        <v>419677.1544</v>
      </c>
      <c r="V35" s="345">
        <f t="shared" si="135"/>
        <v>419677.1544</v>
      </c>
      <c r="W35" s="345">
        <f t="shared" si="135"/>
        <v>50926.2068</v>
      </c>
      <c r="X35" s="345">
        <f t="shared" si="135"/>
        <v>256975.35380000001</v>
      </c>
      <c r="Y35" s="345">
        <f t="shared" si="135"/>
        <v>256975.35380000001</v>
      </c>
      <c r="Z35" s="345">
        <f t="shared" si="135"/>
        <v>128383.5336</v>
      </c>
      <c r="AA35" s="345">
        <f t="shared" si="135"/>
        <v>265592.08979999996</v>
      </c>
      <c r="AB35" s="345">
        <f t="shared" si="135"/>
        <v>265592.08979999996</v>
      </c>
      <c r="AC35" s="345">
        <f t="shared" si="135"/>
        <v>38884.86</v>
      </c>
      <c r="AD35" s="345">
        <f t="shared" si="135"/>
        <v>513531.29960000014</v>
      </c>
      <c r="AE35" s="345">
        <f t="shared" si="135"/>
        <v>513531.29960000014</v>
      </c>
      <c r="AF35" s="345">
        <f t="shared" si="135"/>
        <v>0</v>
      </c>
      <c r="AG35" s="345">
        <f t="shared" si="135"/>
        <v>0</v>
      </c>
      <c r="AH35" s="345">
        <f t="shared" si="135"/>
        <v>0</v>
      </c>
      <c r="AI35" s="345">
        <f t="shared" si="135"/>
        <v>0</v>
      </c>
      <c r="AJ35" s="345">
        <f t="shared" si="135"/>
        <v>0</v>
      </c>
      <c r="AK35" s="345">
        <f t="shared" si="135"/>
        <v>0</v>
      </c>
    </row>
    <row r="36" spans="1:37" x14ac:dyDescent="0.3">
      <c r="A36" s="343" t="s">
        <v>4022</v>
      </c>
      <c r="B36" s="346">
        <f>+B4+B5+B6</f>
        <v>34940.687599999997</v>
      </c>
      <c r="C36" s="346">
        <f>+C4+C5</f>
        <v>417253.72849999991</v>
      </c>
      <c r="D36" s="346">
        <f>+D4+D6</f>
        <v>417253.72849999991</v>
      </c>
      <c r="E36" s="346">
        <f t="shared" ref="E36" si="136">+E4+E5+E6</f>
        <v>55549.74040000001</v>
      </c>
      <c r="F36" s="346">
        <f t="shared" ref="F36" si="137">+F4+F5</f>
        <v>462253.39580000017</v>
      </c>
      <c r="G36" s="346">
        <f t="shared" ref="G36" si="138">+G4+G6</f>
        <v>462253.39580000017</v>
      </c>
      <c r="H36" s="346">
        <f t="shared" ref="H36" si="139">+H4+H5+H6</f>
        <v>141109.85840000003</v>
      </c>
      <c r="I36" s="346">
        <f t="shared" ref="I36" si="140">+I4+I5</f>
        <v>630521.11866000015</v>
      </c>
      <c r="J36" s="346">
        <f t="shared" ref="J36" si="141">+J4+J6</f>
        <v>630521.11866000015</v>
      </c>
      <c r="K36" s="346">
        <f t="shared" ref="K36" si="142">+K4+K5+K6</f>
        <v>64427.327999999994</v>
      </c>
      <c r="L36" s="346">
        <f t="shared" ref="L36" si="143">+L4+L5</f>
        <v>751921.66600000055</v>
      </c>
      <c r="M36" s="346">
        <f t="shared" ref="M36" si="144">+M4+M6</f>
        <v>751921.66600000055</v>
      </c>
      <c r="N36" s="346">
        <f t="shared" ref="N36" si="145">+N4+N5+N6</f>
        <v>30473.3688</v>
      </c>
      <c r="O36" s="346">
        <f t="shared" ref="O36" si="146">+O4+O5</f>
        <v>597973.32440000016</v>
      </c>
      <c r="P36" s="346">
        <f t="shared" ref="P36" si="147">+P4+P6</f>
        <v>597973.32440000016</v>
      </c>
      <c r="Q36" s="346">
        <f t="shared" ref="Q36" si="148">+Q4+Q5+Q6</f>
        <v>75713.330000000016</v>
      </c>
      <c r="R36" s="346">
        <f t="shared" ref="R36" si="149">+R4+R5</f>
        <v>495784.53260000021</v>
      </c>
      <c r="S36" s="346">
        <f t="shared" ref="S36" si="150">+S4+S6</f>
        <v>495784.53260000021</v>
      </c>
      <c r="T36" s="346">
        <f t="shared" ref="T36" si="151">+T4+T5+T6</f>
        <v>51945.630799999992</v>
      </c>
      <c r="U36" s="346">
        <f t="shared" ref="U36" si="152">+U4+U5</f>
        <v>419677.1544</v>
      </c>
      <c r="V36" s="346">
        <f t="shared" ref="V36" si="153">+V4+V6</f>
        <v>419677.1544</v>
      </c>
      <c r="W36" s="346">
        <f t="shared" ref="W36" si="154">+W4+W5+W6</f>
        <v>0</v>
      </c>
      <c r="X36" s="346">
        <f t="shared" ref="X36" si="155">+X4+X5</f>
        <v>0</v>
      </c>
      <c r="Y36" s="346">
        <f t="shared" ref="Y36" si="156">+Y4+Y6</f>
        <v>0</v>
      </c>
      <c r="Z36" s="346">
        <f t="shared" ref="Z36" si="157">+Z4+Z5+Z6</f>
        <v>0</v>
      </c>
      <c r="AA36" s="346">
        <f t="shared" ref="AA36" si="158">+AA4+AA5</f>
        <v>0</v>
      </c>
      <c r="AB36" s="346">
        <f t="shared" ref="AB36" si="159">+AB4+AB6</f>
        <v>0</v>
      </c>
      <c r="AC36" s="346">
        <f t="shared" ref="AC36" si="160">+AC4+AC5+AC6</f>
        <v>0</v>
      </c>
      <c r="AD36" s="346">
        <f t="shared" ref="AD36" si="161">+AD4+AD5</f>
        <v>0</v>
      </c>
      <c r="AE36" s="346">
        <f t="shared" ref="AE36" si="162">+AE4+AE6</f>
        <v>0</v>
      </c>
      <c r="AF36" s="346">
        <f t="shared" ref="AF36" si="163">+AF4+AF5+AF6</f>
        <v>0</v>
      </c>
      <c r="AG36" s="346">
        <f t="shared" ref="AG36" si="164">+AG4+AG5</f>
        <v>0</v>
      </c>
      <c r="AH36" s="346">
        <f t="shared" ref="AH36" si="165">+AH4+AH6</f>
        <v>0</v>
      </c>
      <c r="AI36" s="346">
        <f t="shared" ref="AI36" si="166">+AI4+AI5+AI6</f>
        <v>0</v>
      </c>
      <c r="AJ36" s="346">
        <f t="shared" ref="AJ36" si="167">+AJ4+AJ5</f>
        <v>0</v>
      </c>
      <c r="AK36" s="346">
        <f t="shared" ref="AK36" si="168">+AK4+AK6</f>
        <v>0</v>
      </c>
    </row>
    <row r="37" spans="1:37" x14ac:dyDescent="0.3">
      <c r="A37" s="343" t="s">
        <v>2571</v>
      </c>
      <c r="B37" s="833">
        <f>+B34+B35-B36</f>
        <v>264274.36</v>
      </c>
      <c r="C37" s="833">
        <f>+C34+C35-C36</f>
        <v>474647.98000000004</v>
      </c>
      <c r="D37" s="833">
        <f>+D34+D35-D36</f>
        <v>307385.34000000003</v>
      </c>
      <c r="E37" s="833">
        <f t="shared" ref="E37:AK37" si="169">+E34+E35-E36</f>
        <v>264274.36</v>
      </c>
      <c r="F37" s="833">
        <f t="shared" si="169"/>
        <v>474647.9800000001</v>
      </c>
      <c r="G37" s="833">
        <f t="shared" si="169"/>
        <v>307385.33999999997</v>
      </c>
      <c r="H37" s="833">
        <f t="shared" si="169"/>
        <v>264274.36</v>
      </c>
      <c r="I37" s="833">
        <f t="shared" si="169"/>
        <v>474647.98</v>
      </c>
      <c r="J37" s="833">
        <f t="shared" si="169"/>
        <v>307385.33999999997</v>
      </c>
      <c r="K37" s="833">
        <f t="shared" si="169"/>
        <v>264274.36</v>
      </c>
      <c r="L37" s="833">
        <f t="shared" si="169"/>
        <v>474647.9800000001</v>
      </c>
      <c r="M37" s="833">
        <f t="shared" si="169"/>
        <v>307385.33999999997</v>
      </c>
      <c r="N37" s="833">
        <f t="shared" si="169"/>
        <v>264274.36</v>
      </c>
      <c r="O37" s="833">
        <f t="shared" si="169"/>
        <v>474647.9800000001</v>
      </c>
      <c r="P37" s="833">
        <f t="shared" si="169"/>
        <v>307385.33999999997</v>
      </c>
      <c r="Q37" s="833">
        <f t="shared" si="169"/>
        <v>264274.36</v>
      </c>
      <c r="R37" s="833">
        <f t="shared" si="169"/>
        <v>474647.98000000004</v>
      </c>
      <c r="S37" s="833">
        <f t="shared" si="169"/>
        <v>307385.33999999991</v>
      </c>
      <c r="T37" s="833">
        <f t="shared" si="169"/>
        <v>264274.36</v>
      </c>
      <c r="U37" s="833">
        <f t="shared" si="169"/>
        <v>474647.9800000001</v>
      </c>
      <c r="V37" s="833">
        <f t="shared" si="169"/>
        <v>307385.33999999997</v>
      </c>
      <c r="W37" s="833">
        <f t="shared" si="169"/>
        <v>315200.56679999997</v>
      </c>
      <c r="X37" s="833">
        <f t="shared" si="169"/>
        <v>731623.33380000014</v>
      </c>
      <c r="Y37" s="833">
        <f t="shared" si="169"/>
        <v>564360.69380000001</v>
      </c>
      <c r="Z37" s="833">
        <f t="shared" si="169"/>
        <v>443584.1004</v>
      </c>
      <c r="AA37" s="833">
        <f t="shared" si="169"/>
        <v>997215.4236000001</v>
      </c>
      <c r="AB37" s="833">
        <f t="shared" si="169"/>
        <v>829952.78359999997</v>
      </c>
      <c r="AC37" s="833">
        <f t="shared" si="169"/>
        <v>482468.96039999998</v>
      </c>
      <c r="AD37" s="833">
        <f t="shared" si="169"/>
        <v>1510746.7232000004</v>
      </c>
      <c r="AE37" s="833">
        <f t="shared" si="169"/>
        <v>1343484.0832000002</v>
      </c>
      <c r="AF37" s="833">
        <f t="shared" si="169"/>
        <v>482468.96039999998</v>
      </c>
      <c r="AG37" s="833">
        <f t="shared" si="169"/>
        <v>1510746.7232000004</v>
      </c>
      <c r="AH37" s="833">
        <f t="shared" si="169"/>
        <v>1343484.0832000002</v>
      </c>
      <c r="AI37" s="833">
        <f t="shared" si="169"/>
        <v>482468.96039999998</v>
      </c>
      <c r="AJ37" s="833">
        <f t="shared" si="169"/>
        <v>1510746.7232000004</v>
      </c>
      <c r="AK37" s="833">
        <f t="shared" si="169"/>
        <v>1343484.0832000002</v>
      </c>
    </row>
    <row r="39" spans="1:37" x14ac:dyDescent="0.3">
      <c r="A39" s="343" t="s">
        <v>4025</v>
      </c>
    </row>
    <row r="40" spans="1:37" x14ac:dyDescent="0.3">
      <c r="A40" s="343" t="s">
        <v>4020</v>
      </c>
      <c r="C40" s="305">
        <v>900</v>
      </c>
      <c r="D40" s="305">
        <v>900</v>
      </c>
      <c r="E40" s="346">
        <f>+B43</f>
        <v>0</v>
      </c>
      <c r="F40" s="346">
        <f>+C43</f>
        <v>1362.5</v>
      </c>
      <c r="G40" s="346">
        <f>+D43</f>
        <v>1362.5</v>
      </c>
      <c r="H40" s="346">
        <f t="shared" ref="H40:AK40" si="170">+E43</f>
        <v>0</v>
      </c>
      <c r="I40" s="346">
        <f t="shared" si="170"/>
        <v>2501.5</v>
      </c>
      <c r="J40" s="346">
        <f t="shared" si="170"/>
        <v>2501.5</v>
      </c>
      <c r="K40" s="346">
        <f t="shared" si="170"/>
        <v>0</v>
      </c>
      <c r="L40" s="346">
        <f t="shared" si="170"/>
        <v>3116.5</v>
      </c>
      <c r="M40" s="346">
        <f t="shared" si="170"/>
        <v>3116.5</v>
      </c>
      <c r="N40" s="346">
        <f t="shared" si="170"/>
        <v>0</v>
      </c>
      <c r="O40" s="346">
        <f t="shared" si="170"/>
        <v>3897.75</v>
      </c>
      <c r="P40" s="346">
        <f t="shared" si="170"/>
        <v>3897.75</v>
      </c>
      <c r="Q40" s="346">
        <f t="shared" si="170"/>
        <v>0</v>
      </c>
      <c r="R40" s="346">
        <f t="shared" si="170"/>
        <v>4795.25</v>
      </c>
      <c r="S40" s="346">
        <f t="shared" si="170"/>
        <v>4795.25</v>
      </c>
      <c r="T40" s="346">
        <f t="shared" si="170"/>
        <v>0</v>
      </c>
      <c r="U40" s="346">
        <f t="shared" si="170"/>
        <v>-2152</v>
      </c>
      <c r="V40" s="346">
        <f t="shared" si="170"/>
        <v>-2152</v>
      </c>
      <c r="W40" s="346">
        <f t="shared" si="170"/>
        <v>0</v>
      </c>
      <c r="X40" s="346">
        <f t="shared" si="170"/>
        <v>-2152.5</v>
      </c>
      <c r="Y40" s="346">
        <f t="shared" si="170"/>
        <v>-2152.5</v>
      </c>
      <c r="Z40" s="346">
        <f t="shared" si="170"/>
        <v>0</v>
      </c>
      <c r="AA40" s="346">
        <f t="shared" si="170"/>
        <v>-1467.5</v>
      </c>
      <c r="AB40" s="346">
        <f t="shared" si="170"/>
        <v>-1467.5</v>
      </c>
      <c r="AC40" s="346">
        <f t="shared" si="170"/>
        <v>118.05</v>
      </c>
      <c r="AD40" s="346">
        <f t="shared" si="170"/>
        <v>-282.5</v>
      </c>
      <c r="AE40" s="346">
        <f t="shared" si="170"/>
        <v>-282.5</v>
      </c>
      <c r="AF40" s="346">
        <f t="shared" si="170"/>
        <v>118.05</v>
      </c>
      <c r="AG40" s="346">
        <f t="shared" si="170"/>
        <v>-282.5</v>
      </c>
      <c r="AH40" s="346">
        <f t="shared" si="170"/>
        <v>-282.5</v>
      </c>
      <c r="AI40" s="346">
        <f t="shared" si="170"/>
        <v>118.05</v>
      </c>
      <c r="AJ40" s="346">
        <f t="shared" si="170"/>
        <v>-282.5</v>
      </c>
      <c r="AK40" s="346">
        <f t="shared" si="170"/>
        <v>-282.5</v>
      </c>
    </row>
    <row r="41" spans="1:37" x14ac:dyDescent="0.3">
      <c r="A41" s="343" t="s">
        <v>4021</v>
      </c>
      <c r="B41" s="346">
        <f>+B9</f>
        <v>0</v>
      </c>
      <c r="C41" s="346">
        <f t="shared" ref="C41:L41" si="171">+C9</f>
        <v>462.5</v>
      </c>
      <c r="D41" s="346">
        <f t="shared" si="171"/>
        <v>462.5</v>
      </c>
      <c r="E41" s="346">
        <f t="shared" si="171"/>
        <v>0</v>
      </c>
      <c r="F41" s="346">
        <f t="shared" si="171"/>
        <v>1139</v>
      </c>
      <c r="G41" s="346">
        <f t="shared" si="171"/>
        <v>1139</v>
      </c>
      <c r="H41" s="346">
        <f t="shared" si="171"/>
        <v>0</v>
      </c>
      <c r="I41" s="346">
        <f t="shared" si="171"/>
        <v>615</v>
      </c>
      <c r="J41" s="346">
        <f t="shared" si="171"/>
        <v>615</v>
      </c>
      <c r="K41" s="346">
        <f t="shared" si="171"/>
        <v>0</v>
      </c>
      <c r="L41" s="346">
        <f t="shared" si="171"/>
        <v>781.25</v>
      </c>
      <c r="M41" s="346">
        <f>+M8</f>
        <v>781.25</v>
      </c>
      <c r="N41" s="346">
        <f>+N8</f>
        <v>0</v>
      </c>
      <c r="O41" s="346">
        <f>+O8</f>
        <v>897.5</v>
      </c>
      <c r="P41" s="346">
        <f t="shared" ref="P41:AK41" si="172">+P8</f>
        <v>897.5</v>
      </c>
      <c r="Q41" s="346">
        <f t="shared" si="172"/>
        <v>0</v>
      </c>
      <c r="R41" s="346">
        <f t="shared" si="172"/>
        <v>923.75</v>
      </c>
      <c r="S41" s="346">
        <f t="shared" si="172"/>
        <v>923.75</v>
      </c>
      <c r="T41" s="346">
        <f t="shared" si="172"/>
        <v>0</v>
      </c>
      <c r="U41" s="346">
        <f t="shared" si="172"/>
        <v>727.5</v>
      </c>
      <c r="V41" s="346">
        <f t="shared" si="172"/>
        <v>727.5</v>
      </c>
      <c r="W41" s="346">
        <f t="shared" si="172"/>
        <v>0</v>
      </c>
      <c r="X41" s="346">
        <f t="shared" si="172"/>
        <v>685</v>
      </c>
      <c r="Y41" s="346">
        <f t="shared" si="172"/>
        <v>685</v>
      </c>
      <c r="Z41" s="346">
        <f t="shared" si="172"/>
        <v>118.05</v>
      </c>
      <c r="AA41" s="346">
        <f t="shared" si="172"/>
        <v>1185</v>
      </c>
      <c r="AB41" s="346">
        <f t="shared" si="172"/>
        <v>1185</v>
      </c>
      <c r="AC41" s="346">
        <f t="shared" si="172"/>
        <v>0</v>
      </c>
      <c r="AD41" s="346">
        <f t="shared" si="172"/>
        <v>0</v>
      </c>
      <c r="AE41" s="346">
        <f t="shared" si="172"/>
        <v>0</v>
      </c>
      <c r="AF41" s="346">
        <f t="shared" si="172"/>
        <v>0</v>
      </c>
      <c r="AG41" s="346">
        <f t="shared" si="172"/>
        <v>0</v>
      </c>
      <c r="AH41" s="346">
        <f t="shared" si="172"/>
        <v>0</v>
      </c>
      <c r="AI41" s="346">
        <f t="shared" si="172"/>
        <v>0</v>
      </c>
      <c r="AJ41" s="346">
        <f t="shared" si="172"/>
        <v>0</v>
      </c>
      <c r="AK41" s="346">
        <f t="shared" si="172"/>
        <v>0</v>
      </c>
    </row>
    <row r="42" spans="1:37" x14ac:dyDescent="0.3">
      <c r="A42" s="343" t="s">
        <v>4022</v>
      </c>
      <c r="B42" s="346">
        <f>+B30</f>
        <v>0</v>
      </c>
      <c r="C42" s="346">
        <f t="shared" ref="C42:AK42" si="173">+C30</f>
        <v>0</v>
      </c>
      <c r="D42" s="346">
        <f t="shared" si="173"/>
        <v>0</v>
      </c>
      <c r="E42" s="346">
        <f t="shared" si="173"/>
        <v>0</v>
      </c>
      <c r="F42" s="346">
        <f t="shared" si="173"/>
        <v>0</v>
      </c>
      <c r="G42" s="346">
        <f t="shared" si="173"/>
        <v>0</v>
      </c>
      <c r="H42" s="346">
        <f t="shared" si="173"/>
        <v>0</v>
      </c>
      <c r="I42" s="346">
        <f t="shared" si="173"/>
        <v>0</v>
      </c>
      <c r="J42" s="346">
        <f t="shared" si="173"/>
        <v>0</v>
      </c>
      <c r="K42" s="346">
        <f t="shared" si="173"/>
        <v>0</v>
      </c>
      <c r="L42" s="346">
        <f t="shared" si="173"/>
        <v>0</v>
      </c>
      <c r="M42" s="346">
        <f t="shared" si="173"/>
        <v>0</v>
      </c>
      <c r="N42" s="346">
        <f t="shared" si="173"/>
        <v>0</v>
      </c>
      <c r="O42" s="346">
        <f t="shared" si="173"/>
        <v>0</v>
      </c>
      <c r="P42" s="346">
        <f t="shared" si="173"/>
        <v>0</v>
      </c>
      <c r="Q42" s="346">
        <f t="shared" si="173"/>
        <v>0</v>
      </c>
      <c r="R42" s="346">
        <f t="shared" si="173"/>
        <v>7871</v>
      </c>
      <c r="S42" s="346">
        <f t="shared" si="173"/>
        <v>7871</v>
      </c>
      <c r="T42" s="346">
        <f t="shared" si="173"/>
        <v>0</v>
      </c>
      <c r="U42" s="346">
        <f t="shared" si="173"/>
        <v>728</v>
      </c>
      <c r="V42" s="346">
        <f t="shared" si="173"/>
        <v>728</v>
      </c>
      <c r="W42" s="346">
        <f t="shared" si="173"/>
        <v>0</v>
      </c>
      <c r="X42" s="346">
        <f t="shared" si="173"/>
        <v>0</v>
      </c>
      <c r="Y42" s="346">
        <f t="shared" si="173"/>
        <v>0</v>
      </c>
      <c r="Z42" s="346">
        <f t="shared" si="173"/>
        <v>0</v>
      </c>
      <c r="AA42" s="346">
        <f t="shared" si="173"/>
        <v>0</v>
      </c>
      <c r="AB42" s="346">
        <f t="shared" si="173"/>
        <v>0</v>
      </c>
      <c r="AC42" s="346">
        <f t="shared" si="173"/>
        <v>0</v>
      </c>
      <c r="AD42" s="346">
        <f t="shared" si="173"/>
        <v>0</v>
      </c>
      <c r="AE42" s="346">
        <f t="shared" si="173"/>
        <v>0</v>
      </c>
      <c r="AF42" s="346">
        <f t="shared" si="173"/>
        <v>0</v>
      </c>
      <c r="AG42" s="346">
        <f t="shared" si="173"/>
        <v>0</v>
      </c>
      <c r="AH42" s="346">
        <f t="shared" si="173"/>
        <v>0</v>
      </c>
      <c r="AI42" s="346">
        <f t="shared" si="173"/>
        <v>0</v>
      </c>
      <c r="AJ42" s="346">
        <f t="shared" si="173"/>
        <v>0</v>
      </c>
      <c r="AK42" s="346">
        <f t="shared" si="173"/>
        <v>0</v>
      </c>
    </row>
    <row r="43" spans="1:37" x14ac:dyDescent="0.3">
      <c r="A43" s="343" t="s">
        <v>2571</v>
      </c>
      <c r="B43" s="346">
        <f>+B40+B41-B42</f>
        <v>0</v>
      </c>
      <c r="C43" s="346">
        <f t="shared" ref="C43:AK43" si="174">+C40+C41-C42</f>
        <v>1362.5</v>
      </c>
      <c r="D43" s="346">
        <f t="shared" si="174"/>
        <v>1362.5</v>
      </c>
      <c r="E43" s="346">
        <f t="shared" si="174"/>
        <v>0</v>
      </c>
      <c r="F43" s="346">
        <f t="shared" si="174"/>
        <v>2501.5</v>
      </c>
      <c r="G43" s="346">
        <f t="shared" si="174"/>
        <v>2501.5</v>
      </c>
      <c r="H43" s="346">
        <f t="shared" si="174"/>
        <v>0</v>
      </c>
      <c r="I43" s="346">
        <f t="shared" si="174"/>
        <v>3116.5</v>
      </c>
      <c r="J43" s="346">
        <f t="shared" si="174"/>
        <v>3116.5</v>
      </c>
      <c r="K43" s="346">
        <f t="shared" si="174"/>
        <v>0</v>
      </c>
      <c r="L43" s="346">
        <f t="shared" si="174"/>
        <v>3897.75</v>
      </c>
      <c r="M43" s="346">
        <f t="shared" si="174"/>
        <v>3897.75</v>
      </c>
      <c r="N43" s="346">
        <f t="shared" si="174"/>
        <v>0</v>
      </c>
      <c r="O43" s="346">
        <f t="shared" si="174"/>
        <v>4795.25</v>
      </c>
      <c r="P43" s="346">
        <f t="shared" si="174"/>
        <v>4795.25</v>
      </c>
      <c r="Q43" s="346">
        <f t="shared" si="174"/>
        <v>0</v>
      </c>
      <c r="R43" s="346">
        <f t="shared" si="174"/>
        <v>-2152</v>
      </c>
      <c r="S43" s="346">
        <f t="shared" si="174"/>
        <v>-2152</v>
      </c>
      <c r="T43" s="346">
        <f t="shared" si="174"/>
        <v>0</v>
      </c>
      <c r="U43" s="346">
        <f t="shared" si="174"/>
        <v>-2152.5</v>
      </c>
      <c r="V43" s="346">
        <f t="shared" si="174"/>
        <v>-2152.5</v>
      </c>
      <c r="W43" s="346">
        <f t="shared" si="174"/>
        <v>0</v>
      </c>
      <c r="X43" s="346">
        <f t="shared" si="174"/>
        <v>-1467.5</v>
      </c>
      <c r="Y43" s="346">
        <f t="shared" si="174"/>
        <v>-1467.5</v>
      </c>
      <c r="Z43" s="346">
        <f t="shared" si="174"/>
        <v>118.05</v>
      </c>
      <c r="AA43" s="346">
        <f t="shared" si="174"/>
        <v>-282.5</v>
      </c>
      <c r="AB43" s="346">
        <f t="shared" si="174"/>
        <v>-282.5</v>
      </c>
      <c r="AC43" s="346">
        <f t="shared" si="174"/>
        <v>118.05</v>
      </c>
      <c r="AD43" s="346">
        <f t="shared" si="174"/>
        <v>-282.5</v>
      </c>
      <c r="AE43" s="346">
        <f t="shared" si="174"/>
        <v>-282.5</v>
      </c>
      <c r="AF43" s="346">
        <f t="shared" si="174"/>
        <v>118.05</v>
      </c>
      <c r="AG43" s="346">
        <f t="shared" si="174"/>
        <v>-282.5</v>
      </c>
      <c r="AH43" s="346">
        <f t="shared" si="174"/>
        <v>-282.5</v>
      </c>
      <c r="AI43" s="346">
        <f t="shared" si="174"/>
        <v>118.05</v>
      </c>
      <c r="AJ43" s="346">
        <f t="shared" si="174"/>
        <v>-282.5</v>
      </c>
      <c r="AK43" s="346">
        <f t="shared" si="174"/>
        <v>-282.5</v>
      </c>
    </row>
  </sheetData>
  <mergeCells count="12">
    <mergeCell ref="AI1:AK1"/>
    <mergeCell ref="B1:D1"/>
    <mergeCell ref="E1:G1"/>
    <mergeCell ref="H1:J1"/>
    <mergeCell ref="K1:M1"/>
    <mergeCell ref="N1:P1"/>
    <mergeCell ref="Q1:S1"/>
    <mergeCell ref="T1:V1"/>
    <mergeCell ref="W1:Y1"/>
    <mergeCell ref="Z1:AB1"/>
    <mergeCell ref="AC1:AE1"/>
    <mergeCell ref="AF1:AH1"/>
  </mergeCells>
  <pageMargins left="0.7" right="0.7" top="0.75" bottom="0.75" header="0.3" footer="0.3"/>
  <pageSetup paperSize="9" orientation="portrait" verticalDpi="0" r:id="rId1"/>
  <ignoredErrors>
    <ignoredError sqref="D16"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topLeftCell="A37" workbookViewId="0">
      <selection sqref="A1:Q1"/>
    </sheetView>
  </sheetViews>
  <sheetFormatPr defaultRowHeight="10.199999999999999" x14ac:dyDescent="0.2"/>
  <cols>
    <col min="1" max="1" width="34.33203125" style="11" customWidth="1"/>
    <col min="2" max="2" width="15.21875" style="11" bestFit="1" customWidth="1"/>
    <col min="3" max="3" width="11.44140625" style="11" customWidth="1"/>
    <col min="4" max="4" width="11.5546875" style="11" customWidth="1"/>
    <col min="5" max="5" width="16.33203125" style="11" bestFit="1" customWidth="1"/>
    <col min="6" max="6" width="11.21875" style="11" customWidth="1"/>
    <col min="7" max="7" width="16.33203125" style="11" bestFit="1" customWidth="1"/>
    <col min="8" max="8" width="15.21875" style="11" bestFit="1" customWidth="1"/>
    <col min="9" max="13" width="8.88671875" style="11" bestFit="1" customWidth="1"/>
    <col min="14" max="14" width="13" style="11" customWidth="1"/>
    <col min="15" max="15" width="10.5546875" style="11" customWidth="1"/>
    <col min="16" max="16" width="10.33203125" style="11" customWidth="1"/>
    <col min="17" max="17" width="13.88671875" style="11" customWidth="1"/>
    <col min="18" max="18" width="1.6640625" style="352" customWidth="1"/>
    <col min="19" max="19" width="20.6640625" style="11" customWidth="1"/>
    <col min="20" max="20" width="25" style="11" customWidth="1"/>
    <col min="21" max="21" width="10" style="11" customWidth="1"/>
    <col min="22" max="22" width="10.109375" style="11" customWidth="1"/>
    <col min="23" max="23" width="10.33203125" style="11" customWidth="1"/>
    <col min="24" max="24" width="15.33203125" style="11" customWidth="1"/>
    <col min="25" max="25" width="40.109375" style="11" customWidth="1"/>
    <col min="26" max="16384" width="8.88671875" style="11"/>
  </cols>
  <sheetData>
    <row r="1" spans="1:25" ht="10.8" thickBot="1" x14ac:dyDescent="0.25">
      <c r="A1" s="1428" t="s">
        <v>1507</v>
      </c>
      <c r="B1" s="1428"/>
      <c r="C1" s="1428"/>
      <c r="D1" s="1428"/>
      <c r="E1" s="1428"/>
      <c r="F1" s="1428"/>
      <c r="G1" s="1428"/>
      <c r="H1" s="1428"/>
      <c r="I1" s="1428"/>
      <c r="J1" s="1428"/>
      <c r="K1" s="1428"/>
      <c r="L1" s="1428"/>
      <c r="M1" s="1428"/>
      <c r="N1" s="1428"/>
      <c r="O1" s="1428"/>
      <c r="P1" s="1428"/>
      <c r="Q1" s="1428"/>
    </row>
    <row r="2" spans="1:25" ht="10.8" thickBot="1" x14ac:dyDescent="0.25">
      <c r="A2" s="1429" t="s">
        <v>1508</v>
      </c>
      <c r="B2" s="1430"/>
      <c r="C2" s="1430"/>
      <c r="D2" s="1430"/>
      <c r="E2" s="1430"/>
      <c r="F2" s="1430"/>
      <c r="G2" s="1430"/>
      <c r="H2" s="1430"/>
      <c r="I2" s="1430"/>
      <c r="J2" s="1430"/>
      <c r="K2" s="1430"/>
      <c r="L2" s="1430"/>
      <c r="M2" s="1430"/>
      <c r="N2" s="1430"/>
      <c r="O2" s="1430"/>
      <c r="P2" s="1430"/>
      <c r="Q2" s="1431"/>
      <c r="S2" s="1432" t="s">
        <v>1509</v>
      </c>
      <c r="T2" s="1433"/>
      <c r="U2" s="1433"/>
      <c r="V2" s="1433"/>
      <c r="W2" s="1433"/>
      <c r="X2" s="1433"/>
      <c r="Y2" s="1434"/>
    </row>
    <row r="3" spans="1:25" ht="61.8" thickBot="1" x14ac:dyDescent="0.25">
      <c r="A3" s="347" t="s">
        <v>2</v>
      </c>
      <c r="B3" s="348">
        <v>43556</v>
      </c>
      <c r="C3" s="348">
        <v>43586</v>
      </c>
      <c r="D3" s="348">
        <v>43617</v>
      </c>
      <c r="E3" s="348">
        <v>43647</v>
      </c>
      <c r="F3" s="348">
        <v>43678</v>
      </c>
      <c r="G3" s="348">
        <v>43709</v>
      </c>
      <c r="H3" s="348">
        <v>43739</v>
      </c>
      <c r="I3" s="348">
        <v>43770</v>
      </c>
      <c r="J3" s="348">
        <v>43800</v>
      </c>
      <c r="K3" s="348">
        <v>43831</v>
      </c>
      <c r="L3" s="348">
        <v>43862</v>
      </c>
      <c r="M3" s="348">
        <v>43891</v>
      </c>
      <c r="N3" s="349" t="s">
        <v>1510</v>
      </c>
      <c r="O3" s="350" t="s">
        <v>1511</v>
      </c>
      <c r="P3" s="351" t="s">
        <v>1512</v>
      </c>
      <c r="Q3" s="347" t="s">
        <v>1513</v>
      </c>
      <c r="S3" s="59"/>
      <c r="T3" s="60"/>
      <c r="U3" s="96"/>
      <c r="V3" s="60"/>
      <c r="W3" s="60"/>
      <c r="X3" s="60"/>
      <c r="Y3" s="353"/>
    </row>
    <row r="4" spans="1:25" ht="10.8" thickBot="1" x14ac:dyDescent="0.25">
      <c r="A4" s="354" t="s">
        <v>1514</v>
      </c>
      <c r="B4" s="355">
        <f>+'RET-GSTR-3B'!C5</f>
        <v>3348680.7699999963</v>
      </c>
      <c r="C4" s="355">
        <f>+'RET-GSTR-3B'!D5</f>
        <v>4057558.6999999983</v>
      </c>
      <c r="D4" s="355">
        <f>+'RET-GSTR-3B'!E5</f>
        <v>5748383.1739999969</v>
      </c>
      <c r="E4" s="355">
        <f>+'RET-GSTR-3B'!F5</f>
        <v>6550168.9499999927</v>
      </c>
      <c r="F4" s="355">
        <f>+'RET-GSTR-3B'!G5</f>
        <v>5362317.6199999955</v>
      </c>
      <c r="G4" s="355">
        <f>+'RET-GSTR-3B'!H5</f>
        <v>4785767.8899999997</v>
      </c>
      <c r="H4" s="355">
        <f>+'RET-GSTR-3B'!I5</f>
        <v>4303915.0199999996</v>
      </c>
      <c r="I4" s="355">
        <f>+'RET-GSTR-3B'!J5</f>
        <v>2528210.6899999995</v>
      </c>
      <c r="J4" s="355">
        <f>+'RET-GSTR-3B'!K5</f>
        <v>3164150.0799999996</v>
      </c>
      <c r="K4" s="355">
        <f>+'RET-GSTR-3B'!L5</f>
        <v>5452403.9399999948</v>
      </c>
      <c r="L4" s="355">
        <f>+'RET-GSTR-3B'!M5</f>
        <v>0</v>
      </c>
      <c r="M4" s="355">
        <f>+'RET-GSTR-3B'!N5</f>
        <v>0</v>
      </c>
      <c r="N4" s="356">
        <f>SUM(B4:M4)</f>
        <v>45301556.833999977</v>
      </c>
      <c r="O4" s="357"/>
      <c r="P4" s="358">
        <v>6627736.9800000004</v>
      </c>
      <c r="Q4" s="359">
        <v>14033976.450000001</v>
      </c>
      <c r="S4" s="360"/>
      <c r="T4" s="77"/>
      <c r="U4" s="77"/>
      <c r="V4" s="1435" t="s">
        <v>1515</v>
      </c>
      <c r="W4" s="1436"/>
      <c r="X4" s="1437"/>
      <c r="Y4" s="361"/>
    </row>
    <row r="5" spans="1:25" ht="10.8" thickBot="1" x14ac:dyDescent="0.25">
      <c r="A5" s="362" t="s">
        <v>1516</v>
      </c>
      <c r="B5" s="355">
        <f>+'SALE WORKING'!C206</f>
        <v>3348680.7699999963</v>
      </c>
      <c r="C5" s="355">
        <f>+'SALE WORKING'!D206</f>
        <v>4057558.6999999983</v>
      </c>
      <c r="D5" s="355">
        <f>+'SALE WORKING'!E206</f>
        <v>5748383.1739999969</v>
      </c>
      <c r="E5" s="355">
        <f>+'SALE WORKING'!F206</f>
        <v>6550168.9499999927</v>
      </c>
      <c r="F5" s="355">
        <f>+'SALE WORKING'!G206</f>
        <v>5362317.6199999955</v>
      </c>
      <c r="G5" s="355">
        <f>+'SALE WORKING'!H206</f>
        <v>4785767.8899999997</v>
      </c>
      <c r="H5" s="355">
        <f>+'SALE WORKING'!I206</f>
        <v>4303915.0199999996</v>
      </c>
      <c r="I5" s="355">
        <f>+'SALE WORKING'!J206</f>
        <v>2528210.6899999995</v>
      </c>
      <c r="J5" s="355">
        <f>+'SALE WORKING'!K206</f>
        <v>3164150.0799999996</v>
      </c>
      <c r="K5" s="355">
        <f>+'SALE WORKING'!L206</f>
        <v>5452403.9399999948</v>
      </c>
      <c r="L5" s="355">
        <f>+'SALE WORKING'!M206</f>
        <v>0</v>
      </c>
      <c r="M5" s="355">
        <f>+'SALE WORKING'!N206</f>
        <v>0</v>
      </c>
      <c r="N5" s="356">
        <f t="shared" ref="N5:N6" si="0">SUM(B5:M5)</f>
        <v>45301556.833999977</v>
      </c>
      <c r="O5" s="363"/>
      <c r="P5" s="358">
        <v>6627736.9800000004</v>
      </c>
      <c r="Q5" s="359">
        <v>24403903.23</v>
      </c>
      <c r="S5" s="364" t="s">
        <v>2</v>
      </c>
      <c r="T5" s="365" t="s">
        <v>1517</v>
      </c>
      <c r="U5" s="366" t="s">
        <v>1518</v>
      </c>
      <c r="V5" s="366" t="s">
        <v>16</v>
      </c>
      <c r="W5" s="366" t="s">
        <v>17</v>
      </c>
      <c r="X5" s="366" t="s">
        <v>18</v>
      </c>
      <c r="Y5" s="361"/>
    </row>
    <row r="6" spans="1:25" ht="10.8" thickBot="1" x14ac:dyDescent="0.25">
      <c r="A6" s="367" t="s">
        <v>1519</v>
      </c>
      <c r="B6" s="355">
        <f>+'RET-GSTR-1 OLD'!B142</f>
        <v>3339615.7699999963</v>
      </c>
      <c r="C6" s="355">
        <f>+'RET-GSTR-1 OLD'!C142</f>
        <v>4066623.6999999983</v>
      </c>
      <c r="D6" s="355">
        <f>+'RET-GSTR-1 OLD'!D142</f>
        <v>5748383.1739999969</v>
      </c>
      <c r="E6" s="355">
        <f>+'RET-GSTR-1 OLD'!E142</f>
        <v>6550168.9499999927</v>
      </c>
      <c r="F6" s="355">
        <f>+'RET-GSTR-1 OLD'!F142</f>
        <v>5362317.6199999955</v>
      </c>
      <c r="G6" s="355">
        <f>+'RET-GSTR-1 OLD'!G142</f>
        <v>4785767.8899999997</v>
      </c>
      <c r="H6" s="355">
        <f>+'RET-GSTR-1 OLD'!H142</f>
        <v>4303915.0199999996</v>
      </c>
      <c r="I6" s="355">
        <f>+'RET-GSTR-1 OLD'!I142</f>
        <v>2528210.6899999995</v>
      </c>
      <c r="J6" s="355">
        <f>+'RET-GSTR-1 OLD'!J142</f>
        <v>3164150.0799999996</v>
      </c>
      <c r="K6" s="355">
        <f>+'RET-GSTR-1 OLD'!K142</f>
        <v>5452403.9399999948</v>
      </c>
      <c r="L6" s="355">
        <f>+'RET-GSTR-1 OLD'!L142</f>
        <v>0</v>
      </c>
      <c r="M6" s="355">
        <f>+'RET-GSTR-1 OLD'!M142</f>
        <v>0</v>
      </c>
      <c r="N6" s="356">
        <f t="shared" si="0"/>
        <v>45301556.833999977</v>
      </c>
      <c r="O6" s="363"/>
      <c r="P6" s="368">
        <v>0</v>
      </c>
      <c r="Q6" s="359">
        <v>17776166.25</v>
      </c>
      <c r="S6" s="369"/>
      <c r="T6" s="370" t="s">
        <v>1520</v>
      </c>
      <c r="U6" s="371">
        <v>10369927</v>
      </c>
      <c r="V6" s="371">
        <v>0</v>
      </c>
      <c r="W6" s="371">
        <v>0</v>
      </c>
      <c r="X6" s="371">
        <v>0</v>
      </c>
      <c r="Y6" s="353"/>
    </row>
    <row r="7" spans="1:25" ht="10.8" thickBot="1" x14ac:dyDescent="0.25">
      <c r="A7" s="372" t="s">
        <v>1521</v>
      </c>
      <c r="B7" s="373">
        <f>+B5-B4</f>
        <v>0</v>
      </c>
      <c r="C7" s="373">
        <f t="shared" ref="C7:N7" si="1">+C5-C4</f>
        <v>0</v>
      </c>
      <c r="D7" s="373">
        <f t="shared" si="1"/>
        <v>0</v>
      </c>
      <c r="E7" s="373">
        <f t="shared" si="1"/>
        <v>0</v>
      </c>
      <c r="F7" s="373">
        <f t="shared" si="1"/>
        <v>0</v>
      </c>
      <c r="G7" s="373">
        <f t="shared" si="1"/>
        <v>0</v>
      </c>
      <c r="H7" s="373">
        <f t="shared" si="1"/>
        <v>0</v>
      </c>
      <c r="I7" s="373">
        <f t="shared" si="1"/>
        <v>0</v>
      </c>
      <c r="J7" s="373">
        <f t="shared" si="1"/>
        <v>0</v>
      </c>
      <c r="K7" s="373">
        <f>+K5-K4</f>
        <v>0</v>
      </c>
      <c r="L7" s="373">
        <f>+L5-L4</f>
        <v>0</v>
      </c>
      <c r="M7" s="373">
        <f>+M5-M4</f>
        <v>0</v>
      </c>
      <c r="N7" s="373">
        <f t="shared" si="1"/>
        <v>0</v>
      </c>
      <c r="O7" s="60" t="s">
        <v>1522</v>
      </c>
      <c r="P7" s="374">
        <f>ROUND(P4-P5,0)</f>
        <v>0</v>
      </c>
      <c r="Q7" s="375">
        <f>ROUND(Q4-Q5,0)</f>
        <v>-10369927</v>
      </c>
      <c r="S7" s="369"/>
      <c r="T7" s="370" t="s">
        <v>1523</v>
      </c>
      <c r="U7" s="371"/>
      <c r="V7" s="371">
        <v>-489.34500000160187</v>
      </c>
      <c r="W7" s="371">
        <v>24.430000000007567</v>
      </c>
      <c r="X7" s="371">
        <v>24.430000000007567</v>
      </c>
      <c r="Y7" s="353"/>
    </row>
    <row r="8" spans="1:25" ht="10.8" thickBot="1" x14ac:dyDescent="0.25">
      <c r="A8" s="372" t="s">
        <v>1524</v>
      </c>
      <c r="B8" s="376">
        <f>+B5-B6</f>
        <v>9065</v>
      </c>
      <c r="C8" s="376">
        <f t="shared" ref="C8:N8" si="2">+C5-C6</f>
        <v>-9065</v>
      </c>
      <c r="D8" s="376">
        <f t="shared" si="2"/>
        <v>0</v>
      </c>
      <c r="E8" s="376">
        <f t="shared" si="2"/>
        <v>0</v>
      </c>
      <c r="F8" s="376">
        <f t="shared" si="2"/>
        <v>0</v>
      </c>
      <c r="G8" s="376">
        <f t="shared" si="2"/>
        <v>0</v>
      </c>
      <c r="H8" s="376">
        <f t="shared" si="2"/>
        <v>0</v>
      </c>
      <c r="I8" s="376">
        <f t="shared" si="2"/>
        <v>0</v>
      </c>
      <c r="J8" s="376">
        <f t="shared" si="2"/>
        <v>0</v>
      </c>
      <c r="K8" s="376">
        <f>+K5-K6</f>
        <v>0</v>
      </c>
      <c r="L8" s="376">
        <f>+L5-L6</f>
        <v>0</v>
      </c>
      <c r="M8" s="376">
        <f>+M5-M6</f>
        <v>0</v>
      </c>
      <c r="N8" s="376">
        <f t="shared" si="2"/>
        <v>0</v>
      </c>
      <c r="O8" s="60" t="s">
        <v>1525</v>
      </c>
      <c r="P8" s="374" t="s">
        <v>1526</v>
      </c>
      <c r="Q8" s="377">
        <v>40086.1</v>
      </c>
      <c r="S8" s="369"/>
      <c r="T8" s="370"/>
      <c r="U8" s="371"/>
      <c r="V8" s="371"/>
      <c r="W8" s="371"/>
      <c r="X8" s="371"/>
      <c r="Y8" s="353"/>
    </row>
    <row r="9" spans="1:25" ht="10.8" thickBot="1" x14ac:dyDescent="0.25">
      <c r="A9" s="378" t="s">
        <v>1527</v>
      </c>
      <c r="B9" s="376">
        <f>+B4-B6</f>
        <v>9065</v>
      </c>
      <c r="C9" s="376">
        <f t="shared" ref="C9:N9" si="3">+C4-C6</f>
        <v>-9065</v>
      </c>
      <c r="D9" s="376">
        <f t="shared" si="3"/>
        <v>0</v>
      </c>
      <c r="E9" s="376">
        <f t="shared" si="3"/>
        <v>0</v>
      </c>
      <c r="F9" s="376">
        <f t="shared" si="3"/>
        <v>0</v>
      </c>
      <c r="G9" s="376">
        <f t="shared" si="3"/>
        <v>0</v>
      </c>
      <c r="H9" s="376">
        <f t="shared" si="3"/>
        <v>0</v>
      </c>
      <c r="I9" s="376">
        <f t="shared" si="3"/>
        <v>0</v>
      </c>
      <c r="J9" s="376">
        <f t="shared" si="3"/>
        <v>0</v>
      </c>
      <c r="K9" s="376">
        <f>+K4-K6</f>
        <v>0</v>
      </c>
      <c r="L9" s="376">
        <f>+L4-L6</f>
        <v>0</v>
      </c>
      <c r="M9" s="376">
        <f>+M4-M6</f>
        <v>0</v>
      </c>
      <c r="N9" s="376">
        <f t="shared" si="3"/>
        <v>0</v>
      </c>
      <c r="O9" s="379" t="s">
        <v>1528</v>
      </c>
      <c r="P9" s="374" t="s">
        <v>1529</v>
      </c>
      <c r="Q9" s="380">
        <f>+Q5+Q8</f>
        <v>24443989.330000002</v>
      </c>
      <c r="S9" s="381"/>
      <c r="T9" s="382" t="s">
        <v>1530</v>
      </c>
      <c r="U9" s="383">
        <v>10369927</v>
      </c>
      <c r="V9" s="383">
        <v>-489.34500000160187</v>
      </c>
      <c r="W9" s="383">
        <v>24.430000000007567</v>
      </c>
      <c r="X9" s="383">
        <v>24.430000000007567</v>
      </c>
      <c r="Y9" s="384" t="s">
        <v>1531</v>
      </c>
    </row>
    <row r="10" spans="1:25" ht="10.8" thickBot="1" x14ac:dyDescent="0.25">
      <c r="A10" s="385"/>
      <c r="B10" s="386"/>
      <c r="C10" s="386"/>
      <c r="D10" s="386"/>
      <c r="E10" s="386"/>
      <c r="F10" s="386"/>
      <c r="G10" s="386"/>
      <c r="H10" s="386"/>
      <c r="I10" s="386"/>
      <c r="J10" s="386"/>
      <c r="K10" s="386"/>
      <c r="L10" s="386"/>
      <c r="M10" s="386"/>
      <c r="N10" s="386"/>
      <c r="O10" s="387"/>
      <c r="P10" s="60"/>
      <c r="S10" s="388" t="s">
        <v>1532</v>
      </c>
      <c r="T10" s="389"/>
      <c r="U10" s="390"/>
      <c r="V10" s="390"/>
      <c r="W10" s="390"/>
      <c r="X10" s="390"/>
      <c r="Y10" s="384"/>
    </row>
    <row r="11" spans="1:25" ht="10.8" thickBot="1" x14ac:dyDescent="0.25">
      <c r="A11" s="1422" t="s">
        <v>1533</v>
      </c>
      <c r="B11" s="1423"/>
      <c r="C11" s="1423"/>
      <c r="D11" s="1423"/>
      <c r="E11" s="1423"/>
      <c r="F11" s="1423"/>
      <c r="G11" s="1423"/>
      <c r="H11" s="1423"/>
      <c r="I11" s="1423"/>
      <c r="J11" s="1423"/>
      <c r="K11" s="1423"/>
      <c r="L11" s="1423"/>
      <c r="M11" s="1423"/>
      <c r="N11" s="1423"/>
      <c r="O11" s="1423"/>
      <c r="P11" s="1423"/>
      <c r="Q11" s="1424"/>
      <c r="S11" s="391"/>
      <c r="T11" s="392"/>
      <c r="U11" s="392"/>
      <c r="V11" s="392"/>
      <c r="W11" s="392"/>
      <c r="X11" s="392"/>
      <c r="Y11" s="393"/>
    </row>
    <row r="12" spans="1:25" ht="10.8" thickBot="1" x14ac:dyDescent="0.25">
      <c r="A12" s="59"/>
      <c r="B12" s="60"/>
      <c r="C12" s="60"/>
      <c r="D12" s="60"/>
      <c r="E12" s="60"/>
      <c r="F12" s="60"/>
      <c r="G12" s="60"/>
      <c r="H12" s="60"/>
      <c r="I12" s="60"/>
      <c r="J12" s="60"/>
      <c r="K12" s="60"/>
      <c r="L12" s="60"/>
      <c r="M12" s="60"/>
      <c r="N12" s="60"/>
      <c r="O12" s="129"/>
      <c r="P12" s="60"/>
      <c r="Q12" s="393"/>
      <c r="S12" s="394" t="s">
        <v>1534</v>
      </c>
      <c r="T12" s="96"/>
      <c r="U12" s="60"/>
      <c r="V12" s="60"/>
      <c r="W12" s="60"/>
      <c r="X12" s="60"/>
      <c r="Y12" s="393"/>
    </row>
    <row r="13" spans="1:25" ht="10.8" thickBot="1" x14ac:dyDescent="0.25">
      <c r="A13" s="347" t="s">
        <v>2</v>
      </c>
      <c r="B13" s="348">
        <v>43556</v>
      </c>
      <c r="C13" s="348">
        <v>43586</v>
      </c>
      <c r="D13" s="348">
        <v>43617</v>
      </c>
      <c r="E13" s="348">
        <v>43647</v>
      </c>
      <c r="F13" s="348">
        <v>43678</v>
      </c>
      <c r="G13" s="348">
        <v>43709</v>
      </c>
      <c r="H13" s="348">
        <v>43739</v>
      </c>
      <c r="I13" s="348">
        <v>43770</v>
      </c>
      <c r="J13" s="348">
        <v>43800</v>
      </c>
      <c r="K13" s="348">
        <v>43831</v>
      </c>
      <c r="L13" s="348">
        <v>43862</v>
      </c>
      <c r="M13" s="348">
        <v>43891</v>
      </c>
      <c r="N13" s="347" t="s">
        <v>1041</v>
      </c>
      <c r="O13" s="395"/>
      <c r="P13" s="392"/>
      <c r="Q13" s="353"/>
      <c r="S13" s="59"/>
      <c r="T13" s="60"/>
      <c r="U13" s="60"/>
      <c r="V13" s="60"/>
      <c r="W13" s="60"/>
      <c r="X13" s="60"/>
      <c r="Y13" s="393"/>
    </row>
    <row r="14" spans="1:25" x14ac:dyDescent="0.2">
      <c r="A14" s="396" t="s">
        <v>1535</v>
      </c>
      <c r="B14" s="397">
        <f t="shared" ref="B14:M14" si="4">+B27</f>
        <v>869448.14459999977</v>
      </c>
      <c r="C14" s="397">
        <f t="shared" si="4"/>
        <v>980056.53200000036</v>
      </c>
      <c r="D14" s="397">
        <f t="shared" si="4"/>
        <v>1402152.0957200003</v>
      </c>
      <c r="E14" s="397">
        <f t="shared" si="4"/>
        <v>1568270.6600000011</v>
      </c>
      <c r="F14" s="397">
        <f t="shared" si="4"/>
        <v>1226420.0176000004</v>
      </c>
      <c r="G14" s="397">
        <f t="shared" si="4"/>
        <v>1067282.3952000004</v>
      </c>
      <c r="H14" s="397">
        <f t="shared" si="4"/>
        <v>891299.93959999993</v>
      </c>
      <c r="I14" s="397">
        <f t="shared" si="4"/>
        <v>564876.91440000001</v>
      </c>
      <c r="J14" s="397">
        <f t="shared" si="4"/>
        <v>659567.71319999988</v>
      </c>
      <c r="K14" s="397">
        <f t="shared" si="4"/>
        <v>1065947.4592000004</v>
      </c>
      <c r="L14" s="397">
        <f t="shared" si="4"/>
        <v>0</v>
      </c>
      <c r="M14" s="397">
        <f t="shared" si="4"/>
        <v>0</v>
      </c>
      <c r="N14" s="398">
        <f>SUM(B14:J14)</f>
        <v>9229374.4123200011</v>
      </c>
      <c r="O14" s="399"/>
      <c r="P14" s="392"/>
      <c r="Q14" s="353"/>
      <c r="S14" s="360"/>
      <c r="T14" s="77"/>
      <c r="U14" s="77"/>
      <c r="V14" s="1438" t="s">
        <v>1515</v>
      </c>
      <c r="W14" s="1438"/>
      <c r="X14" s="1438"/>
      <c r="Y14" s="361"/>
    </row>
    <row r="15" spans="1:25" x14ac:dyDescent="0.2">
      <c r="A15" s="400" t="s">
        <v>1536</v>
      </c>
      <c r="B15" s="401">
        <f t="shared" ref="B15:M15" si="5">+B33</f>
        <v>869448.14459999977</v>
      </c>
      <c r="C15" s="401">
        <f t="shared" si="5"/>
        <v>980056.53200000036</v>
      </c>
      <c r="D15" s="401">
        <f t="shared" si="5"/>
        <v>1402152.0957200003</v>
      </c>
      <c r="E15" s="401">
        <f t="shared" si="5"/>
        <v>1568270.6600000011</v>
      </c>
      <c r="F15" s="401">
        <f t="shared" si="5"/>
        <v>1226420.0176000004</v>
      </c>
      <c r="G15" s="401">
        <f t="shared" si="5"/>
        <v>1067282.3952000004</v>
      </c>
      <c r="H15" s="401">
        <f t="shared" si="5"/>
        <v>891299.93959999993</v>
      </c>
      <c r="I15" s="401">
        <f t="shared" si="5"/>
        <v>564876.91440000001</v>
      </c>
      <c r="J15" s="401">
        <f t="shared" si="5"/>
        <v>659567.71319999988</v>
      </c>
      <c r="K15" s="401">
        <f t="shared" si="5"/>
        <v>1065947.4592000004</v>
      </c>
      <c r="L15" s="401">
        <f t="shared" si="5"/>
        <v>0</v>
      </c>
      <c r="M15" s="401">
        <f t="shared" si="5"/>
        <v>0</v>
      </c>
      <c r="N15" s="398">
        <f>SUM(B15:J15)</f>
        <v>9229374.4123200011</v>
      </c>
      <c r="O15" s="399"/>
      <c r="P15" s="392"/>
      <c r="Q15" s="353"/>
      <c r="S15" s="364" t="s">
        <v>2</v>
      </c>
      <c r="T15" s="365" t="s">
        <v>1517</v>
      </c>
      <c r="U15" s="366" t="s">
        <v>1537</v>
      </c>
      <c r="V15" s="366" t="s">
        <v>16</v>
      </c>
      <c r="W15" s="366" t="s">
        <v>17</v>
      </c>
      <c r="X15" s="366" t="s">
        <v>18</v>
      </c>
      <c r="Y15" s="361"/>
    </row>
    <row r="16" spans="1:25" ht="10.8" thickBot="1" x14ac:dyDescent="0.25">
      <c r="A16" s="402" t="s">
        <v>1538</v>
      </c>
      <c r="B16" s="401">
        <f t="shared" ref="B16:M16" si="6">+B39</f>
        <v>867816.44459999981</v>
      </c>
      <c r="C16" s="401">
        <f t="shared" si="6"/>
        <v>981688.23200000031</v>
      </c>
      <c r="D16" s="401">
        <f t="shared" si="6"/>
        <v>1402152.0957200003</v>
      </c>
      <c r="E16" s="401">
        <f t="shared" si="6"/>
        <v>1568270.6600000011</v>
      </c>
      <c r="F16" s="401">
        <f t="shared" si="6"/>
        <v>1226420.0176000004</v>
      </c>
      <c r="G16" s="401">
        <f t="shared" si="6"/>
        <v>1067282.3952000004</v>
      </c>
      <c r="H16" s="401">
        <f t="shared" si="6"/>
        <v>891299.93959999993</v>
      </c>
      <c r="I16" s="401">
        <f t="shared" si="6"/>
        <v>564876.91440000001</v>
      </c>
      <c r="J16" s="401">
        <f t="shared" si="6"/>
        <v>659567.71319999988</v>
      </c>
      <c r="K16" s="401">
        <f t="shared" si="6"/>
        <v>1065947.4592000004</v>
      </c>
      <c r="L16" s="401">
        <f t="shared" si="6"/>
        <v>0</v>
      </c>
      <c r="M16" s="401">
        <f t="shared" si="6"/>
        <v>0</v>
      </c>
      <c r="N16" s="398">
        <f>SUM(B16:J16)</f>
        <v>9229374.4123200011</v>
      </c>
      <c r="O16" s="399"/>
      <c r="P16" s="392"/>
      <c r="Q16" s="353"/>
      <c r="S16" s="369"/>
      <c r="T16" s="370" t="s">
        <v>1539</v>
      </c>
      <c r="U16" s="160"/>
      <c r="V16" s="160" t="e">
        <v>#REF!</v>
      </c>
      <c r="W16" s="160" t="e">
        <v>#REF!</v>
      </c>
      <c r="X16" s="160" t="e">
        <v>#REF!</v>
      </c>
      <c r="Y16" s="353"/>
    </row>
    <row r="17" spans="1:25" ht="10.8" thickBot="1" x14ac:dyDescent="0.25">
      <c r="A17" s="372" t="s">
        <v>1521</v>
      </c>
      <c r="B17" s="373">
        <f>+B15-B14</f>
        <v>0</v>
      </c>
      <c r="C17" s="373">
        <f t="shared" ref="C17:N17" si="7">+C15-C14</f>
        <v>0</v>
      </c>
      <c r="D17" s="373">
        <f t="shared" si="7"/>
        <v>0</v>
      </c>
      <c r="E17" s="373">
        <f t="shared" si="7"/>
        <v>0</v>
      </c>
      <c r="F17" s="373">
        <f t="shared" si="7"/>
        <v>0</v>
      </c>
      <c r="G17" s="373">
        <f t="shared" si="7"/>
        <v>0</v>
      </c>
      <c r="H17" s="373">
        <f t="shared" si="7"/>
        <v>0</v>
      </c>
      <c r="I17" s="373">
        <f t="shared" si="7"/>
        <v>0</v>
      </c>
      <c r="J17" s="373">
        <f t="shared" si="7"/>
        <v>0</v>
      </c>
      <c r="K17" s="373">
        <f>+K15-K14</f>
        <v>0</v>
      </c>
      <c r="L17" s="373">
        <f>+L15-L14</f>
        <v>0</v>
      </c>
      <c r="M17" s="373">
        <f>+M15-M14</f>
        <v>0</v>
      </c>
      <c r="N17" s="373">
        <f t="shared" si="7"/>
        <v>0</v>
      </c>
      <c r="O17" s="60" t="s">
        <v>1522</v>
      </c>
      <c r="P17" s="392"/>
      <c r="Q17" s="353"/>
      <c r="S17" s="369"/>
      <c r="T17" s="370"/>
      <c r="U17" s="160"/>
      <c r="V17" s="160"/>
      <c r="W17" s="160"/>
      <c r="X17" s="160"/>
      <c r="Y17" s="353"/>
    </row>
    <row r="18" spans="1:25" ht="10.8" thickBot="1" x14ac:dyDescent="0.25">
      <c r="A18" s="372" t="s">
        <v>1524</v>
      </c>
      <c r="B18" s="376">
        <f>+B15-B16</f>
        <v>1631.6999999999534</v>
      </c>
      <c r="C18" s="376">
        <f t="shared" ref="C18:N18" si="8">+C15-C16</f>
        <v>-1631.6999999999534</v>
      </c>
      <c r="D18" s="376">
        <f t="shared" si="8"/>
        <v>0</v>
      </c>
      <c r="E18" s="376">
        <f t="shared" si="8"/>
        <v>0</v>
      </c>
      <c r="F18" s="376">
        <f t="shared" si="8"/>
        <v>0</v>
      </c>
      <c r="G18" s="376">
        <f t="shared" si="8"/>
        <v>0</v>
      </c>
      <c r="H18" s="376">
        <f t="shared" si="8"/>
        <v>0</v>
      </c>
      <c r="I18" s="376">
        <f t="shared" si="8"/>
        <v>0</v>
      </c>
      <c r="J18" s="376">
        <f t="shared" si="8"/>
        <v>0</v>
      </c>
      <c r="K18" s="376">
        <f>+K15-K16</f>
        <v>0</v>
      </c>
      <c r="L18" s="376">
        <f>+L15-L16</f>
        <v>0</v>
      </c>
      <c r="M18" s="376">
        <f>+M15-M16</f>
        <v>0</v>
      </c>
      <c r="N18" s="376">
        <f t="shared" si="8"/>
        <v>0</v>
      </c>
      <c r="O18" s="60" t="s">
        <v>1525</v>
      </c>
      <c r="P18" s="392"/>
      <c r="Q18" s="353"/>
      <c r="S18" s="381"/>
      <c r="T18" s="382" t="s">
        <v>1540</v>
      </c>
      <c r="U18" s="403">
        <v>0</v>
      </c>
      <c r="V18" s="403" t="e">
        <v>#REF!</v>
      </c>
      <c r="W18" s="403" t="e">
        <v>#REF!</v>
      </c>
      <c r="X18" s="403" t="e">
        <v>#REF!</v>
      </c>
      <c r="Y18" s="384" t="s">
        <v>1531</v>
      </c>
    </row>
    <row r="19" spans="1:25" ht="10.8" thickBot="1" x14ac:dyDescent="0.25">
      <c r="A19" s="378" t="s">
        <v>1527</v>
      </c>
      <c r="B19" s="376">
        <f>+B14-B16</f>
        <v>1631.6999999999534</v>
      </c>
      <c r="C19" s="376">
        <f t="shared" ref="C19:N19" si="9">+C14-C16</f>
        <v>-1631.6999999999534</v>
      </c>
      <c r="D19" s="376">
        <f t="shared" si="9"/>
        <v>0</v>
      </c>
      <c r="E19" s="376">
        <f t="shared" si="9"/>
        <v>0</v>
      </c>
      <c r="F19" s="376">
        <f t="shared" si="9"/>
        <v>0</v>
      </c>
      <c r="G19" s="376">
        <f t="shared" si="9"/>
        <v>0</v>
      </c>
      <c r="H19" s="376">
        <f t="shared" si="9"/>
        <v>0</v>
      </c>
      <c r="I19" s="376">
        <f t="shared" si="9"/>
        <v>0</v>
      </c>
      <c r="J19" s="376">
        <f t="shared" si="9"/>
        <v>0</v>
      </c>
      <c r="K19" s="376">
        <f>+K14-K16</f>
        <v>0</v>
      </c>
      <c r="L19" s="376">
        <f>+L14-L16</f>
        <v>0</v>
      </c>
      <c r="M19" s="376">
        <f>+M14-M16</f>
        <v>0</v>
      </c>
      <c r="N19" s="376">
        <f t="shared" si="9"/>
        <v>0</v>
      </c>
      <c r="O19" s="60" t="s">
        <v>1528</v>
      </c>
      <c r="P19" s="392"/>
      <c r="Q19" s="353"/>
      <c r="S19" s="59"/>
      <c r="T19" s="60"/>
      <c r="U19" s="60"/>
      <c r="V19" s="60"/>
      <c r="W19" s="60"/>
      <c r="X19" s="60"/>
      <c r="Y19" s="353"/>
    </row>
    <row r="20" spans="1:25" ht="10.8" thickBot="1" x14ac:dyDescent="0.25">
      <c r="A20" s="404"/>
      <c r="B20" s="399"/>
      <c r="C20" s="399"/>
      <c r="D20" s="405"/>
      <c r="E20" s="405"/>
      <c r="F20" s="405"/>
      <c r="G20" s="405"/>
      <c r="H20" s="405"/>
      <c r="I20" s="405"/>
      <c r="J20" s="399"/>
      <c r="K20" s="399"/>
      <c r="L20" s="399"/>
      <c r="M20" s="399"/>
      <c r="N20" s="399"/>
      <c r="O20" s="60"/>
      <c r="P20" s="392"/>
      <c r="Q20" s="353"/>
      <c r="S20" s="406" t="s">
        <v>1541</v>
      </c>
      <c r="T20" s="392"/>
      <c r="U20" s="392"/>
      <c r="V20" s="407" t="e">
        <v>#REF!</v>
      </c>
      <c r="W20" s="407" t="e">
        <v>#REF!</v>
      </c>
      <c r="X20" s="407" t="e">
        <v>#REF!</v>
      </c>
      <c r="Y20" s="353"/>
    </row>
    <row r="21" spans="1:25" ht="10.8" thickBot="1" x14ac:dyDescent="0.25">
      <c r="A21" s="1439" t="s">
        <v>1542</v>
      </c>
      <c r="B21" s="1440"/>
      <c r="C21" s="1440"/>
      <c r="D21" s="1440"/>
      <c r="E21" s="1440"/>
      <c r="F21" s="1440"/>
      <c r="G21" s="1440"/>
      <c r="H21" s="1440"/>
      <c r="I21" s="1440"/>
      <c r="J21" s="1440"/>
      <c r="K21" s="1440"/>
      <c r="L21" s="1440"/>
      <c r="M21" s="1440"/>
      <c r="N21" s="1440"/>
      <c r="O21" s="1440"/>
      <c r="P21" s="1440"/>
      <c r="Q21" s="1441"/>
      <c r="S21" s="406" t="s">
        <v>1543</v>
      </c>
      <c r="T21" s="392"/>
      <c r="U21" s="392"/>
      <c r="V21" s="408">
        <v>0</v>
      </c>
      <c r="W21" s="408">
        <v>0</v>
      </c>
      <c r="X21" s="408">
        <v>0</v>
      </c>
      <c r="Y21" s="353"/>
    </row>
    <row r="22" spans="1:25" ht="10.8" thickBot="1" x14ac:dyDescent="0.25">
      <c r="A22" s="59"/>
      <c r="B22" s="409"/>
      <c r="C22" s="409"/>
      <c r="D22" s="409"/>
      <c r="E22" s="409"/>
      <c r="F22" s="409"/>
      <c r="G22" s="409"/>
      <c r="H22" s="409"/>
      <c r="I22" s="409"/>
      <c r="J22" s="409"/>
      <c r="K22" s="409"/>
      <c r="L22" s="409"/>
      <c r="M22" s="409"/>
      <c r="N22" s="409"/>
      <c r="O22" s="410"/>
      <c r="P22" s="392"/>
      <c r="Q22" s="353"/>
      <c r="S22" s="411" t="s">
        <v>1544</v>
      </c>
      <c r="T22" s="412"/>
      <c r="U22" s="412"/>
      <c r="V22" s="413" t="e">
        <v>#REF!</v>
      </c>
      <c r="W22" s="413" t="e">
        <v>#REF!</v>
      </c>
      <c r="X22" s="413" t="e">
        <v>#REF!</v>
      </c>
      <c r="Y22" s="414" t="s">
        <v>1545</v>
      </c>
    </row>
    <row r="23" spans="1:25" ht="10.8" thickBot="1" x14ac:dyDescent="0.25">
      <c r="A23" s="415" t="s">
        <v>1546</v>
      </c>
      <c r="B23" s="348">
        <v>43556</v>
      </c>
      <c r="C23" s="348">
        <v>43586</v>
      </c>
      <c r="D23" s="348">
        <v>43617</v>
      </c>
      <c r="E23" s="348">
        <v>43647</v>
      </c>
      <c r="F23" s="348">
        <v>43678</v>
      </c>
      <c r="G23" s="348">
        <v>43709</v>
      </c>
      <c r="H23" s="348">
        <v>43739</v>
      </c>
      <c r="I23" s="348">
        <v>43770</v>
      </c>
      <c r="J23" s="348">
        <v>43800</v>
      </c>
      <c r="K23" s="348">
        <v>43831</v>
      </c>
      <c r="L23" s="348">
        <v>43862</v>
      </c>
      <c r="M23" s="348">
        <v>43891</v>
      </c>
      <c r="N23" s="347" t="s">
        <v>1041</v>
      </c>
      <c r="O23" s="395"/>
      <c r="P23" s="392"/>
      <c r="Q23" s="353"/>
      <c r="S23" s="357"/>
      <c r="T23" s="357"/>
      <c r="U23" s="357"/>
      <c r="V23" s="357"/>
      <c r="W23" s="357"/>
      <c r="X23" s="357"/>
      <c r="Y23" s="357"/>
    </row>
    <row r="24" spans="1:25" x14ac:dyDescent="0.2">
      <c r="A24" s="416" t="s">
        <v>1547</v>
      </c>
      <c r="B24" s="417">
        <f>+'RET-GSTR-3B'!C6</f>
        <v>34940.687599999997</v>
      </c>
      <c r="C24" s="417">
        <f>+'RET-GSTR-3B'!D6</f>
        <v>55549.74040000001</v>
      </c>
      <c r="D24" s="417">
        <f>+'RET-GSTR-3B'!E6</f>
        <v>141109.85840000003</v>
      </c>
      <c r="E24" s="417">
        <f>+'RET-GSTR-3B'!F6</f>
        <v>64427.327999999994</v>
      </c>
      <c r="F24" s="417">
        <f>+'RET-GSTR-3B'!G6</f>
        <v>30473.3688</v>
      </c>
      <c r="G24" s="417">
        <f>+'RET-GSTR-3B'!H6</f>
        <v>75713.330000000016</v>
      </c>
      <c r="H24" s="417">
        <f>+'RET-GSTR-3B'!I6</f>
        <v>51945.630799999992</v>
      </c>
      <c r="I24" s="417">
        <f>+'RET-GSTR-3B'!J6</f>
        <v>50926.2068</v>
      </c>
      <c r="J24" s="417">
        <f>+'RET-GSTR-3B'!K6</f>
        <v>128383.5336</v>
      </c>
      <c r="K24" s="417">
        <f>+'RET-GSTR-3B'!L6</f>
        <v>38884.86</v>
      </c>
      <c r="L24" s="417">
        <f>+'RET-GSTR-3B'!M6</f>
        <v>0</v>
      </c>
      <c r="M24" s="417">
        <f>+'RET-GSTR-3B'!N6</f>
        <v>0</v>
      </c>
      <c r="N24" s="356">
        <f t="shared" ref="N24:N26" si="10">SUM(B24:M24)</f>
        <v>672354.54440000001</v>
      </c>
      <c r="O24" s="418">
        <v>0</v>
      </c>
      <c r="P24" s="399"/>
      <c r="Q24" s="419"/>
    </row>
    <row r="25" spans="1:25" x14ac:dyDescent="0.2">
      <c r="A25" s="420" t="s">
        <v>1548</v>
      </c>
      <c r="B25" s="417">
        <f>+'RET-GSTR-3B'!C7</f>
        <v>417253.72849999991</v>
      </c>
      <c r="C25" s="417">
        <f>+'RET-GSTR-3B'!D7</f>
        <v>462253.39580000017</v>
      </c>
      <c r="D25" s="417">
        <f>+'RET-GSTR-3B'!E7</f>
        <v>630521.11866000015</v>
      </c>
      <c r="E25" s="417">
        <f>+'RET-GSTR-3B'!F7</f>
        <v>751921.66600000055</v>
      </c>
      <c r="F25" s="417">
        <f>+'RET-GSTR-3B'!G7</f>
        <v>597973.32440000016</v>
      </c>
      <c r="G25" s="417">
        <f>+'RET-GSTR-3B'!H7</f>
        <v>495784.53260000021</v>
      </c>
      <c r="H25" s="417">
        <f>+'RET-GSTR-3B'!I7</f>
        <v>419677.1544</v>
      </c>
      <c r="I25" s="417">
        <f>+'RET-GSTR-3B'!J7</f>
        <v>256975.35380000001</v>
      </c>
      <c r="J25" s="417">
        <f>+'RET-GSTR-3B'!K7</f>
        <v>265592.08979999996</v>
      </c>
      <c r="K25" s="417">
        <f>+'RET-GSTR-3B'!L7</f>
        <v>513531.29960000014</v>
      </c>
      <c r="L25" s="417">
        <f>+'RET-GSTR-3B'!M7</f>
        <v>0</v>
      </c>
      <c r="M25" s="417">
        <f>+'RET-GSTR-3B'!N7</f>
        <v>0</v>
      </c>
      <c r="N25" s="356">
        <f t="shared" si="10"/>
        <v>4811483.6635600012</v>
      </c>
      <c r="O25" s="418"/>
      <c r="P25" s="399"/>
      <c r="Q25" s="419"/>
    </row>
    <row r="26" spans="1:25" ht="10.8" thickBot="1" x14ac:dyDescent="0.25">
      <c r="A26" s="421" t="s">
        <v>1549</v>
      </c>
      <c r="B26" s="417">
        <f>+'RET-GSTR-3B'!C8</f>
        <v>417253.72849999991</v>
      </c>
      <c r="C26" s="417">
        <f>+'RET-GSTR-3B'!D8</f>
        <v>462253.39580000017</v>
      </c>
      <c r="D26" s="417">
        <f>+'RET-GSTR-3B'!E8</f>
        <v>630521.11866000015</v>
      </c>
      <c r="E26" s="417">
        <f>+'RET-GSTR-3B'!F8</f>
        <v>751921.66600000055</v>
      </c>
      <c r="F26" s="417">
        <f>+'RET-GSTR-3B'!G8</f>
        <v>597973.32440000016</v>
      </c>
      <c r="G26" s="417">
        <f>+'RET-GSTR-3B'!H8</f>
        <v>495784.53260000021</v>
      </c>
      <c r="H26" s="417">
        <f>+'RET-GSTR-3B'!I8</f>
        <v>419677.1544</v>
      </c>
      <c r="I26" s="417">
        <f>+'RET-GSTR-3B'!J8</f>
        <v>256975.35380000001</v>
      </c>
      <c r="J26" s="417">
        <f>+'RET-GSTR-3B'!K8</f>
        <v>265592.08979999996</v>
      </c>
      <c r="K26" s="417">
        <f>+'RET-GSTR-3B'!L8</f>
        <v>513531.29960000014</v>
      </c>
      <c r="L26" s="417">
        <f>+'RET-GSTR-3B'!M8</f>
        <v>0</v>
      </c>
      <c r="M26" s="417">
        <f>+'RET-GSTR-3B'!N8</f>
        <v>0</v>
      </c>
      <c r="N26" s="356">
        <f t="shared" si="10"/>
        <v>4811483.6635600012</v>
      </c>
      <c r="O26" s="353"/>
      <c r="P26" s="392"/>
      <c r="Q26" s="353"/>
    </row>
    <row r="27" spans="1:25" ht="10.8" thickBot="1" x14ac:dyDescent="0.25">
      <c r="A27" s="347" t="s">
        <v>1041</v>
      </c>
      <c r="B27" s="422">
        <f>SUM(B24:B26)</f>
        <v>869448.14459999977</v>
      </c>
      <c r="C27" s="422">
        <f t="shared" ref="C27:M27" si="11">SUM(C24:C26)</f>
        <v>980056.53200000036</v>
      </c>
      <c r="D27" s="422">
        <f t="shared" si="11"/>
        <v>1402152.0957200003</v>
      </c>
      <c r="E27" s="422">
        <f t="shared" si="11"/>
        <v>1568270.6600000011</v>
      </c>
      <c r="F27" s="422">
        <f t="shared" si="11"/>
        <v>1226420.0176000004</v>
      </c>
      <c r="G27" s="422">
        <f t="shared" si="11"/>
        <v>1067282.3952000004</v>
      </c>
      <c r="H27" s="422">
        <f t="shared" si="11"/>
        <v>891299.93959999993</v>
      </c>
      <c r="I27" s="422">
        <f t="shared" si="11"/>
        <v>564876.91440000001</v>
      </c>
      <c r="J27" s="422">
        <f t="shared" si="11"/>
        <v>659567.71319999988</v>
      </c>
      <c r="K27" s="422">
        <f t="shared" si="11"/>
        <v>1065947.4592000004</v>
      </c>
      <c r="L27" s="422">
        <f t="shared" si="11"/>
        <v>0</v>
      </c>
      <c r="M27" s="422">
        <f t="shared" si="11"/>
        <v>0</v>
      </c>
      <c r="N27" s="423">
        <f>SUM(N24:N26)</f>
        <v>10295321.871520001</v>
      </c>
      <c r="O27" s="399"/>
      <c r="P27" s="392"/>
      <c r="Q27" s="353"/>
    </row>
    <row r="28" spans="1:25" ht="10.8" thickBot="1" x14ac:dyDescent="0.25">
      <c r="A28" s="59"/>
      <c r="B28" s="424">
        <f>+B25-B26</f>
        <v>0</v>
      </c>
      <c r="C28" s="424"/>
      <c r="D28" s="129"/>
      <c r="E28" s="129"/>
      <c r="F28" s="129"/>
      <c r="G28" s="129"/>
      <c r="H28" s="129"/>
      <c r="I28" s="129"/>
      <c r="J28" s="129"/>
      <c r="K28" s="129"/>
      <c r="L28" s="129"/>
      <c r="M28" s="129"/>
      <c r="N28" s="60"/>
      <c r="O28" s="425"/>
      <c r="P28" s="392"/>
      <c r="Q28" s="353"/>
    </row>
    <row r="29" spans="1:25" ht="10.8" thickBot="1" x14ac:dyDescent="0.25">
      <c r="A29" s="415" t="s">
        <v>1550</v>
      </c>
      <c r="B29" s="348">
        <v>43556</v>
      </c>
      <c r="C29" s="348">
        <v>43586</v>
      </c>
      <c r="D29" s="348">
        <v>43617</v>
      </c>
      <c r="E29" s="348">
        <v>43647</v>
      </c>
      <c r="F29" s="348">
        <v>43678</v>
      </c>
      <c r="G29" s="348">
        <v>43709</v>
      </c>
      <c r="H29" s="348">
        <v>43739</v>
      </c>
      <c r="I29" s="348">
        <v>43770</v>
      </c>
      <c r="J29" s="348">
        <v>43800</v>
      </c>
      <c r="K29" s="348">
        <v>43831</v>
      </c>
      <c r="L29" s="348">
        <v>43862</v>
      </c>
      <c r="M29" s="348">
        <v>43891</v>
      </c>
      <c r="N29" s="347" t="s">
        <v>1041</v>
      </c>
      <c r="O29" s="395"/>
      <c r="P29" s="392"/>
      <c r="Q29" s="353"/>
    </row>
    <row r="30" spans="1:25" x14ac:dyDescent="0.2">
      <c r="A30" s="416" t="s">
        <v>1547</v>
      </c>
      <c r="B30" s="417">
        <f>+'SALE WORKING'!C207</f>
        <v>34940.687599999997</v>
      </c>
      <c r="C30" s="417">
        <f>+'SALE WORKING'!D207</f>
        <v>55549.74040000001</v>
      </c>
      <c r="D30" s="417">
        <f>+'SALE WORKING'!E207</f>
        <v>141109.85840000003</v>
      </c>
      <c r="E30" s="417">
        <f>+'SALE WORKING'!F207</f>
        <v>64427.327999999994</v>
      </c>
      <c r="F30" s="417">
        <f>+'SALE WORKING'!G207</f>
        <v>30473.3688</v>
      </c>
      <c r="G30" s="417">
        <f>+'SALE WORKING'!H207</f>
        <v>75713.330000000016</v>
      </c>
      <c r="H30" s="417">
        <f>+'SALE WORKING'!I207</f>
        <v>51945.630799999992</v>
      </c>
      <c r="I30" s="417">
        <f>+'SALE WORKING'!J207</f>
        <v>50926.2068</v>
      </c>
      <c r="J30" s="417">
        <f>+'SALE WORKING'!K207</f>
        <v>128383.5336</v>
      </c>
      <c r="K30" s="417">
        <f>+'SALE WORKING'!L207</f>
        <v>38884.86</v>
      </c>
      <c r="L30" s="417">
        <f>+'SALE WORKING'!M207</f>
        <v>0</v>
      </c>
      <c r="M30" s="417">
        <f>+'SALE WORKING'!N207</f>
        <v>0</v>
      </c>
      <c r="N30" s="356">
        <f t="shared" ref="N30:N32" si="12">SUM(B30:M30)</f>
        <v>672354.54440000001</v>
      </c>
      <c r="O30" s="399"/>
      <c r="P30" s="392"/>
      <c r="Q30" s="353"/>
    </row>
    <row r="31" spans="1:25" x14ac:dyDescent="0.2">
      <c r="A31" s="420" t="s">
        <v>1548</v>
      </c>
      <c r="B31" s="417">
        <f>+'SALE WORKING'!C208</f>
        <v>417253.72849999991</v>
      </c>
      <c r="C31" s="417">
        <f>+'SALE WORKING'!D208</f>
        <v>462253.39580000017</v>
      </c>
      <c r="D31" s="417">
        <f>+'SALE WORKING'!E208</f>
        <v>630521.11866000015</v>
      </c>
      <c r="E31" s="417">
        <f>+'SALE WORKING'!F208</f>
        <v>751921.66600000055</v>
      </c>
      <c r="F31" s="417">
        <f>+'SALE WORKING'!G208</f>
        <v>597973.32440000016</v>
      </c>
      <c r="G31" s="417">
        <f>+'SALE WORKING'!H208</f>
        <v>495784.53260000021</v>
      </c>
      <c r="H31" s="417">
        <f>+'SALE WORKING'!I208</f>
        <v>419677.1544</v>
      </c>
      <c r="I31" s="417">
        <f>+'SALE WORKING'!J208</f>
        <v>256975.35380000001</v>
      </c>
      <c r="J31" s="417">
        <f>+'SALE WORKING'!K208</f>
        <v>265592.08979999996</v>
      </c>
      <c r="K31" s="417">
        <f>+'SALE WORKING'!L208</f>
        <v>513531.29960000014</v>
      </c>
      <c r="L31" s="417">
        <f>+'SALE WORKING'!M208</f>
        <v>0</v>
      </c>
      <c r="M31" s="417">
        <f>+'SALE WORKING'!N208</f>
        <v>0</v>
      </c>
      <c r="N31" s="356">
        <f t="shared" si="12"/>
        <v>4811483.6635600012</v>
      </c>
      <c r="O31" s="399"/>
      <c r="P31" s="392"/>
      <c r="Q31" s="353"/>
    </row>
    <row r="32" spans="1:25" ht="10.8" thickBot="1" x14ac:dyDescent="0.25">
      <c r="A32" s="421" t="s">
        <v>1549</v>
      </c>
      <c r="B32" s="417">
        <f>+'SALE WORKING'!C209</f>
        <v>417253.72849999991</v>
      </c>
      <c r="C32" s="417">
        <f>+'SALE WORKING'!D209</f>
        <v>462253.39580000017</v>
      </c>
      <c r="D32" s="417">
        <f>+'SALE WORKING'!E209</f>
        <v>630521.11866000015</v>
      </c>
      <c r="E32" s="417">
        <f>+'SALE WORKING'!F209</f>
        <v>751921.66600000055</v>
      </c>
      <c r="F32" s="417">
        <f>+'SALE WORKING'!G209</f>
        <v>597973.32440000016</v>
      </c>
      <c r="G32" s="417">
        <f>+'SALE WORKING'!H209</f>
        <v>495784.53260000021</v>
      </c>
      <c r="H32" s="417">
        <f>+'SALE WORKING'!I209</f>
        <v>419677.1544</v>
      </c>
      <c r="I32" s="417">
        <f>+'SALE WORKING'!J209</f>
        <v>256975.35380000001</v>
      </c>
      <c r="J32" s="417">
        <f>+'SALE WORKING'!K209</f>
        <v>265592.08979999996</v>
      </c>
      <c r="K32" s="417">
        <f>+'SALE WORKING'!L209</f>
        <v>513531.29960000014</v>
      </c>
      <c r="L32" s="417">
        <f>+'SALE WORKING'!M209</f>
        <v>0</v>
      </c>
      <c r="M32" s="417">
        <f>+'SALE WORKING'!N209</f>
        <v>0</v>
      </c>
      <c r="N32" s="356">
        <f t="shared" si="12"/>
        <v>4811483.6635600012</v>
      </c>
      <c r="O32" s="399"/>
      <c r="P32" s="392"/>
      <c r="Q32" s="353"/>
    </row>
    <row r="33" spans="1:17" ht="10.8" thickBot="1" x14ac:dyDescent="0.25">
      <c r="A33" s="347" t="s">
        <v>1041</v>
      </c>
      <c r="B33" s="422">
        <f>SUM(B30:B32)</f>
        <v>869448.14459999977</v>
      </c>
      <c r="C33" s="422">
        <f t="shared" ref="C33:M33" si="13">SUM(C30:C32)</f>
        <v>980056.53200000036</v>
      </c>
      <c r="D33" s="422">
        <f t="shared" si="13"/>
        <v>1402152.0957200003</v>
      </c>
      <c r="E33" s="422">
        <f t="shared" si="13"/>
        <v>1568270.6600000011</v>
      </c>
      <c r="F33" s="422">
        <f t="shared" si="13"/>
        <v>1226420.0176000004</v>
      </c>
      <c r="G33" s="422">
        <f t="shared" si="13"/>
        <v>1067282.3952000004</v>
      </c>
      <c r="H33" s="422">
        <f t="shared" si="13"/>
        <v>891299.93959999993</v>
      </c>
      <c r="I33" s="422">
        <f t="shared" si="13"/>
        <v>564876.91440000001</v>
      </c>
      <c r="J33" s="422">
        <f t="shared" si="13"/>
        <v>659567.71319999988</v>
      </c>
      <c r="K33" s="422">
        <f t="shared" si="13"/>
        <v>1065947.4592000004</v>
      </c>
      <c r="L33" s="422">
        <f t="shared" si="13"/>
        <v>0</v>
      </c>
      <c r="M33" s="422">
        <f t="shared" si="13"/>
        <v>0</v>
      </c>
      <c r="N33" s="423">
        <f>SUM(N30:N32)</f>
        <v>10295321.871520001</v>
      </c>
      <c r="O33" s="399"/>
      <c r="P33" s="392"/>
      <c r="Q33" s="353"/>
    </row>
    <row r="34" spans="1:17" ht="10.8" thickBot="1" x14ac:dyDescent="0.25">
      <c r="A34" s="385"/>
      <c r="B34" s="424"/>
      <c r="C34" s="424"/>
      <c r="D34" s="387"/>
      <c r="E34" s="387"/>
      <c r="F34" s="387"/>
      <c r="G34" s="387"/>
      <c r="H34" s="387"/>
      <c r="I34" s="387"/>
      <c r="J34" s="387"/>
      <c r="K34" s="387"/>
      <c r="L34" s="387"/>
      <c r="M34" s="387"/>
      <c r="N34" s="386"/>
      <c r="O34" s="399"/>
      <c r="P34" s="392"/>
      <c r="Q34" s="353"/>
    </row>
    <row r="35" spans="1:17" ht="10.8" thickBot="1" x14ac:dyDescent="0.25">
      <c r="A35" s="415" t="s">
        <v>1551</v>
      </c>
      <c r="B35" s="348">
        <v>43556</v>
      </c>
      <c r="C35" s="348">
        <v>43586</v>
      </c>
      <c r="D35" s="348">
        <v>43617</v>
      </c>
      <c r="E35" s="348">
        <v>43647</v>
      </c>
      <c r="F35" s="348">
        <v>43678</v>
      </c>
      <c r="G35" s="348">
        <v>43709</v>
      </c>
      <c r="H35" s="348">
        <v>43739</v>
      </c>
      <c r="I35" s="348">
        <v>43770</v>
      </c>
      <c r="J35" s="348">
        <v>43800</v>
      </c>
      <c r="K35" s="348">
        <v>43831</v>
      </c>
      <c r="L35" s="348">
        <v>43862</v>
      </c>
      <c r="M35" s="348">
        <v>43891</v>
      </c>
      <c r="N35" s="347" t="s">
        <v>1041</v>
      </c>
      <c r="O35" s="395"/>
      <c r="P35" s="392"/>
      <c r="Q35" s="353"/>
    </row>
    <row r="36" spans="1:17" x14ac:dyDescent="0.2">
      <c r="A36" s="416" t="s">
        <v>1547</v>
      </c>
      <c r="B36" s="417">
        <f>+'RET-GSTR-1 OLD'!B143</f>
        <v>34940.687599999997</v>
      </c>
      <c r="C36" s="417">
        <f>+'RET-GSTR-1 OLD'!C143</f>
        <v>55549.74040000001</v>
      </c>
      <c r="D36" s="417">
        <f>+'RET-GSTR-1 OLD'!D143</f>
        <v>141109.85840000003</v>
      </c>
      <c r="E36" s="417">
        <f>+'RET-GSTR-1 OLD'!E143</f>
        <v>64427.327999999994</v>
      </c>
      <c r="F36" s="417">
        <f>+'RET-GSTR-1 OLD'!F143</f>
        <v>30473.3688</v>
      </c>
      <c r="G36" s="417">
        <f>+'RET-GSTR-1 OLD'!G143</f>
        <v>75713.330000000016</v>
      </c>
      <c r="H36" s="417">
        <f>+'RET-GSTR-1 OLD'!H143</f>
        <v>51945.630799999992</v>
      </c>
      <c r="I36" s="417">
        <f>+'RET-GSTR-1 OLD'!I143</f>
        <v>50926.2068</v>
      </c>
      <c r="J36" s="417">
        <f>+'RET-GSTR-1 OLD'!J143</f>
        <v>128383.5336</v>
      </c>
      <c r="K36" s="417">
        <f>+'RET-GSTR-1 OLD'!K143</f>
        <v>38884.86</v>
      </c>
      <c r="L36" s="417">
        <f>+'RET-GSTR-1 OLD'!L143</f>
        <v>0</v>
      </c>
      <c r="M36" s="417">
        <f>+'RET-GSTR-1 OLD'!M143</f>
        <v>0</v>
      </c>
      <c r="N36" s="356">
        <f t="shared" ref="N36:N38" si="14">SUM(B36:M36)</f>
        <v>672354.54440000001</v>
      </c>
      <c r="O36" s="399"/>
      <c r="P36" s="392"/>
      <c r="Q36" s="353"/>
    </row>
    <row r="37" spans="1:17" x14ac:dyDescent="0.2">
      <c r="A37" s="420" t="s">
        <v>1548</v>
      </c>
      <c r="B37" s="417">
        <f>+'RET-GSTR-1 OLD'!B144</f>
        <v>416437.87849999993</v>
      </c>
      <c r="C37" s="417">
        <f>+'RET-GSTR-1 OLD'!C144</f>
        <v>463069.24580000015</v>
      </c>
      <c r="D37" s="417">
        <f>+'RET-GSTR-1 OLD'!D144</f>
        <v>630521.11866000015</v>
      </c>
      <c r="E37" s="417">
        <f>+'RET-GSTR-1 OLD'!E144</f>
        <v>751921.66600000055</v>
      </c>
      <c r="F37" s="417">
        <f>+'RET-GSTR-1 OLD'!F144</f>
        <v>597973.32440000016</v>
      </c>
      <c r="G37" s="417">
        <f>+'RET-GSTR-1 OLD'!G144</f>
        <v>495784.53260000021</v>
      </c>
      <c r="H37" s="417">
        <f>+'RET-GSTR-1 OLD'!H144</f>
        <v>419677.1544</v>
      </c>
      <c r="I37" s="417">
        <f>+'RET-GSTR-1 OLD'!I144</f>
        <v>256975.35380000001</v>
      </c>
      <c r="J37" s="417">
        <f>+'RET-GSTR-1 OLD'!J144</f>
        <v>265592.08979999996</v>
      </c>
      <c r="K37" s="417">
        <f>+'RET-GSTR-1 OLD'!K144</f>
        <v>513531.29960000014</v>
      </c>
      <c r="L37" s="417">
        <f>+'RET-GSTR-1 OLD'!L144</f>
        <v>0</v>
      </c>
      <c r="M37" s="417">
        <f>+'RET-GSTR-1 OLD'!M144</f>
        <v>0</v>
      </c>
      <c r="N37" s="356">
        <f t="shared" si="14"/>
        <v>4811483.6635600012</v>
      </c>
      <c r="O37" s="399"/>
      <c r="P37" s="392"/>
      <c r="Q37" s="353"/>
    </row>
    <row r="38" spans="1:17" ht="10.8" thickBot="1" x14ac:dyDescent="0.25">
      <c r="A38" s="421" t="s">
        <v>1549</v>
      </c>
      <c r="B38" s="417">
        <f>+'RET-GSTR-1 OLD'!B145</f>
        <v>416437.87849999993</v>
      </c>
      <c r="C38" s="417">
        <f>+'RET-GSTR-1 OLD'!C145</f>
        <v>463069.24580000015</v>
      </c>
      <c r="D38" s="417">
        <f>+'RET-GSTR-1 OLD'!D145</f>
        <v>630521.11866000015</v>
      </c>
      <c r="E38" s="417">
        <f>+'RET-GSTR-1 OLD'!E145</f>
        <v>751921.66600000055</v>
      </c>
      <c r="F38" s="417">
        <f>+'RET-GSTR-1 OLD'!F145</f>
        <v>597973.32440000016</v>
      </c>
      <c r="G38" s="417">
        <f>+'RET-GSTR-1 OLD'!G145</f>
        <v>495784.53260000021</v>
      </c>
      <c r="H38" s="417">
        <f>+'RET-GSTR-1 OLD'!H145</f>
        <v>419677.1544</v>
      </c>
      <c r="I38" s="417">
        <f>+'RET-GSTR-1 OLD'!I145</f>
        <v>256975.35380000001</v>
      </c>
      <c r="J38" s="417">
        <f>+'RET-GSTR-1 OLD'!J145</f>
        <v>265592.08979999996</v>
      </c>
      <c r="K38" s="417">
        <f>+'RET-GSTR-1 OLD'!K145</f>
        <v>513531.29960000014</v>
      </c>
      <c r="L38" s="417">
        <f>+'RET-GSTR-1 OLD'!L145</f>
        <v>0</v>
      </c>
      <c r="M38" s="417">
        <f>+'RET-GSTR-1 OLD'!M145</f>
        <v>0</v>
      </c>
      <c r="N38" s="356">
        <f t="shared" si="14"/>
        <v>4811483.6635600012</v>
      </c>
      <c r="O38" s="399"/>
      <c r="P38" s="392"/>
      <c r="Q38" s="353"/>
    </row>
    <row r="39" spans="1:17" ht="10.8" thickBot="1" x14ac:dyDescent="0.25">
      <c r="A39" s="347" t="s">
        <v>1041</v>
      </c>
      <c r="B39" s="422">
        <f>SUM(B36:B38)</f>
        <v>867816.44459999981</v>
      </c>
      <c r="C39" s="422">
        <f t="shared" ref="C39:M39" si="15">SUM(C36:C38)</f>
        <v>981688.23200000031</v>
      </c>
      <c r="D39" s="422">
        <f t="shared" si="15"/>
        <v>1402152.0957200003</v>
      </c>
      <c r="E39" s="422">
        <f t="shared" si="15"/>
        <v>1568270.6600000011</v>
      </c>
      <c r="F39" s="422">
        <f t="shared" si="15"/>
        <v>1226420.0176000004</v>
      </c>
      <c r="G39" s="422">
        <f t="shared" si="15"/>
        <v>1067282.3952000004</v>
      </c>
      <c r="H39" s="422">
        <f t="shared" si="15"/>
        <v>891299.93959999993</v>
      </c>
      <c r="I39" s="422">
        <f t="shared" si="15"/>
        <v>564876.91440000001</v>
      </c>
      <c r="J39" s="422">
        <f t="shared" si="15"/>
        <v>659567.71319999988</v>
      </c>
      <c r="K39" s="422">
        <f t="shared" si="15"/>
        <v>1065947.4592000004</v>
      </c>
      <c r="L39" s="422">
        <f t="shared" si="15"/>
        <v>0</v>
      </c>
      <c r="M39" s="422">
        <f t="shared" si="15"/>
        <v>0</v>
      </c>
      <c r="N39" s="423">
        <f>SUM(N36:N38)</f>
        <v>10295321.871520001</v>
      </c>
      <c r="O39" s="399"/>
      <c r="P39" s="392"/>
      <c r="Q39" s="353"/>
    </row>
    <row r="40" spans="1:17" ht="10.8" thickBot="1" x14ac:dyDescent="0.25">
      <c r="A40" s="426"/>
      <c r="B40" s="424"/>
      <c r="C40" s="424"/>
      <c r="D40" s="424"/>
      <c r="E40" s="424"/>
      <c r="F40" s="424"/>
      <c r="G40" s="424"/>
      <c r="H40" s="424"/>
      <c r="I40" s="424"/>
      <c r="J40" s="424"/>
      <c r="K40" s="424"/>
      <c r="L40" s="424"/>
      <c r="M40" s="424"/>
      <c r="N40" s="424"/>
      <c r="O40" s="427"/>
      <c r="P40" s="412"/>
      <c r="Q40" s="428"/>
    </row>
    <row r="41" spans="1:17" x14ac:dyDescent="0.2">
      <c r="A41" s="354" t="s">
        <v>2582</v>
      </c>
      <c r="B41" s="386">
        <f t="shared" ref="B41:N43" si="16">+B4+B14</f>
        <v>4218128.9145999961</v>
      </c>
      <c r="C41" s="386">
        <f t="shared" si="16"/>
        <v>5037615.2319999989</v>
      </c>
      <c r="D41" s="386">
        <f t="shared" si="16"/>
        <v>7150535.2697199974</v>
      </c>
      <c r="E41" s="386">
        <f t="shared" si="16"/>
        <v>8118439.6099999938</v>
      </c>
      <c r="F41" s="386">
        <f t="shared" si="16"/>
        <v>6588737.6375999954</v>
      </c>
      <c r="G41" s="386">
        <f t="shared" si="16"/>
        <v>5853050.2851999998</v>
      </c>
      <c r="H41" s="386">
        <f t="shared" si="16"/>
        <v>5195214.9595999997</v>
      </c>
      <c r="I41" s="386">
        <f t="shared" si="16"/>
        <v>3093087.6043999996</v>
      </c>
      <c r="J41" s="386">
        <f t="shared" si="16"/>
        <v>3823717.7931999993</v>
      </c>
      <c r="K41" s="386">
        <f t="shared" si="16"/>
        <v>6518351.3991999952</v>
      </c>
      <c r="L41" s="386">
        <f t="shared" si="16"/>
        <v>0</v>
      </c>
      <c r="M41" s="386">
        <f t="shared" si="16"/>
        <v>0</v>
      </c>
      <c r="N41" s="386">
        <f t="shared" si="16"/>
        <v>54530931.246319979</v>
      </c>
      <c r="O41" s="387"/>
      <c r="P41" s="60"/>
      <c r="Q41" s="60"/>
    </row>
    <row r="42" spans="1:17" x14ac:dyDescent="0.2">
      <c r="A42" s="362" t="s">
        <v>2583</v>
      </c>
      <c r="B42" s="386">
        <f t="shared" si="16"/>
        <v>4218128.9145999961</v>
      </c>
      <c r="C42" s="386">
        <f t="shared" si="16"/>
        <v>5037615.2319999989</v>
      </c>
      <c r="D42" s="386">
        <f t="shared" si="16"/>
        <v>7150535.2697199974</v>
      </c>
      <c r="E42" s="386">
        <f t="shared" si="16"/>
        <v>8118439.6099999938</v>
      </c>
      <c r="F42" s="386">
        <f t="shared" si="16"/>
        <v>6588737.6375999954</v>
      </c>
      <c r="G42" s="386">
        <f t="shared" si="16"/>
        <v>5853050.2851999998</v>
      </c>
      <c r="H42" s="386">
        <f t="shared" si="16"/>
        <v>5195214.9595999997</v>
      </c>
      <c r="I42" s="386">
        <f t="shared" si="16"/>
        <v>3093087.6043999996</v>
      </c>
      <c r="J42" s="386">
        <f t="shared" si="16"/>
        <v>3823717.7931999993</v>
      </c>
      <c r="K42" s="386">
        <f t="shared" si="16"/>
        <v>6518351.3991999952</v>
      </c>
      <c r="L42" s="386">
        <f t="shared" si="16"/>
        <v>0</v>
      </c>
      <c r="M42" s="386">
        <f t="shared" si="16"/>
        <v>0</v>
      </c>
      <c r="N42" s="386">
        <f t="shared" si="16"/>
        <v>54530931.246319979</v>
      </c>
      <c r="O42" s="387"/>
      <c r="P42" s="60"/>
      <c r="Q42" s="60"/>
    </row>
    <row r="43" spans="1:17" ht="10.8" thickBot="1" x14ac:dyDescent="0.25">
      <c r="A43" s="367" t="s">
        <v>2584</v>
      </c>
      <c r="B43" s="386">
        <f t="shared" si="16"/>
        <v>4207432.2145999959</v>
      </c>
      <c r="C43" s="386">
        <f t="shared" si="16"/>
        <v>5048311.9319999982</v>
      </c>
      <c r="D43" s="386">
        <f t="shared" si="16"/>
        <v>7150535.2697199974</v>
      </c>
      <c r="E43" s="386">
        <f t="shared" si="16"/>
        <v>8118439.6099999938</v>
      </c>
      <c r="F43" s="386">
        <f t="shared" si="16"/>
        <v>6588737.6375999954</v>
      </c>
      <c r="G43" s="386">
        <f t="shared" si="16"/>
        <v>5853050.2851999998</v>
      </c>
      <c r="H43" s="386">
        <f t="shared" si="16"/>
        <v>5195214.9595999997</v>
      </c>
      <c r="I43" s="386">
        <f t="shared" si="16"/>
        <v>3093087.6043999996</v>
      </c>
      <c r="J43" s="386">
        <f t="shared" si="16"/>
        <v>3823717.7931999993</v>
      </c>
      <c r="K43" s="386">
        <f t="shared" si="16"/>
        <v>6518351.3991999952</v>
      </c>
      <c r="L43" s="386">
        <f t="shared" si="16"/>
        <v>0</v>
      </c>
      <c r="M43" s="386">
        <f t="shared" si="16"/>
        <v>0</v>
      </c>
      <c r="N43" s="386">
        <f t="shared" si="16"/>
        <v>54530931.246319979</v>
      </c>
      <c r="O43" s="387"/>
      <c r="P43" s="392"/>
      <c r="Q43" s="392"/>
    </row>
    <row r="44" spans="1:17" x14ac:dyDescent="0.2">
      <c r="A44" s="1420" t="s">
        <v>1552</v>
      </c>
      <c r="B44" s="1421"/>
      <c r="C44" s="1421"/>
      <c r="D44" s="1421"/>
      <c r="E44" s="1421"/>
      <c r="F44" s="1421"/>
      <c r="G44" s="1421"/>
      <c r="H44" s="1421"/>
      <c r="I44" s="1421"/>
      <c r="J44" s="1421"/>
      <c r="K44" s="1421"/>
      <c r="L44" s="1421"/>
      <c r="M44" s="1421"/>
      <c r="N44" s="1421"/>
      <c r="O44" s="1421"/>
      <c r="P44" s="1421"/>
      <c r="Q44" s="1421"/>
    </row>
    <row r="45" spans="1:17" ht="10.8" thickBot="1" x14ac:dyDescent="0.25">
      <c r="A45" s="385"/>
      <c r="B45" s="386"/>
      <c r="C45" s="386"/>
      <c r="D45" s="386"/>
      <c r="E45" s="386"/>
      <c r="F45" s="386"/>
      <c r="G45" s="386"/>
      <c r="H45" s="386"/>
      <c r="I45" s="386"/>
      <c r="J45" s="386"/>
      <c r="K45" s="386"/>
      <c r="L45" s="386"/>
      <c r="M45" s="386"/>
      <c r="N45" s="386"/>
      <c r="O45" s="399"/>
      <c r="P45" s="392"/>
      <c r="Q45" s="392"/>
    </row>
    <row r="46" spans="1:17" ht="10.8" thickBot="1" x14ac:dyDescent="0.25">
      <c r="A46" s="347" t="s">
        <v>2</v>
      </c>
      <c r="B46" s="348">
        <v>43556</v>
      </c>
      <c r="C46" s="348">
        <v>43586</v>
      </c>
      <c r="D46" s="348">
        <v>43617</v>
      </c>
      <c r="E46" s="348">
        <v>43647</v>
      </c>
      <c r="F46" s="348">
        <v>43678</v>
      </c>
      <c r="G46" s="348">
        <v>43709</v>
      </c>
      <c r="H46" s="348">
        <v>43739</v>
      </c>
      <c r="I46" s="348">
        <v>43770</v>
      </c>
      <c r="J46" s="348">
        <v>43800</v>
      </c>
      <c r="K46" s="348">
        <v>43831</v>
      </c>
      <c r="L46" s="348">
        <v>43862</v>
      </c>
      <c r="M46" s="348">
        <v>43891</v>
      </c>
      <c r="N46" s="347" t="s">
        <v>1041</v>
      </c>
      <c r="O46" s="429" t="s">
        <v>1553</v>
      </c>
      <c r="P46" s="430" t="s">
        <v>1041</v>
      </c>
      <c r="Q46" s="392"/>
    </row>
    <row r="47" spans="1:17" ht="10.8" thickBot="1" x14ac:dyDescent="0.25">
      <c r="A47" s="416" t="s">
        <v>1554</v>
      </c>
      <c r="B47" s="431">
        <v>3316548.801</v>
      </c>
      <c r="C47" s="432">
        <v>0</v>
      </c>
      <c r="D47" s="432"/>
      <c r="E47" s="432"/>
      <c r="F47" s="432">
        <v>0</v>
      </c>
      <c r="G47" s="432"/>
      <c r="H47" s="432">
        <v>0</v>
      </c>
      <c r="I47" s="432">
        <v>0</v>
      </c>
      <c r="J47" s="432">
        <v>0</v>
      </c>
      <c r="K47" s="432">
        <v>0</v>
      </c>
      <c r="L47" s="432">
        <v>0</v>
      </c>
      <c r="M47" s="432">
        <v>0</v>
      </c>
      <c r="N47" s="398">
        <f t="shared" ref="N47:N49" si="17">SUM(B47:J47)</f>
        <v>3316548.801</v>
      </c>
      <c r="O47" s="433">
        <v>121658</v>
      </c>
      <c r="P47" s="434">
        <v>22786949.870000001</v>
      </c>
      <c r="Q47" s="392"/>
    </row>
    <row r="48" spans="1:17" ht="10.8" thickBot="1" x14ac:dyDescent="0.25">
      <c r="A48" s="421" t="s">
        <v>1555</v>
      </c>
      <c r="B48" s="431">
        <v>3316548.801</v>
      </c>
      <c r="C48" s="431">
        <v>5483140.9173999988</v>
      </c>
      <c r="D48" s="431">
        <v>5586536.983</v>
      </c>
      <c r="E48" s="431">
        <v>5586536.983</v>
      </c>
      <c r="F48" s="431">
        <v>360</v>
      </c>
      <c r="G48" s="431">
        <v>360</v>
      </c>
      <c r="H48" s="431">
        <v>360</v>
      </c>
      <c r="I48" s="431">
        <v>360</v>
      </c>
      <c r="J48" s="431">
        <v>360</v>
      </c>
      <c r="K48" s="431">
        <v>360</v>
      </c>
      <c r="L48" s="431">
        <v>360</v>
      </c>
      <c r="M48" s="431">
        <v>360</v>
      </c>
      <c r="N48" s="398">
        <f t="shared" si="17"/>
        <v>19974563.684399996</v>
      </c>
      <c r="O48" s="433">
        <v>121658</v>
      </c>
      <c r="P48" s="434">
        <v>22786949.870000001</v>
      </c>
      <c r="Q48" s="392"/>
    </row>
    <row r="49" spans="1:17" ht="10.8" thickBot="1" x14ac:dyDescent="0.25">
      <c r="A49" s="416" t="s">
        <v>1556</v>
      </c>
      <c r="B49" s="435">
        <f>SUMIFS('GSTR-2A'!$G$6:$G$10000,'GSTR-2A'!$A$6:$A$10000,B46)</f>
        <v>3020563.8799999971</v>
      </c>
      <c r="C49" s="435">
        <f>SUMIFS('GSTR-2A'!$G$6:$G$10000,'GSTR-2A'!$A$6:$A$10000,C46)</f>
        <v>4708709.2799999956</v>
      </c>
      <c r="D49" s="435">
        <f>SUMIFS('GSTR-2A'!$G$6:$G$10000,'GSTR-2A'!$A$6:$A$10000,D46)</f>
        <v>6345700.2399999984</v>
      </c>
      <c r="E49" s="435">
        <f>SUMIFS('GSTR-2A'!$G$6:$G$10000,'GSTR-2A'!$A$6:$A$10000,E46)</f>
        <v>6426816.5299999975</v>
      </c>
      <c r="F49" s="435">
        <f>SUMIFS('GSTR-2A'!$G$6:$G$10000,'GSTR-2A'!$A$6:$A$10000,F46)</f>
        <v>4026388.3499999968</v>
      </c>
      <c r="G49" s="435">
        <f>SUMIFS('GSTR-2A'!$G$6:$G$10000,'GSTR-2A'!$A$6:$A$10000,G46)</f>
        <v>4541680.25</v>
      </c>
      <c r="H49" s="435">
        <f>SUMIFS('GSTR-2A'!$G$6:$G$10000,'GSTR-2A'!$A$6:$A$10000,H46)</f>
        <v>448020.12999999995</v>
      </c>
      <c r="I49" s="435">
        <f>SUMIFS('GSTR-2A'!$G$6:$G$10000,'GSTR-2A'!$A$6:$A$10000,I46)</f>
        <v>0</v>
      </c>
      <c r="J49" s="435">
        <f>SUMIFS('GSTR-2A'!$G$6:$G$10000,'GSTR-2A'!$A$6:$A$10000,J46)</f>
        <v>0</v>
      </c>
      <c r="K49" s="435">
        <f>SUMIFS('GSTR-2A'!$G$6:$G$10000,'GSTR-2A'!$A$6:$A$10000,K46)</f>
        <v>0</v>
      </c>
      <c r="L49" s="435">
        <f>SUMIFS('GSTR-2A'!$G$6:$G$10000,'GSTR-2A'!$A$6:$A$10000,L46)</f>
        <v>0</v>
      </c>
      <c r="M49" s="435">
        <f>SUMIFS('GSTR-2A'!$G$6:$G$10000,'GSTR-2A'!$A$6:$A$10000,M46)</f>
        <v>0</v>
      </c>
      <c r="N49" s="398">
        <f t="shared" si="17"/>
        <v>29517878.659999985</v>
      </c>
      <c r="O49" s="436">
        <v>121658</v>
      </c>
      <c r="P49" s="437">
        <v>121658</v>
      </c>
      <c r="Q49" s="392"/>
    </row>
    <row r="50" spans="1:17" ht="10.8" thickBot="1" x14ac:dyDescent="0.25">
      <c r="A50" s="347" t="s">
        <v>1557</v>
      </c>
      <c r="B50" s="438">
        <f>+B49-B48</f>
        <v>-295984.92100000288</v>
      </c>
      <c r="C50" s="438">
        <f>+C49-C48</f>
        <v>-774431.63740000315</v>
      </c>
      <c r="D50" s="438">
        <f>+D49-D48</f>
        <v>759163.25699999835</v>
      </c>
      <c r="E50" s="438">
        <f t="shared" ref="E50:N50" si="18">+E49-E48</f>
        <v>840279.54699999746</v>
      </c>
      <c r="F50" s="438">
        <f t="shared" si="18"/>
        <v>4026028.3499999968</v>
      </c>
      <c r="G50" s="438">
        <f t="shared" si="18"/>
        <v>4541320.25</v>
      </c>
      <c r="H50" s="438">
        <f t="shared" si="18"/>
        <v>447660.12999999995</v>
      </c>
      <c r="I50" s="438">
        <f t="shared" si="18"/>
        <v>-360</v>
      </c>
      <c r="J50" s="438">
        <f>+J49-J48</f>
        <v>-360</v>
      </c>
      <c r="K50" s="438">
        <f>+K49-K48</f>
        <v>-360</v>
      </c>
      <c r="L50" s="438">
        <f>+L49-L48</f>
        <v>-360</v>
      </c>
      <c r="M50" s="438">
        <f>+M49-M48</f>
        <v>-360</v>
      </c>
      <c r="N50" s="438">
        <f t="shared" si="18"/>
        <v>9543314.9755999893</v>
      </c>
      <c r="O50" s="387" t="s">
        <v>1558</v>
      </c>
      <c r="P50" s="419"/>
      <c r="Q50" s="392"/>
    </row>
    <row r="51" spans="1:17" ht="10.8" thickBot="1" x14ac:dyDescent="0.25">
      <c r="B51" s="424"/>
      <c r="C51" s="424"/>
      <c r="D51" s="424"/>
      <c r="E51" s="424"/>
      <c r="F51" s="424"/>
      <c r="G51" s="424"/>
      <c r="H51" s="424"/>
      <c r="I51" s="424"/>
      <c r="J51" s="424"/>
      <c r="K51" s="424"/>
      <c r="L51" s="424"/>
      <c r="M51" s="424"/>
      <c r="N51" s="424"/>
      <c r="O51" s="387"/>
      <c r="P51" s="392"/>
      <c r="Q51" s="357"/>
    </row>
    <row r="52" spans="1:17" ht="10.8" thickBot="1" x14ac:dyDescent="0.25">
      <c r="A52" s="1422" t="s">
        <v>1559</v>
      </c>
      <c r="B52" s="1423"/>
      <c r="C52" s="1423"/>
      <c r="D52" s="1423"/>
      <c r="E52" s="1423"/>
      <c r="F52" s="1423"/>
      <c r="G52" s="1423"/>
      <c r="H52" s="1423"/>
      <c r="I52" s="1423"/>
      <c r="J52" s="1423"/>
      <c r="K52" s="1423"/>
      <c r="L52" s="1423"/>
      <c r="M52" s="1423"/>
      <c r="N52" s="1424"/>
      <c r="O52" s="357"/>
      <c r="P52" s="357"/>
      <c r="Q52" s="357"/>
    </row>
    <row r="53" spans="1:17" ht="10.8" thickBot="1" x14ac:dyDescent="0.25">
      <c r="A53" s="59"/>
      <c r="B53" s="409"/>
      <c r="C53" s="409"/>
      <c r="D53" s="409"/>
      <c r="E53" s="409"/>
      <c r="F53" s="409"/>
      <c r="G53" s="409"/>
      <c r="H53" s="409"/>
      <c r="I53" s="409"/>
      <c r="J53" s="409"/>
      <c r="K53" s="409"/>
      <c r="L53" s="409"/>
      <c r="M53" s="409"/>
      <c r="N53" s="439"/>
      <c r="O53" s="357"/>
      <c r="P53" s="357"/>
      <c r="Q53" s="357"/>
    </row>
    <row r="54" spans="1:17" ht="10.8" thickBot="1" x14ac:dyDescent="0.25">
      <c r="A54" s="440" t="s">
        <v>2</v>
      </c>
      <c r="B54" s="348">
        <v>43556</v>
      </c>
      <c r="C54" s="348">
        <v>43586</v>
      </c>
      <c r="D54" s="348">
        <v>43617</v>
      </c>
      <c r="E54" s="348">
        <v>43647</v>
      </c>
      <c r="F54" s="348">
        <v>43678</v>
      </c>
      <c r="G54" s="348">
        <v>43709</v>
      </c>
      <c r="H54" s="348">
        <v>43739</v>
      </c>
      <c r="I54" s="348">
        <v>43770</v>
      </c>
      <c r="J54" s="348">
        <v>43800</v>
      </c>
      <c r="K54" s="348">
        <v>43831</v>
      </c>
      <c r="L54" s="348">
        <v>43862</v>
      </c>
      <c r="M54" s="348">
        <v>43891</v>
      </c>
      <c r="N54" s="440" t="s">
        <v>1041</v>
      </c>
      <c r="O54" s="357"/>
      <c r="P54" s="357"/>
      <c r="Q54" s="357"/>
    </row>
    <row r="55" spans="1:17" x14ac:dyDescent="0.2">
      <c r="A55" s="441" t="s">
        <v>1560</v>
      </c>
      <c r="B55" s="397">
        <f>+B68</f>
        <v>642172.10099999956</v>
      </c>
      <c r="C55" s="397">
        <f>+C68</f>
        <v>908669.14679999999</v>
      </c>
      <c r="D55" s="397">
        <f t="shared" ref="D55:J55" si="19">+D68</f>
        <v>1002630.1153999995</v>
      </c>
      <c r="E55" s="397">
        <f t="shared" si="19"/>
        <v>1322391.0488000009</v>
      </c>
      <c r="F55" s="397">
        <f t="shared" si="19"/>
        <v>818006.1440000002</v>
      </c>
      <c r="G55" s="397">
        <f t="shared" si="19"/>
        <v>821618.67660000036</v>
      </c>
      <c r="H55" s="397">
        <f t="shared" si="19"/>
        <v>789041.47920000018</v>
      </c>
      <c r="I55" s="397">
        <f t="shared" si="19"/>
        <v>694330.8824</v>
      </c>
      <c r="J55" s="397">
        <f t="shared" si="19"/>
        <v>1136999.0493999999</v>
      </c>
      <c r="K55" s="397">
        <f>+K68</f>
        <v>624343.73619999993</v>
      </c>
      <c r="L55" s="397">
        <f>+L68</f>
        <v>0</v>
      </c>
      <c r="M55" s="397">
        <f>+M68</f>
        <v>0</v>
      </c>
      <c r="N55" s="398">
        <f>SUM(B55:J55)</f>
        <v>8135858.6436000001</v>
      </c>
      <c r="O55" s="357"/>
      <c r="P55" s="357"/>
      <c r="Q55" s="357"/>
    </row>
    <row r="56" spans="1:17" x14ac:dyDescent="0.2">
      <c r="A56" s="441" t="s">
        <v>1561</v>
      </c>
      <c r="B56" s="442">
        <f>+B74</f>
        <v>643097.10099999956</v>
      </c>
      <c r="C56" s="442">
        <f>+C74</f>
        <v>910947.14679999999</v>
      </c>
      <c r="D56" s="442">
        <f t="shared" ref="D56:J56" si="20">+D74</f>
        <v>1003860.1153999995</v>
      </c>
      <c r="E56" s="442">
        <f t="shared" si="20"/>
        <v>1323953.5488000009</v>
      </c>
      <c r="F56" s="442">
        <f t="shared" si="20"/>
        <v>819801.1440000002</v>
      </c>
      <c r="G56" s="442">
        <f t="shared" si="20"/>
        <v>823466.17660000036</v>
      </c>
      <c r="H56" s="442">
        <f t="shared" si="20"/>
        <v>790496.47920000018</v>
      </c>
      <c r="I56" s="442">
        <f t="shared" si="20"/>
        <v>695700.8824</v>
      </c>
      <c r="J56" s="442">
        <f t="shared" si="20"/>
        <v>1139487.0993999999</v>
      </c>
      <c r="K56" s="442">
        <f>+K74</f>
        <v>624343.73619999993</v>
      </c>
      <c r="L56" s="442">
        <f>+L74</f>
        <v>0</v>
      </c>
      <c r="M56" s="442">
        <f>+M74</f>
        <v>0</v>
      </c>
      <c r="N56" s="398">
        <f>SUM(B56:J56)</f>
        <v>8150809.6935999999</v>
      </c>
      <c r="O56" s="392"/>
      <c r="P56" s="357"/>
      <c r="Q56" s="357"/>
    </row>
    <row r="57" spans="1:17" ht="10.8" thickBot="1" x14ac:dyDescent="0.25">
      <c r="A57" s="441" t="s">
        <v>1562</v>
      </c>
      <c r="B57" s="443">
        <f>+B80</f>
        <v>575524.57999999996</v>
      </c>
      <c r="C57" s="443">
        <f>+C80</f>
        <v>0</v>
      </c>
      <c r="D57" s="443">
        <f t="shared" ref="D57:J57" si="21">+D80</f>
        <v>0</v>
      </c>
      <c r="E57" s="443">
        <f t="shared" si="21"/>
        <v>0</v>
      </c>
      <c r="F57" s="443">
        <f t="shared" si="21"/>
        <v>0</v>
      </c>
      <c r="G57" s="443">
        <f t="shared" si="21"/>
        <v>0</v>
      </c>
      <c r="H57" s="443">
        <f t="shared" si="21"/>
        <v>0</v>
      </c>
      <c r="I57" s="443">
        <f t="shared" si="21"/>
        <v>0</v>
      </c>
      <c r="J57" s="443">
        <f t="shared" si="21"/>
        <v>0</v>
      </c>
      <c r="K57" s="443">
        <f>+K80</f>
        <v>0</v>
      </c>
      <c r="L57" s="443">
        <f>+L80</f>
        <v>0</v>
      </c>
      <c r="M57" s="443">
        <f>+M80</f>
        <v>0</v>
      </c>
      <c r="N57" s="398">
        <f>SUM(B57:J57)</f>
        <v>575524.57999999996</v>
      </c>
      <c r="O57" s="444"/>
      <c r="P57" s="357"/>
      <c r="Q57" s="357"/>
    </row>
    <row r="58" spans="1:17" ht="10.8" thickBot="1" x14ac:dyDescent="0.25">
      <c r="A58" s="440" t="s">
        <v>1521</v>
      </c>
      <c r="B58" s="373">
        <f>+B56-B55</f>
        <v>925</v>
      </c>
      <c r="C58" s="373">
        <f t="shared" ref="C58:J58" si="22">+C56-C55</f>
        <v>2278</v>
      </c>
      <c r="D58" s="373">
        <f t="shared" si="22"/>
        <v>1230</v>
      </c>
      <c r="E58" s="373">
        <f t="shared" si="22"/>
        <v>1562.5</v>
      </c>
      <c r="F58" s="373">
        <f t="shared" si="22"/>
        <v>1795</v>
      </c>
      <c r="G58" s="373">
        <f t="shared" si="22"/>
        <v>1847.5</v>
      </c>
      <c r="H58" s="373">
        <f t="shared" si="22"/>
        <v>1455</v>
      </c>
      <c r="I58" s="373">
        <f t="shared" si="22"/>
        <v>1370</v>
      </c>
      <c r="J58" s="373">
        <f t="shared" si="22"/>
        <v>2488.0500000000466</v>
      </c>
      <c r="K58" s="373">
        <f>+K56-K55</f>
        <v>0</v>
      </c>
      <c r="L58" s="373">
        <f>+L56-L55</f>
        <v>0</v>
      </c>
      <c r="M58" s="373">
        <f>+M56-M55</f>
        <v>0</v>
      </c>
      <c r="N58" s="445">
        <f t="shared" ref="N58" si="23">+N56-N55</f>
        <v>14951.049999999814</v>
      </c>
      <c r="O58" s="446" t="s">
        <v>1522</v>
      </c>
      <c r="P58" s="444"/>
      <c r="Q58" s="444"/>
    </row>
    <row r="59" spans="1:17" ht="10.8" thickBot="1" x14ac:dyDescent="0.25">
      <c r="A59" s="372" t="s">
        <v>1563</v>
      </c>
      <c r="B59" s="376">
        <f>+B56-B57</f>
        <v>67572.5209999996</v>
      </c>
      <c r="C59" s="376">
        <f t="shared" ref="C59:J59" si="24">+C56-C57</f>
        <v>910947.14679999999</v>
      </c>
      <c r="D59" s="376">
        <f t="shared" si="24"/>
        <v>1003860.1153999995</v>
      </c>
      <c r="E59" s="376">
        <f t="shared" si="24"/>
        <v>1323953.5488000009</v>
      </c>
      <c r="F59" s="376">
        <f t="shared" si="24"/>
        <v>819801.1440000002</v>
      </c>
      <c r="G59" s="376">
        <f t="shared" si="24"/>
        <v>823466.17660000036</v>
      </c>
      <c r="H59" s="376">
        <f t="shared" si="24"/>
        <v>790496.47920000018</v>
      </c>
      <c r="I59" s="376">
        <f t="shared" si="24"/>
        <v>695700.8824</v>
      </c>
      <c r="J59" s="376">
        <f t="shared" si="24"/>
        <v>1139487.0993999999</v>
      </c>
      <c r="K59" s="376">
        <f>+K56-K57</f>
        <v>624343.73619999993</v>
      </c>
      <c r="L59" s="376">
        <f>+L56-L57</f>
        <v>0</v>
      </c>
      <c r="M59" s="376">
        <f>+M56-M57</f>
        <v>0</v>
      </c>
      <c r="N59" s="447"/>
      <c r="O59" s="446"/>
      <c r="P59" s="444"/>
      <c r="Q59" s="444"/>
    </row>
    <row r="60" spans="1:17" ht="18.600000000000001" customHeight="1" thickBot="1" x14ac:dyDescent="0.25">
      <c r="A60" s="440" t="s">
        <v>1563</v>
      </c>
      <c r="B60" s="376">
        <f>+B55-B57</f>
        <v>66647.5209999996</v>
      </c>
      <c r="C60" s="376">
        <f t="shared" ref="C60:J60" si="25">+C55-C57</f>
        <v>908669.14679999999</v>
      </c>
      <c r="D60" s="376">
        <f t="shared" si="25"/>
        <v>1002630.1153999995</v>
      </c>
      <c r="E60" s="376">
        <f t="shared" si="25"/>
        <v>1322391.0488000009</v>
      </c>
      <c r="F60" s="376">
        <f t="shared" si="25"/>
        <v>818006.1440000002</v>
      </c>
      <c r="G60" s="376">
        <f t="shared" si="25"/>
        <v>821618.67660000036</v>
      </c>
      <c r="H60" s="376">
        <f t="shared" si="25"/>
        <v>789041.47920000018</v>
      </c>
      <c r="I60" s="376">
        <f t="shared" si="25"/>
        <v>694330.8824</v>
      </c>
      <c r="J60" s="376">
        <f t="shared" si="25"/>
        <v>1136999.0493999999</v>
      </c>
      <c r="K60" s="376">
        <f>+K55-K57</f>
        <v>624343.73619999993</v>
      </c>
      <c r="L60" s="376">
        <f>+L55-L57</f>
        <v>0</v>
      </c>
      <c r="M60" s="376">
        <f>+M55-M57</f>
        <v>0</v>
      </c>
      <c r="N60" s="445">
        <f t="shared" ref="N60" si="26">+N56-N57</f>
        <v>7575285.1135999998</v>
      </c>
      <c r="O60" s="448" t="s">
        <v>1564</v>
      </c>
      <c r="P60" s="357"/>
      <c r="Q60" s="444"/>
    </row>
    <row r="61" spans="1:17" x14ac:dyDescent="0.2">
      <c r="A61" s="391"/>
      <c r="B61" s="449"/>
      <c r="C61" s="449"/>
      <c r="D61" s="449"/>
      <c r="E61" s="449"/>
      <c r="F61" s="449"/>
      <c r="G61" s="449"/>
      <c r="H61" s="449"/>
      <c r="I61" s="449"/>
      <c r="J61" s="449"/>
      <c r="K61" s="449"/>
      <c r="L61" s="449"/>
      <c r="M61" s="449"/>
      <c r="N61" s="450"/>
      <c r="O61" s="446" t="s">
        <v>1565</v>
      </c>
      <c r="P61" s="444"/>
      <c r="Q61" s="444"/>
    </row>
    <row r="62" spans="1:17" x14ac:dyDescent="0.2">
      <c r="A62" s="1425" t="s">
        <v>1566</v>
      </c>
      <c r="B62" s="1426"/>
      <c r="C62" s="1426"/>
      <c r="D62" s="1426"/>
      <c r="E62" s="1426"/>
      <c r="F62" s="1426"/>
      <c r="G62" s="1426"/>
      <c r="H62" s="1426"/>
      <c r="I62" s="1426"/>
      <c r="J62" s="1426"/>
      <c r="K62" s="1426"/>
      <c r="L62" s="1426"/>
      <c r="M62" s="1426"/>
      <c r="N62" s="1427"/>
      <c r="O62" s="446"/>
      <c r="P62" s="444"/>
      <c r="Q62" s="444"/>
    </row>
    <row r="63" spans="1:17" ht="10.8" thickBot="1" x14ac:dyDescent="0.25">
      <c r="A63" s="59"/>
      <c r="B63" s="409"/>
      <c r="C63" s="409"/>
      <c r="D63" s="409"/>
      <c r="E63" s="409"/>
      <c r="F63" s="409"/>
      <c r="G63" s="409"/>
      <c r="H63" s="409"/>
      <c r="I63" s="409"/>
      <c r="J63" s="409"/>
      <c r="K63" s="409"/>
      <c r="L63" s="409"/>
      <c r="M63" s="409"/>
      <c r="N63" s="439"/>
      <c r="O63" s="392"/>
      <c r="P63" s="444"/>
      <c r="Q63" s="444"/>
    </row>
    <row r="64" spans="1:17" ht="10.8" thickBot="1" x14ac:dyDescent="0.25">
      <c r="A64" s="415" t="s">
        <v>1567</v>
      </c>
      <c r="B64" s="348">
        <v>43556</v>
      </c>
      <c r="C64" s="348">
        <v>43586</v>
      </c>
      <c r="D64" s="348">
        <v>43617</v>
      </c>
      <c r="E64" s="348">
        <v>43647</v>
      </c>
      <c r="F64" s="348">
        <v>43678</v>
      </c>
      <c r="G64" s="348">
        <v>43709</v>
      </c>
      <c r="H64" s="348">
        <v>43739</v>
      </c>
      <c r="I64" s="348">
        <v>43770</v>
      </c>
      <c r="J64" s="348">
        <v>43800</v>
      </c>
      <c r="K64" s="348">
        <v>43831</v>
      </c>
      <c r="L64" s="348">
        <v>43862</v>
      </c>
      <c r="M64" s="348">
        <v>43891</v>
      </c>
      <c r="N64" s="347" t="s">
        <v>1041</v>
      </c>
      <c r="O64" s="395"/>
      <c r="P64" s="444"/>
      <c r="Q64" s="444"/>
    </row>
    <row r="65" spans="1:17" x14ac:dyDescent="0.2">
      <c r="A65" s="416" t="s">
        <v>1568</v>
      </c>
      <c r="B65" s="417">
        <f>+'RET-GSTR-3B'!C69</f>
        <v>2079.9351999999999</v>
      </c>
      <c r="C65" s="417">
        <f>+'RET-GSTR-3B'!D69</f>
        <v>36933.315999999999</v>
      </c>
      <c r="D65" s="417">
        <f>+'RET-GSTR-3B'!E69</f>
        <v>89585.376799999998</v>
      </c>
      <c r="E65" s="417">
        <f>+'RET-GSTR-3B'!F69</f>
        <v>23899.64</v>
      </c>
      <c r="F65" s="417">
        <f>+'RET-GSTR-3B'!G69</f>
        <v>10977.877199999999</v>
      </c>
      <c r="G65" s="417">
        <f>+'RET-GSTR-3B'!H69</f>
        <v>57463.603599999988</v>
      </c>
      <c r="H65" s="417">
        <f>+'RET-GSTR-3B'!I69</f>
        <v>35776.299999999996</v>
      </c>
      <c r="I65" s="417">
        <f>+'RET-GSTR-3B'!J69</f>
        <v>28467.498000000003</v>
      </c>
      <c r="J65" s="417">
        <f>+'RET-GSTR-3B'!K69</f>
        <v>293644.29119999998</v>
      </c>
      <c r="K65" s="417">
        <f>+'RET-GSTR-3B'!L69</f>
        <v>23052.937600000001</v>
      </c>
      <c r="L65" s="417">
        <f>+'RET-GSTR-3B'!M69</f>
        <v>0</v>
      </c>
      <c r="M65" s="417">
        <f>+'RET-GSTR-3B'!N69</f>
        <v>0</v>
      </c>
      <c r="N65" s="451">
        <f>SUM(B65:M65)</f>
        <v>601880.77559999994</v>
      </c>
      <c r="O65" s="399"/>
      <c r="P65" s="444"/>
      <c r="Q65" s="444"/>
    </row>
    <row r="66" spans="1:17" x14ac:dyDescent="0.2">
      <c r="A66" s="420" t="s">
        <v>1569</v>
      </c>
      <c r="B66" s="417">
        <f>+'RET-GSTR-3B'!C70</f>
        <v>320046.0828999998</v>
      </c>
      <c r="C66" s="417">
        <f>+'RET-GSTR-3B'!D70</f>
        <v>435867.9154</v>
      </c>
      <c r="D66" s="417">
        <f>+'RET-GSTR-3B'!E70</f>
        <v>456522.36929999979</v>
      </c>
      <c r="E66" s="417">
        <f>+'RET-GSTR-3B'!F70</f>
        <v>649245.70440000051</v>
      </c>
      <c r="F66" s="417">
        <f>+'RET-GSTR-3B'!G70</f>
        <v>403514.13340000011</v>
      </c>
      <c r="G66" s="417">
        <f>+'RET-GSTR-3B'!H70</f>
        <v>382077.53650000016</v>
      </c>
      <c r="H66" s="417">
        <f>+'RET-GSTR-3B'!I70</f>
        <v>376632.58960000006</v>
      </c>
      <c r="I66" s="417">
        <f>+'RET-GSTR-3B'!J70</f>
        <v>332931.69219999999</v>
      </c>
      <c r="J66" s="417">
        <f>+'RET-GSTR-3B'!K70</f>
        <v>421677.37909999996</v>
      </c>
      <c r="K66" s="417">
        <f>+'RET-GSTR-3B'!L70</f>
        <v>300645.39929999993</v>
      </c>
      <c r="L66" s="417">
        <f>+'RET-GSTR-3B'!M70</f>
        <v>0</v>
      </c>
      <c r="M66" s="417">
        <f>+'RET-GSTR-3B'!N70</f>
        <v>0</v>
      </c>
      <c r="N66" s="451">
        <f t="shared" ref="N66:N67" si="27">SUM(B66:M66)</f>
        <v>4079160.8021000009</v>
      </c>
      <c r="O66" s="399"/>
      <c r="P66" s="444"/>
      <c r="Q66" s="452"/>
    </row>
    <row r="67" spans="1:17" ht="10.8" thickBot="1" x14ac:dyDescent="0.25">
      <c r="A67" s="421" t="s">
        <v>1570</v>
      </c>
      <c r="B67" s="417">
        <f>+'RET-GSTR-3B'!C71</f>
        <v>320046.0828999998</v>
      </c>
      <c r="C67" s="417">
        <f>+'RET-GSTR-3B'!D71</f>
        <v>435867.9154</v>
      </c>
      <c r="D67" s="417">
        <f>+'RET-GSTR-3B'!E71</f>
        <v>456522.36929999979</v>
      </c>
      <c r="E67" s="417">
        <f>+'RET-GSTR-3B'!F71</f>
        <v>649245.70440000051</v>
      </c>
      <c r="F67" s="417">
        <f>+'RET-GSTR-3B'!G71</f>
        <v>403514.13340000011</v>
      </c>
      <c r="G67" s="417">
        <f>+'RET-GSTR-3B'!H71</f>
        <v>382077.53650000016</v>
      </c>
      <c r="H67" s="417">
        <f>+'RET-GSTR-3B'!I71</f>
        <v>376632.58960000006</v>
      </c>
      <c r="I67" s="417">
        <f>+'RET-GSTR-3B'!J71</f>
        <v>332931.69219999999</v>
      </c>
      <c r="J67" s="417">
        <f>+'RET-GSTR-3B'!K71</f>
        <v>421677.37909999996</v>
      </c>
      <c r="K67" s="417">
        <f>+'RET-GSTR-3B'!L71</f>
        <v>300645.39929999993</v>
      </c>
      <c r="L67" s="417">
        <f>+'RET-GSTR-3B'!M71</f>
        <v>0</v>
      </c>
      <c r="M67" s="417">
        <f>+'RET-GSTR-3B'!N71</f>
        <v>0</v>
      </c>
      <c r="N67" s="451">
        <f t="shared" si="27"/>
        <v>4079160.8021000009</v>
      </c>
      <c r="O67" s="399"/>
      <c r="P67" s="357"/>
      <c r="Q67" s="357"/>
    </row>
    <row r="68" spans="1:17" ht="10.8" thickBot="1" x14ac:dyDescent="0.25">
      <c r="A68" s="347" t="s">
        <v>1041</v>
      </c>
      <c r="B68" s="422">
        <f>SUM(B65:B67)</f>
        <v>642172.10099999956</v>
      </c>
      <c r="C68" s="422">
        <f t="shared" ref="C68:M68" si="28">SUM(C65:C67)</f>
        <v>908669.14679999999</v>
      </c>
      <c r="D68" s="422">
        <f t="shared" si="28"/>
        <v>1002630.1153999995</v>
      </c>
      <c r="E68" s="422">
        <f t="shared" si="28"/>
        <v>1322391.0488000009</v>
      </c>
      <c r="F68" s="422">
        <f t="shared" si="28"/>
        <v>818006.1440000002</v>
      </c>
      <c r="G68" s="422">
        <f t="shared" si="28"/>
        <v>821618.67660000036</v>
      </c>
      <c r="H68" s="422">
        <f t="shared" si="28"/>
        <v>789041.47920000018</v>
      </c>
      <c r="I68" s="422">
        <f t="shared" si="28"/>
        <v>694330.8824</v>
      </c>
      <c r="J68" s="422">
        <f t="shared" si="28"/>
        <v>1136999.0493999999</v>
      </c>
      <c r="K68" s="422">
        <f t="shared" si="28"/>
        <v>624343.73619999993</v>
      </c>
      <c r="L68" s="422">
        <f t="shared" si="28"/>
        <v>0</v>
      </c>
      <c r="M68" s="422">
        <f t="shared" si="28"/>
        <v>0</v>
      </c>
      <c r="N68" s="423">
        <f>SUM(N65:N67)</f>
        <v>8760202.379800003</v>
      </c>
      <c r="O68" s="399"/>
      <c r="P68" s="357"/>
      <c r="Q68" s="357"/>
    </row>
    <row r="69" spans="1:17" ht="10.8" thickBot="1" x14ac:dyDescent="0.25">
      <c r="A69" s="59"/>
      <c r="B69" s="129"/>
      <c r="C69" s="129"/>
      <c r="D69" s="129"/>
      <c r="E69" s="129"/>
      <c r="F69" s="129"/>
      <c r="G69" s="129"/>
      <c r="H69" s="129"/>
      <c r="I69" s="129"/>
      <c r="J69" s="129"/>
      <c r="K69" s="129"/>
      <c r="L69" s="129"/>
      <c r="M69" s="129"/>
      <c r="N69" s="393"/>
      <c r="O69" s="418"/>
      <c r="P69" s="357"/>
      <c r="Q69" s="357"/>
    </row>
    <row r="70" spans="1:17" ht="10.8" thickBot="1" x14ac:dyDescent="0.25">
      <c r="A70" s="415" t="s">
        <v>1571</v>
      </c>
      <c r="B70" s="348">
        <v>43556</v>
      </c>
      <c r="C70" s="348">
        <v>43586</v>
      </c>
      <c r="D70" s="348">
        <v>43617</v>
      </c>
      <c r="E70" s="348">
        <v>43647</v>
      </c>
      <c r="F70" s="348">
        <v>43678</v>
      </c>
      <c r="G70" s="348">
        <v>43709</v>
      </c>
      <c r="H70" s="348">
        <v>43739</v>
      </c>
      <c r="I70" s="348">
        <v>43770</v>
      </c>
      <c r="J70" s="348">
        <v>43800</v>
      </c>
      <c r="K70" s="348">
        <v>43831</v>
      </c>
      <c r="L70" s="348">
        <v>43862</v>
      </c>
      <c r="M70" s="348">
        <v>43891</v>
      </c>
      <c r="N70" s="347" t="s">
        <v>1041</v>
      </c>
      <c r="O70" s="395"/>
      <c r="P70" s="357"/>
      <c r="Q70" s="357"/>
    </row>
    <row r="71" spans="1:17" x14ac:dyDescent="0.2">
      <c r="A71" s="416" t="s">
        <v>1568</v>
      </c>
      <c r="B71" s="453">
        <f>+'PURCHASE WORKING'!C218+'PURCHASE WORKING'!C227+'PURCHASE WORKING'!C236+'PURCHASE WORKING'!C245+'PURCHASE WORKING'!C288+'PURCHASE WORKING'!C297</f>
        <v>2079.9351999999999</v>
      </c>
      <c r="C71" s="453">
        <f>+'PURCHASE WORKING'!D218+'PURCHASE WORKING'!D227+'PURCHASE WORKING'!D236+'PURCHASE WORKING'!D245+'PURCHASE WORKING'!D288+'PURCHASE WORKING'!D297</f>
        <v>36933.315999999999</v>
      </c>
      <c r="D71" s="453">
        <f>+'PURCHASE WORKING'!E218+'PURCHASE WORKING'!E227+'PURCHASE WORKING'!E236+'PURCHASE WORKING'!E245+'PURCHASE WORKING'!E288+'PURCHASE WORKING'!E297</f>
        <v>89585.376799999998</v>
      </c>
      <c r="E71" s="453">
        <f>+'PURCHASE WORKING'!F218+'PURCHASE WORKING'!F227+'PURCHASE WORKING'!F236+'PURCHASE WORKING'!F245+'PURCHASE WORKING'!F288+'PURCHASE WORKING'!F297</f>
        <v>23899.64</v>
      </c>
      <c r="F71" s="453">
        <f>+'PURCHASE WORKING'!G218+'PURCHASE WORKING'!G227+'PURCHASE WORKING'!G236+'PURCHASE WORKING'!G245+'PURCHASE WORKING'!G288+'PURCHASE WORKING'!G297</f>
        <v>10977.877199999999</v>
      </c>
      <c r="G71" s="453">
        <f>+'PURCHASE WORKING'!H218+'PURCHASE WORKING'!H227+'PURCHASE WORKING'!H236+'PURCHASE WORKING'!H245+'PURCHASE WORKING'!H288+'PURCHASE WORKING'!H297</f>
        <v>57463.603599999988</v>
      </c>
      <c r="H71" s="453">
        <f>+'PURCHASE WORKING'!I218+'PURCHASE WORKING'!I227+'PURCHASE WORKING'!I236+'PURCHASE WORKING'!I245+'PURCHASE WORKING'!I288+'PURCHASE WORKING'!I297</f>
        <v>35776.299999999996</v>
      </c>
      <c r="I71" s="453">
        <f>+'PURCHASE WORKING'!J218+'PURCHASE WORKING'!J227+'PURCHASE WORKING'!J236+'PURCHASE WORKING'!J245+'PURCHASE WORKING'!J288+'PURCHASE WORKING'!J297</f>
        <v>28467.498000000003</v>
      </c>
      <c r="J71" s="453">
        <f>+'PURCHASE WORKING'!K218+'PURCHASE WORKING'!K227+'PURCHASE WORKING'!K236+'PURCHASE WORKING'!K245+'PURCHASE WORKING'!K288+'PURCHASE WORKING'!K297</f>
        <v>293644.29119999998</v>
      </c>
      <c r="K71" s="453">
        <f>+'PURCHASE WORKING'!L218+'PURCHASE WORKING'!L227+'PURCHASE WORKING'!L236+'PURCHASE WORKING'!L245+'PURCHASE WORKING'!L288+'PURCHASE WORKING'!L297</f>
        <v>23052.937600000001</v>
      </c>
      <c r="L71" s="453">
        <f>+'PURCHASE WORKING'!M218+'PURCHASE WORKING'!M227+'PURCHASE WORKING'!M236+'PURCHASE WORKING'!M245+'PURCHASE WORKING'!M288+'PURCHASE WORKING'!M297</f>
        <v>0</v>
      </c>
      <c r="M71" s="453">
        <f>+'PURCHASE WORKING'!N218+'PURCHASE WORKING'!N227+'PURCHASE WORKING'!N236+'PURCHASE WORKING'!N245+'PURCHASE WORKING'!N288+'PURCHASE WORKING'!N297</f>
        <v>0</v>
      </c>
      <c r="N71" s="451">
        <f>SUM(B71:M71)</f>
        <v>601880.77559999994</v>
      </c>
      <c r="O71" s="399"/>
      <c r="P71" s="357"/>
      <c r="Q71" s="357"/>
    </row>
    <row r="72" spans="1:17" x14ac:dyDescent="0.2">
      <c r="A72" s="420" t="s">
        <v>1569</v>
      </c>
      <c r="B72" s="453">
        <f>+'PURCHASE WORKING'!C219+'PURCHASE WORKING'!C228+'PURCHASE WORKING'!C237+'PURCHASE WORKING'!C246+'PURCHASE WORKING'!C289+'PURCHASE WORKING'!C298</f>
        <v>320508.5828999998</v>
      </c>
      <c r="C72" s="453">
        <f>+'PURCHASE WORKING'!D219+'PURCHASE WORKING'!D228+'PURCHASE WORKING'!D237+'PURCHASE WORKING'!D246+'PURCHASE WORKING'!D289+'PURCHASE WORKING'!D298</f>
        <v>437006.9154</v>
      </c>
      <c r="D72" s="453">
        <f>+'PURCHASE WORKING'!E219+'PURCHASE WORKING'!E228+'PURCHASE WORKING'!E237+'PURCHASE WORKING'!E246+'PURCHASE WORKING'!E289+'PURCHASE WORKING'!E298</f>
        <v>457137.36929999979</v>
      </c>
      <c r="E72" s="453">
        <f>+'PURCHASE WORKING'!F219+'PURCHASE WORKING'!F228+'PURCHASE WORKING'!F237+'PURCHASE WORKING'!F246+'PURCHASE WORKING'!F289+'PURCHASE WORKING'!F298</f>
        <v>650026.95440000051</v>
      </c>
      <c r="F72" s="453">
        <f>+'PURCHASE WORKING'!G219+'PURCHASE WORKING'!G228+'PURCHASE WORKING'!G237+'PURCHASE WORKING'!G246+'PURCHASE WORKING'!G289+'PURCHASE WORKING'!G298</f>
        <v>404411.63340000011</v>
      </c>
      <c r="G72" s="453">
        <f>+'PURCHASE WORKING'!H219+'PURCHASE WORKING'!H228+'PURCHASE WORKING'!H237+'PURCHASE WORKING'!H246+'PURCHASE WORKING'!H289+'PURCHASE WORKING'!H298</f>
        <v>383001.28650000016</v>
      </c>
      <c r="H72" s="453">
        <f>+'PURCHASE WORKING'!I219+'PURCHASE WORKING'!I228+'PURCHASE WORKING'!I237+'PURCHASE WORKING'!I246+'PURCHASE WORKING'!I289+'PURCHASE WORKING'!I298</f>
        <v>377360.08960000006</v>
      </c>
      <c r="I72" s="453">
        <f>+'PURCHASE WORKING'!J219+'PURCHASE WORKING'!J228+'PURCHASE WORKING'!J237+'PURCHASE WORKING'!J246+'PURCHASE WORKING'!J289+'PURCHASE WORKING'!J298</f>
        <v>333616.69219999999</v>
      </c>
      <c r="J72" s="453">
        <f>+'PURCHASE WORKING'!K219+'PURCHASE WORKING'!K228+'PURCHASE WORKING'!K237+'PURCHASE WORKING'!K246+'PURCHASE WORKING'!K289+'PURCHASE WORKING'!K298</f>
        <v>422921.40409999999</v>
      </c>
      <c r="K72" s="453">
        <f>+'PURCHASE WORKING'!L219+'PURCHASE WORKING'!L228+'PURCHASE WORKING'!L237+'PURCHASE WORKING'!L246+'PURCHASE WORKING'!L289+'PURCHASE WORKING'!L298</f>
        <v>300645.39929999993</v>
      </c>
      <c r="L72" s="453">
        <f>+'PURCHASE WORKING'!M219+'PURCHASE WORKING'!M228+'PURCHASE WORKING'!M237+'PURCHASE WORKING'!M246+'PURCHASE WORKING'!M289+'PURCHASE WORKING'!M298</f>
        <v>0</v>
      </c>
      <c r="M72" s="453">
        <f>+'PURCHASE WORKING'!N219+'PURCHASE WORKING'!N228+'PURCHASE WORKING'!N237+'PURCHASE WORKING'!N246+'PURCHASE WORKING'!N289+'PURCHASE WORKING'!N298</f>
        <v>0</v>
      </c>
      <c r="N72" s="451">
        <f t="shared" ref="N72:N73" si="29">SUM(B72:M72)</f>
        <v>4086636.3271000003</v>
      </c>
      <c r="O72" s="399"/>
      <c r="P72" s="357"/>
      <c r="Q72" s="357"/>
    </row>
    <row r="73" spans="1:17" ht="10.8" thickBot="1" x14ac:dyDescent="0.25">
      <c r="A73" s="421" t="s">
        <v>1570</v>
      </c>
      <c r="B73" s="453">
        <f>+'PURCHASE WORKING'!C220+'PURCHASE WORKING'!C229+'PURCHASE WORKING'!C238+'PURCHASE WORKING'!C247+'PURCHASE WORKING'!C290+'PURCHASE WORKING'!C299</f>
        <v>320508.5828999998</v>
      </c>
      <c r="C73" s="453">
        <f>+'PURCHASE WORKING'!D220+'PURCHASE WORKING'!D229+'PURCHASE WORKING'!D238+'PURCHASE WORKING'!D247+'PURCHASE WORKING'!D290+'PURCHASE WORKING'!D299</f>
        <v>437006.9154</v>
      </c>
      <c r="D73" s="453">
        <f>+'PURCHASE WORKING'!E220+'PURCHASE WORKING'!E229+'PURCHASE WORKING'!E238+'PURCHASE WORKING'!E247+'PURCHASE WORKING'!E290+'PURCHASE WORKING'!E299</f>
        <v>457137.36929999979</v>
      </c>
      <c r="E73" s="453">
        <f>+'PURCHASE WORKING'!F220+'PURCHASE WORKING'!F229+'PURCHASE WORKING'!F238+'PURCHASE WORKING'!F247+'PURCHASE WORKING'!F290+'PURCHASE WORKING'!F299</f>
        <v>650026.95440000051</v>
      </c>
      <c r="F73" s="453">
        <f>+'PURCHASE WORKING'!G220+'PURCHASE WORKING'!G229+'PURCHASE WORKING'!G238+'PURCHASE WORKING'!G247+'PURCHASE WORKING'!G290+'PURCHASE WORKING'!G299</f>
        <v>404411.63340000011</v>
      </c>
      <c r="G73" s="453">
        <f>+'PURCHASE WORKING'!H220+'PURCHASE WORKING'!H229+'PURCHASE WORKING'!H238+'PURCHASE WORKING'!H247+'PURCHASE WORKING'!H290+'PURCHASE WORKING'!H299</f>
        <v>383001.28650000016</v>
      </c>
      <c r="H73" s="453">
        <f>+'PURCHASE WORKING'!I220+'PURCHASE WORKING'!I229+'PURCHASE WORKING'!I238+'PURCHASE WORKING'!I247+'PURCHASE WORKING'!I290+'PURCHASE WORKING'!I299</f>
        <v>377360.08960000006</v>
      </c>
      <c r="I73" s="453">
        <f>+'PURCHASE WORKING'!J220+'PURCHASE WORKING'!J229+'PURCHASE WORKING'!J238+'PURCHASE WORKING'!J247+'PURCHASE WORKING'!J290+'PURCHASE WORKING'!J299</f>
        <v>333616.69219999999</v>
      </c>
      <c r="J73" s="453">
        <f>+'PURCHASE WORKING'!K220+'PURCHASE WORKING'!K229+'PURCHASE WORKING'!K238+'PURCHASE WORKING'!K247+'PURCHASE WORKING'!K290+'PURCHASE WORKING'!K299</f>
        <v>422921.40409999999</v>
      </c>
      <c r="K73" s="453">
        <f>+'PURCHASE WORKING'!L220+'PURCHASE WORKING'!L229+'PURCHASE WORKING'!L238+'PURCHASE WORKING'!L247+'PURCHASE WORKING'!L290+'PURCHASE WORKING'!L299</f>
        <v>300645.39929999993</v>
      </c>
      <c r="L73" s="453">
        <f>+'PURCHASE WORKING'!M220+'PURCHASE WORKING'!M229+'PURCHASE WORKING'!M238+'PURCHASE WORKING'!M247+'PURCHASE WORKING'!M290+'PURCHASE WORKING'!M299</f>
        <v>0</v>
      </c>
      <c r="M73" s="453">
        <f>+'PURCHASE WORKING'!N220+'PURCHASE WORKING'!N229+'PURCHASE WORKING'!N238+'PURCHASE WORKING'!N247+'PURCHASE WORKING'!N290+'PURCHASE WORKING'!N299</f>
        <v>0</v>
      </c>
      <c r="N73" s="451">
        <f t="shared" si="29"/>
        <v>4086636.3271000003</v>
      </c>
      <c r="O73" s="399"/>
      <c r="P73" s="357"/>
      <c r="Q73" s="357"/>
    </row>
    <row r="74" spans="1:17" ht="10.8" thickBot="1" x14ac:dyDescent="0.25">
      <c r="A74" s="347" t="s">
        <v>1041</v>
      </c>
      <c r="B74" s="422">
        <f>SUM(B71:B73)</f>
        <v>643097.10099999956</v>
      </c>
      <c r="C74" s="422">
        <f t="shared" ref="C74:M74" si="30">SUM(C71:C73)</f>
        <v>910947.14679999999</v>
      </c>
      <c r="D74" s="422">
        <f t="shared" si="30"/>
        <v>1003860.1153999995</v>
      </c>
      <c r="E74" s="422">
        <f t="shared" si="30"/>
        <v>1323953.5488000009</v>
      </c>
      <c r="F74" s="422">
        <f t="shared" si="30"/>
        <v>819801.1440000002</v>
      </c>
      <c r="G74" s="422">
        <f t="shared" si="30"/>
        <v>823466.17660000036</v>
      </c>
      <c r="H74" s="422">
        <f t="shared" si="30"/>
        <v>790496.47920000018</v>
      </c>
      <c r="I74" s="422">
        <f t="shared" si="30"/>
        <v>695700.8824</v>
      </c>
      <c r="J74" s="422">
        <f t="shared" si="30"/>
        <v>1139487.0993999999</v>
      </c>
      <c r="K74" s="422">
        <f t="shared" si="30"/>
        <v>624343.73619999993</v>
      </c>
      <c r="L74" s="422">
        <f t="shared" si="30"/>
        <v>0</v>
      </c>
      <c r="M74" s="422">
        <f t="shared" si="30"/>
        <v>0</v>
      </c>
      <c r="N74" s="423">
        <f>SUM(N71:N73)</f>
        <v>8775153.4298</v>
      </c>
      <c r="O74" s="399"/>
      <c r="P74" s="357"/>
      <c r="Q74" s="357"/>
    </row>
    <row r="75" spans="1:17" ht="10.8" thickBot="1" x14ac:dyDescent="0.25">
      <c r="A75" s="385"/>
      <c r="B75" s="454"/>
      <c r="C75" s="454"/>
      <c r="D75" s="454"/>
      <c r="E75" s="454"/>
      <c r="F75" s="454"/>
      <c r="G75" s="454"/>
      <c r="H75" s="454"/>
      <c r="I75" s="454"/>
      <c r="J75" s="454"/>
      <c r="K75" s="454"/>
      <c r="L75" s="454"/>
      <c r="M75" s="454"/>
      <c r="N75" s="455"/>
      <c r="O75" s="399"/>
      <c r="P75" s="357"/>
      <c r="Q75" s="357"/>
    </row>
    <row r="76" spans="1:17" ht="10.8" thickBot="1" x14ac:dyDescent="0.25">
      <c r="A76" s="415" t="s">
        <v>1572</v>
      </c>
      <c r="B76" s="348">
        <v>43556</v>
      </c>
      <c r="C76" s="348">
        <v>43586</v>
      </c>
      <c r="D76" s="348">
        <v>43617</v>
      </c>
      <c r="E76" s="348">
        <v>43647</v>
      </c>
      <c r="F76" s="348">
        <v>43678</v>
      </c>
      <c r="G76" s="348">
        <v>43709</v>
      </c>
      <c r="H76" s="348">
        <v>43739</v>
      </c>
      <c r="I76" s="348">
        <v>43770</v>
      </c>
      <c r="J76" s="348">
        <v>43800</v>
      </c>
      <c r="K76" s="348">
        <v>43831</v>
      </c>
      <c r="L76" s="348">
        <v>43862</v>
      </c>
      <c r="M76" s="348">
        <v>43891</v>
      </c>
      <c r="N76" s="347" t="s">
        <v>1041</v>
      </c>
      <c r="O76" s="395"/>
      <c r="P76" s="357"/>
      <c r="Q76" s="357"/>
    </row>
    <row r="77" spans="1:17" x14ac:dyDescent="0.2">
      <c r="A77" s="416" t="s">
        <v>1568</v>
      </c>
      <c r="B77" s="435">
        <f>SUMIFS('GSTR-2A'!$L$6:$L$10000,'GSTR-2A'!$A$6:$A$10000,B76)</f>
        <v>3785.86</v>
      </c>
      <c r="C77" s="435">
        <f>SUMIFS('GSTR-2A'!$L$6:$L$10000,'GSTR-2A'!$A$6:$A$10000,C76)</f>
        <v>36933.31</v>
      </c>
      <c r="D77" s="435">
        <f>SUMIFS('GSTR-2A'!$L$6:$L$10000,'GSTR-2A'!$A$6:$A$10000,D76)</f>
        <v>98111.400000000023</v>
      </c>
      <c r="E77" s="435">
        <f>SUMIFS('GSTR-2A'!$L$6:$L$10000,'GSTR-2A'!$A$6:$A$10000,E76)</f>
        <v>25597.7</v>
      </c>
      <c r="F77" s="435">
        <f>SUMIFS('GSTR-2A'!$L$6:$L$10000,'GSTR-2A'!$A$6:$A$10000,F76)</f>
        <v>6991.9299999999994</v>
      </c>
      <c r="G77" s="435">
        <f>SUMIFS('GSTR-2A'!$L$6:$L$10000,'GSTR-2A'!$A$6:$A$10000,G76)</f>
        <v>56326.3</v>
      </c>
      <c r="H77" s="435">
        <f>SUMIFS('GSTR-2A'!$L$6:$L$10000,'GSTR-2A'!$A$6:$A$10000,H76)</f>
        <v>659.84</v>
      </c>
      <c r="I77" s="435">
        <f>SUMIFS('GSTR-2A'!$L$6:$L$10000,'GSTR-2A'!$A$6:$A$10000,I76)</f>
        <v>0</v>
      </c>
      <c r="J77" s="435">
        <f>SUMIFS('GSTR-2A'!$L$6:$L$10000,'GSTR-2A'!$A$6:$A$10000,J76)</f>
        <v>0</v>
      </c>
      <c r="K77" s="435">
        <f>SUMIFS('GSTR-2A'!$L$6:$L$10000,'GSTR-2A'!$A$6:$A$10000,K76)</f>
        <v>0</v>
      </c>
      <c r="L77" s="435">
        <f>SUMIFS('GSTR-2A'!$L$6:$L$10000,'GSTR-2A'!$A$6:$A$10000,L76)</f>
        <v>0</v>
      </c>
      <c r="M77" s="435">
        <f>SUMIFS('GSTR-2A'!$L$6:$L$10000,'GSTR-2A'!$A$6:$A$10000,M76)</f>
        <v>0</v>
      </c>
      <c r="N77" s="451">
        <f>SUM(B77:M77)</f>
        <v>228406.34</v>
      </c>
      <c r="O77" s="399"/>
      <c r="P77" s="456"/>
      <c r="Q77" s="357"/>
    </row>
    <row r="78" spans="1:17" x14ac:dyDescent="0.2">
      <c r="A78" s="420" t="s">
        <v>1569</v>
      </c>
      <c r="B78" s="435">
        <f>SUMIFS('GSTR-2A'!$M$6:$M$10000,'GSTR-2A'!$A$6:$A$10000,B76)</f>
        <v>296538.36999999988</v>
      </c>
      <c r="C78" s="435">
        <f>SUMIFS('GSTR-2A'!$M$6:$M$10000,'GSTR-2A'!$A$6:$A$10000,C76)</f>
        <v>410577.32000000012</v>
      </c>
      <c r="D78" s="435">
        <f>SUMIFS('GSTR-2A'!$M$6:$M$10000,'GSTR-2A'!$A$6:$A$10000,D76)</f>
        <v>509197.13000000041</v>
      </c>
      <c r="E78" s="435">
        <f>SUMIFS('GSTR-2A'!$M$6:$M$10000,'GSTR-2A'!$A$6:$A$10000,E76)</f>
        <v>571373.81999999972</v>
      </c>
      <c r="F78" s="435">
        <f>SUMIFS('GSTR-2A'!$M$6:$M$10000,'GSTR-2A'!$A$6:$A$10000,F76)</f>
        <v>363156.84</v>
      </c>
      <c r="G78" s="435">
        <f>SUMIFS('GSTR-2A'!$M$6:$M$10000,'GSTR-2A'!$A$6:$A$10000,G76)</f>
        <v>361681.63999999984</v>
      </c>
      <c r="H78" s="435">
        <f>SUMIFS('GSTR-2A'!$M$6:$M$10000,'GSTR-2A'!$A$6:$A$10000,H76)</f>
        <v>37541.39</v>
      </c>
      <c r="I78" s="435">
        <f>SUMIFS('GSTR-2A'!$M$6:$M$10000,'GSTR-2A'!$A$6:$A$10000,I76)</f>
        <v>0</v>
      </c>
      <c r="J78" s="435">
        <f>SUMIFS('GSTR-2A'!$M$6:$M$10000,'GSTR-2A'!$A$6:$A$10000,J76)</f>
        <v>0</v>
      </c>
      <c r="K78" s="435">
        <f>SUMIFS('GSTR-2A'!$M$6:$M$10000,'GSTR-2A'!$A$6:$A$10000,K76)</f>
        <v>0</v>
      </c>
      <c r="L78" s="435">
        <f>SUMIFS('GSTR-2A'!$M$6:$M$10000,'GSTR-2A'!$A$6:$A$10000,L76)</f>
        <v>0</v>
      </c>
      <c r="M78" s="435">
        <f>SUMIFS('GSTR-2A'!$M$6:$M$10000,'GSTR-2A'!$A$6:$A$10000,M76)</f>
        <v>0</v>
      </c>
      <c r="N78" s="451">
        <f t="shared" ref="N78:N79" si="31">SUM(B78:M78)</f>
        <v>2550066.5099999998</v>
      </c>
      <c r="O78" s="399"/>
      <c r="P78" s="357"/>
      <c r="Q78" s="357"/>
    </row>
    <row r="79" spans="1:17" ht="10.8" thickBot="1" x14ac:dyDescent="0.25">
      <c r="A79" s="421" t="s">
        <v>1570</v>
      </c>
      <c r="B79" s="435">
        <f>SUMIFS('GSTR-2A'!$N$6:$N$10000,'GSTR-2A'!$A$6:$A$10000,B76)</f>
        <v>296538.36999999988</v>
      </c>
      <c r="C79" s="435">
        <f>SUMIFS('GSTR-2A'!$N$6:$N$10000,'GSTR-2A'!$A$6:$A$10000,C76)</f>
        <v>410577.32000000012</v>
      </c>
      <c r="D79" s="435">
        <f>SUMIFS('GSTR-2A'!$N$6:$N$10000,'GSTR-2A'!$A$6:$A$10000,D76)</f>
        <v>509197.13000000041</v>
      </c>
      <c r="E79" s="435">
        <f>SUMIFS('GSTR-2A'!$N$6:$N$10000,'GSTR-2A'!$A$6:$A$10000,E76)</f>
        <v>571373.81999999972</v>
      </c>
      <c r="F79" s="435">
        <f>SUMIFS('GSTR-2A'!$N$6:$N$10000,'GSTR-2A'!$A$6:$A$10000,F76)</f>
        <v>363156.84</v>
      </c>
      <c r="G79" s="435">
        <f>SUMIFS('GSTR-2A'!$N$6:$N$10000,'GSTR-2A'!$A$6:$A$10000,G76)</f>
        <v>361681.63999999984</v>
      </c>
      <c r="H79" s="435">
        <f>SUMIFS('GSTR-2A'!$N$6:$N$10000,'GSTR-2A'!$A$6:$A$10000,H76)</f>
        <v>37541.39</v>
      </c>
      <c r="I79" s="435">
        <f>SUMIFS('GSTR-2A'!$N$6:$N$10000,'GSTR-2A'!$A$6:$A$10000,I76)</f>
        <v>0</v>
      </c>
      <c r="J79" s="435">
        <f>SUMIFS('GSTR-2A'!$N$6:$N$10000,'GSTR-2A'!$A$6:$A$10000,J76)</f>
        <v>0</v>
      </c>
      <c r="K79" s="435">
        <f>SUMIFS('GSTR-2A'!$N$6:$N$10000,'GSTR-2A'!$A$6:$A$10000,K76)</f>
        <v>0</v>
      </c>
      <c r="L79" s="435">
        <f>SUMIFS('GSTR-2A'!$N$6:$N$10000,'GSTR-2A'!$A$6:$A$10000,L76)</f>
        <v>0</v>
      </c>
      <c r="M79" s="435">
        <f>SUMIFS('GSTR-2A'!$N$6:$N$10000,'GSTR-2A'!$A$6:$A$10000,M76)</f>
        <v>0</v>
      </c>
      <c r="N79" s="451">
        <f t="shared" si="31"/>
        <v>2550066.5099999998</v>
      </c>
      <c r="O79" s="399"/>
      <c r="P79" s="357"/>
      <c r="Q79" s="357"/>
    </row>
    <row r="80" spans="1:17" ht="10.8" thickBot="1" x14ac:dyDescent="0.25">
      <c r="A80" s="347" t="s">
        <v>1041</v>
      </c>
      <c r="B80" s="422">
        <v>575524.57999999996</v>
      </c>
      <c r="C80" s="422">
        <v>0</v>
      </c>
      <c r="D80" s="422">
        <v>0</v>
      </c>
      <c r="E80" s="422">
        <v>0</v>
      </c>
      <c r="F80" s="422">
        <v>0</v>
      </c>
      <c r="G80" s="422">
        <v>0</v>
      </c>
      <c r="H80" s="422">
        <v>0</v>
      </c>
      <c r="I80" s="422">
        <v>0</v>
      </c>
      <c r="J80" s="422">
        <v>0</v>
      </c>
      <c r="K80" s="422">
        <v>0</v>
      </c>
      <c r="L80" s="422">
        <v>0</v>
      </c>
      <c r="M80" s="422">
        <v>0</v>
      </c>
      <c r="N80" s="423">
        <f>SUM(N77:N79)</f>
        <v>5328539.3599999994</v>
      </c>
      <c r="O80" s="399"/>
      <c r="P80" s="357"/>
      <c r="Q80" s="357"/>
    </row>
    <row r="81" spans="1:14" ht="10.8" thickBot="1" x14ac:dyDescent="0.25">
      <c r="A81" s="457" t="s">
        <v>1554</v>
      </c>
      <c r="B81" s="458">
        <f>+B47+B55</f>
        <v>3958720.9019999998</v>
      </c>
      <c r="C81" s="458">
        <f t="shared" ref="C81:M81" si="32">+C47+C55</f>
        <v>908669.14679999999</v>
      </c>
      <c r="D81" s="458">
        <f t="shared" si="32"/>
        <v>1002630.1153999995</v>
      </c>
      <c r="E81" s="458">
        <f t="shared" si="32"/>
        <v>1322391.0488000009</v>
      </c>
      <c r="F81" s="458">
        <f t="shared" si="32"/>
        <v>818006.1440000002</v>
      </c>
      <c r="G81" s="458">
        <f t="shared" si="32"/>
        <v>821618.67660000036</v>
      </c>
      <c r="H81" s="458">
        <f t="shared" si="32"/>
        <v>789041.47920000018</v>
      </c>
      <c r="I81" s="458">
        <f t="shared" si="32"/>
        <v>694330.8824</v>
      </c>
      <c r="J81" s="458">
        <f t="shared" si="32"/>
        <v>1136999.0493999999</v>
      </c>
      <c r="K81" s="458">
        <f t="shared" si="32"/>
        <v>624343.73619999993</v>
      </c>
      <c r="L81" s="458">
        <f t="shared" si="32"/>
        <v>0</v>
      </c>
      <c r="M81" s="458">
        <f t="shared" si="32"/>
        <v>0</v>
      </c>
      <c r="N81" s="451">
        <f t="shared" ref="N81:N83" si="33">SUM(B81:M81)</f>
        <v>12076751.1808</v>
      </c>
    </row>
    <row r="82" spans="1:14" ht="10.8" thickBot="1" x14ac:dyDescent="0.25">
      <c r="A82" s="457" t="s">
        <v>1555</v>
      </c>
      <c r="B82" s="458">
        <f t="shared" ref="B82:M83" si="34">+B48+B56</f>
        <v>3959645.9019999998</v>
      </c>
      <c r="C82" s="458">
        <f t="shared" si="34"/>
        <v>6394088.064199999</v>
      </c>
      <c r="D82" s="458">
        <f t="shared" si="34"/>
        <v>6590397.0983999996</v>
      </c>
      <c r="E82" s="458">
        <f t="shared" si="34"/>
        <v>6910490.5318000009</v>
      </c>
      <c r="F82" s="458">
        <f t="shared" si="34"/>
        <v>820161.1440000002</v>
      </c>
      <c r="G82" s="458">
        <f t="shared" si="34"/>
        <v>823826.17660000036</v>
      </c>
      <c r="H82" s="458">
        <f t="shared" si="34"/>
        <v>790856.47920000018</v>
      </c>
      <c r="I82" s="458">
        <f t="shared" si="34"/>
        <v>696060.8824</v>
      </c>
      <c r="J82" s="458">
        <f t="shared" si="34"/>
        <v>1139847.0993999999</v>
      </c>
      <c r="K82" s="458">
        <f t="shared" si="34"/>
        <v>624703.73619999993</v>
      </c>
      <c r="L82" s="458">
        <f t="shared" si="34"/>
        <v>360</v>
      </c>
      <c r="M82" s="458">
        <f t="shared" si="34"/>
        <v>360</v>
      </c>
      <c r="N82" s="451">
        <f t="shared" si="33"/>
        <v>28750797.114200003</v>
      </c>
    </row>
    <row r="83" spans="1:14" ht="10.8" thickBot="1" x14ac:dyDescent="0.25">
      <c r="A83" s="457" t="s">
        <v>1556</v>
      </c>
      <c r="B83" s="458">
        <f t="shared" si="34"/>
        <v>3596088.4599999972</v>
      </c>
      <c r="C83" s="458">
        <f t="shared" si="34"/>
        <v>4708709.2799999956</v>
      </c>
      <c r="D83" s="458">
        <f t="shared" si="34"/>
        <v>6345700.2399999984</v>
      </c>
      <c r="E83" s="458">
        <f t="shared" si="34"/>
        <v>6426816.5299999975</v>
      </c>
      <c r="F83" s="458">
        <f t="shared" si="34"/>
        <v>4026388.3499999968</v>
      </c>
      <c r="G83" s="458">
        <f t="shared" si="34"/>
        <v>4541680.25</v>
      </c>
      <c r="H83" s="458">
        <f t="shared" si="34"/>
        <v>448020.12999999995</v>
      </c>
      <c r="I83" s="458">
        <f t="shared" si="34"/>
        <v>0</v>
      </c>
      <c r="J83" s="458">
        <f t="shared" si="34"/>
        <v>0</v>
      </c>
      <c r="K83" s="458">
        <f t="shared" si="34"/>
        <v>0</v>
      </c>
      <c r="L83" s="458">
        <f t="shared" si="34"/>
        <v>0</v>
      </c>
      <c r="M83" s="458">
        <f t="shared" si="34"/>
        <v>0</v>
      </c>
      <c r="N83" s="451">
        <f t="shared" si="33"/>
        <v>30093403.239999987</v>
      </c>
    </row>
    <row r="84" spans="1:14" ht="10.8" thickBot="1" x14ac:dyDescent="0.25">
      <c r="A84" s="372" t="s">
        <v>1521</v>
      </c>
      <c r="B84" s="373">
        <f>+B82-B81</f>
        <v>925</v>
      </c>
      <c r="C84" s="373">
        <f t="shared" ref="C84:J84" si="35">+C82-C81</f>
        <v>5485418.9173999988</v>
      </c>
      <c r="D84" s="373">
        <f t="shared" si="35"/>
        <v>5587766.983</v>
      </c>
      <c r="E84" s="373">
        <f t="shared" si="35"/>
        <v>5588099.483</v>
      </c>
      <c r="F84" s="373">
        <f t="shared" si="35"/>
        <v>2155</v>
      </c>
      <c r="G84" s="373">
        <f t="shared" si="35"/>
        <v>2207.5</v>
      </c>
      <c r="H84" s="373">
        <f t="shared" si="35"/>
        <v>1815</v>
      </c>
      <c r="I84" s="373">
        <f t="shared" si="35"/>
        <v>1730</v>
      </c>
      <c r="J84" s="373">
        <f t="shared" si="35"/>
        <v>2848.0500000000466</v>
      </c>
      <c r="K84" s="373">
        <f>+K82-K81</f>
        <v>360</v>
      </c>
      <c r="L84" s="373">
        <f>+L82-L81</f>
        <v>360</v>
      </c>
      <c r="M84" s="373">
        <f>+M82-M81</f>
        <v>360</v>
      </c>
      <c r="N84" s="373">
        <f t="shared" ref="N84" si="36">+N82-N81</f>
        <v>16674045.933400003</v>
      </c>
    </row>
    <row r="85" spans="1:14" ht="10.8" thickBot="1" x14ac:dyDescent="0.25">
      <c r="A85" s="372" t="s">
        <v>1563</v>
      </c>
      <c r="B85" s="376">
        <f>+B82-B83</f>
        <v>363557.4420000026</v>
      </c>
      <c r="C85" s="376">
        <f t="shared" ref="C85:J85" si="37">+C82-C83</f>
        <v>1685378.7842000034</v>
      </c>
      <c r="D85" s="376">
        <f t="shared" si="37"/>
        <v>244696.85840000119</v>
      </c>
      <c r="E85" s="376">
        <f t="shared" si="37"/>
        <v>483674.00180000346</v>
      </c>
      <c r="F85" s="376">
        <f t="shared" si="37"/>
        <v>-3206227.2059999965</v>
      </c>
      <c r="G85" s="376">
        <f t="shared" si="37"/>
        <v>-3717854.0733999996</v>
      </c>
      <c r="H85" s="376">
        <f t="shared" si="37"/>
        <v>342836.34920000023</v>
      </c>
      <c r="I85" s="376">
        <f t="shared" si="37"/>
        <v>696060.8824</v>
      </c>
      <c r="J85" s="376">
        <f t="shared" si="37"/>
        <v>1139847.0993999999</v>
      </c>
      <c r="K85" s="376">
        <f>+K82-K83</f>
        <v>624703.73619999993</v>
      </c>
      <c r="L85" s="376">
        <f>+L82-L83</f>
        <v>360</v>
      </c>
      <c r="M85" s="376">
        <f>+M82-M83</f>
        <v>360</v>
      </c>
      <c r="N85" s="376">
        <f t="shared" ref="N85" si="38">+N82-N83</f>
        <v>-1342606.1257999837</v>
      </c>
    </row>
    <row r="86" spans="1:14" ht="10.8" thickBot="1" x14ac:dyDescent="0.25">
      <c r="A86" s="378" t="s">
        <v>2565</v>
      </c>
      <c r="B86" s="376">
        <f>+B81-B83</f>
        <v>362632.4420000026</v>
      </c>
      <c r="C86" s="376">
        <f t="shared" ref="C86:J86" si="39">+C81-C83</f>
        <v>-3800040.1331999954</v>
      </c>
      <c r="D86" s="376">
        <f t="shared" si="39"/>
        <v>-5343070.1245999988</v>
      </c>
      <c r="E86" s="376">
        <f t="shared" si="39"/>
        <v>-5104425.4811999965</v>
      </c>
      <c r="F86" s="376">
        <f t="shared" si="39"/>
        <v>-3208382.2059999965</v>
      </c>
      <c r="G86" s="376">
        <f t="shared" si="39"/>
        <v>-3720061.5733999996</v>
      </c>
      <c r="H86" s="376">
        <f t="shared" si="39"/>
        <v>341021.34920000023</v>
      </c>
      <c r="I86" s="376">
        <f t="shared" si="39"/>
        <v>694330.8824</v>
      </c>
      <c r="J86" s="376">
        <f t="shared" si="39"/>
        <v>1136999.0493999999</v>
      </c>
      <c r="K86" s="376">
        <f>+K81-K83</f>
        <v>624343.73619999993</v>
      </c>
      <c r="L86" s="376">
        <f>+L81-L83</f>
        <v>0</v>
      </c>
      <c r="M86" s="376">
        <f>+M81-M83</f>
        <v>0</v>
      </c>
      <c r="N86" s="376">
        <f t="shared" ref="N86" si="40">+N81-N83</f>
        <v>-18016652.059199989</v>
      </c>
    </row>
    <row r="99" spans="9:13" x14ac:dyDescent="0.2">
      <c r="J99" s="459"/>
      <c r="K99" s="459"/>
      <c r="L99" s="459"/>
      <c r="M99" s="459"/>
    </row>
    <row r="100" spans="9:13" x14ac:dyDescent="0.2">
      <c r="I100" s="459"/>
    </row>
  </sheetData>
  <mergeCells count="10">
    <mergeCell ref="S2:Y2"/>
    <mergeCell ref="V4:X4"/>
    <mergeCell ref="A11:Q11"/>
    <mergeCell ref="V14:X14"/>
    <mergeCell ref="A21:Q21"/>
    <mergeCell ref="A44:Q44"/>
    <mergeCell ref="A52:N52"/>
    <mergeCell ref="A62:N62"/>
    <mergeCell ref="A1:Q1"/>
    <mergeCell ref="A2:Q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9"/>
  <sheetViews>
    <sheetView workbookViewId="0"/>
  </sheetViews>
  <sheetFormatPr defaultRowHeight="10.199999999999999" x14ac:dyDescent="0.2"/>
  <cols>
    <col min="1" max="1" width="9" style="11" bestFit="1" customWidth="1"/>
    <col min="2" max="2" width="19.44140625" style="11" bestFit="1" customWidth="1"/>
    <col min="3" max="3" width="28.6640625" style="11" customWidth="1"/>
    <col min="4" max="5" width="8.88671875" style="11"/>
    <col min="6" max="6" width="9.109375" style="11" customWidth="1"/>
    <col min="7" max="7" width="14.44140625" style="72" customWidth="1"/>
    <col min="8" max="9" width="8.88671875" style="11"/>
    <col min="10" max="10" width="9" style="11" bestFit="1" customWidth="1"/>
    <col min="11" max="11" width="17.88671875" style="72" bestFit="1" customWidth="1"/>
    <col min="12" max="12" width="11.88671875" style="72" customWidth="1"/>
    <col min="13" max="13" width="12.88671875" style="72" customWidth="1"/>
    <col min="14" max="14" width="13.5546875" style="72" customWidth="1"/>
    <col min="15" max="15" width="9.44140625" style="72" bestFit="1" customWidth="1"/>
    <col min="16" max="16" width="9" style="11" bestFit="1" customWidth="1"/>
    <col min="17" max="16384" width="8.88671875" style="11"/>
  </cols>
  <sheetData>
    <row r="1" spans="1:16" x14ac:dyDescent="0.2">
      <c r="C1" s="11" t="s">
        <v>347</v>
      </c>
      <c r="G1" s="72">
        <f>SUM(G6:G10000)</f>
        <v>29517878.659999978</v>
      </c>
      <c r="K1" s="72">
        <f>SUM(K6:K10000)</f>
        <v>23845171.009999968</v>
      </c>
      <c r="L1" s="72">
        <f t="shared" ref="L1:P1" si="0">SUM(L6:L10000)</f>
        <v>228406.34000000008</v>
      </c>
      <c r="M1" s="72">
        <f t="shared" si="0"/>
        <v>2550066.5099999881</v>
      </c>
      <c r="N1" s="72">
        <f t="shared" si="0"/>
        <v>2550066.5099999881</v>
      </c>
      <c r="O1" s="72">
        <f t="shared" si="0"/>
        <v>0</v>
      </c>
      <c r="P1" s="72">
        <f t="shared" si="0"/>
        <v>0</v>
      </c>
    </row>
    <row r="2" spans="1:16" x14ac:dyDescent="0.2">
      <c r="B2" s="1444" t="s">
        <v>2602</v>
      </c>
      <c r="C2" s="1445"/>
      <c r="D2" s="1445"/>
      <c r="E2" s="1445"/>
      <c r="F2" s="1445"/>
      <c r="G2" s="1445"/>
      <c r="H2" s="1445"/>
      <c r="I2" s="1445"/>
      <c r="J2" s="1445"/>
      <c r="K2" s="1445"/>
      <c r="L2" s="1445"/>
      <c r="M2" s="1445"/>
      <c r="N2" s="1445"/>
      <c r="O2" s="1445"/>
      <c r="P2" s="1446"/>
    </row>
    <row r="4" spans="1:16" x14ac:dyDescent="0.2">
      <c r="A4" s="1442" t="s">
        <v>2</v>
      </c>
      <c r="B4" s="1442" t="s">
        <v>2603</v>
      </c>
      <c r="C4" s="1442" t="s">
        <v>2604</v>
      </c>
      <c r="D4" s="1447" t="s">
        <v>2605</v>
      </c>
      <c r="E4" s="1447"/>
      <c r="F4" s="1447"/>
      <c r="G4" s="1447"/>
      <c r="H4" s="1442" t="s">
        <v>2606</v>
      </c>
      <c r="I4" s="1448" t="s">
        <v>2607</v>
      </c>
      <c r="J4" s="1450" t="s">
        <v>2608</v>
      </c>
      <c r="K4" s="1452" t="s">
        <v>2609</v>
      </c>
      <c r="L4" s="1454" t="s">
        <v>2610</v>
      </c>
      <c r="M4" s="1454"/>
      <c r="N4" s="1454"/>
      <c r="O4" s="1454"/>
      <c r="P4" s="1442" t="s">
        <v>2611</v>
      </c>
    </row>
    <row r="5" spans="1:16" ht="20.399999999999999" x14ac:dyDescent="0.2">
      <c r="A5" s="1443"/>
      <c r="B5" s="1443"/>
      <c r="C5" s="1443"/>
      <c r="D5" s="460" t="s">
        <v>2612</v>
      </c>
      <c r="E5" s="460" t="s">
        <v>2613</v>
      </c>
      <c r="F5" s="461" t="s">
        <v>2614</v>
      </c>
      <c r="G5" s="462" t="s">
        <v>2615</v>
      </c>
      <c r="H5" s="1443"/>
      <c r="I5" s="1449"/>
      <c r="J5" s="1451"/>
      <c r="K5" s="1453"/>
      <c r="L5" s="462" t="s">
        <v>2616</v>
      </c>
      <c r="M5" s="462" t="s">
        <v>2617</v>
      </c>
      <c r="N5" s="462" t="s">
        <v>2618</v>
      </c>
      <c r="O5" s="462" t="s">
        <v>2619</v>
      </c>
      <c r="P5" s="1443"/>
    </row>
    <row r="6" spans="1:16" x14ac:dyDescent="0.2">
      <c r="A6" s="52">
        <v>43556</v>
      </c>
      <c r="B6" s="11" t="s">
        <v>530</v>
      </c>
      <c r="C6" s="11" t="s">
        <v>2620</v>
      </c>
      <c r="D6" s="11" t="s">
        <v>531</v>
      </c>
      <c r="E6" s="11" t="s">
        <v>2621</v>
      </c>
      <c r="F6" s="11" t="s">
        <v>2622</v>
      </c>
      <c r="G6" s="11">
        <v>17110.939999999999</v>
      </c>
      <c r="H6" s="11" t="s">
        <v>2623</v>
      </c>
      <c r="I6" s="11" t="s">
        <v>1411</v>
      </c>
      <c r="J6" s="11">
        <v>18</v>
      </c>
      <c r="K6" s="11">
        <v>14500.8</v>
      </c>
      <c r="L6" s="11">
        <v>0</v>
      </c>
      <c r="M6" s="11">
        <v>1305.07</v>
      </c>
      <c r="N6" s="11">
        <v>1305.07</v>
      </c>
      <c r="O6" s="11">
        <v>0</v>
      </c>
      <c r="P6" s="11" t="s">
        <v>2624</v>
      </c>
    </row>
    <row r="7" spans="1:16" x14ac:dyDescent="0.2">
      <c r="A7" s="52">
        <v>43556</v>
      </c>
      <c r="B7" s="11" t="s">
        <v>530</v>
      </c>
      <c r="C7" s="11" t="s">
        <v>2620</v>
      </c>
      <c r="D7" s="11" t="s">
        <v>532</v>
      </c>
      <c r="E7" s="11" t="s">
        <v>2621</v>
      </c>
      <c r="F7" s="11" t="s">
        <v>2622</v>
      </c>
      <c r="G7" s="11">
        <v>11918</v>
      </c>
      <c r="H7" s="11" t="s">
        <v>2623</v>
      </c>
      <c r="I7" s="11" t="s">
        <v>1411</v>
      </c>
      <c r="J7" s="11">
        <v>18</v>
      </c>
      <c r="K7" s="11">
        <v>10100</v>
      </c>
      <c r="L7" s="11">
        <v>0</v>
      </c>
      <c r="M7" s="11">
        <v>909</v>
      </c>
      <c r="N7" s="11">
        <v>909</v>
      </c>
      <c r="O7" s="11">
        <v>0</v>
      </c>
      <c r="P7" s="11" t="s">
        <v>2624</v>
      </c>
    </row>
    <row r="8" spans="1:16" x14ac:dyDescent="0.2">
      <c r="A8" s="52">
        <v>43556</v>
      </c>
      <c r="B8" s="11" t="s">
        <v>477</v>
      </c>
      <c r="C8" s="11" t="s">
        <v>2625</v>
      </c>
      <c r="D8" s="11" t="s">
        <v>478</v>
      </c>
      <c r="E8" s="11" t="s">
        <v>2621</v>
      </c>
      <c r="F8" s="11" t="s">
        <v>2626</v>
      </c>
      <c r="G8" s="11">
        <v>482490</v>
      </c>
      <c r="H8" s="11" t="s">
        <v>2623</v>
      </c>
      <c r="I8" s="11" t="s">
        <v>1411</v>
      </c>
      <c r="J8" s="11">
        <v>28</v>
      </c>
      <c r="K8" s="11">
        <v>376945</v>
      </c>
      <c r="L8" s="11">
        <v>0</v>
      </c>
      <c r="M8" s="11">
        <v>52772.3</v>
      </c>
      <c r="N8" s="11">
        <v>52772.3</v>
      </c>
      <c r="O8" s="11">
        <v>0</v>
      </c>
      <c r="P8" s="11" t="s">
        <v>2624</v>
      </c>
    </row>
    <row r="9" spans="1:16" x14ac:dyDescent="0.2">
      <c r="A9" s="52">
        <v>43556</v>
      </c>
      <c r="B9" s="11" t="s">
        <v>477</v>
      </c>
      <c r="C9" s="11" t="s">
        <v>2625</v>
      </c>
      <c r="D9" s="11" t="s">
        <v>2627</v>
      </c>
      <c r="E9" s="11" t="s">
        <v>2621</v>
      </c>
      <c r="F9" s="11" t="s">
        <v>2628</v>
      </c>
      <c r="G9" s="11">
        <v>47967</v>
      </c>
      <c r="H9" s="11" t="s">
        <v>2623</v>
      </c>
      <c r="I9" s="11" t="s">
        <v>1411</v>
      </c>
      <c r="J9" s="11">
        <v>18</v>
      </c>
      <c r="K9" s="11">
        <v>40650</v>
      </c>
      <c r="L9" s="11">
        <v>0</v>
      </c>
      <c r="M9" s="11">
        <v>3658.5</v>
      </c>
      <c r="N9" s="11">
        <v>3658.5</v>
      </c>
      <c r="O9" s="11">
        <v>0</v>
      </c>
      <c r="P9" s="11" t="s">
        <v>2624</v>
      </c>
    </row>
    <row r="10" spans="1:16" x14ac:dyDescent="0.2">
      <c r="A10" s="52">
        <v>43556</v>
      </c>
      <c r="B10" s="11" t="s">
        <v>497</v>
      </c>
      <c r="C10" s="11" t="s">
        <v>2629</v>
      </c>
      <c r="D10" s="11" t="s">
        <v>498</v>
      </c>
      <c r="E10" s="11" t="s">
        <v>2621</v>
      </c>
      <c r="F10" s="11" t="s">
        <v>2630</v>
      </c>
      <c r="G10" s="11">
        <v>7130</v>
      </c>
      <c r="H10" s="11" t="s">
        <v>2623</v>
      </c>
      <c r="I10" s="11" t="s">
        <v>1411</v>
      </c>
      <c r="J10" s="11">
        <v>18</v>
      </c>
      <c r="K10" s="11">
        <v>6042</v>
      </c>
      <c r="L10" s="11">
        <v>0</v>
      </c>
      <c r="M10" s="11">
        <v>543.78</v>
      </c>
      <c r="N10" s="11">
        <v>543.78</v>
      </c>
      <c r="O10" s="11">
        <v>0</v>
      </c>
      <c r="P10" s="11" t="s">
        <v>2624</v>
      </c>
    </row>
    <row r="11" spans="1:16" x14ac:dyDescent="0.2">
      <c r="A11" s="52">
        <v>43556</v>
      </c>
      <c r="B11" s="11" t="s">
        <v>483</v>
      </c>
      <c r="C11" s="11" t="s">
        <v>2631</v>
      </c>
      <c r="D11" s="11" t="s">
        <v>484</v>
      </c>
      <c r="E11" s="11" t="s">
        <v>2621</v>
      </c>
      <c r="F11" s="11" t="s">
        <v>2632</v>
      </c>
      <c r="G11" s="11">
        <v>129220.62</v>
      </c>
      <c r="H11" s="11" t="s">
        <v>2623</v>
      </c>
      <c r="I11" s="11" t="s">
        <v>1411</v>
      </c>
      <c r="J11" s="11">
        <v>28</v>
      </c>
      <c r="K11" s="11">
        <v>100953.60000000001</v>
      </c>
      <c r="L11" s="11">
        <v>0</v>
      </c>
      <c r="M11" s="11">
        <v>14133.51</v>
      </c>
      <c r="N11" s="11">
        <v>14133.51</v>
      </c>
      <c r="O11" s="11">
        <v>0</v>
      </c>
      <c r="P11" s="11" t="s">
        <v>2624</v>
      </c>
    </row>
    <row r="12" spans="1:16" x14ac:dyDescent="0.2">
      <c r="A12" s="52">
        <v>43556</v>
      </c>
      <c r="B12" s="11" t="s">
        <v>483</v>
      </c>
      <c r="C12" s="11" t="s">
        <v>2631</v>
      </c>
      <c r="D12" s="11" t="s">
        <v>486</v>
      </c>
      <c r="E12" s="11" t="s">
        <v>2621</v>
      </c>
      <c r="F12" s="11" t="s">
        <v>2633</v>
      </c>
      <c r="G12" s="11">
        <v>96915.46</v>
      </c>
      <c r="H12" s="11" t="s">
        <v>2623</v>
      </c>
      <c r="I12" s="11" t="s">
        <v>1411</v>
      </c>
      <c r="J12" s="11">
        <v>28</v>
      </c>
      <c r="K12" s="11">
        <v>75715.199999999997</v>
      </c>
      <c r="L12" s="11">
        <v>0</v>
      </c>
      <c r="M12" s="11">
        <v>10600.13</v>
      </c>
      <c r="N12" s="11">
        <v>10600.13</v>
      </c>
      <c r="O12" s="11">
        <v>0</v>
      </c>
      <c r="P12" s="11" t="s">
        <v>2624</v>
      </c>
    </row>
    <row r="13" spans="1:16" x14ac:dyDescent="0.2">
      <c r="A13" s="52">
        <v>43556</v>
      </c>
      <c r="B13" s="11" t="s">
        <v>483</v>
      </c>
      <c r="C13" s="11" t="s">
        <v>2631</v>
      </c>
      <c r="D13" s="11" t="s">
        <v>491</v>
      </c>
      <c r="E13" s="11" t="s">
        <v>2621</v>
      </c>
      <c r="F13" s="11" t="s">
        <v>2634</v>
      </c>
      <c r="G13" s="11">
        <v>90185.22</v>
      </c>
      <c r="H13" s="11" t="s">
        <v>2623</v>
      </c>
      <c r="I13" s="11" t="s">
        <v>1411</v>
      </c>
      <c r="J13" s="11">
        <v>28</v>
      </c>
      <c r="K13" s="11">
        <v>70457.2</v>
      </c>
      <c r="L13" s="11">
        <v>0</v>
      </c>
      <c r="M13" s="11">
        <v>9864.01</v>
      </c>
      <c r="N13" s="11">
        <v>9864.01</v>
      </c>
      <c r="O13" s="11">
        <v>0</v>
      </c>
      <c r="P13" s="11" t="s">
        <v>2624</v>
      </c>
    </row>
    <row r="14" spans="1:16" x14ac:dyDescent="0.2">
      <c r="A14" s="52">
        <v>43556</v>
      </c>
      <c r="B14" s="11" t="s">
        <v>483</v>
      </c>
      <c r="C14" s="11" t="s">
        <v>2631</v>
      </c>
      <c r="D14" s="11" t="s">
        <v>503</v>
      </c>
      <c r="E14" s="11" t="s">
        <v>2621</v>
      </c>
      <c r="F14" s="11" t="s">
        <v>2635</v>
      </c>
      <c r="G14" s="11">
        <v>113068.02</v>
      </c>
      <c r="H14" s="11" t="s">
        <v>2623</v>
      </c>
      <c r="I14" s="11" t="s">
        <v>1411</v>
      </c>
      <c r="J14" s="11">
        <v>28</v>
      </c>
      <c r="K14" s="11">
        <v>88334.399999999994</v>
      </c>
      <c r="L14" s="11">
        <v>0</v>
      </c>
      <c r="M14" s="11">
        <v>12366.81</v>
      </c>
      <c r="N14" s="11">
        <v>12366.81</v>
      </c>
      <c r="O14" s="11">
        <v>0</v>
      </c>
      <c r="P14" s="11" t="s">
        <v>2624</v>
      </c>
    </row>
    <row r="15" spans="1:16" x14ac:dyDescent="0.2">
      <c r="A15" s="52">
        <v>43556</v>
      </c>
      <c r="B15" s="11" t="s">
        <v>483</v>
      </c>
      <c r="C15" s="11" t="s">
        <v>2631</v>
      </c>
      <c r="D15" s="11" t="s">
        <v>537</v>
      </c>
      <c r="E15" s="11" t="s">
        <v>2621</v>
      </c>
      <c r="F15" s="11" t="s">
        <v>2636</v>
      </c>
      <c r="G15" s="11">
        <v>37999.120000000003</v>
      </c>
      <c r="H15" s="11" t="s">
        <v>2623</v>
      </c>
      <c r="I15" s="11" t="s">
        <v>1411</v>
      </c>
      <c r="J15" s="11">
        <v>28</v>
      </c>
      <c r="K15" s="11">
        <v>29686.799999999999</v>
      </c>
      <c r="L15" s="11">
        <v>0</v>
      </c>
      <c r="M15" s="11">
        <v>4156.16</v>
      </c>
      <c r="N15" s="11">
        <v>4156.16</v>
      </c>
      <c r="O15" s="11">
        <v>0</v>
      </c>
      <c r="P15" s="11" t="s">
        <v>2624</v>
      </c>
    </row>
    <row r="16" spans="1:16" x14ac:dyDescent="0.2">
      <c r="A16" s="52">
        <v>43556</v>
      </c>
      <c r="B16" s="11" t="s">
        <v>483</v>
      </c>
      <c r="C16" s="11" t="s">
        <v>2631</v>
      </c>
      <c r="D16" s="11" t="s">
        <v>536</v>
      </c>
      <c r="E16" s="11" t="s">
        <v>2621</v>
      </c>
      <c r="F16" s="11" t="s">
        <v>2636</v>
      </c>
      <c r="G16" s="11">
        <v>26920.959999999999</v>
      </c>
      <c r="H16" s="11" t="s">
        <v>2623</v>
      </c>
      <c r="I16" s="11" t="s">
        <v>1411</v>
      </c>
      <c r="J16" s="11">
        <v>28</v>
      </c>
      <c r="K16" s="11">
        <v>21032</v>
      </c>
      <c r="L16" s="11">
        <v>0</v>
      </c>
      <c r="M16" s="11">
        <v>2944.48</v>
      </c>
      <c r="N16" s="11">
        <v>2944.48</v>
      </c>
      <c r="O16" s="11">
        <v>0</v>
      </c>
      <c r="P16" s="11" t="s">
        <v>2624</v>
      </c>
    </row>
    <row r="17" spans="1:16" x14ac:dyDescent="0.2">
      <c r="A17" s="52">
        <v>43556</v>
      </c>
      <c r="B17" s="11" t="s">
        <v>592</v>
      </c>
      <c r="C17" s="11" t="s">
        <v>2637</v>
      </c>
      <c r="D17" s="11" t="s">
        <v>593</v>
      </c>
      <c r="E17" s="11" t="s">
        <v>2621</v>
      </c>
      <c r="F17" s="11" t="s">
        <v>2638</v>
      </c>
      <c r="G17" s="11">
        <v>47790</v>
      </c>
      <c r="H17" s="11" t="s">
        <v>2623</v>
      </c>
      <c r="I17" s="11" t="s">
        <v>1411</v>
      </c>
      <c r="J17" s="11">
        <v>18</v>
      </c>
      <c r="K17" s="11">
        <v>40500</v>
      </c>
      <c r="L17" s="11">
        <v>0</v>
      </c>
      <c r="M17" s="11">
        <v>3645</v>
      </c>
      <c r="N17" s="11">
        <v>3645</v>
      </c>
      <c r="O17" s="11">
        <v>0</v>
      </c>
      <c r="P17" s="11" t="s">
        <v>2624</v>
      </c>
    </row>
    <row r="18" spans="1:16" x14ac:dyDescent="0.2">
      <c r="A18" s="52">
        <v>43556</v>
      </c>
      <c r="B18" s="11" t="s">
        <v>519</v>
      </c>
      <c r="C18" s="11" t="s">
        <v>2639</v>
      </c>
      <c r="D18" s="11" t="s">
        <v>2640</v>
      </c>
      <c r="E18" s="11" t="s">
        <v>2621</v>
      </c>
      <c r="F18" s="11" t="s">
        <v>2635</v>
      </c>
      <c r="G18" s="11">
        <v>5671.08</v>
      </c>
      <c r="H18" s="11" t="s">
        <v>2623</v>
      </c>
      <c r="I18" s="11" t="s">
        <v>1411</v>
      </c>
      <c r="J18" s="11">
        <v>18</v>
      </c>
      <c r="K18" s="11">
        <v>4806</v>
      </c>
      <c r="L18" s="11">
        <v>0</v>
      </c>
      <c r="M18" s="11">
        <v>432.54</v>
      </c>
      <c r="N18" s="11">
        <v>432.54</v>
      </c>
      <c r="O18" s="11">
        <v>0</v>
      </c>
      <c r="P18" s="11" t="s">
        <v>2624</v>
      </c>
    </row>
    <row r="19" spans="1:16" x14ac:dyDescent="0.2">
      <c r="A19" s="52">
        <v>43556</v>
      </c>
      <c r="B19" s="11" t="s">
        <v>528</v>
      </c>
      <c r="C19" s="11" t="s">
        <v>2641</v>
      </c>
      <c r="D19" s="11" t="s">
        <v>2642</v>
      </c>
      <c r="E19" s="11" t="s">
        <v>2621</v>
      </c>
      <c r="F19" s="11" t="s">
        <v>2628</v>
      </c>
      <c r="G19" s="11">
        <v>33755</v>
      </c>
      <c r="H19" s="11" t="s">
        <v>2623</v>
      </c>
      <c r="I19" s="11" t="s">
        <v>1411</v>
      </c>
      <c r="J19" s="11">
        <v>18</v>
      </c>
      <c r="K19" s="11">
        <v>28606</v>
      </c>
      <c r="L19" s="11">
        <v>0</v>
      </c>
      <c r="M19" s="11">
        <v>2574.54</v>
      </c>
      <c r="N19" s="11">
        <v>2574.54</v>
      </c>
      <c r="O19" s="11">
        <v>0</v>
      </c>
      <c r="P19" s="11" t="s">
        <v>2624</v>
      </c>
    </row>
    <row r="20" spans="1:16" x14ac:dyDescent="0.2">
      <c r="A20" s="52">
        <v>43556</v>
      </c>
      <c r="B20" s="11" t="s">
        <v>41</v>
      </c>
      <c r="C20" s="11" t="s">
        <v>2643</v>
      </c>
      <c r="D20" s="11" t="s">
        <v>474</v>
      </c>
      <c r="E20" s="11" t="s">
        <v>2621</v>
      </c>
      <c r="F20" s="11" t="s">
        <v>2644</v>
      </c>
      <c r="G20" s="11">
        <v>4928</v>
      </c>
      <c r="H20" s="11" t="s">
        <v>2623</v>
      </c>
      <c r="I20" s="11" t="s">
        <v>1411</v>
      </c>
      <c r="J20" s="11">
        <v>28</v>
      </c>
      <c r="K20" s="11">
        <v>3850</v>
      </c>
      <c r="L20" s="11">
        <v>0</v>
      </c>
      <c r="M20" s="11">
        <v>539</v>
      </c>
      <c r="N20" s="11">
        <v>539</v>
      </c>
      <c r="O20" s="11">
        <v>0</v>
      </c>
      <c r="P20" s="11" t="s">
        <v>2624</v>
      </c>
    </row>
    <row r="21" spans="1:16" x14ac:dyDescent="0.2">
      <c r="A21" s="52">
        <v>43556</v>
      </c>
      <c r="B21" s="11" t="s">
        <v>41</v>
      </c>
      <c r="C21" s="11" t="s">
        <v>2643</v>
      </c>
      <c r="D21" s="11" t="s">
        <v>475</v>
      </c>
      <c r="E21" s="11" t="s">
        <v>2621</v>
      </c>
      <c r="F21" s="11" t="s">
        <v>2644</v>
      </c>
      <c r="G21" s="11">
        <v>7963.43</v>
      </c>
      <c r="H21" s="11" t="s">
        <v>2623</v>
      </c>
      <c r="I21" s="11" t="s">
        <v>1411</v>
      </c>
      <c r="J21" s="11">
        <v>28</v>
      </c>
      <c r="K21" s="11">
        <v>6221.43</v>
      </c>
      <c r="L21" s="11">
        <v>0</v>
      </c>
      <c r="M21" s="11">
        <v>871</v>
      </c>
      <c r="N21" s="11">
        <v>871</v>
      </c>
      <c r="O21" s="11">
        <v>0</v>
      </c>
      <c r="P21" s="11" t="s">
        <v>2624</v>
      </c>
    </row>
    <row r="22" spans="1:16" x14ac:dyDescent="0.2">
      <c r="A22" s="52">
        <v>43556</v>
      </c>
      <c r="B22" s="11" t="s">
        <v>41</v>
      </c>
      <c r="C22" s="11" t="s">
        <v>2643</v>
      </c>
      <c r="D22" s="11" t="s">
        <v>485</v>
      </c>
      <c r="E22" s="11" t="s">
        <v>2621</v>
      </c>
      <c r="F22" s="11" t="s">
        <v>2632</v>
      </c>
      <c r="G22" s="11">
        <v>7972.57</v>
      </c>
      <c r="H22" s="11" t="s">
        <v>2623</v>
      </c>
      <c r="I22" s="11" t="s">
        <v>1411</v>
      </c>
      <c r="J22" s="11">
        <v>28</v>
      </c>
      <c r="K22" s="11">
        <v>6228.57</v>
      </c>
      <c r="L22" s="11">
        <v>0</v>
      </c>
      <c r="M22" s="11">
        <v>872</v>
      </c>
      <c r="N22" s="11">
        <v>872</v>
      </c>
      <c r="O22" s="11">
        <v>0</v>
      </c>
      <c r="P22" s="11" t="s">
        <v>2624</v>
      </c>
    </row>
    <row r="23" spans="1:16" x14ac:dyDescent="0.2">
      <c r="A23" s="52">
        <v>43556</v>
      </c>
      <c r="B23" s="11" t="s">
        <v>41</v>
      </c>
      <c r="C23" s="11" t="s">
        <v>2643</v>
      </c>
      <c r="D23" s="11" t="s">
        <v>492</v>
      </c>
      <c r="E23" s="11" t="s">
        <v>2621</v>
      </c>
      <c r="F23" s="11" t="s">
        <v>2634</v>
      </c>
      <c r="G23" s="11">
        <v>13101.71</v>
      </c>
      <c r="H23" s="11" t="s">
        <v>2623</v>
      </c>
      <c r="I23" s="11" t="s">
        <v>1411</v>
      </c>
      <c r="J23" s="11">
        <v>28</v>
      </c>
      <c r="K23" s="11">
        <v>10235.719999999999</v>
      </c>
      <c r="L23" s="11">
        <v>0</v>
      </c>
      <c r="M23" s="11">
        <v>1433</v>
      </c>
      <c r="N23" s="11">
        <v>1433</v>
      </c>
      <c r="O23" s="11">
        <v>0</v>
      </c>
      <c r="P23" s="11" t="s">
        <v>2624</v>
      </c>
    </row>
    <row r="24" spans="1:16" x14ac:dyDescent="0.2">
      <c r="A24" s="52">
        <v>43556</v>
      </c>
      <c r="B24" s="11" t="s">
        <v>41</v>
      </c>
      <c r="C24" s="11" t="s">
        <v>2643</v>
      </c>
      <c r="D24" s="11" t="s">
        <v>504</v>
      </c>
      <c r="E24" s="11" t="s">
        <v>2621</v>
      </c>
      <c r="F24" s="11" t="s">
        <v>2635</v>
      </c>
      <c r="G24" s="11">
        <v>4928</v>
      </c>
      <c r="H24" s="11" t="s">
        <v>2623</v>
      </c>
      <c r="I24" s="11" t="s">
        <v>1411</v>
      </c>
      <c r="J24" s="11">
        <v>28</v>
      </c>
      <c r="K24" s="11">
        <v>3850</v>
      </c>
      <c r="L24" s="11">
        <v>0</v>
      </c>
      <c r="M24" s="11">
        <v>539</v>
      </c>
      <c r="N24" s="11">
        <v>539</v>
      </c>
      <c r="O24" s="11">
        <v>0</v>
      </c>
      <c r="P24" s="11" t="s">
        <v>2624</v>
      </c>
    </row>
    <row r="25" spans="1:16" x14ac:dyDescent="0.2">
      <c r="A25" s="52">
        <v>43556</v>
      </c>
      <c r="B25" s="11" t="s">
        <v>41</v>
      </c>
      <c r="C25" s="11" t="s">
        <v>2643</v>
      </c>
      <c r="D25" s="11" t="s">
        <v>505</v>
      </c>
      <c r="E25" s="11" t="s">
        <v>2621</v>
      </c>
      <c r="F25" s="11" t="s">
        <v>2635</v>
      </c>
      <c r="G25" s="11">
        <v>6153.14</v>
      </c>
      <c r="H25" s="11" t="s">
        <v>2623</v>
      </c>
      <c r="I25" s="11" t="s">
        <v>1411</v>
      </c>
      <c r="J25" s="11">
        <v>28</v>
      </c>
      <c r="K25" s="11">
        <v>4807.1400000000003</v>
      </c>
      <c r="L25" s="11">
        <v>0</v>
      </c>
      <c r="M25" s="11">
        <v>673</v>
      </c>
      <c r="N25" s="11">
        <v>673</v>
      </c>
      <c r="O25" s="11">
        <v>0</v>
      </c>
      <c r="P25" s="11" t="s">
        <v>2624</v>
      </c>
    </row>
    <row r="26" spans="1:16" x14ac:dyDescent="0.2">
      <c r="A26" s="52">
        <v>43556</v>
      </c>
      <c r="B26" s="11" t="s">
        <v>41</v>
      </c>
      <c r="C26" s="11" t="s">
        <v>2643</v>
      </c>
      <c r="D26" s="11" t="s">
        <v>525</v>
      </c>
      <c r="E26" s="11" t="s">
        <v>2621</v>
      </c>
      <c r="F26" s="11" t="s">
        <v>2628</v>
      </c>
      <c r="G26" s="11">
        <v>7387.43</v>
      </c>
      <c r="H26" s="11" t="s">
        <v>2623</v>
      </c>
      <c r="I26" s="11" t="s">
        <v>1411</v>
      </c>
      <c r="J26" s="11">
        <v>28</v>
      </c>
      <c r="K26" s="11">
        <v>5771.43</v>
      </c>
      <c r="L26" s="11">
        <v>0</v>
      </c>
      <c r="M26" s="11">
        <v>808</v>
      </c>
      <c r="N26" s="11">
        <v>808</v>
      </c>
      <c r="O26" s="11">
        <v>0</v>
      </c>
      <c r="P26" s="11" t="s">
        <v>2624</v>
      </c>
    </row>
    <row r="27" spans="1:16" x14ac:dyDescent="0.2">
      <c r="A27" s="52">
        <v>43556</v>
      </c>
      <c r="B27" s="11" t="s">
        <v>41</v>
      </c>
      <c r="C27" s="11" t="s">
        <v>2643</v>
      </c>
      <c r="D27" s="11" t="s">
        <v>545</v>
      </c>
      <c r="E27" s="11" t="s">
        <v>2621</v>
      </c>
      <c r="F27" s="11" t="s">
        <v>2645</v>
      </c>
      <c r="G27" s="11">
        <v>4205.71</v>
      </c>
      <c r="H27" s="11" t="s">
        <v>2623</v>
      </c>
      <c r="I27" s="11" t="s">
        <v>1411</v>
      </c>
      <c r="J27" s="11">
        <v>28</v>
      </c>
      <c r="K27" s="11">
        <v>3285.71</v>
      </c>
      <c r="L27" s="11">
        <v>0</v>
      </c>
      <c r="M27" s="11">
        <v>460</v>
      </c>
      <c r="N27" s="11">
        <v>460</v>
      </c>
      <c r="O27" s="11">
        <v>0</v>
      </c>
      <c r="P27" s="11" t="s">
        <v>2624</v>
      </c>
    </row>
    <row r="28" spans="1:16" x14ac:dyDescent="0.2">
      <c r="A28" s="52">
        <v>43556</v>
      </c>
      <c r="B28" s="11" t="s">
        <v>41</v>
      </c>
      <c r="C28" s="11" t="s">
        <v>2643</v>
      </c>
      <c r="D28" s="11" t="s">
        <v>549</v>
      </c>
      <c r="E28" s="11" t="s">
        <v>2621</v>
      </c>
      <c r="F28" s="11" t="s">
        <v>2646</v>
      </c>
      <c r="G28" s="11">
        <v>7387.43</v>
      </c>
      <c r="H28" s="11" t="s">
        <v>2623</v>
      </c>
      <c r="I28" s="11" t="s">
        <v>1411</v>
      </c>
      <c r="J28" s="11">
        <v>28</v>
      </c>
      <c r="K28" s="11">
        <v>5771.43</v>
      </c>
      <c r="L28" s="11">
        <v>0</v>
      </c>
      <c r="M28" s="11">
        <v>808</v>
      </c>
      <c r="N28" s="11">
        <v>808</v>
      </c>
      <c r="O28" s="11">
        <v>0</v>
      </c>
      <c r="P28" s="11" t="s">
        <v>2624</v>
      </c>
    </row>
    <row r="29" spans="1:16" x14ac:dyDescent="0.2">
      <c r="A29" s="52">
        <v>43556</v>
      </c>
      <c r="B29" s="11" t="s">
        <v>41</v>
      </c>
      <c r="C29" s="11" t="s">
        <v>2643</v>
      </c>
      <c r="D29" s="11" t="s">
        <v>550</v>
      </c>
      <c r="E29" s="11" t="s">
        <v>2621</v>
      </c>
      <c r="F29" s="11" t="s">
        <v>2646</v>
      </c>
      <c r="G29" s="11">
        <v>6153.14</v>
      </c>
      <c r="H29" s="11" t="s">
        <v>2623</v>
      </c>
      <c r="I29" s="11" t="s">
        <v>1411</v>
      </c>
      <c r="J29" s="11">
        <v>28</v>
      </c>
      <c r="K29" s="11">
        <v>4807.1400000000003</v>
      </c>
      <c r="L29" s="11">
        <v>0</v>
      </c>
      <c r="M29" s="11">
        <v>673</v>
      </c>
      <c r="N29" s="11">
        <v>673</v>
      </c>
      <c r="O29" s="11">
        <v>0</v>
      </c>
      <c r="P29" s="11" t="s">
        <v>2624</v>
      </c>
    </row>
    <row r="30" spans="1:16" x14ac:dyDescent="0.2">
      <c r="A30" s="52">
        <v>43556</v>
      </c>
      <c r="B30" s="11" t="s">
        <v>41</v>
      </c>
      <c r="C30" s="11" t="s">
        <v>2643</v>
      </c>
      <c r="D30" s="11" t="s">
        <v>559</v>
      </c>
      <c r="E30" s="11" t="s">
        <v>2621</v>
      </c>
      <c r="F30" s="11" t="s">
        <v>2647</v>
      </c>
      <c r="G30" s="11">
        <v>4105.1400000000003</v>
      </c>
      <c r="H30" s="11" t="s">
        <v>2623</v>
      </c>
      <c r="I30" s="11" t="s">
        <v>1411</v>
      </c>
      <c r="J30" s="11">
        <v>28</v>
      </c>
      <c r="K30" s="11">
        <v>3207.14</v>
      </c>
      <c r="L30" s="11">
        <v>0</v>
      </c>
      <c r="M30" s="11">
        <v>449</v>
      </c>
      <c r="N30" s="11">
        <v>449</v>
      </c>
      <c r="O30" s="11">
        <v>0</v>
      </c>
      <c r="P30" s="11" t="s">
        <v>2624</v>
      </c>
    </row>
    <row r="31" spans="1:16" x14ac:dyDescent="0.2">
      <c r="A31" s="52">
        <v>43556</v>
      </c>
      <c r="B31" s="11" t="s">
        <v>41</v>
      </c>
      <c r="C31" s="11" t="s">
        <v>2643</v>
      </c>
      <c r="D31" s="11" t="s">
        <v>560</v>
      </c>
      <c r="E31" s="11" t="s">
        <v>2621</v>
      </c>
      <c r="F31" s="11" t="s">
        <v>2647</v>
      </c>
      <c r="G31" s="11">
        <v>6153.14</v>
      </c>
      <c r="H31" s="11" t="s">
        <v>2623</v>
      </c>
      <c r="I31" s="11" t="s">
        <v>1411</v>
      </c>
      <c r="J31" s="11">
        <v>28</v>
      </c>
      <c r="K31" s="11">
        <v>4807.1400000000003</v>
      </c>
      <c r="L31" s="11">
        <v>0</v>
      </c>
      <c r="M31" s="11">
        <v>673</v>
      </c>
      <c r="N31" s="11">
        <v>673</v>
      </c>
      <c r="O31" s="11">
        <v>0</v>
      </c>
      <c r="P31" s="11" t="s">
        <v>2624</v>
      </c>
    </row>
    <row r="32" spans="1:16" x14ac:dyDescent="0.2">
      <c r="A32" s="52">
        <v>43556</v>
      </c>
      <c r="B32" s="11" t="s">
        <v>41</v>
      </c>
      <c r="C32" s="11" t="s">
        <v>2643</v>
      </c>
      <c r="D32" s="11" t="s">
        <v>575</v>
      </c>
      <c r="E32" s="11" t="s">
        <v>2621</v>
      </c>
      <c r="F32" s="11" t="s">
        <v>2648</v>
      </c>
      <c r="G32" s="11">
        <v>6153.14</v>
      </c>
      <c r="H32" s="11" t="s">
        <v>2623</v>
      </c>
      <c r="I32" s="11" t="s">
        <v>1411</v>
      </c>
      <c r="J32" s="11">
        <v>28</v>
      </c>
      <c r="K32" s="11">
        <v>4807.1400000000003</v>
      </c>
      <c r="L32" s="11">
        <v>0</v>
      </c>
      <c r="M32" s="11">
        <v>673</v>
      </c>
      <c r="N32" s="11">
        <v>673</v>
      </c>
      <c r="O32" s="11">
        <v>0</v>
      </c>
      <c r="P32" s="11" t="s">
        <v>2624</v>
      </c>
    </row>
    <row r="33" spans="1:16" x14ac:dyDescent="0.2">
      <c r="A33" s="52">
        <v>43556</v>
      </c>
      <c r="B33" s="11" t="s">
        <v>41</v>
      </c>
      <c r="C33" s="11" t="s">
        <v>2643</v>
      </c>
      <c r="D33" s="11" t="s">
        <v>576</v>
      </c>
      <c r="E33" s="11" t="s">
        <v>2621</v>
      </c>
      <c r="F33" s="11" t="s">
        <v>2648</v>
      </c>
      <c r="G33" s="11">
        <v>7698.29</v>
      </c>
      <c r="H33" s="11" t="s">
        <v>2623</v>
      </c>
      <c r="I33" s="11" t="s">
        <v>1411</v>
      </c>
      <c r="J33" s="11">
        <v>28</v>
      </c>
      <c r="K33" s="11">
        <v>6014.29</v>
      </c>
      <c r="L33" s="11">
        <v>0</v>
      </c>
      <c r="M33" s="11">
        <v>842</v>
      </c>
      <c r="N33" s="11">
        <v>842</v>
      </c>
      <c r="O33" s="11">
        <v>0</v>
      </c>
      <c r="P33" s="11" t="s">
        <v>2624</v>
      </c>
    </row>
    <row r="34" spans="1:16" x14ac:dyDescent="0.2">
      <c r="A34" s="52">
        <v>43556</v>
      </c>
      <c r="B34" s="11" t="s">
        <v>557</v>
      </c>
      <c r="C34" s="11" t="s">
        <v>3379</v>
      </c>
      <c r="D34" s="11" t="s">
        <v>3380</v>
      </c>
      <c r="E34" s="11" t="s">
        <v>2621</v>
      </c>
      <c r="F34" s="11" t="s">
        <v>2682</v>
      </c>
      <c r="G34" s="11">
        <v>80736</v>
      </c>
      <c r="H34" s="11" t="s">
        <v>2623</v>
      </c>
      <c r="I34" s="11" t="s">
        <v>1411</v>
      </c>
      <c r="J34" s="11">
        <v>18</v>
      </c>
      <c r="K34" s="11">
        <v>68420</v>
      </c>
      <c r="L34" s="11">
        <v>0</v>
      </c>
      <c r="M34" s="11">
        <v>6158</v>
      </c>
      <c r="N34" s="11">
        <v>6158</v>
      </c>
      <c r="O34" s="11">
        <v>0</v>
      </c>
      <c r="P34" s="11" t="s">
        <v>2624</v>
      </c>
    </row>
    <row r="35" spans="1:16" x14ac:dyDescent="0.2">
      <c r="A35" s="52">
        <v>43556</v>
      </c>
      <c r="B35" s="11" t="s">
        <v>512</v>
      </c>
      <c r="C35" s="11" t="s">
        <v>2649</v>
      </c>
      <c r="D35" s="11" t="s">
        <v>513</v>
      </c>
      <c r="E35" s="11" t="s">
        <v>2621</v>
      </c>
      <c r="F35" s="11" t="s">
        <v>2650</v>
      </c>
      <c r="G35" s="11">
        <v>20650</v>
      </c>
      <c r="H35" s="11" t="s">
        <v>2623</v>
      </c>
      <c r="I35" s="11" t="s">
        <v>1411</v>
      </c>
      <c r="J35" s="11">
        <v>18</v>
      </c>
      <c r="K35" s="11">
        <v>17500</v>
      </c>
      <c r="L35" s="11">
        <v>0</v>
      </c>
      <c r="M35" s="11">
        <v>1575</v>
      </c>
      <c r="N35" s="11">
        <v>1575</v>
      </c>
      <c r="O35" s="11">
        <v>0</v>
      </c>
      <c r="P35" s="11" t="s">
        <v>2624</v>
      </c>
    </row>
    <row r="36" spans="1:16" x14ac:dyDescent="0.2">
      <c r="A36" s="52">
        <v>43556</v>
      </c>
      <c r="B36" s="11" t="s">
        <v>512</v>
      </c>
      <c r="C36" s="11" t="s">
        <v>2649</v>
      </c>
      <c r="D36" s="11" t="s">
        <v>564</v>
      </c>
      <c r="E36" s="11" t="s">
        <v>2621</v>
      </c>
      <c r="F36" s="11" t="s">
        <v>2651</v>
      </c>
      <c r="G36" s="11">
        <v>4956</v>
      </c>
      <c r="H36" s="11" t="s">
        <v>2623</v>
      </c>
      <c r="I36" s="11" t="s">
        <v>1411</v>
      </c>
      <c r="J36" s="11">
        <v>18</v>
      </c>
      <c r="K36" s="11">
        <v>4200</v>
      </c>
      <c r="L36" s="11">
        <v>0</v>
      </c>
      <c r="M36" s="11">
        <v>378</v>
      </c>
      <c r="N36" s="11">
        <v>378</v>
      </c>
      <c r="O36" s="11">
        <v>0</v>
      </c>
      <c r="P36" s="11" t="s">
        <v>2624</v>
      </c>
    </row>
    <row r="37" spans="1:16" x14ac:dyDescent="0.2">
      <c r="A37" s="52">
        <v>43556</v>
      </c>
      <c r="B37" s="11" t="s">
        <v>29</v>
      </c>
      <c r="C37" s="11" t="s">
        <v>2652</v>
      </c>
      <c r="D37" s="11" t="s">
        <v>2653</v>
      </c>
      <c r="E37" s="11" t="s">
        <v>2621</v>
      </c>
      <c r="F37" s="11" t="s">
        <v>2626</v>
      </c>
      <c r="G37" s="11">
        <v>22378.9</v>
      </c>
      <c r="H37" s="11" t="s">
        <v>2623</v>
      </c>
      <c r="I37" s="11" t="s">
        <v>1411</v>
      </c>
      <c r="J37" s="11">
        <v>28</v>
      </c>
      <c r="K37" s="11">
        <v>17483.52</v>
      </c>
      <c r="L37" s="11">
        <v>0</v>
      </c>
      <c r="M37" s="11">
        <v>2447.69</v>
      </c>
      <c r="N37" s="11">
        <v>2447.69</v>
      </c>
      <c r="O37" s="11">
        <v>0</v>
      </c>
      <c r="P37" s="11" t="s">
        <v>2624</v>
      </c>
    </row>
    <row r="38" spans="1:16" x14ac:dyDescent="0.2">
      <c r="A38" s="52">
        <v>43556</v>
      </c>
      <c r="B38" s="11" t="s">
        <v>29</v>
      </c>
      <c r="C38" s="11" t="s">
        <v>2652</v>
      </c>
      <c r="D38" s="11" t="s">
        <v>2654</v>
      </c>
      <c r="E38" s="11" t="s">
        <v>2621</v>
      </c>
      <c r="F38" s="11" t="s">
        <v>2626</v>
      </c>
      <c r="G38" s="11">
        <v>22378.9</v>
      </c>
      <c r="H38" s="11" t="s">
        <v>2623</v>
      </c>
      <c r="I38" s="11" t="s">
        <v>1411</v>
      </c>
      <c r="J38" s="11">
        <v>28</v>
      </c>
      <c r="K38" s="11">
        <v>17483.52</v>
      </c>
      <c r="L38" s="11">
        <v>0</v>
      </c>
      <c r="M38" s="11">
        <v>2447.69</v>
      </c>
      <c r="N38" s="11">
        <v>2447.69</v>
      </c>
      <c r="O38" s="11">
        <v>0</v>
      </c>
      <c r="P38" s="11" t="s">
        <v>2624</v>
      </c>
    </row>
    <row r="39" spans="1:16" x14ac:dyDescent="0.2">
      <c r="A39" s="52">
        <v>43556</v>
      </c>
      <c r="B39" s="11" t="s">
        <v>29</v>
      </c>
      <c r="C39" s="11" t="s">
        <v>2652</v>
      </c>
      <c r="D39" s="11" t="s">
        <v>2655</v>
      </c>
      <c r="E39" s="11" t="s">
        <v>2621</v>
      </c>
      <c r="F39" s="11" t="s">
        <v>2626</v>
      </c>
      <c r="G39" s="11">
        <v>22378.9</v>
      </c>
      <c r="H39" s="11" t="s">
        <v>2623</v>
      </c>
      <c r="I39" s="11" t="s">
        <v>1411</v>
      </c>
      <c r="J39" s="11">
        <v>28</v>
      </c>
      <c r="K39" s="11">
        <v>17483.52</v>
      </c>
      <c r="L39" s="11">
        <v>0</v>
      </c>
      <c r="M39" s="11">
        <v>2447.69</v>
      </c>
      <c r="N39" s="11">
        <v>2447.69</v>
      </c>
      <c r="O39" s="11">
        <v>0</v>
      </c>
      <c r="P39" s="11" t="s">
        <v>2624</v>
      </c>
    </row>
    <row r="40" spans="1:16" x14ac:dyDescent="0.2">
      <c r="A40" s="52">
        <v>43556</v>
      </c>
      <c r="B40" s="11" t="s">
        <v>29</v>
      </c>
      <c r="C40" s="11" t="s">
        <v>2652</v>
      </c>
      <c r="D40" s="11" t="s">
        <v>2656</v>
      </c>
      <c r="E40" s="11" t="s">
        <v>2621</v>
      </c>
      <c r="F40" s="11" t="s">
        <v>2626</v>
      </c>
      <c r="G40" s="11">
        <v>22378.9</v>
      </c>
      <c r="H40" s="11" t="s">
        <v>2623</v>
      </c>
      <c r="I40" s="11" t="s">
        <v>1411</v>
      </c>
      <c r="J40" s="11">
        <v>28</v>
      </c>
      <c r="K40" s="11">
        <v>17483.52</v>
      </c>
      <c r="L40" s="11">
        <v>0</v>
      </c>
      <c r="M40" s="11">
        <v>2447.69</v>
      </c>
      <c r="N40" s="11">
        <v>2447.69</v>
      </c>
      <c r="O40" s="11">
        <v>0</v>
      </c>
      <c r="P40" s="11" t="s">
        <v>2624</v>
      </c>
    </row>
    <row r="41" spans="1:16" x14ac:dyDescent="0.2">
      <c r="A41" s="52">
        <v>43556</v>
      </c>
      <c r="B41" s="11" t="s">
        <v>29</v>
      </c>
      <c r="C41" s="11" t="s">
        <v>2652</v>
      </c>
      <c r="D41" s="11" t="s">
        <v>2657</v>
      </c>
      <c r="E41" s="11" t="s">
        <v>2621</v>
      </c>
      <c r="F41" s="11" t="s">
        <v>2634</v>
      </c>
      <c r="G41" s="11">
        <v>22378.9</v>
      </c>
      <c r="H41" s="11" t="s">
        <v>2623</v>
      </c>
      <c r="I41" s="11" t="s">
        <v>1411</v>
      </c>
      <c r="J41" s="11">
        <v>28</v>
      </c>
      <c r="K41" s="11">
        <v>17483.52</v>
      </c>
      <c r="L41" s="11">
        <v>0</v>
      </c>
      <c r="M41" s="11">
        <v>2447.69</v>
      </c>
      <c r="N41" s="11">
        <v>2447.69</v>
      </c>
      <c r="O41" s="11">
        <v>0</v>
      </c>
      <c r="P41" s="11" t="s">
        <v>2624</v>
      </c>
    </row>
    <row r="42" spans="1:16" x14ac:dyDescent="0.2">
      <c r="A42" s="52">
        <v>43556</v>
      </c>
      <c r="B42" s="11" t="s">
        <v>29</v>
      </c>
      <c r="C42" s="11" t="s">
        <v>2652</v>
      </c>
      <c r="D42" s="11" t="s">
        <v>2658</v>
      </c>
      <c r="E42" s="11" t="s">
        <v>2621</v>
      </c>
      <c r="F42" s="11" t="s">
        <v>2634</v>
      </c>
      <c r="G42" s="11">
        <v>22378.9</v>
      </c>
      <c r="H42" s="11" t="s">
        <v>2623</v>
      </c>
      <c r="I42" s="11" t="s">
        <v>1411</v>
      </c>
      <c r="J42" s="11">
        <v>28</v>
      </c>
      <c r="K42" s="11">
        <v>17483.52</v>
      </c>
      <c r="L42" s="11">
        <v>0</v>
      </c>
      <c r="M42" s="11">
        <v>2447.69</v>
      </c>
      <c r="N42" s="11">
        <v>2447.69</v>
      </c>
      <c r="O42" s="11">
        <v>0</v>
      </c>
      <c r="P42" s="11" t="s">
        <v>2624</v>
      </c>
    </row>
    <row r="43" spans="1:16" x14ac:dyDescent="0.2">
      <c r="A43" s="52">
        <v>43556</v>
      </c>
      <c r="B43" s="11" t="s">
        <v>29</v>
      </c>
      <c r="C43" s="11" t="s">
        <v>2652</v>
      </c>
      <c r="D43" s="11" t="s">
        <v>2659</v>
      </c>
      <c r="E43" s="11" t="s">
        <v>2621</v>
      </c>
      <c r="F43" s="11" t="s">
        <v>2634</v>
      </c>
      <c r="G43" s="11">
        <v>22378.9</v>
      </c>
      <c r="H43" s="11" t="s">
        <v>2623</v>
      </c>
      <c r="I43" s="11" t="s">
        <v>1411</v>
      </c>
      <c r="J43" s="11">
        <v>28</v>
      </c>
      <c r="K43" s="11">
        <v>17483.52</v>
      </c>
      <c r="L43" s="11">
        <v>0</v>
      </c>
      <c r="M43" s="11">
        <v>2447.69</v>
      </c>
      <c r="N43" s="11">
        <v>2447.69</v>
      </c>
      <c r="O43" s="11">
        <v>0</v>
      </c>
      <c r="P43" s="11" t="s">
        <v>2624</v>
      </c>
    </row>
    <row r="44" spans="1:16" x14ac:dyDescent="0.2">
      <c r="A44" s="52">
        <v>43556</v>
      </c>
      <c r="B44" s="11" t="s">
        <v>29</v>
      </c>
      <c r="C44" s="11" t="s">
        <v>2652</v>
      </c>
      <c r="D44" s="11" t="s">
        <v>2660</v>
      </c>
      <c r="E44" s="11" t="s">
        <v>2621</v>
      </c>
      <c r="F44" s="11" t="s">
        <v>2634</v>
      </c>
      <c r="G44" s="11">
        <v>22378.9</v>
      </c>
      <c r="H44" s="11" t="s">
        <v>2623</v>
      </c>
      <c r="I44" s="11" t="s">
        <v>1411</v>
      </c>
      <c r="J44" s="11">
        <v>28</v>
      </c>
      <c r="K44" s="11">
        <v>17483.52</v>
      </c>
      <c r="L44" s="11">
        <v>0</v>
      </c>
      <c r="M44" s="11">
        <v>2447.69</v>
      </c>
      <c r="N44" s="11">
        <v>2447.69</v>
      </c>
      <c r="O44" s="11">
        <v>0</v>
      </c>
      <c r="P44" s="11" t="s">
        <v>2624</v>
      </c>
    </row>
    <row r="45" spans="1:16" x14ac:dyDescent="0.2">
      <c r="A45" s="52">
        <v>43556</v>
      </c>
      <c r="B45" s="11" t="s">
        <v>29</v>
      </c>
      <c r="C45" s="11" t="s">
        <v>2652</v>
      </c>
      <c r="D45" s="11" t="s">
        <v>2661</v>
      </c>
      <c r="E45" s="11" t="s">
        <v>2621</v>
      </c>
      <c r="F45" s="11" t="s">
        <v>2634</v>
      </c>
      <c r="G45" s="11">
        <v>22378.9</v>
      </c>
      <c r="H45" s="11" t="s">
        <v>2623</v>
      </c>
      <c r="I45" s="11" t="s">
        <v>1411</v>
      </c>
      <c r="J45" s="11">
        <v>28</v>
      </c>
      <c r="K45" s="11">
        <v>17483.52</v>
      </c>
      <c r="L45" s="11">
        <v>0</v>
      </c>
      <c r="M45" s="11">
        <v>2447.69</v>
      </c>
      <c r="N45" s="11">
        <v>2447.69</v>
      </c>
      <c r="O45" s="11">
        <v>0</v>
      </c>
      <c r="P45" s="11" t="s">
        <v>2624</v>
      </c>
    </row>
    <row r="46" spans="1:16" x14ac:dyDescent="0.2">
      <c r="A46" s="52">
        <v>43556</v>
      </c>
      <c r="B46" s="11" t="s">
        <v>29</v>
      </c>
      <c r="C46" s="11" t="s">
        <v>2652</v>
      </c>
      <c r="D46" s="11" t="s">
        <v>2662</v>
      </c>
      <c r="E46" s="11" t="s">
        <v>2621</v>
      </c>
      <c r="F46" s="11" t="s">
        <v>2630</v>
      </c>
      <c r="G46" s="11">
        <v>22378.9</v>
      </c>
      <c r="H46" s="11" t="s">
        <v>2623</v>
      </c>
      <c r="I46" s="11" t="s">
        <v>1411</v>
      </c>
      <c r="J46" s="11">
        <v>28</v>
      </c>
      <c r="K46" s="11">
        <v>17483.52</v>
      </c>
      <c r="L46" s="11">
        <v>0</v>
      </c>
      <c r="M46" s="11">
        <v>2447.69</v>
      </c>
      <c r="N46" s="11">
        <v>2447.69</v>
      </c>
      <c r="O46" s="11">
        <v>0</v>
      </c>
      <c r="P46" s="11" t="s">
        <v>2624</v>
      </c>
    </row>
    <row r="47" spans="1:16" x14ac:dyDescent="0.2">
      <c r="A47" s="52">
        <v>43556</v>
      </c>
      <c r="B47" s="11" t="s">
        <v>29</v>
      </c>
      <c r="C47" s="11" t="s">
        <v>2652</v>
      </c>
      <c r="D47" s="11" t="s">
        <v>2663</v>
      </c>
      <c r="E47" s="11" t="s">
        <v>2621</v>
      </c>
      <c r="F47" s="11" t="s">
        <v>2650</v>
      </c>
      <c r="G47" s="11">
        <v>22378.9</v>
      </c>
      <c r="H47" s="11" t="s">
        <v>2623</v>
      </c>
      <c r="I47" s="11" t="s">
        <v>1411</v>
      </c>
      <c r="J47" s="11">
        <v>28</v>
      </c>
      <c r="K47" s="11">
        <v>17483.52</v>
      </c>
      <c r="L47" s="11">
        <v>0</v>
      </c>
      <c r="M47" s="11">
        <v>2447.69</v>
      </c>
      <c r="N47" s="11">
        <v>2447.69</v>
      </c>
      <c r="O47" s="11">
        <v>0</v>
      </c>
      <c r="P47" s="11" t="s">
        <v>2624</v>
      </c>
    </row>
    <row r="48" spans="1:16" x14ac:dyDescent="0.2">
      <c r="A48" s="52">
        <v>43556</v>
      </c>
      <c r="B48" s="11" t="s">
        <v>29</v>
      </c>
      <c r="C48" s="11" t="s">
        <v>2652</v>
      </c>
      <c r="D48" s="11" t="s">
        <v>2664</v>
      </c>
      <c r="E48" s="11" t="s">
        <v>2621</v>
      </c>
      <c r="F48" s="11" t="s">
        <v>2650</v>
      </c>
      <c r="G48" s="11">
        <v>22378.9</v>
      </c>
      <c r="H48" s="11" t="s">
        <v>2623</v>
      </c>
      <c r="I48" s="11" t="s">
        <v>1411</v>
      </c>
      <c r="J48" s="11">
        <v>28</v>
      </c>
      <c r="K48" s="11">
        <v>17483.52</v>
      </c>
      <c r="L48" s="11">
        <v>0</v>
      </c>
      <c r="M48" s="11">
        <v>2447.69</v>
      </c>
      <c r="N48" s="11">
        <v>2447.69</v>
      </c>
      <c r="O48" s="11">
        <v>0</v>
      </c>
      <c r="P48" s="11" t="s">
        <v>2624</v>
      </c>
    </row>
    <row r="49" spans="1:16" x14ac:dyDescent="0.2">
      <c r="A49" s="52">
        <v>43556</v>
      </c>
      <c r="B49" s="11" t="s">
        <v>29</v>
      </c>
      <c r="C49" s="11" t="s">
        <v>2652</v>
      </c>
      <c r="D49" s="11" t="s">
        <v>2665</v>
      </c>
      <c r="E49" s="11" t="s">
        <v>2621</v>
      </c>
      <c r="F49" s="11" t="s">
        <v>2635</v>
      </c>
      <c r="G49" s="11">
        <v>22378.9</v>
      </c>
      <c r="H49" s="11" t="s">
        <v>2623</v>
      </c>
      <c r="I49" s="11" t="s">
        <v>1411</v>
      </c>
      <c r="J49" s="11">
        <v>28</v>
      </c>
      <c r="K49" s="11">
        <v>17483.52</v>
      </c>
      <c r="L49" s="11">
        <v>0</v>
      </c>
      <c r="M49" s="11">
        <v>2447.69</v>
      </c>
      <c r="N49" s="11">
        <v>2447.69</v>
      </c>
      <c r="O49" s="11">
        <v>0</v>
      </c>
      <c r="P49" s="11" t="s">
        <v>2624</v>
      </c>
    </row>
    <row r="50" spans="1:16" x14ac:dyDescent="0.2">
      <c r="A50" s="52">
        <v>43556</v>
      </c>
      <c r="B50" s="11" t="s">
        <v>29</v>
      </c>
      <c r="C50" s="11" t="s">
        <v>2652</v>
      </c>
      <c r="D50" s="11" t="s">
        <v>2666</v>
      </c>
      <c r="E50" s="11" t="s">
        <v>2621</v>
      </c>
      <c r="F50" s="11" t="s">
        <v>2635</v>
      </c>
      <c r="G50" s="11">
        <v>22378.9</v>
      </c>
      <c r="H50" s="11" t="s">
        <v>2623</v>
      </c>
      <c r="I50" s="11" t="s">
        <v>1411</v>
      </c>
      <c r="J50" s="11">
        <v>28</v>
      </c>
      <c r="K50" s="11">
        <v>17483.52</v>
      </c>
      <c r="L50" s="11">
        <v>0</v>
      </c>
      <c r="M50" s="11">
        <v>2447.69</v>
      </c>
      <c r="N50" s="11">
        <v>2447.69</v>
      </c>
      <c r="O50" s="11">
        <v>0</v>
      </c>
      <c r="P50" s="11" t="s">
        <v>2624</v>
      </c>
    </row>
    <row r="51" spans="1:16" x14ac:dyDescent="0.2">
      <c r="A51" s="52">
        <v>43556</v>
      </c>
      <c r="B51" s="11" t="s">
        <v>29</v>
      </c>
      <c r="C51" s="11" t="s">
        <v>2652</v>
      </c>
      <c r="D51" s="11" t="s">
        <v>2667</v>
      </c>
      <c r="E51" s="11" t="s">
        <v>2621</v>
      </c>
      <c r="F51" s="11" t="s">
        <v>2668</v>
      </c>
      <c r="G51" s="11">
        <v>22378.9</v>
      </c>
      <c r="H51" s="11" t="s">
        <v>2623</v>
      </c>
      <c r="I51" s="11" t="s">
        <v>1411</v>
      </c>
      <c r="J51" s="11">
        <v>28</v>
      </c>
      <c r="K51" s="11">
        <v>17483.52</v>
      </c>
      <c r="L51" s="11">
        <v>0</v>
      </c>
      <c r="M51" s="11">
        <v>2447.69</v>
      </c>
      <c r="N51" s="11">
        <v>2447.69</v>
      </c>
      <c r="O51" s="11">
        <v>0</v>
      </c>
      <c r="P51" s="11" t="s">
        <v>2624</v>
      </c>
    </row>
    <row r="52" spans="1:16" x14ac:dyDescent="0.2">
      <c r="A52" s="52">
        <v>43556</v>
      </c>
      <c r="B52" s="11" t="s">
        <v>29</v>
      </c>
      <c r="C52" s="11" t="s">
        <v>2652</v>
      </c>
      <c r="D52" s="11" t="s">
        <v>2669</v>
      </c>
      <c r="E52" s="11" t="s">
        <v>2621</v>
      </c>
      <c r="F52" s="11" t="s">
        <v>2668</v>
      </c>
      <c r="G52" s="11">
        <v>22378.9</v>
      </c>
      <c r="H52" s="11" t="s">
        <v>2623</v>
      </c>
      <c r="I52" s="11" t="s">
        <v>1411</v>
      </c>
      <c r="J52" s="11">
        <v>28</v>
      </c>
      <c r="K52" s="11">
        <v>17483.52</v>
      </c>
      <c r="L52" s="11">
        <v>0</v>
      </c>
      <c r="M52" s="11">
        <v>2447.69</v>
      </c>
      <c r="N52" s="11">
        <v>2447.69</v>
      </c>
      <c r="O52" s="11">
        <v>0</v>
      </c>
      <c r="P52" s="11" t="s">
        <v>2624</v>
      </c>
    </row>
    <row r="53" spans="1:16" x14ac:dyDescent="0.2">
      <c r="A53" s="52">
        <v>43556</v>
      </c>
      <c r="B53" s="11" t="s">
        <v>29</v>
      </c>
      <c r="C53" s="11" t="s">
        <v>2652</v>
      </c>
      <c r="D53" s="11" t="s">
        <v>2670</v>
      </c>
      <c r="E53" s="11" t="s">
        <v>2621</v>
      </c>
      <c r="F53" s="11" t="s">
        <v>2628</v>
      </c>
      <c r="G53" s="11">
        <v>22378.9</v>
      </c>
      <c r="H53" s="11" t="s">
        <v>2623</v>
      </c>
      <c r="I53" s="11" t="s">
        <v>1411</v>
      </c>
      <c r="J53" s="11">
        <v>28</v>
      </c>
      <c r="K53" s="11">
        <v>17483.52</v>
      </c>
      <c r="L53" s="11">
        <v>0</v>
      </c>
      <c r="M53" s="11">
        <v>2447.69</v>
      </c>
      <c r="N53" s="11">
        <v>2447.69</v>
      </c>
      <c r="O53" s="11">
        <v>0</v>
      </c>
      <c r="P53" s="11" t="s">
        <v>2624</v>
      </c>
    </row>
    <row r="54" spans="1:16" x14ac:dyDescent="0.2">
      <c r="A54" s="52">
        <v>43556</v>
      </c>
      <c r="B54" s="11" t="s">
        <v>29</v>
      </c>
      <c r="C54" s="11" t="s">
        <v>2652</v>
      </c>
      <c r="D54" s="11" t="s">
        <v>2671</v>
      </c>
      <c r="E54" s="11" t="s">
        <v>2621</v>
      </c>
      <c r="F54" s="11" t="s">
        <v>2628</v>
      </c>
      <c r="G54" s="11">
        <v>22378.9</v>
      </c>
      <c r="H54" s="11" t="s">
        <v>2623</v>
      </c>
      <c r="I54" s="11" t="s">
        <v>1411</v>
      </c>
      <c r="J54" s="11">
        <v>28</v>
      </c>
      <c r="K54" s="11">
        <v>17483.52</v>
      </c>
      <c r="L54" s="11">
        <v>0</v>
      </c>
      <c r="M54" s="11">
        <v>2447.69</v>
      </c>
      <c r="N54" s="11">
        <v>2447.69</v>
      </c>
      <c r="O54" s="11">
        <v>0</v>
      </c>
      <c r="P54" s="11" t="s">
        <v>2624</v>
      </c>
    </row>
    <row r="55" spans="1:16" x14ac:dyDescent="0.2">
      <c r="A55" s="52">
        <v>43556</v>
      </c>
      <c r="B55" s="11" t="s">
        <v>29</v>
      </c>
      <c r="C55" s="11" t="s">
        <v>2652</v>
      </c>
      <c r="D55" s="11" t="s">
        <v>2672</v>
      </c>
      <c r="E55" s="11" t="s">
        <v>2621</v>
      </c>
      <c r="F55" s="11" t="s">
        <v>2673</v>
      </c>
      <c r="G55" s="11">
        <v>22378.9</v>
      </c>
      <c r="H55" s="11" t="s">
        <v>2623</v>
      </c>
      <c r="I55" s="11" t="s">
        <v>1411</v>
      </c>
      <c r="J55" s="11">
        <v>28</v>
      </c>
      <c r="K55" s="11">
        <v>17483.52</v>
      </c>
      <c r="L55" s="11">
        <v>0</v>
      </c>
      <c r="M55" s="11">
        <v>2447.69</v>
      </c>
      <c r="N55" s="11">
        <v>2447.69</v>
      </c>
      <c r="O55" s="11">
        <v>0</v>
      </c>
      <c r="P55" s="11" t="s">
        <v>2624</v>
      </c>
    </row>
    <row r="56" spans="1:16" x14ac:dyDescent="0.2">
      <c r="A56" s="52">
        <v>43556</v>
      </c>
      <c r="B56" s="11" t="s">
        <v>29</v>
      </c>
      <c r="C56" s="11" t="s">
        <v>2652</v>
      </c>
      <c r="D56" s="11" t="s">
        <v>2674</v>
      </c>
      <c r="E56" s="11" t="s">
        <v>2621</v>
      </c>
      <c r="F56" s="11" t="s">
        <v>2673</v>
      </c>
      <c r="G56" s="11">
        <v>22378.9</v>
      </c>
      <c r="H56" s="11" t="s">
        <v>2623</v>
      </c>
      <c r="I56" s="11" t="s">
        <v>1411</v>
      </c>
      <c r="J56" s="11">
        <v>28</v>
      </c>
      <c r="K56" s="11">
        <v>17483.52</v>
      </c>
      <c r="L56" s="11">
        <v>0</v>
      </c>
      <c r="M56" s="11">
        <v>2447.69</v>
      </c>
      <c r="N56" s="11">
        <v>2447.69</v>
      </c>
      <c r="O56" s="11">
        <v>0</v>
      </c>
      <c r="P56" s="11" t="s">
        <v>2624</v>
      </c>
    </row>
    <row r="57" spans="1:16" x14ac:dyDescent="0.2">
      <c r="A57" s="52">
        <v>43556</v>
      </c>
      <c r="B57" s="11" t="s">
        <v>29</v>
      </c>
      <c r="C57" s="11" t="s">
        <v>2652</v>
      </c>
      <c r="D57" s="11" t="s">
        <v>2675</v>
      </c>
      <c r="E57" s="11" t="s">
        <v>2621</v>
      </c>
      <c r="F57" s="11" t="s">
        <v>2673</v>
      </c>
      <c r="G57" s="11">
        <v>18649.080000000002</v>
      </c>
      <c r="H57" s="11" t="s">
        <v>2623</v>
      </c>
      <c r="I57" s="11" t="s">
        <v>1411</v>
      </c>
      <c r="J57" s="11">
        <v>28</v>
      </c>
      <c r="K57" s="11">
        <v>14569.6</v>
      </c>
      <c r="L57" s="11">
        <v>0</v>
      </c>
      <c r="M57" s="11">
        <v>2039.74</v>
      </c>
      <c r="N57" s="11">
        <v>2039.74</v>
      </c>
      <c r="O57" s="11">
        <v>0</v>
      </c>
      <c r="P57" s="11" t="s">
        <v>2624</v>
      </c>
    </row>
    <row r="58" spans="1:16" x14ac:dyDescent="0.2">
      <c r="A58" s="52">
        <v>43556</v>
      </c>
      <c r="B58" s="11" t="s">
        <v>29</v>
      </c>
      <c r="C58" s="11" t="s">
        <v>2652</v>
      </c>
      <c r="D58" s="11" t="s">
        <v>2676</v>
      </c>
      <c r="E58" s="11" t="s">
        <v>2621</v>
      </c>
      <c r="F58" s="11" t="s">
        <v>2645</v>
      </c>
      <c r="G58" s="11">
        <v>22378.9</v>
      </c>
      <c r="H58" s="11" t="s">
        <v>2623</v>
      </c>
      <c r="I58" s="11" t="s">
        <v>1411</v>
      </c>
      <c r="J58" s="11">
        <v>28</v>
      </c>
      <c r="K58" s="11">
        <v>17483.52</v>
      </c>
      <c r="L58" s="11">
        <v>0</v>
      </c>
      <c r="M58" s="11">
        <v>2447.69</v>
      </c>
      <c r="N58" s="11">
        <v>2447.69</v>
      </c>
      <c r="O58" s="11">
        <v>0</v>
      </c>
      <c r="P58" s="11" t="s">
        <v>2624</v>
      </c>
    </row>
    <row r="59" spans="1:16" x14ac:dyDescent="0.2">
      <c r="A59" s="52">
        <v>43556</v>
      </c>
      <c r="B59" s="11" t="s">
        <v>29</v>
      </c>
      <c r="C59" s="11" t="s">
        <v>2652</v>
      </c>
      <c r="D59" s="11" t="s">
        <v>2677</v>
      </c>
      <c r="E59" s="11" t="s">
        <v>2621</v>
      </c>
      <c r="F59" s="11" t="s">
        <v>2678</v>
      </c>
      <c r="G59" s="11">
        <v>22378.9</v>
      </c>
      <c r="H59" s="11" t="s">
        <v>2623</v>
      </c>
      <c r="I59" s="11" t="s">
        <v>1411</v>
      </c>
      <c r="J59" s="11">
        <v>28</v>
      </c>
      <c r="K59" s="11">
        <v>17483.52</v>
      </c>
      <c r="L59" s="11">
        <v>0</v>
      </c>
      <c r="M59" s="11">
        <v>2447.69</v>
      </c>
      <c r="N59" s="11">
        <v>2447.69</v>
      </c>
      <c r="O59" s="11">
        <v>0</v>
      </c>
      <c r="P59" s="11" t="s">
        <v>2624</v>
      </c>
    </row>
    <row r="60" spans="1:16" x14ac:dyDescent="0.2">
      <c r="A60" s="52">
        <v>43556</v>
      </c>
      <c r="B60" s="11" t="s">
        <v>29</v>
      </c>
      <c r="C60" s="11" t="s">
        <v>2652</v>
      </c>
      <c r="D60" s="11" t="s">
        <v>2679</v>
      </c>
      <c r="E60" s="11" t="s">
        <v>2621</v>
      </c>
      <c r="F60" s="11" t="s">
        <v>2678</v>
      </c>
      <c r="G60" s="11">
        <v>22378.9</v>
      </c>
      <c r="H60" s="11" t="s">
        <v>2623</v>
      </c>
      <c r="I60" s="11" t="s">
        <v>1411</v>
      </c>
      <c r="J60" s="11">
        <v>28</v>
      </c>
      <c r="K60" s="11">
        <v>17483.52</v>
      </c>
      <c r="L60" s="11">
        <v>0</v>
      </c>
      <c r="M60" s="11">
        <v>2447.69</v>
      </c>
      <c r="N60" s="11">
        <v>2447.69</v>
      </c>
      <c r="O60" s="11">
        <v>0</v>
      </c>
      <c r="P60" s="11" t="s">
        <v>2624</v>
      </c>
    </row>
    <row r="61" spans="1:16" x14ac:dyDescent="0.2">
      <c r="A61" s="52">
        <v>43556</v>
      </c>
      <c r="B61" s="11" t="s">
        <v>29</v>
      </c>
      <c r="C61" s="11" t="s">
        <v>2652</v>
      </c>
      <c r="D61" s="11" t="s">
        <v>2680</v>
      </c>
      <c r="E61" s="11" t="s">
        <v>2621</v>
      </c>
      <c r="F61" s="11" t="s">
        <v>2678</v>
      </c>
      <c r="G61" s="11">
        <v>22378.9</v>
      </c>
      <c r="H61" s="11" t="s">
        <v>2623</v>
      </c>
      <c r="I61" s="11" t="s">
        <v>1411</v>
      </c>
      <c r="J61" s="11">
        <v>28</v>
      </c>
      <c r="K61" s="11">
        <v>17483.52</v>
      </c>
      <c r="L61" s="11">
        <v>0</v>
      </c>
      <c r="M61" s="11">
        <v>2447.69</v>
      </c>
      <c r="N61" s="11">
        <v>2447.69</v>
      </c>
      <c r="O61" s="11">
        <v>0</v>
      </c>
      <c r="P61" s="11" t="s">
        <v>2624</v>
      </c>
    </row>
    <row r="62" spans="1:16" x14ac:dyDescent="0.2">
      <c r="A62" s="52">
        <v>43556</v>
      </c>
      <c r="B62" s="11" t="s">
        <v>29</v>
      </c>
      <c r="C62" s="11" t="s">
        <v>2652</v>
      </c>
      <c r="D62" s="11" t="s">
        <v>2681</v>
      </c>
      <c r="E62" s="11" t="s">
        <v>2621</v>
      </c>
      <c r="F62" s="11" t="s">
        <v>2682</v>
      </c>
      <c r="G62" s="11">
        <v>22378.9</v>
      </c>
      <c r="H62" s="11" t="s">
        <v>2623</v>
      </c>
      <c r="I62" s="11" t="s">
        <v>1411</v>
      </c>
      <c r="J62" s="11">
        <v>28</v>
      </c>
      <c r="K62" s="11">
        <v>17483.52</v>
      </c>
      <c r="L62" s="11">
        <v>0</v>
      </c>
      <c r="M62" s="11">
        <v>2447.69</v>
      </c>
      <c r="N62" s="11">
        <v>2447.69</v>
      </c>
      <c r="O62" s="11">
        <v>0</v>
      </c>
      <c r="P62" s="11" t="s">
        <v>2624</v>
      </c>
    </row>
    <row r="63" spans="1:16" x14ac:dyDescent="0.2">
      <c r="A63" s="52">
        <v>43556</v>
      </c>
      <c r="B63" s="11" t="s">
        <v>29</v>
      </c>
      <c r="C63" s="11" t="s">
        <v>2652</v>
      </c>
      <c r="D63" s="11" t="s">
        <v>2683</v>
      </c>
      <c r="E63" s="11" t="s">
        <v>2621</v>
      </c>
      <c r="F63" s="11" t="s">
        <v>2684</v>
      </c>
      <c r="G63" s="11">
        <v>22378.9</v>
      </c>
      <c r="H63" s="11" t="s">
        <v>2623</v>
      </c>
      <c r="I63" s="11" t="s">
        <v>1411</v>
      </c>
      <c r="J63" s="11">
        <v>28</v>
      </c>
      <c r="K63" s="11">
        <v>17483.52</v>
      </c>
      <c r="L63" s="11">
        <v>0</v>
      </c>
      <c r="M63" s="11">
        <v>2447.69</v>
      </c>
      <c r="N63" s="11">
        <v>2447.69</v>
      </c>
      <c r="O63" s="11">
        <v>0</v>
      </c>
      <c r="P63" s="11" t="s">
        <v>2624</v>
      </c>
    </row>
    <row r="64" spans="1:16" x14ac:dyDescent="0.2">
      <c r="A64" s="52">
        <v>43556</v>
      </c>
      <c r="B64" s="11" t="s">
        <v>29</v>
      </c>
      <c r="C64" s="11" t="s">
        <v>2652</v>
      </c>
      <c r="D64" s="11" t="s">
        <v>2685</v>
      </c>
      <c r="E64" s="11" t="s">
        <v>2621</v>
      </c>
      <c r="F64" s="11" t="s">
        <v>2684</v>
      </c>
      <c r="G64" s="11">
        <v>22378.9</v>
      </c>
      <c r="H64" s="11" t="s">
        <v>2623</v>
      </c>
      <c r="I64" s="11" t="s">
        <v>1411</v>
      </c>
      <c r="J64" s="11">
        <v>28</v>
      </c>
      <c r="K64" s="11">
        <v>17483.52</v>
      </c>
      <c r="L64" s="11">
        <v>0</v>
      </c>
      <c r="M64" s="11">
        <v>2447.69</v>
      </c>
      <c r="N64" s="11">
        <v>2447.69</v>
      </c>
      <c r="O64" s="11">
        <v>0</v>
      </c>
      <c r="P64" s="11" t="s">
        <v>2624</v>
      </c>
    </row>
    <row r="65" spans="1:16" x14ac:dyDescent="0.2">
      <c r="A65" s="52">
        <v>43556</v>
      </c>
      <c r="B65" s="11" t="s">
        <v>29</v>
      </c>
      <c r="C65" s="11" t="s">
        <v>2652</v>
      </c>
      <c r="D65" s="11" t="s">
        <v>2686</v>
      </c>
      <c r="E65" s="11" t="s">
        <v>2621</v>
      </c>
      <c r="F65" s="11" t="s">
        <v>2684</v>
      </c>
      <c r="G65" s="11">
        <v>22378.9</v>
      </c>
      <c r="H65" s="11" t="s">
        <v>2623</v>
      </c>
      <c r="I65" s="11" t="s">
        <v>1411</v>
      </c>
      <c r="J65" s="11">
        <v>28</v>
      </c>
      <c r="K65" s="11">
        <v>17483.52</v>
      </c>
      <c r="L65" s="11">
        <v>0</v>
      </c>
      <c r="M65" s="11">
        <v>2447.69</v>
      </c>
      <c r="N65" s="11">
        <v>2447.69</v>
      </c>
      <c r="O65" s="11">
        <v>0</v>
      </c>
      <c r="P65" s="11" t="s">
        <v>2624</v>
      </c>
    </row>
    <row r="66" spans="1:16" x14ac:dyDescent="0.2">
      <c r="A66" s="52">
        <v>43556</v>
      </c>
      <c r="B66" s="11" t="s">
        <v>29</v>
      </c>
      <c r="C66" s="11" t="s">
        <v>2652</v>
      </c>
      <c r="D66" s="11" t="s">
        <v>2687</v>
      </c>
      <c r="E66" s="11" t="s">
        <v>2621</v>
      </c>
      <c r="F66" s="11" t="s">
        <v>2647</v>
      </c>
      <c r="G66" s="11">
        <v>22378.9</v>
      </c>
      <c r="H66" s="11" t="s">
        <v>2623</v>
      </c>
      <c r="I66" s="11" t="s">
        <v>1411</v>
      </c>
      <c r="J66" s="11">
        <v>28</v>
      </c>
      <c r="K66" s="11">
        <v>17483.52</v>
      </c>
      <c r="L66" s="11">
        <v>0</v>
      </c>
      <c r="M66" s="11">
        <v>2447.69</v>
      </c>
      <c r="N66" s="11">
        <v>2447.69</v>
      </c>
      <c r="O66" s="11">
        <v>0</v>
      </c>
      <c r="P66" s="11" t="s">
        <v>2624</v>
      </c>
    </row>
    <row r="67" spans="1:16" x14ac:dyDescent="0.2">
      <c r="A67" s="52">
        <v>43556</v>
      </c>
      <c r="B67" s="11" t="s">
        <v>29</v>
      </c>
      <c r="C67" s="11" t="s">
        <v>2652</v>
      </c>
      <c r="D67" s="11" t="s">
        <v>2688</v>
      </c>
      <c r="E67" s="11" t="s">
        <v>2621</v>
      </c>
      <c r="F67" s="11" t="s">
        <v>2647</v>
      </c>
      <c r="G67" s="11">
        <v>22378.9</v>
      </c>
      <c r="H67" s="11" t="s">
        <v>2623</v>
      </c>
      <c r="I67" s="11" t="s">
        <v>1411</v>
      </c>
      <c r="J67" s="11">
        <v>28</v>
      </c>
      <c r="K67" s="11">
        <v>17483.52</v>
      </c>
      <c r="L67" s="11">
        <v>0</v>
      </c>
      <c r="M67" s="11">
        <v>2447.69</v>
      </c>
      <c r="N67" s="11">
        <v>2447.69</v>
      </c>
      <c r="O67" s="11">
        <v>0</v>
      </c>
      <c r="P67" s="11" t="s">
        <v>2624</v>
      </c>
    </row>
    <row r="68" spans="1:16" x14ac:dyDescent="0.2">
      <c r="A68" s="52">
        <v>43556</v>
      </c>
      <c r="B68" s="11" t="s">
        <v>29</v>
      </c>
      <c r="C68" s="11" t="s">
        <v>2652</v>
      </c>
      <c r="D68" s="11" t="s">
        <v>2689</v>
      </c>
      <c r="E68" s="11" t="s">
        <v>2621</v>
      </c>
      <c r="F68" s="11" t="s">
        <v>2690</v>
      </c>
      <c r="G68" s="11">
        <v>22378.9</v>
      </c>
      <c r="H68" s="11" t="s">
        <v>2623</v>
      </c>
      <c r="I68" s="11" t="s">
        <v>1411</v>
      </c>
      <c r="J68" s="11">
        <v>28</v>
      </c>
      <c r="K68" s="11">
        <v>17483.52</v>
      </c>
      <c r="L68" s="11">
        <v>0</v>
      </c>
      <c r="M68" s="11">
        <v>2447.69</v>
      </c>
      <c r="N68" s="11">
        <v>2447.69</v>
      </c>
      <c r="O68" s="11">
        <v>0</v>
      </c>
      <c r="P68" s="11" t="s">
        <v>2624</v>
      </c>
    </row>
    <row r="69" spans="1:16" x14ac:dyDescent="0.2">
      <c r="A69" s="52">
        <v>43556</v>
      </c>
      <c r="B69" s="11" t="s">
        <v>29</v>
      </c>
      <c r="C69" s="11" t="s">
        <v>2652</v>
      </c>
      <c r="D69" s="11" t="s">
        <v>2691</v>
      </c>
      <c r="E69" s="11" t="s">
        <v>2621</v>
      </c>
      <c r="F69" s="11" t="s">
        <v>2690</v>
      </c>
      <c r="G69" s="11">
        <v>22378.9</v>
      </c>
      <c r="H69" s="11" t="s">
        <v>2623</v>
      </c>
      <c r="I69" s="11" t="s">
        <v>1411</v>
      </c>
      <c r="J69" s="11">
        <v>28</v>
      </c>
      <c r="K69" s="11">
        <v>17483.52</v>
      </c>
      <c r="L69" s="11">
        <v>0</v>
      </c>
      <c r="M69" s="11">
        <v>2447.69</v>
      </c>
      <c r="N69" s="11">
        <v>2447.69</v>
      </c>
      <c r="O69" s="11">
        <v>0</v>
      </c>
      <c r="P69" s="11" t="s">
        <v>2624</v>
      </c>
    </row>
    <row r="70" spans="1:16" x14ac:dyDescent="0.2">
      <c r="A70" s="52">
        <v>43556</v>
      </c>
      <c r="B70" s="11" t="s">
        <v>29</v>
      </c>
      <c r="C70" s="11" t="s">
        <v>2652</v>
      </c>
      <c r="D70" s="11" t="s">
        <v>2692</v>
      </c>
      <c r="E70" s="11" t="s">
        <v>2621</v>
      </c>
      <c r="F70" s="11" t="s">
        <v>2693</v>
      </c>
      <c r="G70" s="11">
        <v>22378.9</v>
      </c>
      <c r="H70" s="11" t="s">
        <v>2623</v>
      </c>
      <c r="I70" s="11" t="s">
        <v>1411</v>
      </c>
      <c r="J70" s="11">
        <v>28</v>
      </c>
      <c r="K70" s="11">
        <v>17483.52</v>
      </c>
      <c r="L70" s="11">
        <v>0</v>
      </c>
      <c r="M70" s="11">
        <v>2447.69</v>
      </c>
      <c r="N70" s="11">
        <v>2447.69</v>
      </c>
      <c r="O70" s="11">
        <v>0</v>
      </c>
      <c r="P70" s="11" t="s">
        <v>2624</v>
      </c>
    </row>
    <row r="71" spans="1:16" x14ac:dyDescent="0.2">
      <c r="A71" s="52">
        <v>43556</v>
      </c>
      <c r="B71" s="11" t="s">
        <v>29</v>
      </c>
      <c r="C71" s="11" t="s">
        <v>2652</v>
      </c>
      <c r="D71" s="11" t="s">
        <v>2694</v>
      </c>
      <c r="E71" s="11" t="s">
        <v>2621</v>
      </c>
      <c r="F71" s="11" t="s">
        <v>2693</v>
      </c>
      <c r="G71" s="11">
        <v>22378.9</v>
      </c>
      <c r="H71" s="11" t="s">
        <v>2623</v>
      </c>
      <c r="I71" s="11" t="s">
        <v>1411</v>
      </c>
      <c r="J71" s="11">
        <v>28</v>
      </c>
      <c r="K71" s="11">
        <v>17483.52</v>
      </c>
      <c r="L71" s="11">
        <v>0</v>
      </c>
      <c r="M71" s="11">
        <v>2447.69</v>
      </c>
      <c r="N71" s="11">
        <v>2447.69</v>
      </c>
      <c r="O71" s="11">
        <v>0</v>
      </c>
      <c r="P71" s="11" t="s">
        <v>2624</v>
      </c>
    </row>
    <row r="72" spans="1:16" x14ac:dyDescent="0.2">
      <c r="A72" s="52">
        <v>43556</v>
      </c>
      <c r="B72" s="11" t="s">
        <v>29</v>
      </c>
      <c r="C72" s="11" t="s">
        <v>2652</v>
      </c>
      <c r="D72" s="11" t="s">
        <v>2695</v>
      </c>
      <c r="E72" s="11" t="s">
        <v>2621</v>
      </c>
      <c r="F72" s="11" t="s">
        <v>2638</v>
      </c>
      <c r="G72" s="11">
        <v>22378.9</v>
      </c>
      <c r="H72" s="11" t="s">
        <v>2623</v>
      </c>
      <c r="I72" s="11" t="s">
        <v>1411</v>
      </c>
      <c r="J72" s="11">
        <v>28</v>
      </c>
      <c r="K72" s="11">
        <v>17483.52</v>
      </c>
      <c r="L72" s="11">
        <v>0</v>
      </c>
      <c r="M72" s="11">
        <v>2447.69</v>
      </c>
      <c r="N72" s="11">
        <v>2447.69</v>
      </c>
      <c r="O72" s="11">
        <v>0</v>
      </c>
      <c r="P72" s="11" t="s">
        <v>2624</v>
      </c>
    </row>
    <row r="73" spans="1:16" x14ac:dyDescent="0.2">
      <c r="A73" s="52">
        <v>43556</v>
      </c>
      <c r="B73" s="11" t="s">
        <v>29</v>
      </c>
      <c r="C73" s="11" t="s">
        <v>2652</v>
      </c>
      <c r="D73" s="11" t="s">
        <v>2696</v>
      </c>
      <c r="E73" s="11" t="s">
        <v>2621</v>
      </c>
      <c r="F73" s="11" t="s">
        <v>2638</v>
      </c>
      <c r="G73" s="11">
        <v>22378.9</v>
      </c>
      <c r="H73" s="11" t="s">
        <v>2623</v>
      </c>
      <c r="I73" s="11" t="s">
        <v>1411</v>
      </c>
      <c r="J73" s="11">
        <v>28</v>
      </c>
      <c r="K73" s="11">
        <v>17483.52</v>
      </c>
      <c r="L73" s="11">
        <v>0</v>
      </c>
      <c r="M73" s="11">
        <v>2447.69</v>
      </c>
      <c r="N73" s="11">
        <v>2447.69</v>
      </c>
      <c r="O73" s="11">
        <v>0</v>
      </c>
      <c r="P73" s="11" t="s">
        <v>2624</v>
      </c>
    </row>
    <row r="74" spans="1:16" x14ac:dyDescent="0.2">
      <c r="A74" s="52">
        <v>43556</v>
      </c>
      <c r="B74" s="11" t="s">
        <v>29</v>
      </c>
      <c r="C74" s="11" t="s">
        <v>2652</v>
      </c>
      <c r="D74" s="11" t="s">
        <v>2697</v>
      </c>
      <c r="E74" s="11" t="s">
        <v>2621</v>
      </c>
      <c r="F74" s="11" t="s">
        <v>2638</v>
      </c>
      <c r="G74" s="11">
        <v>16784.18</v>
      </c>
      <c r="H74" s="11" t="s">
        <v>2623</v>
      </c>
      <c r="I74" s="11" t="s">
        <v>1411</v>
      </c>
      <c r="J74" s="11">
        <v>28</v>
      </c>
      <c r="K74" s="11">
        <v>13112.64</v>
      </c>
      <c r="L74" s="11">
        <v>0</v>
      </c>
      <c r="M74" s="11">
        <v>1835.77</v>
      </c>
      <c r="N74" s="11">
        <v>1835.77</v>
      </c>
      <c r="O74" s="11">
        <v>0</v>
      </c>
      <c r="P74" s="11" t="s">
        <v>2624</v>
      </c>
    </row>
    <row r="75" spans="1:16" x14ac:dyDescent="0.2">
      <c r="A75" s="52">
        <v>43556</v>
      </c>
      <c r="B75" s="11" t="s">
        <v>74</v>
      </c>
      <c r="C75" s="11" t="s">
        <v>2698</v>
      </c>
      <c r="D75" s="11" t="s">
        <v>2699</v>
      </c>
      <c r="E75" s="11" t="s">
        <v>2621</v>
      </c>
      <c r="F75" s="11" t="s">
        <v>2634</v>
      </c>
      <c r="G75" s="11">
        <v>56379.46</v>
      </c>
      <c r="H75" s="11" t="s">
        <v>2623</v>
      </c>
      <c r="I75" s="11" t="s">
        <v>1411</v>
      </c>
      <c r="J75" s="11">
        <v>18</v>
      </c>
      <c r="K75" s="11">
        <v>47779.199999999997</v>
      </c>
      <c r="L75" s="11">
        <v>0</v>
      </c>
      <c r="M75" s="11">
        <v>4300.13</v>
      </c>
      <c r="N75" s="11">
        <v>4300.13</v>
      </c>
      <c r="O75" s="11">
        <v>0</v>
      </c>
      <c r="P75" s="11" t="s">
        <v>2624</v>
      </c>
    </row>
    <row r="76" spans="1:16" x14ac:dyDescent="0.2">
      <c r="A76" s="52">
        <v>43556</v>
      </c>
      <c r="B76" s="11" t="s">
        <v>74</v>
      </c>
      <c r="C76" s="11" t="s">
        <v>2698</v>
      </c>
      <c r="D76" s="11" t="s">
        <v>2700</v>
      </c>
      <c r="E76" s="11" t="s">
        <v>2621</v>
      </c>
      <c r="F76" s="11" t="s">
        <v>2634</v>
      </c>
      <c r="G76" s="11">
        <v>56379.46</v>
      </c>
      <c r="H76" s="11" t="s">
        <v>2623</v>
      </c>
      <c r="I76" s="11" t="s">
        <v>1411</v>
      </c>
      <c r="J76" s="11">
        <v>18</v>
      </c>
      <c r="K76" s="11">
        <v>47779.199999999997</v>
      </c>
      <c r="L76" s="11">
        <v>0</v>
      </c>
      <c r="M76" s="11">
        <v>4300.13</v>
      </c>
      <c r="N76" s="11">
        <v>4300.13</v>
      </c>
      <c r="O76" s="11">
        <v>0</v>
      </c>
      <c r="P76" s="11" t="s">
        <v>2624</v>
      </c>
    </row>
    <row r="77" spans="1:16" x14ac:dyDescent="0.2">
      <c r="A77" s="52">
        <v>43556</v>
      </c>
      <c r="B77" s="11" t="s">
        <v>103</v>
      </c>
      <c r="C77" s="11" t="s">
        <v>1170</v>
      </c>
      <c r="D77" s="11" t="s">
        <v>222</v>
      </c>
      <c r="E77" s="11" t="s">
        <v>2621</v>
      </c>
      <c r="F77" s="11" t="s">
        <v>2650</v>
      </c>
      <c r="G77" s="11">
        <v>2599.5100000000002</v>
      </c>
      <c r="H77" s="11" t="s">
        <v>2623</v>
      </c>
      <c r="I77" s="11" t="s">
        <v>1411</v>
      </c>
      <c r="J77" s="11">
        <v>28</v>
      </c>
      <c r="K77" s="11">
        <v>2030.87</v>
      </c>
      <c r="L77" s="11">
        <v>568.64</v>
      </c>
      <c r="M77" s="11">
        <v>0</v>
      </c>
      <c r="N77" s="11">
        <v>0</v>
      </c>
      <c r="O77" s="11">
        <v>0</v>
      </c>
      <c r="P77" s="11" t="s">
        <v>2624</v>
      </c>
    </row>
    <row r="78" spans="1:16" x14ac:dyDescent="0.2">
      <c r="A78" s="52">
        <v>43556</v>
      </c>
      <c r="B78" s="11" t="s">
        <v>103</v>
      </c>
      <c r="C78" s="11" t="s">
        <v>1170</v>
      </c>
      <c r="D78" s="11" t="s">
        <v>221</v>
      </c>
      <c r="E78" s="11" t="s">
        <v>2621</v>
      </c>
      <c r="F78" s="11" t="s">
        <v>2647</v>
      </c>
      <c r="G78" s="11">
        <v>2599.5100000000002</v>
      </c>
      <c r="H78" s="11" t="s">
        <v>2623</v>
      </c>
      <c r="I78" s="11" t="s">
        <v>1411</v>
      </c>
      <c r="J78" s="11">
        <v>28</v>
      </c>
      <c r="K78" s="11">
        <v>2030.87</v>
      </c>
      <c r="L78" s="11">
        <v>568.64</v>
      </c>
      <c r="M78" s="11">
        <v>0</v>
      </c>
      <c r="N78" s="11">
        <v>0</v>
      </c>
      <c r="O78" s="11">
        <v>0</v>
      </c>
      <c r="P78" s="11" t="s">
        <v>2624</v>
      </c>
    </row>
    <row r="79" spans="1:16" x14ac:dyDescent="0.2">
      <c r="A79" s="52">
        <v>43556</v>
      </c>
      <c r="B79" s="11" t="s">
        <v>103</v>
      </c>
      <c r="C79" s="11" t="s">
        <v>1170</v>
      </c>
      <c r="D79" s="11" t="s">
        <v>223</v>
      </c>
      <c r="E79" s="11" t="s">
        <v>2621</v>
      </c>
      <c r="F79" s="11" t="s">
        <v>2647</v>
      </c>
      <c r="G79" s="11">
        <v>2599.5100000000002</v>
      </c>
      <c r="H79" s="11" t="s">
        <v>2623</v>
      </c>
      <c r="I79" s="11" t="s">
        <v>1411</v>
      </c>
      <c r="J79" s="11">
        <v>28</v>
      </c>
      <c r="K79" s="11">
        <v>2030.87</v>
      </c>
      <c r="L79" s="11">
        <v>568.64</v>
      </c>
      <c r="M79" s="11">
        <v>0</v>
      </c>
      <c r="N79" s="11">
        <v>0</v>
      </c>
      <c r="O79" s="11">
        <v>0</v>
      </c>
      <c r="P79" s="11" t="s">
        <v>2624</v>
      </c>
    </row>
    <row r="80" spans="1:16" x14ac:dyDescent="0.2">
      <c r="A80" s="52">
        <v>43556</v>
      </c>
      <c r="B80" s="11" t="s">
        <v>547</v>
      </c>
      <c r="C80" s="11" t="s">
        <v>2701</v>
      </c>
      <c r="D80" s="11" t="s">
        <v>548</v>
      </c>
      <c r="E80" s="11" t="s">
        <v>2621</v>
      </c>
      <c r="F80" s="11" t="s">
        <v>2645</v>
      </c>
      <c r="G80" s="11">
        <v>1505</v>
      </c>
      <c r="H80" s="11" t="s">
        <v>2623</v>
      </c>
      <c r="I80" s="11" t="s">
        <v>1411</v>
      </c>
      <c r="J80" s="11">
        <v>18</v>
      </c>
      <c r="K80" s="11">
        <v>1275.5</v>
      </c>
      <c r="L80" s="11">
        <v>0</v>
      </c>
      <c r="M80" s="11">
        <v>114.8</v>
      </c>
      <c r="N80" s="11">
        <v>114.8</v>
      </c>
      <c r="O80" s="11">
        <v>0</v>
      </c>
      <c r="P80" s="11" t="s">
        <v>2624</v>
      </c>
    </row>
    <row r="81" spans="1:16" x14ac:dyDescent="0.2">
      <c r="A81" s="52">
        <v>43556</v>
      </c>
      <c r="B81" s="11" t="s">
        <v>488</v>
      </c>
      <c r="C81" s="11" t="s">
        <v>2702</v>
      </c>
      <c r="D81" s="11" t="s">
        <v>2703</v>
      </c>
      <c r="E81" s="11" t="s">
        <v>2621</v>
      </c>
      <c r="F81" s="11" t="s">
        <v>2634</v>
      </c>
      <c r="G81" s="11">
        <v>9440</v>
      </c>
      <c r="H81" s="11" t="s">
        <v>2623</v>
      </c>
      <c r="I81" s="11" t="s">
        <v>1411</v>
      </c>
      <c r="J81" s="11">
        <v>18</v>
      </c>
      <c r="K81" s="11">
        <v>8000</v>
      </c>
      <c r="L81" s="11">
        <v>0</v>
      </c>
      <c r="M81" s="11">
        <v>720</v>
      </c>
      <c r="N81" s="11">
        <v>720</v>
      </c>
      <c r="O81" s="11">
        <v>0</v>
      </c>
      <c r="P81" s="11" t="s">
        <v>2624</v>
      </c>
    </row>
    <row r="82" spans="1:16" x14ac:dyDescent="0.2">
      <c r="A82" s="52">
        <v>43556</v>
      </c>
      <c r="B82" s="11" t="s">
        <v>539</v>
      </c>
      <c r="C82" s="11" t="s">
        <v>2704</v>
      </c>
      <c r="D82" s="11" t="s">
        <v>2705</v>
      </c>
      <c r="E82" s="11" t="s">
        <v>2621</v>
      </c>
      <c r="F82" s="11" t="s">
        <v>2636</v>
      </c>
      <c r="G82" s="11">
        <v>64593</v>
      </c>
      <c r="H82" s="11" t="s">
        <v>2623</v>
      </c>
      <c r="I82" s="11" t="s">
        <v>1411</v>
      </c>
      <c r="J82" s="11">
        <v>18</v>
      </c>
      <c r="K82" s="11">
        <v>54740</v>
      </c>
      <c r="L82" s="11">
        <v>0</v>
      </c>
      <c r="M82" s="11">
        <v>4926.6000000000004</v>
      </c>
      <c r="N82" s="11">
        <v>4926.6000000000004</v>
      </c>
      <c r="O82" s="11">
        <v>0</v>
      </c>
      <c r="P82" s="11" t="s">
        <v>2624</v>
      </c>
    </row>
    <row r="83" spans="1:16" x14ac:dyDescent="0.2">
      <c r="A83" s="52">
        <v>43556</v>
      </c>
      <c r="B83" s="11" t="s">
        <v>539</v>
      </c>
      <c r="C83" s="11" t="s">
        <v>2704</v>
      </c>
      <c r="D83" s="11" t="s">
        <v>2706</v>
      </c>
      <c r="E83" s="11" t="s">
        <v>2621</v>
      </c>
      <c r="F83" s="11" t="s">
        <v>2638</v>
      </c>
      <c r="G83" s="11">
        <v>19627</v>
      </c>
      <c r="H83" s="11" t="s">
        <v>2623</v>
      </c>
      <c r="I83" s="11" t="s">
        <v>1411</v>
      </c>
      <c r="J83" s="11">
        <v>18</v>
      </c>
      <c r="K83" s="11">
        <v>16633</v>
      </c>
      <c r="L83" s="11">
        <v>0</v>
      </c>
      <c r="M83" s="11">
        <v>1496.97</v>
      </c>
      <c r="N83" s="11">
        <v>1496.97</v>
      </c>
      <c r="O83" s="11">
        <v>0</v>
      </c>
      <c r="P83" s="11" t="s">
        <v>2624</v>
      </c>
    </row>
    <row r="84" spans="1:16" x14ac:dyDescent="0.2">
      <c r="A84" s="52">
        <v>43556</v>
      </c>
      <c r="B84" s="11" t="s">
        <v>539</v>
      </c>
      <c r="C84" s="11" t="s">
        <v>2704</v>
      </c>
      <c r="D84" s="11" t="s">
        <v>2707</v>
      </c>
      <c r="E84" s="11" t="s">
        <v>2621</v>
      </c>
      <c r="F84" s="11" t="s">
        <v>2638</v>
      </c>
      <c r="G84" s="11">
        <v>2478</v>
      </c>
      <c r="H84" s="11" t="s">
        <v>2623</v>
      </c>
      <c r="I84" s="11" t="s">
        <v>1411</v>
      </c>
      <c r="J84" s="11">
        <v>18</v>
      </c>
      <c r="K84" s="11">
        <v>2100</v>
      </c>
      <c r="L84" s="11">
        <v>0</v>
      </c>
      <c r="M84" s="11">
        <v>189</v>
      </c>
      <c r="N84" s="11">
        <v>189</v>
      </c>
      <c r="O84" s="11">
        <v>0</v>
      </c>
      <c r="P84" s="11" t="s">
        <v>2624</v>
      </c>
    </row>
    <row r="85" spans="1:16" x14ac:dyDescent="0.2">
      <c r="A85" s="52">
        <v>43556</v>
      </c>
      <c r="B85" s="11" t="s">
        <v>539</v>
      </c>
      <c r="C85" s="11" t="s">
        <v>2704</v>
      </c>
      <c r="D85" s="11" t="s">
        <v>2708</v>
      </c>
      <c r="E85" s="11" t="s">
        <v>2621</v>
      </c>
      <c r="F85" s="11" t="s">
        <v>2638</v>
      </c>
      <c r="G85" s="11">
        <v>16048</v>
      </c>
      <c r="H85" s="11" t="s">
        <v>2623</v>
      </c>
      <c r="I85" s="11" t="s">
        <v>1411</v>
      </c>
      <c r="J85" s="11">
        <v>18</v>
      </c>
      <c r="K85" s="11">
        <v>13600</v>
      </c>
      <c r="L85" s="11">
        <v>0</v>
      </c>
      <c r="M85" s="11">
        <v>1224</v>
      </c>
      <c r="N85" s="11">
        <v>1224</v>
      </c>
      <c r="O85" s="11">
        <v>0</v>
      </c>
      <c r="P85" s="11" t="s">
        <v>2624</v>
      </c>
    </row>
    <row r="86" spans="1:16" x14ac:dyDescent="0.2">
      <c r="A86" s="52">
        <v>43556</v>
      </c>
      <c r="B86" s="11" t="s">
        <v>539</v>
      </c>
      <c r="C86" s="11" t="s">
        <v>2704</v>
      </c>
      <c r="D86" s="11" t="s">
        <v>2709</v>
      </c>
      <c r="E86" s="11" t="s">
        <v>2621</v>
      </c>
      <c r="F86" s="11" t="s">
        <v>2638</v>
      </c>
      <c r="G86" s="11">
        <v>8000</v>
      </c>
      <c r="H86" s="11" t="s">
        <v>2623</v>
      </c>
      <c r="I86" s="11" t="s">
        <v>1411</v>
      </c>
      <c r="J86" s="11">
        <v>18</v>
      </c>
      <c r="K86" s="11">
        <v>6780</v>
      </c>
      <c r="L86" s="11">
        <v>0</v>
      </c>
      <c r="M86" s="11">
        <v>610.20000000000005</v>
      </c>
      <c r="N86" s="11">
        <v>610.20000000000005</v>
      </c>
      <c r="O86" s="11">
        <v>0</v>
      </c>
      <c r="P86" s="11" t="s">
        <v>2624</v>
      </c>
    </row>
    <row r="87" spans="1:16" x14ac:dyDescent="0.2">
      <c r="A87" s="52">
        <v>43556</v>
      </c>
      <c r="B87" s="11" t="s">
        <v>539</v>
      </c>
      <c r="C87" s="11" t="s">
        <v>2704</v>
      </c>
      <c r="D87" s="11" t="s">
        <v>2710</v>
      </c>
      <c r="E87" s="11" t="s">
        <v>2621</v>
      </c>
      <c r="F87" s="11" t="s">
        <v>2638</v>
      </c>
      <c r="G87" s="11">
        <v>3540</v>
      </c>
      <c r="H87" s="11" t="s">
        <v>2623</v>
      </c>
      <c r="I87" s="11" t="s">
        <v>1411</v>
      </c>
      <c r="J87" s="11">
        <v>18</v>
      </c>
      <c r="K87" s="11">
        <v>3000</v>
      </c>
      <c r="L87" s="11">
        <v>0</v>
      </c>
      <c r="M87" s="11">
        <v>270</v>
      </c>
      <c r="N87" s="11">
        <v>270</v>
      </c>
      <c r="O87" s="11">
        <v>0</v>
      </c>
      <c r="P87" s="11" t="s">
        <v>2624</v>
      </c>
    </row>
    <row r="88" spans="1:16" x14ac:dyDescent="0.2">
      <c r="A88" s="52">
        <v>43556</v>
      </c>
      <c r="B88" s="11" t="s">
        <v>256</v>
      </c>
      <c r="C88" s="11" t="s">
        <v>2711</v>
      </c>
      <c r="D88" s="11" t="s">
        <v>2712</v>
      </c>
      <c r="E88" s="11" t="s">
        <v>2621</v>
      </c>
      <c r="F88" s="11" t="s">
        <v>2635</v>
      </c>
      <c r="G88" s="11">
        <v>9508.2800000000007</v>
      </c>
      <c r="H88" s="11" t="s">
        <v>2623</v>
      </c>
      <c r="I88" s="11" t="s">
        <v>1411</v>
      </c>
      <c r="J88" s="11">
        <v>28</v>
      </c>
      <c r="K88" s="11">
        <v>7428.34</v>
      </c>
      <c r="L88" s="11">
        <v>2079.94</v>
      </c>
      <c r="M88" s="11">
        <v>0</v>
      </c>
      <c r="N88" s="11">
        <v>0</v>
      </c>
      <c r="O88" s="11">
        <v>0</v>
      </c>
      <c r="P88" s="11" t="s">
        <v>2624</v>
      </c>
    </row>
    <row r="89" spans="1:16" x14ac:dyDescent="0.2">
      <c r="A89" s="52">
        <v>43556</v>
      </c>
      <c r="B89" s="11" t="s">
        <v>595</v>
      </c>
      <c r="C89" s="11" t="s">
        <v>2713</v>
      </c>
      <c r="D89" s="11" t="s">
        <v>2714</v>
      </c>
      <c r="E89" s="11" t="s">
        <v>2621</v>
      </c>
      <c r="F89" s="11" t="s">
        <v>2651</v>
      </c>
      <c r="G89" s="11">
        <v>21240</v>
      </c>
      <c r="H89" s="11" t="s">
        <v>2623</v>
      </c>
      <c r="I89" s="11" t="s">
        <v>1411</v>
      </c>
      <c r="J89" s="11">
        <v>18</v>
      </c>
      <c r="K89" s="11">
        <v>18000</v>
      </c>
      <c r="L89" s="11">
        <v>0</v>
      </c>
      <c r="M89" s="11">
        <v>1620</v>
      </c>
      <c r="N89" s="11">
        <v>1620</v>
      </c>
      <c r="O89" s="11">
        <v>0</v>
      </c>
      <c r="P89" s="11" t="s">
        <v>2624</v>
      </c>
    </row>
    <row r="90" spans="1:16" x14ac:dyDescent="0.2">
      <c r="A90" s="52">
        <v>43556</v>
      </c>
      <c r="B90" s="11" t="s">
        <v>500</v>
      </c>
      <c r="C90" s="11" t="s">
        <v>2715</v>
      </c>
      <c r="D90" s="11" t="s">
        <v>501</v>
      </c>
      <c r="E90" s="11" t="s">
        <v>2621</v>
      </c>
      <c r="F90" s="11" t="s">
        <v>2635</v>
      </c>
      <c r="G90" s="11">
        <v>6520.68</v>
      </c>
      <c r="H90" s="11" t="s">
        <v>2623</v>
      </c>
      <c r="I90" s="11" t="s">
        <v>1411</v>
      </c>
      <c r="J90" s="11">
        <v>18</v>
      </c>
      <c r="K90" s="11">
        <v>5526</v>
      </c>
      <c r="L90" s="11">
        <v>0</v>
      </c>
      <c r="M90" s="11">
        <v>497.34</v>
      </c>
      <c r="N90" s="11">
        <v>497.34</v>
      </c>
      <c r="O90" s="11">
        <v>0</v>
      </c>
      <c r="P90" s="11" t="s">
        <v>2624</v>
      </c>
    </row>
    <row r="91" spans="1:16" x14ac:dyDescent="0.2">
      <c r="A91" s="52">
        <v>43556</v>
      </c>
      <c r="B91" s="11" t="s">
        <v>500</v>
      </c>
      <c r="C91" s="11" t="s">
        <v>2715</v>
      </c>
      <c r="D91" s="11" t="s">
        <v>526</v>
      </c>
      <c r="E91" s="11" t="s">
        <v>2621</v>
      </c>
      <c r="F91" s="11" t="s">
        <v>2635</v>
      </c>
      <c r="G91" s="11">
        <v>10097</v>
      </c>
      <c r="H91" s="11" t="s">
        <v>2623</v>
      </c>
      <c r="I91" s="11" t="s">
        <v>1411</v>
      </c>
      <c r="J91" s="11">
        <v>0</v>
      </c>
      <c r="K91" s="11">
        <v>300</v>
      </c>
      <c r="L91" s="11">
        <v>0</v>
      </c>
      <c r="M91" s="11">
        <v>0</v>
      </c>
      <c r="N91" s="11">
        <v>0</v>
      </c>
      <c r="O91" s="11">
        <v>0</v>
      </c>
      <c r="P91" s="11" t="s">
        <v>2624</v>
      </c>
    </row>
    <row r="92" spans="1:16" x14ac:dyDescent="0.2">
      <c r="A92" s="52">
        <v>43556</v>
      </c>
      <c r="B92" s="11" t="s">
        <v>500</v>
      </c>
      <c r="C92" s="11" t="s">
        <v>2715</v>
      </c>
      <c r="D92" s="11" t="s">
        <v>526</v>
      </c>
      <c r="E92" s="11" t="s">
        <v>2621</v>
      </c>
      <c r="F92" s="11" t="s">
        <v>2635</v>
      </c>
      <c r="G92" s="11">
        <v>10097</v>
      </c>
      <c r="H92" s="11" t="s">
        <v>2623</v>
      </c>
      <c r="I92" s="11" t="s">
        <v>1411</v>
      </c>
      <c r="J92" s="11">
        <v>5</v>
      </c>
      <c r="K92" s="11">
        <v>9330</v>
      </c>
      <c r="L92" s="11">
        <v>0</v>
      </c>
      <c r="M92" s="11">
        <v>233.25</v>
      </c>
      <c r="N92" s="11">
        <v>233.25</v>
      </c>
      <c r="O92" s="11">
        <v>0</v>
      </c>
      <c r="P92" s="11" t="s">
        <v>2624</v>
      </c>
    </row>
    <row r="93" spans="1:16" x14ac:dyDescent="0.2">
      <c r="A93" s="52">
        <v>43556</v>
      </c>
      <c r="B93" s="11" t="s">
        <v>500</v>
      </c>
      <c r="C93" s="11" t="s">
        <v>2715</v>
      </c>
      <c r="D93" s="11" t="s">
        <v>502</v>
      </c>
      <c r="E93" s="11" t="s">
        <v>2621</v>
      </c>
      <c r="F93" s="11" t="s">
        <v>2635</v>
      </c>
      <c r="G93" s="11">
        <v>8008</v>
      </c>
      <c r="H93" s="11" t="s">
        <v>2623</v>
      </c>
      <c r="I93" s="11" t="s">
        <v>1411</v>
      </c>
      <c r="J93" s="11">
        <v>12</v>
      </c>
      <c r="K93" s="11">
        <v>7150</v>
      </c>
      <c r="L93" s="11">
        <v>0</v>
      </c>
      <c r="M93" s="11">
        <v>429</v>
      </c>
      <c r="N93" s="11">
        <v>429</v>
      </c>
      <c r="O93" s="11">
        <v>0</v>
      </c>
      <c r="P93" s="11" t="s">
        <v>2624</v>
      </c>
    </row>
    <row r="94" spans="1:16" x14ac:dyDescent="0.2">
      <c r="A94" s="52">
        <v>43556</v>
      </c>
      <c r="B94" s="11" t="s">
        <v>500</v>
      </c>
      <c r="C94" s="11" t="s">
        <v>2715</v>
      </c>
      <c r="D94" s="11" t="s">
        <v>580</v>
      </c>
      <c r="E94" s="11" t="s">
        <v>2621</v>
      </c>
      <c r="F94" s="11" t="s">
        <v>2651</v>
      </c>
      <c r="G94" s="11">
        <v>6117</v>
      </c>
      <c r="H94" s="11" t="s">
        <v>2623</v>
      </c>
      <c r="I94" s="11" t="s">
        <v>1411</v>
      </c>
      <c r="J94" s="11">
        <v>18</v>
      </c>
      <c r="K94" s="11">
        <v>5184</v>
      </c>
      <c r="L94" s="11">
        <v>0</v>
      </c>
      <c r="M94" s="11">
        <v>466.56</v>
      </c>
      <c r="N94" s="11">
        <v>466.56</v>
      </c>
      <c r="O94" s="11">
        <v>0</v>
      </c>
      <c r="P94" s="11" t="s">
        <v>2624</v>
      </c>
    </row>
    <row r="95" spans="1:16" x14ac:dyDescent="0.2">
      <c r="A95" s="52">
        <v>43556</v>
      </c>
      <c r="B95" s="11" t="s">
        <v>500</v>
      </c>
      <c r="C95" s="11" t="s">
        <v>2715</v>
      </c>
      <c r="D95" s="11" t="s">
        <v>581</v>
      </c>
      <c r="E95" s="11" t="s">
        <v>2621</v>
      </c>
      <c r="F95" s="11" t="s">
        <v>2690</v>
      </c>
      <c r="G95" s="11">
        <v>708</v>
      </c>
      <c r="H95" s="11" t="s">
        <v>2623</v>
      </c>
      <c r="I95" s="11" t="s">
        <v>1411</v>
      </c>
      <c r="J95" s="11">
        <v>18</v>
      </c>
      <c r="K95" s="11">
        <v>600</v>
      </c>
      <c r="L95" s="11">
        <v>0</v>
      </c>
      <c r="M95" s="11">
        <v>54</v>
      </c>
      <c r="N95" s="11">
        <v>54</v>
      </c>
      <c r="O95" s="11">
        <v>0</v>
      </c>
      <c r="P95" s="11" t="s">
        <v>2624</v>
      </c>
    </row>
    <row r="96" spans="1:16" x14ac:dyDescent="0.2">
      <c r="A96" s="52">
        <v>43556</v>
      </c>
      <c r="B96" s="11" t="s">
        <v>500</v>
      </c>
      <c r="C96" s="11" t="s">
        <v>2715</v>
      </c>
      <c r="D96" s="11" t="s">
        <v>578</v>
      </c>
      <c r="E96" s="11" t="s">
        <v>2621</v>
      </c>
      <c r="F96" s="11" t="s">
        <v>2638</v>
      </c>
      <c r="G96" s="11">
        <v>5344</v>
      </c>
      <c r="H96" s="11" t="s">
        <v>2623</v>
      </c>
      <c r="I96" s="11" t="s">
        <v>1411</v>
      </c>
      <c r="J96" s="11">
        <v>0</v>
      </c>
      <c r="K96" s="11">
        <v>60</v>
      </c>
      <c r="L96" s="11">
        <v>0</v>
      </c>
      <c r="M96" s="11">
        <v>0</v>
      </c>
      <c r="N96" s="11">
        <v>0</v>
      </c>
      <c r="O96" s="11">
        <v>0</v>
      </c>
      <c r="P96" s="11" t="s">
        <v>2624</v>
      </c>
    </row>
    <row r="97" spans="1:16" x14ac:dyDescent="0.2">
      <c r="A97" s="52">
        <v>43556</v>
      </c>
      <c r="B97" s="11" t="s">
        <v>500</v>
      </c>
      <c r="C97" s="11" t="s">
        <v>2715</v>
      </c>
      <c r="D97" s="11" t="s">
        <v>578</v>
      </c>
      <c r="E97" s="11" t="s">
        <v>2621</v>
      </c>
      <c r="F97" s="11" t="s">
        <v>2638</v>
      </c>
      <c r="G97" s="11">
        <v>5344</v>
      </c>
      <c r="H97" s="11" t="s">
        <v>2623</v>
      </c>
      <c r="I97" s="11" t="s">
        <v>1411</v>
      </c>
      <c r="J97" s="11">
        <v>18</v>
      </c>
      <c r="K97" s="11">
        <v>4478</v>
      </c>
      <c r="L97" s="11">
        <v>0</v>
      </c>
      <c r="M97" s="11">
        <v>403.02</v>
      </c>
      <c r="N97" s="11">
        <v>403.02</v>
      </c>
      <c r="O97" s="11">
        <v>0</v>
      </c>
      <c r="P97" s="11" t="s">
        <v>2624</v>
      </c>
    </row>
    <row r="98" spans="1:16" x14ac:dyDescent="0.2">
      <c r="A98" s="52">
        <v>43556</v>
      </c>
      <c r="B98" s="11" t="s">
        <v>500</v>
      </c>
      <c r="C98" s="11" t="s">
        <v>2715</v>
      </c>
      <c r="D98" s="11" t="s">
        <v>579</v>
      </c>
      <c r="E98" s="11" t="s">
        <v>2621</v>
      </c>
      <c r="F98" s="11" t="s">
        <v>2638</v>
      </c>
      <c r="G98" s="11">
        <v>7888</v>
      </c>
      <c r="H98" s="11" t="s">
        <v>2623</v>
      </c>
      <c r="I98" s="11" t="s">
        <v>1411</v>
      </c>
      <c r="J98" s="11">
        <v>5</v>
      </c>
      <c r="K98" s="11">
        <v>2400</v>
      </c>
      <c r="L98" s="11">
        <v>0</v>
      </c>
      <c r="M98" s="11">
        <v>60</v>
      </c>
      <c r="N98" s="11">
        <v>60</v>
      </c>
      <c r="O98" s="11">
        <v>0</v>
      </c>
      <c r="P98" s="11" t="s">
        <v>2624</v>
      </c>
    </row>
    <row r="99" spans="1:16" x14ac:dyDescent="0.2">
      <c r="A99" s="52">
        <v>43556</v>
      </c>
      <c r="B99" s="11" t="s">
        <v>500</v>
      </c>
      <c r="C99" s="11" t="s">
        <v>2715</v>
      </c>
      <c r="D99" s="11" t="s">
        <v>579</v>
      </c>
      <c r="E99" s="11" t="s">
        <v>2621</v>
      </c>
      <c r="F99" s="11" t="s">
        <v>2638</v>
      </c>
      <c r="G99" s="11">
        <v>7888</v>
      </c>
      <c r="H99" s="11" t="s">
        <v>2623</v>
      </c>
      <c r="I99" s="11" t="s">
        <v>1411</v>
      </c>
      <c r="J99" s="11">
        <v>12</v>
      </c>
      <c r="K99" s="11">
        <v>4793.1000000000004</v>
      </c>
      <c r="L99" s="11">
        <v>0</v>
      </c>
      <c r="M99" s="11">
        <v>287.58999999999997</v>
      </c>
      <c r="N99" s="11">
        <v>287.58999999999997</v>
      </c>
      <c r="O99" s="11">
        <v>0</v>
      </c>
      <c r="P99" s="11" t="s">
        <v>2624</v>
      </c>
    </row>
    <row r="100" spans="1:16" x14ac:dyDescent="0.2">
      <c r="A100" s="52">
        <v>43556</v>
      </c>
      <c r="B100" s="11" t="s">
        <v>21</v>
      </c>
      <c r="C100" s="11" t="s">
        <v>2716</v>
      </c>
      <c r="D100" s="11" t="s">
        <v>2717</v>
      </c>
      <c r="E100" s="11" t="s">
        <v>2621</v>
      </c>
      <c r="F100" s="11" t="s">
        <v>2718</v>
      </c>
      <c r="G100" s="11">
        <v>4746.24</v>
      </c>
      <c r="H100" s="11" t="s">
        <v>2623</v>
      </c>
      <c r="I100" s="11" t="s">
        <v>1411</v>
      </c>
      <c r="J100" s="11">
        <v>28</v>
      </c>
      <c r="K100" s="11">
        <v>3708</v>
      </c>
      <c r="L100" s="11">
        <v>0</v>
      </c>
      <c r="M100" s="11">
        <v>519.12</v>
      </c>
      <c r="N100" s="11">
        <v>519.12</v>
      </c>
      <c r="O100" s="11">
        <v>0</v>
      </c>
      <c r="P100" s="11" t="s">
        <v>2624</v>
      </c>
    </row>
    <row r="101" spans="1:16" x14ac:dyDescent="0.2">
      <c r="A101" s="52">
        <v>43556</v>
      </c>
      <c r="B101" s="11" t="s">
        <v>21</v>
      </c>
      <c r="C101" s="11" t="s">
        <v>2716</v>
      </c>
      <c r="D101" s="11" t="s">
        <v>2719</v>
      </c>
      <c r="E101" s="11" t="s">
        <v>2621</v>
      </c>
      <c r="F101" s="11" t="s">
        <v>2718</v>
      </c>
      <c r="G101" s="11">
        <v>9492.48</v>
      </c>
      <c r="H101" s="11" t="s">
        <v>2623</v>
      </c>
      <c r="I101" s="11" t="s">
        <v>1411</v>
      </c>
      <c r="J101" s="11">
        <v>28</v>
      </c>
      <c r="K101" s="11">
        <v>7416</v>
      </c>
      <c r="L101" s="11">
        <v>0</v>
      </c>
      <c r="M101" s="11">
        <v>1038.24</v>
      </c>
      <c r="N101" s="11">
        <v>1038.24</v>
      </c>
      <c r="O101" s="11">
        <v>0</v>
      </c>
      <c r="P101" s="11" t="s">
        <v>2624</v>
      </c>
    </row>
    <row r="102" spans="1:16" x14ac:dyDescent="0.2">
      <c r="A102" s="52">
        <v>43556</v>
      </c>
      <c r="B102" s="11" t="s">
        <v>21</v>
      </c>
      <c r="C102" s="11" t="s">
        <v>2716</v>
      </c>
      <c r="D102" s="11" t="s">
        <v>2720</v>
      </c>
      <c r="E102" s="11" t="s">
        <v>2621</v>
      </c>
      <c r="F102" s="11" t="s">
        <v>2718</v>
      </c>
      <c r="G102" s="11">
        <v>4746.24</v>
      </c>
      <c r="H102" s="11" t="s">
        <v>2623</v>
      </c>
      <c r="I102" s="11" t="s">
        <v>1411</v>
      </c>
      <c r="J102" s="11">
        <v>28</v>
      </c>
      <c r="K102" s="11">
        <v>3708</v>
      </c>
      <c r="L102" s="11">
        <v>0</v>
      </c>
      <c r="M102" s="11">
        <v>519.12</v>
      </c>
      <c r="N102" s="11">
        <v>519.12</v>
      </c>
      <c r="O102" s="11">
        <v>0</v>
      </c>
      <c r="P102" s="11" t="s">
        <v>2624</v>
      </c>
    </row>
    <row r="103" spans="1:16" x14ac:dyDescent="0.2">
      <c r="A103" s="52">
        <v>43556</v>
      </c>
      <c r="B103" s="11" t="s">
        <v>21</v>
      </c>
      <c r="C103" s="11" t="s">
        <v>2716</v>
      </c>
      <c r="D103" s="11" t="s">
        <v>2721</v>
      </c>
      <c r="E103" s="11" t="s">
        <v>2621</v>
      </c>
      <c r="F103" s="11" t="s">
        <v>2722</v>
      </c>
      <c r="G103" s="11">
        <v>4746.24</v>
      </c>
      <c r="H103" s="11" t="s">
        <v>2623</v>
      </c>
      <c r="I103" s="11" t="s">
        <v>1411</v>
      </c>
      <c r="J103" s="11">
        <v>28</v>
      </c>
      <c r="K103" s="11">
        <v>3708</v>
      </c>
      <c r="L103" s="11">
        <v>0</v>
      </c>
      <c r="M103" s="11">
        <v>519.12</v>
      </c>
      <c r="N103" s="11">
        <v>519.12</v>
      </c>
      <c r="O103" s="11">
        <v>0</v>
      </c>
      <c r="P103" s="11" t="s">
        <v>2624</v>
      </c>
    </row>
    <row r="104" spans="1:16" x14ac:dyDescent="0.2">
      <c r="A104" s="52">
        <v>43556</v>
      </c>
      <c r="B104" s="11" t="s">
        <v>21</v>
      </c>
      <c r="C104" s="11" t="s">
        <v>2716</v>
      </c>
      <c r="D104" s="11" t="s">
        <v>2723</v>
      </c>
      <c r="E104" s="11" t="s">
        <v>2621</v>
      </c>
      <c r="F104" s="11" t="s">
        <v>2722</v>
      </c>
      <c r="G104" s="11">
        <v>4746.24</v>
      </c>
      <c r="H104" s="11" t="s">
        <v>2623</v>
      </c>
      <c r="I104" s="11" t="s">
        <v>1411</v>
      </c>
      <c r="J104" s="11">
        <v>28</v>
      </c>
      <c r="K104" s="11">
        <v>3708</v>
      </c>
      <c r="L104" s="11">
        <v>0</v>
      </c>
      <c r="M104" s="11">
        <v>519.12</v>
      </c>
      <c r="N104" s="11">
        <v>519.12</v>
      </c>
      <c r="O104" s="11">
        <v>0</v>
      </c>
      <c r="P104" s="11" t="s">
        <v>2624</v>
      </c>
    </row>
    <row r="105" spans="1:16" x14ac:dyDescent="0.2">
      <c r="A105" s="52">
        <v>43556</v>
      </c>
      <c r="B105" s="11" t="s">
        <v>21</v>
      </c>
      <c r="C105" s="11" t="s">
        <v>2716</v>
      </c>
      <c r="D105" s="11" t="s">
        <v>2724</v>
      </c>
      <c r="E105" s="11" t="s">
        <v>2621</v>
      </c>
      <c r="F105" s="11" t="s">
        <v>2725</v>
      </c>
      <c r="G105" s="11">
        <v>10475.52</v>
      </c>
      <c r="H105" s="11" t="s">
        <v>2623</v>
      </c>
      <c r="I105" s="11" t="s">
        <v>1411</v>
      </c>
      <c r="J105" s="11">
        <v>28</v>
      </c>
      <c r="K105" s="11">
        <v>8184</v>
      </c>
      <c r="L105" s="11">
        <v>0</v>
      </c>
      <c r="M105" s="11">
        <v>1145.76</v>
      </c>
      <c r="N105" s="11">
        <v>1145.76</v>
      </c>
      <c r="O105" s="11">
        <v>0</v>
      </c>
      <c r="P105" s="11" t="s">
        <v>2624</v>
      </c>
    </row>
    <row r="106" spans="1:16" x14ac:dyDescent="0.2">
      <c r="A106" s="52">
        <v>43556</v>
      </c>
      <c r="B106" s="11" t="s">
        <v>21</v>
      </c>
      <c r="C106" s="11" t="s">
        <v>2716</v>
      </c>
      <c r="D106" s="11" t="s">
        <v>2726</v>
      </c>
      <c r="E106" s="11" t="s">
        <v>2621</v>
      </c>
      <c r="F106" s="11" t="s">
        <v>2725</v>
      </c>
      <c r="G106" s="11">
        <v>8593.42</v>
      </c>
      <c r="H106" s="11" t="s">
        <v>2623</v>
      </c>
      <c r="I106" s="11" t="s">
        <v>1411</v>
      </c>
      <c r="J106" s="11">
        <v>28</v>
      </c>
      <c r="K106" s="11">
        <v>6713.6</v>
      </c>
      <c r="L106" s="11">
        <v>0</v>
      </c>
      <c r="M106" s="11">
        <v>939.91</v>
      </c>
      <c r="N106" s="11">
        <v>939.91</v>
      </c>
      <c r="O106" s="11">
        <v>0</v>
      </c>
      <c r="P106" s="11" t="s">
        <v>2624</v>
      </c>
    </row>
    <row r="107" spans="1:16" x14ac:dyDescent="0.2">
      <c r="A107" s="52">
        <v>43556</v>
      </c>
      <c r="B107" s="11" t="s">
        <v>21</v>
      </c>
      <c r="C107" s="11" t="s">
        <v>2716</v>
      </c>
      <c r="D107" s="11" t="s">
        <v>2727</v>
      </c>
      <c r="E107" s="11" t="s">
        <v>2621</v>
      </c>
      <c r="F107" s="11" t="s">
        <v>2632</v>
      </c>
      <c r="G107" s="11">
        <v>4746.24</v>
      </c>
      <c r="H107" s="11" t="s">
        <v>2623</v>
      </c>
      <c r="I107" s="11" t="s">
        <v>1411</v>
      </c>
      <c r="J107" s="11">
        <v>28</v>
      </c>
      <c r="K107" s="11">
        <v>3708</v>
      </c>
      <c r="L107" s="11">
        <v>0</v>
      </c>
      <c r="M107" s="11">
        <v>519.12</v>
      </c>
      <c r="N107" s="11">
        <v>519.12</v>
      </c>
      <c r="O107" s="11">
        <v>0</v>
      </c>
      <c r="P107" s="11" t="s">
        <v>2624</v>
      </c>
    </row>
    <row r="108" spans="1:16" x14ac:dyDescent="0.2">
      <c r="A108" s="52">
        <v>43556</v>
      </c>
      <c r="B108" s="11" t="s">
        <v>21</v>
      </c>
      <c r="C108" s="11" t="s">
        <v>2716</v>
      </c>
      <c r="D108" s="11" t="s">
        <v>2728</v>
      </c>
      <c r="E108" s="11" t="s">
        <v>2621</v>
      </c>
      <c r="F108" s="11" t="s">
        <v>2632</v>
      </c>
      <c r="G108" s="11">
        <v>4746.24</v>
      </c>
      <c r="H108" s="11" t="s">
        <v>2623</v>
      </c>
      <c r="I108" s="11" t="s">
        <v>1411</v>
      </c>
      <c r="J108" s="11">
        <v>28</v>
      </c>
      <c r="K108" s="11">
        <v>3708</v>
      </c>
      <c r="L108" s="11">
        <v>0</v>
      </c>
      <c r="M108" s="11">
        <v>519.12</v>
      </c>
      <c r="N108" s="11">
        <v>519.12</v>
      </c>
      <c r="O108" s="11">
        <v>0</v>
      </c>
      <c r="P108" s="11" t="s">
        <v>2624</v>
      </c>
    </row>
    <row r="109" spans="1:16" x14ac:dyDescent="0.2">
      <c r="A109" s="52">
        <v>43556</v>
      </c>
      <c r="B109" s="11" t="s">
        <v>21</v>
      </c>
      <c r="C109" s="11" t="s">
        <v>2716</v>
      </c>
      <c r="D109" s="11" t="s">
        <v>2729</v>
      </c>
      <c r="E109" s="11" t="s">
        <v>2621</v>
      </c>
      <c r="F109" s="11" t="s">
        <v>2630</v>
      </c>
      <c r="G109" s="11">
        <v>2373.12</v>
      </c>
      <c r="H109" s="11" t="s">
        <v>2623</v>
      </c>
      <c r="I109" s="11" t="s">
        <v>1411</v>
      </c>
      <c r="J109" s="11">
        <v>28</v>
      </c>
      <c r="K109" s="11">
        <v>1854</v>
      </c>
      <c r="L109" s="11">
        <v>0</v>
      </c>
      <c r="M109" s="11">
        <v>259.56</v>
      </c>
      <c r="N109" s="11">
        <v>259.56</v>
      </c>
      <c r="O109" s="11">
        <v>0</v>
      </c>
      <c r="P109" s="11" t="s">
        <v>2624</v>
      </c>
    </row>
    <row r="110" spans="1:16" x14ac:dyDescent="0.2">
      <c r="A110" s="52">
        <v>43556</v>
      </c>
      <c r="B110" s="11" t="s">
        <v>21</v>
      </c>
      <c r="C110" s="11" t="s">
        <v>2716</v>
      </c>
      <c r="D110" s="11" t="s">
        <v>2730</v>
      </c>
      <c r="E110" s="11" t="s">
        <v>2621</v>
      </c>
      <c r="F110" s="11" t="s">
        <v>2630</v>
      </c>
      <c r="G110" s="11">
        <v>2373.12</v>
      </c>
      <c r="H110" s="11" t="s">
        <v>2623</v>
      </c>
      <c r="I110" s="11" t="s">
        <v>1411</v>
      </c>
      <c r="J110" s="11">
        <v>28</v>
      </c>
      <c r="K110" s="11">
        <v>1854</v>
      </c>
      <c r="L110" s="11">
        <v>0</v>
      </c>
      <c r="M110" s="11">
        <v>259.56</v>
      </c>
      <c r="N110" s="11">
        <v>259.56</v>
      </c>
      <c r="O110" s="11">
        <v>0</v>
      </c>
      <c r="P110" s="11" t="s">
        <v>2624</v>
      </c>
    </row>
    <row r="111" spans="1:16" x14ac:dyDescent="0.2">
      <c r="A111" s="52">
        <v>43556</v>
      </c>
      <c r="B111" s="11" t="s">
        <v>21</v>
      </c>
      <c r="C111" s="11" t="s">
        <v>2716</v>
      </c>
      <c r="D111" s="11" t="s">
        <v>2731</v>
      </c>
      <c r="E111" s="11" t="s">
        <v>2621</v>
      </c>
      <c r="F111" s="11" t="s">
        <v>2668</v>
      </c>
      <c r="G111" s="11">
        <v>13094.4</v>
      </c>
      <c r="H111" s="11" t="s">
        <v>2623</v>
      </c>
      <c r="I111" s="11" t="s">
        <v>1411</v>
      </c>
      <c r="J111" s="11">
        <v>28</v>
      </c>
      <c r="K111" s="11">
        <v>10230</v>
      </c>
      <c r="L111" s="11">
        <v>0</v>
      </c>
      <c r="M111" s="11">
        <v>1432.2</v>
      </c>
      <c r="N111" s="11">
        <v>1432.2</v>
      </c>
      <c r="O111" s="11">
        <v>0</v>
      </c>
      <c r="P111" s="11" t="s">
        <v>2624</v>
      </c>
    </row>
    <row r="112" spans="1:16" x14ac:dyDescent="0.2">
      <c r="A112" s="52">
        <v>43556</v>
      </c>
      <c r="B112" s="11" t="s">
        <v>21</v>
      </c>
      <c r="C112" s="11" t="s">
        <v>2716</v>
      </c>
      <c r="D112" s="11" t="s">
        <v>2732</v>
      </c>
      <c r="E112" s="11" t="s">
        <v>2621</v>
      </c>
      <c r="F112" s="11" t="s">
        <v>2668</v>
      </c>
      <c r="G112" s="11">
        <v>10741.76</v>
      </c>
      <c r="H112" s="11" t="s">
        <v>2623</v>
      </c>
      <c r="I112" s="11" t="s">
        <v>1411</v>
      </c>
      <c r="J112" s="11">
        <v>28</v>
      </c>
      <c r="K112" s="11">
        <v>8392</v>
      </c>
      <c r="L112" s="11">
        <v>0</v>
      </c>
      <c r="M112" s="11">
        <v>1174.8800000000001</v>
      </c>
      <c r="N112" s="11">
        <v>1174.8800000000001</v>
      </c>
      <c r="O112" s="11">
        <v>0</v>
      </c>
      <c r="P112" s="11" t="s">
        <v>2624</v>
      </c>
    </row>
    <row r="113" spans="1:16" x14ac:dyDescent="0.2">
      <c r="A113" s="52">
        <v>43556</v>
      </c>
      <c r="B113" s="11" t="s">
        <v>21</v>
      </c>
      <c r="C113" s="11" t="s">
        <v>2716</v>
      </c>
      <c r="D113" s="11" t="s">
        <v>2733</v>
      </c>
      <c r="E113" s="11" t="s">
        <v>2621</v>
      </c>
      <c r="F113" s="11" t="s">
        <v>2628</v>
      </c>
      <c r="G113" s="11">
        <v>8593.42</v>
      </c>
      <c r="H113" s="11" t="s">
        <v>2623</v>
      </c>
      <c r="I113" s="11" t="s">
        <v>1411</v>
      </c>
      <c r="J113" s="11">
        <v>28</v>
      </c>
      <c r="K113" s="11">
        <v>6713.6</v>
      </c>
      <c r="L113" s="11">
        <v>0</v>
      </c>
      <c r="M113" s="11">
        <v>939.91</v>
      </c>
      <c r="N113" s="11">
        <v>939.91</v>
      </c>
      <c r="O113" s="11">
        <v>0</v>
      </c>
      <c r="P113" s="11" t="s">
        <v>2624</v>
      </c>
    </row>
    <row r="114" spans="1:16" x14ac:dyDescent="0.2">
      <c r="A114" s="52">
        <v>43556</v>
      </c>
      <c r="B114" s="11" t="s">
        <v>21</v>
      </c>
      <c r="C114" s="11" t="s">
        <v>2716</v>
      </c>
      <c r="D114" s="11" t="s">
        <v>2734</v>
      </c>
      <c r="E114" s="11" t="s">
        <v>2621</v>
      </c>
      <c r="F114" s="11" t="s">
        <v>2628</v>
      </c>
      <c r="G114" s="11">
        <v>10475.52</v>
      </c>
      <c r="H114" s="11" t="s">
        <v>2623</v>
      </c>
      <c r="I114" s="11" t="s">
        <v>1411</v>
      </c>
      <c r="J114" s="11">
        <v>28</v>
      </c>
      <c r="K114" s="11">
        <v>8184</v>
      </c>
      <c r="L114" s="11">
        <v>0</v>
      </c>
      <c r="M114" s="11">
        <v>1145.76</v>
      </c>
      <c r="N114" s="11">
        <v>1145.76</v>
      </c>
      <c r="O114" s="11">
        <v>0</v>
      </c>
      <c r="P114" s="11" t="s">
        <v>2624</v>
      </c>
    </row>
    <row r="115" spans="1:16" x14ac:dyDescent="0.2">
      <c r="A115" s="52">
        <v>43556</v>
      </c>
      <c r="B115" s="11" t="s">
        <v>21</v>
      </c>
      <c r="C115" s="11" t="s">
        <v>2716</v>
      </c>
      <c r="D115" s="11" t="s">
        <v>2735</v>
      </c>
      <c r="E115" s="11" t="s">
        <v>2621</v>
      </c>
      <c r="F115" s="11" t="s">
        <v>2673</v>
      </c>
      <c r="G115" s="11">
        <v>10475.52</v>
      </c>
      <c r="H115" s="11" t="s">
        <v>2623</v>
      </c>
      <c r="I115" s="11" t="s">
        <v>1411</v>
      </c>
      <c r="J115" s="11">
        <v>28</v>
      </c>
      <c r="K115" s="11">
        <v>8184</v>
      </c>
      <c r="L115" s="11">
        <v>0</v>
      </c>
      <c r="M115" s="11">
        <v>1145.76</v>
      </c>
      <c r="N115" s="11">
        <v>1145.76</v>
      </c>
      <c r="O115" s="11">
        <v>0</v>
      </c>
      <c r="P115" s="11" t="s">
        <v>2624</v>
      </c>
    </row>
    <row r="116" spans="1:16" x14ac:dyDescent="0.2">
      <c r="A116" s="52">
        <v>43556</v>
      </c>
      <c r="B116" s="11" t="s">
        <v>21</v>
      </c>
      <c r="C116" s="11" t="s">
        <v>2716</v>
      </c>
      <c r="D116" s="11" t="s">
        <v>2736</v>
      </c>
      <c r="E116" s="11" t="s">
        <v>2621</v>
      </c>
      <c r="F116" s="11" t="s">
        <v>2673</v>
      </c>
      <c r="G116" s="11">
        <v>8593.42</v>
      </c>
      <c r="H116" s="11" t="s">
        <v>2623</v>
      </c>
      <c r="I116" s="11" t="s">
        <v>1411</v>
      </c>
      <c r="J116" s="11">
        <v>28</v>
      </c>
      <c r="K116" s="11">
        <v>6713.6</v>
      </c>
      <c r="L116" s="11">
        <v>0</v>
      </c>
      <c r="M116" s="11">
        <v>939.91</v>
      </c>
      <c r="N116" s="11">
        <v>939.91</v>
      </c>
      <c r="O116" s="11">
        <v>0</v>
      </c>
      <c r="P116" s="11" t="s">
        <v>2624</v>
      </c>
    </row>
    <row r="117" spans="1:16" x14ac:dyDescent="0.2">
      <c r="A117" s="52">
        <v>43556</v>
      </c>
      <c r="B117" s="11" t="s">
        <v>21</v>
      </c>
      <c r="C117" s="11" t="s">
        <v>2716</v>
      </c>
      <c r="D117" s="11" t="s">
        <v>2737</v>
      </c>
      <c r="E117" s="11" t="s">
        <v>2621</v>
      </c>
      <c r="F117" s="11" t="s">
        <v>2673</v>
      </c>
      <c r="G117" s="11">
        <v>4746.24</v>
      </c>
      <c r="H117" s="11" t="s">
        <v>2623</v>
      </c>
      <c r="I117" s="11" t="s">
        <v>1411</v>
      </c>
      <c r="J117" s="11">
        <v>28</v>
      </c>
      <c r="K117" s="11">
        <v>3708</v>
      </c>
      <c r="L117" s="11">
        <v>0</v>
      </c>
      <c r="M117" s="11">
        <v>519.12</v>
      </c>
      <c r="N117" s="11">
        <v>519.12</v>
      </c>
      <c r="O117" s="11">
        <v>0</v>
      </c>
      <c r="P117" s="11" t="s">
        <v>2624</v>
      </c>
    </row>
    <row r="118" spans="1:16" x14ac:dyDescent="0.2">
      <c r="A118" s="52">
        <v>43556</v>
      </c>
      <c r="B118" s="11" t="s">
        <v>21</v>
      </c>
      <c r="C118" s="11" t="s">
        <v>2716</v>
      </c>
      <c r="D118" s="11" t="s">
        <v>2738</v>
      </c>
      <c r="E118" s="11" t="s">
        <v>2621</v>
      </c>
      <c r="F118" s="11" t="s">
        <v>2673</v>
      </c>
      <c r="G118" s="11">
        <v>4746.24</v>
      </c>
      <c r="H118" s="11" t="s">
        <v>2623</v>
      </c>
      <c r="I118" s="11" t="s">
        <v>1411</v>
      </c>
      <c r="J118" s="11">
        <v>28</v>
      </c>
      <c r="K118" s="11">
        <v>3708</v>
      </c>
      <c r="L118" s="11">
        <v>0</v>
      </c>
      <c r="M118" s="11">
        <v>519.12</v>
      </c>
      <c r="N118" s="11">
        <v>519.12</v>
      </c>
      <c r="O118" s="11">
        <v>0</v>
      </c>
      <c r="P118" s="11" t="s">
        <v>2624</v>
      </c>
    </row>
    <row r="119" spans="1:16" x14ac:dyDescent="0.2">
      <c r="A119" s="52">
        <v>43556</v>
      </c>
      <c r="B119" s="11" t="s">
        <v>21</v>
      </c>
      <c r="C119" s="11" t="s">
        <v>2716</v>
      </c>
      <c r="D119" s="11" t="s">
        <v>2739</v>
      </c>
      <c r="E119" s="11" t="s">
        <v>2621</v>
      </c>
      <c r="F119" s="11" t="s">
        <v>2673</v>
      </c>
      <c r="G119" s="11">
        <v>4746.24</v>
      </c>
      <c r="H119" s="11" t="s">
        <v>2623</v>
      </c>
      <c r="I119" s="11" t="s">
        <v>1411</v>
      </c>
      <c r="J119" s="11">
        <v>28</v>
      </c>
      <c r="K119" s="11">
        <v>3708</v>
      </c>
      <c r="L119" s="11">
        <v>0</v>
      </c>
      <c r="M119" s="11">
        <v>519.12</v>
      </c>
      <c r="N119" s="11">
        <v>519.12</v>
      </c>
      <c r="O119" s="11">
        <v>0</v>
      </c>
      <c r="P119" s="11" t="s">
        <v>2624</v>
      </c>
    </row>
    <row r="120" spans="1:16" x14ac:dyDescent="0.2">
      <c r="A120" s="52">
        <v>43556</v>
      </c>
      <c r="B120" s="11" t="s">
        <v>21</v>
      </c>
      <c r="C120" s="11" t="s">
        <v>2716</v>
      </c>
      <c r="D120" s="11" t="s">
        <v>2740</v>
      </c>
      <c r="E120" s="11" t="s">
        <v>2621</v>
      </c>
      <c r="F120" s="11" t="s">
        <v>2673</v>
      </c>
      <c r="G120" s="11">
        <v>4746.24</v>
      </c>
      <c r="H120" s="11" t="s">
        <v>2623</v>
      </c>
      <c r="I120" s="11" t="s">
        <v>1411</v>
      </c>
      <c r="J120" s="11">
        <v>28</v>
      </c>
      <c r="K120" s="11">
        <v>3708</v>
      </c>
      <c r="L120" s="11">
        <v>0</v>
      </c>
      <c r="M120" s="11">
        <v>519.12</v>
      </c>
      <c r="N120" s="11">
        <v>519.12</v>
      </c>
      <c r="O120" s="11">
        <v>0</v>
      </c>
      <c r="P120" s="11" t="s">
        <v>2624</v>
      </c>
    </row>
    <row r="121" spans="1:16" x14ac:dyDescent="0.2">
      <c r="A121" s="52">
        <v>43556</v>
      </c>
      <c r="B121" s="11" t="s">
        <v>21</v>
      </c>
      <c r="C121" s="11" t="s">
        <v>2716</v>
      </c>
      <c r="D121" s="11" t="s">
        <v>2741</v>
      </c>
      <c r="E121" s="11" t="s">
        <v>2621</v>
      </c>
      <c r="F121" s="11" t="s">
        <v>2673</v>
      </c>
      <c r="G121" s="11">
        <v>6547.2</v>
      </c>
      <c r="H121" s="11" t="s">
        <v>2623</v>
      </c>
      <c r="I121" s="11" t="s">
        <v>1411</v>
      </c>
      <c r="J121" s="11">
        <v>28</v>
      </c>
      <c r="K121" s="11">
        <v>5115</v>
      </c>
      <c r="L121" s="11">
        <v>0</v>
      </c>
      <c r="M121" s="11">
        <v>716.1</v>
      </c>
      <c r="N121" s="11">
        <v>716.1</v>
      </c>
      <c r="O121" s="11">
        <v>0</v>
      </c>
      <c r="P121" s="11" t="s">
        <v>2624</v>
      </c>
    </row>
    <row r="122" spans="1:16" x14ac:dyDescent="0.2">
      <c r="A122" s="52">
        <v>43556</v>
      </c>
      <c r="B122" s="11" t="s">
        <v>21</v>
      </c>
      <c r="C122" s="11" t="s">
        <v>2716</v>
      </c>
      <c r="D122" s="11" t="s">
        <v>2742</v>
      </c>
      <c r="E122" s="11" t="s">
        <v>2621</v>
      </c>
      <c r="F122" s="11" t="s">
        <v>2673</v>
      </c>
      <c r="G122" s="11">
        <v>5370.88</v>
      </c>
      <c r="H122" s="11" t="s">
        <v>2623</v>
      </c>
      <c r="I122" s="11" t="s">
        <v>1411</v>
      </c>
      <c r="J122" s="11">
        <v>28</v>
      </c>
      <c r="K122" s="11">
        <v>4196</v>
      </c>
      <c r="L122" s="11">
        <v>0</v>
      </c>
      <c r="M122" s="11">
        <v>587.44000000000005</v>
      </c>
      <c r="N122" s="11">
        <v>587.44000000000005</v>
      </c>
      <c r="O122" s="11">
        <v>0</v>
      </c>
      <c r="P122" s="11" t="s">
        <v>2624</v>
      </c>
    </row>
    <row r="123" spans="1:16" x14ac:dyDescent="0.2">
      <c r="A123" s="52">
        <v>43556</v>
      </c>
      <c r="B123" s="11" t="s">
        <v>21</v>
      </c>
      <c r="C123" s="11" t="s">
        <v>2716</v>
      </c>
      <c r="D123" s="11" t="s">
        <v>2743</v>
      </c>
      <c r="E123" s="11" t="s">
        <v>2621</v>
      </c>
      <c r="F123" s="11" t="s">
        <v>2684</v>
      </c>
      <c r="G123" s="11">
        <v>7119.36</v>
      </c>
      <c r="H123" s="11" t="s">
        <v>2623</v>
      </c>
      <c r="I123" s="11" t="s">
        <v>1411</v>
      </c>
      <c r="J123" s="11">
        <v>28</v>
      </c>
      <c r="K123" s="11">
        <v>5562</v>
      </c>
      <c r="L123" s="11">
        <v>0</v>
      </c>
      <c r="M123" s="11">
        <v>778.68</v>
      </c>
      <c r="N123" s="11">
        <v>778.68</v>
      </c>
      <c r="O123" s="11">
        <v>0</v>
      </c>
      <c r="P123" s="11" t="s">
        <v>2624</v>
      </c>
    </row>
    <row r="124" spans="1:16" x14ac:dyDescent="0.2">
      <c r="A124" s="52">
        <v>43556</v>
      </c>
      <c r="B124" s="11" t="s">
        <v>21</v>
      </c>
      <c r="C124" s="11" t="s">
        <v>2716</v>
      </c>
      <c r="D124" s="11" t="s">
        <v>2744</v>
      </c>
      <c r="E124" s="11" t="s">
        <v>2621</v>
      </c>
      <c r="F124" s="11" t="s">
        <v>2684</v>
      </c>
      <c r="G124" s="11">
        <v>7119.36</v>
      </c>
      <c r="H124" s="11" t="s">
        <v>2623</v>
      </c>
      <c r="I124" s="11" t="s">
        <v>1411</v>
      </c>
      <c r="J124" s="11">
        <v>28</v>
      </c>
      <c r="K124" s="11">
        <v>5562</v>
      </c>
      <c r="L124" s="11">
        <v>0</v>
      </c>
      <c r="M124" s="11">
        <v>778.68</v>
      </c>
      <c r="N124" s="11">
        <v>778.68</v>
      </c>
      <c r="O124" s="11">
        <v>0</v>
      </c>
      <c r="P124" s="11" t="s">
        <v>2624</v>
      </c>
    </row>
    <row r="125" spans="1:16" x14ac:dyDescent="0.2">
      <c r="A125" s="52">
        <v>43556</v>
      </c>
      <c r="B125" s="11" t="s">
        <v>21</v>
      </c>
      <c r="C125" s="11" t="s">
        <v>2716</v>
      </c>
      <c r="D125" s="11" t="s">
        <v>2745</v>
      </c>
      <c r="E125" s="11" t="s">
        <v>2621</v>
      </c>
      <c r="F125" s="11" t="s">
        <v>2633</v>
      </c>
      <c r="G125" s="11">
        <v>3432.96</v>
      </c>
      <c r="H125" s="11" t="s">
        <v>2623</v>
      </c>
      <c r="I125" s="11" t="s">
        <v>1411</v>
      </c>
      <c r="J125" s="11">
        <v>28</v>
      </c>
      <c r="K125" s="11">
        <v>2682</v>
      </c>
      <c r="L125" s="11">
        <v>0</v>
      </c>
      <c r="M125" s="11">
        <v>375.48</v>
      </c>
      <c r="N125" s="11">
        <v>375.48</v>
      </c>
      <c r="O125" s="11">
        <v>0</v>
      </c>
      <c r="P125" s="11" t="s">
        <v>2624</v>
      </c>
    </row>
    <row r="126" spans="1:16" x14ac:dyDescent="0.2">
      <c r="A126" s="52">
        <v>43556</v>
      </c>
      <c r="B126" s="11" t="s">
        <v>21</v>
      </c>
      <c r="C126" s="11" t="s">
        <v>2716</v>
      </c>
      <c r="D126" s="11" t="s">
        <v>2746</v>
      </c>
      <c r="E126" s="11" t="s">
        <v>2621</v>
      </c>
      <c r="F126" s="11" t="s">
        <v>2633</v>
      </c>
      <c r="G126" s="11">
        <v>24030.720000000001</v>
      </c>
      <c r="H126" s="11" t="s">
        <v>2623</v>
      </c>
      <c r="I126" s="11" t="s">
        <v>1411</v>
      </c>
      <c r="J126" s="11">
        <v>28</v>
      </c>
      <c r="K126" s="11">
        <v>18774</v>
      </c>
      <c r="L126" s="11">
        <v>0</v>
      </c>
      <c r="M126" s="11">
        <v>2628.36</v>
      </c>
      <c r="N126" s="11">
        <v>2628.36</v>
      </c>
      <c r="O126" s="11">
        <v>0</v>
      </c>
      <c r="P126" s="11" t="s">
        <v>2624</v>
      </c>
    </row>
    <row r="127" spans="1:16" x14ac:dyDescent="0.2">
      <c r="A127" s="52">
        <v>43556</v>
      </c>
      <c r="B127" s="11" t="s">
        <v>490</v>
      </c>
      <c r="C127" s="11" t="s">
        <v>2747</v>
      </c>
      <c r="D127" s="11" t="s">
        <v>2748</v>
      </c>
      <c r="E127" s="11" t="s">
        <v>2621</v>
      </c>
      <c r="F127" s="11" t="s">
        <v>2634</v>
      </c>
      <c r="G127" s="11">
        <v>17157</v>
      </c>
      <c r="H127" s="11" t="s">
        <v>2623</v>
      </c>
      <c r="I127" s="11" t="s">
        <v>1411</v>
      </c>
      <c r="J127" s="11">
        <v>18</v>
      </c>
      <c r="K127" s="11">
        <v>14539.8</v>
      </c>
      <c r="L127" s="11">
        <v>0</v>
      </c>
      <c r="M127" s="11">
        <v>1308.58</v>
      </c>
      <c r="N127" s="11">
        <v>1308.58</v>
      </c>
      <c r="O127" s="11">
        <v>0</v>
      </c>
      <c r="P127" s="11" t="s">
        <v>2624</v>
      </c>
    </row>
    <row r="128" spans="1:16" x14ac:dyDescent="0.2">
      <c r="A128" s="52">
        <v>43556</v>
      </c>
      <c r="B128" s="11" t="s">
        <v>490</v>
      </c>
      <c r="C128" s="11" t="s">
        <v>2747</v>
      </c>
      <c r="D128" s="11" t="s">
        <v>2749</v>
      </c>
      <c r="E128" s="11" t="s">
        <v>2621</v>
      </c>
      <c r="F128" s="11" t="s">
        <v>2636</v>
      </c>
      <c r="G128" s="11">
        <v>12036</v>
      </c>
      <c r="H128" s="11" t="s">
        <v>2623</v>
      </c>
      <c r="I128" s="11" t="s">
        <v>1411</v>
      </c>
      <c r="J128" s="11">
        <v>18</v>
      </c>
      <c r="K128" s="11">
        <v>10200</v>
      </c>
      <c r="L128" s="11">
        <v>0</v>
      </c>
      <c r="M128" s="11">
        <v>918</v>
      </c>
      <c r="N128" s="11">
        <v>918</v>
      </c>
      <c r="O128" s="11">
        <v>0</v>
      </c>
      <c r="P128" s="11" t="s">
        <v>2624</v>
      </c>
    </row>
    <row r="129" spans="1:16" x14ac:dyDescent="0.2">
      <c r="A129" s="52">
        <v>43556</v>
      </c>
      <c r="B129" s="11" t="s">
        <v>490</v>
      </c>
      <c r="C129" s="11" t="s">
        <v>2747</v>
      </c>
      <c r="D129" s="11" t="s">
        <v>2750</v>
      </c>
      <c r="E129" s="11" t="s">
        <v>2621</v>
      </c>
      <c r="F129" s="11" t="s">
        <v>2636</v>
      </c>
      <c r="G129" s="11">
        <v>2921</v>
      </c>
      <c r="H129" s="11" t="s">
        <v>2623</v>
      </c>
      <c r="I129" s="11" t="s">
        <v>1411</v>
      </c>
      <c r="J129" s="11">
        <v>18</v>
      </c>
      <c r="K129" s="11">
        <v>2475.5</v>
      </c>
      <c r="L129" s="11">
        <v>0</v>
      </c>
      <c r="M129" s="11">
        <v>222.8</v>
      </c>
      <c r="N129" s="11">
        <v>222.8</v>
      </c>
      <c r="O129" s="11">
        <v>0</v>
      </c>
      <c r="P129" s="11" t="s">
        <v>2624</v>
      </c>
    </row>
    <row r="130" spans="1:16" x14ac:dyDescent="0.2">
      <c r="A130" s="52">
        <v>43556</v>
      </c>
      <c r="B130" s="11" t="s">
        <v>490</v>
      </c>
      <c r="C130" s="11" t="s">
        <v>2747</v>
      </c>
      <c r="D130" s="11" t="s">
        <v>2751</v>
      </c>
      <c r="E130" s="11" t="s">
        <v>2621</v>
      </c>
      <c r="F130" s="11" t="s">
        <v>2682</v>
      </c>
      <c r="G130" s="11">
        <v>5154</v>
      </c>
      <c r="H130" s="11" t="s">
        <v>2623</v>
      </c>
      <c r="I130" s="11" t="s">
        <v>1411</v>
      </c>
      <c r="J130" s="11">
        <v>18</v>
      </c>
      <c r="K130" s="11">
        <v>4367.76</v>
      </c>
      <c r="L130" s="11">
        <v>0</v>
      </c>
      <c r="M130" s="11">
        <v>393.1</v>
      </c>
      <c r="N130" s="11">
        <v>393.1</v>
      </c>
      <c r="O130" s="11">
        <v>0</v>
      </c>
      <c r="P130" s="11" t="s">
        <v>2624</v>
      </c>
    </row>
    <row r="131" spans="1:16" x14ac:dyDescent="0.2">
      <c r="A131" s="52">
        <v>43556</v>
      </c>
      <c r="B131" s="11" t="s">
        <v>490</v>
      </c>
      <c r="C131" s="11" t="s">
        <v>2747</v>
      </c>
      <c r="D131" s="11" t="s">
        <v>2752</v>
      </c>
      <c r="E131" s="11" t="s">
        <v>2621</v>
      </c>
      <c r="F131" s="11" t="s">
        <v>2693</v>
      </c>
      <c r="G131" s="11">
        <v>51684</v>
      </c>
      <c r="H131" s="11" t="s">
        <v>2623</v>
      </c>
      <c r="I131" s="11" t="s">
        <v>1411</v>
      </c>
      <c r="J131" s="11">
        <v>18</v>
      </c>
      <c r="K131" s="11">
        <v>43800</v>
      </c>
      <c r="L131" s="11">
        <v>0</v>
      </c>
      <c r="M131" s="11">
        <v>3942</v>
      </c>
      <c r="N131" s="11">
        <v>3942</v>
      </c>
      <c r="O131" s="11">
        <v>0</v>
      </c>
      <c r="P131" s="11" t="s">
        <v>2624</v>
      </c>
    </row>
    <row r="132" spans="1:16" x14ac:dyDescent="0.2">
      <c r="A132" s="52">
        <v>43556</v>
      </c>
      <c r="B132" s="11" t="s">
        <v>490</v>
      </c>
      <c r="C132" s="11" t="s">
        <v>2747</v>
      </c>
      <c r="D132" s="11" t="s">
        <v>2753</v>
      </c>
      <c r="E132" s="11" t="s">
        <v>2621</v>
      </c>
      <c r="F132" s="11" t="s">
        <v>2693</v>
      </c>
      <c r="G132" s="11">
        <v>10278</v>
      </c>
      <c r="H132" s="11" t="s">
        <v>2623</v>
      </c>
      <c r="I132" s="11" t="s">
        <v>1411</v>
      </c>
      <c r="J132" s="11">
        <v>18</v>
      </c>
      <c r="K132" s="11">
        <v>8710.2000000000007</v>
      </c>
      <c r="L132" s="11">
        <v>0</v>
      </c>
      <c r="M132" s="11">
        <v>783.92</v>
      </c>
      <c r="N132" s="11">
        <v>783.92</v>
      </c>
      <c r="O132" s="11">
        <v>0</v>
      </c>
      <c r="P132" s="11" t="s">
        <v>2624</v>
      </c>
    </row>
    <row r="133" spans="1:16" x14ac:dyDescent="0.2">
      <c r="A133" s="52">
        <v>43556</v>
      </c>
      <c r="B133" s="11" t="s">
        <v>490</v>
      </c>
      <c r="C133" s="11" t="s">
        <v>2747</v>
      </c>
      <c r="D133" s="11" t="s">
        <v>2754</v>
      </c>
      <c r="E133" s="11" t="s">
        <v>2621</v>
      </c>
      <c r="F133" s="11" t="s">
        <v>2638</v>
      </c>
      <c r="G133" s="11">
        <v>5154</v>
      </c>
      <c r="H133" s="11" t="s">
        <v>2623</v>
      </c>
      <c r="I133" s="11" t="s">
        <v>1411</v>
      </c>
      <c r="J133" s="11">
        <v>18</v>
      </c>
      <c r="K133" s="11">
        <v>4367.76</v>
      </c>
      <c r="L133" s="11">
        <v>0</v>
      </c>
      <c r="M133" s="11">
        <v>393.1</v>
      </c>
      <c r="N133" s="11">
        <v>393.1</v>
      </c>
      <c r="O133" s="11">
        <v>0</v>
      </c>
      <c r="P133" s="11" t="s">
        <v>2624</v>
      </c>
    </row>
    <row r="134" spans="1:16" x14ac:dyDescent="0.2">
      <c r="A134" s="52">
        <v>43556</v>
      </c>
      <c r="B134" s="11" t="s">
        <v>507</v>
      </c>
      <c r="C134" s="11" t="s">
        <v>2755</v>
      </c>
      <c r="D134" s="11" t="s">
        <v>508</v>
      </c>
      <c r="E134" s="11" t="s">
        <v>2621</v>
      </c>
      <c r="F134" s="11" t="s">
        <v>2635</v>
      </c>
      <c r="G134" s="11">
        <v>16426</v>
      </c>
      <c r="H134" s="11" t="s">
        <v>2623</v>
      </c>
      <c r="I134" s="11" t="s">
        <v>1411</v>
      </c>
      <c r="J134" s="11">
        <v>18</v>
      </c>
      <c r="K134" s="11">
        <v>13920.4</v>
      </c>
      <c r="L134" s="11">
        <v>0</v>
      </c>
      <c r="M134" s="11">
        <v>1252.8399999999999</v>
      </c>
      <c r="N134" s="11">
        <v>1252.8399999999999</v>
      </c>
      <c r="O134" s="11">
        <v>0</v>
      </c>
      <c r="P134" s="11" t="s">
        <v>2624</v>
      </c>
    </row>
    <row r="135" spans="1:16" x14ac:dyDescent="0.2">
      <c r="A135" s="52">
        <v>43556</v>
      </c>
      <c r="B135" s="11" t="s">
        <v>507</v>
      </c>
      <c r="C135" s="11" t="s">
        <v>2755</v>
      </c>
      <c r="D135" s="11" t="s">
        <v>509</v>
      </c>
      <c r="E135" s="11" t="s">
        <v>2621</v>
      </c>
      <c r="F135" s="11" t="s">
        <v>2635</v>
      </c>
      <c r="G135" s="11">
        <v>2832</v>
      </c>
      <c r="H135" s="11" t="s">
        <v>2623</v>
      </c>
      <c r="I135" s="11" t="s">
        <v>1411</v>
      </c>
      <c r="J135" s="11">
        <v>18</v>
      </c>
      <c r="K135" s="11">
        <v>2400</v>
      </c>
      <c r="L135" s="11">
        <v>0</v>
      </c>
      <c r="M135" s="11">
        <v>216</v>
      </c>
      <c r="N135" s="11">
        <v>216</v>
      </c>
      <c r="O135" s="11">
        <v>0</v>
      </c>
      <c r="P135" s="11" t="s">
        <v>2624</v>
      </c>
    </row>
    <row r="136" spans="1:16" x14ac:dyDescent="0.2">
      <c r="A136" s="52">
        <v>43556</v>
      </c>
      <c r="B136" s="11" t="s">
        <v>507</v>
      </c>
      <c r="C136" s="11" t="s">
        <v>2755</v>
      </c>
      <c r="D136" s="11" t="s">
        <v>510</v>
      </c>
      <c r="E136" s="11" t="s">
        <v>2621</v>
      </c>
      <c r="F136" s="11" t="s">
        <v>2635</v>
      </c>
      <c r="G136" s="11">
        <v>21806</v>
      </c>
      <c r="H136" s="11" t="s">
        <v>2623</v>
      </c>
      <c r="I136" s="11" t="s">
        <v>1411</v>
      </c>
      <c r="J136" s="11">
        <v>18</v>
      </c>
      <c r="K136" s="11">
        <v>18479.599999999999</v>
      </c>
      <c r="L136" s="11">
        <v>0</v>
      </c>
      <c r="M136" s="11">
        <v>1663.16</v>
      </c>
      <c r="N136" s="11">
        <v>1663.16</v>
      </c>
      <c r="O136" s="11">
        <v>0</v>
      </c>
      <c r="P136" s="11" t="s">
        <v>2624</v>
      </c>
    </row>
    <row r="137" spans="1:16" x14ac:dyDescent="0.2">
      <c r="A137" s="52">
        <v>43556</v>
      </c>
      <c r="B137" s="11" t="s">
        <v>494</v>
      </c>
      <c r="C137" s="11" t="s">
        <v>2756</v>
      </c>
      <c r="D137" s="11" t="s">
        <v>2757</v>
      </c>
      <c r="E137" s="11" t="s">
        <v>2621</v>
      </c>
      <c r="F137" s="11" t="s">
        <v>2634</v>
      </c>
      <c r="G137" s="11">
        <v>42971</v>
      </c>
      <c r="H137" s="11" t="s">
        <v>2623</v>
      </c>
      <c r="I137" s="11" t="s">
        <v>1411</v>
      </c>
      <c r="J137" s="11">
        <v>18</v>
      </c>
      <c r="K137" s="11">
        <v>36415.9</v>
      </c>
      <c r="L137" s="11">
        <v>0</v>
      </c>
      <c r="M137" s="11">
        <v>3277.43</v>
      </c>
      <c r="N137" s="11">
        <v>3277.43</v>
      </c>
      <c r="O137" s="11">
        <v>0</v>
      </c>
      <c r="P137" s="11" t="s">
        <v>2624</v>
      </c>
    </row>
    <row r="138" spans="1:16" x14ac:dyDescent="0.2">
      <c r="A138" s="52">
        <v>43556</v>
      </c>
      <c r="B138" s="11" t="s">
        <v>494</v>
      </c>
      <c r="C138" s="11" t="s">
        <v>2756</v>
      </c>
      <c r="D138" s="11" t="s">
        <v>2758</v>
      </c>
      <c r="E138" s="11" t="s">
        <v>2621</v>
      </c>
      <c r="F138" s="11" t="s">
        <v>2650</v>
      </c>
      <c r="G138" s="11">
        <v>27128</v>
      </c>
      <c r="H138" s="11" t="s">
        <v>2623</v>
      </c>
      <c r="I138" s="11" t="s">
        <v>1411</v>
      </c>
      <c r="J138" s="11">
        <v>18</v>
      </c>
      <c r="K138" s="11">
        <v>22990</v>
      </c>
      <c r="L138" s="11">
        <v>0</v>
      </c>
      <c r="M138" s="11">
        <v>2069.1</v>
      </c>
      <c r="N138" s="11">
        <v>2069.1</v>
      </c>
      <c r="O138" s="11">
        <v>0</v>
      </c>
      <c r="P138" s="11" t="s">
        <v>2624</v>
      </c>
    </row>
    <row r="139" spans="1:16" x14ac:dyDescent="0.2">
      <c r="A139" s="52">
        <v>43556</v>
      </c>
      <c r="B139" s="11" t="s">
        <v>494</v>
      </c>
      <c r="C139" s="11" t="s">
        <v>2756</v>
      </c>
      <c r="D139" s="11" t="s">
        <v>2759</v>
      </c>
      <c r="E139" s="11" t="s">
        <v>2621</v>
      </c>
      <c r="F139" s="11" t="s">
        <v>2635</v>
      </c>
      <c r="G139" s="11">
        <v>13564</v>
      </c>
      <c r="H139" s="11" t="s">
        <v>2623</v>
      </c>
      <c r="I139" s="11" t="s">
        <v>1411</v>
      </c>
      <c r="J139" s="11">
        <v>18</v>
      </c>
      <c r="K139" s="11">
        <v>11495</v>
      </c>
      <c r="L139" s="11">
        <v>0</v>
      </c>
      <c r="M139" s="11">
        <v>1034.55</v>
      </c>
      <c r="N139" s="11">
        <v>1034.55</v>
      </c>
      <c r="O139" s="11">
        <v>0</v>
      </c>
      <c r="P139" s="11" t="s">
        <v>2624</v>
      </c>
    </row>
    <row r="140" spans="1:16" x14ac:dyDescent="0.2">
      <c r="A140" s="52">
        <v>43556</v>
      </c>
      <c r="B140" s="11" t="s">
        <v>494</v>
      </c>
      <c r="C140" s="11" t="s">
        <v>2756</v>
      </c>
      <c r="D140" s="11" t="s">
        <v>2760</v>
      </c>
      <c r="E140" s="11" t="s">
        <v>2621</v>
      </c>
      <c r="F140" s="11" t="s">
        <v>2693</v>
      </c>
      <c r="G140" s="11">
        <v>12072</v>
      </c>
      <c r="H140" s="11" t="s">
        <v>2623</v>
      </c>
      <c r="I140" s="11" t="s">
        <v>1411</v>
      </c>
      <c r="J140" s="11">
        <v>18</v>
      </c>
      <c r="K140" s="11">
        <v>10230.549999999999</v>
      </c>
      <c r="L140" s="11">
        <v>0</v>
      </c>
      <c r="M140" s="11">
        <v>920.75</v>
      </c>
      <c r="N140" s="11">
        <v>920.75</v>
      </c>
      <c r="O140" s="11">
        <v>0</v>
      </c>
      <c r="P140" s="11" t="s">
        <v>2624</v>
      </c>
    </row>
    <row r="141" spans="1:16" x14ac:dyDescent="0.2">
      <c r="A141" s="52">
        <v>43556</v>
      </c>
      <c r="B141" s="11" t="s">
        <v>515</v>
      </c>
      <c r="C141" s="11" t="s">
        <v>2761</v>
      </c>
      <c r="D141" s="11" t="s">
        <v>516</v>
      </c>
      <c r="E141" s="11" t="s">
        <v>2621</v>
      </c>
      <c r="F141" s="11" t="s">
        <v>2668</v>
      </c>
      <c r="G141" s="11">
        <v>1799.5</v>
      </c>
      <c r="H141" s="11" t="s">
        <v>2623</v>
      </c>
      <c r="I141" s="11" t="s">
        <v>1411</v>
      </c>
      <c r="J141" s="11">
        <v>18</v>
      </c>
      <c r="K141" s="11">
        <v>1525</v>
      </c>
      <c r="L141" s="11">
        <v>0</v>
      </c>
      <c r="M141" s="11">
        <v>137.25</v>
      </c>
      <c r="N141" s="11">
        <v>137.25</v>
      </c>
      <c r="O141" s="11">
        <v>0</v>
      </c>
      <c r="P141" s="11" t="s">
        <v>2624</v>
      </c>
    </row>
    <row r="142" spans="1:16" x14ac:dyDescent="0.2">
      <c r="A142" s="52">
        <v>43556</v>
      </c>
      <c r="B142" s="11" t="s">
        <v>515</v>
      </c>
      <c r="C142" s="11" t="s">
        <v>2761</v>
      </c>
      <c r="D142" s="11" t="s">
        <v>596</v>
      </c>
      <c r="E142" s="11" t="s">
        <v>2621</v>
      </c>
      <c r="F142" s="11" t="s">
        <v>2682</v>
      </c>
      <c r="G142" s="11">
        <v>3481.13</v>
      </c>
      <c r="H142" s="11" t="s">
        <v>2623</v>
      </c>
      <c r="I142" s="11" t="s">
        <v>1411</v>
      </c>
      <c r="J142" s="11">
        <v>18</v>
      </c>
      <c r="K142" s="11">
        <v>2950.11</v>
      </c>
      <c r="L142" s="11">
        <v>0</v>
      </c>
      <c r="M142" s="11">
        <v>265.51</v>
      </c>
      <c r="N142" s="11">
        <v>265.51</v>
      </c>
      <c r="O142" s="11">
        <v>0</v>
      </c>
      <c r="P142" s="11" t="s">
        <v>2624</v>
      </c>
    </row>
    <row r="143" spans="1:16" x14ac:dyDescent="0.2">
      <c r="A143" s="52">
        <v>43556</v>
      </c>
      <c r="B143" s="11" t="s">
        <v>515</v>
      </c>
      <c r="C143" s="11" t="s">
        <v>2761</v>
      </c>
      <c r="D143" s="11" t="s">
        <v>597</v>
      </c>
      <c r="E143" s="11" t="s">
        <v>2621</v>
      </c>
      <c r="F143" s="11" t="s">
        <v>2682</v>
      </c>
      <c r="G143" s="11">
        <v>2360</v>
      </c>
      <c r="H143" s="11" t="s">
        <v>2623</v>
      </c>
      <c r="I143" s="11" t="s">
        <v>1411</v>
      </c>
      <c r="J143" s="11">
        <v>18</v>
      </c>
      <c r="K143" s="11">
        <v>2000</v>
      </c>
      <c r="L143" s="11">
        <v>0</v>
      </c>
      <c r="M143" s="11">
        <v>180</v>
      </c>
      <c r="N143" s="11">
        <v>180</v>
      </c>
      <c r="O143" s="11">
        <v>0</v>
      </c>
      <c r="P143" s="11" t="s">
        <v>2624</v>
      </c>
    </row>
    <row r="144" spans="1:16" x14ac:dyDescent="0.2">
      <c r="A144" s="52">
        <v>43556</v>
      </c>
      <c r="B144" s="11" t="s">
        <v>515</v>
      </c>
      <c r="C144" s="11" t="s">
        <v>2761</v>
      </c>
      <c r="D144" s="11" t="s">
        <v>598</v>
      </c>
      <c r="E144" s="11" t="s">
        <v>2621</v>
      </c>
      <c r="F144" s="11" t="s">
        <v>2682</v>
      </c>
      <c r="G144" s="11">
        <v>590</v>
      </c>
      <c r="H144" s="11" t="s">
        <v>2623</v>
      </c>
      <c r="I144" s="11" t="s">
        <v>1411</v>
      </c>
      <c r="J144" s="11">
        <v>18</v>
      </c>
      <c r="K144" s="11">
        <v>500</v>
      </c>
      <c r="L144" s="11">
        <v>0</v>
      </c>
      <c r="M144" s="11">
        <v>45</v>
      </c>
      <c r="N144" s="11">
        <v>45</v>
      </c>
      <c r="O144" s="11">
        <v>0</v>
      </c>
      <c r="P144" s="11" t="s">
        <v>2624</v>
      </c>
    </row>
    <row r="145" spans="1:16" x14ac:dyDescent="0.2">
      <c r="A145" s="52">
        <v>43556</v>
      </c>
      <c r="B145" s="11" t="s">
        <v>515</v>
      </c>
      <c r="C145" s="11" t="s">
        <v>2761</v>
      </c>
      <c r="D145" s="11" t="s">
        <v>599</v>
      </c>
      <c r="E145" s="11" t="s">
        <v>2621</v>
      </c>
      <c r="F145" s="11" t="s">
        <v>2682</v>
      </c>
      <c r="G145" s="11">
        <v>1555.62</v>
      </c>
      <c r="H145" s="11" t="s">
        <v>2623</v>
      </c>
      <c r="I145" s="11" t="s">
        <v>1411</v>
      </c>
      <c r="J145" s="11">
        <v>18</v>
      </c>
      <c r="K145" s="11">
        <v>1318.32</v>
      </c>
      <c r="L145" s="11">
        <v>0</v>
      </c>
      <c r="M145" s="11">
        <v>118.65</v>
      </c>
      <c r="N145" s="11">
        <v>118.65</v>
      </c>
      <c r="O145" s="11">
        <v>0</v>
      </c>
      <c r="P145" s="11" t="s">
        <v>2624</v>
      </c>
    </row>
    <row r="146" spans="1:16" x14ac:dyDescent="0.2">
      <c r="A146" s="52">
        <v>43556</v>
      </c>
      <c r="B146" s="11" t="s">
        <v>555</v>
      </c>
      <c r="C146" s="11" t="s">
        <v>2762</v>
      </c>
      <c r="D146" s="11" t="s">
        <v>2763</v>
      </c>
      <c r="E146" s="11" t="s">
        <v>2621</v>
      </c>
      <c r="F146" s="11" t="s">
        <v>2682</v>
      </c>
      <c r="G146" s="11">
        <v>2490.88</v>
      </c>
      <c r="H146" s="11" t="s">
        <v>2623</v>
      </c>
      <c r="I146" s="11" t="s">
        <v>1411</v>
      </c>
      <c r="J146" s="11">
        <v>28</v>
      </c>
      <c r="K146" s="11">
        <v>1946</v>
      </c>
      <c r="L146" s="11">
        <v>0</v>
      </c>
      <c r="M146" s="11">
        <v>272.44</v>
      </c>
      <c r="N146" s="11">
        <v>272.44</v>
      </c>
      <c r="O146" s="11">
        <v>0</v>
      </c>
      <c r="P146" s="11" t="s">
        <v>2624</v>
      </c>
    </row>
    <row r="147" spans="1:16" x14ac:dyDescent="0.2">
      <c r="A147" s="52">
        <v>43556</v>
      </c>
      <c r="B147" s="11" t="s">
        <v>555</v>
      </c>
      <c r="C147" s="11" t="s">
        <v>2762</v>
      </c>
      <c r="D147" s="11" t="s">
        <v>2764</v>
      </c>
      <c r="E147" s="11" t="s">
        <v>2621</v>
      </c>
      <c r="F147" s="11" t="s">
        <v>2690</v>
      </c>
      <c r="G147" s="11">
        <v>3558.4</v>
      </c>
      <c r="H147" s="11" t="s">
        <v>2623</v>
      </c>
      <c r="I147" s="11" t="s">
        <v>1411</v>
      </c>
      <c r="J147" s="11">
        <v>28</v>
      </c>
      <c r="K147" s="11">
        <v>2780</v>
      </c>
      <c r="L147" s="11">
        <v>0</v>
      </c>
      <c r="M147" s="11">
        <v>389.2</v>
      </c>
      <c r="N147" s="11">
        <v>389.2</v>
      </c>
      <c r="O147" s="11">
        <v>0</v>
      </c>
      <c r="P147" s="11" t="s">
        <v>2624</v>
      </c>
    </row>
    <row r="148" spans="1:16" x14ac:dyDescent="0.2">
      <c r="A148" s="52">
        <v>43556</v>
      </c>
      <c r="B148" s="11" t="s">
        <v>555</v>
      </c>
      <c r="C148" s="11" t="s">
        <v>2762</v>
      </c>
      <c r="D148" s="11" t="s">
        <v>2765</v>
      </c>
      <c r="E148" s="11" t="s">
        <v>2621</v>
      </c>
      <c r="F148" s="11" t="s">
        <v>2693</v>
      </c>
      <c r="G148" s="11">
        <v>7016.01</v>
      </c>
      <c r="H148" s="11" t="s">
        <v>2623</v>
      </c>
      <c r="I148" s="11" t="s">
        <v>1411</v>
      </c>
      <c r="J148" s="11">
        <v>28</v>
      </c>
      <c r="K148" s="11">
        <v>5481.25</v>
      </c>
      <c r="L148" s="11">
        <v>0</v>
      </c>
      <c r="M148" s="11">
        <v>767.38</v>
      </c>
      <c r="N148" s="11">
        <v>767.38</v>
      </c>
      <c r="O148" s="11">
        <v>0</v>
      </c>
      <c r="P148" s="11" t="s">
        <v>2624</v>
      </c>
    </row>
    <row r="149" spans="1:16" x14ac:dyDescent="0.2">
      <c r="A149" s="52">
        <v>43556</v>
      </c>
      <c r="B149" s="11" t="s">
        <v>480</v>
      </c>
      <c r="C149" s="11" t="s">
        <v>2766</v>
      </c>
      <c r="D149" s="11" t="s">
        <v>2767</v>
      </c>
      <c r="E149" s="11" t="s">
        <v>2621</v>
      </c>
      <c r="F149" s="11" t="s">
        <v>2725</v>
      </c>
      <c r="G149" s="11">
        <v>20417</v>
      </c>
      <c r="H149" s="11" t="s">
        <v>2623</v>
      </c>
      <c r="I149" s="11" t="s">
        <v>1411</v>
      </c>
      <c r="J149" s="11">
        <v>18</v>
      </c>
      <c r="K149" s="11">
        <v>17302.400000000001</v>
      </c>
      <c r="L149" s="11">
        <v>0</v>
      </c>
      <c r="M149" s="11">
        <v>1557.21</v>
      </c>
      <c r="N149" s="11">
        <v>1557.21</v>
      </c>
      <c r="O149" s="11">
        <v>0</v>
      </c>
      <c r="P149" s="11" t="s">
        <v>2624</v>
      </c>
    </row>
    <row r="150" spans="1:16" x14ac:dyDescent="0.2">
      <c r="A150" s="52">
        <v>43556</v>
      </c>
      <c r="B150" s="11" t="s">
        <v>480</v>
      </c>
      <c r="C150" s="11" t="s">
        <v>2766</v>
      </c>
      <c r="D150" s="11" t="s">
        <v>2768</v>
      </c>
      <c r="E150" s="11" t="s">
        <v>2621</v>
      </c>
      <c r="F150" s="11" t="s">
        <v>2622</v>
      </c>
      <c r="G150" s="11">
        <v>5352</v>
      </c>
      <c r="H150" s="11" t="s">
        <v>2623</v>
      </c>
      <c r="I150" s="11" t="s">
        <v>1411</v>
      </c>
      <c r="J150" s="11">
        <v>18</v>
      </c>
      <c r="K150" s="11">
        <v>4536</v>
      </c>
      <c r="L150" s="11">
        <v>0</v>
      </c>
      <c r="M150" s="11">
        <v>408.24</v>
      </c>
      <c r="N150" s="11">
        <v>408.24</v>
      </c>
      <c r="O150" s="11">
        <v>0</v>
      </c>
      <c r="P150" s="11" t="s">
        <v>2624</v>
      </c>
    </row>
    <row r="151" spans="1:16" x14ac:dyDescent="0.2">
      <c r="G151" s="11"/>
      <c r="K151" s="11"/>
      <c r="L151" s="11"/>
      <c r="M151" s="11"/>
      <c r="N151" s="11"/>
      <c r="O151" s="11"/>
    </row>
    <row r="152" spans="1:16" x14ac:dyDescent="0.2">
      <c r="A152" s="52">
        <v>43586</v>
      </c>
      <c r="B152" s="11" t="s">
        <v>2769</v>
      </c>
      <c r="C152" s="11" t="s">
        <v>682</v>
      </c>
      <c r="D152" s="11" t="s">
        <v>684</v>
      </c>
      <c r="E152" s="11" t="s">
        <v>2621</v>
      </c>
      <c r="F152" s="11" t="s">
        <v>2770</v>
      </c>
      <c r="G152" s="11">
        <v>36589.019999999997</v>
      </c>
      <c r="H152" s="11" t="s">
        <v>2623</v>
      </c>
      <c r="I152" s="11" t="s">
        <v>1411</v>
      </c>
      <c r="J152" s="11">
        <v>18</v>
      </c>
      <c r="K152" s="11">
        <v>3938.99</v>
      </c>
      <c r="L152" s="11">
        <v>0</v>
      </c>
      <c r="M152" s="11">
        <v>354.51</v>
      </c>
      <c r="N152" s="11">
        <v>354.51</v>
      </c>
      <c r="O152" s="11">
        <v>0</v>
      </c>
      <c r="P152" s="11" t="s">
        <v>2624</v>
      </c>
    </row>
    <row r="153" spans="1:16" x14ac:dyDescent="0.2">
      <c r="A153" s="52">
        <v>43586</v>
      </c>
      <c r="B153" s="11" t="s">
        <v>2769</v>
      </c>
      <c r="C153" s="11" t="s">
        <v>682</v>
      </c>
      <c r="D153" s="11" t="s">
        <v>684</v>
      </c>
      <c r="E153" s="11" t="s">
        <v>2621</v>
      </c>
      <c r="F153" s="11" t="s">
        <v>2770</v>
      </c>
      <c r="G153" s="11">
        <v>36589.019999999997</v>
      </c>
      <c r="H153" s="11" t="s">
        <v>2623</v>
      </c>
      <c r="I153" s="11" t="s">
        <v>1411</v>
      </c>
      <c r="J153" s="11">
        <v>28</v>
      </c>
      <c r="K153" s="11">
        <v>24953.91</v>
      </c>
      <c r="L153" s="11">
        <v>0</v>
      </c>
      <c r="M153" s="11">
        <v>3493.55</v>
      </c>
      <c r="N153" s="11">
        <v>3493.55</v>
      </c>
      <c r="O153" s="11">
        <v>0</v>
      </c>
      <c r="P153" s="11" t="s">
        <v>2624</v>
      </c>
    </row>
    <row r="154" spans="1:16" x14ac:dyDescent="0.2">
      <c r="A154" s="52">
        <v>43586</v>
      </c>
      <c r="B154" s="11" t="s">
        <v>614</v>
      </c>
      <c r="C154" s="11" t="s">
        <v>2771</v>
      </c>
      <c r="D154" s="11" t="s">
        <v>2772</v>
      </c>
      <c r="E154" s="11" t="s">
        <v>2621</v>
      </c>
      <c r="F154" s="11" t="s">
        <v>2773</v>
      </c>
      <c r="G154" s="11">
        <v>22302</v>
      </c>
      <c r="H154" s="11" t="s">
        <v>2623</v>
      </c>
      <c r="I154" s="11" t="s">
        <v>1411</v>
      </c>
      <c r="J154" s="11">
        <v>18</v>
      </c>
      <c r="K154" s="11">
        <v>18900</v>
      </c>
      <c r="L154" s="11">
        <v>0</v>
      </c>
      <c r="M154" s="11">
        <v>1701</v>
      </c>
      <c r="N154" s="11">
        <v>1701</v>
      </c>
      <c r="O154" s="11">
        <v>0</v>
      </c>
      <c r="P154" s="11" t="s">
        <v>2624</v>
      </c>
    </row>
    <row r="155" spans="1:16" x14ac:dyDescent="0.2">
      <c r="A155" s="52">
        <v>43586</v>
      </c>
      <c r="B155" s="11" t="s">
        <v>626</v>
      </c>
      <c r="C155" s="11" t="s">
        <v>2774</v>
      </c>
      <c r="D155" s="11" t="s">
        <v>627</v>
      </c>
      <c r="E155" s="11" t="s">
        <v>2621</v>
      </c>
      <c r="F155" s="11" t="s">
        <v>2775</v>
      </c>
      <c r="G155" s="11">
        <v>12172</v>
      </c>
      <c r="H155" s="11" t="s">
        <v>2623</v>
      </c>
      <c r="I155" s="11" t="s">
        <v>1411</v>
      </c>
      <c r="J155" s="11">
        <v>18</v>
      </c>
      <c r="K155" s="11">
        <v>10315</v>
      </c>
      <c r="L155" s="11">
        <v>0</v>
      </c>
      <c r="M155" s="11">
        <v>928.35</v>
      </c>
      <c r="N155" s="11">
        <v>928.35</v>
      </c>
      <c r="O155" s="11">
        <v>0</v>
      </c>
      <c r="P155" s="11" t="s">
        <v>2624</v>
      </c>
    </row>
    <row r="156" spans="1:16" x14ac:dyDescent="0.2">
      <c r="A156" s="52">
        <v>43586</v>
      </c>
      <c r="B156" s="11" t="s">
        <v>530</v>
      </c>
      <c r="C156" s="11" t="s">
        <v>2620</v>
      </c>
      <c r="D156" s="11" t="s">
        <v>643</v>
      </c>
      <c r="E156" s="11" t="s">
        <v>2621</v>
      </c>
      <c r="F156" s="11" t="s">
        <v>2776</v>
      </c>
      <c r="G156" s="11">
        <v>28518.240000000002</v>
      </c>
      <c r="H156" s="11" t="s">
        <v>2623</v>
      </c>
      <c r="I156" s="11" t="s">
        <v>1411</v>
      </c>
      <c r="J156" s="11">
        <v>18</v>
      </c>
      <c r="K156" s="11">
        <v>24168</v>
      </c>
      <c r="L156" s="11">
        <v>0</v>
      </c>
      <c r="M156" s="11">
        <v>2175.12</v>
      </c>
      <c r="N156" s="11">
        <v>2175.12</v>
      </c>
      <c r="O156" s="11">
        <v>0</v>
      </c>
      <c r="P156" s="11" t="s">
        <v>2624</v>
      </c>
    </row>
    <row r="157" spans="1:16" x14ac:dyDescent="0.2">
      <c r="A157" s="52">
        <v>43586</v>
      </c>
      <c r="B157" s="11" t="s">
        <v>530</v>
      </c>
      <c r="C157" s="11" t="s">
        <v>2620</v>
      </c>
      <c r="D157" s="11" t="s">
        <v>644</v>
      </c>
      <c r="E157" s="11" t="s">
        <v>2621</v>
      </c>
      <c r="F157" s="11" t="s">
        <v>2776</v>
      </c>
      <c r="G157" s="11">
        <v>4767.2</v>
      </c>
      <c r="H157" s="11" t="s">
        <v>2623</v>
      </c>
      <c r="I157" s="11" t="s">
        <v>1411</v>
      </c>
      <c r="J157" s="11">
        <v>18</v>
      </c>
      <c r="K157" s="11">
        <v>4040</v>
      </c>
      <c r="L157" s="11">
        <v>0</v>
      </c>
      <c r="M157" s="11">
        <v>363.6</v>
      </c>
      <c r="N157" s="11">
        <v>363.6</v>
      </c>
      <c r="O157" s="11">
        <v>0</v>
      </c>
      <c r="P157" s="11" t="s">
        <v>2624</v>
      </c>
    </row>
    <row r="158" spans="1:16" x14ac:dyDescent="0.2">
      <c r="A158" s="52">
        <v>43586</v>
      </c>
      <c r="B158" s="11" t="s">
        <v>477</v>
      </c>
      <c r="C158" s="11" t="s">
        <v>2625</v>
      </c>
      <c r="D158" s="11" t="s">
        <v>603</v>
      </c>
      <c r="E158" s="11" t="s">
        <v>2621</v>
      </c>
      <c r="F158" s="11" t="s">
        <v>2770</v>
      </c>
      <c r="G158" s="11">
        <v>482490</v>
      </c>
      <c r="H158" s="11" t="s">
        <v>2623</v>
      </c>
      <c r="I158" s="11" t="s">
        <v>1411</v>
      </c>
      <c r="J158" s="11">
        <v>28</v>
      </c>
      <c r="K158" s="11">
        <v>376945</v>
      </c>
      <c r="L158" s="11">
        <v>0</v>
      </c>
      <c r="M158" s="11">
        <v>52772.3</v>
      </c>
      <c r="N158" s="11">
        <v>52772.3</v>
      </c>
      <c r="O158" s="11">
        <v>0</v>
      </c>
      <c r="P158" s="11" t="s">
        <v>2624</v>
      </c>
    </row>
    <row r="159" spans="1:16" x14ac:dyDescent="0.2">
      <c r="A159" s="52">
        <v>43586</v>
      </c>
      <c r="B159" s="11" t="s">
        <v>477</v>
      </c>
      <c r="C159" s="11" t="s">
        <v>2625</v>
      </c>
      <c r="D159" s="11" t="s">
        <v>632</v>
      </c>
      <c r="E159" s="11" t="s">
        <v>2621</v>
      </c>
      <c r="F159" s="11" t="s">
        <v>2777</v>
      </c>
      <c r="G159" s="11">
        <v>47967</v>
      </c>
      <c r="H159" s="11" t="s">
        <v>2623</v>
      </c>
      <c r="I159" s="11" t="s">
        <v>1411</v>
      </c>
      <c r="J159" s="11">
        <v>18</v>
      </c>
      <c r="K159" s="11">
        <v>40650</v>
      </c>
      <c r="L159" s="11">
        <v>0</v>
      </c>
      <c r="M159" s="11">
        <v>3658.5</v>
      </c>
      <c r="N159" s="11">
        <v>3658.5</v>
      </c>
      <c r="O159" s="11">
        <v>0</v>
      </c>
      <c r="P159" s="11" t="s">
        <v>2624</v>
      </c>
    </row>
    <row r="160" spans="1:16" x14ac:dyDescent="0.2">
      <c r="A160" s="52">
        <v>43586</v>
      </c>
      <c r="B160" s="11" t="s">
        <v>592</v>
      </c>
      <c r="C160" s="11" t="s">
        <v>2637</v>
      </c>
      <c r="D160" s="11" t="s">
        <v>623</v>
      </c>
      <c r="E160" s="11" t="s">
        <v>2621</v>
      </c>
      <c r="F160" s="11" t="s">
        <v>2778</v>
      </c>
      <c r="G160" s="11">
        <v>69420</v>
      </c>
      <c r="H160" s="11" t="s">
        <v>2623</v>
      </c>
      <c r="I160" s="11" t="s">
        <v>1411</v>
      </c>
      <c r="J160" s="11">
        <v>18</v>
      </c>
      <c r="K160" s="11">
        <v>58830</v>
      </c>
      <c r="L160" s="11">
        <v>0</v>
      </c>
      <c r="M160" s="11">
        <v>5294.7</v>
      </c>
      <c r="N160" s="11">
        <v>5294.7</v>
      </c>
      <c r="O160" s="11">
        <v>0</v>
      </c>
      <c r="P160" s="11" t="s">
        <v>2624</v>
      </c>
    </row>
    <row r="161" spans="1:16" x14ac:dyDescent="0.2">
      <c r="A161" s="52">
        <v>43586</v>
      </c>
      <c r="B161" s="11" t="s">
        <v>592</v>
      </c>
      <c r="C161" s="11" t="s">
        <v>2637</v>
      </c>
      <c r="D161" s="11" t="s">
        <v>639</v>
      </c>
      <c r="E161" s="11" t="s">
        <v>2621</v>
      </c>
      <c r="F161" s="11" t="s">
        <v>2776</v>
      </c>
      <c r="G161" s="11">
        <v>9736</v>
      </c>
      <c r="H161" s="11" t="s">
        <v>2623</v>
      </c>
      <c r="I161" s="11" t="s">
        <v>1411</v>
      </c>
      <c r="J161" s="11">
        <v>18</v>
      </c>
      <c r="K161" s="11">
        <v>8250</v>
      </c>
      <c r="L161" s="11">
        <v>0</v>
      </c>
      <c r="M161" s="11">
        <v>742.5</v>
      </c>
      <c r="N161" s="11">
        <v>742.5</v>
      </c>
      <c r="O161" s="11">
        <v>0</v>
      </c>
      <c r="P161" s="11" t="s">
        <v>2624</v>
      </c>
    </row>
    <row r="162" spans="1:16" x14ac:dyDescent="0.2">
      <c r="A162" s="52">
        <v>43586</v>
      </c>
      <c r="B162" s="11" t="s">
        <v>592</v>
      </c>
      <c r="C162" s="11" t="s">
        <v>2637</v>
      </c>
      <c r="D162" s="11" t="s">
        <v>664</v>
      </c>
      <c r="E162" s="11" t="s">
        <v>2621</v>
      </c>
      <c r="F162" s="11" t="s">
        <v>2779</v>
      </c>
      <c r="G162" s="11">
        <v>20178</v>
      </c>
      <c r="H162" s="11" t="s">
        <v>2623</v>
      </c>
      <c r="I162" s="11" t="s">
        <v>1411</v>
      </c>
      <c r="J162" s="11">
        <v>18</v>
      </c>
      <c r="K162" s="11">
        <v>17100</v>
      </c>
      <c r="L162" s="11">
        <v>0</v>
      </c>
      <c r="M162" s="11">
        <v>1539</v>
      </c>
      <c r="N162" s="11">
        <v>1539</v>
      </c>
      <c r="O162" s="11">
        <v>0</v>
      </c>
      <c r="P162" s="11" t="s">
        <v>2624</v>
      </c>
    </row>
    <row r="163" spans="1:16" x14ac:dyDescent="0.2">
      <c r="A163" s="52">
        <v>43586</v>
      </c>
      <c r="B163" s="11" t="s">
        <v>592</v>
      </c>
      <c r="C163" s="11" t="s">
        <v>2637</v>
      </c>
      <c r="D163" s="11" t="s">
        <v>665</v>
      </c>
      <c r="E163" s="11" t="s">
        <v>2621</v>
      </c>
      <c r="F163" s="11" t="s">
        <v>2780</v>
      </c>
      <c r="G163" s="11">
        <v>15930</v>
      </c>
      <c r="H163" s="11" t="s">
        <v>2623</v>
      </c>
      <c r="I163" s="11" t="s">
        <v>1411</v>
      </c>
      <c r="J163" s="11">
        <v>18</v>
      </c>
      <c r="K163" s="11">
        <v>13500</v>
      </c>
      <c r="L163" s="11">
        <v>0</v>
      </c>
      <c r="M163" s="11">
        <v>1215</v>
      </c>
      <c r="N163" s="11">
        <v>1215</v>
      </c>
      <c r="O163" s="11">
        <v>0</v>
      </c>
      <c r="P163" s="11" t="s">
        <v>2624</v>
      </c>
    </row>
    <row r="164" spans="1:16" x14ac:dyDescent="0.2">
      <c r="A164" s="52">
        <v>43586</v>
      </c>
      <c r="B164" s="11" t="s">
        <v>602</v>
      </c>
      <c r="C164" s="11" t="s">
        <v>2781</v>
      </c>
      <c r="D164" s="11" t="s">
        <v>2782</v>
      </c>
      <c r="E164" s="11" t="s">
        <v>2621</v>
      </c>
      <c r="F164" s="11" t="s">
        <v>2775</v>
      </c>
      <c r="G164" s="11">
        <v>17141.759999999998</v>
      </c>
      <c r="H164" s="11" t="s">
        <v>2623</v>
      </c>
      <c r="I164" s="11" t="s">
        <v>1411</v>
      </c>
      <c r="J164" s="11">
        <v>28</v>
      </c>
      <c r="K164" s="11">
        <v>13392</v>
      </c>
      <c r="L164" s="11">
        <v>0</v>
      </c>
      <c r="M164" s="11">
        <v>1874.88</v>
      </c>
      <c r="N164" s="11">
        <v>1874.88</v>
      </c>
      <c r="O164" s="11">
        <v>0</v>
      </c>
      <c r="P164" s="11" t="s">
        <v>2624</v>
      </c>
    </row>
    <row r="165" spans="1:16" x14ac:dyDescent="0.2">
      <c r="A165" s="52">
        <v>43586</v>
      </c>
      <c r="B165" s="11" t="s">
        <v>602</v>
      </c>
      <c r="C165" s="11" t="s">
        <v>2781</v>
      </c>
      <c r="D165" s="11" t="s">
        <v>2783</v>
      </c>
      <c r="E165" s="11" t="s">
        <v>2621</v>
      </c>
      <c r="F165" s="11" t="s">
        <v>2777</v>
      </c>
      <c r="G165" s="11">
        <v>25712.639999999999</v>
      </c>
      <c r="H165" s="11" t="s">
        <v>2623</v>
      </c>
      <c r="I165" s="11" t="s">
        <v>1411</v>
      </c>
      <c r="J165" s="11">
        <v>28</v>
      </c>
      <c r="K165" s="11">
        <v>20088</v>
      </c>
      <c r="L165" s="11">
        <v>0</v>
      </c>
      <c r="M165" s="11">
        <v>2812.32</v>
      </c>
      <c r="N165" s="11">
        <v>2812.32</v>
      </c>
      <c r="O165" s="11">
        <v>0</v>
      </c>
      <c r="P165" s="11" t="s">
        <v>2624</v>
      </c>
    </row>
    <row r="166" spans="1:16" x14ac:dyDescent="0.2">
      <c r="A166" s="52">
        <v>43586</v>
      </c>
      <c r="B166" s="11" t="s">
        <v>602</v>
      </c>
      <c r="C166" s="11" t="s">
        <v>2781</v>
      </c>
      <c r="D166" s="11" t="s">
        <v>2784</v>
      </c>
      <c r="E166" s="11" t="s">
        <v>2621</v>
      </c>
      <c r="F166" s="11" t="s">
        <v>2776</v>
      </c>
      <c r="G166" s="11">
        <v>22885.64</v>
      </c>
      <c r="H166" s="11" t="s">
        <v>2623</v>
      </c>
      <c r="I166" s="11" t="s">
        <v>1411</v>
      </c>
      <c r="J166" s="11">
        <v>28</v>
      </c>
      <c r="K166" s="11">
        <v>17879.400000000001</v>
      </c>
      <c r="L166" s="11">
        <v>0</v>
      </c>
      <c r="M166" s="11">
        <v>2503.12</v>
      </c>
      <c r="N166" s="11">
        <v>2503.12</v>
      </c>
      <c r="O166" s="11">
        <v>0</v>
      </c>
      <c r="P166" s="11" t="s">
        <v>2624</v>
      </c>
    </row>
    <row r="167" spans="1:16" x14ac:dyDescent="0.2">
      <c r="A167" s="52">
        <v>43586</v>
      </c>
      <c r="B167" s="11" t="s">
        <v>602</v>
      </c>
      <c r="C167" s="11" t="s">
        <v>2781</v>
      </c>
      <c r="D167" s="11" t="s">
        <v>2785</v>
      </c>
      <c r="E167" s="11" t="s">
        <v>2621</v>
      </c>
      <c r="F167" s="11" t="s">
        <v>2776</v>
      </c>
      <c r="G167" s="11">
        <v>10285.06</v>
      </c>
      <c r="H167" s="11" t="s">
        <v>2623</v>
      </c>
      <c r="I167" s="11" t="s">
        <v>1411</v>
      </c>
      <c r="J167" s="11">
        <v>28</v>
      </c>
      <c r="K167" s="11">
        <v>8035.2</v>
      </c>
      <c r="L167" s="11">
        <v>0</v>
      </c>
      <c r="M167" s="11">
        <v>1124.93</v>
      </c>
      <c r="N167" s="11">
        <v>1124.93</v>
      </c>
      <c r="O167" s="11">
        <v>0</v>
      </c>
      <c r="P167" s="11" t="s">
        <v>2624</v>
      </c>
    </row>
    <row r="168" spans="1:16" x14ac:dyDescent="0.2">
      <c r="A168" s="52">
        <v>43586</v>
      </c>
      <c r="B168" s="11" t="s">
        <v>602</v>
      </c>
      <c r="C168" s="11" t="s">
        <v>2781</v>
      </c>
      <c r="D168" s="11" t="s">
        <v>2786</v>
      </c>
      <c r="E168" s="11" t="s">
        <v>2621</v>
      </c>
      <c r="F168" s="11" t="s">
        <v>2787</v>
      </c>
      <c r="G168" s="11">
        <v>42501.88</v>
      </c>
      <c r="H168" s="11" t="s">
        <v>2623</v>
      </c>
      <c r="I168" s="11" t="s">
        <v>1411</v>
      </c>
      <c r="J168" s="11">
        <v>28</v>
      </c>
      <c r="K168" s="11">
        <v>33204.6</v>
      </c>
      <c r="L168" s="11">
        <v>0</v>
      </c>
      <c r="M168" s="11">
        <v>4648.6400000000003</v>
      </c>
      <c r="N168" s="11">
        <v>4648.6400000000003</v>
      </c>
      <c r="O168" s="11">
        <v>0</v>
      </c>
      <c r="P168" s="11" t="s">
        <v>2624</v>
      </c>
    </row>
    <row r="169" spans="1:16" x14ac:dyDescent="0.2">
      <c r="A169" s="52">
        <v>43586</v>
      </c>
      <c r="B169" s="11" t="s">
        <v>602</v>
      </c>
      <c r="C169" s="11" t="s">
        <v>2781</v>
      </c>
      <c r="D169" s="11" t="s">
        <v>2788</v>
      </c>
      <c r="E169" s="11" t="s">
        <v>2621</v>
      </c>
      <c r="F169" s="11" t="s">
        <v>2787</v>
      </c>
      <c r="G169" s="11">
        <v>8570.8799999999992</v>
      </c>
      <c r="H169" s="11" t="s">
        <v>2623</v>
      </c>
      <c r="I169" s="11" t="s">
        <v>1411</v>
      </c>
      <c r="J169" s="11">
        <v>28</v>
      </c>
      <c r="K169" s="11">
        <v>6696</v>
      </c>
      <c r="L169" s="11">
        <v>0</v>
      </c>
      <c r="M169" s="11">
        <v>937.44</v>
      </c>
      <c r="N169" s="11">
        <v>937.44</v>
      </c>
      <c r="O169" s="11">
        <v>0</v>
      </c>
      <c r="P169" s="11" t="s">
        <v>2624</v>
      </c>
    </row>
    <row r="170" spans="1:16" x14ac:dyDescent="0.2">
      <c r="A170" s="52">
        <v>43586</v>
      </c>
      <c r="B170" s="11" t="s">
        <v>602</v>
      </c>
      <c r="C170" s="11" t="s">
        <v>2781</v>
      </c>
      <c r="D170" s="11" t="s">
        <v>2789</v>
      </c>
      <c r="E170" s="11" t="s">
        <v>2621</v>
      </c>
      <c r="F170" s="11" t="s">
        <v>2790</v>
      </c>
      <c r="G170" s="11">
        <v>17141.759999999998</v>
      </c>
      <c r="H170" s="11" t="s">
        <v>2623</v>
      </c>
      <c r="I170" s="11" t="s">
        <v>1411</v>
      </c>
      <c r="J170" s="11">
        <v>28</v>
      </c>
      <c r="K170" s="11">
        <v>13392</v>
      </c>
      <c r="L170" s="11">
        <v>0</v>
      </c>
      <c r="M170" s="11">
        <v>1874.88</v>
      </c>
      <c r="N170" s="11">
        <v>1874.88</v>
      </c>
      <c r="O170" s="11">
        <v>0</v>
      </c>
      <c r="P170" s="11" t="s">
        <v>2624</v>
      </c>
    </row>
    <row r="171" spans="1:16" x14ac:dyDescent="0.2">
      <c r="A171" s="52">
        <v>43586</v>
      </c>
      <c r="B171" s="11" t="s">
        <v>602</v>
      </c>
      <c r="C171" s="11" t="s">
        <v>2781</v>
      </c>
      <c r="D171" s="11" t="s">
        <v>2791</v>
      </c>
      <c r="E171" s="11" t="s">
        <v>2621</v>
      </c>
      <c r="F171" s="11" t="s">
        <v>2792</v>
      </c>
      <c r="G171" s="11">
        <v>20706.04</v>
      </c>
      <c r="H171" s="11" t="s">
        <v>2623</v>
      </c>
      <c r="I171" s="11" t="s">
        <v>1411</v>
      </c>
      <c r="J171" s="11">
        <v>28</v>
      </c>
      <c r="K171" s="11">
        <v>16176.6</v>
      </c>
      <c r="L171" s="11">
        <v>0</v>
      </c>
      <c r="M171" s="11">
        <v>2264.7199999999998</v>
      </c>
      <c r="N171" s="11">
        <v>2264.7199999999998</v>
      </c>
      <c r="O171" s="11">
        <v>0</v>
      </c>
      <c r="P171" s="11" t="s">
        <v>2624</v>
      </c>
    </row>
    <row r="172" spans="1:16" x14ac:dyDescent="0.2">
      <c r="A172" s="52">
        <v>43586</v>
      </c>
      <c r="B172" s="11" t="s">
        <v>602</v>
      </c>
      <c r="C172" s="11" t="s">
        <v>2781</v>
      </c>
      <c r="D172" s="11" t="s">
        <v>2793</v>
      </c>
      <c r="E172" s="11" t="s">
        <v>2621</v>
      </c>
      <c r="F172" s="11" t="s">
        <v>2792</v>
      </c>
      <c r="G172" s="11">
        <v>22284.28</v>
      </c>
      <c r="H172" s="11" t="s">
        <v>2623</v>
      </c>
      <c r="I172" s="11" t="s">
        <v>1411</v>
      </c>
      <c r="J172" s="11">
        <v>28</v>
      </c>
      <c r="K172" s="11">
        <v>17409.599999999999</v>
      </c>
      <c r="L172" s="11">
        <v>0</v>
      </c>
      <c r="M172" s="11">
        <v>2437.34</v>
      </c>
      <c r="N172" s="11">
        <v>2437.34</v>
      </c>
      <c r="O172" s="11">
        <v>0</v>
      </c>
      <c r="P172" s="11" t="s">
        <v>2624</v>
      </c>
    </row>
    <row r="173" spans="1:16" x14ac:dyDescent="0.2">
      <c r="A173" s="52">
        <v>43586</v>
      </c>
      <c r="B173" s="11" t="s">
        <v>602</v>
      </c>
      <c r="C173" s="11" t="s">
        <v>2781</v>
      </c>
      <c r="D173" s="11" t="s">
        <v>2794</v>
      </c>
      <c r="E173" s="11" t="s">
        <v>2621</v>
      </c>
      <c r="F173" s="11" t="s">
        <v>2779</v>
      </c>
      <c r="G173" s="11">
        <v>43591.68</v>
      </c>
      <c r="H173" s="11" t="s">
        <v>2623</v>
      </c>
      <c r="I173" s="11" t="s">
        <v>1411</v>
      </c>
      <c r="J173" s="11">
        <v>28</v>
      </c>
      <c r="K173" s="11">
        <v>34056</v>
      </c>
      <c r="L173" s="11">
        <v>0</v>
      </c>
      <c r="M173" s="11">
        <v>4767.84</v>
      </c>
      <c r="N173" s="11">
        <v>4767.84</v>
      </c>
      <c r="O173" s="11">
        <v>0</v>
      </c>
      <c r="P173" s="11" t="s">
        <v>2624</v>
      </c>
    </row>
    <row r="174" spans="1:16" x14ac:dyDescent="0.2">
      <c r="A174" s="52">
        <v>43586</v>
      </c>
      <c r="B174" s="11" t="s">
        <v>602</v>
      </c>
      <c r="C174" s="11" t="s">
        <v>2781</v>
      </c>
      <c r="D174" s="11" t="s">
        <v>2795</v>
      </c>
      <c r="E174" s="11" t="s">
        <v>2621</v>
      </c>
      <c r="F174" s="11" t="s">
        <v>2780</v>
      </c>
      <c r="G174" s="11">
        <v>59938.559999999998</v>
      </c>
      <c r="H174" s="11" t="s">
        <v>2623</v>
      </c>
      <c r="I174" s="11" t="s">
        <v>1411</v>
      </c>
      <c r="J174" s="11">
        <v>28</v>
      </c>
      <c r="K174" s="11">
        <v>46827</v>
      </c>
      <c r="L174" s="11">
        <v>0</v>
      </c>
      <c r="M174" s="11">
        <v>6555.78</v>
      </c>
      <c r="N174" s="11">
        <v>6555.78</v>
      </c>
      <c r="O174" s="11">
        <v>0</v>
      </c>
      <c r="P174" s="11" t="s">
        <v>2624</v>
      </c>
    </row>
    <row r="175" spans="1:16" x14ac:dyDescent="0.2">
      <c r="A175" s="52">
        <v>43586</v>
      </c>
      <c r="B175" s="11" t="s">
        <v>602</v>
      </c>
      <c r="C175" s="11" t="s">
        <v>2781</v>
      </c>
      <c r="D175" s="11" t="s">
        <v>2796</v>
      </c>
      <c r="E175" s="11" t="s">
        <v>2621</v>
      </c>
      <c r="F175" s="11" t="s">
        <v>2797</v>
      </c>
      <c r="G175" s="11">
        <v>21795.84</v>
      </c>
      <c r="H175" s="11" t="s">
        <v>2623</v>
      </c>
      <c r="I175" s="11" t="s">
        <v>1411</v>
      </c>
      <c r="J175" s="11">
        <v>28</v>
      </c>
      <c r="K175" s="11">
        <v>17028</v>
      </c>
      <c r="L175" s="11">
        <v>0</v>
      </c>
      <c r="M175" s="11">
        <v>2383.92</v>
      </c>
      <c r="N175" s="11">
        <v>2383.92</v>
      </c>
      <c r="O175" s="11">
        <v>0</v>
      </c>
      <c r="P175" s="11" t="s">
        <v>2624</v>
      </c>
    </row>
    <row r="176" spans="1:16" x14ac:dyDescent="0.2">
      <c r="A176" s="52">
        <v>43586</v>
      </c>
      <c r="B176" s="11" t="s">
        <v>602</v>
      </c>
      <c r="C176" s="11" t="s">
        <v>2781</v>
      </c>
      <c r="D176" s="11" t="s">
        <v>2798</v>
      </c>
      <c r="E176" s="11" t="s">
        <v>2621</v>
      </c>
      <c r="F176" s="11" t="s">
        <v>2797</v>
      </c>
      <c r="G176" s="11">
        <v>22284.28</v>
      </c>
      <c r="H176" s="11" t="s">
        <v>2623</v>
      </c>
      <c r="I176" s="11" t="s">
        <v>1411</v>
      </c>
      <c r="J176" s="11">
        <v>28</v>
      </c>
      <c r="K176" s="11">
        <v>17409.599999999999</v>
      </c>
      <c r="L176" s="11">
        <v>0</v>
      </c>
      <c r="M176" s="11">
        <v>2437.34</v>
      </c>
      <c r="N176" s="11">
        <v>2437.34</v>
      </c>
      <c r="O176" s="11">
        <v>0</v>
      </c>
      <c r="P176" s="11" t="s">
        <v>2624</v>
      </c>
    </row>
    <row r="177" spans="1:16" x14ac:dyDescent="0.2">
      <c r="A177" s="52">
        <v>43586</v>
      </c>
      <c r="B177" s="11" t="s">
        <v>602</v>
      </c>
      <c r="C177" s="11" t="s">
        <v>2781</v>
      </c>
      <c r="D177" s="11" t="s">
        <v>2799</v>
      </c>
      <c r="E177" s="11" t="s">
        <v>2621</v>
      </c>
      <c r="F177" s="11" t="s">
        <v>2800</v>
      </c>
      <c r="G177" s="11">
        <v>14284.8</v>
      </c>
      <c r="H177" s="11" t="s">
        <v>2623</v>
      </c>
      <c r="I177" s="11" t="s">
        <v>1411</v>
      </c>
      <c r="J177" s="11">
        <v>28</v>
      </c>
      <c r="K177" s="11">
        <v>11160</v>
      </c>
      <c r="L177" s="11">
        <v>0</v>
      </c>
      <c r="M177" s="11">
        <v>1562.4</v>
      </c>
      <c r="N177" s="11">
        <v>1562.4</v>
      </c>
      <c r="O177" s="11">
        <v>0</v>
      </c>
      <c r="P177" s="11" t="s">
        <v>2624</v>
      </c>
    </row>
    <row r="178" spans="1:16" x14ac:dyDescent="0.2">
      <c r="A178" s="52">
        <v>43586</v>
      </c>
      <c r="B178" s="11" t="s">
        <v>602</v>
      </c>
      <c r="C178" s="11" t="s">
        <v>2781</v>
      </c>
      <c r="D178" s="11" t="s">
        <v>2801</v>
      </c>
      <c r="E178" s="11" t="s">
        <v>2621</v>
      </c>
      <c r="F178" s="11" t="s">
        <v>2800</v>
      </c>
      <c r="G178" s="11">
        <v>21795.84</v>
      </c>
      <c r="H178" s="11" t="s">
        <v>2623</v>
      </c>
      <c r="I178" s="11" t="s">
        <v>1411</v>
      </c>
      <c r="J178" s="11">
        <v>28</v>
      </c>
      <c r="K178" s="11">
        <v>17028</v>
      </c>
      <c r="L178" s="11">
        <v>0</v>
      </c>
      <c r="M178" s="11">
        <v>2383.92</v>
      </c>
      <c r="N178" s="11">
        <v>2383.92</v>
      </c>
      <c r="O178" s="11">
        <v>0</v>
      </c>
      <c r="P178" s="11" t="s">
        <v>2624</v>
      </c>
    </row>
    <row r="179" spans="1:16" x14ac:dyDescent="0.2">
      <c r="A179" s="52">
        <v>43586</v>
      </c>
      <c r="B179" s="11" t="s">
        <v>602</v>
      </c>
      <c r="C179" s="11" t="s">
        <v>2781</v>
      </c>
      <c r="D179" s="11" t="s">
        <v>2802</v>
      </c>
      <c r="E179" s="11" t="s">
        <v>2621</v>
      </c>
      <c r="F179" s="11" t="s">
        <v>2803</v>
      </c>
      <c r="G179" s="11">
        <v>27244.799999999999</v>
      </c>
      <c r="H179" s="11" t="s">
        <v>2623</v>
      </c>
      <c r="I179" s="11" t="s">
        <v>1411</v>
      </c>
      <c r="J179" s="11">
        <v>28</v>
      </c>
      <c r="K179" s="11">
        <v>21285</v>
      </c>
      <c r="L179" s="11">
        <v>0</v>
      </c>
      <c r="M179" s="11">
        <v>2979.9</v>
      </c>
      <c r="N179" s="11">
        <v>2979.9</v>
      </c>
      <c r="O179" s="11">
        <v>0</v>
      </c>
      <c r="P179" s="11" t="s">
        <v>2624</v>
      </c>
    </row>
    <row r="180" spans="1:16" x14ac:dyDescent="0.2">
      <c r="A180" s="52">
        <v>43586</v>
      </c>
      <c r="B180" s="11" t="s">
        <v>602</v>
      </c>
      <c r="C180" s="11" t="s">
        <v>2781</v>
      </c>
      <c r="D180" s="11" t="s">
        <v>2804</v>
      </c>
      <c r="E180" s="11" t="s">
        <v>2621</v>
      </c>
      <c r="F180" s="11" t="s">
        <v>2803</v>
      </c>
      <c r="G180" s="11">
        <v>14284.8</v>
      </c>
      <c r="H180" s="11" t="s">
        <v>2623</v>
      </c>
      <c r="I180" s="11" t="s">
        <v>1411</v>
      </c>
      <c r="J180" s="11">
        <v>28</v>
      </c>
      <c r="K180" s="11">
        <v>11160</v>
      </c>
      <c r="L180" s="11">
        <v>0</v>
      </c>
      <c r="M180" s="11">
        <v>1562.4</v>
      </c>
      <c r="N180" s="11">
        <v>1562.4</v>
      </c>
      <c r="O180" s="11">
        <v>0</v>
      </c>
      <c r="P180" s="11" t="s">
        <v>2624</v>
      </c>
    </row>
    <row r="181" spans="1:16" x14ac:dyDescent="0.2">
      <c r="A181" s="52">
        <v>43586</v>
      </c>
      <c r="B181" s="11" t="s">
        <v>602</v>
      </c>
      <c r="C181" s="11" t="s">
        <v>2781</v>
      </c>
      <c r="D181" s="11" t="s">
        <v>2805</v>
      </c>
      <c r="E181" s="11" t="s">
        <v>2621</v>
      </c>
      <c r="F181" s="11" t="s">
        <v>2806</v>
      </c>
      <c r="G181" s="11">
        <v>39232.519999999997</v>
      </c>
      <c r="H181" s="11" t="s">
        <v>2623</v>
      </c>
      <c r="I181" s="11" t="s">
        <v>1411</v>
      </c>
      <c r="J181" s="11">
        <v>28</v>
      </c>
      <c r="K181" s="11">
        <v>30650.400000000001</v>
      </c>
      <c r="L181" s="11">
        <v>0</v>
      </c>
      <c r="M181" s="11">
        <v>4291.0600000000004</v>
      </c>
      <c r="N181" s="11">
        <v>4291.0600000000004</v>
      </c>
      <c r="O181" s="11">
        <v>0</v>
      </c>
      <c r="P181" s="11" t="s">
        <v>2624</v>
      </c>
    </row>
    <row r="182" spans="1:16" x14ac:dyDescent="0.2">
      <c r="A182" s="52">
        <v>43586</v>
      </c>
      <c r="B182" s="11" t="s">
        <v>602</v>
      </c>
      <c r="C182" s="11" t="s">
        <v>2781</v>
      </c>
      <c r="D182" s="11" t="s">
        <v>2807</v>
      </c>
      <c r="E182" s="11" t="s">
        <v>2621</v>
      </c>
      <c r="F182" s="11" t="s">
        <v>2806</v>
      </c>
      <c r="G182" s="11">
        <v>25084.1</v>
      </c>
      <c r="H182" s="11" t="s">
        <v>2623</v>
      </c>
      <c r="I182" s="11" t="s">
        <v>1411</v>
      </c>
      <c r="J182" s="11">
        <v>28</v>
      </c>
      <c r="K182" s="11">
        <v>19596.96</v>
      </c>
      <c r="L182" s="11">
        <v>0</v>
      </c>
      <c r="M182" s="11">
        <v>2743.57</v>
      </c>
      <c r="N182" s="11">
        <v>2743.57</v>
      </c>
      <c r="O182" s="11">
        <v>0</v>
      </c>
      <c r="P182" s="11" t="s">
        <v>2624</v>
      </c>
    </row>
    <row r="183" spans="1:16" x14ac:dyDescent="0.2">
      <c r="A183" s="52">
        <v>43586</v>
      </c>
      <c r="B183" s="11" t="s">
        <v>602</v>
      </c>
      <c r="C183" s="11" t="s">
        <v>2781</v>
      </c>
      <c r="D183" s="11" t="s">
        <v>2808</v>
      </c>
      <c r="E183" s="11" t="s">
        <v>2621</v>
      </c>
      <c r="F183" s="11" t="s">
        <v>2806</v>
      </c>
      <c r="G183" s="11">
        <v>22885.64</v>
      </c>
      <c r="H183" s="11" t="s">
        <v>2623</v>
      </c>
      <c r="I183" s="11" t="s">
        <v>1411</v>
      </c>
      <c r="J183" s="11">
        <v>28</v>
      </c>
      <c r="K183" s="11">
        <v>17879.400000000001</v>
      </c>
      <c r="L183" s="11">
        <v>0</v>
      </c>
      <c r="M183" s="11">
        <v>2503.12</v>
      </c>
      <c r="N183" s="11">
        <v>2503.12</v>
      </c>
      <c r="O183" s="11">
        <v>0</v>
      </c>
      <c r="P183" s="11" t="s">
        <v>2624</v>
      </c>
    </row>
    <row r="184" spans="1:16" x14ac:dyDescent="0.2">
      <c r="A184" s="52">
        <v>43586</v>
      </c>
      <c r="B184" s="11" t="s">
        <v>602</v>
      </c>
      <c r="C184" s="11" t="s">
        <v>2781</v>
      </c>
      <c r="D184" s="11" t="s">
        <v>2809</v>
      </c>
      <c r="E184" s="11" t="s">
        <v>2621</v>
      </c>
      <c r="F184" s="11" t="s">
        <v>2810</v>
      </c>
      <c r="G184" s="11">
        <v>59938.559999999998</v>
      </c>
      <c r="H184" s="11" t="s">
        <v>2623</v>
      </c>
      <c r="I184" s="11" t="s">
        <v>1411</v>
      </c>
      <c r="J184" s="11">
        <v>28</v>
      </c>
      <c r="K184" s="11">
        <v>46827</v>
      </c>
      <c r="L184" s="11">
        <v>0</v>
      </c>
      <c r="M184" s="11">
        <v>6555.78</v>
      </c>
      <c r="N184" s="11">
        <v>6555.78</v>
      </c>
      <c r="O184" s="11">
        <v>0</v>
      </c>
      <c r="P184" s="11" t="s">
        <v>2624</v>
      </c>
    </row>
    <row r="185" spans="1:16" x14ac:dyDescent="0.2">
      <c r="A185" s="52">
        <v>43586</v>
      </c>
      <c r="B185" s="11" t="s">
        <v>602</v>
      </c>
      <c r="C185" s="11" t="s">
        <v>2781</v>
      </c>
      <c r="D185" s="11" t="s">
        <v>2811</v>
      </c>
      <c r="E185" s="11" t="s">
        <v>2621</v>
      </c>
      <c r="F185" s="11" t="s">
        <v>2812</v>
      </c>
      <c r="G185" s="11">
        <v>20570.12</v>
      </c>
      <c r="H185" s="11" t="s">
        <v>2623</v>
      </c>
      <c r="I185" s="11" t="s">
        <v>1411</v>
      </c>
      <c r="J185" s="11">
        <v>28</v>
      </c>
      <c r="K185" s="11">
        <v>16070.4</v>
      </c>
      <c r="L185" s="11">
        <v>0</v>
      </c>
      <c r="M185" s="11">
        <v>2249.86</v>
      </c>
      <c r="N185" s="11">
        <v>2249.86</v>
      </c>
      <c r="O185" s="11">
        <v>0</v>
      </c>
      <c r="P185" s="11" t="s">
        <v>2624</v>
      </c>
    </row>
    <row r="186" spans="1:16" x14ac:dyDescent="0.2">
      <c r="A186" s="52">
        <v>43586</v>
      </c>
      <c r="B186" s="11" t="s">
        <v>602</v>
      </c>
      <c r="C186" s="11" t="s">
        <v>2781</v>
      </c>
      <c r="D186" s="11" t="s">
        <v>2813</v>
      </c>
      <c r="E186" s="11" t="s">
        <v>2621</v>
      </c>
      <c r="F186" s="11" t="s">
        <v>2814</v>
      </c>
      <c r="G186" s="11">
        <v>18855.939999999999</v>
      </c>
      <c r="H186" s="11" t="s">
        <v>2623</v>
      </c>
      <c r="I186" s="11" t="s">
        <v>1411</v>
      </c>
      <c r="J186" s="11">
        <v>28</v>
      </c>
      <c r="K186" s="11">
        <v>14731.2</v>
      </c>
      <c r="L186" s="11">
        <v>0</v>
      </c>
      <c r="M186" s="11">
        <v>2062.37</v>
      </c>
      <c r="N186" s="11">
        <v>2062.37</v>
      </c>
      <c r="O186" s="11">
        <v>0</v>
      </c>
      <c r="P186" s="11" t="s">
        <v>2624</v>
      </c>
    </row>
    <row r="187" spans="1:16" x14ac:dyDescent="0.2">
      <c r="A187" s="52">
        <v>43586</v>
      </c>
      <c r="B187" s="11" t="s">
        <v>519</v>
      </c>
      <c r="C187" s="11" t="s">
        <v>2639</v>
      </c>
      <c r="D187" s="11" t="s">
        <v>2815</v>
      </c>
      <c r="E187" s="11" t="s">
        <v>2621</v>
      </c>
      <c r="F187" s="11" t="s">
        <v>2816</v>
      </c>
      <c r="G187" s="11">
        <v>5658.1</v>
      </c>
      <c r="H187" s="11" t="s">
        <v>2623</v>
      </c>
      <c r="I187" s="11" t="s">
        <v>1411</v>
      </c>
      <c r="J187" s="11">
        <v>18</v>
      </c>
      <c r="K187" s="11">
        <v>4795</v>
      </c>
      <c r="L187" s="11">
        <v>0</v>
      </c>
      <c r="M187" s="11">
        <v>431.55</v>
      </c>
      <c r="N187" s="11">
        <v>431.55</v>
      </c>
      <c r="O187" s="11">
        <v>0</v>
      </c>
      <c r="P187" s="11" t="s">
        <v>2624</v>
      </c>
    </row>
    <row r="188" spans="1:16" x14ac:dyDescent="0.2">
      <c r="A188" s="52">
        <v>43586</v>
      </c>
      <c r="B188" s="11" t="s">
        <v>528</v>
      </c>
      <c r="C188" s="11" t="s">
        <v>2641</v>
      </c>
      <c r="D188" s="11" t="s">
        <v>2817</v>
      </c>
      <c r="E188" s="11" t="s">
        <v>2621</v>
      </c>
      <c r="F188" s="11" t="s">
        <v>2818</v>
      </c>
      <c r="G188" s="11">
        <v>15674</v>
      </c>
      <c r="H188" s="11" t="s">
        <v>2623</v>
      </c>
      <c r="I188" s="11" t="s">
        <v>1411</v>
      </c>
      <c r="J188" s="11">
        <v>18</v>
      </c>
      <c r="K188" s="11">
        <v>13283</v>
      </c>
      <c r="L188" s="11">
        <v>0</v>
      </c>
      <c r="M188" s="11">
        <v>1195.47</v>
      </c>
      <c r="N188" s="11">
        <v>1195.47</v>
      </c>
      <c r="O188" s="11">
        <v>0</v>
      </c>
      <c r="P188" s="11" t="s">
        <v>2624</v>
      </c>
    </row>
    <row r="189" spans="1:16" x14ac:dyDescent="0.2">
      <c r="A189" s="52">
        <v>43586</v>
      </c>
      <c r="B189" s="11" t="s">
        <v>740</v>
      </c>
      <c r="C189" s="11" t="s">
        <v>2819</v>
      </c>
      <c r="D189" s="11" t="s">
        <v>2820</v>
      </c>
      <c r="E189" s="11" t="s">
        <v>2621</v>
      </c>
      <c r="F189" s="11" t="s">
        <v>2821</v>
      </c>
      <c r="G189" s="11">
        <v>1180</v>
      </c>
      <c r="H189" s="11" t="s">
        <v>2623</v>
      </c>
      <c r="I189" s="11" t="s">
        <v>1411</v>
      </c>
      <c r="J189" s="11">
        <v>18</v>
      </c>
      <c r="K189" s="11">
        <v>1000</v>
      </c>
      <c r="L189" s="11">
        <v>0</v>
      </c>
      <c r="M189" s="11">
        <v>90</v>
      </c>
      <c r="N189" s="11">
        <v>90</v>
      </c>
      <c r="O189" s="11">
        <v>0</v>
      </c>
      <c r="P189" s="11" t="s">
        <v>2624</v>
      </c>
    </row>
    <row r="190" spans="1:16" x14ac:dyDescent="0.2">
      <c r="A190" s="52">
        <v>43586</v>
      </c>
      <c r="B190" s="11" t="s">
        <v>41</v>
      </c>
      <c r="C190" s="11" t="s">
        <v>2643</v>
      </c>
      <c r="D190" s="11" t="s">
        <v>604</v>
      </c>
      <c r="E190" s="11" t="s">
        <v>2621</v>
      </c>
      <c r="F190" s="11" t="s">
        <v>2803</v>
      </c>
      <c r="G190" s="11">
        <v>6155.52</v>
      </c>
      <c r="H190" s="11" t="s">
        <v>2623</v>
      </c>
      <c r="I190" s="11" t="s">
        <v>1411</v>
      </c>
      <c r="J190" s="11">
        <v>28</v>
      </c>
      <c r="K190" s="11">
        <v>4809</v>
      </c>
      <c r="L190" s="11">
        <v>0</v>
      </c>
      <c r="M190" s="11">
        <v>673.26</v>
      </c>
      <c r="N190" s="11">
        <v>673.26</v>
      </c>
      <c r="O190" s="11">
        <v>0</v>
      </c>
      <c r="P190" s="11" t="s">
        <v>2624</v>
      </c>
    </row>
    <row r="191" spans="1:16" x14ac:dyDescent="0.2">
      <c r="A191" s="52">
        <v>43586</v>
      </c>
      <c r="B191" s="11" t="s">
        <v>41</v>
      </c>
      <c r="C191" s="11" t="s">
        <v>2643</v>
      </c>
      <c r="D191" s="11" t="s">
        <v>605</v>
      </c>
      <c r="E191" s="11" t="s">
        <v>2621</v>
      </c>
      <c r="F191" s="11" t="s">
        <v>2803</v>
      </c>
      <c r="G191" s="11">
        <v>7696.38</v>
      </c>
      <c r="H191" s="11" t="s">
        <v>2623</v>
      </c>
      <c r="I191" s="11" t="s">
        <v>1411</v>
      </c>
      <c r="J191" s="11">
        <v>28</v>
      </c>
      <c r="K191" s="11">
        <v>6012.8</v>
      </c>
      <c r="L191" s="11">
        <v>0</v>
      </c>
      <c r="M191" s="11">
        <v>841.79</v>
      </c>
      <c r="N191" s="11">
        <v>841.79</v>
      </c>
      <c r="O191" s="11">
        <v>0</v>
      </c>
      <c r="P191" s="11" t="s">
        <v>2624</v>
      </c>
    </row>
    <row r="192" spans="1:16" x14ac:dyDescent="0.2">
      <c r="A192" s="52">
        <v>43586</v>
      </c>
      <c r="B192" s="11" t="s">
        <v>41</v>
      </c>
      <c r="C192" s="11" t="s">
        <v>2643</v>
      </c>
      <c r="D192" s="11" t="s">
        <v>645</v>
      </c>
      <c r="E192" s="11" t="s">
        <v>2621</v>
      </c>
      <c r="F192" s="11" t="s">
        <v>2776</v>
      </c>
      <c r="G192" s="11">
        <v>9428.81</v>
      </c>
      <c r="H192" s="11" t="s">
        <v>2623</v>
      </c>
      <c r="I192" s="11" t="s">
        <v>1411</v>
      </c>
      <c r="J192" s="11">
        <v>28</v>
      </c>
      <c r="K192" s="11">
        <v>7366.25</v>
      </c>
      <c r="L192" s="11">
        <v>0</v>
      </c>
      <c r="M192" s="11">
        <v>1031.28</v>
      </c>
      <c r="N192" s="11">
        <v>1031.28</v>
      </c>
      <c r="O192" s="11">
        <v>0</v>
      </c>
      <c r="P192" s="11" t="s">
        <v>2624</v>
      </c>
    </row>
    <row r="193" spans="1:16" x14ac:dyDescent="0.2">
      <c r="A193" s="52">
        <v>43586</v>
      </c>
      <c r="B193" s="11" t="s">
        <v>41</v>
      </c>
      <c r="C193" s="11" t="s">
        <v>2643</v>
      </c>
      <c r="D193" s="11" t="s">
        <v>658</v>
      </c>
      <c r="E193" s="11" t="s">
        <v>2621</v>
      </c>
      <c r="F193" s="11" t="s">
        <v>2818</v>
      </c>
      <c r="G193" s="11">
        <v>7386.62</v>
      </c>
      <c r="H193" s="11" t="s">
        <v>2623</v>
      </c>
      <c r="I193" s="11" t="s">
        <v>1411</v>
      </c>
      <c r="J193" s="11">
        <v>28</v>
      </c>
      <c r="K193" s="11">
        <v>5770.8</v>
      </c>
      <c r="L193" s="11">
        <v>0</v>
      </c>
      <c r="M193" s="11">
        <v>807.91</v>
      </c>
      <c r="N193" s="11">
        <v>807.91</v>
      </c>
      <c r="O193" s="11">
        <v>0</v>
      </c>
      <c r="P193" s="11" t="s">
        <v>2624</v>
      </c>
    </row>
    <row r="194" spans="1:16" x14ac:dyDescent="0.2">
      <c r="A194" s="52">
        <v>43586</v>
      </c>
      <c r="B194" s="11" t="s">
        <v>557</v>
      </c>
      <c r="C194" s="11" t="s">
        <v>3379</v>
      </c>
      <c r="D194" s="11" t="s">
        <v>3381</v>
      </c>
      <c r="E194" s="11" t="s">
        <v>2621</v>
      </c>
      <c r="F194" s="11" t="s">
        <v>3382</v>
      </c>
      <c r="G194" s="11">
        <v>81774</v>
      </c>
      <c r="H194" s="11" t="s">
        <v>2623</v>
      </c>
      <c r="I194" s="11" t="s">
        <v>1411</v>
      </c>
      <c r="J194" s="11">
        <v>18</v>
      </c>
      <c r="K194" s="11">
        <v>69300</v>
      </c>
      <c r="L194" s="11">
        <v>0</v>
      </c>
      <c r="M194" s="11">
        <v>6237</v>
      </c>
      <c r="N194" s="11">
        <v>6237</v>
      </c>
      <c r="O194" s="11">
        <v>0</v>
      </c>
      <c r="P194" s="11" t="s">
        <v>2624</v>
      </c>
    </row>
    <row r="195" spans="1:16" x14ac:dyDescent="0.2">
      <c r="A195" s="52">
        <v>43586</v>
      </c>
      <c r="B195" s="11" t="s">
        <v>557</v>
      </c>
      <c r="C195" s="11" t="s">
        <v>3379</v>
      </c>
      <c r="D195" s="11" t="s">
        <v>3383</v>
      </c>
      <c r="E195" s="11" t="s">
        <v>2621</v>
      </c>
      <c r="F195" s="11" t="s">
        <v>2776</v>
      </c>
      <c r="G195" s="11">
        <v>2892</v>
      </c>
      <c r="H195" s="11" t="s">
        <v>2623</v>
      </c>
      <c r="I195" s="11" t="s">
        <v>1411</v>
      </c>
      <c r="J195" s="11">
        <v>18</v>
      </c>
      <c r="K195" s="11">
        <v>2450</v>
      </c>
      <c r="L195" s="11">
        <v>0</v>
      </c>
      <c r="M195" s="11">
        <v>221</v>
      </c>
      <c r="N195" s="11">
        <v>221</v>
      </c>
      <c r="O195" s="11">
        <v>0</v>
      </c>
      <c r="P195" s="11" t="s">
        <v>2624</v>
      </c>
    </row>
    <row r="196" spans="1:16" x14ac:dyDescent="0.2">
      <c r="A196" s="52">
        <v>43586</v>
      </c>
      <c r="B196" s="11" t="s">
        <v>557</v>
      </c>
      <c r="C196" s="11" t="s">
        <v>3379</v>
      </c>
      <c r="D196" s="11" t="s">
        <v>3384</v>
      </c>
      <c r="E196" s="11" t="s">
        <v>2621</v>
      </c>
      <c r="F196" s="11" t="s">
        <v>2779</v>
      </c>
      <c r="G196" s="11">
        <v>81774</v>
      </c>
      <c r="H196" s="11" t="s">
        <v>2623</v>
      </c>
      <c r="I196" s="11" t="s">
        <v>1411</v>
      </c>
      <c r="J196" s="11">
        <v>18</v>
      </c>
      <c r="K196" s="11">
        <v>69300</v>
      </c>
      <c r="L196" s="11">
        <v>0</v>
      </c>
      <c r="M196" s="11">
        <v>6237</v>
      </c>
      <c r="N196" s="11">
        <v>6237</v>
      </c>
      <c r="O196" s="11">
        <v>0</v>
      </c>
      <c r="P196" s="11" t="s">
        <v>2624</v>
      </c>
    </row>
    <row r="197" spans="1:16" x14ac:dyDescent="0.2">
      <c r="A197" s="52">
        <v>43586</v>
      </c>
      <c r="B197" s="11" t="s">
        <v>678</v>
      </c>
      <c r="C197" s="11" t="s">
        <v>2822</v>
      </c>
      <c r="D197" s="11" t="s">
        <v>2823</v>
      </c>
      <c r="E197" s="11" t="s">
        <v>2621</v>
      </c>
      <c r="F197" s="11" t="s">
        <v>2787</v>
      </c>
      <c r="G197" s="11">
        <v>28947.200000000001</v>
      </c>
      <c r="H197" s="11" t="s">
        <v>2623</v>
      </c>
      <c r="I197" s="11" t="s">
        <v>1411</v>
      </c>
      <c r="J197" s="11">
        <v>28</v>
      </c>
      <c r="K197" s="11">
        <v>22615</v>
      </c>
      <c r="L197" s="11">
        <v>6332.2</v>
      </c>
      <c r="M197" s="11">
        <v>0</v>
      </c>
      <c r="N197" s="11">
        <v>0</v>
      </c>
      <c r="O197" s="11">
        <v>0</v>
      </c>
      <c r="P197" s="11" t="s">
        <v>2624</v>
      </c>
    </row>
    <row r="198" spans="1:16" x14ac:dyDescent="0.2">
      <c r="A198" s="52">
        <v>43586</v>
      </c>
      <c r="B198" s="11" t="s">
        <v>667</v>
      </c>
      <c r="C198" s="11" t="s">
        <v>2824</v>
      </c>
      <c r="D198" s="11" t="s">
        <v>668</v>
      </c>
      <c r="E198" s="11" t="s">
        <v>2621</v>
      </c>
      <c r="F198" s="11" t="s">
        <v>2797</v>
      </c>
      <c r="G198" s="11">
        <v>100382</v>
      </c>
      <c r="H198" s="11" t="s">
        <v>2623</v>
      </c>
      <c r="I198" s="11" t="s">
        <v>1411</v>
      </c>
      <c r="J198" s="11">
        <v>28</v>
      </c>
      <c r="K198" s="11">
        <v>78421</v>
      </c>
      <c r="L198" s="11">
        <v>0</v>
      </c>
      <c r="M198" s="11">
        <v>10978.94</v>
      </c>
      <c r="N198" s="11">
        <v>10978.94</v>
      </c>
      <c r="O198" s="11">
        <v>0</v>
      </c>
      <c r="P198" s="11" t="s">
        <v>2624</v>
      </c>
    </row>
    <row r="199" spans="1:16" x14ac:dyDescent="0.2">
      <c r="A199" s="52">
        <v>43586</v>
      </c>
      <c r="B199" s="11" t="s">
        <v>667</v>
      </c>
      <c r="C199" s="11" t="s">
        <v>2824</v>
      </c>
      <c r="D199" s="11" t="s">
        <v>669</v>
      </c>
      <c r="E199" s="11" t="s">
        <v>2621</v>
      </c>
      <c r="F199" s="11" t="s">
        <v>2797</v>
      </c>
      <c r="G199" s="11">
        <v>20480</v>
      </c>
      <c r="H199" s="11" t="s">
        <v>2623</v>
      </c>
      <c r="I199" s="11" t="s">
        <v>1411</v>
      </c>
      <c r="J199" s="11">
        <v>28</v>
      </c>
      <c r="K199" s="11">
        <v>16000</v>
      </c>
      <c r="L199" s="11">
        <v>0</v>
      </c>
      <c r="M199" s="11">
        <v>2240</v>
      </c>
      <c r="N199" s="11">
        <v>2240</v>
      </c>
      <c r="O199" s="11">
        <v>0</v>
      </c>
      <c r="P199" s="11" t="s">
        <v>2624</v>
      </c>
    </row>
    <row r="200" spans="1:16" x14ac:dyDescent="0.2">
      <c r="A200" s="52">
        <v>43586</v>
      </c>
      <c r="B200" s="11" t="s">
        <v>29</v>
      </c>
      <c r="C200" s="11" t="s">
        <v>2652</v>
      </c>
      <c r="D200" s="11" t="s">
        <v>2825</v>
      </c>
      <c r="E200" s="11" t="s">
        <v>2621</v>
      </c>
      <c r="F200" s="11" t="s">
        <v>2826</v>
      </c>
      <c r="G200" s="11">
        <v>22378.9</v>
      </c>
      <c r="H200" s="11" t="s">
        <v>2623</v>
      </c>
      <c r="I200" s="11" t="s">
        <v>1411</v>
      </c>
      <c r="J200" s="11">
        <v>28</v>
      </c>
      <c r="K200" s="11">
        <v>17483.52</v>
      </c>
      <c r="L200" s="11">
        <v>0</v>
      </c>
      <c r="M200" s="11">
        <v>2447.69</v>
      </c>
      <c r="N200" s="11">
        <v>2447.69</v>
      </c>
      <c r="O200" s="11">
        <v>0</v>
      </c>
      <c r="P200" s="11" t="s">
        <v>2624</v>
      </c>
    </row>
    <row r="201" spans="1:16" x14ac:dyDescent="0.2">
      <c r="A201" s="52">
        <v>43586</v>
      </c>
      <c r="B201" s="11" t="s">
        <v>29</v>
      </c>
      <c r="C201" s="11" t="s">
        <v>2652</v>
      </c>
      <c r="D201" s="11" t="s">
        <v>2827</v>
      </c>
      <c r="E201" s="11" t="s">
        <v>2621</v>
      </c>
      <c r="F201" s="11" t="s">
        <v>2826</v>
      </c>
      <c r="G201" s="11">
        <v>22378.9</v>
      </c>
      <c r="H201" s="11" t="s">
        <v>2623</v>
      </c>
      <c r="I201" s="11" t="s">
        <v>1411</v>
      </c>
      <c r="J201" s="11">
        <v>28</v>
      </c>
      <c r="K201" s="11">
        <v>17483.52</v>
      </c>
      <c r="L201" s="11">
        <v>0</v>
      </c>
      <c r="M201" s="11">
        <v>2447.69</v>
      </c>
      <c r="N201" s="11">
        <v>2447.69</v>
      </c>
      <c r="O201" s="11">
        <v>0</v>
      </c>
      <c r="P201" s="11" t="s">
        <v>2624</v>
      </c>
    </row>
    <row r="202" spans="1:16" x14ac:dyDescent="0.2">
      <c r="A202" s="52">
        <v>43586</v>
      </c>
      <c r="B202" s="11" t="s">
        <v>29</v>
      </c>
      <c r="C202" s="11" t="s">
        <v>2652</v>
      </c>
      <c r="D202" s="11" t="s">
        <v>2828</v>
      </c>
      <c r="E202" s="11" t="s">
        <v>2621</v>
      </c>
      <c r="F202" s="11" t="s">
        <v>2826</v>
      </c>
      <c r="G202" s="11">
        <v>22378.9</v>
      </c>
      <c r="H202" s="11" t="s">
        <v>2623</v>
      </c>
      <c r="I202" s="11" t="s">
        <v>1411</v>
      </c>
      <c r="J202" s="11">
        <v>28</v>
      </c>
      <c r="K202" s="11">
        <v>17483.52</v>
      </c>
      <c r="L202" s="11">
        <v>0</v>
      </c>
      <c r="M202" s="11">
        <v>2447.69</v>
      </c>
      <c r="N202" s="11">
        <v>2447.69</v>
      </c>
      <c r="O202" s="11">
        <v>0</v>
      </c>
      <c r="P202" s="11" t="s">
        <v>2624</v>
      </c>
    </row>
    <row r="203" spans="1:16" x14ac:dyDescent="0.2">
      <c r="A203" s="52">
        <v>43586</v>
      </c>
      <c r="B203" s="11" t="s">
        <v>29</v>
      </c>
      <c r="C203" s="11" t="s">
        <v>2652</v>
      </c>
      <c r="D203" s="11" t="s">
        <v>2829</v>
      </c>
      <c r="E203" s="11" t="s">
        <v>2621</v>
      </c>
      <c r="F203" s="11" t="s">
        <v>2826</v>
      </c>
      <c r="G203" s="11">
        <v>22378.9</v>
      </c>
      <c r="H203" s="11" t="s">
        <v>2623</v>
      </c>
      <c r="I203" s="11" t="s">
        <v>1411</v>
      </c>
      <c r="J203" s="11">
        <v>28</v>
      </c>
      <c r="K203" s="11">
        <v>17483.52</v>
      </c>
      <c r="L203" s="11">
        <v>0</v>
      </c>
      <c r="M203" s="11">
        <v>2447.69</v>
      </c>
      <c r="N203" s="11">
        <v>2447.69</v>
      </c>
      <c r="O203" s="11">
        <v>0</v>
      </c>
      <c r="P203" s="11" t="s">
        <v>2624</v>
      </c>
    </row>
    <row r="204" spans="1:16" x14ac:dyDescent="0.2">
      <c r="A204" s="52">
        <v>43586</v>
      </c>
      <c r="B204" s="11" t="s">
        <v>29</v>
      </c>
      <c r="C204" s="11" t="s">
        <v>2652</v>
      </c>
      <c r="D204" s="11" t="s">
        <v>2830</v>
      </c>
      <c r="E204" s="11" t="s">
        <v>2621</v>
      </c>
      <c r="F204" s="11" t="s">
        <v>2810</v>
      </c>
      <c r="G204" s="11">
        <v>22378.9</v>
      </c>
      <c r="H204" s="11" t="s">
        <v>2623</v>
      </c>
      <c r="I204" s="11" t="s">
        <v>1411</v>
      </c>
      <c r="J204" s="11">
        <v>28</v>
      </c>
      <c r="K204" s="11">
        <v>17483.52</v>
      </c>
      <c r="L204" s="11">
        <v>0</v>
      </c>
      <c r="M204" s="11">
        <v>2447.69</v>
      </c>
      <c r="N204" s="11">
        <v>2447.69</v>
      </c>
      <c r="O204" s="11">
        <v>0</v>
      </c>
      <c r="P204" s="11" t="s">
        <v>2624</v>
      </c>
    </row>
    <row r="205" spans="1:16" x14ac:dyDescent="0.2">
      <c r="A205" s="52">
        <v>43586</v>
      </c>
      <c r="B205" s="11" t="s">
        <v>29</v>
      </c>
      <c r="C205" s="11" t="s">
        <v>2652</v>
      </c>
      <c r="D205" s="11" t="s">
        <v>2831</v>
      </c>
      <c r="E205" s="11" t="s">
        <v>2621</v>
      </c>
      <c r="F205" s="11" t="s">
        <v>2810</v>
      </c>
      <c r="G205" s="11">
        <v>22378.9</v>
      </c>
      <c r="H205" s="11" t="s">
        <v>2623</v>
      </c>
      <c r="I205" s="11" t="s">
        <v>1411</v>
      </c>
      <c r="J205" s="11">
        <v>28</v>
      </c>
      <c r="K205" s="11">
        <v>17483.52</v>
      </c>
      <c r="L205" s="11">
        <v>0</v>
      </c>
      <c r="M205" s="11">
        <v>2447.69</v>
      </c>
      <c r="N205" s="11">
        <v>2447.69</v>
      </c>
      <c r="O205" s="11">
        <v>0</v>
      </c>
      <c r="P205" s="11" t="s">
        <v>2624</v>
      </c>
    </row>
    <row r="206" spans="1:16" x14ac:dyDescent="0.2">
      <c r="A206" s="52">
        <v>43586</v>
      </c>
      <c r="B206" s="11" t="s">
        <v>29</v>
      </c>
      <c r="C206" s="11" t="s">
        <v>2652</v>
      </c>
      <c r="D206" s="11" t="s">
        <v>2832</v>
      </c>
      <c r="E206" s="11" t="s">
        <v>2621</v>
      </c>
      <c r="F206" s="11" t="s">
        <v>2773</v>
      </c>
      <c r="G206" s="11">
        <v>22378.9</v>
      </c>
      <c r="H206" s="11" t="s">
        <v>2623</v>
      </c>
      <c r="I206" s="11" t="s">
        <v>1411</v>
      </c>
      <c r="J206" s="11">
        <v>28</v>
      </c>
      <c r="K206" s="11">
        <v>17483.52</v>
      </c>
      <c r="L206" s="11">
        <v>0</v>
      </c>
      <c r="M206" s="11">
        <v>2447.69</v>
      </c>
      <c r="N206" s="11">
        <v>2447.69</v>
      </c>
      <c r="O206" s="11">
        <v>0</v>
      </c>
      <c r="P206" s="11" t="s">
        <v>2624</v>
      </c>
    </row>
    <row r="207" spans="1:16" x14ac:dyDescent="0.2">
      <c r="A207" s="52">
        <v>43586</v>
      </c>
      <c r="B207" s="11" t="s">
        <v>29</v>
      </c>
      <c r="C207" s="11" t="s">
        <v>2652</v>
      </c>
      <c r="D207" s="11" t="s">
        <v>2833</v>
      </c>
      <c r="E207" s="11" t="s">
        <v>2621</v>
      </c>
      <c r="F207" s="11" t="s">
        <v>2773</v>
      </c>
      <c r="G207" s="11">
        <v>22378.9</v>
      </c>
      <c r="H207" s="11" t="s">
        <v>2623</v>
      </c>
      <c r="I207" s="11" t="s">
        <v>1411</v>
      </c>
      <c r="J207" s="11">
        <v>28</v>
      </c>
      <c r="K207" s="11">
        <v>17483.52</v>
      </c>
      <c r="L207" s="11">
        <v>0</v>
      </c>
      <c r="M207" s="11">
        <v>2447.69</v>
      </c>
      <c r="N207" s="11">
        <v>2447.69</v>
      </c>
      <c r="O207" s="11">
        <v>0</v>
      </c>
      <c r="P207" s="11" t="s">
        <v>2624</v>
      </c>
    </row>
    <row r="208" spans="1:16" x14ac:dyDescent="0.2">
      <c r="A208" s="52">
        <v>43586</v>
      </c>
      <c r="B208" s="11" t="s">
        <v>29</v>
      </c>
      <c r="C208" s="11" t="s">
        <v>2652</v>
      </c>
      <c r="D208" s="11" t="s">
        <v>2834</v>
      </c>
      <c r="E208" s="11" t="s">
        <v>2621</v>
      </c>
      <c r="F208" s="11" t="s">
        <v>2812</v>
      </c>
      <c r="G208" s="11">
        <v>22378.9</v>
      </c>
      <c r="H208" s="11" t="s">
        <v>2623</v>
      </c>
      <c r="I208" s="11" t="s">
        <v>1411</v>
      </c>
      <c r="J208" s="11">
        <v>28</v>
      </c>
      <c r="K208" s="11">
        <v>17483.52</v>
      </c>
      <c r="L208" s="11">
        <v>0</v>
      </c>
      <c r="M208" s="11">
        <v>2447.69</v>
      </c>
      <c r="N208" s="11">
        <v>2447.69</v>
      </c>
      <c r="O208" s="11">
        <v>0</v>
      </c>
      <c r="P208" s="11" t="s">
        <v>2624</v>
      </c>
    </row>
    <row r="209" spans="1:16" x14ac:dyDescent="0.2">
      <c r="A209" s="52">
        <v>43586</v>
      </c>
      <c r="B209" s="11" t="s">
        <v>29</v>
      </c>
      <c r="C209" s="11" t="s">
        <v>2652</v>
      </c>
      <c r="D209" s="11" t="s">
        <v>2835</v>
      </c>
      <c r="E209" s="11" t="s">
        <v>2621</v>
      </c>
      <c r="F209" s="11" t="s">
        <v>2812</v>
      </c>
      <c r="G209" s="11">
        <v>22378.9</v>
      </c>
      <c r="H209" s="11" t="s">
        <v>2623</v>
      </c>
      <c r="I209" s="11" t="s">
        <v>1411</v>
      </c>
      <c r="J209" s="11">
        <v>28</v>
      </c>
      <c r="K209" s="11">
        <v>17483.52</v>
      </c>
      <c r="L209" s="11">
        <v>0</v>
      </c>
      <c r="M209" s="11">
        <v>2447.69</v>
      </c>
      <c r="N209" s="11">
        <v>2447.69</v>
      </c>
      <c r="O209" s="11">
        <v>0</v>
      </c>
      <c r="P209" s="11" t="s">
        <v>2624</v>
      </c>
    </row>
    <row r="210" spans="1:16" x14ac:dyDescent="0.2">
      <c r="A210" s="52">
        <v>43586</v>
      </c>
      <c r="B210" s="11" t="s">
        <v>29</v>
      </c>
      <c r="C210" s="11" t="s">
        <v>2652</v>
      </c>
      <c r="D210" s="11" t="s">
        <v>2836</v>
      </c>
      <c r="E210" s="11" t="s">
        <v>2621</v>
      </c>
      <c r="F210" s="11" t="s">
        <v>2814</v>
      </c>
      <c r="G210" s="11">
        <v>22378.9</v>
      </c>
      <c r="H210" s="11" t="s">
        <v>2623</v>
      </c>
      <c r="I210" s="11" t="s">
        <v>1411</v>
      </c>
      <c r="J210" s="11">
        <v>28</v>
      </c>
      <c r="K210" s="11">
        <v>17483.52</v>
      </c>
      <c r="L210" s="11">
        <v>0</v>
      </c>
      <c r="M210" s="11">
        <v>2447.69</v>
      </c>
      <c r="N210" s="11">
        <v>2447.69</v>
      </c>
      <c r="O210" s="11">
        <v>0</v>
      </c>
      <c r="P210" s="11" t="s">
        <v>2624</v>
      </c>
    </row>
    <row r="211" spans="1:16" x14ac:dyDescent="0.2">
      <c r="A211" s="52">
        <v>43586</v>
      </c>
      <c r="B211" s="11" t="s">
        <v>29</v>
      </c>
      <c r="C211" s="11" t="s">
        <v>2652</v>
      </c>
      <c r="D211" s="11" t="s">
        <v>2837</v>
      </c>
      <c r="E211" s="11" t="s">
        <v>2621</v>
      </c>
      <c r="F211" s="11" t="s">
        <v>2814</v>
      </c>
      <c r="G211" s="11">
        <v>22378.9</v>
      </c>
      <c r="H211" s="11" t="s">
        <v>2623</v>
      </c>
      <c r="I211" s="11" t="s">
        <v>1411</v>
      </c>
      <c r="J211" s="11">
        <v>28</v>
      </c>
      <c r="K211" s="11">
        <v>17483.52</v>
      </c>
      <c r="L211" s="11">
        <v>0</v>
      </c>
      <c r="M211" s="11">
        <v>2447.69</v>
      </c>
      <c r="N211" s="11">
        <v>2447.69</v>
      </c>
      <c r="O211" s="11">
        <v>0</v>
      </c>
      <c r="P211" s="11" t="s">
        <v>2624</v>
      </c>
    </row>
    <row r="212" spans="1:16" x14ac:dyDescent="0.2">
      <c r="A212" s="52">
        <v>43586</v>
      </c>
      <c r="B212" s="11" t="s">
        <v>29</v>
      </c>
      <c r="C212" s="11" t="s">
        <v>2652</v>
      </c>
      <c r="D212" s="11" t="s">
        <v>2838</v>
      </c>
      <c r="E212" s="11" t="s">
        <v>2621</v>
      </c>
      <c r="F212" s="11" t="s">
        <v>2814</v>
      </c>
      <c r="G212" s="11">
        <v>22378.9</v>
      </c>
      <c r="H212" s="11" t="s">
        <v>2623</v>
      </c>
      <c r="I212" s="11" t="s">
        <v>1411</v>
      </c>
      <c r="J212" s="11">
        <v>28</v>
      </c>
      <c r="K212" s="11">
        <v>17483.52</v>
      </c>
      <c r="L212" s="11">
        <v>0</v>
      </c>
      <c r="M212" s="11">
        <v>2447.69</v>
      </c>
      <c r="N212" s="11">
        <v>2447.69</v>
      </c>
      <c r="O212" s="11">
        <v>0</v>
      </c>
      <c r="P212" s="11" t="s">
        <v>2624</v>
      </c>
    </row>
    <row r="213" spans="1:16" x14ac:dyDescent="0.2">
      <c r="A213" s="52">
        <v>43586</v>
      </c>
      <c r="B213" s="11" t="s">
        <v>29</v>
      </c>
      <c r="C213" s="11" t="s">
        <v>2652</v>
      </c>
      <c r="D213" s="11" t="s">
        <v>2839</v>
      </c>
      <c r="E213" s="11" t="s">
        <v>2621</v>
      </c>
      <c r="F213" s="11" t="s">
        <v>2814</v>
      </c>
      <c r="G213" s="11">
        <v>22378.9</v>
      </c>
      <c r="H213" s="11" t="s">
        <v>2623</v>
      </c>
      <c r="I213" s="11" t="s">
        <v>1411</v>
      </c>
      <c r="J213" s="11">
        <v>28</v>
      </c>
      <c r="K213" s="11">
        <v>17483.52</v>
      </c>
      <c r="L213" s="11">
        <v>0</v>
      </c>
      <c r="M213" s="11">
        <v>2447.69</v>
      </c>
      <c r="N213" s="11">
        <v>2447.69</v>
      </c>
      <c r="O213" s="11">
        <v>0</v>
      </c>
      <c r="P213" s="11" t="s">
        <v>2624</v>
      </c>
    </row>
    <row r="214" spans="1:16" x14ac:dyDescent="0.2">
      <c r="A214" s="52">
        <v>43586</v>
      </c>
      <c r="B214" s="11" t="s">
        <v>29</v>
      </c>
      <c r="C214" s="11" t="s">
        <v>2652</v>
      </c>
      <c r="D214" s="11" t="s">
        <v>2840</v>
      </c>
      <c r="E214" s="11" t="s">
        <v>2621</v>
      </c>
      <c r="F214" s="11" t="s">
        <v>2778</v>
      </c>
      <c r="G214" s="11">
        <v>22378.9</v>
      </c>
      <c r="H214" s="11" t="s">
        <v>2623</v>
      </c>
      <c r="I214" s="11" t="s">
        <v>1411</v>
      </c>
      <c r="J214" s="11">
        <v>28</v>
      </c>
      <c r="K214" s="11">
        <v>17483.52</v>
      </c>
      <c r="L214" s="11">
        <v>0</v>
      </c>
      <c r="M214" s="11">
        <v>2447.69</v>
      </c>
      <c r="N214" s="11">
        <v>2447.69</v>
      </c>
      <c r="O214" s="11">
        <v>0</v>
      </c>
      <c r="P214" s="11" t="s">
        <v>2624</v>
      </c>
    </row>
    <row r="215" spans="1:16" x14ac:dyDescent="0.2">
      <c r="A215" s="52">
        <v>43586</v>
      </c>
      <c r="B215" s="11" t="s">
        <v>29</v>
      </c>
      <c r="C215" s="11" t="s">
        <v>2652</v>
      </c>
      <c r="D215" s="11" t="s">
        <v>2841</v>
      </c>
      <c r="E215" s="11" t="s">
        <v>2621</v>
      </c>
      <c r="F215" s="11" t="s">
        <v>2778</v>
      </c>
      <c r="G215" s="11">
        <v>22378.9</v>
      </c>
      <c r="H215" s="11" t="s">
        <v>2623</v>
      </c>
      <c r="I215" s="11" t="s">
        <v>1411</v>
      </c>
      <c r="J215" s="11">
        <v>28</v>
      </c>
      <c r="K215" s="11">
        <v>17483.52</v>
      </c>
      <c r="L215" s="11">
        <v>0</v>
      </c>
      <c r="M215" s="11">
        <v>2447.69</v>
      </c>
      <c r="N215" s="11">
        <v>2447.69</v>
      </c>
      <c r="O215" s="11">
        <v>0</v>
      </c>
      <c r="P215" s="11" t="s">
        <v>2624</v>
      </c>
    </row>
    <row r="216" spans="1:16" x14ac:dyDescent="0.2">
      <c r="A216" s="52">
        <v>43586</v>
      </c>
      <c r="B216" s="11" t="s">
        <v>29</v>
      </c>
      <c r="C216" s="11" t="s">
        <v>2652</v>
      </c>
      <c r="D216" s="11" t="s">
        <v>2842</v>
      </c>
      <c r="E216" s="11" t="s">
        <v>2621</v>
      </c>
      <c r="F216" s="11" t="s">
        <v>2778</v>
      </c>
      <c r="G216" s="11">
        <v>14919.28</v>
      </c>
      <c r="H216" s="11" t="s">
        <v>2623</v>
      </c>
      <c r="I216" s="11" t="s">
        <v>1411</v>
      </c>
      <c r="J216" s="11">
        <v>28</v>
      </c>
      <c r="K216" s="11">
        <v>11655.68</v>
      </c>
      <c r="L216" s="11">
        <v>0</v>
      </c>
      <c r="M216" s="11">
        <v>1631.8</v>
      </c>
      <c r="N216" s="11">
        <v>1631.8</v>
      </c>
      <c r="O216" s="11">
        <v>0</v>
      </c>
      <c r="P216" s="11" t="s">
        <v>2624</v>
      </c>
    </row>
    <row r="217" spans="1:16" x14ac:dyDescent="0.2">
      <c r="A217" s="52">
        <v>43586</v>
      </c>
      <c r="B217" s="11" t="s">
        <v>29</v>
      </c>
      <c r="C217" s="11" t="s">
        <v>2652</v>
      </c>
      <c r="D217" s="11" t="s">
        <v>2843</v>
      </c>
      <c r="E217" s="11" t="s">
        <v>2621</v>
      </c>
      <c r="F217" s="11" t="s">
        <v>2844</v>
      </c>
      <c r="G217" s="11">
        <v>22378.9</v>
      </c>
      <c r="H217" s="11" t="s">
        <v>2623</v>
      </c>
      <c r="I217" s="11" t="s">
        <v>1411</v>
      </c>
      <c r="J217" s="11">
        <v>28</v>
      </c>
      <c r="K217" s="11">
        <v>17483.52</v>
      </c>
      <c r="L217" s="11">
        <v>0</v>
      </c>
      <c r="M217" s="11">
        <v>2447.69</v>
      </c>
      <c r="N217" s="11">
        <v>2447.69</v>
      </c>
      <c r="O217" s="11">
        <v>0</v>
      </c>
      <c r="P217" s="11" t="s">
        <v>2624</v>
      </c>
    </row>
    <row r="218" spans="1:16" x14ac:dyDescent="0.2">
      <c r="A218" s="52">
        <v>43586</v>
      </c>
      <c r="B218" s="11" t="s">
        <v>29</v>
      </c>
      <c r="C218" s="11" t="s">
        <v>2652</v>
      </c>
      <c r="D218" s="11" t="s">
        <v>2845</v>
      </c>
      <c r="E218" s="11" t="s">
        <v>2621</v>
      </c>
      <c r="F218" s="11" t="s">
        <v>2844</v>
      </c>
      <c r="G218" s="11">
        <v>22378.9</v>
      </c>
      <c r="H218" s="11" t="s">
        <v>2623</v>
      </c>
      <c r="I218" s="11" t="s">
        <v>1411</v>
      </c>
      <c r="J218" s="11">
        <v>28</v>
      </c>
      <c r="K218" s="11">
        <v>17483.52</v>
      </c>
      <c r="L218" s="11">
        <v>0</v>
      </c>
      <c r="M218" s="11">
        <v>2447.69</v>
      </c>
      <c r="N218" s="11">
        <v>2447.69</v>
      </c>
      <c r="O218" s="11">
        <v>0</v>
      </c>
      <c r="P218" s="11" t="s">
        <v>2624</v>
      </c>
    </row>
    <row r="219" spans="1:16" x14ac:dyDescent="0.2">
      <c r="A219" s="52">
        <v>43586</v>
      </c>
      <c r="B219" s="11" t="s">
        <v>29</v>
      </c>
      <c r="C219" s="11" t="s">
        <v>2652</v>
      </c>
      <c r="D219" s="11" t="s">
        <v>2846</v>
      </c>
      <c r="E219" s="11" t="s">
        <v>2621</v>
      </c>
      <c r="F219" s="11" t="s">
        <v>2844</v>
      </c>
      <c r="G219" s="11">
        <v>22378.9</v>
      </c>
      <c r="H219" s="11" t="s">
        <v>2623</v>
      </c>
      <c r="I219" s="11" t="s">
        <v>1411</v>
      </c>
      <c r="J219" s="11">
        <v>28</v>
      </c>
      <c r="K219" s="11">
        <v>17483.52</v>
      </c>
      <c r="L219" s="11">
        <v>0</v>
      </c>
      <c r="M219" s="11">
        <v>2447.69</v>
      </c>
      <c r="N219" s="11">
        <v>2447.69</v>
      </c>
      <c r="O219" s="11">
        <v>0</v>
      </c>
      <c r="P219" s="11" t="s">
        <v>2624</v>
      </c>
    </row>
    <row r="220" spans="1:16" x14ac:dyDescent="0.2">
      <c r="A220" s="52">
        <v>43586</v>
      </c>
      <c r="B220" s="11" t="s">
        <v>29</v>
      </c>
      <c r="C220" s="11" t="s">
        <v>2652</v>
      </c>
      <c r="D220" s="11" t="s">
        <v>2847</v>
      </c>
      <c r="E220" s="11" t="s">
        <v>2621</v>
      </c>
      <c r="F220" s="11" t="s">
        <v>2844</v>
      </c>
      <c r="G220" s="11">
        <v>22378.9</v>
      </c>
      <c r="H220" s="11" t="s">
        <v>2623</v>
      </c>
      <c r="I220" s="11" t="s">
        <v>1411</v>
      </c>
      <c r="J220" s="11">
        <v>28</v>
      </c>
      <c r="K220" s="11">
        <v>17483.52</v>
      </c>
      <c r="L220" s="11">
        <v>0</v>
      </c>
      <c r="M220" s="11">
        <v>2447.69</v>
      </c>
      <c r="N220" s="11">
        <v>2447.69</v>
      </c>
      <c r="O220" s="11">
        <v>0</v>
      </c>
      <c r="P220" s="11" t="s">
        <v>2624</v>
      </c>
    </row>
    <row r="221" spans="1:16" x14ac:dyDescent="0.2">
      <c r="A221" s="52">
        <v>43586</v>
      </c>
      <c r="B221" s="11" t="s">
        <v>29</v>
      </c>
      <c r="C221" s="11" t="s">
        <v>2652</v>
      </c>
      <c r="D221" s="11" t="s">
        <v>2848</v>
      </c>
      <c r="E221" s="11" t="s">
        <v>2621</v>
      </c>
      <c r="F221" s="11" t="s">
        <v>2777</v>
      </c>
      <c r="G221" s="11">
        <v>22378.9</v>
      </c>
      <c r="H221" s="11" t="s">
        <v>2623</v>
      </c>
      <c r="I221" s="11" t="s">
        <v>1411</v>
      </c>
      <c r="J221" s="11">
        <v>28</v>
      </c>
      <c r="K221" s="11">
        <v>17483.52</v>
      </c>
      <c r="L221" s="11">
        <v>0</v>
      </c>
      <c r="M221" s="11">
        <v>2447.69</v>
      </c>
      <c r="N221" s="11">
        <v>2447.69</v>
      </c>
      <c r="O221" s="11">
        <v>0</v>
      </c>
      <c r="P221" s="11" t="s">
        <v>2624</v>
      </c>
    </row>
    <row r="222" spans="1:16" x14ac:dyDescent="0.2">
      <c r="A222" s="52">
        <v>43586</v>
      </c>
      <c r="B222" s="11" t="s">
        <v>29</v>
      </c>
      <c r="C222" s="11" t="s">
        <v>2652</v>
      </c>
      <c r="D222" s="11" t="s">
        <v>2849</v>
      </c>
      <c r="E222" s="11" t="s">
        <v>2621</v>
      </c>
      <c r="F222" s="11" t="s">
        <v>2777</v>
      </c>
      <c r="G222" s="11">
        <v>22378.9</v>
      </c>
      <c r="H222" s="11" t="s">
        <v>2623</v>
      </c>
      <c r="I222" s="11" t="s">
        <v>1411</v>
      </c>
      <c r="J222" s="11">
        <v>28</v>
      </c>
      <c r="K222" s="11">
        <v>17483.52</v>
      </c>
      <c r="L222" s="11">
        <v>0</v>
      </c>
      <c r="M222" s="11">
        <v>2447.69</v>
      </c>
      <c r="N222" s="11">
        <v>2447.69</v>
      </c>
      <c r="O222" s="11">
        <v>0</v>
      </c>
      <c r="P222" s="11" t="s">
        <v>2624</v>
      </c>
    </row>
    <row r="223" spans="1:16" x14ac:dyDescent="0.2">
      <c r="A223" s="52">
        <v>43586</v>
      </c>
      <c r="B223" s="11" t="s">
        <v>29</v>
      </c>
      <c r="C223" s="11" t="s">
        <v>2652</v>
      </c>
      <c r="D223" s="11" t="s">
        <v>2850</v>
      </c>
      <c r="E223" s="11" t="s">
        <v>2621</v>
      </c>
      <c r="F223" s="11" t="s">
        <v>2851</v>
      </c>
      <c r="G223" s="11">
        <v>22378.9</v>
      </c>
      <c r="H223" s="11" t="s">
        <v>2623</v>
      </c>
      <c r="I223" s="11" t="s">
        <v>1411</v>
      </c>
      <c r="J223" s="11">
        <v>28</v>
      </c>
      <c r="K223" s="11">
        <v>17483.52</v>
      </c>
      <c r="L223" s="11">
        <v>0</v>
      </c>
      <c r="M223" s="11">
        <v>2447.69</v>
      </c>
      <c r="N223" s="11">
        <v>2447.69</v>
      </c>
      <c r="O223" s="11">
        <v>0</v>
      </c>
      <c r="P223" s="11" t="s">
        <v>2624</v>
      </c>
    </row>
    <row r="224" spans="1:16" x14ac:dyDescent="0.2">
      <c r="A224" s="52">
        <v>43586</v>
      </c>
      <c r="B224" s="11" t="s">
        <v>29</v>
      </c>
      <c r="C224" s="11" t="s">
        <v>2652</v>
      </c>
      <c r="D224" s="11" t="s">
        <v>2852</v>
      </c>
      <c r="E224" s="11" t="s">
        <v>2621</v>
      </c>
      <c r="F224" s="11" t="s">
        <v>2851</v>
      </c>
      <c r="G224" s="11">
        <v>22378.9</v>
      </c>
      <c r="H224" s="11" t="s">
        <v>2623</v>
      </c>
      <c r="I224" s="11" t="s">
        <v>1411</v>
      </c>
      <c r="J224" s="11">
        <v>28</v>
      </c>
      <c r="K224" s="11">
        <v>17483.52</v>
      </c>
      <c r="L224" s="11">
        <v>0</v>
      </c>
      <c r="M224" s="11">
        <v>2447.69</v>
      </c>
      <c r="N224" s="11">
        <v>2447.69</v>
      </c>
      <c r="O224" s="11">
        <v>0</v>
      </c>
      <c r="P224" s="11" t="s">
        <v>2624</v>
      </c>
    </row>
    <row r="225" spans="1:16" x14ac:dyDescent="0.2">
      <c r="A225" s="52">
        <v>43586</v>
      </c>
      <c r="B225" s="11" t="s">
        <v>29</v>
      </c>
      <c r="C225" s="11" t="s">
        <v>2652</v>
      </c>
      <c r="D225" s="11" t="s">
        <v>2853</v>
      </c>
      <c r="E225" s="11" t="s">
        <v>2621</v>
      </c>
      <c r="F225" s="11" t="s">
        <v>2854</v>
      </c>
      <c r="G225" s="11">
        <v>22378.9</v>
      </c>
      <c r="H225" s="11" t="s">
        <v>2623</v>
      </c>
      <c r="I225" s="11" t="s">
        <v>1411</v>
      </c>
      <c r="J225" s="11">
        <v>28</v>
      </c>
      <c r="K225" s="11">
        <v>17483.52</v>
      </c>
      <c r="L225" s="11">
        <v>0</v>
      </c>
      <c r="M225" s="11">
        <v>2447.69</v>
      </c>
      <c r="N225" s="11">
        <v>2447.69</v>
      </c>
      <c r="O225" s="11">
        <v>0</v>
      </c>
      <c r="P225" s="11" t="s">
        <v>2624</v>
      </c>
    </row>
    <row r="226" spans="1:16" x14ac:dyDescent="0.2">
      <c r="A226" s="52">
        <v>43586</v>
      </c>
      <c r="B226" s="11" t="s">
        <v>29</v>
      </c>
      <c r="C226" s="11" t="s">
        <v>2652</v>
      </c>
      <c r="D226" s="11" t="s">
        <v>2855</v>
      </c>
      <c r="E226" s="11" t="s">
        <v>2621</v>
      </c>
      <c r="F226" s="11" t="s">
        <v>2854</v>
      </c>
      <c r="G226" s="11">
        <v>22378.9</v>
      </c>
      <c r="H226" s="11" t="s">
        <v>2623</v>
      </c>
      <c r="I226" s="11" t="s">
        <v>1411</v>
      </c>
      <c r="J226" s="11">
        <v>28</v>
      </c>
      <c r="K226" s="11">
        <v>17483.52</v>
      </c>
      <c r="L226" s="11">
        <v>0</v>
      </c>
      <c r="M226" s="11">
        <v>2447.69</v>
      </c>
      <c r="N226" s="11">
        <v>2447.69</v>
      </c>
      <c r="O226" s="11">
        <v>0</v>
      </c>
      <c r="P226" s="11" t="s">
        <v>2624</v>
      </c>
    </row>
    <row r="227" spans="1:16" x14ac:dyDescent="0.2">
      <c r="A227" s="52">
        <v>43586</v>
      </c>
      <c r="B227" s="11" t="s">
        <v>29</v>
      </c>
      <c r="C227" s="11" t="s">
        <v>2652</v>
      </c>
      <c r="D227" s="11" t="s">
        <v>2856</v>
      </c>
      <c r="E227" s="11" t="s">
        <v>2621</v>
      </c>
      <c r="F227" s="11" t="s">
        <v>2776</v>
      </c>
      <c r="G227" s="11">
        <v>22378.9</v>
      </c>
      <c r="H227" s="11" t="s">
        <v>2623</v>
      </c>
      <c r="I227" s="11" t="s">
        <v>1411</v>
      </c>
      <c r="J227" s="11">
        <v>28</v>
      </c>
      <c r="K227" s="11">
        <v>17483.52</v>
      </c>
      <c r="L227" s="11">
        <v>0</v>
      </c>
      <c r="M227" s="11">
        <v>2447.69</v>
      </c>
      <c r="N227" s="11">
        <v>2447.69</v>
      </c>
      <c r="O227" s="11">
        <v>0</v>
      </c>
      <c r="P227" s="11" t="s">
        <v>2624</v>
      </c>
    </row>
    <row r="228" spans="1:16" x14ac:dyDescent="0.2">
      <c r="A228" s="52">
        <v>43586</v>
      </c>
      <c r="B228" s="11" t="s">
        <v>29</v>
      </c>
      <c r="C228" s="11" t="s">
        <v>2652</v>
      </c>
      <c r="D228" s="11" t="s">
        <v>2857</v>
      </c>
      <c r="E228" s="11" t="s">
        <v>2621</v>
      </c>
      <c r="F228" s="11" t="s">
        <v>2776</v>
      </c>
      <c r="G228" s="11">
        <v>22378.9</v>
      </c>
      <c r="H228" s="11" t="s">
        <v>2623</v>
      </c>
      <c r="I228" s="11" t="s">
        <v>1411</v>
      </c>
      <c r="J228" s="11">
        <v>28</v>
      </c>
      <c r="K228" s="11">
        <v>17483.52</v>
      </c>
      <c r="L228" s="11">
        <v>0</v>
      </c>
      <c r="M228" s="11">
        <v>2447.69</v>
      </c>
      <c r="N228" s="11">
        <v>2447.69</v>
      </c>
      <c r="O228" s="11">
        <v>0</v>
      </c>
      <c r="P228" s="11" t="s">
        <v>2624</v>
      </c>
    </row>
    <row r="229" spans="1:16" x14ac:dyDescent="0.2">
      <c r="A229" s="52">
        <v>43586</v>
      </c>
      <c r="B229" s="11" t="s">
        <v>29</v>
      </c>
      <c r="C229" s="11" t="s">
        <v>2652</v>
      </c>
      <c r="D229" s="11" t="s">
        <v>2858</v>
      </c>
      <c r="E229" s="11" t="s">
        <v>2621</v>
      </c>
      <c r="F229" s="11" t="s">
        <v>2787</v>
      </c>
      <c r="G229" s="11">
        <v>22378.9</v>
      </c>
      <c r="H229" s="11" t="s">
        <v>2623</v>
      </c>
      <c r="I229" s="11" t="s">
        <v>1411</v>
      </c>
      <c r="J229" s="11">
        <v>28</v>
      </c>
      <c r="K229" s="11">
        <v>17483.52</v>
      </c>
      <c r="L229" s="11">
        <v>0</v>
      </c>
      <c r="M229" s="11">
        <v>2447.69</v>
      </c>
      <c r="N229" s="11">
        <v>2447.69</v>
      </c>
      <c r="O229" s="11">
        <v>0</v>
      </c>
      <c r="P229" s="11" t="s">
        <v>2624</v>
      </c>
    </row>
    <row r="230" spans="1:16" x14ac:dyDescent="0.2">
      <c r="A230" s="52">
        <v>43586</v>
      </c>
      <c r="B230" s="11" t="s">
        <v>29</v>
      </c>
      <c r="C230" s="11" t="s">
        <v>2652</v>
      </c>
      <c r="D230" s="11" t="s">
        <v>2859</v>
      </c>
      <c r="E230" s="11" t="s">
        <v>2621</v>
      </c>
      <c r="F230" s="11" t="s">
        <v>2787</v>
      </c>
      <c r="G230" s="11">
        <v>22378.9</v>
      </c>
      <c r="H230" s="11" t="s">
        <v>2623</v>
      </c>
      <c r="I230" s="11" t="s">
        <v>1411</v>
      </c>
      <c r="J230" s="11">
        <v>28</v>
      </c>
      <c r="K230" s="11">
        <v>17483.52</v>
      </c>
      <c r="L230" s="11">
        <v>0</v>
      </c>
      <c r="M230" s="11">
        <v>2447.69</v>
      </c>
      <c r="N230" s="11">
        <v>2447.69</v>
      </c>
      <c r="O230" s="11">
        <v>0</v>
      </c>
      <c r="P230" s="11" t="s">
        <v>2624</v>
      </c>
    </row>
    <row r="231" spans="1:16" x14ac:dyDescent="0.2">
      <c r="A231" s="52">
        <v>43586</v>
      </c>
      <c r="B231" s="11" t="s">
        <v>29</v>
      </c>
      <c r="C231" s="11" t="s">
        <v>2652</v>
      </c>
      <c r="D231" s="11" t="s">
        <v>2860</v>
      </c>
      <c r="E231" s="11" t="s">
        <v>2621</v>
      </c>
      <c r="F231" s="11" t="s">
        <v>2787</v>
      </c>
      <c r="G231" s="11">
        <v>22378.9</v>
      </c>
      <c r="H231" s="11" t="s">
        <v>2623</v>
      </c>
      <c r="I231" s="11" t="s">
        <v>1411</v>
      </c>
      <c r="J231" s="11">
        <v>28</v>
      </c>
      <c r="K231" s="11">
        <v>17483.52</v>
      </c>
      <c r="L231" s="11">
        <v>0</v>
      </c>
      <c r="M231" s="11">
        <v>2447.69</v>
      </c>
      <c r="N231" s="11">
        <v>2447.69</v>
      </c>
      <c r="O231" s="11">
        <v>0</v>
      </c>
      <c r="P231" s="11" t="s">
        <v>2624</v>
      </c>
    </row>
    <row r="232" spans="1:16" x14ac:dyDescent="0.2">
      <c r="A232" s="52">
        <v>43586</v>
      </c>
      <c r="B232" s="11" t="s">
        <v>29</v>
      </c>
      <c r="C232" s="11" t="s">
        <v>2652</v>
      </c>
      <c r="D232" s="11" t="s">
        <v>2861</v>
      </c>
      <c r="E232" s="11" t="s">
        <v>2621</v>
      </c>
      <c r="F232" s="11" t="s">
        <v>2787</v>
      </c>
      <c r="G232" s="11">
        <v>22378.9</v>
      </c>
      <c r="H232" s="11" t="s">
        <v>2623</v>
      </c>
      <c r="I232" s="11" t="s">
        <v>1411</v>
      </c>
      <c r="J232" s="11">
        <v>28</v>
      </c>
      <c r="K232" s="11">
        <v>17483.52</v>
      </c>
      <c r="L232" s="11">
        <v>0</v>
      </c>
      <c r="M232" s="11">
        <v>2447.69</v>
      </c>
      <c r="N232" s="11">
        <v>2447.69</v>
      </c>
      <c r="O232" s="11">
        <v>0</v>
      </c>
      <c r="P232" s="11" t="s">
        <v>2624</v>
      </c>
    </row>
    <row r="233" spans="1:16" x14ac:dyDescent="0.2">
      <c r="A233" s="52">
        <v>43586</v>
      </c>
      <c r="B233" s="11" t="s">
        <v>29</v>
      </c>
      <c r="C233" s="11" t="s">
        <v>2652</v>
      </c>
      <c r="D233" s="11" t="s">
        <v>2862</v>
      </c>
      <c r="E233" s="11" t="s">
        <v>2621</v>
      </c>
      <c r="F233" s="11" t="s">
        <v>2863</v>
      </c>
      <c r="G233" s="11">
        <v>22378.9</v>
      </c>
      <c r="H233" s="11" t="s">
        <v>2623</v>
      </c>
      <c r="I233" s="11" t="s">
        <v>1411</v>
      </c>
      <c r="J233" s="11">
        <v>28</v>
      </c>
      <c r="K233" s="11">
        <v>17483.52</v>
      </c>
      <c r="L233" s="11">
        <v>0</v>
      </c>
      <c r="M233" s="11">
        <v>2447.69</v>
      </c>
      <c r="N233" s="11">
        <v>2447.69</v>
      </c>
      <c r="O233" s="11">
        <v>0</v>
      </c>
      <c r="P233" s="11" t="s">
        <v>2624</v>
      </c>
    </row>
    <row r="234" spans="1:16" x14ac:dyDescent="0.2">
      <c r="A234" s="52">
        <v>43586</v>
      </c>
      <c r="B234" s="11" t="s">
        <v>29</v>
      </c>
      <c r="C234" s="11" t="s">
        <v>2652</v>
      </c>
      <c r="D234" s="11" t="s">
        <v>2864</v>
      </c>
      <c r="E234" s="11" t="s">
        <v>2621</v>
      </c>
      <c r="F234" s="11" t="s">
        <v>2863</v>
      </c>
      <c r="G234" s="11">
        <v>22378.9</v>
      </c>
      <c r="H234" s="11" t="s">
        <v>2623</v>
      </c>
      <c r="I234" s="11" t="s">
        <v>1411</v>
      </c>
      <c r="J234" s="11">
        <v>28</v>
      </c>
      <c r="K234" s="11">
        <v>17483.52</v>
      </c>
      <c r="L234" s="11">
        <v>0</v>
      </c>
      <c r="M234" s="11">
        <v>2447.69</v>
      </c>
      <c r="N234" s="11">
        <v>2447.69</v>
      </c>
      <c r="O234" s="11">
        <v>0</v>
      </c>
      <c r="P234" s="11" t="s">
        <v>2624</v>
      </c>
    </row>
    <row r="235" spans="1:16" x14ac:dyDescent="0.2">
      <c r="A235" s="52">
        <v>43586</v>
      </c>
      <c r="B235" s="11" t="s">
        <v>29</v>
      </c>
      <c r="C235" s="11" t="s">
        <v>2652</v>
      </c>
      <c r="D235" s="11" t="s">
        <v>2865</v>
      </c>
      <c r="E235" s="11" t="s">
        <v>2621</v>
      </c>
      <c r="F235" s="11" t="s">
        <v>2863</v>
      </c>
      <c r="G235" s="11">
        <v>22378.9</v>
      </c>
      <c r="H235" s="11" t="s">
        <v>2623</v>
      </c>
      <c r="I235" s="11" t="s">
        <v>1411</v>
      </c>
      <c r="J235" s="11">
        <v>28</v>
      </c>
      <c r="K235" s="11">
        <v>17483.52</v>
      </c>
      <c r="L235" s="11">
        <v>0</v>
      </c>
      <c r="M235" s="11">
        <v>2447.69</v>
      </c>
      <c r="N235" s="11">
        <v>2447.69</v>
      </c>
      <c r="O235" s="11">
        <v>0</v>
      </c>
      <c r="P235" s="11" t="s">
        <v>2624</v>
      </c>
    </row>
    <row r="236" spans="1:16" x14ac:dyDescent="0.2">
      <c r="A236" s="52">
        <v>43586</v>
      </c>
      <c r="B236" s="11" t="s">
        <v>29</v>
      </c>
      <c r="C236" s="11" t="s">
        <v>2652</v>
      </c>
      <c r="D236" s="11" t="s">
        <v>2866</v>
      </c>
      <c r="E236" s="11" t="s">
        <v>2621</v>
      </c>
      <c r="F236" s="11" t="s">
        <v>2863</v>
      </c>
      <c r="G236" s="11">
        <v>22378.9</v>
      </c>
      <c r="H236" s="11" t="s">
        <v>2623</v>
      </c>
      <c r="I236" s="11" t="s">
        <v>1411</v>
      </c>
      <c r="J236" s="11">
        <v>28</v>
      </c>
      <c r="K236" s="11">
        <v>17483.52</v>
      </c>
      <c r="L236" s="11">
        <v>0</v>
      </c>
      <c r="M236" s="11">
        <v>2447.69</v>
      </c>
      <c r="N236" s="11">
        <v>2447.69</v>
      </c>
      <c r="O236" s="11">
        <v>0</v>
      </c>
      <c r="P236" s="11" t="s">
        <v>2624</v>
      </c>
    </row>
    <row r="237" spans="1:16" x14ac:dyDescent="0.2">
      <c r="A237" s="52">
        <v>43586</v>
      </c>
      <c r="B237" s="11" t="s">
        <v>29</v>
      </c>
      <c r="C237" s="11" t="s">
        <v>2652</v>
      </c>
      <c r="D237" s="11" t="s">
        <v>2867</v>
      </c>
      <c r="E237" s="11" t="s">
        <v>2621</v>
      </c>
      <c r="F237" s="11" t="s">
        <v>2818</v>
      </c>
      <c r="G237" s="11">
        <v>22378.9</v>
      </c>
      <c r="H237" s="11" t="s">
        <v>2623</v>
      </c>
      <c r="I237" s="11" t="s">
        <v>1411</v>
      </c>
      <c r="J237" s="11">
        <v>28</v>
      </c>
      <c r="K237" s="11">
        <v>17483.52</v>
      </c>
      <c r="L237" s="11">
        <v>0</v>
      </c>
      <c r="M237" s="11">
        <v>2447.69</v>
      </c>
      <c r="N237" s="11">
        <v>2447.69</v>
      </c>
      <c r="O237" s="11">
        <v>0</v>
      </c>
      <c r="P237" s="11" t="s">
        <v>2624</v>
      </c>
    </row>
    <row r="238" spans="1:16" x14ac:dyDescent="0.2">
      <c r="A238" s="52">
        <v>43586</v>
      </c>
      <c r="B238" s="11" t="s">
        <v>29</v>
      </c>
      <c r="C238" s="11" t="s">
        <v>2652</v>
      </c>
      <c r="D238" s="11" t="s">
        <v>2868</v>
      </c>
      <c r="E238" s="11" t="s">
        <v>2621</v>
      </c>
      <c r="F238" s="11" t="s">
        <v>2818</v>
      </c>
      <c r="G238" s="11">
        <v>22378.9</v>
      </c>
      <c r="H238" s="11" t="s">
        <v>2623</v>
      </c>
      <c r="I238" s="11" t="s">
        <v>1411</v>
      </c>
      <c r="J238" s="11">
        <v>28</v>
      </c>
      <c r="K238" s="11">
        <v>17483.52</v>
      </c>
      <c r="L238" s="11">
        <v>0</v>
      </c>
      <c r="M238" s="11">
        <v>2447.69</v>
      </c>
      <c r="N238" s="11">
        <v>2447.69</v>
      </c>
      <c r="O238" s="11">
        <v>0</v>
      </c>
      <c r="P238" s="11" t="s">
        <v>2624</v>
      </c>
    </row>
    <row r="239" spans="1:16" x14ac:dyDescent="0.2">
      <c r="A239" s="52">
        <v>43586</v>
      </c>
      <c r="B239" s="11" t="s">
        <v>29</v>
      </c>
      <c r="C239" s="11" t="s">
        <v>2652</v>
      </c>
      <c r="D239" s="11" t="s">
        <v>2869</v>
      </c>
      <c r="E239" s="11" t="s">
        <v>2621</v>
      </c>
      <c r="F239" s="11" t="s">
        <v>2779</v>
      </c>
      <c r="G239" s="11">
        <v>22378.9</v>
      </c>
      <c r="H239" s="11" t="s">
        <v>2623</v>
      </c>
      <c r="I239" s="11" t="s">
        <v>1411</v>
      </c>
      <c r="J239" s="11">
        <v>28</v>
      </c>
      <c r="K239" s="11">
        <v>17483.52</v>
      </c>
      <c r="L239" s="11">
        <v>0</v>
      </c>
      <c r="M239" s="11">
        <v>2447.69</v>
      </c>
      <c r="N239" s="11">
        <v>2447.69</v>
      </c>
      <c r="O239" s="11">
        <v>0</v>
      </c>
      <c r="P239" s="11" t="s">
        <v>2624</v>
      </c>
    </row>
    <row r="240" spans="1:16" x14ac:dyDescent="0.2">
      <c r="A240" s="52">
        <v>43586</v>
      </c>
      <c r="B240" s="11" t="s">
        <v>29</v>
      </c>
      <c r="C240" s="11" t="s">
        <v>2652</v>
      </c>
      <c r="D240" s="11" t="s">
        <v>2870</v>
      </c>
      <c r="E240" s="11" t="s">
        <v>2621</v>
      </c>
      <c r="F240" s="11" t="s">
        <v>2779</v>
      </c>
      <c r="G240" s="11">
        <v>22378.9</v>
      </c>
      <c r="H240" s="11" t="s">
        <v>2623</v>
      </c>
      <c r="I240" s="11" t="s">
        <v>1411</v>
      </c>
      <c r="J240" s="11">
        <v>28</v>
      </c>
      <c r="K240" s="11">
        <v>17483.52</v>
      </c>
      <c r="L240" s="11">
        <v>0</v>
      </c>
      <c r="M240" s="11">
        <v>2447.69</v>
      </c>
      <c r="N240" s="11">
        <v>2447.69</v>
      </c>
      <c r="O240" s="11">
        <v>0</v>
      </c>
      <c r="P240" s="11" t="s">
        <v>2624</v>
      </c>
    </row>
    <row r="241" spans="1:16" x14ac:dyDescent="0.2">
      <c r="A241" s="52">
        <v>43586</v>
      </c>
      <c r="B241" s="11" t="s">
        <v>29</v>
      </c>
      <c r="C241" s="11" t="s">
        <v>2652</v>
      </c>
      <c r="D241" s="11" t="s">
        <v>2871</v>
      </c>
      <c r="E241" s="11" t="s">
        <v>2621</v>
      </c>
      <c r="F241" s="11" t="s">
        <v>2779</v>
      </c>
      <c r="G241" s="11">
        <v>22378.9</v>
      </c>
      <c r="H241" s="11" t="s">
        <v>2623</v>
      </c>
      <c r="I241" s="11" t="s">
        <v>1411</v>
      </c>
      <c r="J241" s="11">
        <v>28</v>
      </c>
      <c r="K241" s="11">
        <v>17483.52</v>
      </c>
      <c r="L241" s="11">
        <v>0</v>
      </c>
      <c r="M241" s="11">
        <v>2447.69</v>
      </c>
      <c r="N241" s="11">
        <v>2447.69</v>
      </c>
      <c r="O241" s="11">
        <v>0</v>
      </c>
      <c r="P241" s="11" t="s">
        <v>2624</v>
      </c>
    </row>
    <row r="242" spans="1:16" x14ac:dyDescent="0.2">
      <c r="A242" s="52">
        <v>43586</v>
      </c>
      <c r="B242" s="11" t="s">
        <v>29</v>
      </c>
      <c r="C242" s="11" t="s">
        <v>2652</v>
      </c>
      <c r="D242" s="11" t="s">
        <v>2872</v>
      </c>
      <c r="E242" s="11" t="s">
        <v>2621</v>
      </c>
      <c r="F242" s="11" t="s">
        <v>2797</v>
      </c>
      <c r="G242" s="11">
        <v>22378.9</v>
      </c>
      <c r="H242" s="11" t="s">
        <v>2623</v>
      </c>
      <c r="I242" s="11" t="s">
        <v>1411</v>
      </c>
      <c r="J242" s="11">
        <v>28</v>
      </c>
      <c r="K242" s="11">
        <v>17483.52</v>
      </c>
      <c r="L242" s="11">
        <v>0</v>
      </c>
      <c r="M242" s="11">
        <v>2447.69</v>
      </c>
      <c r="N242" s="11">
        <v>2447.69</v>
      </c>
      <c r="O242" s="11">
        <v>0</v>
      </c>
      <c r="P242" s="11" t="s">
        <v>2624</v>
      </c>
    </row>
    <row r="243" spans="1:16" x14ac:dyDescent="0.2">
      <c r="A243" s="52">
        <v>43586</v>
      </c>
      <c r="B243" s="11" t="s">
        <v>29</v>
      </c>
      <c r="C243" s="11" t="s">
        <v>2652</v>
      </c>
      <c r="D243" s="11" t="s">
        <v>2873</v>
      </c>
      <c r="E243" s="11" t="s">
        <v>2621</v>
      </c>
      <c r="F243" s="11" t="s">
        <v>2797</v>
      </c>
      <c r="G243" s="11">
        <v>22378.9</v>
      </c>
      <c r="H243" s="11" t="s">
        <v>2623</v>
      </c>
      <c r="I243" s="11" t="s">
        <v>1411</v>
      </c>
      <c r="J243" s="11">
        <v>28</v>
      </c>
      <c r="K243" s="11">
        <v>17483.52</v>
      </c>
      <c r="L243" s="11">
        <v>0</v>
      </c>
      <c r="M243" s="11">
        <v>2447.69</v>
      </c>
      <c r="N243" s="11">
        <v>2447.69</v>
      </c>
      <c r="O243" s="11">
        <v>0</v>
      </c>
      <c r="P243" s="11" t="s">
        <v>2624</v>
      </c>
    </row>
    <row r="244" spans="1:16" x14ac:dyDescent="0.2">
      <c r="A244" s="52">
        <v>43586</v>
      </c>
      <c r="B244" s="11" t="s">
        <v>29</v>
      </c>
      <c r="C244" s="11" t="s">
        <v>2652</v>
      </c>
      <c r="D244" s="11" t="s">
        <v>2874</v>
      </c>
      <c r="E244" s="11" t="s">
        <v>2621</v>
      </c>
      <c r="F244" s="11" t="s">
        <v>2875</v>
      </c>
      <c r="G244" s="11">
        <v>22378.9</v>
      </c>
      <c r="H244" s="11" t="s">
        <v>2623</v>
      </c>
      <c r="I244" s="11" t="s">
        <v>1411</v>
      </c>
      <c r="J244" s="11">
        <v>28</v>
      </c>
      <c r="K244" s="11">
        <v>17483.52</v>
      </c>
      <c r="L244" s="11">
        <v>0</v>
      </c>
      <c r="M244" s="11">
        <v>2447.69</v>
      </c>
      <c r="N244" s="11">
        <v>2447.69</v>
      </c>
      <c r="O244" s="11">
        <v>0</v>
      </c>
      <c r="P244" s="11" t="s">
        <v>2624</v>
      </c>
    </row>
    <row r="245" spans="1:16" x14ac:dyDescent="0.2">
      <c r="A245" s="52">
        <v>43586</v>
      </c>
      <c r="B245" s="11" t="s">
        <v>74</v>
      </c>
      <c r="C245" s="11" t="s">
        <v>2698</v>
      </c>
      <c r="D245" s="11" t="s">
        <v>2876</v>
      </c>
      <c r="E245" s="11" t="s">
        <v>2621</v>
      </c>
      <c r="F245" s="11" t="s">
        <v>2851</v>
      </c>
      <c r="G245" s="11">
        <v>84569.2</v>
      </c>
      <c r="H245" s="11" t="s">
        <v>2623</v>
      </c>
      <c r="I245" s="11" t="s">
        <v>1411</v>
      </c>
      <c r="J245" s="11">
        <v>18</v>
      </c>
      <c r="K245" s="11">
        <v>71668.800000000003</v>
      </c>
      <c r="L245" s="11">
        <v>0</v>
      </c>
      <c r="M245" s="11">
        <v>6450.19</v>
      </c>
      <c r="N245" s="11">
        <v>6450.19</v>
      </c>
      <c r="O245" s="11">
        <v>0</v>
      </c>
      <c r="P245" s="11" t="s">
        <v>2624</v>
      </c>
    </row>
    <row r="246" spans="1:16" x14ac:dyDescent="0.2">
      <c r="A246" s="52">
        <v>43586</v>
      </c>
      <c r="B246" s="11" t="s">
        <v>74</v>
      </c>
      <c r="C246" s="11" t="s">
        <v>2698</v>
      </c>
      <c r="D246" s="11" t="s">
        <v>2877</v>
      </c>
      <c r="E246" s="11" t="s">
        <v>2621</v>
      </c>
      <c r="F246" s="11" t="s">
        <v>2854</v>
      </c>
      <c r="G246" s="11">
        <v>62643.839999999997</v>
      </c>
      <c r="H246" s="11" t="s">
        <v>2623</v>
      </c>
      <c r="I246" s="11" t="s">
        <v>1411</v>
      </c>
      <c r="J246" s="11">
        <v>18</v>
      </c>
      <c r="K246" s="11">
        <v>53088</v>
      </c>
      <c r="L246" s="11">
        <v>0</v>
      </c>
      <c r="M246" s="11">
        <v>4777.92</v>
      </c>
      <c r="N246" s="11">
        <v>4777.92</v>
      </c>
      <c r="O246" s="11">
        <v>0</v>
      </c>
      <c r="P246" s="11" t="s">
        <v>2624</v>
      </c>
    </row>
    <row r="247" spans="1:16" x14ac:dyDescent="0.2">
      <c r="A247" s="52">
        <v>43586</v>
      </c>
      <c r="B247" s="11" t="s">
        <v>74</v>
      </c>
      <c r="C247" s="11" t="s">
        <v>2698</v>
      </c>
      <c r="D247" s="11" t="s">
        <v>2878</v>
      </c>
      <c r="E247" s="11" t="s">
        <v>2621</v>
      </c>
      <c r="F247" s="11" t="s">
        <v>2776</v>
      </c>
      <c r="G247" s="11">
        <v>31321.919999999998</v>
      </c>
      <c r="H247" s="11" t="s">
        <v>2623</v>
      </c>
      <c r="I247" s="11" t="s">
        <v>1411</v>
      </c>
      <c r="J247" s="11">
        <v>18</v>
      </c>
      <c r="K247" s="11">
        <v>26544</v>
      </c>
      <c r="L247" s="11">
        <v>0</v>
      </c>
      <c r="M247" s="11">
        <v>2388.96</v>
      </c>
      <c r="N247" s="11">
        <v>2388.96</v>
      </c>
      <c r="O247" s="11">
        <v>0</v>
      </c>
      <c r="P247" s="11" t="s">
        <v>2624</v>
      </c>
    </row>
    <row r="248" spans="1:16" x14ac:dyDescent="0.2">
      <c r="A248" s="52">
        <v>43586</v>
      </c>
      <c r="B248" s="11" t="s">
        <v>74</v>
      </c>
      <c r="C248" s="11" t="s">
        <v>2698</v>
      </c>
      <c r="D248" s="11" t="s">
        <v>2879</v>
      </c>
      <c r="E248" s="11" t="s">
        <v>2621</v>
      </c>
      <c r="F248" s="11" t="s">
        <v>2880</v>
      </c>
      <c r="G248" s="11">
        <v>53247.28</v>
      </c>
      <c r="H248" s="11" t="s">
        <v>2623</v>
      </c>
      <c r="I248" s="11" t="s">
        <v>1411</v>
      </c>
      <c r="J248" s="11">
        <v>18</v>
      </c>
      <c r="K248" s="11">
        <v>45124.800000000003</v>
      </c>
      <c r="L248" s="11">
        <v>0</v>
      </c>
      <c r="M248" s="11">
        <v>4061.23</v>
      </c>
      <c r="N248" s="11">
        <v>4061.23</v>
      </c>
      <c r="O248" s="11">
        <v>0</v>
      </c>
      <c r="P248" s="11" t="s">
        <v>2624</v>
      </c>
    </row>
    <row r="249" spans="1:16" x14ac:dyDescent="0.2">
      <c r="A249" s="52">
        <v>43586</v>
      </c>
      <c r="B249" s="11" t="s">
        <v>74</v>
      </c>
      <c r="C249" s="11" t="s">
        <v>2698</v>
      </c>
      <c r="D249" s="11" t="s">
        <v>2881</v>
      </c>
      <c r="E249" s="11" t="s">
        <v>2621</v>
      </c>
      <c r="F249" s="11" t="s">
        <v>2779</v>
      </c>
      <c r="G249" s="11">
        <v>21925.360000000001</v>
      </c>
      <c r="H249" s="11" t="s">
        <v>2623</v>
      </c>
      <c r="I249" s="11" t="s">
        <v>1411</v>
      </c>
      <c r="J249" s="11">
        <v>18</v>
      </c>
      <c r="K249" s="11">
        <v>18580.8</v>
      </c>
      <c r="L249" s="11">
        <v>0</v>
      </c>
      <c r="M249" s="11">
        <v>1672.27</v>
      </c>
      <c r="N249" s="11">
        <v>1672.27</v>
      </c>
      <c r="O249" s="11">
        <v>0</v>
      </c>
      <c r="P249" s="11" t="s">
        <v>2624</v>
      </c>
    </row>
    <row r="250" spans="1:16" x14ac:dyDescent="0.2">
      <c r="A250" s="52">
        <v>43586</v>
      </c>
      <c r="B250" s="11" t="s">
        <v>74</v>
      </c>
      <c r="C250" s="11" t="s">
        <v>2698</v>
      </c>
      <c r="D250" s="11" t="s">
        <v>2882</v>
      </c>
      <c r="E250" s="11" t="s">
        <v>2621</v>
      </c>
      <c r="F250" s="11" t="s">
        <v>2780</v>
      </c>
      <c r="G250" s="11">
        <v>28189.72</v>
      </c>
      <c r="H250" s="11" t="s">
        <v>2623</v>
      </c>
      <c r="I250" s="11" t="s">
        <v>1411</v>
      </c>
      <c r="J250" s="11">
        <v>18</v>
      </c>
      <c r="K250" s="11">
        <v>23889.599999999999</v>
      </c>
      <c r="L250" s="11">
        <v>0</v>
      </c>
      <c r="M250" s="11">
        <v>2150.06</v>
      </c>
      <c r="N250" s="11">
        <v>2150.06</v>
      </c>
      <c r="O250" s="11">
        <v>0</v>
      </c>
      <c r="P250" s="11" t="s">
        <v>2624</v>
      </c>
    </row>
    <row r="251" spans="1:16" x14ac:dyDescent="0.2">
      <c r="A251" s="52">
        <v>43586</v>
      </c>
      <c r="B251" s="11" t="s">
        <v>674</v>
      </c>
      <c r="C251" s="11" t="s">
        <v>2883</v>
      </c>
      <c r="D251" s="11" t="s">
        <v>2884</v>
      </c>
      <c r="E251" s="11" t="s">
        <v>2621</v>
      </c>
      <c r="F251" s="11" t="s">
        <v>2797</v>
      </c>
      <c r="G251" s="11">
        <v>56853</v>
      </c>
      <c r="H251" s="11" t="s">
        <v>2623</v>
      </c>
      <c r="I251" s="11" t="s">
        <v>1411</v>
      </c>
      <c r="J251" s="11">
        <v>0</v>
      </c>
      <c r="K251" s="11">
        <v>29364</v>
      </c>
      <c r="L251" s="11">
        <v>0</v>
      </c>
      <c r="M251" s="11">
        <v>0</v>
      </c>
      <c r="N251" s="11">
        <v>0</v>
      </c>
      <c r="O251" s="11">
        <v>0</v>
      </c>
      <c r="P251" s="11" t="s">
        <v>2624</v>
      </c>
    </row>
    <row r="252" spans="1:16" x14ac:dyDescent="0.2">
      <c r="A252" s="52">
        <v>43586</v>
      </c>
      <c r="B252" s="11" t="s">
        <v>674</v>
      </c>
      <c r="C252" s="11" t="s">
        <v>2883</v>
      </c>
      <c r="D252" s="11" t="s">
        <v>2884</v>
      </c>
      <c r="E252" s="11" t="s">
        <v>2621</v>
      </c>
      <c r="F252" s="11" t="s">
        <v>2797</v>
      </c>
      <c r="G252" s="11">
        <v>56853</v>
      </c>
      <c r="H252" s="11" t="s">
        <v>2623</v>
      </c>
      <c r="I252" s="11" t="s">
        <v>1411</v>
      </c>
      <c r="J252" s="11">
        <v>18</v>
      </c>
      <c r="K252" s="11">
        <v>23296</v>
      </c>
      <c r="L252" s="11">
        <v>0</v>
      </c>
      <c r="M252" s="11">
        <v>2096.64</v>
      </c>
      <c r="N252" s="11">
        <v>2096.64</v>
      </c>
      <c r="O252" s="11">
        <v>0</v>
      </c>
      <c r="P252" s="11" t="s">
        <v>2624</v>
      </c>
    </row>
    <row r="253" spans="1:16" x14ac:dyDescent="0.2">
      <c r="A253" s="52">
        <v>43586</v>
      </c>
      <c r="B253" s="11" t="s">
        <v>674</v>
      </c>
      <c r="C253" s="11" t="s">
        <v>2883</v>
      </c>
      <c r="D253" s="11" t="s">
        <v>2885</v>
      </c>
      <c r="E253" s="11" t="s">
        <v>2621</v>
      </c>
      <c r="F253" s="11" t="s">
        <v>2851</v>
      </c>
      <c r="G253" s="11">
        <v>4500</v>
      </c>
      <c r="H253" s="11" t="s">
        <v>2623</v>
      </c>
      <c r="I253" s="11" t="s">
        <v>2886</v>
      </c>
      <c r="J253" s="11">
        <v>5</v>
      </c>
      <c r="K253" s="11">
        <v>4500</v>
      </c>
      <c r="L253" s="11">
        <v>0</v>
      </c>
      <c r="M253" s="11">
        <v>112.5</v>
      </c>
      <c r="N253" s="11">
        <v>112.5</v>
      </c>
      <c r="O253" s="11">
        <v>0</v>
      </c>
      <c r="P253" s="11" t="s">
        <v>2624</v>
      </c>
    </row>
    <row r="254" spans="1:16" x14ac:dyDescent="0.2">
      <c r="A254" s="52">
        <v>43586</v>
      </c>
      <c r="B254" s="11" t="s">
        <v>539</v>
      </c>
      <c r="C254" s="11" t="s">
        <v>2704</v>
      </c>
      <c r="D254" s="11" t="s">
        <v>2887</v>
      </c>
      <c r="E254" s="11" t="s">
        <v>2621</v>
      </c>
      <c r="F254" s="11" t="s">
        <v>2814</v>
      </c>
      <c r="G254" s="11">
        <v>20296</v>
      </c>
      <c r="H254" s="11" t="s">
        <v>2623</v>
      </c>
      <c r="I254" s="11" t="s">
        <v>1411</v>
      </c>
      <c r="J254" s="11">
        <v>18</v>
      </c>
      <c r="K254" s="11">
        <v>17200</v>
      </c>
      <c r="L254" s="11">
        <v>0</v>
      </c>
      <c r="M254" s="11">
        <v>1548</v>
      </c>
      <c r="N254" s="11">
        <v>1548</v>
      </c>
      <c r="O254" s="11">
        <v>0</v>
      </c>
      <c r="P254" s="11" t="s">
        <v>2624</v>
      </c>
    </row>
    <row r="255" spans="1:16" x14ac:dyDescent="0.2">
      <c r="A255" s="52">
        <v>43586</v>
      </c>
      <c r="B255" s="11" t="s">
        <v>539</v>
      </c>
      <c r="C255" s="11" t="s">
        <v>2704</v>
      </c>
      <c r="D255" s="11" t="s">
        <v>2888</v>
      </c>
      <c r="E255" s="11" t="s">
        <v>2621</v>
      </c>
      <c r="F255" s="11" t="s">
        <v>2776</v>
      </c>
      <c r="G255" s="11">
        <v>242</v>
      </c>
      <c r="H255" s="11" t="s">
        <v>2623</v>
      </c>
      <c r="I255" s="11" t="s">
        <v>1411</v>
      </c>
      <c r="J255" s="11">
        <v>18</v>
      </c>
      <c r="K255" s="11">
        <v>205</v>
      </c>
      <c r="L255" s="11">
        <v>0</v>
      </c>
      <c r="M255" s="11">
        <v>18.45</v>
      </c>
      <c r="N255" s="11">
        <v>18.45</v>
      </c>
      <c r="O255" s="11">
        <v>0</v>
      </c>
      <c r="P255" s="11" t="s">
        <v>2624</v>
      </c>
    </row>
    <row r="256" spans="1:16" x14ac:dyDescent="0.2">
      <c r="A256" s="52">
        <v>43586</v>
      </c>
      <c r="B256" s="11" t="s">
        <v>256</v>
      </c>
      <c r="C256" s="11" t="s">
        <v>2711</v>
      </c>
      <c r="D256" s="11" t="s">
        <v>2889</v>
      </c>
      <c r="E256" s="11" t="s">
        <v>2621</v>
      </c>
      <c r="F256" s="11" t="s">
        <v>2816</v>
      </c>
      <c r="G256" s="11">
        <v>31904.51</v>
      </c>
      <c r="H256" s="11" t="s">
        <v>2623</v>
      </c>
      <c r="I256" s="11" t="s">
        <v>1411</v>
      </c>
      <c r="J256" s="11">
        <v>28</v>
      </c>
      <c r="K256" s="11">
        <v>24925.4</v>
      </c>
      <c r="L256" s="11">
        <v>6979.11</v>
      </c>
      <c r="M256" s="11">
        <v>0</v>
      </c>
      <c r="N256" s="11">
        <v>0</v>
      </c>
      <c r="O256" s="11">
        <v>0</v>
      </c>
      <c r="P256" s="11" t="s">
        <v>2624</v>
      </c>
    </row>
    <row r="257" spans="1:16" x14ac:dyDescent="0.2">
      <c r="A257" s="52">
        <v>43586</v>
      </c>
      <c r="B257" s="11" t="s">
        <v>256</v>
      </c>
      <c r="C257" s="11" t="s">
        <v>2711</v>
      </c>
      <c r="D257" s="11" t="s">
        <v>2890</v>
      </c>
      <c r="E257" s="11" t="s">
        <v>2621</v>
      </c>
      <c r="F257" s="11" t="s">
        <v>2816</v>
      </c>
      <c r="G257" s="11">
        <v>40494.720000000001</v>
      </c>
      <c r="H257" s="11" t="s">
        <v>2623</v>
      </c>
      <c r="I257" s="11" t="s">
        <v>1411</v>
      </c>
      <c r="J257" s="11">
        <v>28</v>
      </c>
      <c r="K257" s="11">
        <v>31636.5</v>
      </c>
      <c r="L257" s="11">
        <v>8858.2199999999993</v>
      </c>
      <c r="M257" s="11">
        <v>0</v>
      </c>
      <c r="N257" s="11">
        <v>0</v>
      </c>
      <c r="O257" s="11">
        <v>0</v>
      </c>
      <c r="P257" s="11" t="s">
        <v>2624</v>
      </c>
    </row>
    <row r="258" spans="1:16" x14ac:dyDescent="0.2">
      <c r="A258" s="52">
        <v>43586</v>
      </c>
      <c r="B258" s="11" t="s">
        <v>256</v>
      </c>
      <c r="C258" s="11" t="s">
        <v>2711</v>
      </c>
      <c r="D258" s="11" t="s">
        <v>2891</v>
      </c>
      <c r="E258" s="11" t="s">
        <v>2621</v>
      </c>
      <c r="F258" s="11" t="s">
        <v>2818</v>
      </c>
      <c r="G258" s="11">
        <v>3856.79</v>
      </c>
      <c r="H258" s="11" t="s">
        <v>2623</v>
      </c>
      <c r="I258" s="11" t="s">
        <v>1411</v>
      </c>
      <c r="J258" s="11">
        <v>28</v>
      </c>
      <c r="K258" s="11">
        <v>3013.12</v>
      </c>
      <c r="L258" s="11">
        <v>843.67</v>
      </c>
      <c r="M258" s="11">
        <v>0</v>
      </c>
      <c r="N258" s="11">
        <v>0</v>
      </c>
      <c r="O258" s="11">
        <v>0</v>
      </c>
      <c r="P258" s="11" t="s">
        <v>2624</v>
      </c>
    </row>
    <row r="259" spans="1:16" x14ac:dyDescent="0.2">
      <c r="A259" s="52">
        <v>43586</v>
      </c>
      <c r="B259" s="11" t="s">
        <v>256</v>
      </c>
      <c r="C259" s="11" t="s">
        <v>2711</v>
      </c>
      <c r="D259" s="11" t="s">
        <v>2892</v>
      </c>
      <c r="E259" s="11" t="s">
        <v>2621</v>
      </c>
      <c r="F259" s="11" t="s">
        <v>2779</v>
      </c>
      <c r="G259" s="11">
        <v>28925.03</v>
      </c>
      <c r="H259" s="11" t="s">
        <v>2623</v>
      </c>
      <c r="I259" s="11" t="s">
        <v>1411</v>
      </c>
      <c r="J259" s="11">
        <v>28</v>
      </c>
      <c r="K259" s="11">
        <v>22597.68</v>
      </c>
      <c r="L259" s="11">
        <v>6327.35</v>
      </c>
      <c r="M259" s="11">
        <v>0</v>
      </c>
      <c r="N259" s="11">
        <v>0</v>
      </c>
      <c r="O259" s="11">
        <v>0</v>
      </c>
      <c r="P259" s="11" t="s">
        <v>2624</v>
      </c>
    </row>
    <row r="260" spans="1:16" x14ac:dyDescent="0.2">
      <c r="A260" s="52">
        <v>43586</v>
      </c>
      <c r="B260" s="11" t="s">
        <v>256</v>
      </c>
      <c r="C260" s="11" t="s">
        <v>2711</v>
      </c>
      <c r="D260" s="11" t="s">
        <v>2893</v>
      </c>
      <c r="E260" s="11" t="s">
        <v>2621</v>
      </c>
      <c r="F260" s="11" t="s">
        <v>2875</v>
      </c>
      <c r="G260" s="11">
        <v>34709.760000000002</v>
      </c>
      <c r="H260" s="11" t="s">
        <v>2623</v>
      </c>
      <c r="I260" s="11" t="s">
        <v>1411</v>
      </c>
      <c r="J260" s="11">
        <v>28</v>
      </c>
      <c r="K260" s="11">
        <v>27117</v>
      </c>
      <c r="L260" s="11">
        <v>7592.76</v>
      </c>
      <c r="M260" s="11">
        <v>0</v>
      </c>
      <c r="N260" s="11">
        <v>0</v>
      </c>
      <c r="O260" s="11">
        <v>0</v>
      </c>
      <c r="P260" s="11" t="s">
        <v>2624</v>
      </c>
    </row>
    <row r="261" spans="1:16" x14ac:dyDescent="0.2">
      <c r="A261" s="52">
        <v>43586</v>
      </c>
      <c r="B261" s="11" t="s">
        <v>500</v>
      </c>
      <c r="C261" s="11" t="s">
        <v>2715</v>
      </c>
      <c r="D261" s="11" t="s">
        <v>616</v>
      </c>
      <c r="E261" s="11" t="s">
        <v>2621</v>
      </c>
      <c r="F261" s="11" t="s">
        <v>2773</v>
      </c>
      <c r="G261" s="11">
        <v>17392</v>
      </c>
      <c r="H261" s="11" t="s">
        <v>2623</v>
      </c>
      <c r="I261" s="11" t="s">
        <v>1411</v>
      </c>
      <c r="J261" s="11">
        <v>0</v>
      </c>
      <c r="K261" s="11">
        <v>180</v>
      </c>
      <c r="L261" s="11">
        <v>0</v>
      </c>
      <c r="M261" s="11">
        <v>0</v>
      </c>
      <c r="N261" s="11">
        <v>0</v>
      </c>
      <c r="O261" s="11">
        <v>0</v>
      </c>
      <c r="P261" s="11" t="s">
        <v>2624</v>
      </c>
    </row>
    <row r="262" spans="1:16" x14ac:dyDescent="0.2">
      <c r="A262" s="52">
        <v>43586</v>
      </c>
      <c r="B262" s="11" t="s">
        <v>500</v>
      </c>
      <c r="C262" s="11" t="s">
        <v>2715</v>
      </c>
      <c r="D262" s="11" t="s">
        <v>616</v>
      </c>
      <c r="E262" s="11" t="s">
        <v>2621</v>
      </c>
      <c r="F262" s="11" t="s">
        <v>2773</v>
      </c>
      <c r="G262" s="11">
        <v>17392</v>
      </c>
      <c r="H262" s="11" t="s">
        <v>2623</v>
      </c>
      <c r="I262" s="11" t="s">
        <v>1411</v>
      </c>
      <c r="J262" s="11">
        <v>5</v>
      </c>
      <c r="K262" s="11">
        <v>16392</v>
      </c>
      <c r="L262" s="11">
        <v>0</v>
      </c>
      <c r="M262" s="11">
        <v>409.8</v>
      </c>
      <c r="N262" s="11">
        <v>409.8</v>
      </c>
      <c r="O262" s="11">
        <v>0</v>
      </c>
      <c r="P262" s="11" t="s">
        <v>2624</v>
      </c>
    </row>
    <row r="263" spans="1:16" x14ac:dyDescent="0.2">
      <c r="A263" s="52">
        <v>43586</v>
      </c>
      <c r="B263" s="11" t="s">
        <v>500</v>
      </c>
      <c r="C263" s="11" t="s">
        <v>2715</v>
      </c>
      <c r="D263" s="11" t="s">
        <v>618</v>
      </c>
      <c r="E263" s="11" t="s">
        <v>2621</v>
      </c>
      <c r="F263" s="11" t="s">
        <v>2773</v>
      </c>
      <c r="G263" s="11">
        <v>1389</v>
      </c>
      <c r="H263" s="11" t="s">
        <v>2623</v>
      </c>
      <c r="I263" s="11" t="s">
        <v>1411</v>
      </c>
      <c r="J263" s="11">
        <v>12</v>
      </c>
      <c r="K263" s="11">
        <v>56</v>
      </c>
      <c r="L263" s="11">
        <v>0</v>
      </c>
      <c r="M263" s="11">
        <v>3.36</v>
      </c>
      <c r="N263" s="11">
        <v>3.36</v>
      </c>
      <c r="O263" s="11">
        <v>0</v>
      </c>
      <c r="P263" s="11" t="s">
        <v>2624</v>
      </c>
    </row>
    <row r="264" spans="1:16" x14ac:dyDescent="0.2">
      <c r="A264" s="52">
        <v>43586</v>
      </c>
      <c r="B264" s="11" t="s">
        <v>500</v>
      </c>
      <c r="C264" s="11" t="s">
        <v>2715</v>
      </c>
      <c r="D264" s="11" t="s">
        <v>618</v>
      </c>
      <c r="E264" s="11" t="s">
        <v>2621</v>
      </c>
      <c r="F264" s="11" t="s">
        <v>2773</v>
      </c>
      <c r="G264" s="11">
        <v>1389</v>
      </c>
      <c r="H264" s="11" t="s">
        <v>2623</v>
      </c>
      <c r="I264" s="11" t="s">
        <v>1411</v>
      </c>
      <c r="J264" s="11">
        <v>18</v>
      </c>
      <c r="K264" s="11">
        <v>1124</v>
      </c>
      <c r="L264" s="11">
        <v>0</v>
      </c>
      <c r="M264" s="11">
        <v>101.16</v>
      </c>
      <c r="N264" s="11">
        <v>101.16</v>
      </c>
      <c r="O264" s="11">
        <v>0</v>
      </c>
      <c r="P264" s="11" t="s">
        <v>2624</v>
      </c>
    </row>
    <row r="265" spans="1:16" x14ac:dyDescent="0.2">
      <c r="A265" s="52">
        <v>43586</v>
      </c>
      <c r="B265" s="11" t="s">
        <v>500</v>
      </c>
      <c r="C265" s="11" t="s">
        <v>2715</v>
      </c>
      <c r="D265" s="11" t="s">
        <v>649</v>
      </c>
      <c r="E265" s="11" t="s">
        <v>2621</v>
      </c>
      <c r="F265" s="11" t="s">
        <v>2880</v>
      </c>
      <c r="G265" s="11">
        <v>4079</v>
      </c>
      <c r="H265" s="11" t="s">
        <v>2623</v>
      </c>
      <c r="I265" s="11" t="s">
        <v>1411</v>
      </c>
      <c r="J265" s="11">
        <v>5</v>
      </c>
      <c r="K265" s="11">
        <v>3390</v>
      </c>
      <c r="L265" s="11">
        <v>0</v>
      </c>
      <c r="M265" s="11">
        <v>84.75</v>
      </c>
      <c r="N265" s="11">
        <v>84.75</v>
      </c>
      <c r="O265" s="11">
        <v>0</v>
      </c>
      <c r="P265" s="11" t="s">
        <v>2624</v>
      </c>
    </row>
    <row r="266" spans="1:16" x14ac:dyDescent="0.2">
      <c r="A266" s="52">
        <v>43586</v>
      </c>
      <c r="B266" s="11" t="s">
        <v>500</v>
      </c>
      <c r="C266" s="11" t="s">
        <v>2715</v>
      </c>
      <c r="D266" s="11" t="s">
        <v>649</v>
      </c>
      <c r="E266" s="11" t="s">
        <v>2621</v>
      </c>
      <c r="F266" s="11" t="s">
        <v>2880</v>
      </c>
      <c r="G266" s="11">
        <v>4079</v>
      </c>
      <c r="H266" s="11" t="s">
        <v>2623</v>
      </c>
      <c r="I266" s="11" t="s">
        <v>1411</v>
      </c>
      <c r="J266" s="11">
        <v>18</v>
      </c>
      <c r="K266" s="11">
        <v>440</v>
      </c>
      <c r="L266" s="11">
        <v>0</v>
      </c>
      <c r="M266" s="11">
        <v>39.6</v>
      </c>
      <c r="N266" s="11">
        <v>39.6</v>
      </c>
      <c r="O266" s="11">
        <v>0</v>
      </c>
      <c r="P266" s="11" t="s">
        <v>2624</v>
      </c>
    </row>
    <row r="267" spans="1:16" x14ac:dyDescent="0.2">
      <c r="A267" s="52">
        <v>43586</v>
      </c>
      <c r="B267" s="11" t="s">
        <v>671</v>
      </c>
      <c r="C267" s="11" t="s">
        <v>670</v>
      </c>
      <c r="D267" s="11" t="s">
        <v>672</v>
      </c>
      <c r="E267" s="11" t="s">
        <v>2621</v>
      </c>
      <c r="F267" s="11" t="s">
        <v>2894</v>
      </c>
      <c r="G267" s="11">
        <v>779</v>
      </c>
      <c r="H267" s="11" t="s">
        <v>2623</v>
      </c>
      <c r="I267" s="11" t="s">
        <v>1411</v>
      </c>
      <c r="J267" s="11">
        <v>18</v>
      </c>
      <c r="K267" s="11">
        <v>660</v>
      </c>
      <c r="L267" s="11">
        <v>0</v>
      </c>
      <c r="M267" s="11">
        <v>59.4</v>
      </c>
      <c r="N267" s="11">
        <v>59.4</v>
      </c>
      <c r="O267" s="11">
        <v>0</v>
      </c>
      <c r="P267" s="11" t="s">
        <v>2624</v>
      </c>
    </row>
    <row r="268" spans="1:16" x14ac:dyDescent="0.2">
      <c r="A268" s="52">
        <v>43586</v>
      </c>
      <c r="B268" s="11" t="s">
        <v>607</v>
      </c>
      <c r="C268" s="11" t="s">
        <v>2895</v>
      </c>
      <c r="D268" s="11" t="s">
        <v>608</v>
      </c>
      <c r="E268" s="11" t="s">
        <v>2621</v>
      </c>
      <c r="F268" s="11" t="s">
        <v>2826</v>
      </c>
      <c r="G268" s="11">
        <v>29500</v>
      </c>
      <c r="H268" s="11" t="s">
        <v>2623</v>
      </c>
      <c r="I268" s="11" t="s">
        <v>1411</v>
      </c>
      <c r="J268" s="11">
        <v>18</v>
      </c>
      <c r="K268" s="11">
        <v>25000</v>
      </c>
      <c r="L268" s="11">
        <v>0</v>
      </c>
      <c r="M268" s="11">
        <v>2250</v>
      </c>
      <c r="N268" s="11">
        <v>2250</v>
      </c>
      <c r="O268" s="11">
        <v>0</v>
      </c>
      <c r="P268" s="11" t="s">
        <v>2624</v>
      </c>
    </row>
    <row r="269" spans="1:16" x14ac:dyDescent="0.2">
      <c r="A269" s="52">
        <v>43586</v>
      </c>
      <c r="B269" s="11" t="s">
        <v>635</v>
      </c>
      <c r="C269" s="11" t="s">
        <v>2896</v>
      </c>
      <c r="D269" s="11" t="s">
        <v>636</v>
      </c>
      <c r="E269" s="11" t="s">
        <v>2621</v>
      </c>
      <c r="F269" s="11" t="s">
        <v>2854</v>
      </c>
      <c r="G269" s="11">
        <v>1227</v>
      </c>
      <c r="H269" s="11" t="s">
        <v>2623</v>
      </c>
      <c r="I269" s="11" t="s">
        <v>1411</v>
      </c>
      <c r="J269" s="11">
        <v>18</v>
      </c>
      <c r="K269" s="11">
        <v>1040</v>
      </c>
      <c r="L269" s="11">
        <v>0</v>
      </c>
      <c r="M269" s="11">
        <v>93.6</v>
      </c>
      <c r="N269" s="11">
        <v>93.6</v>
      </c>
      <c r="O269" s="11">
        <v>0</v>
      </c>
      <c r="P269" s="11" t="s">
        <v>2624</v>
      </c>
    </row>
    <row r="270" spans="1:16" x14ac:dyDescent="0.2">
      <c r="A270" s="52">
        <v>43586</v>
      </c>
      <c r="B270" s="11" t="s">
        <v>21</v>
      </c>
      <c r="C270" s="11" t="s">
        <v>2716</v>
      </c>
      <c r="D270" s="11" t="s">
        <v>2897</v>
      </c>
      <c r="E270" s="11" t="s">
        <v>2621</v>
      </c>
      <c r="F270" s="11" t="s">
        <v>2803</v>
      </c>
      <c r="G270" s="11">
        <v>11865.6</v>
      </c>
      <c r="H270" s="11" t="s">
        <v>2623</v>
      </c>
      <c r="I270" s="11" t="s">
        <v>1411</v>
      </c>
      <c r="J270" s="11">
        <v>28</v>
      </c>
      <c r="K270" s="11">
        <v>9270</v>
      </c>
      <c r="L270" s="11">
        <v>0</v>
      </c>
      <c r="M270" s="11">
        <v>1297.8</v>
      </c>
      <c r="N270" s="11">
        <v>1297.8</v>
      </c>
      <c r="O270" s="11">
        <v>0</v>
      </c>
      <c r="P270" s="11" t="s">
        <v>2624</v>
      </c>
    </row>
    <row r="271" spans="1:16" x14ac:dyDescent="0.2">
      <c r="A271" s="52">
        <v>43586</v>
      </c>
      <c r="B271" s="11" t="s">
        <v>21</v>
      </c>
      <c r="C271" s="11" t="s">
        <v>2716</v>
      </c>
      <c r="D271" s="11" t="s">
        <v>2898</v>
      </c>
      <c r="E271" s="11" t="s">
        <v>2621</v>
      </c>
      <c r="F271" s="11" t="s">
        <v>2803</v>
      </c>
      <c r="G271" s="11">
        <v>11865.6</v>
      </c>
      <c r="H271" s="11" t="s">
        <v>2623</v>
      </c>
      <c r="I271" s="11" t="s">
        <v>1411</v>
      </c>
      <c r="J271" s="11">
        <v>28</v>
      </c>
      <c r="K271" s="11">
        <v>9270</v>
      </c>
      <c r="L271" s="11">
        <v>0</v>
      </c>
      <c r="M271" s="11">
        <v>1297.8</v>
      </c>
      <c r="N271" s="11">
        <v>1297.8</v>
      </c>
      <c r="O271" s="11">
        <v>0</v>
      </c>
      <c r="P271" s="11" t="s">
        <v>2624</v>
      </c>
    </row>
    <row r="272" spans="1:16" x14ac:dyDescent="0.2">
      <c r="A272" s="52">
        <v>43586</v>
      </c>
      <c r="B272" s="11" t="s">
        <v>490</v>
      </c>
      <c r="C272" s="11" t="s">
        <v>2747</v>
      </c>
      <c r="D272" s="11" t="s">
        <v>2899</v>
      </c>
      <c r="E272" s="11" t="s">
        <v>2621</v>
      </c>
      <c r="F272" s="11" t="s">
        <v>2810</v>
      </c>
      <c r="G272" s="11">
        <v>31076</v>
      </c>
      <c r="H272" s="11" t="s">
        <v>2623</v>
      </c>
      <c r="I272" s="11" t="s">
        <v>1411</v>
      </c>
      <c r="J272" s="11">
        <v>18</v>
      </c>
      <c r="K272" s="11">
        <v>26335.52</v>
      </c>
      <c r="L272" s="11">
        <v>0</v>
      </c>
      <c r="M272" s="11">
        <v>2370.1999999999998</v>
      </c>
      <c r="N272" s="11">
        <v>2370.1999999999998</v>
      </c>
      <c r="O272" s="11">
        <v>0</v>
      </c>
      <c r="P272" s="11" t="s">
        <v>2624</v>
      </c>
    </row>
    <row r="273" spans="1:16" x14ac:dyDescent="0.2">
      <c r="A273" s="52">
        <v>43586</v>
      </c>
      <c r="B273" s="11" t="s">
        <v>490</v>
      </c>
      <c r="C273" s="11" t="s">
        <v>2747</v>
      </c>
      <c r="D273" s="11" t="s">
        <v>2900</v>
      </c>
      <c r="E273" s="11" t="s">
        <v>2621</v>
      </c>
      <c r="F273" s="11" t="s">
        <v>2810</v>
      </c>
      <c r="G273" s="11">
        <v>10308</v>
      </c>
      <c r="H273" s="11" t="s">
        <v>2623</v>
      </c>
      <c r="I273" s="11" t="s">
        <v>1411</v>
      </c>
      <c r="J273" s="11">
        <v>18</v>
      </c>
      <c r="K273" s="11">
        <v>8735.52</v>
      </c>
      <c r="L273" s="11">
        <v>0</v>
      </c>
      <c r="M273" s="11">
        <v>786.2</v>
      </c>
      <c r="N273" s="11">
        <v>786.2</v>
      </c>
      <c r="O273" s="11">
        <v>0</v>
      </c>
      <c r="P273" s="11" t="s">
        <v>2624</v>
      </c>
    </row>
    <row r="274" spans="1:16" x14ac:dyDescent="0.2">
      <c r="A274" s="52">
        <v>43586</v>
      </c>
      <c r="B274" s="11" t="s">
        <v>490</v>
      </c>
      <c r="C274" s="11" t="s">
        <v>2747</v>
      </c>
      <c r="D274" s="11" t="s">
        <v>2901</v>
      </c>
      <c r="E274" s="11" t="s">
        <v>2621</v>
      </c>
      <c r="F274" s="11" t="s">
        <v>2902</v>
      </c>
      <c r="G274" s="11">
        <v>17912</v>
      </c>
      <c r="H274" s="11" t="s">
        <v>2623</v>
      </c>
      <c r="I274" s="11" t="s">
        <v>1411</v>
      </c>
      <c r="J274" s="11">
        <v>18</v>
      </c>
      <c r="K274" s="11">
        <v>15179.6</v>
      </c>
      <c r="L274" s="11">
        <v>0</v>
      </c>
      <c r="M274" s="11">
        <v>1366.16</v>
      </c>
      <c r="N274" s="11">
        <v>1366.16</v>
      </c>
      <c r="O274" s="11">
        <v>0</v>
      </c>
      <c r="P274" s="11" t="s">
        <v>2624</v>
      </c>
    </row>
    <row r="275" spans="1:16" x14ac:dyDescent="0.2">
      <c r="A275" s="52">
        <v>43586</v>
      </c>
      <c r="B275" s="11" t="s">
        <v>490</v>
      </c>
      <c r="C275" s="11" t="s">
        <v>2747</v>
      </c>
      <c r="D275" s="11" t="s">
        <v>2903</v>
      </c>
      <c r="E275" s="11" t="s">
        <v>2621</v>
      </c>
      <c r="F275" s="11" t="s">
        <v>2776</v>
      </c>
      <c r="G275" s="11">
        <v>20603</v>
      </c>
      <c r="H275" s="11" t="s">
        <v>2623</v>
      </c>
      <c r="I275" s="11" t="s">
        <v>1411</v>
      </c>
      <c r="J275" s="11">
        <v>18</v>
      </c>
      <c r="K275" s="11">
        <v>17460.2</v>
      </c>
      <c r="L275" s="11">
        <v>0</v>
      </c>
      <c r="M275" s="11">
        <v>1571.42</v>
      </c>
      <c r="N275" s="11">
        <v>1571.42</v>
      </c>
      <c r="O275" s="11">
        <v>0</v>
      </c>
      <c r="P275" s="11" t="s">
        <v>2624</v>
      </c>
    </row>
    <row r="276" spans="1:16" x14ac:dyDescent="0.2">
      <c r="A276" s="52">
        <v>43586</v>
      </c>
      <c r="B276" s="11" t="s">
        <v>610</v>
      </c>
      <c r="C276" s="11" t="s">
        <v>2904</v>
      </c>
      <c r="D276" s="11" t="s">
        <v>611</v>
      </c>
      <c r="E276" s="11" t="s">
        <v>2621</v>
      </c>
      <c r="F276" s="11" t="s">
        <v>2770</v>
      </c>
      <c r="G276" s="11">
        <v>771024</v>
      </c>
      <c r="H276" s="11" t="s">
        <v>2623</v>
      </c>
      <c r="I276" s="11" t="s">
        <v>1411</v>
      </c>
      <c r="J276" s="11">
        <v>18</v>
      </c>
      <c r="K276" s="11">
        <v>653410</v>
      </c>
      <c r="L276" s="11">
        <v>0</v>
      </c>
      <c r="M276" s="11">
        <v>58806.9</v>
      </c>
      <c r="N276" s="11">
        <v>58806.9</v>
      </c>
      <c r="O276" s="11">
        <v>0</v>
      </c>
      <c r="P276" s="11" t="s">
        <v>2624</v>
      </c>
    </row>
    <row r="277" spans="1:16" x14ac:dyDescent="0.2">
      <c r="A277" s="52">
        <v>43586</v>
      </c>
      <c r="B277" s="11" t="s">
        <v>610</v>
      </c>
      <c r="C277" s="11" t="s">
        <v>2904</v>
      </c>
      <c r="D277" s="11" t="s">
        <v>612</v>
      </c>
      <c r="E277" s="11" t="s">
        <v>2621</v>
      </c>
      <c r="F277" s="11" t="s">
        <v>2770</v>
      </c>
      <c r="G277" s="11">
        <v>26386</v>
      </c>
      <c r="H277" s="11" t="s">
        <v>2623</v>
      </c>
      <c r="I277" s="11" t="s">
        <v>1411</v>
      </c>
      <c r="J277" s="11">
        <v>18</v>
      </c>
      <c r="K277" s="11">
        <v>22361</v>
      </c>
      <c r="L277" s="11">
        <v>0</v>
      </c>
      <c r="M277" s="11">
        <v>2012.49</v>
      </c>
      <c r="N277" s="11">
        <v>2012.49</v>
      </c>
      <c r="O277" s="11">
        <v>0</v>
      </c>
      <c r="P277" s="11" t="s">
        <v>2624</v>
      </c>
    </row>
    <row r="278" spans="1:16" x14ac:dyDescent="0.2">
      <c r="A278" s="52">
        <v>43586</v>
      </c>
      <c r="B278" s="11" t="s">
        <v>507</v>
      </c>
      <c r="C278" s="11" t="s">
        <v>2755</v>
      </c>
      <c r="D278" s="11" t="s">
        <v>628</v>
      </c>
      <c r="E278" s="11" t="s">
        <v>2621</v>
      </c>
      <c r="F278" s="11" t="s">
        <v>2775</v>
      </c>
      <c r="G278" s="11">
        <v>10903</v>
      </c>
      <c r="H278" s="11" t="s">
        <v>2623</v>
      </c>
      <c r="I278" s="11" t="s">
        <v>1411</v>
      </c>
      <c r="J278" s="11">
        <v>18</v>
      </c>
      <c r="K278" s="11">
        <v>9239.7999999999993</v>
      </c>
      <c r="L278" s="11">
        <v>0</v>
      </c>
      <c r="M278" s="11">
        <v>831.58</v>
      </c>
      <c r="N278" s="11">
        <v>831.58</v>
      </c>
      <c r="O278" s="11">
        <v>0</v>
      </c>
      <c r="P278" s="11" t="s">
        <v>2624</v>
      </c>
    </row>
    <row r="279" spans="1:16" x14ac:dyDescent="0.2">
      <c r="A279" s="52">
        <v>43586</v>
      </c>
      <c r="B279" s="11" t="s">
        <v>507</v>
      </c>
      <c r="C279" s="11" t="s">
        <v>2755</v>
      </c>
      <c r="D279" s="11" t="s">
        <v>646</v>
      </c>
      <c r="E279" s="11" t="s">
        <v>2621</v>
      </c>
      <c r="F279" s="11" t="s">
        <v>2787</v>
      </c>
      <c r="G279" s="11">
        <v>16992</v>
      </c>
      <c r="H279" s="11" t="s">
        <v>2623</v>
      </c>
      <c r="I279" s="11" t="s">
        <v>1411</v>
      </c>
      <c r="J279" s="11">
        <v>18</v>
      </c>
      <c r="K279" s="11">
        <v>14400</v>
      </c>
      <c r="L279" s="11">
        <v>0</v>
      </c>
      <c r="M279" s="11">
        <v>1296</v>
      </c>
      <c r="N279" s="11">
        <v>1296</v>
      </c>
      <c r="O279" s="11">
        <v>0</v>
      </c>
      <c r="P279" s="11" t="s">
        <v>2624</v>
      </c>
    </row>
    <row r="280" spans="1:16" x14ac:dyDescent="0.2">
      <c r="A280" s="52">
        <v>43586</v>
      </c>
      <c r="B280" s="11" t="s">
        <v>507</v>
      </c>
      <c r="C280" s="11" t="s">
        <v>2755</v>
      </c>
      <c r="D280" s="11" t="s">
        <v>647</v>
      </c>
      <c r="E280" s="11" t="s">
        <v>2621</v>
      </c>
      <c r="F280" s="11" t="s">
        <v>2787</v>
      </c>
      <c r="G280" s="11">
        <v>7788</v>
      </c>
      <c r="H280" s="11" t="s">
        <v>2623</v>
      </c>
      <c r="I280" s="11" t="s">
        <v>1411</v>
      </c>
      <c r="J280" s="11">
        <v>18</v>
      </c>
      <c r="K280" s="11">
        <v>6600</v>
      </c>
      <c r="L280" s="11">
        <v>0</v>
      </c>
      <c r="M280" s="11">
        <v>594</v>
      </c>
      <c r="N280" s="11">
        <v>594</v>
      </c>
      <c r="O280" s="11">
        <v>0</v>
      </c>
      <c r="P280" s="11" t="s">
        <v>2624</v>
      </c>
    </row>
    <row r="281" spans="1:16" x14ac:dyDescent="0.2">
      <c r="A281" s="52">
        <v>43586</v>
      </c>
      <c r="B281" s="11" t="s">
        <v>507</v>
      </c>
      <c r="C281" s="11" t="s">
        <v>2755</v>
      </c>
      <c r="D281" s="11" t="s">
        <v>648</v>
      </c>
      <c r="E281" s="11" t="s">
        <v>2621</v>
      </c>
      <c r="F281" s="11" t="s">
        <v>2787</v>
      </c>
      <c r="G281" s="11">
        <v>6542</v>
      </c>
      <c r="H281" s="11" t="s">
        <v>2623</v>
      </c>
      <c r="I281" s="11" t="s">
        <v>1411</v>
      </c>
      <c r="J281" s="11">
        <v>18</v>
      </c>
      <c r="K281" s="11">
        <v>5544.08</v>
      </c>
      <c r="L281" s="11">
        <v>0</v>
      </c>
      <c r="M281" s="11">
        <v>498.97</v>
      </c>
      <c r="N281" s="11">
        <v>498.97</v>
      </c>
      <c r="O281" s="11">
        <v>0</v>
      </c>
      <c r="P281" s="11" t="s">
        <v>2624</v>
      </c>
    </row>
    <row r="282" spans="1:16" x14ac:dyDescent="0.2">
      <c r="A282" s="52">
        <v>43586</v>
      </c>
      <c r="B282" s="11" t="s">
        <v>507</v>
      </c>
      <c r="C282" s="11" t="s">
        <v>2755</v>
      </c>
      <c r="D282" s="11" t="s">
        <v>651</v>
      </c>
      <c r="E282" s="11" t="s">
        <v>2621</v>
      </c>
      <c r="F282" s="11" t="s">
        <v>2790</v>
      </c>
      <c r="G282" s="11">
        <v>41157</v>
      </c>
      <c r="H282" s="11" t="s">
        <v>2623</v>
      </c>
      <c r="I282" s="11" t="s">
        <v>1411</v>
      </c>
      <c r="J282" s="11">
        <v>18</v>
      </c>
      <c r="K282" s="11">
        <v>34878.78</v>
      </c>
      <c r="L282" s="11">
        <v>0</v>
      </c>
      <c r="M282" s="11">
        <v>3139.09</v>
      </c>
      <c r="N282" s="11">
        <v>3139.09</v>
      </c>
      <c r="O282" s="11">
        <v>0</v>
      </c>
      <c r="P282" s="11" t="s">
        <v>2624</v>
      </c>
    </row>
    <row r="283" spans="1:16" x14ac:dyDescent="0.2">
      <c r="A283" s="52">
        <v>43586</v>
      </c>
      <c r="B283" s="11" t="s">
        <v>507</v>
      </c>
      <c r="C283" s="11" t="s">
        <v>2755</v>
      </c>
      <c r="D283" s="11" t="s">
        <v>652</v>
      </c>
      <c r="E283" s="11" t="s">
        <v>2621</v>
      </c>
      <c r="F283" s="11" t="s">
        <v>2790</v>
      </c>
      <c r="G283" s="11">
        <v>4361</v>
      </c>
      <c r="H283" s="11" t="s">
        <v>2623</v>
      </c>
      <c r="I283" s="11" t="s">
        <v>1411</v>
      </c>
      <c r="J283" s="11">
        <v>18</v>
      </c>
      <c r="K283" s="11">
        <v>3695.72</v>
      </c>
      <c r="L283" s="11">
        <v>0</v>
      </c>
      <c r="M283" s="11">
        <v>332.61</v>
      </c>
      <c r="N283" s="11">
        <v>332.61</v>
      </c>
      <c r="O283" s="11">
        <v>0</v>
      </c>
      <c r="P283" s="11" t="s">
        <v>2624</v>
      </c>
    </row>
    <row r="284" spans="1:16" x14ac:dyDescent="0.2">
      <c r="A284" s="52">
        <v>43586</v>
      </c>
      <c r="B284" s="11" t="s">
        <v>507</v>
      </c>
      <c r="C284" s="11" t="s">
        <v>2755</v>
      </c>
      <c r="D284" s="11" t="s">
        <v>653</v>
      </c>
      <c r="E284" s="11" t="s">
        <v>2621</v>
      </c>
      <c r="F284" s="11" t="s">
        <v>2863</v>
      </c>
      <c r="G284" s="11">
        <v>82314</v>
      </c>
      <c r="H284" s="11" t="s">
        <v>2623</v>
      </c>
      <c r="I284" s="11" t="s">
        <v>1411</v>
      </c>
      <c r="J284" s="11">
        <v>18</v>
      </c>
      <c r="K284" s="11">
        <v>69757.56</v>
      </c>
      <c r="L284" s="11">
        <v>0</v>
      </c>
      <c r="M284" s="11">
        <v>6278.18</v>
      </c>
      <c r="N284" s="11">
        <v>6278.18</v>
      </c>
      <c r="O284" s="11">
        <v>0</v>
      </c>
      <c r="P284" s="11" t="s">
        <v>2624</v>
      </c>
    </row>
    <row r="285" spans="1:16" x14ac:dyDescent="0.2">
      <c r="A285" s="52">
        <v>43586</v>
      </c>
      <c r="B285" s="11" t="s">
        <v>507</v>
      </c>
      <c r="C285" s="11" t="s">
        <v>2755</v>
      </c>
      <c r="D285" s="11" t="s">
        <v>654</v>
      </c>
      <c r="E285" s="11" t="s">
        <v>2621</v>
      </c>
      <c r="F285" s="11" t="s">
        <v>2863</v>
      </c>
      <c r="G285" s="11">
        <v>10903</v>
      </c>
      <c r="H285" s="11" t="s">
        <v>2623</v>
      </c>
      <c r="I285" s="11" t="s">
        <v>1411</v>
      </c>
      <c r="J285" s="11">
        <v>18</v>
      </c>
      <c r="K285" s="11">
        <v>9239.7999999999993</v>
      </c>
      <c r="L285" s="11">
        <v>0</v>
      </c>
      <c r="M285" s="11">
        <v>831.58</v>
      </c>
      <c r="N285" s="11">
        <v>831.58</v>
      </c>
      <c r="O285" s="11">
        <v>0</v>
      </c>
      <c r="P285" s="11" t="s">
        <v>2624</v>
      </c>
    </row>
    <row r="286" spans="1:16" x14ac:dyDescent="0.2">
      <c r="A286" s="52">
        <v>43586</v>
      </c>
      <c r="B286" s="11" t="s">
        <v>494</v>
      </c>
      <c r="C286" s="11" t="s">
        <v>2756</v>
      </c>
      <c r="D286" s="11" t="s">
        <v>2905</v>
      </c>
      <c r="E286" s="11" t="s">
        <v>2621</v>
      </c>
      <c r="F286" s="11" t="s">
        <v>2810</v>
      </c>
      <c r="G286" s="11">
        <v>29841</v>
      </c>
      <c r="H286" s="11" t="s">
        <v>2623</v>
      </c>
      <c r="I286" s="11" t="s">
        <v>1411</v>
      </c>
      <c r="J286" s="11">
        <v>18</v>
      </c>
      <c r="K286" s="11">
        <v>25289</v>
      </c>
      <c r="L286" s="11">
        <v>0</v>
      </c>
      <c r="M286" s="11">
        <v>2276.0100000000002</v>
      </c>
      <c r="N286" s="11">
        <v>2276.0100000000002</v>
      </c>
      <c r="O286" s="11">
        <v>0</v>
      </c>
      <c r="P286" s="11" t="s">
        <v>2624</v>
      </c>
    </row>
    <row r="287" spans="1:16" x14ac:dyDescent="0.2">
      <c r="A287" s="52">
        <v>43586</v>
      </c>
      <c r="B287" s="11" t="s">
        <v>494</v>
      </c>
      <c r="C287" s="11" t="s">
        <v>2756</v>
      </c>
      <c r="D287" s="11" t="s">
        <v>2906</v>
      </c>
      <c r="E287" s="11" t="s">
        <v>2621</v>
      </c>
      <c r="F287" s="11" t="s">
        <v>2778</v>
      </c>
      <c r="G287" s="11">
        <v>27128</v>
      </c>
      <c r="H287" s="11" t="s">
        <v>2623</v>
      </c>
      <c r="I287" s="11" t="s">
        <v>1411</v>
      </c>
      <c r="J287" s="11">
        <v>18</v>
      </c>
      <c r="K287" s="11">
        <v>22990</v>
      </c>
      <c r="L287" s="11">
        <v>0</v>
      </c>
      <c r="M287" s="11">
        <v>2069.1</v>
      </c>
      <c r="N287" s="11">
        <v>2069.1</v>
      </c>
      <c r="O287" s="11">
        <v>0</v>
      </c>
      <c r="P287" s="11" t="s">
        <v>2624</v>
      </c>
    </row>
    <row r="288" spans="1:16" x14ac:dyDescent="0.2">
      <c r="A288" s="52">
        <v>43586</v>
      </c>
      <c r="B288" s="11" t="s">
        <v>494</v>
      </c>
      <c r="C288" s="11" t="s">
        <v>2756</v>
      </c>
      <c r="D288" s="11" t="s">
        <v>2907</v>
      </c>
      <c r="E288" s="11" t="s">
        <v>2621</v>
      </c>
      <c r="F288" s="11" t="s">
        <v>2816</v>
      </c>
      <c r="G288" s="11">
        <v>22625</v>
      </c>
      <c r="H288" s="11" t="s">
        <v>2623</v>
      </c>
      <c r="I288" s="11" t="s">
        <v>1411</v>
      </c>
      <c r="J288" s="11">
        <v>18</v>
      </c>
      <c r="K288" s="11">
        <v>19173.66</v>
      </c>
      <c r="L288" s="11">
        <v>0</v>
      </c>
      <c r="M288" s="11">
        <v>1725.63</v>
      </c>
      <c r="N288" s="11">
        <v>1725.63</v>
      </c>
      <c r="O288" s="11">
        <v>0</v>
      </c>
      <c r="P288" s="11" t="s">
        <v>2624</v>
      </c>
    </row>
    <row r="289" spans="1:16" x14ac:dyDescent="0.2">
      <c r="A289" s="52">
        <v>43586</v>
      </c>
      <c r="B289" s="11" t="s">
        <v>494</v>
      </c>
      <c r="C289" s="11" t="s">
        <v>2756</v>
      </c>
      <c r="D289" s="11" t="s">
        <v>2908</v>
      </c>
      <c r="E289" s="11" t="s">
        <v>2621</v>
      </c>
      <c r="F289" s="11" t="s">
        <v>2777</v>
      </c>
      <c r="G289" s="11">
        <v>30446</v>
      </c>
      <c r="H289" s="11" t="s">
        <v>2623</v>
      </c>
      <c r="I289" s="11" t="s">
        <v>1411</v>
      </c>
      <c r="J289" s="11">
        <v>18</v>
      </c>
      <c r="K289" s="11">
        <v>25801.4</v>
      </c>
      <c r="L289" s="11">
        <v>0</v>
      </c>
      <c r="M289" s="11">
        <v>2322.13</v>
      </c>
      <c r="N289" s="11">
        <v>2322.13</v>
      </c>
      <c r="O289" s="11">
        <v>0</v>
      </c>
      <c r="P289" s="11" t="s">
        <v>2624</v>
      </c>
    </row>
    <row r="290" spans="1:16" x14ac:dyDescent="0.2">
      <c r="A290" s="52">
        <v>43586</v>
      </c>
      <c r="B290" s="11" t="s">
        <v>494</v>
      </c>
      <c r="C290" s="11" t="s">
        <v>2756</v>
      </c>
      <c r="D290" s="11" t="s">
        <v>2909</v>
      </c>
      <c r="E290" s="11" t="s">
        <v>2621</v>
      </c>
      <c r="F290" s="11" t="s">
        <v>2787</v>
      </c>
      <c r="G290" s="11">
        <v>50974</v>
      </c>
      <c r="H290" s="11" t="s">
        <v>2623</v>
      </c>
      <c r="I290" s="11" t="s">
        <v>1411</v>
      </c>
      <c r="J290" s="11">
        <v>18</v>
      </c>
      <c r="K290" s="11">
        <v>43198.21</v>
      </c>
      <c r="L290" s="11">
        <v>0</v>
      </c>
      <c r="M290" s="11">
        <v>3887.84</v>
      </c>
      <c r="N290" s="11">
        <v>3887.84</v>
      </c>
      <c r="O290" s="11">
        <v>0</v>
      </c>
      <c r="P290" s="11" t="s">
        <v>2624</v>
      </c>
    </row>
    <row r="291" spans="1:16" x14ac:dyDescent="0.2">
      <c r="A291" s="52">
        <v>43586</v>
      </c>
      <c r="B291" s="11" t="s">
        <v>494</v>
      </c>
      <c r="C291" s="11" t="s">
        <v>2756</v>
      </c>
      <c r="D291" s="11" t="s">
        <v>2910</v>
      </c>
      <c r="E291" s="11" t="s">
        <v>2621</v>
      </c>
      <c r="F291" s="11" t="s">
        <v>2787</v>
      </c>
      <c r="G291" s="11">
        <v>12140</v>
      </c>
      <c r="H291" s="11" t="s">
        <v>2623</v>
      </c>
      <c r="I291" s="11" t="s">
        <v>1411</v>
      </c>
      <c r="J291" s="11">
        <v>18</v>
      </c>
      <c r="K291" s="11">
        <v>10287.9</v>
      </c>
      <c r="L291" s="11">
        <v>0</v>
      </c>
      <c r="M291" s="11">
        <v>925.91</v>
      </c>
      <c r="N291" s="11">
        <v>925.91</v>
      </c>
      <c r="O291" s="11">
        <v>0</v>
      </c>
      <c r="P291" s="11" t="s">
        <v>2624</v>
      </c>
    </row>
    <row r="292" spans="1:16" x14ac:dyDescent="0.2">
      <c r="A292" s="52">
        <v>43586</v>
      </c>
      <c r="B292" s="11" t="s">
        <v>494</v>
      </c>
      <c r="C292" s="11" t="s">
        <v>2756</v>
      </c>
      <c r="D292" s="11" t="s">
        <v>2911</v>
      </c>
      <c r="E292" s="11" t="s">
        <v>2621</v>
      </c>
      <c r="F292" s="11" t="s">
        <v>2780</v>
      </c>
      <c r="G292" s="11">
        <v>29380</v>
      </c>
      <c r="H292" s="11" t="s">
        <v>2623</v>
      </c>
      <c r="I292" s="11" t="s">
        <v>1411</v>
      </c>
      <c r="J292" s="11">
        <v>18</v>
      </c>
      <c r="K292" s="11">
        <v>24898.17</v>
      </c>
      <c r="L292" s="11">
        <v>0</v>
      </c>
      <c r="M292" s="11">
        <v>2240.84</v>
      </c>
      <c r="N292" s="11">
        <v>2240.84</v>
      </c>
      <c r="O292" s="11">
        <v>0</v>
      </c>
      <c r="P292" s="11" t="s">
        <v>2624</v>
      </c>
    </row>
    <row r="293" spans="1:16" x14ac:dyDescent="0.2">
      <c r="A293" s="52">
        <v>43586</v>
      </c>
      <c r="B293" s="11" t="s">
        <v>515</v>
      </c>
      <c r="C293" s="11" t="s">
        <v>2761</v>
      </c>
      <c r="D293" s="11" t="s">
        <v>621</v>
      </c>
      <c r="E293" s="11" t="s">
        <v>2621</v>
      </c>
      <c r="F293" s="11" t="s">
        <v>2778</v>
      </c>
      <c r="G293" s="11">
        <v>56.64</v>
      </c>
      <c r="H293" s="11" t="s">
        <v>2623</v>
      </c>
      <c r="I293" s="11" t="s">
        <v>1411</v>
      </c>
      <c r="J293" s="11">
        <v>18</v>
      </c>
      <c r="K293" s="11">
        <v>48</v>
      </c>
      <c r="L293" s="11">
        <v>0</v>
      </c>
      <c r="M293" s="11">
        <v>4.32</v>
      </c>
      <c r="N293" s="11">
        <v>4.32</v>
      </c>
      <c r="O293" s="11">
        <v>0</v>
      </c>
      <c r="P293" s="11" t="s">
        <v>2624</v>
      </c>
    </row>
    <row r="294" spans="1:16" x14ac:dyDescent="0.2">
      <c r="A294" s="52">
        <v>43586</v>
      </c>
      <c r="B294" s="11" t="s">
        <v>515</v>
      </c>
      <c r="C294" s="11" t="s">
        <v>2761</v>
      </c>
      <c r="D294" s="11" t="s">
        <v>622</v>
      </c>
      <c r="E294" s="11" t="s">
        <v>2621</v>
      </c>
      <c r="F294" s="11" t="s">
        <v>2778</v>
      </c>
      <c r="G294" s="11">
        <v>1121</v>
      </c>
      <c r="H294" s="11" t="s">
        <v>2623</v>
      </c>
      <c r="I294" s="11" t="s">
        <v>1411</v>
      </c>
      <c r="J294" s="11">
        <v>18</v>
      </c>
      <c r="K294" s="11">
        <v>950</v>
      </c>
      <c r="L294" s="11">
        <v>0</v>
      </c>
      <c r="M294" s="11">
        <v>85.5</v>
      </c>
      <c r="N294" s="11">
        <v>85.5</v>
      </c>
      <c r="O294" s="11">
        <v>0</v>
      </c>
      <c r="P294" s="11" t="s">
        <v>2624</v>
      </c>
    </row>
    <row r="295" spans="1:16" x14ac:dyDescent="0.2">
      <c r="A295" s="52">
        <v>43586</v>
      </c>
      <c r="B295" s="11" t="s">
        <v>515</v>
      </c>
      <c r="C295" s="11" t="s">
        <v>2761</v>
      </c>
      <c r="D295" s="11" t="s">
        <v>2912</v>
      </c>
      <c r="E295" s="11" t="s">
        <v>2621</v>
      </c>
      <c r="F295" s="11" t="s">
        <v>2777</v>
      </c>
      <c r="G295" s="11">
        <v>17.7</v>
      </c>
      <c r="H295" s="11" t="s">
        <v>2623</v>
      </c>
      <c r="I295" s="11" t="s">
        <v>1411</v>
      </c>
      <c r="J295" s="11">
        <v>18</v>
      </c>
      <c r="K295" s="11">
        <v>15</v>
      </c>
      <c r="L295" s="11">
        <v>0</v>
      </c>
      <c r="M295" s="11">
        <v>1.35</v>
      </c>
      <c r="N295" s="11">
        <v>1.35</v>
      </c>
      <c r="O295" s="11">
        <v>0</v>
      </c>
      <c r="P295" s="11" t="s">
        <v>2624</v>
      </c>
    </row>
    <row r="296" spans="1:16" x14ac:dyDescent="0.2">
      <c r="A296" s="52">
        <v>43586</v>
      </c>
      <c r="B296" s="11" t="s">
        <v>555</v>
      </c>
      <c r="C296" s="11" t="s">
        <v>2762</v>
      </c>
      <c r="D296" s="11" t="s">
        <v>2913</v>
      </c>
      <c r="E296" s="11" t="s">
        <v>2621</v>
      </c>
      <c r="F296" s="11" t="s">
        <v>2775</v>
      </c>
      <c r="G296" s="11">
        <v>3126.52</v>
      </c>
      <c r="H296" s="11" t="s">
        <v>2623</v>
      </c>
      <c r="I296" s="11" t="s">
        <v>1411</v>
      </c>
      <c r="J296" s="11">
        <v>28</v>
      </c>
      <c r="K296" s="11">
        <v>2442.6</v>
      </c>
      <c r="L296" s="11">
        <v>0</v>
      </c>
      <c r="M296" s="11">
        <v>341.96</v>
      </c>
      <c r="N296" s="11">
        <v>341.96</v>
      </c>
      <c r="O296" s="11">
        <v>0</v>
      </c>
      <c r="P296" s="11" t="s">
        <v>2624</v>
      </c>
    </row>
    <row r="297" spans="1:16" x14ac:dyDescent="0.2">
      <c r="A297" s="52">
        <v>43586</v>
      </c>
      <c r="B297" s="11" t="s">
        <v>555</v>
      </c>
      <c r="C297" s="11" t="s">
        <v>2762</v>
      </c>
      <c r="D297" s="11" t="s">
        <v>2914</v>
      </c>
      <c r="E297" s="11" t="s">
        <v>2621</v>
      </c>
      <c r="F297" s="11" t="s">
        <v>2844</v>
      </c>
      <c r="G297" s="11">
        <v>2490.88</v>
      </c>
      <c r="H297" s="11" t="s">
        <v>2623</v>
      </c>
      <c r="I297" s="11" t="s">
        <v>1411</v>
      </c>
      <c r="J297" s="11">
        <v>28</v>
      </c>
      <c r="K297" s="11">
        <v>1946</v>
      </c>
      <c r="L297" s="11">
        <v>0</v>
      </c>
      <c r="M297" s="11">
        <v>272.44</v>
      </c>
      <c r="N297" s="11">
        <v>272.44</v>
      </c>
      <c r="O297" s="11">
        <v>0</v>
      </c>
      <c r="P297" s="11" t="s">
        <v>2624</v>
      </c>
    </row>
    <row r="298" spans="1:16" x14ac:dyDescent="0.2">
      <c r="A298" s="52">
        <v>43586</v>
      </c>
      <c r="B298" s="11" t="s">
        <v>555</v>
      </c>
      <c r="C298" s="11" t="s">
        <v>2762</v>
      </c>
      <c r="D298" s="11" t="s">
        <v>2915</v>
      </c>
      <c r="E298" s="11" t="s">
        <v>2621</v>
      </c>
      <c r="F298" s="11" t="s">
        <v>2851</v>
      </c>
      <c r="G298" s="11">
        <v>2135.04</v>
      </c>
      <c r="H298" s="11" t="s">
        <v>2623</v>
      </c>
      <c r="I298" s="11" t="s">
        <v>1411</v>
      </c>
      <c r="J298" s="11">
        <v>28</v>
      </c>
      <c r="K298" s="11">
        <v>1668</v>
      </c>
      <c r="L298" s="11">
        <v>0</v>
      </c>
      <c r="M298" s="11">
        <v>233.52</v>
      </c>
      <c r="N298" s="11">
        <v>233.52</v>
      </c>
      <c r="O298" s="11">
        <v>0</v>
      </c>
      <c r="P298" s="11" t="s">
        <v>2624</v>
      </c>
    </row>
    <row r="299" spans="1:16" x14ac:dyDescent="0.2">
      <c r="A299" s="52">
        <v>43586</v>
      </c>
      <c r="B299" s="11" t="s">
        <v>555</v>
      </c>
      <c r="C299" s="11" t="s">
        <v>2762</v>
      </c>
      <c r="D299" s="11" t="s">
        <v>2916</v>
      </c>
      <c r="E299" s="11" t="s">
        <v>2621</v>
      </c>
      <c r="F299" s="11" t="s">
        <v>2776</v>
      </c>
      <c r="G299" s="11">
        <v>2135.04</v>
      </c>
      <c r="H299" s="11" t="s">
        <v>2623</v>
      </c>
      <c r="I299" s="11" t="s">
        <v>1411</v>
      </c>
      <c r="J299" s="11">
        <v>28</v>
      </c>
      <c r="K299" s="11">
        <v>1668</v>
      </c>
      <c r="L299" s="11">
        <v>0</v>
      </c>
      <c r="M299" s="11">
        <v>233.52</v>
      </c>
      <c r="N299" s="11">
        <v>233.52</v>
      </c>
      <c r="O299" s="11">
        <v>0</v>
      </c>
      <c r="P299" s="11" t="s">
        <v>2624</v>
      </c>
    </row>
    <row r="300" spans="1:16" x14ac:dyDescent="0.2">
      <c r="A300" s="52">
        <v>43586</v>
      </c>
      <c r="B300" s="11" t="s">
        <v>555</v>
      </c>
      <c r="C300" s="11" t="s">
        <v>2762</v>
      </c>
      <c r="D300" s="11" t="s">
        <v>2917</v>
      </c>
      <c r="E300" s="11" t="s">
        <v>2621</v>
      </c>
      <c r="F300" s="11" t="s">
        <v>2776</v>
      </c>
      <c r="G300" s="11">
        <v>2135.04</v>
      </c>
      <c r="H300" s="11" t="s">
        <v>2623</v>
      </c>
      <c r="I300" s="11" t="s">
        <v>1411</v>
      </c>
      <c r="J300" s="11">
        <v>28</v>
      </c>
      <c r="K300" s="11">
        <v>1668</v>
      </c>
      <c r="L300" s="11">
        <v>0</v>
      </c>
      <c r="M300" s="11">
        <v>233.52</v>
      </c>
      <c r="N300" s="11">
        <v>233.52</v>
      </c>
      <c r="O300" s="11">
        <v>0</v>
      </c>
      <c r="P300" s="11" t="s">
        <v>2624</v>
      </c>
    </row>
    <row r="301" spans="1:16" x14ac:dyDescent="0.2">
      <c r="A301" s="52">
        <v>43586</v>
      </c>
      <c r="B301" s="11" t="s">
        <v>555</v>
      </c>
      <c r="C301" s="11" t="s">
        <v>2762</v>
      </c>
      <c r="D301" s="11" t="s">
        <v>2918</v>
      </c>
      <c r="E301" s="11" t="s">
        <v>2621</v>
      </c>
      <c r="F301" s="11" t="s">
        <v>2790</v>
      </c>
      <c r="G301" s="11">
        <v>2490.88</v>
      </c>
      <c r="H301" s="11" t="s">
        <v>2623</v>
      </c>
      <c r="I301" s="11" t="s">
        <v>1411</v>
      </c>
      <c r="J301" s="11">
        <v>28</v>
      </c>
      <c r="K301" s="11">
        <v>1946</v>
      </c>
      <c r="L301" s="11">
        <v>0</v>
      </c>
      <c r="M301" s="11">
        <v>272.44</v>
      </c>
      <c r="N301" s="11">
        <v>272.44</v>
      </c>
      <c r="O301" s="11">
        <v>0</v>
      </c>
      <c r="P301" s="11" t="s">
        <v>2624</v>
      </c>
    </row>
    <row r="302" spans="1:16" x14ac:dyDescent="0.2">
      <c r="A302" s="52">
        <v>43586</v>
      </c>
      <c r="B302" s="11" t="s">
        <v>555</v>
      </c>
      <c r="C302" s="11" t="s">
        <v>2762</v>
      </c>
      <c r="D302" s="11" t="s">
        <v>2919</v>
      </c>
      <c r="E302" s="11" t="s">
        <v>2621</v>
      </c>
      <c r="F302" s="11" t="s">
        <v>2863</v>
      </c>
      <c r="G302" s="11">
        <v>3202.56</v>
      </c>
      <c r="H302" s="11" t="s">
        <v>2623</v>
      </c>
      <c r="I302" s="11" t="s">
        <v>1411</v>
      </c>
      <c r="J302" s="11">
        <v>28</v>
      </c>
      <c r="K302" s="11">
        <v>2502</v>
      </c>
      <c r="L302" s="11">
        <v>0</v>
      </c>
      <c r="M302" s="11">
        <v>350.28</v>
      </c>
      <c r="N302" s="11">
        <v>350.28</v>
      </c>
      <c r="O302" s="11">
        <v>0</v>
      </c>
      <c r="P302" s="11" t="s">
        <v>2624</v>
      </c>
    </row>
    <row r="303" spans="1:16" x14ac:dyDescent="0.2">
      <c r="A303" s="52">
        <v>43586</v>
      </c>
      <c r="B303" s="11" t="s">
        <v>555</v>
      </c>
      <c r="C303" s="11" t="s">
        <v>2762</v>
      </c>
      <c r="D303" s="11" t="s">
        <v>2920</v>
      </c>
      <c r="E303" s="11" t="s">
        <v>2621</v>
      </c>
      <c r="F303" s="11" t="s">
        <v>2779</v>
      </c>
      <c r="G303" s="11">
        <v>4270.08</v>
      </c>
      <c r="H303" s="11" t="s">
        <v>2623</v>
      </c>
      <c r="I303" s="11" t="s">
        <v>1411</v>
      </c>
      <c r="J303" s="11">
        <v>28</v>
      </c>
      <c r="K303" s="11">
        <v>3336</v>
      </c>
      <c r="L303" s="11">
        <v>0</v>
      </c>
      <c r="M303" s="11">
        <v>467.04</v>
      </c>
      <c r="N303" s="11">
        <v>467.04</v>
      </c>
      <c r="O303" s="11">
        <v>0</v>
      </c>
      <c r="P303" s="11" t="s">
        <v>2624</v>
      </c>
    </row>
    <row r="304" spans="1:16" x14ac:dyDescent="0.2">
      <c r="A304" s="52">
        <v>43586</v>
      </c>
      <c r="B304" s="11" t="s">
        <v>555</v>
      </c>
      <c r="C304" s="11" t="s">
        <v>2762</v>
      </c>
      <c r="D304" s="11" t="s">
        <v>2921</v>
      </c>
      <c r="E304" s="11" t="s">
        <v>2621</v>
      </c>
      <c r="F304" s="11" t="s">
        <v>2780</v>
      </c>
      <c r="G304" s="11">
        <v>2135.04</v>
      </c>
      <c r="H304" s="11" t="s">
        <v>2623</v>
      </c>
      <c r="I304" s="11" t="s">
        <v>1411</v>
      </c>
      <c r="J304" s="11">
        <v>28</v>
      </c>
      <c r="K304" s="11">
        <v>1668</v>
      </c>
      <c r="L304" s="11">
        <v>0</v>
      </c>
      <c r="M304" s="11">
        <v>233.52</v>
      </c>
      <c r="N304" s="11">
        <v>233.52</v>
      </c>
      <c r="O304" s="11">
        <v>0</v>
      </c>
      <c r="P304" s="11" t="s">
        <v>2624</v>
      </c>
    </row>
    <row r="305" spans="1:16" x14ac:dyDescent="0.2">
      <c r="A305" s="52">
        <v>43586</v>
      </c>
      <c r="B305" s="11" t="s">
        <v>555</v>
      </c>
      <c r="C305" s="11" t="s">
        <v>2762</v>
      </c>
      <c r="D305" s="11" t="s">
        <v>2922</v>
      </c>
      <c r="E305" s="11" t="s">
        <v>2621</v>
      </c>
      <c r="F305" s="11" t="s">
        <v>2780</v>
      </c>
      <c r="G305" s="11">
        <v>1423.36</v>
      </c>
      <c r="H305" s="11" t="s">
        <v>2623</v>
      </c>
      <c r="I305" s="11" t="s">
        <v>1411</v>
      </c>
      <c r="J305" s="11">
        <v>28</v>
      </c>
      <c r="K305" s="11">
        <v>1112</v>
      </c>
      <c r="L305" s="11">
        <v>0</v>
      </c>
      <c r="M305" s="11">
        <v>155.68</v>
      </c>
      <c r="N305" s="11">
        <v>155.68</v>
      </c>
      <c r="O305" s="11">
        <v>0</v>
      </c>
      <c r="P305" s="11" t="s">
        <v>2624</v>
      </c>
    </row>
    <row r="306" spans="1:16" x14ac:dyDescent="0.2">
      <c r="A306" s="52">
        <v>43586</v>
      </c>
      <c r="B306" s="11" t="s">
        <v>555</v>
      </c>
      <c r="C306" s="11" t="s">
        <v>2762</v>
      </c>
      <c r="D306" s="11" t="s">
        <v>2923</v>
      </c>
      <c r="E306" s="11" t="s">
        <v>2621</v>
      </c>
      <c r="F306" s="11" t="s">
        <v>2797</v>
      </c>
      <c r="G306" s="11">
        <v>2135.04</v>
      </c>
      <c r="H306" s="11" t="s">
        <v>2623</v>
      </c>
      <c r="I306" s="11" t="s">
        <v>1411</v>
      </c>
      <c r="J306" s="11">
        <v>28</v>
      </c>
      <c r="K306" s="11">
        <v>1668</v>
      </c>
      <c r="L306" s="11">
        <v>0</v>
      </c>
      <c r="M306" s="11">
        <v>233.52</v>
      </c>
      <c r="N306" s="11">
        <v>233.52</v>
      </c>
      <c r="O306" s="11">
        <v>0</v>
      </c>
      <c r="P306" s="11" t="s">
        <v>2624</v>
      </c>
    </row>
    <row r="307" spans="1:16" x14ac:dyDescent="0.2">
      <c r="A307" s="52">
        <v>43586</v>
      </c>
      <c r="B307" s="11" t="s">
        <v>555</v>
      </c>
      <c r="C307" s="11" t="s">
        <v>2762</v>
      </c>
      <c r="D307" s="11" t="s">
        <v>2924</v>
      </c>
      <c r="E307" s="11" t="s">
        <v>2621</v>
      </c>
      <c r="F307" s="11" t="s">
        <v>2875</v>
      </c>
      <c r="G307" s="11">
        <v>2846.72</v>
      </c>
      <c r="H307" s="11" t="s">
        <v>2623</v>
      </c>
      <c r="I307" s="11" t="s">
        <v>1411</v>
      </c>
      <c r="J307" s="11">
        <v>28</v>
      </c>
      <c r="K307" s="11">
        <v>2224</v>
      </c>
      <c r="L307" s="11">
        <v>0</v>
      </c>
      <c r="M307" s="11">
        <v>311.36</v>
      </c>
      <c r="N307" s="11">
        <v>311.36</v>
      </c>
      <c r="O307" s="11">
        <v>0</v>
      </c>
      <c r="P307" s="11" t="s">
        <v>2624</v>
      </c>
    </row>
    <row r="308" spans="1:16" x14ac:dyDescent="0.2">
      <c r="A308" s="52"/>
      <c r="G308" s="11"/>
      <c r="K308" s="11"/>
      <c r="L308" s="11"/>
      <c r="M308" s="11"/>
      <c r="N308" s="11"/>
      <c r="O308" s="11"/>
    </row>
    <row r="309" spans="1:16" x14ac:dyDescent="0.2">
      <c r="A309" s="52">
        <v>43617</v>
      </c>
      <c r="B309" s="11" t="s">
        <v>711</v>
      </c>
      <c r="C309" s="11" t="s">
        <v>2925</v>
      </c>
      <c r="D309" s="11" t="s">
        <v>2926</v>
      </c>
      <c r="E309" s="11" t="s">
        <v>2621</v>
      </c>
      <c r="F309" s="11" t="s">
        <v>2927</v>
      </c>
      <c r="G309" s="11">
        <v>8956.2000000000007</v>
      </c>
      <c r="H309" s="11" t="s">
        <v>2623</v>
      </c>
      <c r="I309" s="11" t="s">
        <v>1411</v>
      </c>
      <c r="J309" s="11">
        <v>18</v>
      </c>
      <c r="K309" s="11">
        <v>7590</v>
      </c>
      <c r="L309" s="11">
        <v>0</v>
      </c>
      <c r="M309" s="11">
        <v>683.1</v>
      </c>
      <c r="N309" s="11">
        <v>683.1</v>
      </c>
      <c r="O309" s="11">
        <v>0</v>
      </c>
      <c r="P309" s="11" t="s">
        <v>2624</v>
      </c>
    </row>
    <row r="310" spans="1:16" x14ac:dyDescent="0.2">
      <c r="A310" s="52">
        <v>43617</v>
      </c>
      <c r="B310" s="11" t="s">
        <v>477</v>
      </c>
      <c r="C310" s="11" t="s">
        <v>2625</v>
      </c>
      <c r="D310" s="11" t="s">
        <v>702</v>
      </c>
      <c r="E310" s="11" t="s">
        <v>2621</v>
      </c>
      <c r="F310" s="11" t="s">
        <v>2928</v>
      </c>
      <c r="G310" s="11">
        <v>482490</v>
      </c>
      <c r="H310" s="11" t="s">
        <v>2623</v>
      </c>
      <c r="I310" s="11" t="s">
        <v>1411</v>
      </c>
      <c r="J310" s="11">
        <v>28</v>
      </c>
      <c r="K310" s="11">
        <v>376945</v>
      </c>
      <c r="L310" s="11">
        <v>0</v>
      </c>
      <c r="M310" s="11">
        <v>52772.3</v>
      </c>
      <c r="N310" s="11">
        <v>52772.3</v>
      </c>
      <c r="O310" s="11">
        <v>0</v>
      </c>
      <c r="P310" s="11" t="s">
        <v>2624</v>
      </c>
    </row>
    <row r="311" spans="1:16" x14ac:dyDescent="0.2">
      <c r="A311" s="52">
        <v>43617</v>
      </c>
      <c r="B311" s="11" t="s">
        <v>477</v>
      </c>
      <c r="C311" s="11" t="s">
        <v>2625</v>
      </c>
      <c r="D311" s="11" t="s">
        <v>731</v>
      </c>
      <c r="E311" s="11" t="s">
        <v>2621</v>
      </c>
      <c r="F311" s="11" t="s">
        <v>2929</v>
      </c>
      <c r="G311" s="11">
        <v>47967</v>
      </c>
      <c r="H311" s="11" t="s">
        <v>2623</v>
      </c>
      <c r="I311" s="11" t="s">
        <v>1411</v>
      </c>
      <c r="J311" s="11">
        <v>18</v>
      </c>
      <c r="K311" s="11">
        <v>40650</v>
      </c>
      <c r="L311" s="11">
        <v>0</v>
      </c>
      <c r="M311" s="11">
        <v>3658.5</v>
      </c>
      <c r="N311" s="11">
        <v>3658.5</v>
      </c>
      <c r="O311" s="11">
        <v>0</v>
      </c>
      <c r="P311" s="11" t="s">
        <v>2624</v>
      </c>
    </row>
    <row r="312" spans="1:16" x14ac:dyDescent="0.2">
      <c r="A312" s="52">
        <v>43617</v>
      </c>
      <c r="B312" s="11" t="s">
        <v>748</v>
      </c>
      <c r="C312" s="11" t="s">
        <v>2930</v>
      </c>
      <c r="D312" s="11" t="s">
        <v>749</v>
      </c>
      <c r="E312" s="11" t="s">
        <v>2621</v>
      </c>
      <c r="F312" s="11" t="s">
        <v>2931</v>
      </c>
      <c r="G312" s="11">
        <v>28320</v>
      </c>
      <c r="H312" s="11" t="s">
        <v>2623</v>
      </c>
      <c r="I312" s="11" t="s">
        <v>1411</v>
      </c>
      <c r="J312" s="11">
        <v>18</v>
      </c>
      <c r="K312" s="11">
        <v>24000</v>
      </c>
      <c r="L312" s="11">
        <v>0</v>
      </c>
      <c r="M312" s="11">
        <v>2160</v>
      </c>
      <c r="N312" s="11">
        <v>2160</v>
      </c>
      <c r="O312" s="11">
        <v>0</v>
      </c>
      <c r="P312" s="11" t="s">
        <v>2624</v>
      </c>
    </row>
    <row r="313" spans="1:16" x14ac:dyDescent="0.2">
      <c r="A313" s="52">
        <v>43617</v>
      </c>
      <c r="B313" s="11" t="s">
        <v>748</v>
      </c>
      <c r="C313" s="11" t="s">
        <v>2930</v>
      </c>
      <c r="D313" s="11" t="s">
        <v>755</v>
      </c>
      <c r="E313" s="11" t="s">
        <v>2621</v>
      </c>
      <c r="F313" s="11" t="s">
        <v>2932</v>
      </c>
      <c r="G313" s="11">
        <v>26550</v>
      </c>
      <c r="H313" s="11" t="s">
        <v>2623</v>
      </c>
      <c r="I313" s="11" t="s">
        <v>1411</v>
      </c>
      <c r="J313" s="11">
        <v>18</v>
      </c>
      <c r="K313" s="11">
        <v>22500</v>
      </c>
      <c r="L313" s="11">
        <v>0</v>
      </c>
      <c r="M313" s="11">
        <v>2025</v>
      </c>
      <c r="N313" s="11">
        <v>2025</v>
      </c>
      <c r="O313" s="11">
        <v>0</v>
      </c>
      <c r="P313" s="11" t="s">
        <v>2624</v>
      </c>
    </row>
    <row r="314" spans="1:16" x14ac:dyDescent="0.2">
      <c r="A314" s="52">
        <v>43617</v>
      </c>
      <c r="B314" s="11" t="s">
        <v>630</v>
      </c>
      <c r="C314" s="11" t="s">
        <v>2933</v>
      </c>
      <c r="D314" s="11" t="s">
        <v>2934</v>
      </c>
      <c r="E314" s="11" t="s">
        <v>2621</v>
      </c>
      <c r="F314" s="11" t="s">
        <v>2844</v>
      </c>
      <c r="G314" s="11">
        <v>2360</v>
      </c>
      <c r="H314" s="11" t="s">
        <v>2623</v>
      </c>
      <c r="I314" s="11" t="s">
        <v>1411</v>
      </c>
      <c r="J314" s="11">
        <v>18</v>
      </c>
      <c r="K314" s="11">
        <v>2000</v>
      </c>
      <c r="L314" s="11">
        <v>0</v>
      </c>
      <c r="M314" s="11">
        <v>180</v>
      </c>
      <c r="N314" s="11">
        <v>180</v>
      </c>
      <c r="O314" s="11">
        <v>0</v>
      </c>
      <c r="P314" s="11" t="s">
        <v>2624</v>
      </c>
    </row>
    <row r="315" spans="1:16" x14ac:dyDescent="0.2">
      <c r="A315" s="52">
        <v>43617</v>
      </c>
      <c r="B315" s="11" t="s">
        <v>706</v>
      </c>
      <c r="C315" s="11" t="s">
        <v>2935</v>
      </c>
      <c r="D315" s="11" t="s">
        <v>752</v>
      </c>
      <c r="E315" s="11" t="s">
        <v>2621</v>
      </c>
      <c r="F315" s="11" t="s">
        <v>2936</v>
      </c>
      <c r="G315" s="11">
        <v>3329.92</v>
      </c>
      <c r="H315" s="11" t="s">
        <v>2623</v>
      </c>
      <c r="I315" s="11" t="s">
        <v>1411</v>
      </c>
      <c r="J315" s="11">
        <v>28</v>
      </c>
      <c r="K315" s="11">
        <v>2601.5</v>
      </c>
      <c r="L315" s="11">
        <v>0</v>
      </c>
      <c r="M315" s="11">
        <v>364.21</v>
      </c>
      <c r="N315" s="11">
        <v>364.21</v>
      </c>
      <c r="O315" s="11">
        <v>0</v>
      </c>
      <c r="P315" s="11" t="s">
        <v>2624</v>
      </c>
    </row>
    <row r="316" spans="1:16" x14ac:dyDescent="0.2">
      <c r="A316" s="52">
        <v>43617</v>
      </c>
      <c r="B316" s="11" t="s">
        <v>592</v>
      </c>
      <c r="C316" s="11" t="s">
        <v>2637</v>
      </c>
      <c r="D316" s="11" t="s">
        <v>691</v>
      </c>
      <c r="E316" s="11" t="s">
        <v>2621</v>
      </c>
      <c r="F316" s="11" t="s">
        <v>2937</v>
      </c>
      <c r="G316" s="11">
        <v>108384</v>
      </c>
      <c r="H316" s="11" t="s">
        <v>2623</v>
      </c>
      <c r="I316" s="11" t="s">
        <v>1411</v>
      </c>
      <c r="J316" s="11">
        <v>18</v>
      </c>
      <c r="K316" s="11">
        <v>91850</v>
      </c>
      <c r="L316" s="11">
        <v>0</v>
      </c>
      <c r="M316" s="11">
        <v>8266.5</v>
      </c>
      <c r="N316" s="11">
        <v>8266.5</v>
      </c>
      <c r="O316" s="11">
        <v>0</v>
      </c>
      <c r="P316" s="11" t="s">
        <v>2624</v>
      </c>
    </row>
    <row r="317" spans="1:16" x14ac:dyDescent="0.2">
      <c r="A317" s="52">
        <v>43617</v>
      </c>
      <c r="B317" s="11" t="s">
        <v>592</v>
      </c>
      <c r="C317" s="11" t="s">
        <v>2637</v>
      </c>
      <c r="D317" s="11" t="s">
        <v>719</v>
      </c>
      <c r="E317" s="11" t="s">
        <v>2621</v>
      </c>
      <c r="F317" s="11" t="s">
        <v>2938</v>
      </c>
      <c r="G317" s="11">
        <v>43074</v>
      </c>
      <c r="H317" s="11" t="s">
        <v>2623</v>
      </c>
      <c r="I317" s="11" t="s">
        <v>1411</v>
      </c>
      <c r="J317" s="11">
        <v>18</v>
      </c>
      <c r="K317" s="11">
        <v>36504</v>
      </c>
      <c r="L317" s="11">
        <v>0</v>
      </c>
      <c r="M317" s="11">
        <v>3285.36</v>
      </c>
      <c r="N317" s="11">
        <v>3285.36</v>
      </c>
      <c r="O317" s="11">
        <v>0</v>
      </c>
      <c r="P317" s="11" t="s">
        <v>2624</v>
      </c>
    </row>
    <row r="318" spans="1:16" x14ac:dyDescent="0.2">
      <c r="A318" s="52">
        <v>43617</v>
      </c>
      <c r="B318" s="11" t="s">
        <v>592</v>
      </c>
      <c r="C318" s="11" t="s">
        <v>2637</v>
      </c>
      <c r="D318" s="11" t="s">
        <v>742</v>
      </c>
      <c r="E318" s="11" t="s">
        <v>2621</v>
      </c>
      <c r="F318" s="11" t="s">
        <v>2939</v>
      </c>
      <c r="G318" s="11">
        <v>36462</v>
      </c>
      <c r="H318" s="11" t="s">
        <v>2623</v>
      </c>
      <c r="I318" s="11" t="s">
        <v>1411</v>
      </c>
      <c r="J318" s="11">
        <v>18</v>
      </c>
      <c r="K318" s="11">
        <v>30900</v>
      </c>
      <c r="L318" s="11">
        <v>0</v>
      </c>
      <c r="M318" s="11">
        <v>2781</v>
      </c>
      <c r="N318" s="11">
        <v>2781</v>
      </c>
      <c r="O318" s="11">
        <v>0</v>
      </c>
      <c r="P318" s="11" t="s">
        <v>2624</v>
      </c>
    </row>
    <row r="319" spans="1:16" x14ac:dyDescent="0.2">
      <c r="A319" s="52">
        <v>43617</v>
      </c>
      <c r="B319" s="11" t="s">
        <v>602</v>
      </c>
      <c r="C319" s="11" t="s">
        <v>2781</v>
      </c>
      <c r="D319" s="11" t="s">
        <v>2940</v>
      </c>
      <c r="E319" s="11" t="s">
        <v>2621</v>
      </c>
      <c r="F319" s="11" t="s">
        <v>2928</v>
      </c>
      <c r="G319" s="11">
        <v>54489.599999999999</v>
      </c>
      <c r="H319" s="11" t="s">
        <v>2623</v>
      </c>
      <c r="I319" s="11" t="s">
        <v>1411</v>
      </c>
      <c r="J319" s="11">
        <v>28</v>
      </c>
      <c r="K319" s="11">
        <v>42570</v>
      </c>
      <c r="L319" s="11">
        <v>0</v>
      </c>
      <c r="M319" s="11">
        <v>5959.8</v>
      </c>
      <c r="N319" s="11">
        <v>5959.8</v>
      </c>
      <c r="O319" s="11">
        <v>0</v>
      </c>
      <c r="P319" s="11" t="s">
        <v>2624</v>
      </c>
    </row>
    <row r="320" spans="1:16" x14ac:dyDescent="0.2">
      <c r="A320" s="52">
        <v>43617</v>
      </c>
      <c r="B320" s="11" t="s">
        <v>602</v>
      </c>
      <c r="C320" s="11" t="s">
        <v>2781</v>
      </c>
      <c r="D320" s="11" t="s">
        <v>2941</v>
      </c>
      <c r="E320" s="11" t="s">
        <v>2621</v>
      </c>
      <c r="F320" s="11" t="s">
        <v>2928</v>
      </c>
      <c r="G320" s="11">
        <v>30855.16</v>
      </c>
      <c r="H320" s="11" t="s">
        <v>2623</v>
      </c>
      <c r="I320" s="11" t="s">
        <v>1411</v>
      </c>
      <c r="J320" s="11">
        <v>28</v>
      </c>
      <c r="K320" s="11">
        <v>24105.599999999999</v>
      </c>
      <c r="L320" s="11">
        <v>0</v>
      </c>
      <c r="M320" s="11">
        <v>3374.78</v>
      </c>
      <c r="N320" s="11">
        <v>3374.78</v>
      </c>
      <c r="O320" s="11">
        <v>0</v>
      </c>
      <c r="P320" s="11" t="s">
        <v>2624</v>
      </c>
    </row>
    <row r="321" spans="1:16" x14ac:dyDescent="0.2">
      <c r="A321" s="52">
        <v>43617</v>
      </c>
      <c r="B321" s="11" t="s">
        <v>602</v>
      </c>
      <c r="C321" s="11" t="s">
        <v>2781</v>
      </c>
      <c r="D321" s="11" t="s">
        <v>2942</v>
      </c>
      <c r="E321" s="11" t="s">
        <v>2621</v>
      </c>
      <c r="F321" s="11" t="s">
        <v>2937</v>
      </c>
      <c r="G321" s="11">
        <v>59938.559999999998</v>
      </c>
      <c r="H321" s="11" t="s">
        <v>2623</v>
      </c>
      <c r="I321" s="11" t="s">
        <v>1411</v>
      </c>
      <c r="J321" s="11">
        <v>28</v>
      </c>
      <c r="K321" s="11">
        <v>46827</v>
      </c>
      <c r="L321" s="11">
        <v>0</v>
      </c>
      <c r="M321" s="11">
        <v>6555.78</v>
      </c>
      <c r="N321" s="11">
        <v>6555.78</v>
      </c>
      <c r="O321" s="11">
        <v>0</v>
      </c>
      <c r="P321" s="11" t="s">
        <v>2624</v>
      </c>
    </row>
    <row r="322" spans="1:16" x14ac:dyDescent="0.2">
      <c r="A322" s="52">
        <v>43617</v>
      </c>
      <c r="B322" s="11" t="s">
        <v>602</v>
      </c>
      <c r="C322" s="11" t="s">
        <v>2781</v>
      </c>
      <c r="D322" s="11" t="s">
        <v>2943</v>
      </c>
      <c r="E322" s="11" t="s">
        <v>2621</v>
      </c>
      <c r="F322" s="11" t="s">
        <v>2937</v>
      </c>
      <c r="G322" s="11">
        <v>49040.639999999999</v>
      </c>
      <c r="H322" s="11" t="s">
        <v>2623</v>
      </c>
      <c r="I322" s="11" t="s">
        <v>1411</v>
      </c>
      <c r="J322" s="11">
        <v>28</v>
      </c>
      <c r="K322" s="11">
        <v>38313</v>
      </c>
      <c r="L322" s="11">
        <v>0</v>
      </c>
      <c r="M322" s="11">
        <v>5363.82</v>
      </c>
      <c r="N322" s="11">
        <v>5363.82</v>
      </c>
      <c r="O322" s="11">
        <v>0</v>
      </c>
      <c r="P322" s="11" t="s">
        <v>2624</v>
      </c>
    </row>
    <row r="323" spans="1:16" x14ac:dyDescent="0.2">
      <c r="A323" s="52">
        <v>43617</v>
      </c>
      <c r="B323" s="11" t="s">
        <v>602</v>
      </c>
      <c r="C323" s="11" t="s">
        <v>2781</v>
      </c>
      <c r="D323" s="11" t="s">
        <v>2944</v>
      </c>
      <c r="E323" s="11" t="s">
        <v>2621</v>
      </c>
      <c r="F323" s="11" t="s">
        <v>2937</v>
      </c>
      <c r="G323" s="11">
        <v>17141.759999999998</v>
      </c>
      <c r="H323" s="11" t="s">
        <v>2623</v>
      </c>
      <c r="I323" s="11" t="s">
        <v>1411</v>
      </c>
      <c r="J323" s="11">
        <v>28</v>
      </c>
      <c r="K323" s="11">
        <v>13392</v>
      </c>
      <c r="L323" s="11">
        <v>0</v>
      </c>
      <c r="M323" s="11">
        <v>1874.88</v>
      </c>
      <c r="N323" s="11">
        <v>1874.88</v>
      </c>
      <c r="O323" s="11">
        <v>0</v>
      </c>
      <c r="P323" s="11" t="s">
        <v>2624</v>
      </c>
    </row>
    <row r="324" spans="1:16" x14ac:dyDescent="0.2">
      <c r="A324" s="52">
        <v>43617</v>
      </c>
      <c r="B324" s="11" t="s">
        <v>602</v>
      </c>
      <c r="C324" s="11" t="s">
        <v>2781</v>
      </c>
      <c r="D324" s="11" t="s">
        <v>2945</v>
      </c>
      <c r="E324" s="11" t="s">
        <v>2621</v>
      </c>
      <c r="F324" s="11" t="s">
        <v>2927</v>
      </c>
      <c r="G324" s="11">
        <v>30855.16</v>
      </c>
      <c r="H324" s="11" t="s">
        <v>2623</v>
      </c>
      <c r="I324" s="11" t="s">
        <v>1411</v>
      </c>
      <c r="J324" s="11">
        <v>28</v>
      </c>
      <c r="K324" s="11">
        <v>24105.599999999999</v>
      </c>
      <c r="L324" s="11">
        <v>0</v>
      </c>
      <c r="M324" s="11">
        <v>3374.78</v>
      </c>
      <c r="N324" s="11">
        <v>3374.78</v>
      </c>
      <c r="O324" s="11">
        <v>0</v>
      </c>
      <c r="P324" s="11" t="s">
        <v>2624</v>
      </c>
    </row>
    <row r="325" spans="1:16" x14ac:dyDescent="0.2">
      <c r="A325" s="52">
        <v>43617</v>
      </c>
      <c r="B325" s="11" t="s">
        <v>602</v>
      </c>
      <c r="C325" s="11" t="s">
        <v>2781</v>
      </c>
      <c r="D325" s="11" t="s">
        <v>2946</v>
      </c>
      <c r="E325" s="11" t="s">
        <v>2621</v>
      </c>
      <c r="F325" s="11" t="s">
        <v>2927</v>
      </c>
      <c r="G325" s="11">
        <v>38142.720000000001</v>
      </c>
      <c r="H325" s="11" t="s">
        <v>2623</v>
      </c>
      <c r="I325" s="11" t="s">
        <v>1411</v>
      </c>
      <c r="J325" s="11">
        <v>28</v>
      </c>
      <c r="K325" s="11">
        <v>29799</v>
      </c>
      <c r="L325" s="11">
        <v>0</v>
      </c>
      <c r="M325" s="11">
        <v>4171.8599999999997</v>
      </c>
      <c r="N325" s="11">
        <v>4171.8599999999997</v>
      </c>
      <c r="O325" s="11">
        <v>0</v>
      </c>
      <c r="P325" s="11" t="s">
        <v>2624</v>
      </c>
    </row>
    <row r="326" spans="1:16" x14ac:dyDescent="0.2">
      <c r="A326" s="52">
        <v>43617</v>
      </c>
      <c r="B326" s="11" t="s">
        <v>602</v>
      </c>
      <c r="C326" s="11" t="s">
        <v>2781</v>
      </c>
      <c r="D326" s="11" t="s">
        <v>2947</v>
      </c>
      <c r="E326" s="11" t="s">
        <v>2621</v>
      </c>
      <c r="F326" s="11" t="s">
        <v>2948</v>
      </c>
      <c r="G326" s="11">
        <v>56669.18</v>
      </c>
      <c r="H326" s="11" t="s">
        <v>2623</v>
      </c>
      <c r="I326" s="11" t="s">
        <v>1411</v>
      </c>
      <c r="J326" s="11">
        <v>28</v>
      </c>
      <c r="K326" s="11">
        <v>44272.800000000003</v>
      </c>
      <c r="L326" s="11">
        <v>0</v>
      </c>
      <c r="M326" s="11">
        <v>6198.19</v>
      </c>
      <c r="N326" s="11">
        <v>6198.19</v>
      </c>
      <c r="O326" s="11">
        <v>0</v>
      </c>
      <c r="P326" s="11" t="s">
        <v>2624</v>
      </c>
    </row>
    <row r="327" spans="1:16" x14ac:dyDescent="0.2">
      <c r="A327" s="52">
        <v>43617</v>
      </c>
      <c r="B327" s="11" t="s">
        <v>602</v>
      </c>
      <c r="C327" s="11" t="s">
        <v>2781</v>
      </c>
      <c r="D327" s="11" t="s">
        <v>2949</v>
      </c>
      <c r="E327" s="11" t="s">
        <v>2621</v>
      </c>
      <c r="F327" s="11" t="s">
        <v>2950</v>
      </c>
      <c r="G327" s="11">
        <v>49040.639999999999</v>
      </c>
      <c r="H327" s="11" t="s">
        <v>2623</v>
      </c>
      <c r="I327" s="11" t="s">
        <v>1411</v>
      </c>
      <c r="J327" s="11">
        <v>28</v>
      </c>
      <c r="K327" s="11">
        <v>38313</v>
      </c>
      <c r="L327" s="11">
        <v>0</v>
      </c>
      <c r="M327" s="11">
        <v>5363.82</v>
      </c>
      <c r="N327" s="11">
        <v>5363.82</v>
      </c>
      <c r="O327" s="11">
        <v>0</v>
      </c>
      <c r="P327" s="11" t="s">
        <v>2624</v>
      </c>
    </row>
    <row r="328" spans="1:16" x14ac:dyDescent="0.2">
      <c r="A328" s="52">
        <v>43617</v>
      </c>
      <c r="B328" s="11" t="s">
        <v>602</v>
      </c>
      <c r="C328" s="11" t="s">
        <v>2781</v>
      </c>
      <c r="D328" s="11" t="s">
        <v>2951</v>
      </c>
      <c r="E328" s="11" t="s">
        <v>2621</v>
      </c>
      <c r="F328" s="11" t="s">
        <v>2950</v>
      </c>
      <c r="G328" s="11">
        <v>10285.06</v>
      </c>
      <c r="H328" s="11" t="s">
        <v>2623</v>
      </c>
      <c r="I328" s="11" t="s">
        <v>1411</v>
      </c>
      <c r="J328" s="11">
        <v>28</v>
      </c>
      <c r="K328" s="11">
        <v>8035.2</v>
      </c>
      <c r="L328" s="11">
        <v>0</v>
      </c>
      <c r="M328" s="11">
        <v>1124.93</v>
      </c>
      <c r="N328" s="11">
        <v>1124.93</v>
      </c>
      <c r="O328" s="11">
        <v>0</v>
      </c>
      <c r="P328" s="11" t="s">
        <v>2624</v>
      </c>
    </row>
    <row r="329" spans="1:16" x14ac:dyDescent="0.2">
      <c r="A329" s="52">
        <v>43617</v>
      </c>
      <c r="B329" s="11" t="s">
        <v>602</v>
      </c>
      <c r="C329" s="11" t="s">
        <v>2781</v>
      </c>
      <c r="D329" s="11" t="s">
        <v>2952</v>
      </c>
      <c r="E329" s="11" t="s">
        <v>2621</v>
      </c>
      <c r="F329" s="11" t="s">
        <v>2953</v>
      </c>
      <c r="G329" s="11">
        <v>25712.639999999999</v>
      </c>
      <c r="H329" s="11" t="s">
        <v>2623</v>
      </c>
      <c r="I329" s="11" t="s">
        <v>1411</v>
      </c>
      <c r="J329" s="11">
        <v>28</v>
      </c>
      <c r="K329" s="11">
        <v>20088</v>
      </c>
      <c r="L329" s="11">
        <v>0</v>
      </c>
      <c r="M329" s="11">
        <v>2812.32</v>
      </c>
      <c r="N329" s="11">
        <v>2812.32</v>
      </c>
      <c r="O329" s="11">
        <v>0</v>
      </c>
      <c r="P329" s="11" t="s">
        <v>2624</v>
      </c>
    </row>
    <row r="330" spans="1:16" x14ac:dyDescent="0.2">
      <c r="A330" s="52">
        <v>43617</v>
      </c>
      <c r="B330" s="11" t="s">
        <v>602</v>
      </c>
      <c r="C330" s="11" t="s">
        <v>2781</v>
      </c>
      <c r="D330" s="11" t="s">
        <v>2954</v>
      </c>
      <c r="E330" s="11" t="s">
        <v>2621</v>
      </c>
      <c r="F330" s="11" t="s">
        <v>2955</v>
      </c>
      <c r="G330" s="11">
        <v>29141</v>
      </c>
      <c r="H330" s="11" t="s">
        <v>2623</v>
      </c>
      <c r="I330" s="11" t="s">
        <v>1411</v>
      </c>
      <c r="J330" s="11">
        <v>28</v>
      </c>
      <c r="K330" s="11">
        <v>22766.400000000001</v>
      </c>
      <c r="L330" s="11">
        <v>0</v>
      </c>
      <c r="M330" s="11">
        <v>3187.3</v>
      </c>
      <c r="N330" s="11">
        <v>3187.3</v>
      </c>
      <c r="O330" s="11">
        <v>0</v>
      </c>
      <c r="P330" s="11" t="s">
        <v>2624</v>
      </c>
    </row>
    <row r="331" spans="1:16" x14ac:dyDescent="0.2">
      <c r="A331" s="52">
        <v>43617</v>
      </c>
      <c r="B331" s="11" t="s">
        <v>602</v>
      </c>
      <c r="C331" s="11" t="s">
        <v>2781</v>
      </c>
      <c r="D331" s="11" t="s">
        <v>2956</v>
      </c>
      <c r="E331" s="11" t="s">
        <v>2621</v>
      </c>
      <c r="F331" s="11" t="s">
        <v>2929</v>
      </c>
      <c r="G331" s="11">
        <v>51425.279999999999</v>
      </c>
      <c r="H331" s="11" t="s">
        <v>2623</v>
      </c>
      <c r="I331" s="11" t="s">
        <v>1411</v>
      </c>
      <c r="J331" s="11">
        <v>28</v>
      </c>
      <c r="K331" s="11">
        <v>40176</v>
      </c>
      <c r="L331" s="11">
        <v>0</v>
      </c>
      <c r="M331" s="11">
        <v>5624.64</v>
      </c>
      <c r="N331" s="11">
        <v>5624.64</v>
      </c>
      <c r="O331" s="11">
        <v>0</v>
      </c>
      <c r="P331" s="11" t="s">
        <v>2624</v>
      </c>
    </row>
    <row r="332" spans="1:16" x14ac:dyDescent="0.2">
      <c r="A332" s="52">
        <v>43617</v>
      </c>
      <c r="B332" s="11" t="s">
        <v>602</v>
      </c>
      <c r="C332" s="11" t="s">
        <v>2781</v>
      </c>
      <c r="D332" s="11" t="s">
        <v>2957</v>
      </c>
      <c r="E332" s="11" t="s">
        <v>2621</v>
      </c>
      <c r="F332" s="11" t="s">
        <v>2929</v>
      </c>
      <c r="G332" s="11">
        <v>45771.26</v>
      </c>
      <c r="H332" s="11" t="s">
        <v>2623</v>
      </c>
      <c r="I332" s="11" t="s">
        <v>1411</v>
      </c>
      <c r="J332" s="11">
        <v>28</v>
      </c>
      <c r="K332" s="11">
        <v>35758.800000000003</v>
      </c>
      <c r="L332" s="11">
        <v>0</v>
      </c>
      <c r="M332" s="11">
        <v>5006.2299999999996</v>
      </c>
      <c r="N332" s="11">
        <v>5006.2299999999996</v>
      </c>
      <c r="O332" s="11">
        <v>0</v>
      </c>
      <c r="P332" s="11" t="s">
        <v>2624</v>
      </c>
    </row>
    <row r="333" spans="1:16" x14ac:dyDescent="0.2">
      <c r="A333" s="52">
        <v>43617</v>
      </c>
      <c r="B333" s="11" t="s">
        <v>602</v>
      </c>
      <c r="C333" s="11" t="s">
        <v>2781</v>
      </c>
      <c r="D333" s="11" t="s">
        <v>2958</v>
      </c>
      <c r="E333" s="11" t="s">
        <v>2621</v>
      </c>
      <c r="F333" s="11" t="s">
        <v>2959</v>
      </c>
      <c r="G333" s="11">
        <v>64853</v>
      </c>
      <c r="H333" s="11" t="s">
        <v>2623</v>
      </c>
      <c r="I333" s="11" t="s">
        <v>1411</v>
      </c>
      <c r="J333" s="11">
        <v>28</v>
      </c>
      <c r="K333" s="11">
        <v>50666.400000000001</v>
      </c>
      <c r="L333" s="11">
        <v>0</v>
      </c>
      <c r="M333" s="11">
        <v>7093.3</v>
      </c>
      <c r="N333" s="11">
        <v>7093.3</v>
      </c>
      <c r="O333" s="11">
        <v>0</v>
      </c>
      <c r="P333" s="11" t="s">
        <v>2624</v>
      </c>
    </row>
    <row r="334" spans="1:16" x14ac:dyDescent="0.2">
      <c r="A334" s="52">
        <v>43617</v>
      </c>
      <c r="B334" s="11" t="s">
        <v>1023</v>
      </c>
      <c r="C334" s="11" t="s">
        <v>2960</v>
      </c>
      <c r="D334" s="11" t="s">
        <v>2961</v>
      </c>
      <c r="E334" s="11" t="s">
        <v>2621</v>
      </c>
      <c r="F334" s="11" t="s">
        <v>2814</v>
      </c>
      <c r="G334" s="11">
        <v>97344</v>
      </c>
      <c r="H334" s="11" t="s">
        <v>2623</v>
      </c>
      <c r="I334" s="11" t="s">
        <v>1411</v>
      </c>
      <c r="J334" s="11">
        <v>28</v>
      </c>
      <c r="K334" s="11">
        <v>76050</v>
      </c>
      <c r="L334" s="11">
        <v>0</v>
      </c>
      <c r="M334" s="11">
        <v>10647</v>
      </c>
      <c r="N334" s="11">
        <v>10647</v>
      </c>
      <c r="O334" s="11">
        <v>0</v>
      </c>
      <c r="P334" s="11" t="s">
        <v>2624</v>
      </c>
    </row>
    <row r="335" spans="1:16" x14ac:dyDescent="0.2">
      <c r="A335" s="52">
        <v>43617</v>
      </c>
      <c r="B335" s="11" t="s">
        <v>562</v>
      </c>
      <c r="C335" s="11" t="s">
        <v>2962</v>
      </c>
      <c r="D335" s="11" t="s">
        <v>563</v>
      </c>
      <c r="E335" s="11" t="s">
        <v>2621</v>
      </c>
      <c r="F335" s="11" t="s">
        <v>2673</v>
      </c>
      <c r="G335" s="11">
        <v>20178</v>
      </c>
      <c r="H335" s="11" t="s">
        <v>2623</v>
      </c>
      <c r="I335" s="11" t="s">
        <v>1411</v>
      </c>
      <c r="J335" s="11">
        <v>18</v>
      </c>
      <c r="K335" s="11">
        <v>17100</v>
      </c>
      <c r="L335" s="11">
        <v>0</v>
      </c>
      <c r="M335" s="11">
        <v>1539</v>
      </c>
      <c r="N335" s="11">
        <v>1539</v>
      </c>
      <c r="O335" s="11">
        <v>0</v>
      </c>
      <c r="P335" s="11" t="s">
        <v>2624</v>
      </c>
    </row>
    <row r="336" spans="1:16" x14ac:dyDescent="0.2">
      <c r="A336" s="52">
        <v>43617</v>
      </c>
      <c r="B336" s="11" t="s">
        <v>519</v>
      </c>
      <c r="C336" s="11" t="s">
        <v>2639</v>
      </c>
      <c r="D336" s="11" t="s">
        <v>760</v>
      </c>
      <c r="E336" s="11" t="s">
        <v>2621</v>
      </c>
      <c r="F336" s="11" t="s">
        <v>2953</v>
      </c>
      <c r="G336" s="11">
        <v>5823.44</v>
      </c>
      <c r="H336" s="11" t="s">
        <v>2623</v>
      </c>
      <c r="I336" s="11" t="s">
        <v>1411</v>
      </c>
      <c r="J336" s="11">
        <v>18</v>
      </c>
      <c r="K336" s="11">
        <v>4935.12</v>
      </c>
      <c r="L336" s="11">
        <v>0</v>
      </c>
      <c r="M336" s="11">
        <v>444.16</v>
      </c>
      <c r="N336" s="11">
        <v>444.16</v>
      </c>
      <c r="O336" s="11">
        <v>0</v>
      </c>
      <c r="P336" s="11" t="s">
        <v>2624</v>
      </c>
    </row>
    <row r="337" spans="1:16" x14ac:dyDescent="0.2">
      <c r="A337" s="52">
        <v>43617</v>
      </c>
      <c r="B337" s="11" t="s">
        <v>528</v>
      </c>
      <c r="C337" s="11" t="s">
        <v>2641</v>
      </c>
      <c r="D337" s="11" t="s">
        <v>2963</v>
      </c>
      <c r="E337" s="11" t="s">
        <v>2621</v>
      </c>
      <c r="F337" s="11" t="s">
        <v>2955</v>
      </c>
      <c r="G337" s="11">
        <v>3389</v>
      </c>
      <c r="H337" s="11" t="s">
        <v>2623</v>
      </c>
      <c r="I337" s="11" t="s">
        <v>1411</v>
      </c>
      <c r="J337" s="11">
        <v>18</v>
      </c>
      <c r="K337" s="11">
        <v>2872</v>
      </c>
      <c r="L337" s="11">
        <v>0</v>
      </c>
      <c r="M337" s="11">
        <v>258.48</v>
      </c>
      <c r="N337" s="11">
        <v>258.48</v>
      </c>
      <c r="O337" s="11">
        <v>0</v>
      </c>
      <c r="P337" s="11" t="s">
        <v>2624</v>
      </c>
    </row>
    <row r="338" spans="1:16" x14ac:dyDescent="0.2">
      <c r="A338" s="52">
        <v>43617</v>
      </c>
      <c r="B338" s="11" t="s">
        <v>528</v>
      </c>
      <c r="C338" s="11" t="s">
        <v>2641</v>
      </c>
      <c r="D338" s="11" t="s">
        <v>2964</v>
      </c>
      <c r="E338" s="11" t="s">
        <v>2621</v>
      </c>
      <c r="F338" s="11" t="s">
        <v>2965</v>
      </c>
      <c r="G338" s="11">
        <v>16945</v>
      </c>
      <c r="H338" s="11" t="s">
        <v>2623</v>
      </c>
      <c r="I338" s="11" t="s">
        <v>1411</v>
      </c>
      <c r="J338" s="11">
        <v>18</v>
      </c>
      <c r="K338" s="11">
        <v>14360</v>
      </c>
      <c r="L338" s="11">
        <v>0</v>
      </c>
      <c r="M338" s="11">
        <v>1292.4000000000001</v>
      </c>
      <c r="N338" s="11">
        <v>1292.4000000000001</v>
      </c>
      <c r="O338" s="11">
        <v>0</v>
      </c>
      <c r="P338" s="11" t="s">
        <v>2624</v>
      </c>
    </row>
    <row r="339" spans="1:16" x14ac:dyDescent="0.2">
      <c r="A339" s="52">
        <v>43617</v>
      </c>
      <c r="B339" s="11" t="s">
        <v>740</v>
      </c>
      <c r="C339" s="11" t="s">
        <v>2819</v>
      </c>
      <c r="D339" s="11" t="s">
        <v>2966</v>
      </c>
      <c r="E339" s="11" t="s">
        <v>2621</v>
      </c>
      <c r="F339" s="11" t="s">
        <v>2967</v>
      </c>
      <c r="G339" s="11">
        <v>29013</v>
      </c>
      <c r="H339" s="11" t="s">
        <v>2623</v>
      </c>
      <c r="I339" s="11" t="s">
        <v>1411</v>
      </c>
      <c r="J339" s="11">
        <v>18</v>
      </c>
      <c r="K339" s="11">
        <v>24587.34</v>
      </c>
      <c r="L339" s="11">
        <v>0</v>
      </c>
      <c r="M339" s="11">
        <v>2212.86</v>
      </c>
      <c r="N339" s="11">
        <v>2212.86</v>
      </c>
      <c r="O339" s="11">
        <v>0</v>
      </c>
      <c r="P339" s="11" t="s">
        <v>2624</v>
      </c>
    </row>
    <row r="340" spans="1:16" x14ac:dyDescent="0.2">
      <c r="A340" s="52">
        <v>43617</v>
      </c>
      <c r="B340" s="11" t="s">
        <v>590</v>
      </c>
      <c r="C340" s="11" t="s">
        <v>3385</v>
      </c>
      <c r="D340" s="11" t="s">
        <v>3386</v>
      </c>
      <c r="E340" s="11" t="s">
        <v>2621</v>
      </c>
      <c r="F340" s="11" t="s">
        <v>2928</v>
      </c>
      <c r="G340" s="11">
        <v>184769</v>
      </c>
      <c r="H340" s="11" t="s">
        <v>2623</v>
      </c>
      <c r="I340" s="11" t="s">
        <v>1411</v>
      </c>
      <c r="J340" s="11">
        <v>18</v>
      </c>
      <c r="K340" s="11">
        <v>156583.95000000001</v>
      </c>
      <c r="L340" s="11">
        <v>0</v>
      </c>
      <c r="M340" s="11">
        <v>14092.56</v>
      </c>
      <c r="N340" s="11">
        <v>14092.56</v>
      </c>
      <c r="O340" s="11">
        <v>0</v>
      </c>
      <c r="P340" s="11" t="s">
        <v>2624</v>
      </c>
    </row>
    <row r="341" spans="1:16" x14ac:dyDescent="0.2">
      <c r="A341" s="52">
        <v>43617</v>
      </c>
      <c r="B341" s="11" t="s">
        <v>590</v>
      </c>
      <c r="C341" s="11" t="s">
        <v>3385</v>
      </c>
      <c r="D341" s="11" t="s">
        <v>3387</v>
      </c>
      <c r="E341" s="11" t="s">
        <v>2621</v>
      </c>
      <c r="F341" s="11" t="s">
        <v>2894</v>
      </c>
      <c r="G341" s="11">
        <v>238574</v>
      </c>
      <c r="H341" s="11" t="s">
        <v>2623</v>
      </c>
      <c r="I341" s="11" t="s">
        <v>1411</v>
      </c>
      <c r="J341" s="11">
        <v>18</v>
      </c>
      <c r="K341" s="11">
        <v>202181.4</v>
      </c>
      <c r="L341" s="11">
        <v>0</v>
      </c>
      <c r="M341" s="11">
        <v>18196.330000000002</v>
      </c>
      <c r="N341" s="11">
        <v>18196.330000000002</v>
      </c>
      <c r="O341" s="11">
        <v>0</v>
      </c>
      <c r="P341" s="11" t="s">
        <v>2624</v>
      </c>
    </row>
    <row r="342" spans="1:16" x14ac:dyDescent="0.2">
      <c r="A342" s="52">
        <v>43617</v>
      </c>
      <c r="B342" s="11" t="s">
        <v>41</v>
      </c>
      <c r="C342" s="11" t="s">
        <v>2643</v>
      </c>
      <c r="D342" s="11" t="s">
        <v>692</v>
      </c>
      <c r="E342" s="11" t="s">
        <v>2621</v>
      </c>
      <c r="F342" s="11" t="s">
        <v>2937</v>
      </c>
      <c r="G342" s="11">
        <v>8002.18</v>
      </c>
      <c r="H342" s="11" t="s">
        <v>2623</v>
      </c>
      <c r="I342" s="11" t="s">
        <v>1411</v>
      </c>
      <c r="J342" s="11">
        <v>28</v>
      </c>
      <c r="K342" s="11">
        <v>6251.7</v>
      </c>
      <c r="L342" s="11">
        <v>0</v>
      </c>
      <c r="M342" s="11">
        <v>875</v>
      </c>
      <c r="N342" s="11">
        <v>875</v>
      </c>
      <c r="O342" s="11">
        <v>0</v>
      </c>
      <c r="P342" s="11" t="s">
        <v>2624</v>
      </c>
    </row>
    <row r="343" spans="1:16" x14ac:dyDescent="0.2">
      <c r="A343" s="52">
        <v>43617</v>
      </c>
      <c r="B343" s="11" t="s">
        <v>41</v>
      </c>
      <c r="C343" s="11" t="s">
        <v>2643</v>
      </c>
      <c r="D343" s="11" t="s">
        <v>694</v>
      </c>
      <c r="E343" s="11" t="s">
        <v>2621</v>
      </c>
      <c r="F343" s="11" t="s">
        <v>2937</v>
      </c>
      <c r="G343" s="11">
        <v>2017.92</v>
      </c>
      <c r="H343" s="11" t="s">
        <v>2623</v>
      </c>
      <c r="I343" s="11" t="s">
        <v>1411</v>
      </c>
      <c r="J343" s="11">
        <v>28</v>
      </c>
      <c r="K343" s="11">
        <v>1576.5</v>
      </c>
      <c r="L343" s="11">
        <v>0</v>
      </c>
      <c r="M343" s="11">
        <v>221</v>
      </c>
      <c r="N343" s="11">
        <v>221</v>
      </c>
      <c r="O343" s="11">
        <v>0</v>
      </c>
      <c r="P343" s="11" t="s">
        <v>2624</v>
      </c>
    </row>
    <row r="344" spans="1:16" x14ac:dyDescent="0.2">
      <c r="A344" s="52">
        <v>43617</v>
      </c>
      <c r="B344" s="11" t="s">
        <v>41</v>
      </c>
      <c r="C344" s="11" t="s">
        <v>2643</v>
      </c>
      <c r="D344" s="11" t="s">
        <v>693</v>
      </c>
      <c r="E344" s="11" t="s">
        <v>2621</v>
      </c>
      <c r="F344" s="11" t="s">
        <v>2937</v>
      </c>
      <c r="G344" s="11">
        <v>177.07</v>
      </c>
      <c r="H344" s="11" t="s">
        <v>2623</v>
      </c>
      <c r="I344" s="11" t="s">
        <v>1411</v>
      </c>
      <c r="J344" s="11">
        <v>28</v>
      </c>
      <c r="K344" s="11">
        <v>138.33000000000001</v>
      </c>
      <c r="L344" s="11">
        <v>0</v>
      </c>
      <c r="M344" s="11">
        <v>19</v>
      </c>
      <c r="N344" s="11">
        <v>19</v>
      </c>
      <c r="O344" s="11">
        <v>0</v>
      </c>
      <c r="P344" s="11" t="s">
        <v>2624</v>
      </c>
    </row>
    <row r="345" spans="1:16" x14ac:dyDescent="0.2">
      <c r="A345" s="52">
        <v>43617</v>
      </c>
      <c r="B345" s="11" t="s">
        <v>41</v>
      </c>
      <c r="C345" s="11" t="s">
        <v>2643</v>
      </c>
      <c r="D345" s="11" t="s">
        <v>730</v>
      </c>
      <c r="E345" s="11" t="s">
        <v>2621</v>
      </c>
      <c r="F345" s="11" t="s">
        <v>2965</v>
      </c>
      <c r="G345" s="11">
        <v>13159.48</v>
      </c>
      <c r="H345" s="11" t="s">
        <v>2623</v>
      </c>
      <c r="I345" s="11" t="s">
        <v>1411</v>
      </c>
      <c r="J345" s="11">
        <v>28</v>
      </c>
      <c r="K345" s="11">
        <v>10280.84</v>
      </c>
      <c r="L345" s="11">
        <v>0</v>
      </c>
      <c r="M345" s="11">
        <v>1440</v>
      </c>
      <c r="N345" s="11">
        <v>1440</v>
      </c>
      <c r="O345" s="11">
        <v>0</v>
      </c>
      <c r="P345" s="11" t="s">
        <v>2624</v>
      </c>
    </row>
    <row r="346" spans="1:16" x14ac:dyDescent="0.2">
      <c r="A346" s="52">
        <v>43617</v>
      </c>
      <c r="B346" s="11" t="s">
        <v>41</v>
      </c>
      <c r="C346" s="11" t="s">
        <v>2643</v>
      </c>
      <c r="D346" s="11" t="s">
        <v>746</v>
      </c>
      <c r="E346" s="11" t="s">
        <v>2621</v>
      </c>
      <c r="F346" s="11" t="s">
        <v>2931</v>
      </c>
      <c r="G346" s="11">
        <v>7965.7</v>
      </c>
      <c r="H346" s="11" t="s">
        <v>2623</v>
      </c>
      <c r="I346" s="11" t="s">
        <v>1411</v>
      </c>
      <c r="J346" s="11">
        <v>28</v>
      </c>
      <c r="K346" s="11">
        <v>6223.2</v>
      </c>
      <c r="L346" s="11">
        <v>0</v>
      </c>
      <c r="M346" s="11">
        <v>871</v>
      </c>
      <c r="N346" s="11">
        <v>871</v>
      </c>
      <c r="O346" s="11">
        <v>0</v>
      </c>
      <c r="P346" s="11" t="s">
        <v>2624</v>
      </c>
    </row>
    <row r="347" spans="1:16" x14ac:dyDescent="0.2">
      <c r="A347" s="52">
        <v>43617</v>
      </c>
      <c r="B347" s="11" t="s">
        <v>41</v>
      </c>
      <c r="C347" s="11" t="s">
        <v>2643</v>
      </c>
      <c r="D347" s="11" t="s">
        <v>754</v>
      </c>
      <c r="E347" s="11" t="s">
        <v>2621</v>
      </c>
      <c r="F347" s="11" t="s">
        <v>2968</v>
      </c>
      <c r="G347" s="11">
        <v>15684.93</v>
      </c>
      <c r="H347" s="11" t="s">
        <v>2623</v>
      </c>
      <c r="I347" s="11" t="s">
        <v>1411</v>
      </c>
      <c r="J347" s="11">
        <v>28</v>
      </c>
      <c r="K347" s="11">
        <v>12253.85</v>
      </c>
      <c r="L347" s="11">
        <v>0</v>
      </c>
      <c r="M347" s="11">
        <v>1716</v>
      </c>
      <c r="N347" s="11">
        <v>1716</v>
      </c>
      <c r="O347" s="11">
        <v>0</v>
      </c>
      <c r="P347" s="11" t="s">
        <v>2624</v>
      </c>
    </row>
    <row r="348" spans="1:16" x14ac:dyDescent="0.2">
      <c r="A348" s="52">
        <v>43617</v>
      </c>
      <c r="B348" s="11" t="s">
        <v>557</v>
      </c>
      <c r="C348" s="11" t="s">
        <v>3379</v>
      </c>
      <c r="D348" s="11" t="s">
        <v>3388</v>
      </c>
      <c r="E348" s="11" t="s">
        <v>2621</v>
      </c>
      <c r="F348" s="11" t="s">
        <v>2927</v>
      </c>
      <c r="G348" s="11">
        <v>2892</v>
      </c>
      <c r="H348" s="11" t="s">
        <v>2623</v>
      </c>
      <c r="I348" s="11" t="s">
        <v>1411</v>
      </c>
      <c r="J348" s="11">
        <v>18</v>
      </c>
      <c r="K348" s="11">
        <v>2450</v>
      </c>
      <c r="L348" s="11">
        <v>0</v>
      </c>
      <c r="M348" s="11">
        <v>221</v>
      </c>
      <c r="N348" s="11">
        <v>221</v>
      </c>
      <c r="O348" s="11">
        <v>0</v>
      </c>
      <c r="P348" s="11" t="s">
        <v>2624</v>
      </c>
    </row>
    <row r="349" spans="1:16" x14ac:dyDescent="0.2">
      <c r="A349" s="52">
        <v>43617</v>
      </c>
      <c r="B349" s="11" t="s">
        <v>557</v>
      </c>
      <c r="C349" s="11" t="s">
        <v>3379</v>
      </c>
      <c r="D349" s="11" t="s">
        <v>3389</v>
      </c>
      <c r="E349" s="11" t="s">
        <v>2621</v>
      </c>
      <c r="F349" s="11" t="s">
        <v>2936</v>
      </c>
      <c r="G349" s="11">
        <v>96170</v>
      </c>
      <c r="H349" s="11" t="s">
        <v>2623</v>
      </c>
      <c r="I349" s="11" t="s">
        <v>1411</v>
      </c>
      <c r="J349" s="11">
        <v>18</v>
      </c>
      <c r="K349" s="11">
        <v>81500</v>
      </c>
      <c r="L349" s="11">
        <v>0</v>
      </c>
      <c r="M349" s="11">
        <v>7335</v>
      </c>
      <c r="N349" s="11">
        <v>7335</v>
      </c>
      <c r="O349" s="11">
        <v>0</v>
      </c>
      <c r="P349" s="11" t="s">
        <v>2624</v>
      </c>
    </row>
    <row r="350" spans="1:16" x14ac:dyDescent="0.2">
      <c r="A350" s="52">
        <v>43617</v>
      </c>
      <c r="B350" s="11" t="s">
        <v>557</v>
      </c>
      <c r="C350" s="11" t="s">
        <v>3379</v>
      </c>
      <c r="D350" s="11" t="s">
        <v>3390</v>
      </c>
      <c r="E350" s="11" t="s">
        <v>2621</v>
      </c>
      <c r="F350" s="11" t="s">
        <v>3013</v>
      </c>
      <c r="G350" s="11">
        <v>14396</v>
      </c>
      <c r="H350" s="11" t="s">
        <v>2623</v>
      </c>
      <c r="I350" s="11" t="s">
        <v>1411</v>
      </c>
      <c r="J350" s="11">
        <v>18</v>
      </c>
      <c r="K350" s="11">
        <v>12200</v>
      </c>
      <c r="L350" s="11">
        <v>0</v>
      </c>
      <c r="M350" s="11">
        <v>1098</v>
      </c>
      <c r="N350" s="11">
        <v>1098</v>
      </c>
      <c r="O350" s="11">
        <v>0</v>
      </c>
      <c r="P350" s="11" t="s">
        <v>2624</v>
      </c>
    </row>
    <row r="351" spans="1:16" x14ac:dyDescent="0.2">
      <c r="A351" s="52">
        <v>43617</v>
      </c>
      <c r="B351" s="11" t="s">
        <v>723</v>
      </c>
      <c r="C351" s="11" t="s">
        <v>2969</v>
      </c>
      <c r="D351" s="11" t="s">
        <v>724</v>
      </c>
      <c r="E351" s="11" t="s">
        <v>2621</v>
      </c>
      <c r="F351" s="11" t="s">
        <v>2970</v>
      </c>
      <c r="G351" s="11">
        <v>7906</v>
      </c>
      <c r="H351" s="11" t="s">
        <v>2623</v>
      </c>
      <c r="I351" s="11" t="s">
        <v>1411</v>
      </c>
      <c r="J351" s="11">
        <v>18</v>
      </c>
      <c r="K351" s="11">
        <v>6700</v>
      </c>
      <c r="L351" s="11">
        <v>0</v>
      </c>
      <c r="M351" s="11">
        <v>603</v>
      </c>
      <c r="N351" s="11">
        <v>603</v>
      </c>
      <c r="O351" s="11">
        <v>0</v>
      </c>
      <c r="P351" s="11" t="s">
        <v>2624</v>
      </c>
    </row>
    <row r="352" spans="1:16" x14ac:dyDescent="0.2">
      <c r="A352" s="52">
        <v>43617</v>
      </c>
      <c r="B352" s="11" t="s">
        <v>709</v>
      </c>
      <c r="C352" s="11" t="s">
        <v>2747</v>
      </c>
      <c r="D352" s="11" t="s">
        <v>2971</v>
      </c>
      <c r="E352" s="11" t="s">
        <v>2621</v>
      </c>
      <c r="F352" s="11" t="s">
        <v>2972</v>
      </c>
      <c r="G352" s="11">
        <v>8850</v>
      </c>
      <c r="H352" s="11" t="s">
        <v>2623</v>
      </c>
      <c r="I352" s="11" t="s">
        <v>1411</v>
      </c>
      <c r="J352" s="11">
        <v>18</v>
      </c>
      <c r="K352" s="11">
        <v>7500</v>
      </c>
      <c r="L352" s="11">
        <v>1350</v>
      </c>
      <c r="M352" s="11">
        <v>0</v>
      </c>
      <c r="N352" s="11">
        <v>0</v>
      </c>
      <c r="O352" s="11">
        <v>0</v>
      </c>
      <c r="P352" s="11" t="s">
        <v>2624</v>
      </c>
    </row>
    <row r="353" spans="1:16" x14ac:dyDescent="0.2">
      <c r="A353" s="52">
        <v>43617</v>
      </c>
      <c r="B353" s="11" t="s">
        <v>709</v>
      </c>
      <c r="C353" s="11" t="s">
        <v>2747</v>
      </c>
      <c r="D353" s="11" t="s">
        <v>2973</v>
      </c>
      <c r="E353" s="11" t="s">
        <v>2621</v>
      </c>
      <c r="F353" s="11" t="s">
        <v>2965</v>
      </c>
      <c r="G353" s="11">
        <v>17285</v>
      </c>
      <c r="H353" s="11" t="s">
        <v>2623</v>
      </c>
      <c r="I353" s="11" t="s">
        <v>1411</v>
      </c>
      <c r="J353" s="11">
        <v>18</v>
      </c>
      <c r="K353" s="11">
        <v>14648.36</v>
      </c>
      <c r="L353" s="11">
        <v>2636.7</v>
      </c>
      <c r="M353" s="11">
        <v>0</v>
      </c>
      <c r="N353" s="11">
        <v>0</v>
      </c>
      <c r="O353" s="11">
        <v>0</v>
      </c>
      <c r="P353" s="11" t="s">
        <v>2624</v>
      </c>
    </row>
    <row r="354" spans="1:16" x14ac:dyDescent="0.2">
      <c r="A354" s="52">
        <v>43617</v>
      </c>
      <c r="B354" s="11" t="s">
        <v>709</v>
      </c>
      <c r="C354" s="11" t="s">
        <v>2747</v>
      </c>
      <c r="D354" s="11" t="s">
        <v>2974</v>
      </c>
      <c r="E354" s="11" t="s">
        <v>2621</v>
      </c>
      <c r="F354" s="11" t="s">
        <v>2967</v>
      </c>
      <c r="G354" s="11">
        <v>18330</v>
      </c>
      <c r="H354" s="11" t="s">
        <v>2623</v>
      </c>
      <c r="I354" s="11" t="s">
        <v>1411</v>
      </c>
      <c r="J354" s="11">
        <v>18</v>
      </c>
      <c r="K354" s="11">
        <v>15533.88</v>
      </c>
      <c r="L354" s="11">
        <v>2796.1</v>
      </c>
      <c r="M354" s="11">
        <v>0</v>
      </c>
      <c r="N354" s="11">
        <v>0</v>
      </c>
      <c r="O354" s="11">
        <v>0</v>
      </c>
      <c r="P354" s="11" t="s">
        <v>2624</v>
      </c>
    </row>
    <row r="355" spans="1:16" x14ac:dyDescent="0.2">
      <c r="A355" s="52">
        <v>43617</v>
      </c>
      <c r="B355" s="11" t="s">
        <v>709</v>
      </c>
      <c r="C355" s="11" t="s">
        <v>2747</v>
      </c>
      <c r="D355" s="11" t="s">
        <v>2975</v>
      </c>
      <c r="E355" s="11" t="s">
        <v>2621</v>
      </c>
      <c r="F355" s="11" t="s">
        <v>2976</v>
      </c>
      <c r="G355" s="11">
        <v>10455</v>
      </c>
      <c r="H355" s="11" t="s">
        <v>2623</v>
      </c>
      <c r="I355" s="11" t="s">
        <v>1411</v>
      </c>
      <c r="J355" s="11">
        <v>18</v>
      </c>
      <c r="K355" s="11">
        <v>8860.2000000000007</v>
      </c>
      <c r="L355" s="11">
        <v>1594.84</v>
      </c>
      <c r="M355" s="11">
        <v>0</v>
      </c>
      <c r="N355" s="11">
        <v>0</v>
      </c>
      <c r="O355" s="11">
        <v>0</v>
      </c>
      <c r="P355" s="11" t="s">
        <v>2624</v>
      </c>
    </row>
    <row r="356" spans="1:16" x14ac:dyDescent="0.2">
      <c r="A356" s="52">
        <v>43617</v>
      </c>
      <c r="B356" s="11" t="s">
        <v>709</v>
      </c>
      <c r="C356" s="11" t="s">
        <v>2747</v>
      </c>
      <c r="D356" s="11" t="s">
        <v>2977</v>
      </c>
      <c r="E356" s="11" t="s">
        <v>2621</v>
      </c>
      <c r="F356" s="11" t="s">
        <v>2959</v>
      </c>
      <c r="G356" s="11">
        <v>378662</v>
      </c>
      <c r="H356" s="11" t="s">
        <v>2623</v>
      </c>
      <c r="I356" s="11" t="s">
        <v>1411</v>
      </c>
      <c r="J356" s="11">
        <v>18</v>
      </c>
      <c r="K356" s="11">
        <v>320900</v>
      </c>
      <c r="L356" s="11">
        <v>57762</v>
      </c>
      <c r="M356" s="11">
        <v>0</v>
      </c>
      <c r="N356" s="11">
        <v>0</v>
      </c>
      <c r="O356" s="11">
        <v>0</v>
      </c>
      <c r="P356" s="11" t="s">
        <v>2624</v>
      </c>
    </row>
    <row r="357" spans="1:16" x14ac:dyDescent="0.2">
      <c r="A357" s="52">
        <v>43617</v>
      </c>
      <c r="B357" s="11" t="s">
        <v>566</v>
      </c>
      <c r="C357" s="11" t="s">
        <v>2978</v>
      </c>
      <c r="D357" s="11" t="s">
        <v>2979</v>
      </c>
      <c r="E357" s="11" t="s">
        <v>2621</v>
      </c>
      <c r="F357" s="11" t="s">
        <v>2626</v>
      </c>
      <c r="G357" s="11">
        <v>6403</v>
      </c>
      <c r="H357" s="11" t="s">
        <v>2623</v>
      </c>
      <c r="I357" s="11" t="s">
        <v>1411</v>
      </c>
      <c r="J357" s="11">
        <v>5</v>
      </c>
      <c r="K357" s="11">
        <v>640</v>
      </c>
      <c r="L357" s="11">
        <v>0</v>
      </c>
      <c r="M357" s="11">
        <v>16</v>
      </c>
      <c r="N357" s="11">
        <v>16</v>
      </c>
      <c r="O357" s="11">
        <v>0</v>
      </c>
      <c r="P357" s="11" t="s">
        <v>2624</v>
      </c>
    </row>
    <row r="358" spans="1:16" x14ac:dyDescent="0.2">
      <c r="A358" s="52">
        <v>43617</v>
      </c>
      <c r="B358" s="11" t="s">
        <v>566</v>
      </c>
      <c r="C358" s="11" t="s">
        <v>2978</v>
      </c>
      <c r="D358" s="11" t="s">
        <v>2979</v>
      </c>
      <c r="E358" s="11" t="s">
        <v>2621</v>
      </c>
      <c r="F358" s="11" t="s">
        <v>2626</v>
      </c>
      <c r="G358" s="11">
        <v>6403</v>
      </c>
      <c r="H358" s="11" t="s">
        <v>2623</v>
      </c>
      <c r="I358" s="11" t="s">
        <v>1411</v>
      </c>
      <c r="J358" s="11">
        <v>18</v>
      </c>
      <c r="K358" s="11">
        <v>4856.34</v>
      </c>
      <c r="L358" s="11">
        <v>0</v>
      </c>
      <c r="M358" s="11">
        <v>437.07</v>
      </c>
      <c r="N358" s="11">
        <v>437.07</v>
      </c>
      <c r="O358" s="11">
        <v>0</v>
      </c>
      <c r="P358" s="11" t="s">
        <v>2624</v>
      </c>
    </row>
    <row r="359" spans="1:16" x14ac:dyDescent="0.2">
      <c r="A359" s="52">
        <v>43617</v>
      </c>
      <c r="B359" s="11" t="s">
        <v>566</v>
      </c>
      <c r="C359" s="11" t="s">
        <v>2978</v>
      </c>
      <c r="D359" s="11" t="s">
        <v>2980</v>
      </c>
      <c r="E359" s="11" t="s">
        <v>2621</v>
      </c>
      <c r="F359" s="11" t="s">
        <v>2622</v>
      </c>
      <c r="G359" s="11">
        <v>11767</v>
      </c>
      <c r="H359" s="11" t="s">
        <v>2623</v>
      </c>
      <c r="I359" s="11" t="s">
        <v>1411</v>
      </c>
      <c r="J359" s="11">
        <v>18</v>
      </c>
      <c r="K359" s="11">
        <v>9820</v>
      </c>
      <c r="L359" s="11">
        <v>0</v>
      </c>
      <c r="M359" s="11">
        <v>883.8</v>
      </c>
      <c r="N359" s="11">
        <v>883.8</v>
      </c>
      <c r="O359" s="11">
        <v>0</v>
      </c>
      <c r="P359" s="11" t="s">
        <v>2624</v>
      </c>
    </row>
    <row r="360" spans="1:16" x14ac:dyDescent="0.2">
      <c r="A360" s="52">
        <v>43617</v>
      </c>
      <c r="B360" s="11" t="s">
        <v>566</v>
      </c>
      <c r="C360" s="11" t="s">
        <v>2978</v>
      </c>
      <c r="D360" s="11" t="s">
        <v>2980</v>
      </c>
      <c r="E360" s="11" t="s">
        <v>2621</v>
      </c>
      <c r="F360" s="11" t="s">
        <v>2622</v>
      </c>
      <c r="G360" s="11">
        <v>11767</v>
      </c>
      <c r="H360" s="11" t="s">
        <v>2623</v>
      </c>
      <c r="I360" s="11" t="s">
        <v>1411</v>
      </c>
      <c r="J360" s="11">
        <v>28</v>
      </c>
      <c r="K360" s="11">
        <v>140</v>
      </c>
      <c r="L360" s="11">
        <v>0</v>
      </c>
      <c r="M360" s="11">
        <v>19.600000000000001</v>
      </c>
      <c r="N360" s="11">
        <v>19.600000000000001</v>
      </c>
      <c r="O360" s="11">
        <v>0</v>
      </c>
      <c r="P360" s="11" t="s">
        <v>2624</v>
      </c>
    </row>
    <row r="361" spans="1:16" x14ac:dyDescent="0.2">
      <c r="A361" s="52">
        <v>43617</v>
      </c>
      <c r="B361" s="11" t="s">
        <v>566</v>
      </c>
      <c r="C361" s="11" t="s">
        <v>2978</v>
      </c>
      <c r="D361" s="11" t="s">
        <v>2981</v>
      </c>
      <c r="E361" s="11" t="s">
        <v>2621</v>
      </c>
      <c r="F361" s="11" t="s">
        <v>2902</v>
      </c>
      <c r="G361" s="11">
        <v>13881</v>
      </c>
      <c r="H361" s="11" t="s">
        <v>2623</v>
      </c>
      <c r="I361" s="11" t="s">
        <v>1411</v>
      </c>
      <c r="J361" s="11">
        <v>12</v>
      </c>
      <c r="K361" s="11">
        <v>2738</v>
      </c>
      <c r="L361" s="11">
        <v>0</v>
      </c>
      <c r="M361" s="11">
        <v>164.28</v>
      </c>
      <c r="N361" s="11">
        <v>164.28</v>
      </c>
      <c r="O361" s="11">
        <v>0</v>
      </c>
      <c r="P361" s="11" t="s">
        <v>2624</v>
      </c>
    </row>
    <row r="362" spans="1:16" x14ac:dyDescent="0.2">
      <c r="A362" s="52">
        <v>43617</v>
      </c>
      <c r="B362" s="11" t="s">
        <v>566</v>
      </c>
      <c r="C362" s="11" t="s">
        <v>2978</v>
      </c>
      <c r="D362" s="11" t="s">
        <v>2981</v>
      </c>
      <c r="E362" s="11" t="s">
        <v>2621</v>
      </c>
      <c r="F362" s="11" t="s">
        <v>2902</v>
      </c>
      <c r="G362" s="11">
        <v>13881</v>
      </c>
      <c r="H362" s="11" t="s">
        <v>2623</v>
      </c>
      <c r="I362" s="11" t="s">
        <v>1411</v>
      </c>
      <c r="J362" s="11">
        <v>18</v>
      </c>
      <c r="K362" s="11">
        <v>9164.42</v>
      </c>
      <c r="L362" s="11">
        <v>0</v>
      </c>
      <c r="M362" s="11">
        <v>824.8</v>
      </c>
      <c r="N362" s="11">
        <v>824.8</v>
      </c>
      <c r="O362" s="11">
        <v>0</v>
      </c>
      <c r="P362" s="11" t="s">
        <v>2624</v>
      </c>
    </row>
    <row r="363" spans="1:16" x14ac:dyDescent="0.2">
      <c r="A363" s="52">
        <v>43617</v>
      </c>
      <c r="B363" s="11" t="s">
        <v>566</v>
      </c>
      <c r="C363" s="11" t="s">
        <v>2978</v>
      </c>
      <c r="D363" s="11" t="s">
        <v>2982</v>
      </c>
      <c r="E363" s="11" t="s">
        <v>2621</v>
      </c>
      <c r="F363" s="11" t="s">
        <v>2953</v>
      </c>
      <c r="G363" s="11">
        <v>10603</v>
      </c>
      <c r="H363" s="11" t="s">
        <v>2623</v>
      </c>
      <c r="I363" s="11" t="s">
        <v>1411</v>
      </c>
      <c r="J363" s="11">
        <v>5</v>
      </c>
      <c r="K363" s="11">
        <v>320</v>
      </c>
      <c r="L363" s="11">
        <v>0</v>
      </c>
      <c r="M363" s="11">
        <v>8</v>
      </c>
      <c r="N363" s="11">
        <v>8</v>
      </c>
      <c r="O363" s="11">
        <v>0</v>
      </c>
      <c r="P363" s="11" t="s">
        <v>2624</v>
      </c>
    </row>
    <row r="364" spans="1:16" x14ac:dyDescent="0.2">
      <c r="A364" s="52">
        <v>43617</v>
      </c>
      <c r="B364" s="11" t="s">
        <v>566</v>
      </c>
      <c r="C364" s="11" t="s">
        <v>2978</v>
      </c>
      <c r="D364" s="11" t="s">
        <v>2982</v>
      </c>
      <c r="E364" s="11" t="s">
        <v>2621</v>
      </c>
      <c r="F364" s="11" t="s">
        <v>2953</v>
      </c>
      <c r="G364" s="11">
        <v>10603</v>
      </c>
      <c r="H364" s="11" t="s">
        <v>2623</v>
      </c>
      <c r="I364" s="11" t="s">
        <v>1411</v>
      </c>
      <c r="J364" s="11">
        <v>18</v>
      </c>
      <c r="K364" s="11">
        <v>8700.81</v>
      </c>
      <c r="L364" s="11">
        <v>0</v>
      </c>
      <c r="M364" s="11">
        <v>783.07</v>
      </c>
      <c r="N364" s="11">
        <v>783.07</v>
      </c>
      <c r="O364" s="11">
        <v>0</v>
      </c>
      <c r="P364" s="11" t="s">
        <v>2624</v>
      </c>
    </row>
    <row r="365" spans="1:16" x14ac:dyDescent="0.2">
      <c r="A365" s="52">
        <v>43617</v>
      </c>
      <c r="B365" s="11" t="s">
        <v>667</v>
      </c>
      <c r="C365" s="11" t="s">
        <v>2824</v>
      </c>
      <c r="D365" s="11" t="s">
        <v>750</v>
      </c>
      <c r="E365" s="11" t="s">
        <v>2621</v>
      </c>
      <c r="F365" s="11" t="s">
        <v>2959</v>
      </c>
      <c r="G365" s="11">
        <v>111536</v>
      </c>
      <c r="H365" s="11" t="s">
        <v>2623</v>
      </c>
      <c r="I365" s="11" t="s">
        <v>1411</v>
      </c>
      <c r="J365" s="11">
        <v>28</v>
      </c>
      <c r="K365" s="11">
        <v>87135.71</v>
      </c>
      <c r="L365" s="11">
        <v>0</v>
      </c>
      <c r="M365" s="11">
        <v>12199</v>
      </c>
      <c r="N365" s="11">
        <v>12199</v>
      </c>
      <c r="O365" s="11">
        <v>0</v>
      </c>
      <c r="P365" s="11" t="s">
        <v>2624</v>
      </c>
    </row>
    <row r="366" spans="1:16" x14ac:dyDescent="0.2">
      <c r="A366" s="52">
        <v>43617</v>
      </c>
      <c r="B366" s="11" t="s">
        <v>667</v>
      </c>
      <c r="C366" s="11" t="s">
        <v>2824</v>
      </c>
      <c r="D366" s="11" t="s">
        <v>751</v>
      </c>
      <c r="E366" s="11" t="s">
        <v>2621</v>
      </c>
      <c r="F366" s="11" t="s">
        <v>2959</v>
      </c>
      <c r="G366" s="11">
        <v>30720</v>
      </c>
      <c r="H366" s="11" t="s">
        <v>2623</v>
      </c>
      <c r="I366" s="11" t="s">
        <v>1411</v>
      </c>
      <c r="J366" s="11">
        <v>28</v>
      </c>
      <c r="K366" s="11">
        <v>24000</v>
      </c>
      <c r="L366" s="11">
        <v>0</v>
      </c>
      <c r="M366" s="11">
        <v>3360</v>
      </c>
      <c r="N366" s="11">
        <v>3360</v>
      </c>
      <c r="O366" s="11">
        <v>0</v>
      </c>
      <c r="P366" s="11" t="s">
        <v>2624</v>
      </c>
    </row>
    <row r="367" spans="1:16" x14ac:dyDescent="0.2">
      <c r="A367" s="52">
        <v>43617</v>
      </c>
      <c r="B367" s="11" t="s">
        <v>512</v>
      </c>
      <c r="C367" s="11" t="s">
        <v>2649</v>
      </c>
      <c r="D367" s="11" t="s">
        <v>716</v>
      </c>
      <c r="E367" s="11" t="s">
        <v>2621</v>
      </c>
      <c r="F367" s="11" t="s">
        <v>2938</v>
      </c>
      <c r="G367" s="11">
        <v>10325</v>
      </c>
      <c r="H367" s="11" t="s">
        <v>2623</v>
      </c>
      <c r="I367" s="11" t="s">
        <v>1411</v>
      </c>
      <c r="J367" s="11">
        <v>18</v>
      </c>
      <c r="K367" s="11">
        <v>8750</v>
      </c>
      <c r="L367" s="11">
        <v>0</v>
      </c>
      <c r="M367" s="11">
        <v>787.5</v>
      </c>
      <c r="N367" s="11">
        <v>787.5</v>
      </c>
      <c r="O367" s="11">
        <v>0</v>
      </c>
      <c r="P367" s="11" t="s">
        <v>2624</v>
      </c>
    </row>
    <row r="368" spans="1:16" x14ac:dyDescent="0.2">
      <c r="A368" s="52">
        <v>43617</v>
      </c>
      <c r="B368" s="11" t="s">
        <v>512</v>
      </c>
      <c r="C368" s="11" t="s">
        <v>2649</v>
      </c>
      <c r="D368" s="11" t="s">
        <v>743</v>
      </c>
      <c r="E368" s="11" t="s">
        <v>2621</v>
      </c>
      <c r="F368" s="11" t="s">
        <v>2983</v>
      </c>
      <c r="G368" s="11">
        <v>5310</v>
      </c>
      <c r="H368" s="11" t="s">
        <v>2623</v>
      </c>
      <c r="I368" s="11" t="s">
        <v>1411</v>
      </c>
      <c r="J368" s="11">
        <v>18</v>
      </c>
      <c r="K368" s="11">
        <v>4500</v>
      </c>
      <c r="L368" s="11">
        <v>0</v>
      </c>
      <c r="M368" s="11">
        <v>405</v>
      </c>
      <c r="N368" s="11">
        <v>405</v>
      </c>
      <c r="O368" s="11">
        <v>0</v>
      </c>
      <c r="P368" s="11" t="s">
        <v>2624</v>
      </c>
    </row>
    <row r="369" spans="1:16" x14ac:dyDescent="0.2">
      <c r="A369" s="52">
        <v>43617</v>
      </c>
      <c r="B369" s="11" t="s">
        <v>29</v>
      </c>
      <c r="C369" s="11" t="s">
        <v>2652</v>
      </c>
      <c r="D369" s="11" t="s">
        <v>2984</v>
      </c>
      <c r="E369" s="11" t="s">
        <v>2621</v>
      </c>
      <c r="F369" s="11" t="s">
        <v>2972</v>
      </c>
      <c r="G369" s="11">
        <v>22378.9</v>
      </c>
      <c r="H369" s="11" t="s">
        <v>2623</v>
      </c>
      <c r="I369" s="11" t="s">
        <v>1411</v>
      </c>
      <c r="J369" s="11">
        <v>28</v>
      </c>
      <c r="K369" s="11">
        <v>17483.52</v>
      </c>
      <c r="L369" s="11">
        <v>0</v>
      </c>
      <c r="M369" s="11">
        <v>2447.69</v>
      </c>
      <c r="N369" s="11">
        <v>2447.69</v>
      </c>
      <c r="O369" s="11">
        <v>0</v>
      </c>
      <c r="P369" s="11" t="s">
        <v>2624</v>
      </c>
    </row>
    <row r="370" spans="1:16" x14ac:dyDescent="0.2">
      <c r="A370" s="52">
        <v>43617</v>
      </c>
      <c r="B370" s="11" t="s">
        <v>29</v>
      </c>
      <c r="C370" s="11" t="s">
        <v>2652</v>
      </c>
      <c r="D370" s="11" t="s">
        <v>2985</v>
      </c>
      <c r="E370" s="11" t="s">
        <v>2621</v>
      </c>
      <c r="F370" s="11" t="s">
        <v>2972</v>
      </c>
      <c r="G370" s="11">
        <v>22378.9</v>
      </c>
      <c r="H370" s="11" t="s">
        <v>2623</v>
      </c>
      <c r="I370" s="11" t="s">
        <v>1411</v>
      </c>
      <c r="J370" s="11">
        <v>28</v>
      </c>
      <c r="K370" s="11">
        <v>17483.52</v>
      </c>
      <c r="L370" s="11">
        <v>0</v>
      </c>
      <c r="M370" s="11">
        <v>2447.69</v>
      </c>
      <c r="N370" s="11">
        <v>2447.69</v>
      </c>
      <c r="O370" s="11">
        <v>0</v>
      </c>
      <c r="P370" s="11" t="s">
        <v>2624</v>
      </c>
    </row>
    <row r="371" spans="1:16" x14ac:dyDescent="0.2">
      <c r="A371" s="52">
        <v>43617</v>
      </c>
      <c r="B371" s="11" t="s">
        <v>29</v>
      </c>
      <c r="C371" s="11" t="s">
        <v>2652</v>
      </c>
      <c r="D371" s="11" t="s">
        <v>2986</v>
      </c>
      <c r="E371" s="11" t="s">
        <v>2621</v>
      </c>
      <c r="F371" s="11" t="s">
        <v>2927</v>
      </c>
      <c r="G371" s="11">
        <v>22378.9</v>
      </c>
      <c r="H371" s="11" t="s">
        <v>2623</v>
      </c>
      <c r="I371" s="11" t="s">
        <v>1411</v>
      </c>
      <c r="J371" s="11">
        <v>28</v>
      </c>
      <c r="K371" s="11">
        <v>17483.52</v>
      </c>
      <c r="L371" s="11">
        <v>0</v>
      </c>
      <c r="M371" s="11">
        <v>2447.69</v>
      </c>
      <c r="N371" s="11">
        <v>2447.69</v>
      </c>
      <c r="O371" s="11">
        <v>0</v>
      </c>
      <c r="P371" s="11" t="s">
        <v>2624</v>
      </c>
    </row>
    <row r="372" spans="1:16" x14ac:dyDescent="0.2">
      <c r="A372" s="52">
        <v>43617</v>
      </c>
      <c r="B372" s="11" t="s">
        <v>29</v>
      </c>
      <c r="C372" s="11" t="s">
        <v>2652</v>
      </c>
      <c r="D372" s="11" t="s">
        <v>2987</v>
      </c>
      <c r="E372" s="11" t="s">
        <v>2621</v>
      </c>
      <c r="F372" s="11" t="s">
        <v>2927</v>
      </c>
      <c r="G372" s="11">
        <v>22378.9</v>
      </c>
      <c r="H372" s="11" t="s">
        <v>2623</v>
      </c>
      <c r="I372" s="11" t="s">
        <v>1411</v>
      </c>
      <c r="J372" s="11">
        <v>28</v>
      </c>
      <c r="K372" s="11">
        <v>17483.52</v>
      </c>
      <c r="L372" s="11">
        <v>0</v>
      </c>
      <c r="M372" s="11">
        <v>2447.69</v>
      </c>
      <c r="N372" s="11">
        <v>2447.69</v>
      </c>
      <c r="O372" s="11">
        <v>0</v>
      </c>
      <c r="P372" s="11" t="s">
        <v>2624</v>
      </c>
    </row>
    <row r="373" spans="1:16" x14ac:dyDescent="0.2">
      <c r="A373" s="52">
        <v>43617</v>
      </c>
      <c r="B373" s="11" t="s">
        <v>29</v>
      </c>
      <c r="C373" s="11" t="s">
        <v>2652</v>
      </c>
      <c r="D373" s="11" t="s">
        <v>2988</v>
      </c>
      <c r="E373" s="11" t="s">
        <v>2621</v>
      </c>
      <c r="F373" s="11" t="s">
        <v>2927</v>
      </c>
      <c r="G373" s="11">
        <v>22378.9</v>
      </c>
      <c r="H373" s="11" t="s">
        <v>2623</v>
      </c>
      <c r="I373" s="11" t="s">
        <v>1411</v>
      </c>
      <c r="J373" s="11">
        <v>28</v>
      </c>
      <c r="K373" s="11">
        <v>17483.52</v>
      </c>
      <c r="L373" s="11">
        <v>0</v>
      </c>
      <c r="M373" s="11">
        <v>2447.69</v>
      </c>
      <c r="N373" s="11">
        <v>2447.69</v>
      </c>
      <c r="O373" s="11">
        <v>0</v>
      </c>
      <c r="P373" s="11" t="s">
        <v>2624</v>
      </c>
    </row>
    <row r="374" spans="1:16" x14ac:dyDescent="0.2">
      <c r="A374" s="52">
        <v>43617</v>
      </c>
      <c r="B374" s="11" t="s">
        <v>29</v>
      </c>
      <c r="C374" s="11" t="s">
        <v>2652</v>
      </c>
      <c r="D374" s="11" t="s">
        <v>2989</v>
      </c>
      <c r="E374" s="11" t="s">
        <v>2621</v>
      </c>
      <c r="F374" s="11" t="s">
        <v>2927</v>
      </c>
      <c r="G374" s="11">
        <v>22378.9</v>
      </c>
      <c r="H374" s="11" t="s">
        <v>2623</v>
      </c>
      <c r="I374" s="11" t="s">
        <v>1411</v>
      </c>
      <c r="J374" s="11">
        <v>28</v>
      </c>
      <c r="K374" s="11">
        <v>17483.52</v>
      </c>
      <c r="L374" s="11">
        <v>0</v>
      </c>
      <c r="M374" s="11">
        <v>2447.69</v>
      </c>
      <c r="N374" s="11">
        <v>2447.69</v>
      </c>
      <c r="O374" s="11">
        <v>0</v>
      </c>
      <c r="P374" s="11" t="s">
        <v>2624</v>
      </c>
    </row>
    <row r="375" spans="1:16" x14ac:dyDescent="0.2">
      <c r="A375" s="52">
        <v>43617</v>
      </c>
      <c r="B375" s="11" t="s">
        <v>29</v>
      </c>
      <c r="C375" s="11" t="s">
        <v>2652</v>
      </c>
      <c r="D375" s="11" t="s">
        <v>2990</v>
      </c>
      <c r="E375" s="11" t="s">
        <v>2621</v>
      </c>
      <c r="F375" s="11" t="s">
        <v>2948</v>
      </c>
      <c r="G375" s="11">
        <v>22378.9</v>
      </c>
      <c r="H375" s="11" t="s">
        <v>2623</v>
      </c>
      <c r="I375" s="11" t="s">
        <v>1411</v>
      </c>
      <c r="J375" s="11">
        <v>28</v>
      </c>
      <c r="K375" s="11">
        <v>17483.52</v>
      </c>
      <c r="L375" s="11">
        <v>0</v>
      </c>
      <c r="M375" s="11">
        <v>2447.69</v>
      </c>
      <c r="N375" s="11">
        <v>2447.69</v>
      </c>
      <c r="O375" s="11">
        <v>0</v>
      </c>
      <c r="P375" s="11" t="s">
        <v>2624</v>
      </c>
    </row>
    <row r="376" spans="1:16" x14ac:dyDescent="0.2">
      <c r="A376" s="52">
        <v>43617</v>
      </c>
      <c r="B376" s="11" t="s">
        <v>29</v>
      </c>
      <c r="C376" s="11" t="s">
        <v>2652</v>
      </c>
      <c r="D376" s="11" t="s">
        <v>2991</v>
      </c>
      <c r="E376" s="11" t="s">
        <v>2621</v>
      </c>
      <c r="F376" s="11" t="s">
        <v>2948</v>
      </c>
      <c r="G376" s="11">
        <v>22378.9</v>
      </c>
      <c r="H376" s="11" t="s">
        <v>2623</v>
      </c>
      <c r="I376" s="11" t="s">
        <v>1411</v>
      </c>
      <c r="J376" s="11">
        <v>28</v>
      </c>
      <c r="K376" s="11">
        <v>17483.52</v>
      </c>
      <c r="L376" s="11">
        <v>0</v>
      </c>
      <c r="M376" s="11">
        <v>2447.69</v>
      </c>
      <c r="N376" s="11">
        <v>2447.69</v>
      </c>
      <c r="O376" s="11">
        <v>0</v>
      </c>
      <c r="P376" s="11" t="s">
        <v>2624</v>
      </c>
    </row>
    <row r="377" spans="1:16" x14ac:dyDescent="0.2">
      <c r="A377" s="52">
        <v>43617</v>
      </c>
      <c r="B377" s="11" t="s">
        <v>29</v>
      </c>
      <c r="C377" s="11" t="s">
        <v>2652</v>
      </c>
      <c r="D377" s="11" t="s">
        <v>2992</v>
      </c>
      <c r="E377" s="11" t="s">
        <v>2621</v>
      </c>
      <c r="F377" s="11" t="s">
        <v>2965</v>
      </c>
      <c r="G377" s="11">
        <v>22378.9</v>
      </c>
      <c r="H377" s="11" t="s">
        <v>2623</v>
      </c>
      <c r="I377" s="11" t="s">
        <v>1411</v>
      </c>
      <c r="J377" s="11">
        <v>28</v>
      </c>
      <c r="K377" s="11">
        <v>17483.52</v>
      </c>
      <c r="L377" s="11">
        <v>0</v>
      </c>
      <c r="M377" s="11">
        <v>2447.69</v>
      </c>
      <c r="N377" s="11">
        <v>2447.69</v>
      </c>
      <c r="O377" s="11">
        <v>0</v>
      </c>
      <c r="P377" s="11" t="s">
        <v>2624</v>
      </c>
    </row>
    <row r="378" spans="1:16" x14ac:dyDescent="0.2">
      <c r="A378" s="52">
        <v>43617</v>
      </c>
      <c r="B378" s="11" t="s">
        <v>29</v>
      </c>
      <c r="C378" s="11" t="s">
        <v>2652</v>
      </c>
      <c r="D378" s="11" t="s">
        <v>2993</v>
      </c>
      <c r="E378" s="11" t="s">
        <v>2621</v>
      </c>
      <c r="F378" s="11" t="s">
        <v>2965</v>
      </c>
      <c r="G378" s="11">
        <v>22378.9</v>
      </c>
      <c r="H378" s="11" t="s">
        <v>2623</v>
      </c>
      <c r="I378" s="11" t="s">
        <v>1411</v>
      </c>
      <c r="J378" s="11">
        <v>28</v>
      </c>
      <c r="K378" s="11">
        <v>17483.52</v>
      </c>
      <c r="L378" s="11">
        <v>0</v>
      </c>
      <c r="M378" s="11">
        <v>2447.69</v>
      </c>
      <c r="N378" s="11">
        <v>2447.69</v>
      </c>
      <c r="O378" s="11">
        <v>0</v>
      </c>
      <c r="P378" s="11" t="s">
        <v>2624</v>
      </c>
    </row>
    <row r="379" spans="1:16" x14ac:dyDescent="0.2">
      <c r="A379" s="52">
        <v>43617</v>
      </c>
      <c r="B379" s="11" t="s">
        <v>29</v>
      </c>
      <c r="C379" s="11" t="s">
        <v>2652</v>
      </c>
      <c r="D379" s="11" t="s">
        <v>2994</v>
      </c>
      <c r="E379" s="11" t="s">
        <v>2621</v>
      </c>
      <c r="F379" s="11" t="s">
        <v>2929</v>
      </c>
      <c r="G379" s="11">
        <v>22378.9</v>
      </c>
      <c r="H379" s="11" t="s">
        <v>2623</v>
      </c>
      <c r="I379" s="11" t="s">
        <v>1411</v>
      </c>
      <c r="J379" s="11">
        <v>28</v>
      </c>
      <c r="K379" s="11">
        <v>17483.52</v>
      </c>
      <c r="L379" s="11">
        <v>0</v>
      </c>
      <c r="M379" s="11">
        <v>2447.69</v>
      </c>
      <c r="N379" s="11">
        <v>2447.69</v>
      </c>
      <c r="O379" s="11">
        <v>0</v>
      </c>
      <c r="P379" s="11" t="s">
        <v>2624</v>
      </c>
    </row>
    <row r="380" spans="1:16" x14ac:dyDescent="0.2">
      <c r="A380" s="52">
        <v>43617</v>
      </c>
      <c r="B380" s="11" t="s">
        <v>29</v>
      </c>
      <c r="C380" s="11" t="s">
        <v>2652</v>
      </c>
      <c r="D380" s="11" t="s">
        <v>2995</v>
      </c>
      <c r="E380" s="11" t="s">
        <v>2621</v>
      </c>
      <c r="F380" s="11" t="s">
        <v>2929</v>
      </c>
      <c r="G380" s="11">
        <v>22378.9</v>
      </c>
      <c r="H380" s="11" t="s">
        <v>2623</v>
      </c>
      <c r="I380" s="11" t="s">
        <v>1411</v>
      </c>
      <c r="J380" s="11">
        <v>28</v>
      </c>
      <c r="K380" s="11">
        <v>17483.52</v>
      </c>
      <c r="L380" s="11">
        <v>0</v>
      </c>
      <c r="M380" s="11">
        <v>2447.69</v>
      </c>
      <c r="N380" s="11">
        <v>2447.69</v>
      </c>
      <c r="O380" s="11">
        <v>0</v>
      </c>
      <c r="P380" s="11" t="s">
        <v>2624</v>
      </c>
    </row>
    <row r="381" spans="1:16" x14ac:dyDescent="0.2">
      <c r="A381" s="52">
        <v>43617</v>
      </c>
      <c r="B381" s="11" t="s">
        <v>29</v>
      </c>
      <c r="C381" s="11" t="s">
        <v>2652</v>
      </c>
      <c r="D381" s="11" t="s">
        <v>2996</v>
      </c>
      <c r="E381" s="11" t="s">
        <v>2621</v>
      </c>
      <c r="F381" s="11" t="s">
        <v>2967</v>
      </c>
      <c r="G381" s="11">
        <v>22378.9</v>
      </c>
      <c r="H381" s="11" t="s">
        <v>2623</v>
      </c>
      <c r="I381" s="11" t="s">
        <v>1411</v>
      </c>
      <c r="J381" s="11">
        <v>28</v>
      </c>
      <c r="K381" s="11">
        <v>17483.52</v>
      </c>
      <c r="L381" s="11">
        <v>0</v>
      </c>
      <c r="M381" s="11">
        <v>2447.69</v>
      </c>
      <c r="N381" s="11">
        <v>2447.69</v>
      </c>
      <c r="O381" s="11">
        <v>0</v>
      </c>
      <c r="P381" s="11" t="s">
        <v>2624</v>
      </c>
    </row>
    <row r="382" spans="1:16" x14ac:dyDescent="0.2">
      <c r="A382" s="52">
        <v>43617</v>
      </c>
      <c r="B382" s="11" t="s">
        <v>29</v>
      </c>
      <c r="C382" s="11" t="s">
        <v>2652</v>
      </c>
      <c r="D382" s="11" t="s">
        <v>2997</v>
      </c>
      <c r="E382" s="11" t="s">
        <v>2621</v>
      </c>
      <c r="F382" s="11" t="s">
        <v>2967</v>
      </c>
      <c r="G382" s="11">
        <v>22378.9</v>
      </c>
      <c r="H382" s="11" t="s">
        <v>2623</v>
      </c>
      <c r="I382" s="11" t="s">
        <v>1411</v>
      </c>
      <c r="J382" s="11">
        <v>28</v>
      </c>
      <c r="K382" s="11">
        <v>17483.52</v>
      </c>
      <c r="L382" s="11">
        <v>0</v>
      </c>
      <c r="M382" s="11">
        <v>2447.69</v>
      </c>
      <c r="N382" s="11">
        <v>2447.69</v>
      </c>
      <c r="O382" s="11">
        <v>0</v>
      </c>
      <c r="P382" s="11" t="s">
        <v>2624</v>
      </c>
    </row>
    <row r="383" spans="1:16" x14ac:dyDescent="0.2">
      <c r="A383" s="52">
        <v>43617</v>
      </c>
      <c r="B383" s="11" t="s">
        <v>29</v>
      </c>
      <c r="C383" s="11" t="s">
        <v>2652</v>
      </c>
      <c r="D383" s="11" t="s">
        <v>2998</v>
      </c>
      <c r="E383" s="11" t="s">
        <v>2621</v>
      </c>
      <c r="F383" s="11" t="s">
        <v>2967</v>
      </c>
      <c r="G383" s="11">
        <v>22378.9</v>
      </c>
      <c r="H383" s="11" t="s">
        <v>2623</v>
      </c>
      <c r="I383" s="11" t="s">
        <v>1411</v>
      </c>
      <c r="J383" s="11">
        <v>28</v>
      </c>
      <c r="K383" s="11">
        <v>17483.52</v>
      </c>
      <c r="L383" s="11">
        <v>0</v>
      </c>
      <c r="M383" s="11">
        <v>2447.69</v>
      </c>
      <c r="N383" s="11">
        <v>2447.69</v>
      </c>
      <c r="O383" s="11">
        <v>0</v>
      </c>
      <c r="P383" s="11" t="s">
        <v>2624</v>
      </c>
    </row>
    <row r="384" spans="1:16" x14ac:dyDescent="0.2">
      <c r="A384" s="52">
        <v>43617</v>
      </c>
      <c r="B384" s="11" t="s">
        <v>29</v>
      </c>
      <c r="C384" s="11" t="s">
        <v>2652</v>
      </c>
      <c r="D384" s="11" t="s">
        <v>2999</v>
      </c>
      <c r="E384" s="11" t="s">
        <v>2621</v>
      </c>
      <c r="F384" s="11" t="s">
        <v>2983</v>
      </c>
      <c r="G384" s="11">
        <v>22378.9</v>
      </c>
      <c r="H384" s="11" t="s">
        <v>2623</v>
      </c>
      <c r="I384" s="11" t="s">
        <v>1411</v>
      </c>
      <c r="J384" s="11">
        <v>28</v>
      </c>
      <c r="K384" s="11">
        <v>17483.52</v>
      </c>
      <c r="L384" s="11">
        <v>0</v>
      </c>
      <c r="M384" s="11">
        <v>2447.69</v>
      </c>
      <c r="N384" s="11">
        <v>2447.69</v>
      </c>
      <c r="O384" s="11">
        <v>0</v>
      </c>
      <c r="P384" s="11" t="s">
        <v>2624</v>
      </c>
    </row>
    <row r="385" spans="1:16" x14ac:dyDescent="0.2">
      <c r="A385" s="52">
        <v>43617</v>
      </c>
      <c r="B385" s="11" t="s">
        <v>29</v>
      </c>
      <c r="C385" s="11" t="s">
        <v>2652</v>
      </c>
      <c r="D385" s="11" t="s">
        <v>3000</v>
      </c>
      <c r="E385" s="11" t="s">
        <v>2621</v>
      </c>
      <c r="F385" s="11" t="s">
        <v>2983</v>
      </c>
      <c r="G385" s="11">
        <v>22378.9</v>
      </c>
      <c r="H385" s="11" t="s">
        <v>2623</v>
      </c>
      <c r="I385" s="11" t="s">
        <v>1411</v>
      </c>
      <c r="J385" s="11">
        <v>28</v>
      </c>
      <c r="K385" s="11">
        <v>17483.52</v>
      </c>
      <c r="L385" s="11">
        <v>0</v>
      </c>
      <c r="M385" s="11">
        <v>2447.69</v>
      </c>
      <c r="N385" s="11">
        <v>2447.69</v>
      </c>
      <c r="O385" s="11">
        <v>0</v>
      </c>
      <c r="P385" s="11" t="s">
        <v>2624</v>
      </c>
    </row>
    <row r="386" spans="1:16" x14ac:dyDescent="0.2">
      <c r="A386" s="52">
        <v>43617</v>
      </c>
      <c r="B386" s="11" t="s">
        <v>29</v>
      </c>
      <c r="C386" s="11" t="s">
        <v>2652</v>
      </c>
      <c r="D386" s="11" t="s">
        <v>3001</v>
      </c>
      <c r="E386" s="11" t="s">
        <v>2621</v>
      </c>
      <c r="F386" s="11" t="s">
        <v>2983</v>
      </c>
      <c r="G386" s="11">
        <v>22378.9</v>
      </c>
      <c r="H386" s="11" t="s">
        <v>2623</v>
      </c>
      <c r="I386" s="11" t="s">
        <v>1411</v>
      </c>
      <c r="J386" s="11">
        <v>28</v>
      </c>
      <c r="K386" s="11">
        <v>17483.52</v>
      </c>
      <c r="L386" s="11">
        <v>0</v>
      </c>
      <c r="M386" s="11">
        <v>2447.69</v>
      </c>
      <c r="N386" s="11">
        <v>2447.69</v>
      </c>
      <c r="O386" s="11">
        <v>0</v>
      </c>
      <c r="P386" s="11" t="s">
        <v>2624</v>
      </c>
    </row>
    <row r="387" spans="1:16" x14ac:dyDescent="0.2">
      <c r="A387" s="52">
        <v>43617</v>
      </c>
      <c r="B387" s="11" t="s">
        <v>29</v>
      </c>
      <c r="C387" s="11" t="s">
        <v>2652</v>
      </c>
      <c r="D387" s="11" t="s">
        <v>3002</v>
      </c>
      <c r="E387" s="11" t="s">
        <v>2621</v>
      </c>
      <c r="F387" s="11" t="s">
        <v>2976</v>
      </c>
      <c r="G387" s="11">
        <v>22378.9</v>
      </c>
      <c r="H387" s="11" t="s">
        <v>2623</v>
      </c>
      <c r="I387" s="11" t="s">
        <v>1411</v>
      </c>
      <c r="J387" s="11">
        <v>28</v>
      </c>
      <c r="K387" s="11">
        <v>17483.52</v>
      </c>
      <c r="L387" s="11">
        <v>0</v>
      </c>
      <c r="M387" s="11">
        <v>2447.69</v>
      </c>
      <c r="N387" s="11">
        <v>2447.69</v>
      </c>
      <c r="O387" s="11">
        <v>0</v>
      </c>
      <c r="P387" s="11" t="s">
        <v>2624</v>
      </c>
    </row>
    <row r="388" spans="1:16" x14ac:dyDescent="0.2">
      <c r="A388" s="52">
        <v>43617</v>
      </c>
      <c r="B388" s="11" t="s">
        <v>29</v>
      </c>
      <c r="C388" s="11" t="s">
        <v>2652</v>
      </c>
      <c r="D388" s="11" t="s">
        <v>3003</v>
      </c>
      <c r="E388" s="11" t="s">
        <v>2621</v>
      </c>
      <c r="F388" s="11" t="s">
        <v>2931</v>
      </c>
      <c r="G388" s="11">
        <v>22378.9</v>
      </c>
      <c r="H388" s="11" t="s">
        <v>2623</v>
      </c>
      <c r="I388" s="11" t="s">
        <v>1411</v>
      </c>
      <c r="J388" s="11">
        <v>28</v>
      </c>
      <c r="K388" s="11">
        <v>17483.52</v>
      </c>
      <c r="L388" s="11">
        <v>0</v>
      </c>
      <c r="M388" s="11">
        <v>2447.69</v>
      </c>
      <c r="N388" s="11">
        <v>2447.69</v>
      </c>
      <c r="O388" s="11">
        <v>0</v>
      </c>
      <c r="P388" s="11" t="s">
        <v>2624</v>
      </c>
    </row>
    <row r="389" spans="1:16" x14ac:dyDescent="0.2">
      <c r="A389" s="52">
        <v>43617</v>
      </c>
      <c r="B389" s="11" t="s">
        <v>29</v>
      </c>
      <c r="C389" s="11" t="s">
        <v>2652</v>
      </c>
      <c r="D389" s="11" t="s">
        <v>3004</v>
      </c>
      <c r="E389" s="11" t="s">
        <v>2621</v>
      </c>
      <c r="F389" s="11" t="s">
        <v>2931</v>
      </c>
      <c r="G389" s="11">
        <v>22378.9</v>
      </c>
      <c r="H389" s="11" t="s">
        <v>2623</v>
      </c>
      <c r="I389" s="11" t="s">
        <v>1411</v>
      </c>
      <c r="J389" s="11">
        <v>28</v>
      </c>
      <c r="K389" s="11">
        <v>17483.52</v>
      </c>
      <c r="L389" s="11">
        <v>0</v>
      </c>
      <c r="M389" s="11">
        <v>2447.69</v>
      </c>
      <c r="N389" s="11">
        <v>2447.69</v>
      </c>
      <c r="O389" s="11">
        <v>0</v>
      </c>
      <c r="P389" s="11" t="s">
        <v>2624</v>
      </c>
    </row>
    <row r="390" spans="1:16" x14ac:dyDescent="0.2">
      <c r="A390" s="52">
        <v>43617</v>
      </c>
      <c r="B390" s="11" t="s">
        <v>29</v>
      </c>
      <c r="C390" s="11" t="s">
        <v>2652</v>
      </c>
      <c r="D390" s="11" t="s">
        <v>3005</v>
      </c>
      <c r="E390" s="11" t="s">
        <v>2621</v>
      </c>
      <c r="F390" s="11" t="s">
        <v>2936</v>
      </c>
      <c r="G390" s="11">
        <v>22378.9</v>
      </c>
      <c r="H390" s="11" t="s">
        <v>2623</v>
      </c>
      <c r="I390" s="11" t="s">
        <v>1411</v>
      </c>
      <c r="J390" s="11">
        <v>28</v>
      </c>
      <c r="K390" s="11">
        <v>17483.52</v>
      </c>
      <c r="L390" s="11">
        <v>0</v>
      </c>
      <c r="M390" s="11">
        <v>2447.69</v>
      </c>
      <c r="N390" s="11">
        <v>2447.69</v>
      </c>
      <c r="O390" s="11">
        <v>0</v>
      </c>
      <c r="P390" s="11" t="s">
        <v>2624</v>
      </c>
    </row>
    <row r="391" spans="1:16" x14ac:dyDescent="0.2">
      <c r="A391" s="52">
        <v>43617</v>
      </c>
      <c r="B391" s="11" t="s">
        <v>29</v>
      </c>
      <c r="C391" s="11" t="s">
        <v>2652</v>
      </c>
      <c r="D391" s="11" t="s">
        <v>3006</v>
      </c>
      <c r="E391" s="11" t="s">
        <v>2621</v>
      </c>
      <c r="F391" s="11" t="s">
        <v>2936</v>
      </c>
      <c r="G391" s="11">
        <v>22378.9</v>
      </c>
      <c r="H391" s="11" t="s">
        <v>2623</v>
      </c>
      <c r="I391" s="11" t="s">
        <v>1411</v>
      </c>
      <c r="J391" s="11">
        <v>28</v>
      </c>
      <c r="K391" s="11">
        <v>17483.52</v>
      </c>
      <c r="L391" s="11">
        <v>0</v>
      </c>
      <c r="M391" s="11">
        <v>2447.69</v>
      </c>
      <c r="N391" s="11">
        <v>2447.69</v>
      </c>
      <c r="O391" s="11">
        <v>0</v>
      </c>
      <c r="P391" s="11" t="s">
        <v>2624</v>
      </c>
    </row>
    <row r="392" spans="1:16" x14ac:dyDescent="0.2">
      <c r="A392" s="52">
        <v>43617</v>
      </c>
      <c r="B392" s="11" t="s">
        <v>29</v>
      </c>
      <c r="C392" s="11" t="s">
        <v>2652</v>
      </c>
      <c r="D392" s="11" t="s">
        <v>3007</v>
      </c>
      <c r="E392" s="11" t="s">
        <v>2621</v>
      </c>
      <c r="F392" s="11" t="s">
        <v>2932</v>
      </c>
      <c r="G392" s="11">
        <v>22378.9</v>
      </c>
      <c r="H392" s="11" t="s">
        <v>2623</v>
      </c>
      <c r="I392" s="11" t="s">
        <v>1411</v>
      </c>
      <c r="J392" s="11">
        <v>28</v>
      </c>
      <c r="K392" s="11">
        <v>17483.52</v>
      </c>
      <c r="L392" s="11">
        <v>0</v>
      </c>
      <c r="M392" s="11">
        <v>2447.69</v>
      </c>
      <c r="N392" s="11">
        <v>2447.69</v>
      </c>
      <c r="O392" s="11">
        <v>0</v>
      </c>
      <c r="P392" s="11" t="s">
        <v>2624</v>
      </c>
    </row>
    <row r="393" spans="1:16" x14ac:dyDescent="0.2">
      <c r="A393" s="52">
        <v>43617</v>
      </c>
      <c r="B393" s="11" t="s">
        <v>29</v>
      </c>
      <c r="C393" s="11" t="s">
        <v>2652</v>
      </c>
      <c r="D393" s="11" t="s">
        <v>3008</v>
      </c>
      <c r="E393" s="11" t="s">
        <v>2621</v>
      </c>
      <c r="F393" s="11" t="s">
        <v>2932</v>
      </c>
      <c r="G393" s="11">
        <v>22378.9</v>
      </c>
      <c r="H393" s="11" t="s">
        <v>2623</v>
      </c>
      <c r="I393" s="11" t="s">
        <v>1411</v>
      </c>
      <c r="J393" s="11">
        <v>28</v>
      </c>
      <c r="K393" s="11">
        <v>17483.52</v>
      </c>
      <c r="L393" s="11">
        <v>0</v>
      </c>
      <c r="M393" s="11">
        <v>2447.69</v>
      </c>
      <c r="N393" s="11">
        <v>2447.69</v>
      </c>
      <c r="O393" s="11">
        <v>0</v>
      </c>
      <c r="P393" s="11" t="s">
        <v>2624</v>
      </c>
    </row>
    <row r="394" spans="1:16" x14ac:dyDescent="0.2">
      <c r="A394" s="52">
        <v>43617</v>
      </c>
      <c r="B394" s="11" t="s">
        <v>29</v>
      </c>
      <c r="C394" s="11" t="s">
        <v>2652</v>
      </c>
      <c r="D394" s="11" t="s">
        <v>3009</v>
      </c>
      <c r="E394" s="11" t="s">
        <v>2621</v>
      </c>
      <c r="F394" s="11" t="s">
        <v>3010</v>
      </c>
      <c r="G394" s="11">
        <v>22378.9</v>
      </c>
      <c r="H394" s="11" t="s">
        <v>2623</v>
      </c>
      <c r="I394" s="11" t="s">
        <v>1411</v>
      </c>
      <c r="J394" s="11">
        <v>28</v>
      </c>
      <c r="K394" s="11">
        <v>17483.52</v>
      </c>
      <c r="L394" s="11">
        <v>0</v>
      </c>
      <c r="M394" s="11">
        <v>2447.69</v>
      </c>
      <c r="N394" s="11">
        <v>2447.69</v>
      </c>
      <c r="O394" s="11">
        <v>0</v>
      </c>
      <c r="P394" s="11" t="s">
        <v>2624</v>
      </c>
    </row>
    <row r="395" spans="1:16" x14ac:dyDescent="0.2">
      <c r="A395" s="52">
        <v>43617</v>
      </c>
      <c r="B395" s="11" t="s">
        <v>29</v>
      </c>
      <c r="C395" s="11" t="s">
        <v>2652</v>
      </c>
      <c r="D395" s="11" t="s">
        <v>3011</v>
      </c>
      <c r="E395" s="11" t="s">
        <v>2621</v>
      </c>
      <c r="F395" s="11" t="s">
        <v>3010</v>
      </c>
      <c r="G395" s="11">
        <v>22378.9</v>
      </c>
      <c r="H395" s="11" t="s">
        <v>2623</v>
      </c>
      <c r="I395" s="11" t="s">
        <v>1411</v>
      </c>
      <c r="J395" s="11">
        <v>28</v>
      </c>
      <c r="K395" s="11">
        <v>17483.52</v>
      </c>
      <c r="L395" s="11">
        <v>0</v>
      </c>
      <c r="M395" s="11">
        <v>2447.69</v>
      </c>
      <c r="N395" s="11">
        <v>2447.69</v>
      </c>
      <c r="O395" s="11">
        <v>0</v>
      </c>
      <c r="P395" s="11" t="s">
        <v>2624</v>
      </c>
    </row>
    <row r="396" spans="1:16" x14ac:dyDescent="0.2">
      <c r="A396" s="52">
        <v>43617</v>
      </c>
      <c r="B396" s="11" t="s">
        <v>29</v>
      </c>
      <c r="C396" s="11" t="s">
        <v>2652</v>
      </c>
      <c r="D396" s="11" t="s">
        <v>3012</v>
      </c>
      <c r="E396" s="11" t="s">
        <v>2621</v>
      </c>
      <c r="F396" s="11" t="s">
        <v>3013</v>
      </c>
      <c r="G396" s="11">
        <v>22378.9</v>
      </c>
      <c r="H396" s="11" t="s">
        <v>2623</v>
      </c>
      <c r="I396" s="11" t="s">
        <v>1411</v>
      </c>
      <c r="J396" s="11">
        <v>28</v>
      </c>
      <c r="K396" s="11">
        <v>17483.52</v>
      </c>
      <c r="L396" s="11">
        <v>0</v>
      </c>
      <c r="M396" s="11">
        <v>2447.69</v>
      </c>
      <c r="N396" s="11">
        <v>2447.69</v>
      </c>
      <c r="O396" s="11">
        <v>0</v>
      </c>
      <c r="P396" s="11" t="s">
        <v>2624</v>
      </c>
    </row>
    <row r="397" spans="1:16" x14ac:dyDescent="0.2">
      <c r="A397" s="52">
        <v>43617</v>
      </c>
      <c r="B397" s="11" t="s">
        <v>29</v>
      </c>
      <c r="C397" s="11" t="s">
        <v>2652</v>
      </c>
      <c r="D397" s="11" t="s">
        <v>3014</v>
      </c>
      <c r="E397" s="11" t="s">
        <v>2621</v>
      </c>
      <c r="F397" s="11" t="s">
        <v>3013</v>
      </c>
      <c r="G397" s="11">
        <v>22378.9</v>
      </c>
      <c r="H397" s="11" t="s">
        <v>2623</v>
      </c>
      <c r="I397" s="11" t="s">
        <v>1411</v>
      </c>
      <c r="J397" s="11">
        <v>28</v>
      </c>
      <c r="K397" s="11">
        <v>17483.52</v>
      </c>
      <c r="L397" s="11">
        <v>0</v>
      </c>
      <c r="M397" s="11">
        <v>2447.69</v>
      </c>
      <c r="N397" s="11">
        <v>2447.69</v>
      </c>
      <c r="O397" s="11">
        <v>0</v>
      </c>
      <c r="P397" s="11" t="s">
        <v>2624</v>
      </c>
    </row>
    <row r="398" spans="1:16" x14ac:dyDescent="0.2">
      <c r="A398" s="52">
        <v>43617</v>
      </c>
      <c r="B398" s="11" t="s">
        <v>74</v>
      </c>
      <c r="C398" s="11" t="s">
        <v>2698</v>
      </c>
      <c r="D398" s="11" t="s">
        <v>3015</v>
      </c>
      <c r="E398" s="11" t="s">
        <v>2621</v>
      </c>
      <c r="F398" s="11" t="s">
        <v>2970</v>
      </c>
      <c r="G398" s="11">
        <v>46982.879999999997</v>
      </c>
      <c r="H398" s="11" t="s">
        <v>2623</v>
      </c>
      <c r="I398" s="11" t="s">
        <v>1411</v>
      </c>
      <c r="J398" s="11">
        <v>18</v>
      </c>
      <c r="K398" s="11">
        <v>39816</v>
      </c>
      <c r="L398" s="11">
        <v>0</v>
      </c>
      <c r="M398" s="11">
        <v>3583.44</v>
      </c>
      <c r="N398" s="11">
        <v>3583.44</v>
      </c>
      <c r="O398" s="11">
        <v>0</v>
      </c>
      <c r="P398" s="11" t="s">
        <v>2624</v>
      </c>
    </row>
    <row r="399" spans="1:16" x14ac:dyDescent="0.2">
      <c r="A399" s="52">
        <v>43617</v>
      </c>
      <c r="B399" s="11" t="s">
        <v>74</v>
      </c>
      <c r="C399" s="11" t="s">
        <v>2698</v>
      </c>
      <c r="D399" s="11" t="s">
        <v>3016</v>
      </c>
      <c r="E399" s="11" t="s">
        <v>2621</v>
      </c>
      <c r="F399" s="11" t="s">
        <v>2953</v>
      </c>
      <c r="G399" s="11">
        <v>46982.879999999997</v>
      </c>
      <c r="H399" s="11" t="s">
        <v>2623</v>
      </c>
      <c r="I399" s="11" t="s">
        <v>1411</v>
      </c>
      <c r="J399" s="11">
        <v>18</v>
      </c>
      <c r="K399" s="11">
        <v>39816</v>
      </c>
      <c r="L399" s="11">
        <v>0</v>
      </c>
      <c r="M399" s="11">
        <v>3583.44</v>
      </c>
      <c r="N399" s="11">
        <v>3583.44</v>
      </c>
      <c r="O399" s="11">
        <v>0</v>
      </c>
      <c r="P399" s="11" t="s">
        <v>2624</v>
      </c>
    </row>
    <row r="400" spans="1:16" x14ac:dyDescent="0.2">
      <c r="A400" s="52">
        <v>43617</v>
      </c>
      <c r="B400" s="11" t="s">
        <v>74</v>
      </c>
      <c r="C400" s="11" t="s">
        <v>2698</v>
      </c>
      <c r="D400" s="11" t="s">
        <v>3017</v>
      </c>
      <c r="E400" s="11" t="s">
        <v>2621</v>
      </c>
      <c r="F400" s="11" t="s">
        <v>2929</v>
      </c>
      <c r="G400" s="11">
        <v>9396.56</v>
      </c>
      <c r="H400" s="11" t="s">
        <v>2623</v>
      </c>
      <c r="I400" s="11" t="s">
        <v>1411</v>
      </c>
      <c r="J400" s="11">
        <v>18</v>
      </c>
      <c r="K400" s="11">
        <v>7963.2</v>
      </c>
      <c r="L400" s="11">
        <v>0</v>
      </c>
      <c r="M400" s="11">
        <v>716.69</v>
      </c>
      <c r="N400" s="11">
        <v>716.69</v>
      </c>
      <c r="O400" s="11">
        <v>0</v>
      </c>
      <c r="P400" s="11" t="s">
        <v>2624</v>
      </c>
    </row>
    <row r="401" spans="1:16" x14ac:dyDescent="0.2">
      <c r="A401" s="52">
        <v>43617</v>
      </c>
      <c r="B401" s="11" t="s">
        <v>74</v>
      </c>
      <c r="C401" s="11" t="s">
        <v>2698</v>
      </c>
      <c r="D401" s="11" t="s">
        <v>3018</v>
      </c>
      <c r="E401" s="11" t="s">
        <v>2621</v>
      </c>
      <c r="F401" s="11" t="s">
        <v>2929</v>
      </c>
      <c r="G401" s="11">
        <v>25057.52</v>
      </c>
      <c r="H401" s="11" t="s">
        <v>2623</v>
      </c>
      <c r="I401" s="11" t="s">
        <v>1411</v>
      </c>
      <c r="J401" s="11">
        <v>18</v>
      </c>
      <c r="K401" s="11">
        <v>21235.200000000001</v>
      </c>
      <c r="L401" s="11">
        <v>0</v>
      </c>
      <c r="M401" s="11">
        <v>1911.17</v>
      </c>
      <c r="N401" s="11">
        <v>1911.17</v>
      </c>
      <c r="O401" s="11">
        <v>0</v>
      </c>
      <c r="P401" s="11" t="s">
        <v>2624</v>
      </c>
    </row>
    <row r="402" spans="1:16" x14ac:dyDescent="0.2">
      <c r="A402" s="52">
        <v>43617</v>
      </c>
      <c r="B402" s="11" t="s">
        <v>74</v>
      </c>
      <c r="C402" s="11" t="s">
        <v>2698</v>
      </c>
      <c r="D402" s="11" t="s">
        <v>3019</v>
      </c>
      <c r="E402" s="11" t="s">
        <v>2621</v>
      </c>
      <c r="F402" s="11" t="s">
        <v>2983</v>
      </c>
      <c r="G402" s="11">
        <v>37586.32</v>
      </c>
      <c r="H402" s="11" t="s">
        <v>2623</v>
      </c>
      <c r="I402" s="11" t="s">
        <v>1411</v>
      </c>
      <c r="J402" s="11">
        <v>18</v>
      </c>
      <c r="K402" s="11">
        <v>31852.799999999999</v>
      </c>
      <c r="L402" s="11">
        <v>0</v>
      </c>
      <c r="M402" s="11">
        <v>2866.75</v>
      </c>
      <c r="N402" s="11">
        <v>2866.75</v>
      </c>
      <c r="O402" s="11">
        <v>0</v>
      </c>
      <c r="P402" s="11" t="s">
        <v>2624</v>
      </c>
    </row>
    <row r="403" spans="1:16" x14ac:dyDescent="0.2">
      <c r="A403" s="52">
        <v>43617</v>
      </c>
      <c r="B403" s="11" t="s">
        <v>74</v>
      </c>
      <c r="C403" s="11" t="s">
        <v>2698</v>
      </c>
      <c r="D403" s="11" t="s">
        <v>3020</v>
      </c>
      <c r="E403" s="11" t="s">
        <v>2621</v>
      </c>
      <c r="F403" s="11" t="s">
        <v>2976</v>
      </c>
      <c r="G403" s="11">
        <v>46982.879999999997</v>
      </c>
      <c r="H403" s="11" t="s">
        <v>2623</v>
      </c>
      <c r="I403" s="11" t="s">
        <v>1411</v>
      </c>
      <c r="J403" s="11">
        <v>18</v>
      </c>
      <c r="K403" s="11">
        <v>39816</v>
      </c>
      <c r="L403" s="11">
        <v>0</v>
      </c>
      <c r="M403" s="11">
        <v>3583.44</v>
      </c>
      <c r="N403" s="11">
        <v>3583.44</v>
      </c>
      <c r="O403" s="11">
        <v>0</v>
      </c>
      <c r="P403" s="11" t="s">
        <v>2624</v>
      </c>
    </row>
    <row r="404" spans="1:16" x14ac:dyDescent="0.2">
      <c r="A404" s="52">
        <v>43617</v>
      </c>
      <c r="B404" s="11" t="s">
        <v>74</v>
      </c>
      <c r="C404" s="11" t="s">
        <v>2698</v>
      </c>
      <c r="D404" s="11" t="s">
        <v>3021</v>
      </c>
      <c r="E404" s="11" t="s">
        <v>2621</v>
      </c>
      <c r="F404" s="11" t="s">
        <v>2959</v>
      </c>
      <c r="G404" s="11">
        <v>15660.96</v>
      </c>
      <c r="H404" s="11" t="s">
        <v>2623</v>
      </c>
      <c r="I404" s="11" t="s">
        <v>1411</v>
      </c>
      <c r="J404" s="11">
        <v>18</v>
      </c>
      <c r="K404" s="11">
        <v>13272</v>
      </c>
      <c r="L404" s="11">
        <v>0</v>
      </c>
      <c r="M404" s="11">
        <v>1194.48</v>
      </c>
      <c r="N404" s="11">
        <v>1194.48</v>
      </c>
      <c r="O404" s="11">
        <v>0</v>
      </c>
      <c r="P404" s="11" t="s">
        <v>2624</v>
      </c>
    </row>
    <row r="405" spans="1:16" x14ac:dyDescent="0.2">
      <c r="A405" s="52">
        <v>43617</v>
      </c>
      <c r="B405" s="11" t="s">
        <v>74</v>
      </c>
      <c r="C405" s="11" t="s">
        <v>2698</v>
      </c>
      <c r="D405" s="11" t="s">
        <v>3022</v>
      </c>
      <c r="E405" s="11" t="s">
        <v>2621</v>
      </c>
      <c r="F405" s="11" t="s">
        <v>2932</v>
      </c>
      <c r="G405" s="11">
        <v>21925.360000000001</v>
      </c>
      <c r="H405" s="11" t="s">
        <v>2623</v>
      </c>
      <c r="I405" s="11" t="s">
        <v>1411</v>
      </c>
      <c r="J405" s="11">
        <v>18</v>
      </c>
      <c r="K405" s="11">
        <v>18580.8</v>
      </c>
      <c r="L405" s="11">
        <v>0</v>
      </c>
      <c r="M405" s="11">
        <v>1672.27</v>
      </c>
      <c r="N405" s="11">
        <v>1672.27</v>
      </c>
      <c r="O405" s="11">
        <v>0</v>
      </c>
      <c r="P405" s="11" t="s">
        <v>2624</v>
      </c>
    </row>
    <row r="406" spans="1:16" x14ac:dyDescent="0.2">
      <c r="A406" s="52">
        <v>43617</v>
      </c>
      <c r="B406" s="11" t="s">
        <v>74</v>
      </c>
      <c r="C406" s="11" t="s">
        <v>2698</v>
      </c>
      <c r="D406" s="11" t="s">
        <v>3023</v>
      </c>
      <c r="E406" s="11" t="s">
        <v>2621</v>
      </c>
      <c r="F406" s="11" t="s">
        <v>3024</v>
      </c>
      <c r="G406" s="11">
        <v>31321.919999999998</v>
      </c>
      <c r="H406" s="11" t="s">
        <v>2623</v>
      </c>
      <c r="I406" s="11" t="s">
        <v>1411</v>
      </c>
      <c r="J406" s="11">
        <v>18</v>
      </c>
      <c r="K406" s="11">
        <v>26544</v>
      </c>
      <c r="L406" s="11">
        <v>0</v>
      </c>
      <c r="M406" s="11">
        <v>2388.96</v>
      </c>
      <c r="N406" s="11">
        <v>2388.96</v>
      </c>
      <c r="O406" s="11">
        <v>0</v>
      </c>
      <c r="P406" s="11" t="s">
        <v>2624</v>
      </c>
    </row>
    <row r="407" spans="1:16" x14ac:dyDescent="0.2">
      <c r="A407" s="52">
        <v>43617</v>
      </c>
      <c r="B407" s="11" t="s">
        <v>74</v>
      </c>
      <c r="C407" s="11" t="s">
        <v>2698</v>
      </c>
      <c r="D407" s="11" t="s">
        <v>3025</v>
      </c>
      <c r="E407" s="11" t="s">
        <v>2621</v>
      </c>
      <c r="F407" s="11" t="s">
        <v>3013</v>
      </c>
      <c r="G407" s="11">
        <v>37586.32</v>
      </c>
      <c r="H407" s="11" t="s">
        <v>2623</v>
      </c>
      <c r="I407" s="11" t="s">
        <v>1411</v>
      </c>
      <c r="J407" s="11">
        <v>18</v>
      </c>
      <c r="K407" s="11">
        <v>31852.799999999999</v>
      </c>
      <c r="L407" s="11">
        <v>0</v>
      </c>
      <c r="M407" s="11">
        <v>2866.75</v>
      </c>
      <c r="N407" s="11">
        <v>2866.75</v>
      </c>
      <c r="O407" s="11">
        <v>0</v>
      </c>
      <c r="P407" s="11" t="s">
        <v>2624</v>
      </c>
    </row>
    <row r="408" spans="1:16" x14ac:dyDescent="0.2">
      <c r="A408" s="52">
        <v>43617</v>
      </c>
      <c r="B408" s="11" t="s">
        <v>103</v>
      </c>
      <c r="C408" s="11" t="s">
        <v>1170</v>
      </c>
      <c r="D408" s="11" t="s">
        <v>1929</v>
      </c>
      <c r="E408" s="11" t="s">
        <v>2621</v>
      </c>
      <c r="F408" s="11" t="s">
        <v>2983</v>
      </c>
      <c r="G408" s="11">
        <v>20700.16</v>
      </c>
      <c r="H408" s="11" t="s">
        <v>2623</v>
      </c>
      <c r="I408" s="11" t="s">
        <v>1411</v>
      </c>
      <c r="J408" s="11">
        <v>28</v>
      </c>
      <c r="K408" s="11">
        <v>16172</v>
      </c>
      <c r="L408" s="11">
        <v>4528.16</v>
      </c>
      <c r="M408" s="11">
        <v>0</v>
      </c>
      <c r="N408" s="11">
        <v>0</v>
      </c>
      <c r="O408" s="11">
        <v>0</v>
      </c>
      <c r="P408" s="11" t="s">
        <v>2624</v>
      </c>
    </row>
    <row r="409" spans="1:16" x14ac:dyDescent="0.2">
      <c r="A409" s="52">
        <v>43617</v>
      </c>
      <c r="B409" s="11" t="s">
        <v>103</v>
      </c>
      <c r="C409" s="11" t="s">
        <v>1170</v>
      </c>
      <c r="D409" s="11" t="s">
        <v>1931</v>
      </c>
      <c r="E409" s="11" t="s">
        <v>2621</v>
      </c>
      <c r="F409" s="11" t="s">
        <v>2932</v>
      </c>
      <c r="G409" s="11">
        <v>5175.04</v>
      </c>
      <c r="H409" s="11" t="s">
        <v>2623</v>
      </c>
      <c r="I409" s="11" t="s">
        <v>1411</v>
      </c>
      <c r="J409" s="11">
        <v>28</v>
      </c>
      <c r="K409" s="11">
        <v>4043</v>
      </c>
      <c r="L409" s="11">
        <v>1132.04</v>
      </c>
      <c r="M409" s="11">
        <v>0</v>
      </c>
      <c r="N409" s="11">
        <v>0</v>
      </c>
      <c r="O409" s="11">
        <v>0</v>
      </c>
      <c r="P409" s="11" t="s">
        <v>2624</v>
      </c>
    </row>
    <row r="410" spans="1:16" x14ac:dyDescent="0.2">
      <c r="A410" s="52">
        <v>43617</v>
      </c>
      <c r="B410" s="11" t="s">
        <v>103</v>
      </c>
      <c r="C410" s="11" t="s">
        <v>1170</v>
      </c>
      <c r="D410" s="11" t="s">
        <v>1932</v>
      </c>
      <c r="E410" s="11" t="s">
        <v>2621</v>
      </c>
      <c r="F410" s="11" t="s">
        <v>2932</v>
      </c>
      <c r="G410" s="11">
        <v>2587.52</v>
      </c>
      <c r="H410" s="11" t="s">
        <v>2623</v>
      </c>
      <c r="I410" s="11" t="s">
        <v>1411</v>
      </c>
      <c r="J410" s="11">
        <v>28</v>
      </c>
      <c r="K410" s="11">
        <v>2021.5</v>
      </c>
      <c r="L410" s="11">
        <v>566.02</v>
      </c>
      <c r="M410" s="11">
        <v>0</v>
      </c>
      <c r="N410" s="11">
        <v>0</v>
      </c>
      <c r="O410" s="11">
        <v>0</v>
      </c>
      <c r="P410" s="11" t="s">
        <v>2624</v>
      </c>
    </row>
    <row r="411" spans="1:16" x14ac:dyDescent="0.2">
      <c r="A411" s="52">
        <v>43617</v>
      </c>
      <c r="B411" s="11" t="s">
        <v>103</v>
      </c>
      <c r="C411" s="11" t="s">
        <v>1170</v>
      </c>
      <c r="D411" s="11" t="s">
        <v>1933</v>
      </c>
      <c r="E411" s="11" t="s">
        <v>2621</v>
      </c>
      <c r="F411" s="11" t="s">
        <v>2932</v>
      </c>
      <c r="G411" s="11">
        <v>7762.56</v>
      </c>
      <c r="H411" s="11" t="s">
        <v>2623</v>
      </c>
      <c r="I411" s="11" t="s">
        <v>1411</v>
      </c>
      <c r="J411" s="11">
        <v>28</v>
      </c>
      <c r="K411" s="11">
        <v>6064.5</v>
      </c>
      <c r="L411" s="11">
        <v>1698.06</v>
      </c>
      <c r="M411" s="11">
        <v>0</v>
      </c>
      <c r="N411" s="11">
        <v>0</v>
      </c>
      <c r="O411" s="11">
        <v>0</v>
      </c>
      <c r="P411" s="11" t="s">
        <v>2624</v>
      </c>
    </row>
    <row r="412" spans="1:16" x14ac:dyDescent="0.2">
      <c r="A412" s="52">
        <v>43617</v>
      </c>
      <c r="B412" s="11" t="s">
        <v>103</v>
      </c>
      <c r="C412" s="11" t="s">
        <v>1170</v>
      </c>
      <c r="D412" s="11" t="s">
        <v>1934</v>
      </c>
      <c r="E412" s="11" t="s">
        <v>2621</v>
      </c>
      <c r="F412" s="11" t="s">
        <v>2932</v>
      </c>
      <c r="G412" s="11">
        <v>2750.46</v>
      </c>
      <c r="H412" s="11" t="s">
        <v>2623</v>
      </c>
      <c r="I412" s="11" t="s">
        <v>1411</v>
      </c>
      <c r="J412" s="11">
        <v>28</v>
      </c>
      <c r="K412" s="11">
        <v>2148.8000000000002</v>
      </c>
      <c r="L412" s="11">
        <v>601.66</v>
      </c>
      <c r="M412" s="11">
        <v>0</v>
      </c>
      <c r="N412" s="11">
        <v>0</v>
      </c>
      <c r="O412" s="11">
        <v>0</v>
      </c>
      <c r="P412" s="11" t="s">
        <v>2624</v>
      </c>
    </row>
    <row r="413" spans="1:16" x14ac:dyDescent="0.2">
      <c r="A413" s="52">
        <v>43617</v>
      </c>
      <c r="B413" s="11" t="s">
        <v>156</v>
      </c>
      <c r="C413" s="11" t="s">
        <v>3026</v>
      </c>
      <c r="D413" s="11" t="s">
        <v>3027</v>
      </c>
      <c r="E413" s="11" t="s">
        <v>2621</v>
      </c>
      <c r="F413" s="11" t="s">
        <v>2968</v>
      </c>
      <c r="G413" s="11">
        <v>142.29</v>
      </c>
      <c r="H413" s="11" t="s">
        <v>2623</v>
      </c>
      <c r="I413" s="11" t="s">
        <v>1411</v>
      </c>
      <c r="J413" s="11">
        <v>18</v>
      </c>
      <c r="K413" s="11">
        <v>120.59</v>
      </c>
      <c r="L413" s="11">
        <v>0</v>
      </c>
      <c r="M413" s="11">
        <v>10.85</v>
      </c>
      <c r="N413" s="11">
        <v>10.85</v>
      </c>
      <c r="O413" s="11">
        <v>0</v>
      </c>
      <c r="P413" s="11" t="s">
        <v>2624</v>
      </c>
    </row>
    <row r="414" spans="1:16" x14ac:dyDescent="0.2">
      <c r="A414" s="52">
        <v>43617</v>
      </c>
      <c r="B414" s="11" t="s">
        <v>156</v>
      </c>
      <c r="C414" s="11" t="s">
        <v>3026</v>
      </c>
      <c r="D414" s="11" t="s">
        <v>3028</v>
      </c>
      <c r="E414" s="11" t="s">
        <v>2621</v>
      </c>
      <c r="F414" s="11" t="s">
        <v>2968</v>
      </c>
      <c r="G414" s="11">
        <v>4357.8900000000003</v>
      </c>
      <c r="H414" s="11" t="s">
        <v>2623</v>
      </c>
      <c r="I414" s="11" t="s">
        <v>1411</v>
      </c>
      <c r="J414" s="11">
        <v>18</v>
      </c>
      <c r="K414" s="11">
        <v>3693.13</v>
      </c>
      <c r="L414" s="11">
        <v>0</v>
      </c>
      <c r="M414" s="11">
        <v>332.38</v>
      </c>
      <c r="N414" s="11">
        <v>332.38</v>
      </c>
      <c r="O414" s="11">
        <v>0</v>
      </c>
      <c r="P414" s="11" t="s">
        <v>2624</v>
      </c>
    </row>
    <row r="415" spans="1:16" x14ac:dyDescent="0.2">
      <c r="A415" s="52">
        <v>43617</v>
      </c>
      <c r="B415" s="11" t="s">
        <v>522</v>
      </c>
      <c r="C415" s="11" t="s">
        <v>3029</v>
      </c>
      <c r="D415" s="11" t="s">
        <v>3030</v>
      </c>
      <c r="E415" s="11" t="s">
        <v>2621</v>
      </c>
      <c r="F415" s="11" t="s">
        <v>2668</v>
      </c>
      <c r="G415" s="11">
        <v>66080</v>
      </c>
      <c r="H415" s="11" t="s">
        <v>2623</v>
      </c>
      <c r="I415" s="11" t="s">
        <v>1411</v>
      </c>
      <c r="J415" s="11">
        <v>18</v>
      </c>
      <c r="K415" s="11">
        <v>56000</v>
      </c>
      <c r="L415" s="11">
        <v>0</v>
      </c>
      <c r="M415" s="11">
        <v>5040</v>
      </c>
      <c r="N415" s="11">
        <v>5040</v>
      </c>
      <c r="O415" s="11">
        <v>0</v>
      </c>
      <c r="P415" s="11" t="s">
        <v>2624</v>
      </c>
    </row>
    <row r="416" spans="1:16" x14ac:dyDescent="0.2">
      <c r="A416" s="52">
        <v>43617</v>
      </c>
      <c r="B416" s="11" t="s">
        <v>522</v>
      </c>
      <c r="C416" s="11" t="s">
        <v>3029</v>
      </c>
      <c r="D416" s="11" t="s">
        <v>574</v>
      </c>
      <c r="E416" s="11" t="s">
        <v>2621</v>
      </c>
      <c r="F416" s="11" t="s">
        <v>2648</v>
      </c>
      <c r="G416" s="11">
        <v>35400</v>
      </c>
      <c r="H416" s="11" t="s">
        <v>2623</v>
      </c>
      <c r="I416" s="11" t="s">
        <v>1411</v>
      </c>
      <c r="J416" s="11">
        <v>18</v>
      </c>
      <c r="K416" s="11">
        <v>30000</v>
      </c>
      <c r="L416" s="11">
        <v>0</v>
      </c>
      <c r="M416" s="11">
        <v>2700</v>
      </c>
      <c r="N416" s="11">
        <v>2700</v>
      </c>
      <c r="O416" s="11">
        <v>0</v>
      </c>
      <c r="P416" s="11" t="s">
        <v>2624</v>
      </c>
    </row>
    <row r="417" spans="1:16" x14ac:dyDescent="0.2">
      <c r="A417" s="52">
        <v>43617</v>
      </c>
      <c r="B417" s="11" t="s">
        <v>522</v>
      </c>
      <c r="C417" s="11" t="s">
        <v>3029</v>
      </c>
      <c r="D417" s="11" t="s">
        <v>657</v>
      </c>
      <c r="E417" s="11" t="s">
        <v>2621</v>
      </c>
      <c r="F417" s="11" t="s">
        <v>2812</v>
      </c>
      <c r="G417" s="11">
        <v>77821</v>
      </c>
      <c r="H417" s="11" t="s">
        <v>2623</v>
      </c>
      <c r="I417" s="11" t="s">
        <v>1411</v>
      </c>
      <c r="J417" s="11">
        <v>18</v>
      </c>
      <c r="K417" s="11">
        <v>65950</v>
      </c>
      <c r="L417" s="11">
        <v>0</v>
      </c>
      <c r="M417" s="11">
        <v>5935.5</v>
      </c>
      <c r="N417" s="11">
        <v>5935.5</v>
      </c>
      <c r="O417" s="11">
        <v>0</v>
      </c>
      <c r="P417" s="11" t="s">
        <v>2624</v>
      </c>
    </row>
    <row r="418" spans="1:16" x14ac:dyDescent="0.2">
      <c r="A418" s="52">
        <v>43617</v>
      </c>
      <c r="B418" s="11" t="s">
        <v>522</v>
      </c>
      <c r="C418" s="11" t="s">
        <v>3029</v>
      </c>
      <c r="D418" s="11" t="s">
        <v>663</v>
      </c>
      <c r="E418" s="11" t="s">
        <v>2621</v>
      </c>
      <c r="F418" s="11" t="s">
        <v>2780</v>
      </c>
      <c r="G418" s="11">
        <v>22656</v>
      </c>
      <c r="H418" s="11" t="s">
        <v>2623</v>
      </c>
      <c r="I418" s="11" t="s">
        <v>1411</v>
      </c>
      <c r="J418" s="11">
        <v>18</v>
      </c>
      <c r="K418" s="11">
        <v>19200</v>
      </c>
      <c r="L418" s="11">
        <v>0</v>
      </c>
      <c r="M418" s="11">
        <v>1728</v>
      </c>
      <c r="N418" s="11">
        <v>1728</v>
      </c>
      <c r="O418" s="11">
        <v>0</v>
      </c>
      <c r="P418" s="11" t="s">
        <v>2624</v>
      </c>
    </row>
    <row r="419" spans="1:16" x14ac:dyDescent="0.2">
      <c r="A419" s="52">
        <v>43617</v>
      </c>
      <c r="B419" s="11" t="s">
        <v>522</v>
      </c>
      <c r="C419" s="11" t="s">
        <v>3029</v>
      </c>
      <c r="D419" s="11" t="s">
        <v>697</v>
      </c>
      <c r="E419" s="11" t="s">
        <v>2621</v>
      </c>
      <c r="F419" s="11" t="s">
        <v>2937</v>
      </c>
      <c r="G419" s="11">
        <v>7080</v>
      </c>
      <c r="H419" s="11" t="s">
        <v>2623</v>
      </c>
      <c r="I419" s="11" t="s">
        <v>1411</v>
      </c>
      <c r="J419" s="11">
        <v>18</v>
      </c>
      <c r="K419" s="11">
        <v>6000</v>
      </c>
      <c r="L419" s="11">
        <v>0</v>
      </c>
      <c r="M419" s="11">
        <v>540</v>
      </c>
      <c r="N419" s="11">
        <v>540</v>
      </c>
      <c r="O419" s="11">
        <v>0</v>
      </c>
      <c r="P419" s="11" t="s">
        <v>2624</v>
      </c>
    </row>
    <row r="420" spans="1:16" x14ac:dyDescent="0.2">
      <c r="A420" s="52">
        <v>43617</v>
      </c>
      <c r="B420" s="11" t="s">
        <v>522</v>
      </c>
      <c r="C420" s="11" t="s">
        <v>3029</v>
      </c>
      <c r="D420" s="11" t="s">
        <v>704</v>
      </c>
      <c r="E420" s="11" t="s">
        <v>2621</v>
      </c>
      <c r="F420" s="11" t="s">
        <v>2927</v>
      </c>
      <c r="G420" s="11">
        <v>4720</v>
      </c>
      <c r="H420" s="11" t="s">
        <v>2623</v>
      </c>
      <c r="I420" s="11" t="s">
        <v>1411</v>
      </c>
      <c r="J420" s="11">
        <v>18</v>
      </c>
      <c r="K420" s="11">
        <v>4000</v>
      </c>
      <c r="L420" s="11">
        <v>0</v>
      </c>
      <c r="M420" s="11">
        <v>360</v>
      </c>
      <c r="N420" s="11">
        <v>360</v>
      </c>
      <c r="O420" s="11">
        <v>0</v>
      </c>
      <c r="P420" s="11" t="s">
        <v>2624</v>
      </c>
    </row>
    <row r="421" spans="1:16" x14ac:dyDescent="0.2">
      <c r="A421" s="52">
        <v>43617</v>
      </c>
      <c r="B421" s="11" t="s">
        <v>3031</v>
      </c>
      <c r="C421" s="11" t="s">
        <v>3032</v>
      </c>
      <c r="D421" s="11" t="s">
        <v>3033</v>
      </c>
      <c r="E421" s="11" t="s">
        <v>2621</v>
      </c>
      <c r="F421" s="11" t="s">
        <v>2953</v>
      </c>
      <c r="G421" s="11">
        <v>4318</v>
      </c>
      <c r="H421" s="11" t="s">
        <v>2623</v>
      </c>
      <c r="I421" s="11" t="s">
        <v>2886</v>
      </c>
      <c r="J421" s="11">
        <v>5</v>
      </c>
      <c r="K421" s="11">
        <v>4318</v>
      </c>
      <c r="L421" s="11">
        <v>0</v>
      </c>
      <c r="M421" s="11">
        <v>107.95</v>
      </c>
      <c r="N421" s="11">
        <v>107.95</v>
      </c>
      <c r="O421" s="11">
        <v>0</v>
      </c>
      <c r="P421" s="11" t="s">
        <v>2624</v>
      </c>
    </row>
    <row r="422" spans="1:16" x14ac:dyDescent="0.2">
      <c r="A422" s="52">
        <v>43617</v>
      </c>
      <c r="B422" s="11" t="s">
        <v>488</v>
      </c>
      <c r="C422" s="11" t="s">
        <v>2702</v>
      </c>
      <c r="D422" s="11" t="s">
        <v>3034</v>
      </c>
      <c r="E422" s="11" t="s">
        <v>2621</v>
      </c>
      <c r="F422" s="11" t="s">
        <v>2972</v>
      </c>
      <c r="G422" s="11">
        <v>9440</v>
      </c>
      <c r="H422" s="11" t="s">
        <v>2623</v>
      </c>
      <c r="I422" s="11" t="s">
        <v>1411</v>
      </c>
      <c r="J422" s="11">
        <v>18</v>
      </c>
      <c r="K422" s="11">
        <v>8000</v>
      </c>
      <c r="L422" s="11">
        <v>0</v>
      </c>
      <c r="M422" s="11">
        <v>720</v>
      </c>
      <c r="N422" s="11">
        <v>720</v>
      </c>
      <c r="O422" s="11">
        <v>0</v>
      </c>
      <c r="P422" s="11" t="s">
        <v>2624</v>
      </c>
    </row>
    <row r="423" spans="1:16" x14ac:dyDescent="0.2">
      <c r="A423" s="52">
        <v>43617</v>
      </c>
      <c r="B423" s="11" t="s">
        <v>713</v>
      </c>
      <c r="C423" s="11" t="s">
        <v>3035</v>
      </c>
      <c r="D423" s="11" t="s">
        <v>714</v>
      </c>
      <c r="E423" s="11" t="s">
        <v>2621</v>
      </c>
      <c r="F423" s="11" t="s">
        <v>2937</v>
      </c>
      <c r="G423" s="11">
        <v>8156</v>
      </c>
      <c r="H423" s="11" t="s">
        <v>2623</v>
      </c>
      <c r="I423" s="11" t="s">
        <v>1411</v>
      </c>
      <c r="J423" s="11">
        <v>18</v>
      </c>
      <c r="K423" s="11">
        <v>6912</v>
      </c>
      <c r="L423" s="11">
        <v>0</v>
      </c>
      <c r="M423" s="11">
        <v>622</v>
      </c>
      <c r="N423" s="11">
        <v>622</v>
      </c>
      <c r="O423" s="11">
        <v>0</v>
      </c>
      <c r="P423" s="11" t="s">
        <v>2624</v>
      </c>
    </row>
    <row r="424" spans="1:16" x14ac:dyDescent="0.2">
      <c r="A424" s="52">
        <v>43617</v>
      </c>
      <c r="B424" s="11" t="s">
        <v>256</v>
      </c>
      <c r="C424" s="11" t="s">
        <v>2711</v>
      </c>
      <c r="D424" s="11" t="s">
        <v>3036</v>
      </c>
      <c r="E424" s="11" t="s">
        <v>2621</v>
      </c>
      <c r="F424" s="11" t="s">
        <v>2938</v>
      </c>
      <c r="G424" s="11">
        <v>25498.74</v>
      </c>
      <c r="H424" s="11" t="s">
        <v>2623</v>
      </c>
      <c r="I424" s="11" t="s">
        <v>1411</v>
      </c>
      <c r="J424" s="11">
        <v>28</v>
      </c>
      <c r="K424" s="11">
        <v>19920.900000000001</v>
      </c>
      <c r="L424" s="11">
        <v>5577.85</v>
      </c>
      <c r="M424" s="11">
        <v>0</v>
      </c>
      <c r="N424" s="11">
        <v>0</v>
      </c>
      <c r="O424" s="11">
        <v>0</v>
      </c>
      <c r="P424" s="11" t="s">
        <v>2624</v>
      </c>
    </row>
    <row r="425" spans="1:16" x14ac:dyDescent="0.2">
      <c r="A425" s="52">
        <v>43617</v>
      </c>
      <c r="B425" s="11" t="s">
        <v>256</v>
      </c>
      <c r="C425" s="11" t="s">
        <v>2711</v>
      </c>
      <c r="D425" s="11" t="s">
        <v>3037</v>
      </c>
      <c r="E425" s="11" t="s">
        <v>2621</v>
      </c>
      <c r="F425" s="11" t="s">
        <v>2955</v>
      </c>
      <c r="G425" s="11">
        <v>30216.86</v>
      </c>
      <c r="H425" s="11" t="s">
        <v>2623</v>
      </c>
      <c r="I425" s="11" t="s">
        <v>1411</v>
      </c>
      <c r="J425" s="11">
        <v>28</v>
      </c>
      <c r="K425" s="11">
        <v>23606.92</v>
      </c>
      <c r="L425" s="11">
        <v>6609.94</v>
      </c>
      <c r="M425" s="11">
        <v>0</v>
      </c>
      <c r="N425" s="11">
        <v>0</v>
      </c>
      <c r="O425" s="11">
        <v>0</v>
      </c>
      <c r="P425" s="11" t="s">
        <v>2624</v>
      </c>
    </row>
    <row r="426" spans="1:16" x14ac:dyDescent="0.2">
      <c r="A426" s="52">
        <v>43617</v>
      </c>
      <c r="B426" s="11" t="s">
        <v>256</v>
      </c>
      <c r="C426" s="11" t="s">
        <v>2711</v>
      </c>
      <c r="D426" s="11" t="s">
        <v>3038</v>
      </c>
      <c r="E426" s="11" t="s">
        <v>2621</v>
      </c>
      <c r="F426" s="11" t="s">
        <v>2955</v>
      </c>
      <c r="G426" s="11">
        <v>19283.509999999998</v>
      </c>
      <c r="H426" s="11" t="s">
        <v>2623</v>
      </c>
      <c r="I426" s="11" t="s">
        <v>1411</v>
      </c>
      <c r="J426" s="11">
        <v>28</v>
      </c>
      <c r="K426" s="11">
        <v>15065.24</v>
      </c>
      <c r="L426" s="11">
        <v>4218.2700000000004</v>
      </c>
      <c r="M426" s="11">
        <v>0</v>
      </c>
      <c r="N426" s="11">
        <v>0</v>
      </c>
      <c r="O426" s="11">
        <v>0</v>
      </c>
      <c r="P426" s="11" t="s">
        <v>2624</v>
      </c>
    </row>
    <row r="427" spans="1:16" x14ac:dyDescent="0.2">
      <c r="A427" s="52">
        <v>43617</v>
      </c>
      <c r="B427" s="11" t="s">
        <v>256</v>
      </c>
      <c r="C427" s="11" t="s">
        <v>2711</v>
      </c>
      <c r="D427" s="11" t="s">
        <v>3039</v>
      </c>
      <c r="E427" s="11" t="s">
        <v>2621</v>
      </c>
      <c r="F427" s="11" t="s">
        <v>2976</v>
      </c>
      <c r="G427" s="11">
        <v>16090.88</v>
      </c>
      <c r="H427" s="11" t="s">
        <v>2623</v>
      </c>
      <c r="I427" s="11" t="s">
        <v>1411</v>
      </c>
      <c r="J427" s="11">
        <v>28</v>
      </c>
      <c r="K427" s="11">
        <v>12571</v>
      </c>
      <c r="L427" s="11">
        <v>3519.88</v>
      </c>
      <c r="M427" s="11">
        <v>0</v>
      </c>
      <c r="N427" s="11">
        <v>0</v>
      </c>
      <c r="O427" s="11">
        <v>0</v>
      </c>
      <c r="P427" s="11" t="s">
        <v>2624</v>
      </c>
    </row>
    <row r="428" spans="1:16" x14ac:dyDescent="0.2">
      <c r="A428" s="52">
        <v>43617</v>
      </c>
      <c r="B428" s="11" t="s">
        <v>256</v>
      </c>
      <c r="C428" s="11" t="s">
        <v>2711</v>
      </c>
      <c r="D428" s="11" t="s">
        <v>3040</v>
      </c>
      <c r="E428" s="11" t="s">
        <v>2621</v>
      </c>
      <c r="F428" s="11" t="s">
        <v>3024</v>
      </c>
      <c r="G428" s="11">
        <v>16090.88</v>
      </c>
      <c r="H428" s="11" t="s">
        <v>2623</v>
      </c>
      <c r="I428" s="11" t="s">
        <v>1411</v>
      </c>
      <c r="J428" s="11">
        <v>28</v>
      </c>
      <c r="K428" s="11">
        <v>12571</v>
      </c>
      <c r="L428" s="11">
        <v>3519.88</v>
      </c>
      <c r="M428" s="11">
        <v>0</v>
      </c>
      <c r="N428" s="11">
        <v>0</v>
      </c>
      <c r="O428" s="11">
        <v>0</v>
      </c>
      <c r="P428" s="11" t="s">
        <v>2624</v>
      </c>
    </row>
    <row r="429" spans="1:16" x14ac:dyDescent="0.2">
      <c r="A429" s="52">
        <v>43617</v>
      </c>
      <c r="B429" s="11" t="s">
        <v>500</v>
      </c>
      <c r="C429" s="11" t="s">
        <v>2715</v>
      </c>
      <c r="D429" s="11" t="s">
        <v>689</v>
      </c>
      <c r="E429" s="11" t="s">
        <v>2621</v>
      </c>
      <c r="F429" s="11" t="s">
        <v>2937</v>
      </c>
      <c r="G429" s="11">
        <v>5055</v>
      </c>
      <c r="H429" s="11" t="s">
        <v>2623</v>
      </c>
      <c r="I429" s="11" t="s">
        <v>1411</v>
      </c>
      <c r="J429" s="11">
        <v>18</v>
      </c>
      <c r="K429" s="11">
        <v>4284</v>
      </c>
      <c r="L429" s="11">
        <v>0</v>
      </c>
      <c r="M429" s="11">
        <v>385.56</v>
      </c>
      <c r="N429" s="11">
        <v>385.56</v>
      </c>
      <c r="O429" s="11">
        <v>0</v>
      </c>
      <c r="P429" s="11" t="s">
        <v>2624</v>
      </c>
    </row>
    <row r="430" spans="1:16" x14ac:dyDescent="0.2">
      <c r="A430" s="52">
        <v>43617</v>
      </c>
      <c r="B430" s="11" t="s">
        <v>500</v>
      </c>
      <c r="C430" s="11" t="s">
        <v>2715</v>
      </c>
      <c r="D430" s="11" t="s">
        <v>690</v>
      </c>
      <c r="E430" s="11" t="s">
        <v>2621</v>
      </c>
      <c r="F430" s="11" t="s">
        <v>2937</v>
      </c>
      <c r="G430" s="11">
        <v>9739</v>
      </c>
      <c r="H430" s="11" t="s">
        <v>2623</v>
      </c>
      <c r="I430" s="11" t="s">
        <v>1411</v>
      </c>
      <c r="J430" s="11">
        <v>5</v>
      </c>
      <c r="K430" s="11">
        <v>2970</v>
      </c>
      <c r="L430" s="11">
        <v>0</v>
      </c>
      <c r="M430" s="11">
        <v>74.25</v>
      </c>
      <c r="N430" s="11">
        <v>74.25</v>
      </c>
      <c r="O430" s="11">
        <v>0</v>
      </c>
      <c r="P430" s="11" t="s">
        <v>2624</v>
      </c>
    </row>
    <row r="431" spans="1:16" x14ac:dyDescent="0.2">
      <c r="A431" s="52">
        <v>43617</v>
      </c>
      <c r="B431" s="11" t="s">
        <v>500</v>
      </c>
      <c r="C431" s="11" t="s">
        <v>2715</v>
      </c>
      <c r="D431" s="11" t="s">
        <v>690</v>
      </c>
      <c r="E431" s="11" t="s">
        <v>2621</v>
      </c>
      <c r="F431" s="11" t="s">
        <v>2937</v>
      </c>
      <c r="G431" s="11">
        <v>9739</v>
      </c>
      <c r="H431" s="11" t="s">
        <v>2623</v>
      </c>
      <c r="I431" s="11" t="s">
        <v>1411</v>
      </c>
      <c r="J431" s="11">
        <v>12</v>
      </c>
      <c r="K431" s="11">
        <v>5200</v>
      </c>
      <c r="L431" s="11">
        <v>0</v>
      </c>
      <c r="M431" s="11">
        <v>312</v>
      </c>
      <c r="N431" s="11">
        <v>312</v>
      </c>
      <c r="O431" s="11">
        <v>0</v>
      </c>
      <c r="P431" s="11" t="s">
        <v>2624</v>
      </c>
    </row>
    <row r="432" spans="1:16" x14ac:dyDescent="0.2">
      <c r="A432" s="52">
        <v>43617</v>
      </c>
      <c r="B432" s="11" t="s">
        <v>500</v>
      </c>
      <c r="C432" s="11" t="s">
        <v>2715</v>
      </c>
      <c r="D432" s="11" t="s">
        <v>690</v>
      </c>
      <c r="E432" s="11" t="s">
        <v>2621</v>
      </c>
      <c r="F432" s="11" t="s">
        <v>2937</v>
      </c>
      <c r="G432" s="11">
        <v>9739</v>
      </c>
      <c r="H432" s="11" t="s">
        <v>2623</v>
      </c>
      <c r="I432" s="11" t="s">
        <v>1411</v>
      </c>
      <c r="J432" s="11">
        <v>18</v>
      </c>
      <c r="K432" s="11">
        <v>675</v>
      </c>
      <c r="L432" s="11">
        <v>0</v>
      </c>
      <c r="M432" s="11">
        <v>60.75</v>
      </c>
      <c r="N432" s="11">
        <v>60.75</v>
      </c>
      <c r="O432" s="11">
        <v>0</v>
      </c>
      <c r="P432" s="11" t="s">
        <v>2624</v>
      </c>
    </row>
    <row r="433" spans="1:16" x14ac:dyDescent="0.2">
      <c r="A433" s="52">
        <v>43617</v>
      </c>
      <c r="B433" s="11" t="s">
        <v>500</v>
      </c>
      <c r="C433" s="11" t="s">
        <v>2715</v>
      </c>
      <c r="D433" s="11" t="s">
        <v>729</v>
      </c>
      <c r="E433" s="11" t="s">
        <v>2621</v>
      </c>
      <c r="F433" s="11" t="s">
        <v>2955</v>
      </c>
      <c r="G433" s="11">
        <v>16506</v>
      </c>
      <c r="H433" s="11" t="s">
        <v>2623</v>
      </c>
      <c r="I433" s="11" t="s">
        <v>1411</v>
      </c>
      <c r="J433" s="11">
        <v>5</v>
      </c>
      <c r="K433" s="11">
        <v>15720</v>
      </c>
      <c r="L433" s="11">
        <v>0</v>
      </c>
      <c r="M433" s="11">
        <v>393</v>
      </c>
      <c r="N433" s="11">
        <v>393</v>
      </c>
      <c r="O433" s="11">
        <v>0</v>
      </c>
      <c r="P433" s="11" t="s">
        <v>2624</v>
      </c>
    </row>
    <row r="434" spans="1:16" x14ac:dyDescent="0.2">
      <c r="A434" s="52">
        <v>43617</v>
      </c>
      <c r="B434" s="11" t="s">
        <v>500</v>
      </c>
      <c r="C434" s="11" t="s">
        <v>2715</v>
      </c>
      <c r="D434" s="11" t="s">
        <v>733</v>
      </c>
      <c r="E434" s="11" t="s">
        <v>2621</v>
      </c>
      <c r="F434" s="11" t="s">
        <v>2929</v>
      </c>
      <c r="G434" s="11">
        <v>12304</v>
      </c>
      <c r="H434" s="11" t="s">
        <v>2623</v>
      </c>
      <c r="I434" s="11" t="s">
        <v>1411</v>
      </c>
      <c r="J434" s="11">
        <v>5</v>
      </c>
      <c r="K434" s="11">
        <v>11718</v>
      </c>
      <c r="L434" s="11">
        <v>0</v>
      </c>
      <c r="M434" s="11">
        <v>292.95</v>
      </c>
      <c r="N434" s="11">
        <v>292.95</v>
      </c>
      <c r="O434" s="11">
        <v>0</v>
      </c>
      <c r="P434" s="11" t="s">
        <v>2624</v>
      </c>
    </row>
    <row r="435" spans="1:16" x14ac:dyDescent="0.2">
      <c r="A435" s="52">
        <v>43617</v>
      </c>
      <c r="B435" s="11" t="s">
        <v>500</v>
      </c>
      <c r="C435" s="11" t="s">
        <v>2715</v>
      </c>
      <c r="D435" s="11" t="s">
        <v>744</v>
      </c>
      <c r="E435" s="11" t="s">
        <v>2621</v>
      </c>
      <c r="F435" s="11" t="s">
        <v>2976</v>
      </c>
      <c r="G435" s="11">
        <v>661</v>
      </c>
      <c r="H435" s="11" t="s">
        <v>2623</v>
      </c>
      <c r="I435" s="11" t="s">
        <v>1411</v>
      </c>
      <c r="J435" s="11">
        <v>12</v>
      </c>
      <c r="K435" s="11">
        <v>343.2</v>
      </c>
      <c r="L435" s="11">
        <v>0</v>
      </c>
      <c r="M435" s="11">
        <v>20.59</v>
      </c>
      <c r="N435" s="11">
        <v>20.59</v>
      </c>
      <c r="O435" s="11">
        <v>0</v>
      </c>
      <c r="P435" s="11" t="s">
        <v>2624</v>
      </c>
    </row>
    <row r="436" spans="1:16" x14ac:dyDescent="0.2">
      <c r="A436" s="52">
        <v>43617</v>
      </c>
      <c r="B436" s="11" t="s">
        <v>500</v>
      </c>
      <c r="C436" s="11" t="s">
        <v>2715</v>
      </c>
      <c r="D436" s="11" t="s">
        <v>744</v>
      </c>
      <c r="E436" s="11" t="s">
        <v>2621</v>
      </c>
      <c r="F436" s="11" t="s">
        <v>2976</v>
      </c>
      <c r="G436" s="11">
        <v>661</v>
      </c>
      <c r="H436" s="11" t="s">
        <v>2623</v>
      </c>
      <c r="I436" s="11" t="s">
        <v>1411</v>
      </c>
      <c r="J436" s="11">
        <v>18</v>
      </c>
      <c r="K436" s="11">
        <v>234</v>
      </c>
      <c r="L436" s="11">
        <v>0</v>
      </c>
      <c r="M436" s="11">
        <v>21.06</v>
      </c>
      <c r="N436" s="11">
        <v>21.06</v>
      </c>
      <c r="O436" s="11">
        <v>0</v>
      </c>
      <c r="P436" s="11" t="s">
        <v>2624</v>
      </c>
    </row>
    <row r="437" spans="1:16" x14ac:dyDescent="0.2">
      <c r="A437" s="52">
        <v>43617</v>
      </c>
      <c r="B437" s="11" t="s">
        <v>500</v>
      </c>
      <c r="C437" s="11" t="s">
        <v>2715</v>
      </c>
      <c r="D437" s="11" t="s">
        <v>745</v>
      </c>
      <c r="E437" s="11" t="s">
        <v>2621</v>
      </c>
      <c r="F437" s="11" t="s">
        <v>2976</v>
      </c>
      <c r="G437" s="11">
        <v>496</v>
      </c>
      <c r="H437" s="11" t="s">
        <v>2623</v>
      </c>
      <c r="I437" s="11" t="s">
        <v>1411</v>
      </c>
      <c r="J437" s="11">
        <v>18</v>
      </c>
      <c r="K437" s="11">
        <v>420</v>
      </c>
      <c r="L437" s="11">
        <v>0</v>
      </c>
      <c r="M437" s="11">
        <v>37.799999999999997</v>
      </c>
      <c r="N437" s="11">
        <v>37.799999999999997</v>
      </c>
      <c r="O437" s="11">
        <v>0</v>
      </c>
      <c r="P437" s="11" t="s">
        <v>2624</v>
      </c>
    </row>
    <row r="438" spans="1:16" x14ac:dyDescent="0.2">
      <c r="A438" s="52">
        <v>43617</v>
      </c>
      <c r="B438" s="11" t="s">
        <v>671</v>
      </c>
      <c r="C438" s="11" t="s">
        <v>670</v>
      </c>
      <c r="D438" s="11" t="s">
        <v>721</v>
      </c>
      <c r="E438" s="11" t="s">
        <v>2621</v>
      </c>
      <c r="F438" s="11" t="s">
        <v>2938</v>
      </c>
      <c r="G438" s="11">
        <v>935</v>
      </c>
      <c r="H438" s="11" t="s">
        <v>2623</v>
      </c>
      <c r="I438" s="11" t="s">
        <v>1411</v>
      </c>
      <c r="J438" s="11">
        <v>18</v>
      </c>
      <c r="K438" s="11">
        <v>792</v>
      </c>
      <c r="L438" s="11">
        <v>0</v>
      </c>
      <c r="M438" s="11">
        <v>71.28</v>
      </c>
      <c r="N438" s="11">
        <v>71.28</v>
      </c>
      <c r="O438" s="11">
        <v>0</v>
      </c>
      <c r="P438" s="11" t="s">
        <v>2624</v>
      </c>
    </row>
    <row r="439" spans="1:16" x14ac:dyDescent="0.2">
      <c r="A439" s="52">
        <v>43617</v>
      </c>
      <c r="B439" s="11" t="s">
        <v>635</v>
      </c>
      <c r="C439" s="11" t="s">
        <v>2896</v>
      </c>
      <c r="D439" s="11" t="s">
        <v>715</v>
      </c>
      <c r="E439" s="11" t="s">
        <v>2621</v>
      </c>
      <c r="F439" s="11" t="s">
        <v>2948</v>
      </c>
      <c r="G439" s="11">
        <v>6549</v>
      </c>
      <c r="H439" s="11" t="s">
        <v>2623</v>
      </c>
      <c r="I439" s="11" t="s">
        <v>1411</v>
      </c>
      <c r="J439" s="11">
        <v>18</v>
      </c>
      <c r="K439" s="11">
        <v>5550</v>
      </c>
      <c r="L439" s="11">
        <v>0</v>
      </c>
      <c r="M439" s="11">
        <v>499.5</v>
      </c>
      <c r="N439" s="11">
        <v>499.5</v>
      </c>
      <c r="O439" s="11">
        <v>0</v>
      </c>
      <c r="P439" s="11" t="s">
        <v>2624</v>
      </c>
    </row>
    <row r="440" spans="1:16" x14ac:dyDescent="0.2">
      <c r="A440" s="52">
        <v>43617</v>
      </c>
      <c r="B440" s="11" t="s">
        <v>490</v>
      </c>
      <c r="C440" s="11" t="s">
        <v>2747</v>
      </c>
      <c r="D440" s="11" t="s">
        <v>3041</v>
      </c>
      <c r="E440" s="11" t="s">
        <v>2621</v>
      </c>
      <c r="F440" s="11" t="s">
        <v>2928</v>
      </c>
      <c r="G440" s="11">
        <v>10308</v>
      </c>
      <c r="H440" s="11" t="s">
        <v>2623</v>
      </c>
      <c r="I440" s="11" t="s">
        <v>1411</v>
      </c>
      <c r="J440" s="11">
        <v>18</v>
      </c>
      <c r="K440" s="11">
        <v>8735.52</v>
      </c>
      <c r="L440" s="11">
        <v>0</v>
      </c>
      <c r="M440" s="11">
        <v>786.2</v>
      </c>
      <c r="N440" s="11">
        <v>786.2</v>
      </c>
      <c r="O440" s="11">
        <v>0</v>
      </c>
      <c r="P440" s="11" t="s">
        <v>2624</v>
      </c>
    </row>
    <row r="441" spans="1:16" x14ac:dyDescent="0.2">
      <c r="A441" s="52">
        <v>43617</v>
      </c>
      <c r="B441" s="11" t="s">
        <v>490</v>
      </c>
      <c r="C441" s="11" t="s">
        <v>2747</v>
      </c>
      <c r="D441" s="11" t="s">
        <v>3042</v>
      </c>
      <c r="E441" s="11" t="s">
        <v>2621</v>
      </c>
      <c r="F441" s="11" t="s">
        <v>2937</v>
      </c>
      <c r="G441" s="11">
        <v>66335</v>
      </c>
      <c r="H441" s="11" t="s">
        <v>2623</v>
      </c>
      <c r="I441" s="11" t="s">
        <v>1411</v>
      </c>
      <c r="J441" s="11">
        <v>18</v>
      </c>
      <c r="K441" s="11">
        <v>56216.12</v>
      </c>
      <c r="L441" s="11">
        <v>0</v>
      </c>
      <c r="M441" s="11">
        <v>5059.45</v>
      </c>
      <c r="N441" s="11">
        <v>5059.45</v>
      </c>
      <c r="O441" s="11">
        <v>0</v>
      </c>
      <c r="P441" s="11" t="s">
        <v>2624</v>
      </c>
    </row>
    <row r="442" spans="1:16" x14ac:dyDescent="0.2">
      <c r="A442" s="52">
        <v>43617</v>
      </c>
      <c r="B442" s="11" t="s">
        <v>490</v>
      </c>
      <c r="C442" s="11" t="s">
        <v>2747</v>
      </c>
      <c r="D442" s="11" t="s">
        <v>3043</v>
      </c>
      <c r="E442" s="11" t="s">
        <v>2621</v>
      </c>
      <c r="F442" s="11" t="s">
        <v>2937</v>
      </c>
      <c r="G442" s="11">
        <v>33229</v>
      </c>
      <c r="H442" s="11" t="s">
        <v>2623</v>
      </c>
      <c r="I442" s="11" t="s">
        <v>1411</v>
      </c>
      <c r="J442" s="11">
        <v>18</v>
      </c>
      <c r="K442" s="11">
        <v>28160.2</v>
      </c>
      <c r="L442" s="11">
        <v>0</v>
      </c>
      <c r="M442" s="11">
        <v>2534.42</v>
      </c>
      <c r="N442" s="11">
        <v>2534.42</v>
      </c>
      <c r="O442" s="11">
        <v>0</v>
      </c>
      <c r="P442" s="11" t="s">
        <v>2624</v>
      </c>
    </row>
    <row r="443" spans="1:16" x14ac:dyDescent="0.2">
      <c r="A443" s="52">
        <v>43617</v>
      </c>
      <c r="B443" s="11" t="s">
        <v>490</v>
      </c>
      <c r="C443" s="11" t="s">
        <v>2747</v>
      </c>
      <c r="D443" s="11" t="s">
        <v>3044</v>
      </c>
      <c r="E443" s="11" t="s">
        <v>2621</v>
      </c>
      <c r="F443" s="11" t="s">
        <v>2938</v>
      </c>
      <c r="G443" s="11">
        <v>20617</v>
      </c>
      <c r="H443" s="11" t="s">
        <v>2623</v>
      </c>
      <c r="I443" s="11" t="s">
        <v>1411</v>
      </c>
      <c r="J443" s="11">
        <v>18</v>
      </c>
      <c r="K443" s="11">
        <v>17472.04</v>
      </c>
      <c r="L443" s="11">
        <v>0</v>
      </c>
      <c r="M443" s="11">
        <v>1572.48</v>
      </c>
      <c r="N443" s="11">
        <v>1572.48</v>
      </c>
      <c r="O443" s="11">
        <v>0</v>
      </c>
      <c r="P443" s="11" t="s">
        <v>2624</v>
      </c>
    </row>
    <row r="444" spans="1:16" x14ac:dyDescent="0.2">
      <c r="A444" s="52">
        <v>43617</v>
      </c>
      <c r="B444" s="11" t="s">
        <v>490</v>
      </c>
      <c r="C444" s="11" t="s">
        <v>2747</v>
      </c>
      <c r="D444" s="11" t="s">
        <v>3045</v>
      </c>
      <c r="E444" s="11" t="s">
        <v>2621</v>
      </c>
      <c r="F444" s="11" t="s">
        <v>3046</v>
      </c>
      <c r="G444" s="11">
        <v>2656</v>
      </c>
      <c r="H444" s="11" t="s">
        <v>2623</v>
      </c>
      <c r="I444" s="11" t="s">
        <v>1411</v>
      </c>
      <c r="J444" s="11">
        <v>18</v>
      </c>
      <c r="K444" s="11">
        <v>2250.8200000000002</v>
      </c>
      <c r="L444" s="11">
        <v>0</v>
      </c>
      <c r="M444" s="11">
        <v>202.57</v>
      </c>
      <c r="N444" s="11">
        <v>202.57</v>
      </c>
      <c r="O444" s="11">
        <v>0</v>
      </c>
      <c r="P444" s="11" t="s">
        <v>2624</v>
      </c>
    </row>
    <row r="445" spans="1:16" x14ac:dyDescent="0.2">
      <c r="A445" s="52">
        <v>43617</v>
      </c>
      <c r="B445" s="11" t="s">
        <v>490</v>
      </c>
      <c r="C445" s="11" t="s">
        <v>2747</v>
      </c>
      <c r="D445" s="11" t="s">
        <v>3047</v>
      </c>
      <c r="E445" s="11" t="s">
        <v>2621</v>
      </c>
      <c r="F445" s="11" t="s">
        <v>2953</v>
      </c>
      <c r="G445" s="11">
        <v>3863</v>
      </c>
      <c r="H445" s="11" t="s">
        <v>2623</v>
      </c>
      <c r="I445" s="11" t="s">
        <v>1411</v>
      </c>
      <c r="J445" s="11">
        <v>18</v>
      </c>
      <c r="K445" s="11">
        <v>3273.68</v>
      </c>
      <c r="L445" s="11">
        <v>0</v>
      </c>
      <c r="M445" s="11">
        <v>294.63</v>
      </c>
      <c r="N445" s="11">
        <v>294.63</v>
      </c>
      <c r="O445" s="11">
        <v>0</v>
      </c>
      <c r="P445" s="11" t="s">
        <v>2624</v>
      </c>
    </row>
    <row r="446" spans="1:16" x14ac:dyDescent="0.2">
      <c r="A446" s="52">
        <v>43617</v>
      </c>
      <c r="B446" s="11" t="s">
        <v>490</v>
      </c>
      <c r="C446" s="11" t="s">
        <v>2747</v>
      </c>
      <c r="D446" s="11" t="s">
        <v>3048</v>
      </c>
      <c r="E446" s="11" t="s">
        <v>2621</v>
      </c>
      <c r="F446" s="11" t="s">
        <v>2965</v>
      </c>
      <c r="G446" s="11">
        <v>20858</v>
      </c>
      <c r="H446" s="11" t="s">
        <v>2623</v>
      </c>
      <c r="I446" s="11" t="s">
        <v>1411</v>
      </c>
      <c r="J446" s="11">
        <v>18</v>
      </c>
      <c r="K446" s="11">
        <v>17676.32</v>
      </c>
      <c r="L446" s="11">
        <v>0</v>
      </c>
      <c r="M446" s="11">
        <v>1590.87</v>
      </c>
      <c r="N446" s="11">
        <v>1590.87</v>
      </c>
      <c r="O446" s="11">
        <v>0</v>
      </c>
      <c r="P446" s="11" t="s">
        <v>2624</v>
      </c>
    </row>
    <row r="447" spans="1:16" x14ac:dyDescent="0.2">
      <c r="A447" s="52">
        <v>43617</v>
      </c>
      <c r="B447" s="11" t="s">
        <v>490</v>
      </c>
      <c r="C447" s="11" t="s">
        <v>2747</v>
      </c>
      <c r="D447" s="11" t="s">
        <v>3049</v>
      </c>
      <c r="E447" s="11" t="s">
        <v>2621</v>
      </c>
      <c r="F447" s="11" t="s">
        <v>2929</v>
      </c>
      <c r="G447" s="11">
        <v>41713</v>
      </c>
      <c r="H447" s="11" t="s">
        <v>2623</v>
      </c>
      <c r="I447" s="11" t="s">
        <v>1411</v>
      </c>
      <c r="J447" s="11">
        <v>18</v>
      </c>
      <c r="K447" s="11">
        <v>35350</v>
      </c>
      <c r="L447" s="11">
        <v>0</v>
      </c>
      <c r="M447" s="11">
        <v>3181.5</v>
      </c>
      <c r="N447" s="11">
        <v>3181.5</v>
      </c>
      <c r="O447" s="11">
        <v>0</v>
      </c>
      <c r="P447" s="11" t="s">
        <v>2624</v>
      </c>
    </row>
    <row r="448" spans="1:16" x14ac:dyDescent="0.2">
      <c r="A448" s="52">
        <v>43617</v>
      </c>
      <c r="B448" s="11" t="s">
        <v>490</v>
      </c>
      <c r="C448" s="11" t="s">
        <v>2747</v>
      </c>
      <c r="D448" s="11" t="s">
        <v>3050</v>
      </c>
      <c r="E448" s="11" t="s">
        <v>2621</v>
      </c>
      <c r="F448" s="11" t="s">
        <v>2929</v>
      </c>
      <c r="G448" s="11">
        <v>20617</v>
      </c>
      <c r="H448" s="11" t="s">
        <v>2623</v>
      </c>
      <c r="I448" s="11" t="s">
        <v>1411</v>
      </c>
      <c r="J448" s="11">
        <v>18</v>
      </c>
      <c r="K448" s="11">
        <v>17472.04</v>
      </c>
      <c r="L448" s="11">
        <v>0</v>
      </c>
      <c r="M448" s="11">
        <v>1572.48</v>
      </c>
      <c r="N448" s="11">
        <v>1572.48</v>
      </c>
      <c r="O448" s="11">
        <v>0</v>
      </c>
      <c r="P448" s="11" t="s">
        <v>2624</v>
      </c>
    </row>
    <row r="449" spans="1:16" x14ac:dyDescent="0.2">
      <c r="A449" s="52">
        <v>43617</v>
      </c>
      <c r="B449" s="11" t="s">
        <v>490</v>
      </c>
      <c r="C449" s="11" t="s">
        <v>2747</v>
      </c>
      <c r="D449" s="11" t="s">
        <v>3051</v>
      </c>
      <c r="E449" s="11" t="s">
        <v>2621</v>
      </c>
      <c r="F449" s="11" t="s">
        <v>2983</v>
      </c>
      <c r="G449" s="11">
        <v>15010</v>
      </c>
      <c r="H449" s="11" t="s">
        <v>2623</v>
      </c>
      <c r="I449" s="11" t="s">
        <v>1411</v>
      </c>
      <c r="J449" s="11">
        <v>18</v>
      </c>
      <c r="K449" s="11">
        <v>12720.4</v>
      </c>
      <c r="L449" s="11">
        <v>0</v>
      </c>
      <c r="M449" s="11">
        <v>1144.8399999999999</v>
      </c>
      <c r="N449" s="11">
        <v>1144.8399999999999</v>
      </c>
      <c r="O449" s="11">
        <v>0</v>
      </c>
      <c r="P449" s="11" t="s">
        <v>2624</v>
      </c>
    </row>
    <row r="450" spans="1:16" x14ac:dyDescent="0.2">
      <c r="A450" s="52">
        <v>43617</v>
      </c>
      <c r="B450" s="11" t="s">
        <v>490</v>
      </c>
      <c r="C450" s="11" t="s">
        <v>2747</v>
      </c>
      <c r="D450" s="11" t="s">
        <v>3052</v>
      </c>
      <c r="E450" s="11" t="s">
        <v>2621</v>
      </c>
      <c r="F450" s="11" t="s">
        <v>2931</v>
      </c>
      <c r="G450" s="11">
        <v>8260</v>
      </c>
      <c r="H450" s="11" t="s">
        <v>2623</v>
      </c>
      <c r="I450" s="11" t="s">
        <v>1411</v>
      </c>
      <c r="J450" s="11">
        <v>18</v>
      </c>
      <c r="K450" s="11">
        <v>7000</v>
      </c>
      <c r="L450" s="11">
        <v>0</v>
      </c>
      <c r="M450" s="11">
        <v>630</v>
      </c>
      <c r="N450" s="11">
        <v>630</v>
      </c>
      <c r="O450" s="11">
        <v>0</v>
      </c>
      <c r="P450" s="11" t="s">
        <v>2624</v>
      </c>
    </row>
    <row r="451" spans="1:16" x14ac:dyDescent="0.2">
      <c r="A451" s="52">
        <v>43617</v>
      </c>
      <c r="B451" s="11" t="s">
        <v>490</v>
      </c>
      <c r="C451" s="11" t="s">
        <v>2747</v>
      </c>
      <c r="D451" s="11" t="s">
        <v>3053</v>
      </c>
      <c r="E451" s="11" t="s">
        <v>2621</v>
      </c>
      <c r="F451" s="11" t="s">
        <v>2959</v>
      </c>
      <c r="G451" s="11">
        <v>61851</v>
      </c>
      <c r="H451" s="11" t="s">
        <v>2623</v>
      </c>
      <c r="I451" s="11" t="s">
        <v>1411</v>
      </c>
      <c r="J451" s="11">
        <v>18</v>
      </c>
      <c r="K451" s="11">
        <v>52416.12</v>
      </c>
      <c r="L451" s="11">
        <v>0</v>
      </c>
      <c r="M451" s="11">
        <v>4717.45</v>
      </c>
      <c r="N451" s="11">
        <v>4717.45</v>
      </c>
      <c r="O451" s="11">
        <v>0</v>
      </c>
      <c r="P451" s="11" t="s">
        <v>2624</v>
      </c>
    </row>
    <row r="452" spans="1:16" x14ac:dyDescent="0.2">
      <c r="A452" s="52">
        <v>43617</v>
      </c>
      <c r="B452" s="11" t="s">
        <v>490</v>
      </c>
      <c r="C452" s="11" t="s">
        <v>2747</v>
      </c>
      <c r="D452" s="11" t="s">
        <v>3054</v>
      </c>
      <c r="E452" s="11" t="s">
        <v>2621</v>
      </c>
      <c r="F452" s="11" t="s">
        <v>2968</v>
      </c>
      <c r="G452" s="11">
        <v>8874</v>
      </c>
      <c r="H452" s="11" t="s">
        <v>2623</v>
      </c>
      <c r="I452" s="11" t="s">
        <v>1411</v>
      </c>
      <c r="J452" s="11">
        <v>18</v>
      </c>
      <c r="K452" s="11">
        <v>7520.4</v>
      </c>
      <c r="L452" s="11">
        <v>0</v>
      </c>
      <c r="M452" s="11">
        <v>676.84</v>
      </c>
      <c r="N452" s="11">
        <v>676.84</v>
      </c>
      <c r="O452" s="11">
        <v>0</v>
      </c>
      <c r="P452" s="11" t="s">
        <v>2624</v>
      </c>
    </row>
    <row r="453" spans="1:16" x14ac:dyDescent="0.2">
      <c r="A453" s="52">
        <v>43617</v>
      </c>
      <c r="B453" s="11" t="s">
        <v>534</v>
      </c>
      <c r="C453" s="11" t="s">
        <v>3055</v>
      </c>
      <c r="D453" s="11" t="s">
        <v>1034</v>
      </c>
      <c r="E453" s="11" t="s">
        <v>2621</v>
      </c>
      <c r="F453" s="11" t="s">
        <v>2626</v>
      </c>
      <c r="G453" s="11">
        <v>1652</v>
      </c>
      <c r="H453" s="11" t="s">
        <v>2623</v>
      </c>
      <c r="I453" s="11" t="s">
        <v>1411</v>
      </c>
      <c r="J453" s="11">
        <v>18</v>
      </c>
      <c r="K453" s="11">
        <v>1400</v>
      </c>
      <c r="L453" s="11">
        <v>0</v>
      </c>
      <c r="M453" s="11">
        <v>126</v>
      </c>
      <c r="N453" s="11">
        <v>126</v>
      </c>
      <c r="O453" s="11">
        <v>0</v>
      </c>
      <c r="P453" s="11" t="s">
        <v>2624</v>
      </c>
    </row>
    <row r="454" spans="1:16" x14ac:dyDescent="0.2">
      <c r="A454" s="52">
        <v>43617</v>
      </c>
      <c r="B454" s="11" t="s">
        <v>610</v>
      </c>
      <c r="C454" s="11" t="s">
        <v>2904</v>
      </c>
      <c r="D454" s="11" t="s">
        <v>717</v>
      </c>
      <c r="E454" s="11" t="s">
        <v>2621</v>
      </c>
      <c r="F454" s="11" t="s">
        <v>2928</v>
      </c>
      <c r="G454" s="11">
        <v>29059</v>
      </c>
      <c r="H454" s="11" t="s">
        <v>2623</v>
      </c>
      <c r="I454" s="11" t="s">
        <v>1411</v>
      </c>
      <c r="J454" s="11">
        <v>18</v>
      </c>
      <c r="K454" s="11">
        <v>24626</v>
      </c>
      <c r="L454" s="11">
        <v>0</v>
      </c>
      <c r="M454" s="11">
        <v>2216.34</v>
      </c>
      <c r="N454" s="11">
        <v>2216.34</v>
      </c>
      <c r="O454" s="11">
        <v>0</v>
      </c>
      <c r="P454" s="11" t="s">
        <v>2624</v>
      </c>
    </row>
    <row r="455" spans="1:16" x14ac:dyDescent="0.2">
      <c r="A455" s="52">
        <v>43617</v>
      </c>
      <c r="B455" s="11" t="s">
        <v>610</v>
      </c>
      <c r="C455" s="11" t="s">
        <v>2904</v>
      </c>
      <c r="D455" s="11" t="s">
        <v>3056</v>
      </c>
      <c r="E455" s="11" t="s">
        <v>2621</v>
      </c>
      <c r="F455" s="11" t="s">
        <v>2928</v>
      </c>
      <c r="G455" s="11">
        <v>894912</v>
      </c>
      <c r="H455" s="11" t="s">
        <v>2623</v>
      </c>
      <c r="I455" s="11" t="s">
        <v>1411</v>
      </c>
      <c r="J455" s="11">
        <v>18</v>
      </c>
      <c r="K455" s="11">
        <v>758400</v>
      </c>
      <c r="L455" s="11">
        <v>0</v>
      </c>
      <c r="M455" s="11">
        <v>68256</v>
      </c>
      <c r="N455" s="11">
        <v>68256</v>
      </c>
      <c r="O455" s="11">
        <v>0</v>
      </c>
      <c r="P455" s="11" t="s">
        <v>2624</v>
      </c>
    </row>
    <row r="456" spans="1:16" x14ac:dyDescent="0.2">
      <c r="A456" s="52">
        <v>43617</v>
      </c>
      <c r="B456" s="11" t="s">
        <v>571</v>
      </c>
      <c r="C456" s="11" t="s">
        <v>3057</v>
      </c>
      <c r="D456" s="11" t="s">
        <v>3058</v>
      </c>
      <c r="E456" s="11" t="s">
        <v>2621</v>
      </c>
      <c r="F456" s="11" t="s">
        <v>2636</v>
      </c>
      <c r="G456" s="11">
        <v>37620</v>
      </c>
      <c r="H456" s="11" t="s">
        <v>2623</v>
      </c>
      <c r="I456" s="11" t="s">
        <v>1411</v>
      </c>
      <c r="J456" s="11">
        <v>18</v>
      </c>
      <c r="K456" s="11">
        <v>31881.25</v>
      </c>
      <c r="L456" s="11">
        <v>0</v>
      </c>
      <c r="M456" s="11">
        <v>2869.31</v>
      </c>
      <c r="N456" s="11">
        <v>2869.31</v>
      </c>
      <c r="O456" s="11">
        <v>0</v>
      </c>
      <c r="P456" s="11" t="s">
        <v>2624</v>
      </c>
    </row>
    <row r="457" spans="1:16" x14ac:dyDescent="0.2">
      <c r="A457" s="52">
        <v>43617</v>
      </c>
      <c r="B457" s="11" t="s">
        <v>552</v>
      </c>
      <c r="C457" s="11" t="s">
        <v>3059</v>
      </c>
      <c r="D457" s="11" t="s">
        <v>655</v>
      </c>
      <c r="E457" s="11" t="s">
        <v>2621</v>
      </c>
      <c r="F457" s="11" t="s">
        <v>2863</v>
      </c>
      <c r="G457" s="11">
        <v>484</v>
      </c>
      <c r="H457" s="11" t="s">
        <v>2623</v>
      </c>
      <c r="I457" s="11" t="s">
        <v>1411</v>
      </c>
      <c r="J457" s="11">
        <v>18</v>
      </c>
      <c r="K457" s="11">
        <v>410</v>
      </c>
      <c r="L457" s="11">
        <v>0</v>
      </c>
      <c r="M457" s="11">
        <v>36.9</v>
      </c>
      <c r="N457" s="11">
        <v>36.9</v>
      </c>
      <c r="O457" s="11">
        <v>0</v>
      </c>
      <c r="P457" s="11" t="s">
        <v>2624</v>
      </c>
    </row>
    <row r="458" spans="1:16" x14ac:dyDescent="0.2">
      <c r="A458" s="52">
        <v>43617</v>
      </c>
      <c r="B458" s="11" t="s">
        <v>552</v>
      </c>
      <c r="C458" s="11" t="s">
        <v>3059</v>
      </c>
      <c r="D458" s="11" t="s">
        <v>656</v>
      </c>
      <c r="E458" s="11" t="s">
        <v>2621</v>
      </c>
      <c r="F458" s="11" t="s">
        <v>2818</v>
      </c>
      <c r="G458" s="11">
        <v>354</v>
      </c>
      <c r="H458" s="11" t="s">
        <v>2623</v>
      </c>
      <c r="I458" s="11" t="s">
        <v>1411</v>
      </c>
      <c r="J458" s="11">
        <v>18</v>
      </c>
      <c r="K458" s="11">
        <v>300</v>
      </c>
      <c r="L458" s="11">
        <v>0</v>
      </c>
      <c r="M458" s="11">
        <v>27</v>
      </c>
      <c r="N458" s="11">
        <v>27</v>
      </c>
      <c r="O458" s="11">
        <v>0</v>
      </c>
      <c r="P458" s="11" t="s">
        <v>2624</v>
      </c>
    </row>
    <row r="459" spans="1:16" x14ac:dyDescent="0.2">
      <c r="A459" s="52">
        <v>43617</v>
      </c>
      <c r="B459" s="11" t="s">
        <v>552</v>
      </c>
      <c r="C459" s="11" t="s">
        <v>3059</v>
      </c>
      <c r="D459" s="11" t="s">
        <v>680</v>
      </c>
      <c r="E459" s="11" t="s">
        <v>2621</v>
      </c>
      <c r="F459" s="11" t="s">
        <v>2894</v>
      </c>
      <c r="G459" s="11">
        <v>354</v>
      </c>
      <c r="H459" s="11" t="s">
        <v>2623</v>
      </c>
      <c r="I459" s="11" t="s">
        <v>1411</v>
      </c>
      <c r="J459" s="11">
        <v>18</v>
      </c>
      <c r="K459" s="11">
        <v>300</v>
      </c>
      <c r="L459" s="11">
        <v>0</v>
      </c>
      <c r="M459" s="11">
        <v>27</v>
      </c>
      <c r="N459" s="11">
        <v>27</v>
      </c>
      <c r="O459" s="11">
        <v>0</v>
      </c>
      <c r="P459" s="11" t="s">
        <v>2624</v>
      </c>
    </row>
    <row r="460" spans="1:16" x14ac:dyDescent="0.2">
      <c r="A460" s="52">
        <v>43617</v>
      </c>
      <c r="B460" s="11" t="s">
        <v>552</v>
      </c>
      <c r="C460" s="11" t="s">
        <v>3059</v>
      </c>
      <c r="D460" s="11" t="s">
        <v>3060</v>
      </c>
      <c r="E460" s="11" t="s">
        <v>2621</v>
      </c>
      <c r="F460" s="11" t="s">
        <v>2953</v>
      </c>
      <c r="G460" s="11">
        <v>201</v>
      </c>
      <c r="H460" s="11" t="s">
        <v>2623</v>
      </c>
      <c r="I460" s="11" t="s">
        <v>1411</v>
      </c>
      <c r="J460" s="11">
        <v>18</v>
      </c>
      <c r="K460" s="11">
        <v>170</v>
      </c>
      <c r="L460" s="11">
        <v>0</v>
      </c>
      <c r="M460" s="11">
        <v>15.3</v>
      </c>
      <c r="N460" s="11">
        <v>15.3</v>
      </c>
      <c r="O460" s="11">
        <v>0</v>
      </c>
      <c r="P460" s="11" t="s">
        <v>2624</v>
      </c>
    </row>
    <row r="461" spans="1:16" x14ac:dyDescent="0.2">
      <c r="A461" s="52">
        <v>43617</v>
      </c>
      <c r="B461" s="11" t="s">
        <v>552</v>
      </c>
      <c r="C461" s="11" t="s">
        <v>3059</v>
      </c>
      <c r="D461" s="11" t="s">
        <v>738</v>
      </c>
      <c r="E461" s="11" t="s">
        <v>2621</v>
      </c>
      <c r="F461" s="11" t="s">
        <v>2967</v>
      </c>
      <c r="G461" s="11">
        <v>472</v>
      </c>
      <c r="H461" s="11" t="s">
        <v>2623</v>
      </c>
      <c r="I461" s="11" t="s">
        <v>1411</v>
      </c>
      <c r="J461" s="11">
        <v>18</v>
      </c>
      <c r="K461" s="11">
        <v>400</v>
      </c>
      <c r="L461" s="11">
        <v>0</v>
      </c>
      <c r="M461" s="11">
        <v>36</v>
      </c>
      <c r="N461" s="11">
        <v>36</v>
      </c>
      <c r="O461" s="11">
        <v>0</v>
      </c>
      <c r="P461" s="11" t="s">
        <v>2624</v>
      </c>
    </row>
    <row r="462" spans="1:16" x14ac:dyDescent="0.2">
      <c r="A462" s="52">
        <v>43617</v>
      </c>
      <c r="B462" s="11" t="s">
        <v>552</v>
      </c>
      <c r="C462" s="11" t="s">
        <v>3059</v>
      </c>
      <c r="D462" s="11" t="s">
        <v>753</v>
      </c>
      <c r="E462" s="11" t="s">
        <v>2621</v>
      </c>
      <c r="F462" s="11" t="s">
        <v>2968</v>
      </c>
      <c r="G462" s="11">
        <v>354</v>
      </c>
      <c r="H462" s="11" t="s">
        <v>2623</v>
      </c>
      <c r="I462" s="11" t="s">
        <v>1411</v>
      </c>
      <c r="J462" s="11">
        <v>18</v>
      </c>
      <c r="K462" s="11">
        <v>300</v>
      </c>
      <c r="L462" s="11">
        <v>0</v>
      </c>
      <c r="M462" s="11">
        <v>27</v>
      </c>
      <c r="N462" s="11">
        <v>27</v>
      </c>
      <c r="O462" s="11">
        <v>0</v>
      </c>
      <c r="P462" s="11" t="s">
        <v>2624</v>
      </c>
    </row>
    <row r="463" spans="1:16" x14ac:dyDescent="0.2">
      <c r="A463" s="52">
        <v>43617</v>
      </c>
      <c r="B463" s="11" t="s">
        <v>552</v>
      </c>
      <c r="C463" s="11" t="s">
        <v>3059</v>
      </c>
      <c r="D463" s="11" t="s">
        <v>764</v>
      </c>
      <c r="E463" s="11" t="s">
        <v>2621</v>
      </c>
      <c r="F463" s="11" t="s">
        <v>2932</v>
      </c>
      <c r="G463" s="11">
        <v>1121</v>
      </c>
      <c r="H463" s="11" t="s">
        <v>2623</v>
      </c>
      <c r="I463" s="11" t="s">
        <v>1411</v>
      </c>
      <c r="J463" s="11">
        <v>18</v>
      </c>
      <c r="K463" s="11">
        <v>950</v>
      </c>
      <c r="L463" s="11">
        <v>0</v>
      </c>
      <c r="M463" s="11">
        <v>85.5</v>
      </c>
      <c r="N463" s="11">
        <v>85.5</v>
      </c>
      <c r="O463" s="11">
        <v>0</v>
      </c>
      <c r="P463" s="11" t="s">
        <v>2624</v>
      </c>
    </row>
    <row r="464" spans="1:16" x14ac:dyDescent="0.2">
      <c r="A464" s="52">
        <v>43617</v>
      </c>
      <c r="B464" s="11" t="s">
        <v>552</v>
      </c>
      <c r="C464" s="11" t="s">
        <v>3059</v>
      </c>
      <c r="D464" s="11" t="s">
        <v>759</v>
      </c>
      <c r="E464" s="11" t="s">
        <v>2621</v>
      </c>
      <c r="F464" s="11" t="s">
        <v>3013</v>
      </c>
      <c r="G464" s="11">
        <v>354</v>
      </c>
      <c r="H464" s="11" t="s">
        <v>2623</v>
      </c>
      <c r="I464" s="11" t="s">
        <v>1411</v>
      </c>
      <c r="J464" s="11">
        <v>18</v>
      </c>
      <c r="K464" s="11">
        <v>300</v>
      </c>
      <c r="L464" s="11">
        <v>0</v>
      </c>
      <c r="M464" s="11">
        <v>27</v>
      </c>
      <c r="N464" s="11">
        <v>27</v>
      </c>
      <c r="O464" s="11">
        <v>0</v>
      </c>
      <c r="P464" s="11" t="s">
        <v>2624</v>
      </c>
    </row>
    <row r="465" spans="1:16" x14ac:dyDescent="0.2">
      <c r="A465" s="52">
        <v>43617</v>
      </c>
      <c r="B465" s="11" t="s">
        <v>552</v>
      </c>
      <c r="C465" s="11" t="s">
        <v>3059</v>
      </c>
      <c r="D465" s="11" t="s">
        <v>553</v>
      </c>
      <c r="E465" s="11" t="s">
        <v>2621</v>
      </c>
      <c r="F465" s="11" t="s">
        <v>2682</v>
      </c>
      <c r="G465" s="11">
        <v>1180</v>
      </c>
      <c r="H465" s="11" t="s">
        <v>2623</v>
      </c>
      <c r="I465" s="11" t="s">
        <v>1411</v>
      </c>
      <c r="J465" s="11">
        <v>18</v>
      </c>
      <c r="K465" s="11">
        <v>1000</v>
      </c>
      <c r="L465" s="11">
        <v>0</v>
      </c>
      <c r="M465" s="11">
        <v>90</v>
      </c>
      <c r="N465" s="11">
        <v>90</v>
      </c>
      <c r="O465" s="11">
        <v>0</v>
      </c>
      <c r="P465" s="11" t="s">
        <v>2624</v>
      </c>
    </row>
    <row r="466" spans="1:16" x14ac:dyDescent="0.2">
      <c r="A466" s="52">
        <v>43617</v>
      </c>
      <c r="B466" s="11" t="s">
        <v>507</v>
      </c>
      <c r="C466" s="11" t="s">
        <v>2755</v>
      </c>
      <c r="D466" s="11" t="s">
        <v>698</v>
      </c>
      <c r="E466" s="11" t="s">
        <v>2621</v>
      </c>
      <c r="F466" s="11" t="s">
        <v>2937</v>
      </c>
      <c r="G466" s="11">
        <v>82314</v>
      </c>
      <c r="H466" s="11" t="s">
        <v>2623</v>
      </c>
      <c r="I466" s="11" t="s">
        <v>1411</v>
      </c>
      <c r="J466" s="11">
        <v>18</v>
      </c>
      <c r="K466" s="11">
        <v>69757.56</v>
      </c>
      <c r="L466" s="11">
        <v>0</v>
      </c>
      <c r="M466" s="11">
        <v>6278.18</v>
      </c>
      <c r="N466" s="11">
        <v>6278.18</v>
      </c>
      <c r="O466" s="11">
        <v>0</v>
      </c>
      <c r="P466" s="11" t="s">
        <v>2624</v>
      </c>
    </row>
    <row r="467" spans="1:16" x14ac:dyDescent="0.2">
      <c r="A467" s="52">
        <v>43617</v>
      </c>
      <c r="B467" s="11" t="s">
        <v>507</v>
      </c>
      <c r="C467" s="11" t="s">
        <v>2755</v>
      </c>
      <c r="D467" s="11" t="s">
        <v>699</v>
      </c>
      <c r="E467" s="11" t="s">
        <v>2621</v>
      </c>
      <c r="F467" s="11" t="s">
        <v>2937</v>
      </c>
      <c r="G467" s="11">
        <v>16426</v>
      </c>
      <c r="H467" s="11" t="s">
        <v>2623</v>
      </c>
      <c r="I467" s="11" t="s">
        <v>1411</v>
      </c>
      <c r="J467" s="11">
        <v>18</v>
      </c>
      <c r="K467" s="11">
        <v>13920.4</v>
      </c>
      <c r="L467" s="11">
        <v>0</v>
      </c>
      <c r="M467" s="11">
        <v>1252.8399999999999</v>
      </c>
      <c r="N467" s="11">
        <v>1252.8399999999999</v>
      </c>
      <c r="O467" s="11">
        <v>0</v>
      </c>
      <c r="P467" s="11" t="s">
        <v>2624</v>
      </c>
    </row>
    <row r="468" spans="1:16" x14ac:dyDescent="0.2">
      <c r="A468" s="52">
        <v>43617</v>
      </c>
      <c r="B468" s="11" t="s">
        <v>507</v>
      </c>
      <c r="C468" s="11" t="s">
        <v>2755</v>
      </c>
      <c r="D468" s="11" t="s">
        <v>700</v>
      </c>
      <c r="E468" s="11" t="s">
        <v>2621</v>
      </c>
      <c r="F468" s="11" t="s">
        <v>2937</v>
      </c>
      <c r="G468" s="11">
        <v>21806</v>
      </c>
      <c r="H468" s="11" t="s">
        <v>2623</v>
      </c>
      <c r="I468" s="11" t="s">
        <v>1411</v>
      </c>
      <c r="J468" s="11">
        <v>18</v>
      </c>
      <c r="K468" s="11">
        <v>18479.599999999999</v>
      </c>
      <c r="L468" s="11">
        <v>0</v>
      </c>
      <c r="M468" s="11">
        <v>1663.16</v>
      </c>
      <c r="N468" s="11">
        <v>1663.16</v>
      </c>
      <c r="O468" s="11">
        <v>0</v>
      </c>
      <c r="P468" s="11" t="s">
        <v>2624</v>
      </c>
    </row>
    <row r="469" spans="1:16" x14ac:dyDescent="0.2">
      <c r="A469" s="52">
        <v>43617</v>
      </c>
      <c r="B469" s="11" t="s">
        <v>507</v>
      </c>
      <c r="C469" s="11" t="s">
        <v>2755</v>
      </c>
      <c r="D469" s="11" t="s">
        <v>701</v>
      </c>
      <c r="E469" s="11" t="s">
        <v>2621</v>
      </c>
      <c r="F469" s="11" t="s">
        <v>2937</v>
      </c>
      <c r="G469" s="11">
        <v>2832</v>
      </c>
      <c r="H469" s="11" t="s">
        <v>2623</v>
      </c>
      <c r="I469" s="11" t="s">
        <v>1411</v>
      </c>
      <c r="J469" s="11">
        <v>18</v>
      </c>
      <c r="K469" s="11">
        <v>2400</v>
      </c>
      <c r="L469" s="11">
        <v>0</v>
      </c>
      <c r="M469" s="11">
        <v>216</v>
      </c>
      <c r="N469" s="11">
        <v>216</v>
      </c>
      <c r="O469" s="11">
        <v>0</v>
      </c>
      <c r="P469" s="11" t="s">
        <v>2624</v>
      </c>
    </row>
    <row r="470" spans="1:16" x14ac:dyDescent="0.2">
      <c r="A470" s="52">
        <v>43617</v>
      </c>
      <c r="B470" s="11" t="s">
        <v>507</v>
      </c>
      <c r="C470" s="11" t="s">
        <v>2755</v>
      </c>
      <c r="D470" s="11" t="s">
        <v>727</v>
      </c>
      <c r="E470" s="11" t="s">
        <v>2621</v>
      </c>
      <c r="F470" s="11" t="s">
        <v>2965</v>
      </c>
      <c r="G470" s="11">
        <v>82314</v>
      </c>
      <c r="H470" s="11" t="s">
        <v>2623</v>
      </c>
      <c r="I470" s="11" t="s">
        <v>1411</v>
      </c>
      <c r="J470" s="11">
        <v>18</v>
      </c>
      <c r="K470" s="11">
        <v>69757.56</v>
      </c>
      <c r="L470" s="11">
        <v>0</v>
      </c>
      <c r="M470" s="11">
        <v>6278.18</v>
      </c>
      <c r="N470" s="11">
        <v>6278.18</v>
      </c>
      <c r="O470" s="11">
        <v>0</v>
      </c>
      <c r="P470" s="11" t="s">
        <v>2624</v>
      </c>
    </row>
    <row r="471" spans="1:16" x14ac:dyDescent="0.2">
      <c r="A471" s="52">
        <v>43617</v>
      </c>
      <c r="B471" s="11" t="s">
        <v>507</v>
      </c>
      <c r="C471" s="11" t="s">
        <v>2755</v>
      </c>
      <c r="D471" s="11" t="s">
        <v>728</v>
      </c>
      <c r="E471" s="11" t="s">
        <v>2621</v>
      </c>
      <c r="F471" s="11" t="s">
        <v>2965</v>
      </c>
      <c r="G471" s="11">
        <v>10903</v>
      </c>
      <c r="H471" s="11" t="s">
        <v>2623</v>
      </c>
      <c r="I471" s="11" t="s">
        <v>1411</v>
      </c>
      <c r="J471" s="11">
        <v>18</v>
      </c>
      <c r="K471" s="11">
        <v>9239.7999999999993</v>
      </c>
      <c r="L471" s="11">
        <v>0</v>
      </c>
      <c r="M471" s="11">
        <v>831.58</v>
      </c>
      <c r="N471" s="11">
        <v>831.58</v>
      </c>
      <c r="O471" s="11">
        <v>0</v>
      </c>
      <c r="P471" s="11" t="s">
        <v>2624</v>
      </c>
    </row>
    <row r="472" spans="1:16" x14ac:dyDescent="0.2">
      <c r="A472" s="52">
        <v>43617</v>
      </c>
      <c r="B472" s="11" t="s">
        <v>507</v>
      </c>
      <c r="C472" s="11" t="s">
        <v>2755</v>
      </c>
      <c r="D472" s="11" t="s">
        <v>757</v>
      </c>
      <c r="E472" s="11" t="s">
        <v>2621</v>
      </c>
      <c r="F472" s="11" t="s">
        <v>2968</v>
      </c>
      <c r="G472" s="11">
        <v>41157</v>
      </c>
      <c r="H472" s="11" t="s">
        <v>2623</v>
      </c>
      <c r="I472" s="11" t="s">
        <v>1411</v>
      </c>
      <c r="J472" s="11">
        <v>18</v>
      </c>
      <c r="K472" s="11">
        <v>34878.78</v>
      </c>
      <c r="L472" s="11">
        <v>0</v>
      </c>
      <c r="M472" s="11">
        <v>3139.09</v>
      </c>
      <c r="N472" s="11">
        <v>3139.09</v>
      </c>
      <c r="O472" s="11">
        <v>0</v>
      </c>
      <c r="P472" s="11" t="s">
        <v>2624</v>
      </c>
    </row>
    <row r="473" spans="1:16" x14ac:dyDescent="0.2">
      <c r="A473" s="52">
        <v>43617</v>
      </c>
      <c r="B473" s="11" t="s">
        <v>507</v>
      </c>
      <c r="C473" s="11" t="s">
        <v>2755</v>
      </c>
      <c r="D473" s="11" t="s">
        <v>758</v>
      </c>
      <c r="E473" s="11" t="s">
        <v>2621</v>
      </c>
      <c r="F473" s="11" t="s">
        <v>2968</v>
      </c>
      <c r="G473" s="11">
        <v>21806</v>
      </c>
      <c r="H473" s="11" t="s">
        <v>2623</v>
      </c>
      <c r="I473" s="11" t="s">
        <v>1411</v>
      </c>
      <c r="J473" s="11">
        <v>18</v>
      </c>
      <c r="K473" s="11">
        <v>18479.599999999999</v>
      </c>
      <c r="L473" s="11">
        <v>0</v>
      </c>
      <c r="M473" s="11">
        <v>1663.16</v>
      </c>
      <c r="N473" s="11">
        <v>1663.16</v>
      </c>
      <c r="O473" s="11">
        <v>0</v>
      </c>
      <c r="P473" s="11" t="s">
        <v>2624</v>
      </c>
    </row>
    <row r="474" spans="1:16" x14ac:dyDescent="0.2">
      <c r="A474" s="52">
        <v>43617</v>
      </c>
      <c r="B474" s="11" t="s">
        <v>494</v>
      </c>
      <c r="C474" s="11" t="s">
        <v>2756</v>
      </c>
      <c r="D474" s="11" t="s">
        <v>3061</v>
      </c>
      <c r="E474" s="11" t="s">
        <v>2621</v>
      </c>
      <c r="F474" s="11" t="s">
        <v>2972</v>
      </c>
      <c r="G474" s="11">
        <v>48831</v>
      </c>
      <c r="H474" s="11" t="s">
        <v>2623</v>
      </c>
      <c r="I474" s="11" t="s">
        <v>1411</v>
      </c>
      <c r="J474" s="11">
        <v>18</v>
      </c>
      <c r="K474" s="11">
        <v>41382</v>
      </c>
      <c r="L474" s="11">
        <v>0</v>
      </c>
      <c r="M474" s="11">
        <v>3724.38</v>
      </c>
      <c r="N474" s="11">
        <v>3724.38</v>
      </c>
      <c r="O474" s="11">
        <v>0</v>
      </c>
      <c r="P474" s="11" t="s">
        <v>2624</v>
      </c>
    </row>
    <row r="475" spans="1:16" x14ac:dyDescent="0.2">
      <c r="A475" s="52">
        <v>43617</v>
      </c>
      <c r="B475" s="11" t="s">
        <v>494</v>
      </c>
      <c r="C475" s="11" t="s">
        <v>2756</v>
      </c>
      <c r="D475" s="11" t="s">
        <v>2788</v>
      </c>
      <c r="E475" s="11" t="s">
        <v>2621</v>
      </c>
      <c r="F475" s="11" t="s">
        <v>2965</v>
      </c>
      <c r="G475" s="11">
        <v>6782</v>
      </c>
      <c r="H475" s="11" t="s">
        <v>2623</v>
      </c>
      <c r="I475" s="11" t="s">
        <v>1411</v>
      </c>
      <c r="J475" s="11">
        <v>18</v>
      </c>
      <c r="K475" s="11">
        <v>5747.5</v>
      </c>
      <c r="L475" s="11">
        <v>0</v>
      </c>
      <c r="M475" s="11">
        <v>517.28</v>
      </c>
      <c r="N475" s="11">
        <v>517.28</v>
      </c>
      <c r="O475" s="11">
        <v>0</v>
      </c>
      <c r="P475" s="11" t="s">
        <v>2624</v>
      </c>
    </row>
    <row r="476" spans="1:16" x14ac:dyDescent="0.2">
      <c r="A476" s="52">
        <v>43617</v>
      </c>
      <c r="B476" s="11" t="s">
        <v>494</v>
      </c>
      <c r="C476" s="11" t="s">
        <v>2756</v>
      </c>
      <c r="D476" s="11" t="s">
        <v>3062</v>
      </c>
      <c r="E476" s="11" t="s">
        <v>2621</v>
      </c>
      <c r="F476" s="11" t="s">
        <v>2929</v>
      </c>
      <c r="G476" s="11">
        <v>33910</v>
      </c>
      <c r="H476" s="11" t="s">
        <v>2623</v>
      </c>
      <c r="I476" s="11" t="s">
        <v>1411</v>
      </c>
      <c r="J476" s="11">
        <v>18</v>
      </c>
      <c r="K476" s="11">
        <v>28737.5</v>
      </c>
      <c r="L476" s="11">
        <v>0</v>
      </c>
      <c r="M476" s="11">
        <v>2586.38</v>
      </c>
      <c r="N476" s="11">
        <v>2586.38</v>
      </c>
      <c r="O476" s="11">
        <v>0</v>
      </c>
      <c r="P476" s="11" t="s">
        <v>2624</v>
      </c>
    </row>
    <row r="477" spans="1:16" x14ac:dyDescent="0.2">
      <c r="A477" s="52">
        <v>43617</v>
      </c>
      <c r="B477" s="11" t="s">
        <v>494</v>
      </c>
      <c r="C477" s="11" t="s">
        <v>2756</v>
      </c>
      <c r="D477" s="11" t="s">
        <v>3063</v>
      </c>
      <c r="E477" s="11" t="s">
        <v>2621</v>
      </c>
      <c r="F477" s="11" t="s">
        <v>3064</v>
      </c>
      <c r="G477" s="11">
        <v>62937</v>
      </c>
      <c r="H477" s="11" t="s">
        <v>2623</v>
      </c>
      <c r="I477" s="11" t="s">
        <v>1411</v>
      </c>
      <c r="J477" s="11">
        <v>18</v>
      </c>
      <c r="K477" s="11">
        <v>53336.800000000003</v>
      </c>
      <c r="L477" s="11">
        <v>0</v>
      </c>
      <c r="M477" s="11">
        <v>4800.3100000000004</v>
      </c>
      <c r="N477" s="11">
        <v>4800.3100000000004</v>
      </c>
      <c r="O477" s="11">
        <v>0</v>
      </c>
      <c r="P477" s="11" t="s">
        <v>2624</v>
      </c>
    </row>
    <row r="478" spans="1:16" x14ac:dyDescent="0.2">
      <c r="A478" s="52">
        <v>43617</v>
      </c>
      <c r="B478" s="11" t="s">
        <v>494</v>
      </c>
      <c r="C478" s="11" t="s">
        <v>2756</v>
      </c>
      <c r="D478" s="11" t="s">
        <v>3065</v>
      </c>
      <c r="E478" s="11" t="s">
        <v>2621</v>
      </c>
      <c r="F478" s="11" t="s">
        <v>2932</v>
      </c>
      <c r="G478" s="11">
        <v>31197</v>
      </c>
      <c r="H478" s="11" t="s">
        <v>2623</v>
      </c>
      <c r="I478" s="11" t="s">
        <v>1411</v>
      </c>
      <c r="J478" s="11">
        <v>18</v>
      </c>
      <c r="K478" s="11">
        <v>26438.5</v>
      </c>
      <c r="L478" s="11">
        <v>0</v>
      </c>
      <c r="M478" s="11">
        <v>2379.4699999999998</v>
      </c>
      <c r="N478" s="11">
        <v>2379.4699999999998</v>
      </c>
      <c r="O478" s="11">
        <v>0</v>
      </c>
      <c r="P478" s="11" t="s">
        <v>2624</v>
      </c>
    </row>
    <row r="479" spans="1:16" x14ac:dyDescent="0.2">
      <c r="A479" s="52">
        <v>43617</v>
      </c>
      <c r="B479" s="11" t="s">
        <v>494</v>
      </c>
      <c r="C479" s="11" t="s">
        <v>2756</v>
      </c>
      <c r="D479" s="11" t="s">
        <v>3066</v>
      </c>
      <c r="E479" s="11" t="s">
        <v>2621</v>
      </c>
      <c r="F479" s="11" t="s">
        <v>3024</v>
      </c>
      <c r="G479" s="11">
        <v>14080</v>
      </c>
      <c r="H479" s="11" t="s">
        <v>2623</v>
      </c>
      <c r="I479" s="11" t="s">
        <v>1411</v>
      </c>
      <c r="J479" s="11">
        <v>18</v>
      </c>
      <c r="K479" s="11">
        <v>11931.81</v>
      </c>
      <c r="L479" s="11">
        <v>0</v>
      </c>
      <c r="M479" s="11">
        <v>1073.8599999999999</v>
      </c>
      <c r="N479" s="11">
        <v>1073.8599999999999</v>
      </c>
      <c r="O479" s="11">
        <v>0</v>
      </c>
      <c r="P479" s="11" t="s">
        <v>2624</v>
      </c>
    </row>
    <row r="480" spans="1:16" x14ac:dyDescent="0.2">
      <c r="A480" s="52">
        <v>43617</v>
      </c>
      <c r="B480" s="11" t="s">
        <v>515</v>
      </c>
      <c r="C480" s="11" t="s">
        <v>2761</v>
      </c>
      <c r="D480" s="11" t="s">
        <v>766</v>
      </c>
      <c r="E480" s="11" t="s">
        <v>2621</v>
      </c>
      <c r="F480" s="11" t="s">
        <v>2927</v>
      </c>
      <c r="G480" s="11">
        <v>5.9</v>
      </c>
      <c r="H480" s="11" t="s">
        <v>2623</v>
      </c>
      <c r="I480" s="11" t="s">
        <v>1411</v>
      </c>
      <c r="J480" s="11">
        <v>18</v>
      </c>
      <c r="K480" s="11">
        <v>5</v>
      </c>
      <c r="L480" s="11">
        <v>0</v>
      </c>
      <c r="M480" s="11">
        <v>0.45</v>
      </c>
      <c r="N480" s="11">
        <v>0.45</v>
      </c>
      <c r="O480" s="11">
        <v>0</v>
      </c>
      <c r="P480" s="11" t="s">
        <v>2624</v>
      </c>
    </row>
    <row r="481" spans="1:16" x14ac:dyDescent="0.2">
      <c r="A481" s="52">
        <v>43617</v>
      </c>
      <c r="B481" s="11" t="s">
        <v>515</v>
      </c>
      <c r="C481" s="11" t="s">
        <v>2761</v>
      </c>
      <c r="D481" s="11" t="s">
        <v>736</v>
      </c>
      <c r="E481" s="11" t="s">
        <v>2621</v>
      </c>
      <c r="F481" s="11" t="s">
        <v>2967</v>
      </c>
      <c r="G481" s="11">
        <v>1804.48</v>
      </c>
      <c r="H481" s="11" t="s">
        <v>2623</v>
      </c>
      <c r="I481" s="11" t="s">
        <v>1411</v>
      </c>
      <c r="J481" s="11">
        <v>18</v>
      </c>
      <c r="K481" s="11">
        <v>1529.22</v>
      </c>
      <c r="L481" s="11">
        <v>0</v>
      </c>
      <c r="M481" s="11">
        <v>137.63</v>
      </c>
      <c r="N481" s="11">
        <v>137.63</v>
      </c>
      <c r="O481" s="11">
        <v>0</v>
      </c>
      <c r="P481" s="11" t="s">
        <v>2624</v>
      </c>
    </row>
    <row r="482" spans="1:16" x14ac:dyDescent="0.2">
      <c r="A482" s="52">
        <v>43617</v>
      </c>
      <c r="B482" s="11" t="s">
        <v>515</v>
      </c>
      <c r="C482" s="11" t="s">
        <v>2761</v>
      </c>
      <c r="D482" s="11" t="s">
        <v>735</v>
      </c>
      <c r="E482" s="11" t="s">
        <v>2621</v>
      </c>
      <c r="F482" s="11" t="s">
        <v>2929</v>
      </c>
      <c r="G482" s="11">
        <v>59</v>
      </c>
      <c r="H482" s="11" t="s">
        <v>2623</v>
      </c>
      <c r="I482" s="11" t="s">
        <v>1411</v>
      </c>
      <c r="J482" s="11">
        <v>18</v>
      </c>
      <c r="K482" s="11">
        <v>50</v>
      </c>
      <c r="L482" s="11">
        <v>0</v>
      </c>
      <c r="M482" s="11">
        <v>4.5</v>
      </c>
      <c r="N482" s="11">
        <v>4.5</v>
      </c>
      <c r="O482" s="11">
        <v>0</v>
      </c>
      <c r="P482" s="11" t="s">
        <v>2624</v>
      </c>
    </row>
    <row r="483" spans="1:16" x14ac:dyDescent="0.2">
      <c r="A483" s="52">
        <v>43617</v>
      </c>
      <c r="B483" s="11" t="s">
        <v>515</v>
      </c>
      <c r="C483" s="11" t="s">
        <v>2761</v>
      </c>
      <c r="D483" s="11" t="s">
        <v>737</v>
      </c>
      <c r="E483" s="11" t="s">
        <v>2621</v>
      </c>
      <c r="F483" s="11" t="s">
        <v>2967</v>
      </c>
      <c r="G483" s="11">
        <v>590</v>
      </c>
      <c r="H483" s="11" t="s">
        <v>2623</v>
      </c>
      <c r="I483" s="11" t="s">
        <v>1411</v>
      </c>
      <c r="J483" s="11">
        <v>18</v>
      </c>
      <c r="K483" s="11">
        <v>500</v>
      </c>
      <c r="L483" s="11">
        <v>0</v>
      </c>
      <c r="M483" s="11">
        <v>45</v>
      </c>
      <c r="N483" s="11">
        <v>45</v>
      </c>
      <c r="O483" s="11">
        <v>0</v>
      </c>
      <c r="P483" s="11" t="s">
        <v>2624</v>
      </c>
    </row>
    <row r="484" spans="1:16" x14ac:dyDescent="0.2">
      <c r="A484" s="52">
        <v>43617</v>
      </c>
      <c r="B484" s="11" t="s">
        <v>515</v>
      </c>
      <c r="C484" s="11" t="s">
        <v>2761</v>
      </c>
      <c r="D484" s="11" t="s">
        <v>767</v>
      </c>
      <c r="E484" s="11" t="s">
        <v>2621</v>
      </c>
      <c r="F484" s="11" t="s">
        <v>2967</v>
      </c>
      <c r="G484" s="11">
        <v>1206.6600000000001</v>
      </c>
      <c r="H484" s="11" t="s">
        <v>2623</v>
      </c>
      <c r="I484" s="11" t="s">
        <v>1411</v>
      </c>
      <c r="J484" s="11">
        <v>18</v>
      </c>
      <c r="K484" s="11">
        <v>1022.59</v>
      </c>
      <c r="L484" s="11">
        <v>0</v>
      </c>
      <c r="M484" s="11">
        <v>92.03</v>
      </c>
      <c r="N484" s="11">
        <v>92.03</v>
      </c>
      <c r="O484" s="11">
        <v>0</v>
      </c>
      <c r="P484" s="11" t="s">
        <v>2624</v>
      </c>
    </row>
    <row r="485" spans="1:16" x14ac:dyDescent="0.2">
      <c r="A485" s="52">
        <v>43617</v>
      </c>
      <c r="B485" s="11" t="s">
        <v>515</v>
      </c>
      <c r="C485" s="11" t="s">
        <v>2761</v>
      </c>
      <c r="D485" s="11" t="s">
        <v>3067</v>
      </c>
      <c r="E485" s="11" t="s">
        <v>2621</v>
      </c>
      <c r="F485" s="11" t="s">
        <v>2967</v>
      </c>
      <c r="G485" s="11">
        <v>2360</v>
      </c>
      <c r="H485" s="11" t="s">
        <v>2623</v>
      </c>
      <c r="I485" s="11" t="s">
        <v>1411</v>
      </c>
      <c r="J485" s="11">
        <v>18</v>
      </c>
      <c r="K485" s="11">
        <v>2000</v>
      </c>
      <c r="L485" s="11">
        <v>0</v>
      </c>
      <c r="M485" s="11">
        <v>180</v>
      </c>
      <c r="N485" s="11">
        <v>180</v>
      </c>
      <c r="O485" s="11">
        <v>0</v>
      </c>
      <c r="P485" s="11" t="s">
        <v>2624</v>
      </c>
    </row>
    <row r="486" spans="1:16" x14ac:dyDescent="0.2">
      <c r="A486" s="52">
        <v>43617</v>
      </c>
      <c r="B486" s="11" t="s">
        <v>225</v>
      </c>
      <c r="C486" s="11" t="s">
        <v>3068</v>
      </c>
      <c r="D486" s="11" t="s">
        <v>3069</v>
      </c>
      <c r="E486" s="11" t="s">
        <v>2621</v>
      </c>
      <c r="F486" s="11" t="s">
        <v>2939</v>
      </c>
      <c r="G486" s="11">
        <v>45143.040000000001</v>
      </c>
      <c r="H486" s="11" t="s">
        <v>2623</v>
      </c>
      <c r="I486" s="11" t="s">
        <v>1411</v>
      </c>
      <c r="J486" s="11">
        <v>28</v>
      </c>
      <c r="K486" s="11">
        <v>35268</v>
      </c>
      <c r="L486" s="11">
        <v>0</v>
      </c>
      <c r="M486" s="11">
        <v>4937.5200000000004</v>
      </c>
      <c r="N486" s="11">
        <v>4937.5200000000004</v>
      </c>
      <c r="O486" s="11">
        <v>0</v>
      </c>
      <c r="P486" s="11" t="s">
        <v>2624</v>
      </c>
    </row>
    <row r="487" spans="1:16" x14ac:dyDescent="0.2">
      <c r="A487" s="52">
        <v>43617</v>
      </c>
      <c r="B487" s="11" t="s">
        <v>225</v>
      </c>
      <c r="C487" s="11" t="s">
        <v>3068</v>
      </c>
      <c r="D487" s="11" t="s">
        <v>3070</v>
      </c>
      <c r="E487" s="11" t="s">
        <v>2621</v>
      </c>
      <c r="F487" s="11" t="s">
        <v>2939</v>
      </c>
      <c r="G487" s="11">
        <v>13001.48</v>
      </c>
      <c r="H487" s="11" t="s">
        <v>2623</v>
      </c>
      <c r="I487" s="11" t="s">
        <v>1411</v>
      </c>
      <c r="J487" s="11">
        <v>28</v>
      </c>
      <c r="K487" s="11">
        <v>10157.4</v>
      </c>
      <c r="L487" s="11">
        <v>0</v>
      </c>
      <c r="M487" s="11">
        <v>1422.04</v>
      </c>
      <c r="N487" s="11">
        <v>1422.04</v>
      </c>
      <c r="O487" s="11">
        <v>0</v>
      </c>
      <c r="P487" s="11" t="s">
        <v>2624</v>
      </c>
    </row>
    <row r="488" spans="1:16" x14ac:dyDescent="0.2">
      <c r="A488" s="52">
        <v>43617</v>
      </c>
      <c r="B488" s="11" t="s">
        <v>660</v>
      </c>
      <c r="C488" s="11" t="s">
        <v>3071</v>
      </c>
      <c r="D488" s="11" t="s">
        <v>661</v>
      </c>
      <c r="E488" s="11" t="s">
        <v>2621</v>
      </c>
      <c r="F488" s="11" t="s">
        <v>2779</v>
      </c>
      <c r="G488" s="11">
        <v>19258</v>
      </c>
      <c r="H488" s="11" t="s">
        <v>2623</v>
      </c>
      <c r="I488" s="11" t="s">
        <v>1411</v>
      </c>
      <c r="J488" s="11">
        <v>18</v>
      </c>
      <c r="K488" s="11">
        <v>16320</v>
      </c>
      <c r="L488" s="11">
        <v>0</v>
      </c>
      <c r="M488" s="11">
        <v>1468.8</v>
      </c>
      <c r="N488" s="11">
        <v>1468.8</v>
      </c>
      <c r="O488" s="11">
        <v>0</v>
      </c>
      <c r="P488" s="11" t="s">
        <v>2624</v>
      </c>
    </row>
    <row r="489" spans="1:16" x14ac:dyDescent="0.2">
      <c r="A489" s="52">
        <v>43617</v>
      </c>
      <c r="B489" s="11" t="s">
        <v>542</v>
      </c>
      <c r="C489" s="11" t="s">
        <v>3391</v>
      </c>
      <c r="D489" s="11" t="s">
        <v>543</v>
      </c>
      <c r="E489" s="11" t="s">
        <v>2621</v>
      </c>
      <c r="F489" s="11" t="s">
        <v>2626</v>
      </c>
      <c r="G489" s="11">
        <v>4130</v>
      </c>
      <c r="H489" s="11" t="s">
        <v>2623</v>
      </c>
      <c r="I489" s="11" t="s">
        <v>1411</v>
      </c>
      <c r="J489" s="11">
        <v>18</v>
      </c>
      <c r="K489" s="11">
        <v>3500</v>
      </c>
      <c r="L489" s="11">
        <v>0</v>
      </c>
      <c r="M489" s="11">
        <v>315</v>
      </c>
      <c r="N489" s="11">
        <v>315</v>
      </c>
      <c r="O489" s="11">
        <v>0</v>
      </c>
      <c r="P489" s="11" t="s">
        <v>2624</v>
      </c>
    </row>
    <row r="490" spans="1:16" x14ac:dyDescent="0.2">
      <c r="A490" s="52">
        <v>43617</v>
      </c>
      <c r="B490" s="11" t="s">
        <v>542</v>
      </c>
      <c r="C490" s="11" t="s">
        <v>3391</v>
      </c>
      <c r="D490" s="11" t="s">
        <v>615</v>
      </c>
      <c r="E490" s="11" t="s">
        <v>2621</v>
      </c>
      <c r="F490" s="11" t="s">
        <v>2770</v>
      </c>
      <c r="G490" s="11">
        <v>4130</v>
      </c>
      <c r="H490" s="11" t="s">
        <v>2623</v>
      </c>
      <c r="I490" s="11" t="s">
        <v>1411</v>
      </c>
      <c r="J490" s="11">
        <v>18</v>
      </c>
      <c r="K490" s="11">
        <v>3500</v>
      </c>
      <c r="L490" s="11">
        <v>0</v>
      </c>
      <c r="M490" s="11">
        <v>315</v>
      </c>
      <c r="N490" s="11">
        <v>315</v>
      </c>
      <c r="O490" s="11">
        <v>0</v>
      </c>
      <c r="P490" s="11" t="s">
        <v>2624</v>
      </c>
    </row>
    <row r="491" spans="1:16" x14ac:dyDescent="0.2">
      <c r="A491" s="52">
        <v>43617</v>
      </c>
      <c r="B491" s="11" t="s">
        <v>542</v>
      </c>
      <c r="C491" s="11" t="s">
        <v>3391</v>
      </c>
      <c r="D491" s="11" t="s">
        <v>734</v>
      </c>
      <c r="E491" s="11" t="s">
        <v>2621</v>
      </c>
      <c r="F491" s="11" t="s">
        <v>2928</v>
      </c>
      <c r="G491" s="11">
        <v>4130</v>
      </c>
      <c r="H491" s="11" t="s">
        <v>2623</v>
      </c>
      <c r="I491" s="11" t="s">
        <v>1411</v>
      </c>
      <c r="J491" s="11">
        <v>18</v>
      </c>
      <c r="K491" s="11">
        <v>3500</v>
      </c>
      <c r="L491" s="11">
        <v>0</v>
      </c>
      <c r="M491" s="11">
        <v>315</v>
      </c>
      <c r="N491" s="11">
        <v>315</v>
      </c>
      <c r="O491" s="11">
        <v>0</v>
      </c>
      <c r="P491" s="11" t="s">
        <v>2624</v>
      </c>
    </row>
    <row r="492" spans="1:16" x14ac:dyDescent="0.2">
      <c r="A492" s="52">
        <v>43617</v>
      </c>
      <c r="B492" s="11" t="s">
        <v>555</v>
      </c>
      <c r="C492" s="11" t="s">
        <v>2762</v>
      </c>
      <c r="D492" s="11" t="s">
        <v>3072</v>
      </c>
      <c r="E492" s="11" t="s">
        <v>2621</v>
      </c>
      <c r="F492" s="11" t="s">
        <v>2928</v>
      </c>
      <c r="G492" s="11">
        <v>3558.4</v>
      </c>
      <c r="H492" s="11" t="s">
        <v>2623</v>
      </c>
      <c r="I492" s="11" t="s">
        <v>1411</v>
      </c>
      <c r="J492" s="11">
        <v>28</v>
      </c>
      <c r="K492" s="11">
        <v>2780</v>
      </c>
      <c r="L492" s="11">
        <v>0</v>
      </c>
      <c r="M492" s="11">
        <v>389.2</v>
      </c>
      <c r="N492" s="11">
        <v>389.2</v>
      </c>
      <c r="O492" s="11">
        <v>0</v>
      </c>
      <c r="P492" s="11" t="s">
        <v>2624</v>
      </c>
    </row>
    <row r="493" spans="1:16" x14ac:dyDescent="0.2">
      <c r="A493" s="52">
        <v>43617</v>
      </c>
      <c r="B493" s="11" t="s">
        <v>555</v>
      </c>
      <c r="C493" s="11" t="s">
        <v>2762</v>
      </c>
      <c r="D493" s="11" t="s">
        <v>3073</v>
      </c>
      <c r="E493" s="11" t="s">
        <v>2621</v>
      </c>
      <c r="F493" s="11" t="s">
        <v>2928</v>
      </c>
      <c r="G493" s="11">
        <v>1779.2</v>
      </c>
      <c r="H493" s="11" t="s">
        <v>2623</v>
      </c>
      <c r="I493" s="11" t="s">
        <v>1411</v>
      </c>
      <c r="J493" s="11">
        <v>28</v>
      </c>
      <c r="K493" s="11">
        <v>1390</v>
      </c>
      <c r="L493" s="11">
        <v>0</v>
      </c>
      <c r="M493" s="11">
        <v>194.6</v>
      </c>
      <c r="N493" s="11">
        <v>194.6</v>
      </c>
      <c r="O493" s="11">
        <v>0</v>
      </c>
      <c r="P493" s="11" t="s">
        <v>2624</v>
      </c>
    </row>
    <row r="494" spans="1:16" x14ac:dyDescent="0.2">
      <c r="A494" s="52">
        <v>43617</v>
      </c>
      <c r="B494" s="11" t="s">
        <v>555</v>
      </c>
      <c r="C494" s="11" t="s">
        <v>2762</v>
      </c>
      <c r="D494" s="11" t="s">
        <v>3074</v>
      </c>
      <c r="E494" s="11" t="s">
        <v>2621</v>
      </c>
      <c r="F494" s="11" t="s">
        <v>2937</v>
      </c>
      <c r="G494" s="11">
        <v>2336.64</v>
      </c>
      <c r="H494" s="11" t="s">
        <v>2623</v>
      </c>
      <c r="I494" s="11" t="s">
        <v>1411</v>
      </c>
      <c r="J494" s="11">
        <v>28</v>
      </c>
      <c r="K494" s="11">
        <v>1825.5</v>
      </c>
      <c r="L494" s="11">
        <v>0</v>
      </c>
      <c r="M494" s="11">
        <v>255.57</v>
      </c>
      <c r="N494" s="11">
        <v>255.57</v>
      </c>
      <c r="O494" s="11">
        <v>0</v>
      </c>
      <c r="P494" s="11" t="s">
        <v>2624</v>
      </c>
    </row>
    <row r="495" spans="1:16" x14ac:dyDescent="0.2">
      <c r="A495" s="52">
        <v>43617</v>
      </c>
      <c r="B495" s="11" t="s">
        <v>555</v>
      </c>
      <c r="C495" s="11" t="s">
        <v>2762</v>
      </c>
      <c r="D495" s="11" t="s">
        <v>3075</v>
      </c>
      <c r="E495" s="11" t="s">
        <v>2621</v>
      </c>
      <c r="F495" s="11" t="s">
        <v>2937</v>
      </c>
      <c r="G495" s="11">
        <v>2135.04</v>
      </c>
      <c r="H495" s="11" t="s">
        <v>2623</v>
      </c>
      <c r="I495" s="11" t="s">
        <v>1411</v>
      </c>
      <c r="J495" s="11">
        <v>28</v>
      </c>
      <c r="K495" s="11">
        <v>1668</v>
      </c>
      <c r="L495" s="11">
        <v>0</v>
      </c>
      <c r="M495" s="11">
        <v>233.52</v>
      </c>
      <c r="N495" s="11">
        <v>233.52</v>
      </c>
      <c r="O495" s="11">
        <v>0</v>
      </c>
      <c r="P495" s="11" t="s">
        <v>2624</v>
      </c>
    </row>
    <row r="496" spans="1:16" x14ac:dyDescent="0.2">
      <c r="A496" s="52">
        <v>43617</v>
      </c>
      <c r="B496" s="11" t="s">
        <v>555</v>
      </c>
      <c r="C496" s="11" t="s">
        <v>2762</v>
      </c>
      <c r="D496" s="11" t="s">
        <v>3076</v>
      </c>
      <c r="E496" s="11" t="s">
        <v>2621</v>
      </c>
      <c r="F496" s="11" t="s">
        <v>2937</v>
      </c>
      <c r="G496" s="11">
        <v>604.79999999999995</v>
      </c>
      <c r="H496" s="11" t="s">
        <v>2623</v>
      </c>
      <c r="I496" s="11" t="s">
        <v>1411</v>
      </c>
      <c r="J496" s="11">
        <v>28</v>
      </c>
      <c r="K496" s="11">
        <v>472.5</v>
      </c>
      <c r="L496" s="11">
        <v>0</v>
      </c>
      <c r="M496" s="11">
        <v>66.150000000000006</v>
      </c>
      <c r="N496" s="11">
        <v>66.150000000000006</v>
      </c>
      <c r="O496" s="11">
        <v>0</v>
      </c>
      <c r="P496" s="11" t="s">
        <v>2624</v>
      </c>
    </row>
    <row r="497" spans="1:16" x14ac:dyDescent="0.2">
      <c r="A497" s="52">
        <v>43617</v>
      </c>
      <c r="B497" s="11" t="s">
        <v>555</v>
      </c>
      <c r="C497" s="11" t="s">
        <v>2762</v>
      </c>
      <c r="D497" s="11" t="s">
        <v>3077</v>
      </c>
      <c r="E497" s="11" t="s">
        <v>2621</v>
      </c>
      <c r="F497" s="11" t="s">
        <v>2972</v>
      </c>
      <c r="G497" s="11">
        <v>1731.84</v>
      </c>
      <c r="H497" s="11" t="s">
        <v>2623</v>
      </c>
      <c r="I497" s="11" t="s">
        <v>1411</v>
      </c>
      <c r="J497" s="11">
        <v>28</v>
      </c>
      <c r="K497" s="11">
        <v>1353</v>
      </c>
      <c r="L497" s="11">
        <v>0</v>
      </c>
      <c r="M497" s="11">
        <v>189.42</v>
      </c>
      <c r="N497" s="11">
        <v>189.42</v>
      </c>
      <c r="O497" s="11">
        <v>0</v>
      </c>
      <c r="P497" s="11" t="s">
        <v>2624</v>
      </c>
    </row>
    <row r="498" spans="1:16" x14ac:dyDescent="0.2">
      <c r="A498" s="52">
        <v>43617</v>
      </c>
      <c r="B498" s="11" t="s">
        <v>555</v>
      </c>
      <c r="C498" s="11" t="s">
        <v>2762</v>
      </c>
      <c r="D498" s="11" t="s">
        <v>3078</v>
      </c>
      <c r="E498" s="11" t="s">
        <v>2621</v>
      </c>
      <c r="F498" s="11" t="s">
        <v>2972</v>
      </c>
      <c r="G498" s="11">
        <v>2941.44</v>
      </c>
      <c r="H498" s="11" t="s">
        <v>2623</v>
      </c>
      <c r="I498" s="11" t="s">
        <v>1411</v>
      </c>
      <c r="J498" s="11">
        <v>28</v>
      </c>
      <c r="K498" s="11">
        <v>2298</v>
      </c>
      <c r="L498" s="11">
        <v>0</v>
      </c>
      <c r="M498" s="11">
        <v>321.72000000000003</v>
      </c>
      <c r="N498" s="11">
        <v>321.72000000000003</v>
      </c>
      <c r="O498" s="11">
        <v>0</v>
      </c>
      <c r="P498" s="11" t="s">
        <v>2624</v>
      </c>
    </row>
    <row r="499" spans="1:16" x14ac:dyDescent="0.2">
      <c r="A499" s="52">
        <v>43617</v>
      </c>
      <c r="B499" s="11" t="s">
        <v>555</v>
      </c>
      <c r="C499" s="11" t="s">
        <v>2762</v>
      </c>
      <c r="D499" s="11" t="s">
        <v>3079</v>
      </c>
      <c r="E499" s="11" t="s">
        <v>2621</v>
      </c>
      <c r="F499" s="11" t="s">
        <v>2972</v>
      </c>
      <c r="G499" s="11">
        <v>1020.16</v>
      </c>
      <c r="H499" s="11" t="s">
        <v>2623</v>
      </c>
      <c r="I499" s="11" t="s">
        <v>1411</v>
      </c>
      <c r="J499" s="11">
        <v>28</v>
      </c>
      <c r="K499" s="11">
        <v>797</v>
      </c>
      <c r="L499" s="11">
        <v>0</v>
      </c>
      <c r="M499" s="11">
        <v>111.58</v>
      </c>
      <c r="N499" s="11">
        <v>111.58</v>
      </c>
      <c r="O499" s="11">
        <v>0</v>
      </c>
      <c r="P499" s="11" t="s">
        <v>2624</v>
      </c>
    </row>
    <row r="500" spans="1:16" x14ac:dyDescent="0.2">
      <c r="A500" s="52">
        <v>43617</v>
      </c>
      <c r="B500" s="11" t="s">
        <v>555</v>
      </c>
      <c r="C500" s="11" t="s">
        <v>2762</v>
      </c>
      <c r="D500" s="11" t="s">
        <v>3080</v>
      </c>
      <c r="E500" s="11" t="s">
        <v>2621</v>
      </c>
      <c r="F500" s="11" t="s">
        <v>2927</v>
      </c>
      <c r="G500" s="11">
        <v>3558.4</v>
      </c>
      <c r="H500" s="11" t="s">
        <v>2623</v>
      </c>
      <c r="I500" s="11" t="s">
        <v>1411</v>
      </c>
      <c r="J500" s="11">
        <v>28</v>
      </c>
      <c r="K500" s="11">
        <v>2780</v>
      </c>
      <c r="L500" s="11">
        <v>0</v>
      </c>
      <c r="M500" s="11">
        <v>389.2</v>
      </c>
      <c r="N500" s="11">
        <v>389.2</v>
      </c>
      <c r="O500" s="11">
        <v>0</v>
      </c>
      <c r="P500" s="11" t="s">
        <v>2624</v>
      </c>
    </row>
    <row r="501" spans="1:16" x14ac:dyDescent="0.2">
      <c r="A501" s="52">
        <v>43617</v>
      </c>
      <c r="B501" s="11" t="s">
        <v>555</v>
      </c>
      <c r="C501" s="11" t="s">
        <v>2762</v>
      </c>
      <c r="D501" s="11" t="s">
        <v>3081</v>
      </c>
      <c r="E501" s="11" t="s">
        <v>2621</v>
      </c>
      <c r="F501" s="11" t="s">
        <v>2927</v>
      </c>
      <c r="G501" s="11">
        <v>1233.92</v>
      </c>
      <c r="H501" s="11" t="s">
        <v>2623</v>
      </c>
      <c r="I501" s="11" t="s">
        <v>1411</v>
      </c>
      <c r="J501" s="11">
        <v>28</v>
      </c>
      <c r="K501" s="11">
        <v>964</v>
      </c>
      <c r="L501" s="11">
        <v>0</v>
      </c>
      <c r="M501" s="11">
        <v>134.96</v>
      </c>
      <c r="N501" s="11">
        <v>134.96</v>
      </c>
      <c r="O501" s="11">
        <v>0</v>
      </c>
      <c r="P501" s="11" t="s">
        <v>2624</v>
      </c>
    </row>
    <row r="502" spans="1:16" x14ac:dyDescent="0.2">
      <c r="A502" s="52">
        <v>43617</v>
      </c>
      <c r="B502" s="11" t="s">
        <v>555</v>
      </c>
      <c r="C502" s="11" t="s">
        <v>2762</v>
      </c>
      <c r="D502" s="11" t="s">
        <v>3082</v>
      </c>
      <c r="E502" s="11" t="s">
        <v>2621</v>
      </c>
      <c r="F502" s="11" t="s">
        <v>2948</v>
      </c>
      <c r="G502" s="11">
        <v>2135.04</v>
      </c>
      <c r="H502" s="11" t="s">
        <v>2623</v>
      </c>
      <c r="I502" s="11" t="s">
        <v>1411</v>
      </c>
      <c r="J502" s="11">
        <v>28</v>
      </c>
      <c r="K502" s="11">
        <v>1668</v>
      </c>
      <c r="L502" s="11">
        <v>0</v>
      </c>
      <c r="M502" s="11">
        <v>233.52</v>
      </c>
      <c r="N502" s="11">
        <v>233.52</v>
      </c>
      <c r="O502" s="11">
        <v>0</v>
      </c>
      <c r="P502" s="11" t="s">
        <v>2624</v>
      </c>
    </row>
    <row r="503" spans="1:16" x14ac:dyDescent="0.2">
      <c r="A503" s="52">
        <v>43617</v>
      </c>
      <c r="B503" s="11" t="s">
        <v>555</v>
      </c>
      <c r="C503" s="11" t="s">
        <v>2762</v>
      </c>
      <c r="D503" s="11" t="s">
        <v>3083</v>
      </c>
      <c r="E503" s="11" t="s">
        <v>2621</v>
      </c>
      <c r="F503" s="11" t="s">
        <v>2938</v>
      </c>
      <c r="G503" s="11">
        <v>2229.7600000000002</v>
      </c>
      <c r="H503" s="11" t="s">
        <v>2623</v>
      </c>
      <c r="I503" s="11" t="s">
        <v>1411</v>
      </c>
      <c r="J503" s="11">
        <v>28</v>
      </c>
      <c r="K503" s="11">
        <v>1742</v>
      </c>
      <c r="L503" s="11">
        <v>0</v>
      </c>
      <c r="M503" s="11">
        <v>243.88</v>
      </c>
      <c r="N503" s="11">
        <v>243.88</v>
      </c>
      <c r="O503" s="11">
        <v>0</v>
      </c>
      <c r="P503" s="11" t="s">
        <v>2624</v>
      </c>
    </row>
    <row r="504" spans="1:16" x14ac:dyDescent="0.2">
      <c r="A504" s="52">
        <v>43617</v>
      </c>
      <c r="B504" s="11" t="s">
        <v>555</v>
      </c>
      <c r="C504" s="11" t="s">
        <v>2762</v>
      </c>
      <c r="D504" s="11" t="s">
        <v>3084</v>
      </c>
      <c r="E504" s="11" t="s">
        <v>2621</v>
      </c>
      <c r="F504" s="11" t="s">
        <v>2938</v>
      </c>
      <c r="G504" s="11">
        <v>2490.88</v>
      </c>
      <c r="H504" s="11" t="s">
        <v>2623</v>
      </c>
      <c r="I504" s="11" t="s">
        <v>1411</v>
      </c>
      <c r="J504" s="11">
        <v>28</v>
      </c>
      <c r="K504" s="11">
        <v>1946</v>
      </c>
      <c r="L504" s="11">
        <v>0</v>
      </c>
      <c r="M504" s="11">
        <v>272.44</v>
      </c>
      <c r="N504" s="11">
        <v>272.44</v>
      </c>
      <c r="O504" s="11">
        <v>0</v>
      </c>
      <c r="P504" s="11" t="s">
        <v>2624</v>
      </c>
    </row>
    <row r="505" spans="1:16" x14ac:dyDescent="0.2">
      <c r="A505" s="52">
        <v>43617</v>
      </c>
      <c r="B505" s="11" t="s">
        <v>555</v>
      </c>
      <c r="C505" s="11" t="s">
        <v>2762</v>
      </c>
      <c r="D505" s="11" t="s">
        <v>3085</v>
      </c>
      <c r="E505" s="11" t="s">
        <v>2621</v>
      </c>
      <c r="F505" s="11" t="s">
        <v>3046</v>
      </c>
      <c r="G505" s="11">
        <v>2368.33</v>
      </c>
      <c r="H505" s="11" t="s">
        <v>2623</v>
      </c>
      <c r="I505" s="11" t="s">
        <v>1411</v>
      </c>
      <c r="J505" s="11">
        <v>28</v>
      </c>
      <c r="K505" s="11">
        <v>1850.29</v>
      </c>
      <c r="L505" s="11">
        <v>0</v>
      </c>
      <c r="M505" s="11">
        <v>259.04000000000002</v>
      </c>
      <c r="N505" s="11">
        <v>259.04000000000002</v>
      </c>
      <c r="O505" s="11">
        <v>0</v>
      </c>
      <c r="P505" s="11" t="s">
        <v>2624</v>
      </c>
    </row>
    <row r="506" spans="1:16" x14ac:dyDescent="0.2">
      <c r="A506" s="52">
        <v>43617</v>
      </c>
      <c r="B506" s="11" t="s">
        <v>555</v>
      </c>
      <c r="C506" s="11" t="s">
        <v>2762</v>
      </c>
      <c r="D506" s="11" t="s">
        <v>3086</v>
      </c>
      <c r="E506" s="11" t="s">
        <v>2621</v>
      </c>
      <c r="F506" s="11" t="s">
        <v>3046</v>
      </c>
      <c r="G506" s="11">
        <v>2834.56</v>
      </c>
      <c r="H506" s="11" t="s">
        <v>2623</v>
      </c>
      <c r="I506" s="11" t="s">
        <v>1411</v>
      </c>
      <c r="J506" s="11">
        <v>28</v>
      </c>
      <c r="K506" s="11">
        <v>2214.5</v>
      </c>
      <c r="L506" s="11">
        <v>0</v>
      </c>
      <c r="M506" s="11">
        <v>310.02999999999997</v>
      </c>
      <c r="N506" s="11">
        <v>310.02999999999997</v>
      </c>
      <c r="O506" s="11">
        <v>0</v>
      </c>
      <c r="P506" s="11" t="s">
        <v>2624</v>
      </c>
    </row>
    <row r="507" spans="1:16" x14ac:dyDescent="0.2">
      <c r="A507" s="52">
        <v>43617</v>
      </c>
      <c r="B507" s="11" t="s">
        <v>555</v>
      </c>
      <c r="C507" s="11" t="s">
        <v>2762</v>
      </c>
      <c r="D507" s="11" t="s">
        <v>3087</v>
      </c>
      <c r="E507" s="11" t="s">
        <v>2621</v>
      </c>
      <c r="F507" s="11" t="s">
        <v>2970</v>
      </c>
      <c r="G507" s="11">
        <v>2159.36</v>
      </c>
      <c r="H507" s="11" t="s">
        <v>2623</v>
      </c>
      <c r="I507" s="11" t="s">
        <v>1411</v>
      </c>
      <c r="J507" s="11">
        <v>28</v>
      </c>
      <c r="K507" s="11">
        <v>1687</v>
      </c>
      <c r="L507" s="11">
        <v>0</v>
      </c>
      <c r="M507" s="11">
        <v>236.18</v>
      </c>
      <c r="N507" s="11">
        <v>236.18</v>
      </c>
      <c r="O507" s="11">
        <v>0</v>
      </c>
      <c r="P507" s="11" t="s">
        <v>2624</v>
      </c>
    </row>
    <row r="508" spans="1:16" x14ac:dyDescent="0.2">
      <c r="A508" s="52">
        <v>43617</v>
      </c>
      <c r="B508" s="11" t="s">
        <v>555</v>
      </c>
      <c r="C508" s="11" t="s">
        <v>2762</v>
      </c>
      <c r="D508" s="11" t="s">
        <v>3088</v>
      </c>
      <c r="E508" s="11" t="s">
        <v>2621</v>
      </c>
      <c r="F508" s="11" t="s">
        <v>2970</v>
      </c>
      <c r="G508" s="11">
        <v>1079.68</v>
      </c>
      <c r="H508" s="11" t="s">
        <v>2623</v>
      </c>
      <c r="I508" s="11" t="s">
        <v>1411</v>
      </c>
      <c r="J508" s="11">
        <v>28</v>
      </c>
      <c r="K508" s="11">
        <v>843.5</v>
      </c>
      <c r="L508" s="11">
        <v>0</v>
      </c>
      <c r="M508" s="11">
        <v>118.09</v>
      </c>
      <c r="N508" s="11">
        <v>118.09</v>
      </c>
      <c r="O508" s="11">
        <v>0</v>
      </c>
      <c r="P508" s="11" t="s">
        <v>2624</v>
      </c>
    </row>
    <row r="509" spans="1:16" x14ac:dyDescent="0.2">
      <c r="A509" s="52">
        <v>43617</v>
      </c>
      <c r="B509" s="11" t="s">
        <v>555</v>
      </c>
      <c r="C509" s="11" t="s">
        <v>2762</v>
      </c>
      <c r="D509" s="11" t="s">
        <v>3089</v>
      </c>
      <c r="E509" s="11" t="s">
        <v>2621</v>
      </c>
      <c r="F509" s="11" t="s">
        <v>2970</v>
      </c>
      <c r="G509" s="11">
        <v>1209.5999999999999</v>
      </c>
      <c r="H509" s="11" t="s">
        <v>2623</v>
      </c>
      <c r="I509" s="11" t="s">
        <v>1411</v>
      </c>
      <c r="J509" s="11">
        <v>28</v>
      </c>
      <c r="K509" s="11">
        <v>945</v>
      </c>
      <c r="L509" s="11">
        <v>0</v>
      </c>
      <c r="M509" s="11">
        <v>132.30000000000001</v>
      </c>
      <c r="N509" s="11">
        <v>132.30000000000001</v>
      </c>
      <c r="O509" s="11">
        <v>0</v>
      </c>
      <c r="P509" s="11" t="s">
        <v>2624</v>
      </c>
    </row>
    <row r="510" spans="1:16" x14ac:dyDescent="0.2">
      <c r="A510" s="52">
        <v>43617</v>
      </c>
      <c r="B510" s="11" t="s">
        <v>555</v>
      </c>
      <c r="C510" s="11" t="s">
        <v>2762</v>
      </c>
      <c r="D510" s="11" t="s">
        <v>3090</v>
      </c>
      <c r="E510" s="11" t="s">
        <v>2621</v>
      </c>
      <c r="F510" s="11" t="s">
        <v>2970</v>
      </c>
      <c r="G510" s="11">
        <v>1008</v>
      </c>
      <c r="H510" s="11" t="s">
        <v>2623</v>
      </c>
      <c r="I510" s="11" t="s">
        <v>1411</v>
      </c>
      <c r="J510" s="11">
        <v>28</v>
      </c>
      <c r="K510" s="11">
        <v>787.5</v>
      </c>
      <c r="L510" s="11">
        <v>0</v>
      </c>
      <c r="M510" s="11">
        <v>110.25</v>
      </c>
      <c r="N510" s="11">
        <v>110.25</v>
      </c>
      <c r="O510" s="11">
        <v>0</v>
      </c>
      <c r="P510" s="11" t="s">
        <v>2624</v>
      </c>
    </row>
    <row r="511" spans="1:16" x14ac:dyDescent="0.2">
      <c r="A511" s="52">
        <v>43617</v>
      </c>
      <c r="B511" s="11" t="s">
        <v>555</v>
      </c>
      <c r="C511" s="11" t="s">
        <v>2762</v>
      </c>
      <c r="D511" s="11" t="s">
        <v>3091</v>
      </c>
      <c r="E511" s="11" t="s">
        <v>2621</v>
      </c>
      <c r="F511" s="11" t="s">
        <v>2970</v>
      </c>
      <c r="G511" s="11">
        <v>806.4</v>
      </c>
      <c r="H511" s="11" t="s">
        <v>2623</v>
      </c>
      <c r="I511" s="11" t="s">
        <v>1411</v>
      </c>
      <c r="J511" s="11">
        <v>28</v>
      </c>
      <c r="K511" s="11">
        <v>630</v>
      </c>
      <c r="L511" s="11">
        <v>0</v>
      </c>
      <c r="M511" s="11">
        <v>88.2</v>
      </c>
      <c r="N511" s="11">
        <v>88.2</v>
      </c>
      <c r="O511" s="11">
        <v>0</v>
      </c>
      <c r="P511" s="11" t="s">
        <v>2624</v>
      </c>
    </row>
    <row r="512" spans="1:16" x14ac:dyDescent="0.2">
      <c r="A512" s="52">
        <v>43617</v>
      </c>
      <c r="B512" s="11" t="s">
        <v>555</v>
      </c>
      <c r="C512" s="11" t="s">
        <v>2762</v>
      </c>
      <c r="D512" s="11" t="s">
        <v>3092</v>
      </c>
      <c r="E512" s="11" t="s">
        <v>2621</v>
      </c>
      <c r="F512" s="11" t="s">
        <v>2950</v>
      </c>
      <c r="G512" s="11">
        <v>308.48</v>
      </c>
      <c r="H512" s="11" t="s">
        <v>2623</v>
      </c>
      <c r="I512" s="11" t="s">
        <v>1411</v>
      </c>
      <c r="J512" s="11">
        <v>28</v>
      </c>
      <c r="K512" s="11">
        <v>241</v>
      </c>
      <c r="L512" s="11">
        <v>0</v>
      </c>
      <c r="M512" s="11">
        <v>33.74</v>
      </c>
      <c r="N512" s="11">
        <v>33.74</v>
      </c>
      <c r="O512" s="11">
        <v>0</v>
      </c>
      <c r="P512" s="11" t="s">
        <v>2624</v>
      </c>
    </row>
    <row r="513" spans="1:16" x14ac:dyDescent="0.2">
      <c r="A513" s="52">
        <v>43617</v>
      </c>
      <c r="B513" s="11" t="s">
        <v>555</v>
      </c>
      <c r="C513" s="11" t="s">
        <v>2762</v>
      </c>
      <c r="D513" s="11" t="s">
        <v>3093</v>
      </c>
      <c r="E513" s="11" t="s">
        <v>2621</v>
      </c>
      <c r="F513" s="11" t="s">
        <v>2950</v>
      </c>
      <c r="G513" s="11">
        <v>2443.52</v>
      </c>
      <c r="H513" s="11" t="s">
        <v>2623</v>
      </c>
      <c r="I513" s="11" t="s">
        <v>1411</v>
      </c>
      <c r="J513" s="11">
        <v>28</v>
      </c>
      <c r="K513" s="11">
        <v>1909</v>
      </c>
      <c r="L513" s="11">
        <v>0</v>
      </c>
      <c r="M513" s="11">
        <v>267.26</v>
      </c>
      <c r="N513" s="11">
        <v>267.26</v>
      </c>
      <c r="O513" s="11">
        <v>0</v>
      </c>
      <c r="P513" s="11" t="s">
        <v>2624</v>
      </c>
    </row>
    <row r="514" spans="1:16" x14ac:dyDescent="0.2">
      <c r="A514" s="52">
        <v>43617</v>
      </c>
      <c r="B514" s="11" t="s">
        <v>555</v>
      </c>
      <c r="C514" s="11" t="s">
        <v>2762</v>
      </c>
      <c r="D514" s="11" t="s">
        <v>3094</v>
      </c>
      <c r="E514" s="11" t="s">
        <v>2621</v>
      </c>
      <c r="F514" s="11" t="s">
        <v>2950</v>
      </c>
      <c r="G514" s="11">
        <v>3155.2</v>
      </c>
      <c r="H514" s="11" t="s">
        <v>2623</v>
      </c>
      <c r="I514" s="11" t="s">
        <v>1411</v>
      </c>
      <c r="J514" s="11">
        <v>28</v>
      </c>
      <c r="K514" s="11">
        <v>2465</v>
      </c>
      <c r="L514" s="11">
        <v>0</v>
      </c>
      <c r="M514" s="11">
        <v>345.1</v>
      </c>
      <c r="N514" s="11">
        <v>345.1</v>
      </c>
      <c r="O514" s="11">
        <v>0</v>
      </c>
      <c r="P514" s="11" t="s">
        <v>2624</v>
      </c>
    </row>
    <row r="515" spans="1:16" x14ac:dyDescent="0.2">
      <c r="A515" s="52">
        <v>43617</v>
      </c>
      <c r="B515" s="11" t="s">
        <v>555</v>
      </c>
      <c r="C515" s="11" t="s">
        <v>2762</v>
      </c>
      <c r="D515" s="11" t="s">
        <v>3095</v>
      </c>
      <c r="E515" s="11" t="s">
        <v>2621</v>
      </c>
      <c r="F515" s="11" t="s">
        <v>2953</v>
      </c>
      <c r="G515" s="11">
        <v>2135.04</v>
      </c>
      <c r="H515" s="11" t="s">
        <v>2623</v>
      </c>
      <c r="I515" s="11" t="s">
        <v>1411</v>
      </c>
      <c r="J515" s="11">
        <v>28</v>
      </c>
      <c r="K515" s="11">
        <v>1668</v>
      </c>
      <c r="L515" s="11">
        <v>0</v>
      </c>
      <c r="M515" s="11">
        <v>233.52</v>
      </c>
      <c r="N515" s="11">
        <v>233.52</v>
      </c>
      <c r="O515" s="11">
        <v>0</v>
      </c>
      <c r="P515" s="11" t="s">
        <v>2624</v>
      </c>
    </row>
    <row r="516" spans="1:16" x14ac:dyDescent="0.2">
      <c r="A516" s="52">
        <v>43617</v>
      </c>
      <c r="B516" s="11" t="s">
        <v>555</v>
      </c>
      <c r="C516" s="11" t="s">
        <v>2762</v>
      </c>
      <c r="D516" s="11" t="s">
        <v>3096</v>
      </c>
      <c r="E516" s="11" t="s">
        <v>2621</v>
      </c>
      <c r="F516" s="11" t="s">
        <v>2953</v>
      </c>
      <c r="G516" s="11">
        <v>2135.04</v>
      </c>
      <c r="H516" s="11" t="s">
        <v>2623</v>
      </c>
      <c r="I516" s="11" t="s">
        <v>1411</v>
      </c>
      <c r="J516" s="11">
        <v>28</v>
      </c>
      <c r="K516" s="11">
        <v>1668</v>
      </c>
      <c r="L516" s="11">
        <v>0</v>
      </c>
      <c r="M516" s="11">
        <v>233.52</v>
      </c>
      <c r="N516" s="11">
        <v>233.52</v>
      </c>
      <c r="O516" s="11">
        <v>0</v>
      </c>
      <c r="P516" s="11" t="s">
        <v>2624</v>
      </c>
    </row>
    <row r="517" spans="1:16" x14ac:dyDescent="0.2">
      <c r="A517" s="52">
        <v>43617</v>
      </c>
      <c r="B517" s="11" t="s">
        <v>555</v>
      </c>
      <c r="C517" s="11" t="s">
        <v>2762</v>
      </c>
      <c r="D517" s="11" t="s">
        <v>3097</v>
      </c>
      <c r="E517" s="11" t="s">
        <v>2621</v>
      </c>
      <c r="F517" s="11" t="s">
        <v>2955</v>
      </c>
      <c r="G517" s="11">
        <v>1504</v>
      </c>
      <c r="H517" s="11" t="s">
        <v>2623</v>
      </c>
      <c r="I517" s="11" t="s">
        <v>1411</v>
      </c>
      <c r="J517" s="11">
        <v>28</v>
      </c>
      <c r="K517" s="11">
        <v>1175</v>
      </c>
      <c r="L517" s="11">
        <v>0</v>
      </c>
      <c r="M517" s="11">
        <v>164.5</v>
      </c>
      <c r="N517" s="11">
        <v>164.5</v>
      </c>
      <c r="O517" s="11">
        <v>0</v>
      </c>
      <c r="P517" s="11" t="s">
        <v>2624</v>
      </c>
    </row>
    <row r="518" spans="1:16" x14ac:dyDescent="0.2">
      <c r="A518" s="52">
        <v>43617</v>
      </c>
      <c r="B518" s="11" t="s">
        <v>555</v>
      </c>
      <c r="C518" s="11" t="s">
        <v>2762</v>
      </c>
      <c r="D518" s="11" t="s">
        <v>3098</v>
      </c>
      <c r="E518" s="11" t="s">
        <v>2621</v>
      </c>
      <c r="F518" s="11" t="s">
        <v>2955</v>
      </c>
      <c r="G518" s="11">
        <v>2135.04</v>
      </c>
      <c r="H518" s="11" t="s">
        <v>2623</v>
      </c>
      <c r="I518" s="11" t="s">
        <v>1411</v>
      </c>
      <c r="J518" s="11">
        <v>28</v>
      </c>
      <c r="K518" s="11">
        <v>1668</v>
      </c>
      <c r="L518" s="11">
        <v>0</v>
      </c>
      <c r="M518" s="11">
        <v>233.52</v>
      </c>
      <c r="N518" s="11">
        <v>233.52</v>
      </c>
      <c r="O518" s="11">
        <v>0</v>
      </c>
      <c r="P518" s="11" t="s">
        <v>2624</v>
      </c>
    </row>
    <row r="519" spans="1:16" x14ac:dyDescent="0.2">
      <c r="A519" s="52">
        <v>43617</v>
      </c>
      <c r="B519" s="11" t="s">
        <v>555</v>
      </c>
      <c r="C519" s="11" t="s">
        <v>2762</v>
      </c>
      <c r="D519" s="11" t="s">
        <v>3099</v>
      </c>
      <c r="E519" s="11" t="s">
        <v>2621</v>
      </c>
      <c r="F519" s="11" t="s">
        <v>2965</v>
      </c>
      <c r="G519" s="11">
        <v>2135.04</v>
      </c>
      <c r="H519" s="11" t="s">
        <v>2623</v>
      </c>
      <c r="I519" s="11" t="s">
        <v>1411</v>
      </c>
      <c r="J519" s="11">
        <v>28</v>
      </c>
      <c r="K519" s="11">
        <v>1668</v>
      </c>
      <c r="L519" s="11">
        <v>0</v>
      </c>
      <c r="M519" s="11">
        <v>233.52</v>
      </c>
      <c r="N519" s="11">
        <v>233.52</v>
      </c>
      <c r="O519" s="11">
        <v>0</v>
      </c>
      <c r="P519" s="11" t="s">
        <v>2624</v>
      </c>
    </row>
    <row r="520" spans="1:16" x14ac:dyDescent="0.2">
      <c r="A520" s="52">
        <v>43617</v>
      </c>
      <c r="B520" s="11" t="s">
        <v>555</v>
      </c>
      <c r="C520" s="11" t="s">
        <v>2762</v>
      </c>
      <c r="D520" s="11" t="s">
        <v>3100</v>
      </c>
      <c r="E520" s="11" t="s">
        <v>2621</v>
      </c>
      <c r="F520" s="11" t="s">
        <v>2965</v>
      </c>
      <c r="G520" s="11">
        <v>3031.8</v>
      </c>
      <c r="H520" s="11" t="s">
        <v>2623</v>
      </c>
      <c r="I520" s="11" t="s">
        <v>1411</v>
      </c>
      <c r="J520" s="11">
        <v>28</v>
      </c>
      <c r="K520" s="11">
        <v>2368.5700000000002</v>
      </c>
      <c r="L520" s="11">
        <v>0</v>
      </c>
      <c r="M520" s="11">
        <v>331.6</v>
      </c>
      <c r="N520" s="11">
        <v>331.6</v>
      </c>
      <c r="O520" s="11">
        <v>0</v>
      </c>
      <c r="P520" s="11" t="s">
        <v>2624</v>
      </c>
    </row>
    <row r="521" spans="1:16" x14ac:dyDescent="0.2">
      <c r="A521" s="52">
        <v>43617</v>
      </c>
      <c r="B521" s="11" t="s">
        <v>555</v>
      </c>
      <c r="C521" s="11" t="s">
        <v>2762</v>
      </c>
      <c r="D521" s="11" t="s">
        <v>3101</v>
      </c>
      <c r="E521" s="11" t="s">
        <v>2621</v>
      </c>
      <c r="F521" s="11" t="s">
        <v>2965</v>
      </c>
      <c r="G521" s="11">
        <v>2135.04</v>
      </c>
      <c r="H521" s="11" t="s">
        <v>2623</v>
      </c>
      <c r="I521" s="11" t="s">
        <v>1411</v>
      </c>
      <c r="J521" s="11">
        <v>28</v>
      </c>
      <c r="K521" s="11">
        <v>1668</v>
      </c>
      <c r="L521" s="11">
        <v>0</v>
      </c>
      <c r="M521" s="11">
        <v>233.52</v>
      </c>
      <c r="N521" s="11">
        <v>233.52</v>
      </c>
      <c r="O521" s="11">
        <v>0</v>
      </c>
      <c r="P521" s="11" t="s">
        <v>2624</v>
      </c>
    </row>
    <row r="522" spans="1:16" x14ac:dyDescent="0.2">
      <c r="A522" s="52">
        <v>43617</v>
      </c>
      <c r="B522" s="11" t="s">
        <v>555</v>
      </c>
      <c r="C522" s="11" t="s">
        <v>2762</v>
      </c>
      <c r="D522" s="11" t="s">
        <v>3102</v>
      </c>
      <c r="E522" s="11" t="s">
        <v>2621</v>
      </c>
      <c r="F522" s="11" t="s">
        <v>2929</v>
      </c>
      <c r="G522" s="11">
        <v>2846.72</v>
      </c>
      <c r="H522" s="11" t="s">
        <v>2623</v>
      </c>
      <c r="I522" s="11" t="s">
        <v>1411</v>
      </c>
      <c r="J522" s="11">
        <v>28</v>
      </c>
      <c r="K522" s="11">
        <v>2224</v>
      </c>
      <c r="L522" s="11">
        <v>0</v>
      </c>
      <c r="M522" s="11">
        <v>311.36</v>
      </c>
      <c r="N522" s="11">
        <v>311.36</v>
      </c>
      <c r="O522" s="11">
        <v>0</v>
      </c>
      <c r="P522" s="11" t="s">
        <v>2624</v>
      </c>
    </row>
    <row r="523" spans="1:16" x14ac:dyDescent="0.2">
      <c r="A523" s="52">
        <v>43617</v>
      </c>
      <c r="B523" s="11" t="s">
        <v>555</v>
      </c>
      <c r="C523" s="11" t="s">
        <v>2762</v>
      </c>
      <c r="D523" s="11" t="s">
        <v>3103</v>
      </c>
      <c r="E523" s="11" t="s">
        <v>2621</v>
      </c>
      <c r="F523" s="11" t="s">
        <v>2929</v>
      </c>
      <c r="G523" s="11">
        <v>3558.4</v>
      </c>
      <c r="H523" s="11" t="s">
        <v>2623</v>
      </c>
      <c r="I523" s="11" t="s">
        <v>1411</v>
      </c>
      <c r="J523" s="11">
        <v>28</v>
      </c>
      <c r="K523" s="11">
        <v>2780</v>
      </c>
      <c r="L523" s="11">
        <v>0</v>
      </c>
      <c r="M523" s="11">
        <v>389.2</v>
      </c>
      <c r="N523" s="11">
        <v>389.2</v>
      </c>
      <c r="O523" s="11">
        <v>0</v>
      </c>
      <c r="P523" s="11" t="s">
        <v>2624</v>
      </c>
    </row>
    <row r="524" spans="1:16" x14ac:dyDescent="0.2">
      <c r="A524" s="52">
        <v>43617</v>
      </c>
      <c r="B524" s="11" t="s">
        <v>555</v>
      </c>
      <c r="C524" s="11" t="s">
        <v>2762</v>
      </c>
      <c r="D524" s="11" t="s">
        <v>3104</v>
      </c>
      <c r="E524" s="11" t="s">
        <v>2621</v>
      </c>
      <c r="F524" s="11" t="s">
        <v>2929</v>
      </c>
      <c r="G524" s="11">
        <v>5591.42</v>
      </c>
      <c r="H524" s="11" t="s">
        <v>2623</v>
      </c>
      <c r="I524" s="11" t="s">
        <v>1411</v>
      </c>
      <c r="J524" s="11">
        <v>28</v>
      </c>
      <c r="K524" s="11">
        <v>4368.29</v>
      </c>
      <c r="L524" s="11">
        <v>0</v>
      </c>
      <c r="M524" s="11">
        <v>611.55999999999995</v>
      </c>
      <c r="N524" s="11">
        <v>611.55999999999995</v>
      </c>
      <c r="O524" s="11">
        <v>0</v>
      </c>
      <c r="P524" s="11" t="s">
        <v>2624</v>
      </c>
    </row>
    <row r="525" spans="1:16" x14ac:dyDescent="0.2">
      <c r="A525" s="52">
        <v>43617</v>
      </c>
      <c r="B525" s="11" t="s">
        <v>555</v>
      </c>
      <c r="C525" s="11" t="s">
        <v>2762</v>
      </c>
      <c r="D525" s="11" t="s">
        <v>3105</v>
      </c>
      <c r="E525" s="11" t="s">
        <v>2621</v>
      </c>
      <c r="F525" s="11" t="s">
        <v>2967</v>
      </c>
      <c r="G525" s="11">
        <v>1423.36</v>
      </c>
      <c r="H525" s="11" t="s">
        <v>2623</v>
      </c>
      <c r="I525" s="11" t="s">
        <v>1411</v>
      </c>
      <c r="J525" s="11">
        <v>28</v>
      </c>
      <c r="K525" s="11">
        <v>1112</v>
      </c>
      <c r="L525" s="11">
        <v>0</v>
      </c>
      <c r="M525" s="11">
        <v>155.68</v>
      </c>
      <c r="N525" s="11">
        <v>155.68</v>
      </c>
      <c r="O525" s="11">
        <v>0</v>
      </c>
      <c r="P525" s="11" t="s">
        <v>2624</v>
      </c>
    </row>
    <row r="526" spans="1:16" x14ac:dyDescent="0.2">
      <c r="A526" s="52">
        <v>43617</v>
      </c>
      <c r="B526" s="11" t="s">
        <v>555</v>
      </c>
      <c r="C526" s="11" t="s">
        <v>2762</v>
      </c>
      <c r="D526" s="11" t="s">
        <v>3106</v>
      </c>
      <c r="E526" s="11" t="s">
        <v>2621</v>
      </c>
      <c r="F526" s="11" t="s">
        <v>2967</v>
      </c>
      <c r="G526" s="11">
        <v>2135.04</v>
      </c>
      <c r="H526" s="11" t="s">
        <v>2623</v>
      </c>
      <c r="I526" s="11" t="s">
        <v>1411</v>
      </c>
      <c r="J526" s="11">
        <v>28</v>
      </c>
      <c r="K526" s="11">
        <v>1668</v>
      </c>
      <c r="L526" s="11">
        <v>0</v>
      </c>
      <c r="M526" s="11">
        <v>233.52</v>
      </c>
      <c r="N526" s="11">
        <v>233.52</v>
      </c>
      <c r="O526" s="11">
        <v>0</v>
      </c>
      <c r="P526" s="11" t="s">
        <v>2624</v>
      </c>
    </row>
    <row r="527" spans="1:16" x14ac:dyDescent="0.2">
      <c r="A527" s="52">
        <v>43617</v>
      </c>
      <c r="B527" s="11" t="s">
        <v>555</v>
      </c>
      <c r="C527" s="11" t="s">
        <v>2762</v>
      </c>
      <c r="D527" s="11" t="s">
        <v>3107</v>
      </c>
      <c r="E527" s="11" t="s">
        <v>2621</v>
      </c>
      <c r="F527" s="11" t="s">
        <v>2967</v>
      </c>
      <c r="G527" s="11">
        <v>6405.12</v>
      </c>
      <c r="H527" s="11" t="s">
        <v>2623</v>
      </c>
      <c r="I527" s="11" t="s">
        <v>1411</v>
      </c>
      <c r="J527" s="11">
        <v>28</v>
      </c>
      <c r="K527" s="11">
        <v>5004</v>
      </c>
      <c r="L527" s="11">
        <v>0</v>
      </c>
      <c r="M527" s="11">
        <v>700.56</v>
      </c>
      <c r="N527" s="11">
        <v>700.56</v>
      </c>
      <c r="O527" s="11">
        <v>0</v>
      </c>
      <c r="P527" s="11" t="s">
        <v>2624</v>
      </c>
    </row>
    <row r="528" spans="1:16" x14ac:dyDescent="0.2">
      <c r="A528" s="52">
        <v>43617</v>
      </c>
      <c r="B528" s="11" t="s">
        <v>555</v>
      </c>
      <c r="C528" s="11" t="s">
        <v>2762</v>
      </c>
      <c r="D528" s="11" t="s">
        <v>3108</v>
      </c>
      <c r="E528" s="11" t="s">
        <v>2621</v>
      </c>
      <c r="F528" s="11" t="s">
        <v>2967</v>
      </c>
      <c r="G528" s="11">
        <v>2135.04</v>
      </c>
      <c r="H528" s="11" t="s">
        <v>2623</v>
      </c>
      <c r="I528" s="11" t="s">
        <v>1411</v>
      </c>
      <c r="J528" s="11">
        <v>28</v>
      </c>
      <c r="K528" s="11">
        <v>1668</v>
      </c>
      <c r="L528" s="11">
        <v>0</v>
      </c>
      <c r="M528" s="11">
        <v>233.52</v>
      </c>
      <c r="N528" s="11">
        <v>233.52</v>
      </c>
      <c r="O528" s="11">
        <v>0</v>
      </c>
      <c r="P528" s="11" t="s">
        <v>2624</v>
      </c>
    </row>
    <row r="529" spans="1:16" x14ac:dyDescent="0.2">
      <c r="A529" s="52">
        <v>43617</v>
      </c>
      <c r="B529" s="11" t="s">
        <v>555</v>
      </c>
      <c r="C529" s="11" t="s">
        <v>2762</v>
      </c>
      <c r="D529" s="11" t="s">
        <v>3109</v>
      </c>
      <c r="E529" s="11" t="s">
        <v>2621</v>
      </c>
      <c r="F529" s="11" t="s">
        <v>2939</v>
      </c>
      <c r="G529" s="11">
        <v>2175.5700000000002</v>
      </c>
      <c r="H529" s="11" t="s">
        <v>2623</v>
      </c>
      <c r="I529" s="11" t="s">
        <v>1411</v>
      </c>
      <c r="J529" s="11">
        <v>28</v>
      </c>
      <c r="K529" s="11">
        <v>1699.64</v>
      </c>
      <c r="L529" s="11">
        <v>0</v>
      </c>
      <c r="M529" s="11">
        <v>237.95</v>
      </c>
      <c r="N529" s="11">
        <v>237.95</v>
      </c>
      <c r="O529" s="11">
        <v>0</v>
      </c>
      <c r="P529" s="11" t="s">
        <v>2624</v>
      </c>
    </row>
    <row r="530" spans="1:16" x14ac:dyDescent="0.2">
      <c r="A530" s="52">
        <v>43617</v>
      </c>
      <c r="B530" s="11" t="s">
        <v>555</v>
      </c>
      <c r="C530" s="11" t="s">
        <v>2762</v>
      </c>
      <c r="D530" s="11" t="s">
        <v>3110</v>
      </c>
      <c r="E530" s="11" t="s">
        <v>2621</v>
      </c>
      <c r="F530" s="11" t="s">
        <v>2939</v>
      </c>
      <c r="G530" s="11">
        <v>2135.04</v>
      </c>
      <c r="H530" s="11" t="s">
        <v>2623</v>
      </c>
      <c r="I530" s="11" t="s">
        <v>1411</v>
      </c>
      <c r="J530" s="11">
        <v>28</v>
      </c>
      <c r="K530" s="11">
        <v>1668</v>
      </c>
      <c r="L530" s="11">
        <v>0</v>
      </c>
      <c r="M530" s="11">
        <v>233.52</v>
      </c>
      <c r="N530" s="11">
        <v>233.52</v>
      </c>
      <c r="O530" s="11">
        <v>0</v>
      </c>
      <c r="P530" s="11" t="s">
        <v>2624</v>
      </c>
    </row>
    <row r="531" spans="1:16" x14ac:dyDescent="0.2">
      <c r="A531" s="52">
        <v>43617</v>
      </c>
      <c r="B531" s="11" t="s">
        <v>555</v>
      </c>
      <c r="C531" s="11" t="s">
        <v>2762</v>
      </c>
      <c r="D531" s="11" t="s">
        <v>3111</v>
      </c>
      <c r="E531" s="11" t="s">
        <v>2621</v>
      </c>
      <c r="F531" s="11" t="s">
        <v>2939</v>
      </c>
      <c r="G531" s="11">
        <v>2846.72</v>
      </c>
      <c r="H531" s="11" t="s">
        <v>2623</v>
      </c>
      <c r="I531" s="11" t="s">
        <v>1411</v>
      </c>
      <c r="J531" s="11">
        <v>28</v>
      </c>
      <c r="K531" s="11">
        <v>2224</v>
      </c>
      <c r="L531" s="11">
        <v>0</v>
      </c>
      <c r="M531" s="11">
        <v>311.36</v>
      </c>
      <c r="N531" s="11">
        <v>311.36</v>
      </c>
      <c r="O531" s="11">
        <v>0</v>
      </c>
      <c r="P531" s="11" t="s">
        <v>2624</v>
      </c>
    </row>
    <row r="532" spans="1:16" x14ac:dyDescent="0.2">
      <c r="A532" s="52">
        <v>43617</v>
      </c>
      <c r="B532" s="11" t="s">
        <v>555</v>
      </c>
      <c r="C532" s="11" t="s">
        <v>2762</v>
      </c>
      <c r="D532" s="11" t="s">
        <v>3112</v>
      </c>
      <c r="E532" s="11" t="s">
        <v>2621</v>
      </c>
      <c r="F532" s="11" t="s">
        <v>2983</v>
      </c>
      <c r="G532" s="11">
        <v>2277.38</v>
      </c>
      <c r="H532" s="11" t="s">
        <v>2623</v>
      </c>
      <c r="I532" s="11" t="s">
        <v>1411</v>
      </c>
      <c r="J532" s="11">
        <v>28</v>
      </c>
      <c r="K532" s="11">
        <v>1779.21</v>
      </c>
      <c r="L532" s="11">
        <v>0</v>
      </c>
      <c r="M532" s="11">
        <v>249.09</v>
      </c>
      <c r="N532" s="11">
        <v>249.09</v>
      </c>
      <c r="O532" s="11">
        <v>0</v>
      </c>
      <c r="P532" s="11" t="s">
        <v>2624</v>
      </c>
    </row>
    <row r="533" spans="1:16" x14ac:dyDescent="0.2">
      <c r="A533" s="52">
        <v>43617</v>
      </c>
      <c r="B533" s="11" t="s">
        <v>555</v>
      </c>
      <c r="C533" s="11" t="s">
        <v>2762</v>
      </c>
      <c r="D533" s="11" t="s">
        <v>3113</v>
      </c>
      <c r="E533" s="11" t="s">
        <v>2621</v>
      </c>
      <c r="F533" s="11" t="s">
        <v>2983</v>
      </c>
      <c r="G533" s="11">
        <v>2419.7199999999998</v>
      </c>
      <c r="H533" s="11" t="s">
        <v>2623</v>
      </c>
      <c r="I533" s="11" t="s">
        <v>1411</v>
      </c>
      <c r="J533" s="11">
        <v>28</v>
      </c>
      <c r="K533" s="11">
        <v>1890.43</v>
      </c>
      <c r="L533" s="11">
        <v>0</v>
      </c>
      <c r="M533" s="11">
        <v>264.66000000000003</v>
      </c>
      <c r="N533" s="11">
        <v>264.66000000000003</v>
      </c>
      <c r="O533" s="11">
        <v>0</v>
      </c>
      <c r="P533" s="11" t="s">
        <v>2624</v>
      </c>
    </row>
    <row r="534" spans="1:16" x14ac:dyDescent="0.2">
      <c r="A534" s="52">
        <v>43617</v>
      </c>
      <c r="B534" s="11" t="s">
        <v>555</v>
      </c>
      <c r="C534" s="11" t="s">
        <v>2762</v>
      </c>
      <c r="D534" s="11" t="s">
        <v>3114</v>
      </c>
      <c r="E534" s="11" t="s">
        <v>2621</v>
      </c>
      <c r="F534" s="11" t="s">
        <v>2983</v>
      </c>
      <c r="G534" s="11">
        <v>1672.44</v>
      </c>
      <c r="H534" s="11" t="s">
        <v>2623</v>
      </c>
      <c r="I534" s="11" t="s">
        <v>1411</v>
      </c>
      <c r="J534" s="11">
        <v>28</v>
      </c>
      <c r="K534" s="11">
        <v>1306.57</v>
      </c>
      <c r="L534" s="11">
        <v>0</v>
      </c>
      <c r="M534" s="11">
        <v>182.92</v>
      </c>
      <c r="N534" s="11">
        <v>182.92</v>
      </c>
      <c r="O534" s="11">
        <v>0</v>
      </c>
      <c r="P534" s="11" t="s">
        <v>2624</v>
      </c>
    </row>
    <row r="535" spans="1:16" x14ac:dyDescent="0.2">
      <c r="A535" s="52">
        <v>43617</v>
      </c>
      <c r="B535" s="11" t="s">
        <v>555</v>
      </c>
      <c r="C535" s="11" t="s">
        <v>2762</v>
      </c>
      <c r="D535" s="11" t="s">
        <v>3115</v>
      </c>
      <c r="E535" s="11" t="s">
        <v>2621</v>
      </c>
      <c r="F535" s="11" t="s">
        <v>2976</v>
      </c>
      <c r="G535" s="11">
        <v>7116.8</v>
      </c>
      <c r="H535" s="11" t="s">
        <v>2623</v>
      </c>
      <c r="I535" s="11" t="s">
        <v>1411</v>
      </c>
      <c r="J535" s="11">
        <v>28</v>
      </c>
      <c r="K535" s="11">
        <v>5560</v>
      </c>
      <c r="L535" s="11">
        <v>0</v>
      </c>
      <c r="M535" s="11">
        <v>778.4</v>
      </c>
      <c r="N535" s="11">
        <v>778.4</v>
      </c>
      <c r="O535" s="11">
        <v>0</v>
      </c>
      <c r="P535" s="11" t="s">
        <v>2624</v>
      </c>
    </row>
    <row r="536" spans="1:16" x14ac:dyDescent="0.2">
      <c r="A536" s="52">
        <v>43617</v>
      </c>
      <c r="B536" s="11" t="s">
        <v>555</v>
      </c>
      <c r="C536" s="11" t="s">
        <v>2762</v>
      </c>
      <c r="D536" s="11" t="s">
        <v>3116</v>
      </c>
      <c r="E536" s="11" t="s">
        <v>2621</v>
      </c>
      <c r="F536" s="11" t="s">
        <v>2976</v>
      </c>
      <c r="G536" s="11">
        <v>6049.28</v>
      </c>
      <c r="H536" s="11" t="s">
        <v>2623</v>
      </c>
      <c r="I536" s="11" t="s">
        <v>1411</v>
      </c>
      <c r="J536" s="11">
        <v>28</v>
      </c>
      <c r="K536" s="11">
        <v>4726</v>
      </c>
      <c r="L536" s="11">
        <v>0</v>
      </c>
      <c r="M536" s="11">
        <v>661.64</v>
      </c>
      <c r="N536" s="11">
        <v>661.64</v>
      </c>
      <c r="O536" s="11">
        <v>0</v>
      </c>
      <c r="P536" s="11" t="s">
        <v>2624</v>
      </c>
    </row>
    <row r="537" spans="1:16" x14ac:dyDescent="0.2">
      <c r="A537" s="52">
        <v>43617</v>
      </c>
      <c r="B537" s="11" t="s">
        <v>555</v>
      </c>
      <c r="C537" s="11" t="s">
        <v>2762</v>
      </c>
      <c r="D537" s="11" t="s">
        <v>3117</v>
      </c>
      <c r="E537" s="11" t="s">
        <v>2621</v>
      </c>
      <c r="F537" s="11" t="s">
        <v>2931</v>
      </c>
      <c r="G537" s="11">
        <v>9963.52</v>
      </c>
      <c r="H537" s="11" t="s">
        <v>2623</v>
      </c>
      <c r="I537" s="11" t="s">
        <v>1411</v>
      </c>
      <c r="J537" s="11">
        <v>28</v>
      </c>
      <c r="K537" s="11">
        <v>7784</v>
      </c>
      <c r="L537" s="11">
        <v>0</v>
      </c>
      <c r="M537" s="11">
        <v>1089.76</v>
      </c>
      <c r="N537" s="11">
        <v>1089.76</v>
      </c>
      <c r="O537" s="11">
        <v>0</v>
      </c>
      <c r="P537" s="11" t="s">
        <v>2624</v>
      </c>
    </row>
    <row r="538" spans="1:16" x14ac:dyDescent="0.2">
      <c r="A538" s="52">
        <v>43617</v>
      </c>
      <c r="B538" s="11" t="s">
        <v>555</v>
      </c>
      <c r="C538" s="11" t="s">
        <v>2762</v>
      </c>
      <c r="D538" s="11" t="s">
        <v>3118</v>
      </c>
      <c r="E538" s="11" t="s">
        <v>2621</v>
      </c>
      <c r="F538" s="11" t="s">
        <v>2931</v>
      </c>
      <c r="G538" s="11">
        <v>5693.44</v>
      </c>
      <c r="H538" s="11" t="s">
        <v>2623</v>
      </c>
      <c r="I538" s="11" t="s">
        <v>1411</v>
      </c>
      <c r="J538" s="11">
        <v>28</v>
      </c>
      <c r="K538" s="11">
        <v>4448</v>
      </c>
      <c r="L538" s="11">
        <v>0</v>
      </c>
      <c r="M538" s="11">
        <v>622.72</v>
      </c>
      <c r="N538" s="11">
        <v>622.72</v>
      </c>
      <c r="O538" s="11">
        <v>0</v>
      </c>
      <c r="P538" s="11" t="s">
        <v>2624</v>
      </c>
    </row>
    <row r="539" spans="1:16" x14ac:dyDescent="0.2">
      <c r="A539" s="52">
        <v>43617</v>
      </c>
      <c r="B539" s="11" t="s">
        <v>555</v>
      </c>
      <c r="C539" s="11" t="s">
        <v>2762</v>
      </c>
      <c r="D539" s="11" t="s">
        <v>3119</v>
      </c>
      <c r="E539" s="11" t="s">
        <v>2621</v>
      </c>
      <c r="F539" s="11" t="s">
        <v>2959</v>
      </c>
      <c r="G539" s="11">
        <v>9607.68</v>
      </c>
      <c r="H539" s="11" t="s">
        <v>2623</v>
      </c>
      <c r="I539" s="11" t="s">
        <v>1411</v>
      </c>
      <c r="J539" s="11">
        <v>28</v>
      </c>
      <c r="K539" s="11">
        <v>7506</v>
      </c>
      <c r="L539" s="11">
        <v>0</v>
      </c>
      <c r="M539" s="11">
        <v>1050.8399999999999</v>
      </c>
      <c r="N539" s="11">
        <v>1050.8399999999999</v>
      </c>
      <c r="O539" s="11">
        <v>0</v>
      </c>
      <c r="P539" s="11" t="s">
        <v>2624</v>
      </c>
    </row>
    <row r="540" spans="1:16" x14ac:dyDescent="0.2">
      <c r="A540" s="52">
        <v>43617</v>
      </c>
      <c r="B540" s="11" t="s">
        <v>555</v>
      </c>
      <c r="C540" s="11" t="s">
        <v>2762</v>
      </c>
      <c r="D540" s="11" t="s">
        <v>3120</v>
      </c>
      <c r="E540" s="11" t="s">
        <v>2621</v>
      </c>
      <c r="F540" s="11" t="s">
        <v>2959</v>
      </c>
      <c r="G540" s="11">
        <v>3914.24</v>
      </c>
      <c r="H540" s="11" t="s">
        <v>2623</v>
      </c>
      <c r="I540" s="11" t="s">
        <v>1411</v>
      </c>
      <c r="J540" s="11">
        <v>28</v>
      </c>
      <c r="K540" s="11">
        <v>3058</v>
      </c>
      <c r="L540" s="11">
        <v>0</v>
      </c>
      <c r="M540" s="11">
        <v>428.12</v>
      </c>
      <c r="N540" s="11">
        <v>428.12</v>
      </c>
      <c r="O540" s="11">
        <v>0</v>
      </c>
      <c r="P540" s="11" t="s">
        <v>2624</v>
      </c>
    </row>
    <row r="541" spans="1:16" x14ac:dyDescent="0.2">
      <c r="A541" s="52">
        <v>43617</v>
      </c>
      <c r="B541" s="11" t="s">
        <v>555</v>
      </c>
      <c r="C541" s="11" t="s">
        <v>2762</v>
      </c>
      <c r="D541" s="11" t="s">
        <v>3121</v>
      </c>
      <c r="E541" s="11" t="s">
        <v>2621</v>
      </c>
      <c r="F541" s="11" t="s">
        <v>2959</v>
      </c>
      <c r="G541" s="11">
        <v>5479.68</v>
      </c>
      <c r="H541" s="11" t="s">
        <v>2623</v>
      </c>
      <c r="I541" s="11" t="s">
        <v>1411</v>
      </c>
      <c r="J541" s="11">
        <v>28</v>
      </c>
      <c r="K541" s="11">
        <v>4281</v>
      </c>
      <c r="L541" s="11">
        <v>0</v>
      </c>
      <c r="M541" s="11">
        <v>599.34</v>
      </c>
      <c r="N541" s="11">
        <v>599.34</v>
      </c>
      <c r="O541" s="11">
        <v>0</v>
      </c>
      <c r="P541" s="11" t="s">
        <v>2624</v>
      </c>
    </row>
    <row r="542" spans="1:16" x14ac:dyDescent="0.2">
      <c r="A542" s="52">
        <v>43617</v>
      </c>
      <c r="B542" s="11" t="s">
        <v>555</v>
      </c>
      <c r="C542" s="11" t="s">
        <v>2762</v>
      </c>
      <c r="D542" s="11" t="s">
        <v>3122</v>
      </c>
      <c r="E542" s="11" t="s">
        <v>2621</v>
      </c>
      <c r="F542" s="11" t="s">
        <v>2959</v>
      </c>
      <c r="G542" s="11">
        <v>5195.5200000000004</v>
      </c>
      <c r="H542" s="11" t="s">
        <v>2623</v>
      </c>
      <c r="I542" s="11" t="s">
        <v>1411</v>
      </c>
      <c r="J542" s="11">
        <v>28</v>
      </c>
      <c r="K542" s="11">
        <v>4059</v>
      </c>
      <c r="L542" s="11">
        <v>0</v>
      </c>
      <c r="M542" s="11">
        <v>568.26</v>
      </c>
      <c r="N542" s="11">
        <v>568.26</v>
      </c>
      <c r="O542" s="11">
        <v>0</v>
      </c>
      <c r="P542" s="11" t="s">
        <v>2624</v>
      </c>
    </row>
    <row r="543" spans="1:16" x14ac:dyDescent="0.2">
      <c r="A543" s="52">
        <v>43617</v>
      </c>
      <c r="B543" s="11" t="s">
        <v>555</v>
      </c>
      <c r="C543" s="11" t="s">
        <v>2762</v>
      </c>
      <c r="D543" s="11" t="s">
        <v>3123</v>
      </c>
      <c r="E543" s="11" t="s">
        <v>2621</v>
      </c>
      <c r="F543" s="11" t="s">
        <v>3124</v>
      </c>
      <c r="G543" s="11">
        <v>2490.88</v>
      </c>
      <c r="H543" s="11" t="s">
        <v>2623</v>
      </c>
      <c r="I543" s="11" t="s">
        <v>1411</v>
      </c>
      <c r="J543" s="11">
        <v>28</v>
      </c>
      <c r="K543" s="11">
        <v>1946</v>
      </c>
      <c r="L543" s="11">
        <v>0</v>
      </c>
      <c r="M543" s="11">
        <v>272.44</v>
      </c>
      <c r="N543" s="11">
        <v>272.44</v>
      </c>
      <c r="O543" s="11">
        <v>0</v>
      </c>
      <c r="P543" s="11" t="s">
        <v>2624</v>
      </c>
    </row>
    <row r="544" spans="1:16" x14ac:dyDescent="0.2">
      <c r="A544" s="52">
        <v>43617</v>
      </c>
      <c r="B544" s="11" t="s">
        <v>555</v>
      </c>
      <c r="C544" s="11" t="s">
        <v>2762</v>
      </c>
      <c r="D544" s="11" t="s">
        <v>3125</v>
      </c>
      <c r="E544" s="11" t="s">
        <v>2621</v>
      </c>
      <c r="F544" s="11" t="s">
        <v>2936</v>
      </c>
      <c r="G544" s="11">
        <v>9118.7199999999993</v>
      </c>
      <c r="H544" s="11" t="s">
        <v>2623</v>
      </c>
      <c r="I544" s="11" t="s">
        <v>1411</v>
      </c>
      <c r="J544" s="11">
        <v>28</v>
      </c>
      <c r="K544" s="11">
        <v>7124</v>
      </c>
      <c r="L544" s="11">
        <v>0</v>
      </c>
      <c r="M544" s="11">
        <v>997.36</v>
      </c>
      <c r="N544" s="11">
        <v>997.36</v>
      </c>
      <c r="O544" s="11">
        <v>0</v>
      </c>
      <c r="P544" s="11" t="s">
        <v>2624</v>
      </c>
    </row>
    <row r="545" spans="1:16" x14ac:dyDescent="0.2">
      <c r="A545" s="52">
        <v>43617</v>
      </c>
      <c r="B545" s="11" t="s">
        <v>555</v>
      </c>
      <c r="C545" s="11" t="s">
        <v>2762</v>
      </c>
      <c r="D545" s="11" t="s">
        <v>3126</v>
      </c>
      <c r="E545" s="11" t="s">
        <v>2621</v>
      </c>
      <c r="F545" s="11" t="s">
        <v>2936</v>
      </c>
      <c r="G545" s="11">
        <v>5039.1000000000004</v>
      </c>
      <c r="H545" s="11" t="s">
        <v>2623</v>
      </c>
      <c r="I545" s="11" t="s">
        <v>1411</v>
      </c>
      <c r="J545" s="11">
        <v>28</v>
      </c>
      <c r="K545" s="11">
        <v>3936.79</v>
      </c>
      <c r="L545" s="11">
        <v>0</v>
      </c>
      <c r="M545" s="11">
        <v>551.15</v>
      </c>
      <c r="N545" s="11">
        <v>551.15</v>
      </c>
      <c r="O545" s="11">
        <v>0</v>
      </c>
      <c r="P545" s="11" t="s">
        <v>2624</v>
      </c>
    </row>
    <row r="546" spans="1:16" x14ac:dyDescent="0.2">
      <c r="A546" s="52">
        <v>43617</v>
      </c>
      <c r="B546" s="11" t="s">
        <v>555</v>
      </c>
      <c r="C546" s="11" t="s">
        <v>2762</v>
      </c>
      <c r="D546" s="11" t="s">
        <v>3127</v>
      </c>
      <c r="E546" s="11" t="s">
        <v>2621</v>
      </c>
      <c r="F546" s="11" t="s">
        <v>2968</v>
      </c>
      <c r="G546" s="11">
        <v>6176.45</v>
      </c>
      <c r="H546" s="11" t="s">
        <v>2623</v>
      </c>
      <c r="I546" s="11" t="s">
        <v>1411</v>
      </c>
      <c r="J546" s="11">
        <v>28</v>
      </c>
      <c r="K546" s="11">
        <v>4825.3599999999997</v>
      </c>
      <c r="L546" s="11">
        <v>0</v>
      </c>
      <c r="M546" s="11">
        <v>675.55</v>
      </c>
      <c r="N546" s="11">
        <v>675.55</v>
      </c>
      <c r="O546" s="11">
        <v>0</v>
      </c>
      <c r="P546" s="11" t="s">
        <v>2624</v>
      </c>
    </row>
    <row r="547" spans="1:16" x14ac:dyDescent="0.2">
      <c r="A547" s="52">
        <v>43617</v>
      </c>
      <c r="B547" s="11" t="s">
        <v>555</v>
      </c>
      <c r="C547" s="11" t="s">
        <v>2762</v>
      </c>
      <c r="D547" s="11" t="s">
        <v>3128</v>
      </c>
      <c r="E547" s="11" t="s">
        <v>2621</v>
      </c>
      <c r="F547" s="11" t="s">
        <v>2932</v>
      </c>
      <c r="G547" s="11">
        <v>5100.8</v>
      </c>
      <c r="H547" s="11" t="s">
        <v>2623</v>
      </c>
      <c r="I547" s="11" t="s">
        <v>1411</v>
      </c>
      <c r="J547" s="11">
        <v>28</v>
      </c>
      <c r="K547" s="11">
        <v>3985</v>
      </c>
      <c r="L547" s="11">
        <v>0</v>
      </c>
      <c r="M547" s="11">
        <v>557.9</v>
      </c>
      <c r="N547" s="11">
        <v>557.9</v>
      </c>
      <c r="O547" s="11">
        <v>0</v>
      </c>
      <c r="P547" s="11" t="s">
        <v>2624</v>
      </c>
    </row>
    <row r="548" spans="1:16" x14ac:dyDescent="0.2">
      <c r="A548" s="52">
        <v>43617</v>
      </c>
      <c r="B548" s="11" t="s">
        <v>555</v>
      </c>
      <c r="C548" s="11" t="s">
        <v>2762</v>
      </c>
      <c r="D548" s="11" t="s">
        <v>3129</v>
      </c>
      <c r="E548" s="11" t="s">
        <v>2621</v>
      </c>
      <c r="F548" s="11" t="s">
        <v>3010</v>
      </c>
      <c r="G548" s="11">
        <v>5796.48</v>
      </c>
      <c r="H548" s="11" t="s">
        <v>2623</v>
      </c>
      <c r="I548" s="11" t="s">
        <v>1411</v>
      </c>
      <c r="J548" s="11">
        <v>28</v>
      </c>
      <c r="K548" s="11">
        <v>4528.5</v>
      </c>
      <c r="L548" s="11">
        <v>0</v>
      </c>
      <c r="M548" s="11">
        <v>633.99</v>
      </c>
      <c r="N548" s="11">
        <v>633.99</v>
      </c>
      <c r="O548" s="11">
        <v>0</v>
      </c>
      <c r="P548" s="11" t="s">
        <v>2624</v>
      </c>
    </row>
    <row r="549" spans="1:16" x14ac:dyDescent="0.2">
      <c r="A549" s="52">
        <v>43617</v>
      </c>
      <c r="B549" s="11" t="s">
        <v>555</v>
      </c>
      <c r="C549" s="11" t="s">
        <v>2762</v>
      </c>
      <c r="D549" s="11" t="s">
        <v>3130</v>
      </c>
      <c r="E549" s="11" t="s">
        <v>2621</v>
      </c>
      <c r="F549" s="11" t="s">
        <v>3010</v>
      </c>
      <c r="G549" s="11">
        <v>4519.04</v>
      </c>
      <c r="H549" s="11" t="s">
        <v>2623</v>
      </c>
      <c r="I549" s="11" t="s">
        <v>1411</v>
      </c>
      <c r="J549" s="11">
        <v>28</v>
      </c>
      <c r="K549" s="11">
        <v>3530.5</v>
      </c>
      <c r="L549" s="11">
        <v>0</v>
      </c>
      <c r="M549" s="11">
        <v>494.27</v>
      </c>
      <c r="N549" s="11">
        <v>494.27</v>
      </c>
      <c r="O549" s="11">
        <v>0</v>
      </c>
      <c r="P549" s="11" t="s">
        <v>2624</v>
      </c>
    </row>
    <row r="550" spans="1:16" x14ac:dyDescent="0.2">
      <c r="A550" s="52">
        <v>43617</v>
      </c>
      <c r="B550" s="11" t="s">
        <v>555</v>
      </c>
      <c r="C550" s="11" t="s">
        <v>2762</v>
      </c>
      <c r="D550" s="11" t="s">
        <v>3131</v>
      </c>
      <c r="E550" s="11" t="s">
        <v>2621</v>
      </c>
      <c r="F550" s="11" t="s">
        <v>3024</v>
      </c>
      <c r="G550" s="11">
        <v>5241.6000000000004</v>
      </c>
      <c r="H550" s="11" t="s">
        <v>2623</v>
      </c>
      <c r="I550" s="11" t="s">
        <v>1411</v>
      </c>
      <c r="J550" s="11">
        <v>28</v>
      </c>
      <c r="K550" s="11">
        <v>4095</v>
      </c>
      <c r="L550" s="11">
        <v>0</v>
      </c>
      <c r="M550" s="11">
        <v>573.29999999999995</v>
      </c>
      <c r="N550" s="11">
        <v>573.29999999999995</v>
      </c>
      <c r="O550" s="11">
        <v>0</v>
      </c>
      <c r="P550" s="11" t="s">
        <v>2624</v>
      </c>
    </row>
    <row r="551" spans="1:16" x14ac:dyDescent="0.2">
      <c r="A551" s="52">
        <v>43617</v>
      </c>
      <c r="B551" s="11" t="s">
        <v>555</v>
      </c>
      <c r="C551" s="11" t="s">
        <v>2762</v>
      </c>
      <c r="D551" s="11" t="s">
        <v>3132</v>
      </c>
      <c r="E551" s="11" t="s">
        <v>2621</v>
      </c>
      <c r="F551" s="11" t="s">
        <v>3024</v>
      </c>
      <c r="G551" s="11">
        <v>616.96</v>
      </c>
      <c r="H551" s="11" t="s">
        <v>2623</v>
      </c>
      <c r="I551" s="11" t="s">
        <v>1411</v>
      </c>
      <c r="J551" s="11">
        <v>28</v>
      </c>
      <c r="K551" s="11">
        <v>482</v>
      </c>
      <c r="L551" s="11">
        <v>0</v>
      </c>
      <c r="M551" s="11">
        <v>67.48</v>
      </c>
      <c r="N551" s="11">
        <v>67.48</v>
      </c>
      <c r="O551" s="11">
        <v>0</v>
      </c>
      <c r="P551" s="11" t="s">
        <v>2624</v>
      </c>
    </row>
    <row r="552" spans="1:16" x14ac:dyDescent="0.2">
      <c r="A552" s="52">
        <v>43617</v>
      </c>
      <c r="B552" s="11" t="s">
        <v>555</v>
      </c>
      <c r="C552" s="11" t="s">
        <v>2762</v>
      </c>
      <c r="D552" s="11" t="s">
        <v>3133</v>
      </c>
      <c r="E552" s="11" t="s">
        <v>2621</v>
      </c>
      <c r="F552" s="11" t="s">
        <v>3024</v>
      </c>
      <c r="G552" s="11">
        <v>6808.32</v>
      </c>
      <c r="H552" s="11" t="s">
        <v>2623</v>
      </c>
      <c r="I552" s="11" t="s">
        <v>1411</v>
      </c>
      <c r="J552" s="11">
        <v>28</v>
      </c>
      <c r="K552" s="11">
        <v>5319</v>
      </c>
      <c r="L552" s="11">
        <v>0</v>
      </c>
      <c r="M552" s="11">
        <v>744.66</v>
      </c>
      <c r="N552" s="11">
        <v>744.66</v>
      </c>
      <c r="O552" s="11">
        <v>0</v>
      </c>
      <c r="P552" s="11" t="s">
        <v>2624</v>
      </c>
    </row>
    <row r="553" spans="1:16" x14ac:dyDescent="0.2">
      <c r="A553" s="52">
        <v>43617</v>
      </c>
      <c r="B553" s="11" t="s">
        <v>555</v>
      </c>
      <c r="C553" s="11" t="s">
        <v>2762</v>
      </c>
      <c r="D553" s="11" t="s">
        <v>3134</v>
      </c>
      <c r="E553" s="11" t="s">
        <v>2621</v>
      </c>
      <c r="F553" s="11" t="s">
        <v>3013</v>
      </c>
      <c r="G553" s="11">
        <v>3249.92</v>
      </c>
      <c r="H553" s="11" t="s">
        <v>2623</v>
      </c>
      <c r="I553" s="11" t="s">
        <v>1411</v>
      </c>
      <c r="J553" s="11">
        <v>28</v>
      </c>
      <c r="K553" s="11">
        <v>2539</v>
      </c>
      <c r="L553" s="11">
        <v>0</v>
      </c>
      <c r="M553" s="11">
        <v>355.46</v>
      </c>
      <c r="N553" s="11">
        <v>355.46</v>
      </c>
      <c r="O553" s="11">
        <v>0</v>
      </c>
      <c r="P553" s="11" t="s">
        <v>2624</v>
      </c>
    </row>
    <row r="554" spans="1:16" x14ac:dyDescent="0.2">
      <c r="A554" s="52">
        <v>43617</v>
      </c>
      <c r="B554" s="11" t="s">
        <v>555</v>
      </c>
      <c r="C554" s="11" t="s">
        <v>2762</v>
      </c>
      <c r="D554" s="11" t="s">
        <v>3135</v>
      </c>
      <c r="E554" s="11" t="s">
        <v>2621</v>
      </c>
      <c r="F554" s="11" t="s">
        <v>3013</v>
      </c>
      <c r="G554" s="11">
        <v>3309.44</v>
      </c>
      <c r="H554" s="11" t="s">
        <v>2623</v>
      </c>
      <c r="I554" s="11" t="s">
        <v>1411</v>
      </c>
      <c r="J554" s="11">
        <v>28</v>
      </c>
      <c r="K554" s="11">
        <v>2585.5</v>
      </c>
      <c r="L554" s="11">
        <v>0</v>
      </c>
      <c r="M554" s="11">
        <v>361.97</v>
      </c>
      <c r="N554" s="11">
        <v>361.97</v>
      </c>
      <c r="O554" s="11">
        <v>0</v>
      </c>
      <c r="P554" s="11" t="s">
        <v>2624</v>
      </c>
    </row>
    <row r="555" spans="1:16" x14ac:dyDescent="0.2">
      <c r="A555" s="52">
        <v>43617</v>
      </c>
      <c r="B555" s="11" t="s">
        <v>555</v>
      </c>
      <c r="C555" s="11" t="s">
        <v>2762</v>
      </c>
      <c r="D555" s="11" t="s">
        <v>3136</v>
      </c>
      <c r="E555" s="11" t="s">
        <v>2621</v>
      </c>
      <c r="F555" s="11" t="s">
        <v>3013</v>
      </c>
      <c r="G555" s="11">
        <v>5411.2</v>
      </c>
      <c r="H555" s="11" t="s">
        <v>2623</v>
      </c>
      <c r="I555" s="11" t="s">
        <v>1411</v>
      </c>
      <c r="J555" s="11">
        <v>28</v>
      </c>
      <c r="K555" s="11">
        <v>4227.5</v>
      </c>
      <c r="L555" s="11">
        <v>0</v>
      </c>
      <c r="M555" s="11">
        <v>591.85</v>
      </c>
      <c r="N555" s="11">
        <v>591.85</v>
      </c>
      <c r="O555" s="11">
        <v>0</v>
      </c>
      <c r="P555" s="11" t="s">
        <v>2624</v>
      </c>
    </row>
    <row r="556" spans="1:16" x14ac:dyDescent="0.2">
      <c r="A556" s="52">
        <v>43617</v>
      </c>
      <c r="B556" s="11" t="s">
        <v>762</v>
      </c>
      <c r="C556" s="11" t="s">
        <v>3392</v>
      </c>
      <c r="D556" s="11" t="s">
        <v>3393</v>
      </c>
      <c r="E556" s="11" t="s">
        <v>2621</v>
      </c>
      <c r="F556" s="11" t="s">
        <v>2983</v>
      </c>
      <c r="G556" s="11">
        <v>4956</v>
      </c>
      <c r="H556" s="11" t="s">
        <v>2623</v>
      </c>
      <c r="I556" s="11" t="s">
        <v>1411</v>
      </c>
      <c r="J556" s="11">
        <v>18</v>
      </c>
      <c r="K556" s="11">
        <v>4200</v>
      </c>
      <c r="L556" s="11">
        <v>0</v>
      </c>
      <c r="M556" s="11">
        <v>378</v>
      </c>
      <c r="N556" s="11">
        <v>378</v>
      </c>
      <c r="O556" s="11">
        <v>0</v>
      </c>
      <c r="P556" s="11" t="s">
        <v>2624</v>
      </c>
    </row>
    <row r="557" spans="1:16" x14ac:dyDescent="0.2">
      <c r="A557" s="52">
        <v>43617</v>
      </c>
      <c r="B557" s="11" t="s">
        <v>480</v>
      </c>
      <c r="C557" s="11" t="s">
        <v>2766</v>
      </c>
      <c r="D557" s="11" t="s">
        <v>3061</v>
      </c>
      <c r="E557" s="11" t="s">
        <v>2621</v>
      </c>
      <c r="F557" s="11" t="s">
        <v>2983</v>
      </c>
      <c r="G557" s="11">
        <v>1528</v>
      </c>
      <c r="H557" s="11" t="s">
        <v>2623</v>
      </c>
      <c r="I557" s="11" t="s">
        <v>1411</v>
      </c>
      <c r="J557" s="11">
        <v>18</v>
      </c>
      <c r="K557" s="11">
        <v>1295</v>
      </c>
      <c r="L557" s="11">
        <v>0</v>
      </c>
      <c r="M557" s="11">
        <v>116.55</v>
      </c>
      <c r="N557" s="11">
        <v>116.55</v>
      </c>
      <c r="O557" s="11">
        <v>0</v>
      </c>
      <c r="P557" s="11" t="s">
        <v>2624</v>
      </c>
    </row>
    <row r="558" spans="1:16" x14ac:dyDescent="0.2">
      <c r="A558" s="52">
        <v>43617</v>
      </c>
      <c r="B558" s="11" t="s">
        <v>480</v>
      </c>
      <c r="C558" s="11" t="s">
        <v>2766</v>
      </c>
      <c r="D558" s="11" t="s">
        <v>3137</v>
      </c>
      <c r="E558" s="11" t="s">
        <v>2621</v>
      </c>
      <c r="F558" s="11" t="s">
        <v>2932</v>
      </c>
      <c r="G558" s="11">
        <v>308</v>
      </c>
      <c r="H558" s="11" t="s">
        <v>2623</v>
      </c>
      <c r="I558" s="11" t="s">
        <v>1411</v>
      </c>
      <c r="J558" s="11">
        <v>18</v>
      </c>
      <c r="K558" s="11">
        <v>261.3</v>
      </c>
      <c r="L558" s="11">
        <v>0</v>
      </c>
      <c r="M558" s="11">
        <v>23.52</v>
      </c>
      <c r="N558" s="11">
        <v>23.52</v>
      </c>
      <c r="O558" s="11">
        <v>0</v>
      </c>
      <c r="P558" s="11" t="s">
        <v>2624</v>
      </c>
    </row>
    <row r="559" spans="1:16" x14ac:dyDescent="0.2">
      <c r="A559" s="52"/>
      <c r="G559" s="11"/>
      <c r="K559" s="11"/>
      <c r="L559" s="11"/>
      <c r="M559" s="11"/>
      <c r="N559" s="11"/>
      <c r="O559" s="11"/>
    </row>
    <row r="560" spans="1:16" x14ac:dyDescent="0.2">
      <c r="A560" s="52">
        <v>43647</v>
      </c>
      <c r="B560" s="11" t="s">
        <v>614</v>
      </c>
      <c r="C560" s="11" t="s">
        <v>2771</v>
      </c>
      <c r="D560" s="11" t="s">
        <v>3138</v>
      </c>
      <c r="E560" s="11" t="s">
        <v>2621</v>
      </c>
      <c r="F560" s="11" t="s">
        <v>3139</v>
      </c>
      <c r="G560" s="11">
        <v>37170</v>
      </c>
      <c r="H560" s="11" t="s">
        <v>2623</v>
      </c>
      <c r="I560" s="11" t="s">
        <v>1411</v>
      </c>
      <c r="J560" s="11">
        <v>18</v>
      </c>
      <c r="K560" s="11">
        <v>31500</v>
      </c>
      <c r="L560" s="11">
        <v>0</v>
      </c>
      <c r="M560" s="11">
        <v>2835</v>
      </c>
      <c r="N560" s="11">
        <v>2835</v>
      </c>
      <c r="O560" s="11">
        <v>0</v>
      </c>
      <c r="P560" s="11" t="s">
        <v>2624</v>
      </c>
    </row>
    <row r="561" spans="1:16" x14ac:dyDescent="0.2">
      <c r="A561" s="52">
        <v>43647</v>
      </c>
      <c r="B561" s="11" t="s">
        <v>851</v>
      </c>
      <c r="C561" s="11" t="s">
        <v>3140</v>
      </c>
      <c r="D561" s="11" t="s">
        <v>852</v>
      </c>
      <c r="E561" s="11" t="s">
        <v>2621</v>
      </c>
      <c r="F561" s="11" t="s">
        <v>3141</v>
      </c>
      <c r="G561" s="11">
        <v>4460</v>
      </c>
      <c r="H561" s="11" t="s">
        <v>2623</v>
      </c>
      <c r="I561" s="11" t="s">
        <v>1411</v>
      </c>
      <c r="J561" s="11">
        <v>18</v>
      </c>
      <c r="K561" s="11">
        <v>3780</v>
      </c>
      <c r="L561" s="11">
        <v>0</v>
      </c>
      <c r="M561" s="11">
        <v>340.2</v>
      </c>
      <c r="N561" s="11">
        <v>340.2</v>
      </c>
      <c r="O561" s="11">
        <v>0</v>
      </c>
      <c r="P561" s="11" t="s">
        <v>2624</v>
      </c>
    </row>
    <row r="562" spans="1:16" x14ac:dyDescent="0.2">
      <c r="A562" s="52">
        <v>43647</v>
      </c>
      <c r="B562" s="11" t="s">
        <v>530</v>
      </c>
      <c r="C562" s="11" t="s">
        <v>2620</v>
      </c>
      <c r="D562" s="11" t="s">
        <v>821</v>
      </c>
      <c r="E562" s="11" t="s">
        <v>2621</v>
      </c>
      <c r="F562" s="11" t="s">
        <v>3142</v>
      </c>
      <c r="G562" s="11">
        <v>11407.3</v>
      </c>
      <c r="H562" s="11" t="s">
        <v>2623</v>
      </c>
      <c r="I562" s="11" t="s">
        <v>1411</v>
      </c>
      <c r="J562" s="11">
        <v>18</v>
      </c>
      <c r="K562" s="11">
        <v>9667.2000000000007</v>
      </c>
      <c r="L562" s="11">
        <v>0</v>
      </c>
      <c r="M562" s="11">
        <v>870.05</v>
      </c>
      <c r="N562" s="11">
        <v>870.05</v>
      </c>
      <c r="O562" s="11">
        <v>0</v>
      </c>
      <c r="P562" s="11" t="s">
        <v>2624</v>
      </c>
    </row>
    <row r="563" spans="1:16" x14ac:dyDescent="0.2">
      <c r="A563" s="52">
        <v>43647</v>
      </c>
      <c r="B563" s="11" t="s">
        <v>530</v>
      </c>
      <c r="C563" s="11" t="s">
        <v>2620</v>
      </c>
      <c r="D563" s="11" t="s">
        <v>822</v>
      </c>
      <c r="E563" s="11" t="s">
        <v>2621</v>
      </c>
      <c r="F563" s="11" t="s">
        <v>3142</v>
      </c>
      <c r="G563" s="11">
        <v>9534.4</v>
      </c>
      <c r="H563" s="11" t="s">
        <v>2623</v>
      </c>
      <c r="I563" s="11" t="s">
        <v>1411</v>
      </c>
      <c r="J563" s="11">
        <v>18</v>
      </c>
      <c r="K563" s="11">
        <v>8080</v>
      </c>
      <c r="L563" s="11">
        <v>0</v>
      </c>
      <c r="M563" s="11">
        <v>727.2</v>
      </c>
      <c r="N563" s="11">
        <v>727.2</v>
      </c>
      <c r="O563" s="11">
        <v>0</v>
      </c>
      <c r="P563" s="11" t="s">
        <v>2624</v>
      </c>
    </row>
    <row r="564" spans="1:16" x14ac:dyDescent="0.2">
      <c r="A564" s="52">
        <v>43647</v>
      </c>
      <c r="B564" s="11" t="s">
        <v>530</v>
      </c>
      <c r="C564" s="11" t="s">
        <v>2620</v>
      </c>
      <c r="D564" s="11" t="s">
        <v>856</v>
      </c>
      <c r="E564" s="11" t="s">
        <v>2621</v>
      </c>
      <c r="F564" s="11" t="s">
        <v>3143</v>
      </c>
      <c r="G564" s="11">
        <v>33040</v>
      </c>
      <c r="H564" s="11" t="s">
        <v>2623</v>
      </c>
      <c r="I564" s="11" t="s">
        <v>1411</v>
      </c>
      <c r="J564" s="11">
        <v>18</v>
      </c>
      <c r="K564" s="11">
        <v>28000</v>
      </c>
      <c r="L564" s="11">
        <v>0</v>
      </c>
      <c r="M564" s="11">
        <v>2520</v>
      </c>
      <c r="N564" s="11">
        <v>2520</v>
      </c>
      <c r="O564" s="11">
        <v>0</v>
      </c>
      <c r="P564" s="11" t="s">
        <v>2624</v>
      </c>
    </row>
    <row r="565" spans="1:16" x14ac:dyDescent="0.2">
      <c r="A565" s="52">
        <v>43647</v>
      </c>
      <c r="B565" s="11" t="s">
        <v>477</v>
      </c>
      <c r="C565" s="11" t="s">
        <v>2625</v>
      </c>
      <c r="D565" s="11" t="s">
        <v>797</v>
      </c>
      <c r="E565" s="11" t="s">
        <v>2621</v>
      </c>
      <c r="F565" s="11" t="s">
        <v>3144</v>
      </c>
      <c r="G565" s="11">
        <v>482490</v>
      </c>
      <c r="H565" s="11" t="s">
        <v>2623</v>
      </c>
      <c r="I565" s="11" t="s">
        <v>1411</v>
      </c>
      <c r="J565" s="11">
        <v>28</v>
      </c>
      <c r="K565" s="11">
        <v>376945</v>
      </c>
      <c r="L565" s="11">
        <v>0</v>
      </c>
      <c r="M565" s="11">
        <v>52772.3</v>
      </c>
      <c r="N565" s="11">
        <v>52772.3</v>
      </c>
      <c r="O565" s="11">
        <v>0</v>
      </c>
      <c r="P565" s="11" t="s">
        <v>2624</v>
      </c>
    </row>
    <row r="566" spans="1:16" x14ac:dyDescent="0.2">
      <c r="A566" s="52">
        <v>43647</v>
      </c>
      <c r="B566" s="11" t="s">
        <v>477</v>
      </c>
      <c r="C566" s="11" t="s">
        <v>2625</v>
      </c>
      <c r="D566" s="11" t="s">
        <v>809</v>
      </c>
      <c r="E566" s="11" t="s">
        <v>2621</v>
      </c>
      <c r="F566" s="11" t="s">
        <v>3139</v>
      </c>
      <c r="G566" s="11">
        <v>47967</v>
      </c>
      <c r="H566" s="11" t="s">
        <v>2623</v>
      </c>
      <c r="I566" s="11" t="s">
        <v>1411</v>
      </c>
      <c r="J566" s="11">
        <v>18</v>
      </c>
      <c r="K566" s="11">
        <v>40650</v>
      </c>
      <c r="L566" s="11">
        <v>0</v>
      </c>
      <c r="M566" s="11">
        <v>3658.5</v>
      </c>
      <c r="N566" s="11">
        <v>3658.5</v>
      </c>
      <c r="O566" s="11">
        <v>0</v>
      </c>
      <c r="P566" s="11" t="s">
        <v>2624</v>
      </c>
    </row>
    <row r="567" spans="1:16" x14ac:dyDescent="0.2">
      <c r="A567" s="52">
        <v>43647</v>
      </c>
      <c r="B567" s="11" t="s">
        <v>838</v>
      </c>
      <c r="C567" s="11" t="s">
        <v>3145</v>
      </c>
      <c r="D567" s="11" t="s">
        <v>3146</v>
      </c>
      <c r="E567" s="11" t="s">
        <v>2621</v>
      </c>
      <c r="F567" s="11" t="s">
        <v>3147</v>
      </c>
      <c r="G567" s="11">
        <v>6962</v>
      </c>
      <c r="H567" s="11" t="s">
        <v>2623</v>
      </c>
      <c r="I567" s="11" t="s">
        <v>1411</v>
      </c>
      <c r="J567" s="11">
        <v>18</v>
      </c>
      <c r="K567" s="11">
        <v>5900</v>
      </c>
      <c r="L567" s="11">
        <v>0</v>
      </c>
      <c r="M567" s="11">
        <v>531</v>
      </c>
      <c r="N567" s="11">
        <v>531</v>
      </c>
      <c r="O567" s="11">
        <v>0</v>
      </c>
      <c r="P567" s="11" t="s">
        <v>2624</v>
      </c>
    </row>
    <row r="568" spans="1:16" x14ac:dyDescent="0.2">
      <c r="A568" s="52">
        <v>43647</v>
      </c>
      <c r="B568" s="11" t="s">
        <v>706</v>
      </c>
      <c r="C568" s="11" t="s">
        <v>2935</v>
      </c>
      <c r="D568" s="11" t="s">
        <v>771</v>
      </c>
      <c r="E568" s="11" t="s">
        <v>2621</v>
      </c>
      <c r="F568" s="11" t="s">
        <v>3144</v>
      </c>
      <c r="G568" s="11">
        <v>2752</v>
      </c>
      <c r="H568" s="11" t="s">
        <v>2623</v>
      </c>
      <c r="I568" s="11" t="s">
        <v>1411</v>
      </c>
      <c r="J568" s="11">
        <v>28</v>
      </c>
      <c r="K568" s="11">
        <v>2150</v>
      </c>
      <c r="L568" s="11">
        <v>0</v>
      </c>
      <c r="M568" s="11">
        <v>301</v>
      </c>
      <c r="N568" s="11">
        <v>301</v>
      </c>
      <c r="O568" s="11">
        <v>0</v>
      </c>
      <c r="P568" s="11" t="s">
        <v>2624</v>
      </c>
    </row>
    <row r="569" spans="1:16" x14ac:dyDescent="0.2">
      <c r="A569" s="52">
        <v>43647</v>
      </c>
      <c r="B569" s="11" t="s">
        <v>706</v>
      </c>
      <c r="C569" s="11" t="s">
        <v>2935</v>
      </c>
      <c r="D569" s="11" t="s">
        <v>802</v>
      </c>
      <c r="E569" s="11" t="s">
        <v>2621</v>
      </c>
      <c r="F569" s="11" t="s">
        <v>3148</v>
      </c>
      <c r="G569" s="11">
        <v>2752</v>
      </c>
      <c r="H569" s="11" t="s">
        <v>2623</v>
      </c>
      <c r="I569" s="11" t="s">
        <v>1411</v>
      </c>
      <c r="J569" s="11">
        <v>28</v>
      </c>
      <c r="K569" s="11">
        <v>2150</v>
      </c>
      <c r="L569" s="11">
        <v>0</v>
      </c>
      <c r="M569" s="11">
        <v>301</v>
      </c>
      <c r="N569" s="11">
        <v>301</v>
      </c>
      <c r="O569" s="11">
        <v>0</v>
      </c>
      <c r="P569" s="11" t="s">
        <v>2624</v>
      </c>
    </row>
    <row r="570" spans="1:16" x14ac:dyDescent="0.2">
      <c r="A570" s="52">
        <v>43647</v>
      </c>
      <c r="B570" s="11" t="s">
        <v>706</v>
      </c>
      <c r="C570" s="11" t="s">
        <v>2935</v>
      </c>
      <c r="D570" s="11" t="s">
        <v>827</v>
      </c>
      <c r="E570" s="11" t="s">
        <v>2621</v>
      </c>
      <c r="F570" s="11" t="s">
        <v>3149</v>
      </c>
      <c r="G570" s="11">
        <v>5504</v>
      </c>
      <c r="H570" s="11" t="s">
        <v>2623</v>
      </c>
      <c r="I570" s="11" t="s">
        <v>1411</v>
      </c>
      <c r="J570" s="11">
        <v>28</v>
      </c>
      <c r="K570" s="11">
        <v>4300</v>
      </c>
      <c r="L570" s="11">
        <v>0</v>
      </c>
      <c r="M570" s="11">
        <v>602</v>
      </c>
      <c r="N570" s="11">
        <v>602</v>
      </c>
      <c r="O570" s="11">
        <v>0</v>
      </c>
      <c r="P570" s="11" t="s">
        <v>2624</v>
      </c>
    </row>
    <row r="571" spans="1:16" x14ac:dyDescent="0.2">
      <c r="A571" s="52">
        <v>43647</v>
      </c>
      <c r="B571" s="11" t="s">
        <v>706</v>
      </c>
      <c r="C571" s="11" t="s">
        <v>2935</v>
      </c>
      <c r="D571" s="11" t="s">
        <v>828</v>
      </c>
      <c r="E571" s="11" t="s">
        <v>2621</v>
      </c>
      <c r="F571" s="11" t="s">
        <v>3149</v>
      </c>
      <c r="G571" s="11">
        <v>2752</v>
      </c>
      <c r="H571" s="11" t="s">
        <v>2623</v>
      </c>
      <c r="I571" s="11" t="s">
        <v>1411</v>
      </c>
      <c r="J571" s="11">
        <v>28</v>
      </c>
      <c r="K571" s="11">
        <v>2150</v>
      </c>
      <c r="L571" s="11">
        <v>0</v>
      </c>
      <c r="M571" s="11">
        <v>301</v>
      </c>
      <c r="N571" s="11">
        <v>301</v>
      </c>
      <c r="O571" s="11">
        <v>0</v>
      </c>
      <c r="P571" s="11" t="s">
        <v>2624</v>
      </c>
    </row>
    <row r="572" spans="1:16" x14ac:dyDescent="0.2">
      <c r="A572" s="52">
        <v>43647</v>
      </c>
      <c r="B572" s="11" t="s">
        <v>592</v>
      </c>
      <c r="C572" s="11" t="s">
        <v>2637</v>
      </c>
      <c r="D572" s="11" t="s">
        <v>3150</v>
      </c>
      <c r="E572" s="11" t="s">
        <v>2621</v>
      </c>
      <c r="F572" s="11" t="s">
        <v>3151</v>
      </c>
      <c r="G572" s="11">
        <v>50339</v>
      </c>
      <c r="H572" s="11" t="s">
        <v>2623</v>
      </c>
      <c r="I572" s="11" t="s">
        <v>1411</v>
      </c>
      <c r="J572" s="11">
        <v>18</v>
      </c>
      <c r="K572" s="11">
        <v>42660.2</v>
      </c>
      <c r="L572" s="11">
        <v>0</v>
      </c>
      <c r="M572" s="11">
        <v>3839.42</v>
      </c>
      <c r="N572" s="11">
        <v>3839.42</v>
      </c>
      <c r="O572" s="11">
        <v>0</v>
      </c>
      <c r="P572" s="11" t="s">
        <v>2624</v>
      </c>
    </row>
    <row r="573" spans="1:16" x14ac:dyDescent="0.2">
      <c r="A573" s="52">
        <v>43647</v>
      </c>
      <c r="B573" s="11" t="s">
        <v>592</v>
      </c>
      <c r="C573" s="11" t="s">
        <v>2637</v>
      </c>
      <c r="D573" s="11" t="s">
        <v>3152</v>
      </c>
      <c r="E573" s="11" t="s">
        <v>2621</v>
      </c>
      <c r="F573" s="11" t="s">
        <v>3153</v>
      </c>
      <c r="G573" s="11">
        <v>47790</v>
      </c>
      <c r="H573" s="11" t="s">
        <v>2623</v>
      </c>
      <c r="I573" s="11" t="s">
        <v>1411</v>
      </c>
      <c r="J573" s="11">
        <v>18</v>
      </c>
      <c r="K573" s="11">
        <v>40500</v>
      </c>
      <c r="L573" s="11">
        <v>0</v>
      </c>
      <c r="M573" s="11">
        <v>3645</v>
      </c>
      <c r="N573" s="11">
        <v>3645</v>
      </c>
      <c r="O573" s="11">
        <v>0</v>
      </c>
      <c r="P573" s="11" t="s">
        <v>2624</v>
      </c>
    </row>
    <row r="574" spans="1:16" x14ac:dyDescent="0.2">
      <c r="A574" s="52">
        <v>43647</v>
      </c>
      <c r="B574" s="11" t="s">
        <v>592</v>
      </c>
      <c r="C574" s="11" t="s">
        <v>2637</v>
      </c>
      <c r="D574" s="11" t="s">
        <v>3154</v>
      </c>
      <c r="E574" s="11" t="s">
        <v>2621</v>
      </c>
      <c r="F574" s="11" t="s">
        <v>3155</v>
      </c>
      <c r="G574" s="11">
        <v>31860</v>
      </c>
      <c r="H574" s="11" t="s">
        <v>2623</v>
      </c>
      <c r="I574" s="11" t="s">
        <v>1411</v>
      </c>
      <c r="J574" s="11">
        <v>18</v>
      </c>
      <c r="K574" s="11">
        <v>27000</v>
      </c>
      <c r="L574" s="11">
        <v>0</v>
      </c>
      <c r="M574" s="11">
        <v>2430</v>
      </c>
      <c r="N574" s="11">
        <v>2430</v>
      </c>
      <c r="O574" s="11">
        <v>0</v>
      </c>
      <c r="P574" s="11" t="s">
        <v>2624</v>
      </c>
    </row>
    <row r="575" spans="1:16" x14ac:dyDescent="0.2">
      <c r="A575" s="52">
        <v>43647</v>
      </c>
      <c r="B575" s="11" t="s">
        <v>592</v>
      </c>
      <c r="C575" s="11" t="s">
        <v>2637</v>
      </c>
      <c r="D575" s="11" t="s">
        <v>3156</v>
      </c>
      <c r="E575" s="11" t="s">
        <v>2621</v>
      </c>
      <c r="F575" s="11" t="s">
        <v>3155</v>
      </c>
      <c r="G575" s="11">
        <v>9747</v>
      </c>
      <c r="H575" s="11" t="s">
        <v>2623</v>
      </c>
      <c r="I575" s="11" t="s">
        <v>1411</v>
      </c>
      <c r="J575" s="11">
        <v>18</v>
      </c>
      <c r="K575" s="11">
        <v>8260.2000000000007</v>
      </c>
      <c r="L575" s="11">
        <v>0</v>
      </c>
      <c r="M575" s="11">
        <v>743.42</v>
      </c>
      <c r="N575" s="11">
        <v>743.42</v>
      </c>
      <c r="O575" s="11">
        <v>0</v>
      </c>
      <c r="P575" s="11" t="s">
        <v>2624</v>
      </c>
    </row>
    <row r="576" spans="1:16" x14ac:dyDescent="0.2">
      <c r="A576" s="52">
        <v>43647</v>
      </c>
      <c r="B576" s="11" t="s">
        <v>592</v>
      </c>
      <c r="C576" s="11" t="s">
        <v>2637</v>
      </c>
      <c r="D576" s="11" t="s">
        <v>3157</v>
      </c>
      <c r="E576" s="11" t="s">
        <v>2621</v>
      </c>
      <c r="F576" s="11" t="s">
        <v>3158</v>
      </c>
      <c r="G576" s="11">
        <v>79650</v>
      </c>
      <c r="H576" s="11" t="s">
        <v>2623</v>
      </c>
      <c r="I576" s="11" t="s">
        <v>1411</v>
      </c>
      <c r="J576" s="11">
        <v>18</v>
      </c>
      <c r="K576" s="11">
        <v>67500</v>
      </c>
      <c r="L576" s="11">
        <v>0</v>
      </c>
      <c r="M576" s="11">
        <v>6075</v>
      </c>
      <c r="N576" s="11">
        <v>6075</v>
      </c>
      <c r="O576" s="11">
        <v>0</v>
      </c>
      <c r="P576" s="11" t="s">
        <v>2624</v>
      </c>
    </row>
    <row r="577" spans="1:16" x14ac:dyDescent="0.2">
      <c r="A577" s="52">
        <v>43647</v>
      </c>
      <c r="B577" s="11" t="s">
        <v>592</v>
      </c>
      <c r="C577" s="11" t="s">
        <v>2637</v>
      </c>
      <c r="D577" s="11" t="s">
        <v>3159</v>
      </c>
      <c r="E577" s="11" t="s">
        <v>2621</v>
      </c>
      <c r="F577" s="11" t="s">
        <v>3160</v>
      </c>
      <c r="G577" s="11">
        <v>13334</v>
      </c>
      <c r="H577" s="11" t="s">
        <v>2623</v>
      </c>
      <c r="I577" s="11" t="s">
        <v>1411</v>
      </c>
      <c r="J577" s="11">
        <v>18</v>
      </c>
      <c r="K577" s="11">
        <v>11300</v>
      </c>
      <c r="L577" s="11">
        <v>0</v>
      </c>
      <c r="M577" s="11">
        <v>1017</v>
      </c>
      <c r="N577" s="11">
        <v>1017</v>
      </c>
      <c r="O577" s="11">
        <v>0</v>
      </c>
      <c r="P577" s="11" t="s">
        <v>2624</v>
      </c>
    </row>
    <row r="578" spans="1:16" x14ac:dyDescent="0.2">
      <c r="A578" s="52">
        <v>43647</v>
      </c>
      <c r="B578" s="11" t="s">
        <v>602</v>
      </c>
      <c r="C578" s="11" t="s">
        <v>2781</v>
      </c>
      <c r="D578" s="11" t="s">
        <v>3161</v>
      </c>
      <c r="E578" s="11" t="s">
        <v>2621</v>
      </c>
      <c r="F578" s="11" t="s">
        <v>3144</v>
      </c>
      <c r="G578" s="11">
        <v>13713.4</v>
      </c>
      <c r="H578" s="11" t="s">
        <v>2623</v>
      </c>
      <c r="I578" s="11" t="s">
        <v>1411</v>
      </c>
      <c r="J578" s="11">
        <v>28</v>
      </c>
      <c r="K578" s="11">
        <v>10713.6</v>
      </c>
      <c r="L578" s="11">
        <v>0</v>
      </c>
      <c r="M578" s="11">
        <v>1499.9</v>
      </c>
      <c r="N578" s="11">
        <v>1499.9</v>
      </c>
      <c r="O578" s="11">
        <v>0</v>
      </c>
      <c r="P578" s="11" t="s">
        <v>2624</v>
      </c>
    </row>
    <row r="579" spans="1:16" x14ac:dyDescent="0.2">
      <c r="A579" s="52">
        <v>43647</v>
      </c>
      <c r="B579" s="11" t="s">
        <v>602</v>
      </c>
      <c r="C579" s="11" t="s">
        <v>2781</v>
      </c>
      <c r="D579" s="11" t="s">
        <v>3162</v>
      </c>
      <c r="E579" s="11" t="s">
        <v>2621</v>
      </c>
      <c r="F579" s="11" t="s">
        <v>3144</v>
      </c>
      <c r="G579" s="11">
        <v>27244.799999999999</v>
      </c>
      <c r="H579" s="11" t="s">
        <v>2623</v>
      </c>
      <c r="I579" s="11" t="s">
        <v>1411</v>
      </c>
      <c r="J579" s="11">
        <v>28</v>
      </c>
      <c r="K579" s="11">
        <v>21285</v>
      </c>
      <c r="L579" s="11">
        <v>0</v>
      </c>
      <c r="M579" s="11">
        <v>2979.9</v>
      </c>
      <c r="N579" s="11">
        <v>2979.9</v>
      </c>
      <c r="O579" s="11">
        <v>0</v>
      </c>
      <c r="P579" s="11" t="s">
        <v>2624</v>
      </c>
    </row>
    <row r="580" spans="1:16" x14ac:dyDescent="0.2">
      <c r="A580" s="52">
        <v>43647</v>
      </c>
      <c r="B580" s="11" t="s">
        <v>602</v>
      </c>
      <c r="C580" s="11" t="s">
        <v>2781</v>
      </c>
      <c r="D580" s="11" t="s">
        <v>3163</v>
      </c>
      <c r="E580" s="11" t="s">
        <v>2621</v>
      </c>
      <c r="F580" s="11" t="s">
        <v>3164</v>
      </c>
      <c r="G580" s="11">
        <v>38142.720000000001</v>
      </c>
      <c r="H580" s="11" t="s">
        <v>2623</v>
      </c>
      <c r="I580" s="11" t="s">
        <v>1411</v>
      </c>
      <c r="J580" s="11">
        <v>28</v>
      </c>
      <c r="K580" s="11">
        <v>29799</v>
      </c>
      <c r="L580" s="11">
        <v>0</v>
      </c>
      <c r="M580" s="11">
        <v>4171.8599999999997</v>
      </c>
      <c r="N580" s="11">
        <v>4171.8599999999997</v>
      </c>
      <c r="O580" s="11">
        <v>0</v>
      </c>
      <c r="P580" s="11" t="s">
        <v>2624</v>
      </c>
    </row>
    <row r="581" spans="1:16" x14ac:dyDescent="0.2">
      <c r="A581" s="52">
        <v>43647</v>
      </c>
      <c r="B581" s="11" t="s">
        <v>602</v>
      </c>
      <c r="C581" s="11" t="s">
        <v>2781</v>
      </c>
      <c r="D581" s="11" t="s">
        <v>3165</v>
      </c>
      <c r="E581" s="11" t="s">
        <v>2621</v>
      </c>
      <c r="F581" s="11" t="s">
        <v>3166</v>
      </c>
      <c r="G581" s="11">
        <v>58848.76</v>
      </c>
      <c r="H581" s="11" t="s">
        <v>2623</v>
      </c>
      <c r="I581" s="11" t="s">
        <v>1411</v>
      </c>
      <c r="J581" s="11">
        <v>28</v>
      </c>
      <c r="K581" s="11">
        <v>45975.6</v>
      </c>
      <c r="L581" s="11">
        <v>0</v>
      </c>
      <c r="M581" s="11">
        <v>6436.58</v>
      </c>
      <c r="N581" s="11">
        <v>6436.58</v>
      </c>
      <c r="O581" s="11">
        <v>0</v>
      </c>
      <c r="P581" s="11" t="s">
        <v>2624</v>
      </c>
    </row>
    <row r="582" spans="1:16" x14ac:dyDescent="0.2">
      <c r="A582" s="52">
        <v>43647</v>
      </c>
      <c r="B582" s="11" t="s">
        <v>602</v>
      </c>
      <c r="C582" s="11" t="s">
        <v>2781</v>
      </c>
      <c r="D582" s="11" t="s">
        <v>3167</v>
      </c>
      <c r="E582" s="11" t="s">
        <v>2621</v>
      </c>
      <c r="F582" s="11" t="s">
        <v>3168</v>
      </c>
      <c r="G582" s="11">
        <v>21795.84</v>
      </c>
      <c r="H582" s="11" t="s">
        <v>2623</v>
      </c>
      <c r="I582" s="11" t="s">
        <v>1411</v>
      </c>
      <c r="J582" s="11">
        <v>28</v>
      </c>
      <c r="K582" s="11">
        <v>17028</v>
      </c>
      <c r="L582" s="11">
        <v>0</v>
      </c>
      <c r="M582" s="11">
        <v>2383.92</v>
      </c>
      <c r="N582" s="11">
        <v>2383.92</v>
      </c>
      <c r="O582" s="11">
        <v>0</v>
      </c>
      <c r="P582" s="11" t="s">
        <v>2624</v>
      </c>
    </row>
    <row r="583" spans="1:16" x14ac:dyDescent="0.2">
      <c r="A583" s="52">
        <v>43647</v>
      </c>
      <c r="B583" s="11" t="s">
        <v>602</v>
      </c>
      <c r="C583" s="11" t="s">
        <v>2781</v>
      </c>
      <c r="D583" s="11" t="s">
        <v>3169</v>
      </c>
      <c r="E583" s="11" t="s">
        <v>2621</v>
      </c>
      <c r="F583" s="11" t="s">
        <v>3168</v>
      </c>
      <c r="G583" s="11">
        <v>27426.82</v>
      </c>
      <c r="H583" s="11" t="s">
        <v>2623</v>
      </c>
      <c r="I583" s="11" t="s">
        <v>1411</v>
      </c>
      <c r="J583" s="11">
        <v>28</v>
      </c>
      <c r="K583" s="11">
        <v>21427.200000000001</v>
      </c>
      <c r="L583" s="11">
        <v>0</v>
      </c>
      <c r="M583" s="11">
        <v>2999.81</v>
      </c>
      <c r="N583" s="11">
        <v>2999.81</v>
      </c>
      <c r="O583" s="11">
        <v>0</v>
      </c>
      <c r="P583" s="11" t="s">
        <v>2624</v>
      </c>
    </row>
    <row r="584" spans="1:16" x14ac:dyDescent="0.2">
      <c r="A584" s="52">
        <v>43647</v>
      </c>
      <c r="B584" s="11" t="s">
        <v>602</v>
      </c>
      <c r="C584" s="11" t="s">
        <v>2781</v>
      </c>
      <c r="D584" s="11" t="s">
        <v>3170</v>
      </c>
      <c r="E584" s="11" t="s">
        <v>2621</v>
      </c>
      <c r="F584" s="11" t="s">
        <v>3171</v>
      </c>
      <c r="G584" s="11">
        <v>27244.799999999999</v>
      </c>
      <c r="H584" s="11" t="s">
        <v>2623</v>
      </c>
      <c r="I584" s="11" t="s">
        <v>1411</v>
      </c>
      <c r="J584" s="11">
        <v>28</v>
      </c>
      <c r="K584" s="11">
        <v>21285</v>
      </c>
      <c r="L584" s="11">
        <v>0</v>
      </c>
      <c r="M584" s="11">
        <v>2979.9</v>
      </c>
      <c r="N584" s="11">
        <v>2979.9</v>
      </c>
      <c r="O584" s="11">
        <v>0</v>
      </c>
      <c r="P584" s="11" t="s">
        <v>2624</v>
      </c>
    </row>
    <row r="585" spans="1:16" x14ac:dyDescent="0.2">
      <c r="A585" s="52">
        <v>43647</v>
      </c>
      <c r="B585" s="11" t="s">
        <v>602</v>
      </c>
      <c r="C585" s="11" t="s">
        <v>2781</v>
      </c>
      <c r="D585" s="11" t="s">
        <v>3172</v>
      </c>
      <c r="E585" s="11" t="s">
        <v>2621</v>
      </c>
      <c r="F585" s="11" t="s">
        <v>3171</v>
      </c>
      <c r="G585" s="11">
        <v>22284.28</v>
      </c>
      <c r="H585" s="11" t="s">
        <v>2623</v>
      </c>
      <c r="I585" s="11" t="s">
        <v>1411</v>
      </c>
      <c r="J585" s="11">
        <v>28</v>
      </c>
      <c r="K585" s="11">
        <v>17409.599999999999</v>
      </c>
      <c r="L585" s="11">
        <v>0</v>
      </c>
      <c r="M585" s="11">
        <v>2437.34</v>
      </c>
      <c r="N585" s="11">
        <v>2437.34</v>
      </c>
      <c r="O585" s="11">
        <v>0</v>
      </c>
      <c r="P585" s="11" t="s">
        <v>2624</v>
      </c>
    </row>
    <row r="586" spans="1:16" x14ac:dyDescent="0.2">
      <c r="A586" s="52">
        <v>43647</v>
      </c>
      <c r="B586" s="11" t="s">
        <v>602</v>
      </c>
      <c r="C586" s="11" t="s">
        <v>2781</v>
      </c>
      <c r="D586" s="11" t="s">
        <v>3173</v>
      </c>
      <c r="E586" s="11" t="s">
        <v>2621</v>
      </c>
      <c r="F586" s="11" t="s">
        <v>3174</v>
      </c>
      <c r="G586" s="11">
        <v>38142.720000000001</v>
      </c>
      <c r="H586" s="11" t="s">
        <v>2623</v>
      </c>
      <c r="I586" s="11" t="s">
        <v>1411</v>
      </c>
      <c r="J586" s="11">
        <v>28</v>
      </c>
      <c r="K586" s="11">
        <v>29799</v>
      </c>
      <c r="L586" s="11">
        <v>0</v>
      </c>
      <c r="M586" s="11">
        <v>4171.8599999999997</v>
      </c>
      <c r="N586" s="11">
        <v>4171.8599999999997</v>
      </c>
      <c r="O586" s="11">
        <v>0</v>
      </c>
      <c r="P586" s="11" t="s">
        <v>2624</v>
      </c>
    </row>
    <row r="587" spans="1:16" x14ac:dyDescent="0.2">
      <c r="A587" s="52">
        <v>43647</v>
      </c>
      <c r="B587" s="11" t="s">
        <v>602</v>
      </c>
      <c r="C587" s="11" t="s">
        <v>2781</v>
      </c>
      <c r="D587" s="11" t="s">
        <v>3096</v>
      </c>
      <c r="E587" s="11" t="s">
        <v>2621</v>
      </c>
      <c r="F587" s="11" t="s">
        <v>3148</v>
      </c>
      <c r="G587" s="11">
        <v>26155</v>
      </c>
      <c r="H587" s="11" t="s">
        <v>2623</v>
      </c>
      <c r="I587" s="11" t="s">
        <v>1411</v>
      </c>
      <c r="J587" s="11">
        <v>28</v>
      </c>
      <c r="K587" s="11">
        <v>20433.599999999999</v>
      </c>
      <c r="L587" s="11">
        <v>0</v>
      </c>
      <c r="M587" s="11">
        <v>2860.7</v>
      </c>
      <c r="N587" s="11">
        <v>2860.7</v>
      </c>
      <c r="O587" s="11">
        <v>0</v>
      </c>
      <c r="P587" s="11" t="s">
        <v>2624</v>
      </c>
    </row>
    <row r="588" spans="1:16" x14ac:dyDescent="0.2">
      <c r="A588" s="52">
        <v>43647</v>
      </c>
      <c r="B588" s="11" t="s">
        <v>602</v>
      </c>
      <c r="C588" s="11" t="s">
        <v>2781</v>
      </c>
      <c r="D588" s="11" t="s">
        <v>3175</v>
      </c>
      <c r="E588" s="11" t="s">
        <v>2621</v>
      </c>
      <c r="F588" s="11" t="s">
        <v>3148</v>
      </c>
      <c r="G588" s="11">
        <v>17141.759999999998</v>
      </c>
      <c r="H588" s="11" t="s">
        <v>2623</v>
      </c>
      <c r="I588" s="11" t="s">
        <v>1411</v>
      </c>
      <c r="J588" s="11">
        <v>28</v>
      </c>
      <c r="K588" s="11">
        <v>13392</v>
      </c>
      <c r="L588" s="11">
        <v>0</v>
      </c>
      <c r="M588" s="11">
        <v>1874.88</v>
      </c>
      <c r="N588" s="11">
        <v>1874.88</v>
      </c>
      <c r="O588" s="11">
        <v>0</v>
      </c>
      <c r="P588" s="11" t="s">
        <v>2624</v>
      </c>
    </row>
    <row r="589" spans="1:16" x14ac:dyDescent="0.2">
      <c r="A589" s="52">
        <v>43647</v>
      </c>
      <c r="B589" s="11" t="s">
        <v>602</v>
      </c>
      <c r="C589" s="11" t="s">
        <v>2781</v>
      </c>
      <c r="D589" s="11" t="s">
        <v>3100</v>
      </c>
      <c r="E589" s="11" t="s">
        <v>2621</v>
      </c>
      <c r="F589" s="11" t="s">
        <v>3139</v>
      </c>
      <c r="G589" s="11">
        <v>59938.559999999998</v>
      </c>
      <c r="H589" s="11" t="s">
        <v>2623</v>
      </c>
      <c r="I589" s="11" t="s">
        <v>1411</v>
      </c>
      <c r="J589" s="11">
        <v>28</v>
      </c>
      <c r="K589" s="11">
        <v>46827</v>
      </c>
      <c r="L589" s="11">
        <v>0</v>
      </c>
      <c r="M589" s="11">
        <v>6555.78</v>
      </c>
      <c r="N589" s="11">
        <v>6555.78</v>
      </c>
      <c r="O589" s="11">
        <v>0</v>
      </c>
      <c r="P589" s="11" t="s">
        <v>2624</v>
      </c>
    </row>
    <row r="590" spans="1:16" x14ac:dyDescent="0.2">
      <c r="A590" s="52">
        <v>43647</v>
      </c>
      <c r="B590" s="11" t="s">
        <v>602</v>
      </c>
      <c r="C590" s="11" t="s">
        <v>2781</v>
      </c>
      <c r="D590" s="11" t="s">
        <v>3176</v>
      </c>
      <c r="E590" s="11" t="s">
        <v>2621</v>
      </c>
      <c r="F590" s="11" t="s">
        <v>3155</v>
      </c>
      <c r="G590" s="11">
        <v>13077.5</v>
      </c>
      <c r="H590" s="11" t="s">
        <v>2623</v>
      </c>
      <c r="I590" s="11" t="s">
        <v>1411</v>
      </c>
      <c r="J590" s="11">
        <v>28</v>
      </c>
      <c r="K590" s="11">
        <v>10216.799999999999</v>
      </c>
      <c r="L590" s="11">
        <v>0</v>
      </c>
      <c r="M590" s="11">
        <v>1430.35</v>
      </c>
      <c r="N590" s="11">
        <v>1430.35</v>
      </c>
      <c r="O590" s="11">
        <v>0</v>
      </c>
      <c r="P590" s="11" t="s">
        <v>2624</v>
      </c>
    </row>
    <row r="591" spans="1:16" x14ac:dyDescent="0.2">
      <c r="A591" s="52">
        <v>43647</v>
      </c>
      <c r="B591" s="11" t="s">
        <v>602</v>
      </c>
      <c r="C591" s="11" t="s">
        <v>2781</v>
      </c>
      <c r="D591" s="11" t="s">
        <v>3177</v>
      </c>
      <c r="E591" s="11" t="s">
        <v>2621</v>
      </c>
      <c r="F591" s="11" t="s">
        <v>3155</v>
      </c>
      <c r="G591" s="11">
        <v>17141.759999999998</v>
      </c>
      <c r="H591" s="11" t="s">
        <v>2623</v>
      </c>
      <c r="I591" s="11" t="s">
        <v>1411</v>
      </c>
      <c r="J591" s="11">
        <v>28</v>
      </c>
      <c r="K591" s="11">
        <v>13392</v>
      </c>
      <c r="L591" s="11">
        <v>0</v>
      </c>
      <c r="M591" s="11">
        <v>1874.88</v>
      </c>
      <c r="N591" s="11">
        <v>1874.88</v>
      </c>
      <c r="O591" s="11">
        <v>0</v>
      </c>
      <c r="P591" s="11" t="s">
        <v>2624</v>
      </c>
    </row>
    <row r="592" spans="1:16" x14ac:dyDescent="0.2">
      <c r="A592" s="52">
        <v>43647</v>
      </c>
      <c r="B592" s="11" t="s">
        <v>602</v>
      </c>
      <c r="C592" s="11" t="s">
        <v>2781</v>
      </c>
      <c r="D592" s="11" t="s">
        <v>3178</v>
      </c>
      <c r="E592" s="11" t="s">
        <v>2621</v>
      </c>
      <c r="F592" s="11" t="s">
        <v>3149</v>
      </c>
      <c r="G592" s="11">
        <v>73709.56</v>
      </c>
      <c r="H592" s="11" t="s">
        <v>2623</v>
      </c>
      <c r="I592" s="11" t="s">
        <v>1411</v>
      </c>
      <c r="J592" s="11">
        <v>28</v>
      </c>
      <c r="K592" s="11">
        <v>57585.599999999999</v>
      </c>
      <c r="L592" s="11">
        <v>0</v>
      </c>
      <c r="M592" s="11">
        <v>8061.98</v>
      </c>
      <c r="N592" s="11">
        <v>8061.98</v>
      </c>
      <c r="O592" s="11">
        <v>0</v>
      </c>
      <c r="P592" s="11" t="s">
        <v>2624</v>
      </c>
    </row>
    <row r="593" spans="1:16" x14ac:dyDescent="0.2">
      <c r="A593" s="52">
        <v>43647</v>
      </c>
      <c r="B593" s="11" t="s">
        <v>602</v>
      </c>
      <c r="C593" s="11" t="s">
        <v>2781</v>
      </c>
      <c r="D593" s="11" t="s">
        <v>3179</v>
      </c>
      <c r="E593" s="11" t="s">
        <v>2621</v>
      </c>
      <c r="F593" s="11" t="s">
        <v>3180</v>
      </c>
      <c r="G593" s="11">
        <v>55579.4</v>
      </c>
      <c r="H593" s="11" t="s">
        <v>2623</v>
      </c>
      <c r="I593" s="11" t="s">
        <v>1411</v>
      </c>
      <c r="J593" s="11">
        <v>28</v>
      </c>
      <c r="K593" s="11">
        <v>43421.4</v>
      </c>
      <c r="L593" s="11">
        <v>0</v>
      </c>
      <c r="M593" s="11">
        <v>6079</v>
      </c>
      <c r="N593" s="11">
        <v>6079</v>
      </c>
      <c r="O593" s="11">
        <v>0</v>
      </c>
      <c r="P593" s="11" t="s">
        <v>2624</v>
      </c>
    </row>
    <row r="594" spans="1:16" x14ac:dyDescent="0.2">
      <c r="A594" s="52">
        <v>43647</v>
      </c>
      <c r="B594" s="11" t="s">
        <v>519</v>
      </c>
      <c r="C594" s="11" t="s">
        <v>2639</v>
      </c>
      <c r="D594" s="11" t="s">
        <v>805</v>
      </c>
      <c r="E594" s="11" t="s">
        <v>2621</v>
      </c>
      <c r="F594" s="11" t="s">
        <v>3151</v>
      </c>
      <c r="G594" s="11">
        <v>5747.78</v>
      </c>
      <c r="H594" s="11" t="s">
        <v>2623</v>
      </c>
      <c r="I594" s="11" t="s">
        <v>1411</v>
      </c>
      <c r="J594" s="11">
        <v>18</v>
      </c>
      <c r="K594" s="11">
        <v>4871</v>
      </c>
      <c r="L594" s="11">
        <v>0</v>
      </c>
      <c r="M594" s="11">
        <v>438.39</v>
      </c>
      <c r="N594" s="11">
        <v>438.39</v>
      </c>
      <c r="O594" s="11">
        <v>0</v>
      </c>
      <c r="P594" s="11" t="s">
        <v>2624</v>
      </c>
    </row>
    <row r="595" spans="1:16" x14ac:dyDescent="0.2">
      <c r="A595" s="52">
        <v>43647</v>
      </c>
      <c r="B595" s="11" t="s">
        <v>528</v>
      </c>
      <c r="C595" s="11" t="s">
        <v>2641</v>
      </c>
      <c r="D595" s="11" t="s">
        <v>3181</v>
      </c>
      <c r="E595" s="11" t="s">
        <v>2621</v>
      </c>
      <c r="F595" s="11" t="s">
        <v>3164</v>
      </c>
      <c r="G595" s="11">
        <v>23677</v>
      </c>
      <c r="H595" s="11" t="s">
        <v>2623</v>
      </c>
      <c r="I595" s="11" t="s">
        <v>1411</v>
      </c>
      <c r="J595" s="11">
        <v>18</v>
      </c>
      <c r="K595" s="11">
        <v>20065</v>
      </c>
      <c r="L595" s="11">
        <v>0</v>
      </c>
      <c r="M595" s="11">
        <v>1805.85</v>
      </c>
      <c r="N595" s="11">
        <v>1805.85</v>
      </c>
      <c r="O595" s="11">
        <v>0</v>
      </c>
      <c r="P595" s="11" t="s">
        <v>2624</v>
      </c>
    </row>
    <row r="596" spans="1:16" x14ac:dyDescent="0.2">
      <c r="A596" s="52">
        <v>43647</v>
      </c>
      <c r="B596" s="11" t="s">
        <v>528</v>
      </c>
      <c r="C596" s="11" t="s">
        <v>2641</v>
      </c>
      <c r="D596" s="11" t="s">
        <v>3182</v>
      </c>
      <c r="E596" s="11" t="s">
        <v>2621</v>
      </c>
      <c r="F596" s="11" t="s">
        <v>3183</v>
      </c>
      <c r="G596" s="11">
        <v>2372</v>
      </c>
      <c r="H596" s="11" t="s">
        <v>2623</v>
      </c>
      <c r="I596" s="11" t="s">
        <v>1411</v>
      </c>
      <c r="J596" s="11">
        <v>18</v>
      </c>
      <c r="K596" s="11">
        <v>2010</v>
      </c>
      <c r="L596" s="11">
        <v>0</v>
      </c>
      <c r="M596" s="11">
        <v>180.9</v>
      </c>
      <c r="N596" s="11">
        <v>180.9</v>
      </c>
      <c r="O596" s="11">
        <v>0</v>
      </c>
      <c r="P596" s="11" t="s">
        <v>2624</v>
      </c>
    </row>
    <row r="597" spans="1:16" x14ac:dyDescent="0.2">
      <c r="A597" s="52">
        <v>43647</v>
      </c>
      <c r="B597" s="11" t="s">
        <v>528</v>
      </c>
      <c r="C597" s="11" t="s">
        <v>2641</v>
      </c>
      <c r="D597" s="11" t="s">
        <v>3184</v>
      </c>
      <c r="E597" s="11" t="s">
        <v>2621</v>
      </c>
      <c r="F597" s="11" t="s">
        <v>3183</v>
      </c>
      <c r="G597" s="11">
        <v>75804</v>
      </c>
      <c r="H597" s="11" t="s">
        <v>2623</v>
      </c>
      <c r="I597" s="11" t="s">
        <v>1411</v>
      </c>
      <c r="J597" s="11">
        <v>18</v>
      </c>
      <c r="K597" s="11">
        <v>64241</v>
      </c>
      <c r="L597" s="11">
        <v>0</v>
      </c>
      <c r="M597" s="11">
        <v>5781.69</v>
      </c>
      <c r="N597" s="11">
        <v>5781.69</v>
      </c>
      <c r="O597" s="11">
        <v>0</v>
      </c>
      <c r="P597" s="11" t="s">
        <v>2624</v>
      </c>
    </row>
    <row r="598" spans="1:16" x14ac:dyDescent="0.2">
      <c r="A598" s="52">
        <v>43647</v>
      </c>
      <c r="B598" s="11" t="s">
        <v>41</v>
      </c>
      <c r="C598" s="11" t="s">
        <v>2643</v>
      </c>
      <c r="D598" s="11" t="s">
        <v>769</v>
      </c>
      <c r="E598" s="11" t="s">
        <v>2621</v>
      </c>
      <c r="F598" s="11" t="s">
        <v>3144</v>
      </c>
      <c r="G598" s="11">
        <v>8207.36</v>
      </c>
      <c r="H598" s="11" t="s">
        <v>2623</v>
      </c>
      <c r="I598" s="11" t="s">
        <v>1411</v>
      </c>
      <c r="J598" s="11">
        <v>28</v>
      </c>
      <c r="K598" s="11">
        <v>6412</v>
      </c>
      <c r="L598" s="11">
        <v>0</v>
      </c>
      <c r="M598" s="11">
        <v>898</v>
      </c>
      <c r="N598" s="11">
        <v>898</v>
      </c>
      <c r="O598" s="11">
        <v>0</v>
      </c>
      <c r="P598" s="11" t="s">
        <v>2624</v>
      </c>
    </row>
    <row r="599" spans="1:16" x14ac:dyDescent="0.2">
      <c r="A599" s="52">
        <v>43647</v>
      </c>
      <c r="B599" s="11" t="s">
        <v>41</v>
      </c>
      <c r="C599" s="11" t="s">
        <v>2643</v>
      </c>
      <c r="D599" s="11" t="s">
        <v>770</v>
      </c>
      <c r="E599" s="11" t="s">
        <v>2621</v>
      </c>
      <c r="F599" s="11" t="s">
        <v>3144</v>
      </c>
      <c r="G599" s="11">
        <v>719.41</v>
      </c>
      <c r="H599" s="11" t="s">
        <v>2623</v>
      </c>
      <c r="I599" s="11" t="s">
        <v>1411</v>
      </c>
      <c r="J599" s="11">
        <v>28</v>
      </c>
      <c r="K599" s="11">
        <v>562.04999999999995</v>
      </c>
      <c r="L599" s="11">
        <v>0</v>
      </c>
      <c r="M599" s="11">
        <v>79</v>
      </c>
      <c r="N599" s="11">
        <v>79</v>
      </c>
      <c r="O599" s="11">
        <v>0</v>
      </c>
      <c r="P599" s="11" t="s">
        <v>2624</v>
      </c>
    </row>
    <row r="600" spans="1:16" x14ac:dyDescent="0.2">
      <c r="A600" s="52">
        <v>43647</v>
      </c>
      <c r="B600" s="11" t="s">
        <v>41</v>
      </c>
      <c r="C600" s="11" t="s">
        <v>2643</v>
      </c>
      <c r="D600" s="11" t="s">
        <v>782</v>
      </c>
      <c r="E600" s="11" t="s">
        <v>2621</v>
      </c>
      <c r="F600" s="11" t="s">
        <v>3185</v>
      </c>
      <c r="G600" s="11">
        <v>11813.9</v>
      </c>
      <c r="H600" s="11" t="s">
        <v>2623</v>
      </c>
      <c r="I600" s="11" t="s">
        <v>1411</v>
      </c>
      <c r="J600" s="11">
        <v>28</v>
      </c>
      <c r="K600" s="11">
        <v>9229.6</v>
      </c>
      <c r="L600" s="11">
        <v>0</v>
      </c>
      <c r="M600" s="11">
        <v>1292</v>
      </c>
      <c r="N600" s="11">
        <v>1292</v>
      </c>
      <c r="O600" s="11">
        <v>0</v>
      </c>
      <c r="P600" s="11" t="s">
        <v>2624</v>
      </c>
    </row>
    <row r="601" spans="1:16" x14ac:dyDescent="0.2">
      <c r="A601" s="52">
        <v>43647</v>
      </c>
      <c r="B601" s="11" t="s">
        <v>41</v>
      </c>
      <c r="C601" s="11" t="s">
        <v>2643</v>
      </c>
      <c r="D601" s="11" t="s">
        <v>792</v>
      </c>
      <c r="E601" s="11" t="s">
        <v>2621</v>
      </c>
      <c r="F601" s="11" t="s">
        <v>3153</v>
      </c>
      <c r="G601" s="11">
        <v>9001.6</v>
      </c>
      <c r="H601" s="11" t="s">
        <v>2623</v>
      </c>
      <c r="I601" s="11" t="s">
        <v>1411</v>
      </c>
      <c r="J601" s="11">
        <v>28</v>
      </c>
      <c r="K601" s="11">
        <v>7032.5</v>
      </c>
      <c r="L601" s="11">
        <v>0</v>
      </c>
      <c r="M601" s="11">
        <v>985</v>
      </c>
      <c r="N601" s="11">
        <v>985</v>
      </c>
      <c r="O601" s="11">
        <v>0</v>
      </c>
      <c r="P601" s="11" t="s">
        <v>2624</v>
      </c>
    </row>
    <row r="602" spans="1:16" x14ac:dyDescent="0.2">
      <c r="A602" s="52">
        <v>43647</v>
      </c>
      <c r="B602" s="11" t="s">
        <v>41</v>
      </c>
      <c r="C602" s="11" t="s">
        <v>2643</v>
      </c>
      <c r="D602" s="11" t="s">
        <v>794</v>
      </c>
      <c r="E602" s="11" t="s">
        <v>2621</v>
      </c>
      <c r="F602" s="11" t="s">
        <v>3153</v>
      </c>
      <c r="G602" s="11">
        <v>15374.16</v>
      </c>
      <c r="H602" s="11" t="s">
        <v>2623</v>
      </c>
      <c r="I602" s="11" t="s">
        <v>1411</v>
      </c>
      <c r="J602" s="11">
        <v>28</v>
      </c>
      <c r="K602" s="11">
        <v>12011.06</v>
      </c>
      <c r="L602" s="11">
        <v>0</v>
      </c>
      <c r="M602" s="11">
        <v>1682</v>
      </c>
      <c r="N602" s="11">
        <v>1682</v>
      </c>
      <c r="O602" s="11">
        <v>0</v>
      </c>
      <c r="P602" s="11" t="s">
        <v>2624</v>
      </c>
    </row>
    <row r="603" spans="1:16" x14ac:dyDescent="0.2">
      <c r="A603" s="52">
        <v>43647</v>
      </c>
      <c r="B603" s="11" t="s">
        <v>41</v>
      </c>
      <c r="C603" s="11" t="s">
        <v>2643</v>
      </c>
      <c r="D603" s="11" t="s">
        <v>798</v>
      </c>
      <c r="E603" s="11" t="s">
        <v>2621</v>
      </c>
      <c r="F603" s="11" t="s">
        <v>3168</v>
      </c>
      <c r="G603" s="11">
        <v>9028.1</v>
      </c>
      <c r="H603" s="11" t="s">
        <v>2623</v>
      </c>
      <c r="I603" s="11" t="s">
        <v>1411</v>
      </c>
      <c r="J603" s="11">
        <v>28</v>
      </c>
      <c r="K603" s="11">
        <v>7053.2</v>
      </c>
      <c r="L603" s="11">
        <v>0</v>
      </c>
      <c r="M603" s="11">
        <v>987</v>
      </c>
      <c r="N603" s="11">
        <v>987</v>
      </c>
      <c r="O603" s="11">
        <v>0</v>
      </c>
      <c r="P603" s="11" t="s">
        <v>2624</v>
      </c>
    </row>
    <row r="604" spans="1:16" x14ac:dyDescent="0.2">
      <c r="A604" s="52">
        <v>43647</v>
      </c>
      <c r="B604" s="11" t="s">
        <v>41</v>
      </c>
      <c r="C604" s="11" t="s">
        <v>2643</v>
      </c>
      <c r="D604" s="11" t="s">
        <v>796</v>
      </c>
      <c r="E604" s="11" t="s">
        <v>2621</v>
      </c>
      <c r="F604" s="11" t="s">
        <v>3168</v>
      </c>
      <c r="G604" s="11">
        <v>6973.88</v>
      </c>
      <c r="H604" s="11" t="s">
        <v>2623</v>
      </c>
      <c r="I604" s="11" t="s">
        <v>1411</v>
      </c>
      <c r="J604" s="11">
        <v>28</v>
      </c>
      <c r="K604" s="11">
        <v>5448.34</v>
      </c>
      <c r="L604" s="11">
        <v>0</v>
      </c>
      <c r="M604" s="11">
        <v>762</v>
      </c>
      <c r="N604" s="11">
        <v>762</v>
      </c>
      <c r="O604" s="11">
        <v>0</v>
      </c>
      <c r="P604" s="11" t="s">
        <v>2624</v>
      </c>
    </row>
    <row r="605" spans="1:16" x14ac:dyDescent="0.2">
      <c r="A605" s="52">
        <v>43647</v>
      </c>
      <c r="B605" s="11" t="s">
        <v>41</v>
      </c>
      <c r="C605" s="11" t="s">
        <v>2643</v>
      </c>
      <c r="D605" s="11" t="s">
        <v>801</v>
      </c>
      <c r="E605" s="11" t="s">
        <v>2621</v>
      </c>
      <c r="F605" s="11" t="s">
        <v>3174</v>
      </c>
      <c r="G605" s="11">
        <v>9564.42</v>
      </c>
      <c r="H605" s="11" t="s">
        <v>2623</v>
      </c>
      <c r="I605" s="11" t="s">
        <v>1411</v>
      </c>
      <c r="J605" s="11">
        <v>28</v>
      </c>
      <c r="K605" s="11">
        <v>7472.2</v>
      </c>
      <c r="L605" s="11">
        <v>0</v>
      </c>
      <c r="M605" s="11">
        <v>1046</v>
      </c>
      <c r="N605" s="11">
        <v>1046</v>
      </c>
      <c r="O605" s="11">
        <v>0</v>
      </c>
      <c r="P605" s="11" t="s">
        <v>2624</v>
      </c>
    </row>
    <row r="606" spans="1:16" x14ac:dyDescent="0.2">
      <c r="A606" s="52">
        <v>43647</v>
      </c>
      <c r="B606" s="11" t="s">
        <v>41</v>
      </c>
      <c r="C606" s="11" t="s">
        <v>2643</v>
      </c>
      <c r="D606" s="11" t="s">
        <v>806</v>
      </c>
      <c r="E606" s="11" t="s">
        <v>2621</v>
      </c>
      <c r="F606" s="11" t="s">
        <v>3151</v>
      </c>
      <c r="G606" s="11">
        <v>7956.81</v>
      </c>
      <c r="H606" s="11" t="s">
        <v>2623</v>
      </c>
      <c r="I606" s="11" t="s">
        <v>1411</v>
      </c>
      <c r="J606" s="11">
        <v>28</v>
      </c>
      <c r="K606" s="11">
        <v>6216.25</v>
      </c>
      <c r="L606" s="11">
        <v>0</v>
      </c>
      <c r="M606" s="11">
        <v>871</v>
      </c>
      <c r="N606" s="11">
        <v>871</v>
      </c>
      <c r="O606" s="11">
        <v>0</v>
      </c>
      <c r="P606" s="11" t="s">
        <v>2624</v>
      </c>
    </row>
    <row r="607" spans="1:16" x14ac:dyDescent="0.2">
      <c r="A607" s="52">
        <v>43647</v>
      </c>
      <c r="B607" s="11" t="s">
        <v>41</v>
      </c>
      <c r="C607" s="11" t="s">
        <v>2643</v>
      </c>
      <c r="D607" s="11" t="s">
        <v>810</v>
      </c>
      <c r="E607" s="11" t="s">
        <v>2621</v>
      </c>
      <c r="F607" s="11" t="s">
        <v>3139</v>
      </c>
      <c r="G607" s="11">
        <v>9028.1</v>
      </c>
      <c r="H607" s="11" t="s">
        <v>2623</v>
      </c>
      <c r="I607" s="11" t="s">
        <v>1411</v>
      </c>
      <c r="J607" s="11">
        <v>28</v>
      </c>
      <c r="K607" s="11">
        <v>7053.2</v>
      </c>
      <c r="L607" s="11">
        <v>0</v>
      </c>
      <c r="M607" s="11">
        <v>987</v>
      </c>
      <c r="N607" s="11">
        <v>987</v>
      </c>
      <c r="O607" s="11">
        <v>0</v>
      </c>
      <c r="P607" s="11" t="s">
        <v>2624</v>
      </c>
    </row>
    <row r="608" spans="1:16" x14ac:dyDescent="0.2">
      <c r="A608" s="52">
        <v>43647</v>
      </c>
      <c r="B608" s="11" t="s">
        <v>41</v>
      </c>
      <c r="C608" s="11" t="s">
        <v>2643</v>
      </c>
      <c r="D608" s="11" t="s">
        <v>811</v>
      </c>
      <c r="E608" s="11" t="s">
        <v>2621</v>
      </c>
      <c r="F608" s="11" t="s">
        <v>3139</v>
      </c>
      <c r="G608" s="11">
        <v>13550.92</v>
      </c>
      <c r="H608" s="11" t="s">
        <v>2623</v>
      </c>
      <c r="I608" s="11" t="s">
        <v>1411</v>
      </c>
      <c r="J608" s="11">
        <v>28</v>
      </c>
      <c r="K608" s="11">
        <v>10586.66</v>
      </c>
      <c r="L608" s="11">
        <v>0</v>
      </c>
      <c r="M608" s="11">
        <v>1483</v>
      </c>
      <c r="N608" s="11">
        <v>1483</v>
      </c>
      <c r="O608" s="11">
        <v>0</v>
      </c>
      <c r="P608" s="11" t="s">
        <v>2624</v>
      </c>
    </row>
    <row r="609" spans="1:16" x14ac:dyDescent="0.2">
      <c r="A609" s="52">
        <v>43647</v>
      </c>
      <c r="B609" s="11" t="s">
        <v>41</v>
      </c>
      <c r="C609" s="11" t="s">
        <v>2643</v>
      </c>
      <c r="D609" s="11" t="s">
        <v>815</v>
      </c>
      <c r="E609" s="11" t="s">
        <v>2621</v>
      </c>
      <c r="F609" s="11" t="s">
        <v>3155</v>
      </c>
      <c r="G609" s="11">
        <v>6264.84</v>
      </c>
      <c r="H609" s="11" t="s">
        <v>2623</v>
      </c>
      <c r="I609" s="11" t="s">
        <v>1411</v>
      </c>
      <c r="J609" s="11">
        <v>28</v>
      </c>
      <c r="K609" s="11">
        <v>4894.3999999999996</v>
      </c>
      <c r="L609" s="11">
        <v>0</v>
      </c>
      <c r="M609" s="11">
        <v>686</v>
      </c>
      <c r="N609" s="11">
        <v>686</v>
      </c>
      <c r="O609" s="11">
        <v>0</v>
      </c>
      <c r="P609" s="11" t="s">
        <v>2624</v>
      </c>
    </row>
    <row r="610" spans="1:16" x14ac:dyDescent="0.2">
      <c r="A610" s="52">
        <v>43647</v>
      </c>
      <c r="B610" s="11" t="s">
        <v>41</v>
      </c>
      <c r="C610" s="11" t="s">
        <v>2643</v>
      </c>
      <c r="D610" s="11" t="s">
        <v>826</v>
      </c>
      <c r="E610" s="11" t="s">
        <v>2621</v>
      </c>
      <c r="F610" s="11" t="s">
        <v>3186</v>
      </c>
      <c r="G610" s="11">
        <v>10259.200000000001</v>
      </c>
      <c r="H610" s="11" t="s">
        <v>2623</v>
      </c>
      <c r="I610" s="11" t="s">
        <v>1411</v>
      </c>
      <c r="J610" s="11">
        <v>28</v>
      </c>
      <c r="K610" s="11">
        <v>8015</v>
      </c>
      <c r="L610" s="11">
        <v>0</v>
      </c>
      <c r="M610" s="11">
        <v>1122</v>
      </c>
      <c r="N610" s="11">
        <v>1122</v>
      </c>
      <c r="O610" s="11">
        <v>0</v>
      </c>
      <c r="P610" s="11" t="s">
        <v>2624</v>
      </c>
    </row>
    <row r="611" spans="1:16" x14ac:dyDescent="0.2">
      <c r="A611" s="52">
        <v>43647</v>
      </c>
      <c r="B611" s="11" t="s">
        <v>41</v>
      </c>
      <c r="C611" s="11" t="s">
        <v>2643</v>
      </c>
      <c r="D611" s="11" t="s">
        <v>833</v>
      </c>
      <c r="E611" s="11" t="s">
        <v>2621</v>
      </c>
      <c r="F611" s="11" t="s">
        <v>3158</v>
      </c>
      <c r="G611" s="11">
        <v>7696.38</v>
      </c>
      <c r="H611" s="11" t="s">
        <v>2623</v>
      </c>
      <c r="I611" s="11" t="s">
        <v>1411</v>
      </c>
      <c r="J611" s="11">
        <v>28</v>
      </c>
      <c r="K611" s="11">
        <v>6012.8</v>
      </c>
      <c r="L611" s="11">
        <v>0</v>
      </c>
      <c r="M611" s="11">
        <v>842</v>
      </c>
      <c r="N611" s="11">
        <v>842</v>
      </c>
      <c r="O611" s="11">
        <v>0</v>
      </c>
      <c r="P611" s="11" t="s">
        <v>2624</v>
      </c>
    </row>
    <row r="612" spans="1:16" x14ac:dyDescent="0.2">
      <c r="A612" s="52">
        <v>43647</v>
      </c>
      <c r="B612" s="11" t="s">
        <v>41</v>
      </c>
      <c r="C612" s="11" t="s">
        <v>2643</v>
      </c>
      <c r="D612" s="11" t="s">
        <v>839</v>
      </c>
      <c r="E612" s="11" t="s">
        <v>2621</v>
      </c>
      <c r="F612" s="11" t="s">
        <v>3147</v>
      </c>
      <c r="G612" s="11">
        <v>8207.36</v>
      </c>
      <c r="H612" s="11" t="s">
        <v>2623</v>
      </c>
      <c r="I612" s="11" t="s">
        <v>1411</v>
      </c>
      <c r="J612" s="11">
        <v>28</v>
      </c>
      <c r="K612" s="11">
        <v>6412</v>
      </c>
      <c r="L612" s="11">
        <v>0</v>
      </c>
      <c r="M612" s="11">
        <v>898</v>
      </c>
      <c r="N612" s="11">
        <v>898</v>
      </c>
      <c r="O612" s="11">
        <v>0</v>
      </c>
      <c r="P612" s="11" t="s">
        <v>2624</v>
      </c>
    </row>
    <row r="613" spans="1:16" x14ac:dyDescent="0.2">
      <c r="A613" s="52">
        <v>43647</v>
      </c>
      <c r="B613" s="11" t="s">
        <v>41</v>
      </c>
      <c r="C613" s="11" t="s">
        <v>2643</v>
      </c>
      <c r="D613" s="11" t="s">
        <v>840</v>
      </c>
      <c r="E613" s="11" t="s">
        <v>2621</v>
      </c>
      <c r="F613" s="11" t="s">
        <v>3147</v>
      </c>
      <c r="G613" s="11">
        <v>7054.96</v>
      </c>
      <c r="H613" s="11" t="s">
        <v>2623</v>
      </c>
      <c r="I613" s="11" t="s">
        <v>1411</v>
      </c>
      <c r="J613" s="11">
        <v>28</v>
      </c>
      <c r="K613" s="11">
        <v>5511.68</v>
      </c>
      <c r="L613" s="11">
        <v>0</v>
      </c>
      <c r="M613" s="11">
        <v>772</v>
      </c>
      <c r="N613" s="11">
        <v>772</v>
      </c>
      <c r="O613" s="11">
        <v>0</v>
      </c>
      <c r="P613" s="11" t="s">
        <v>2624</v>
      </c>
    </row>
    <row r="614" spans="1:16" x14ac:dyDescent="0.2">
      <c r="A614" s="52">
        <v>43647</v>
      </c>
      <c r="B614" s="11" t="s">
        <v>41</v>
      </c>
      <c r="C614" s="11" t="s">
        <v>2643</v>
      </c>
      <c r="D614" s="11" t="s">
        <v>841</v>
      </c>
      <c r="E614" s="11" t="s">
        <v>2621</v>
      </c>
      <c r="F614" s="11" t="s">
        <v>3187</v>
      </c>
      <c r="G614" s="11">
        <v>10259.200000000001</v>
      </c>
      <c r="H614" s="11" t="s">
        <v>2623</v>
      </c>
      <c r="I614" s="11" t="s">
        <v>1411</v>
      </c>
      <c r="J614" s="11">
        <v>28</v>
      </c>
      <c r="K614" s="11">
        <v>8015</v>
      </c>
      <c r="L614" s="11">
        <v>0</v>
      </c>
      <c r="M614" s="11">
        <v>1122</v>
      </c>
      <c r="N614" s="11">
        <v>1122</v>
      </c>
      <c r="O614" s="11">
        <v>0</v>
      </c>
      <c r="P614" s="11" t="s">
        <v>2624</v>
      </c>
    </row>
    <row r="615" spans="1:16" x14ac:dyDescent="0.2">
      <c r="A615" s="52">
        <v>43647</v>
      </c>
      <c r="B615" s="11" t="s">
        <v>41</v>
      </c>
      <c r="C615" s="11" t="s">
        <v>2643</v>
      </c>
      <c r="D615" s="11" t="s">
        <v>842</v>
      </c>
      <c r="E615" s="11" t="s">
        <v>2621</v>
      </c>
      <c r="F615" s="11" t="s">
        <v>3187</v>
      </c>
      <c r="G615" s="11">
        <v>5387.46</v>
      </c>
      <c r="H615" s="11" t="s">
        <v>2623</v>
      </c>
      <c r="I615" s="11" t="s">
        <v>1411</v>
      </c>
      <c r="J615" s="11">
        <v>28</v>
      </c>
      <c r="K615" s="11">
        <v>4208.96</v>
      </c>
      <c r="L615" s="11">
        <v>0</v>
      </c>
      <c r="M615" s="11">
        <v>589</v>
      </c>
      <c r="N615" s="11">
        <v>589</v>
      </c>
      <c r="O615" s="11">
        <v>0</v>
      </c>
      <c r="P615" s="11" t="s">
        <v>2624</v>
      </c>
    </row>
    <row r="616" spans="1:16" x14ac:dyDescent="0.2">
      <c r="A616" s="52">
        <v>43647</v>
      </c>
      <c r="B616" s="11" t="s">
        <v>41</v>
      </c>
      <c r="C616" s="11" t="s">
        <v>2643</v>
      </c>
      <c r="D616" s="11" t="s">
        <v>848</v>
      </c>
      <c r="E616" s="11" t="s">
        <v>2621</v>
      </c>
      <c r="F616" s="11" t="s">
        <v>3160</v>
      </c>
      <c r="G616" s="11">
        <v>6565.88</v>
      </c>
      <c r="H616" s="11" t="s">
        <v>2623</v>
      </c>
      <c r="I616" s="11" t="s">
        <v>1411</v>
      </c>
      <c r="J616" s="11">
        <v>28</v>
      </c>
      <c r="K616" s="11">
        <v>5129.6000000000004</v>
      </c>
      <c r="L616" s="11">
        <v>0</v>
      </c>
      <c r="M616" s="11">
        <v>718</v>
      </c>
      <c r="N616" s="11">
        <v>718</v>
      </c>
      <c r="O616" s="11">
        <v>0</v>
      </c>
      <c r="P616" s="11" t="s">
        <v>2624</v>
      </c>
    </row>
    <row r="617" spans="1:16" x14ac:dyDescent="0.2">
      <c r="A617" s="52">
        <v>43647</v>
      </c>
      <c r="B617" s="11" t="s">
        <v>41</v>
      </c>
      <c r="C617" s="11" t="s">
        <v>2643</v>
      </c>
      <c r="D617" s="11" t="s">
        <v>849</v>
      </c>
      <c r="E617" s="11" t="s">
        <v>2621</v>
      </c>
      <c r="F617" s="11" t="s">
        <v>3160</v>
      </c>
      <c r="G617" s="11">
        <v>7696.38</v>
      </c>
      <c r="H617" s="11" t="s">
        <v>2623</v>
      </c>
      <c r="I617" s="11" t="s">
        <v>1411</v>
      </c>
      <c r="J617" s="11">
        <v>28</v>
      </c>
      <c r="K617" s="11">
        <v>6012.8</v>
      </c>
      <c r="L617" s="11">
        <v>0</v>
      </c>
      <c r="M617" s="11">
        <v>842</v>
      </c>
      <c r="N617" s="11">
        <v>842</v>
      </c>
      <c r="O617" s="11">
        <v>0</v>
      </c>
      <c r="P617" s="11" t="s">
        <v>2624</v>
      </c>
    </row>
    <row r="618" spans="1:16" x14ac:dyDescent="0.2">
      <c r="A618" s="52">
        <v>43647</v>
      </c>
      <c r="B618" s="11" t="s">
        <v>723</v>
      </c>
      <c r="C618" s="11" t="s">
        <v>2969</v>
      </c>
      <c r="D618" s="11" t="s">
        <v>813</v>
      </c>
      <c r="E618" s="11" t="s">
        <v>2621</v>
      </c>
      <c r="F618" s="11" t="s">
        <v>3171</v>
      </c>
      <c r="G618" s="11">
        <v>43655</v>
      </c>
      <c r="H618" s="11" t="s">
        <v>2623</v>
      </c>
      <c r="I618" s="11" t="s">
        <v>1411</v>
      </c>
      <c r="J618" s="11">
        <v>18</v>
      </c>
      <c r="K618" s="11">
        <v>23800</v>
      </c>
      <c r="L618" s="11">
        <v>0</v>
      </c>
      <c r="M618" s="11">
        <v>2142</v>
      </c>
      <c r="N618" s="11">
        <v>2142</v>
      </c>
      <c r="O618" s="11">
        <v>0</v>
      </c>
      <c r="P618" s="11" t="s">
        <v>2624</v>
      </c>
    </row>
    <row r="619" spans="1:16" x14ac:dyDescent="0.2">
      <c r="A619" s="52">
        <v>43647</v>
      </c>
      <c r="B619" s="11" t="s">
        <v>867</v>
      </c>
      <c r="C619" s="11" t="s">
        <v>3188</v>
      </c>
      <c r="D619" s="11" t="s">
        <v>3189</v>
      </c>
      <c r="E619" s="11" t="s">
        <v>2621</v>
      </c>
      <c r="F619" s="11" t="s">
        <v>3158</v>
      </c>
      <c r="G619" s="11">
        <v>41654</v>
      </c>
      <c r="H619" s="11" t="s">
        <v>2623</v>
      </c>
      <c r="I619" s="11" t="s">
        <v>1411</v>
      </c>
      <c r="J619" s="11">
        <v>18</v>
      </c>
      <c r="K619" s="11">
        <v>35300</v>
      </c>
      <c r="L619" s="11">
        <v>0</v>
      </c>
      <c r="M619" s="11">
        <v>3177</v>
      </c>
      <c r="N619" s="11">
        <v>3177</v>
      </c>
      <c r="O619" s="11">
        <v>0</v>
      </c>
      <c r="P619" s="11" t="s">
        <v>2624</v>
      </c>
    </row>
    <row r="620" spans="1:16" x14ac:dyDescent="0.2">
      <c r="A620" s="52">
        <v>43647</v>
      </c>
      <c r="B620" s="11" t="s">
        <v>678</v>
      </c>
      <c r="C620" s="11" t="s">
        <v>2822</v>
      </c>
      <c r="D620" s="11" t="s">
        <v>3190</v>
      </c>
      <c r="E620" s="11" t="s">
        <v>2621</v>
      </c>
      <c r="F620" s="11" t="s">
        <v>3164</v>
      </c>
      <c r="G620" s="11">
        <v>28947.200000000001</v>
      </c>
      <c r="H620" s="11" t="s">
        <v>2623</v>
      </c>
      <c r="I620" s="11" t="s">
        <v>1411</v>
      </c>
      <c r="J620" s="11">
        <v>28</v>
      </c>
      <c r="K620" s="11">
        <v>22615</v>
      </c>
      <c r="L620" s="11">
        <v>6332.2</v>
      </c>
      <c r="M620" s="11">
        <v>0</v>
      </c>
      <c r="N620" s="11">
        <v>0</v>
      </c>
      <c r="O620" s="11">
        <v>0</v>
      </c>
      <c r="P620" s="11" t="s">
        <v>2624</v>
      </c>
    </row>
    <row r="621" spans="1:16" x14ac:dyDescent="0.2">
      <c r="A621" s="52">
        <v>43647</v>
      </c>
      <c r="B621" s="11" t="s">
        <v>667</v>
      </c>
      <c r="C621" s="11" t="s">
        <v>2824</v>
      </c>
      <c r="D621" s="11" t="s">
        <v>800</v>
      </c>
      <c r="E621" s="11" t="s">
        <v>2621</v>
      </c>
      <c r="F621" s="11" t="s">
        <v>3174</v>
      </c>
      <c r="G621" s="11">
        <v>93690</v>
      </c>
      <c r="H621" s="11" t="s">
        <v>2623</v>
      </c>
      <c r="I621" s="11" t="s">
        <v>1411</v>
      </c>
      <c r="J621" s="11">
        <v>28</v>
      </c>
      <c r="K621" s="11">
        <v>73192.86</v>
      </c>
      <c r="L621" s="11">
        <v>0</v>
      </c>
      <c r="M621" s="11">
        <v>10247</v>
      </c>
      <c r="N621" s="11">
        <v>10247</v>
      </c>
      <c r="O621" s="11">
        <v>0</v>
      </c>
      <c r="P621" s="11" t="s">
        <v>2624</v>
      </c>
    </row>
    <row r="622" spans="1:16" x14ac:dyDescent="0.2">
      <c r="A622" s="52">
        <v>43647</v>
      </c>
      <c r="B622" s="11" t="s">
        <v>667</v>
      </c>
      <c r="C622" s="11" t="s">
        <v>2824</v>
      </c>
      <c r="D622" s="11" t="s">
        <v>834</v>
      </c>
      <c r="E622" s="11" t="s">
        <v>2621</v>
      </c>
      <c r="F622" s="11" t="s">
        <v>3158</v>
      </c>
      <c r="G622" s="11">
        <v>40960</v>
      </c>
      <c r="H622" s="11" t="s">
        <v>2623</v>
      </c>
      <c r="I622" s="11" t="s">
        <v>1411</v>
      </c>
      <c r="J622" s="11">
        <v>28</v>
      </c>
      <c r="K622" s="11">
        <v>32000</v>
      </c>
      <c r="L622" s="11">
        <v>0</v>
      </c>
      <c r="M622" s="11">
        <v>4480</v>
      </c>
      <c r="N622" s="11">
        <v>4480</v>
      </c>
      <c r="O622" s="11">
        <v>0</v>
      </c>
      <c r="P622" s="11" t="s">
        <v>2624</v>
      </c>
    </row>
    <row r="623" spans="1:16" x14ac:dyDescent="0.2">
      <c r="A623" s="52">
        <v>43647</v>
      </c>
      <c r="B623" s="11" t="s">
        <v>667</v>
      </c>
      <c r="C623" s="11" t="s">
        <v>2824</v>
      </c>
      <c r="D623" s="11" t="s">
        <v>832</v>
      </c>
      <c r="E623" s="11" t="s">
        <v>2621</v>
      </c>
      <c r="F623" s="11" t="s">
        <v>3158</v>
      </c>
      <c r="G623" s="11">
        <v>100382</v>
      </c>
      <c r="H623" s="11" t="s">
        <v>2623</v>
      </c>
      <c r="I623" s="11" t="s">
        <v>1411</v>
      </c>
      <c r="J623" s="11">
        <v>28</v>
      </c>
      <c r="K623" s="11">
        <v>78421.429999999993</v>
      </c>
      <c r="L623" s="11">
        <v>0</v>
      </c>
      <c r="M623" s="11">
        <v>10979</v>
      </c>
      <c r="N623" s="11">
        <v>10979</v>
      </c>
      <c r="O623" s="11">
        <v>0</v>
      </c>
      <c r="P623" s="11" t="s">
        <v>2624</v>
      </c>
    </row>
    <row r="624" spans="1:16" x14ac:dyDescent="0.2">
      <c r="A624" s="52">
        <v>43647</v>
      </c>
      <c r="B624" s="11" t="s">
        <v>512</v>
      </c>
      <c r="C624" s="11" t="s">
        <v>2649</v>
      </c>
      <c r="D624" s="11" t="s">
        <v>819</v>
      </c>
      <c r="E624" s="11" t="s">
        <v>2621</v>
      </c>
      <c r="F624" s="11" t="s">
        <v>3142</v>
      </c>
      <c r="G624" s="11">
        <v>31270</v>
      </c>
      <c r="H624" s="11" t="s">
        <v>2623</v>
      </c>
      <c r="I624" s="11" t="s">
        <v>1411</v>
      </c>
      <c r="J624" s="11">
        <v>18</v>
      </c>
      <c r="K624" s="11">
        <v>26500</v>
      </c>
      <c r="L624" s="11">
        <v>0</v>
      </c>
      <c r="M624" s="11">
        <v>2385</v>
      </c>
      <c r="N624" s="11">
        <v>2385</v>
      </c>
      <c r="O624" s="11">
        <v>0</v>
      </c>
      <c r="P624" s="11" t="s">
        <v>2624</v>
      </c>
    </row>
    <row r="625" spans="1:16" x14ac:dyDescent="0.2">
      <c r="A625" s="52">
        <v>43647</v>
      </c>
      <c r="B625" s="11" t="s">
        <v>512</v>
      </c>
      <c r="C625" s="11" t="s">
        <v>2649</v>
      </c>
      <c r="D625" s="11" t="s">
        <v>820</v>
      </c>
      <c r="E625" s="11" t="s">
        <v>2621</v>
      </c>
      <c r="F625" s="11" t="s">
        <v>3142</v>
      </c>
      <c r="G625" s="11">
        <v>5310</v>
      </c>
      <c r="H625" s="11" t="s">
        <v>2623</v>
      </c>
      <c r="I625" s="11" t="s">
        <v>1411</v>
      </c>
      <c r="J625" s="11">
        <v>18</v>
      </c>
      <c r="K625" s="11">
        <v>4500</v>
      </c>
      <c r="L625" s="11">
        <v>0</v>
      </c>
      <c r="M625" s="11">
        <v>405</v>
      </c>
      <c r="N625" s="11">
        <v>405</v>
      </c>
      <c r="O625" s="11">
        <v>0</v>
      </c>
      <c r="P625" s="11" t="s">
        <v>2624</v>
      </c>
    </row>
    <row r="626" spans="1:16" x14ac:dyDescent="0.2">
      <c r="A626" s="52">
        <v>43647</v>
      </c>
      <c r="B626" s="11" t="s">
        <v>29</v>
      </c>
      <c r="C626" s="11" t="s">
        <v>2652</v>
      </c>
      <c r="D626" s="11" t="s">
        <v>3191</v>
      </c>
      <c r="E626" s="11" t="s">
        <v>2621</v>
      </c>
      <c r="F626" s="11" t="s">
        <v>3164</v>
      </c>
      <c r="G626" s="11">
        <v>22378.9</v>
      </c>
      <c r="H626" s="11" t="s">
        <v>2623</v>
      </c>
      <c r="I626" s="11" t="s">
        <v>1411</v>
      </c>
      <c r="J626" s="11">
        <v>28</v>
      </c>
      <c r="K626" s="11">
        <v>17483.52</v>
      </c>
      <c r="L626" s="11">
        <v>0</v>
      </c>
      <c r="M626" s="11">
        <v>2447.69</v>
      </c>
      <c r="N626" s="11">
        <v>2447.69</v>
      </c>
      <c r="O626" s="11">
        <v>0</v>
      </c>
      <c r="P626" s="11" t="s">
        <v>2624</v>
      </c>
    </row>
    <row r="627" spans="1:16" x14ac:dyDescent="0.2">
      <c r="A627" s="52">
        <v>43647</v>
      </c>
      <c r="B627" s="11" t="s">
        <v>29</v>
      </c>
      <c r="C627" s="11" t="s">
        <v>2652</v>
      </c>
      <c r="D627" s="11" t="s">
        <v>3192</v>
      </c>
      <c r="E627" s="11" t="s">
        <v>2621</v>
      </c>
      <c r="F627" s="11" t="s">
        <v>3164</v>
      </c>
      <c r="G627" s="11">
        <v>22378.9</v>
      </c>
      <c r="H627" s="11" t="s">
        <v>2623</v>
      </c>
      <c r="I627" s="11" t="s">
        <v>1411</v>
      </c>
      <c r="J627" s="11">
        <v>28</v>
      </c>
      <c r="K627" s="11">
        <v>17483.52</v>
      </c>
      <c r="L627" s="11">
        <v>0</v>
      </c>
      <c r="M627" s="11">
        <v>2447.69</v>
      </c>
      <c r="N627" s="11">
        <v>2447.69</v>
      </c>
      <c r="O627" s="11">
        <v>0</v>
      </c>
      <c r="P627" s="11" t="s">
        <v>2624</v>
      </c>
    </row>
    <row r="628" spans="1:16" x14ac:dyDescent="0.2">
      <c r="A628" s="52">
        <v>43647</v>
      </c>
      <c r="B628" s="11" t="s">
        <v>29</v>
      </c>
      <c r="C628" s="11" t="s">
        <v>2652</v>
      </c>
      <c r="D628" s="11" t="s">
        <v>3193</v>
      </c>
      <c r="E628" s="11" t="s">
        <v>2621</v>
      </c>
      <c r="F628" s="11" t="s">
        <v>3164</v>
      </c>
      <c r="G628" s="11">
        <v>22378.9</v>
      </c>
      <c r="H628" s="11" t="s">
        <v>2623</v>
      </c>
      <c r="I628" s="11" t="s">
        <v>1411</v>
      </c>
      <c r="J628" s="11">
        <v>28</v>
      </c>
      <c r="K628" s="11">
        <v>17483.52</v>
      </c>
      <c r="L628" s="11">
        <v>0</v>
      </c>
      <c r="M628" s="11">
        <v>2447.69</v>
      </c>
      <c r="N628" s="11">
        <v>2447.69</v>
      </c>
      <c r="O628" s="11">
        <v>0</v>
      </c>
      <c r="P628" s="11" t="s">
        <v>2624</v>
      </c>
    </row>
    <row r="629" spans="1:16" x14ac:dyDescent="0.2">
      <c r="A629" s="52">
        <v>43647</v>
      </c>
      <c r="B629" s="11" t="s">
        <v>29</v>
      </c>
      <c r="C629" s="11" t="s">
        <v>2652</v>
      </c>
      <c r="D629" s="11" t="s">
        <v>3194</v>
      </c>
      <c r="E629" s="11" t="s">
        <v>2621</v>
      </c>
      <c r="F629" s="11" t="s">
        <v>3166</v>
      </c>
      <c r="G629" s="11">
        <v>22378.9</v>
      </c>
      <c r="H629" s="11" t="s">
        <v>2623</v>
      </c>
      <c r="I629" s="11" t="s">
        <v>1411</v>
      </c>
      <c r="J629" s="11">
        <v>28</v>
      </c>
      <c r="K629" s="11">
        <v>17483.52</v>
      </c>
      <c r="L629" s="11">
        <v>0</v>
      </c>
      <c r="M629" s="11">
        <v>2447.69</v>
      </c>
      <c r="N629" s="11">
        <v>2447.69</v>
      </c>
      <c r="O629" s="11">
        <v>0</v>
      </c>
      <c r="P629" s="11" t="s">
        <v>2624</v>
      </c>
    </row>
    <row r="630" spans="1:16" x14ac:dyDescent="0.2">
      <c r="A630" s="52">
        <v>43647</v>
      </c>
      <c r="B630" s="11" t="s">
        <v>29</v>
      </c>
      <c r="C630" s="11" t="s">
        <v>2652</v>
      </c>
      <c r="D630" s="11" t="s">
        <v>3195</v>
      </c>
      <c r="E630" s="11" t="s">
        <v>2621</v>
      </c>
      <c r="F630" s="11" t="s">
        <v>3153</v>
      </c>
      <c r="G630" s="11">
        <v>22378.9</v>
      </c>
      <c r="H630" s="11" t="s">
        <v>2623</v>
      </c>
      <c r="I630" s="11" t="s">
        <v>1411</v>
      </c>
      <c r="J630" s="11">
        <v>28</v>
      </c>
      <c r="K630" s="11">
        <v>17483.52</v>
      </c>
      <c r="L630" s="11">
        <v>0</v>
      </c>
      <c r="M630" s="11">
        <v>2447.69</v>
      </c>
      <c r="N630" s="11">
        <v>2447.69</v>
      </c>
      <c r="O630" s="11">
        <v>0</v>
      </c>
      <c r="P630" s="11" t="s">
        <v>2624</v>
      </c>
    </row>
    <row r="631" spans="1:16" x14ac:dyDescent="0.2">
      <c r="A631" s="52">
        <v>43647</v>
      </c>
      <c r="B631" s="11" t="s">
        <v>29</v>
      </c>
      <c r="C631" s="11" t="s">
        <v>2652</v>
      </c>
      <c r="D631" s="11" t="s">
        <v>3196</v>
      </c>
      <c r="E631" s="11" t="s">
        <v>2621</v>
      </c>
      <c r="F631" s="11" t="s">
        <v>3153</v>
      </c>
      <c r="G631" s="11">
        <v>22378.9</v>
      </c>
      <c r="H631" s="11" t="s">
        <v>2623</v>
      </c>
      <c r="I631" s="11" t="s">
        <v>1411</v>
      </c>
      <c r="J631" s="11">
        <v>28</v>
      </c>
      <c r="K631" s="11">
        <v>17483.52</v>
      </c>
      <c r="L631" s="11">
        <v>0</v>
      </c>
      <c r="M631" s="11">
        <v>2447.69</v>
      </c>
      <c r="N631" s="11">
        <v>2447.69</v>
      </c>
      <c r="O631" s="11">
        <v>0</v>
      </c>
      <c r="P631" s="11" t="s">
        <v>2624</v>
      </c>
    </row>
    <row r="632" spans="1:16" x14ac:dyDescent="0.2">
      <c r="A632" s="52">
        <v>43647</v>
      </c>
      <c r="B632" s="11" t="s">
        <v>29</v>
      </c>
      <c r="C632" s="11" t="s">
        <v>2652</v>
      </c>
      <c r="D632" s="11" t="s">
        <v>3197</v>
      </c>
      <c r="E632" s="11" t="s">
        <v>2621</v>
      </c>
      <c r="F632" s="11" t="s">
        <v>3168</v>
      </c>
      <c r="G632" s="11">
        <v>22378.9</v>
      </c>
      <c r="H632" s="11" t="s">
        <v>2623</v>
      </c>
      <c r="I632" s="11" t="s">
        <v>1411</v>
      </c>
      <c r="J632" s="11">
        <v>28</v>
      </c>
      <c r="K632" s="11">
        <v>17483.52</v>
      </c>
      <c r="L632" s="11">
        <v>0</v>
      </c>
      <c r="M632" s="11">
        <v>2447.69</v>
      </c>
      <c r="N632" s="11">
        <v>2447.69</v>
      </c>
      <c r="O632" s="11">
        <v>0</v>
      </c>
      <c r="P632" s="11" t="s">
        <v>2624</v>
      </c>
    </row>
    <row r="633" spans="1:16" x14ac:dyDescent="0.2">
      <c r="A633" s="52">
        <v>43647</v>
      </c>
      <c r="B633" s="11" t="s">
        <v>29</v>
      </c>
      <c r="C633" s="11" t="s">
        <v>2652</v>
      </c>
      <c r="D633" s="11" t="s">
        <v>3198</v>
      </c>
      <c r="E633" s="11" t="s">
        <v>2621</v>
      </c>
      <c r="F633" s="11" t="s">
        <v>3168</v>
      </c>
      <c r="G633" s="11">
        <v>22378.9</v>
      </c>
      <c r="H633" s="11" t="s">
        <v>2623</v>
      </c>
      <c r="I633" s="11" t="s">
        <v>1411</v>
      </c>
      <c r="J633" s="11">
        <v>28</v>
      </c>
      <c r="K633" s="11">
        <v>17483.52</v>
      </c>
      <c r="L633" s="11">
        <v>0</v>
      </c>
      <c r="M633" s="11">
        <v>2447.69</v>
      </c>
      <c r="N633" s="11">
        <v>2447.69</v>
      </c>
      <c r="O633" s="11">
        <v>0</v>
      </c>
      <c r="P633" s="11" t="s">
        <v>2624</v>
      </c>
    </row>
    <row r="634" spans="1:16" x14ac:dyDescent="0.2">
      <c r="A634" s="52">
        <v>43647</v>
      </c>
      <c r="B634" s="11" t="s">
        <v>29</v>
      </c>
      <c r="C634" s="11" t="s">
        <v>2652</v>
      </c>
      <c r="D634" s="11" t="s">
        <v>3199</v>
      </c>
      <c r="E634" s="11" t="s">
        <v>2621</v>
      </c>
      <c r="F634" s="11" t="s">
        <v>3174</v>
      </c>
      <c r="G634" s="11">
        <v>22378.9</v>
      </c>
      <c r="H634" s="11" t="s">
        <v>2623</v>
      </c>
      <c r="I634" s="11" t="s">
        <v>1411</v>
      </c>
      <c r="J634" s="11">
        <v>28</v>
      </c>
      <c r="K634" s="11">
        <v>17483.52</v>
      </c>
      <c r="L634" s="11">
        <v>0</v>
      </c>
      <c r="M634" s="11">
        <v>2447.69</v>
      </c>
      <c r="N634" s="11">
        <v>2447.69</v>
      </c>
      <c r="O634" s="11">
        <v>0</v>
      </c>
      <c r="P634" s="11" t="s">
        <v>2624</v>
      </c>
    </row>
    <row r="635" spans="1:16" x14ac:dyDescent="0.2">
      <c r="A635" s="52">
        <v>43647</v>
      </c>
      <c r="B635" s="11" t="s">
        <v>29</v>
      </c>
      <c r="C635" s="11" t="s">
        <v>2652</v>
      </c>
      <c r="D635" s="11" t="s">
        <v>3200</v>
      </c>
      <c r="E635" s="11" t="s">
        <v>2621</v>
      </c>
      <c r="F635" s="11" t="s">
        <v>3174</v>
      </c>
      <c r="G635" s="11">
        <v>22378.9</v>
      </c>
      <c r="H635" s="11" t="s">
        <v>2623</v>
      </c>
      <c r="I635" s="11" t="s">
        <v>1411</v>
      </c>
      <c r="J635" s="11">
        <v>28</v>
      </c>
      <c r="K635" s="11">
        <v>17483.52</v>
      </c>
      <c r="L635" s="11">
        <v>0</v>
      </c>
      <c r="M635" s="11">
        <v>2447.69</v>
      </c>
      <c r="N635" s="11">
        <v>2447.69</v>
      </c>
      <c r="O635" s="11">
        <v>0</v>
      </c>
      <c r="P635" s="11" t="s">
        <v>2624</v>
      </c>
    </row>
    <row r="636" spans="1:16" x14ac:dyDescent="0.2">
      <c r="A636" s="52">
        <v>43647</v>
      </c>
      <c r="B636" s="11" t="s">
        <v>29</v>
      </c>
      <c r="C636" s="11" t="s">
        <v>2652</v>
      </c>
      <c r="D636" s="11" t="s">
        <v>3201</v>
      </c>
      <c r="E636" s="11" t="s">
        <v>2621</v>
      </c>
      <c r="F636" s="11" t="s">
        <v>3148</v>
      </c>
      <c r="G636" s="11">
        <v>22378.9</v>
      </c>
      <c r="H636" s="11" t="s">
        <v>2623</v>
      </c>
      <c r="I636" s="11" t="s">
        <v>1411</v>
      </c>
      <c r="J636" s="11">
        <v>28</v>
      </c>
      <c r="K636" s="11">
        <v>17483.52</v>
      </c>
      <c r="L636" s="11">
        <v>0</v>
      </c>
      <c r="M636" s="11">
        <v>2447.69</v>
      </c>
      <c r="N636" s="11">
        <v>2447.69</v>
      </c>
      <c r="O636" s="11">
        <v>0</v>
      </c>
      <c r="P636" s="11" t="s">
        <v>2624</v>
      </c>
    </row>
    <row r="637" spans="1:16" x14ac:dyDescent="0.2">
      <c r="A637" s="52">
        <v>43647</v>
      </c>
      <c r="B637" s="11" t="s">
        <v>29</v>
      </c>
      <c r="C637" s="11" t="s">
        <v>2652</v>
      </c>
      <c r="D637" s="11" t="s">
        <v>3202</v>
      </c>
      <c r="E637" s="11" t="s">
        <v>2621</v>
      </c>
      <c r="F637" s="11" t="s">
        <v>3148</v>
      </c>
      <c r="G637" s="11">
        <v>22378.9</v>
      </c>
      <c r="H637" s="11" t="s">
        <v>2623</v>
      </c>
      <c r="I637" s="11" t="s">
        <v>1411</v>
      </c>
      <c r="J637" s="11">
        <v>28</v>
      </c>
      <c r="K637" s="11">
        <v>17483.52</v>
      </c>
      <c r="L637" s="11">
        <v>0</v>
      </c>
      <c r="M637" s="11">
        <v>2447.69</v>
      </c>
      <c r="N637" s="11">
        <v>2447.69</v>
      </c>
      <c r="O637" s="11">
        <v>0</v>
      </c>
      <c r="P637" s="11" t="s">
        <v>2624</v>
      </c>
    </row>
    <row r="638" spans="1:16" x14ac:dyDescent="0.2">
      <c r="A638" s="52">
        <v>43647</v>
      </c>
      <c r="B638" s="11" t="s">
        <v>29</v>
      </c>
      <c r="C638" s="11" t="s">
        <v>2652</v>
      </c>
      <c r="D638" s="11" t="s">
        <v>3203</v>
      </c>
      <c r="E638" s="11" t="s">
        <v>2621</v>
      </c>
      <c r="F638" s="11" t="s">
        <v>3151</v>
      </c>
      <c r="G638" s="11">
        <v>22378.9</v>
      </c>
      <c r="H638" s="11" t="s">
        <v>2623</v>
      </c>
      <c r="I638" s="11" t="s">
        <v>1411</v>
      </c>
      <c r="J638" s="11">
        <v>28</v>
      </c>
      <c r="K638" s="11">
        <v>17483.52</v>
      </c>
      <c r="L638" s="11">
        <v>0</v>
      </c>
      <c r="M638" s="11">
        <v>2447.69</v>
      </c>
      <c r="N638" s="11">
        <v>2447.69</v>
      </c>
      <c r="O638" s="11">
        <v>0</v>
      </c>
      <c r="P638" s="11" t="s">
        <v>2624</v>
      </c>
    </row>
    <row r="639" spans="1:16" x14ac:dyDescent="0.2">
      <c r="A639" s="52">
        <v>43647</v>
      </c>
      <c r="B639" s="11" t="s">
        <v>29</v>
      </c>
      <c r="C639" s="11" t="s">
        <v>2652</v>
      </c>
      <c r="D639" s="11" t="s">
        <v>3204</v>
      </c>
      <c r="E639" s="11" t="s">
        <v>2621</v>
      </c>
      <c r="F639" s="11" t="s">
        <v>3151</v>
      </c>
      <c r="G639" s="11">
        <v>22378.9</v>
      </c>
      <c r="H639" s="11" t="s">
        <v>2623</v>
      </c>
      <c r="I639" s="11" t="s">
        <v>1411</v>
      </c>
      <c r="J639" s="11">
        <v>28</v>
      </c>
      <c r="K639" s="11">
        <v>17483.52</v>
      </c>
      <c r="L639" s="11">
        <v>0</v>
      </c>
      <c r="M639" s="11">
        <v>2447.69</v>
      </c>
      <c r="N639" s="11">
        <v>2447.69</v>
      </c>
      <c r="O639" s="11">
        <v>0</v>
      </c>
      <c r="P639" s="11" t="s">
        <v>2624</v>
      </c>
    </row>
    <row r="640" spans="1:16" x14ac:dyDescent="0.2">
      <c r="A640" s="52">
        <v>43647</v>
      </c>
      <c r="B640" s="11" t="s">
        <v>29</v>
      </c>
      <c r="C640" s="11" t="s">
        <v>2652</v>
      </c>
      <c r="D640" s="11" t="s">
        <v>3205</v>
      </c>
      <c r="E640" s="11" t="s">
        <v>2621</v>
      </c>
      <c r="F640" s="11" t="s">
        <v>3183</v>
      </c>
      <c r="G640" s="11">
        <v>22378.9</v>
      </c>
      <c r="H640" s="11" t="s">
        <v>2623</v>
      </c>
      <c r="I640" s="11" t="s">
        <v>1411</v>
      </c>
      <c r="J640" s="11">
        <v>28</v>
      </c>
      <c r="K640" s="11">
        <v>17483.52</v>
      </c>
      <c r="L640" s="11">
        <v>0</v>
      </c>
      <c r="M640" s="11">
        <v>2447.69</v>
      </c>
      <c r="N640" s="11">
        <v>2447.69</v>
      </c>
      <c r="O640" s="11">
        <v>0</v>
      </c>
      <c r="P640" s="11" t="s">
        <v>2624</v>
      </c>
    </row>
    <row r="641" spans="1:16" x14ac:dyDescent="0.2">
      <c r="A641" s="52">
        <v>43647</v>
      </c>
      <c r="B641" s="11" t="s">
        <v>29</v>
      </c>
      <c r="C641" s="11" t="s">
        <v>2652</v>
      </c>
      <c r="D641" s="11" t="s">
        <v>3206</v>
      </c>
      <c r="E641" s="11" t="s">
        <v>2621</v>
      </c>
      <c r="F641" s="11" t="s">
        <v>3183</v>
      </c>
      <c r="G641" s="11">
        <v>22378.9</v>
      </c>
      <c r="H641" s="11" t="s">
        <v>2623</v>
      </c>
      <c r="I641" s="11" t="s">
        <v>1411</v>
      </c>
      <c r="J641" s="11">
        <v>28</v>
      </c>
      <c r="K641" s="11">
        <v>17483.52</v>
      </c>
      <c r="L641" s="11">
        <v>0</v>
      </c>
      <c r="M641" s="11">
        <v>2447.69</v>
      </c>
      <c r="N641" s="11">
        <v>2447.69</v>
      </c>
      <c r="O641" s="11">
        <v>0</v>
      </c>
      <c r="P641" s="11" t="s">
        <v>2624</v>
      </c>
    </row>
    <row r="642" spans="1:16" x14ac:dyDescent="0.2">
      <c r="A642" s="52">
        <v>43647</v>
      </c>
      <c r="B642" s="11" t="s">
        <v>29</v>
      </c>
      <c r="C642" s="11" t="s">
        <v>2652</v>
      </c>
      <c r="D642" s="11" t="s">
        <v>3207</v>
      </c>
      <c r="E642" s="11" t="s">
        <v>2621</v>
      </c>
      <c r="F642" s="11" t="s">
        <v>3139</v>
      </c>
      <c r="G642" s="11">
        <v>22378.9</v>
      </c>
      <c r="H642" s="11" t="s">
        <v>2623</v>
      </c>
      <c r="I642" s="11" t="s">
        <v>1411</v>
      </c>
      <c r="J642" s="11">
        <v>28</v>
      </c>
      <c r="K642" s="11">
        <v>17483.52</v>
      </c>
      <c r="L642" s="11">
        <v>0</v>
      </c>
      <c r="M642" s="11">
        <v>2447.69</v>
      </c>
      <c r="N642" s="11">
        <v>2447.69</v>
      </c>
      <c r="O642" s="11">
        <v>0</v>
      </c>
      <c r="P642" s="11" t="s">
        <v>2624</v>
      </c>
    </row>
    <row r="643" spans="1:16" x14ac:dyDescent="0.2">
      <c r="A643" s="52">
        <v>43647</v>
      </c>
      <c r="B643" s="11" t="s">
        <v>29</v>
      </c>
      <c r="C643" s="11" t="s">
        <v>2652</v>
      </c>
      <c r="D643" s="11" t="s">
        <v>3208</v>
      </c>
      <c r="E643" s="11" t="s">
        <v>2621</v>
      </c>
      <c r="F643" s="11" t="s">
        <v>3139</v>
      </c>
      <c r="G643" s="11">
        <v>22378.9</v>
      </c>
      <c r="H643" s="11" t="s">
        <v>2623</v>
      </c>
      <c r="I643" s="11" t="s">
        <v>1411</v>
      </c>
      <c r="J643" s="11">
        <v>28</v>
      </c>
      <c r="K643" s="11">
        <v>17483.52</v>
      </c>
      <c r="L643" s="11">
        <v>0</v>
      </c>
      <c r="M643" s="11">
        <v>2447.69</v>
      </c>
      <c r="N643" s="11">
        <v>2447.69</v>
      </c>
      <c r="O643" s="11">
        <v>0</v>
      </c>
      <c r="P643" s="11" t="s">
        <v>2624</v>
      </c>
    </row>
    <row r="644" spans="1:16" x14ac:dyDescent="0.2">
      <c r="A644" s="52">
        <v>43647</v>
      </c>
      <c r="B644" s="11" t="s">
        <v>29</v>
      </c>
      <c r="C644" s="11" t="s">
        <v>2652</v>
      </c>
      <c r="D644" s="11" t="s">
        <v>3209</v>
      </c>
      <c r="E644" s="11" t="s">
        <v>2621</v>
      </c>
      <c r="F644" s="11" t="s">
        <v>3210</v>
      </c>
      <c r="G644" s="11">
        <v>22378.9</v>
      </c>
      <c r="H644" s="11" t="s">
        <v>2623</v>
      </c>
      <c r="I644" s="11" t="s">
        <v>1411</v>
      </c>
      <c r="J644" s="11">
        <v>28</v>
      </c>
      <c r="K644" s="11">
        <v>17483.52</v>
      </c>
      <c r="L644" s="11">
        <v>0</v>
      </c>
      <c r="M644" s="11">
        <v>2447.69</v>
      </c>
      <c r="N644" s="11">
        <v>2447.69</v>
      </c>
      <c r="O644" s="11">
        <v>0</v>
      </c>
      <c r="P644" s="11" t="s">
        <v>2624</v>
      </c>
    </row>
    <row r="645" spans="1:16" x14ac:dyDescent="0.2">
      <c r="A645" s="52">
        <v>43647</v>
      </c>
      <c r="B645" s="11" t="s">
        <v>29</v>
      </c>
      <c r="C645" s="11" t="s">
        <v>2652</v>
      </c>
      <c r="D645" s="11" t="s">
        <v>3211</v>
      </c>
      <c r="E645" s="11" t="s">
        <v>2621</v>
      </c>
      <c r="F645" s="11" t="s">
        <v>3210</v>
      </c>
      <c r="G645" s="11">
        <v>22378.9</v>
      </c>
      <c r="H645" s="11" t="s">
        <v>2623</v>
      </c>
      <c r="I645" s="11" t="s">
        <v>1411</v>
      </c>
      <c r="J645" s="11">
        <v>28</v>
      </c>
      <c r="K645" s="11">
        <v>17483.52</v>
      </c>
      <c r="L645" s="11">
        <v>0</v>
      </c>
      <c r="M645" s="11">
        <v>2447.69</v>
      </c>
      <c r="N645" s="11">
        <v>2447.69</v>
      </c>
      <c r="O645" s="11">
        <v>0</v>
      </c>
      <c r="P645" s="11" t="s">
        <v>2624</v>
      </c>
    </row>
    <row r="646" spans="1:16" x14ac:dyDescent="0.2">
      <c r="A646" s="52">
        <v>43647</v>
      </c>
      <c r="B646" s="11" t="s">
        <v>29</v>
      </c>
      <c r="C646" s="11" t="s">
        <v>2652</v>
      </c>
      <c r="D646" s="11" t="s">
        <v>3212</v>
      </c>
      <c r="E646" s="11" t="s">
        <v>2621</v>
      </c>
      <c r="F646" s="11" t="s">
        <v>3155</v>
      </c>
      <c r="G646" s="11">
        <v>22378.9</v>
      </c>
      <c r="H646" s="11" t="s">
        <v>2623</v>
      </c>
      <c r="I646" s="11" t="s">
        <v>1411</v>
      </c>
      <c r="J646" s="11">
        <v>28</v>
      </c>
      <c r="K646" s="11">
        <v>17483.52</v>
      </c>
      <c r="L646" s="11">
        <v>0</v>
      </c>
      <c r="M646" s="11">
        <v>2447.69</v>
      </c>
      <c r="N646" s="11">
        <v>2447.69</v>
      </c>
      <c r="O646" s="11">
        <v>0</v>
      </c>
      <c r="P646" s="11" t="s">
        <v>2624</v>
      </c>
    </row>
    <row r="647" spans="1:16" x14ac:dyDescent="0.2">
      <c r="A647" s="52">
        <v>43647</v>
      </c>
      <c r="B647" s="11" t="s">
        <v>29</v>
      </c>
      <c r="C647" s="11" t="s">
        <v>2652</v>
      </c>
      <c r="D647" s="11" t="s">
        <v>3213</v>
      </c>
      <c r="E647" s="11" t="s">
        <v>2621</v>
      </c>
      <c r="F647" s="11" t="s">
        <v>3155</v>
      </c>
      <c r="G647" s="11">
        <v>22378.9</v>
      </c>
      <c r="H647" s="11" t="s">
        <v>2623</v>
      </c>
      <c r="I647" s="11" t="s">
        <v>1411</v>
      </c>
      <c r="J647" s="11">
        <v>28</v>
      </c>
      <c r="K647" s="11">
        <v>17483.52</v>
      </c>
      <c r="L647" s="11">
        <v>0</v>
      </c>
      <c r="M647" s="11">
        <v>2447.69</v>
      </c>
      <c r="N647" s="11">
        <v>2447.69</v>
      </c>
      <c r="O647" s="11">
        <v>0</v>
      </c>
      <c r="P647" s="11" t="s">
        <v>2624</v>
      </c>
    </row>
    <row r="648" spans="1:16" x14ac:dyDescent="0.2">
      <c r="A648" s="52">
        <v>43647</v>
      </c>
      <c r="B648" s="11" t="s">
        <v>29</v>
      </c>
      <c r="C648" s="11" t="s">
        <v>2652</v>
      </c>
      <c r="D648" s="11" t="s">
        <v>3214</v>
      </c>
      <c r="E648" s="11" t="s">
        <v>2621</v>
      </c>
      <c r="F648" s="11" t="s">
        <v>3142</v>
      </c>
      <c r="G648" s="11">
        <v>16784.18</v>
      </c>
      <c r="H648" s="11" t="s">
        <v>2623</v>
      </c>
      <c r="I648" s="11" t="s">
        <v>1411</v>
      </c>
      <c r="J648" s="11">
        <v>28</v>
      </c>
      <c r="K648" s="11">
        <v>13112.64</v>
      </c>
      <c r="L648" s="11">
        <v>0</v>
      </c>
      <c r="M648" s="11">
        <v>1835.77</v>
      </c>
      <c r="N648" s="11">
        <v>1835.77</v>
      </c>
      <c r="O648" s="11">
        <v>0</v>
      </c>
      <c r="P648" s="11" t="s">
        <v>2624</v>
      </c>
    </row>
    <row r="649" spans="1:16" x14ac:dyDescent="0.2">
      <c r="A649" s="52">
        <v>43647</v>
      </c>
      <c r="B649" s="11" t="s">
        <v>29</v>
      </c>
      <c r="C649" s="11" t="s">
        <v>2652</v>
      </c>
      <c r="D649" s="11" t="s">
        <v>3215</v>
      </c>
      <c r="E649" s="11" t="s">
        <v>2621</v>
      </c>
      <c r="F649" s="11" t="s">
        <v>3149</v>
      </c>
      <c r="G649" s="11">
        <v>22378.9</v>
      </c>
      <c r="H649" s="11" t="s">
        <v>2623</v>
      </c>
      <c r="I649" s="11" t="s">
        <v>1411</v>
      </c>
      <c r="J649" s="11">
        <v>28</v>
      </c>
      <c r="K649" s="11">
        <v>17483.52</v>
      </c>
      <c r="L649" s="11">
        <v>0</v>
      </c>
      <c r="M649" s="11">
        <v>2447.69</v>
      </c>
      <c r="N649" s="11">
        <v>2447.69</v>
      </c>
      <c r="O649" s="11">
        <v>0</v>
      </c>
      <c r="P649" s="11" t="s">
        <v>2624</v>
      </c>
    </row>
    <row r="650" spans="1:16" x14ac:dyDescent="0.2">
      <c r="A650" s="52">
        <v>43647</v>
      </c>
      <c r="B650" s="11" t="s">
        <v>29</v>
      </c>
      <c r="C650" s="11" t="s">
        <v>2652</v>
      </c>
      <c r="D650" s="11" t="s">
        <v>3216</v>
      </c>
      <c r="E650" s="11" t="s">
        <v>2621</v>
      </c>
      <c r="F650" s="11" t="s">
        <v>3149</v>
      </c>
      <c r="G650" s="11">
        <v>22378.9</v>
      </c>
      <c r="H650" s="11" t="s">
        <v>2623</v>
      </c>
      <c r="I650" s="11" t="s">
        <v>1411</v>
      </c>
      <c r="J650" s="11">
        <v>28</v>
      </c>
      <c r="K650" s="11">
        <v>17483.52</v>
      </c>
      <c r="L650" s="11">
        <v>0</v>
      </c>
      <c r="M650" s="11">
        <v>2447.69</v>
      </c>
      <c r="N650" s="11">
        <v>2447.69</v>
      </c>
      <c r="O650" s="11">
        <v>0</v>
      </c>
      <c r="P650" s="11" t="s">
        <v>2624</v>
      </c>
    </row>
    <row r="651" spans="1:16" x14ac:dyDescent="0.2">
      <c r="A651" s="52">
        <v>43647</v>
      </c>
      <c r="B651" s="11" t="s">
        <v>29</v>
      </c>
      <c r="C651" s="11" t="s">
        <v>2652</v>
      </c>
      <c r="D651" s="11" t="s">
        <v>3217</v>
      </c>
      <c r="E651" s="11" t="s">
        <v>2621</v>
      </c>
      <c r="F651" s="11" t="s">
        <v>3158</v>
      </c>
      <c r="G651" s="11">
        <v>22378.9</v>
      </c>
      <c r="H651" s="11" t="s">
        <v>2623</v>
      </c>
      <c r="I651" s="11" t="s">
        <v>1411</v>
      </c>
      <c r="J651" s="11">
        <v>28</v>
      </c>
      <c r="K651" s="11">
        <v>17483.52</v>
      </c>
      <c r="L651" s="11">
        <v>0</v>
      </c>
      <c r="M651" s="11">
        <v>2447.69</v>
      </c>
      <c r="N651" s="11">
        <v>2447.69</v>
      </c>
      <c r="O651" s="11">
        <v>0</v>
      </c>
      <c r="P651" s="11" t="s">
        <v>2624</v>
      </c>
    </row>
    <row r="652" spans="1:16" x14ac:dyDescent="0.2">
      <c r="A652" s="52">
        <v>43647</v>
      </c>
      <c r="B652" s="11" t="s">
        <v>29</v>
      </c>
      <c r="C652" s="11" t="s">
        <v>2652</v>
      </c>
      <c r="D652" s="11" t="s">
        <v>3218</v>
      </c>
      <c r="E652" s="11" t="s">
        <v>2621</v>
      </c>
      <c r="F652" s="11" t="s">
        <v>3158</v>
      </c>
      <c r="G652" s="11">
        <v>22378.9</v>
      </c>
      <c r="H652" s="11" t="s">
        <v>2623</v>
      </c>
      <c r="I652" s="11" t="s">
        <v>1411</v>
      </c>
      <c r="J652" s="11">
        <v>28</v>
      </c>
      <c r="K652" s="11">
        <v>17483.52</v>
      </c>
      <c r="L652" s="11">
        <v>0</v>
      </c>
      <c r="M652" s="11">
        <v>2447.69</v>
      </c>
      <c r="N652" s="11">
        <v>2447.69</v>
      </c>
      <c r="O652" s="11">
        <v>0</v>
      </c>
      <c r="P652" s="11" t="s">
        <v>2624</v>
      </c>
    </row>
    <row r="653" spans="1:16" x14ac:dyDescent="0.2">
      <c r="A653" s="52">
        <v>43647</v>
      </c>
      <c r="B653" s="11" t="s">
        <v>29</v>
      </c>
      <c r="C653" s="11" t="s">
        <v>2652</v>
      </c>
      <c r="D653" s="11" t="s">
        <v>3219</v>
      </c>
      <c r="E653" s="11" t="s">
        <v>2621</v>
      </c>
      <c r="F653" s="11" t="s">
        <v>3147</v>
      </c>
      <c r="G653" s="11">
        <v>22378.9</v>
      </c>
      <c r="H653" s="11" t="s">
        <v>2623</v>
      </c>
      <c r="I653" s="11" t="s">
        <v>1411</v>
      </c>
      <c r="J653" s="11">
        <v>28</v>
      </c>
      <c r="K653" s="11">
        <v>17483.52</v>
      </c>
      <c r="L653" s="11">
        <v>0</v>
      </c>
      <c r="M653" s="11">
        <v>2447.69</v>
      </c>
      <c r="N653" s="11">
        <v>2447.69</v>
      </c>
      <c r="O653" s="11">
        <v>0</v>
      </c>
      <c r="P653" s="11" t="s">
        <v>2624</v>
      </c>
    </row>
    <row r="654" spans="1:16" x14ac:dyDescent="0.2">
      <c r="A654" s="52">
        <v>43647</v>
      </c>
      <c r="B654" s="11" t="s">
        <v>29</v>
      </c>
      <c r="C654" s="11" t="s">
        <v>2652</v>
      </c>
      <c r="D654" s="11" t="s">
        <v>3220</v>
      </c>
      <c r="E654" s="11" t="s">
        <v>2621</v>
      </c>
      <c r="F654" s="11" t="s">
        <v>3147</v>
      </c>
      <c r="G654" s="11">
        <v>22378.9</v>
      </c>
      <c r="H654" s="11" t="s">
        <v>2623</v>
      </c>
      <c r="I654" s="11" t="s">
        <v>1411</v>
      </c>
      <c r="J654" s="11">
        <v>28</v>
      </c>
      <c r="K654" s="11">
        <v>17483.52</v>
      </c>
      <c r="L654" s="11">
        <v>0</v>
      </c>
      <c r="M654" s="11">
        <v>2447.69</v>
      </c>
      <c r="N654" s="11">
        <v>2447.69</v>
      </c>
      <c r="O654" s="11">
        <v>0</v>
      </c>
      <c r="P654" s="11" t="s">
        <v>2624</v>
      </c>
    </row>
    <row r="655" spans="1:16" x14ac:dyDescent="0.2">
      <c r="A655" s="52">
        <v>43647</v>
      </c>
      <c r="B655" s="11" t="s">
        <v>29</v>
      </c>
      <c r="C655" s="11" t="s">
        <v>2652</v>
      </c>
      <c r="D655" s="11" t="s">
        <v>3221</v>
      </c>
      <c r="E655" s="11" t="s">
        <v>2621</v>
      </c>
      <c r="F655" s="11" t="s">
        <v>3187</v>
      </c>
      <c r="G655" s="11">
        <v>22378.9</v>
      </c>
      <c r="H655" s="11" t="s">
        <v>2623</v>
      </c>
      <c r="I655" s="11" t="s">
        <v>1411</v>
      </c>
      <c r="J655" s="11">
        <v>28</v>
      </c>
      <c r="K655" s="11">
        <v>17483.52</v>
      </c>
      <c r="L655" s="11">
        <v>0</v>
      </c>
      <c r="M655" s="11">
        <v>2447.69</v>
      </c>
      <c r="N655" s="11">
        <v>2447.69</v>
      </c>
      <c r="O655" s="11">
        <v>0</v>
      </c>
      <c r="P655" s="11" t="s">
        <v>2624</v>
      </c>
    </row>
    <row r="656" spans="1:16" x14ac:dyDescent="0.2">
      <c r="A656" s="52">
        <v>43647</v>
      </c>
      <c r="B656" s="11" t="s">
        <v>29</v>
      </c>
      <c r="C656" s="11" t="s">
        <v>2652</v>
      </c>
      <c r="D656" s="11" t="s">
        <v>3222</v>
      </c>
      <c r="E656" s="11" t="s">
        <v>2621</v>
      </c>
      <c r="F656" s="11" t="s">
        <v>3180</v>
      </c>
      <c r="G656" s="11">
        <v>18649.080000000002</v>
      </c>
      <c r="H656" s="11" t="s">
        <v>2623</v>
      </c>
      <c r="I656" s="11" t="s">
        <v>1411</v>
      </c>
      <c r="J656" s="11">
        <v>28</v>
      </c>
      <c r="K656" s="11">
        <v>14569.6</v>
      </c>
      <c r="L656" s="11">
        <v>0</v>
      </c>
      <c r="M656" s="11">
        <v>2039.74</v>
      </c>
      <c r="N656" s="11">
        <v>2039.74</v>
      </c>
      <c r="O656" s="11">
        <v>0</v>
      </c>
      <c r="P656" s="11" t="s">
        <v>2624</v>
      </c>
    </row>
    <row r="657" spans="1:16" x14ac:dyDescent="0.2">
      <c r="A657" s="52">
        <v>43647</v>
      </c>
      <c r="B657" s="11" t="s">
        <v>29</v>
      </c>
      <c r="C657" s="11" t="s">
        <v>2652</v>
      </c>
      <c r="D657" s="11" t="s">
        <v>3223</v>
      </c>
      <c r="E657" s="11" t="s">
        <v>2621</v>
      </c>
      <c r="F657" s="11" t="s">
        <v>3180</v>
      </c>
      <c r="G657" s="11">
        <v>22378.9</v>
      </c>
      <c r="H657" s="11" t="s">
        <v>2623</v>
      </c>
      <c r="I657" s="11" t="s">
        <v>1411</v>
      </c>
      <c r="J657" s="11">
        <v>28</v>
      </c>
      <c r="K657" s="11">
        <v>17483.52</v>
      </c>
      <c r="L657" s="11">
        <v>0</v>
      </c>
      <c r="M657" s="11">
        <v>2447.69</v>
      </c>
      <c r="N657" s="11">
        <v>2447.69</v>
      </c>
      <c r="O657" s="11">
        <v>0</v>
      </c>
      <c r="P657" s="11" t="s">
        <v>2624</v>
      </c>
    </row>
    <row r="658" spans="1:16" x14ac:dyDescent="0.2">
      <c r="A658" s="52">
        <v>43647</v>
      </c>
      <c r="B658" s="11" t="s">
        <v>29</v>
      </c>
      <c r="C658" s="11" t="s">
        <v>2652</v>
      </c>
      <c r="D658" s="11" t="s">
        <v>3224</v>
      </c>
      <c r="E658" s="11" t="s">
        <v>2621</v>
      </c>
      <c r="F658" s="11" t="s">
        <v>3180</v>
      </c>
      <c r="G658" s="11">
        <v>22378.9</v>
      </c>
      <c r="H658" s="11" t="s">
        <v>2623</v>
      </c>
      <c r="I658" s="11" t="s">
        <v>1411</v>
      </c>
      <c r="J658" s="11">
        <v>28</v>
      </c>
      <c r="K658" s="11">
        <v>17483.52</v>
      </c>
      <c r="L658" s="11">
        <v>0</v>
      </c>
      <c r="M658" s="11">
        <v>2447.69</v>
      </c>
      <c r="N658" s="11">
        <v>2447.69</v>
      </c>
      <c r="O658" s="11">
        <v>0</v>
      </c>
      <c r="P658" s="11" t="s">
        <v>2624</v>
      </c>
    </row>
    <row r="659" spans="1:16" x14ac:dyDescent="0.2">
      <c r="A659" s="52">
        <v>43647</v>
      </c>
      <c r="B659" s="11" t="s">
        <v>29</v>
      </c>
      <c r="C659" s="11" t="s">
        <v>2652</v>
      </c>
      <c r="D659" s="11" t="s">
        <v>3225</v>
      </c>
      <c r="E659" s="11" t="s">
        <v>2621</v>
      </c>
      <c r="F659" s="11" t="s">
        <v>3160</v>
      </c>
      <c r="G659" s="11">
        <v>22378.9</v>
      </c>
      <c r="H659" s="11" t="s">
        <v>2623</v>
      </c>
      <c r="I659" s="11" t="s">
        <v>1411</v>
      </c>
      <c r="J659" s="11">
        <v>28</v>
      </c>
      <c r="K659" s="11">
        <v>17483.52</v>
      </c>
      <c r="L659" s="11">
        <v>0</v>
      </c>
      <c r="M659" s="11">
        <v>2447.69</v>
      </c>
      <c r="N659" s="11">
        <v>2447.69</v>
      </c>
      <c r="O659" s="11">
        <v>0</v>
      </c>
      <c r="P659" s="11" t="s">
        <v>2624</v>
      </c>
    </row>
    <row r="660" spans="1:16" x14ac:dyDescent="0.2">
      <c r="A660" s="52">
        <v>43647</v>
      </c>
      <c r="B660" s="11" t="s">
        <v>29</v>
      </c>
      <c r="C660" s="11" t="s">
        <v>2652</v>
      </c>
      <c r="D660" s="11" t="s">
        <v>3226</v>
      </c>
      <c r="E660" s="11" t="s">
        <v>2621</v>
      </c>
      <c r="F660" s="11" t="s">
        <v>3160</v>
      </c>
      <c r="G660" s="11">
        <v>22378.9</v>
      </c>
      <c r="H660" s="11" t="s">
        <v>2623</v>
      </c>
      <c r="I660" s="11" t="s">
        <v>1411</v>
      </c>
      <c r="J660" s="11">
        <v>28</v>
      </c>
      <c r="K660" s="11">
        <v>17483.52</v>
      </c>
      <c r="L660" s="11">
        <v>0</v>
      </c>
      <c r="M660" s="11">
        <v>2447.69</v>
      </c>
      <c r="N660" s="11">
        <v>2447.69</v>
      </c>
      <c r="O660" s="11">
        <v>0</v>
      </c>
      <c r="P660" s="11" t="s">
        <v>2624</v>
      </c>
    </row>
    <row r="661" spans="1:16" x14ac:dyDescent="0.2">
      <c r="A661" s="52">
        <v>43647</v>
      </c>
      <c r="B661" s="11" t="s">
        <v>29</v>
      </c>
      <c r="C661" s="11" t="s">
        <v>2652</v>
      </c>
      <c r="D661" s="11" t="s">
        <v>3227</v>
      </c>
      <c r="E661" s="11" t="s">
        <v>2621</v>
      </c>
      <c r="F661" s="11" t="s">
        <v>3143</v>
      </c>
      <c r="G661" s="11">
        <v>22378.9</v>
      </c>
      <c r="H661" s="11" t="s">
        <v>2623</v>
      </c>
      <c r="I661" s="11" t="s">
        <v>1411</v>
      </c>
      <c r="J661" s="11">
        <v>28</v>
      </c>
      <c r="K661" s="11">
        <v>17483.52</v>
      </c>
      <c r="L661" s="11">
        <v>0</v>
      </c>
      <c r="M661" s="11">
        <v>2447.69</v>
      </c>
      <c r="N661" s="11">
        <v>2447.69</v>
      </c>
      <c r="O661" s="11">
        <v>0</v>
      </c>
      <c r="P661" s="11" t="s">
        <v>2624</v>
      </c>
    </row>
    <row r="662" spans="1:16" x14ac:dyDescent="0.2">
      <c r="A662" s="52">
        <v>43647</v>
      </c>
      <c r="B662" s="11" t="s">
        <v>29</v>
      </c>
      <c r="C662" s="11" t="s">
        <v>2652</v>
      </c>
      <c r="D662" s="11" t="s">
        <v>3228</v>
      </c>
      <c r="E662" s="11" t="s">
        <v>2621</v>
      </c>
      <c r="F662" s="11" t="s">
        <v>3143</v>
      </c>
      <c r="G662" s="11">
        <v>22378.9</v>
      </c>
      <c r="H662" s="11" t="s">
        <v>2623</v>
      </c>
      <c r="I662" s="11" t="s">
        <v>1411</v>
      </c>
      <c r="J662" s="11">
        <v>28</v>
      </c>
      <c r="K662" s="11">
        <v>17483.52</v>
      </c>
      <c r="L662" s="11">
        <v>0</v>
      </c>
      <c r="M662" s="11">
        <v>2447.69</v>
      </c>
      <c r="N662" s="11">
        <v>2447.69</v>
      </c>
      <c r="O662" s="11">
        <v>0</v>
      </c>
      <c r="P662" s="11" t="s">
        <v>2624</v>
      </c>
    </row>
    <row r="663" spans="1:16" x14ac:dyDescent="0.2">
      <c r="A663" s="52">
        <v>43647</v>
      </c>
      <c r="B663" s="11" t="s">
        <v>29</v>
      </c>
      <c r="C663" s="11" t="s">
        <v>2652</v>
      </c>
      <c r="D663" s="11" t="s">
        <v>3229</v>
      </c>
      <c r="E663" s="11" t="s">
        <v>2621</v>
      </c>
      <c r="F663" s="11" t="s">
        <v>3230</v>
      </c>
      <c r="G663" s="11">
        <v>22378.9</v>
      </c>
      <c r="H663" s="11" t="s">
        <v>2623</v>
      </c>
      <c r="I663" s="11" t="s">
        <v>1411</v>
      </c>
      <c r="J663" s="11">
        <v>28</v>
      </c>
      <c r="K663" s="11">
        <v>17483.52</v>
      </c>
      <c r="L663" s="11">
        <v>0</v>
      </c>
      <c r="M663" s="11">
        <v>2447.69</v>
      </c>
      <c r="N663" s="11">
        <v>2447.69</v>
      </c>
      <c r="O663" s="11">
        <v>0</v>
      </c>
      <c r="P663" s="11" t="s">
        <v>2624</v>
      </c>
    </row>
    <row r="664" spans="1:16" x14ac:dyDescent="0.2">
      <c r="A664" s="52">
        <v>43647</v>
      </c>
      <c r="B664" s="11" t="s">
        <v>29</v>
      </c>
      <c r="C664" s="11" t="s">
        <v>2652</v>
      </c>
      <c r="D664" s="11" t="s">
        <v>3231</v>
      </c>
      <c r="E664" s="11" t="s">
        <v>2621</v>
      </c>
      <c r="F664" s="11" t="s">
        <v>3230</v>
      </c>
      <c r="G664" s="11">
        <v>22378.9</v>
      </c>
      <c r="H664" s="11" t="s">
        <v>2623</v>
      </c>
      <c r="I664" s="11" t="s">
        <v>1411</v>
      </c>
      <c r="J664" s="11">
        <v>28</v>
      </c>
      <c r="K664" s="11">
        <v>17483.52</v>
      </c>
      <c r="L664" s="11">
        <v>0</v>
      </c>
      <c r="M664" s="11">
        <v>2447.69</v>
      </c>
      <c r="N664" s="11">
        <v>2447.69</v>
      </c>
      <c r="O664" s="11">
        <v>0</v>
      </c>
      <c r="P664" s="11" t="s">
        <v>2624</v>
      </c>
    </row>
    <row r="665" spans="1:16" x14ac:dyDescent="0.2">
      <c r="A665" s="52">
        <v>43647</v>
      </c>
      <c r="B665" s="11" t="s">
        <v>29</v>
      </c>
      <c r="C665" s="11" t="s">
        <v>2652</v>
      </c>
      <c r="D665" s="11" t="s">
        <v>3232</v>
      </c>
      <c r="E665" s="11" t="s">
        <v>2621</v>
      </c>
      <c r="F665" s="11" t="s">
        <v>3230</v>
      </c>
      <c r="G665" s="11">
        <v>13054.36</v>
      </c>
      <c r="H665" s="11" t="s">
        <v>2623</v>
      </c>
      <c r="I665" s="11" t="s">
        <v>1411</v>
      </c>
      <c r="J665" s="11">
        <v>28</v>
      </c>
      <c r="K665" s="11">
        <v>10198.719999999999</v>
      </c>
      <c r="L665" s="11">
        <v>0</v>
      </c>
      <c r="M665" s="11">
        <v>1427.82</v>
      </c>
      <c r="N665" s="11">
        <v>1427.82</v>
      </c>
      <c r="O665" s="11">
        <v>0</v>
      </c>
      <c r="P665" s="11" t="s">
        <v>2624</v>
      </c>
    </row>
    <row r="666" spans="1:16" x14ac:dyDescent="0.2">
      <c r="A666" s="52">
        <v>43647</v>
      </c>
      <c r="B666" s="11" t="s">
        <v>74</v>
      </c>
      <c r="C666" s="11" t="s">
        <v>2698</v>
      </c>
      <c r="D666" s="11" t="s">
        <v>3233</v>
      </c>
      <c r="E666" s="11" t="s">
        <v>2621</v>
      </c>
      <c r="F666" s="11" t="s">
        <v>3144</v>
      </c>
      <c r="G666" s="11">
        <v>53247.28</v>
      </c>
      <c r="H666" s="11" t="s">
        <v>2623</v>
      </c>
      <c r="I666" s="11" t="s">
        <v>1411</v>
      </c>
      <c r="J666" s="11">
        <v>18</v>
      </c>
      <c r="K666" s="11">
        <v>45124.800000000003</v>
      </c>
      <c r="L666" s="11">
        <v>0</v>
      </c>
      <c r="M666" s="11">
        <v>4061.23</v>
      </c>
      <c r="N666" s="11">
        <v>4061.23</v>
      </c>
      <c r="O666" s="11">
        <v>0</v>
      </c>
      <c r="P666" s="11" t="s">
        <v>2624</v>
      </c>
    </row>
    <row r="667" spans="1:16" x14ac:dyDescent="0.2">
      <c r="A667" s="52">
        <v>43647</v>
      </c>
      <c r="B667" s="11" t="s">
        <v>74</v>
      </c>
      <c r="C667" s="11" t="s">
        <v>2698</v>
      </c>
      <c r="D667" s="11" t="s">
        <v>3234</v>
      </c>
      <c r="E667" s="11" t="s">
        <v>2621</v>
      </c>
      <c r="F667" s="11" t="s">
        <v>3185</v>
      </c>
      <c r="G667" s="11">
        <v>25057.52</v>
      </c>
      <c r="H667" s="11" t="s">
        <v>2623</v>
      </c>
      <c r="I667" s="11" t="s">
        <v>1411</v>
      </c>
      <c r="J667" s="11">
        <v>18</v>
      </c>
      <c r="K667" s="11">
        <v>21235.200000000001</v>
      </c>
      <c r="L667" s="11">
        <v>0</v>
      </c>
      <c r="M667" s="11">
        <v>1911.17</v>
      </c>
      <c r="N667" s="11">
        <v>1911.17</v>
      </c>
      <c r="O667" s="11">
        <v>0</v>
      </c>
      <c r="P667" s="11" t="s">
        <v>2624</v>
      </c>
    </row>
    <row r="668" spans="1:16" x14ac:dyDescent="0.2">
      <c r="A668" s="52">
        <v>43647</v>
      </c>
      <c r="B668" s="11" t="s">
        <v>74</v>
      </c>
      <c r="C668" s="11" t="s">
        <v>2698</v>
      </c>
      <c r="D668" s="11" t="s">
        <v>3235</v>
      </c>
      <c r="E668" s="11" t="s">
        <v>2621</v>
      </c>
      <c r="F668" s="11" t="s">
        <v>3153</v>
      </c>
      <c r="G668" s="11">
        <v>28189.72</v>
      </c>
      <c r="H668" s="11" t="s">
        <v>2623</v>
      </c>
      <c r="I668" s="11" t="s">
        <v>1411</v>
      </c>
      <c r="J668" s="11">
        <v>18</v>
      </c>
      <c r="K668" s="11">
        <v>23889.599999999999</v>
      </c>
      <c r="L668" s="11">
        <v>0</v>
      </c>
      <c r="M668" s="11">
        <v>2150.06</v>
      </c>
      <c r="N668" s="11">
        <v>2150.06</v>
      </c>
      <c r="O668" s="11">
        <v>0</v>
      </c>
      <c r="P668" s="11" t="s">
        <v>2624</v>
      </c>
    </row>
    <row r="669" spans="1:16" x14ac:dyDescent="0.2">
      <c r="A669" s="52">
        <v>43647</v>
      </c>
      <c r="B669" s="11" t="s">
        <v>74</v>
      </c>
      <c r="C669" s="11" t="s">
        <v>2698</v>
      </c>
      <c r="D669" s="11" t="s">
        <v>3236</v>
      </c>
      <c r="E669" s="11" t="s">
        <v>2621</v>
      </c>
      <c r="F669" s="11" t="s">
        <v>3237</v>
      </c>
      <c r="G669" s="11">
        <v>31321.919999999998</v>
      </c>
      <c r="H669" s="11" t="s">
        <v>2623</v>
      </c>
      <c r="I669" s="11" t="s">
        <v>1411</v>
      </c>
      <c r="J669" s="11">
        <v>18</v>
      </c>
      <c r="K669" s="11">
        <v>26544</v>
      </c>
      <c r="L669" s="11">
        <v>0</v>
      </c>
      <c r="M669" s="11">
        <v>2388.96</v>
      </c>
      <c r="N669" s="11">
        <v>2388.96</v>
      </c>
      <c r="O669" s="11">
        <v>0</v>
      </c>
      <c r="P669" s="11" t="s">
        <v>2624</v>
      </c>
    </row>
    <row r="670" spans="1:16" x14ac:dyDescent="0.2">
      <c r="A670" s="52">
        <v>43647</v>
      </c>
      <c r="B670" s="11" t="s">
        <v>74</v>
      </c>
      <c r="C670" s="11" t="s">
        <v>2698</v>
      </c>
      <c r="D670" s="11" t="s">
        <v>3238</v>
      </c>
      <c r="E670" s="11" t="s">
        <v>2621</v>
      </c>
      <c r="F670" s="11" t="s">
        <v>3168</v>
      </c>
      <c r="G670" s="11">
        <v>50115.08</v>
      </c>
      <c r="H670" s="11" t="s">
        <v>2623</v>
      </c>
      <c r="I670" s="11" t="s">
        <v>1411</v>
      </c>
      <c r="J670" s="11">
        <v>18</v>
      </c>
      <c r="K670" s="11">
        <v>42470.400000000001</v>
      </c>
      <c r="L670" s="11">
        <v>0</v>
      </c>
      <c r="M670" s="11">
        <v>3822.34</v>
      </c>
      <c r="N670" s="11">
        <v>3822.34</v>
      </c>
      <c r="O670" s="11">
        <v>0</v>
      </c>
      <c r="P670" s="11" t="s">
        <v>2624</v>
      </c>
    </row>
    <row r="671" spans="1:16" x14ac:dyDescent="0.2">
      <c r="A671" s="52">
        <v>43647</v>
      </c>
      <c r="B671" s="11" t="s">
        <v>74</v>
      </c>
      <c r="C671" s="11" t="s">
        <v>2698</v>
      </c>
      <c r="D671" s="11" t="s">
        <v>3239</v>
      </c>
      <c r="E671" s="11" t="s">
        <v>2621</v>
      </c>
      <c r="F671" s="11" t="s">
        <v>3174</v>
      </c>
      <c r="G671" s="11">
        <v>31321.919999999998</v>
      </c>
      <c r="H671" s="11" t="s">
        <v>2623</v>
      </c>
      <c r="I671" s="11" t="s">
        <v>1411</v>
      </c>
      <c r="J671" s="11">
        <v>18</v>
      </c>
      <c r="K671" s="11">
        <v>26544</v>
      </c>
      <c r="L671" s="11">
        <v>0</v>
      </c>
      <c r="M671" s="11">
        <v>2388.96</v>
      </c>
      <c r="N671" s="11">
        <v>2388.96</v>
      </c>
      <c r="O671" s="11">
        <v>0</v>
      </c>
      <c r="P671" s="11" t="s">
        <v>2624</v>
      </c>
    </row>
    <row r="672" spans="1:16" x14ac:dyDescent="0.2">
      <c r="A672" s="52">
        <v>43647</v>
      </c>
      <c r="B672" s="11" t="s">
        <v>74</v>
      </c>
      <c r="C672" s="11" t="s">
        <v>2698</v>
      </c>
      <c r="D672" s="11" t="s">
        <v>3240</v>
      </c>
      <c r="E672" s="11" t="s">
        <v>2621</v>
      </c>
      <c r="F672" s="11" t="s">
        <v>3151</v>
      </c>
      <c r="G672" s="11">
        <v>31321.919999999998</v>
      </c>
      <c r="H672" s="11" t="s">
        <v>2623</v>
      </c>
      <c r="I672" s="11" t="s">
        <v>1411</v>
      </c>
      <c r="J672" s="11">
        <v>18</v>
      </c>
      <c r="K672" s="11">
        <v>26544</v>
      </c>
      <c r="L672" s="11">
        <v>0</v>
      </c>
      <c r="M672" s="11">
        <v>2388.96</v>
      </c>
      <c r="N672" s="11">
        <v>2388.96</v>
      </c>
      <c r="O672" s="11">
        <v>0</v>
      </c>
      <c r="P672" s="11" t="s">
        <v>2624</v>
      </c>
    </row>
    <row r="673" spans="1:16" x14ac:dyDescent="0.2">
      <c r="A673" s="52">
        <v>43647</v>
      </c>
      <c r="B673" s="11" t="s">
        <v>74</v>
      </c>
      <c r="C673" s="11" t="s">
        <v>2698</v>
      </c>
      <c r="D673" s="11" t="s">
        <v>3241</v>
      </c>
      <c r="E673" s="11" t="s">
        <v>2621</v>
      </c>
      <c r="F673" s="11" t="s">
        <v>3183</v>
      </c>
      <c r="G673" s="11">
        <v>34454.120000000003</v>
      </c>
      <c r="H673" s="11" t="s">
        <v>2623</v>
      </c>
      <c r="I673" s="11" t="s">
        <v>1411</v>
      </c>
      <c r="J673" s="11">
        <v>18</v>
      </c>
      <c r="K673" s="11">
        <v>29198.400000000001</v>
      </c>
      <c r="L673" s="11">
        <v>0</v>
      </c>
      <c r="M673" s="11">
        <v>2627.86</v>
      </c>
      <c r="N673" s="11">
        <v>2627.86</v>
      </c>
      <c r="O673" s="11">
        <v>0</v>
      </c>
      <c r="P673" s="11" t="s">
        <v>2624</v>
      </c>
    </row>
    <row r="674" spans="1:16" x14ac:dyDescent="0.2">
      <c r="A674" s="52">
        <v>43647</v>
      </c>
      <c r="B674" s="11" t="s">
        <v>74</v>
      </c>
      <c r="C674" s="11" t="s">
        <v>2698</v>
      </c>
      <c r="D674" s="11" t="s">
        <v>3242</v>
      </c>
      <c r="E674" s="11" t="s">
        <v>2621</v>
      </c>
      <c r="F674" s="11" t="s">
        <v>3139</v>
      </c>
      <c r="G674" s="11">
        <v>37586.32</v>
      </c>
      <c r="H674" s="11" t="s">
        <v>2623</v>
      </c>
      <c r="I674" s="11" t="s">
        <v>1411</v>
      </c>
      <c r="J674" s="11">
        <v>18</v>
      </c>
      <c r="K674" s="11">
        <v>31852.799999999999</v>
      </c>
      <c r="L674" s="11">
        <v>0</v>
      </c>
      <c r="M674" s="11">
        <v>2866.75</v>
      </c>
      <c r="N674" s="11">
        <v>2866.75</v>
      </c>
      <c r="O674" s="11">
        <v>0</v>
      </c>
      <c r="P674" s="11" t="s">
        <v>2624</v>
      </c>
    </row>
    <row r="675" spans="1:16" x14ac:dyDescent="0.2">
      <c r="A675" s="52">
        <v>43647</v>
      </c>
      <c r="B675" s="11" t="s">
        <v>74</v>
      </c>
      <c r="C675" s="11" t="s">
        <v>2698</v>
      </c>
      <c r="D675" s="11" t="s">
        <v>3243</v>
      </c>
      <c r="E675" s="11" t="s">
        <v>2621</v>
      </c>
      <c r="F675" s="11" t="s">
        <v>3210</v>
      </c>
      <c r="G675" s="11">
        <v>31321.919999999998</v>
      </c>
      <c r="H675" s="11" t="s">
        <v>2623</v>
      </c>
      <c r="I675" s="11" t="s">
        <v>1411</v>
      </c>
      <c r="J675" s="11">
        <v>18</v>
      </c>
      <c r="K675" s="11">
        <v>26544</v>
      </c>
      <c r="L675" s="11">
        <v>0</v>
      </c>
      <c r="M675" s="11">
        <v>2388.96</v>
      </c>
      <c r="N675" s="11">
        <v>2388.96</v>
      </c>
      <c r="O675" s="11">
        <v>0</v>
      </c>
      <c r="P675" s="11" t="s">
        <v>2624</v>
      </c>
    </row>
    <row r="676" spans="1:16" x14ac:dyDescent="0.2">
      <c r="A676" s="52">
        <v>43647</v>
      </c>
      <c r="B676" s="11" t="s">
        <v>74</v>
      </c>
      <c r="C676" s="11" t="s">
        <v>2698</v>
      </c>
      <c r="D676" s="11" t="s">
        <v>3244</v>
      </c>
      <c r="E676" s="11" t="s">
        <v>2621</v>
      </c>
      <c r="F676" s="11" t="s">
        <v>3186</v>
      </c>
      <c r="G676" s="11">
        <v>31321.919999999998</v>
      </c>
      <c r="H676" s="11" t="s">
        <v>2623</v>
      </c>
      <c r="I676" s="11" t="s">
        <v>1411</v>
      </c>
      <c r="J676" s="11">
        <v>18</v>
      </c>
      <c r="K676" s="11">
        <v>26544</v>
      </c>
      <c r="L676" s="11">
        <v>0</v>
      </c>
      <c r="M676" s="11">
        <v>2388.96</v>
      </c>
      <c r="N676" s="11">
        <v>2388.96</v>
      </c>
      <c r="O676" s="11">
        <v>0</v>
      </c>
      <c r="P676" s="11" t="s">
        <v>2624</v>
      </c>
    </row>
    <row r="677" spans="1:16" x14ac:dyDescent="0.2">
      <c r="A677" s="52">
        <v>43647</v>
      </c>
      <c r="B677" s="11" t="s">
        <v>74</v>
      </c>
      <c r="C677" s="11" t="s">
        <v>2698</v>
      </c>
      <c r="D677" s="11" t="s">
        <v>3245</v>
      </c>
      <c r="E677" s="11" t="s">
        <v>2621</v>
      </c>
      <c r="F677" s="11" t="s">
        <v>3147</v>
      </c>
      <c r="G677" s="11">
        <v>37586.32</v>
      </c>
      <c r="H677" s="11" t="s">
        <v>2623</v>
      </c>
      <c r="I677" s="11" t="s">
        <v>1411</v>
      </c>
      <c r="J677" s="11">
        <v>18</v>
      </c>
      <c r="K677" s="11">
        <v>31852.799999999999</v>
      </c>
      <c r="L677" s="11">
        <v>0</v>
      </c>
      <c r="M677" s="11">
        <v>2866.75</v>
      </c>
      <c r="N677" s="11">
        <v>2866.75</v>
      </c>
      <c r="O677" s="11">
        <v>0</v>
      </c>
      <c r="P677" s="11" t="s">
        <v>2624</v>
      </c>
    </row>
    <row r="678" spans="1:16" x14ac:dyDescent="0.2">
      <c r="A678" s="52">
        <v>43647</v>
      </c>
      <c r="B678" s="11" t="s">
        <v>74</v>
      </c>
      <c r="C678" s="11" t="s">
        <v>2698</v>
      </c>
      <c r="D678" s="11" t="s">
        <v>3246</v>
      </c>
      <c r="E678" s="11" t="s">
        <v>2621</v>
      </c>
      <c r="F678" s="11" t="s">
        <v>3180</v>
      </c>
      <c r="G678" s="11">
        <v>46982.879999999997</v>
      </c>
      <c r="H678" s="11" t="s">
        <v>2623</v>
      </c>
      <c r="I678" s="11" t="s">
        <v>1411</v>
      </c>
      <c r="J678" s="11">
        <v>18</v>
      </c>
      <c r="K678" s="11">
        <v>39816</v>
      </c>
      <c r="L678" s="11">
        <v>0</v>
      </c>
      <c r="M678" s="11">
        <v>3583.44</v>
      </c>
      <c r="N678" s="11">
        <v>3583.44</v>
      </c>
      <c r="O678" s="11">
        <v>0</v>
      </c>
      <c r="P678" s="11" t="s">
        <v>2624</v>
      </c>
    </row>
    <row r="679" spans="1:16" x14ac:dyDescent="0.2">
      <c r="A679" s="52">
        <v>43647</v>
      </c>
      <c r="B679" s="11" t="s">
        <v>74</v>
      </c>
      <c r="C679" s="11" t="s">
        <v>2698</v>
      </c>
      <c r="D679" s="11" t="s">
        <v>3247</v>
      </c>
      <c r="E679" s="11" t="s">
        <v>2621</v>
      </c>
      <c r="F679" s="11" t="s">
        <v>3230</v>
      </c>
      <c r="G679" s="11">
        <v>12528.76</v>
      </c>
      <c r="H679" s="11" t="s">
        <v>2623</v>
      </c>
      <c r="I679" s="11" t="s">
        <v>1411</v>
      </c>
      <c r="J679" s="11">
        <v>18</v>
      </c>
      <c r="K679" s="11">
        <v>10617.6</v>
      </c>
      <c r="L679" s="11">
        <v>0</v>
      </c>
      <c r="M679" s="11">
        <v>955.58</v>
      </c>
      <c r="N679" s="11">
        <v>955.58</v>
      </c>
      <c r="O679" s="11">
        <v>0</v>
      </c>
      <c r="P679" s="11" t="s">
        <v>2624</v>
      </c>
    </row>
    <row r="680" spans="1:16" x14ac:dyDescent="0.2">
      <c r="A680" s="52">
        <v>43647</v>
      </c>
      <c r="B680" s="11" t="s">
        <v>74</v>
      </c>
      <c r="C680" s="11" t="s">
        <v>2698</v>
      </c>
      <c r="D680" s="11" t="s">
        <v>3248</v>
      </c>
      <c r="E680" s="11" t="s">
        <v>2621</v>
      </c>
      <c r="F680" s="11" t="s">
        <v>3249</v>
      </c>
      <c r="G680" s="11">
        <v>31321.919999999998</v>
      </c>
      <c r="H680" s="11" t="s">
        <v>2623</v>
      </c>
      <c r="I680" s="11" t="s">
        <v>1411</v>
      </c>
      <c r="J680" s="11">
        <v>18</v>
      </c>
      <c r="K680" s="11">
        <v>26544</v>
      </c>
      <c r="L680" s="11">
        <v>0</v>
      </c>
      <c r="M680" s="11">
        <v>2388.96</v>
      </c>
      <c r="N680" s="11">
        <v>2388.96</v>
      </c>
      <c r="O680" s="11">
        <v>0</v>
      </c>
      <c r="P680" s="11" t="s">
        <v>2624</v>
      </c>
    </row>
    <row r="681" spans="1:16" x14ac:dyDescent="0.2">
      <c r="A681" s="52">
        <v>43647</v>
      </c>
      <c r="B681" s="11" t="s">
        <v>103</v>
      </c>
      <c r="C681" s="11" t="s">
        <v>1170</v>
      </c>
      <c r="D681" s="11" t="s">
        <v>2113</v>
      </c>
      <c r="E681" s="11" t="s">
        <v>2621</v>
      </c>
      <c r="F681" s="11" t="s">
        <v>3174</v>
      </c>
      <c r="G681" s="11">
        <v>2587.52</v>
      </c>
      <c r="H681" s="11" t="s">
        <v>2623</v>
      </c>
      <c r="I681" s="11" t="s">
        <v>1411</v>
      </c>
      <c r="J681" s="11">
        <v>28</v>
      </c>
      <c r="K681" s="11">
        <v>2021.5</v>
      </c>
      <c r="L681" s="11">
        <v>566.02</v>
      </c>
      <c r="M681" s="11">
        <v>0</v>
      </c>
      <c r="N681" s="11">
        <v>0</v>
      </c>
      <c r="O681" s="11">
        <v>0</v>
      </c>
      <c r="P681" s="11" t="s">
        <v>2624</v>
      </c>
    </row>
    <row r="682" spans="1:16" x14ac:dyDescent="0.2">
      <c r="A682" s="52">
        <v>43647</v>
      </c>
      <c r="B682" s="11" t="s">
        <v>103</v>
      </c>
      <c r="C682" s="11" t="s">
        <v>1170</v>
      </c>
      <c r="D682" s="11" t="s">
        <v>2114</v>
      </c>
      <c r="E682" s="11" t="s">
        <v>2621</v>
      </c>
      <c r="F682" s="11" t="s">
        <v>3143</v>
      </c>
      <c r="G682" s="11">
        <v>2587.52</v>
      </c>
      <c r="H682" s="11" t="s">
        <v>2623</v>
      </c>
      <c r="I682" s="11" t="s">
        <v>1411</v>
      </c>
      <c r="J682" s="11">
        <v>28</v>
      </c>
      <c r="K682" s="11">
        <v>2021.5</v>
      </c>
      <c r="L682" s="11">
        <v>566.02</v>
      </c>
      <c r="M682" s="11">
        <v>0</v>
      </c>
      <c r="N682" s="11">
        <v>0</v>
      </c>
      <c r="O682" s="11">
        <v>0</v>
      </c>
      <c r="P682" s="11" t="s">
        <v>2624</v>
      </c>
    </row>
    <row r="683" spans="1:16" x14ac:dyDescent="0.2">
      <c r="A683" s="52">
        <v>43647</v>
      </c>
      <c r="B683" s="11" t="s">
        <v>103</v>
      </c>
      <c r="C683" s="11" t="s">
        <v>1170</v>
      </c>
      <c r="D683" s="11" t="s">
        <v>2115</v>
      </c>
      <c r="E683" s="11" t="s">
        <v>2621</v>
      </c>
      <c r="F683" s="11" t="s">
        <v>3230</v>
      </c>
      <c r="G683" s="11">
        <v>2587.52</v>
      </c>
      <c r="H683" s="11" t="s">
        <v>2623</v>
      </c>
      <c r="I683" s="11" t="s">
        <v>1411</v>
      </c>
      <c r="J683" s="11">
        <v>28</v>
      </c>
      <c r="K683" s="11">
        <v>2021.5</v>
      </c>
      <c r="L683" s="11">
        <v>566.02</v>
      </c>
      <c r="M683" s="11">
        <v>0</v>
      </c>
      <c r="N683" s="11">
        <v>0</v>
      </c>
      <c r="O683" s="11">
        <v>0</v>
      </c>
      <c r="P683" s="11" t="s">
        <v>2624</v>
      </c>
    </row>
    <row r="684" spans="1:16" x14ac:dyDescent="0.2">
      <c r="A684" s="52">
        <v>43647</v>
      </c>
      <c r="B684" s="11" t="s">
        <v>156</v>
      </c>
      <c r="C684" s="11" t="s">
        <v>3026</v>
      </c>
      <c r="D684" s="11" t="s">
        <v>3250</v>
      </c>
      <c r="E684" s="11" t="s">
        <v>2621</v>
      </c>
      <c r="F684" s="11" t="s">
        <v>3153</v>
      </c>
      <c r="G684" s="11">
        <v>106.72</v>
      </c>
      <c r="H684" s="11" t="s">
        <v>2623</v>
      </c>
      <c r="I684" s="11" t="s">
        <v>1411</v>
      </c>
      <c r="J684" s="11">
        <v>18</v>
      </c>
      <c r="K684" s="11">
        <v>90.44</v>
      </c>
      <c r="L684" s="11">
        <v>0</v>
      </c>
      <c r="M684" s="11">
        <v>8.14</v>
      </c>
      <c r="N684" s="11">
        <v>8.14</v>
      </c>
      <c r="O684" s="11">
        <v>0</v>
      </c>
      <c r="P684" s="11" t="s">
        <v>2624</v>
      </c>
    </row>
    <row r="685" spans="1:16" x14ac:dyDescent="0.2">
      <c r="A685" s="52">
        <v>43647</v>
      </c>
      <c r="B685" s="11" t="s">
        <v>156</v>
      </c>
      <c r="C685" s="11" t="s">
        <v>3026</v>
      </c>
      <c r="D685" s="11" t="s">
        <v>3251</v>
      </c>
      <c r="E685" s="11" t="s">
        <v>2621</v>
      </c>
      <c r="F685" s="11" t="s">
        <v>3153</v>
      </c>
      <c r="G685" s="11">
        <v>106.72</v>
      </c>
      <c r="H685" s="11" t="s">
        <v>2623</v>
      </c>
      <c r="I685" s="11" t="s">
        <v>1411</v>
      </c>
      <c r="J685" s="11">
        <v>18</v>
      </c>
      <c r="K685" s="11">
        <v>90.44</v>
      </c>
      <c r="L685" s="11">
        <v>0</v>
      </c>
      <c r="M685" s="11">
        <v>8.14</v>
      </c>
      <c r="N685" s="11">
        <v>8.14</v>
      </c>
      <c r="O685" s="11">
        <v>0</v>
      </c>
      <c r="P685" s="11" t="s">
        <v>2624</v>
      </c>
    </row>
    <row r="686" spans="1:16" x14ac:dyDescent="0.2">
      <c r="A686" s="52">
        <v>43647</v>
      </c>
      <c r="B686" s="11" t="s">
        <v>156</v>
      </c>
      <c r="C686" s="11" t="s">
        <v>3026</v>
      </c>
      <c r="D686" s="11" t="s">
        <v>3252</v>
      </c>
      <c r="E686" s="11" t="s">
        <v>2621</v>
      </c>
      <c r="F686" s="11" t="s">
        <v>3139</v>
      </c>
      <c r="G686" s="11">
        <v>133.41999999999999</v>
      </c>
      <c r="H686" s="11" t="s">
        <v>2623</v>
      </c>
      <c r="I686" s="11" t="s">
        <v>1411</v>
      </c>
      <c r="J686" s="11">
        <v>18</v>
      </c>
      <c r="K686" s="11">
        <v>113.06</v>
      </c>
      <c r="L686" s="11">
        <v>0</v>
      </c>
      <c r="M686" s="11">
        <v>10.18</v>
      </c>
      <c r="N686" s="11">
        <v>10.18</v>
      </c>
      <c r="O686" s="11">
        <v>0</v>
      </c>
      <c r="P686" s="11" t="s">
        <v>2624</v>
      </c>
    </row>
    <row r="687" spans="1:16" x14ac:dyDescent="0.2">
      <c r="A687" s="52">
        <v>43647</v>
      </c>
      <c r="B687" s="11" t="s">
        <v>156</v>
      </c>
      <c r="C687" s="11" t="s">
        <v>3026</v>
      </c>
      <c r="D687" s="11" t="s">
        <v>3253</v>
      </c>
      <c r="E687" s="11" t="s">
        <v>2621</v>
      </c>
      <c r="F687" s="11" t="s">
        <v>3155</v>
      </c>
      <c r="G687" s="11">
        <v>106.72</v>
      </c>
      <c r="H687" s="11" t="s">
        <v>2623</v>
      </c>
      <c r="I687" s="11" t="s">
        <v>1411</v>
      </c>
      <c r="J687" s="11">
        <v>18</v>
      </c>
      <c r="K687" s="11">
        <v>90.44</v>
      </c>
      <c r="L687" s="11">
        <v>0</v>
      </c>
      <c r="M687" s="11">
        <v>8.14</v>
      </c>
      <c r="N687" s="11">
        <v>8.14</v>
      </c>
      <c r="O687" s="11">
        <v>0</v>
      </c>
      <c r="P687" s="11" t="s">
        <v>2624</v>
      </c>
    </row>
    <row r="688" spans="1:16" x14ac:dyDescent="0.2">
      <c r="A688" s="52">
        <v>43647</v>
      </c>
      <c r="B688" s="11" t="s">
        <v>854</v>
      </c>
      <c r="C688" s="11" t="s">
        <v>3254</v>
      </c>
      <c r="D688" s="11" t="s">
        <v>2783</v>
      </c>
      <c r="E688" s="11" t="s">
        <v>2621</v>
      </c>
      <c r="F688" s="11" t="s">
        <v>3141</v>
      </c>
      <c r="G688" s="11">
        <v>9813</v>
      </c>
      <c r="H688" s="11" t="s">
        <v>2623</v>
      </c>
      <c r="I688" s="11" t="s">
        <v>1411</v>
      </c>
      <c r="J688" s="11">
        <v>18</v>
      </c>
      <c r="K688" s="11">
        <v>8316.1</v>
      </c>
      <c r="L688" s="11">
        <v>0</v>
      </c>
      <c r="M688" s="11">
        <v>748.45</v>
      </c>
      <c r="N688" s="11">
        <v>748.45</v>
      </c>
      <c r="O688" s="11">
        <v>0</v>
      </c>
      <c r="P688" s="11" t="s">
        <v>2624</v>
      </c>
    </row>
    <row r="689" spans="1:16" x14ac:dyDescent="0.2">
      <c r="A689" s="52">
        <v>43647</v>
      </c>
      <c r="B689" s="11" t="s">
        <v>3031</v>
      </c>
      <c r="C689" s="11" t="s">
        <v>3032</v>
      </c>
      <c r="D689" s="11" t="s">
        <v>3255</v>
      </c>
      <c r="E689" s="11" t="s">
        <v>2621</v>
      </c>
      <c r="F689" s="11" t="s">
        <v>3142</v>
      </c>
      <c r="G689" s="11">
        <v>4460</v>
      </c>
      <c r="H689" s="11" t="s">
        <v>2623</v>
      </c>
      <c r="I689" s="11" t="s">
        <v>2886</v>
      </c>
      <c r="J689" s="11">
        <v>5</v>
      </c>
      <c r="K689" s="11">
        <v>4460</v>
      </c>
      <c r="L689" s="11">
        <v>0</v>
      </c>
      <c r="M689" s="11">
        <v>111.5</v>
      </c>
      <c r="N689" s="11">
        <v>111.5</v>
      </c>
      <c r="O689" s="11">
        <v>0</v>
      </c>
      <c r="P689" s="11" t="s">
        <v>2624</v>
      </c>
    </row>
    <row r="690" spans="1:16" x14ac:dyDescent="0.2">
      <c r="A690" s="52">
        <v>43647</v>
      </c>
      <c r="B690" s="11" t="s">
        <v>256</v>
      </c>
      <c r="C690" s="11" t="s">
        <v>2711</v>
      </c>
      <c r="D690" s="11" t="s">
        <v>3257</v>
      </c>
      <c r="E690" s="11" t="s">
        <v>2621</v>
      </c>
      <c r="F690" s="11" t="s">
        <v>3153</v>
      </c>
      <c r="G690" s="11">
        <v>38017.120000000003</v>
      </c>
      <c r="H690" s="11" t="s">
        <v>2623</v>
      </c>
      <c r="I690" s="11" t="s">
        <v>1411</v>
      </c>
      <c r="J690" s="11">
        <v>28</v>
      </c>
      <c r="K690" s="11">
        <v>29700.880000000001</v>
      </c>
      <c r="L690" s="11">
        <v>8316.25</v>
      </c>
      <c r="M690" s="11">
        <v>0</v>
      </c>
      <c r="N690" s="11">
        <v>0</v>
      </c>
      <c r="O690" s="11">
        <v>0</v>
      </c>
      <c r="P690" s="11" t="s">
        <v>2624</v>
      </c>
    </row>
    <row r="691" spans="1:16" x14ac:dyDescent="0.2">
      <c r="A691" s="52">
        <v>43647</v>
      </c>
      <c r="B691" s="11" t="s">
        <v>256</v>
      </c>
      <c r="C691" s="11" t="s">
        <v>2711</v>
      </c>
      <c r="D691" s="11" t="s">
        <v>3258</v>
      </c>
      <c r="E691" s="11" t="s">
        <v>2621</v>
      </c>
      <c r="F691" s="11" t="s">
        <v>3149</v>
      </c>
      <c r="G691" s="11">
        <v>33404.31</v>
      </c>
      <c r="H691" s="11" t="s">
        <v>2623</v>
      </c>
      <c r="I691" s="11" t="s">
        <v>1411</v>
      </c>
      <c r="J691" s="11">
        <v>28</v>
      </c>
      <c r="K691" s="11">
        <v>26097.119999999999</v>
      </c>
      <c r="L691" s="11">
        <v>7307.19</v>
      </c>
      <c r="M691" s="11">
        <v>0</v>
      </c>
      <c r="N691" s="11">
        <v>0</v>
      </c>
      <c r="O691" s="11">
        <v>0</v>
      </c>
      <c r="P691" s="11" t="s">
        <v>2624</v>
      </c>
    </row>
    <row r="692" spans="1:16" x14ac:dyDescent="0.2">
      <c r="A692" s="52">
        <v>43647</v>
      </c>
      <c r="B692" s="11" t="s">
        <v>607</v>
      </c>
      <c r="C692" s="11" t="s">
        <v>2895</v>
      </c>
      <c r="D692" s="11" t="s">
        <v>787</v>
      </c>
      <c r="E692" s="11" t="s">
        <v>2621</v>
      </c>
      <c r="F692" s="11" t="s">
        <v>3166</v>
      </c>
      <c r="G692" s="11">
        <v>11800</v>
      </c>
      <c r="H692" s="11" t="s">
        <v>2623</v>
      </c>
      <c r="I692" s="11" t="s">
        <v>1411</v>
      </c>
      <c r="J692" s="11">
        <v>18</v>
      </c>
      <c r="K692" s="11">
        <v>10000</v>
      </c>
      <c r="L692" s="11">
        <v>0</v>
      </c>
      <c r="M692" s="11">
        <v>900</v>
      </c>
      <c r="N692" s="11">
        <v>900</v>
      </c>
      <c r="O692" s="11">
        <v>0</v>
      </c>
      <c r="P692" s="11" t="s">
        <v>2624</v>
      </c>
    </row>
    <row r="693" spans="1:16" x14ac:dyDescent="0.2">
      <c r="A693" s="52">
        <v>43647</v>
      </c>
      <c r="B693" s="11" t="s">
        <v>635</v>
      </c>
      <c r="C693" s="11" t="s">
        <v>2896</v>
      </c>
      <c r="D693" s="11" t="s">
        <v>814</v>
      </c>
      <c r="E693" s="11" t="s">
        <v>2621</v>
      </c>
      <c r="F693" s="11" t="s">
        <v>3210</v>
      </c>
      <c r="G693" s="11">
        <v>7918</v>
      </c>
      <c r="H693" s="11" t="s">
        <v>2623</v>
      </c>
      <c r="I693" s="11" t="s">
        <v>1411</v>
      </c>
      <c r="J693" s="11">
        <v>18</v>
      </c>
      <c r="K693" s="11">
        <v>6710</v>
      </c>
      <c r="L693" s="11">
        <v>0</v>
      </c>
      <c r="M693" s="11">
        <v>603.9</v>
      </c>
      <c r="N693" s="11">
        <v>603.9</v>
      </c>
      <c r="O693" s="11">
        <v>0</v>
      </c>
      <c r="P693" s="11" t="s">
        <v>2624</v>
      </c>
    </row>
    <row r="694" spans="1:16" x14ac:dyDescent="0.2">
      <c r="A694" s="52">
        <v>43647</v>
      </c>
      <c r="B694" s="11" t="s">
        <v>490</v>
      </c>
      <c r="C694" s="11" t="s">
        <v>2747</v>
      </c>
      <c r="D694" s="11" t="s">
        <v>3259</v>
      </c>
      <c r="E694" s="11" t="s">
        <v>2621</v>
      </c>
      <c r="F694" s="11" t="s">
        <v>3164</v>
      </c>
      <c r="G694" s="11">
        <v>233744</v>
      </c>
      <c r="H694" s="11" t="s">
        <v>2623</v>
      </c>
      <c r="I694" s="11" t="s">
        <v>1411</v>
      </c>
      <c r="J694" s="11">
        <v>18</v>
      </c>
      <c r="K694" s="11">
        <v>198088.16</v>
      </c>
      <c r="L694" s="11">
        <v>0</v>
      </c>
      <c r="M694" s="11">
        <v>17827.93</v>
      </c>
      <c r="N694" s="11">
        <v>17827.93</v>
      </c>
      <c r="O694" s="11">
        <v>0</v>
      </c>
      <c r="P694" s="11" t="s">
        <v>2624</v>
      </c>
    </row>
    <row r="695" spans="1:16" x14ac:dyDescent="0.2">
      <c r="A695" s="52">
        <v>43647</v>
      </c>
      <c r="B695" s="11" t="s">
        <v>490</v>
      </c>
      <c r="C695" s="11" t="s">
        <v>2747</v>
      </c>
      <c r="D695" s="11" t="s">
        <v>3260</v>
      </c>
      <c r="E695" s="11" t="s">
        <v>2621</v>
      </c>
      <c r="F695" s="11" t="s">
        <v>3164</v>
      </c>
      <c r="G695" s="11">
        <v>25960</v>
      </c>
      <c r="H695" s="11" t="s">
        <v>2623</v>
      </c>
      <c r="I695" s="11" t="s">
        <v>1411</v>
      </c>
      <c r="J695" s="11">
        <v>18</v>
      </c>
      <c r="K695" s="11">
        <v>22000</v>
      </c>
      <c r="L695" s="11">
        <v>0</v>
      </c>
      <c r="M695" s="11">
        <v>1980</v>
      </c>
      <c r="N695" s="11">
        <v>1980</v>
      </c>
      <c r="O695" s="11">
        <v>0</v>
      </c>
      <c r="P695" s="11" t="s">
        <v>2624</v>
      </c>
    </row>
    <row r="696" spans="1:16" x14ac:dyDescent="0.2">
      <c r="A696" s="52">
        <v>43647</v>
      </c>
      <c r="B696" s="11" t="s">
        <v>490</v>
      </c>
      <c r="C696" s="11" t="s">
        <v>2747</v>
      </c>
      <c r="D696" s="11" t="s">
        <v>3261</v>
      </c>
      <c r="E696" s="11" t="s">
        <v>2621</v>
      </c>
      <c r="F696" s="11" t="s">
        <v>3164</v>
      </c>
      <c r="G696" s="11">
        <v>6018</v>
      </c>
      <c r="H696" s="11" t="s">
        <v>2623</v>
      </c>
      <c r="I696" s="11" t="s">
        <v>1411</v>
      </c>
      <c r="J696" s="11">
        <v>18</v>
      </c>
      <c r="K696" s="11">
        <v>5100</v>
      </c>
      <c r="L696" s="11">
        <v>0</v>
      </c>
      <c r="M696" s="11">
        <v>459</v>
      </c>
      <c r="N696" s="11">
        <v>459</v>
      </c>
      <c r="O696" s="11">
        <v>0</v>
      </c>
      <c r="P696" s="11" t="s">
        <v>2624</v>
      </c>
    </row>
    <row r="697" spans="1:16" x14ac:dyDescent="0.2">
      <c r="A697" s="52">
        <v>43647</v>
      </c>
      <c r="B697" s="11" t="s">
        <v>490</v>
      </c>
      <c r="C697" s="11" t="s">
        <v>2747</v>
      </c>
      <c r="D697" s="11" t="s">
        <v>3262</v>
      </c>
      <c r="E697" s="11" t="s">
        <v>2621</v>
      </c>
      <c r="F697" s="11" t="s">
        <v>3166</v>
      </c>
      <c r="G697" s="11">
        <v>4626</v>
      </c>
      <c r="H697" s="11" t="s">
        <v>2623</v>
      </c>
      <c r="I697" s="11" t="s">
        <v>1411</v>
      </c>
      <c r="J697" s="11">
        <v>18</v>
      </c>
      <c r="K697" s="11">
        <v>3920.4</v>
      </c>
      <c r="L697" s="11">
        <v>0</v>
      </c>
      <c r="M697" s="11">
        <v>352.84</v>
      </c>
      <c r="N697" s="11">
        <v>352.84</v>
      </c>
      <c r="O697" s="11">
        <v>0</v>
      </c>
      <c r="P697" s="11" t="s">
        <v>2624</v>
      </c>
    </row>
    <row r="698" spans="1:16" x14ac:dyDescent="0.2">
      <c r="A698" s="52">
        <v>43647</v>
      </c>
      <c r="B698" s="11" t="s">
        <v>490</v>
      </c>
      <c r="C698" s="11" t="s">
        <v>2747</v>
      </c>
      <c r="D698" s="11" t="s">
        <v>3263</v>
      </c>
      <c r="E698" s="11" t="s">
        <v>2621</v>
      </c>
      <c r="F698" s="11" t="s">
        <v>3168</v>
      </c>
      <c r="G698" s="11">
        <v>14915</v>
      </c>
      <c r="H698" s="11" t="s">
        <v>2623</v>
      </c>
      <c r="I698" s="11" t="s">
        <v>1411</v>
      </c>
      <c r="J698" s="11">
        <v>18</v>
      </c>
      <c r="K698" s="11">
        <v>12639.8</v>
      </c>
      <c r="L698" s="11">
        <v>0</v>
      </c>
      <c r="M698" s="11">
        <v>1137.58</v>
      </c>
      <c r="N698" s="11">
        <v>1137.58</v>
      </c>
      <c r="O698" s="11">
        <v>0</v>
      </c>
      <c r="P698" s="11" t="s">
        <v>2624</v>
      </c>
    </row>
    <row r="699" spans="1:16" x14ac:dyDescent="0.2">
      <c r="A699" s="52">
        <v>43647</v>
      </c>
      <c r="B699" s="11" t="s">
        <v>490</v>
      </c>
      <c r="C699" s="11" t="s">
        <v>2747</v>
      </c>
      <c r="D699" s="11" t="s">
        <v>3264</v>
      </c>
      <c r="E699" s="11" t="s">
        <v>2621</v>
      </c>
      <c r="F699" s="11" t="s">
        <v>3174</v>
      </c>
      <c r="G699" s="11">
        <v>3021</v>
      </c>
      <c r="H699" s="11" t="s">
        <v>2623</v>
      </c>
      <c r="I699" s="11" t="s">
        <v>1411</v>
      </c>
      <c r="J699" s="11">
        <v>18</v>
      </c>
      <c r="K699" s="11">
        <v>2560.1999999999998</v>
      </c>
      <c r="L699" s="11">
        <v>0</v>
      </c>
      <c r="M699" s="11">
        <v>230.42</v>
      </c>
      <c r="N699" s="11">
        <v>230.42</v>
      </c>
      <c r="O699" s="11">
        <v>0</v>
      </c>
      <c r="P699" s="11" t="s">
        <v>2624</v>
      </c>
    </row>
    <row r="700" spans="1:16" x14ac:dyDescent="0.2">
      <c r="A700" s="52">
        <v>43647</v>
      </c>
      <c r="B700" s="11" t="s">
        <v>490</v>
      </c>
      <c r="C700" s="11" t="s">
        <v>2747</v>
      </c>
      <c r="D700" s="11" t="s">
        <v>3265</v>
      </c>
      <c r="E700" s="11" t="s">
        <v>2621</v>
      </c>
      <c r="F700" s="11" t="s">
        <v>3148</v>
      </c>
      <c r="G700" s="11">
        <v>36250</v>
      </c>
      <c r="H700" s="11" t="s">
        <v>2623</v>
      </c>
      <c r="I700" s="11" t="s">
        <v>1411</v>
      </c>
      <c r="J700" s="11">
        <v>18</v>
      </c>
      <c r="K700" s="11">
        <v>30720.400000000001</v>
      </c>
      <c r="L700" s="11">
        <v>0</v>
      </c>
      <c r="M700" s="11">
        <v>2764.84</v>
      </c>
      <c r="N700" s="11">
        <v>2764.84</v>
      </c>
      <c r="O700" s="11">
        <v>0</v>
      </c>
      <c r="P700" s="11" t="s">
        <v>2624</v>
      </c>
    </row>
    <row r="701" spans="1:16" x14ac:dyDescent="0.2">
      <c r="A701" s="52">
        <v>43647</v>
      </c>
      <c r="B701" s="11" t="s">
        <v>490</v>
      </c>
      <c r="C701" s="11" t="s">
        <v>2747</v>
      </c>
      <c r="D701" s="11" t="s">
        <v>3266</v>
      </c>
      <c r="E701" s="11" t="s">
        <v>2621</v>
      </c>
      <c r="F701" s="11" t="s">
        <v>3148</v>
      </c>
      <c r="G701" s="11">
        <v>107852</v>
      </c>
      <c r="H701" s="11" t="s">
        <v>2623</v>
      </c>
      <c r="I701" s="11" t="s">
        <v>1411</v>
      </c>
      <c r="J701" s="11">
        <v>18</v>
      </c>
      <c r="K701" s="11">
        <v>91400</v>
      </c>
      <c r="L701" s="11">
        <v>0</v>
      </c>
      <c r="M701" s="11">
        <v>8226</v>
      </c>
      <c r="N701" s="11">
        <v>8226</v>
      </c>
      <c r="O701" s="11">
        <v>0</v>
      </c>
      <c r="P701" s="11" t="s">
        <v>2624</v>
      </c>
    </row>
    <row r="702" spans="1:16" x14ac:dyDescent="0.2">
      <c r="A702" s="52">
        <v>43647</v>
      </c>
      <c r="B702" s="11" t="s">
        <v>490</v>
      </c>
      <c r="C702" s="11" t="s">
        <v>2747</v>
      </c>
      <c r="D702" s="11" t="s">
        <v>3267</v>
      </c>
      <c r="E702" s="11" t="s">
        <v>2621</v>
      </c>
      <c r="F702" s="11" t="s">
        <v>3151</v>
      </c>
      <c r="G702" s="11">
        <v>3021</v>
      </c>
      <c r="H702" s="11" t="s">
        <v>2623</v>
      </c>
      <c r="I702" s="11" t="s">
        <v>1411</v>
      </c>
      <c r="J702" s="11">
        <v>18</v>
      </c>
      <c r="K702" s="11">
        <v>2560.1999999999998</v>
      </c>
      <c r="L702" s="11">
        <v>0</v>
      </c>
      <c r="M702" s="11">
        <v>230.42</v>
      </c>
      <c r="N702" s="11">
        <v>230.42</v>
      </c>
      <c r="O702" s="11">
        <v>0</v>
      </c>
      <c r="P702" s="11" t="s">
        <v>2624</v>
      </c>
    </row>
    <row r="703" spans="1:16" x14ac:dyDescent="0.2">
      <c r="A703" s="52">
        <v>43647</v>
      </c>
      <c r="B703" s="11" t="s">
        <v>490</v>
      </c>
      <c r="C703" s="11" t="s">
        <v>2747</v>
      </c>
      <c r="D703" s="11" t="s">
        <v>3268</v>
      </c>
      <c r="E703" s="11" t="s">
        <v>2621</v>
      </c>
      <c r="F703" s="11" t="s">
        <v>3187</v>
      </c>
      <c r="G703" s="11">
        <v>9027</v>
      </c>
      <c r="H703" s="11" t="s">
        <v>2623</v>
      </c>
      <c r="I703" s="11" t="s">
        <v>1411</v>
      </c>
      <c r="J703" s="11">
        <v>18</v>
      </c>
      <c r="K703" s="11">
        <v>7650</v>
      </c>
      <c r="L703" s="11">
        <v>0</v>
      </c>
      <c r="M703" s="11">
        <v>688.5</v>
      </c>
      <c r="N703" s="11">
        <v>688.5</v>
      </c>
      <c r="O703" s="11">
        <v>0</v>
      </c>
      <c r="P703" s="11" t="s">
        <v>2624</v>
      </c>
    </row>
    <row r="704" spans="1:16" x14ac:dyDescent="0.2">
      <c r="A704" s="52">
        <v>43647</v>
      </c>
      <c r="B704" s="11" t="s">
        <v>490</v>
      </c>
      <c r="C704" s="11" t="s">
        <v>2747</v>
      </c>
      <c r="D704" s="11" t="s">
        <v>3269</v>
      </c>
      <c r="E704" s="11" t="s">
        <v>2621</v>
      </c>
      <c r="F704" s="11" t="s">
        <v>3187</v>
      </c>
      <c r="G704" s="11">
        <v>36377</v>
      </c>
      <c r="H704" s="11" t="s">
        <v>2623</v>
      </c>
      <c r="I704" s="11" t="s">
        <v>1411</v>
      </c>
      <c r="J704" s="11">
        <v>18</v>
      </c>
      <c r="K704" s="11">
        <v>30827.96</v>
      </c>
      <c r="L704" s="11">
        <v>0</v>
      </c>
      <c r="M704" s="11">
        <v>2774.52</v>
      </c>
      <c r="N704" s="11">
        <v>2774.52</v>
      </c>
      <c r="O704" s="11">
        <v>0</v>
      </c>
      <c r="P704" s="11" t="s">
        <v>2624</v>
      </c>
    </row>
    <row r="705" spans="1:16" x14ac:dyDescent="0.2">
      <c r="A705" s="52">
        <v>43647</v>
      </c>
      <c r="B705" s="11" t="s">
        <v>490</v>
      </c>
      <c r="C705" s="11" t="s">
        <v>2747</v>
      </c>
      <c r="D705" s="11" t="s">
        <v>3270</v>
      </c>
      <c r="E705" s="11" t="s">
        <v>2621</v>
      </c>
      <c r="F705" s="11" t="s">
        <v>3187</v>
      </c>
      <c r="G705" s="11">
        <v>48542</v>
      </c>
      <c r="H705" s="11" t="s">
        <v>2623</v>
      </c>
      <c r="I705" s="11" t="s">
        <v>1411</v>
      </c>
      <c r="J705" s="11">
        <v>18</v>
      </c>
      <c r="K705" s="11">
        <v>41137.339999999997</v>
      </c>
      <c r="L705" s="11">
        <v>0</v>
      </c>
      <c r="M705" s="11">
        <v>3702.36</v>
      </c>
      <c r="N705" s="11">
        <v>3702.36</v>
      </c>
      <c r="O705" s="11">
        <v>0</v>
      </c>
      <c r="P705" s="11" t="s">
        <v>2624</v>
      </c>
    </row>
    <row r="706" spans="1:16" x14ac:dyDescent="0.2">
      <c r="A706" s="52">
        <v>43647</v>
      </c>
      <c r="B706" s="11" t="s">
        <v>490</v>
      </c>
      <c r="C706" s="11" t="s">
        <v>2747</v>
      </c>
      <c r="D706" s="11" t="s">
        <v>3271</v>
      </c>
      <c r="E706" s="11" t="s">
        <v>2621</v>
      </c>
      <c r="F706" s="11" t="s">
        <v>3187</v>
      </c>
      <c r="G706" s="11">
        <v>14750</v>
      </c>
      <c r="H706" s="11" t="s">
        <v>2623</v>
      </c>
      <c r="I706" s="11" t="s">
        <v>1411</v>
      </c>
      <c r="J706" s="11">
        <v>18</v>
      </c>
      <c r="K706" s="11">
        <v>12500</v>
      </c>
      <c r="L706" s="11">
        <v>0</v>
      </c>
      <c r="M706" s="11">
        <v>1125</v>
      </c>
      <c r="N706" s="11">
        <v>1125</v>
      </c>
      <c r="O706" s="11">
        <v>0</v>
      </c>
      <c r="P706" s="11" t="s">
        <v>2624</v>
      </c>
    </row>
    <row r="707" spans="1:16" x14ac:dyDescent="0.2">
      <c r="A707" s="52">
        <v>43647</v>
      </c>
      <c r="B707" s="11" t="s">
        <v>490</v>
      </c>
      <c r="C707" s="11" t="s">
        <v>2747</v>
      </c>
      <c r="D707" s="11" t="s">
        <v>3272</v>
      </c>
      <c r="E707" s="11" t="s">
        <v>2621</v>
      </c>
      <c r="F707" s="11" t="s">
        <v>3273</v>
      </c>
      <c r="G707" s="11">
        <v>10620</v>
      </c>
      <c r="H707" s="11" t="s">
        <v>2623</v>
      </c>
      <c r="I707" s="11" t="s">
        <v>1411</v>
      </c>
      <c r="J707" s="11">
        <v>18</v>
      </c>
      <c r="K707" s="11">
        <v>9000</v>
      </c>
      <c r="L707" s="11">
        <v>0</v>
      </c>
      <c r="M707" s="11">
        <v>810</v>
      </c>
      <c r="N707" s="11">
        <v>810</v>
      </c>
      <c r="O707" s="11">
        <v>0</v>
      </c>
      <c r="P707" s="11" t="s">
        <v>2624</v>
      </c>
    </row>
    <row r="708" spans="1:16" x14ac:dyDescent="0.2">
      <c r="A708" s="52">
        <v>43647</v>
      </c>
      <c r="B708" s="11" t="s">
        <v>610</v>
      </c>
      <c r="C708" s="11" t="s">
        <v>2904</v>
      </c>
      <c r="D708" s="11" t="s">
        <v>791</v>
      </c>
      <c r="E708" s="11" t="s">
        <v>2621</v>
      </c>
      <c r="F708" s="11" t="s">
        <v>3144</v>
      </c>
      <c r="G708" s="11">
        <v>28330</v>
      </c>
      <c r="H708" s="11" t="s">
        <v>2623</v>
      </c>
      <c r="I708" s="11" t="s">
        <v>1411</v>
      </c>
      <c r="J708" s="11">
        <v>18</v>
      </c>
      <c r="K708" s="11">
        <v>24008</v>
      </c>
      <c r="L708" s="11">
        <v>0</v>
      </c>
      <c r="M708" s="11">
        <v>2160.7199999999998</v>
      </c>
      <c r="N708" s="11">
        <v>2160.7199999999998</v>
      </c>
      <c r="O708" s="11">
        <v>0</v>
      </c>
      <c r="P708" s="11" t="s">
        <v>2624</v>
      </c>
    </row>
    <row r="709" spans="1:16" x14ac:dyDescent="0.2">
      <c r="A709" s="52">
        <v>43647</v>
      </c>
      <c r="B709" s="11" t="s">
        <v>610</v>
      </c>
      <c r="C709" s="11" t="s">
        <v>2904</v>
      </c>
      <c r="D709" s="11" t="s">
        <v>793</v>
      </c>
      <c r="E709" s="11" t="s">
        <v>2621</v>
      </c>
      <c r="F709" s="11" t="s">
        <v>3144</v>
      </c>
      <c r="G709" s="11">
        <v>942159</v>
      </c>
      <c r="H709" s="11" t="s">
        <v>2623</v>
      </c>
      <c r="I709" s="11" t="s">
        <v>1411</v>
      </c>
      <c r="J709" s="11">
        <v>18</v>
      </c>
      <c r="K709" s="11">
        <v>798440</v>
      </c>
      <c r="L709" s="11">
        <v>0</v>
      </c>
      <c r="M709" s="11">
        <v>71859.600000000006</v>
      </c>
      <c r="N709" s="11">
        <v>71859.600000000006</v>
      </c>
      <c r="O709" s="11">
        <v>0</v>
      </c>
      <c r="P709" s="11" t="s">
        <v>2624</v>
      </c>
    </row>
    <row r="710" spans="1:16" x14ac:dyDescent="0.2">
      <c r="A710" s="52">
        <v>43647</v>
      </c>
      <c r="B710" s="11" t="s">
        <v>846</v>
      </c>
      <c r="C710" s="11" t="s">
        <v>3274</v>
      </c>
      <c r="D710" s="11" t="s">
        <v>847</v>
      </c>
      <c r="E710" s="11" t="s">
        <v>2621</v>
      </c>
      <c r="F710" s="11" t="s">
        <v>3160</v>
      </c>
      <c r="G710" s="11">
        <v>1060.1199999999999</v>
      </c>
      <c r="H710" s="11" t="s">
        <v>2623</v>
      </c>
      <c r="I710" s="11" t="s">
        <v>1411</v>
      </c>
      <c r="J710" s="11">
        <v>18</v>
      </c>
      <c r="K710" s="11">
        <v>898.4</v>
      </c>
      <c r="L710" s="11">
        <v>0</v>
      </c>
      <c r="M710" s="11">
        <v>80.86</v>
      </c>
      <c r="N710" s="11">
        <v>80.86</v>
      </c>
      <c r="O710" s="11">
        <v>0</v>
      </c>
      <c r="P710" s="11" t="s">
        <v>2624</v>
      </c>
    </row>
    <row r="711" spans="1:16" x14ac:dyDescent="0.2">
      <c r="A711" s="52">
        <v>43647</v>
      </c>
      <c r="B711" s="11" t="s">
        <v>785</v>
      </c>
      <c r="C711" s="11" t="s">
        <v>3275</v>
      </c>
      <c r="D711" s="11" t="s">
        <v>3276</v>
      </c>
      <c r="E711" s="11" t="s">
        <v>2621</v>
      </c>
      <c r="F711" s="11" t="s">
        <v>3153</v>
      </c>
      <c r="G711" s="11">
        <v>12744</v>
      </c>
      <c r="H711" s="11" t="s">
        <v>2623</v>
      </c>
      <c r="I711" s="11" t="s">
        <v>1411</v>
      </c>
      <c r="J711" s="11">
        <v>18</v>
      </c>
      <c r="K711" s="11">
        <v>10800</v>
      </c>
      <c r="L711" s="11">
        <v>1944</v>
      </c>
      <c r="M711" s="11">
        <v>0</v>
      </c>
      <c r="N711" s="11">
        <v>0</v>
      </c>
      <c r="O711" s="11">
        <v>0</v>
      </c>
      <c r="P711" s="11" t="s">
        <v>2624</v>
      </c>
    </row>
    <row r="712" spans="1:16" x14ac:dyDescent="0.2">
      <c r="A712" s="52">
        <v>43647</v>
      </c>
      <c r="B712" s="11" t="s">
        <v>507</v>
      </c>
      <c r="C712" s="11" t="s">
        <v>2755</v>
      </c>
      <c r="D712" s="11" t="s">
        <v>775</v>
      </c>
      <c r="E712" s="11" t="s">
        <v>2621</v>
      </c>
      <c r="F712" s="11" t="s">
        <v>3166</v>
      </c>
      <c r="G712" s="11">
        <v>82314</v>
      </c>
      <c r="H712" s="11" t="s">
        <v>2623</v>
      </c>
      <c r="I712" s="11" t="s">
        <v>1411</v>
      </c>
      <c r="J712" s="11">
        <v>18</v>
      </c>
      <c r="K712" s="11">
        <v>69757.56</v>
      </c>
      <c r="L712" s="11">
        <v>0</v>
      </c>
      <c r="M712" s="11">
        <v>6278.18</v>
      </c>
      <c r="N712" s="11">
        <v>6278.18</v>
      </c>
      <c r="O712" s="11">
        <v>0</v>
      </c>
      <c r="P712" s="11" t="s">
        <v>2624</v>
      </c>
    </row>
    <row r="713" spans="1:16" x14ac:dyDescent="0.2">
      <c r="A713" s="52">
        <v>43647</v>
      </c>
      <c r="B713" s="11" t="s">
        <v>507</v>
      </c>
      <c r="C713" s="11" t="s">
        <v>2755</v>
      </c>
      <c r="D713" s="11" t="s">
        <v>776</v>
      </c>
      <c r="E713" s="11" t="s">
        <v>2621</v>
      </c>
      <c r="F713" s="11" t="s">
        <v>3166</v>
      </c>
      <c r="G713" s="11">
        <v>10903</v>
      </c>
      <c r="H713" s="11" t="s">
        <v>2623</v>
      </c>
      <c r="I713" s="11" t="s">
        <v>1411</v>
      </c>
      <c r="J713" s="11">
        <v>18</v>
      </c>
      <c r="K713" s="11">
        <v>9239.7999999999993</v>
      </c>
      <c r="L713" s="11">
        <v>0</v>
      </c>
      <c r="M713" s="11">
        <v>831.58</v>
      </c>
      <c r="N713" s="11">
        <v>831.58</v>
      </c>
      <c r="O713" s="11">
        <v>0</v>
      </c>
      <c r="P713" s="11" t="s">
        <v>2624</v>
      </c>
    </row>
    <row r="714" spans="1:16" x14ac:dyDescent="0.2">
      <c r="A714" s="52">
        <v>43647</v>
      </c>
      <c r="B714" s="11" t="s">
        <v>507</v>
      </c>
      <c r="C714" s="11" t="s">
        <v>2755</v>
      </c>
      <c r="D714" s="11" t="s">
        <v>777</v>
      </c>
      <c r="E714" s="11" t="s">
        <v>2621</v>
      </c>
      <c r="F714" s="11" t="s">
        <v>3166</v>
      </c>
      <c r="G714" s="11">
        <v>2832</v>
      </c>
      <c r="H714" s="11" t="s">
        <v>2623</v>
      </c>
      <c r="I714" s="11" t="s">
        <v>1411</v>
      </c>
      <c r="J714" s="11">
        <v>18</v>
      </c>
      <c r="K714" s="11">
        <v>2400</v>
      </c>
      <c r="L714" s="11">
        <v>0</v>
      </c>
      <c r="M714" s="11">
        <v>216</v>
      </c>
      <c r="N714" s="11">
        <v>216</v>
      </c>
      <c r="O714" s="11">
        <v>0</v>
      </c>
      <c r="P714" s="11" t="s">
        <v>2624</v>
      </c>
    </row>
    <row r="715" spans="1:16" x14ac:dyDescent="0.2">
      <c r="A715" s="52">
        <v>43647</v>
      </c>
      <c r="B715" s="11" t="s">
        <v>507</v>
      </c>
      <c r="C715" s="11" t="s">
        <v>2755</v>
      </c>
      <c r="D715" s="11" t="s">
        <v>803</v>
      </c>
      <c r="E715" s="11" t="s">
        <v>2621</v>
      </c>
      <c r="F715" s="11" t="s">
        <v>3148</v>
      </c>
      <c r="G715" s="11">
        <v>82314</v>
      </c>
      <c r="H715" s="11" t="s">
        <v>2623</v>
      </c>
      <c r="I715" s="11" t="s">
        <v>1411</v>
      </c>
      <c r="J715" s="11">
        <v>18</v>
      </c>
      <c r="K715" s="11">
        <v>69757.56</v>
      </c>
      <c r="L715" s="11">
        <v>0</v>
      </c>
      <c r="M715" s="11">
        <v>6278.18</v>
      </c>
      <c r="N715" s="11">
        <v>6278.18</v>
      </c>
      <c r="O715" s="11">
        <v>0</v>
      </c>
      <c r="P715" s="11" t="s">
        <v>2624</v>
      </c>
    </row>
    <row r="716" spans="1:16" x14ac:dyDescent="0.2">
      <c r="A716" s="52">
        <v>43647</v>
      </c>
      <c r="B716" s="11" t="s">
        <v>507</v>
      </c>
      <c r="C716" s="11" t="s">
        <v>2755</v>
      </c>
      <c r="D716" s="11" t="s">
        <v>804</v>
      </c>
      <c r="E716" s="11" t="s">
        <v>2621</v>
      </c>
      <c r="F716" s="11" t="s">
        <v>3148</v>
      </c>
      <c r="G716" s="11">
        <v>10903</v>
      </c>
      <c r="H716" s="11" t="s">
        <v>2623</v>
      </c>
      <c r="I716" s="11" t="s">
        <v>1411</v>
      </c>
      <c r="J716" s="11">
        <v>18</v>
      </c>
      <c r="K716" s="11">
        <v>9239.7999999999993</v>
      </c>
      <c r="L716" s="11">
        <v>0</v>
      </c>
      <c r="M716" s="11">
        <v>831.58</v>
      </c>
      <c r="N716" s="11">
        <v>831.58</v>
      </c>
      <c r="O716" s="11">
        <v>0</v>
      </c>
      <c r="P716" s="11" t="s">
        <v>2624</v>
      </c>
    </row>
    <row r="717" spans="1:16" x14ac:dyDescent="0.2">
      <c r="A717" s="52">
        <v>43647</v>
      </c>
      <c r="B717" s="11" t="s">
        <v>507</v>
      </c>
      <c r="C717" s="11" t="s">
        <v>2755</v>
      </c>
      <c r="D717" s="11" t="s">
        <v>823</v>
      </c>
      <c r="E717" s="11" t="s">
        <v>2621</v>
      </c>
      <c r="F717" s="11" t="s">
        <v>3142</v>
      </c>
      <c r="G717" s="11">
        <v>82314</v>
      </c>
      <c r="H717" s="11" t="s">
        <v>2623</v>
      </c>
      <c r="I717" s="11" t="s">
        <v>1411</v>
      </c>
      <c r="J717" s="11">
        <v>18</v>
      </c>
      <c r="K717" s="11">
        <v>69757.56</v>
      </c>
      <c r="L717" s="11">
        <v>0</v>
      </c>
      <c r="M717" s="11">
        <v>6278.18</v>
      </c>
      <c r="N717" s="11">
        <v>6278.18</v>
      </c>
      <c r="O717" s="11">
        <v>0</v>
      </c>
      <c r="P717" s="11" t="s">
        <v>2624</v>
      </c>
    </row>
    <row r="718" spans="1:16" x14ac:dyDescent="0.2">
      <c r="A718" s="52">
        <v>43647</v>
      </c>
      <c r="B718" s="11" t="s">
        <v>507</v>
      </c>
      <c r="C718" s="11" t="s">
        <v>2755</v>
      </c>
      <c r="D718" s="11" t="s">
        <v>824</v>
      </c>
      <c r="E718" s="11" t="s">
        <v>2621</v>
      </c>
      <c r="F718" s="11" t="s">
        <v>3142</v>
      </c>
      <c r="G718" s="11">
        <v>4361</v>
      </c>
      <c r="H718" s="11" t="s">
        <v>2623</v>
      </c>
      <c r="I718" s="11" t="s">
        <v>1411</v>
      </c>
      <c r="J718" s="11">
        <v>18</v>
      </c>
      <c r="K718" s="11">
        <v>3695.72</v>
      </c>
      <c r="L718" s="11">
        <v>0</v>
      </c>
      <c r="M718" s="11">
        <v>332.61</v>
      </c>
      <c r="N718" s="11">
        <v>332.61</v>
      </c>
      <c r="O718" s="11">
        <v>0</v>
      </c>
      <c r="P718" s="11" t="s">
        <v>2624</v>
      </c>
    </row>
    <row r="719" spans="1:16" x14ac:dyDescent="0.2">
      <c r="A719" s="52">
        <v>43647</v>
      </c>
      <c r="B719" s="11" t="s">
        <v>507</v>
      </c>
      <c r="C719" s="11" t="s">
        <v>2755</v>
      </c>
      <c r="D719" s="11" t="s">
        <v>825</v>
      </c>
      <c r="E719" s="11" t="s">
        <v>2621</v>
      </c>
      <c r="F719" s="11" t="s">
        <v>3142</v>
      </c>
      <c r="G719" s="11">
        <v>17445</v>
      </c>
      <c r="H719" s="11" t="s">
        <v>2623</v>
      </c>
      <c r="I719" s="11" t="s">
        <v>1411</v>
      </c>
      <c r="J719" s="11">
        <v>18</v>
      </c>
      <c r="K719" s="11">
        <v>14783.88</v>
      </c>
      <c r="L719" s="11">
        <v>0</v>
      </c>
      <c r="M719" s="11">
        <v>1330.55</v>
      </c>
      <c r="N719" s="11">
        <v>1330.55</v>
      </c>
      <c r="O719" s="11">
        <v>0</v>
      </c>
      <c r="P719" s="11" t="s">
        <v>2624</v>
      </c>
    </row>
    <row r="720" spans="1:16" x14ac:dyDescent="0.2">
      <c r="A720" s="52">
        <v>43647</v>
      </c>
      <c r="B720" s="11" t="s">
        <v>507</v>
      </c>
      <c r="C720" s="11" t="s">
        <v>2755</v>
      </c>
      <c r="D720" s="11" t="s">
        <v>843</v>
      </c>
      <c r="E720" s="11" t="s">
        <v>2621</v>
      </c>
      <c r="F720" s="11" t="s">
        <v>3273</v>
      </c>
      <c r="G720" s="11">
        <v>21806</v>
      </c>
      <c r="H720" s="11" t="s">
        <v>2623</v>
      </c>
      <c r="I720" s="11" t="s">
        <v>1411</v>
      </c>
      <c r="J720" s="11">
        <v>18</v>
      </c>
      <c r="K720" s="11">
        <v>18479.599999999999</v>
      </c>
      <c r="L720" s="11">
        <v>0</v>
      </c>
      <c r="M720" s="11">
        <v>1663.16</v>
      </c>
      <c r="N720" s="11">
        <v>1663.16</v>
      </c>
      <c r="O720" s="11">
        <v>0</v>
      </c>
      <c r="P720" s="11" t="s">
        <v>2624</v>
      </c>
    </row>
    <row r="721" spans="1:16" x14ac:dyDescent="0.2">
      <c r="A721" s="52">
        <v>43647</v>
      </c>
      <c r="B721" s="11" t="s">
        <v>507</v>
      </c>
      <c r="C721" s="11" t="s">
        <v>2755</v>
      </c>
      <c r="D721" s="11" t="s">
        <v>844</v>
      </c>
      <c r="E721" s="11" t="s">
        <v>2621</v>
      </c>
      <c r="F721" s="11" t="s">
        <v>3273</v>
      </c>
      <c r="G721" s="11">
        <v>173064</v>
      </c>
      <c r="H721" s="11" t="s">
        <v>2623</v>
      </c>
      <c r="I721" s="11" t="s">
        <v>1411</v>
      </c>
      <c r="J721" s="11">
        <v>18</v>
      </c>
      <c r="K721" s="11">
        <v>146664.48000000001</v>
      </c>
      <c r="L721" s="11">
        <v>0</v>
      </c>
      <c r="M721" s="11">
        <v>13199.8</v>
      </c>
      <c r="N721" s="11">
        <v>13199.8</v>
      </c>
      <c r="O721" s="11">
        <v>0</v>
      </c>
      <c r="P721" s="11" t="s">
        <v>2624</v>
      </c>
    </row>
    <row r="722" spans="1:16" x14ac:dyDescent="0.2">
      <c r="A722" s="52">
        <v>43647</v>
      </c>
      <c r="B722" s="11" t="s">
        <v>494</v>
      </c>
      <c r="C722" s="11" t="s">
        <v>2756</v>
      </c>
      <c r="D722" s="11" t="s">
        <v>3277</v>
      </c>
      <c r="E722" s="11" t="s">
        <v>2621</v>
      </c>
      <c r="F722" s="11" t="s">
        <v>3164</v>
      </c>
      <c r="G722" s="11">
        <v>12208</v>
      </c>
      <c r="H722" s="11" t="s">
        <v>2623</v>
      </c>
      <c r="I722" s="11" t="s">
        <v>1411</v>
      </c>
      <c r="J722" s="11">
        <v>18</v>
      </c>
      <c r="K722" s="11">
        <v>10345.5</v>
      </c>
      <c r="L722" s="11">
        <v>0</v>
      </c>
      <c r="M722" s="11">
        <v>931.1</v>
      </c>
      <c r="N722" s="11">
        <v>931.1</v>
      </c>
      <c r="O722" s="11">
        <v>0</v>
      </c>
      <c r="P722" s="11" t="s">
        <v>2624</v>
      </c>
    </row>
    <row r="723" spans="1:16" x14ac:dyDescent="0.2">
      <c r="A723" s="52">
        <v>43647</v>
      </c>
      <c r="B723" s="11" t="s">
        <v>494</v>
      </c>
      <c r="C723" s="11" t="s">
        <v>2756</v>
      </c>
      <c r="D723" s="11" t="s">
        <v>3278</v>
      </c>
      <c r="E723" s="11" t="s">
        <v>2621</v>
      </c>
      <c r="F723" s="11" t="s">
        <v>3166</v>
      </c>
      <c r="G723" s="11">
        <v>35267</v>
      </c>
      <c r="H723" s="11" t="s">
        <v>2623</v>
      </c>
      <c r="I723" s="11" t="s">
        <v>1411</v>
      </c>
      <c r="J723" s="11">
        <v>18</v>
      </c>
      <c r="K723" s="11">
        <v>29887</v>
      </c>
      <c r="L723" s="11">
        <v>0</v>
      </c>
      <c r="M723" s="11">
        <v>2689.83</v>
      </c>
      <c r="N723" s="11">
        <v>2689.83</v>
      </c>
      <c r="O723" s="11">
        <v>0</v>
      </c>
      <c r="P723" s="11" t="s">
        <v>2624</v>
      </c>
    </row>
    <row r="724" spans="1:16" x14ac:dyDescent="0.2">
      <c r="A724" s="52">
        <v>43647</v>
      </c>
      <c r="B724" s="11" t="s">
        <v>494</v>
      </c>
      <c r="C724" s="11" t="s">
        <v>2756</v>
      </c>
      <c r="D724" s="11" t="s">
        <v>3279</v>
      </c>
      <c r="E724" s="11" t="s">
        <v>2621</v>
      </c>
      <c r="F724" s="11" t="s">
        <v>3185</v>
      </c>
      <c r="G724" s="11">
        <v>5616</v>
      </c>
      <c r="H724" s="11" t="s">
        <v>2623</v>
      </c>
      <c r="I724" s="11" t="s">
        <v>1411</v>
      </c>
      <c r="J724" s="11">
        <v>18</v>
      </c>
      <c r="K724" s="11">
        <v>4758.93</v>
      </c>
      <c r="L724" s="11">
        <v>0</v>
      </c>
      <c r="M724" s="11">
        <v>428.3</v>
      </c>
      <c r="N724" s="11">
        <v>428.3</v>
      </c>
      <c r="O724" s="11">
        <v>0</v>
      </c>
      <c r="P724" s="11" t="s">
        <v>2624</v>
      </c>
    </row>
    <row r="725" spans="1:16" x14ac:dyDescent="0.2">
      <c r="A725" s="52">
        <v>43647</v>
      </c>
      <c r="B725" s="11" t="s">
        <v>494</v>
      </c>
      <c r="C725" s="11" t="s">
        <v>2756</v>
      </c>
      <c r="D725" s="11" t="s">
        <v>3280</v>
      </c>
      <c r="E725" s="11" t="s">
        <v>2621</v>
      </c>
      <c r="F725" s="11" t="s">
        <v>3281</v>
      </c>
      <c r="G725" s="11">
        <v>32554</v>
      </c>
      <c r="H725" s="11" t="s">
        <v>2623</v>
      </c>
      <c r="I725" s="11" t="s">
        <v>1411</v>
      </c>
      <c r="J725" s="11">
        <v>18</v>
      </c>
      <c r="K725" s="11">
        <v>27588</v>
      </c>
      <c r="L725" s="11">
        <v>0</v>
      </c>
      <c r="M725" s="11">
        <v>2482.92</v>
      </c>
      <c r="N725" s="11">
        <v>2482.92</v>
      </c>
      <c r="O725" s="11">
        <v>0</v>
      </c>
      <c r="P725" s="11" t="s">
        <v>2624</v>
      </c>
    </row>
    <row r="726" spans="1:16" x14ac:dyDescent="0.2">
      <c r="A726" s="52">
        <v>43647</v>
      </c>
      <c r="B726" s="11" t="s">
        <v>494</v>
      </c>
      <c r="C726" s="11" t="s">
        <v>2756</v>
      </c>
      <c r="D726" s="11" t="s">
        <v>3282</v>
      </c>
      <c r="E726" s="11" t="s">
        <v>2621</v>
      </c>
      <c r="F726" s="11" t="s">
        <v>3281</v>
      </c>
      <c r="G726" s="11">
        <v>51064</v>
      </c>
      <c r="H726" s="11" t="s">
        <v>2623</v>
      </c>
      <c r="I726" s="11" t="s">
        <v>1411</v>
      </c>
      <c r="J726" s="11">
        <v>18</v>
      </c>
      <c r="K726" s="11">
        <v>43274.5</v>
      </c>
      <c r="L726" s="11">
        <v>0</v>
      </c>
      <c r="M726" s="11">
        <v>3894.7</v>
      </c>
      <c r="N726" s="11">
        <v>3894.7</v>
      </c>
      <c r="O726" s="11">
        <v>0</v>
      </c>
      <c r="P726" s="11" t="s">
        <v>2624</v>
      </c>
    </row>
    <row r="727" spans="1:16" x14ac:dyDescent="0.2">
      <c r="A727" s="52">
        <v>43647</v>
      </c>
      <c r="B727" s="11" t="s">
        <v>494</v>
      </c>
      <c r="C727" s="11" t="s">
        <v>2756</v>
      </c>
      <c r="D727" s="11" t="s">
        <v>3283</v>
      </c>
      <c r="E727" s="11" t="s">
        <v>2621</v>
      </c>
      <c r="F727" s="11" t="s">
        <v>3174</v>
      </c>
      <c r="G727" s="11">
        <v>12479</v>
      </c>
      <c r="H727" s="11" t="s">
        <v>2623</v>
      </c>
      <c r="I727" s="11" t="s">
        <v>1411</v>
      </c>
      <c r="J727" s="11">
        <v>18</v>
      </c>
      <c r="K727" s="11">
        <v>10575.4</v>
      </c>
      <c r="L727" s="11">
        <v>0</v>
      </c>
      <c r="M727" s="11">
        <v>951.79</v>
      </c>
      <c r="N727" s="11">
        <v>951.79</v>
      </c>
      <c r="O727" s="11">
        <v>0</v>
      </c>
      <c r="P727" s="11" t="s">
        <v>2624</v>
      </c>
    </row>
    <row r="728" spans="1:16" x14ac:dyDescent="0.2">
      <c r="A728" s="52">
        <v>43647</v>
      </c>
      <c r="B728" s="11" t="s">
        <v>494</v>
      </c>
      <c r="C728" s="11" t="s">
        <v>2756</v>
      </c>
      <c r="D728" s="11" t="s">
        <v>3284</v>
      </c>
      <c r="E728" s="11" t="s">
        <v>2621</v>
      </c>
      <c r="F728" s="11" t="s">
        <v>3183</v>
      </c>
      <c r="G728" s="11">
        <v>13157</v>
      </c>
      <c r="H728" s="11" t="s">
        <v>2623</v>
      </c>
      <c r="I728" s="11" t="s">
        <v>1411</v>
      </c>
      <c r="J728" s="11">
        <v>18</v>
      </c>
      <c r="K728" s="11">
        <v>11150.15</v>
      </c>
      <c r="L728" s="11">
        <v>0</v>
      </c>
      <c r="M728" s="11">
        <v>1003.51</v>
      </c>
      <c r="N728" s="11">
        <v>1003.51</v>
      </c>
      <c r="O728" s="11">
        <v>0</v>
      </c>
      <c r="P728" s="11" t="s">
        <v>2624</v>
      </c>
    </row>
    <row r="729" spans="1:16" x14ac:dyDescent="0.2">
      <c r="A729" s="52">
        <v>43647</v>
      </c>
      <c r="B729" s="11" t="s">
        <v>494</v>
      </c>
      <c r="C729" s="11" t="s">
        <v>2756</v>
      </c>
      <c r="D729" s="11" t="s">
        <v>3285</v>
      </c>
      <c r="E729" s="11" t="s">
        <v>2621</v>
      </c>
      <c r="F729" s="11" t="s">
        <v>3286</v>
      </c>
      <c r="G729" s="11">
        <v>44083</v>
      </c>
      <c r="H729" s="11" t="s">
        <v>2623</v>
      </c>
      <c r="I729" s="11" t="s">
        <v>1411</v>
      </c>
      <c r="J729" s="11">
        <v>18</v>
      </c>
      <c r="K729" s="11">
        <v>37358.75</v>
      </c>
      <c r="L729" s="11">
        <v>0</v>
      </c>
      <c r="M729" s="11">
        <v>3362.29</v>
      </c>
      <c r="N729" s="11">
        <v>3362.29</v>
      </c>
      <c r="O729" s="11">
        <v>0</v>
      </c>
      <c r="P729" s="11" t="s">
        <v>2624</v>
      </c>
    </row>
    <row r="730" spans="1:16" x14ac:dyDescent="0.2">
      <c r="A730" s="52">
        <v>43647</v>
      </c>
      <c r="B730" s="11" t="s">
        <v>494</v>
      </c>
      <c r="C730" s="11" t="s">
        <v>2756</v>
      </c>
      <c r="D730" s="11" t="s">
        <v>3287</v>
      </c>
      <c r="E730" s="11" t="s">
        <v>2621</v>
      </c>
      <c r="F730" s="11" t="s">
        <v>3186</v>
      </c>
      <c r="G730" s="11">
        <v>47067</v>
      </c>
      <c r="H730" s="11" t="s">
        <v>2623</v>
      </c>
      <c r="I730" s="11" t="s">
        <v>1411</v>
      </c>
      <c r="J730" s="11">
        <v>18</v>
      </c>
      <c r="K730" s="11">
        <v>39887.65</v>
      </c>
      <c r="L730" s="11">
        <v>0</v>
      </c>
      <c r="M730" s="11">
        <v>3589.89</v>
      </c>
      <c r="N730" s="11">
        <v>3589.89</v>
      </c>
      <c r="O730" s="11">
        <v>0</v>
      </c>
      <c r="P730" s="11" t="s">
        <v>2624</v>
      </c>
    </row>
    <row r="731" spans="1:16" x14ac:dyDescent="0.2">
      <c r="A731" s="52">
        <v>43647</v>
      </c>
      <c r="B731" s="11" t="s">
        <v>515</v>
      </c>
      <c r="C731" s="11" t="s">
        <v>2761</v>
      </c>
      <c r="D731" s="11" t="s">
        <v>863</v>
      </c>
      <c r="E731" s="11" t="s">
        <v>2621</v>
      </c>
      <c r="F731" s="11" t="s">
        <v>3143</v>
      </c>
      <c r="G731" s="11">
        <v>590</v>
      </c>
      <c r="H731" s="11" t="s">
        <v>2623</v>
      </c>
      <c r="I731" s="11" t="s">
        <v>1411</v>
      </c>
      <c r="J731" s="11">
        <v>18</v>
      </c>
      <c r="K731" s="11">
        <v>500</v>
      </c>
      <c r="L731" s="11">
        <v>0</v>
      </c>
      <c r="M731" s="11">
        <v>45</v>
      </c>
      <c r="N731" s="11">
        <v>45</v>
      </c>
      <c r="O731" s="11">
        <v>0</v>
      </c>
      <c r="P731" s="11" t="s">
        <v>2624</v>
      </c>
    </row>
    <row r="732" spans="1:16" x14ac:dyDescent="0.2">
      <c r="A732" s="52">
        <v>43647</v>
      </c>
      <c r="B732" s="11" t="s">
        <v>515</v>
      </c>
      <c r="C732" s="11" t="s">
        <v>2761</v>
      </c>
      <c r="D732" s="11" t="s">
        <v>864</v>
      </c>
      <c r="E732" s="11" t="s">
        <v>2621</v>
      </c>
      <c r="F732" s="11" t="s">
        <v>3143</v>
      </c>
      <c r="G732" s="11">
        <v>1891.35</v>
      </c>
      <c r="H732" s="11" t="s">
        <v>2623</v>
      </c>
      <c r="I732" s="11" t="s">
        <v>1411</v>
      </c>
      <c r="J732" s="11">
        <v>18</v>
      </c>
      <c r="K732" s="11">
        <v>1602.84</v>
      </c>
      <c r="L732" s="11">
        <v>0</v>
      </c>
      <c r="M732" s="11">
        <v>144.26</v>
      </c>
      <c r="N732" s="11">
        <v>144.26</v>
      </c>
      <c r="O732" s="11">
        <v>0</v>
      </c>
      <c r="P732" s="11" t="s">
        <v>2624</v>
      </c>
    </row>
    <row r="733" spans="1:16" x14ac:dyDescent="0.2">
      <c r="A733" s="52">
        <v>43647</v>
      </c>
      <c r="B733" s="11" t="s">
        <v>515</v>
      </c>
      <c r="C733" s="11" t="s">
        <v>2761</v>
      </c>
      <c r="D733" s="11" t="s">
        <v>865</v>
      </c>
      <c r="E733" s="11" t="s">
        <v>2621</v>
      </c>
      <c r="F733" s="11" t="s">
        <v>3143</v>
      </c>
      <c r="G733" s="11">
        <v>2360</v>
      </c>
      <c r="H733" s="11" t="s">
        <v>2623</v>
      </c>
      <c r="I733" s="11" t="s">
        <v>1411</v>
      </c>
      <c r="J733" s="11">
        <v>18</v>
      </c>
      <c r="K733" s="11">
        <v>2000</v>
      </c>
      <c r="L733" s="11">
        <v>0</v>
      </c>
      <c r="M733" s="11">
        <v>180</v>
      </c>
      <c r="N733" s="11">
        <v>180</v>
      </c>
      <c r="O733" s="11">
        <v>0</v>
      </c>
      <c r="P733" s="11" t="s">
        <v>2624</v>
      </c>
    </row>
    <row r="734" spans="1:16" x14ac:dyDescent="0.2">
      <c r="A734" s="52">
        <v>43647</v>
      </c>
      <c r="B734" s="11" t="s">
        <v>515</v>
      </c>
      <c r="C734" s="11" t="s">
        <v>2761</v>
      </c>
      <c r="D734" s="11" t="s">
        <v>783</v>
      </c>
      <c r="E734" s="11" t="s">
        <v>2621</v>
      </c>
      <c r="F734" s="11" t="s">
        <v>3144</v>
      </c>
      <c r="G734" s="11">
        <v>5.9</v>
      </c>
      <c r="H734" s="11" t="s">
        <v>2623</v>
      </c>
      <c r="I734" s="11" t="s">
        <v>1411</v>
      </c>
      <c r="J734" s="11">
        <v>18</v>
      </c>
      <c r="K734" s="11">
        <v>5</v>
      </c>
      <c r="L734" s="11">
        <v>0</v>
      </c>
      <c r="M734" s="11">
        <v>0.45</v>
      </c>
      <c r="N734" s="11">
        <v>0.45</v>
      </c>
      <c r="O734" s="11">
        <v>0</v>
      </c>
      <c r="P734" s="11" t="s">
        <v>2624</v>
      </c>
    </row>
    <row r="735" spans="1:16" x14ac:dyDescent="0.2">
      <c r="A735" s="52">
        <v>43647</v>
      </c>
      <c r="B735" s="11" t="s">
        <v>515</v>
      </c>
      <c r="C735" s="11" t="s">
        <v>2761</v>
      </c>
      <c r="D735" s="11" t="s">
        <v>861</v>
      </c>
      <c r="E735" s="11" t="s">
        <v>2621</v>
      </c>
      <c r="F735" s="11" t="s">
        <v>3249</v>
      </c>
      <c r="G735" s="11">
        <v>17.7</v>
      </c>
      <c r="H735" s="11" t="s">
        <v>2623</v>
      </c>
      <c r="I735" s="11" t="s">
        <v>1411</v>
      </c>
      <c r="J735" s="11">
        <v>18</v>
      </c>
      <c r="K735" s="11">
        <v>15</v>
      </c>
      <c r="L735" s="11">
        <v>0</v>
      </c>
      <c r="M735" s="11">
        <v>1.35</v>
      </c>
      <c r="N735" s="11">
        <v>1.35</v>
      </c>
      <c r="O735" s="11">
        <v>0</v>
      </c>
      <c r="P735" s="11" t="s">
        <v>2624</v>
      </c>
    </row>
    <row r="736" spans="1:16" x14ac:dyDescent="0.2">
      <c r="A736" s="52">
        <v>43647</v>
      </c>
      <c r="B736" s="11" t="s">
        <v>515</v>
      </c>
      <c r="C736" s="11" t="s">
        <v>2761</v>
      </c>
      <c r="D736" s="11" t="s">
        <v>3288</v>
      </c>
      <c r="E736" s="11" t="s">
        <v>2621</v>
      </c>
      <c r="F736" s="11" t="s">
        <v>3183</v>
      </c>
      <c r="G736" s="11">
        <v>59</v>
      </c>
      <c r="H736" s="11" t="s">
        <v>2623</v>
      </c>
      <c r="I736" s="11" t="s">
        <v>1411</v>
      </c>
      <c r="J736" s="11">
        <v>18</v>
      </c>
      <c r="K736" s="11">
        <v>50</v>
      </c>
      <c r="L736" s="11">
        <v>0</v>
      </c>
      <c r="M736" s="11">
        <v>4.5</v>
      </c>
      <c r="N736" s="11">
        <v>4.5</v>
      </c>
      <c r="O736" s="11">
        <v>0</v>
      </c>
      <c r="P736" s="11" t="s">
        <v>2624</v>
      </c>
    </row>
    <row r="737" spans="1:16" x14ac:dyDescent="0.2">
      <c r="A737" s="52">
        <v>43647</v>
      </c>
      <c r="B737" s="11" t="s">
        <v>515</v>
      </c>
      <c r="C737" s="11" t="s">
        <v>2761</v>
      </c>
      <c r="D737" s="11" t="s">
        <v>862</v>
      </c>
      <c r="E737" s="11" t="s">
        <v>2621</v>
      </c>
      <c r="F737" s="11" t="s">
        <v>3143</v>
      </c>
      <c r="G737" s="11">
        <v>3462.38</v>
      </c>
      <c r="H737" s="11" t="s">
        <v>2623</v>
      </c>
      <c r="I737" s="11" t="s">
        <v>1411</v>
      </c>
      <c r="J737" s="11">
        <v>18</v>
      </c>
      <c r="K737" s="11">
        <v>2934.22</v>
      </c>
      <c r="L737" s="11">
        <v>0</v>
      </c>
      <c r="M737" s="11">
        <v>264.08</v>
      </c>
      <c r="N737" s="11">
        <v>264.08</v>
      </c>
      <c r="O737" s="11">
        <v>0</v>
      </c>
      <c r="P737" s="11" t="s">
        <v>2624</v>
      </c>
    </row>
    <row r="738" spans="1:16" x14ac:dyDescent="0.2">
      <c r="A738" s="52">
        <v>43647</v>
      </c>
      <c r="B738" s="11" t="s">
        <v>225</v>
      </c>
      <c r="C738" s="11" t="s">
        <v>3068</v>
      </c>
      <c r="D738" s="11" t="s">
        <v>3289</v>
      </c>
      <c r="E738" s="11" t="s">
        <v>2621</v>
      </c>
      <c r="F738" s="11" t="s">
        <v>3187</v>
      </c>
      <c r="G738" s="11">
        <v>5778.44</v>
      </c>
      <c r="H738" s="11" t="s">
        <v>2623</v>
      </c>
      <c r="I738" s="11" t="s">
        <v>1411</v>
      </c>
      <c r="J738" s="11">
        <v>28</v>
      </c>
      <c r="K738" s="11">
        <v>4514.3999999999996</v>
      </c>
      <c r="L738" s="11">
        <v>0</v>
      </c>
      <c r="M738" s="11">
        <v>632.02</v>
      </c>
      <c r="N738" s="11">
        <v>632.02</v>
      </c>
      <c r="O738" s="11">
        <v>0</v>
      </c>
      <c r="P738" s="11" t="s">
        <v>2624</v>
      </c>
    </row>
    <row r="739" spans="1:16" x14ac:dyDescent="0.2">
      <c r="A739" s="52">
        <v>43647</v>
      </c>
      <c r="B739" s="11" t="s">
        <v>225</v>
      </c>
      <c r="C739" s="11" t="s">
        <v>3068</v>
      </c>
      <c r="D739" s="11" t="s">
        <v>3290</v>
      </c>
      <c r="E739" s="11" t="s">
        <v>2621</v>
      </c>
      <c r="F739" s="11" t="s">
        <v>3187</v>
      </c>
      <c r="G739" s="11">
        <v>60943.12</v>
      </c>
      <c r="H739" s="11" t="s">
        <v>2623</v>
      </c>
      <c r="I739" s="11" t="s">
        <v>1411</v>
      </c>
      <c r="J739" s="11">
        <v>28</v>
      </c>
      <c r="K739" s="11">
        <v>47611.8</v>
      </c>
      <c r="L739" s="11">
        <v>0</v>
      </c>
      <c r="M739" s="11">
        <v>6665.66</v>
      </c>
      <c r="N739" s="11">
        <v>6665.66</v>
      </c>
      <c r="O739" s="11">
        <v>0</v>
      </c>
      <c r="P739" s="11" t="s">
        <v>2624</v>
      </c>
    </row>
    <row r="740" spans="1:16" x14ac:dyDescent="0.2">
      <c r="A740" s="52">
        <v>43647</v>
      </c>
      <c r="B740" s="11" t="s">
        <v>789</v>
      </c>
      <c r="C740" s="11" t="s">
        <v>3291</v>
      </c>
      <c r="D740" s="11" t="s">
        <v>790</v>
      </c>
      <c r="E740" s="11" t="s">
        <v>2621</v>
      </c>
      <c r="F740" s="11" t="s">
        <v>3166</v>
      </c>
      <c r="G740" s="11">
        <v>94754</v>
      </c>
      <c r="H740" s="11" t="s">
        <v>2623</v>
      </c>
      <c r="I740" s="11" t="s">
        <v>1411</v>
      </c>
      <c r="J740" s="11">
        <v>18</v>
      </c>
      <c r="K740" s="11">
        <v>80300</v>
      </c>
      <c r="L740" s="11">
        <v>0</v>
      </c>
      <c r="M740" s="11">
        <v>7227</v>
      </c>
      <c r="N740" s="11">
        <v>7227</v>
      </c>
      <c r="O740" s="11">
        <v>0</v>
      </c>
      <c r="P740" s="11" t="s">
        <v>2624</v>
      </c>
    </row>
    <row r="741" spans="1:16" x14ac:dyDescent="0.2">
      <c r="A741" s="52">
        <v>43647</v>
      </c>
      <c r="B741" s="11" t="s">
        <v>555</v>
      </c>
      <c r="C741" s="11" t="s">
        <v>2762</v>
      </c>
      <c r="D741" s="11" t="s">
        <v>3292</v>
      </c>
      <c r="E741" s="11" t="s">
        <v>2621</v>
      </c>
      <c r="F741" s="11" t="s">
        <v>3143</v>
      </c>
      <c r="G741" s="11">
        <v>35188.480000000003</v>
      </c>
      <c r="H741" s="11" t="s">
        <v>2623</v>
      </c>
      <c r="I741" s="11" t="s">
        <v>1411</v>
      </c>
      <c r="J741" s="11">
        <v>28</v>
      </c>
      <c r="K741" s="11">
        <v>27491</v>
      </c>
      <c r="L741" s="11">
        <v>0</v>
      </c>
      <c r="M741" s="11">
        <v>3848.74</v>
      </c>
      <c r="N741" s="11">
        <v>3848.74</v>
      </c>
      <c r="O741" s="11">
        <v>0</v>
      </c>
      <c r="P741" s="11" t="s">
        <v>2624</v>
      </c>
    </row>
    <row r="742" spans="1:16" x14ac:dyDescent="0.2">
      <c r="A742" s="52">
        <v>43647</v>
      </c>
      <c r="B742" s="11" t="s">
        <v>555</v>
      </c>
      <c r="C742" s="11" t="s">
        <v>2762</v>
      </c>
      <c r="D742" s="11" t="s">
        <v>3293</v>
      </c>
      <c r="E742" s="11" t="s">
        <v>2621</v>
      </c>
      <c r="F742" s="11" t="s">
        <v>3230</v>
      </c>
      <c r="G742" s="11">
        <v>13229.44</v>
      </c>
      <c r="H742" s="11" t="s">
        <v>2623</v>
      </c>
      <c r="I742" s="11" t="s">
        <v>1411</v>
      </c>
      <c r="J742" s="11">
        <v>28</v>
      </c>
      <c r="K742" s="11">
        <v>10335.5</v>
      </c>
      <c r="L742" s="11">
        <v>0</v>
      </c>
      <c r="M742" s="11">
        <v>1446.97</v>
      </c>
      <c r="N742" s="11">
        <v>1446.97</v>
      </c>
      <c r="O742" s="11">
        <v>0</v>
      </c>
      <c r="P742" s="11" t="s">
        <v>2624</v>
      </c>
    </row>
    <row r="743" spans="1:16" x14ac:dyDescent="0.2">
      <c r="A743" s="52">
        <v>43647</v>
      </c>
      <c r="B743" s="11" t="s">
        <v>555</v>
      </c>
      <c r="C743" s="11" t="s">
        <v>2762</v>
      </c>
      <c r="D743" s="11" t="s">
        <v>3294</v>
      </c>
      <c r="E743" s="11" t="s">
        <v>2621</v>
      </c>
      <c r="F743" s="11" t="s">
        <v>3230</v>
      </c>
      <c r="G743" s="11">
        <v>768.62</v>
      </c>
      <c r="H743" s="11" t="s">
        <v>2623</v>
      </c>
      <c r="I743" s="11" t="s">
        <v>1411</v>
      </c>
      <c r="J743" s="11">
        <v>28</v>
      </c>
      <c r="K743" s="11">
        <v>600.48</v>
      </c>
      <c r="L743" s="11">
        <v>0</v>
      </c>
      <c r="M743" s="11">
        <v>84.07</v>
      </c>
      <c r="N743" s="11">
        <v>84.07</v>
      </c>
      <c r="O743" s="11">
        <v>0</v>
      </c>
      <c r="P743" s="11" t="s">
        <v>2624</v>
      </c>
    </row>
    <row r="744" spans="1:16" x14ac:dyDescent="0.2">
      <c r="A744" s="52">
        <v>43647</v>
      </c>
      <c r="B744" s="11" t="s">
        <v>555</v>
      </c>
      <c r="C744" s="11" t="s">
        <v>2762</v>
      </c>
      <c r="D744" s="11" t="s">
        <v>3295</v>
      </c>
      <c r="E744" s="11" t="s">
        <v>2621</v>
      </c>
      <c r="F744" s="11" t="s">
        <v>3249</v>
      </c>
      <c r="G744" s="11">
        <v>8870.4</v>
      </c>
      <c r="H744" s="11" t="s">
        <v>2623</v>
      </c>
      <c r="I744" s="11" t="s">
        <v>1411</v>
      </c>
      <c r="J744" s="11">
        <v>28</v>
      </c>
      <c r="K744" s="11">
        <v>6930</v>
      </c>
      <c r="L744" s="11">
        <v>0</v>
      </c>
      <c r="M744" s="11">
        <v>970.2</v>
      </c>
      <c r="N744" s="11">
        <v>970.2</v>
      </c>
      <c r="O744" s="11">
        <v>0</v>
      </c>
      <c r="P744" s="11" t="s">
        <v>2624</v>
      </c>
    </row>
    <row r="745" spans="1:16" x14ac:dyDescent="0.2">
      <c r="A745" s="52">
        <v>43647</v>
      </c>
      <c r="B745" s="11" t="s">
        <v>555</v>
      </c>
      <c r="C745" s="11" t="s">
        <v>2762</v>
      </c>
      <c r="D745" s="11" t="s">
        <v>3296</v>
      </c>
      <c r="E745" s="11" t="s">
        <v>2621</v>
      </c>
      <c r="F745" s="11" t="s">
        <v>3144</v>
      </c>
      <c r="G745" s="11">
        <v>3356.8</v>
      </c>
      <c r="H745" s="11" t="s">
        <v>2623</v>
      </c>
      <c r="I745" s="11" t="s">
        <v>1411</v>
      </c>
      <c r="J745" s="11">
        <v>28</v>
      </c>
      <c r="K745" s="11">
        <v>2622.5</v>
      </c>
      <c r="L745" s="11">
        <v>0</v>
      </c>
      <c r="M745" s="11">
        <v>367.15</v>
      </c>
      <c r="N745" s="11">
        <v>367.15</v>
      </c>
      <c r="O745" s="11">
        <v>0</v>
      </c>
      <c r="P745" s="11" t="s">
        <v>2624</v>
      </c>
    </row>
    <row r="746" spans="1:16" x14ac:dyDescent="0.2">
      <c r="A746" s="52">
        <v>43647</v>
      </c>
      <c r="B746" s="11" t="s">
        <v>555</v>
      </c>
      <c r="C746" s="11" t="s">
        <v>2762</v>
      </c>
      <c r="D746" s="11" t="s">
        <v>3297</v>
      </c>
      <c r="E746" s="11" t="s">
        <v>2621</v>
      </c>
      <c r="F746" s="11" t="s">
        <v>3144</v>
      </c>
      <c r="G746" s="11">
        <v>3558.4</v>
      </c>
      <c r="H746" s="11" t="s">
        <v>2623</v>
      </c>
      <c r="I746" s="11" t="s">
        <v>1411</v>
      </c>
      <c r="J746" s="11">
        <v>28</v>
      </c>
      <c r="K746" s="11">
        <v>2780</v>
      </c>
      <c r="L746" s="11">
        <v>0</v>
      </c>
      <c r="M746" s="11">
        <v>389.2</v>
      </c>
      <c r="N746" s="11">
        <v>389.2</v>
      </c>
      <c r="O746" s="11">
        <v>0</v>
      </c>
      <c r="P746" s="11" t="s">
        <v>2624</v>
      </c>
    </row>
    <row r="747" spans="1:16" x14ac:dyDescent="0.2">
      <c r="A747" s="52">
        <v>43647</v>
      </c>
      <c r="B747" s="11" t="s">
        <v>555</v>
      </c>
      <c r="C747" s="11" t="s">
        <v>2762</v>
      </c>
      <c r="D747" s="11" t="s">
        <v>3298</v>
      </c>
      <c r="E747" s="11" t="s">
        <v>2621</v>
      </c>
      <c r="F747" s="11" t="s">
        <v>3164</v>
      </c>
      <c r="G747" s="11">
        <v>4081.35</v>
      </c>
      <c r="H747" s="11" t="s">
        <v>2623</v>
      </c>
      <c r="I747" s="11" t="s">
        <v>1411</v>
      </c>
      <c r="J747" s="11">
        <v>28</v>
      </c>
      <c r="K747" s="11">
        <v>3188.55</v>
      </c>
      <c r="L747" s="11">
        <v>0</v>
      </c>
      <c r="M747" s="11">
        <v>446.4</v>
      </c>
      <c r="N747" s="11">
        <v>446.4</v>
      </c>
      <c r="O747" s="11">
        <v>0</v>
      </c>
      <c r="P747" s="11" t="s">
        <v>2624</v>
      </c>
    </row>
    <row r="748" spans="1:16" x14ac:dyDescent="0.2">
      <c r="A748" s="52">
        <v>43647</v>
      </c>
      <c r="B748" s="11" t="s">
        <v>555</v>
      </c>
      <c r="C748" s="11" t="s">
        <v>2762</v>
      </c>
      <c r="D748" s="11" t="s">
        <v>3299</v>
      </c>
      <c r="E748" s="11" t="s">
        <v>2621</v>
      </c>
      <c r="F748" s="11" t="s">
        <v>3164</v>
      </c>
      <c r="G748" s="11">
        <v>1826.56</v>
      </c>
      <c r="H748" s="11" t="s">
        <v>2623</v>
      </c>
      <c r="I748" s="11" t="s">
        <v>1411</v>
      </c>
      <c r="J748" s="11">
        <v>28</v>
      </c>
      <c r="K748" s="11">
        <v>1427</v>
      </c>
      <c r="L748" s="11">
        <v>0</v>
      </c>
      <c r="M748" s="11">
        <v>199.78</v>
      </c>
      <c r="N748" s="11">
        <v>199.78</v>
      </c>
      <c r="O748" s="11">
        <v>0</v>
      </c>
      <c r="P748" s="11" t="s">
        <v>2624</v>
      </c>
    </row>
    <row r="749" spans="1:16" x14ac:dyDescent="0.2">
      <c r="A749" s="52">
        <v>43647</v>
      </c>
      <c r="B749" s="11" t="s">
        <v>555</v>
      </c>
      <c r="C749" s="11" t="s">
        <v>2762</v>
      </c>
      <c r="D749" s="11" t="s">
        <v>3300</v>
      </c>
      <c r="E749" s="11" t="s">
        <v>2621</v>
      </c>
      <c r="F749" s="11" t="s">
        <v>3164</v>
      </c>
      <c r="G749" s="11">
        <v>7695.36</v>
      </c>
      <c r="H749" s="11" t="s">
        <v>2623</v>
      </c>
      <c r="I749" s="11" t="s">
        <v>1411</v>
      </c>
      <c r="J749" s="11">
        <v>28</v>
      </c>
      <c r="K749" s="11">
        <v>6012</v>
      </c>
      <c r="L749" s="11">
        <v>0</v>
      </c>
      <c r="M749" s="11">
        <v>841.68</v>
      </c>
      <c r="N749" s="11">
        <v>841.68</v>
      </c>
      <c r="O749" s="11">
        <v>0</v>
      </c>
      <c r="P749" s="11" t="s">
        <v>2624</v>
      </c>
    </row>
    <row r="750" spans="1:16" x14ac:dyDescent="0.2">
      <c r="A750" s="52">
        <v>43647</v>
      </c>
      <c r="B750" s="11" t="s">
        <v>555</v>
      </c>
      <c r="C750" s="11" t="s">
        <v>2762</v>
      </c>
      <c r="D750" s="11" t="s">
        <v>3301</v>
      </c>
      <c r="E750" s="11" t="s">
        <v>2621</v>
      </c>
      <c r="F750" s="11" t="s">
        <v>3166</v>
      </c>
      <c r="G750" s="11">
        <v>4689.8</v>
      </c>
      <c r="H750" s="11" t="s">
        <v>2623</v>
      </c>
      <c r="I750" s="11" t="s">
        <v>1411</v>
      </c>
      <c r="J750" s="11">
        <v>28</v>
      </c>
      <c r="K750" s="11">
        <v>3663.9</v>
      </c>
      <c r="L750" s="11">
        <v>0</v>
      </c>
      <c r="M750" s="11">
        <v>512.95000000000005</v>
      </c>
      <c r="N750" s="11">
        <v>512.95000000000005</v>
      </c>
      <c r="O750" s="11">
        <v>0</v>
      </c>
      <c r="P750" s="11" t="s">
        <v>2624</v>
      </c>
    </row>
    <row r="751" spans="1:16" x14ac:dyDescent="0.2">
      <c r="A751" s="52">
        <v>43647</v>
      </c>
      <c r="B751" s="11" t="s">
        <v>555</v>
      </c>
      <c r="C751" s="11" t="s">
        <v>2762</v>
      </c>
      <c r="D751" s="11" t="s">
        <v>3302</v>
      </c>
      <c r="E751" s="11" t="s">
        <v>2621</v>
      </c>
      <c r="F751" s="11" t="s">
        <v>3166</v>
      </c>
      <c r="G751" s="11">
        <v>7083.78</v>
      </c>
      <c r="H751" s="11" t="s">
        <v>2623</v>
      </c>
      <c r="I751" s="11" t="s">
        <v>1411</v>
      </c>
      <c r="J751" s="11">
        <v>28</v>
      </c>
      <c r="K751" s="11">
        <v>5534.2</v>
      </c>
      <c r="L751" s="11">
        <v>0</v>
      </c>
      <c r="M751" s="11">
        <v>774.79</v>
      </c>
      <c r="N751" s="11">
        <v>774.79</v>
      </c>
      <c r="O751" s="11">
        <v>0</v>
      </c>
      <c r="P751" s="11" t="s">
        <v>2624</v>
      </c>
    </row>
    <row r="752" spans="1:16" x14ac:dyDescent="0.2">
      <c r="A752" s="52">
        <v>43647</v>
      </c>
      <c r="B752" s="11" t="s">
        <v>555</v>
      </c>
      <c r="C752" s="11" t="s">
        <v>2762</v>
      </c>
      <c r="D752" s="11" t="s">
        <v>3303</v>
      </c>
      <c r="E752" s="11" t="s">
        <v>2621</v>
      </c>
      <c r="F752" s="11" t="s">
        <v>3185</v>
      </c>
      <c r="G752" s="11">
        <v>5411.2</v>
      </c>
      <c r="H752" s="11" t="s">
        <v>2623</v>
      </c>
      <c r="I752" s="11" t="s">
        <v>1411</v>
      </c>
      <c r="J752" s="11">
        <v>28</v>
      </c>
      <c r="K752" s="11">
        <v>4227.5</v>
      </c>
      <c r="L752" s="11">
        <v>0</v>
      </c>
      <c r="M752" s="11">
        <v>591.85</v>
      </c>
      <c r="N752" s="11">
        <v>591.85</v>
      </c>
      <c r="O752" s="11">
        <v>0</v>
      </c>
      <c r="P752" s="11" t="s">
        <v>2624</v>
      </c>
    </row>
    <row r="753" spans="1:16" x14ac:dyDescent="0.2">
      <c r="A753" s="52">
        <v>43647</v>
      </c>
      <c r="B753" s="11" t="s">
        <v>555</v>
      </c>
      <c r="C753" s="11" t="s">
        <v>2762</v>
      </c>
      <c r="D753" s="11" t="s">
        <v>3304</v>
      </c>
      <c r="E753" s="11" t="s">
        <v>2621</v>
      </c>
      <c r="F753" s="11" t="s">
        <v>3153</v>
      </c>
      <c r="G753" s="11">
        <v>9640.9599999999991</v>
      </c>
      <c r="H753" s="11" t="s">
        <v>2623</v>
      </c>
      <c r="I753" s="11" t="s">
        <v>1411</v>
      </c>
      <c r="J753" s="11">
        <v>28</v>
      </c>
      <c r="K753" s="11">
        <v>7532</v>
      </c>
      <c r="L753" s="11">
        <v>0</v>
      </c>
      <c r="M753" s="11">
        <v>1054.48</v>
      </c>
      <c r="N753" s="11">
        <v>1054.48</v>
      </c>
      <c r="O753" s="11">
        <v>0</v>
      </c>
      <c r="P753" s="11" t="s">
        <v>2624</v>
      </c>
    </row>
    <row r="754" spans="1:16" x14ac:dyDescent="0.2">
      <c r="A754" s="52">
        <v>43647</v>
      </c>
      <c r="B754" s="11" t="s">
        <v>555</v>
      </c>
      <c r="C754" s="11" t="s">
        <v>2762</v>
      </c>
      <c r="D754" s="11" t="s">
        <v>3305</v>
      </c>
      <c r="E754" s="11" t="s">
        <v>2621</v>
      </c>
      <c r="F754" s="11" t="s">
        <v>3153</v>
      </c>
      <c r="G754" s="11">
        <v>13521.92</v>
      </c>
      <c r="H754" s="11" t="s">
        <v>2623</v>
      </c>
      <c r="I754" s="11" t="s">
        <v>1411</v>
      </c>
      <c r="J754" s="11">
        <v>28</v>
      </c>
      <c r="K754" s="11">
        <v>10564</v>
      </c>
      <c r="L754" s="11">
        <v>0</v>
      </c>
      <c r="M754" s="11">
        <v>1478.96</v>
      </c>
      <c r="N754" s="11">
        <v>1478.96</v>
      </c>
      <c r="O754" s="11">
        <v>0</v>
      </c>
      <c r="P754" s="11" t="s">
        <v>2624</v>
      </c>
    </row>
    <row r="755" spans="1:16" x14ac:dyDescent="0.2">
      <c r="A755" s="52">
        <v>43647</v>
      </c>
      <c r="B755" s="11" t="s">
        <v>555</v>
      </c>
      <c r="C755" s="11" t="s">
        <v>2762</v>
      </c>
      <c r="D755" s="11" t="s">
        <v>3306</v>
      </c>
      <c r="E755" s="11" t="s">
        <v>2621</v>
      </c>
      <c r="F755" s="11" t="s">
        <v>3237</v>
      </c>
      <c r="G755" s="11">
        <v>9237.76</v>
      </c>
      <c r="H755" s="11" t="s">
        <v>2623</v>
      </c>
      <c r="I755" s="11" t="s">
        <v>1411</v>
      </c>
      <c r="J755" s="11">
        <v>28</v>
      </c>
      <c r="K755" s="11">
        <v>7217</v>
      </c>
      <c r="L755" s="11">
        <v>0</v>
      </c>
      <c r="M755" s="11">
        <v>1010.38</v>
      </c>
      <c r="N755" s="11">
        <v>1010.38</v>
      </c>
      <c r="O755" s="11">
        <v>0</v>
      </c>
      <c r="P755" s="11" t="s">
        <v>2624</v>
      </c>
    </row>
    <row r="756" spans="1:16" x14ac:dyDescent="0.2">
      <c r="A756" s="52">
        <v>43647</v>
      </c>
      <c r="B756" s="11" t="s">
        <v>555</v>
      </c>
      <c r="C756" s="11" t="s">
        <v>2762</v>
      </c>
      <c r="D756" s="11" t="s">
        <v>3307</v>
      </c>
      <c r="E756" s="11" t="s">
        <v>2621</v>
      </c>
      <c r="F756" s="11" t="s">
        <v>3281</v>
      </c>
      <c r="G756" s="11">
        <v>7116.8</v>
      </c>
      <c r="H756" s="11" t="s">
        <v>2623</v>
      </c>
      <c r="I756" s="11" t="s">
        <v>1411</v>
      </c>
      <c r="J756" s="11">
        <v>28</v>
      </c>
      <c r="K756" s="11">
        <v>5560</v>
      </c>
      <c r="L756" s="11">
        <v>0</v>
      </c>
      <c r="M756" s="11">
        <v>778.4</v>
      </c>
      <c r="N756" s="11">
        <v>778.4</v>
      </c>
      <c r="O756" s="11">
        <v>0</v>
      </c>
      <c r="P756" s="11" t="s">
        <v>2624</v>
      </c>
    </row>
    <row r="757" spans="1:16" x14ac:dyDescent="0.2">
      <c r="A757" s="52">
        <v>43647</v>
      </c>
      <c r="B757" s="11" t="s">
        <v>555</v>
      </c>
      <c r="C757" s="11" t="s">
        <v>2762</v>
      </c>
      <c r="D757" s="11" t="s">
        <v>3308</v>
      </c>
      <c r="E757" s="11" t="s">
        <v>2621</v>
      </c>
      <c r="F757" s="11" t="s">
        <v>3168</v>
      </c>
      <c r="G757" s="11">
        <v>11386.88</v>
      </c>
      <c r="H757" s="11" t="s">
        <v>2623</v>
      </c>
      <c r="I757" s="11" t="s">
        <v>1411</v>
      </c>
      <c r="J757" s="11">
        <v>28</v>
      </c>
      <c r="K757" s="11">
        <v>8896</v>
      </c>
      <c r="L757" s="11">
        <v>0</v>
      </c>
      <c r="M757" s="11">
        <v>1245.44</v>
      </c>
      <c r="N757" s="11">
        <v>1245.44</v>
      </c>
      <c r="O757" s="11">
        <v>0</v>
      </c>
      <c r="P757" s="11" t="s">
        <v>2624</v>
      </c>
    </row>
    <row r="758" spans="1:16" x14ac:dyDescent="0.2">
      <c r="A758" s="52">
        <v>43647</v>
      </c>
      <c r="B758" s="11" t="s">
        <v>555</v>
      </c>
      <c r="C758" s="11" t="s">
        <v>2762</v>
      </c>
      <c r="D758" s="11" t="s">
        <v>3309</v>
      </c>
      <c r="E758" s="11" t="s">
        <v>2621</v>
      </c>
      <c r="F758" s="11" t="s">
        <v>3171</v>
      </c>
      <c r="G758" s="11">
        <v>7804.16</v>
      </c>
      <c r="H758" s="11" t="s">
        <v>2623</v>
      </c>
      <c r="I758" s="11" t="s">
        <v>1411</v>
      </c>
      <c r="J758" s="11">
        <v>28</v>
      </c>
      <c r="K758" s="11">
        <v>6097</v>
      </c>
      <c r="L758" s="11">
        <v>0</v>
      </c>
      <c r="M758" s="11">
        <v>853.58</v>
      </c>
      <c r="N758" s="11">
        <v>853.58</v>
      </c>
      <c r="O758" s="11">
        <v>0</v>
      </c>
      <c r="P758" s="11" t="s">
        <v>2624</v>
      </c>
    </row>
    <row r="759" spans="1:16" x14ac:dyDescent="0.2">
      <c r="A759" s="52">
        <v>43647</v>
      </c>
      <c r="B759" s="11" t="s">
        <v>555</v>
      </c>
      <c r="C759" s="11" t="s">
        <v>2762</v>
      </c>
      <c r="D759" s="11" t="s">
        <v>3310</v>
      </c>
      <c r="E759" s="11" t="s">
        <v>2621</v>
      </c>
      <c r="F759" s="11" t="s">
        <v>3171</v>
      </c>
      <c r="G759" s="11">
        <v>11458.56</v>
      </c>
      <c r="H759" s="11" t="s">
        <v>2623</v>
      </c>
      <c r="I759" s="11" t="s">
        <v>1411</v>
      </c>
      <c r="J759" s="11">
        <v>28</v>
      </c>
      <c r="K759" s="11">
        <v>8952</v>
      </c>
      <c r="L759" s="11">
        <v>0</v>
      </c>
      <c r="M759" s="11">
        <v>1253.28</v>
      </c>
      <c r="N759" s="11">
        <v>1253.28</v>
      </c>
      <c r="O759" s="11">
        <v>0</v>
      </c>
      <c r="P759" s="11" t="s">
        <v>2624</v>
      </c>
    </row>
    <row r="760" spans="1:16" x14ac:dyDescent="0.2">
      <c r="A760" s="52">
        <v>43647</v>
      </c>
      <c r="B760" s="11" t="s">
        <v>555</v>
      </c>
      <c r="C760" s="11" t="s">
        <v>2762</v>
      </c>
      <c r="D760" s="11" t="s">
        <v>3311</v>
      </c>
      <c r="E760" s="11" t="s">
        <v>2621</v>
      </c>
      <c r="F760" s="11" t="s">
        <v>3174</v>
      </c>
      <c r="G760" s="11">
        <v>11386.88</v>
      </c>
      <c r="H760" s="11" t="s">
        <v>2623</v>
      </c>
      <c r="I760" s="11" t="s">
        <v>1411</v>
      </c>
      <c r="J760" s="11">
        <v>28</v>
      </c>
      <c r="K760" s="11">
        <v>8896</v>
      </c>
      <c r="L760" s="11">
        <v>0</v>
      </c>
      <c r="M760" s="11">
        <v>1245.44</v>
      </c>
      <c r="N760" s="11">
        <v>1245.44</v>
      </c>
      <c r="O760" s="11">
        <v>0</v>
      </c>
      <c r="P760" s="11" t="s">
        <v>2624</v>
      </c>
    </row>
    <row r="761" spans="1:16" x14ac:dyDescent="0.2">
      <c r="A761" s="52">
        <v>43647</v>
      </c>
      <c r="B761" s="11" t="s">
        <v>555</v>
      </c>
      <c r="C761" s="11" t="s">
        <v>2762</v>
      </c>
      <c r="D761" s="11" t="s">
        <v>3312</v>
      </c>
      <c r="E761" s="11" t="s">
        <v>2621</v>
      </c>
      <c r="F761" s="11" t="s">
        <v>3148</v>
      </c>
      <c r="G761" s="11">
        <v>7237.76</v>
      </c>
      <c r="H761" s="11" t="s">
        <v>2623</v>
      </c>
      <c r="I761" s="11" t="s">
        <v>1411</v>
      </c>
      <c r="J761" s="11">
        <v>28</v>
      </c>
      <c r="K761" s="11">
        <v>5654.5</v>
      </c>
      <c r="L761" s="11">
        <v>0</v>
      </c>
      <c r="M761" s="11">
        <v>791.63</v>
      </c>
      <c r="N761" s="11">
        <v>791.63</v>
      </c>
      <c r="O761" s="11">
        <v>0</v>
      </c>
      <c r="P761" s="11" t="s">
        <v>2624</v>
      </c>
    </row>
    <row r="762" spans="1:16" x14ac:dyDescent="0.2">
      <c r="A762" s="52">
        <v>43647</v>
      </c>
      <c r="B762" s="11" t="s">
        <v>555</v>
      </c>
      <c r="C762" s="11" t="s">
        <v>2762</v>
      </c>
      <c r="D762" s="11" t="s">
        <v>3313</v>
      </c>
      <c r="E762" s="11" t="s">
        <v>2621</v>
      </c>
      <c r="F762" s="11" t="s">
        <v>3148</v>
      </c>
      <c r="G762" s="11">
        <v>8540.16</v>
      </c>
      <c r="H762" s="11" t="s">
        <v>2623</v>
      </c>
      <c r="I762" s="11" t="s">
        <v>1411</v>
      </c>
      <c r="J762" s="11">
        <v>28</v>
      </c>
      <c r="K762" s="11">
        <v>6672</v>
      </c>
      <c r="L762" s="11">
        <v>0</v>
      </c>
      <c r="M762" s="11">
        <v>934.08</v>
      </c>
      <c r="N762" s="11">
        <v>934.08</v>
      </c>
      <c r="O762" s="11">
        <v>0</v>
      </c>
      <c r="P762" s="11" t="s">
        <v>2624</v>
      </c>
    </row>
    <row r="763" spans="1:16" x14ac:dyDescent="0.2">
      <c r="A763" s="52">
        <v>43647</v>
      </c>
      <c r="B763" s="11" t="s">
        <v>555</v>
      </c>
      <c r="C763" s="11" t="s">
        <v>2762</v>
      </c>
      <c r="D763" s="11" t="s">
        <v>3314</v>
      </c>
      <c r="E763" s="11" t="s">
        <v>2621</v>
      </c>
      <c r="F763" s="11" t="s">
        <v>3151</v>
      </c>
      <c r="G763" s="11">
        <v>5693.44</v>
      </c>
      <c r="H763" s="11" t="s">
        <v>2623</v>
      </c>
      <c r="I763" s="11" t="s">
        <v>1411</v>
      </c>
      <c r="J763" s="11">
        <v>28</v>
      </c>
      <c r="K763" s="11">
        <v>4448</v>
      </c>
      <c r="L763" s="11">
        <v>0</v>
      </c>
      <c r="M763" s="11">
        <v>622.72</v>
      </c>
      <c r="N763" s="11">
        <v>622.72</v>
      </c>
      <c r="O763" s="11">
        <v>0</v>
      </c>
      <c r="P763" s="11" t="s">
        <v>2624</v>
      </c>
    </row>
    <row r="764" spans="1:16" x14ac:dyDescent="0.2">
      <c r="A764" s="52">
        <v>43647</v>
      </c>
      <c r="B764" s="11" t="s">
        <v>555</v>
      </c>
      <c r="C764" s="11" t="s">
        <v>2762</v>
      </c>
      <c r="D764" s="11" t="s">
        <v>3315</v>
      </c>
      <c r="E764" s="11" t="s">
        <v>2621</v>
      </c>
      <c r="F764" s="11" t="s">
        <v>3151</v>
      </c>
      <c r="G764" s="11">
        <v>8540.16</v>
      </c>
      <c r="H764" s="11" t="s">
        <v>2623</v>
      </c>
      <c r="I764" s="11" t="s">
        <v>1411</v>
      </c>
      <c r="J764" s="11">
        <v>28</v>
      </c>
      <c r="K764" s="11">
        <v>6672</v>
      </c>
      <c r="L764" s="11">
        <v>0</v>
      </c>
      <c r="M764" s="11">
        <v>934.08</v>
      </c>
      <c r="N764" s="11">
        <v>934.08</v>
      </c>
      <c r="O764" s="11">
        <v>0</v>
      </c>
      <c r="P764" s="11" t="s">
        <v>2624</v>
      </c>
    </row>
    <row r="765" spans="1:16" x14ac:dyDescent="0.2">
      <c r="A765" s="52">
        <v>43647</v>
      </c>
      <c r="B765" s="11" t="s">
        <v>555</v>
      </c>
      <c r="C765" s="11" t="s">
        <v>2762</v>
      </c>
      <c r="D765" s="11" t="s">
        <v>3316</v>
      </c>
      <c r="E765" s="11" t="s">
        <v>2621</v>
      </c>
      <c r="F765" s="11" t="s">
        <v>3183</v>
      </c>
      <c r="G765" s="11">
        <v>7116.8</v>
      </c>
      <c r="H765" s="11" t="s">
        <v>2623</v>
      </c>
      <c r="I765" s="11" t="s">
        <v>1411</v>
      </c>
      <c r="J765" s="11">
        <v>28</v>
      </c>
      <c r="K765" s="11">
        <v>5560</v>
      </c>
      <c r="L765" s="11">
        <v>0</v>
      </c>
      <c r="M765" s="11">
        <v>778.4</v>
      </c>
      <c r="N765" s="11">
        <v>778.4</v>
      </c>
      <c r="O765" s="11">
        <v>0</v>
      </c>
      <c r="P765" s="11" t="s">
        <v>2624</v>
      </c>
    </row>
    <row r="766" spans="1:16" x14ac:dyDescent="0.2">
      <c r="A766" s="52">
        <v>43647</v>
      </c>
      <c r="B766" s="11" t="s">
        <v>555</v>
      </c>
      <c r="C766" s="11" t="s">
        <v>2762</v>
      </c>
      <c r="D766" s="11" t="s">
        <v>3317</v>
      </c>
      <c r="E766" s="11" t="s">
        <v>2621</v>
      </c>
      <c r="F766" s="11" t="s">
        <v>3183</v>
      </c>
      <c r="G766" s="11">
        <v>9465.6</v>
      </c>
      <c r="H766" s="11" t="s">
        <v>2623</v>
      </c>
      <c r="I766" s="11" t="s">
        <v>1411</v>
      </c>
      <c r="J766" s="11">
        <v>28</v>
      </c>
      <c r="K766" s="11">
        <v>7395</v>
      </c>
      <c r="L766" s="11">
        <v>0</v>
      </c>
      <c r="M766" s="11">
        <v>1035.3</v>
      </c>
      <c r="N766" s="11">
        <v>1035.3</v>
      </c>
      <c r="O766" s="11">
        <v>0</v>
      </c>
      <c r="P766" s="11" t="s">
        <v>2624</v>
      </c>
    </row>
    <row r="767" spans="1:16" x14ac:dyDescent="0.2">
      <c r="A767" s="52">
        <v>43647</v>
      </c>
      <c r="B767" s="11" t="s">
        <v>555</v>
      </c>
      <c r="C767" s="11" t="s">
        <v>2762</v>
      </c>
      <c r="D767" s="11" t="s">
        <v>3318</v>
      </c>
      <c r="E767" s="11" t="s">
        <v>2621</v>
      </c>
      <c r="F767" s="11" t="s">
        <v>3286</v>
      </c>
      <c r="G767" s="11">
        <v>11386.88</v>
      </c>
      <c r="H767" s="11" t="s">
        <v>2623</v>
      </c>
      <c r="I767" s="11" t="s">
        <v>1411</v>
      </c>
      <c r="J767" s="11">
        <v>28</v>
      </c>
      <c r="K767" s="11">
        <v>8896</v>
      </c>
      <c r="L767" s="11">
        <v>0</v>
      </c>
      <c r="M767" s="11">
        <v>1245.44</v>
      </c>
      <c r="N767" s="11">
        <v>1245.44</v>
      </c>
      <c r="O767" s="11">
        <v>0</v>
      </c>
      <c r="P767" s="11" t="s">
        <v>2624</v>
      </c>
    </row>
    <row r="768" spans="1:16" x14ac:dyDescent="0.2">
      <c r="A768" s="52">
        <v>43647</v>
      </c>
      <c r="B768" s="11" t="s">
        <v>555</v>
      </c>
      <c r="C768" s="11" t="s">
        <v>2762</v>
      </c>
      <c r="D768" s="11" t="s">
        <v>3319</v>
      </c>
      <c r="E768" s="11" t="s">
        <v>2621</v>
      </c>
      <c r="F768" s="11" t="s">
        <v>3139</v>
      </c>
      <c r="G768" s="11">
        <v>14114.56</v>
      </c>
      <c r="H768" s="11" t="s">
        <v>2623</v>
      </c>
      <c r="I768" s="11" t="s">
        <v>1411</v>
      </c>
      <c r="J768" s="11">
        <v>28</v>
      </c>
      <c r="K768" s="11">
        <v>11027</v>
      </c>
      <c r="L768" s="11">
        <v>0</v>
      </c>
      <c r="M768" s="11">
        <v>1543.78</v>
      </c>
      <c r="N768" s="11">
        <v>1543.78</v>
      </c>
      <c r="O768" s="11">
        <v>0</v>
      </c>
      <c r="P768" s="11" t="s">
        <v>2624</v>
      </c>
    </row>
    <row r="769" spans="1:16" x14ac:dyDescent="0.2">
      <c r="A769" s="52">
        <v>43647</v>
      </c>
      <c r="B769" s="11" t="s">
        <v>555</v>
      </c>
      <c r="C769" s="11" t="s">
        <v>2762</v>
      </c>
      <c r="D769" s="11" t="s">
        <v>3320</v>
      </c>
      <c r="E769" s="11" t="s">
        <v>2621</v>
      </c>
      <c r="F769" s="11" t="s">
        <v>3210</v>
      </c>
      <c r="G769" s="11">
        <v>3558.4</v>
      </c>
      <c r="H769" s="11" t="s">
        <v>2623</v>
      </c>
      <c r="I769" s="11" t="s">
        <v>1411</v>
      </c>
      <c r="J769" s="11">
        <v>28</v>
      </c>
      <c r="K769" s="11">
        <v>2780</v>
      </c>
      <c r="L769" s="11">
        <v>0</v>
      </c>
      <c r="M769" s="11">
        <v>389.2</v>
      </c>
      <c r="N769" s="11">
        <v>389.2</v>
      </c>
      <c r="O769" s="11">
        <v>0</v>
      </c>
      <c r="P769" s="11" t="s">
        <v>2624</v>
      </c>
    </row>
    <row r="770" spans="1:16" x14ac:dyDescent="0.2">
      <c r="A770" s="52">
        <v>43647</v>
      </c>
      <c r="B770" s="11" t="s">
        <v>555</v>
      </c>
      <c r="C770" s="11" t="s">
        <v>2762</v>
      </c>
      <c r="D770" s="11" t="s">
        <v>3321</v>
      </c>
      <c r="E770" s="11" t="s">
        <v>2621</v>
      </c>
      <c r="F770" s="11" t="s">
        <v>3210</v>
      </c>
      <c r="G770" s="11">
        <v>10086.92</v>
      </c>
      <c r="H770" s="11" t="s">
        <v>2623</v>
      </c>
      <c r="I770" s="11" t="s">
        <v>1411</v>
      </c>
      <c r="J770" s="11">
        <v>28</v>
      </c>
      <c r="K770" s="11">
        <v>7880.4</v>
      </c>
      <c r="L770" s="11">
        <v>0</v>
      </c>
      <c r="M770" s="11">
        <v>1103.26</v>
      </c>
      <c r="N770" s="11">
        <v>1103.26</v>
      </c>
      <c r="O770" s="11">
        <v>0</v>
      </c>
      <c r="P770" s="11" t="s">
        <v>2624</v>
      </c>
    </row>
    <row r="771" spans="1:16" x14ac:dyDescent="0.2">
      <c r="A771" s="52">
        <v>43647</v>
      </c>
      <c r="B771" s="11" t="s">
        <v>555</v>
      </c>
      <c r="C771" s="11" t="s">
        <v>2762</v>
      </c>
      <c r="D771" s="11" t="s">
        <v>3322</v>
      </c>
      <c r="E771" s="11" t="s">
        <v>2621</v>
      </c>
      <c r="F771" s="11" t="s">
        <v>3155</v>
      </c>
      <c r="G771" s="11">
        <v>4887.04</v>
      </c>
      <c r="H771" s="11" t="s">
        <v>2623</v>
      </c>
      <c r="I771" s="11" t="s">
        <v>1411</v>
      </c>
      <c r="J771" s="11">
        <v>28</v>
      </c>
      <c r="K771" s="11">
        <v>3818</v>
      </c>
      <c r="L771" s="11">
        <v>0</v>
      </c>
      <c r="M771" s="11">
        <v>534.52</v>
      </c>
      <c r="N771" s="11">
        <v>534.52</v>
      </c>
      <c r="O771" s="11">
        <v>0</v>
      </c>
      <c r="P771" s="11" t="s">
        <v>2624</v>
      </c>
    </row>
    <row r="772" spans="1:16" x14ac:dyDescent="0.2">
      <c r="A772" s="52">
        <v>43647</v>
      </c>
      <c r="B772" s="11" t="s">
        <v>555</v>
      </c>
      <c r="C772" s="11" t="s">
        <v>2762</v>
      </c>
      <c r="D772" s="11" t="s">
        <v>3323</v>
      </c>
      <c r="E772" s="11" t="s">
        <v>2621</v>
      </c>
      <c r="F772" s="11" t="s">
        <v>3155</v>
      </c>
      <c r="G772" s="11">
        <v>7520</v>
      </c>
      <c r="H772" s="11" t="s">
        <v>2623</v>
      </c>
      <c r="I772" s="11" t="s">
        <v>1411</v>
      </c>
      <c r="J772" s="11">
        <v>28</v>
      </c>
      <c r="K772" s="11">
        <v>5875</v>
      </c>
      <c r="L772" s="11">
        <v>0</v>
      </c>
      <c r="M772" s="11">
        <v>822.5</v>
      </c>
      <c r="N772" s="11">
        <v>822.5</v>
      </c>
      <c r="O772" s="11">
        <v>0</v>
      </c>
      <c r="P772" s="11" t="s">
        <v>2624</v>
      </c>
    </row>
    <row r="773" spans="1:16" x14ac:dyDescent="0.2">
      <c r="A773" s="52">
        <v>43647</v>
      </c>
      <c r="B773" s="11" t="s">
        <v>555</v>
      </c>
      <c r="C773" s="11" t="s">
        <v>2762</v>
      </c>
      <c r="D773" s="11" t="s">
        <v>3324</v>
      </c>
      <c r="E773" s="11" t="s">
        <v>2621</v>
      </c>
      <c r="F773" s="11" t="s">
        <v>3142</v>
      </c>
      <c r="G773" s="11">
        <v>6701.44</v>
      </c>
      <c r="H773" s="11" t="s">
        <v>2623</v>
      </c>
      <c r="I773" s="11" t="s">
        <v>1411</v>
      </c>
      <c r="J773" s="11">
        <v>28</v>
      </c>
      <c r="K773" s="11">
        <v>5235.5</v>
      </c>
      <c r="L773" s="11">
        <v>0</v>
      </c>
      <c r="M773" s="11">
        <v>732.97</v>
      </c>
      <c r="N773" s="11">
        <v>732.97</v>
      </c>
      <c r="O773" s="11">
        <v>0</v>
      </c>
      <c r="P773" s="11" t="s">
        <v>2624</v>
      </c>
    </row>
    <row r="774" spans="1:16" x14ac:dyDescent="0.2">
      <c r="A774" s="52">
        <v>43647</v>
      </c>
      <c r="B774" s="11" t="s">
        <v>555</v>
      </c>
      <c r="C774" s="11" t="s">
        <v>2762</v>
      </c>
      <c r="D774" s="11" t="s">
        <v>3325</v>
      </c>
      <c r="E774" s="11" t="s">
        <v>2621</v>
      </c>
      <c r="F774" s="11" t="s">
        <v>3186</v>
      </c>
      <c r="G774" s="11">
        <v>9868.7999999999993</v>
      </c>
      <c r="H774" s="11" t="s">
        <v>2623</v>
      </c>
      <c r="I774" s="11" t="s">
        <v>1411</v>
      </c>
      <c r="J774" s="11">
        <v>28</v>
      </c>
      <c r="K774" s="11">
        <v>7710</v>
      </c>
      <c r="L774" s="11">
        <v>0</v>
      </c>
      <c r="M774" s="11">
        <v>1079.4000000000001</v>
      </c>
      <c r="N774" s="11">
        <v>1079.4000000000001</v>
      </c>
      <c r="O774" s="11">
        <v>0</v>
      </c>
      <c r="P774" s="11" t="s">
        <v>2624</v>
      </c>
    </row>
    <row r="775" spans="1:16" x14ac:dyDescent="0.2">
      <c r="A775" s="52">
        <v>43647</v>
      </c>
      <c r="B775" s="11" t="s">
        <v>555</v>
      </c>
      <c r="C775" s="11" t="s">
        <v>2762</v>
      </c>
      <c r="D775" s="11" t="s">
        <v>3326</v>
      </c>
      <c r="E775" s="11" t="s">
        <v>2621</v>
      </c>
      <c r="F775" s="11" t="s">
        <v>3186</v>
      </c>
      <c r="G775" s="11">
        <v>6808.32</v>
      </c>
      <c r="H775" s="11" t="s">
        <v>2623</v>
      </c>
      <c r="I775" s="11" t="s">
        <v>1411</v>
      </c>
      <c r="J775" s="11">
        <v>28</v>
      </c>
      <c r="K775" s="11">
        <v>5319</v>
      </c>
      <c r="L775" s="11">
        <v>0</v>
      </c>
      <c r="M775" s="11">
        <v>744.66</v>
      </c>
      <c r="N775" s="11">
        <v>744.66</v>
      </c>
      <c r="O775" s="11">
        <v>0</v>
      </c>
      <c r="P775" s="11" t="s">
        <v>2624</v>
      </c>
    </row>
    <row r="776" spans="1:16" x14ac:dyDescent="0.2">
      <c r="A776" s="52">
        <v>43647</v>
      </c>
      <c r="B776" s="11" t="s">
        <v>555</v>
      </c>
      <c r="C776" s="11" t="s">
        <v>2762</v>
      </c>
      <c r="D776" s="11" t="s">
        <v>3327</v>
      </c>
      <c r="E776" s="11" t="s">
        <v>2621</v>
      </c>
      <c r="F776" s="11" t="s">
        <v>3149</v>
      </c>
      <c r="G776" s="11">
        <v>7116.8</v>
      </c>
      <c r="H776" s="11" t="s">
        <v>2623</v>
      </c>
      <c r="I776" s="11" t="s">
        <v>1411</v>
      </c>
      <c r="J776" s="11">
        <v>28</v>
      </c>
      <c r="K776" s="11">
        <v>5560</v>
      </c>
      <c r="L776" s="11">
        <v>0</v>
      </c>
      <c r="M776" s="11">
        <v>778.4</v>
      </c>
      <c r="N776" s="11">
        <v>778.4</v>
      </c>
      <c r="O776" s="11">
        <v>0</v>
      </c>
      <c r="P776" s="11" t="s">
        <v>2624</v>
      </c>
    </row>
    <row r="777" spans="1:16" x14ac:dyDescent="0.2">
      <c r="A777" s="52">
        <v>43647</v>
      </c>
      <c r="B777" s="11" t="s">
        <v>555</v>
      </c>
      <c r="C777" s="11" t="s">
        <v>2762</v>
      </c>
      <c r="D777" s="11" t="s">
        <v>3328</v>
      </c>
      <c r="E777" s="11" t="s">
        <v>2621</v>
      </c>
      <c r="F777" s="11" t="s">
        <v>3149</v>
      </c>
      <c r="G777" s="11">
        <v>3558.4</v>
      </c>
      <c r="H777" s="11" t="s">
        <v>2623</v>
      </c>
      <c r="I777" s="11" t="s">
        <v>1411</v>
      </c>
      <c r="J777" s="11">
        <v>28</v>
      </c>
      <c r="K777" s="11">
        <v>2780</v>
      </c>
      <c r="L777" s="11">
        <v>0</v>
      </c>
      <c r="M777" s="11">
        <v>389.2</v>
      </c>
      <c r="N777" s="11">
        <v>389.2</v>
      </c>
      <c r="O777" s="11">
        <v>0</v>
      </c>
      <c r="P777" s="11" t="s">
        <v>2624</v>
      </c>
    </row>
    <row r="778" spans="1:16" x14ac:dyDescent="0.2">
      <c r="A778" s="52">
        <v>43647</v>
      </c>
      <c r="B778" s="11" t="s">
        <v>555</v>
      </c>
      <c r="C778" s="11" t="s">
        <v>2762</v>
      </c>
      <c r="D778" s="11" t="s">
        <v>3329</v>
      </c>
      <c r="E778" s="11" t="s">
        <v>2621</v>
      </c>
      <c r="F778" s="11" t="s">
        <v>3149</v>
      </c>
      <c r="G778" s="11">
        <v>7121.16</v>
      </c>
      <c r="H778" s="11" t="s">
        <v>2623</v>
      </c>
      <c r="I778" s="11" t="s">
        <v>1411</v>
      </c>
      <c r="J778" s="11">
        <v>28</v>
      </c>
      <c r="K778" s="11">
        <v>5563.4</v>
      </c>
      <c r="L778" s="11">
        <v>0</v>
      </c>
      <c r="M778" s="11">
        <v>778.88</v>
      </c>
      <c r="N778" s="11">
        <v>778.88</v>
      </c>
      <c r="O778" s="11">
        <v>0</v>
      </c>
      <c r="P778" s="11" t="s">
        <v>2624</v>
      </c>
    </row>
    <row r="779" spans="1:16" x14ac:dyDescent="0.2">
      <c r="A779" s="52">
        <v>43647</v>
      </c>
      <c r="B779" s="11" t="s">
        <v>555</v>
      </c>
      <c r="C779" s="11" t="s">
        <v>2762</v>
      </c>
      <c r="D779" s="11" t="s">
        <v>3330</v>
      </c>
      <c r="E779" s="11" t="s">
        <v>2621</v>
      </c>
      <c r="F779" s="11" t="s">
        <v>3158</v>
      </c>
      <c r="G779" s="11">
        <v>9565.44</v>
      </c>
      <c r="H779" s="11" t="s">
        <v>2623</v>
      </c>
      <c r="I779" s="11" t="s">
        <v>1411</v>
      </c>
      <c r="J779" s="11">
        <v>28</v>
      </c>
      <c r="K779" s="11">
        <v>7473</v>
      </c>
      <c r="L779" s="11">
        <v>0</v>
      </c>
      <c r="M779" s="11">
        <v>1046.22</v>
      </c>
      <c r="N779" s="11">
        <v>1046.22</v>
      </c>
      <c r="O779" s="11">
        <v>0</v>
      </c>
      <c r="P779" s="11" t="s">
        <v>2624</v>
      </c>
    </row>
    <row r="780" spans="1:16" x14ac:dyDescent="0.2">
      <c r="A780" s="52">
        <v>43647</v>
      </c>
      <c r="B780" s="11" t="s">
        <v>555</v>
      </c>
      <c r="C780" s="11" t="s">
        <v>2762</v>
      </c>
      <c r="D780" s="11" t="s">
        <v>3331</v>
      </c>
      <c r="E780" s="11" t="s">
        <v>2621</v>
      </c>
      <c r="F780" s="11" t="s">
        <v>3147</v>
      </c>
      <c r="G780" s="11">
        <v>6997.76</v>
      </c>
      <c r="H780" s="11" t="s">
        <v>2623</v>
      </c>
      <c r="I780" s="11" t="s">
        <v>1411</v>
      </c>
      <c r="J780" s="11">
        <v>28</v>
      </c>
      <c r="K780" s="11">
        <v>5467</v>
      </c>
      <c r="L780" s="11">
        <v>0</v>
      </c>
      <c r="M780" s="11">
        <v>765.38</v>
      </c>
      <c r="N780" s="11">
        <v>765.38</v>
      </c>
      <c r="O780" s="11">
        <v>0</v>
      </c>
      <c r="P780" s="11" t="s">
        <v>2624</v>
      </c>
    </row>
    <row r="781" spans="1:16" x14ac:dyDescent="0.2">
      <c r="A781" s="52">
        <v>43647</v>
      </c>
      <c r="B781" s="11" t="s">
        <v>555</v>
      </c>
      <c r="C781" s="11" t="s">
        <v>2762</v>
      </c>
      <c r="D781" s="11" t="s">
        <v>3332</v>
      </c>
      <c r="E781" s="11" t="s">
        <v>2621</v>
      </c>
      <c r="F781" s="11" t="s">
        <v>3147</v>
      </c>
      <c r="G781" s="11">
        <v>10959.36</v>
      </c>
      <c r="H781" s="11" t="s">
        <v>2623</v>
      </c>
      <c r="I781" s="11" t="s">
        <v>1411</v>
      </c>
      <c r="J781" s="11">
        <v>28</v>
      </c>
      <c r="K781" s="11">
        <v>8562</v>
      </c>
      <c r="L781" s="11">
        <v>0</v>
      </c>
      <c r="M781" s="11">
        <v>1198.68</v>
      </c>
      <c r="N781" s="11">
        <v>1198.68</v>
      </c>
      <c r="O781" s="11">
        <v>0</v>
      </c>
      <c r="P781" s="11" t="s">
        <v>2624</v>
      </c>
    </row>
    <row r="782" spans="1:16" x14ac:dyDescent="0.2">
      <c r="A782" s="52">
        <v>43647</v>
      </c>
      <c r="B782" s="11" t="s">
        <v>555</v>
      </c>
      <c r="C782" s="11" t="s">
        <v>2762</v>
      </c>
      <c r="D782" s="11" t="s">
        <v>3333</v>
      </c>
      <c r="E782" s="11" t="s">
        <v>2621</v>
      </c>
      <c r="F782" s="11" t="s">
        <v>3187</v>
      </c>
      <c r="G782" s="11">
        <v>9238.4</v>
      </c>
      <c r="H782" s="11" t="s">
        <v>2623</v>
      </c>
      <c r="I782" s="11" t="s">
        <v>1411</v>
      </c>
      <c r="J782" s="11">
        <v>28</v>
      </c>
      <c r="K782" s="11">
        <v>7217.5</v>
      </c>
      <c r="L782" s="11">
        <v>0</v>
      </c>
      <c r="M782" s="11">
        <v>1010.45</v>
      </c>
      <c r="N782" s="11">
        <v>1010.45</v>
      </c>
      <c r="O782" s="11">
        <v>0</v>
      </c>
      <c r="P782" s="11" t="s">
        <v>2624</v>
      </c>
    </row>
    <row r="783" spans="1:16" x14ac:dyDescent="0.2">
      <c r="A783" s="52">
        <v>43647</v>
      </c>
      <c r="B783" s="11" t="s">
        <v>555</v>
      </c>
      <c r="C783" s="11" t="s">
        <v>2762</v>
      </c>
      <c r="D783" s="11" t="s">
        <v>3334</v>
      </c>
      <c r="E783" s="11" t="s">
        <v>2621</v>
      </c>
      <c r="F783" s="11" t="s">
        <v>3273</v>
      </c>
      <c r="G783" s="11">
        <v>9584.64</v>
      </c>
      <c r="H783" s="11" t="s">
        <v>2623</v>
      </c>
      <c r="I783" s="11" t="s">
        <v>1411</v>
      </c>
      <c r="J783" s="11">
        <v>28</v>
      </c>
      <c r="K783" s="11">
        <v>7488</v>
      </c>
      <c r="L783" s="11">
        <v>0</v>
      </c>
      <c r="M783" s="11">
        <v>1048.32</v>
      </c>
      <c r="N783" s="11">
        <v>1048.32</v>
      </c>
      <c r="O783" s="11">
        <v>0</v>
      </c>
      <c r="P783" s="11" t="s">
        <v>2624</v>
      </c>
    </row>
    <row r="784" spans="1:16" x14ac:dyDescent="0.2">
      <c r="A784" s="52">
        <v>43647</v>
      </c>
      <c r="B784" s="11" t="s">
        <v>555</v>
      </c>
      <c r="C784" s="11" t="s">
        <v>2762</v>
      </c>
      <c r="D784" s="11" t="s">
        <v>3335</v>
      </c>
      <c r="E784" s="11" t="s">
        <v>2621</v>
      </c>
      <c r="F784" s="11" t="s">
        <v>3180</v>
      </c>
      <c r="G784" s="11">
        <v>18032.64</v>
      </c>
      <c r="H784" s="11" t="s">
        <v>2623</v>
      </c>
      <c r="I784" s="11" t="s">
        <v>1411</v>
      </c>
      <c r="J784" s="11">
        <v>28</v>
      </c>
      <c r="K784" s="11">
        <v>14088</v>
      </c>
      <c r="L784" s="11">
        <v>0</v>
      </c>
      <c r="M784" s="11">
        <v>1972.32</v>
      </c>
      <c r="N784" s="11">
        <v>1972.32</v>
      </c>
      <c r="O784" s="11">
        <v>0</v>
      </c>
      <c r="P784" s="11" t="s">
        <v>2624</v>
      </c>
    </row>
    <row r="785" spans="1:16" x14ac:dyDescent="0.2">
      <c r="A785" s="52">
        <v>43647</v>
      </c>
      <c r="B785" s="11" t="s">
        <v>555</v>
      </c>
      <c r="C785" s="11" t="s">
        <v>2762</v>
      </c>
      <c r="D785" s="11" t="s">
        <v>3336</v>
      </c>
      <c r="E785" s="11" t="s">
        <v>2621</v>
      </c>
      <c r="F785" s="11" t="s">
        <v>3180</v>
      </c>
      <c r="G785" s="11">
        <v>10179.84</v>
      </c>
      <c r="H785" s="11" t="s">
        <v>2623</v>
      </c>
      <c r="I785" s="11" t="s">
        <v>1411</v>
      </c>
      <c r="J785" s="11">
        <v>28</v>
      </c>
      <c r="K785" s="11">
        <v>7953</v>
      </c>
      <c r="L785" s="11">
        <v>0</v>
      </c>
      <c r="M785" s="11">
        <v>1113.42</v>
      </c>
      <c r="N785" s="11">
        <v>1113.42</v>
      </c>
      <c r="O785" s="11">
        <v>0</v>
      </c>
      <c r="P785" s="11" t="s">
        <v>2624</v>
      </c>
    </row>
    <row r="787" spans="1:16" x14ac:dyDescent="0.2">
      <c r="A787" s="52">
        <v>43678</v>
      </c>
      <c r="B787" s="11" t="s">
        <v>103</v>
      </c>
      <c r="C787" s="11" t="s">
        <v>1170</v>
      </c>
      <c r="D787" s="11" t="s">
        <v>941</v>
      </c>
      <c r="E787" s="11" t="s">
        <v>2621</v>
      </c>
      <c r="F787" s="11" t="s">
        <v>3394</v>
      </c>
      <c r="G787" s="11">
        <v>416.91</v>
      </c>
      <c r="H787" s="11" t="s">
        <v>2623</v>
      </c>
      <c r="I787" s="11" t="s">
        <v>1411</v>
      </c>
      <c r="J787" s="11">
        <v>28</v>
      </c>
      <c r="K787" s="11">
        <v>325.70999999999998</v>
      </c>
      <c r="L787" s="11">
        <v>91.2</v>
      </c>
      <c r="M787" s="11">
        <v>0</v>
      </c>
      <c r="N787" s="11">
        <v>0</v>
      </c>
      <c r="O787" s="11">
        <v>0</v>
      </c>
      <c r="P787" s="11" t="s">
        <v>2624</v>
      </c>
    </row>
    <row r="788" spans="1:16" x14ac:dyDescent="0.2">
      <c r="A788" s="52">
        <v>43678</v>
      </c>
      <c r="B788" s="11" t="s">
        <v>103</v>
      </c>
      <c r="C788" s="11" t="s">
        <v>1170</v>
      </c>
      <c r="D788" s="11" t="s">
        <v>942</v>
      </c>
      <c r="E788" s="11" t="s">
        <v>2621</v>
      </c>
      <c r="F788" s="11" t="s">
        <v>3394</v>
      </c>
      <c r="G788" s="11">
        <v>5500.93</v>
      </c>
      <c r="H788" s="11" t="s">
        <v>2623</v>
      </c>
      <c r="I788" s="11" t="s">
        <v>1411</v>
      </c>
      <c r="J788" s="11">
        <v>28</v>
      </c>
      <c r="K788" s="11">
        <v>4297.6000000000004</v>
      </c>
      <c r="L788" s="11">
        <v>1203.33</v>
      </c>
      <c r="M788" s="11">
        <v>0</v>
      </c>
      <c r="N788" s="11">
        <v>0</v>
      </c>
      <c r="O788" s="11">
        <v>0</v>
      </c>
      <c r="P788" s="11" t="s">
        <v>2624</v>
      </c>
    </row>
    <row r="789" spans="1:16" x14ac:dyDescent="0.2">
      <c r="A789" s="52">
        <v>43678</v>
      </c>
      <c r="B789" s="11" t="s">
        <v>858</v>
      </c>
      <c r="C789" s="11" t="s">
        <v>3395</v>
      </c>
      <c r="D789" s="11" t="s">
        <v>896</v>
      </c>
      <c r="E789" s="11" t="s">
        <v>2621</v>
      </c>
      <c r="F789" s="11" t="s">
        <v>3396</v>
      </c>
      <c r="G789" s="11">
        <v>11800</v>
      </c>
      <c r="H789" s="11" t="s">
        <v>2623</v>
      </c>
      <c r="I789" s="11" t="s">
        <v>1411</v>
      </c>
      <c r="J789" s="11">
        <v>18</v>
      </c>
      <c r="K789" s="11">
        <v>10000</v>
      </c>
      <c r="L789" s="11">
        <v>0</v>
      </c>
      <c r="M789" s="11">
        <v>900</v>
      </c>
      <c r="N789" s="11">
        <v>900</v>
      </c>
      <c r="O789" s="11">
        <v>0</v>
      </c>
      <c r="P789" s="11" t="s">
        <v>2624</v>
      </c>
    </row>
    <row r="790" spans="1:16" x14ac:dyDescent="0.2">
      <c r="A790" s="52">
        <v>43678</v>
      </c>
      <c r="B790" s="11" t="s">
        <v>477</v>
      </c>
      <c r="C790" s="11" t="s">
        <v>2625</v>
      </c>
      <c r="D790" s="11" t="s">
        <v>885</v>
      </c>
      <c r="E790" s="11" t="s">
        <v>2621</v>
      </c>
      <c r="F790" s="11" t="s">
        <v>3397</v>
      </c>
      <c r="G790" s="11">
        <v>482490</v>
      </c>
      <c r="H790" s="11" t="s">
        <v>2623</v>
      </c>
      <c r="I790" s="11" t="s">
        <v>1411</v>
      </c>
      <c r="J790" s="11">
        <v>28</v>
      </c>
      <c r="K790" s="11">
        <v>376945</v>
      </c>
      <c r="L790" s="11">
        <v>0</v>
      </c>
      <c r="M790" s="11">
        <v>52772.3</v>
      </c>
      <c r="N790" s="11">
        <v>52772.3</v>
      </c>
      <c r="O790" s="11">
        <v>0</v>
      </c>
      <c r="P790" s="11" t="s">
        <v>2624</v>
      </c>
    </row>
    <row r="791" spans="1:16" x14ac:dyDescent="0.2">
      <c r="A791" s="52">
        <v>43678</v>
      </c>
      <c r="B791" s="11" t="s">
        <v>477</v>
      </c>
      <c r="C791" s="11" t="s">
        <v>2625</v>
      </c>
      <c r="D791" s="11" t="s">
        <v>903</v>
      </c>
      <c r="E791" s="11" t="s">
        <v>2621</v>
      </c>
      <c r="F791" s="11" t="s">
        <v>3398</v>
      </c>
      <c r="G791" s="11">
        <v>47967</v>
      </c>
      <c r="H791" s="11" t="s">
        <v>2623</v>
      </c>
      <c r="I791" s="11" t="s">
        <v>1411</v>
      </c>
      <c r="J791" s="11">
        <v>18</v>
      </c>
      <c r="K791" s="11">
        <v>40650</v>
      </c>
      <c r="L791" s="11">
        <v>0</v>
      </c>
      <c r="M791" s="11">
        <v>3658.5</v>
      </c>
      <c r="N791" s="11">
        <v>3658.5</v>
      </c>
      <c r="O791" s="11">
        <v>0</v>
      </c>
      <c r="P791" s="11" t="s">
        <v>2624</v>
      </c>
    </row>
    <row r="792" spans="1:16" x14ac:dyDescent="0.2">
      <c r="A792" s="52">
        <v>43678</v>
      </c>
      <c r="B792" s="11" t="s">
        <v>156</v>
      </c>
      <c r="C792" s="11" t="s">
        <v>3026</v>
      </c>
      <c r="D792" s="11" t="s">
        <v>3399</v>
      </c>
      <c r="E792" s="11" t="s">
        <v>2621</v>
      </c>
      <c r="F792" s="11" t="s">
        <v>3400</v>
      </c>
      <c r="G792" s="11">
        <v>998.92</v>
      </c>
      <c r="H792" s="11" t="s">
        <v>2623</v>
      </c>
      <c r="I792" s="11" t="s">
        <v>1411</v>
      </c>
      <c r="J792" s="11">
        <v>18</v>
      </c>
      <c r="K792" s="11">
        <v>846.54</v>
      </c>
      <c r="L792" s="11">
        <v>0</v>
      </c>
      <c r="M792" s="11">
        <v>76.19</v>
      </c>
      <c r="N792" s="11">
        <v>76.19</v>
      </c>
      <c r="O792" s="11">
        <v>0</v>
      </c>
      <c r="P792" s="11" t="s">
        <v>2624</v>
      </c>
    </row>
    <row r="793" spans="1:16" x14ac:dyDescent="0.2">
      <c r="A793" s="52">
        <v>43678</v>
      </c>
      <c r="B793" s="11" t="s">
        <v>929</v>
      </c>
      <c r="C793" s="11" t="s">
        <v>3401</v>
      </c>
      <c r="D793" s="11" t="s">
        <v>930</v>
      </c>
      <c r="E793" s="11" t="s">
        <v>2621</v>
      </c>
      <c r="F793" s="11" t="s">
        <v>3402</v>
      </c>
      <c r="G793" s="11">
        <v>8555</v>
      </c>
      <c r="H793" s="11" t="s">
        <v>2623</v>
      </c>
      <c r="I793" s="11" t="s">
        <v>1411</v>
      </c>
      <c r="J793" s="11">
        <v>18</v>
      </c>
      <c r="K793" s="11">
        <v>7250</v>
      </c>
      <c r="L793" s="11">
        <v>1305</v>
      </c>
      <c r="M793" s="11">
        <v>0</v>
      </c>
      <c r="N793" s="11">
        <v>0</v>
      </c>
      <c r="O793" s="11">
        <v>0</v>
      </c>
      <c r="P793" s="11" t="s">
        <v>2624</v>
      </c>
    </row>
    <row r="794" spans="1:16" x14ac:dyDescent="0.2">
      <c r="A794" s="52">
        <v>43678</v>
      </c>
      <c r="B794" s="11" t="s">
        <v>256</v>
      </c>
      <c r="C794" s="11" t="s">
        <v>2711</v>
      </c>
      <c r="D794" s="11" t="s">
        <v>3403</v>
      </c>
      <c r="E794" s="11" t="s">
        <v>2621</v>
      </c>
      <c r="F794" s="11" t="s">
        <v>3404</v>
      </c>
      <c r="G794" s="11">
        <v>945.78</v>
      </c>
      <c r="H794" s="11" t="s">
        <v>2623</v>
      </c>
      <c r="I794" s="11" t="s">
        <v>1411</v>
      </c>
      <c r="J794" s="11">
        <v>28</v>
      </c>
      <c r="K794" s="11">
        <v>738.89</v>
      </c>
      <c r="L794" s="11">
        <v>206.89</v>
      </c>
      <c r="M794" s="11">
        <v>0</v>
      </c>
      <c r="N794" s="11">
        <v>0</v>
      </c>
      <c r="O794" s="11">
        <v>0</v>
      </c>
      <c r="P794" s="11" t="s">
        <v>2624</v>
      </c>
    </row>
    <row r="795" spans="1:16" x14ac:dyDescent="0.2">
      <c r="A795" s="52">
        <v>43678</v>
      </c>
      <c r="B795" s="11" t="s">
        <v>256</v>
      </c>
      <c r="C795" s="11" t="s">
        <v>2711</v>
      </c>
      <c r="D795" s="11" t="s">
        <v>3405</v>
      </c>
      <c r="E795" s="11" t="s">
        <v>2621</v>
      </c>
      <c r="F795" s="11" t="s">
        <v>3406</v>
      </c>
      <c r="G795" s="11">
        <v>16090.88</v>
      </c>
      <c r="H795" s="11" t="s">
        <v>2623</v>
      </c>
      <c r="I795" s="11" t="s">
        <v>1411</v>
      </c>
      <c r="J795" s="11">
        <v>28</v>
      </c>
      <c r="K795" s="11">
        <v>12571</v>
      </c>
      <c r="L795" s="11">
        <v>3519.88</v>
      </c>
      <c r="M795" s="11">
        <v>0</v>
      </c>
      <c r="N795" s="11">
        <v>0</v>
      </c>
      <c r="O795" s="11">
        <v>0</v>
      </c>
      <c r="P795" s="11" t="s">
        <v>2624</v>
      </c>
    </row>
    <row r="796" spans="1:16" x14ac:dyDescent="0.2">
      <c r="A796" s="52">
        <v>43678</v>
      </c>
      <c r="B796" s="11" t="s">
        <v>256</v>
      </c>
      <c r="C796" s="11" t="s">
        <v>2711</v>
      </c>
      <c r="D796" s="11" t="s">
        <v>3407</v>
      </c>
      <c r="E796" s="11" t="s">
        <v>2621</v>
      </c>
      <c r="F796" s="11" t="s">
        <v>3406</v>
      </c>
      <c r="G796" s="11">
        <v>3042.89</v>
      </c>
      <c r="H796" s="11" t="s">
        <v>2623</v>
      </c>
      <c r="I796" s="11" t="s">
        <v>1411</v>
      </c>
      <c r="J796" s="11">
        <v>28</v>
      </c>
      <c r="K796" s="11">
        <v>2377.2600000000002</v>
      </c>
      <c r="L796" s="11">
        <v>665.63</v>
      </c>
      <c r="M796" s="11">
        <v>0</v>
      </c>
      <c r="N796" s="11">
        <v>0</v>
      </c>
      <c r="O796" s="11">
        <v>0</v>
      </c>
      <c r="P796" s="11" t="s">
        <v>2624</v>
      </c>
    </row>
    <row r="797" spans="1:16" x14ac:dyDescent="0.2">
      <c r="A797" s="52">
        <v>43678</v>
      </c>
      <c r="B797" s="11" t="s">
        <v>706</v>
      </c>
      <c r="C797" s="11" t="s">
        <v>2935</v>
      </c>
      <c r="D797" s="11" t="s">
        <v>884</v>
      </c>
      <c r="E797" s="11" t="s">
        <v>2621</v>
      </c>
      <c r="F797" s="11" t="s">
        <v>3408</v>
      </c>
      <c r="G797" s="11">
        <v>3742.72</v>
      </c>
      <c r="H797" s="11" t="s">
        <v>2623</v>
      </c>
      <c r="I797" s="11" t="s">
        <v>1411</v>
      </c>
      <c r="J797" s="11">
        <v>28</v>
      </c>
      <c r="K797" s="11">
        <v>2924</v>
      </c>
      <c r="L797" s="11">
        <v>0</v>
      </c>
      <c r="M797" s="11">
        <v>409.36</v>
      </c>
      <c r="N797" s="11">
        <v>409.36</v>
      </c>
      <c r="O797" s="11">
        <v>0</v>
      </c>
      <c r="P797" s="11" t="s">
        <v>2624</v>
      </c>
    </row>
    <row r="798" spans="1:16" x14ac:dyDescent="0.2">
      <c r="A798" s="52">
        <v>43678</v>
      </c>
      <c r="B798" s="11" t="s">
        <v>607</v>
      </c>
      <c r="C798" s="11" t="s">
        <v>2895</v>
      </c>
      <c r="D798" s="11" t="s">
        <v>905</v>
      </c>
      <c r="E798" s="11" t="s">
        <v>2621</v>
      </c>
      <c r="F798" s="11" t="s">
        <v>3409</v>
      </c>
      <c r="G798" s="11">
        <v>12805</v>
      </c>
      <c r="H798" s="11" t="s">
        <v>2623</v>
      </c>
      <c r="I798" s="11" t="s">
        <v>1411</v>
      </c>
      <c r="J798" s="11">
        <v>18</v>
      </c>
      <c r="K798" s="11">
        <v>10852</v>
      </c>
      <c r="L798" s="11">
        <v>0</v>
      </c>
      <c r="M798" s="11">
        <v>976.68</v>
      </c>
      <c r="N798" s="11">
        <v>976.68</v>
      </c>
      <c r="O798" s="11">
        <v>0</v>
      </c>
      <c r="P798" s="11" t="s">
        <v>2624</v>
      </c>
    </row>
    <row r="799" spans="1:16" x14ac:dyDescent="0.2">
      <c r="A799" s="52">
        <v>43678</v>
      </c>
      <c r="B799" s="11" t="s">
        <v>635</v>
      </c>
      <c r="C799" s="11" t="s">
        <v>2896</v>
      </c>
      <c r="D799" s="11" t="s">
        <v>908</v>
      </c>
      <c r="E799" s="11" t="s">
        <v>2621</v>
      </c>
      <c r="F799" s="11" t="s">
        <v>3410</v>
      </c>
      <c r="G799" s="11">
        <v>40627</v>
      </c>
      <c r="H799" s="11" t="s">
        <v>2623</v>
      </c>
      <c r="I799" s="11" t="s">
        <v>1411</v>
      </c>
      <c r="J799" s="11">
        <v>18</v>
      </c>
      <c r="K799" s="11">
        <v>34430</v>
      </c>
      <c r="L799" s="11">
        <v>0</v>
      </c>
      <c r="M799" s="11">
        <v>3098.7</v>
      </c>
      <c r="N799" s="11">
        <v>3098.7</v>
      </c>
      <c r="O799" s="11">
        <v>0</v>
      </c>
      <c r="P799" s="11" t="s">
        <v>2624</v>
      </c>
    </row>
    <row r="800" spans="1:16" x14ac:dyDescent="0.2">
      <c r="A800" s="52">
        <v>43678</v>
      </c>
      <c r="B800" s="11" t="s">
        <v>635</v>
      </c>
      <c r="C800" s="11" t="s">
        <v>2896</v>
      </c>
      <c r="D800" s="11" t="s">
        <v>916</v>
      </c>
      <c r="E800" s="11" t="s">
        <v>2621</v>
      </c>
      <c r="F800" s="11" t="s">
        <v>3411</v>
      </c>
      <c r="G800" s="11">
        <v>3770</v>
      </c>
      <c r="H800" s="11" t="s">
        <v>2623</v>
      </c>
      <c r="I800" s="11" t="s">
        <v>1411</v>
      </c>
      <c r="J800" s="11">
        <v>18</v>
      </c>
      <c r="K800" s="11">
        <v>3195</v>
      </c>
      <c r="L800" s="11">
        <v>0</v>
      </c>
      <c r="M800" s="11">
        <v>287.55</v>
      </c>
      <c r="N800" s="11">
        <v>287.55</v>
      </c>
      <c r="O800" s="11">
        <v>0</v>
      </c>
      <c r="P800" s="11" t="s">
        <v>2624</v>
      </c>
    </row>
    <row r="801" spans="1:16" x14ac:dyDescent="0.2">
      <c r="A801" s="52">
        <v>43678</v>
      </c>
      <c r="B801" s="11" t="s">
        <v>635</v>
      </c>
      <c r="C801" s="11" t="s">
        <v>2896</v>
      </c>
      <c r="D801" s="11" t="s">
        <v>933</v>
      </c>
      <c r="E801" s="11" t="s">
        <v>2621</v>
      </c>
      <c r="F801" s="11" t="s">
        <v>3406</v>
      </c>
      <c r="G801" s="11">
        <v>12289</v>
      </c>
      <c r="H801" s="11" t="s">
        <v>2623</v>
      </c>
      <c r="I801" s="11" t="s">
        <v>1411</v>
      </c>
      <c r="J801" s="11">
        <v>18</v>
      </c>
      <c r="K801" s="11">
        <v>10414</v>
      </c>
      <c r="L801" s="11">
        <v>0</v>
      </c>
      <c r="M801" s="11">
        <v>937.26</v>
      </c>
      <c r="N801" s="11">
        <v>937.26</v>
      </c>
      <c r="O801" s="11">
        <v>0</v>
      </c>
      <c r="P801" s="11" t="s">
        <v>2624</v>
      </c>
    </row>
    <row r="802" spans="1:16" x14ac:dyDescent="0.2">
      <c r="A802" s="52">
        <v>43678</v>
      </c>
      <c r="B802" s="11" t="s">
        <v>602</v>
      </c>
      <c r="C802" s="11" t="s">
        <v>2781</v>
      </c>
      <c r="D802" s="11" t="s">
        <v>3412</v>
      </c>
      <c r="E802" s="11" t="s">
        <v>2621</v>
      </c>
      <c r="F802" s="11" t="s">
        <v>3413</v>
      </c>
      <c r="G802" s="11">
        <v>27244.799999999999</v>
      </c>
      <c r="H802" s="11" t="s">
        <v>2623</v>
      </c>
      <c r="I802" s="11" t="s">
        <v>1411</v>
      </c>
      <c r="J802" s="11">
        <v>28</v>
      </c>
      <c r="K802" s="11">
        <v>21285</v>
      </c>
      <c r="L802" s="11">
        <v>0</v>
      </c>
      <c r="M802" s="11">
        <v>2979.9</v>
      </c>
      <c r="N802" s="11">
        <v>2979.9</v>
      </c>
      <c r="O802" s="11">
        <v>0</v>
      </c>
      <c r="P802" s="11" t="s">
        <v>2624</v>
      </c>
    </row>
    <row r="803" spans="1:16" x14ac:dyDescent="0.2">
      <c r="A803" s="52">
        <v>43678</v>
      </c>
      <c r="B803" s="11" t="s">
        <v>602</v>
      </c>
      <c r="C803" s="11" t="s">
        <v>2781</v>
      </c>
      <c r="D803" s="11" t="s">
        <v>3414</v>
      </c>
      <c r="E803" s="11" t="s">
        <v>2621</v>
      </c>
      <c r="F803" s="11" t="s">
        <v>3413</v>
      </c>
      <c r="G803" s="11">
        <v>46282.76</v>
      </c>
      <c r="H803" s="11" t="s">
        <v>2623</v>
      </c>
      <c r="I803" s="11" t="s">
        <v>1411</v>
      </c>
      <c r="J803" s="11">
        <v>28</v>
      </c>
      <c r="K803" s="11">
        <v>36158.400000000001</v>
      </c>
      <c r="L803" s="11">
        <v>0</v>
      </c>
      <c r="M803" s="11">
        <v>5062.18</v>
      </c>
      <c r="N803" s="11">
        <v>5062.18</v>
      </c>
      <c r="O803" s="11">
        <v>0</v>
      </c>
      <c r="P803" s="11" t="s">
        <v>2624</v>
      </c>
    </row>
    <row r="804" spans="1:16" x14ac:dyDescent="0.2">
      <c r="A804" s="52">
        <v>43678</v>
      </c>
      <c r="B804" s="11" t="s">
        <v>602</v>
      </c>
      <c r="C804" s="11" t="s">
        <v>2781</v>
      </c>
      <c r="D804" s="11" t="s">
        <v>3415</v>
      </c>
      <c r="E804" s="11" t="s">
        <v>2621</v>
      </c>
      <c r="F804" s="11" t="s">
        <v>3416</v>
      </c>
      <c r="G804" s="11">
        <v>56669.18</v>
      </c>
      <c r="H804" s="11" t="s">
        <v>2623</v>
      </c>
      <c r="I804" s="11" t="s">
        <v>1411</v>
      </c>
      <c r="J804" s="11">
        <v>28</v>
      </c>
      <c r="K804" s="11">
        <v>44272.800000000003</v>
      </c>
      <c r="L804" s="11">
        <v>0</v>
      </c>
      <c r="M804" s="11">
        <v>6198.19</v>
      </c>
      <c r="N804" s="11">
        <v>6198.19</v>
      </c>
      <c r="O804" s="11">
        <v>0</v>
      </c>
      <c r="P804" s="11" t="s">
        <v>2624</v>
      </c>
    </row>
    <row r="805" spans="1:16" x14ac:dyDescent="0.2">
      <c r="A805" s="52">
        <v>43678</v>
      </c>
      <c r="B805" s="11" t="s">
        <v>602</v>
      </c>
      <c r="C805" s="11" t="s">
        <v>2781</v>
      </c>
      <c r="D805" s="11" t="s">
        <v>3417</v>
      </c>
      <c r="E805" s="11" t="s">
        <v>2621</v>
      </c>
      <c r="F805" s="11" t="s">
        <v>3396</v>
      </c>
      <c r="G805" s="11">
        <v>45771.26</v>
      </c>
      <c r="H805" s="11" t="s">
        <v>2623</v>
      </c>
      <c r="I805" s="11" t="s">
        <v>1411</v>
      </c>
      <c r="J805" s="11">
        <v>28</v>
      </c>
      <c r="K805" s="11">
        <v>35758.800000000003</v>
      </c>
      <c r="L805" s="11">
        <v>0</v>
      </c>
      <c r="M805" s="11">
        <v>5006.2299999999996</v>
      </c>
      <c r="N805" s="11">
        <v>5006.2299999999996</v>
      </c>
      <c r="O805" s="11">
        <v>0</v>
      </c>
      <c r="P805" s="11" t="s">
        <v>2624</v>
      </c>
    </row>
    <row r="806" spans="1:16" x14ac:dyDescent="0.2">
      <c r="A806" s="52">
        <v>43678</v>
      </c>
      <c r="B806" s="11" t="s">
        <v>602</v>
      </c>
      <c r="C806" s="11" t="s">
        <v>2781</v>
      </c>
      <c r="D806" s="11" t="s">
        <v>3418</v>
      </c>
      <c r="E806" s="11" t="s">
        <v>2621</v>
      </c>
      <c r="F806" s="11" t="s">
        <v>3396</v>
      </c>
      <c r="G806" s="11">
        <v>13713.4</v>
      </c>
      <c r="H806" s="11" t="s">
        <v>2623</v>
      </c>
      <c r="I806" s="11" t="s">
        <v>1411</v>
      </c>
      <c r="J806" s="11">
        <v>28</v>
      </c>
      <c r="K806" s="11">
        <v>10713.6</v>
      </c>
      <c r="L806" s="11">
        <v>0</v>
      </c>
      <c r="M806" s="11">
        <v>1499.9</v>
      </c>
      <c r="N806" s="11">
        <v>1499.9</v>
      </c>
      <c r="O806" s="11">
        <v>0</v>
      </c>
      <c r="P806" s="11" t="s">
        <v>2624</v>
      </c>
    </row>
    <row r="807" spans="1:16" x14ac:dyDescent="0.2">
      <c r="A807" s="52">
        <v>43678</v>
      </c>
      <c r="B807" s="11" t="s">
        <v>602</v>
      </c>
      <c r="C807" s="11" t="s">
        <v>2781</v>
      </c>
      <c r="D807" s="11" t="s">
        <v>3419</v>
      </c>
      <c r="E807" s="11" t="s">
        <v>2621</v>
      </c>
      <c r="F807" s="11" t="s">
        <v>3420</v>
      </c>
      <c r="G807" s="11">
        <v>71995.399999999994</v>
      </c>
      <c r="H807" s="11" t="s">
        <v>2623</v>
      </c>
      <c r="I807" s="11" t="s">
        <v>1411</v>
      </c>
      <c r="J807" s="11">
        <v>28</v>
      </c>
      <c r="K807" s="11">
        <v>56246.400000000001</v>
      </c>
      <c r="L807" s="11">
        <v>0</v>
      </c>
      <c r="M807" s="11">
        <v>7874.5</v>
      </c>
      <c r="N807" s="11">
        <v>7874.5</v>
      </c>
      <c r="O807" s="11">
        <v>0</v>
      </c>
      <c r="P807" s="11" t="s">
        <v>2624</v>
      </c>
    </row>
    <row r="808" spans="1:16" x14ac:dyDescent="0.2">
      <c r="A808" s="52">
        <v>43678</v>
      </c>
      <c r="B808" s="11" t="s">
        <v>490</v>
      </c>
      <c r="C808" s="11" t="s">
        <v>2747</v>
      </c>
      <c r="D808" s="11" t="s">
        <v>3421</v>
      </c>
      <c r="E808" s="11" t="s">
        <v>2621</v>
      </c>
      <c r="F808" s="11" t="s">
        <v>3422</v>
      </c>
      <c r="G808" s="11">
        <v>140883</v>
      </c>
      <c r="H808" s="11" t="s">
        <v>2623</v>
      </c>
      <c r="I808" s="11" t="s">
        <v>1411</v>
      </c>
      <c r="J808" s="11">
        <v>18</v>
      </c>
      <c r="K808" s="11">
        <v>119392.44</v>
      </c>
      <c r="L808" s="11">
        <v>0</v>
      </c>
      <c r="M808" s="11">
        <v>10745.32</v>
      </c>
      <c r="N808" s="11">
        <v>10745.32</v>
      </c>
      <c r="O808" s="11">
        <v>0</v>
      </c>
      <c r="P808" s="11" t="s">
        <v>2624</v>
      </c>
    </row>
    <row r="809" spans="1:16" x14ac:dyDescent="0.2">
      <c r="A809" s="52">
        <v>43678</v>
      </c>
      <c r="B809" s="11" t="s">
        <v>490</v>
      </c>
      <c r="C809" s="11" t="s">
        <v>2747</v>
      </c>
      <c r="D809" s="11" t="s">
        <v>3423</v>
      </c>
      <c r="E809" s="11" t="s">
        <v>2621</v>
      </c>
      <c r="F809" s="11" t="s">
        <v>3422</v>
      </c>
      <c r="G809" s="11">
        <v>69367</v>
      </c>
      <c r="H809" s="11" t="s">
        <v>2623</v>
      </c>
      <c r="I809" s="11" t="s">
        <v>1411</v>
      </c>
      <c r="J809" s="11">
        <v>18</v>
      </c>
      <c r="K809" s="11">
        <v>58785.52</v>
      </c>
      <c r="L809" s="11">
        <v>0</v>
      </c>
      <c r="M809" s="11">
        <v>5290.7</v>
      </c>
      <c r="N809" s="11">
        <v>5290.7</v>
      </c>
      <c r="O809" s="11">
        <v>0</v>
      </c>
      <c r="P809" s="11" t="s">
        <v>2624</v>
      </c>
    </row>
    <row r="810" spans="1:16" x14ac:dyDescent="0.2">
      <c r="A810" s="52">
        <v>43678</v>
      </c>
      <c r="B810" s="11" t="s">
        <v>490</v>
      </c>
      <c r="C810" s="11" t="s">
        <v>2747</v>
      </c>
      <c r="D810" s="11" t="s">
        <v>3424</v>
      </c>
      <c r="E810" s="11" t="s">
        <v>2621</v>
      </c>
      <c r="F810" s="11" t="s">
        <v>3413</v>
      </c>
      <c r="G810" s="11">
        <v>82468</v>
      </c>
      <c r="H810" s="11" t="s">
        <v>2623</v>
      </c>
      <c r="I810" s="11" t="s">
        <v>1411</v>
      </c>
      <c r="J810" s="11">
        <v>18</v>
      </c>
      <c r="K810" s="11">
        <v>69888.160000000003</v>
      </c>
      <c r="L810" s="11">
        <v>0</v>
      </c>
      <c r="M810" s="11">
        <v>6289.93</v>
      </c>
      <c r="N810" s="11">
        <v>6289.93</v>
      </c>
      <c r="O810" s="11">
        <v>0</v>
      </c>
      <c r="P810" s="11" t="s">
        <v>2624</v>
      </c>
    </row>
    <row r="811" spans="1:16" x14ac:dyDescent="0.2">
      <c r="A811" s="52">
        <v>43678</v>
      </c>
      <c r="B811" s="11" t="s">
        <v>490</v>
      </c>
      <c r="C811" s="11" t="s">
        <v>2747</v>
      </c>
      <c r="D811" s="11" t="s">
        <v>3425</v>
      </c>
      <c r="E811" s="11" t="s">
        <v>2621</v>
      </c>
      <c r="F811" s="11" t="s">
        <v>3426</v>
      </c>
      <c r="G811" s="11">
        <v>53100</v>
      </c>
      <c r="H811" s="11" t="s">
        <v>2623</v>
      </c>
      <c r="I811" s="11" t="s">
        <v>1411</v>
      </c>
      <c r="J811" s="11">
        <v>18</v>
      </c>
      <c r="K811" s="11">
        <v>45000</v>
      </c>
      <c r="L811" s="11">
        <v>0</v>
      </c>
      <c r="M811" s="11">
        <v>4050</v>
      </c>
      <c r="N811" s="11">
        <v>4050</v>
      </c>
      <c r="O811" s="11">
        <v>0</v>
      </c>
      <c r="P811" s="11" t="s">
        <v>2624</v>
      </c>
    </row>
    <row r="812" spans="1:16" x14ac:dyDescent="0.2">
      <c r="A812" s="52">
        <v>43678</v>
      </c>
      <c r="B812" s="11" t="s">
        <v>490</v>
      </c>
      <c r="C812" s="11" t="s">
        <v>2747</v>
      </c>
      <c r="D812" s="11" t="s">
        <v>3427</v>
      </c>
      <c r="E812" s="11" t="s">
        <v>2621</v>
      </c>
      <c r="F812" s="11" t="s">
        <v>3426</v>
      </c>
      <c r="G812" s="11">
        <v>15529</v>
      </c>
      <c r="H812" s="11" t="s">
        <v>2623</v>
      </c>
      <c r="I812" s="11" t="s">
        <v>1411</v>
      </c>
      <c r="J812" s="11">
        <v>18</v>
      </c>
      <c r="K812" s="11">
        <v>13160.2</v>
      </c>
      <c r="L812" s="11">
        <v>0</v>
      </c>
      <c r="M812" s="11">
        <v>1184.42</v>
      </c>
      <c r="N812" s="11">
        <v>1184.42</v>
      </c>
      <c r="O812" s="11">
        <v>0</v>
      </c>
      <c r="P812" s="11" t="s">
        <v>2624</v>
      </c>
    </row>
    <row r="813" spans="1:16" x14ac:dyDescent="0.2">
      <c r="A813" s="52">
        <v>43678</v>
      </c>
      <c r="B813" s="11" t="s">
        <v>490</v>
      </c>
      <c r="C813" s="11" t="s">
        <v>2747</v>
      </c>
      <c r="D813" s="11" t="s">
        <v>3428</v>
      </c>
      <c r="E813" s="11" t="s">
        <v>2621</v>
      </c>
      <c r="F813" s="11" t="s">
        <v>3426</v>
      </c>
      <c r="G813" s="11">
        <v>9393</v>
      </c>
      <c r="H813" s="11" t="s">
        <v>2623</v>
      </c>
      <c r="I813" s="11" t="s">
        <v>1411</v>
      </c>
      <c r="J813" s="11">
        <v>18</v>
      </c>
      <c r="K813" s="11">
        <v>7960.2</v>
      </c>
      <c r="L813" s="11">
        <v>0</v>
      </c>
      <c r="M813" s="11">
        <v>716.42</v>
      </c>
      <c r="N813" s="11">
        <v>716.42</v>
      </c>
      <c r="O813" s="11">
        <v>0</v>
      </c>
      <c r="P813" s="11" t="s">
        <v>2624</v>
      </c>
    </row>
    <row r="814" spans="1:16" x14ac:dyDescent="0.2">
      <c r="A814" s="52">
        <v>43678</v>
      </c>
      <c r="B814" s="11" t="s">
        <v>490</v>
      </c>
      <c r="C814" s="11" t="s">
        <v>2747</v>
      </c>
      <c r="D814" s="11" t="s">
        <v>3429</v>
      </c>
      <c r="E814" s="11" t="s">
        <v>2621</v>
      </c>
      <c r="F814" s="11" t="s">
        <v>3404</v>
      </c>
      <c r="G814" s="11">
        <v>41767</v>
      </c>
      <c r="H814" s="11" t="s">
        <v>2623</v>
      </c>
      <c r="I814" s="11" t="s">
        <v>1411</v>
      </c>
      <c r="J814" s="11">
        <v>18</v>
      </c>
      <c r="K814" s="11">
        <v>35395.72</v>
      </c>
      <c r="L814" s="11">
        <v>0</v>
      </c>
      <c r="M814" s="11">
        <v>3185.61</v>
      </c>
      <c r="N814" s="11">
        <v>3185.61</v>
      </c>
      <c r="O814" s="11">
        <v>0</v>
      </c>
      <c r="P814" s="11" t="s">
        <v>2624</v>
      </c>
    </row>
    <row r="815" spans="1:16" x14ac:dyDescent="0.2">
      <c r="A815" s="52">
        <v>43678</v>
      </c>
      <c r="B815" s="11" t="s">
        <v>490</v>
      </c>
      <c r="C815" s="11" t="s">
        <v>2747</v>
      </c>
      <c r="D815" s="11" t="s">
        <v>3430</v>
      </c>
      <c r="E815" s="11" t="s">
        <v>2621</v>
      </c>
      <c r="F815" s="11" t="s">
        <v>3404</v>
      </c>
      <c r="G815" s="11">
        <v>9393</v>
      </c>
      <c r="H815" s="11" t="s">
        <v>2623</v>
      </c>
      <c r="I815" s="11" t="s">
        <v>1411</v>
      </c>
      <c r="J815" s="11">
        <v>18</v>
      </c>
      <c r="K815" s="11">
        <v>7960.2</v>
      </c>
      <c r="L815" s="11">
        <v>0</v>
      </c>
      <c r="M815" s="11">
        <v>716.42</v>
      </c>
      <c r="N815" s="11">
        <v>716.42</v>
      </c>
      <c r="O815" s="11">
        <v>0</v>
      </c>
      <c r="P815" s="11" t="s">
        <v>2624</v>
      </c>
    </row>
    <row r="816" spans="1:16" x14ac:dyDescent="0.2">
      <c r="A816" s="52">
        <v>43678</v>
      </c>
      <c r="B816" s="11" t="s">
        <v>490</v>
      </c>
      <c r="C816" s="11" t="s">
        <v>2747</v>
      </c>
      <c r="D816" s="11" t="s">
        <v>3431</v>
      </c>
      <c r="E816" s="11" t="s">
        <v>2621</v>
      </c>
      <c r="F816" s="11" t="s">
        <v>3406</v>
      </c>
      <c r="G816" s="11">
        <v>12083</v>
      </c>
      <c r="H816" s="11" t="s">
        <v>2623</v>
      </c>
      <c r="I816" s="11" t="s">
        <v>1411</v>
      </c>
      <c r="J816" s="11">
        <v>18</v>
      </c>
      <c r="K816" s="11">
        <v>10239.799999999999</v>
      </c>
      <c r="L816" s="11">
        <v>0</v>
      </c>
      <c r="M816" s="11">
        <v>921.58</v>
      </c>
      <c r="N816" s="11">
        <v>921.58</v>
      </c>
      <c r="O816" s="11">
        <v>0</v>
      </c>
      <c r="P816" s="11" t="s">
        <v>2624</v>
      </c>
    </row>
    <row r="817" spans="1:16" x14ac:dyDescent="0.2">
      <c r="A817" s="52">
        <v>43678</v>
      </c>
      <c r="B817" s="11" t="s">
        <v>780</v>
      </c>
      <c r="C817" s="11" t="s">
        <v>3432</v>
      </c>
      <c r="D817" s="11" t="s">
        <v>3433</v>
      </c>
      <c r="E817" s="11" t="s">
        <v>2621</v>
      </c>
      <c r="F817" s="11" t="s">
        <v>3408</v>
      </c>
      <c r="G817" s="11">
        <v>22184</v>
      </c>
      <c r="H817" s="11" t="s">
        <v>2623</v>
      </c>
      <c r="I817" s="11" t="s">
        <v>1411</v>
      </c>
      <c r="J817" s="11">
        <v>18</v>
      </c>
      <c r="K817" s="11">
        <v>18800</v>
      </c>
      <c r="L817" s="11">
        <v>0</v>
      </c>
      <c r="M817" s="11">
        <v>1692</v>
      </c>
      <c r="N817" s="11">
        <v>1692</v>
      </c>
      <c r="O817" s="11">
        <v>0</v>
      </c>
      <c r="P817" s="11" t="s">
        <v>2624</v>
      </c>
    </row>
    <row r="818" spans="1:16" x14ac:dyDescent="0.2">
      <c r="A818" s="52">
        <v>43678</v>
      </c>
      <c r="B818" s="11" t="s">
        <v>519</v>
      </c>
      <c r="C818" s="11" t="s">
        <v>2639</v>
      </c>
      <c r="D818" s="11" t="s">
        <v>906</v>
      </c>
      <c r="E818" s="11" t="s">
        <v>2621</v>
      </c>
      <c r="F818" s="11" t="s">
        <v>3396</v>
      </c>
      <c r="G818" s="11">
        <v>5689.96</v>
      </c>
      <c r="H818" s="11" t="s">
        <v>2623</v>
      </c>
      <c r="I818" s="11" t="s">
        <v>1411</v>
      </c>
      <c r="J818" s="11">
        <v>18</v>
      </c>
      <c r="K818" s="11">
        <v>4822</v>
      </c>
      <c r="L818" s="11">
        <v>0</v>
      </c>
      <c r="M818" s="11">
        <v>433.98</v>
      </c>
      <c r="N818" s="11">
        <v>433.98</v>
      </c>
      <c r="O818" s="11">
        <v>0</v>
      </c>
      <c r="P818" s="11" t="s">
        <v>2624</v>
      </c>
    </row>
    <row r="819" spans="1:16" x14ac:dyDescent="0.2">
      <c r="A819" s="52">
        <v>43678</v>
      </c>
      <c r="B819" s="11" t="s">
        <v>41</v>
      </c>
      <c r="C819" s="11" t="s">
        <v>2643</v>
      </c>
      <c r="D819" s="11" t="s">
        <v>3434</v>
      </c>
      <c r="E819" s="11" t="s">
        <v>2621</v>
      </c>
      <c r="F819" s="11" t="s">
        <v>3397</v>
      </c>
      <c r="G819" s="11">
        <v>12311.04</v>
      </c>
      <c r="H819" s="11" t="s">
        <v>2623</v>
      </c>
      <c r="I819" s="11" t="s">
        <v>1411</v>
      </c>
      <c r="J819" s="11">
        <v>28</v>
      </c>
      <c r="K819" s="11">
        <v>9618</v>
      </c>
      <c r="L819" s="11">
        <v>0</v>
      </c>
      <c r="M819" s="11">
        <v>1347</v>
      </c>
      <c r="N819" s="11">
        <v>1347</v>
      </c>
      <c r="O819" s="11">
        <v>0</v>
      </c>
      <c r="P819" s="11" t="s">
        <v>2624</v>
      </c>
    </row>
    <row r="820" spans="1:16" x14ac:dyDescent="0.2">
      <c r="A820" s="52">
        <v>43678</v>
      </c>
      <c r="B820" s="11" t="s">
        <v>41</v>
      </c>
      <c r="C820" s="11" t="s">
        <v>2643</v>
      </c>
      <c r="D820" s="11" t="s">
        <v>3435</v>
      </c>
      <c r="E820" s="11" t="s">
        <v>2621</v>
      </c>
      <c r="F820" s="11" t="s">
        <v>3397</v>
      </c>
      <c r="G820" s="11">
        <v>2937.73</v>
      </c>
      <c r="H820" s="11" t="s">
        <v>2623</v>
      </c>
      <c r="I820" s="11" t="s">
        <v>1411</v>
      </c>
      <c r="J820" s="11">
        <v>28</v>
      </c>
      <c r="K820" s="11">
        <v>2295.09</v>
      </c>
      <c r="L820" s="11">
        <v>0</v>
      </c>
      <c r="M820" s="11">
        <v>322</v>
      </c>
      <c r="N820" s="11">
        <v>322</v>
      </c>
      <c r="O820" s="11">
        <v>0</v>
      </c>
      <c r="P820" s="11" t="s">
        <v>2624</v>
      </c>
    </row>
    <row r="821" spans="1:16" x14ac:dyDescent="0.2">
      <c r="A821" s="52">
        <v>43678</v>
      </c>
      <c r="B821" s="11" t="s">
        <v>41</v>
      </c>
      <c r="C821" s="11" t="s">
        <v>2643</v>
      </c>
      <c r="D821" s="11" t="s">
        <v>879</v>
      </c>
      <c r="E821" s="11" t="s">
        <v>2621</v>
      </c>
      <c r="F821" s="11" t="s">
        <v>3416</v>
      </c>
      <c r="G821" s="11">
        <v>11490.3</v>
      </c>
      <c r="H821" s="11" t="s">
        <v>2623</v>
      </c>
      <c r="I821" s="11" t="s">
        <v>1411</v>
      </c>
      <c r="J821" s="11">
        <v>28</v>
      </c>
      <c r="K821" s="11">
        <v>8976.7999999999993</v>
      </c>
      <c r="L821" s="11">
        <v>0</v>
      </c>
      <c r="M821" s="11">
        <v>1257</v>
      </c>
      <c r="N821" s="11">
        <v>1257</v>
      </c>
      <c r="O821" s="11">
        <v>0</v>
      </c>
      <c r="P821" s="11" t="s">
        <v>2624</v>
      </c>
    </row>
    <row r="822" spans="1:16" x14ac:dyDescent="0.2">
      <c r="A822" s="52">
        <v>43678</v>
      </c>
      <c r="B822" s="11" t="s">
        <v>41</v>
      </c>
      <c r="C822" s="11" t="s">
        <v>2643</v>
      </c>
      <c r="D822" s="11" t="s">
        <v>880</v>
      </c>
      <c r="E822" s="11" t="s">
        <v>2621</v>
      </c>
      <c r="F822" s="11" t="s">
        <v>3416</v>
      </c>
      <c r="G822" s="11">
        <v>7696.38</v>
      </c>
      <c r="H822" s="11" t="s">
        <v>2623</v>
      </c>
      <c r="I822" s="11" t="s">
        <v>1411</v>
      </c>
      <c r="J822" s="11">
        <v>28</v>
      </c>
      <c r="K822" s="11">
        <v>6012.8</v>
      </c>
      <c r="L822" s="11">
        <v>0</v>
      </c>
      <c r="M822" s="11">
        <v>842</v>
      </c>
      <c r="N822" s="11">
        <v>842</v>
      </c>
      <c r="O822" s="11">
        <v>0</v>
      </c>
      <c r="P822" s="11" t="s">
        <v>2624</v>
      </c>
    </row>
    <row r="823" spans="1:16" x14ac:dyDescent="0.2">
      <c r="A823" s="52">
        <v>43678</v>
      </c>
      <c r="B823" s="11" t="s">
        <v>41</v>
      </c>
      <c r="C823" s="11" t="s">
        <v>2643</v>
      </c>
      <c r="D823" s="11" t="s">
        <v>897</v>
      </c>
      <c r="E823" s="11" t="s">
        <v>2621</v>
      </c>
      <c r="F823" s="11" t="s">
        <v>3436</v>
      </c>
      <c r="G823" s="11">
        <v>10259.200000000001</v>
      </c>
      <c r="H823" s="11" t="s">
        <v>2623</v>
      </c>
      <c r="I823" s="11" t="s">
        <v>1411</v>
      </c>
      <c r="J823" s="11">
        <v>28</v>
      </c>
      <c r="K823" s="11">
        <v>8015</v>
      </c>
      <c r="L823" s="11">
        <v>0</v>
      </c>
      <c r="M823" s="11">
        <v>1122</v>
      </c>
      <c r="N823" s="11">
        <v>1122</v>
      </c>
      <c r="O823" s="11">
        <v>0</v>
      </c>
      <c r="P823" s="11" t="s">
        <v>2624</v>
      </c>
    </row>
    <row r="824" spans="1:16" x14ac:dyDescent="0.2">
      <c r="A824" s="52">
        <v>43678</v>
      </c>
      <c r="B824" s="11" t="s">
        <v>41</v>
      </c>
      <c r="C824" s="11" t="s">
        <v>2643</v>
      </c>
      <c r="D824" s="11" t="s">
        <v>898</v>
      </c>
      <c r="E824" s="11" t="s">
        <v>2621</v>
      </c>
      <c r="F824" s="11" t="s">
        <v>3436</v>
      </c>
      <c r="G824" s="11">
        <v>1558.33</v>
      </c>
      <c r="H824" s="11" t="s">
        <v>2623</v>
      </c>
      <c r="I824" s="11" t="s">
        <v>1411</v>
      </c>
      <c r="J824" s="11">
        <v>28</v>
      </c>
      <c r="K824" s="11">
        <v>1217.45</v>
      </c>
      <c r="L824" s="11">
        <v>0</v>
      </c>
      <c r="M824" s="11">
        <v>171</v>
      </c>
      <c r="N824" s="11">
        <v>171</v>
      </c>
      <c r="O824" s="11">
        <v>0</v>
      </c>
      <c r="P824" s="11" t="s">
        <v>2624</v>
      </c>
    </row>
    <row r="825" spans="1:16" x14ac:dyDescent="0.2">
      <c r="A825" s="52">
        <v>43678</v>
      </c>
      <c r="B825" s="11" t="s">
        <v>41</v>
      </c>
      <c r="C825" s="11" t="s">
        <v>2643</v>
      </c>
      <c r="D825" s="11" t="s">
        <v>917</v>
      </c>
      <c r="E825" s="11" t="s">
        <v>2621</v>
      </c>
      <c r="F825" s="11" t="s">
        <v>3437</v>
      </c>
      <c r="G825" s="11">
        <v>12182.87</v>
      </c>
      <c r="H825" s="11" t="s">
        <v>2623</v>
      </c>
      <c r="I825" s="11" t="s">
        <v>1411</v>
      </c>
      <c r="J825" s="11">
        <v>28</v>
      </c>
      <c r="K825" s="11">
        <v>9517.8700000000008</v>
      </c>
      <c r="L825" s="11">
        <v>0</v>
      </c>
      <c r="M825" s="11">
        <v>1332</v>
      </c>
      <c r="N825" s="11">
        <v>1332</v>
      </c>
      <c r="O825" s="11">
        <v>0</v>
      </c>
      <c r="P825" s="11" t="s">
        <v>2624</v>
      </c>
    </row>
    <row r="826" spans="1:16" x14ac:dyDescent="0.2">
      <c r="A826" s="52">
        <v>43678</v>
      </c>
      <c r="B826" s="11" t="s">
        <v>41</v>
      </c>
      <c r="C826" s="11" t="s">
        <v>2643</v>
      </c>
      <c r="D826" s="11" t="s">
        <v>922</v>
      </c>
      <c r="E826" s="11" t="s">
        <v>2621</v>
      </c>
      <c r="F826" s="11" t="s">
        <v>3438</v>
      </c>
      <c r="G826" s="11">
        <v>9235.66</v>
      </c>
      <c r="H826" s="11" t="s">
        <v>2623</v>
      </c>
      <c r="I826" s="11" t="s">
        <v>1411</v>
      </c>
      <c r="J826" s="11">
        <v>28</v>
      </c>
      <c r="K826" s="11">
        <v>7215.36</v>
      </c>
      <c r="L826" s="11">
        <v>0</v>
      </c>
      <c r="M826" s="11">
        <v>1010</v>
      </c>
      <c r="N826" s="11">
        <v>1010</v>
      </c>
      <c r="O826" s="11">
        <v>0</v>
      </c>
      <c r="P826" s="11" t="s">
        <v>2624</v>
      </c>
    </row>
    <row r="827" spans="1:16" x14ac:dyDescent="0.2">
      <c r="A827" s="52">
        <v>43678</v>
      </c>
      <c r="B827" s="11" t="s">
        <v>41</v>
      </c>
      <c r="C827" s="11" t="s">
        <v>2643</v>
      </c>
      <c r="D827" s="11" t="s">
        <v>923</v>
      </c>
      <c r="E827" s="11" t="s">
        <v>2621</v>
      </c>
      <c r="F827" s="11" t="s">
        <v>3438</v>
      </c>
      <c r="G827" s="11">
        <v>1598.72</v>
      </c>
      <c r="H827" s="11" t="s">
        <v>2623</v>
      </c>
      <c r="I827" s="11" t="s">
        <v>1411</v>
      </c>
      <c r="J827" s="11">
        <v>28</v>
      </c>
      <c r="K827" s="11">
        <v>1249</v>
      </c>
      <c r="L827" s="11">
        <v>0</v>
      </c>
      <c r="M827" s="11">
        <v>175</v>
      </c>
      <c r="N827" s="11">
        <v>175</v>
      </c>
      <c r="O827" s="11">
        <v>0</v>
      </c>
      <c r="P827" s="11" t="s">
        <v>2624</v>
      </c>
    </row>
    <row r="828" spans="1:16" x14ac:dyDescent="0.2">
      <c r="A828" s="52">
        <v>43678</v>
      </c>
      <c r="B828" s="11" t="s">
        <v>41</v>
      </c>
      <c r="C828" s="11" t="s">
        <v>2643</v>
      </c>
      <c r="D828" s="11" t="s">
        <v>924</v>
      </c>
      <c r="E828" s="11" t="s">
        <v>2621</v>
      </c>
      <c r="F828" s="11" t="s">
        <v>3439</v>
      </c>
      <c r="G828" s="11">
        <v>14402.56</v>
      </c>
      <c r="H828" s="11" t="s">
        <v>2623</v>
      </c>
      <c r="I828" s="11" t="s">
        <v>1411</v>
      </c>
      <c r="J828" s="11">
        <v>28</v>
      </c>
      <c r="K828" s="11">
        <v>11252</v>
      </c>
      <c r="L828" s="11">
        <v>0</v>
      </c>
      <c r="M828" s="11">
        <v>1575</v>
      </c>
      <c r="N828" s="11">
        <v>1575</v>
      </c>
      <c r="O828" s="11">
        <v>0</v>
      </c>
      <c r="P828" s="11" t="s">
        <v>2624</v>
      </c>
    </row>
    <row r="829" spans="1:16" x14ac:dyDescent="0.2">
      <c r="A829" s="52">
        <v>43678</v>
      </c>
      <c r="B829" s="11" t="s">
        <v>41</v>
      </c>
      <c r="C829" s="11" t="s">
        <v>2643</v>
      </c>
      <c r="D829" s="11" t="s">
        <v>932</v>
      </c>
      <c r="E829" s="11" t="s">
        <v>2621</v>
      </c>
      <c r="F829" s="11" t="s">
        <v>3406</v>
      </c>
      <c r="G829" s="11">
        <v>8207.36</v>
      </c>
      <c r="H829" s="11" t="s">
        <v>2623</v>
      </c>
      <c r="I829" s="11" t="s">
        <v>1411</v>
      </c>
      <c r="J829" s="11">
        <v>28</v>
      </c>
      <c r="K829" s="11">
        <v>6412</v>
      </c>
      <c r="L829" s="11">
        <v>0</v>
      </c>
      <c r="M829" s="11">
        <v>898</v>
      </c>
      <c r="N829" s="11">
        <v>898</v>
      </c>
      <c r="O829" s="11">
        <v>0</v>
      </c>
      <c r="P829" s="11" t="s">
        <v>2624</v>
      </c>
    </row>
    <row r="830" spans="1:16" x14ac:dyDescent="0.2">
      <c r="A830" s="52">
        <v>43678</v>
      </c>
      <c r="B830" s="11" t="s">
        <v>41</v>
      </c>
      <c r="C830" s="11" t="s">
        <v>2643</v>
      </c>
      <c r="D830" s="11" t="s">
        <v>934</v>
      </c>
      <c r="E830" s="11" t="s">
        <v>2621</v>
      </c>
      <c r="F830" s="11" t="s">
        <v>3400</v>
      </c>
      <c r="G830" s="11">
        <v>8292.17</v>
      </c>
      <c r="H830" s="11" t="s">
        <v>2623</v>
      </c>
      <c r="I830" s="11" t="s">
        <v>1411</v>
      </c>
      <c r="J830" s="11">
        <v>28</v>
      </c>
      <c r="K830" s="11">
        <v>6478.25</v>
      </c>
      <c r="L830" s="11">
        <v>0</v>
      </c>
      <c r="M830" s="11">
        <v>907</v>
      </c>
      <c r="N830" s="11">
        <v>907</v>
      </c>
      <c r="O830" s="11">
        <v>0</v>
      </c>
      <c r="P830" s="11" t="s">
        <v>2624</v>
      </c>
    </row>
    <row r="831" spans="1:16" x14ac:dyDescent="0.2">
      <c r="A831" s="52">
        <v>43678</v>
      </c>
      <c r="B831" s="11" t="s">
        <v>610</v>
      </c>
      <c r="C831" s="11" t="s">
        <v>2904</v>
      </c>
      <c r="D831" s="11" t="s">
        <v>877</v>
      </c>
      <c r="E831" s="11" t="s">
        <v>2621</v>
      </c>
      <c r="F831" s="11" t="s">
        <v>3397</v>
      </c>
      <c r="G831" s="11">
        <v>28244</v>
      </c>
      <c r="H831" s="11" t="s">
        <v>2623</v>
      </c>
      <c r="I831" s="11" t="s">
        <v>1411</v>
      </c>
      <c r="J831" s="11">
        <v>18</v>
      </c>
      <c r="K831" s="11">
        <v>23936</v>
      </c>
      <c r="L831" s="11">
        <v>0</v>
      </c>
      <c r="M831" s="11">
        <v>2154.2399999999998</v>
      </c>
      <c r="N831" s="11">
        <v>2154.2399999999998</v>
      </c>
      <c r="O831" s="11">
        <v>0</v>
      </c>
      <c r="P831" s="11" t="s">
        <v>2624</v>
      </c>
    </row>
    <row r="832" spans="1:16" x14ac:dyDescent="0.2">
      <c r="A832" s="52">
        <v>43678</v>
      </c>
      <c r="B832" s="11" t="s">
        <v>610</v>
      </c>
      <c r="C832" s="11" t="s">
        <v>2904</v>
      </c>
      <c r="D832" s="11" t="s">
        <v>878</v>
      </c>
      <c r="E832" s="11" t="s">
        <v>2621</v>
      </c>
      <c r="F832" s="11" t="s">
        <v>3397</v>
      </c>
      <c r="G832" s="11">
        <v>1085808</v>
      </c>
      <c r="H832" s="11" t="s">
        <v>2623</v>
      </c>
      <c r="I832" s="11" t="s">
        <v>1411</v>
      </c>
      <c r="J832" s="11">
        <v>18</v>
      </c>
      <c r="K832" s="11">
        <v>920176</v>
      </c>
      <c r="L832" s="11">
        <v>0</v>
      </c>
      <c r="M832" s="11">
        <v>82815.839999999997</v>
      </c>
      <c r="N832" s="11">
        <v>82815.839999999997</v>
      </c>
      <c r="O832" s="11">
        <v>0</v>
      </c>
      <c r="P832" s="11" t="s">
        <v>2624</v>
      </c>
    </row>
    <row r="833" spans="1:16" x14ac:dyDescent="0.2">
      <c r="A833" s="52">
        <v>43678</v>
      </c>
      <c r="B833" s="11" t="s">
        <v>920</v>
      </c>
      <c r="C833" s="11" t="s">
        <v>3440</v>
      </c>
      <c r="D833" s="11" t="s">
        <v>921</v>
      </c>
      <c r="E833" s="11" t="s">
        <v>2621</v>
      </c>
      <c r="F833" s="11" t="s">
        <v>3441</v>
      </c>
      <c r="G833" s="11">
        <v>1841</v>
      </c>
      <c r="H833" s="11" t="s">
        <v>2623</v>
      </c>
      <c r="I833" s="11" t="s">
        <v>1411</v>
      </c>
      <c r="J833" s="11">
        <v>18</v>
      </c>
      <c r="K833" s="11">
        <v>1560</v>
      </c>
      <c r="L833" s="11">
        <v>0</v>
      </c>
      <c r="M833" s="11">
        <v>140.4</v>
      </c>
      <c r="N833" s="11">
        <v>140.4</v>
      </c>
      <c r="O833" s="11">
        <v>0</v>
      </c>
      <c r="P833" s="11" t="s">
        <v>2624</v>
      </c>
    </row>
    <row r="834" spans="1:16" x14ac:dyDescent="0.2">
      <c r="A834" s="52">
        <v>43678</v>
      </c>
      <c r="B834" s="11" t="s">
        <v>893</v>
      </c>
      <c r="C834" s="11" t="s">
        <v>3442</v>
      </c>
      <c r="D834" s="11" t="s">
        <v>894</v>
      </c>
      <c r="E834" s="11" t="s">
        <v>2621</v>
      </c>
      <c r="F834" s="11" t="s">
        <v>3409</v>
      </c>
      <c r="G834" s="11">
        <v>11800</v>
      </c>
      <c r="H834" s="11" t="s">
        <v>2623</v>
      </c>
      <c r="I834" s="11" t="s">
        <v>1411</v>
      </c>
      <c r="J834" s="11">
        <v>18</v>
      </c>
      <c r="K834" s="11">
        <v>10000</v>
      </c>
      <c r="L834" s="11">
        <v>0</v>
      </c>
      <c r="M834" s="11">
        <v>900</v>
      </c>
      <c r="N834" s="11">
        <v>900</v>
      </c>
      <c r="O834" s="11">
        <v>0</v>
      </c>
      <c r="P834" s="11" t="s">
        <v>2624</v>
      </c>
    </row>
    <row r="835" spans="1:16" x14ac:dyDescent="0.2">
      <c r="A835" s="52">
        <v>43678</v>
      </c>
      <c r="B835" s="11" t="s">
        <v>507</v>
      </c>
      <c r="C835" s="11" t="s">
        <v>2755</v>
      </c>
      <c r="D835" s="11" t="s">
        <v>874</v>
      </c>
      <c r="E835" s="11" t="s">
        <v>2621</v>
      </c>
      <c r="F835" s="11" t="s">
        <v>3422</v>
      </c>
      <c r="G835" s="11">
        <v>20532</v>
      </c>
      <c r="H835" s="11" t="s">
        <v>2623</v>
      </c>
      <c r="I835" s="11" t="s">
        <v>1411</v>
      </c>
      <c r="J835" s="11">
        <v>18</v>
      </c>
      <c r="K835" s="11">
        <v>17400</v>
      </c>
      <c r="L835" s="11">
        <v>0</v>
      </c>
      <c r="M835" s="11">
        <v>1566</v>
      </c>
      <c r="N835" s="11">
        <v>1566</v>
      </c>
      <c r="O835" s="11">
        <v>0</v>
      </c>
      <c r="P835" s="11" t="s">
        <v>2624</v>
      </c>
    </row>
    <row r="836" spans="1:16" x14ac:dyDescent="0.2">
      <c r="A836" s="52">
        <v>43678</v>
      </c>
      <c r="B836" s="11" t="s">
        <v>507</v>
      </c>
      <c r="C836" s="11" t="s">
        <v>2755</v>
      </c>
      <c r="D836" s="11" t="s">
        <v>875</v>
      </c>
      <c r="E836" s="11" t="s">
        <v>2621</v>
      </c>
      <c r="F836" s="11" t="s">
        <v>3422</v>
      </c>
      <c r="G836" s="11">
        <v>9346</v>
      </c>
      <c r="H836" s="11" t="s">
        <v>2623</v>
      </c>
      <c r="I836" s="11" t="s">
        <v>1411</v>
      </c>
      <c r="J836" s="11">
        <v>18</v>
      </c>
      <c r="K836" s="11">
        <v>7920.4</v>
      </c>
      <c r="L836" s="11">
        <v>0</v>
      </c>
      <c r="M836" s="11">
        <v>712.84</v>
      </c>
      <c r="N836" s="11">
        <v>712.84</v>
      </c>
      <c r="O836" s="11">
        <v>0</v>
      </c>
      <c r="P836" s="11" t="s">
        <v>2624</v>
      </c>
    </row>
    <row r="837" spans="1:16" x14ac:dyDescent="0.2">
      <c r="A837" s="52">
        <v>43678</v>
      </c>
      <c r="B837" s="11" t="s">
        <v>507</v>
      </c>
      <c r="C837" s="11" t="s">
        <v>2755</v>
      </c>
      <c r="D837" s="11" t="s">
        <v>876</v>
      </c>
      <c r="E837" s="11" t="s">
        <v>2621</v>
      </c>
      <c r="F837" s="11" t="s">
        <v>3422</v>
      </c>
      <c r="G837" s="11">
        <v>5664</v>
      </c>
      <c r="H837" s="11" t="s">
        <v>2623</v>
      </c>
      <c r="I837" s="11" t="s">
        <v>1411</v>
      </c>
      <c r="J837" s="11">
        <v>18</v>
      </c>
      <c r="K837" s="11">
        <v>4800</v>
      </c>
      <c r="L837" s="11">
        <v>0</v>
      </c>
      <c r="M837" s="11">
        <v>432</v>
      </c>
      <c r="N837" s="11">
        <v>432</v>
      </c>
      <c r="O837" s="11">
        <v>0</v>
      </c>
      <c r="P837" s="11" t="s">
        <v>2624</v>
      </c>
    </row>
    <row r="838" spans="1:16" x14ac:dyDescent="0.2">
      <c r="A838" s="52">
        <v>43678</v>
      </c>
      <c r="B838" s="11" t="s">
        <v>507</v>
      </c>
      <c r="C838" s="11" t="s">
        <v>2755</v>
      </c>
      <c r="D838" s="11" t="s">
        <v>909</v>
      </c>
      <c r="E838" s="11" t="s">
        <v>2621</v>
      </c>
      <c r="F838" s="11" t="s">
        <v>3394</v>
      </c>
      <c r="G838" s="11">
        <v>1652</v>
      </c>
      <c r="H838" s="11" t="s">
        <v>2623</v>
      </c>
      <c r="I838" s="11" t="s">
        <v>1411</v>
      </c>
      <c r="J838" s="11">
        <v>18</v>
      </c>
      <c r="K838" s="11">
        <v>1400</v>
      </c>
      <c r="L838" s="11">
        <v>0</v>
      </c>
      <c r="M838" s="11">
        <v>126</v>
      </c>
      <c r="N838" s="11">
        <v>126</v>
      </c>
      <c r="O838" s="11">
        <v>0</v>
      </c>
      <c r="P838" s="11" t="s">
        <v>2624</v>
      </c>
    </row>
    <row r="839" spans="1:16" x14ac:dyDescent="0.2">
      <c r="A839" s="52">
        <v>43678</v>
      </c>
      <c r="B839" s="11" t="s">
        <v>507</v>
      </c>
      <c r="C839" s="11" t="s">
        <v>2755</v>
      </c>
      <c r="D839" s="11" t="s">
        <v>936</v>
      </c>
      <c r="E839" s="11" t="s">
        <v>2621</v>
      </c>
      <c r="F839" s="11" t="s">
        <v>3443</v>
      </c>
      <c r="G839" s="11">
        <v>8614</v>
      </c>
      <c r="H839" s="11" t="s">
        <v>2623</v>
      </c>
      <c r="I839" s="11" t="s">
        <v>1411</v>
      </c>
      <c r="J839" s="11">
        <v>18</v>
      </c>
      <c r="K839" s="11">
        <v>7300</v>
      </c>
      <c r="L839" s="11">
        <v>0</v>
      </c>
      <c r="M839" s="11">
        <v>657</v>
      </c>
      <c r="N839" s="11">
        <v>657</v>
      </c>
      <c r="O839" s="11">
        <v>0</v>
      </c>
      <c r="P839" s="11" t="s">
        <v>2624</v>
      </c>
    </row>
    <row r="840" spans="1:16" x14ac:dyDescent="0.2">
      <c r="A840" s="52">
        <v>43678</v>
      </c>
      <c r="B840" s="11" t="s">
        <v>507</v>
      </c>
      <c r="C840" s="11" t="s">
        <v>2755</v>
      </c>
      <c r="D840" s="11" t="s">
        <v>937</v>
      </c>
      <c r="E840" s="11" t="s">
        <v>2621</v>
      </c>
      <c r="F840" s="11" t="s">
        <v>3443</v>
      </c>
      <c r="G840" s="11">
        <v>4130</v>
      </c>
      <c r="H840" s="11" t="s">
        <v>2623</v>
      </c>
      <c r="I840" s="11" t="s">
        <v>1411</v>
      </c>
      <c r="J840" s="11">
        <v>18</v>
      </c>
      <c r="K840" s="11">
        <v>3500</v>
      </c>
      <c r="L840" s="11">
        <v>0</v>
      </c>
      <c r="M840" s="11">
        <v>315</v>
      </c>
      <c r="N840" s="11">
        <v>315</v>
      </c>
      <c r="O840" s="11">
        <v>0</v>
      </c>
      <c r="P840" s="11" t="s">
        <v>2624</v>
      </c>
    </row>
    <row r="841" spans="1:16" x14ac:dyDescent="0.2">
      <c r="A841" s="52">
        <v>43678</v>
      </c>
      <c r="B841" s="11" t="s">
        <v>494</v>
      </c>
      <c r="C841" s="11" t="s">
        <v>2756</v>
      </c>
      <c r="D841" s="11" t="s">
        <v>3444</v>
      </c>
      <c r="E841" s="11" t="s">
        <v>2621</v>
      </c>
      <c r="F841" s="11" t="s">
        <v>3426</v>
      </c>
      <c r="G841" s="11">
        <v>45575</v>
      </c>
      <c r="H841" s="11" t="s">
        <v>2623</v>
      </c>
      <c r="I841" s="11" t="s">
        <v>1411</v>
      </c>
      <c r="J841" s="11">
        <v>18</v>
      </c>
      <c r="K841" s="11">
        <v>38623.199999999997</v>
      </c>
      <c r="L841" s="11">
        <v>0</v>
      </c>
      <c r="M841" s="11">
        <v>3476.09</v>
      </c>
      <c r="N841" s="11">
        <v>3476.09</v>
      </c>
      <c r="O841" s="11">
        <v>0</v>
      </c>
      <c r="P841" s="11" t="s">
        <v>2624</v>
      </c>
    </row>
    <row r="842" spans="1:16" x14ac:dyDescent="0.2">
      <c r="A842" s="52">
        <v>43678</v>
      </c>
      <c r="B842" s="11" t="s">
        <v>494</v>
      </c>
      <c r="C842" s="11" t="s">
        <v>2756</v>
      </c>
      <c r="D842" s="11" t="s">
        <v>3445</v>
      </c>
      <c r="E842" s="11" t="s">
        <v>2621</v>
      </c>
      <c r="F842" s="11" t="s">
        <v>3446</v>
      </c>
      <c r="G842" s="11">
        <v>28430</v>
      </c>
      <c r="H842" s="11" t="s">
        <v>2623</v>
      </c>
      <c r="I842" s="11" t="s">
        <v>1411</v>
      </c>
      <c r="J842" s="11">
        <v>18</v>
      </c>
      <c r="K842" s="11">
        <v>24093.52</v>
      </c>
      <c r="L842" s="11">
        <v>0</v>
      </c>
      <c r="M842" s="11">
        <v>2168.42</v>
      </c>
      <c r="N842" s="11">
        <v>2168.42</v>
      </c>
      <c r="O842" s="11">
        <v>0</v>
      </c>
      <c r="P842" s="11" t="s">
        <v>2624</v>
      </c>
    </row>
    <row r="843" spans="1:16" x14ac:dyDescent="0.2">
      <c r="A843" s="52">
        <v>43678</v>
      </c>
      <c r="B843" s="11" t="s">
        <v>494</v>
      </c>
      <c r="C843" s="11" t="s">
        <v>2756</v>
      </c>
      <c r="D843" s="11" t="s">
        <v>3447</v>
      </c>
      <c r="E843" s="11" t="s">
        <v>2621</v>
      </c>
      <c r="F843" s="11" t="s">
        <v>3394</v>
      </c>
      <c r="G843" s="11">
        <v>34839</v>
      </c>
      <c r="H843" s="11" t="s">
        <v>2623</v>
      </c>
      <c r="I843" s="11" t="s">
        <v>1411</v>
      </c>
      <c r="J843" s="11">
        <v>18</v>
      </c>
      <c r="K843" s="11">
        <v>29524.639999999999</v>
      </c>
      <c r="L843" s="11">
        <v>0</v>
      </c>
      <c r="M843" s="11">
        <v>2657.22</v>
      </c>
      <c r="N843" s="11">
        <v>2657.22</v>
      </c>
      <c r="O843" s="11">
        <v>0</v>
      </c>
      <c r="P843" s="11" t="s">
        <v>2624</v>
      </c>
    </row>
    <row r="844" spans="1:16" x14ac:dyDescent="0.2">
      <c r="A844" s="52">
        <v>43678</v>
      </c>
      <c r="B844" s="11" t="s">
        <v>494</v>
      </c>
      <c r="C844" s="11" t="s">
        <v>2756</v>
      </c>
      <c r="D844" s="11" t="s">
        <v>3448</v>
      </c>
      <c r="E844" s="11" t="s">
        <v>2621</v>
      </c>
      <c r="F844" s="11" t="s">
        <v>3394</v>
      </c>
      <c r="G844" s="11">
        <v>48831</v>
      </c>
      <c r="H844" s="11" t="s">
        <v>2623</v>
      </c>
      <c r="I844" s="11" t="s">
        <v>1411</v>
      </c>
      <c r="J844" s="11">
        <v>18</v>
      </c>
      <c r="K844" s="11">
        <v>41382</v>
      </c>
      <c r="L844" s="11">
        <v>0</v>
      </c>
      <c r="M844" s="11">
        <v>3724.38</v>
      </c>
      <c r="N844" s="11">
        <v>3724.38</v>
      </c>
      <c r="O844" s="11">
        <v>0</v>
      </c>
      <c r="P844" s="11" t="s">
        <v>2624</v>
      </c>
    </row>
    <row r="845" spans="1:16" x14ac:dyDescent="0.2">
      <c r="A845" s="52">
        <v>43678</v>
      </c>
      <c r="B845" s="11" t="s">
        <v>515</v>
      </c>
      <c r="C845" s="11" t="s">
        <v>2761</v>
      </c>
      <c r="D845" s="11" t="s">
        <v>910</v>
      </c>
      <c r="E845" s="11" t="s">
        <v>2621</v>
      </c>
      <c r="F845" s="11" t="s">
        <v>3436</v>
      </c>
      <c r="G845" s="11">
        <v>17.7</v>
      </c>
      <c r="H845" s="11" t="s">
        <v>2623</v>
      </c>
      <c r="I845" s="11" t="s">
        <v>1411</v>
      </c>
      <c r="J845" s="11">
        <v>18</v>
      </c>
      <c r="K845" s="11">
        <v>15</v>
      </c>
      <c r="L845" s="11">
        <v>0</v>
      </c>
      <c r="M845" s="11">
        <v>1.35</v>
      </c>
      <c r="N845" s="11">
        <v>1.35</v>
      </c>
      <c r="O845" s="11">
        <v>0</v>
      </c>
      <c r="P845" s="11" t="s">
        <v>2624</v>
      </c>
    </row>
    <row r="846" spans="1:16" x14ac:dyDescent="0.2">
      <c r="A846" s="52">
        <v>43678</v>
      </c>
      <c r="B846" s="11" t="s">
        <v>515</v>
      </c>
      <c r="C846" s="11" t="s">
        <v>2761</v>
      </c>
      <c r="D846" s="11" t="s">
        <v>3449</v>
      </c>
      <c r="E846" s="11" t="s">
        <v>2621</v>
      </c>
      <c r="F846" s="11" t="s">
        <v>3404</v>
      </c>
      <c r="G846" s="11">
        <v>43.66</v>
      </c>
      <c r="H846" s="11" t="s">
        <v>2623</v>
      </c>
      <c r="I846" s="11" t="s">
        <v>1411</v>
      </c>
      <c r="J846" s="11">
        <v>18</v>
      </c>
      <c r="K846" s="11">
        <v>37</v>
      </c>
      <c r="L846" s="11">
        <v>0</v>
      </c>
      <c r="M846" s="11">
        <v>3.33</v>
      </c>
      <c r="N846" s="11">
        <v>3.33</v>
      </c>
      <c r="O846" s="11">
        <v>0</v>
      </c>
      <c r="P846" s="11" t="s">
        <v>2624</v>
      </c>
    </row>
    <row r="847" spans="1:16" x14ac:dyDescent="0.2">
      <c r="A847" s="52">
        <v>43678</v>
      </c>
      <c r="B847" s="11" t="s">
        <v>515</v>
      </c>
      <c r="C847" s="11" t="s">
        <v>2761</v>
      </c>
      <c r="D847" s="11" t="s">
        <v>907</v>
      </c>
      <c r="E847" s="11" t="s">
        <v>2621</v>
      </c>
      <c r="F847" s="11" t="s">
        <v>3404</v>
      </c>
      <c r="G847" s="11">
        <v>59</v>
      </c>
      <c r="H847" s="11" t="s">
        <v>2623</v>
      </c>
      <c r="I847" s="11" t="s">
        <v>1411</v>
      </c>
      <c r="J847" s="11">
        <v>18</v>
      </c>
      <c r="K847" s="11">
        <v>50</v>
      </c>
      <c r="L847" s="11">
        <v>0</v>
      </c>
      <c r="M847" s="11">
        <v>4.5</v>
      </c>
      <c r="N847" s="11">
        <v>4.5</v>
      </c>
      <c r="O847" s="11">
        <v>0</v>
      </c>
      <c r="P847" s="11" t="s">
        <v>2624</v>
      </c>
    </row>
    <row r="848" spans="1:16" x14ac:dyDescent="0.2">
      <c r="A848" s="52">
        <v>43678</v>
      </c>
      <c r="B848" s="11" t="s">
        <v>29</v>
      </c>
      <c r="C848" s="11" t="s">
        <v>2652</v>
      </c>
      <c r="D848" s="11" t="s">
        <v>3450</v>
      </c>
      <c r="E848" s="11" t="s">
        <v>2621</v>
      </c>
      <c r="F848" s="11" t="s">
        <v>3451</v>
      </c>
      <c r="G848" s="11">
        <v>22378.9</v>
      </c>
      <c r="H848" s="11" t="s">
        <v>2623</v>
      </c>
      <c r="I848" s="11" t="s">
        <v>1411</v>
      </c>
      <c r="J848" s="11">
        <v>28</v>
      </c>
      <c r="K848" s="11">
        <v>17483.52</v>
      </c>
      <c r="L848" s="11">
        <v>0</v>
      </c>
      <c r="M848" s="11">
        <v>2447.69</v>
      </c>
      <c r="N848" s="11">
        <v>2447.69</v>
      </c>
      <c r="O848" s="11">
        <v>0</v>
      </c>
      <c r="P848" s="11" t="s">
        <v>2624</v>
      </c>
    </row>
    <row r="849" spans="1:16" x14ac:dyDescent="0.2">
      <c r="A849" s="52">
        <v>43678</v>
      </c>
      <c r="B849" s="11" t="s">
        <v>29</v>
      </c>
      <c r="C849" s="11" t="s">
        <v>2652</v>
      </c>
      <c r="D849" s="11" t="s">
        <v>3452</v>
      </c>
      <c r="E849" s="11" t="s">
        <v>2621</v>
      </c>
      <c r="F849" s="11" t="s">
        <v>3451</v>
      </c>
      <c r="G849" s="11">
        <v>22378.9</v>
      </c>
      <c r="H849" s="11" t="s">
        <v>2623</v>
      </c>
      <c r="I849" s="11" t="s">
        <v>1411</v>
      </c>
      <c r="J849" s="11">
        <v>28</v>
      </c>
      <c r="K849" s="11">
        <v>17483.52</v>
      </c>
      <c r="L849" s="11">
        <v>0</v>
      </c>
      <c r="M849" s="11">
        <v>2447.69</v>
      </c>
      <c r="N849" s="11">
        <v>2447.69</v>
      </c>
      <c r="O849" s="11">
        <v>0</v>
      </c>
      <c r="P849" s="11" t="s">
        <v>2624</v>
      </c>
    </row>
    <row r="850" spans="1:16" x14ac:dyDescent="0.2">
      <c r="A850" s="52">
        <v>43678</v>
      </c>
      <c r="B850" s="11" t="s">
        <v>29</v>
      </c>
      <c r="C850" s="11" t="s">
        <v>2652</v>
      </c>
      <c r="D850" s="11" t="s">
        <v>3453</v>
      </c>
      <c r="E850" s="11" t="s">
        <v>2621</v>
      </c>
      <c r="F850" s="11" t="s">
        <v>3451</v>
      </c>
      <c r="G850" s="11">
        <v>11189.46</v>
      </c>
      <c r="H850" s="11" t="s">
        <v>2623</v>
      </c>
      <c r="I850" s="11" t="s">
        <v>1411</v>
      </c>
      <c r="J850" s="11">
        <v>28</v>
      </c>
      <c r="K850" s="11">
        <v>8741.76</v>
      </c>
      <c r="L850" s="11">
        <v>0</v>
      </c>
      <c r="M850" s="11">
        <v>1223.8499999999999</v>
      </c>
      <c r="N850" s="11">
        <v>1223.8499999999999</v>
      </c>
      <c r="O850" s="11">
        <v>0</v>
      </c>
      <c r="P850" s="11" t="s">
        <v>2624</v>
      </c>
    </row>
    <row r="851" spans="1:16" x14ac:dyDescent="0.2">
      <c r="A851" s="52">
        <v>43678</v>
      </c>
      <c r="B851" s="11" t="s">
        <v>29</v>
      </c>
      <c r="C851" s="11" t="s">
        <v>2652</v>
      </c>
      <c r="D851" s="11" t="s">
        <v>3454</v>
      </c>
      <c r="E851" s="11" t="s">
        <v>2621</v>
      </c>
      <c r="F851" s="11" t="s">
        <v>3451</v>
      </c>
      <c r="G851" s="11">
        <v>11189.46</v>
      </c>
      <c r="H851" s="11" t="s">
        <v>2623</v>
      </c>
      <c r="I851" s="11" t="s">
        <v>1411</v>
      </c>
      <c r="J851" s="11">
        <v>28</v>
      </c>
      <c r="K851" s="11">
        <v>8741.76</v>
      </c>
      <c r="L851" s="11">
        <v>0</v>
      </c>
      <c r="M851" s="11">
        <v>1223.8499999999999</v>
      </c>
      <c r="N851" s="11">
        <v>1223.8499999999999</v>
      </c>
      <c r="O851" s="11">
        <v>0</v>
      </c>
      <c r="P851" s="11" t="s">
        <v>2624</v>
      </c>
    </row>
    <row r="852" spans="1:16" x14ac:dyDescent="0.2">
      <c r="A852" s="52">
        <v>43678</v>
      </c>
      <c r="B852" s="11" t="s">
        <v>29</v>
      </c>
      <c r="C852" s="11" t="s">
        <v>2652</v>
      </c>
      <c r="D852" s="11" t="s">
        <v>3455</v>
      </c>
      <c r="E852" s="11" t="s">
        <v>2621</v>
      </c>
      <c r="F852" s="11" t="s">
        <v>3413</v>
      </c>
      <c r="G852" s="11">
        <v>22378.9</v>
      </c>
      <c r="H852" s="11" t="s">
        <v>2623</v>
      </c>
      <c r="I852" s="11" t="s">
        <v>1411</v>
      </c>
      <c r="J852" s="11">
        <v>28</v>
      </c>
      <c r="K852" s="11">
        <v>17483.52</v>
      </c>
      <c r="L852" s="11">
        <v>0</v>
      </c>
      <c r="M852" s="11">
        <v>2447.69</v>
      </c>
      <c r="N852" s="11">
        <v>2447.69</v>
      </c>
      <c r="O852" s="11">
        <v>0</v>
      </c>
      <c r="P852" s="11" t="s">
        <v>2624</v>
      </c>
    </row>
    <row r="853" spans="1:16" x14ac:dyDescent="0.2">
      <c r="A853" s="52">
        <v>43678</v>
      </c>
      <c r="B853" s="11" t="s">
        <v>29</v>
      </c>
      <c r="C853" s="11" t="s">
        <v>2652</v>
      </c>
      <c r="D853" s="11" t="s">
        <v>3456</v>
      </c>
      <c r="E853" s="11" t="s">
        <v>2621</v>
      </c>
      <c r="F853" s="11" t="s">
        <v>3413</v>
      </c>
      <c r="G853" s="11">
        <v>22378.9</v>
      </c>
      <c r="H853" s="11" t="s">
        <v>2623</v>
      </c>
      <c r="I853" s="11" t="s">
        <v>1411</v>
      </c>
      <c r="J853" s="11">
        <v>28</v>
      </c>
      <c r="K853" s="11">
        <v>17483.52</v>
      </c>
      <c r="L853" s="11">
        <v>0</v>
      </c>
      <c r="M853" s="11">
        <v>2447.69</v>
      </c>
      <c r="N853" s="11">
        <v>2447.69</v>
      </c>
      <c r="O853" s="11">
        <v>0</v>
      </c>
      <c r="P853" s="11" t="s">
        <v>2624</v>
      </c>
    </row>
    <row r="854" spans="1:16" x14ac:dyDescent="0.2">
      <c r="A854" s="52">
        <v>43678</v>
      </c>
      <c r="B854" s="11" t="s">
        <v>29</v>
      </c>
      <c r="C854" s="11" t="s">
        <v>2652</v>
      </c>
      <c r="D854" s="11" t="s">
        <v>3457</v>
      </c>
      <c r="E854" s="11" t="s">
        <v>2621</v>
      </c>
      <c r="F854" s="11" t="s">
        <v>3416</v>
      </c>
      <c r="G854" s="11">
        <v>22378.9</v>
      </c>
      <c r="H854" s="11" t="s">
        <v>2623</v>
      </c>
      <c r="I854" s="11" t="s">
        <v>1411</v>
      </c>
      <c r="J854" s="11">
        <v>28</v>
      </c>
      <c r="K854" s="11">
        <v>17483.52</v>
      </c>
      <c r="L854" s="11">
        <v>0</v>
      </c>
      <c r="M854" s="11">
        <v>2447.69</v>
      </c>
      <c r="N854" s="11">
        <v>2447.69</v>
      </c>
      <c r="O854" s="11">
        <v>0</v>
      </c>
      <c r="P854" s="11" t="s">
        <v>2624</v>
      </c>
    </row>
    <row r="855" spans="1:16" x14ac:dyDescent="0.2">
      <c r="A855" s="52">
        <v>43678</v>
      </c>
      <c r="B855" s="11" t="s">
        <v>29</v>
      </c>
      <c r="C855" s="11" t="s">
        <v>2652</v>
      </c>
      <c r="D855" s="11" t="s">
        <v>3458</v>
      </c>
      <c r="E855" s="11" t="s">
        <v>2621</v>
      </c>
      <c r="F855" s="11" t="s">
        <v>3416</v>
      </c>
      <c r="G855" s="11">
        <v>22378.9</v>
      </c>
      <c r="H855" s="11" t="s">
        <v>2623</v>
      </c>
      <c r="I855" s="11" t="s">
        <v>1411</v>
      </c>
      <c r="J855" s="11">
        <v>28</v>
      </c>
      <c r="K855" s="11">
        <v>17483.52</v>
      </c>
      <c r="L855" s="11">
        <v>0</v>
      </c>
      <c r="M855" s="11">
        <v>2447.69</v>
      </c>
      <c r="N855" s="11">
        <v>2447.69</v>
      </c>
      <c r="O855" s="11">
        <v>0</v>
      </c>
      <c r="P855" s="11" t="s">
        <v>2624</v>
      </c>
    </row>
    <row r="856" spans="1:16" x14ac:dyDescent="0.2">
      <c r="A856" s="52">
        <v>43678</v>
      </c>
      <c r="B856" s="11" t="s">
        <v>29</v>
      </c>
      <c r="C856" s="11" t="s">
        <v>2652</v>
      </c>
      <c r="D856" s="11" t="s">
        <v>3459</v>
      </c>
      <c r="E856" s="11" t="s">
        <v>2621</v>
      </c>
      <c r="F856" s="11" t="s">
        <v>3408</v>
      </c>
      <c r="G856" s="11">
        <v>22378.9</v>
      </c>
      <c r="H856" s="11" t="s">
        <v>2623</v>
      </c>
      <c r="I856" s="11" t="s">
        <v>1411</v>
      </c>
      <c r="J856" s="11">
        <v>28</v>
      </c>
      <c r="K856" s="11">
        <v>17483.52</v>
      </c>
      <c r="L856" s="11">
        <v>0</v>
      </c>
      <c r="M856" s="11">
        <v>2447.69</v>
      </c>
      <c r="N856" s="11">
        <v>2447.69</v>
      </c>
      <c r="O856" s="11">
        <v>0</v>
      </c>
      <c r="P856" s="11" t="s">
        <v>2624</v>
      </c>
    </row>
    <row r="857" spans="1:16" x14ac:dyDescent="0.2">
      <c r="A857" s="52">
        <v>43678</v>
      </c>
      <c r="B857" s="11" t="s">
        <v>29</v>
      </c>
      <c r="C857" s="11" t="s">
        <v>2652</v>
      </c>
      <c r="D857" s="11" t="s">
        <v>3460</v>
      </c>
      <c r="E857" s="11" t="s">
        <v>2621</v>
      </c>
      <c r="F857" s="11" t="s">
        <v>3408</v>
      </c>
      <c r="G857" s="11">
        <v>22378.9</v>
      </c>
      <c r="H857" s="11" t="s">
        <v>2623</v>
      </c>
      <c r="I857" s="11" t="s">
        <v>1411</v>
      </c>
      <c r="J857" s="11">
        <v>28</v>
      </c>
      <c r="K857" s="11">
        <v>17483.52</v>
      </c>
      <c r="L857" s="11">
        <v>0</v>
      </c>
      <c r="M857" s="11">
        <v>2447.69</v>
      </c>
      <c r="N857" s="11">
        <v>2447.69</v>
      </c>
      <c r="O857" s="11">
        <v>0</v>
      </c>
      <c r="P857" s="11" t="s">
        <v>2624</v>
      </c>
    </row>
    <row r="858" spans="1:16" x14ac:dyDescent="0.2">
      <c r="A858" s="52">
        <v>43678</v>
      </c>
      <c r="B858" s="11" t="s">
        <v>29</v>
      </c>
      <c r="C858" s="11" t="s">
        <v>2652</v>
      </c>
      <c r="D858" s="11" t="s">
        <v>3461</v>
      </c>
      <c r="E858" s="11" t="s">
        <v>2621</v>
      </c>
      <c r="F858" s="11" t="s">
        <v>3426</v>
      </c>
      <c r="G858" s="11">
        <v>22378.9</v>
      </c>
      <c r="H858" s="11" t="s">
        <v>2623</v>
      </c>
      <c r="I858" s="11" t="s">
        <v>1411</v>
      </c>
      <c r="J858" s="11">
        <v>28</v>
      </c>
      <c r="K858" s="11">
        <v>17483.52</v>
      </c>
      <c r="L858" s="11">
        <v>0</v>
      </c>
      <c r="M858" s="11">
        <v>2447.69</v>
      </c>
      <c r="N858" s="11">
        <v>2447.69</v>
      </c>
      <c r="O858" s="11">
        <v>0</v>
      </c>
      <c r="P858" s="11" t="s">
        <v>2624</v>
      </c>
    </row>
    <row r="859" spans="1:16" x14ac:dyDescent="0.2">
      <c r="A859" s="52">
        <v>43678</v>
      </c>
      <c r="B859" s="11" t="s">
        <v>29</v>
      </c>
      <c r="C859" s="11" t="s">
        <v>2652</v>
      </c>
      <c r="D859" s="11" t="s">
        <v>3462</v>
      </c>
      <c r="E859" s="11" t="s">
        <v>2621</v>
      </c>
      <c r="F859" s="11" t="s">
        <v>3426</v>
      </c>
      <c r="G859" s="11">
        <v>22378.9</v>
      </c>
      <c r="H859" s="11" t="s">
        <v>2623</v>
      </c>
      <c r="I859" s="11" t="s">
        <v>1411</v>
      </c>
      <c r="J859" s="11">
        <v>28</v>
      </c>
      <c r="K859" s="11">
        <v>17483.52</v>
      </c>
      <c r="L859" s="11">
        <v>0</v>
      </c>
      <c r="M859" s="11">
        <v>2447.69</v>
      </c>
      <c r="N859" s="11">
        <v>2447.69</v>
      </c>
      <c r="O859" s="11">
        <v>0</v>
      </c>
      <c r="P859" s="11" t="s">
        <v>2624</v>
      </c>
    </row>
    <row r="860" spans="1:16" x14ac:dyDescent="0.2">
      <c r="A860" s="52">
        <v>43678</v>
      </c>
      <c r="B860" s="11" t="s">
        <v>29</v>
      </c>
      <c r="C860" s="11" t="s">
        <v>2652</v>
      </c>
      <c r="D860" s="11" t="s">
        <v>3463</v>
      </c>
      <c r="E860" s="11" t="s">
        <v>2621</v>
      </c>
      <c r="F860" s="11" t="s">
        <v>3396</v>
      </c>
      <c r="G860" s="11">
        <v>22378.9</v>
      </c>
      <c r="H860" s="11" t="s">
        <v>2623</v>
      </c>
      <c r="I860" s="11" t="s">
        <v>1411</v>
      </c>
      <c r="J860" s="11">
        <v>28</v>
      </c>
      <c r="K860" s="11">
        <v>17483.52</v>
      </c>
      <c r="L860" s="11">
        <v>0</v>
      </c>
      <c r="M860" s="11">
        <v>2447.69</v>
      </c>
      <c r="N860" s="11">
        <v>2447.69</v>
      </c>
      <c r="O860" s="11">
        <v>0</v>
      </c>
      <c r="P860" s="11" t="s">
        <v>2624</v>
      </c>
    </row>
    <row r="861" spans="1:16" x14ac:dyDescent="0.2">
      <c r="A861" s="52">
        <v>43678</v>
      </c>
      <c r="B861" s="11" t="s">
        <v>29</v>
      </c>
      <c r="C861" s="11" t="s">
        <v>2652</v>
      </c>
      <c r="D861" s="11" t="s">
        <v>3464</v>
      </c>
      <c r="E861" s="11" t="s">
        <v>2621</v>
      </c>
      <c r="F861" s="11" t="s">
        <v>3436</v>
      </c>
      <c r="G861" s="11">
        <v>18649.080000000002</v>
      </c>
      <c r="H861" s="11" t="s">
        <v>2623</v>
      </c>
      <c r="I861" s="11" t="s">
        <v>1411</v>
      </c>
      <c r="J861" s="11">
        <v>28</v>
      </c>
      <c r="K861" s="11">
        <v>14569.6</v>
      </c>
      <c r="L861" s="11">
        <v>0</v>
      </c>
      <c r="M861" s="11">
        <v>2039.74</v>
      </c>
      <c r="N861" s="11">
        <v>2039.74</v>
      </c>
      <c r="O861" s="11">
        <v>0</v>
      </c>
      <c r="P861" s="11" t="s">
        <v>2624</v>
      </c>
    </row>
    <row r="862" spans="1:16" x14ac:dyDescent="0.2">
      <c r="A862" s="52">
        <v>43678</v>
      </c>
      <c r="B862" s="11" t="s">
        <v>29</v>
      </c>
      <c r="C862" s="11" t="s">
        <v>2652</v>
      </c>
      <c r="D862" s="11" t="s">
        <v>3465</v>
      </c>
      <c r="E862" s="11" t="s">
        <v>2621</v>
      </c>
      <c r="F862" s="11" t="s">
        <v>3420</v>
      </c>
      <c r="G862" s="11">
        <v>22378.9</v>
      </c>
      <c r="H862" s="11" t="s">
        <v>2623</v>
      </c>
      <c r="I862" s="11" t="s">
        <v>1411</v>
      </c>
      <c r="J862" s="11">
        <v>28</v>
      </c>
      <c r="K862" s="11">
        <v>17483.52</v>
      </c>
      <c r="L862" s="11">
        <v>0</v>
      </c>
      <c r="M862" s="11">
        <v>2447.69</v>
      </c>
      <c r="N862" s="11">
        <v>2447.69</v>
      </c>
      <c r="O862" s="11">
        <v>0</v>
      </c>
      <c r="P862" s="11" t="s">
        <v>2624</v>
      </c>
    </row>
    <row r="863" spans="1:16" x14ac:dyDescent="0.2">
      <c r="A863" s="52">
        <v>43678</v>
      </c>
      <c r="B863" s="11" t="s">
        <v>29</v>
      </c>
      <c r="C863" s="11" t="s">
        <v>2652</v>
      </c>
      <c r="D863" s="11" t="s">
        <v>3466</v>
      </c>
      <c r="E863" s="11" t="s">
        <v>2621</v>
      </c>
      <c r="F863" s="11" t="s">
        <v>3420</v>
      </c>
      <c r="G863" s="11">
        <v>22378.9</v>
      </c>
      <c r="H863" s="11" t="s">
        <v>2623</v>
      </c>
      <c r="I863" s="11" t="s">
        <v>1411</v>
      </c>
      <c r="J863" s="11">
        <v>28</v>
      </c>
      <c r="K863" s="11">
        <v>17483.52</v>
      </c>
      <c r="L863" s="11">
        <v>0</v>
      </c>
      <c r="M863" s="11">
        <v>2447.69</v>
      </c>
      <c r="N863" s="11">
        <v>2447.69</v>
      </c>
      <c r="O863" s="11">
        <v>0</v>
      </c>
      <c r="P863" s="11" t="s">
        <v>2624</v>
      </c>
    </row>
    <row r="864" spans="1:16" x14ac:dyDescent="0.2">
      <c r="A864" s="52">
        <v>43678</v>
      </c>
      <c r="B864" s="11" t="s">
        <v>29</v>
      </c>
      <c r="C864" s="11" t="s">
        <v>2652</v>
      </c>
      <c r="D864" s="11" t="s">
        <v>3467</v>
      </c>
      <c r="E864" s="11" t="s">
        <v>2621</v>
      </c>
      <c r="F864" s="11" t="s">
        <v>3402</v>
      </c>
      <c r="G864" s="11">
        <v>22378.9</v>
      </c>
      <c r="H864" s="11" t="s">
        <v>2623</v>
      </c>
      <c r="I864" s="11" t="s">
        <v>1411</v>
      </c>
      <c r="J864" s="11">
        <v>28</v>
      </c>
      <c r="K864" s="11">
        <v>17483.52</v>
      </c>
      <c r="L864" s="11">
        <v>0</v>
      </c>
      <c r="M864" s="11">
        <v>2447.69</v>
      </c>
      <c r="N864" s="11">
        <v>2447.69</v>
      </c>
      <c r="O864" s="11">
        <v>0</v>
      </c>
      <c r="P864" s="11" t="s">
        <v>2624</v>
      </c>
    </row>
    <row r="865" spans="1:16" x14ac:dyDescent="0.2">
      <c r="A865" s="52">
        <v>43678</v>
      </c>
      <c r="B865" s="11" t="s">
        <v>29</v>
      </c>
      <c r="C865" s="11" t="s">
        <v>2652</v>
      </c>
      <c r="D865" s="11" t="s">
        <v>3468</v>
      </c>
      <c r="E865" s="11" t="s">
        <v>2621</v>
      </c>
      <c r="F865" s="11" t="s">
        <v>3402</v>
      </c>
      <c r="G865" s="11">
        <v>22378.9</v>
      </c>
      <c r="H865" s="11" t="s">
        <v>2623</v>
      </c>
      <c r="I865" s="11" t="s">
        <v>1411</v>
      </c>
      <c r="J865" s="11">
        <v>28</v>
      </c>
      <c r="K865" s="11">
        <v>17483.52</v>
      </c>
      <c r="L865" s="11">
        <v>0</v>
      </c>
      <c r="M865" s="11">
        <v>2447.69</v>
      </c>
      <c r="N865" s="11">
        <v>2447.69</v>
      </c>
      <c r="O865" s="11">
        <v>0</v>
      </c>
      <c r="P865" s="11" t="s">
        <v>2624</v>
      </c>
    </row>
    <row r="866" spans="1:16" x14ac:dyDescent="0.2">
      <c r="A866" s="52">
        <v>43678</v>
      </c>
      <c r="B866" s="11" t="s">
        <v>29</v>
      </c>
      <c r="C866" s="11" t="s">
        <v>2652</v>
      </c>
      <c r="D866" s="11" t="s">
        <v>3469</v>
      </c>
      <c r="E866" s="11" t="s">
        <v>2621</v>
      </c>
      <c r="F866" s="11" t="s">
        <v>3411</v>
      </c>
      <c r="G866" s="11">
        <v>22378.9</v>
      </c>
      <c r="H866" s="11" t="s">
        <v>2623</v>
      </c>
      <c r="I866" s="11" t="s">
        <v>1411</v>
      </c>
      <c r="J866" s="11">
        <v>28</v>
      </c>
      <c r="K866" s="11">
        <v>17483.52</v>
      </c>
      <c r="L866" s="11">
        <v>0</v>
      </c>
      <c r="M866" s="11">
        <v>2447.69</v>
      </c>
      <c r="N866" s="11">
        <v>2447.69</v>
      </c>
      <c r="O866" s="11">
        <v>0</v>
      </c>
      <c r="P866" s="11" t="s">
        <v>2624</v>
      </c>
    </row>
    <row r="867" spans="1:16" x14ac:dyDescent="0.2">
      <c r="A867" s="52">
        <v>43678</v>
      </c>
      <c r="B867" s="11" t="s">
        <v>29</v>
      </c>
      <c r="C867" s="11" t="s">
        <v>2652</v>
      </c>
      <c r="D867" s="11" t="s">
        <v>3470</v>
      </c>
      <c r="E867" s="11" t="s">
        <v>2621</v>
      </c>
      <c r="F867" s="11" t="s">
        <v>3411</v>
      </c>
      <c r="G867" s="11">
        <v>22378.9</v>
      </c>
      <c r="H867" s="11" t="s">
        <v>2623</v>
      </c>
      <c r="I867" s="11" t="s">
        <v>1411</v>
      </c>
      <c r="J867" s="11">
        <v>28</v>
      </c>
      <c r="K867" s="11">
        <v>17483.52</v>
      </c>
      <c r="L867" s="11">
        <v>0</v>
      </c>
      <c r="M867" s="11">
        <v>2447.69</v>
      </c>
      <c r="N867" s="11">
        <v>2447.69</v>
      </c>
      <c r="O867" s="11">
        <v>0</v>
      </c>
      <c r="P867" s="11" t="s">
        <v>2624</v>
      </c>
    </row>
    <row r="868" spans="1:16" x14ac:dyDescent="0.2">
      <c r="A868" s="52">
        <v>43678</v>
      </c>
      <c r="B868" s="11" t="s">
        <v>29</v>
      </c>
      <c r="C868" s="11" t="s">
        <v>2652</v>
      </c>
      <c r="D868" s="11" t="s">
        <v>3471</v>
      </c>
      <c r="E868" s="11" t="s">
        <v>2621</v>
      </c>
      <c r="F868" s="11" t="s">
        <v>3472</v>
      </c>
      <c r="G868" s="11">
        <v>22378.9</v>
      </c>
      <c r="H868" s="11" t="s">
        <v>2623</v>
      </c>
      <c r="I868" s="11" t="s">
        <v>1411</v>
      </c>
      <c r="J868" s="11">
        <v>28</v>
      </c>
      <c r="K868" s="11">
        <v>17483.52</v>
      </c>
      <c r="L868" s="11">
        <v>0</v>
      </c>
      <c r="M868" s="11">
        <v>2447.69</v>
      </c>
      <c r="N868" s="11">
        <v>2447.69</v>
      </c>
      <c r="O868" s="11">
        <v>0</v>
      </c>
      <c r="P868" s="11" t="s">
        <v>2624</v>
      </c>
    </row>
    <row r="869" spans="1:16" x14ac:dyDescent="0.2">
      <c r="A869" s="52">
        <v>43678</v>
      </c>
      <c r="B869" s="11" t="s">
        <v>29</v>
      </c>
      <c r="C869" s="11" t="s">
        <v>2652</v>
      </c>
      <c r="D869" s="11" t="s">
        <v>3473</v>
      </c>
      <c r="E869" s="11" t="s">
        <v>2621</v>
      </c>
      <c r="F869" s="11" t="s">
        <v>3472</v>
      </c>
      <c r="G869" s="11">
        <v>22378.9</v>
      </c>
      <c r="H869" s="11" t="s">
        <v>2623</v>
      </c>
      <c r="I869" s="11" t="s">
        <v>1411</v>
      </c>
      <c r="J869" s="11">
        <v>28</v>
      </c>
      <c r="K869" s="11">
        <v>17483.52</v>
      </c>
      <c r="L869" s="11">
        <v>0</v>
      </c>
      <c r="M869" s="11">
        <v>2447.69</v>
      </c>
      <c r="N869" s="11">
        <v>2447.69</v>
      </c>
      <c r="O869" s="11">
        <v>0</v>
      </c>
      <c r="P869" s="11" t="s">
        <v>2624</v>
      </c>
    </row>
    <row r="870" spans="1:16" x14ac:dyDescent="0.2">
      <c r="A870" s="52">
        <v>43678</v>
      </c>
      <c r="B870" s="11" t="s">
        <v>29</v>
      </c>
      <c r="C870" s="11" t="s">
        <v>2652</v>
      </c>
      <c r="D870" s="11" t="s">
        <v>3474</v>
      </c>
      <c r="E870" s="11" t="s">
        <v>2621</v>
      </c>
      <c r="F870" s="11" t="s">
        <v>3475</v>
      </c>
      <c r="G870" s="11">
        <v>31703.439999999999</v>
      </c>
      <c r="H870" s="11" t="s">
        <v>2623</v>
      </c>
      <c r="I870" s="11" t="s">
        <v>1411</v>
      </c>
      <c r="J870" s="11">
        <v>28</v>
      </c>
      <c r="K870" s="11">
        <v>24768.32</v>
      </c>
      <c r="L870" s="11">
        <v>0</v>
      </c>
      <c r="M870" s="11">
        <v>3467.56</v>
      </c>
      <c r="N870" s="11">
        <v>3467.56</v>
      </c>
      <c r="O870" s="11">
        <v>0</v>
      </c>
      <c r="P870" s="11" t="s">
        <v>2624</v>
      </c>
    </row>
    <row r="871" spans="1:16" x14ac:dyDescent="0.2">
      <c r="A871" s="52">
        <v>43678</v>
      </c>
      <c r="B871" s="11" t="s">
        <v>29</v>
      </c>
      <c r="C871" s="11" t="s">
        <v>2652</v>
      </c>
      <c r="D871" s="11" t="s">
        <v>3476</v>
      </c>
      <c r="E871" s="11" t="s">
        <v>2621</v>
      </c>
      <c r="F871" s="11" t="s">
        <v>3406</v>
      </c>
      <c r="G871" s="11">
        <v>22378.9</v>
      </c>
      <c r="H871" s="11" t="s">
        <v>2623</v>
      </c>
      <c r="I871" s="11" t="s">
        <v>1411</v>
      </c>
      <c r="J871" s="11">
        <v>28</v>
      </c>
      <c r="K871" s="11">
        <v>17483.52</v>
      </c>
      <c r="L871" s="11">
        <v>0</v>
      </c>
      <c r="M871" s="11">
        <v>2447.69</v>
      </c>
      <c r="N871" s="11">
        <v>2447.69</v>
      </c>
      <c r="O871" s="11">
        <v>0</v>
      </c>
      <c r="P871" s="11" t="s">
        <v>2624</v>
      </c>
    </row>
    <row r="872" spans="1:16" x14ac:dyDescent="0.2">
      <c r="A872" s="52">
        <v>43678</v>
      </c>
      <c r="B872" s="11" t="s">
        <v>29</v>
      </c>
      <c r="C872" s="11" t="s">
        <v>2652</v>
      </c>
      <c r="D872" s="11" t="s">
        <v>3477</v>
      </c>
      <c r="E872" s="11" t="s">
        <v>2621</v>
      </c>
      <c r="F872" s="11" t="s">
        <v>3406</v>
      </c>
      <c r="G872" s="11">
        <v>22378.9</v>
      </c>
      <c r="H872" s="11" t="s">
        <v>2623</v>
      </c>
      <c r="I872" s="11" t="s">
        <v>1411</v>
      </c>
      <c r="J872" s="11">
        <v>28</v>
      </c>
      <c r="K872" s="11">
        <v>17483.52</v>
      </c>
      <c r="L872" s="11">
        <v>0</v>
      </c>
      <c r="M872" s="11">
        <v>2447.69</v>
      </c>
      <c r="N872" s="11">
        <v>2447.69</v>
      </c>
      <c r="O872" s="11">
        <v>0</v>
      </c>
      <c r="P872" s="11" t="s">
        <v>2624</v>
      </c>
    </row>
    <row r="873" spans="1:16" x14ac:dyDescent="0.2">
      <c r="A873" s="52">
        <v>43678</v>
      </c>
      <c r="B873" s="11" t="s">
        <v>29</v>
      </c>
      <c r="C873" s="11" t="s">
        <v>2652</v>
      </c>
      <c r="D873" s="11" t="s">
        <v>3478</v>
      </c>
      <c r="E873" s="11" t="s">
        <v>2621</v>
      </c>
      <c r="F873" s="11" t="s">
        <v>3479</v>
      </c>
      <c r="G873" s="11">
        <v>22378.9</v>
      </c>
      <c r="H873" s="11" t="s">
        <v>2623</v>
      </c>
      <c r="I873" s="11" t="s">
        <v>1411</v>
      </c>
      <c r="J873" s="11">
        <v>28</v>
      </c>
      <c r="K873" s="11">
        <v>17483.52</v>
      </c>
      <c r="L873" s="11">
        <v>0</v>
      </c>
      <c r="M873" s="11">
        <v>2447.69</v>
      </c>
      <c r="N873" s="11">
        <v>2447.69</v>
      </c>
      <c r="O873" s="11">
        <v>0</v>
      </c>
      <c r="P873" s="11" t="s">
        <v>2624</v>
      </c>
    </row>
    <row r="874" spans="1:16" x14ac:dyDescent="0.2">
      <c r="A874" s="52">
        <v>43678</v>
      </c>
      <c r="B874" s="11" t="s">
        <v>29</v>
      </c>
      <c r="C874" s="11" t="s">
        <v>2652</v>
      </c>
      <c r="D874" s="11" t="s">
        <v>3480</v>
      </c>
      <c r="E874" s="11" t="s">
        <v>2621</v>
      </c>
      <c r="F874" s="11" t="s">
        <v>3400</v>
      </c>
      <c r="G874" s="11">
        <v>22378.9</v>
      </c>
      <c r="H874" s="11" t="s">
        <v>2623</v>
      </c>
      <c r="I874" s="11" t="s">
        <v>1411</v>
      </c>
      <c r="J874" s="11">
        <v>28</v>
      </c>
      <c r="K874" s="11">
        <v>17483.52</v>
      </c>
      <c r="L874" s="11">
        <v>0</v>
      </c>
      <c r="M874" s="11">
        <v>2447.69</v>
      </c>
      <c r="N874" s="11">
        <v>2447.69</v>
      </c>
      <c r="O874" s="11">
        <v>0</v>
      </c>
      <c r="P874" s="11" t="s">
        <v>2624</v>
      </c>
    </row>
    <row r="875" spans="1:16" x14ac:dyDescent="0.2">
      <c r="A875" s="52">
        <v>43678</v>
      </c>
      <c r="B875" s="11" t="s">
        <v>29</v>
      </c>
      <c r="C875" s="11" t="s">
        <v>2652</v>
      </c>
      <c r="D875" s="11" t="s">
        <v>3481</v>
      </c>
      <c r="E875" s="11" t="s">
        <v>2621</v>
      </c>
      <c r="F875" s="11" t="s">
        <v>3443</v>
      </c>
      <c r="G875" s="11">
        <v>22378.9</v>
      </c>
      <c r="H875" s="11" t="s">
        <v>2623</v>
      </c>
      <c r="I875" s="11" t="s">
        <v>1411</v>
      </c>
      <c r="J875" s="11">
        <v>28</v>
      </c>
      <c r="K875" s="11">
        <v>17483.52</v>
      </c>
      <c r="L875" s="11">
        <v>0</v>
      </c>
      <c r="M875" s="11">
        <v>2447.69</v>
      </c>
      <c r="N875" s="11">
        <v>2447.69</v>
      </c>
      <c r="O875" s="11">
        <v>0</v>
      </c>
      <c r="P875" s="11" t="s">
        <v>2624</v>
      </c>
    </row>
    <row r="876" spans="1:16" x14ac:dyDescent="0.2">
      <c r="A876" s="52">
        <v>43678</v>
      </c>
      <c r="B876" s="11" t="s">
        <v>29</v>
      </c>
      <c r="C876" s="11" t="s">
        <v>2652</v>
      </c>
      <c r="D876" s="11" t="s">
        <v>3482</v>
      </c>
      <c r="E876" s="11" t="s">
        <v>2621</v>
      </c>
      <c r="F876" s="11" t="s">
        <v>3443</v>
      </c>
      <c r="G876" s="11">
        <v>22378.9</v>
      </c>
      <c r="H876" s="11" t="s">
        <v>2623</v>
      </c>
      <c r="I876" s="11" t="s">
        <v>1411</v>
      </c>
      <c r="J876" s="11">
        <v>28</v>
      </c>
      <c r="K876" s="11">
        <v>17483.52</v>
      </c>
      <c r="L876" s="11">
        <v>0</v>
      </c>
      <c r="M876" s="11">
        <v>2447.69</v>
      </c>
      <c r="N876" s="11">
        <v>2447.69</v>
      </c>
      <c r="O876" s="11">
        <v>0</v>
      </c>
      <c r="P876" s="11" t="s">
        <v>2624</v>
      </c>
    </row>
    <row r="877" spans="1:16" x14ac:dyDescent="0.2">
      <c r="A877" s="52">
        <v>43678</v>
      </c>
      <c r="B877" s="11" t="s">
        <v>74</v>
      </c>
      <c r="C877" s="11" t="s">
        <v>2698</v>
      </c>
      <c r="D877" s="11" t="s">
        <v>3483</v>
      </c>
      <c r="E877" s="11" t="s">
        <v>2621</v>
      </c>
      <c r="F877" s="11" t="s">
        <v>3422</v>
      </c>
      <c r="G877" s="11">
        <v>46982.879999999997</v>
      </c>
      <c r="H877" s="11" t="s">
        <v>2623</v>
      </c>
      <c r="I877" s="11" t="s">
        <v>1411</v>
      </c>
      <c r="J877" s="11">
        <v>18</v>
      </c>
      <c r="K877" s="11">
        <v>39816</v>
      </c>
      <c r="L877" s="11">
        <v>0</v>
      </c>
      <c r="M877" s="11">
        <v>3583.44</v>
      </c>
      <c r="N877" s="11">
        <v>3583.44</v>
      </c>
      <c r="O877" s="11">
        <v>0</v>
      </c>
      <c r="P877" s="11" t="s">
        <v>2624</v>
      </c>
    </row>
    <row r="878" spans="1:16" x14ac:dyDescent="0.2">
      <c r="A878" s="52">
        <v>43678</v>
      </c>
      <c r="B878" s="11" t="s">
        <v>74</v>
      </c>
      <c r="C878" s="11" t="s">
        <v>2698</v>
      </c>
      <c r="D878" s="11" t="s">
        <v>3484</v>
      </c>
      <c r="E878" s="11" t="s">
        <v>2621</v>
      </c>
      <c r="F878" s="11" t="s">
        <v>3451</v>
      </c>
      <c r="G878" s="11">
        <v>46982.879999999997</v>
      </c>
      <c r="H878" s="11" t="s">
        <v>2623</v>
      </c>
      <c r="I878" s="11" t="s">
        <v>1411</v>
      </c>
      <c r="J878" s="11">
        <v>18</v>
      </c>
      <c r="K878" s="11">
        <v>39816</v>
      </c>
      <c r="L878" s="11">
        <v>0</v>
      </c>
      <c r="M878" s="11">
        <v>3583.44</v>
      </c>
      <c r="N878" s="11">
        <v>3583.44</v>
      </c>
      <c r="O878" s="11">
        <v>0</v>
      </c>
      <c r="P878" s="11" t="s">
        <v>2624</v>
      </c>
    </row>
    <row r="879" spans="1:16" x14ac:dyDescent="0.2">
      <c r="A879" s="52">
        <v>43678</v>
      </c>
      <c r="B879" s="11" t="s">
        <v>74</v>
      </c>
      <c r="C879" s="11" t="s">
        <v>2698</v>
      </c>
      <c r="D879" s="11" t="s">
        <v>3485</v>
      </c>
      <c r="E879" s="11" t="s">
        <v>2621</v>
      </c>
      <c r="F879" s="11" t="s">
        <v>3408</v>
      </c>
      <c r="G879" s="11">
        <v>46982.879999999997</v>
      </c>
      <c r="H879" s="11" t="s">
        <v>2623</v>
      </c>
      <c r="I879" s="11" t="s">
        <v>1411</v>
      </c>
      <c r="J879" s="11">
        <v>18</v>
      </c>
      <c r="K879" s="11">
        <v>39816</v>
      </c>
      <c r="L879" s="11">
        <v>0</v>
      </c>
      <c r="M879" s="11">
        <v>3583.44</v>
      </c>
      <c r="N879" s="11">
        <v>3583.44</v>
      </c>
      <c r="O879" s="11">
        <v>0</v>
      </c>
      <c r="P879" s="11" t="s">
        <v>2624</v>
      </c>
    </row>
    <row r="880" spans="1:16" x14ac:dyDescent="0.2">
      <c r="A880" s="52">
        <v>43678</v>
      </c>
      <c r="B880" s="11" t="s">
        <v>74</v>
      </c>
      <c r="C880" s="11" t="s">
        <v>2698</v>
      </c>
      <c r="D880" s="11" t="s">
        <v>3486</v>
      </c>
      <c r="E880" s="11" t="s">
        <v>2621</v>
      </c>
      <c r="F880" s="11" t="s">
        <v>3409</v>
      </c>
      <c r="G880" s="11">
        <v>56379.44</v>
      </c>
      <c r="H880" s="11" t="s">
        <v>2623</v>
      </c>
      <c r="I880" s="11" t="s">
        <v>1411</v>
      </c>
      <c r="J880" s="11">
        <v>18</v>
      </c>
      <c r="K880" s="11">
        <v>47779.199999999997</v>
      </c>
      <c r="L880" s="11">
        <v>0</v>
      </c>
      <c r="M880" s="11">
        <v>4300.13</v>
      </c>
      <c r="N880" s="11">
        <v>4300.13</v>
      </c>
      <c r="O880" s="11">
        <v>0</v>
      </c>
      <c r="P880" s="11" t="s">
        <v>2624</v>
      </c>
    </row>
    <row r="881" spans="1:16" x14ac:dyDescent="0.2">
      <c r="A881" s="52">
        <v>43678</v>
      </c>
      <c r="B881" s="11" t="s">
        <v>74</v>
      </c>
      <c r="C881" s="11" t="s">
        <v>2698</v>
      </c>
      <c r="D881" s="11" t="s">
        <v>3487</v>
      </c>
      <c r="E881" s="11" t="s">
        <v>2621</v>
      </c>
      <c r="F881" s="11" t="s">
        <v>3436</v>
      </c>
      <c r="G881" s="11">
        <v>37586.32</v>
      </c>
      <c r="H881" s="11" t="s">
        <v>2623</v>
      </c>
      <c r="I881" s="11" t="s">
        <v>1411</v>
      </c>
      <c r="J881" s="11">
        <v>18</v>
      </c>
      <c r="K881" s="11">
        <v>31852.799999999999</v>
      </c>
      <c r="L881" s="11">
        <v>0</v>
      </c>
      <c r="M881" s="11">
        <v>2866.75</v>
      </c>
      <c r="N881" s="11">
        <v>2866.75</v>
      </c>
      <c r="O881" s="11">
        <v>0</v>
      </c>
      <c r="P881" s="11" t="s">
        <v>2624</v>
      </c>
    </row>
    <row r="882" spans="1:16" x14ac:dyDescent="0.2">
      <c r="A882" s="52">
        <v>43678</v>
      </c>
      <c r="B882" s="11" t="s">
        <v>74</v>
      </c>
      <c r="C882" s="11" t="s">
        <v>2698</v>
      </c>
      <c r="D882" s="11" t="s">
        <v>3488</v>
      </c>
      <c r="E882" s="11" t="s">
        <v>2621</v>
      </c>
      <c r="F882" s="11" t="s">
        <v>3420</v>
      </c>
      <c r="G882" s="11">
        <v>25057.52</v>
      </c>
      <c r="H882" s="11" t="s">
        <v>2623</v>
      </c>
      <c r="I882" s="11" t="s">
        <v>1411</v>
      </c>
      <c r="J882" s="11">
        <v>18</v>
      </c>
      <c r="K882" s="11">
        <v>21235.200000000001</v>
      </c>
      <c r="L882" s="11">
        <v>0</v>
      </c>
      <c r="M882" s="11">
        <v>1911.17</v>
      </c>
      <c r="N882" s="11">
        <v>1911.17</v>
      </c>
      <c r="O882" s="11">
        <v>0</v>
      </c>
      <c r="P882" s="11" t="s">
        <v>2624</v>
      </c>
    </row>
    <row r="883" spans="1:16" x14ac:dyDescent="0.2">
      <c r="A883" s="52">
        <v>43678</v>
      </c>
      <c r="B883" s="11" t="s">
        <v>74</v>
      </c>
      <c r="C883" s="11" t="s">
        <v>2698</v>
      </c>
      <c r="D883" s="11" t="s">
        <v>3489</v>
      </c>
      <c r="E883" s="11" t="s">
        <v>2621</v>
      </c>
      <c r="F883" s="11" t="s">
        <v>3479</v>
      </c>
      <c r="G883" s="11">
        <v>31321.919999999998</v>
      </c>
      <c r="H883" s="11" t="s">
        <v>2623</v>
      </c>
      <c r="I883" s="11" t="s">
        <v>1411</v>
      </c>
      <c r="J883" s="11">
        <v>18</v>
      </c>
      <c r="K883" s="11">
        <v>26544</v>
      </c>
      <c r="L883" s="11">
        <v>0</v>
      </c>
      <c r="M883" s="11">
        <v>2388.96</v>
      </c>
      <c r="N883" s="11">
        <v>2388.96</v>
      </c>
      <c r="O883" s="11">
        <v>0</v>
      </c>
      <c r="P883" s="11" t="s">
        <v>2624</v>
      </c>
    </row>
    <row r="884" spans="1:16" x14ac:dyDescent="0.2">
      <c r="A884" s="52">
        <v>43678</v>
      </c>
      <c r="B884" s="11" t="s">
        <v>555</v>
      </c>
      <c r="C884" s="11" t="s">
        <v>2762</v>
      </c>
      <c r="D884" s="11" t="s">
        <v>3490</v>
      </c>
      <c r="E884" s="11" t="s">
        <v>2621</v>
      </c>
      <c r="F884" s="11" t="s">
        <v>3397</v>
      </c>
      <c r="G884" s="11">
        <v>13507.2</v>
      </c>
      <c r="H884" s="11" t="s">
        <v>2623</v>
      </c>
      <c r="I884" s="11" t="s">
        <v>1411</v>
      </c>
      <c r="J884" s="11">
        <v>28</v>
      </c>
      <c r="K884" s="11">
        <v>10552.5</v>
      </c>
      <c r="L884" s="11">
        <v>0</v>
      </c>
      <c r="M884" s="11">
        <v>1477.35</v>
      </c>
      <c r="N884" s="11">
        <v>1477.35</v>
      </c>
      <c r="O884" s="11">
        <v>0</v>
      </c>
      <c r="P884" s="11" t="s">
        <v>2624</v>
      </c>
    </row>
    <row r="885" spans="1:16" x14ac:dyDescent="0.2">
      <c r="A885" s="52">
        <v>43678</v>
      </c>
      <c r="B885" s="11" t="s">
        <v>555</v>
      </c>
      <c r="C885" s="11" t="s">
        <v>2762</v>
      </c>
      <c r="D885" s="11" t="s">
        <v>3491</v>
      </c>
      <c r="E885" s="11" t="s">
        <v>2621</v>
      </c>
      <c r="F885" s="11" t="s">
        <v>3422</v>
      </c>
      <c r="G885" s="11">
        <v>13576.88</v>
      </c>
      <c r="H885" s="11" t="s">
        <v>2623</v>
      </c>
      <c r="I885" s="11" t="s">
        <v>1411</v>
      </c>
      <c r="J885" s="11">
        <v>28</v>
      </c>
      <c r="K885" s="11">
        <v>10606.94</v>
      </c>
      <c r="L885" s="11">
        <v>0</v>
      </c>
      <c r="M885" s="11">
        <v>1484.97</v>
      </c>
      <c r="N885" s="11">
        <v>1484.97</v>
      </c>
      <c r="O885" s="11">
        <v>0</v>
      </c>
      <c r="P885" s="11" t="s">
        <v>2624</v>
      </c>
    </row>
    <row r="886" spans="1:16" x14ac:dyDescent="0.2">
      <c r="A886" s="52">
        <v>43678</v>
      </c>
      <c r="B886" s="11" t="s">
        <v>555</v>
      </c>
      <c r="C886" s="11" t="s">
        <v>2762</v>
      </c>
      <c r="D886" s="11" t="s">
        <v>3492</v>
      </c>
      <c r="E886" s="11" t="s">
        <v>2621</v>
      </c>
      <c r="F886" s="11" t="s">
        <v>3451</v>
      </c>
      <c r="G886" s="11">
        <v>12700.8</v>
      </c>
      <c r="H886" s="11" t="s">
        <v>2623</v>
      </c>
      <c r="I886" s="11" t="s">
        <v>1411</v>
      </c>
      <c r="J886" s="11">
        <v>28</v>
      </c>
      <c r="K886" s="11">
        <v>9922.5</v>
      </c>
      <c r="L886" s="11">
        <v>0</v>
      </c>
      <c r="M886" s="11">
        <v>1389.15</v>
      </c>
      <c r="N886" s="11">
        <v>1389.15</v>
      </c>
      <c r="O886" s="11">
        <v>0</v>
      </c>
      <c r="P886" s="11" t="s">
        <v>2624</v>
      </c>
    </row>
    <row r="887" spans="1:16" x14ac:dyDescent="0.2">
      <c r="A887" s="52">
        <v>43678</v>
      </c>
      <c r="B887" s="11" t="s">
        <v>555</v>
      </c>
      <c r="C887" s="11" t="s">
        <v>2762</v>
      </c>
      <c r="D887" s="11" t="s">
        <v>3493</v>
      </c>
      <c r="E887" s="11" t="s">
        <v>2621</v>
      </c>
      <c r="F887" s="11" t="s">
        <v>3451</v>
      </c>
      <c r="G887" s="11">
        <v>4032</v>
      </c>
      <c r="H887" s="11" t="s">
        <v>2623</v>
      </c>
      <c r="I887" s="11" t="s">
        <v>1411</v>
      </c>
      <c r="J887" s="11">
        <v>28</v>
      </c>
      <c r="K887" s="11">
        <v>3150</v>
      </c>
      <c r="L887" s="11">
        <v>0</v>
      </c>
      <c r="M887" s="11">
        <v>441</v>
      </c>
      <c r="N887" s="11">
        <v>441</v>
      </c>
      <c r="O887" s="11">
        <v>0</v>
      </c>
      <c r="P887" s="11" t="s">
        <v>2624</v>
      </c>
    </row>
    <row r="888" spans="1:16" x14ac:dyDescent="0.2">
      <c r="A888" s="52">
        <v>43678</v>
      </c>
      <c r="B888" s="11" t="s">
        <v>555</v>
      </c>
      <c r="C888" s="11" t="s">
        <v>2762</v>
      </c>
      <c r="D888" s="11" t="s">
        <v>3494</v>
      </c>
      <c r="E888" s="11" t="s">
        <v>2621</v>
      </c>
      <c r="F888" s="11" t="s">
        <v>3416</v>
      </c>
      <c r="G888" s="11">
        <v>15161.6</v>
      </c>
      <c r="H888" s="11" t="s">
        <v>2623</v>
      </c>
      <c r="I888" s="11" t="s">
        <v>1411</v>
      </c>
      <c r="J888" s="11">
        <v>28</v>
      </c>
      <c r="K888" s="11">
        <v>11845</v>
      </c>
      <c r="L888" s="11">
        <v>0</v>
      </c>
      <c r="M888" s="11">
        <v>1658.3</v>
      </c>
      <c r="N888" s="11">
        <v>1658.3</v>
      </c>
      <c r="O888" s="11">
        <v>0</v>
      </c>
      <c r="P888" s="11" t="s">
        <v>2624</v>
      </c>
    </row>
    <row r="889" spans="1:16" x14ac:dyDescent="0.2">
      <c r="A889" s="52">
        <v>43678</v>
      </c>
      <c r="B889" s="11" t="s">
        <v>555</v>
      </c>
      <c r="C889" s="11" t="s">
        <v>2762</v>
      </c>
      <c r="D889" s="11" t="s">
        <v>3495</v>
      </c>
      <c r="E889" s="11" t="s">
        <v>2621</v>
      </c>
      <c r="F889" s="11" t="s">
        <v>3408</v>
      </c>
      <c r="G889" s="11">
        <v>241.92</v>
      </c>
      <c r="H889" s="11" t="s">
        <v>2623</v>
      </c>
      <c r="I889" s="11" t="s">
        <v>1411</v>
      </c>
      <c r="J889" s="11">
        <v>28</v>
      </c>
      <c r="K889" s="11">
        <v>189</v>
      </c>
      <c r="L889" s="11">
        <v>0</v>
      </c>
      <c r="M889" s="11">
        <v>26.46</v>
      </c>
      <c r="N889" s="11">
        <v>26.46</v>
      </c>
      <c r="O889" s="11">
        <v>0</v>
      </c>
      <c r="P889" s="11" t="s">
        <v>2624</v>
      </c>
    </row>
    <row r="890" spans="1:16" x14ac:dyDescent="0.2">
      <c r="A890" s="52">
        <v>43678</v>
      </c>
      <c r="B890" s="11" t="s">
        <v>555</v>
      </c>
      <c r="C890" s="11" t="s">
        <v>2762</v>
      </c>
      <c r="D890" s="11" t="s">
        <v>3496</v>
      </c>
      <c r="E890" s="11" t="s">
        <v>2621</v>
      </c>
      <c r="F890" s="11" t="s">
        <v>3426</v>
      </c>
      <c r="G890" s="11">
        <v>20026.88</v>
      </c>
      <c r="H890" s="11" t="s">
        <v>2623</v>
      </c>
      <c r="I890" s="11" t="s">
        <v>1411</v>
      </c>
      <c r="J890" s="11">
        <v>28</v>
      </c>
      <c r="K890" s="11">
        <v>15646</v>
      </c>
      <c r="L890" s="11">
        <v>0</v>
      </c>
      <c r="M890" s="11">
        <v>2190.44</v>
      </c>
      <c r="N890" s="11">
        <v>2190.44</v>
      </c>
      <c r="O890" s="11">
        <v>0</v>
      </c>
      <c r="P890" s="11" t="s">
        <v>2624</v>
      </c>
    </row>
    <row r="891" spans="1:16" x14ac:dyDescent="0.2">
      <c r="A891" s="52">
        <v>43678</v>
      </c>
      <c r="B891" s="11" t="s">
        <v>555</v>
      </c>
      <c r="C891" s="11" t="s">
        <v>2762</v>
      </c>
      <c r="D891" s="11" t="s">
        <v>3497</v>
      </c>
      <c r="E891" s="11" t="s">
        <v>2621</v>
      </c>
      <c r="F891" s="11" t="s">
        <v>3409</v>
      </c>
      <c r="G891" s="11">
        <v>14270.08</v>
      </c>
      <c r="H891" s="11" t="s">
        <v>2623</v>
      </c>
      <c r="I891" s="11" t="s">
        <v>1411</v>
      </c>
      <c r="J891" s="11">
        <v>28</v>
      </c>
      <c r="K891" s="11">
        <v>11148.5</v>
      </c>
      <c r="L891" s="11">
        <v>0</v>
      </c>
      <c r="M891" s="11">
        <v>1560.79</v>
      </c>
      <c r="N891" s="11">
        <v>1560.79</v>
      </c>
      <c r="O891" s="11">
        <v>0</v>
      </c>
      <c r="P891" s="11" t="s">
        <v>2624</v>
      </c>
    </row>
    <row r="892" spans="1:16" x14ac:dyDescent="0.2">
      <c r="A892" s="52">
        <v>43678</v>
      </c>
      <c r="B892" s="11" t="s">
        <v>555</v>
      </c>
      <c r="C892" s="11" t="s">
        <v>2762</v>
      </c>
      <c r="D892" s="11" t="s">
        <v>3498</v>
      </c>
      <c r="E892" s="11" t="s">
        <v>2621</v>
      </c>
      <c r="F892" s="11" t="s">
        <v>3404</v>
      </c>
      <c r="G892" s="11">
        <v>6048</v>
      </c>
      <c r="H892" s="11" t="s">
        <v>2623</v>
      </c>
      <c r="I892" s="11" t="s">
        <v>1411</v>
      </c>
      <c r="J892" s="11">
        <v>28</v>
      </c>
      <c r="K892" s="11">
        <v>4725</v>
      </c>
      <c r="L892" s="11">
        <v>0</v>
      </c>
      <c r="M892" s="11">
        <v>661.5</v>
      </c>
      <c r="N892" s="11">
        <v>661.5</v>
      </c>
      <c r="O892" s="11">
        <v>0</v>
      </c>
      <c r="P892" s="11" t="s">
        <v>2624</v>
      </c>
    </row>
    <row r="893" spans="1:16" x14ac:dyDescent="0.2">
      <c r="A893" s="52">
        <v>43678</v>
      </c>
      <c r="B893" s="11" t="s">
        <v>555</v>
      </c>
      <c r="C893" s="11" t="s">
        <v>2762</v>
      </c>
      <c r="D893" s="11" t="s">
        <v>3499</v>
      </c>
      <c r="E893" s="11" t="s">
        <v>2621</v>
      </c>
      <c r="F893" s="11" t="s">
        <v>3396</v>
      </c>
      <c r="G893" s="11">
        <v>12096</v>
      </c>
      <c r="H893" s="11" t="s">
        <v>2623</v>
      </c>
      <c r="I893" s="11" t="s">
        <v>1411</v>
      </c>
      <c r="J893" s="11">
        <v>28</v>
      </c>
      <c r="K893" s="11">
        <v>9450</v>
      </c>
      <c r="L893" s="11">
        <v>0</v>
      </c>
      <c r="M893" s="11">
        <v>1323</v>
      </c>
      <c r="N893" s="11">
        <v>1323</v>
      </c>
      <c r="O893" s="11">
        <v>0</v>
      </c>
      <c r="P893" s="11" t="s">
        <v>2624</v>
      </c>
    </row>
    <row r="894" spans="1:16" x14ac:dyDescent="0.2">
      <c r="A894" s="52">
        <v>43678</v>
      </c>
      <c r="B894" s="11" t="s">
        <v>555</v>
      </c>
      <c r="C894" s="11" t="s">
        <v>2762</v>
      </c>
      <c r="D894" s="11" t="s">
        <v>3500</v>
      </c>
      <c r="E894" s="11" t="s">
        <v>2621</v>
      </c>
      <c r="F894" s="11" t="s">
        <v>3436</v>
      </c>
      <c r="G894" s="11">
        <v>17514.759999999998</v>
      </c>
      <c r="H894" s="11" t="s">
        <v>2623</v>
      </c>
      <c r="I894" s="11" t="s">
        <v>1411</v>
      </c>
      <c r="J894" s="11">
        <v>28</v>
      </c>
      <c r="K894" s="11">
        <v>13683.4</v>
      </c>
      <c r="L894" s="11">
        <v>0</v>
      </c>
      <c r="M894" s="11">
        <v>1915.68</v>
      </c>
      <c r="N894" s="11">
        <v>1915.68</v>
      </c>
      <c r="O894" s="11">
        <v>0</v>
      </c>
      <c r="P894" s="11" t="s">
        <v>2624</v>
      </c>
    </row>
    <row r="895" spans="1:16" x14ac:dyDescent="0.2">
      <c r="A895" s="52">
        <v>43678</v>
      </c>
      <c r="B895" s="11" t="s">
        <v>555</v>
      </c>
      <c r="C895" s="11" t="s">
        <v>2762</v>
      </c>
      <c r="D895" s="11" t="s">
        <v>3501</v>
      </c>
      <c r="E895" s="11" t="s">
        <v>2621</v>
      </c>
      <c r="F895" s="11" t="s">
        <v>3446</v>
      </c>
      <c r="G895" s="11">
        <v>11636.55</v>
      </c>
      <c r="H895" s="11" t="s">
        <v>2623</v>
      </c>
      <c r="I895" s="11" t="s">
        <v>1411</v>
      </c>
      <c r="J895" s="11">
        <v>28</v>
      </c>
      <c r="K895" s="11">
        <v>9091.0499999999993</v>
      </c>
      <c r="L895" s="11">
        <v>0</v>
      </c>
      <c r="M895" s="11">
        <v>1272.75</v>
      </c>
      <c r="N895" s="11">
        <v>1272.75</v>
      </c>
      <c r="O895" s="11">
        <v>0</v>
      </c>
      <c r="P895" s="11" t="s">
        <v>2624</v>
      </c>
    </row>
    <row r="896" spans="1:16" x14ac:dyDescent="0.2">
      <c r="A896" s="52">
        <v>43678</v>
      </c>
      <c r="B896" s="11" t="s">
        <v>555</v>
      </c>
      <c r="C896" s="11" t="s">
        <v>2762</v>
      </c>
      <c r="D896" s="11" t="s">
        <v>3502</v>
      </c>
      <c r="E896" s="11" t="s">
        <v>2621</v>
      </c>
      <c r="F896" s="11" t="s">
        <v>3420</v>
      </c>
      <c r="G896" s="11">
        <v>6048</v>
      </c>
      <c r="H896" s="11" t="s">
        <v>2623</v>
      </c>
      <c r="I896" s="11" t="s">
        <v>1411</v>
      </c>
      <c r="J896" s="11">
        <v>28</v>
      </c>
      <c r="K896" s="11">
        <v>4725</v>
      </c>
      <c r="L896" s="11">
        <v>0</v>
      </c>
      <c r="M896" s="11">
        <v>661.5</v>
      </c>
      <c r="N896" s="11">
        <v>661.5</v>
      </c>
      <c r="O896" s="11">
        <v>0</v>
      </c>
      <c r="P896" s="11" t="s">
        <v>2624</v>
      </c>
    </row>
    <row r="897" spans="1:16" x14ac:dyDescent="0.2">
      <c r="A897" s="52">
        <v>43678</v>
      </c>
      <c r="B897" s="11" t="s">
        <v>555</v>
      </c>
      <c r="C897" s="11" t="s">
        <v>2762</v>
      </c>
      <c r="D897" s="11" t="s">
        <v>3503</v>
      </c>
      <c r="E897" s="11" t="s">
        <v>2621</v>
      </c>
      <c r="F897" s="11" t="s">
        <v>3402</v>
      </c>
      <c r="G897" s="11">
        <v>8064</v>
      </c>
      <c r="H897" s="11" t="s">
        <v>2623</v>
      </c>
      <c r="I897" s="11" t="s">
        <v>1411</v>
      </c>
      <c r="J897" s="11">
        <v>28</v>
      </c>
      <c r="K897" s="11">
        <v>6300</v>
      </c>
      <c r="L897" s="11">
        <v>0</v>
      </c>
      <c r="M897" s="11">
        <v>882</v>
      </c>
      <c r="N897" s="11">
        <v>882</v>
      </c>
      <c r="O897" s="11">
        <v>0</v>
      </c>
      <c r="P897" s="11" t="s">
        <v>2624</v>
      </c>
    </row>
    <row r="898" spans="1:16" x14ac:dyDescent="0.2">
      <c r="A898" s="52">
        <v>43678</v>
      </c>
      <c r="B898" s="11" t="s">
        <v>555</v>
      </c>
      <c r="C898" s="11" t="s">
        <v>2762</v>
      </c>
      <c r="D898" s="11" t="s">
        <v>3504</v>
      </c>
      <c r="E898" s="11" t="s">
        <v>2621</v>
      </c>
      <c r="F898" s="11" t="s">
        <v>3402</v>
      </c>
      <c r="G898" s="11">
        <v>1542.4</v>
      </c>
      <c r="H898" s="11" t="s">
        <v>2623</v>
      </c>
      <c r="I898" s="11" t="s">
        <v>1411</v>
      </c>
      <c r="J898" s="11">
        <v>28</v>
      </c>
      <c r="K898" s="11">
        <v>1205</v>
      </c>
      <c r="L898" s="11">
        <v>0</v>
      </c>
      <c r="M898" s="11">
        <v>168.7</v>
      </c>
      <c r="N898" s="11">
        <v>168.7</v>
      </c>
      <c r="O898" s="11">
        <v>0</v>
      </c>
      <c r="P898" s="11" t="s">
        <v>2624</v>
      </c>
    </row>
    <row r="899" spans="1:16" x14ac:dyDescent="0.2">
      <c r="A899" s="52">
        <v>43678</v>
      </c>
      <c r="B899" s="11" t="s">
        <v>555</v>
      </c>
      <c r="C899" s="11" t="s">
        <v>2762</v>
      </c>
      <c r="D899" s="11" t="s">
        <v>3505</v>
      </c>
      <c r="E899" s="11" t="s">
        <v>2621</v>
      </c>
      <c r="F899" s="11" t="s">
        <v>3410</v>
      </c>
      <c r="G899" s="11">
        <v>7712</v>
      </c>
      <c r="H899" s="11" t="s">
        <v>2623</v>
      </c>
      <c r="I899" s="11" t="s">
        <v>1411</v>
      </c>
      <c r="J899" s="11">
        <v>28</v>
      </c>
      <c r="K899" s="11">
        <v>6025</v>
      </c>
      <c r="L899" s="11">
        <v>0</v>
      </c>
      <c r="M899" s="11">
        <v>843.5</v>
      </c>
      <c r="N899" s="11">
        <v>843.5</v>
      </c>
      <c r="O899" s="11">
        <v>0</v>
      </c>
      <c r="P899" s="11" t="s">
        <v>2624</v>
      </c>
    </row>
    <row r="900" spans="1:16" x14ac:dyDescent="0.2">
      <c r="A900" s="52">
        <v>43678</v>
      </c>
      <c r="B900" s="11" t="s">
        <v>555</v>
      </c>
      <c r="C900" s="11" t="s">
        <v>2762</v>
      </c>
      <c r="D900" s="11" t="s">
        <v>3506</v>
      </c>
      <c r="E900" s="11" t="s">
        <v>2621</v>
      </c>
      <c r="F900" s="11" t="s">
        <v>3394</v>
      </c>
      <c r="G900" s="11">
        <v>4318.72</v>
      </c>
      <c r="H900" s="11" t="s">
        <v>2623</v>
      </c>
      <c r="I900" s="11" t="s">
        <v>1411</v>
      </c>
      <c r="J900" s="11">
        <v>28</v>
      </c>
      <c r="K900" s="11">
        <v>3374</v>
      </c>
      <c r="L900" s="11">
        <v>0</v>
      </c>
      <c r="M900" s="11">
        <v>472.36</v>
      </c>
      <c r="N900" s="11">
        <v>472.36</v>
      </c>
      <c r="O900" s="11">
        <v>0</v>
      </c>
      <c r="P900" s="11" t="s">
        <v>2624</v>
      </c>
    </row>
    <row r="901" spans="1:16" x14ac:dyDescent="0.2">
      <c r="A901" s="52">
        <v>43678</v>
      </c>
      <c r="B901" s="11" t="s">
        <v>555</v>
      </c>
      <c r="C901" s="11" t="s">
        <v>2762</v>
      </c>
      <c r="D901" s="11" t="s">
        <v>3507</v>
      </c>
      <c r="E901" s="11" t="s">
        <v>2621</v>
      </c>
      <c r="F901" s="11" t="s">
        <v>3411</v>
      </c>
      <c r="G901" s="11">
        <v>7971.84</v>
      </c>
      <c r="H901" s="11" t="s">
        <v>2623</v>
      </c>
      <c r="I901" s="11" t="s">
        <v>1411</v>
      </c>
      <c r="J901" s="11">
        <v>28</v>
      </c>
      <c r="K901" s="11">
        <v>6228</v>
      </c>
      <c r="L901" s="11">
        <v>0</v>
      </c>
      <c r="M901" s="11">
        <v>871.92</v>
      </c>
      <c r="N901" s="11">
        <v>871.92</v>
      </c>
      <c r="O901" s="11">
        <v>0</v>
      </c>
      <c r="P901" s="11" t="s">
        <v>2624</v>
      </c>
    </row>
    <row r="902" spans="1:16" x14ac:dyDescent="0.2">
      <c r="A902" s="52">
        <v>43678</v>
      </c>
      <c r="B902" s="11" t="s">
        <v>555</v>
      </c>
      <c r="C902" s="11" t="s">
        <v>2762</v>
      </c>
      <c r="D902" s="11" t="s">
        <v>3508</v>
      </c>
      <c r="E902" s="11" t="s">
        <v>2621</v>
      </c>
      <c r="F902" s="11" t="s">
        <v>3437</v>
      </c>
      <c r="G902" s="11">
        <v>9963.52</v>
      </c>
      <c r="H902" s="11" t="s">
        <v>2623</v>
      </c>
      <c r="I902" s="11" t="s">
        <v>1411</v>
      </c>
      <c r="J902" s="11">
        <v>28</v>
      </c>
      <c r="K902" s="11">
        <v>7784</v>
      </c>
      <c r="L902" s="11">
        <v>0</v>
      </c>
      <c r="M902" s="11">
        <v>1089.76</v>
      </c>
      <c r="N902" s="11">
        <v>1089.76</v>
      </c>
      <c r="O902" s="11">
        <v>0</v>
      </c>
      <c r="P902" s="11" t="s">
        <v>2624</v>
      </c>
    </row>
    <row r="903" spans="1:16" x14ac:dyDescent="0.2">
      <c r="A903" s="52">
        <v>43678</v>
      </c>
      <c r="B903" s="11" t="s">
        <v>555</v>
      </c>
      <c r="C903" s="11" t="s">
        <v>2762</v>
      </c>
      <c r="D903" s="11" t="s">
        <v>3509</v>
      </c>
      <c r="E903" s="11" t="s">
        <v>2621</v>
      </c>
      <c r="F903" s="11" t="s">
        <v>3472</v>
      </c>
      <c r="G903" s="11">
        <v>9264</v>
      </c>
      <c r="H903" s="11" t="s">
        <v>2623</v>
      </c>
      <c r="I903" s="11" t="s">
        <v>1411</v>
      </c>
      <c r="J903" s="11">
        <v>28</v>
      </c>
      <c r="K903" s="11">
        <v>7237.5</v>
      </c>
      <c r="L903" s="11">
        <v>0</v>
      </c>
      <c r="M903" s="11">
        <v>1013.25</v>
      </c>
      <c r="N903" s="11">
        <v>1013.25</v>
      </c>
      <c r="O903" s="11">
        <v>0</v>
      </c>
      <c r="P903" s="11" t="s">
        <v>2624</v>
      </c>
    </row>
    <row r="904" spans="1:16" x14ac:dyDescent="0.2">
      <c r="A904" s="52">
        <v>43678</v>
      </c>
      <c r="B904" s="11" t="s">
        <v>555</v>
      </c>
      <c r="C904" s="11" t="s">
        <v>2762</v>
      </c>
      <c r="D904" s="11" t="s">
        <v>3510</v>
      </c>
      <c r="E904" s="11" t="s">
        <v>2621</v>
      </c>
      <c r="F904" s="11" t="s">
        <v>3472</v>
      </c>
      <c r="G904" s="11">
        <v>9868.7999999999993</v>
      </c>
      <c r="H904" s="11" t="s">
        <v>2623</v>
      </c>
      <c r="I904" s="11" t="s">
        <v>1411</v>
      </c>
      <c r="J904" s="11">
        <v>28</v>
      </c>
      <c r="K904" s="11">
        <v>7710</v>
      </c>
      <c r="L904" s="11">
        <v>0</v>
      </c>
      <c r="M904" s="11">
        <v>1079.4000000000001</v>
      </c>
      <c r="N904" s="11">
        <v>1079.4000000000001</v>
      </c>
      <c r="O904" s="11">
        <v>0</v>
      </c>
      <c r="P904" s="11" t="s">
        <v>2624</v>
      </c>
    </row>
    <row r="905" spans="1:16" x14ac:dyDescent="0.2">
      <c r="A905" s="52">
        <v>43678</v>
      </c>
      <c r="B905" s="11" t="s">
        <v>555</v>
      </c>
      <c r="C905" s="11" t="s">
        <v>2762</v>
      </c>
      <c r="D905" s="11" t="s">
        <v>3511</v>
      </c>
      <c r="E905" s="11" t="s">
        <v>2621</v>
      </c>
      <c r="F905" s="11" t="s">
        <v>3441</v>
      </c>
      <c r="G905" s="11">
        <v>9346.56</v>
      </c>
      <c r="H905" s="11" t="s">
        <v>2623</v>
      </c>
      <c r="I905" s="11" t="s">
        <v>1411</v>
      </c>
      <c r="J905" s="11">
        <v>28</v>
      </c>
      <c r="K905" s="11">
        <v>7302</v>
      </c>
      <c r="L905" s="11">
        <v>0</v>
      </c>
      <c r="M905" s="11">
        <v>1022.28</v>
      </c>
      <c r="N905" s="11">
        <v>1022.28</v>
      </c>
      <c r="O905" s="11">
        <v>0</v>
      </c>
      <c r="P905" s="11" t="s">
        <v>2624</v>
      </c>
    </row>
    <row r="906" spans="1:16" x14ac:dyDescent="0.2">
      <c r="A906" s="52">
        <v>43678</v>
      </c>
      <c r="B906" s="11" t="s">
        <v>555</v>
      </c>
      <c r="C906" s="11" t="s">
        <v>2762</v>
      </c>
      <c r="D906" s="11" t="s">
        <v>3512</v>
      </c>
      <c r="E906" s="11" t="s">
        <v>2621</v>
      </c>
      <c r="F906" s="11" t="s">
        <v>3475</v>
      </c>
      <c r="G906" s="11">
        <v>6600.65</v>
      </c>
      <c r="H906" s="11" t="s">
        <v>2623</v>
      </c>
      <c r="I906" s="11" t="s">
        <v>1411</v>
      </c>
      <c r="J906" s="11">
        <v>28</v>
      </c>
      <c r="K906" s="11">
        <v>5156.75</v>
      </c>
      <c r="L906" s="11">
        <v>0</v>
      </c>
      <c r="M906" s="11">
        <v>721.95</v>
      </c>
      <c r="N906" s="11">
        <v>721.95</v>
      </c>
      <c r="O906" s="11">
        <v>0</v>
      </c>
      <c r="P906" s="11" t="s">
        <v>2624</v>
      </c>
    </row>
    <row r="907" spans="1:16" x14ac:dyDescent="0.2">
      <c r="A907" s="52">
        <v>43678</v>
      </c>
      <c r="B907" s="11" t="s">
        <v>555</v>
      </c>
      <c r="C907" s="11" t="s">
        <v>2762</v>
      </c>
      <c r="D907" s="11" t="s">
        <v>3513</v>
      </c>
      <c r="E907" s="11" t="s">
        <v>2621</v>
      </c>
      <c r="F907" s="11" t="s">
        <v>3475</v>
      </c>
      <c r="G907" s="11">
        <v>6346.88</v>
      </c>
      <c r="H907" s="11" t="s">
        <v>2623</v>
      </c>
      <c r="I907" s="11" t="s">
        <v>1411</v>
      </c>
      <c r="J907" s="11">
        <v>28</v>
      </c>
      <c r="K907" s="11">
        <v>4958.5</v>
      </c>
      <c r="L907" s="11">
        <v>0</v>
      </c>
      <c r="M907" s="11">
        <v>694.19</v>
      </c>
      <c r="N907" s="11">
        <v>694.19</v>
      </c>
      <c r="O907" s="11">
        <v>0</v>
      </c>
      <c r="P907" s="11" t="s">
        <v>2624</v>
      </c>
    </row>
    <row r="908" spans="1:16" x14ac:dyDescent="0.2">
      <c r="A908" s="52">
        <v>43678</v>
      </c>
      <c r="B908" s="11" t="s">
        <v>555</v>
      </c>
      <c r="C908" s="11" t="s">
        <v>2762</v>
      </c>
      <c r="D908" s="11" t="s">
        <v>3514</v>
      </c>
      <c r="E908" s="11" t="s">
        <v>2621</v>
      </c>
      <c r="F908" s="11" t="s">
        <v>3438</v>
      </c>
      <c r="G908" s="11">
        <v>8408.06</v>
      </c>
      <c r="H908" s="11" t="s">
        <v>2623</v>
      </c>
      <c r="I908" s="11" t="s">
        <v>1411</v>
      </c>
      <c r="J908" s="11">
        <v>28</v>
      </c>
      <c r="K908" s="11">
        <v>6568.8</v>
      </c>
      <c r="L908" s="11">
        <v>0</v>
      </c>
      <c r="M908" s="11">
        <v>919.63</v>
      </c>
      <c r="N908" s="11">
        <v>919.63</v>
      </c>
      <c r="O908" s="11">
        <v>0</v>
      </c>
      <c r="P908" s="11" t="s">
        <v>2624</v>
      </c>
    </row>
    <row r="909" spans="1:16" x14ac:dyDescent="0.2">
      <c r="A909" s="52">
        <v>43678</v>
      </c>
      <c r="B909" s="11" t="s">
        <v>555</v>
      </c>
      <c r="C909" s="11" t="s">
        <v>2762</v>
      </c>
      <c r="D909" s="11" t="s">
        <v>3515</v>
      </c>
      <c r="E909" s="11" t="s">
        <v>2621</v>
      </c>
      <c r="F909" s="11" t="s">
        <v>3439</v>
      </c>
      <c r="G909" s="11">
        <v>15321.6</v>
      </c>
      <c r="H909" s="11" t="s">
        <v>2623</v>
      </c>
      <c r="I909" s="11" t="s">
        <v>1411</v>
      </c>
      <c r="J909" s="11">
        <v>28</v>
      </c>
      <c r="K909" s="11">
        <v>11970</v>
      </c>
      <c r="L909" s="11">
        <v>0</v>
      </c>
      <c r="M909" s="11">
        <v>1675.8</v>
      </c>
      <c r="N909" s="11">
        <v>1675.8</v>
      </c>
      <c r="O909" s="11">
        <v>0</v>
      </c>
      <c r="P909" s="11" t="s">
        <v>2624</v>
      </c>
    </row>
    <row r="910" spans="1:16" x14ac:dyDescent="0.2">
      <c r="A910" s="52">
        <v>43678</v>
      </c>
      <c r="B910" s="11" t="s">
        <v>555</v>
      </c>
      <c r="C910" s="11" t="s">
        <v>2762</v>
      </c>
      <c r="D910" s="11" t="s">
        <v>3516</v>
      </c>
      <c r="E910" s="11" t="s">
        <v>2621</v>
      </c>
      <c r="F910" s="11" t="s">
        <v>3406</v>
      </c>
      <c r="G910" s="11">
        <v>13305.6</v>
      </c>
      <c r="H910" s="11" t="s">
        <v>2623</v>
      </c>
      <c r="I910" s="11" t="s">
        <v>1411</v>
      </c>
      <c r="J910" s="11">
        <v>28</v>
      </c>
      <c r="K910" s="11">
        <v>10395</v>
      </c>
      <c r="L910" s="11">
        <v>0</v>
      </c>
      <c r="M910" s="11">
        <v>1455.3</v>
      </c>
      <c r="N910" s="11">
        <v>1455.3</v>
      </c>
      <c r="O910" s="11">
        <v>0</v>
      </c>
      <c r="P910" s="11" t="s">
        <v>2624</v>
      </c>
    </row>
    <row r="911" spans="1:16" x14ac:dyDescent="0.2">
      <c r="A911" s="52">
        <v>43678</v>
      </c>
      <c r="B911" s="11" t="s">
        <v>555</v>
      </c>
      <c r="C911" s="11" t="s">
        <v>2762</v>
      </c>
      <c r="D911" s="11" t="s">
        <v>3517</v>
      </c>
      <c r="E911" s="11" t="s">
        <v>2621</v>
      </c>
      <c r="F911" s="11" t="s">
        <v>3406</v>
      </c>
      <c r="G911" s="11">
        <v>11692.8</v>
      </c>
      <c r="H911" s="11" t="s">
        <v>2623</v>
      </c>
      <c r="I911" s="11" t="s">
        <v>1411</v>
      </c>
      <c r="J911" s="11">
        <v>28</v>
      </c>
      <c r="K911" s="11">
        <v>9135</v>
      </c>
      <c r="L911" s="11">
        <v>0</v>
      </c>
      <c r="M911" s="11">
        <v>1278.9000000000001</v>
      </c>
      <c r="N911" s="11">
        <v>1278.9000000000001</v>
      </c>
      <c r="O911" s="11">
        <v>0</v>
      </c>
      <c r="P911" s="11" t="s">
        <v>2624</v>
      </c>
    </row>
    <row r="912" spans="1:16" x14ac:dyDescent="0.2">
      <c r="A912" s="52">
        <v>43678</v>
      </c>
      <c r="B912" s="11" t="s">
        <v>555</v>
      </c>
      <c r="C912" s="11" t="s">
        <v>2762</v>
      </c>
      <c r="D912" s="11" t="s">
        <v>3518</v>
      </c>
      <c r="E912" s="11" t="s">
        <v>2621</v>
      </c>
      <c r="F912" s="11" t="s">
        <v>3400</v>
      </c>
      <c r="G912" s="11">
        <v>8064</v>
      </c>
      <c r="H912" s="11" t="s">
        <v>2623</v>
      </c>
      <c r="I912" s="11" t="s">
        <v>1411</v>
      </c>
      <c r="J912" s="11">
        <v>28</v>
      </c>
      <c r="K912" s="11">
        <v>6300</v>
      </c>
      <c r="L912" s="11">
        <v>0</v>
      </c>
      <c r="M912" s="11">
        <v>882</v>
      </c>
      <c r="N912" s="11">
        <v>882</v>
      </c>
      <c r="O912" s="11">
        <v>0</v>
      </c>
      <c r="P912" s="11" t="s">
        <v>2624</v>
      </c>
    </row>
    <row r="913" spans="1:16" x14ac:dyDescent="0.2">
      <c r="A913" s="52">
        <v>43678</v>
      </c>
      <c r="B913" s="11" t="s">
        <v>555</v>
      </c>
      <c r="C913" s="11" t="s">
        <v>2762</v>
      </c>
      <c r="D913" s="11" t="s">
        <v>3519</v>
      </c>
      <c r="E913" s="11" t="s">
        <v>2621</v>
      </c>
      <c r="F913" s="11" t="s">
        <v>3443</v>
      </c>
      <c r="G913" s="11">
        <v>8064</v>
      </c>
      <c r="H913" s="11" t="s">
        <v>2623</v>
      </c>
      <c r="I913" s="11" t="s">
        <v>1411</v>
      </c>
      <c r="J913" s="11">
        <v>28</v>
      </c>
      <c r="K913" s="11">
        <v>6300</v>
      </c>
      <c r="L913" s="11">
        <v>0</v>
      </c>
      <c r="M913" s="11">
        <v>882</v>
      </c>
      <c r="N913" s="11">
        <v>882</v>
      </c>
      <c r="O913" s="11">
        <v>0</v>
      </c>
      <c r="P913" s="11" t="s">
        <v>2624</v>
      </c>
    </row>
    <row r="915" spans="1:16" x14ac:dyDescent="0.2">
      <c r="A915" s="52">
        <v>43709</v>
      </c>
      <c r="B915" s="11" t="s">
        <v>976</v>
      </c>
      <c r="C915" s="11" t="s">
        <v>3520</v>
      </c>
      <c r="D915" s="11" t="s">
        <v>3521</v>
      </c>
      <c r="E915" s="11" t="s">
        <v>2621</v>
      </c>
      <c r="F915" s="11" t="s">
        <v>3522</v>
      </c>
      <c r="G915" s="11">
        <v>44368</v>
      </c>
      <c r="H915" s="11" t="s">
        <v>2623</v>
      </c>
      <c r="I915" s="11" t="s">
        <v>1411</v>
      </c>
      <c r="J915" s="11">
        <v>18</v>
      </c>
      <c r="K915" s="11">
        <v>37600</v>
      </c>
      <c r="L915" s="11">
        <v>0</v>
      </c>
      <c r="M915" s="11">
        <v>3384</v>
      </c>
      <c r="N915" s="11">
        <v>3384</v>
      </c>
      <c r="O915" s="11">
        <v>0</v>
      </c>
      <c r="P915" s="11" t="s">
        <v>2624</v>
      </c>
    </row>
    <row r="916" spans="1:16" x14ac:dyDescent="0.2">
      <c r="A916" s="52">
        <v>43709</v>
      </c>
      <c r="B916" s="11" t="s">
        <v>1002</v>
      </c>
      <c r="C916" s="11" t="s">
        <v>3523</v>
      </c>
      <c r="D916" s="11" t="s">
        <v>3524</v>
      </c>
      <c r="E916" s="11" t="s">
        <v>2621</v>
      </c>
      <c r="F916" s="11" t="s">
        <v>3525</v>
      </c>
      <c r="G916" s="11">
        <v>33040</v>
      </c>
      <c r="H916" s="11" t="s">
        <v>2623</v>
      </c>
      <c r="I916" s="11" t="s">
        <v>1411</v>
      </c>
      <c r="J916" s="11">
        <v>18</v>
      </c>
      <c r="K916" s="11">
        <v>28000</v>
      </c>
      <c r="L916" s="11">
        <v>0</v>
      </c>
      <c r="M916" s="11">
        <v>2520</v>
      </c>
      <c r="N916" s="11">
        <v>2520</v>
      </c>
      <c r="O916" s="11">
        <v>0</v>
      </c>
      <c r="P916" s="11" t="s">
        <v>2624</v>
      </c>
    </row>
    <row r="917" spans="1:16" x14ac:dyDescent="0.2">
      <c r="A917" s="52">
        <v>43709</v>
      </c>
      <c r="B917" s="11" t="s">
        <v>3526</v>
      </c>
      <c r="C917" s="11" t="s">
        <v>3527</v>
      </c>
      <c r="D917" s="11" t="s">
        <v>3528</v>
      </c>
      <c r="E917" s="11" t="s">
        <v>2621</v>
      </c>
      <c r="F917" s="11" t="s">
        <v>3210</v>
      </c>
      <c r="G917" s="11">
        <v>2850</v>
      </c>
      <c r="H917" s="11" t="s">
        <v>2623</v>
      </c>
      <c r="I917" s="11" t="s">
        <v>1411</v>
      </c>
      <c r="J917" s="11">
        <v>28</v>
      </c>
      <c r="K917" s="11">
        <v>2227</v>
      </c>
      <c r="L917" s="11">
        <v>0</v>
      </c>
      <c r="M917" s="11">
        <v>311.77999999999997</v>
      </c>
      <c r="N917" s="11">
        <v>311.77999999999997</v>
      </c>
      <c r="O917" s="11">
        <v>0</v>
      </c>
      <c r="P917" s="11" t="s">
        <v>2624</v>
      </c>
    </row>
    <row r="918" spans="1:16" x14ac:dyDescent="0.2">
      <c r="A918" s="52">
        <v>43709</v>
      </c>
      <c r="B918" s="11" t="s">
        <v>477</v>
      </c>
      <c r="C918" s="11" t="s">
        <v>2625</v>
      </c>
      <c r="D918" s="11" t="s">
        <v>958</v>
      </c>
      <c r="E918" s="11" t="s">
        <v>2621</v>
      </c>
      <c r="F918" s="11" t="s">
        <v>3529</v>
      </c>
      <c r="G918" s="11">
        <v>482490</v>
      </c>
      <c r="H918" s="11" t="s">
        <v>2623</v>
      </c>
      <c r="I918" s="11" t="s">
        <v>1411</v>
      </c>
      <c r="J918" s="11">
        <v>28</v>
      </c>
      <c r="K918" s="11">
        <v>376945</v>
      </c>
      <c r="L918" s="11">
        <v>0</v>
      </c>
      <c r="M918" s="11">
        <v>52772.3</v>
      </c>
      <c r="N918" s="11">
        <v>52772.3</v>
      </c>
      <c r="O918" s="11">
        <v>0</v>
      </c>
      <c r="P918" s="11" t="s">
        <v>2624</v>
      </c>
    </row>
    <row r="919" spans="1:16" x14ac:dyDescent="0.2">
      <c r="A919" s="52">
        <v>43709</v>
      </c>
      <c r="B919" s="11" t="s">
        <v>477</v>
      </c>
      <c r="C919" s="11" t="s">
        <v>2625</v>
      </c>
      <c r="D919" s="11" t="s">
        <v>979</v>
      </c>
      <c r="E919" s="11" t="s">
        <v>2621</v>
      </c>
      <c r="F919" s="11" t="s">
        <v>3530</v>
      </c>
      <c r="G919" s="11">
        <v>47967</v>
      </c>
      <c r="H919" s="11" t="s">
        <v>2623</v>
      </c>
      <c r="I919" s="11" t="s">
        <v>1411</v>
      </c>
      <c r="J919" s="11">
        <v>18</v>
      </c>
      <c r="K919" s="11">
        <v>40650</v>
      </c>
      <c r="L919" s="11">
        <v>0</v>
      </c>
      <c r="M919" s="11">
        <v>3658.5</v>
      </c>
      <c r="N919" s="11">
        <v>3658.5</v>
      </c>
      <c r="O919" s="11">
        <v>0</v>
      </c>
      <c r="P919" s="11" t="s">
        <v>2624</v>
      </c>
    </row>
    <row r="920" spans="1:16" x14ac:dyDescent="0.2">
      <c r="A920" s="52">
        <v>43709</v>
      </c>
      <c r="B920" s="11" t="s">
        <v>630</v>
      </c>
      <c r="C920" s="11" t="s">
        <v>2933</v>
      </c>
      <c r="D920" s="11" t="s">
        <v>3531</v>
      </c>
      <c r="E920" s="11" t="s">
        <v>2621</v>
      </c>
      <c r="F920" s="11" t="s">
        <v>3532</v>
      </c>
      <c r="G920" s="11">
        <v>708</v>
      </c>
      <c r="H920" s="11" t="s">
        <v>2623</v>
      </c>
      <c r="I920" s="11" t="s">
        <v>1411</v>
      </c>
      <c r="J920" s="11">
        <v>18</v>
      </c>
      <c r="K920" s="11">
        <v>600</v>
      </c>
      <c r="L920" s="11">
        <v>0</v>
      </c>
      <c r="M920" s="11">
        <v>54</v>
      </c>
      <c r="N920" s="11">
        <v>54</v>
      </c>
      <c r="O920" s="11">
        <v>0</v>
      </c>
      <c r="P920" s="11" t="s">
        <v>3256</v>
      </c>
    </row>
    <row r="921" spans="1:16" x14ac:dyDescent="0.2">
      <c r="A921" s="52">
        <v>43709</v>
      </c>
      <c r="B921" s="11" t="s">
        <v>901</v>
      </c>
      <c r="C921" s="11" t="s">
        <v>3533</v>
      </c>
      <c r="D921" s="11" t="s">
        <v>3534</v>
      </c>
      <c r="E921" s="11" t="s">
        <v>2621</v>
      </c>
      <c r="F921" s="11" t="s">
        <v>3436</v>
      </c>
      <c r="G921" s="11">
        <v>23806.5</v>
      </c>
      <c r="H921" s="11" t="s">
        <v>2623</v>
      </c>
      <c r="I921" s="11" t="s">
        <v>1411</v>
      </c>
      <c r="J921" s="11">
        <v>18</v>
      </c>
      <c r="K921" s="11">
        <v>20175</v>
      </c>
      <c r="L921" s="11">
        <v>0</v>
      </c>
      <c r="M921" s="11">
        <v>1815.75</v>
      </c>
      <c r="N921" s="11">
        <v>1815.75</v>
      </c>
      <c r="O921" s="11">
        <v>0</v>
      </c>
      <c r="P921" s="11" t="s">
        <v>2624</v>
      </c>
    </row>
    <row r="922" spans="1:16" x14ac:dyDescent="0.2">
      <c r="A922" s="52">
        <v>43709</v>
      </c>
      <c r="B922" s="11" t="s">
        <v>901</v>
      </c>
      <c r="C922" s="11" t="s">
        <v>3533</v>
      </c>
      <c r="D922" s="11" t="s">
        <v>3535</v>
      </c>
      <c r="E922" s="11" t="s">
        <v>2621</v>
      </c>
      <c r="F922" s="11" t="s">
        <v>3536</v>
      </c>
      <c r="G922" s="11">
        <v>6106.5</v>
      </c>
      <c r="H922" s="11" t="s">
        <v>2623</v>
      </c>
      <c r="I922" s="11" t="s">
        <v>1411</v>
      </c>
      <c r="J922" s="11">
        <v>18</v>
      </c>
      <c r="K922" s="11">
        <v>5175</v>
      </c>
      <c r="L922" s="11">
        <v>0</v>
      </c>
      <c r="M922" s="11">
        <v>465.75</v>
      </c>
      <c r="N922" s="11">
        <v>465.75</v>
      </c>
      <c r="O922" s="11">
        <v>0</v>
      </c>
      <c r="P922" s="11" t="s">
        <v>2624</v>
      </c>
    </row>
    <row r="923" spans="1:16" x14ac:dyDescent="0.2">
      <c r="A923" s="52">
        <v>43709</v>
      </c>
      <c r="B923" s="11" t="s">
        <v>592</v>
      </c>
      <c r="C923" s="11" t="s">
        <v>2637</v>
      </c>
      <c r="D923" s="11" t="s">
        <v>3537</v>
      </c>
      <c r="E923" s="11" t="s">
        <v>2621</v>
      </c>
      <c r="F923" s="11" t="s">
        <v>3538</v>
      </c>
      <c r="G923" s="11">
        <v>154096</v>
      </c>
      <c r="H923" s="11" t="s">
        <v>2623</v>
      </c>
      <c r="I923" s="11" t="s">
        <v>1411</v>
      </c>
      <c r="J923" s="11">
        <v>18</v>
      </c>
      <c r="K923" s="11">
        <v>130589.8</v>
      </c>
      <c r="L923" s="11">
        <v>0</v>
      </c>
      <c r="M923" s="11">
        <v>11753.08</v>
      </c>
      <c r="N923" s="11">
        <v>11753.08</v>
      </c>
      <c r="O923" s="11">
        <v>0</v>
      </c>
      <c r="P923" s="11" t="s">
        <v>2624</v>
      </c>
    </row>
    <row r="924" spans="1:16" x14ac:dyDescent="0.2">
      <c r="A924" s="52">
        <v>43709</v>
      </c>
      <c r="B924" s="11" t="s">
        <v>602</v>
      </c>
      <c r="C924" s="11" t="s">
        <v>2781</v>
      </c>
      <c r="D924" s="11" t="s">
        <v>3539</v>
      </c>
      <c r="E924" s="11" t="s">
        <v>2621</v>
      </c>
      <c r="F924" s="11" t="s">
        <v>3540</v>
      </c>
      <c r="G924" s="11">
        <v>59938.559999999998</v>
      </c>
      <c r="H924" s="11" t="s">
        <v>2623</v>
      </c>
      <c r="I924" s="11" t="s">
        <v>1411</v>
      </c>
      <c r="J924" s="11">
        <v>28</v>
      </c>
      <c r="K924" s="11">
        <v>46827</v>
      </c>
      <c r="L924" s="11">
        <v>0</v>
      </c>
      <c r="M924" s="11">
        <v>6555.78</v>
      </c>
      <c r="N924" s="11">
        <v>6555.78</v>
      </c>
      <c r="O924" s="11">
        <v>0</v>
      </c>
      <c r="P924" s="11" t="s">
        <v>2624</v>
      </c>
    </row>
    <row r="925" spans="1:16" x14ac:dyDescent="0.2">
      <c r="A925" s="52">
        <v>43709</v>
      </c>
      <c r="B925" s="11" t="s">
        <v>602</v>
      </c>
      <c r="C925" s="11" t="s">
        <v>2781</v>
      </c>
      <c r="D925" s="11" t="s">
        <v>3541</v>
      </c>
      <c r="E925" s="11" t="s">
        <v>2621</v>
      </c>
      <c r="F925" s="11" t="s">
        <v>3542</v>
      </c>
      <c r="G925" s="11">
        <v>34873.339999999997</v>
      </c>
      <c r="H925" s="11" t="s">
        <v>2623</v>
      </c>
      <c r="I925" s="11" t="s">
        <v>1411</v>
      </c>
      <c r="J925" s="11">
        <v>28</v>
      </c>
      <c r="K925" s="11">
        <v>27244.799999999999</v>
      </c>
      <c r="L925" s="11">
        <v>0</v>
      </c>
      <c r="M925" s="11">
        <v>3814.27</v>
      </c>
      <c r="N925" s="11">
        <v>3814.27</v>
      </c>
      <c r="O925" s="11">
        <v>0</v>
      </c>
      <c r="P925" s="11" t="s">
        <v>2624</v>
      </c>
    </row>
    <row r="926" spans="1:16" x14ac:dyDescent="0.2">
      <c r="A926" s="52">
        <v>43709</v>
      </c>
      <c r="B926" s="11" t="s">
        <v>602</v>
      </c>
      <c r="C926" s="11" t="s">
        <v>2781</v>
      </c>
      <c r="D926" s="11" t="s">
        <v>3543</v>
      </c>
      <c r="E926" s="11" t="s">
        <v>2621</v>
      </c>
      <c r="F926" s="11" t="s">
        <v>3542</v>
      </c>
      <c r="G926" s="11">
        <v>32569.34</v>
      </c>
      <c r="H926" s="11" t="s">
        <v>2623</v>
      </c>
      <c r="I926" s="11" t="s">
        <v>1411</v>
      </c>
      <c r="J926" s="11">
        <v>28</v>
      </c>
      <c r="K926" s="11">
        <v>25444.799999999999</v>
      </c>
      <c r="L926" s="11">
        <v>0</v>
      </c>
      <c r="M926" s="11">
        <v>3562.27</v>
      </c>
      <c r="N926" s="11">
        <v>3562.27</v>
      </c>
      <c r="O926" s="11">
        <v>0</v>
      </c>
      <c r="P926" s="11" t="s">
        <v>2624</v>
      </c>
    </row>
    <row r="927" spans="1:16" x14ac:dyDescent="0.2">
      <c r="A927" s="52">
        <v>43709</v>
      </c>
      <c r="B927" s="11" t="s">
        <v>602</v>
      </c>
      <c r="C927" s="11" t="s">
        <v>2781</v>
      </c>
      <c r="D927" s="11" t="s">
        <v>3544</v>
      </c>
      <c r="E927" s="11" t="s">
        <v>2621</v>
      </c>
      <c r="F927" s="11" t="s">
        <v>3545</v>
      </c>
      <c r="G927" s="11">
        <v>17436.68</v>
      </c>
      <c r="H927" s="11" t="s">
        <v>2623</v>
      </c>
      <c r="I927" s="11" t="s">
        <v>1411</v>
      </c>
      <c r="J927" s="11">
        <v>28</v>
      </c>
      <c r="K927" s="11">
        <v>13622.4</v>
      </c>
      <c r="L927" s="11">
        <v>0</v>
      </c>
      <c r="M927" s="11">
        <v>1907.14</v>
      </c>
      <c r="N927" s="11">
        <v>1907.14</v>
      </c>
      <c r="O927" s="11">
        <v>0</v>
      </c>
      <c r="P927" s="11" t="s">
        <v>2624</v>
      </c>
    </row>
    <row r="928" spans="1:16" x14ac:dyDescent="0.2">
      <c r="A928" s="52">
        <v>43709</v>
      </c>
      <c r="B928" s="11" t="s">
        <v>602</v>
      </c>
      <c r="C928" s="11" t="s">
        <v>2781</v>
      </c>
      <c r="D928" s="11" t="s">
        <v>3546</v>
      </c>
      <c r="E928" s="11" t="s">
        <v>2621</v>
      </c>
      <c r="F928" s="11" t="s">
        <v>3545</v>
      </c>
      <c r="G928" s="11">
        <v>34283.519999999997</v>
      </c>
      <c r="H928" s="11" t="s">
        <v>2623</v>
      </c>
      <c r="I928" s="11" t="s">
        <v>1411</v>
      </c>
      <c r="J928" s="11">
        <v>28</v>
      </c>
      <c r="K928" s="11">
        <v>26784</v>
      </c>
      <c r="L928" s="11">
        <v>0</v>
      </c>
      <c r="M928" s="11">
        <v>3749.76</v>
      </c>
      <c r="N928" s="11">
        <v>3749.76</v>
      </c>
      <c r="O928" s="11">
        <v>0</v>
      </c>
      <c r="P928" s="11" t="s">
        <v>2624</v>
      </c>
    </row>
    <row r="929" spans="1:16" x14ac:dyDescent="0.2">
      <c r="A929" s="52">
        <v>43709</v>
      </c>
      <c r="B929" s="11" t="s">
        <v>602</v>
      </c>
      <c r="C929" s="11" t="s">
        <v>2781</v>
      </c>
      <c r="D929" s="11" t="s">
        <v>3547</v>
      </c>
      <c r="E929" s="11" t="s">
        <v>2621</v>
      </c>
      <c r="F929" s="11" t="s">
        <v>3538</v>
      </c>
      <c r="G929" s="11">
        <v>44568.58</v>
      </c>
      <c r="H929" s="11" t="s">
        <v>2623</v>
      </c>
      <c r="I929" s="11" t="s">
        <v>1411</v>
      </c>
      <c r="J929" s="11">
        <v>28</v>
      </c>
      <c r="K929" s="11">
        <v>34819.199999999997</v>
      </c>
      <c r="L929" s="11">
        <v>0</v>
      </c>
      <c r="M929" s="11">
        <v>4874.6899999999996</v>
      </c>
      <c r="N929" s="11">
        <v>4874.6899999999996</v>
      </c>
      <c r="O929" s="11">
        <v>0</v>
      </c>
      <c r="P929" s="11" t="s">
        <v>2624</v>
      </c>
    </row>
    <row r="930" spans="1:16" x14ac:dyDescent="0.2">
      <c r="A930" s="52">
        <v>43709</v>
      </c>
      <c r="B930" s="11" t="s">
        <v>602</v>
      </c>
      <c r="C930" s="11" t="s">
        <v>2781</v>
      </c>
      <c r="D930" s="11" t="s">
        <v>3548</v>
      </c>
      <c r="E930" s="11" t="s">
        <v>2621</v>
      </c>
      <c r="F930" s="11" t="s">
        <v>3538</v>
      </c>
      <c r="G930" s="11">
        <v>21795.84</v>
      </c>
      <c r="H930" s="11" t="s">
        <v>2623</v>
      </c>
      <c r="I930" s="11" t="s">
        <v>1411</v>
      </c>
      <c r="J930" s="11">
        <v>28</v>
      </c>
      <c r="K930" s="11">
        <v>17028</v>
      </c>
      <c r="L930" s="11">
        <v>0</v>
      </c>
      <c r="M930" s="11">
        <v>2383.92</v>
      </c>
      <c r="N930" s="11">
        <v>2383.92</v>
      </c>
      <c r="O930" s="11">
        <v>0</v>
      </c>
      <c r="P930" s="11" t="s">
        <v>2624</v>
      </c>
    </row>
    <row r="931" spans="1:16" x14ac:dyDescent="0.2">
      <c r="A931" s="52">
        <v>43709</v>
      </c>
      <c r="B931" s="11" t="s">
        <v>602</v>
      </c>
      <c r="C931" s="11" t="s">
        <v>2781</v>
      </c>
      <c r="D931" s="11" t="s">
        <v>3549</v>
      </c>
      <c r="E931" s="11" t="s">
        <v>2621</v>
      </c>
      <c r="F931" s="11" t="s">
        <v>3550</v>
      </c>
      <c r="G931" s="11">
        <v>54489.599999999999</v>
      </c>
      <c r="H931" s="11" t="s">
        <v>2623</v>
      </c>
      <c r="I931" s="11" t="s">
        <v>1411</v>
      </c>
      <c r="J931" s="11">
        <v>28</v>
      </c>
      <c r="K931" s="11">
        <v>42570</v>
      </c>
      <c r="L931" s="11">
        <v>0</v>
      </c>
      <c r="M931" s="11">
        <v>5959.8</v>
      </c>
      <c r="N931" s="11">
        <v>5959.8</v>
      </c>
      <c r="O931" s="11">
        <v>0</v>
      </c>
      <c r="P931" s="11" t="s">
        <v>2624</v>
      </c>
    </row>
    <row r="932" spans="1:16" x14ac:dyDescent="0.2">
      <c r="A932" s="52">
        <v>43709</v>
      </c>
      <c r="B932" s="11" t="s">
        <v>602</v>
      </c>
      <c r="C932" s="11" t="s">
        <v>2781</v>
      </c>
      <c r="D932" s="11" t="s">
        <v>3551</v>
      </c>
      <c r="E932" s="11" t="s">
        <v>2621</v>
      </c>
      <c r="F932" s="11" t="s">
        <v>3552</v>
      </c>
      <c r="G932" s="11">
        <v>59938.559999999998</v>
      </c>
      <c r="H932" s="11" t="s">
        <v>2623</v>
      </c>
      <c r="I932" s="11" t="s">
        <v>1411</v>
      </c>
      <c r="J932" s="11">
        <v>28</v>
      </c>
      <c r="K932" s="11">
        <v>46827</v>
      </c>
      <c r="L932" s="11">
        <v>0</v>
      </c>
      <c r="M932" s="11">
        <v>6555.78</v>
      </c>
      <c r="N932" s="11">
        <v>6555.78</v>
      </c>
      <c r="O932" s="11">
        <v>0</v>
      </c>
      <c r="P932" s="11" t="s">
        <v>2624</v>
      </c>
    </row>
    <row r="933" spans="1:16" x14ac:dyDescent="0.2">
      <c r="A933" s="52">
        <v>43709</v>
      </c>
      <c r="B933" s="11" t="s">
        <v>602</v>
      </c>
      <c r="C933" s="11" t="s">
        <v>2781</v>
      </c>
      <c r="D933" s="11" t="s">
        <v>3553</v>
      </c>
      <c r="E933" s="11" t="s">
        <v>2621</v>
      </c>
      <c r="F933" s="11" t="s">
        <v>3525</v>
      </c>
      <c r="G933" s="11">
        <v>53139.46</v>
      </c>
      <c r="H933" s="11" t="s">
        <v>2623</v>
      </c>
      <c r="I933" s="11" t="s">
        <v>1411</v>
      </c>
      <c r="J933" s="11">
        <v>28</v>
      </c>
      <c r="K933" s="11">
        <v>41515.199999999997</v>
      </c>
      <c r="L933" s="11">
        <v>0</v>
      </c>
      <c r="M933" s="11">
        <v>5812.13</v>
      </c>
      <c r="N933" s="11">
        <v>5812.13</v>
      </c>
      <c r="O933" s="11">
        <v>0</v>
      </c>
      <c r="P933" s="11" t="s">
        <v>2624</v>
      </c>
    </row>
    <row r="934" spans="1:16" x14ac:dyDescent="0.2">
      <c r="A934" s="52">
        <v>43709</v>
      </c>
      <c r="B934" s="11" t="s">
        <v>602</v>
      </c>
      <c r="C934" s="11" t="s">
        <v>2781</v>
      </c>
      <c r="D934" s="11" t="s">
        <v>3554</v>
      </c>
      <c r="E934" s="11" t="s">
        <v>2621</v>
      </c>
      <c r="F934" s="11" t="s">
        <v>3525</v>
      </c>
      <c r="G934" s="11">
        <v>26155</v>
      </c>
      <c r="H934" s="11" t="s">
        <v>2623</v>
      </c>
      <c r="I934" s="11" t="s">
        <v>1411</v>
      </c>
      <c r="J934" s="11">
        <v>28</v>
      </c>
      <c r="K934" s="11">
        <v>20433.599999999999</v>
      </c>
      <c r="L934" s="11">
        <v>0</v>
      </c>
      <c r="M934" s="11">
        <v>2860.7</v>
      </c>
      <c r="N934" s="11">
        <v>2860.7</v>
      </c>
      <c r="O934" s="11">
        <v>0</v>
      </c>
      <c r="P934" s="11" t="s">
        <v>2624</v>
      </c>
    </row>
    <row r="935" spans="1:16" x14ac:dyDescent="0.2">
      <c r="A935" s="52">
        <v>43709</v>
      </c>
      <c r="B935" s="11" t="s">
        <v>562</v>
      </c>
      <c r="C935" s="11" t="s">
        <v>2962</v>
      </c>
      <c r="D935" s="11" t="s">
        <v>938</v>
      </c>
      <c r="E935" s="11" t="s">
        <v>2621</v>
      </c>
      <c r="F935" s="11" t="s">
        <v>3439</v>
      </c>
      <c r="G935" s="11">
        <v>11121.5</v>
      </c>
      <c r="H935" s="11" t="s">
        <v>2623</v>
      </c>
      <c r="I935" s="11" t="s">
        <v>1411</v>
      </c>
      <c r="J935" s="11">
        <v>18</v>
      </c>
      <c r="K935" s="11">
        <v>9425</v>
      </c>
      <c r="L935" s="11">
        <v>0</v>
      </c>
      <c r="M935" s="11">
        <v>848.25</v>
      </c>
      <c r="N935" s="11">
        <v>848.25</v>
      </c>
      <c r="O935" s="11">
        <v>0</v>
      </c>
      <c r="P935" s="11" t="s">
        <v>3256</v>
      </c>
    </row>
    <row r="936" spans="1:16" x14ac:dyDescent="0.2">
      <c r="A936" s="52">
        <v>43709</v>
      </c>
      <c r="B936" s="11" t="s">
        <v>519</v>
      </c>
      <c r="C936" s="11" t="s">
        <v>2639</v>
      </c>
      <c r="D936" s="11" t="s">
        <v>966</v>
      </c>
      <c r="E936" s="11" t="s">
        <v>2621</v>
      </c>
      <c r="F936" s="11" t="s">
        <v>3550</v>
      </c>
      <c r="G936" s="11">
        <v>5659.28</v>
      </c>
      <c r="H936" s="11" t="s">
        <v>2623</v>
      </c>
      <c r="I936" s="11" t="s">
        <v>1411</v>
      </c>
      <c r="J936" s="11">
        <v>18</v>
      </c>
      <c r="K936" s="11">
        <v>4796</v>
      </c>
      <c r="L936" s="11">
        <v>0</v>
      </c>
      <c r="M936" s="11">
        <v>431.64</v>
      </c>
      <c r="N936" s="11">
        <v>431.64</v>
      </c>
      <c r="O936" s="11">
        <v>0</v>
      </c>
      <c r="P936" s="11" t="s">
        <v>2624</v>
      </c>
    </row>
    <row r="937" spans="1:16" x14ac:dyDescent="0.2">
      <c r="A937" s="52">
        <v>43709</v>
      </c>
      <c r="B937" s="11" t="s">
        <v>528</v>
      </c>
      <c r="C937" s="11" t="s">
        <v>2641</v>
      </c>
      <c r="D937" s="11" t="s">
        <v>3555</v>
      </c>
      <c r="E937" s="11" t="s">
        <v>2621</v>
      </c>
      <c r="F937" s="11" t="s">
        <v>3556</v>
      </c>
      <c r="G937" s="11">
        <v>37722</v>
      </c>
      <c r="H937" s="11" t="s">
        <v>2623</v>
      </c>
      <c r="I937" s="11" t="s">
        <v>1411</v>
      </c>
      <c r="J937" s="11">
        <v>18</v>
      </c>
      <c r="K937" s="11">
        <v>31968</v>
      </c>
      <c r="L937" s="11">
        <v>0</v>
      </c>
      <c r="M937" s="11">
        <v>2877.12</v>
      </c>
      <c r="N937" s="11">
        <v>2877.12</v>
      </c>
      <c r="O937" s="11">
        <v>0</v>
      </c>
      <c r="P937" s="11" t="s">
        <v>2624</v>
      </c>
    </row>
    <row r="938" spans="1:16" x14ac:dyDescent="0.2">
      <c r="A938" s="52">
        <v>43709</v>
      </c>
      <c r="B938" s="11" t="s">
        <v>41</v>
      </c>
      <c r="C938" s="11" t="s">
        <v>2643</v>
      </c>
      <c r="D938" s="11" t="s">
        <v>956</v>
      </c>
      <c r="E938" s="11" t="s">
        <v>2621</v>
      </c>
      <c r="F938" s="11" t="s">
        <v>3545</v>
      </c>
      <c r="G938" s="11">
        <v>10259.200000000001</v>
      </c>
      <c r="H938" s="11" t="s">
        <v>2623</v>
      </c>
      <c r="I938" s="11" t="s">
        <v>1411</v>
      </c>
      <c r="J938" s="11">
        <v>28</v>
      </c>
      <c r="K938" s="11">
        <v>8015</v>
      </c>
      <c r="L938" s="11">
        <v>0</v>
      </c>
      <c r="M938" s="11">
        <v>1122</v>
      </c>
      <c r="N938" s="11">
        <v>1122</v>
      </c>
      <c r="O938" s="11">
        <v>0</v>
      </c>
      <c r="P938" s="11" t="s">
        <v>2624</v>
      </c>
    </row>
    <row r="939" spans="1:16" x14ac:dyDescent="0.2">
      <c r="A939" s="52">
        <v>43709</v>
      </c>
      <c r="B939" s="11" t="s">
        <v>41</v>
      </c>
      <c r="C939" s="11" t="s">
        <v>2643</v>
      </c>
      <c r="D939" s="11" t="s">
        <v>957</v>
      </c>
      <c r="E939" s="11" t="s">
        <v>2621</v>
      </c>
      <c r="F939" s="11" t="s">
        <v>3545</v>
      </c>
      <c r="G939" s="11">
        <v>11679.22</v>
      </c>
      <c r="H939" s="11" t="s">
        <v>2623</v>
      </c>
      <c r="I939" s="11" t="s">
        <v>1411</v>
      </c>
      <c r="J939" s="11">
        <v>28</v>
      </c>
      <c r="K939" s="11">
        <v>9124.4</v>
      </c>
      <c r="L939" s="11">
        <v>0</v>
      </c>
      <c r="M939" s="11">
        <v>1278</v>
      </c>
      <c r="N939" s="11">
        <v>1278</v>
      </c>
      <c r="O939" s="11">
        <v>0</v>
      </c>
      <c r="P939" s="11" t="s">
        <v>2624</v>
      </c>
    </row>
    <row r="940" spans="1:16" x14ac:dyDescent="0.2">
      <c r="A940" s="52">
        <v>43709</v>
      </c>
      <c r="B940" s="11" t="s">
        <v>41</v>
      </c>
      <c r="C940" s="11" t="s">
        <v>2643</v>
      </c>
      <c r="D940" s="11" t="s">
        <v>962</v>
      </c>
      <c r="E940" s="11" t="s">
        <v>2621</v>
      </c>
      <c r="F940" s="11" t="s">
        <v>3557</v>
      </c>
      <c r="G940" s="11">
        <v>7254.65</v>
      </c>
      <c r="H940" s="11" t="s">
        <v>2623</v>
      </c>
      <c r="I940" s="11" t="s">
        <v>1411</v>
      </c>
      <c r="J940" s="11">
        <v>28</v>
      </c>
      <c r="K940" s="11">
        <v>5667.69</v>
      </c>
      <c r="L940" s="11">
        <v>0</v>
      </c>
      <c r="M940" s="11">
        <v>794</v>
      </c>
      <c r="N940" s="11">
        <v>794</v>
      </c>
      <c r="O940" s="11">
        <v>0</v>
      </c>
      <c r="P940" s="11" t="s">
        <v>2624</v>
      </c>
    </row>
    <row r="941" spans="1:16" x14ac:dyDescent="0.2">
      <c r="A941" s="52">
        <v>43709</v>
      </c>
      <c r="B941" s="11" t="s">
        <v>41</v>
      </c>
      <c r="C941" s="11" t="s">
        <v>2643</v>
      </c>
      <c r="D941" s="11" t="s">
        <v>974</v>
      </c>
      <c r="E941" s="11" t="s">
        <v>2621</v>
      </c>
      <c r="F941" s="11" t="s">
        <v>3558</v>
      </c>
      <c r="G941" s="11">
        <v>10644.03</v>
      </c>
      <c r="H941" s="11" t="s">
        <v>2623</v>
      </c>
      <c r="I941" s="11" t="s">
        <v>1411</v>
      </c>
      <c r="J941" s="11">
        <v>28</v>
      </c>
      <c r="K941" s="11">
        <v>8315.65</v>
      </c>
      <c r="L941" s="11">
        <v>0</v>
      </c>
      <c r="M941" s="11">
        <v>1165</v>
      </c>
      <c r="N941" s="11">
        <v>1165</v>
      </c>
      <c r="O941" s="11">
        <v>0</v>
      </c>
      <c r="P941" s="11" t="s">
        <v>2624</v>
      </c>
    </row>
    <row r="942" spans="1:16" x14ac:dyDescent="0.2">
      <c r="A942" s="52">
        <v>43709</v>
      </c>
      <c r="B942" s="11" t="s">
        <v>41</v>
      </c>
      <c r="C942" s="11" t="s">
        <v>2643</v>
      </c>
      <c r="D942" s="11" t="s">
        <v>985</v>
      </c>
      <c r="E942" s="11" t="s">
        <v>2621</v>
      </c>
      <c r="F942" s="11" t="s">
        <v>3559</v>
      </c>
      <c r="G942" s="11">
        <v>11490.3</v>
      </c>
      <c r="H942" s="11" t="s">
        <v>2623</v>
      </c>
      <c r="I942" s="11" t="s">
        <v>1411</v>
      </c>
      <c r="J942" s="11">
        <v>28</v>
      </c>
      <c r="K942" s="11">
        <v>8976.7999999999993</v>
      </c>
      <c r="L942" s="11">
        <v>0</v>
      </c>
      <c r="M942" s="11">
        <v>1257</v>
      </c>
      <c r="N942" s="11">
        <v>1257</v>
      </c>
      <c r="O942" s="11">
        <v>0</v>
      </c>
      <c r="P942" s="11" t="s">
        <v>2624</v>
      </c>
    </row>
    <row r="943" spans="1:16" x14ac:dyDescent="0.2">
      <c r="A943" s="52">
        <v>43709</v>
      </c>
      <c r="B943" s="11" t="s">
        <v>41</v>
      </c>
      <c r="C943" s="11" t="s">
        <v>2643</v>
      </c>
      <c r="D943" s="11" t="s">
        <v>986</v>
      </c>
      <c r="E943" s="11" t="s">
        <v>2621</v>
      </c>
      <c r="F943" s="11" t="s">
        <v>3559</v>
      </c>
      <c r="G943" s="11">
        <v>6746.37</v>
      </c>
      <c r="H943" s="11" t="s">
        <v>2623</v>
      </c>
      <c r="I943" s="11" t="s">
        <v>1411</v>
      </c>
      <c r="J943" s="11">
        <v>28</v>
      </c>
      <c r="K943" s="11">
        <v>5270.61</v>
      </c>
      <c r="L943" s="11">
        <v>0</v>
      </c>
      <c r="M943" s="11">
        <v>738</v>
      </c>
      <c r="N943" s="11">
        <v>738</v>
      </c>
      <c r="O943" s="11">
        <v>0</v>
      </c>
      <c r="P943" s="11" t="s">
        <v>2624</v>
      </c>
    </row>
    <row r="944" spans="1:16" x14ac:dyDescent="0.2">
      <c r="A944" s="52">
        <v>43709</v>
      </c>
      <c r="B944" s="11" t="s">
        <v>41</v>
      </c>
      <c r="C944" s="11" t="s">
        <v>2643</v>
      </c>
      <c r="D944" s="11" t="s">
        <v>988</v>
      </c>
      <c r="E944" s="11" t="s">
        <v>2621</v>
      </c>
      <c r="F944" s="11" t="s">
        <v>3532</v>
      </c>
      <c r="G944" s="11">
        <v>8207.36</v>
      </c>
      <c r="H944" s="11" t="s">
        <v>2623</v>
      </c>
      <c r="I944" s="11" t="s">
        <v>1411</v>
      </c>
      <c r="J944" s="11">
        <v>28</v>
      </c>
      <c r="K944" s="11">
        <v>6412</v>
      </c>
      <c r="L944" s="11">
        <v>0</v>
      </c>
      <c r="M944" s="11">
        <v>898</v>
      </c>
      <c r="N944" s="11">
        <v>898</v>
      </c>
      <c r="O944" s="11">
        <v>0</v>
      </c>
      <c r="P944" s="11" t="s">
        <v>2624</v>
      </c>
    </row>
    <row r="945" spans="1:16" x14ac:dyDescent="0.2">
      <c r="A945" s="52">
        <v>43709</v>
      </c>
      <c r="B945" s="11" t="s">
        <v>41</v>
      </c>
      <c r="C945" s="11" t="s">
        <v>2643</v>
      </c>
      <c r="D945" s="11" t="s">
        <v>989</v>
      </c>
      <c r="E945" s="11" t="s">
        <v>2621</v>
      </c>
      <c r="F945" s="11" t="s">
        <v>3532</v>
      </c>
      <c r="G945" s="11">
        <v>7696.38</v>
      </c>
      <c r="H945" s="11" t="s">
        <v>2623</v>
      </c>
      <c r="I945" s="11" t="s">
        <v>1411</v>
      </c>
      <c r="J945" s="11">
        <v>28</v>
      </c>
      <c r="K945" s="11">
        <v>6012.8</v>
      </c>
      <c r="L945" s="11">
        <v>0</v>
      </c>
      <c r="M945" s="11">
        <v>842</v>
      </c>
      <c r="N945" s="11">
        <v>842</v>
      </c>
      <c r="O945" s="11">
        <v>0</v>
      </c>
      <c r="P945" s="11" t="s">
        <v>2624</v>
      </c>
    </row>
    <row r="946" spans="1:16" x14ac:dyDescent="0.2">
      <c r="A946" s="52">
        <v>43709</v>
      </c>
      <c r="B946" s="11" t="s">
        <v>41</v>
      </c>
      <c r="C946" s="11" t="s">
        <v>2643</v>
      </c>
      <c r="D946" s="11" t="s">
        <v>992</v>
      </c>
      <c r="E946" s="11" t="s">
        <v>2621</v>
      </c>
      <c r="F946" s="11" t="s">
        <v>3560</v>
      </c>
      <c r="G946" s="11">
        <v>13366.66</v>
      </c>
      <c r="H946" s="11" t="s">
        <v>2623</v>
      </c>
      <c r="I946" s="11" t="s">
        <v>1411</v>
      </c>
      <c r="J946" s="11">
        <v>28</v>
      </c>
      <c r="K946" s="11">
        <v>10442.700000000001</v>
      </c>
      <c r="L946" s="11">
        <v>0</v>
      </c>
      <c r="M946" s="11">
        <v>1462</v>
      </c>
      <c r="N946" s="11">
        <v>1462</v>
      </c>
      <c r="O946" s="11">
        <v>0</v>
      </c>
      <c r="P946" s="11" t="s">
        <v>2624</v>
      </c>
    </row>
    <row r="947" spans="1:16" x14ac:dyDescent="0.2">
      <c r="A947" s="52">
        <v>43709</v>
      </c>
      <c r="B947" s="11" t="s">
        <v>882</v>
      </c>
      <c r="C947" s="11" t="s">
        <v>3561</v>
      </c>
      <c r="D947" s="11" t="s">
        <v>3562</v>
      </c>
      <c r="E947" s="11" t="s">
        <v>2621</v>
      </c>
      <c r="F947" s="11" t="s">
        <v>3397</v>
      </c>
      <c r="G947" s="11">
        <v>17700</v>
      </c>
      <c r="H947" s="11" t="s">
        <v>2623</v>
      </c>
      <c r="I947" s="11" t="s">
        <v>1411</v>
      </c>
      <c r="J947" s="11">
        <v>18</v>
      </c>
      <c r="K947" s="11">
        <v>15000</v>
      </c>
      <c r="L947" s="11">
        <v>0</v>
      </c>
      <c r="M947" s="11">
        <v>1350</v>
      </c>
      <c r="N947" s="11">
        <v>1350</v>
      </c>
      <c r="O947" s="11">
        <v>0</v>
      </c>
      <c r="P947" s="11" t="s">
        <v>2624</v>
      </c>
    </row>
    <row r="948" spans="1:16" x14ac:dyDescent="0.2">
      <c r="A948" s="52">
        <v>43709</v>
      </c>
      <c r="B948" s="11" t="s">
        <v>566</v>
      </c>
      <c r="C948" s="11" t="s">
        <v>2978</v>
      </c>
      <c r="D948" s="11" t="s">
        <v>3563</v>
      </c>
      <c r="E948" s="11" t="s">
        <v>2621</v>
      </c>
      <c r="F948" s="11" t="s">
        <v>3422</v>
      </c>
      <c r="G948" s="11">
        <v>30918</v>
      </c>
      <c r="H948" s="11" t="s">
        <v>2623</v>
      </c>
      <c r="I948" s="11" t="s">
        <v>1411</v>
      </c>
      <c r="J948" s="11">
        <v>12</v>
      </c>
      <c r="K948" s="11">
        <v>180</v>
      </c>
      <c r="L948" s="11">
        <v>0</v>
      </c>
      <c r="M948" s="11">
        <v>10.8</v>
      </c>
      <c r="N948" s="11">
        <v>10.8</v>
      </c>
      <c r="O948" s="11">
        <v>0</v>
      </c>
      <c r="P948" s="11" t="s">
        <v>2624</v>
      </c>
    </row>
    <row r="949" spans="1:16" x14ac:dyDescent="0.2">
      <c r="A949" s="52">
        <v>43709</v>
      </c>
      <c r="B949" s="11" t="s">
        <v>566</v>
      </c>
      <c r="C949" s="11" t="s">
        <v>2978</v>
      </c>
      <c r="D949" s="11" t="s">
        <v>3563</v>
      </c>
      <c r="E949" s="11" t="s">
        <v>2621</v>
      </c>
      <c r="F949" s="11" t="s">
        <v>3422</v>
      </c>
      <c r="G949" s="11">
        <v>30918</v>
      </c>
      <c r="H949" s="11" t="s">
        <v>2623</v>
      </c>
      <c r="I949" s="11" t="s">
        <v>1411</v>
      </c>
      <c r="J949" s="11">
        <v>18</v>
      </c>
      <c r="K949" s="11">
        <v>26030.61</v>
      </c>
      <c r="L949" s="11">
        <v>0</v>
      </c>
      <c r="M949" s="11">
        <v>2342.75</v>
      </c>
      <c r="N949" s="11">
        <v>2342.75</v>
      </c>
      <c r="O949" s="11">
        <v>0</v>
      </c>
      <c r="P949" s="11" t="s">
        <v>2624</v>
      </c>
    </row>
    <row r="950" spans="1:16" x14ac:dyDescent="0.2">
      <c r="A950" s="52">
        <v>43709</v>
      </c>
      <c r="B950" s="11" t="s">
        <v>566</v>
      </c>
      <c r="C950" s="11" t="s">
        <v>2978</v>
      </c>
      <c r="D950" s="11" t="s">
        <v>3564</v>
      </c>
      <c r="E950" s="11" t="s">
        <v>2621</v>
      </c>
      <c r="F950" s="11" t="s">
        <v>3532</v>
      </c>
      <c r="G950" s="11">
        <v>3473</v>
      </c>
      <c r="H950" s="11" t="s">
        <v>2623</v>
      </c>
      <c r="I950" s="11" t="s">
        <v>1411</v>
      </c>
      <c r="J950" s="11">
        <v>18</v>
      </c>
      <c r="K950" s="11">
        <v>2563.4499999999998</v>
      </c>
      <c r="L950" s="11">
        <v>0</v>
      </c>
      <c r="M950" s="11">
        <v>230.71</v>
      </c>
      <c r="N950" s="11">
        <v>230.71</v>
      </c>
      <c r="O950" s="11">
        <v>0</v>
      </c>
      <c r="P950" s="11" t="s">
        <v>2624</v>
      </c>
    </row>
    <row r="951" spans="1:16" x14ac:dyDescent="0.2">
      <c r="A951" s="52">
        <v>43709</v>
      </c>
      <c r="B951" s="11" t="s">
        <v>566</v>
      </c>
      <c r="C951" s="11" t="s">
        <v>2978</v>
      </c>
      <c r="D951" s="11" t="s">
        <v>3564</v>
      </c>
      <c r="E951" s="11" t="s">
        <v>2621</v>
      </c>
      <c r="F951" s="11" t="s">
        <v>3532</v>
      </c>
      <c r="G951" s="11">
        <v>3473</v>
      </c>
      <c r="H951" s="11" t="s">
        <v>2623</v>
      </c>
      <c r="I951" s="11" t="s">
        <v>1411</v>
      </c>
      <c r="J951" s="11">
        <v>12</v>
      </c>
      <c r="K951" s="11">
        <v>400</v>
      </c>
      <c r="L951" s="11">
        <v>0</v>
      </c>
      <c r="M951" s="11">
        <v>24</v>
      </c>
      <c r="N951" s="11">
        <v>24</v>
      </c>
      <c r="O951" s="11">
        <v>0</v>
      </c>
      <c r="P951" s="11" t="s">
        <v>2624</v>
      </c>
    </row>
    <row r="952" spans="1:16" x14ac:dyDescent="0.2">
      <c r="A952" s="52">
        <v>43709</v>
      </c>
      <c r="B952" s="11" t="s">
        <v>512</v>
      </c>
      <c r="C952" s="11" t="s">
        <v>2649</v>
      </c>
      <c r="D952" s="11" t="s">
        <v>950</v>
      </c>
      <c r="E952" s="11" t="s">
        <v>2621</v>
      </c>
      <c r="F952" s="11" t="s">
        <v>3542</v>
      </c>
      <c r="G952" s="11">
        <v>5097.6000000000004</v>
      </c>
      <c r="H952" s="11" t="s">
        <v>2623</v>
      </c>
      <c r="I952" s="11" t="s">
        <v>1411</v>
      </c>
      <c r="J952" s="11">
        <v>18</v>
      </c>
      <c r="K952" s="11">
        <v>4320</v>
      </c>
      <c r="L952" s="11">
        <v>0</v>
      </c>
      <c r="M952" s="11">
        <v>388.8</v>
      </c>
      <c r="N952" s="11">
        <v>388.8</v>
      </c>
      <c r="O952" s="11">
        <v>0</v>
      </c>
      <c r="P952" s="11" t="s">
        <v>2624</v>
      </c>
    </row>
    <row r="953" spans="1:16" x14ac:dyDescent="0.2">
      <c r="A953" s="52">
        <v>43709</v>
      </c>
      <c r="B953" s="11" t="s">
        <v>512</v>
      </c>
      <c r="C953" s="11" t="s">
        <v>2649</v>
      </c>
      <c r="D953" s="11" t="s">
        <v>987</v>
      </c>
      <c r="E953" s="11" t="s">
        <v>2621</v>
      </c>
      <c r="F953" s="11" t="s">
        <v>3565</v>
      </c>
      <c r="G953" s="11">
        <v>10325</v>
      </c>
      <c r="H953" s="11" t="s">
        <v>2623</v>
      </c>
      <c r="I953" s="11" t="s">
        <v>1411</v>
      </c>
      <c r="J953" s="11">
        <v>18</v>
      </c>
      <c r="K953" s="11">
        <v>8750</v>
      </c>
      <c r="L953" s="11">
        <v>0</v>
      </c>
      <c r="M953" s="11">
        <v>787.5</v>
      </c>
      <c r="N953" s="11">
        <v>787.5</v>
      </c>
      <c r="O953" s="11">
        <v>0</v>
      </c>
      <c r="P953" s="11" t="s">
        <v>2624</v>
      </c>
    </row>
    <row r="954" spans="1:16" x14ac:dyDescent="0.2">
      <c r="A954" s="52">
        <v>43709</v>
      </c>
      <c r="B954" s="11" t="s">
        <v>29</v>
      </c>
      <c r="C954" s="11" t="s">
        <v>2652</v>
      </c>
      <c r="D954" s="11" t="s">
        <v>3566</v>
      </c>
      <c r="E954" s="11" t="s">
        <v>2621</v>
      </c>
      <c r="F954" s="11" t="s">
        <v>3542</v>
      </c>
      <c r="G954" s="11">
        <v>22378.9</v>
      </c>
      <c r="H954" s="11" t="s">
        <v>2623</v>
      </c>
      <c r="I954" s="11" t="s">
        <v>1411</v>
      </c>
      <c r="J954" s="11">
        <v>28</v>
      </c>
      <c r="K954" s="11">
        <v>17483.52</v>
      </c>
      <c r="L954" s="11">
        <v>0</v>
      </c>
      <c r="M954" s="11">
        <v>2447.69</v>
      </c>
      <c r="N954" s="11">
        <v>2447.69</v>
      </c>
      <c r="O954" s="11">
        <v>0</v>
      </c>
      <c r="P954" s="11" t="s">
        <v>2624</v>
      </c>
    </row>
    <row r="955" spans="1:16" x14ac:dyDescent="0.2">
      <c r="A955" s="52">
        <v>43709</v>
      </c>
      <c r="B955" s="11" t="s">
        <v>29</v>
      </c>
      <c r="C955" s="11" t="s">
        <v>2652</v>
      </c>
      <c r="D955" s="11" t="s">
        <v>3567</v>
      </c>
      <c r="E955" s="11" t="s">
        <v>2621</v>
      </c>
      <c r="F955" s="11" t="s">
        <v>3542</v>
      </c>
      <c r="G955" s="11">
        <v>22378.9</v>
      </c>
      <c r="H955" s="11" t="s">
        <v>2623</v>
      </c>
      <c r="I955" s="11" t="s">
        <v>1411</v>
      </c>
      <c r="J955" s="11">
        <v>28</v>
      </c>
      <c r="K955" s="11">
        <v>17483.52</v>
      </c>
      <c r="L955" s="11">
        <v>0</v>
      </c>
      <c r="M955" s="11">
        <v>2447.69</v>
      </c>
      <c r="N955" s="11">
        <v>2447.69</v>
      </c>
      <c r="O955" s="11">
        <v>0</v>
      </c>
      <c r="P955" s="11" t="s">
        <v>2624</v>
      </c>
    </row>
    <row r="956" spans="1:16" x14ac:dyDescent="0.2">
      <c r="A956" s="52">
        <v>43709</v>
      </c>
      <c r="B956" s="11" t="s">
        <v>29</v>
      </c>
      <c r="C956" s="11" t="s">
        <v>2652</v>
      </c>
      <c r="D956" s="11" t="s">
        <v>3568</v>
      </c>
      <c r="E956" s="11" t="s">
        <v>2621</v>
      </c>
      <c r="F956" s="11" t="s">
        <v>3550</v>
      </c>
      <c r="G956" s="11">
        <v>22378.9</v>
      </c>
      <c r="H956" s="11" t="s">
        <v>2623</v>
      </c>
      <c r="I956" s="11" t="s">
        <v>1411</v>
      </c>
      <c r="J956" s="11">
        <v>28</v>
      </c>
      <c r="K956" s="11">
        <v>17483.52</v>
      </c>
      <c r="L956" s="11">
        <v>0</v>
      </c>
      <c r="M956" s="11">
        <v>2447.69</v>
      </c>
      <c r="N956" s="11">
        <v>2447.69</v>
      </c>
      <c r="O956" s="11">
        <v>0</v>
      </c>
      <c r="P956" s="11" t="s">
        <v>2624</v>
      </c>
    </row>
    <row r="957" spans="1:16" x14ac:dyDescent="0.2">
      <c r="A957" s="52">
        <v>43709</v>
      </c>
      <c r="B957" s="11" t="s">
        <v>29</v>
      </c>
      <c r="C957" s="11" t="s">
        <v>2652</v>
      </c>
      <c r="D957" s="11" t="s">
        <v>3569</v>
      </c>
      <c r="E957" s="11" t="s">
        <v>2621</v>
      </c>
      <c r="F957" s="11" t="s">
        <v>3550</v>
      </c>
      <c r="G957" s="11">
        <v>22378.9</v>
      </c>
      <c r="H957" s="11" t="s">
        <v>2623</v>
      </c>
      <c r="I957" s="11" t="s">
        <v>1411</v>
      </c>
      <c r="J957" s="11">
        <v>28</v>
      </c>
      <c r="K957" s="11">
        <v>17483.52</v>
      </c>
      <c r="L957" s="11">
        <v>0</v>
      </c>
      <c r="M957" s="11">
        <v>2447.69</v>
      </c>
      <c r="N957" s="11">
        <v>2447.69</v>
      </c>
      <c r="O957" s="11">
        <v>0</v>
      </c>
      <c r="P957" s="11" t="s">
        <v>2624</v>
      </c>
    </row>
    <row r="958" spans="1:16" x14ac:dyDescent="0.2">
      <c r="A958" s="52">
        <v>43709</v>
      </c>
      <c r="B958" s="11" t="s">
        <v>29</v>
      </c>
      <c r="C958" s="11" t="s">
        <v>2652</v>
      </c>
      <c r="D958" s="11" t="s">
        <v>3570</v>
      </c>
      <c r="E958" s="11" t="s">
        <v>2621</v>
      </c>
      <c r="F958" s="11" t="s">
        <v>3571</v>
      </c>
      <c r="G958" s="11">
        <v>22378.9</v>
      </c>
      <c r="H958" s="11" t="s">
        <v>2623</v>
      </c>
      <c r="I958" s="11" t="s">
        <v>1411</v>
      </c>
      <c r="J958" s="11">
        <v>28</v>
      </c>
      <c r="K958" s="11">
        <v>17483.52</v>
      </c>
      <c r="L958" s="11">
        <v>0</v>
      </c>
      <c r="M958" s="11">
        <v>2447.69</v>
      </c>
      <c r="N958" s="11">
        <v>2447.69</v>
      </c>
      <c r="O958" s="11">
        <v>0</v>
      </c>
      <c r="P958" s="11" t="s">
        <v>2624</v>
      </c>
    </row>
    <row r="959" spans="1:16" x14ac:dyDescent="0.2">
      <c r="A959" s="52">
        <v>43709</v>
      </c>
      <c r="B959" s="11" t="s">
        <v>29</v>
      </c>
      <c r="C959" s="11" t="s">
        <v>2652</v>
      </c>
      <c r="D959" s="11" t="s">
        <v>3572</v>
      </c>
      <c r="E959" s="11" t="s">
        <v>2621</v>
      </c>
      <c r="F959" s="11" t="s">
        <v>3571</v>
      </c>
      <c r="G959" s="11">
        <v>22378.9</v>
      </c>
      <c r="H959" s="11" t="s">
        <v>2623</v>
      </c>
      <c r="I959" s="11" t="s">
        <v>1411</v>
      </c>
      <c r="J959" s="11">
        <v>28</v>
      </c>
      <c r="K959" s="11">
        <v>17483.52</v>
      </c>
      <c r="L959" s="11">
        <v>0</v>
      </c>
      <c r="M959" s="11">
        <v>2447.69</v>
      </c>
      <c r="N959" s="11">
        <v>2447.69</v>
      </c>
      <c r="O959" s="11">
        <v>0</v>
      </c>
      <c r="P959" s="11" t="s">
        <v>2624</v>
      </c>
    </row>
    <row r="960" spans="1:16" x14ac:dyDescent="0.2">
      <c r="A960" s="52">
        <v>43709</v>
      </c>
      <c r="B960" s="11" t="s">
        <v>29</v>
      </c>
      <c r="C960" s="11" t="s">
        <v>2652</v>
      </c>
      <c r="D960" s="11" t="s">
        <v>3573</v>
      </c>
      <c r="E960" s="11" t="s">
        <v>2621</v>
      </c>
      <c r="F960" s="11" t="s">
        <v>3532</v>
      </c>
      <c r="G960" s="11">
        <v>22378.9</v>
      </c>
      <c r="H960" s="11" t="s">
        <v>2623</v>
      </c>
      <c r="I960" s="11" t="s">
        <v>1411</v>
      </c>
      <c r="J960" s="11">
        <v>28</v>
      </c>
      <c r="K960" s="11">
        <v>17483.52</v>
      </c>
      <c r="L960" s="11">
        <v>0</v>
      </c>
      <c r="M960" s="11">
        <v>2447.69</v>
      </c>
      <c r="N960" s="11">
        <v>2447.69</v>
      </c>
      <c r="O960" s="11">
        <v>0</v>
      </c>
      <c r="P960" s="11" t="s">
        <v>2624</v>
      </c>
    </row>
    <row r="961" spans="1:16" x14ac:dyDescent="0.2">
      <c r="A961" s="52">
        <v>43709</v>
      </c>
      <c r="B961" s="11" t="s">
        <v>29</v>
      </c>
      <c r="C961" s="11" t="s">
        <v>2652</v>
      </c>
      <c r="D961" s="11" t="s">
        <v>3574</v>
      </c>
      <c r="E961" s="11" t="s">
        <v>2621</v>
      </c>
      <c r="F961" s="11" t="s">
        <v>3525</v>
      </c>
      <c r="G961" s="11">
        <v>22378.9</v>
      </c>
      <c r="H961" s="11" t="s">
        <v>2623</v>
      </c>
      <c r="I961" s="11" t="s">
        <v>1411</v>
      </c>
      <c r="J961" s="11">
        <v>28</v>
      </c>
      <c r="K961" s="11">
        <v>17483.52</v>
      </c>
      <c r="L961" s="11">
        <v>0</v>
      </c>
      <c r="M961" s="11">
        <v>2447.69</v>
      </c>
      <c r="N961" s="11">
        <v>2447.69</v>
      </c>
      <c r="O961" s="11">
        <v>0</v>
      </c>
      <c r="P961" s="11" t="s">
        <v>2624</v>
      </c>
    </row>
    <row r="962" spans="1:16" x14ac:dyDescent="0.2">
      <c r="A962" s="52">
        <v>43709</v>
      </c>
      <c r="B962" s="11" t="s">
        <v>29</v>
      </c>
      <c r="C962" s="11" t="s">
        <v>2652</v>
      </c>
      <c r="D962" s="11" t="s">
        <v>3575</v>
      </c>
      <c r="E962" s="11" t="s">
        <v>2621</v>
      </c>
      <c r="F962" s="11" t="s">
        <v>3576</v>
      </c>
      <c r="G962" s="11">
        <v>22378.9</v>
      </c>
      <c r="H962" s="11" t="s">
        <v>2623</v>
      </c>
      <c r="I962" s="11" t="s">
        <v>1411</v>
      </c>
      <c r="J962" s="11">
        <v>28</v>
      </c>
      <c r="K962" s="11">
        <v>17483.52</v>
      </c>
      <c r="L962" s="11">
        <v>0</v>
      </c>
      <c r="M962" s="11">
        <v>2447.69</v>
      </c>
      <c r="N962" s="11">
        <v>2447.69</v>
      </c>
      <c r="O962" s="11">
        <v>0</v>
      </c>
      <c r="P962" s="11" t="s">
        <v>2624</v>
      </c>
    </row>
    <row r="963" spans="1:16" x14ac:dyDescent="0.2">
      <c r="A963" s="52">
        <v>43709</v>
      </c>
      <c r="B963" s="11" t="s">
        <v>29</v>
      </c>
      <c r="C963" s="11" t="s">
        <v>2652</v>
      </c>
      <c r="D963" s="11" t="s">
        <v>3577</v>
      </c>
      <c r="E963" s="11" t="s">
        <v>2621</v>
      </c>
      <c r="F963" s="11" t="s">
        <v>3560</v>
      </c>
      <c r="G963" s="11">
        <v>22378.9</v>
      </c>
      <c r="H963" s="11" t="s">
        <v>2623</v>
      </c>
      <c r="I963" s="11" t="s">
        <v>1411</v>
      </c>
      <c r="J963" s="11">
        <v>28</v>
      </c>
      <c r="K963" s="11">
        <v>17483.52</v>
      </c>
      <c r="L963" s="11">
        <v>0</v>
      </c>
      <c r="M963" s="11">
        <v>2447.69</v>
      </c>
      <c r="N963" s="11">
        <v>2447.69</v>
      </c>
      <c r="O963" s="11">
        <v>0</v>
      </c>
      <c r="P963" s="11" t="s">
        <v>2624</v>
      </c>
    </row>
    <row r="964" spans="1:16" x14ac:dyDescent="0.2">
      <c r="A964" s="52">
        <v>43709</v>
      </c>
      <c r="B964" s="11" t="s">
        <v>74</v>
      </c>
      <c r="C964" s="11" t="s">
        <v>2698</v>
      </c>
      <c r="D964" s="11" t="s">
        <v>3578</v>
      </c>
      <c r="E964" s="11" t="s">
        <v>2621</v>
      </c>
      <c r="F964" s="11" t="s">
        <v>3558</v>
      </c>
      <c r="G964" s="11">
        <v>62643.839999999997</v>
      </c>
      <c r="H964" s="11" t="s">
        <v>2623</v>
      </c>
      <c r="I964" s="11" t="s">
        <v>1411</v>
      </c>
      <c r="J964" s="11">
        <v>18</v>
      </c>
      <c r="K964" s="11">
        <v>53088</v>
      </c>
      <c r="L964" s="11">
        <v>0</v>
      </c>
      <c r="M964" s="11">
        <v>4777.92</v>
      </c>
      <c r="N964" s="11">
        <v>4777.92</v>
      </c>
      <c r="O964" s="11">
        <v>0</v>
      </c>
      <c r="P964" s="11" t="s">
        <v>2624</v>
      </c>
    </row>
    <row r="965" spans="1:16" x14ac:dyDescent="0.2">
      <c r="A965" s="52">
        <v>43709</v>
      </c>
      <c r="B965" s="11" t="s">
        <v>74</v>
      </c>
      <c r="C965" s="11" t="s">
        <v>2698</v>
      </c>
      <c r="D965" s="11" t="s">
        <v>3579</v>
      </c>
      <c r="E965" s="11" t="s">
        <v>2621</v>
      </c>
      <c r="F965" s="11" t="s">
        <v>3558</v>
      </c>
      <c r="G965" s="11">
        <v>62643.839999999997</v>
      </c>
      <c r="H965" s="11" t="s">
        <v>2623</v>
      </c>
      <c r="I965" s="11" t="s">
        <v>1411</v>
      </c>
      <c r="J965" s="11">
        <v>18</v>
      </c>
      <c r="K965" s="11">
        <v>53088</v>
      </c>
      <c r="L965" s="11">
        <v>0</v>
      </c>
      <c r="M965" s="11">
        <v>4777.92</v>
      </c>
      <c r="N965" s="11">
        <v>4777.92</v>
      </c>
      <c r="O965" s="11">
        <v>0</v>
      </c>
      <c r="P965" s="11" t="s">
        <v>2624</v>
      </c>
    </row>
    <row r="966" spans="1:16" x14ac:dyDescent="0.2">
      <c r="A966" s="52">
        <v>43709</v>
      </c>
      <c r="B966" s="11" t="s">
        <v>74</v>
      </c>
      <c r="C966" s="11" t="s">
        <v>2698</v>
      </c>
      <c r="D966" s="11" t="s">
        <v>3580</v>
      </c>
      <c r="E966" s="11" t="s">
        <v>2621</v>
      </c>
      <c r="F966" s="11" t="s">
        <v>3522</v>
      </c>
      <c r="G966" s="11">
        <v>62643.839999999997</v>
      </c>
      <c r="H966" s="11" t="s">
        <v>2623</v>
      </c>
      <c r="I966" s="11" t="s">
        <v>1411</v>
      </c>
      <c r="J966" s="11">
        <v>18</v>
      </c>
      <c r="K966" s="11">
        <v>53088</v>
      </c>
      <c r="L966" s="11">
        <v>0</v>
      </c>
      <c r="M966" s="11">
        <v>4777.92</v>
      </c>
      <c r="N966" s="11">
        <v>4777.92</v>
      </c>
      <c r="O966" s="11">
        <v>0</v>
      </c>
      <c r="P966" s="11" t="s">
        <v>2624</v>
      </c>
    </row>
    <row r="967" spans="1:16" x14ac:dyDescent="0.2">
      <c r="A967" s="52">
        <v>43709</v>
      </c>
      <c r="B967" s="11" t="s">
        <v>74</v>
      </c>
      <c r="C967" s="11" t="s">
        <v>2698</v>
      </c>
      <c r="D967" s="11" t="s">
        <v>3581</v>
      </c>
      <c r="E967" s="11" t="s">
        <v>2621</v>
      </c>
      <c r="F967" s="11" t="s">
        <v>3556</v>
      </c>
      <c r="G967" s="11">
        <v>787.28</v>
      </c>
      <c r="H967" s="11" t="s">
        <v>2623</v>
      </c>
      <c r="I967" s="11" t="s">
        <v>1411</v>
      </c>
      <c r="J967" s="11">
        <v>18</v>
      </c>
      <c r="K967" s="11">
        <v>667.2</v>
      </c>
      <c r="L967" s="11">
        <v>0</v>
      </c>
      <c r="M967" s="11">
        <v>60.05</v>
      </c>
      <c r="N967" s="11">
        <v>60.05</v>
      </c>
      <c r="O967" s="11">
        <v>0</v>
      </c>
      <c r="P967" s="11" t="s">
        <v>2624</v>
      </c>
    </row>
    <row r="968" spans="1:16" x14ac:dyDescent="0.2">
      <c r="A968" s="52">
        <v>43709</v>
      </c>
      <c r="B968" s="11" t="s">
        <v>74</v>
      </c>
      <c r="C968" s="11" t="s">
        <v>2698</v>
      </c>
      <c r="D968" s="11" t="s">
        <v>3582</v>
      </c>
      <c r="E968" s="11" t="s">
        <v>2621</v>
      </c>
      <c r="F968" s="11" t="s">
        <v>3565</v>
      </c>
      <c r="G968" s="11">
        <v>590.48</v>
      </c>
      <c r="H968" s="11" t="s">
        <v>2623</v>
      </c>
      <c r="I968" s="11" t="s">
        <v>1411</v>
      </c>
      <c r="J968" s="11">
        <v>18</v>
      </c>
      <c r="K968" s="11">
        <v>500.4</v>
      </c>
      <c r="L968" s="11">
        <v>0</v>
      </c>
      <c r="M968" s="11">
        <v>45.04</v>
      </c>
      <c r="N968" s="11">
        <v>45.04</v>
      </c>
      <c r="O968" s="11">
        <v>0</v>
      </c>
      <c r="P968" s="11" t="s">
        <v>2624</v>
      </c>
    </row>
    <row r="969" spans="1:16" x14ac:dyDescent="0.2">
      <c r="A969" s="52">
        <v>43709</v>
      </c>
      <c r="B969" s="11" t="s">
        <v>103</v>
      </c>
      <c r="C969" s="11" t="s">
        <v>1170</v>
      </c>
      <c r="D969" s="11" t="s">
        <v>1010</v>
      </c>
      <c r="E969" s="11" t="s">
        <v>2621</v>
      </c>
      <c r="F969" s="11" t="s">
        <v>3552</v>
      </c>
      <c r="G969" s="11">
        <v>2587.52</v>
      </c>
      <c r="H969" s="11" t="s">
        <v>2623</v>
      </c>
      <c r="I969" s="11" t="s">
        <v>1411</v>
      </c>
      <c r="J969" s="11">
        <v>28</v>
      </c>
      <c r="K969" s="11">
        <v>2021.5</v>
      </c>
      <c r="L969" s="11">
        <v>566.02</v>
      </c>
      <c r="M969" s="11">
        <v>0</v>
      </c>
      <c r="N969" s="11">
        <v>0</v>
      </c>
      <c r="O969" s="11">
        <v>0</v>
      </c>
      <c r="P969" s="11" t="s">
        <v>2624</v>
      </c>
    </row>
    <row r="970" spans="1:16" x14ac:dyDescent="0.2">
      <c r="A970" s="52">
        <v>43709</v>
      </c>
      <c r="B970" s="11" t="s">
        <v>103</v>
      </c>
      <c r="C970" s="11" t="s">
        <v>1170</v>
      </c>
      <c r="D970" s="11" t="s">
        <v>1011</v>
      </c>
      <c r="E970" s="11" t="s">
        <v>2621</v>
      </c>
      <c r="F970" s="11" t="s">
        <v>3552</v>
      </c>
      <c r="G970" s="11">
        <v>2587.52</v>
      </c>
      <c r="H970" s="11" t="s">
        <v>2623</v>
      </c>
      <c r="I970" s="11" t="s">
        <v>1411</v>
      </c>
      <c r="J970" s="11">
        <v>28</v>
      </c>
      <c r="K970" s="11">
        <v>2021.5</v>
      </c>
      <c r="L970" s="11">
        <v>566.02</v>
      </c>
      <c r="M970" s="11">
        <v>0</v>
      </c>
      <c r="N970" s="11">
        <v>0</v>
      </c>
      <c r="O970" s="11">
        <v>0</v>
      </c>
      <c r="P970" s="11" t="s">
        <v>2624</v>
      </c>
    </row>
    <row r="971" spans="1:16" x14ac:dyDescent="0.2">
      <c r="A971" s="52">
        <v>43709</v>
      </c>
      <c r="B971" s="11" t="s">
        <v>103</v>
      </c>
      <c r="C971" s="11" t="s">
        <v>1170</v>
      </c>
      <c r="D971" s="11" t="s">
        <v>1012</v>
      </c>
      <c r="E971" s="11" t="s">
        <v>2621</v>
      </c>
      <c r="F971" s="11" t="s">
        <v>3552</v>
      </c>
      <c r="G971" s="11">
        <v>2587.52</v>
      </c>
      <c r="H971" s="11" t="s">
        <v>2623</v>
      </c>
      <c r="I971" s="11" t="s">
        <v>1411</v>
      </c>
      <c r="J971" s="11">
        <v>28</v>
      </c>
      <c r="K971" s="11">
        <v>2021.5</v>
      </c>
      <c r="L971" s="11">
        <v>566.02</v>
      </c>
      <c r="M971" s="11">
        <v>0</v>
      </c>
      <c r="N971" s="11">
        <v>0</v>
      </c>
      <c r="O971" s="11">
        <v>0</v>
      </c>
      <c r="P971" s="11" t="s">
        <v>2624</v>
      </c>
    </row>
    <row r="972" spans="1:16" x14ac:dyDescent="0.2">
      <c r="A972" s="52">
        <v>43709</v>
      </c>
      <c r="B972" s="11" t="s">
        <v>103</v>
      </c>
      <c r="C972" s="11" t="s">
        <v>1170</v>
      </c>
      <c r="D972" s="11" t="s">
        <v>1013</v>
      </c>
      <c r="E972" s="11" t="s">
        <v>2621</v>
      </c>
      <c r="F972" s="11" t="s">
        <v>3552</v>
      </c>
      <c r="G972" s="11">
        <v>2599.5100000000002</v>
      </c>
      <c r="H972" s="11" t="s">
        <v>2623</v>
      </c>
      <c r="I972" s="11" t="s">
        <v>1411</v>
      </c>
      <c r="J972" s="11">
        <v>28</v>
      </c>
      <c r="K972" s="11">
        <v>2030.87</v>
      </c>
      <c r="L972" s="11">
        <v>568.64</v>
      </c>
      <c r="M972" s="11">
        <v>0</v>
      </c>
      <c r="N972" s="11">
        <v>0</v>
      </c>
      <c r="O972" s="11">
        <v>0</v>
      </c>
      <c r="P972" s="11" t="s">
        <v>2624</v>
      </c>
    </row>
    <row r="973" spans="1:16" x14ac:dyDescent="0.2">
      <c r="A973" s="52">
        <v>43709</v>
      </c>
      <c r="B973" s="11" t="s">
        <v>103</v>
      </c>
      <c r="C973" s="11" t="s">
        <v>1170</v>
      </c>
      <c r="D973" s="11" t="s">
        <v>1014</v>
      </c>
      <c r="E973" s="11" t="s">
        <v>2621</v>
      </c>
      <c r="F973" s="11" t="s">
        <v>3556</v>
      </c>
      <c r="G973" s="11">
        <v>5175.04</v>
      </c>
      <c r="H973" s="11" t="s">
        <v>2623</v>
      </c>
      <c r="I973" s="11" t="s">
        <v>1411</v>
      </c>
      <c r="J973" s="11">
        <v>28</v>
      </c>
      <c r="K973" s="11">
        <v>4043</v>
      </c>
      <c r="L973" s="11">
        <v>1132.04</v>
      </c>
      <c r="M973" s="11">
        <v>0</v>
      </c>
      <c r="N973" s="11">
        <v>0</v>
      </c>
      <c r="O973" s="11">
        <v>0</v>
      </c>
      <c r="P973" s="11" t="s">
        <v>2624</v>
      </c>
    </row>
    <row r="974" spans="1:16" x14ac:dyDescent="0.2">
      <c r="A974" s="52">
        <v>43709</v>
      </c>
      <c r="B974" s="11" t="s">
        <v>103</v>
      </c>
      <c r="C974" s="11" t="s">
        <v>1170</v>
      </c>
      <c r="D974" s="11" t="s">
        <v>1015</v>
      </c>
      <c r="E974" s="11" t="s">
        <v>2621</v>
      </c>
      <c r="F974" s="11" t="s">
        <v>3576</v>
      </c>
      <c r="G974" s="11">
        <v>5175.04</v>
      </c>
      <c r="H974" s="11" t="s">
        <v>2623</v>
      </c>
      <c r="I974" s="11" t="s">
        <v>1411</v>
      </c>
      <c r="J974" s="11">
        <v>28</v>
      </c>
      <c r="K974" s="11">
        <v>4043</v>
      </c>
      <c r="L974" s="11">
        <v>1132.04</v>
      </c>
      <c r="M974" s="11">
        <v>0</v>
      </c>
      <c r="N974" s="11">
        <v>0</v>
      </c>
      <c r="O974" s="11">
        <v>0</v>
      </c>
      <c r="P974" s="11" t="s">
        <v>2624</v>
      </c>
    </row>
    <row r="975" spans="1:16" x14ac:dyDescent="0.2">
      <c r="A975" s="52">
        <v>43709</v>
      </c>
      <c r="B975" s="11" t="s">
        <v>103</v>
      </c>
      <c r="C975" s="11" t="s">
        <v>1170</v>
      </c>
      <c r="D975" s="11" t="s">
        <v>1016</v>
      </c>
      <c r="E975" s="11" t="s">
        <v>2621</v>
      </c>
      <c r="F975" s="11" t="s">
        <v>3583</v>
      </c>
      <c r="G975" s="11">
        <v>833.82</v>
      </c>
      <c r="H975" s="11" t="s">
        <v>2623</v>
      </c>
      <c r="I975" s="11" t="s">
        <v>1411</v>
      </c>
      <c r="J975" s="11">
        <v>28</v>
      </c>
      <c r="K975" s="11">
        <v>651.41999999999996</v>
      </c>
      <c r="L975" s="11">
        <v>182.4</v>
      </c>
      <c r="M975" s="11">
        <v>0</v>
      </c>
      <c r="N975" s="11">
        <v>0</v>
      </c>
      <c r="O975" s="11">
        <v>0</v>
      </c>
      <c r="P975" s="11" t="s">
        <v>2624</v>
      </c>
    </row>
    <row r="976" spans="1:16" x14ac:dyDescent="0.2">
      <c r="A976" s="52">
        <v>43709</v>
      </c>
      <c r="B976" s="11" t="s">
        <v>103</v>
      </c>
      <c r="C976" s="11" t="s">
        <v>1170</v>
      </c>
      <c r="D976" s="11" t="s">
        <v>1017</v>
      </c>
      <c r="E976" s="11" t="s">
        <v>2621</v>
      </c>
      <c r="F976" s="11" t="s">
        <v>3583</v>
      </c>
      <c r="G976" s="11">
        <v>2599.5100000000002</v>
      </c>
      <c r="H976" s="11" t="s">
        <v>2623</v>
      </c>
      <c r="I976" s="11" t="s">
        <v>1411</v>
      </c>
      <c r="J976" s="11">
        <v>28</v>
      </c>
      <c r="K976" s="11">
        <v>2030.87</v>
      </c>
      <c r="L976" s="11">
        <v>568.64</v>
      </c>
      <c r="M976" s="11">
        <v>0</v>
      </c>
      <c r="N976" s="11">
        <v>0</v>
      </c>
      <c r="O976" s="11">
        <v>0</v>
      </c>
      <c r="P976" s="11" t="s">
        <v>2624</v>
      </c>
    </row>
    <row r="977" spans="1:16" x14ac:dyDescent="0.2">
      <c r="A977" s="52">
        <v>43709</v>
      </c>
      <c r="B977" s="11" t="s">
        <v>674</v>
      </c>
      <c r="C977" s="11" t="s">
        <v>2883</v>
      </c>
      <c r="D977" s="11" t="s">
        <v>3584</v>
      </c>
      <c r="E977" s="11" t="s">
        <v>2621</v>
      </c>
      <c r="F977" s="11" t="s">
        <v>3585</v>
      </c>
      <c r="G977" s="11">
        <v>37749</v>
      </c>
      <c r="H977" s="11" t="s">
        <v>2623</v>
      </c>
      <c r="I977" s="11" t="s">
        <v>1411</v>
      </c>
      <c r="J977" s="11">
        <v>0</v>
      </c>
      <c r="K977" s="11">
        <v>14456</v>
      </c>
      <c r="L977" s="11">
        <v>0</v>
      </c>
      <c r="M977" s="11">
        <v>0</v>
      </c>
      <c r="N977" s="11">
        <v>0</v>
      </c>
      <c r="O977" s="11">
        <v>0</v>
      </c>
      <c r="P977" s="11" t="s">
        <v>2624</v>
      </c>
    </row>
    <row r="978" spans="1:16" x14ac:dyDescent="0.2">
      <c r="A978" s="52">
        <v>43709</v>
      </c>
      <c r="B978" s="11" t="s">
        <v>674</v>
      </c>
      <c r="C978" s="11" t="s">
        <v>2883</v>
      </c>
      <c r="D978" s="11" t="s">
        <v>3584</v>
      </c>
      <c r="E978" s="11" t="s">
        <v>2621</v>
      </c>
      <c r="F978" s="11" t="s">
        <v>3585</v>
      </c>
      <c r="G978" s="11">
        <v>37749</v>
      </c>
      <c r="H978" s="11" t="s">
        <v>2623</v>
      </c>
      <c r="I978" s="11" t="s">
        <v>1411</v>
      </c>
      <c r="J978" s="11">
        <v>18</v>
      </c>
      <c r="K978" s="11">
        <v>19740</v>
      </c>
      <c r="L978" s="11">
        <v>0</v>
      </c>
      <c r="M978" s="11">
        <v>1776.6</v>
      </c>
      <c r="N978" s="11">
        <v>1776.6</v>
      </c>
      <c r="O978" s="11">
        <v>0</v>
      </c>
      <c r="P978" s="11" t="s">
        <v>2624</v>
      </c>
    </row>
    <row r="979" spans="1:16" x14ac:dyDescent="0.2">
      <c r="A979" s="52">
        <v>43709</v>
      </c>
      <c r="B979" s="11" t="s">
        <v>674</v>
      </c>
      <c r="C979" s="11" t="s">
        <v>2883</v>
      </c>
      <c r="D979" s="11" t="s">
        <v>1018</v>
      </c>
      <c r="E979" s="11" t="s">
        <v>2621</v>
      </c>
      <c r="F979" s="11" t="s">
        <v>3585</v>
      </c>
      <c r="G979" s="11">
        <v>54691</v>
      </c>
      <c r="H979" s="11" t="s">
        <v>2623</v>
      </c>
      <c r="I979" s="11" t="s">
        <v>1411</v>
      </c>
      <c r="J979" s="11">
        <v>0</v>
      </c>
      <c r="K979" s="11">
        <v>30448</v>
      </c>
      <c r="L979" s="11">
        <v>0</v>
      </c>
      <c r="M979" s="11">
        <v>0</v>
      </c>
      <c r="N979" s="11">
        <v>0</v>
      </c>
      <c r="O979" s="11">
        <v>0</v>
      </c>
      <c r="P979" s="11" t="s">
        <v>2624</v>
      </c>
    </row>
    <row r="980" spans="1:16" x14ac:dyDescent="0.2">
      <c r="A980" s="52">
        <v>43709</v>
      </c>
      <c r="B980" s="11" t="s">
        <v>674</v>
      </c>
      <c r="C980" s="11" t="s">
        <v>2883</v>
      </c>
      <c r="D980" s="11" t="s">
        <v>1018</v>
      </c>
      <c r="E980" s="11" t="s">
        <v>2621</v>
      </c>
      <c r="F980" s="11" t="s">
        <v>3585</v>
      </c>
      <c r="G980" s="11">
        <v>54691</v>
      </c>
      <c r="H980" s="11" t="s">
        <v>2623</v>
      </c>
      <c r="I980" s="11" t="s">
        <v>1411</v>
      </c>
      <c r="J980" s="11">
        <v>18</v>
      </c>
      <c r="K980" s="11">
        <v>20545</v>
      </c>
      <c r="L980" s="11">
        <v>0</v>
      </c>
      <c r="M980" s="11">
        <v>1849.05</v>
      </c>
      <c r="N980" s="11">
        <v>1849.05</v>
      </c>
      <c r="O980" s="11">
        <v>0</v>
      </c>
      <c r="P980" s="11" t="s">
        <v>2624</v>
      </c>
    </row>
    <row r="981" spans="1:16" x14ac:dyDescent="0.2">
      <c r="A981" s="52">
        <v>43709</v>
      </c>
      <c r="B981" s="11" t="s">
        <v>1025</v>
      </c>
      <c r="C981" s="11" t="s">
        <v>3586</v>
      </c>
      <c r="D981" s="11" t="s">
        <v>3587</v>
      </c>
      <c r="E981" s="11" t="s">
        <v>2621</v>
      </c>
      <c r="F981" s="11" t="s">
        <v>3552</v>
      </c>
      <c r="G981" s="11">
        <v>86500</v>
      </c>
      <c r="H981" s="11" t="s">
        <v>2623</v>
      </c>
      <c r="I981" s="11" t="s">
        <v>1411</v>
      </c>
      <c r="J981" s="11">
        <v>18</v>
      </c>
      <c r="K981" s="11">
        <v>73305.289999999994</v>
      </c>
      <c r="L981" s="11">
        <v>0</v>
      </c>
      <c r="M981" s="11">
        <v>6597.48</v>
      </c>
      <c r="N981" s="11">
        <v>6597.48</v>
      </c>
      <c r="O981" s="11">
        <v>0</v>
      </c>
      <c r="P981" s="11" t="s">
        <v>3256</v>
      </c>
    </row>
    <row r="982" spans="1:16" x14ac:dyDescent="0.2">
      <c r="A982" s="52">
        <v>43709</v>
      </c>
      <c r="B982" s="11" t="s">
        <v>256</v>
      </c>
      <c r="C982" s="11" t="s">
        <v>2711</v>
      </c>
      <c r="D982" s="11" t="s">
        <v>3588</v>
      </c>
      <c r="E982" s="11" t="s">
        <v>2621</v>
      </c>
      <c r="F982" s="11" t="s">
        <v>3540</v>
      </c>
      <c r="G982" s="11">
        <v>24053.46</v>
      </c>
      <c r="H982" s="11" t="s">
        <v>2623</v>
      </c>
      <c r="I982" s="11" t="s">
        <v>1411</v>
      </c>
      <c r="J982" s="11">
        <v>28</v>
      </c>
      <c r="K982" s="11">
        <v>18791.759999999998</v>
      </c>
      <c r="L982" s="11">
        <v>5261.69</v>
      </c>
      <c r="M982" s="11">
        <v>0</v>
      </c>
      <c r="N982" s="11">
        <v>0</v>
      </c>
      <c r="O982" s="11">
        <v>0</v>
      </c>
      <c r="P982" s="11" t="s">
        <v>2624</v>
      </c>
    </row>
    <row r="983" spans="1:16" x14ac:dyDescent="0.2">
      <c r="A983" s="52">
        <v>43709</v>
      </c>
      <c r="B983" s="11" t="s">
        <v>256</v>
      </c>
      <c r="C983" s="11" t="s">
        <v>2711</v>
      </c>
      <c r="D983" s="11" t="s">
        <v>3589</v>
      </c>
      <c r="E983" s="11" t="s">
        <v>2621</v>
      </c>
      <c r="F983" s="11" t="s">
        <v>3590</v>
      </c>
      <c r="G983" s="11">
        <v>16704.259999999998</v>
      </c>
      <c r="H983" s="11" t="s">
        <v>2623</v>
      </c>
      <c r="I983" s="11" t="s">
        <v>1411</v>
      </c>
      <c r="J983" s="11">
        <v>28</v>
      </c>
      <c r="K983" s="11">
        <v>13050.2</v>
      </c>
      <c r="L983" s="11">
        <v>3654.06</v>
      </c>
      <c r="M983" s="11">
        <v>0</v>
      </c>
      <c r="N983" s="11">
        <v>0</v>
      </c>
      <c r="O983" s="11">
        <v>0</v>
      </c>
      <c r="P983" s="11" t="s">
        <v>2624</v>
      </c>
    </row>
    <row r="984" spans="1:16" x14ac:dyDescent="0.2">
      <c r="A984" s="52">
        <v>43709</v>
      </c>
      <c r="B984" s="11" t="s">
        <v>256</v>
      </c>
      <c r="C984" s="11" t="s">
        <v>2711</v>
      </c>
      <c r="D984" s="11" t="s">
        <v>3591</v>
      </c>
      <c r="E984" s="11" t="s">
        <v>2621</v>
      </c>
      <c r="F984" s="11" t="s">
        <v>3590</v>
      </c>
      <c r="G984" s="11">
        <v>4727.17</v>
      </c>
      <c r="H984" s="11" t="s">
        <v>2623</v>
      </c>
      <c r="I984" s="11" t="s">
        <v>1411</v>
      </c>
      <c r="J984" s="11">
        <v>28</v>
      </c>
      <c r="K984" s="11">
        <v>3693.1</v>
      </c>
      <c r="L984" s="11">
        <v>1034.07</v>
      </c>
      <c r="M984" s="11">
        <v>0</v>
      </c>
      <c r="N984" s="11">
        <v>0</v>
      </c>
      <c r="O984" s="11">
        <v>0</v>
      </c>
      <c r="P984" s="11" t="s">
        <v>2624</v>
      </c>
    </row>
    <row r="985" spans="1:16" x14ac:dyDescent="0.2">
      <c r="A985" s="52">
        <v>43709</v>
      </c>
      <c r="B985" s="11" t="s">
        <v>256</v>
      </c>
      <c r="C985" s="11" t="s">
        <v>2711</v>
      </c>
      <c r="D985" s="11" t="s">
        <v>3592</v>
      </c>
      <c r="E985" s="11" t="s">
        <v>2621</v>
      </c>
      <c r="F985" s="11" t="s">
        <v>3558</v>
      </c>
      <c r="G985" s="11">
        <v>4820.99</v>
      </c>
      <c r="H985" s="11" t="s">
        <v>2623</v>
      </c>
      <c r="I985" s="11" t="s">
        <v>1411</v>
      </c>
      <c r="J985" s="11">
        <v>28</v>
      </c>
      <c r="K985" s="11">
        <v>3766.4</v>
      </c>
      <c r="L985" s="11">
        <v>1054.5899999999999</v>
      </c>
      <c r="M985" s="11">
        <v>0</v>
      </c>
      <c r="N985" s="11">
        <v>0</v>
      </c>
      <c r="O985" s="11">
        <v>0</v>
      </c>
      <c r="P985" s="11" t="s">
        <v>2624</v>
      </c>
    </row>
    <row r="986" spans="1:16" x14ac:dyDescent="0.2">
      <c r="A986" s="52">
        <v>43709</v>
      </c>
      <c r="B986" s="11" t="s">
        <v>256</v>
      </c>
      <c r="C986" s="11" t="s">
        <v>2711</v>
      </c>
      <c r="D986" s="11" t="s">
        <v>3593</v>
      </c>
      <c r="E986" s="11" t="s">
        <v>2621</v>
      </c>
      <c r="F986" s="11" t="s">
        <v>3594</v>
      </c>
      <c r="G986" s="11">
        <v>16090.88</v>
      </c>
      <c r="H986" s="11" t="s">
        <v>2623</v>
      </c>
      <c r="I986" s="11" t="s">
        <v>1411</v>
      </c>
      <c r="J986" s="11">
        <v>28</v>
      </c>
      <c r="K986" s="11">
        <v>12571</v>
      </c>
      <c r="L986" s="11">
        <v>3519.88</v>
      </c>
      <c r="M986" s="11">
        <v>0</v>
      </c>
      <c r="N986" s="11">
        <v>0</v>
      </c>
      <c r="O986" s="11">
        <v>0</v>
      </c>
      <c r="P986" s="11" t="s">
        <v>2624</v>
      </c>
    </row>
    <row r="987" spans="1:16" x14ac:dyDescent="0.2">
      <c r="A987" s="52">
        <v>43709</v>
      </c>
      <c r="B987" s="11" t="s">
        <v>256</v>
      </c>
      <c r="C987" s="11" t="s">
        <v>2711</v>
      </c>
      <c r="D987" s="11" t="s">
        <v>3595</v>
      </c>
      <c r="E987" s="11" t="s">
        <v>2621</v>
      </c>
      <c r="F987" s="11" t="s">
        <v>3559</v>
      </c>
      <c r="G987" s="11">
        <v>4820.99</v>
      </c>
      <c r="H987" s="11" t="s">
        <v>2623</v>
      </c>
      <c r="I987" s="11" t="s">
        <v>1411</v>
      </c>
      <c r="J987" s="11">
        <v>28</v>
      </c>
      <c r="K987" s="11">
        <v>3766.4</v>
      </c>
      <c r="L987" s="11">
        <v>1054.5899999999999</v>
      </c>
      <c r="M987" s="11">
        <v>0</v>
      </c>
      <c r="N987" s="11">
        <v>0</v>
      </c>
      <c r="O987" s="11">
        <v>0</v>
      </c>
      <c r="P987" s="11" t="s">
        <v>2624</v>
      </c>
    </row>
    <row r="988" spans="1:16" x14ac:dyDescent="0.2">
      <c r="A988" s="52">
        <v>43709</v>
      </c>
      <c r="B988" s="11" t="s">
        <v>256</v>
      </c>
      <c r="C988" s="11" t="s">
        <v>2711</v>
      </c>
      <c r="D988" s="11" t="s">
        <v>3596</v>
      </c>
      <c r="E988" s="11" t="s">
        <v>2621</v>
      </c>
      <c r="F988" s="11" t="s">
        <v>3556</v>
      </c>
      <c r="G988" s="11">
        <v>71989.89</v>
      </c>
      <c r="H988" s="11" t="s">
        <v>2623</v>
      </c>
      <c r="I988" s="11" t="s">
        <v>1411</v>
      </c>
      <c r="J988" s="11">
        <v>28</v>
      </c>
      <c r="K988" s="11">
        <v>56242.1</v>
      </c>
      <c r="L988" s="11">
        <v>15747.79</v>
      </c>
      <c r="M988" s="11">
        <v>0</v>
      </c>
      <c r="N988" s="11">
        <v>0</v>
      </c>
      <c r="O988" s="11">
        <v>0</v>
      </c>
      <c r="P988" s="11" t="s">
        <v>2624</v>
      </c>
    </row>
    <row r="989" spans="1:16" x14ac:dyDescent="0.2">
      <c r="A989" s="52">
        <v>43709</v>
      </c>
      <c r="B989" s="11" t="s">
        <v>256</v>
      </c>
      <c r="C989" s="11" t="s">
        <v>2711</v>
      </c>
      <c r="D989" s="11" t="s">
        <v>3597</v>
      </c>
      <c r="E989" s="11" t="s">
        <v>2621</v>
      </c>
      <c r="F989" s="11" t="s">
        <v>3525</v>
      </c>
      <c r="G989" s="11">
        <v>57491.199999999997</v>
      </c>
      <c r="H989" s="11" t="s">
        <v>2623</v>
      </c>
      <c r="I989" s="11" t="s">
        <v>1411</v>
      </c>
      <c r="J989" s="11">
        <v>28</v>
      </c>
      <c r="K989" s="11">
        <v>44915</v>
      </c>
      <c r="L989" s="11">
        <v>12576.2</v>
      </c>
      <c r="M989" s="11">
        <v>0</v>
      </c>
      <c r="N989" s="11">
        <v>0</v>
      </c>
      <c r="O989" s="11">
        <v>0</v>
      </c>
      <c r="P989" s="11" t="s">
        <v>2624</v>
      </c>
    </row>
    <row r="990" spans="1:16" x14ac:dyDescent="0.2">
      <c r="A990" s="52">
        <v>43709</v>
      </c>
      <c r="B990" s="11" t="s">
        <v>256</v>
      </c>
      <c r="C990" s="11" t="s">
        <v>2711</v>
      </c>
      <c r="D990" s="11" t="s">
        <v>3598</v>
      </c>
      <c r="E990" s="11" t="s">
        <v>2621</v>
      </c>
      <c r="F990" s="11" t="s">
        <v>3583</v>
      </c>
      <c r="G990" s="11">
        <v>8179.2</v>
      </c>
      <c r="H990" s="11" t="s">
        <v>2623</v>
      </c>
      <c r="I990" s="11" t="s">
        <v>1411</v>
      </c>
      <c r="J990" s="11">
        <v>28</v>
      </c>
      <c r="K990" s="11">
        <v>6390</v>
      </c>
      <c r="L990" s="11">
        <v>1789.2</v>
      </c>
      <c r="M990" s="11">
        <v>0</v>
      </c>
      <c r="N990" s="11">
        <v>0</v>
      </c>
      <c r="O990" s="11">
        <v>0</v>
      </c>
      <c r="P990" s="11" t="s">
        <v>2624</v>
      </c>
    </row>
    <row r="991" spans="1:16" x14ac:dyDescent="0.2">
      <c r="A991" s="52">
        <v>43709</v>
      </c>
      <c r="B991" s="11" t="s">
        <v>256</v>
      </c>
      <c r="C991" s="11" t="s">
        <v>2711</v>
      </c>
      <c r="D991" s="11" t="s">
        <v>3599</v>
      </c>
      <c r="E991" s="11" t="s">
        <v>2621</v>
      </c>
      <c r="F991" s="11" t="s">
        <v>3583</v>
      </c>
      <c r="G991" s="11">
        <v>24468.17</v>
      </c>
      <c r="H991" s="11" t="s">
        <v>2623</v>
      </c>
      <c r="I991" s="11" t="s">
        <v>1411</v>
      </c>
      <c r="J991" s="11">
        <v>28</v>
      </c>
      <c r="K991" s="11">
        <v>19115.759999999998</v>
      </c>
      <c r="L991" s="11">
        <v>5352.41</v>
      </c>
      <c r="M991" s="11">
        <v>0</v>
      </c>
      <c r="N991" s="11">
        <v>0</v>
      </c>
      <c r="O991" s="11">
        <v>0</v>
      </c>
      <c r="P991" s="11" t="s">
        <v>2624</v>
      </c>
    </row>
    <row r="992" spans="1:16" x14ac:dyDescent="0.2">
      <c r="A992" s="52">
        <v>43709</v>
      </c>
      <c r="B992" s="11" t="s">
        <v>490</v>
      </c>
      <c r="C992" s="11" t="s">
        <v>2747</v>
      </c>
      <c r="D992" s="11" t="s">
        <v>3600</v>
      </c>
      <c r="E992" s="11" t="s">
        <v>2621</v>
      </c>
      <c r="F992" s="11" t="s">
        <v>3540</v>
      </c>
      <c r="G992" s="11">
        <v>123782</v>
      </c>
      <c r="H992" s="11" t="s">
        <v>2623</v>
      </c>
      <c r="I992" s="11" t="s">
        <v>1411</v>
      </c>
      <c r="J992" s="11">
        <v>18</v>
      </c>
      <c r="K992" s="11">
        <v>104900</v>
      </c>
      <c r="L992" s="11">
        <v>0</v>
      </c>
      <c r="M992" s="11">
        <v>9441</v>
      </c>
      <c r="N992" s="11">
        <v>9441</v>
      </c>
      <c r="O992" s="11">
        <v>0</v>
      </c>
      <c r="P992" s="11" t="s">
        <v>2624</v>
      </c>
    </row>
    <row r="993" spans="1:16" x14ac:dyDescent="0.2">
      <c r="A993" s="52">
        <v>43709</v>
      </c>
      <c r="B993" s="11" t="s">
        <v>490</v>
      </c>
      <c r="C993" s="11" t="s">
        <v>2747</v>
      </c>
      <c r="D993" s="11" t="s">
        <v>3601</v>
      </c>
      <c r="E993" s="11" t="s">
        <v>2621</v>
      </c>
      <c r="F993" s="11" t="s">
        <v>3540</v>
      </c>
      <c r="G993" s="11">
        <v>53688</v>
      </c>
      <c r="H993" s="11" t="s">
        <v>2623</v>
      </c>
      <c r="I993" s="11" t="s">
        <v>1411</v>
      </c>
      <c r="J993" s="11">
        <v>18</v>
      </c>
      <c r="K993" s="11">
        <v>45498.36</v>
      </c>
      <c r="L993" s="11">
        <v>0</v>
      </c>
      <c r="M993" s="11">
        <v>4094.85</v>
      </c>
      <c r="N993" s="11">
        <v>4094.85</v>
      </c>
      <c r="O993" s="11">
        <v>0</v>
      </c>
      <c r="P993" s="11" t="s">
        <v>2624</v>
      </c>
    </row>
    <row r="994" spans="1:16" x14ac:dyDescent="0.2">
      <c r="A994" s="52">
        <v>43709</v>
      </c>
      <c r="B994" s="11" t="s">
        <v>490</v>
      </c>
      <c r="C994" s="11" t="s">
        <v>2747</v>
      </c>
      <c r="D994" s="11" t="s">
        <v>3602</v>
      </c>
      <c r="E994" s="11" t="s">
        <v>2621</v>
      </c>
      <c r="F994" s="11" t="s">
        <v>3540</v>
      </c>
      <c r="G994" s="11">
        <v>38765</v>
      </c>
      <c r="H994" s="11" t="s">
        <v>2623</v>
      </c>
      <c r="I994" s="11" t="s">
        <v>1411</v>
      </c>
      <c r="J994" s="11">
        <v>18</v>
      </c>
      <c r="K994" s="11">
        <v>32851.64</v>
      </c>
      <c r="L994" s="11">
        <v>0</v>
      </c>
      <c r="M994" s="11">
        <v>2956.65</v>
      </c>
      <c r="N994" s="11">
        <v>2956.65</v>
      </c>
      <c r="O994" s="11">
        <v>0</v>
      </c>
      <c r="P994" s="11" t="s">
        <v>2624</v>
      </c>
    </row>
    <row r="995" spans="1:16" x14ac:dyDescent="0.2">
      <c r="A995" s="52">
        <v>43709</v>
      </c>
      <c r="B995" s="11" t="s">
        <v>490</v>
      </c>
      <c r="C995" s="11" t="s">
        <v>2747</v>
      </c>
      <c r="D995" s="11" t="s">
        <v>3603</v>
      </c>
      <c r="E995" s="11" t="s">
        <v>2621</v>
      </c>
      <c r="F995" s="11" t="s">
        <v>3545</v>
      </c>
      <c r="G995" s="11">
        <v>2294</v>
      </c>
      <c r="H995" s="11" t="s">
        <v>2623</v>
      </c>
      <c r="I995" s="11" t="s">
        <v>1411</v>
      </c>
      <c r="J995" s="11">
        <v>18</v>
      </c>
      <c r="K995" s="11">
        <v>1944.08</v>
      </c>
      <c r="L995" s="11">
        <v>0</v>
      </c>
      <c r="M995" s="11">
        <v>174.97</v>
      </c>
      <c r="N995" s="11">
        <v>174.97</v>
      </c>
      <c r="O995" s="11">
        <v>0</v>
      </c>
      <c r="P995" s="11" t="s">
        <v>2624</v>
      </c>
    </row>
    <row r="996" spans="1:16" x14ac:dyDescent="0.2">
      <c r="A996" s="52">
        <v>43709</v>
      </c>
      <c r="B996" s="11" t="s">
        <v>490</v>
      </c>
      <c r="C996" s="11" t="s">
        <v>2747</v>
      </c>
      <c r="D996" s="11" t="s">
        <v>3604</v>
      </c>
      <c r="E996" s="11" t="s">
        <v>2621</v>
      </c>
      <c r="F996" s="11" t="s">
        <v>3538</v>
      </c>
      <c r="G996" s="11">
        <v>4708</v>
      </c>
      <c r="H996" s="11" t="s">
        <v>2623</v>
      </c>
      <c r="I996" s="11" t="s">
        <v>1411</v>
      </c>
      <c r="J996" s="11">
        <v>18</v>
      </c>
      <c r="K996" s="11">
        <v>3989.8</v>
      </c>
      <c r="L996" s="11">
        <v>0</v>
      </c>
      <c r="M996" s="11">
        <v>359.08</v>
      </c>
      <c r="N996" s="11">
        <v>359.08</v>
      </c>
      <c r="O996" s="11">
        <v>0</v>
      </c>
      <c r="P996" s="11" t="s">
        <v>2624</v>
      </c>
    </row>
    <row r="997" spans="1:16" x14ac:dyDescent="0.2">
      <c r="A997" s="52">
        <v>43709</v>
      </c>
      <c r="B997" s="11" t="s">
        <v>490</v>
      </c>
      <c r="C997" s="11" t="s">
        <v>2747</v>
      </c>
      <c r="D997" s="11" t="s">
        <v>3605</v>
      </c>
      <c r="E997" s="11" t="s">
        <v>2621</v>
      </c>
      <c r="F997" s="11" t="s">
        <v>3558</v>
      </c>
      <c r="G997" s="11">
        <v>154580</v>
      </c>
      <c r="H997" s="11" t="s">
        <v>2623</v>
      </c>
      <c r="I997" s="11" t="s">
        <v>1411</v>
      </c>
      <c r="J997" s="11">
        <v>18</v>
      </c>
      <c r="K997" s="11">
        <v>131000</v>
      </c>
      <c r="L997" s="11">
        <v>0</v>
      </c>
      <c r="M997" s="11">
        <v>11790</v>
      </c>
      <c r="N997" s="11">
        <v>11790</v>
      </c>
      <c r="O997" s="11">
        <v>0</v>
      </c>
      <c r="P997" s="11" t="s">
        <v>2624</v>
      </c>
    </row>
    <row r="998" spans="1:16" x14ac:dyDescent="0.2">
      <c r="A998" s="52">
        <v>43709</v>
      </c>
      <c r="B998" s="11" t="s">
        <v>490</v>
      </c>
      <c r="C998" s="11" t="s">
        <v>2747</v>
      </c>
      <c r="D998" s="11" t="s">
        <v>3606</v>
      </c>
      <c r="E998" s="11" t="s">
        <v>2621</v>
      </c>
      <c r="F998" s="11" t="s">
        <v>3558</v>
      </c>
      <c r="G998" s="11">
        <v>23808</v>
      </c>
      <c r="H998" s="11" t="s">
        <v>2623</v>
      </c>
      <c r="I998" s="11" t="s">
        <v>1411</v>
      </c>
      <c r="J998" s="11">
        <v>18</v>
      </c>
      <c r="K998" s="11">
        <v>20176.32</v>
      </c>
      <c r="L998" s="11">
        <v>0</v>
      </c>
      <c r="M998" s="11">
        <v>1815.87</v>
      </c>
      <c r="N998" s="11">
        <v>1815.87</v>
      </c>
      <c r="O998" s="11">
        <v>0</v>
      </c>
      <c r="P998" s="11" t="s">
        <v>2624</v>
      </c>
    </row>
    <row r="999" spans="1:16" x14ac:dyDescent="0.2">
      <c r="A999" s="52">
        <v>43709</v>
      </c>
      <c r="B999" s="11" t="s">
        <v>490</v>
      </c>
      <c r="C999" s="11" t="s">
        <v>2747</v>
      </c>
      <c r="D999" s="11" t="s">
        <v>3607</v>
      </c>
      <c r="E999" s="11" t="s">
        <v>2621</v>
      </c>
      <c r="F999" s="11" t="s">
        <v>3571</v>
      </c>
      <c r="G999" s="11">
        <v>8307</v>
      </c>
      <c r="H999" s="11" t="s">
        <v>2623</v>
      </c>
      <c r="I999" s="11" t="s">
        <v>1411</v>
      </c>
      <c r="J999" s="11">
        <v>18</v>
      </c>
      <c r="K999" s="11">
        <v>7039.8</v>
      </c>
      <c r="L999" s="11">
        <v>0</v>
      </c>
      <c r="M999" s="11">
        <v>633.58000000000004</v>
      </c>
      <c r="N999" s="11">
        <v>633.58000000000004</v>
      </c>
      <c r="O999" s="11">
        <v>0</v>
      </c>
      <c r="P999" s="11" t="s">
        <v>2624</v>
      </c>
    </row>
    <row r="1000" spans="1:16" x14ac:dyDescent="0.2">
      <c r="A1000" s="52">
        <v>43709</v>
      </c>
      <c r="B1000" s="11" t="s">
        <v>490</v>
      </c>
      <c r="C1000" s="11" t="s">
        <v>2747</v>
      </c>
      <c r="D1000" s="11" t="s">
        <v>3608</v>
      </c>
      <c r="E1000" s="11" t="s">
        <v>2621</v>
      </c>
      <c r="F1000" s="11" t="s">
        <v>3559</v>
      </c>
      <c r="G1000" s="11">
        <v>10384</v>
      </c>
      <c r="H1000" s="11" t="s">
        <v>2623</v>
      </c>
      <c r="I1000" s="11" t="s">
        <v>1411</v>
      </c>
      <c r="J1000" s="11">
        <v>18</v>
      </c>
      <c r="K1000" s="11">
        <v>8800</v>
      </c>
      <c r="L1000" s="11">
        <v>0</v>
      </c>
      <c r="M1000" s="11">
        <v>792</v>
      </c>
      <c r="N1000" s="11">
        <v>792</v>
      </c>
      <c r="O1000" s="11">
        <v>0</v>
      </c>
      <c r="P1000" s="11" t="s">
        <v>2624</v>
      </c>
    </row>
    <row r="1001" spans="1:16" x14ac:dyDescent="0.2">
      <c r="A1001" s="52">
        <v>43709</v>
      </c>
      <c r="B1001" s="11" t="s">
        <v>490</v>
      </c>
      <c r="C1001" s="11" t="s">
        <v>2747</v>
      </c>
      <c r="D1001" s="11" t="s">
        <v>3609</v>
      </c>
      <c r="E1001" s="11" t="s">
        <v>2621</v>
      </c>
      <c r="F1001" s="11" t="s">
        <v>3556</v>
      </c>
      <c r="G1001" s="11">
        <v>29760</v>
      </c>
      <c r="H1001" s="11" t="s">
        <v>2623</v>
      </c>
      <c r="I1001" s="11" t="s">
        <v>1411</v>
      </c>
      <c r="J1001" s="11">
        <v>18</v>
      </c>
      <c r="K1001" s="11">
        <v>25220.400000000001</v>
      </c>
      <c r="L1001" s="11">
        <v>0</v>
      </c>
      <c r="M1001" s="11">
        <v>2269.84</v>
      </c>
      <c r="N1001" s="11">
        <v>2269.84</v>
      </c>
      <c r="O1001" s="11">
        <v>0</v>
      </c>
      <c r="P1001" s="11" t="s">
        <v>2624</v>
      </c>
    </row>
    <row r="1002" spans="1:16" x14ac:dyDescent="0.2">
      <c r="A1002" s="52">
        <v>43709</v>
      </c>
      <c r="B1002" s="11" t="s">
        <v>490</v>
      </c>
      <c r="C1002" s="11" t="s">
        <v>2747</v>
      </c>
      <c r="D1002" s="11" t="s">
        <v>3610</v>
      </c>
      <c r="E1002" s="11" t="s">
        <v>2621</v>
      </c>
      <c r="F1002" s="11" t="s">
        <v>3583</v>
      </c>
      <c r="G1002" s="11">
        <v>47672</v>
      </c>
      <c r="H1002" s="11" t="s">
        <v>2623</v>
      </c>
      <c r="I1002" s="11" t="s">
        <v>1411</v>
      </c>
      <c r="J1002" s="11">
        <v>18</v>
      </c>
      <c r="K1002" s="11">
        <v>40400</v>
      </c>
      <c r="L1002" s="11">
        <v>0</v>
      </c>
      <c r="M1002" s="11">
        <v>3636</v>
      </c>
      <c r="N1002" s="11">
        <v>3636</v>
      </c>
      <c r="O1002" s="11">
        <v>0</v>
      </c>
      <c r="P1002" s="11" t="s">
        <v>2624</v>
      </c>
    </row>
    <row r="1003" spans="1:16" x14ac:dyDescent="0.2">
      <c r="A1003" s="52">
        <v>43709</v>
      </c>
      <c r="B1003" s="11" t="s">
        <v>534</v>
      </c>
      <c r="C1003" s="11" t="s">
        <v>3055</v>
      </c>
      <c r="D1003" s="11" t="s">
        <v>3611</v>
      </c>
      <c r="E1003" s="11" t="s">
        <v>2621</v>
      </c>
      <c r="F1003" s="11" t="s">
        <v>3402</v>
      </c>
      <c r="G1003" s="11">
        <v>3659</v>
      </c>
      <c r="H1003" s="11" t="s">
        <v>2623</v>
      </c>
      <c r="I1003" s="11" t="s">
        <v>1411</v>
      </c>
      <c r="J1003" s="11">
        <v>18</v>
      </c>
      <c r="K1003" s="11">
        <v>3100.5</v>
      </c>
      <c r="L1003" s="11">
        <v>0</v>
      </c>
      <c r="M1003" s="11">
        <v>279.05</v>
      </c>
      <c r="N1003" s="11">
        <v>279.05</v>
      </c>
      <c r="O1003" s="11">
        <v>0</v>
      </c>
      <c r="P1003" s="11" t="s">
        <v>2624</v>
      </c>
    </row>
    <row r="1004" spans="1:16" x14ac:dyDescent="0.2">
      <c r="A1004" s="52">
        <v>43709</v>
      </c>
      <c r="B1004" s="11" t="s">
        <v>610</v>
      </c>
      <c r="C1004" s="11" t="s">
        <v>2904</v>
      </c>
      <c r="D1004" s="11" t="s">
        <v>951</v>
      </c>
      <c r="E1004" s="11" t="s">
        <v>2621</v>
      </c>
      <c r="F1004" s="11" t="s">
        <v>3529</v>
      </c>
      <c r="G1004" s="11">
        <v>29058</v>
      </c>
      <c r="H1004" s="11" t="s">
        <v>2623</v>
      </c>
      <c r="I1004" s="11" t="s">
        <v>1411</v>
      </c>
      <c r="J1004" s="11">
        <v>18</v>
      </c>
      <c r="K1004" s="11">
        <v>24626</v>
      </c>
      <c r="L1004" s="11">
        <v>0</v>
      </c>
      <c r="M1004" s="11">
        <v>2216.34</v>
      </c>
      <c r="N1004" s="11">
        <v>2216.34</v>
      </c>
      <c r="O1004" s="11">
        <v>0</v>
      </c>
      <c r="P1004" s="11" t="s">
        <v>2624</v>
      </c>
    </row>
    <row r="1005" spans="1:16" x14ac:dyDescent="0.2">
      <c r="A1005" s="52">
        <v>43709</v>
      </c>
      <c r="B1005" s="11" t="s">
        <v>610</v>
      </c>
      <c r="C1005" s="11" t="s">
        <v>2904</v>
      </c>
      <c r="D1005" s="11" t="s">
        <v>952</v>
      </c>
      <c r="E1005" s="11" t="s">
        <v>2621</v>
      </c>
      <c r="F1005" s="11" t="s">
        <v>3529</v>
      </c>
      <c r="G1005" s="11">
        <v>975669</v>
      </c>
      <c r="H1005" s="11" t="s">
        <v>2623</v>
      </c>
      <c r="I1005" s="11" t="s">
        <v>1411</v>
      </c>
      <c r="J1005" s="11">
        <v>18</v>
      </c>
      <c r="K1005" s="11">
        <v>826838</v>
      </c>
      <c r="L1005" s="11">
        <v>0</v>
      </c>
      <c r="M1005" s="11">
        <v>74415.42</v>
      </c>
      <c r="N1005" s="11">
        <v>74415.42</v>
      </c>
      <c r="O1005" s="11">
        <v>0</v>
      </c>
      <c r="P1005" s="11" t="s">
        <v>2624</v>
      </c>
    </row>
    <row r="1006" spans="1:16" x14ac:dyDescent="0.2">
      <c r="A1006" s="52">
        <v>43709</v>
      </c>
      <c r="B1006" s="11" t="s">
        <v>964</v>
      </c>
      <c r="C1006" s="11" t="s">
        <v>3612</v>
      </c>
      <c r="D1006" s="11" t="s">
        <v>3613</v>
      </c>
      <c r="E1006" s="11" t="s">
        <v>2621</v>
      </c>
      <c r="F1006" s="11" t="s">
        <v>3614</v>
      </c>
      <c r="G1006" s="11">
        <v>1770</v>
      </c>
      <c r="H1006" s="11" t="s">
        <v>2623</v>
      </c>
      <c r="I1006" s="11" t="s">
        <v>2886</v>
      </c>
      <c r="J1006" s="11">
        <v>18</v>
      </c>
      <c r="K1006" s="11">
        <v>1500</v>
      </c>
      <c r="L1006" s="11">
        <v>0</v>
      </c>
      <c r="M1006" s="11">
        <v>135</v>
      </c>
      <c r="N1006" s="11">
        <v>135</v>
      </c>
      <c r="O1006" s="11">
        <v>0</v>
      </c>
      <c r="P1006" s="11" t="s">
        <v>2624</v>
      </c>
    </row>
    <row r="1007" spans="1:16" x14ac:dyDescent="0.2">
      <c r="A1007" s="52">
        <v>43709</v>
      </c>
      <c r="B1007" s="11" t="s">
        <v>915</v>
      </c>
      <c r="C1007" s="11" t="s">
        <v>3615</v>
      </c>
      <c r="D1007" s="11" t="s">
        <v>3616</v>
      </c>
      <c r="E1007" s="11" t="s">
        <v>2621</v>
      </c>
      <c r="F1007" s="11" t="s">
        <v>3411</v>
      </c>
      <c r="G1007" s="11">
        <v>3540</v>
      </c>
      <c r="H1007" s="11" t="s">
        <v>2623</v>
      </c>
      <c r="I1007" s="11" t="s">
        <v>1411</v>
      </c>
      <c r="J1007" s="11">
        <v>18</v>
      </c>
      <c r="K1007" s="11">
        <v>3000</v>
      </c>
      <c r="L1007" s="11">
        <v>0</v>
      </c>
      <c r="M1007" s="11">
        <v>270</v>
      </c>
      <c r="N1007" s="11">
        <v>270</v>
      </c>
      <c r="O1007" s="11">
        <v>0</v>
      </c>
      <c r="P1007" s="11" t="s">
        <v>2624</v>
      </c>
    </row>
    <row r="1008" spans="1:16" x14ac:dyDescent="0.2">
      <c r="A1008" s="52">
        <v>43709</v>
      </c>
      <c r="B1008" s="11" t="s">
        <v>552</v>
      </c>
      <c r="C1008" s="11" t="s">
        <v>3059</v>
      </c>
      <c r="D1008" s="11" t="s">
        <v>772</v>
      </c>
      <c r="E1008" s="11" t="s">
        <v>2621</v>
      </c>
      <c r="F1008" s="11" t="s">
        <v>3144</v>
      </c>
      <c r="G1008" s="11">
        <v>201</v>
      </c>
      <c r="H1008" s="11" t="s">
        <v>2623</v>
      </c>
      <c r="I1008" s="11" t="s">
        <v>1411</v>
      </c>
      <c r="J1008" s="11">
        <v>18</v>
      </c>
      <c r="K1008" s="11">
        <v>170</v>
      </c>
      <c r="L1008" s="11">
        <v>0</v>
      </c>
      <c r="M1008" s="11">
        <v>15.3</v>
      </c>
      <c r="N1008" s="11">
        <v>15.3</v>
      </c>
      <c r="O1008" s="11">
        <v>0</v>
      </c>
      <c r="P1008" s="11" t="s">
        <v>2624</v>
      </c>
    </row>
    <row r="1009" spans="1:16" x14ac:dyDescent="0.2">
      <c r="A1009" s="52">
        <v>43709</v>
      </c>
      <c r="B1009" s="11" t="s">
        <v>552</v>
      </c>
      <c r="C1009" s="11" t="s">
        <v>3059</v>
      </c>
      <c r="D1009" s="11" t="s">
        <v>831</v>
      </c>
      <c r="E1009" s="11" t="s">
        <v>2621</v>
      </c>
      <c r="F1009" s="11" t="s">
        <v>3158</v>
      </c>
      <c r="G1009" s="11">
        <v>354</v>
      </c>
      <c r="H1009" s="11" t="s">
        <v>2623</v>
      </c>
      <c r="I1009" s="11" t="s">
        <v>1411</v>
      </c>
      <c r="J1009" s="11">
        <v>18</v>
      </c>
      <c r="K1009" s="11">
        <v>300</v>
      </c>
      <c r="L1009" s="11">
        <v>0</v>
      </c>
      <c r="M1009" s="11">
        <v>27</v>
      </c>
      <c r="N1009" s="11">
        <v>27</v>
      </c>
      <c r="O1009" s="11">
        <v>0</v>
      </c>
      <c r="P1009" s="11" t="s">
        <v>2624</v>
      </c>
    </row>
    <row r="1010" spans="1:16" x14ac:dyDescent="0.2">
      <c r="A1010" s="52">
        <v>43709</v>
      </c>
      <c r="B1010" s="11" t="s">
        <v>552</v>
      </c>
      <c r="C1010" s="11" t="s">
        <v>3059</v>
      </c>
      <c r="D1010" s="11" t="s">
        <v>835</v>
      </c>
      <c r="E1010" s="11" t="s">
        <v>2621</v>
      </c>
      <c r="F1010" s="11" t="s">
        <v>3147</v>
      </c>
      <c r="G1010" s="11">
        <v>1416</v>
      </c>
      <c r="H1010" s="11" t="s">
        <v>2623</v>
      </c>
      <c r="I1010" s="11" t="s">
        <v>1411</v>
      </c>
      <c r="J1010" s="11">
        <v>18</v>
      </c>
      <c r="K1010" s="11">
        <v>1200</v>
      </c>
      <c r="L1010" s="11">
        <v>0</v>
      </c>
      <c r="M1010" s="11">
        <v>108</v>
      </c>
      <c r="N1010" s="11">
        <v>108</v>
      </c>
      <c r="O1010" s="11">
        <v>0</v>
      </c>
      <c r="P1010" s="11" t="s">
        <v>2624</v>
      </c>
    </row>
    <row r="1011" spans="1:16" x14ac:dyDescent="0.2">
      <c r="A1011" s="52">
        <v>43709</v>
      </c>
      <c r="B1011" s="11" t="s">
        <v>552</v>
      </c>
      <c r="C1011" s="11" t="s">
        <v>3059</v>
      </c>
      <c r="D1011" s="11" t="s">
        <v>3617</v>
      </c>
      <c r="E1011" s="11" t="s">
        <v>2621</v>
      </c>
      <c r="F1011" s="11" t="s">
        <v>3545</v>
      </c>
      <c r="G1011" s="11">
        <v>21240</v>
      </c>
      <c r="H1011" s="11" t="s">
        <v>2623</v>
      </c>
      <c r="I1011" s="11" t="s">
        <v>1411</v>
      </c>
      <c r="J1011" s="11">
        <v>18</v>
      </c>
      <c r="K1011" s="11">
        <v>18000</v>
      </c>
      <c r="L1011" s="11">
        <v>0</v>
      </c>
      <c r="M1011" s="11">
        <v>1620</v>
      </c>
      <c r="N1011" s="11">
        <v>1620</v>
      </c>
      <c r="O1011" s="11">
        <v>0</v>
      </c>
      <c r="P1011" s="11" t="s">
        <v>2624</v>
      </c>
    </row>
    <row r="1012" spans="1:16" x14ac:dyDescent="0.2">
      <c r="A1012" s="52">
        <v>43709</v>
      </c>
      <c r="B1012" s="11" t="s">
        <v>552</v>
      </c>
      <c r="C1012" s="11" t="s">
        <v>3059</v>
      </c>
      <c r="D1012" s="11" t="s">
        <v>3618</v>
      </c>
      <c r="E1012" s="11" t="s">
        <v>2621</v>
      </c>
      <c r="F1012" s="11" t="s">
        <v>3550</v>
      </c>
      <c r="G1012" s="11">
        <v>1534</v>
      </c>
      <c r="H1012" s="11" t="s">
        <v>2623</v>
      </c>
      <c r="I1012" s="11" t="s">
        <v>1411</v>
      </c>
      <c r="J1012" s="11">
        <v>18</v>
      </c>
      <c r="K1012" s="11">
        <v>1300</v>
      </c>
      <c r="L1012" s="11">
        <v>0</v>
      </c>
      <c r="M1012" s="11">
        <v>117</v>
      </c>
      <c r="N1012" s="11">
        <v>117</v>
      </c>
      <c r="O1012" s="11">
        <v>0</v>
      </c>
      <c r="P1012" s="11" t="s">
        <v>2624</v>
      </c>
    </row>
    <row r="1013" spans="1:16" x14ac:dyDescent="0.2">
      <c r="A1013" s="52">
        <v>43709</v>
      </c>
      <c r="B1013" s="11" t="s">
        <v>552</v>
      </c>
      <c r="C1013" s="11" t="s">
        <v>3059</v>
      </c>
      <c r="D1013" s="11" t="s">
        <v>996</v>
      </c>
      <c r="E1013" s="11" t="s">
        <v>2621</v>
      </c>
      <c r="F1013" s="11" t="s">
        <v>3536</v>
      </c>
      <c r="G1013" s="11">
        <v>1121</v>
      </c>
      <c r="H1013" s="11" t="s">
        <v>2623</v>
      </c>
      <c r="I1013" s="11" t="s">
        <v>1411</v>
      </c>
      <c r="J1013" s="11">
        <v>18</v>
      </c>
      <c r="K1013" s="11">
        <v>950</v>
      </c>
      <c r="L1013" s="11">
        <v>0</v>
      </c>
      <c r="M1013" s="11">
        <v>85.5</v>
      </c>
      <c r="N1013" s="11">
        <v>85.5</v>
      </c>
      <c r="O1013" s="11">
        <v>0</v>
      </c>
      <c r="P1013" s="11" t="s">
        <v>2624</v>
      </c>
    </row>
    <row r="1014" spans="1:16" x14ac:dyDescent="0.2">
      <c r="A1014" s="52">
        <v>43709</v>
      </c>
      <c r="B1014" s="11" t="s">
        <v>507</v>
      </c>
      <c r="C1014" s="11" t="s">
        <v>2755</v>
      </c>
      <c r="D1014" s="11" t="s">
        <v>3376</v>
      </c>
      <c r="E1014" s="11" t="s">
        <v>2621</v>
      </c>
      <c r="F1014" s="11" t="s">
        <v>3542</v>
      </c>
      <c r="G1014" s="11">
        <v>16520</v>
      </c>
      <c r="H1014" s="11" t="s">
        <v>2623</v>
      </c>
      <c r="I1014" s="11" t="s">
        <v>1411</v>
      </c>
      <c r="J1014" s="11">
        <v>18</v>
      </c>
      <c r="K1014" s="11">
        <v>14000</v>
      </c>
      <c r="L1014" s="11">
        <v>0</v>
      </c>
      <c r="M1014" s="11">
        <v>1260</v>
      </c>
      <c r="N1014" s="11">
        <v>1260</v>
      </c>
      <c r="O1014" s="11">
        <v>0</v>
      </c>
      <c r="P1014" s="11" t="s">
        <v>2624</v>
      </c>
    </row>
    <row r="1015" spans="1:16" x14ac:dyDescent="0.2">
      <c r="A1015" s="52">
        <v>43709</v>
      </c>
      <c r="B1015" s="11" t="s">
        <v>507</v>
      </c>
      <c r="C1015" s="11" t="s">
        <v>2755</v>
      </c>
      <c r="D1015" s="11" t="s">
        <v>3377</v>
      </c>
      <c r="E1015" s="11" t="s">
        <v>2621</v>
      </c>
      <c r="F1015" s="11" t="s">
        <v>3542</v>
      </c>
      <c r="G1015" s="11">
        <v>17228</v>
      </c>
      <c r="H1015" s="11" t="s">
        <v>2623</v>
      </c>
      <c r="I1015" s="11" t="s">
        <v>1411</v>
      </c>
      <c r="J1015" s="11">
        <v>18</v>
      </c>
      <c r="K1015" s="11">
        <v>14600</v>
      </c>
      <c r="L1015" s="11">
        <v>0</v>
      </c>
      <c r="M1015" s="11">
        <v>1314</v>
      </c>
      <c r="N1015" s="11">
        <v>1314</v>
      </c>
      <c r="O1015" s="11">
        <v>0</v>
      </c>
      <c r="P1015" s="11" t="s">
        <v>2624</v>
      </c>
    </row>
    <row r="1016" spans="1:16" x14ac:dyDescent="0.2">
      <c r="A1016" s="52">
        <v>43709</v>
      </c>
      <c r="B1016" s="11" t="s">
        <v>507</v>
      </c>
      <c r="C1016" s="11" t="s">
        <v>2755</v>
      </c>
      <c r="D1016" s="11" t="s">
        <v>947</v>
      </c>
      <c r="E1016" s="11" t="s">
        <v>2621</v>
      </c>
      <c r="F1016" s="11" t="s">
        <v>3542</v>
      </c>
      <c r="G1016" s="11">
        <v>21806</v>
      </c>
      <c r="H1016" s="11" t="s">
        <v>2623</v>
      </c>
      <c r="I1016" s="11" t="s">
        <v>1411</v>
      </c>
      <c r="J1016" s="11">
        <v>18</v>
      </c>
      <c r="K1016" s="11">
        <v>18479.599999999999</v>
      </c>
      <c r="L1016" s="11">
        <v>0</v>
      </c>
      <c r="M1016" s="11">
        <v>1663.16</v>
      </c>
      <c r="N1016" s="11">
        <v>1663.16</v>
      </c>
      <c r="O1016" s="11">
        <v>0</v>
      </c>
      <c r="P1016" s="11" t="s">
        <v>2624</v>
      </c>
    </row>
    <row r="1017" spans="1:16" x14ac:dyDescent="0.2">
      <c r="A1017" s="52">
        <v>43709</v>
      </c>
      <c r="B1017" s="11" t="s">
        <v>507</v>
      </c>
      <c r="C1017" s="11" t="s">
        <v>2755</v>
      </c>
      <c r="D1017" s="11" t="s">
        <v>948</v>
      </c>
      <c r="E1017" s="11" t="s">
        <v>2621</v>
      </c>
      <c r="F1017" s="11" t="s">
        <v>3542</v>
      </c>
      <c r="G1017" s="11">
        <v>10950</v>
      </c>
      <c r="H1017" s="11" t="s">
        <v>2623</v>
      </c>
      <c r="I1017" s="11" t="s">
        <v>1411</v>
      </c>
      <c r="J1017" s="11">
        <v>18</v>
      </c>
      <c r="K1017" s="11">
        <v>9279.6</v>
      </c>
      <c r="L1017" s="11">
        <v>0</v>
      </c>
      <c r="M1017" s="11">
        <v>835.16</v>
      </c>
      <c r="N1017" s="11">
        <v>835.16</v>
      </c>
      <c r="O1017" s="11">
        <v>0</v>
      </c>
      <c r="P1017" s="11" t="s">
        <v>2624</v>
      </c>
    </row>
    <row r="1018" spans="1:16" x14ac:dyDescent="0.2">
      <c r="A1018" s="52">
        <v>43709</v>
      </c>
      <c r="B1018" s="11" t="s">
        <v>507</v>
      </c>
      <c r="C1018" s="11" t="s">
        <v>2755</v>
      </c>
      <c r="D1018" s="11" t="s">
        <v>982</v>
      </c>
      <c r="E1018" s="11" t="s">
        <v>2621</v>
      </c>
      <c r="F1018" s="11" t="s">
        <v>3594</v>
      </c>
      <c r="G1018" s="11">
        <v>21806</v>
      </c>
      <c r="H1018" s="11" t="s">
        <v>2623</v>
      </c>
      <c r="I1018" s="11" t="s">
        <v>1411</v>
      </c>
      <c r="J1018" s="11">
        <v>18</v>
      </c>
      <c r="K1018" s="11">
        <v>18479.599999999999</v>
      </c>
      <c r="L1018" s="11">
        <v>0</v>
      </c>
      <c r="M1018" s="11">
        <v>1663.16</v>
      </c>
      <c r="N1018" s="11">
        <v>1663.16</v>
      </c>
      <c r="O1018" s="11">
        <v>0</v>
      </c>
      <c r="P1018" s="11" t="s">
        <v>2624</v>
      </c>
    </row>
    <row r="1019" spans="1:16" x14ac:dyDescent="0.2">
      <c r="A1019" s="52">
        <v>43709</v>
      </c>
      <c r="B1019" s="11" t="s">
        <v>507</v>
      </c>
      <c r="C1019" s="11" t="s">
        <v>2755</v>
      </c>
      <c r="D1019" s="11" t="s">
        <v>3378</v>
      </c>
      <c r="E1019" s="11" t="s">
        <v>2621</v>
      </c>
      <c r="F1019" s="11" t="s">
        <v>3565</v>
      </c>
      <c r="G1019" s="11">
        <v>24780</v>
      </c>
      <c r="H1019" s="11" t="s">
        <v>2623</v>
      </c>
      <c r="I1019" s="11" t="s">
        <v>1411</v>
      </c>
      <c r="J1019" s="11">
        <v>18</v>
      </c>
      <c r="K1019" s="11">
        <v>21000</v>
      </c>
      <c r="L1019" s="11">
        <v>0</v>
      </c>
      <c r="M1019" s="11">
        <v>1890</v>
      </c>
      <c r="N1019" s="11">
        <v>1890</v>
      </c>
      <c r="O1019" s="11">
        <v>0</v>
      </c>
      <c r="P1019" s="11" t="s">
        <v>2624</v>
      </c>
    </row>
    <row r="1020" spans="1:16" x14ac:dyDescent="0.2">
      <c r="A1020" s="52">
        <v>43709</v>
      </c>
      <c r="B1020" s="11" t="s">
        <v>507</v>
      </c>
      <c r="C1020" s="11" t="s">
        <v>2755</v>
      </c>
      <c r="D1020" s="11" t="s">
        <v>990</v>
      </c>
      <c r="E1020" s="11" t="s">
        <v>2621</v>
      </c>
      <c r="F1020" s="11" t="s">
        <v>3525</v>
      </c>
      <c r="G1020" s="11">
        <v>41300</v>
      </c>
      <c r="H1020" s="11" t="s">
        <v>2623</v>
      </c>
      <c r="I1020" s="11" t="s">
        <v>1411</v>
      </c>
      <c r="J1020" s="11">
        <v>18</v>
      </c>
      <c r="K1020" s="11">
        <v>35000</v>
      </c>
      <c r="L1020" s="11">
        <v>0</v>
      </c>
      <c r="M1020" s="11">
        <v>3150</v>
      </c>
      <c r="N1020" s="11">
        <v>3150</v>
      </c>
      <c r="O1020" s="11">
        <v>0</v>
      </c>
      <c r="P1020" s="11" t="s">
        <v>2624</v>
      </c>
    </row>
    <row r="1021" spans="1:16" x14ac:dyDescent="0.2">
      <c r="A1021" s="52">
        <v>43709</v>
      </c>
      <c r="B1021" s="11" t="s">
        <v>507</v>
      </c>
      <c r="C1021" s="11" t="s">
        <v>2755</v>
      </c>
      <c r="D1021" s="11" t="s">
        <v>991</v>
      </c>
      <c r="E1021" s="11" t="s">
        <v>2621</v>
      </c>
      <c r="F1021" s="11" t="s">
        <v>3525</v>
      </c>
      <c r="G1021" s="11">
        <v>10903</v>
      </c>
      <c r="H1021" s="11" t="s">
        <v>2623</v>
      </c>
      <c r="I1021" s="11" t="s">
        <v>1411</v>
      </c>
      <c r="J1021" s="11">
        <v>18</v>
      </c>
      <c r="K1021" s="11">
        <v>9239.7999999999993</v>
      </c>
      <c r="L1021" s="11">
        <v>0</v>
      </c>
      <c r="M1021" s="11">
        <v>831.58</v>
      </c>
      <c r="N1021" s="11">
        <v>831.58</v>
      </c>
      <c r="O1021" s="11">
        <v>0</v>
      </c>
      <c r="P1021" s="11" t="s">
        <v>2624</v>
      </c>
    </row>
    <row r="1022" spans="1:16" x14ac:dyDescent="0.2">
      <c r="A1022" s="52">
        <v>43709</v>
      </c>
      <c r="B1022" s="11" t="s">
        <v>494</v>
      </c>
      <c r="C1022" s="11" t="s">
        <v>2756</v>
      </c>
      <c r="D1022" s="11" t="s">
        <v>3619</v>
      </c>
      <c r="E1022" s="11" t="s">
        <v>2621</v>
      </c>
      <c r="F1022" s="11" t="s">
        <v>3620</v>
      </c>
      <c r="G1022" s="11">
        <v>13564</v>
      </c>
      <c r="H1022" s="11" t="s">
        <v>2623</v>
      </c>
      <c r="I1022" s="11" t="s">
        <v>1411</v>
      </c>
      <c r="J1022" s="11">
        <v>18</v>
      </c>
      <c r="K1022" s="11">
        <v>11495</v>
      </c>
      <c r="L1022" s="11">
        <v>0</v>
      </c>
      <c r="M1022" s="11">
        <v>1034.55</v>
      </c>
      <c r="N1022" s="11">
        <v>1034.55</v>
      </c>
      <c r="O1022" s="11">
        <v>0</v>
      </c>
      <c r="P1022" s="11" t="s">
        <v>2624</v>
      </c>
    </row>
    <row r="1023" spans="1:16" x14ac:dyDescent="0.2">
      <c r="A1023" s="52">
        <v>43709</v>
      </c>
      <c r="B1023" s="11" t="s">
        <v>494</v>
      </c>
      <c r="C1023" s="11" t="s">
        <v>2756</v>
      </c>
      <c r="D1023" s="11" t="s">
        <v>3099</v>
      </c>
      <c r="E1023" s="11" t="s">
        <v>2621</v>
      </c>
      <c r="F1023" s="11" t="s">
        <v>3545</v>
      </c>
      <c r="G1023" s="11">
        <v>35267</v>
      </c>
      <c r="H1023" s="11" t="s">
        <v>2623</v>
      </c>
      <c r="I1023" s="11" t="s">
        <v>1411</v>
      </c>
      <c r="J1023" s="11">
        <v>18</v>
      </c>
      <c r="K1023" s="11">
        <v>29887</v>
      </c>
      <c r="L1023" s="11">
        <v>0</v>
      </c>
      <c r="M1023" s="11">
        <v>2689.83</v>
      </c>
      <c r="N1023" s="11">
        <v>2689.83</v>
      </c>
      <c r="O1023" s="11">
        <v>0</v>
      </c>
      <c r="P1023" s="11" t="s">
        <v>2624</v>
      </c>
    </row>
    <row r="1024" spans="1:16" x14ac:dyDescent="0.2">
      <c r="A1024" s="52">
        <v>43709</v>
      </c>
      <c r="B1024" s="11" t="s">
        <v>494</v>
      </c>
      <c r="C1024" s="11" t="s">
        <v>2756</v>
      </c>
      <c r="D1024" s="11" t="s">
        <v>3621</v>
      </c>
      <c r="E1024" s="11" t="s">
        <v>2621</v>
      </c>
      <c r="F1024" s="11" t="s">
        <v>3538</v>
      </c>
      <c r="G1024" s="11">
        <v>19939</v>
      </c>
      <c r="H1024" s="11" t="s">
        <v>2623</v>
      </c>
      <c r="I1024" s="11" t="s">
        <v>1411</v>
      </c>
      <c r="J1024" s="11">
        <v>18</v>
      </c>
      <c r="K1024" s="11">
        <v>16897.650000000001</v>
      </c>
      <c r="L1024" s="11">
        <v>0</v>
      </c>
      <c r="M1024" s="11">
        <v>1520.79</v>
      </c>
      <c r="N1024" s="11">
        <v>1520.79</v>
      </c>
      <c r="O1024" s="11">
        <v>0</v>
      </c>
      <c r="P1024" s="11" t="s">
        <v>2624</v>
      </c>
    </row>
    <row r="1025" spans="1:16" x14ac:dyDescent="0.2">
      <c r="A1025" s="52">
        <v>43709</v>
      </c>
      <c r="B1025" s="11" t="s">
        <v>494</v>
      </c>
      <c r="C1025" s="11" t="s">
        <v>2756</v>
      </c>
      <c r="D1025" s="11" t="s">
        <v>3622</v>
      </c>
      <c r="E1025" s="11" t="s">
        <v>2621</v>
      </c>
      <c r="F1025" s="11" t="s">
        <v>3559</v>
      </c>
      <c r="G1025" s="11">
        <v>24415</v>
      </c>
      <c r="H1025" s="11" t="s">
        <v>2623</v>
      </c>
      <c r="I1025" s="11" t="s">
        <v>1411</v>
      </c>
      <c r="J1025" s="11">
        <v>18</v>
      </c>
      <c r="K1025" s="11">
        <v>20691</v>
      </c>
      <c r="L1025" s="11">
        <v>0</v>
      </c>
      <c r="M1025" s="11">
        <v>1862.19</v>
      </c>
      <c r="N1025" s="11">
        <v>1862.19</v>
      </c>
      <c r="O1025" s="11">
        <v>0</v>
      </c>
      <c r="P1025" s="11" t="s">
        <v>2624</v>
      </c>
    </row>
    <row r="1026" spans="1:16" x14ac:dyDescent="0.2">
      <c r="A1026" s="52">
        <v>43709</v>
      </c>
      <c r="B1026" s="11" t="s">
        <v>494</v>
      </c>
      <c r="C1026" s="11" t="s">
        <v>2756</v>
      </c>
      <c r="D1026" s="11" t="s">
        <v>3623</v>
      </c>
      <c r="E1026" s="11" t="s">
        <v>2621</v>
      </c>
      <c r="F1026" s="11" t="s">
        <v>3556</v>
      </c>
      <c r="G1026" s="11">
        <v>41235</v>
      </c>
      <c r="H1026" s="11" t="s">
        <v>2623</v>
      </c>
      <c r="I1026" s="11" t="s">
        <v>1411</v>
      </c>
      <c r="J1026" s="11">
        <v>18</v>
      </c>
      <c r="K1026" s="11">
        <v>34944.800000000003</v>
      </c>
      <c r="L1026" s="11">
        <v>0</v>
      </c>
      <c r="M1026" s="11">
        <v>3145.03</v>
      </c>
      <c r="N1026" s="11">
        <v>3145.03</v>
      </c>
      <c r="O1026" s="11">
        <v>0</v>
      </c>
      <c r="P1026" s="11" t="s">
        <v>2624</v>
      </c>
    </row>
    <row r="1027" spans="1:16" x14ac:dyDescent="0.2">
      <c r="A1027" s="52">
        <v>43709</v>
      </c>
      <c r="B1027" s="11" t="s">
        <v>494</v>
      </c>
      <c r="C1027" s="11" t="s">
        <v>2756</v>
      </c>
      <c r="D1027" s="11" t="s">
        <v>3624</v>
      </c>
      <c r="E1027" s="11" t="s">
        <v>2621</v>
      </c>
      <c r="F1027" s="11" t="s">
        <v>3565</v>
      </c>
      <c r="G1027" s="11">
        <v>36034</v>
      </c>
      <c r="H1027" s="11" t="s">
        <v>2623</v>
      </c>
      <c r="I1027" s="11" t="s">
        <v>1411</v>
      </c>
      <c r="J1027" s="11">
        <v>18</v>
      </c>
      <c r="K1027" s="11">
        <v>30537.1</v>
      </c>
      <c r="L1027" s="11">
        <v>0</v>
      </c>
      <c r="M1027" s="11">
        <v>2748.34</v>
      </c>
      <c r="N1027" s="11">
        <v>2748.34</v>
      </c>
      <c r="O1027" s="11">
        <v>0</v>
      </c>
      <c r="P1027" s="11" t="s">
        <v>2624</v>
      </c>
    </row>
    <row r="1028" spans="1:16" x14ac:dyDescent="0.2">
      <c r="A1028" s="52">
        <v>43709</v>
      </c>
      <c r="B1028" s="11" t="s">
        <v>515</v>
      </c>
      <c r="C1028" s="11" t="s">
        <v>2761</v>
      </c>
      <c r="D1028" s="11" t="s">
        <v>3625</v>
      </c>
      <c r="E1028" s="11" t="s">
        <v>2621</v>
      </c>
      <c r="F1028" s="11" t="s">
        <v>3545</v>
      </c>
      <c r="G1028" s="11">
        <v>515</v>
      </c>
      <c r="H1028" s="11" t="s">
        <v>2623</v>
      </c>
      <c r="I1028" s="11" t="s">
        <v>1411</v>
      </c>
      <c r="J1028" s="11">
        <v>18</v>
      </c>
      <c r="K1028" s="11">
        <v>436.44</v>
      </c>
      <c r="L1028" s="11">
        <v>0</v>
      </c>
      <c r="M1028" s="11">
        <v>39.28</v>
      </c>
      <c r="N1028" s="11">
        <v>39.28</v>
      </c>
      <c r="O1028" s="11">
        <v>0</v>
      </c>
      <c r="P1028" s="11" t="s">
        <v>2624</v>
      </c>
    </row>
    <row r="1029" spans="1:16" x14ac:dyDescent="0.2">
      <c r="A1029" s="52">
        <v>43709</v>
      </c>
      <c r="B1029" s="11" t="s">
        <v>515</v>
      </c>
      <c r="C1029" s="11" t="s">
        <v>2761</v>
      </c>
      <c r="D1029" s="11" t="s">
        <v>3626</v>
      </c>
      <c r="E1029" s="11" t="s">
        <v>2621</v>
      </c>
      <c r="F1029" s="11" t="s">
        <v>3545</v>
      </c>
      <c r="G1029" s="11">
        <v>3215.5</v>
      </c>
      <c r="H1029" s="11" t="s">
        <v>2623</v>
      </c>
      <c r="I1029" s="11" t="s">
        <v>1411</v>
      </c>
      <c r="J1029" s="11">
        <v>18</v>
      </c>
      <c r="K1029" s="11">
        <v>2725</v>
      </c>
      <c r="L1029" s="11">
        <v>0</v>
      </c>
      <c r="M1029" s="11">
        <v>245.25</v>
      </c>
      <c r="N1029" s="11">
        <v>245.25</v>
      </c>
      <c r="O1029" s="11">
        <v>0</v>
      </c>
      <c r="P1029" s="11" t="s">
        <v>2624</v>
      </c>
    </row>
    <row r="1030" spans="1:16" x14ac:dyDescent="0.2">
      <c r="A1030" s="52">
        <v>43709</v>
      </c>
      <c r="B1030" s="11" t="s">
        <v>515</v>
      </c>
      <c r="C1030" s="11" t="s">
        <v>2761</v>
      </c>
      <c r="D1030" s="11" t="s">
        <v>973</v>
      </c>
      <c r="E1030" s="11" t="s">
        <v>2621</v>
      </c>
      <c r="F1030" s="11" t="s">
        <v>3557</v>
      </c>
      <c r="G1030" s="11">
        <v>17.7</v>
      </c>
      <c r="H1030" s="11" t="s">
        <v>2623</v>
      </c>
      <c r="I1030" s="11" t="s">
        <v>1411</v>
      </c>
      <c r="J1030" s="11">
        <v>18</v>
      </c>
      <c r="K1030" s="11">
        <v>15</v>
      </c>
      <c r="L1030" s="11">
        <v>0</v>
      </c>
      <c r="M1030" s="11">
        <v>1.35</v>
      </c>
      <c r="N1030" s="11">
        <v>1.35</v>
      </c>
      <c r="O1030" s="11">
        <v>0</v>
      </c>
      <c r="P1030" s="11" t="s">
        <v>2624</v>
      </c>
    </row>
    <row r="1031" spans="1:16" x14ac:dyDescent="0.2">
      <c r="A1031" s="52">
        <v>43709</v>
      </c>
      <c r="B1031" s="11" t="s">
        <v>515</v>
      </c>
      <c r="C1031" s="11" t="s">
        <v>2761</v>
      </c>
      <c r="D1031" s="11" t="s">
        <v>972</v>
      </c>
      <c r="E1031" s="11" t="s">
        <v>2621</v>
      </c>
      <c r="F1031" s="11" t="s">
        <v>3557</v>
      </c>
      <c r="G1031" s="11">
        <v>17.7</v>
      </c>
      <c r="H1031" s="11" t="s">
        <v>2623</v>
      </c>
      <c r="I1031" s="11" t="s">
        <v>1411</v>
      </c>
      <c r="J1031" s="11">
        <v>18</v>
      </c>
      <c r="K1031" s="11">
        <v>15</v>
      </c>
      <c r="L1031" s="11">
        <v>0</v>
      </c>
      <c r="M1031" s="11">
        <v>1.35</v>
      </c>
      <c r="N1031" s="11">
        <v>1.35</v>
      </c>
      <c r="O1031" s="11">
        <v>0</v>
      </c>
      <c r="P1031" s="11" t="s">
        <v>2624</v>
      </c>
    </row>
    <row r="1032" spans="1:16" x14ac:dyDescent="0.2">
      <c r="A1032" s="52">
        <v>43709</v>
      </c>
      <c r="B1032" s="11" t="s">
        <v>515</v>
      </c>
      <c r="C1032" s="11" t="s">
        <v>2761</v>
      </c>
      <c r="D1032" s="11" t="s">
        <v>971</v>
      </c>
      <c r="E1032" s="11" t="s">
        <v>2621</v>
      </c>
      <c r="F1032" s="11" t="s">
        <v>3557</v>
      </c>
      <c r="G1032" s="11">
        <v>17.7</v>
      </c>
      <c r="H1032" s="11" t="s">
        <v>2623</v>
      </c>
      <c r="I1032" s="11" t="s">
        <v>1411</v>
      </c>
      <c r="J1032" s="11">
        <v>18</v>
      </c>
      <c r="K1032" s="11">
        <v>15</v>
      </c>
      <c r="L1032" s="11">
        <v>0</v>
      </c>
      <c r="M1032" s="11">
        <v>1.35</v>
      </c>
      <c r="N1032" s="11">
        <v>1.35</v>
      </c>
      <c r="O1032" s="11">
        <v>0</v>
      </c>
      <c r="P1032" s="11" t="s">
        <v>2624</v>
      </c>
    </row>
    <row r="1033" spans="1:16" x14ac:dyDescent="0.2">
      <c r="A1033" s="52">
        <v>43709</v>
      </c>
      <c r="B1033" s="11" t="s">
        <v>515</v>
      </c>
      <c r="C1033" s="11" t="s">
        <v>2761</v>
      </c>
      <c r="D1033" s="11" t="s">
        <v>970</v>
      </c>
      <c r="E1033" s="11" t="s">
        <v>2621</v>
      </c>
      <c r="F1033" s="11" t="s">
        <v>3557</v>
      </c>
      <c r="G1033" s="11">
        <v>17.7</v>
      </c>
      <c r="H1033" s="11" t="s">
        <v>2623</v>
      </c>
      <c r="I1033" s="11" t="s">
        <v>1411</v>
      </c>
      <c r="J1033" s="11">
        <v>18</v>
      </c>
      <c r="K1033" s="11">
        <v>15</v>
      </c>
      <c r="L1033" s="11">
        <v>0</v>
      </c>
      <c r="M1033" s="11">
        <v>1.35</v>
      </c>
      <c r="N1033" s="11">
        <v>1.35</v>
      </c>
      <c r="O1033" s="11">
        <v>0</v>
      </c>
      <c r="P1033" s="11" t="s">
        <v>2624</v>
      </c>
    </row>
    <row r="1034" spans="1:16" x14ac:dyDescent="0.2">
      <c r="A1034" s="52">
        <v>43709</v>
      </c>
      <c r="B1034" s="11" t="s">
        <v>515</v>
      </c>
      <c r="C1034" s="11" t="s">
        <v>2761</v>
      </c>
      <c r="D1034" s="11" t="s">
        <v>969</v>
      </c>
      <c r="E1034" s="11" t="s">
        <v>2621</v>
      </c>
      <c r="F1034" s="11" t="s">
        <v>3557</v>
      </c>
      <c r="G1034" s="11">
        <v>17.7</v>
      </c>
      <c r="H1034" s="11" t="s">
        <v>2623</v>
      </c>
      <c r="I1034" s="11" t="s">
        <v>1411</v>
      </c>
      <c r="J1034" s="11">
        <v>18</v>
      </c>
      <c r="K1034" s="11">
        <v>15</v>
      </c>
      <c r="L1034" s="11">
        <v>0</v>
      </c>
      <c r="M1034" s="11">
        <v>1.35</v>
      </c>
      <c r="N1034" s="11">
        <v>1.35</v>
      </c>
      <c r="O1034" s="11">
        <v>0</v>
      </c>
      <c r="P1034" s="11" t="s">
        <v>2624</v>
      </c>
    </row>
    <row r="1035" spans="1:16" x14ac:dyDescent="0.2">
      <c r="A1035" s="52">
        <v>43709</v>
      </c>
      <c r="B1035" s="11" t="s">
        <v>515</v>
      </c>
      <c r="C1035" s="11" t="s">
        <v>2761</v>
      </c>
      <c r="D1035" s="11" t="s">
        <v>968</v>
      </c>
      <c r="E1035" s="11" t="s">
        <v>2621</v>
      </c>
      <c r="F1035" s="11" t="s">
        <v>3557</v>
      </c>
      <c r="G1035" s="11">
        <v>17.7</v>
      </c>
      <c r="H1035" s="11" t="s">
        <v>2623</v>
      </c>
      <c r="I1035" s="11" t="s">
        <v>1411</v>
      </c>
      <c r="J1035" s="11">
        <v>18</v>
      </c>
      <c r="K1035" s="11">
        <v>15</v>
      </c>
      <c r="L1035" s="11">
        <v>0</v>
      </c>
      <c r="M1035" s="11">
        <v>1.35</v>
      </c>
      <c r="N1035" s="11">
        <v>1.35</v>
      </c>
      <c r="O1035" s="11">
        <v>0</v>
      </c>
      <c r="P1035" s="11" t="s">
        <v>2624</v>
      </c>
    </row>
    <row r="1036" spans="1:16" x14ac:dyDescent="0.2">
      <c r="A1036" s="52">
        <v>43709</v>
      </c>
      <c r="B1036" s="11" t="s">
        <v>515</v>
      </c>
      <c r="C1036" s="11" t="s">
        <v>2761</v>
      </c>
      <c r="D1036" s="11" t="s">
        <v>3627</v>
      </c>
      <c r="E1036" s="11" t="s">
        <v>2621</v>
      </c>
      <c r="F1036" s="11" t="s">
        <v>3556</v>
      </c>
      <c r="G1036" s="11">
        <v>4588.3599999999997</v>
      </c>
      <c r="H1036" s="11" t="s">
        <v>2623</v>
      </c>
      <c r="I1036" s="11" t="s">
        <v>1411</v>
      </c>
      <c r="J1036" s="11">
        <v>18</v>
      </c>
      <c r="K1036" s="11">
        <v>3888.44</v>
      </c>
      <c r="L1036" s="11">
        <v>0</v>
      </c>
      <c r="M1036" s="11">
        <v>349.96</v>
      </c>
      <c r="N1036" s="11">
        <v>349.96</v>
      </c>
      <c r="O1036" s="11">
        <v>0</v>
      </c>
      <c r="P1036" s="11" t="s">
        <v>2624</v>
      </c>
    </row>
    <row r="1037" spans="1:16" x14ac:dyDescent="0.2">
      <c r="A1037" s="52">
        <v>43709</v>
      </c>
      <c r="B1037" s="11" t="s">
        <v>515</v>
      </c>
      <c r="C1037" s="11" t="s">
        <v>2761</v>
      </c>
      <c r="D1037" s="11" t="s">
        <v>1021</v>
      </c>
      <c r="E1037" s="11" t="s">
        <v>2621</v>
      </c>
      <c r="F1037" s="11" t="s">
        <v>3556</v>
      </c>
      <c r="G1037" s="11">
        <v>2300.61</v>
      </c>
      <c r="H1037" s="11" t="s">
        <v>2623</v>
      </c>
      <c r="I1037" s="11" t="s">
        <v>1411</v>
      </c>
      <c r="J1037" s="11">
        <v>18</v>
      </c>
      <c r="K1037" s="11">
        <v>1949.67</v>
      </c>
      <c r="L1037" s="11">
        <v>0</v>
      </c>
      <c r="M1037" s="11">
        <v>175.47</v>
      </c>
      <c r="N1037" s="11">
        <v>175.47</v>
      </c>
      <c r="O1037" s="11">
        <v>0</v>
      </c>
      <c r="P1037" s="11" t="s">
        <v>2624</v>
      </c>
    </row>
    <row r="1038" spans="1:16" x14ac:dyDescent="0.2">
      <c r="A1038" s="52">
        <v>43709</v>
      </c>
      <c r="B1038" s="11" t="s">
        <v>515</v>
      </c>
      <c r="C1038" s="11" t="s">
        <v>2761</v>
      </c>
      <c r="D1038" s="11" t="s">
        <v>1019</v>
      </c>
      <c r="E1038" s="11" t="s">
        <v>2621</v>
      </c>
      <c r="F1038" s="11" t="s">
        <v>3556</v>
      </c>
      <c r="G1038" s="11">
        <v>2360</v>
      </c>
      <c r="H1038" s="11" t="s">
        <v>2623</v>
      </c>
      <c r="I1038" s="11" t="s">
        <v>1411</v>
      </c>
      <c r="J1038" s="11">
        <v>18</v>
      </c>
      <c r="K1038" s="11">
        <v>2000</v>
      </c>
      <c r="L1038" s="11">
        <v>0</v>
      </c>
      <c r="M1038" s="11">
        <v>180</v>
      </c>
      <c r="N1038" s="11">
        <v>180</v>
      </c>
      <c r="O1038" s="11">
        <v>0</v>
      </c>
      <c r="P1038" s="11" t="s">
        <v>2624</v>
      </c>
    </row>
    <row r="1039" spans="1:16" x14ac:dyDescent="0.2">
      <c r="A1039" s="52">
        <v>43709</v>
      </c>
      <c r="B1039" s="11" t="s">
        <v>515</v>
      </c>
      <c r="C1039" s="11" t="s">
        <v>2761</v>
      </c>
      <c r="D1039" s="11" t="s">
        <v>1020</v>
      </c>
      <c r="E1039" s="11" t="s">
        <v>2621</v>
      </c>
      <c r="F1039" s="11" t="s">
        <v>3556</v>
      </c>
      <c r="G1039" s="11">
        <v>590</v>
      </c>
      <c r="H1039" s="11" t="s">
        <v>2623</v>
      </c>
      <c r="I1039" s="11" t="s">
        <v>1411</v>
      </c>
      <c r="J1039" s="11">
        <v>18</v>
      </c>
      <c r="K1039" s="11">
        <v>500</v>
      </c>
      <c r="L1039" s="11">
        <v>0</v>
      </c>
      <c r="M1039" s="11">
        <v>45</v>
      </c>
      <c r="N1039" s="11">
        <v>45</v>
      </c>
      <c r="O1039" s="11">
        <v>0</v>
      </c>
      <c r="P1039" s="11" t="s">
        <v>2624</v>
      </c>
    </row>
    <row r="1040" spans="1:16" x14ac:dyDescent="0.2">
      <c r="A1040" s="52">
        <v>43709</v>
      </c>
      <c r="B1040" s="11" t="s">
        <v>515</v>
      </c>
      <c r="C1040" s="11" t="s">
        <v>2761</v>
      </c>
      <c r="D1040" s="11" t="s">
        <v>3628</v>
      </c>
      <c r="E1040" s="11" t="s">
        <v>2621</v>
      </c>
      <c r="F1040" s="11" t="s">
        <v>3522</v>
      </c>
      <c r="G1040" s="11">
        <v>59</v>
      </c>
      <c r="H1040" s="11" t="s">
        <v>2623</v>
      </c>
      <c r="I1040" s="11" t="s">
        <v>1411</v>
      </c>
      <c r="J1040" s="11">
        <v>18</v>
      </c>
      <c r="K1040" s="11">
        <v>50</v>
      </c>
      <c r="L1040" s="11">
        <v>0</v>
      </c>
      <c r="M1040" s="11">
        <v>4.5</v>
      </c>
      <c r="N1040" s="11">
        <v>4.5</v>
      </c>
      <c r="O1040" s="11">
        <v>0</v>
      </c>
      <c r="P1040" s="11" t="s">
        <v>2624</v>
      </c>
    </row>
    <row r="1041" spans="1:16" x14ac:dyDescent="0.2">
      <c r="A1041" s="52">
        <v>43709</v>
      </c>
      <c r="B1041" s="11" t="s">
        <v>225</v>
      </c>
      <c r="C1041" s="11" t="s">
        <v>3068</v>
      </c>
      <c r="D1041" s="11" t="s">
        <v>3629</v>
      </c>
      <c r="E1041" s="11" t="s">
        <v>2621</v>
      </c>
      <c r="F1041" s="11" t="s">
        <v>3590</v>
      </c>
      <c r="G1041" s="11">
        <v>11819.52</v>
      </c>
      <c r="H1041" s="11" t="s">
        <v>2623</v>
      </c>
      <c r="I1041" s="11" t="s">
        <v>1411</v>
      </c>
      <c r="J1041" s="11">
        <v>28</v>
      </c>
      <c r="K1041" s="11">
        <v>9234</v>
      </c>
      <c r="L1041" s="11">
        <v>0</v>
      </c>
      <c r="M1041" s="11">
        <v>1292.76</v>
      </c>
      <c r="N1041" s="11">
        <v>1292.76</v>
      </c>
      <c r="O1041" s="11">
        <v>0</v>
      </c>
      <c r="P1041" s="11" t="s">
        <v>2624</v>
      </c>
    </row>
    <row r="1042" spans="1:16" x14ac:dyDescent="0.2">
      <c r="A1042" s="52">
        <v>43709</v>
      </c>
      <c r="B1042" s="11" t="s">
        <v>225</v>
      </c>
      <c r="C1042" s="11" t="s">
        <v>3068</v>
      </c>
      <c r="D1042" s="11" t="s">
        <v>3630</v>
      </c>
      <c r="E1042" s="11" t="s">
        <v>2621</v>
      </c>
      <c r="F1042" s="11" t="s">
        <v>3590</v>
      </c>
      <c r="G1042" s="11">
        <v>40628.74</v>
      </c>
      <c r="H1042" s="11" t="s">
        <v>2623</v>
      </c>
      <c r="I1042" s="11" t="s">
        <v>1411</v>
      </c>
      <c r="J1042" s="11">
        <v>28</v>
      </c>
      <c r="K1042" s="11">
        <v>31741.200000000001</v>
      </c>
      <c r="L1042" s="11">
        <v>0</v>
      </c>
      <c r="M1042" s="11">
        <v>4443.7700000000004</v>
      </c>
      <c r="N1042" s="11">
        <v>4443.7700000000004</v>
      </c>
      <c r="O1042" s="11">
        <v>0</v>
      </c>
      <c r="P1042" s="11" t="s">
        <v>2624</v>
      </c>
    </row>
    <row r="1043" spans="1:16" x14ac:dyDescent="0.2">
      <c r="A1043" s="52">
        <v>43709</v>
      </c>
      <c r="B1043" s="11" t="s">
        <v>660</v>
      </c>
      <c r="C1043" s="11" t="s">
        <v>3071</v>
      </c>
      <c r="D1043" s="11" t="s">
        <v>945</v>
      </c>
      <c r="E1043" s="11" t="s">
        <v>2621</v>
      </c>
      <c r="F1043" s="11" t="s">
        <v>3540</v>
      </c>
      <c r="G1043" s="11">
        <v>19258</v>
      </c>
      <c r="H1043" s="11" t="s">
        <v>2623</v>
      </c>
      <c r="I1043" s="11" t="s">
        <v>1411</v>
      </c>
      <c r="J1043" s="11">
        <v>18</v>
      </c>
      <c r="K1043" s="11">
        <v>16320</v>
      </c>
      <c r="L1043" s="11">
        <v>0</v>
      </c>
      <c r="M1043" s="11">
        <v>1468.8</v>
      </c>
      <c r="N1043" s="11">
        <v>1468.8</v>
      </c>
      <c r="O1043" s="11">
        <v>0</v>
      </c>
      <c r="P1043" s="11" t="s">
        <v>2624</v>
      </c>
    </row>
    <row r="1044" spans="1:16" x14ac:dyDescent="0.2">
      <c r="A1044" s="52">
        <v>43709</v>
      </c>
      <c r="B1044" s="11" t="s">
        <v>555</v>
      </c>
      <c r="C1044" s="11" t="s">
        <v>2762</v>
      </c>
      <c r="D1044" s="11" t="s">
        <v>3631</v>
      </c>
      <c r="E1044" s="11" t="s">
        <v>2621</v>
      </c>
      <c r="F1044" s="11" t="s">
        <v>3540</v>
      </c>
      <c r="G1044" s="11">
        <v>20286.72</v>
      </c>
      <c r="H1044" s="11" t="s">
        <v>2623</v>
      </c>
      <c r="I1044" s="11" t="s">
        <v>1411</v>
      </c>
      <c r="J1044" s="11">
        <v>28</v>
      </c>
      <c r="K1044" s="11">
        <v>15849</v>
      </c>
      <c r="L1044" s="11">
        <v>0</v>
      </c>
      <c r="M1044" s="11">
        <v>2218.86</v>
      </c>
      <c r="N1044" s="11">
        <v>2218.86</v>
      </c>
      <c r="O1044" s="11">
        <v>0</v>
      </c>
      <c r="P1044" s="11" t="s">
        <v>2624</v>
      </c>
    </row>
    <row r="1045" spans="1:16" x14ac:dyDescent="0.2">
      <c r="A1045" s="52">
        <v>43709</v>
      </c>
      <c r="B1045" s="11" t="s">
        <v>555</v>
      </c>
      <c r="C1045" s="11" t="s">
        <v>2762</v>
      </c>
      <c r="D1045" s="11" t="s">
        <v>3632</v>
      </c>
      <c r="E1045" s="11" t="s">
        <v>2621</v>
      </c>
      <c r="F1045" s="11" t="s">
        <v>3614</v>
      </c>
      <c r="G1045" s="11">
        <v>2016</v>
      </c>
      <c r="H1045" s="11" t="s">
        <v>2623</v>
      </c>
      <c r="I1045" s="11" t="s">
        <v>1411</v>
      </c>
      <c r="J1045" s="11">
        <v>28</v>
      </c>
      <c r="K1045" s="11">
        <v>1575</v>
      </c>
      <c r="L1045" s="11">
        <v>0</v>
      </c>
      <c r="M1045" s="11">
        <v>220.5</v>
      </c>
      <c r="N1045" s="11">
        <v>220.5</v>
      </c>
      <c r="O1045" s="11">
        <v>0</v>
      </c>
      <c r="P1045" s="11" t="s">
        <v>2624</v>
      </c>
    </row>
    <row r="1046" spans="1:16" x14ac:dyDescent="0.2">
      <c r="A1046" s="52">
        <v>43709</v>
      </c>
      <c r="B1046" s="11" t="s">
        <v>555</v>
      </c>
      <c r="C1046" s="11" t="s">
        <v>2762</v>
      </c>
      <c r="D1046" s="11" t="s">
        <v>3633</v>
      </c>
      <c r="E1046" s="11" t="s">
        <v>2621</v>
      </c>
      <c r="F1046" s="11" t="s">
        <v>3590</v>
      </c>
      <c r="G1046" s="11">
        <v>9072</v>
      </c>
      <c r="H1046" s="11" t="s">
        <v>2623</v>
      </c>
      <c r="I1046" s="11" t="s">
        <v>1411</v>
      </c>
      <c r="J1046" s="11">
        <v>28</v>
      </c>
      <c r="K1046" s="11">
        <v>7087.5</v>
      </c>
      <c r="L1046" s="11">
        <v>0</v>
      </c>
      <c r="M1046" s="11">
        <v>992.25</v>
      </c>
      <c r="N1046" s="11">
        <v>992.25</v>
      </c>
      <c r="O1046" s="11">
        <v>0</v>
      </c>
      <c r="P1046" s="11" t="s">
        <v>2624</v>
      </c>
    </row>
    <row r="1047" spans="1:16" x14ac:dyDescent="0.2">
      <c r="A1047" s="52">
        <v>43709</v>
      </c>
      <c r="B1047" s="11" t="s">
        <v>555</v>
      </c>
      <c r="C1047" s="11" t="s">
        <v>2762</v>
      </c>
      <c r="D1047" s="11" t="s">
        <v>3634</v>
      </c>
      <c r="E1047" s="11" t="s">
        <v>2621</v>
      </c>
      <c r="F1047" s="11" t="s">
        <v>3545</v>
      </c>
      <c r="G1047" s="11">
        <v>7650.3</v>
      </c>
      <c r="H1047" s="11" t="s">
        <v>2623</v>
      </c>
      <c r="I1047" s="11" t="s">
        <v>1411</v>
      </c>
      <c r="J1047" s="11">
        <v>28</v>
      </c>
      <c r="K1047" s="11">
        <v>5976.8</v>
      </c>
      <c r="L1047" s="11">
        <v>0</v>
      </c>
      <c r="M1047" s="11">
        <v>836.75</v>
      </c>
      <c r="N1047" s="11">
        <v>836.75</v>
      </c>
      <c r="O1047" s="11">
        <v>0</v>
      </c>
      <c r="P1047" s="11" t="s">
        <v>2624</v>
      </c>
    </row>
    <row r="1048" spans="1:16" x14ac:dyDescent="0.2">
      <c r="A1048" s="52">
        <v>43709</v>
      </c>
      <c r="B1048" s="11" t="s">
        <v>555</v>
      </c>
      <c r="C1048" s="11" t="s">
        <v>2762</v>
      </c>
      <c r="D1048" s="11" t="s">
        <v>3635</v>
      </c>
      <c r="E1048" s="11" t="s">
        <v>2621</v>
      </c>
      <c r="F1048" s="11" t="s">
        <v>3545</v>
      </c>
      <c r="G1048" s="11">
        <v>7257.6</v>
      </c>
      <c r="H1048" s="11" t="s">
        <v>2623</v>
      </c>
      <c r="I1048" s="11" t="s">
        <v>1411</v>
      </c>
      <c r="J1048" s="11">
        <v>28</v>
      </c>
      <c r="K1048" s="11">
        <v>5670</v>
      </c>
      <c r="L1048" s="11">
        <v>0</v>
      </c>
      <c r="M1048" s="11">
        <v>793.8</v>
      </c>
      <c r="N1048" s="11">
        <v>793.8</v>
      </c>
      <c r="O1048" s="11">
        <v>0</v>
      </c>
      <c r="P1048" s="11" t="s">
        <v>2624</v>
      </c>
    </row>
    <row r="1049" spans="1:16" x14ac:dyDescent="0.2">
      <c r="A1049" s="52">
        <v>43709</v>
      </c>
      <c r="B1049" s="11" t="s">
        <v>555</v>
      </c>
      <c r="C1049" s="11" t="s">
        <v>2762</v>
      </c>
      <c r="D1049" s="11" t="s">
        <v>3636</v>
      </c>
      <c r="E1049" s="11" t="s">
        <v>2621</v>
      </c>
      <c r="F1049" s="11" t="s">
        <v>3538</v>
      </c>
      <c r="G1049" s="11">
        <v>14337.92</v>
      </c>
      <c r="H1049" s="11" t="s">
        <v>2623</v>
      </c>
      <c r="I1049" s="11" t="s">
        <v>1411</v>
      </c>
      <c r="J1049" s="11">
        <v>28</v>
      </c>
      <c r="K1049" s="11">
        <v>11201.5</v>
      </c>
      <c r="L1049" s="11">
        <v>0</v>
      </c>
      <c r="M1049" s="11">
        <v>1568.21</v>
      </c>
      <c r="N1049" s="11">
        <v>1568.21</v>
      </c>
      <c r="O1049" s="11">
        <v>0</v>
      </c>
      <c r="P1049" s="11" t="s">
        <v>2624</v>
      </c>
    </row>
    <row r="1050" spans="1:16" x14ac:dyDescent="0.2">
      <c r="A1050" s="52">
        <v>43709</v>
      </c>
      <c r="B1050" s="11" t="s">
        <v>555</v>
      </c>
      <c r="C1050" s="11" t="s">
        <v>2762</v>
      </c>
      <c r="D1050" s="11" t="s">
        <v>3637</v>
      </c>
      <c r="E1050" s="11" t="s">
        <v>2621</v>
      </c>
      <c r="F1050" s="11" t="s">
        <v>3550</v>
      </c>
      <c r="G1050" s="11">
        <v>23344.639999999999</v>
      </c>
      <c r="H1050" s="11" t="s">
        <v>2623</v>
      </c>
      <c r="I1050" s="11" t="s">
        <v>1411</v>
      </c>
      <c r="J1050" s="11">
        <v>28</v>
      </c>
      <c r="K1050" s="11">
        <v>18238</v>
      </c>
      <c r="L1050" s="11">
        <v>0</v>
      </c>
      <c r="M1050" s="11">
        <v>2553.3200000000002</v>
      </c>
      <c r="N1050" s="11">
        <v>2553.3200000000002</v>
      </c>
      <c r="O1050" s="11">
        <v>0</v>
      </c>
      <c r="P1050" s="11" t="s">
        <v>2624</v>
      </c>
    </row>
    <row r="1051" spans="1:16" x14ac:dyDescent="0.2">
      <c r="A1051" s="52">
        <v>43709</v>
      </c>
      <c r="B1051" s="11" t="s">
        <v>555</v>
      </c>
      <c r="C1051" s="11" t="s">
        <v>2762</v>
      </c>
      <c r="D1051" s="11" t="s">
        <v>3638</v>
      </c>
      <c r="E1051" s="11" t="s">
        <v>2621</v>
      </c>
      <c r="F1051" s="11" t="s">
        <v>3552</v>
      </c>
      <c r="G1051" s="11">
        <v>28376.32</v>
      </c>
      <c r="H1051" s="11" t="s">
        <v>2623</v>
      </c>
      <c r="I1051" s="11" t="s">
        <v>1411</v>
      </c>
      <c r="J1051" s="11">
        <v>28</v>
      </c>
      <c r="K1051" s="11">
        <v>22169</v>
      </c>
      <c r="L1051" s="11">
        <v>0</v>
      </c>
      <c r="M1051" s="11">
        <v>3103.66</v>
      </c>
      <c r="N1051" s="11">
        <v>3103.66</v>
      </c>
      <c r="O1051" s="11">
        <v>0</v>
      </c>
      <c r="P1051" s="11" t="s">
        <v>2624</v>
      </c>
    </row>
    <row r="1052" spans="1:16" x14ac:dyDescent="0.2">
      <c r="A1052" s="52">
        <v>43709</v>
      </c>
      <c r="B1052" s="11" t="s">
        <v>555</v>
      </c>
      <c r="C1052" s="11" t="s">
        <v>2762</v>
      </c>
      <c r="D1052" s="11" t="s">
        <v>3639</v>
      </c>
      <c r="E1052" s="11" t="s">
        <v>2621</v>
      </c>
      <c r="F1052" s="11" t="s">
        <v>3559</v>
      </c>
      <c r="G1052" s="11">
        <v>23961.22</v>
      </c>
      <c r="H1052" s="11" t="s">
        <v>2623</v>
      </c>
      <c r="I1052" s="11" t="s">
        <v>1411</v>
      </c>
      <c r="J1052" s="11">
        <v>28</v>
      </c>
      <c r="K1052" s="11">
        <v>18719.7</v>
      </c>
      <c r="L1052" s="11">
        <v>0</v>
      </c>
      <c r="M1052" s="11">
        <v>2620.7600000000002</v>
      </c>
      <c r="N1052" s="11">
        <v>2620.7600000000002</v>
      </c>
      <c r="O1052" s="11">
        <v>0</v>
      </c>
      <c r="P1052" s="11" t="s">
        <v>2624</v>
      </c>
    </row>
    <row r="1053" spans="1:16" x14ac:dyDescent="0.2">
      <c r="A1053" s="52">
        <v>43709</v>
      </c>
      <c r="B1053" s="11" t="s">
        <v>555</v>
      </c>
      <c r="C1053" s="11" t="s">
        <v>2762</v>
      </c>
      <c r="D1053" s="11" t="s">
        <v>3640</v>
      </c>
      <c r="E1053" s="11" t="s">
        <v>2621</v>
      </c>
      <c r="F1053" s="11" t="s">
        <v>3565</v>
      </c>
      <c r="G1053" s="11">
        <v>10959.36</v>
      </c>
      <c r="H1053" s="11" t="s">
        <v>2623</v>
      </c>
      <c r="I1053" s="11" t="s">
        <v>1411</v>
      </c>
      <c r="J1053" s="11">
        <v>28</v>
      </c>
      <c r="K1053" s="11">
        <v>8562</v>
      </c>
      <c r="L1053" s="11">
        <v>0</v>
      </c>
      <c r="M1053" s="11">
        <v>1198.68</v>
      </c>
      <c r="N1053" s="11">
        <v>1198.68</v>
      </c>
      <c r="O1053" s="11">
        <v>0</v>
      </c>
      <c r="P1053" s="11" t="s">
        <v>2624</v>
      </c>
    </row>
    <row r="1054" spans="1:16" x14ac:dyDescent="0.2">
      <c r="A1054" s="52">
        <v>43709</v>
      </c>
      <c r="B1054" s="11" t="s">
        <v>555</v>
      </c>
      <c r="C1054" s="11" t="s">
        <v>2762</v>
      </c>
      <c r="D1054" s="11" t="s">
        <v>3641</v>
      </c>
      <c r="E1054" s="11" t="s">
        <v>2621</v>
      </c>
      <c r="F1054" s="11" t="s">
        <v>3525</v>
      </c>
      <c r="G1054" s="11">
        <v>5552.64</v>
      </c>
      <c r="H1054" s="11" t="s">
        <v>2623</v>
      </c>
      <c r="I1054" s="11" t="s">
        <v>1411</v>
      </c>
      <c r="J1054" s="11">
        <v>28</v>
      </c>
      <c r="K1054" s="11">
        <v>4338</v>
      </c>
      <c r="L1054" s="11">
        <v>0</v>
      </c>
      <c r="M1054" s="11">
        <v>607.32000000000005</v>
      </c>
      <c r="N1054" s="11">
        <v>607.32000000000005</v>
      </c>
      <c r="O1054" s="11">
        <v>0</v>
      </c>
      <c r="P1054" s="11" t="s">
        <v>2624</v>
      </c>
    </row>
    <row r="1055" spans="1:16" x14ac:dyDescent="0.2">
      <c r="A1055" s="52">
        <v>43709</v>
      </c>
      <c r="B1055" s="11" t="s">
        <v>555</v>
      </c>
      <c r="C1055" s="11" t="s">
        <v>2762</v>
      </c>
      <c r="D1055" s="11" t="s">
        <v>3642</v>
      </c>
      <c r="E1055" s="11" t="s">
        <v>2621</v>
      </c>
      <c r="F1055" s="11" t="s">
        <v>3576</v>
      </c>
      <c r="G1055" s="11">
        <v>10025.6</v>
      </c>
      <c r="H1055" s="11" t="s">
        <v>2623</v>
      </c>
      <c r="I1055" s="11" t="s">
        <v>1411</v>
      </c>
      <c r="J1055" s="11">
        <v>28</v>
      </c>
      <c r="K1055" s="11">
        <v>7832.5</v>
      </c>
      <c r="L1055" s="11">
        <v>0</v>
      </c>
      <c r="M1055" s="11">
        <v>1096.55</v>
      </c>
      <c r="N1055" s="11">
        <v>1096.55</v>
      </c>
      <c r="O1055" s="11">
        <v>0</v>
      </c>
      <c r="P1055" s="11" t="s">
        <v>2624</v>
      </c>
    </row>
    <row r="1057" spans="1:16" x14ac:dyDescent="0.2">
      <c r="A1057" s="52">
        <v>43739</v>
      </c>
      <c r="B1057" s="11" t="s">
        <v>103</v>
      </c>
      <c r="C1057" s="11" t="s">
        <v>1170</v>
      </c>
      <c r="D1057" s="11" t="s">
        <v>3339</v>
      </c>
      <c r="E1057" s="11" t="s">
        <v>2621</v>
      </c>
      <c r="F1057" s="11" t="s">
        <v>3643</v>
      </c>
      <c r="G1057" s="11">
        <v>2599.5100000000002</v>
      </c>
      <c r="H1057" s="11" t="s">
        <v>2623</v>
      </c>
      <c r="I1057" s="11" t="s">
        <v>1411</v>
      </c>
      <c r="J1057" s="11">
        <v>28</v>
      </c>
      <c r="K1057" s="11">
        <v>2030.87</v>
      </c>
      <c r="L1057" s="11">
        <v>568.64</v>
      </c>
      <c r="M1057" s="11">
        <v>0</v>
      </c>
      <c r="N1057" s="11">
        <v>0</v>
      </c>
      <c r="O1057" s="11">
        <v>0</v>
      </c>
      <c r="P1057" s="11" t="s">
        <v>3256</v>
      </c>
    </row>
    <row r="1058" spans="1:16" x14ac:dyDescent="0.2">
      <c r="A1058" s="52">
        <v>43739</v>
      </c>
      <c r="B1058" s="11" t="s">
        <v>103</v>
      </c>
      <c r="C1058" s="11" t="s">
        <v>1170</v>
      </c>
      <c r="D1058" s="11" t="s">
        <v>3340</v>
      </c>
      <c r="E1058" s="11" t="s">
        <v>2621</v>
      </c>
      <c r="F1058" s="11" t="s">
        <v>3643</v>
      </c>
      <c r="G1058" s="11">
        <v>416.91</v>
      </c>
      <c r="H1058" s="11" t="s">
        <v>2623</v>
      </c>
      <c r="I1058" s="11" t="s">
        <v>1411</v>
      </c>
      <c r="J1058" s="11">
        <v>28</v>
      </c>
      <c r="K1058" s="11">
        <v>325.70999999999998</v>
      </c>
      <c r="L1058" s="11">
        <v>91.2</v>
      </c>
      <c r="M1058" s="11">
        <v>0</v>
      </c>
      <c r="N1058" s="11">
        <v>0</v>
      </c>
      <c r="O1058" s="11">
        <v>0</v>
      </c>
      <c r="P1058" s="11" t="s">
        <v>3256</v>
      </c>
    </row>
    <row r="1059" spans="1:16" x14ac:dyDescent="0.2">
      <c r="A1059" s="52">
        <v>43739</v>
      </c>
      <c r="B1059" s="11" t="s">
        <v>519</v>
      </c>
      <c r="C1059" s="11" t="s">
        <v>2639</v>
      </c>
      <c r="D1059" s="11" t="s">
        <v>3644</v>
      </c>
      <c r="E1059" s="11" t="s">
        <v>2621</v>
      </c>
      <c r="F1059" s="11" t="s">
        <v>3645</v>
      </c>
      <c r="G1059" s="11">
        <v>5660.59</v>
      </c>
      <c r="H1059" s="11" t="s">
        <v>2623</v>
      </c>
      <c r="I1059" s="11" t="s">
        <v>1411</v>
      </c>
      <c r="J1059" s="11">
        <v>18</v>
      </c>
      <c r="K1059" s="11">
        <v>4797.1099999999997</v>
      </c>
      <c r="L1059" s="11">
        <v>0</v>
      </c>
      <c r="M1059" s="11">
        <v>431.74</v>
      </c>
      <c r="N1059" s="11">
        <v>431.74</v>
      </c>
      <c r="O1059" s="11">
        <v>0</v>
      </c>
      <c r="P1059" s="11" t="s">
        <v>2624</v>
      </c>
    </row>
    <row r="1060" spans="1:16" x14ac:dyDescent="0.2">
      <c r="A1060" s="52">
        <v>43739</v>
      </c>
      <c r="B1060" s="11" t="s">
        <v>41</v>
      </c>
      <c r="C1060" s="11" t="s">
        <v>2643</v>
      </c>
      <c r="D1060" s="11" t="s">
        <v>2442</v>
      </c>
      <c r="E1060" s="11" t="s">
        <v>2621</v>
      </c>
      <c r="F1060" s="11" t="s">
        <v>3646</v>
      </c>
      <c r="G1060" s="11">
        <v>8208</v>
      </c>
      <c r="H1060" s="11" t="s">
        <v>2623</v>
      </c>
      <c r="I1060" s="11" t="s">
        <v>1411</v>
      </c>
      <c r="J1060" s="11">
        <v>28</v>
      </c>
      <c r="K1060" s="11">
        <v>6412</v>
      </c>
      <c r="L1060" s="11">
        <v>0</v>
      </c>
      <c r="M1060" s="11">
        <v>898</v>
      </c>
      <c r="N1060" s="11">
        <v>898</v>
      </c>
      <c r="O1060" s="11">
        <v>0</v>
      </c>
      <c r="P1060" s="11" t="s">
        <v>2624</v>
      </c>
    </row>
    <row r="1061" spans="1:16" x14ac:dyDescent="0.2">
      <c r="A1061" s="52">
        <v>43739</v>
      </c>
      <c r="B1061" s="11" t="s">
        <v>41</v>
      </c>
      <c r="C1061" s="11" t="s">
        <v>2643</v>
      </c>
      <c r="D1061" s="11" t="s">
        <v>2443</v>
      </c>
      <c r="E1061" s="11" t="s">
        <v>2621</v>
      </c>
      <c r="F1061" s="11" t="s">
        <v>3646</v>
      </c>
      <c r="G1061" s="11">
        <v>4680.8999999999996</v>
      </c>
      <c r="H1061" s="11" t="s">
        <v>2623</v>
      </c>
      <c r="I1061" s="11" t="s">
        <v>1411</v>
      </c>
      <c r="J1061" s="11">
        <v>28</v>
      </c>
      <c r="K1061" s="11">
        <v>3656.9</v>
      </c>
      <c r="L1061" s="11">
        <v>0</v>
      </c>
      <c r="M1061" s="11">
        <v>512</v>
      </c>
      <c r="N1061" s="11">
        <v>512</v>
      </c>
      <c r="O1061" s="11">
        <v>0</v>
      </c>
      <c r="P1061" s="11" t="s">
        <v>2624</v>
      </c>
    </row>
    <row r="1062" spans="1:16" x14ac:dyDescent="0.2">
      <c r="A1062" s="52">
        <v>43739</v>
      </c>
      <c r="B1062" s="11" t="s">
        <v>41</v>
      </c>
      <c r="C1062" s="11" t="s">
        <v>2643</v>
      </c>
      <c r="D1062" s="11" t="s">
        <v>2451</v>
      </c>
      <c r="E1062" s="11" t="s">
        <v>2621</v>
      </c>
      <c r="F1062" s="11" t="s">
        <v>3647</v>
      </c>
      <c r="G1062" s="11">
        <v>4104</v>
      </c>
      <c r="H1062" s="11" t="s">
        <v>2623</v>
      </c>
      <c r="I1062" s="11" t="s">
        <v>1411</v>
      </c>
      <c r="J1062" s="11">
        <v>28</v>
      </c>
      <c r="K1062" s="11">
        <v>3206</v>
      </c>
      <c r="L1062" s="11">
        <v>0</v>
      </c>
      <c r="M1062" s="11">
        <v>449</v>
      </c>
      <c r="N1062" s="11">
        <v>449</v>
      </c>
      <c r="O1062" s="11">
        <v>0</v>
      </c>
      <c r="P1062" s="11" t="s">
        <v>2624</v>
      </c>
    </row>
    <row r="1063" spans="1:16" x14ac:dyDescent="0.2">
      <c r="A1063" s="52">
        <v>43739</v>
      </c>
      <c r="B1063" s="11" t="s">
        <v>41</v>
      </c>
      <c r="C1063" s="11" t="s">
        <v>2643</v>
      </c>
      <c r="D1063" s="11" t="s">
        <v>2452</v>
      </c>
      <c r="E1063" s="11" t="s">
        <v>2621</v>
      </c>
      <c r="F1063" s="11" t="s">
        <v>3647</v>
      </c>
      <c r="G1063" s="11">
        <v>10158.450000000001</v>
      </c>
      <c r="H1063" s="11" t="s">
        <v>2623</v>
      </c>
      <c r="I1063" s="11" t="s">
        <v>1411</v>
      </c>
      <c r="J1063" s="11">
        <v>28</v>
      </c>
      <c r="K1063" s="11">
        <v>7936.45</v>
      </c>
      <c r="L1063" s="11">
        <v>0</v>
      </c>
      <c r="M1063" s="11">
        <v>1111</v>
      </c>
      <c r="N1063" s="11">
        <v>1111</v>
      </c>
      <c r="O1063" s="11">
        <v>0</v>
      </c>
      <c r="P1063" s="11" t="s">
        <v>2624</v>
      </c>
    </row>
    <row r="1064" spans="1:16" x14ac:dyDescent="0.2">
      <c r="A1064" s="52">
        <v>43739</v>
      </c>
      <c r="B1064" s="11" t="s">
        <v>41</v>
      </c>
      <c r="C1064" s="11" t="s">
        <v>2643</v>
      </c>
      <c r="D1064" s="11" t="s">
        <v>2465</v>
      </c>
      <c r="E1064" s="11" t="s">
        <v>2621</v>
      </c>
      <c r="F1064" s="11" t="s">
        <v>3648</v>
      </c>
      <c r="G1064" s="11">
        <v>4104</v>
      </c>
      <c r="H1064" s="11" t="s">
        <v>2623</v>
      </c>
      <c r="I1064" s="11" t="s">
        <v>1411</v>
      </c>
      <c r="J1064" s="11">
        <v>28</v>
      </c>
      <c r="K1064" s="11">
        <v>3206</v>
      </c>
      <c r="L1064" s="11">
        <v>0</v>
      </c>
      <c r="M1064" s="11">
        <v>449</v>
      </c>
      <c r="N1064" s="11">
        <v>449</v>
      </c>
      <c r="O1064" s="11">
        <v>0</v>
      </c>
      <c r="P1064" s="11" t="s">
        <v>2624</v>
      </c>
    </row>
    <row r="1065" spans="1:16" x14ac:dyDescent="0.2">
      <c r="A1065" s="52">
        <v>43739</v>
      </c>
      <c r="B1065" s="11" t="s">
        <v>41</v>
      </c>
      <c r="C1065" s="11" t="s">
        <v>2643</v>
      </c>
      <c r="D1065" s="11" t="s">
        <v>2466</v>
      </c>
      <c r="E1065" s="11" t="s">
        <v>2621</v>
      </c>
      <c r="F1065" s="11" t="s">
        <v>3648</v>
      </c>
      <c r="G1065" s="11">
        <v>8221.9</v>
      </c>
      <c r="H1065" s="11" t="s">
        <v>2623</v>
      </c>
      <c r="I1065" s="11" t="s">
        <v>1411</v>
      </c>
      <c r="J1065" s="11">
        <v>28</v>
      </c>
      <c r="K1065" s="11">
        <v>6423.9</v>
      </c>
      <c r="L1065" s="11">
        <v>0</v>
      </c>
      <c r="M1065" s="11">
        <v>899</v>
      </c>
      <c r="N1065" s="11">
        <v>899</v>
      </c>
      <c r="O1065" s="11">
        <v>0</v>
      </c>
      <c r="P1065" s="11" t="s">
        <v>2624</v>
      </c>
    </row>
    <row r="1066" spans="1:16" x14ac:dyDescent="0.2">
      <c r="A1066" s="52">
        <v>43739</v>
      </c>
      <c r="B1066" s="11" t="s">
        <v>41</v>
      </c>
      <c r="C1066" s="11" t="s">
        <v>2643</v>
      </c>
      <c r="D1066" s="11" t="s">
        <v>2472</v>
      </c>
      <c r="E1066" s="11" t="s">
        <v>2621</v>
      </c>
      <c r="F1066" s="11" t="s">
        <v>3649</v>
      </c>
      <c r="G1066" s="11">
        <v>8208</v>
      </c>
      <c r="H1066" s="11" t="s">
        <v>2623</v>
      </c>
      <c r="I1066" s="11" t="s">
        <v>1411</v>
      </c>
      <c r="J1066" s="11">
        <v>28</v>
      </c>
      <c r="K1066" s="11">
        <v>6412</v>
      </c>
      <c r="L1066" s="11">
        <v>0</v>
      </c>
      <c r="M1066" s="11">
        <v>898</v>
      </c>
      <c r="N1066" s="11">
        <v>898</v>
      </c>
      <c r="O1066" s="11">
        <v>0</v>
      </c>
      <c r="P1066" s="11" t="s">
        <v>2624</v>
      </c>
    </row>
    <row r="1067" spans="1:16" x14ac:dyDescent="0.2">
      <c r="A1067" s="52">
        <v>43739</v>
      </c>
      <c r="B1067" s="11" t="s">
        <v>41</v>
      </c>
      <c r="C1067" s="11" t="s">
        <v>2643</v>
      </c>
      <c r="D1067" s="11" t="s">
        <v>2473</v>
      </c>
      <c r="E1067" s="11" t="s">
        <v>2621</v>
      </c>
      <c r="F1067" s="11" t="s">
        <v>3649</v>
      </c>
      <c r="G1067" s="11">
        <v>9295.7999999999993</v>
      </c>
      <c r="H1067" s="11" t="s">
        <v>2623</v>
      </c>
      <c r="I1067" s="11" t="s">
        <v>1411</v>
      </c>
      <c r="J1067" s="11">
        <v>28</v>
      </c>
      <c r="K1067" s="11">
        <v>7261.8</v>
      </c>
      <c r="L1067" s="11">
        <v>0</v>
      </c>
      <c r="M1067" s="11">
        <v>1017</v>
      </c>
      <c r="N1067" s="11">
        <v>1017</v>
      </c>
      <c r="O1067" s="11">
        <v>0</v>
      </c>
      <c r="P1067" s="11" t="s">
        <v>2624</v>
      </c>
    </row>
    <row r="1068" spans="1:16" x14ac:dyDescent="0.2">
      <c r="A1068" s="52">
        <v>43739</v>
      </c>
      <c r="B1068" s="11" t="s">
        <v>41</v>
      </c>
      <c r="C1068" s="11" t="s">
        <v>2643</v>
      </c>
      <c r="D1068" s="11" t="s">
        <v>2476</v>
      </c>
      <c r="E1068" s="11" t="s">
        <v>2621</v>
      </c>
      <c r="F1068" s="11" t="s">
        <v>3650</v>
      </c>
      <c r="G1068" s="11">
        <v>12001.22</v>
      </c>
      <c r="H1068" s="11" t="s">
        <v>2623</v>
      </c>
      <c r="I1068" s="11" t="s">
        <v>1411</v>
      </c>
      <c r="J1068" s="11">
        <v>28</v>
      </c>
      <c r="K1068" s="11">
        <v>9377.2199999999993</v>
      </c>
      <c r="L1068" s="11">
        <v>0</v>
      </c>
      <c r="M1068" s="11">
        <v>1312</v>
      </c>
      <c r="N1068" s="11">
        <v>1312</v>
      </c>
      <c r="O1068" s="11">
        <v>0</v>
      </c>
      <c r="P1068" s="11" t="s">
        <v>2624</v>
      </c>
    </row>
    <row r="1069" spans="1:16" x14ac:dyDescent="0.2">
      <c r="A1069" s="52">
        <v>43739</v>
      </c>
      <c r="B1069" s="11" t="s">
        <v>41</v>
      </c>
      <c r="C1069" s="11" t="s">
        <v>2643</v>
      </c>
      <c r="D1069" s="11" t="s">
        <v>2480</v>
      </c>
      <c r="E1069" s="11" t="s">
        <v>2621</v>
      </c>
      <c r="F1069" s="11" t="s">
        <v>3651</v>
      </c>
      <c r="G1069" s="11">
        <v>545.75</v>
      </c>
      <c r="H1069" s="11" t="s">
        <v>2623</v>
      </c>
      <c r="I1069" s="11" t="s">
        <v>1411</v>
      </c>
      <c r="J1069" s="11">
        <v>28</v>
      </c>
      <c r="K1069" s="11">
        <v>425.75</v>
      </c>
      <c r="L1069" s="11">
        <v>0</v>
      </c>
      <c r="M1069" s="11">
        <v>60</v>
      </c>
      <c r="N1069" s="11">
        <v>60</v>
      </c>
      <c r="O1069" s="11">
        <v>0</v>
      </c>
      <c r="P1069" s="11" t="s">
        <v>2624</v>
      </c>
    </row>
    <row r="1070" spans="1:16" x14ac:dyDescent="0.2">
      <c r="A1070" s="52">
        <v>43739</v>
      </c>
      <c r="B1070" s="11" t="s">
        <v>41</v>
      </c>
      <c r="C1070" s="11" t="s">
        <v>2643</v>
      </c>
      <c r="D1070" s="11" t="s">
        <v>2483</v>
      </c>
      <c r="E1070" s="11" t="s">
        <v>2621</v>
      </c>
      <c r="F1070" s="11" t="s">
        <v>3652</v>
      </c>
      <c r="G1070" s="11">
        <v>1599</v>
      </c>
      <c r="H1070" s="11" t="s">
        <v>2623</v>
      </c>
      <c r="I1070" s="11" t="s">
        <v>1411</v>
      </c>
      <c r="J1070" s="11">
        <v>28</v>
      </c>
      <c r="K1070" s="11">
        <v>1249</v>
      </c>
      <c r="L1070" s="11">
        <v>0</v>
      </c>
      <c r="M1070" s="11">
        <v>175</v>
      </c>
      <c r="N1070" s="11">
        <v>175</v>
      </c>
      <c r="O1070" s="11">
        <v>0</v>
      </c>
      <c r="P1070" s="11" t="s">
        <v>2624</v>
      </c>
    </row>
    <row r="1071" spans="1:16" x14ac:dyDescent="0.2">
      <c r="A1071" s="52">
        <v>43739</v>
      </c>
      <c r="B1071" s="11" t="s">
        <v>41</v>
      </c>
      <c r="C1071" s="11" t="s">
        <v>2643</v>
      </c>
      <c r="D1071" s="11" t="s">
        <v>2489</v>
      </c>
      <c r="E1071" s="11" t="s">
        <v>2621</v>
      </c>
      <c r="F1071" s="11" t="s">
        <v>3653</v>
      </c>
      <c r="G1071" s="11">
        <v>9177.24</v>
      </c>
      <c r="H1071" s="11" t="s">
        <v>2623</v>
      </c>
      <c r="I1071" s="11" t="s">
        <v>1411</v>
      </c>
      <c r="J1071" s="11">
        <v>28</v>
      </c>
      <c r="K1071" s="11">
        <v>7169.24</v>
      </c>
      <c r="L1071" s="11">
        <v>0</v>
      </c>
      <c r="M1071" s="11">
        <v>1004</v>
      </c>
      <c r="N1071" s="11">
        <v>1004</v>
      </c>
      <c r="O1071" s="11">
        <v>0</v>
      </c>
      <c r="P1071" s="11" t="s">
        <v>2624</v>
      </c>
    </row>
    <row r="1072" spans="1:16" x14ac:dyDescent="0.2">
      <c r="A1072" s="52">
        <v>43739</v>
      </c>
      <c r="B1072" s="11" t="s">
        <v>41</v>
      </c>
      <c r="C1072" s="11" t="s">
        <v>2643</v>
      </c>
      <c r="D1072" s="11" t="s">
        <v>2493</v>
      </c>
      <c r="E1072" s="11" t="s">
        <v>2621</v>
      </c>
      <c r="F1072" s="11" t="s">
        <v>3654</v>
      </c>
      <c r="G1072" s="11">
        <v>7223.3</v>
      </c>
      <c r="H1072" s="11" t="s">
        <v>2623</v>
      </c>
      <c r="I1072" s="11" t="s">
        <v>1411</v>
      </c>
      <c r="J1072" s="11">
        <v>28</v>
      </c>
      <c r="K1072" s="11">
        <v>5643.3</v>
      </c>
      <c r="L1072" s="11">
        <v>0</v>
      </c>
      <c r="M1072" s="11">
        <v>790</v>
      </c>
      <c r="N1072" s="11">
        <v>790</v>
      </c>
      <c r="O1072" s="11">
        <v>0</v>
      </c>
      <c r="P1072" s="11" t="s">
        <v>2624</v>
      </c>
    </row>
    <row r="1073" spans="1:16" x14ac:dyDescent="0.2">
      <c r="A1073" s="52">
        <v>43739</v>
      </c>
      <c r="B1073" s="11" t="s">
        <v>41</v>
      </c>
      <c r="C1073" s="11" t="s">
        <v>2643</v>
      </c>
      <c r="D1073" s="11" t="s">
        <v>2494</v>
      </c>
      <c r="E1073" s="11" t="s">
        <v>2621</v>
      </c>
      <c r="F1073" s="11" t="s">
        <v>3654</v>
      </c>
      <c r="G1073" s="11">
        <v>6565.6</v>
      </c>
      <c r="H1073" s="11" t="s">
        <v>2623</v>
      </c>
      <c r="I1073" s="11" t="s">
        <v>1411</v>
      </c>
      <c r="J1073" s="11">
        <v>28</v>
      </c>
      <c r="K1073" s="11">
        <v>5129.6000000000004</v>
      </c>
      <c r="L1073" s="11">
        <v>0</v>
      </c>
      <c r="M1073" s="11">
        <v>718</v>
      </c>
      <c r="N1073" s="11">
        <v>718</v>
      </c>
      <c r="O1073" s="11">
        <v>0</v>
      </c>
      <c r="P1073" s="11" t="s">
        <v>2624</v>
      </c>
    </row>
    <row r="1074" spans="1:16" x14ac:dyDescent="0.2">
      <c r="A1074" s="52">
        <v>43739</v>
      </c>
      <c r="B1074" s="11" t="s">
        <v>41</v>
      </c>
      <c r="C1074" s="11" t="s">
        <v>2643</v>
      </c>
      <c r="D1074" s="11" t="s">
        <v>2497</v>
      </c>
      <c r="E1074" s="11" t="s">
        <v>2621</v>
      </c>
      <c r="F1074" s="11" t="s">
        <v>3655</v>
      </c>
      <c r="G1074" s="11">
        <v>14646.18</v>
      </c>
      <c r="H1074" s="11" t="s">
        <v>2623</v>
      </c>
      <c r="I1074" s="11" t="s">
        <v>1411</v>
      </c>
      <c r="J1074" s="11">
        <v>28</v>
      </c>
      <c r="K1074" s="11">
        <v>11442.18</v>
      </c>
      <c r="L1074" s="11">
        <v>0</v>
      </c>
      <c r="M1074" s="11">
        <v>1602</v>
      </c>
      <c r="N1074" s="11">
        <v>1602</v>
      </c>
      <c r="O1074" s="11">
        <v>0</v>
      </c>
      <c r="P1074" s="11" t="s">
        <v>2624</v>
      </c>
    </row>
    <row r="1075" spans="1:16" x14ac:dyDescent="0.2">
      <c r="A1075" s="52">
        <v>43739</v>
      </c>
      <c r="B1075" s="11" t="s">
        <v>3656</v>
      </c>
      <c r="C1075" s="11" t="s">
        <v>3657</v>
      </c>
      <c r="D1075" s="11" t="s">
        <v>3658</v>
      </c>
      <c r="E1075" s="11" t="s">
        <v>2621</v>
      </c>
      <c r="F1075" s="11" t="s">
        <v>3659</v>
      </c>
      <c r="G1075" s="11">
        <v>1820</v>
      </c>
      <c r="H1075" s="11" t="s">
        <v>2623</v>
      </c>
      <c r="I1075" s="11" t="s">
        <v>1411</v>
      </c>
      <c r="J1075" s="11">
        <v>18</v>
      </c>
      <c r="K1075" s="11">
        <v>1542</v>
      </c>
      <c r="L1075" s="11">
        <v>0</v>
      </c>
      <c r="M1075" s="11">
        <v>139</v>
      </c>
      <c r="N1075" s="11">
        <v>139</v>
      </c>
      <c r="O1075" s="11">
        <v>0</v>
      </c>
      <c r="P1075" s="11" t="s">
        <v>3256</v>
      </c>
    </row>
    <row r="1076" spans="1:16" x14ac:dyDescent="0.2">
      <c r="A1076" s="52">
        <v>43739</v>
      </c>
      <c r="B1076" s="11" t="s">
        <v>494</v>
      </c>
      <c r="C1076" s="11" t="s">
        <v>2756</v>
      </c>
      <c r="D1076" s="11" t="s">
        <v>3660</v>
      </c>
      <c r="E1076" s="11" t="s">
        <v>2621</v>
      </c>
      <c r="F1076" s="11" t="s">
        <v>3661</v>
      </c>
      <c r="G1076" s="11">
        <v>37437</v>
      </c>
      <c r="H1076" s="11" t="s">
        <v>2623</v>
      </c>
      <c r="I1076" s="11" t="s">
        <v>1411</v>
      </c>
      <c r="J1076" s="11">
        <v>18</v>
      </c>
      <c r="K1076" s="11">
        <v>31726.2</v>
      </c>
      <c r="L1076" s="11">
        <v>0</v>
      </c>
      <c r="M1076" s="11">
        <v>2855.36</v>
      </c>
      <c r="N1076" s="11">
        <v>2855.36</v>
      </c>
      <c r="O1076" s="11">
        <v>0</v>
      </c>
      <c r="P1076" s="11" t="s">
        <v>2624</v>
      </c>
    </row>
    <row r="1077" spans="1:16" x14ac:dyDescent="0.2">
      <c r="A1077" s="52">
        <v>43739</v>
      </c>
      <c r="B1077" s="11" t="s">
        <v>494</v>
      </c>
      <c r="C1077" s="11" t="s">
        <v>2756</v>
      </c>
      <c r="D1077" s="11" t="s">
        <v>3662</v>
      </c>
      <c r="E1077" s="11" t="s">
        <v>2621</v>
      </c>
      <c r="F1077" s="11" t="s">
        <v>3663</v>
      </c>
      <c r="G1077" s="11">
        <v>60225</v>
      </c>
      <c r="H1077" s="11" t="s">
        <v>2623</v>
      </c>
      <c r="I1077" s="11" t="s">
        <v>1411</v>
      </c>
      <c r="J1077" s="11">
        <v>18</v>
      </c>
      <c r="K1077" s="11">
        <v>51037.8</v>
      </c>
      <c r="L1077" s="11">
        <v>0</v>
      </c>
      <c r="M1077" s="11">
        <v>4593.3999999999996</v>
      </c>
      <c r="N1077" s="11">
        <v>4593.3999999999996</v>
      </c>
      <c r="O1077" s="11">
        <v>0</v>
      </c>
      <c r="P1077" s="11" t="s">
        <v>2624</v>
      </c>
    </row>
    <row r="1078" spans="1:16" x14ac:dyDescent="0.2">
      <c r="A1078" s="52">
        <v>43739</v>
      </c>
      <c r="B1078" s="11" t="s">
        <v>494</v>
      </c>
      <c r="C1078" s="11" t="s">
        <v>2756</v>
      </c>
      <c r="D1078" s="11" t="s">
        <v>3664</v>
      </c>
      <c r="E1078" s="11" t="s">
        <v>2621</v>
      </c>
      <c r="F1078" s="11" t="s">
        <v>3649</v>
      </c>
      <c r="G1078" s="11">
        <v>8681</v>
      </c>
      <c r="H1078" s="11" t="s">
        <v>2623</v>
      </c>
      <c r="I1078" s="11" t="s">
        <v>1411</v>
      </c>
      <c r="J1078" s="11">
        <v>18</v>
      </c>
      <c r="K1078" s="11">
        <v>7356.8</v>
      </c>
      <c r="L1078" s="11">
        <v>0</v>
      </c>
      <c r="M1078" s="11">
        <v>662.11</v>
      </c>
      <c r="N1078" s="11">
        <v>662.11</v>
      </c>
      <c r="O1078" s="11">
        <v>0</v>
      </c>
      <c r="P1078" s="11" t="s">
        <v>2624</v>
      </c>
    </row>
    <row r="1079" spans="1:16" x14ac:dyDescent="0.2">
      <c r="A1079" s="52">
        <v>43739</v>
      </c>
      <c r="B1079" s="11" t="s">
        <v>494</v>
      </c>
      <c r="C1079" s="11" t="s">
        <v>2756</v>
      </c>
      <c r="D1079" s="11" t="s">
        <v>3665</v>
      </c>
      <c r="E1079" s="11" t="s">
        <v>2621</v>
      </c>
      <c r="F1079" s="11" t="s">
        <v>3666</v>
      </c>
      <c r="G1079" s="11">
        <v>25772</v>
      </c>
      <c r="H1079" s="11" t="s">
        <v>2623</v>
      </c>
      <c r="I1079" s="11" t="s">
        <v>1411</v>
      </c>
      <c r="J1079" s="11">
        <v>18</v>
      </c>
      <c r="K1079" s="11">
        <v>21840.5</v>
      </c>
      <c r="L1079" s="11">
        <v>0</v>
      </c>
      <c r="M1079" s="11">
        <v>1965.65</v>
      </c>
      <c r="N1079" s="11">
        <v>1965.65</v>
      </c>
      <c r="O1079" s="11">
        <v>0</v>
      </c>
      <c r="P1079" s="11" t="s">
        <v>2624</v>
      </c>
    </row>
    <row r="1080" spans="1:16" x14ac:dyDescent="0.2">
      <c r="A1080" s="52">
        <v>43739</v>
      </c>
      <c r="B1080" s="11" t="s">
        <v>494</v>
      </c>
      <c r="C1080" s="11" t="s">
        <v>2756</v>
      </c>
      <c r="D1080" s="11" t="s">
        <v>3667</v>
      </c>
      <c r="E1080" s="11" t="s">
        <v>2621</v>
      </c>
      <c r="F1080" s="11" t="s">
        <v>3655</v>
      </c>
      <c r="G1080" s="11">
        <v>9224</v>
      </c>
      <c r="H1080" s="11" t="s">
        <v>2623</v>
      </c>
      <c r="I1080" s="11" t="s">
        <v>1411</v>
      </c>
      <c r="J1080" s="11">
        <v>18</v>
      </c>
      <c r="K1080" s="11">
        <v>7816.6</v>
      </c>
      <c r="L1080" s="11">
        <v>0</v>
      </c>
      <c r="M1080" s="11">
        <v>703.49</v>
      </c>
      <c r="N1080" s="11">
        <v>703.49</v>
      </c>
      <c r="O1080" s="11">
        <v>0</v>
      </c>
      <c r="P1080" s="11" t="s">
        <v>2624</v>
      </c>
    </row>
    <row r="1081" spans="1:16" x14ac:dyDescent="0.2">
      <c r="A1081" s="52">
        <v>43739</v>
      </c>
      <c r="B1081" s="11" t="s">
        <v>515</v>
      </c>
      <c r="C1081" s="11" t="s">
        <v>2761</v>
      </c>
      <c r="D1081" s="11" t="s">
        <v>2492</v>
      </c>
      <c r="E1081" s="11" t="s">
        <v>2621</v>
      </c>
      <c r="F1081" s="11" t="s">
        <v>3661</v>
      </c>
      <c r="G1081" s="11">
        <v>5.9</v>
      </c>
      <c r="H1081" s="11" t="s">
        <v>2623</v>
      </c>
      <c r="I1081" s="11" t="s">
        <v>1411</v>
      </c>
      <c r="J1081" s="11">
        <v>18</v>
      </c>
      <c r="K1081" s="11">
        <v>5</v>
      </c>
      <c r="L1081" s="11">
        <v>0</v>
      </c>
      <c r="M1081" s="11">
        <v>0.45</v>
      </c>
      <c r="N1081" s="11">
        <v>0.45</v>
      </c>
      <c r="O1081" s="11">
        <v>0</v>
      </c>
      <c r="P1081" s="11" t="s">
        <v>2624</v>
      </c>
    </row>
    <row r="1082" spans="1:16" x14ac:dyDescent="0.2">
      <c r="A1082" s="52">
        <v>43739</v>
      </c>
      <c r="B1082" s="11" t="s">
        <v>515</v>
      </c>
      <c r="C1082" s="11" t="s">
        <v>2761</v>
      </c>
      <c r="D1082" s="11" t="s">
        <v>3668</v>
      </c>
      <c r="E1082" s="11" t="s">
        <v>2621</v>
      </c>
      <c r="F1082" s="11" t="s">
        <v>3645</v>
      </c>
      <c r="G1082" s="11">
        <v>177</v>
      </c>
      <c r="H1082" s="11" t="s">
        <v>2623</v>
      </c>
      <c r="I1082" s="11" t="s">
        <v>1411</v>
      </c>
      <c r="J1082" s="11">
        <v>18</v>
      </c>
      <c r="K1082" s="11">
        <v>150</v>
      </c>
      <c r="L1082" s="11">
        <v>0</v>
      </c>
      <c r="M1082" s="11">
        <v>13.5</v>
      </c>
      <c r="N1082" s="11">
        <v>13.5</v>
      </c>
      <c r="O1082" s="11">
        <v>0</v>
      </c>
      <c r="P1082" s="11" t="s">
        <v>2624</v>
      </c>
    </row>
    <row r="1083" spans="1:16" x14ac:dyDescent="0.2">
      <c r="A1083" s="52">
        <v>43739</v>
      </c>
      <c r="B1083" s="11" t="s">
        <v>2439</v>
      </c>
      <c r="C1083" s="11" t="s">
        <v>3669</v>
      </c>
      <c r="D1083" s="11" t="s">
        <v>2488</v>
      </c>
      <c r="E1083" s="11" t="s">
        <v>2621</v>
      </c>
      <c r="F1083" s="11" t="s">
        <v>3653</v>
      </c>
      <c r="G1083" s="11">
        <v>4879.18</v>
      </c>
      <c r="H1083" s="11" t="s">
        <v>2623</v>
      </c>
      <c r="I1083" s="11" t="s">
        <v>1411</v>
      </c>
      <c r="J1083" s="11">
        <v>18</v>
      </c>
      <c r="K1083" s="11">
        <v>4134.8999999999996</v>
      </c>
      <c r="L1083" s="11">
        <v>0</v>
      </c>
      <c r="M1083" s="11">
        <v>372.14</v>
      </c>
      <c r="N1083" s="11">
        <v>372.14</v>
      </c>
      <c r="O1083" s="11">
        <v>0</v>
      </c>
      <c r="P1083" s="11" t="s">
        <v>2624</v>
      </c>
    </row>
    <row r="1084" spans="1:16" x14ac:dyDescent="0.2">
      <c r="A1084" s="52">
        <v>43739</v>
      </c>
      <c r="B1084" s="11" t="s">
        <v>74</v>
      </c>
      <c r="C1084" s="11" t="s">
        <v>2698</v>
      </c>
      <c r="D1084" s="11" t="s">
        <v>3670</v>
      </c>
      <c r="E1084" s="11" t="s">
        <v>2621</v>
      </c>
      <c r="F1084" s="11" t="s">
        <v>3671</v>
      </c>
      <c r="G1084" s="11">
        <v>31321.919999999998</v>
      </c>
      <c r="H1084" s="11" t="s">
        <v>2623</v>
      </c>
      <c r="I1084" s="11" t="s">
        <v>1411</v>
      </c>
      <c r="J1084" s="11">
        <v>18</v>
      </c>
      <c r="K1084" s="11">
        <v>26544</v>
      </c>
      <c r="L1084" s="11">
        <v>0</v>
      </c>
      <c r="M1084" s="11">
        <v>2388.96</v>
      </c>
      <c r="N1084" s="11">
        <v>2388.96</v>
      </c>
      <c r="O1084" s="11">
        <v>0</v>
      </c>
      <c r="P1084" s="11" t="s">
        <v>2624</v>
      </c>
    </row>
    <row r="1085" spans="1:16" x14ac:dyDescent="0.2">
      <c r="A1085" s="52">
        <v>43739</v>
      </c>
      <c r="B1085" s="11" t="s">
        <v>74</v>
      </c>
      <c r="C1085" s="11" t="s">
        <v>2698</v>
      </c>
      <c r="D1085" s="11" t="s">
        <v>3672</v>
      </c>
      <c r="E1085" s="11" t="s">
        <v>2621</v>
      </c>
      <c r="F1085" s="11" t="s">
        <v>3645</v>
      </c>
      <c r="G1085" s="11">
        <v>31321.919999999998</v>
      </c>
      <c r="H1085" s="11" t="s">
        <v>2623</v>
      </c>
      <c r="I1085" s="11" t="s">
        <v>1411</v>
      </c>
      <c r="J1085" s="11">
        <v>18</v>
      </c>
      <c r="K1085" s="11">
        <v>26544</v>
      </c>
      <c r="L1085" s="11">
        <v>0</v>
      </c>
      <c r="M1085" s="11">
        <v>2388.96</v>
      </c>
      <c r="N1085" s="11">
        <v>2388.96</v>
      </c>
      <c r="O1085" s="11">
        <v>0</v>
      </c>
      <c r="P1085" s="11" t="s">
        <v>2624</v>
      </c>
    </row>
    <row r="1086" spans="1:16" x14ac:dyDescent="0.2">
      <c r="A1086" s="52">
        <v>43739</v>
      </c>
      <c r="B1086" s="11" t="s">
        <v>74</v>
      </c>
      <c r="C1086" s="11" t="s">
        <v>2698</v>
      </c>
      <c r="D1086" s="11" t="s">
        <v>3673</v>
      </c>
      <c r="E1086" s="11" t="s">
        <v>2621</v>
      </c>
      <c r="F1086" s="11" t="s">
        <v>3649</v>
      </c>
      <c r="G1086" s="11">
        <v>31321.919999999998</v>
      </c>
      <c r="H1086" s="11" t="s">
        <v>2623</v>
      </c>
      <c r="I1086" s="11" t="s">
        <v>1411</v>
      </c>
      <c r="J1086" s="11">
        <v>18</v>
      </c>
      <c r="K1086" s="11">
        <v>26544</v>
      </c>
      <c r="L1086" s="11">
        <v>0</v>
      </c>
      <c r="M1086" s="11">
        <v>2388.96</v>
      </c>
      <c r="N1086" s="11">
        <v>2388.96</v>
      </c>
      <c r="O1086" s="11">
        <v>0</v>
      </c>
      <c r="P1086" s="11" t="s">
        <v>2624</v>
      </c>
    </row>
    <row r="1087" spans="1:16" x14ac:dyDescent="0.2">
      <c r="A1087" s="52">
        <v>43739</v>
      </c>
      <c r="B1087" s="11" t="s">
        <v>74</v>
      </c>
      <c r="C1087" s="11" t="s">
        <v>2698</v>
      </c>
      <c r="D1087" s="11" t="s">
        <v>3674</v>
      </c>
      <c r="E1087" s="11" t="s">
        <v>2621</v>
      </c>
      <c r="F1087" s="11" t="s">
        <v>3659</v>
      </c>
      <c r="G1087" s="11">
        <v>31321.919999999998</v>
      </c>
      <c r="H1087" s="11" t="s">
        <v>2623</v>
      </c>
      <c r="I1087" s="11" t="s">
        <v>1411</v>
      </c>
      <c r="J1087" s="11">
        <v>18</v>
      </c>
      <c r="K1087" s="11">
        <v>26544</v>
      </c>
      <c r="L1087" s="11">
        <v>0</v>
      </c>
      <c r="M1087" s="11">
        <v>2388.96</v>
      </c>
      <c r="N1087" s="11">
        <v>2388.96</v>
      </c>
      <c r="O1087" s="11">
        <v>0</v>
      </c>
      <c r="P1087" s="11" t="s">
        <v>2624</v>
      </c>
    </row>
    <row r="1088" spans="1:16" x14ac:dyDescent="0.2">
      <c r="A1088" s="52">
        <v>43739</v>
      </c>
      <c r="B1088" s="11" t="s">
        <v>74</v>
      </c>
      <c r="C1088" s="11" t="s">
        <v>2698</v>
      </c>
      <c r="D1088" s="11" t="s">
        <v>3675</v>
      </c>
      <c r="E1088" s="11" t="s">
        <v>2621</v>
      </c>
      <c r="F1088" s="11" t="s">
        <v>3676</v>
      </c>
      <c r="G1088" s="11">
        <v>56379.44</v>
      </c>
      <c r="H1088" s="11" t="s">
        <v>2623</v>
      </c>
      <c r="I1088" s="11" t="s">
        <v>1411</v>
      </c>
      <c r="J1088" s="11">
        <v>18</v>
      </c>
      <c r="K1088" s="11">
        <v>47779.199999999997</v>
      </c>
      <c r="L1088" s="11">
        <v>0</v>
      </c>
      <c r="M1088" s="11">
        <v>4300.13</v>
      </c>
      <c r="N1088" s="11">
        <v>4300.13</v>
      </c>
      <c r="O1088" s="11">
        <v>0</v>
      </c>
      <c r="P1088" s="11" t="s">
        <v>2624</v>
      </c>
    </row>
    <row r="1089" spans="1:16" x14ac:dyDescent="0.2">
      <c r="A1089" s="52">
        <v>43739</v>
      </c>
      <c r="B1089" s="11" t="s">
        <v>74</v>
      </c>
      <c r="C1089" s="11" t="s">
        <v>2698</v>
      </c>
      <c r="D1089" s="11" t="s">
        <v>3677</v>
      </c>
      <c r="E1089" s="11" t="s">
        <v>2621</v>
      </c>
      <c r="F1089" s="11" t="s">
        <v>3653</v>
      </c>
      <c r="G1089" s="11">
        <v>715.58</v>
      </c>
      <c r="H1089" s="11" t="s">
        <v>2623</v>
      </c>
      <c r="I1089" s="11" t="s">
        <v>1411</v>
      </c>
      <c r="J1089" s="11">
        <v>18</v>
      </c>
      <c r="K1089" s="11">
        <v>606.41999999999996</v>
      </c>
      <c r="L1089" s="11">
        <v>0</v>
      </c>
      <c r="M1089" s="11">
        <v>54.58</v>
      </c>
      <c r="N1089" s="11">
        <v>54.58</v>
      </c>
      <c r="O1089" s="11">
        <v>0</v>
      </c>
      <c r="P1089" s="11" t="s">
        <v>2624</v>
      </c>
    </row>
  </sheetData>
  <mergeCells count="11">
    <mergeCell ref="P4:P5"/>
    <mergeCell ref="B2:P2"/>
    <mergeCell ref="A4:A5"/>
    <mergeCell ref="B4:B5"/>
    <mergeCell ref="C4:C5"/>
    <mergeCell ref="D4:G4"/>
    <mergeCell ref="H4:H5"/>
    <mergeCell ref="I4:I5"/>
    <mergeCell ref="J4:J5"/>
    <mergeCell ref="K4:K5"/>
    <mergeCell ref="L4:O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2"/>
  <sheetViews>
    <sheetView workbookViewId="0"/>
  </sheetViews>
  <sheetFormatPr defaultColWidth="9.109375" defaultRowHeight="10.199999999999999" x14ac:dyDescent="0.2"/>
  <cols>
    <col min="1" max="1" width="3.88671875" style="11" customWidth="1"/>
    <col min="2" max="2" width="23.5546875" style="11" customWidth="1"/>
    <col min="3" max="3" width="18.33203125" style="11" customWidth="1"/>
    <col min="4" max="5" width="13.109375" style="11" bestFit="1" customWidth="1"/>
    <col min="6" max="8" width="9.21875" style="11" bestFit="1" customWidth="1"/>
    <col min="9" max="10" width="13.109375" style="11" bestFit="1" customWidth="1"/>
    <col min="11" max="13" width="9.21875" style="11" bestFit="1" customWidth="1"/>
    <col min="14" max="15" width="13.109375" style="11" bestFit="1" customWidth="1"/>
    <col min="16" max="18" width="9.21875" style="11" bestFit="1" customWidth="1"/>
    <col min="19" max="19" width="14.44140625" style="11" bestFit="1" customWidth="1"/>
    <col min="20" max="20" width="13.109375" style="11" bestFit="1" customWidth="1"/>
    <col min="21" max="23" width="9.21875" style="11" bestFit="1" customWidth="1"/>
    <col min="24" max="25" width="13.109375" style="11" bestFit="1" customWidth="1"/>
    <col min="26" max="28" width="9.21875" style="11" bestFit="1" customWidth="1"/>
    <col min="29" max="30" width="13.109375" style="11" bestFit="1" customWidth="1"/>
    <col min="31" max="33" width="9.21875" style="11" bestFit="1" customWidth="1"/>
    <col min="34" max="35" width="13.109375" style="11" bestFit="1" customWidth="1"/>
    <col min="36" max="63" width="9.21875" style="11" bestFit="1" customWidth="1"/>
    <col min="64" max="65" width="14.44140625" style="11" bestFit="1" customWidth="1"/>
    <col min="66" max="66" width="9.21875" style="11" bestFit="1" customWidth="1"/>
    <col min="67" max="68" width="13.109375" style="11" bestFit="1" customWidth="1"/>
    <col min="69" max="16384" width="9.109375" style="11"/>
  </cols>
  <sheetData>
    <row r="1" spans="1:68" ht="10.8" thickBot="1" x14ac:dyDescent="0.25">
      <c r="A1" s="66"/>
      <c r="B1" s="66"/>
      <c r="C1" s="66"/>
    </row>
    <row r="2" spans="1:68" ht="11.4" thickTop="1" thickBot="1" x14ac:dyDescent="0.25">
      <c r="A2" s="66"/>
      <c r="B2" s="66"/>
      <c r="C2" s="66" t="s">
        <v>347</v>
      </c>
      <c r="D2" s="463">
        <f t="shared" ref="D2:AI2" si="0">SUM(D5:D9996)</f>
        <v>3297888.8010000009</v>
      </c>
      <c r="E2" s="463">
        <f t="shared" si="0"/>
        <v>2655684.2999999998</v>
      </c>
      <c r="F2" s="463">
        <f t="shared" si="0"/>
        <v>2079.9351999999999</v>
      </c>
      <c r="G2" s="463">
        <f t="shared" si="0"/>
        <v>320062.28289999999</v>
      </c>
      <c r="H2" s="463">
        <f t="shared" si="0"/>
        <v>320062.28289999999</v>
      </c>
      <c r="I2" s="463">
        <f t="shared" si="0"/>
        <v>4919666.9068</v>
      </c>
      <c r="J2" s="463">
        <f t="shared" si="0"/>
        <v>4010965.3600000003</v>
      </c>
      <c r="K2" s="463">
        <f t="shared" si="0"/>
        <v>36933.315999999999</v>
      </c>
      <c r="L2" s="463">
        <f t="shared" si="0"/>
        <v>435884.11540000007</v>
      </c>
      <c r="M2" s="463">
        <f t="shared" si="0"/>
        <v>435884.11540000007</v>
      </c>
      <c r="N2" s="463">
        <f t="shared" si="0"/>
        <v>5591573.0953999991</v>
      </c>
      <c r="O2" s="463">
        <f t="shared" si="0"/>
        <v>4588910.58</v>
      </c>
      <c r="P2" s="463">
        <f t="shared" si="0"/>
        <v>89585.376799999998</v>
      </c>
      <c r="Q2" s="463">
        <f t="shared" si="0"/>
        <v>456538.56930000009</v>
      </c>
      <c r="R2" s="463">
        <f t="shared" si="0"/>
        <v>456538.56930000009</v>
      </c>
      <c r="S2" s="463">
        <f t="shared" si="0"/>
        <v>7432132.008799999</v>
      </c>
      <c r="T2" s="463">
        <f t="shared" si="0"/>
        <v>6109708.5599999996</v>
      </c>
      <c r="U2" s="463">
        <f t="shared" si="0"/>
        <v>23899.64</v>
      </c>
      <c r="V2" s="463">
        <f t="shared" si="0"/>
        <v>649261.90439999988</v>
      </c>
      <c r="W2" s="463">
        <f t="shared" si="0"/>
        <v>649261.90439999988</v>
      </c>
      <c r="X2" s="463">
        <f t="shared" si="0"/>
        <v>4593092.1940000001</v>
      </c>
      <c r="Y2" s="463">
        <f t="shared" si="0"/>
        <v>3775053.6500000004</v>
      </c>
      <c r="Z2" s="463">
        <f t="shared" si="0"/>
        <v>10977.877199999999</v>
      </c>
      <c r="AA2" s="463">
        <f t="shared" si="0"/>
        <v>403530.3334</v>
      </c>
      <c r="AB2" s="463">
        <f t="shared" si="0"/>
        <v>403530.3334</v>
      </c>
      <c r="AC2" s="463">
        <f t="shared" si="0"/>
        <v>4626986.2966000019</v>
      </c>
      <c r="AD2" s="463">
        <f t="shared" si="0"/>
        <v>3805335.22</v>
      </c>
      <c r="AE2" s="463">
        <f t="shared" si="0"/>
        <v>57463.603599999995</v>
      </c>
      <c r="AF2" s="463">
        <f t="shared" si="0"/>
        <v>382093.7365</v>
      </c>
      <c r="AG2" s="463">
        <f t="shared" si="0"/>
        <v>382093.7365</v>
      </c>
      <c r="AH2" s="463">
        <f t="shared" si="0"/>
        <v>4553683.2851999998</v>
      </c>
      <c r="AI2" s="463">
        <f t="shared" si="0"/>
        <v>3768889.44</v>
      </c>
      <c r="AJ2" s="463">
        <f t="shared" ref="AJ2:BK2" si="1">SUM(AJ5:AJ9996)</f>
        <v>35776.300000000003</v>
      </c>
      <c r="AK2" s="463">
        <f t="shared" si="1"/>
        <v>374508.77259999997</v>
      </c>
      <c r="AL2" s="463">
        <f t="shared" si="1"/>
        <v>374508.77259999997</v>
      </c>
      <c r="AM2" s="463">
        <f t="shared" si="1"/>
        <v>0</v>
      </c>
      <c r="AN2" s="463">
        <f t="shared" si="1"/>
        <v>0</v>
      </c>
      <c r="AO2" s="463">
        <f t="shared" si="1"/>
        <v>0</v>
      </c>
      <c r="AP2" s="463">
        <f t="shared" si="1"/>
        <v>0</v>
      </c>
      <c r="AQ2" s="463">
        <f t="shared" si="1"/>
        <v>0</v>
      </c>
      <c r="AR2" s="463">
        <f t="shared" si="1"/>
        <v>0</v>
      </c>
      <c r="AS2" s="463">
        <f t="shared" si="1"/>
        <v>0</v>
      </c>
      <c r="AT2" s="463">
        <f t="shared" si="1"/>
        <v>0</v>
      </c>
      <c r="AU2" s="463">
        <f t="shared" si="1"/>
        <v>0</v>
      </c>
      <c r="AV2" s="463">
        <f t="shared" si="1"/>
        <v>0</v>
      </c>
      <c r="AW2" s="463">
        <f t="shared" si="1"/>
        <v>0</v>
      </c>
      <c r="AX2" s="463">
        <f t="shared" si="1"/>
        <v>0</v>
      </c>
      <c r="AY2" s="463">
        <f t="shared" si="1"/>
        <v>0</v>
      </c>
      <c r="AZ2" s="463">
        <f t="shared" si="1"/>
        <v>0</v>
      </c>
      <c r="BA2" s="463">
        <f t="shared" si="1"/>
        <v>0</v>
      </c>
      <c r="BB2" s="463">
        <f t="shared" si="1"/>
        <v>0</v>
      </c>
      <c r="BC2" s="463">
        <f t="shared" si="1"/>
        <v>0</v>
      </c>
      <c r="BD2" s="463">
        <f t="shared" si="1"/>
        <v>0</v>
      </c>
      <c r="BE2" s="463">
        <f t="shared" si="1"/>
        <v>0</v>
      </c>
      <c r="BF2" s="463">
        <f t="shared" si="1"/>
        <v>0</v>
      </c>
      <c r="BG2" s="463">
        <f t="shared" si="1"/>
        <v>0</v>
      </c>
      <c r="BH2" s="463">
        <f t="shared" si="1"/>
        <v>0</v>
      </c>
      <c r="BI2" s="463">
        <f t="shared" si="1"/>
        <v>0</v>
      </c>
      <c r="BJ2" s="463">
        <f t="shared" si="1"/>
        <v>0</v>
      </c>
      <c r="BK2" s="463">
        <f t="shared" si="1"/>
        <v>0</v>
      </c>
      <c r="BL2" s="463">
        <f t="shared" ref="BL2:BP2" si="2">SUM(BL5:BL10000)</f>
        <v>35015022.587799996</v>
      </c>
      <c r="BM2" s="463">
        <f t="shared" si="2"/>
        <v>28714547.109999999</v>
      </c>
      <c r="BN2" s="463">
        <f t="shared" si="2"/>
        <v>256716.04879999999</v>
      </c>
      <c r="BO2" s="463">
        <f t="shared" si="2"/>
        <v>3021879.7145000007</v>
      </c>
      <c r="BP2" s="463">
        <f t="shared" si="2"/>
        <v>3021879.7145000007</v>
      </c>
    </row>
    <row r="3" spans="1:68" ht="11.4" thickTop="1" thickBot="1" x14ac:dyDescent="0.25">
      <c r="A3" s="464" t="s">
        <v>1503</v>
      </c>
      <c r="B3" s="464" t="s">
        <v>1504</v>
      </c>
      <c r="C3" s="464" t="s">
        <v>1505</v>
      </c>
      <c r="D3" s="1458">
        <v>43556</v>
      </c>
      <c r="E3" s="1458"/>
      <c r="F3" s="1458"/>
      <c r="G3" s="1458"/>
      <c r="H3" s="1459"/>
      <c r="I3" s="1460">
        <v>43586</v>
      </c>
      <c r="J3" s="1461"/>
      <c r="K3" s="1461"/>
      <c r="L3" s="1461"/>
      <c r="M3" s="1462"/>
      <c r="N3" s="1463">
        <v>43617</v>
      </c>
      <c r="O3" s="1464"/>
      <c r="P3" s="1464"/>
      <c r="Q3" s="1464"/>
      <c r="R3" s="1465"/>
      <c r="S3" s="1459">
        <v>43647</v>
      </c>
      <c r="T3" s="1466"/>
      <c r="U3" s="1466"/>
      <c r="V3" s="1466"/>
      <c r="W3" s="1467"/>
      <c r="X3" s="1468">
        <v>43678</v>
      </c>
      <c r="Y3" s="1469"/>
      <c r="Z3" s="1469"/>
      <c r="AA3" s="1469"/>
      <c r="AB3" s="1470"/>
      <c r="AC3" s="1187">
        <v>43709</v>
      </c>
      <c r="AD3" s="1188"/>
      <c r="AE3" s="1188"/>
      <c r="AF3" s="1188"/>
      <c r="AG3" s="1189"/>
      <c r="AH3" s="1455">
        <v>43739</v>
      </c>
      <c r="AI3" s="1456"/>
      <c r="AJ3" s="1456"/>
      <c r="AK3" s="1456"/>
      <c r="AL3" s="1457"/>
      <c r="AM3" s="1468">
        <v>43770</v>
      </c>
      <c r="AN3" s="1469"/>
      <c r="AO3" s="1469"/>
      <c r="AP3" s="1469"/>
      <c r="AQ3" s="1470"/>
      <c r="AR3" s="1187">
        <v>43800</v>
      </c>
      <c r="AS3" s="1188"/>
      <c r="AT3" s="1188"/>
      <c r="AU3" s="1188"/>
      <c r="AV3" s="1189"/>
      <c r="AW3" s="1455">
        <v>43831</v>
      </c>
      <c r="AX3" s="1456"/>
      <c r="AY3" s="1456"/>
      <c r="AZ3" s="1456"/>
      <c r="BA3" s="1457"/>
      <c r="BB3" s="1468">
        <v>43862</v>
      </c>
      <c r="BC3" s="1469"/>
      <c r="BD3" s="1469"/>
      <c r="BE3" s="1469"/>
      <c r="BF3" s="1470"/>
      <c r="BG3" s="1187">
        <v>43891</v>
      </c>
      <c r="BH3" s="1188"/>
      <c r="BI3" s="1188"/>
      <c r="BJ3" s="1188"/>
      <c r="BK3" s="1189"/>
      <c r="BL3" s="1187" t="s">
        <v>347</v>
      </c>
      <c r="BM3" s="1188"/>
      <c r="BN3" s="1188"/>
      <c r="BO3" s="1188"/>
      <c r="BP3" s="1189"/>
    </row>
    <row r="4" spans="1:68" ht="12" customHeight="1" thickTop="1" thickBot="1" x14ac:dyDescent="0.25">
      <c r="A4" s="465" t="s">
        <v>1506</v>
      </c>
      <c r="B4" s="465" t="s">
        <v>274</v>
      </c>
      <c r="C4" s="465" t="s">
        <v>1506</v>
      </c>
      <c r="D4" s="466" t="s">
        <v>347</v>
      </c>
      <c r="E4" s="466" t="s">
        <v>369</v>
      </c>
      <c r="F4" s="466" t="s">
        <v>16</v>
      </c>
      <c r="G4" s="466" t="s">
        <v>17</v>
      </c>
      <c r="H4" s="466" t="s">
        <v>18</v>
      </c>
      <c r="I4" s="466" t="s">
        <v>347</v>
      </c>
      <c r="J4" s="466" t="s">
        <v>367</v>
      </c>
      <c r="K4" s="466" t="s">
        <v>16</v>
      </c>
      <c r="L4" s="466" t="s">
        <v>17</v>
      </c>
      <c r="M4" s="466" t="s">
        <v>18</v>
      </c>
      <c r="N4" s="466" t="s">
        <v>347</v>
      </c>
      <c r="O4" s="466" t="s">
        <v>367</v>
      </c>
      <c r="P4" s="466" t="s">
        <v>16</v>
      </c>
      <c r="Q4" s="466" t="s">
        <v>17</v>
      </c>
      <c r="R4" s="466" t="s">
        <v>18</v>
      </c>
      <c r="S4" s="466" t="s">
        <v>347</v>
      </c>
      <c r="T4" s="466" t="s">
        <v>367</v>
      </c>
      <c r="U4" s="466" t="s">
        <v>16</v>
      </c>
      <c r="V4" s="466" t="s">
        <v>17</v>
      </c>
      <c r="W4" s="466" t="s">
        <v>18</v>
      </c>
      <c r="X4" s="466" t="s">
        <v>347</v>
      </c>
      <c r="Y4" s="466" t="s">
        <v>367</v>
      </c>
      <c r="Z4" s="466" t="s">
        <v>16</v>
      </c>
      <c r="AA4" s="466" t="s">
        <v>17</v>
      </c>
      <c r="AB4" s="466" t="s">
        <v>18</v>
      </c>
      <c r="AC4" s="466" t="s">
        <v>347</v>
      </c>
      <c r="AD4" s="466" t="s">
        <v>367</v>
      </c>
      <c r="AE4" s="466" t="s">
        <v>16</v>
      </c>
      <c r="AF4" s="466" t="s">
        <v>17</v>
      </c>
      <c r="AG4" s="466" t="s">
        <v>18</v>
      </c>
      <c r="AH4" s="466" t="s">
        <v>347</v>
      </c>
      <c r="AI4" s="466" t="s">
        <v>367</v>
      </c>
      <c r="AJ4" s="466" t="s">
        <v>16</v>
      </c>
      <c r="AK4" s="466" t="s">
        <v>17</v>
      </c>
      <c r="AL4" s="466" t="s">
        <v>18</v>
      </c>
      <c r="AM4" s="466" t="s">
        <v>347</v>
      </c>
      <c r="AN4" s="466" t="s">
        <v>367</v>
      </c>
      <c r="AO4" s="466" t="s">
        <v>16</v>
      </c>
      <c r="AP4" s="466" t="s">
        <v>17</v>
      </c>
      <c r="AQ4" s="466" t="s">
        <v>18</v>
      </c>
      <c r="AR4" s="466" t="s">
        <v>347</v>
      </c>
      <c r="AS4" s="466" t="s">
        <v>367</v>
      </c>
      <c r="AT4" s="466" t="s">
        <v>16</v>
      </c>
      <c r="AU4" s="466" t="s">
        <v>17</v>
      </c>
      <c r="AV4" s="466" t="s">
        <v>18</v>
      </c>
      <c r="AW4" s="466" t="s">
        <v>347</v>
      </c>
      <c r="AX4" s="466" t="s">
        <v>367</v>
      </c>
      <c r="AY4" s="466" t="s">
        <v>16</v>
      </c>
      <c r="AZ4" s="466" t="s">
        <v>17</v>
      </c>
      <c r="BA4" s="466" t="s">
        <v>18</v>
      </c>
      <c r="BB4" s="466" t="s">
        <v>347</v>
      </c>
      <c r="BC4" s="466" t="s">
        <v>367</v>
      </c>
      <c r="BD4" s="466" t="s">
        <v>16</v>
      </c>
      <c r="BE4" s="466" t="s">
        <v>17</v>
      </c>
      <c r="BF4" s="466" t="s">
        <v>18</v>
      </c>
      <c r="BG4" s="466" t="s">
        <v>347</v>
      </c>
      <c r="BH4" s="466" t="s">
        <v>367</v>
      </c>
      <c r="BI4" s="466" t="s">
        <v>16</v>
      </c>
      <c r="BJ4" s="466" t="s">
        <v>17</v>
      </c>
      <c r="BK4" s="466" t="s">
        <v>18</v>
      </c>
      <c r="BL4" s="466" t="s">
        <v>347</v>
      </c>
      <c r="BM4" s="466" t="s">
        <v>367</v>
      </c>
      <c r="BN4" s="466" t="s">
        <v>16</v>
      </c>
      <c r="BO4" s="466" t="s">
        <v>17</v>
      </c>
      <c r="BP4" s="466" t="s">
        <v>18</v>
      </c>
    </row>
    <row r="5" spans="1:68" ht="10.8" thickTop="1" x14ac:dyDescent="0.2">
      <c r="A5" s="467">
        <v>1</v>
      </c>
      <c r="B5" s="468" t="s">
        <v>1059</v>
      </c>
      <c r="C5" s="469" t="s">
        <v>1060</v>
      </c>
      <c r="D5" s="11">
        <f>+E5+F5+G5+H5</f>
        <v>0</v>
      </c>
      <c r="E5" s="11">
        <f>SUMIFS(PURCHASE!$K$6:$K$10008,PURCHASE!$A$6:$A$10008,$D$3,PURCHASE!$D$6:$D$10008,$C$5:$C$499)</f>
        <v>0</v>
      </c>
      <c r="F5" s="11">
        <f>SUMIFS(PURCHASE!$L$6:$L$10008,PURCHASE!$A$6:$A$10008,$D$3,PURCHASE!$D$6:$D$10008,$C$5:$C$499)</f>
        <v>0</v>
      </c>
      <c r="G5" s="11">
        <f>SUMIFS(PURCHASE!$M$6:$M$10008,PURCHASE!$A$6:$A$10008,$D$3,PURCHASE!$D$6:$D$10008,$C$5:$C$499)</f>
        <v>0</v>
      </c>
      <c r="H5" s="11">
        <f>SUMIFS(PURCHASE!$N$6:$N$10008,PURCHASE!$A$6:$A$10008,$D$3,PURCHASE!$D$6:$D$10008,$C$5:$C$499)</f>
        <v>0</v>
      </c>
      <c r="I5" s="470">
        <f>+J5+K5+L5+M5</f>
        <v>0</v>
      </c>
      <c r="J5" s="471">
        <f>SUMIFS(PURCHASE!$K$6:$K$10008,PURCHASE!$A$6:$A$10008,$I$3,PURCHASE!$D$6:$D$10008,$C$5:$C$499)</f>
        <v>0</v>
      </c>
      <c r="K5" s="471">
        <f>SUMIFS(PURCHASE!$L$6:$L$10008,PURCHASE!$A$6:$A$10008,$I$3,PURCHASE!$D$6:$D$10008,$C$5:$C$499)</f>
        <v>0</v>
      </c>
      <c r="L5" s="471">
        <f>SUMIFS(PURCHASE!$M$6:$M$10008,PURCHASE!$A$6:$A$10008,$I$3,PURCHASE!$D$6:$D$10008,$C$5:$C$499)</f>
        <v>0</v>
      </c>
      <c r="M5" s="472">
        <f>SUMIFS(PURCHASE!$N$6:$N$10008,PURCHASE!$A$6:$A$10008,$I$3,PURCHASE!$D$6:$D$10008,$C$5:$C$499)</f>
        <v>0</v>
      </c>
      <c r="N5" s="11">
        <f>+O5+P5+Q5+R5</f>
        <v>0</v>
      </c>
      <c r="O5" s="11">
        <f>SUMIFS(PURCHASE!$K$6:$K$10008,PURCHASE!$A$6:$A$10008,$N$3,PURCHASE!$D$6:$D$10008,$C$5:$C$499)</f>
        <v>0</v>
      </c>
      <c r="P5" s="11">
        <f>SUMIFS(PURCHASE!$L$6:$L$10008,PURCHASE!$A$6:$A$10008,$N$3,PURCHASE!$D$6:$D$10008,$C$5:$C$499)</f>
        <v>0</v>
      </c>
      <c r="Q5" s="11">
        <f>SUMIFS(PURCHASE!$M$6:$M$10008,PURCHASE!$A$6:$A$10008,$N$3,PURCHASE!$D$6:$D$10008,$C$5:$C$499)</f>
        <v>0</v>
      </c>
      <c r="R5" s="11">
        <f>SUMIFS(PURCHASE!$N$6:$N$10008,PURCHASE!$A$6:$A$10008,$N$3,PURCHASE!$D$6:$D$10008,$C$5:$C$499)</f>
        <v>0</v>
      </c>
      <c r="S5" s="11">
        <f>+T5+U5+V5+W5</f>
        <v>0</v>
      </c>
      <c r="T5" s="11">
        <f>SUMIFS(PURCHASE!$K$6:$K$10008,PURCHASE!$A$6:$A$10008,$S$3,PURCHASE!$D$6:$D$10008,$C$5:$C$499)</f>
        <v>0</v>
      </c>
      <c r="U5" s="11">
        <f>SUMIFS(PURCHASE!$L$6:$L$10008,PURCHASE!$A$6:$A$10008,$S$3,PURCHASE!$D$6:$D$10008,$C$5:$C$499)</f>
        <v>0</v>
      </c>
      <c r="V5" s="11">
        <f>SUMIFS(PURCHASE!$M$6:$M$10008,PURCHASE!$A$6:$A$10008,$S$3,PURCHASE!$D$6:$D$10008,$C$5:$C$499)</f>
        <v>0</v>
      </c>
      <c r="W5" s="11">
        <f>SUMIFS(PURCHASE!$N$6:$N$10008,PURCHASE!$A$6:$A$10008,$S$3,PURCHASE!$D$6:$D$10008,$C$5:$C$499)</f>
        <v>0</v>
      </c>
      <c r="X5" s="11">
        <f>+Y5+Z5+AA5+AB5</f>
        <v>0</v>
      </c>
      <c r="Y5" s="11">
        <f>SUMIFS(PURCHASE!$K$6:$K$10008,PURCHASE!$A$6:$A$10008,$X$3,PURCHASE!$D$6:$D$10008,$C$5:$C$499)</f>
        <v>0</v>
      </c>
      <c r="Z5" s="11">
        <f>SUMIFS(PURCHASE!$L$6:$L$10008,PURCHASE!$A$6:$A$10008,$X$3,PURCHASE!$D$6:$D$10008,$C$5:$C$499)</f>
        <v>0</v>
      </c>
      <c r="AA5" s="11">
        <f>SUMIFS(PURCHASE!$M$6:$M$10008,PURCHASE!$A$6:$A$10008,$X$3,PURCHASE!$D$6:$D$10008,$C$5:$C$499)</f>
        <v>0</v>
      </c>
      <c r="AB5" s="11">
        <f>SUMIFS(PURCHASE!$N$6:$N$10008,PURCHASE!$A$6:$A$10008,$X$3,PURCHASE!$D$6:$D$10008,$C$5:$C$499)</f>
        <v>0</v>
      </c>
      <c r="AC5" s="11">
        <f>+AD5+AE5+AF5+AG5</f>
        <v>0</v>
      </c>
      <c r="AD5" s="11">
        <f>SUMIFS(PURCHASE!$K$6:$K$10008,PURCHASE!$A$6:$A$10008,$AC$3,PURCHASE!$D$6:$D$10008,$C$5:$C$499)</f>
        <v>0</v>
      </c>
      <c r="AE5" s="11">
        <f>SUMIFS(PURCHASE!$L$6:$L$10008,PURCHASE!$A$6:$A$10008,$AC$3,PURCHASE!$D$6:$D$10008,$C$5:$C$499)</f>
        <v>0</v>
      </c>
      <c r="AF5" s="11">
        <f>SUMIFS(PURCHASE!$M$6:$M$10008,PURCHASE!$A$6:$A$10008,$AC$3,PURCHASE!$D$6:$D$10008,$C$5:$C$499)</f>
        <v>0</v>
      </c>
      <c r="AG5" s="11">
        <f>SUMIFS(PURCHASE!$N$6:$N$10008,PURCHASE!$A$6:$A$10008,$AC$3,PURCHASE!$D$6:$D$10008,$C$5:$C$499)</f>
        <v>0</v>
      </c>
      <c r="AH5" s="11">
        <f>+AI5+AJ5+AK5+AL5</f>
        <v>0</v>
      </c>
      <c r="AI5" s="11">
        <f>SUMIFS(PURCHASE!$K$6:$K$10008,PURCHASE!$A$6:$A$10008,$AH$3,PURCHASE!$D$6:$D$10008,$C$5:$C$499)</f>
        <v>0</v>
      </c>
      <c r="AJ5" s="11">
        <f>SUMIFS(PURCHASE!$L$6:$L$10008,PURCHASE!$A$6:$A$10008,$AH$3,PURCHASE!$D$6:$D$10008,$C$5:$C$499)</f>
        <v>0</v>
      </c>
      <c r="AK5" s="11">
        <f>SUMIFS(PURCHASE!$M$6:$M$10008,PURCHASE!$A$6:$A$10008,$AH$3,PURCHASE!$D$6:$D$10008,$C$5:$C$499)</f>
        <v>0</v>
      </c>
      <c r="AL5" s="11">
        <f>SUMIFS(PURCHASE!$N$6:$N$10008,PURCHASE!$A$6:$A$10008,$AH$3,PURCHASE!$D$6:$D$10008,$C$5:$C$499)</f>
        <v>0</v>
      </c>
      <c r="AM5" s="11">
        <f>+AN5+AO5+AP5+AQ5</f>
        <v>0</v>
      </c>
      <c r="AN5" s="11">
        <f>SUMIFS(PURCHASE!$K$6:$K$10008,PURCHASE!$A$6:$A$10008,$AM$3,PURCHASE!$D$6:$D$10008,$C$5:$C$499)</f>
        <v>0</v>
      </c>
      <c r="AO5" s="11">
        <f>SUMIFS(PURCHASE!$L$6:$L$10008,PURCHASE!$A$6:$A$10008,$AM$3,PURCHASE!$D$6:$D$10008,$C$5:$C$499)</f>
        <v>0</v>
      </c>
      <c r="AP5" s="11">
        <f>SUMIFS(PURCHASE!$M$6:$M$10008,PURCHASE!$A$6:$A$10008,$AM$3,PURCHASE!$D$6:$D$10008,$C$5:$C$499)</f>
        <v>0</v>
      </c>
      <c r="AQ5" s="11">
        <f>SUMIFS(PURCHASE!$N$6:$N$10008,PURCHASE!$A$6:$A$10008,$AM$3,PURCHASE!$D$6:$D$10008,$C$5:$C$499)</f>
        <v>0</v>
      </c>
      <c r="AR5" s="11">
        <f>+AS5+AT5+AU5+AV5</f>
        <v>0</v>
      </c>
      <c r="AS5" s="11">
        <f>SUMIFS(PURCHASE!$K$6:$K$10008,PURCHASE!$A$6:$A$10008,$AR$3,PURCHASE!$D$6:$D$10008,$C$5:$C$499)</f>
        <v>0</v>
      </c>
      <c r="AT5" s="11">
        <f>SUMIFS(PURCHASE!$L$6:$L$10008,PURCHASE!$A$6:$A$10008,$AR$3,PURCHASE!$D$6:$D$10008,$C$5:$C$499)</f>
        <v>0</v>
      </c>
      <c r="AU5" s="11">
        <f>SUMIFS(PURCHASE!$M$6:$M$10008,PURCHASE!$A$6:$A$10008,$AR$3,PURCHASE!$D$6:$D$10008,$C$5:$C$499)</f>
        <v>0</v>
      </c>
      <c r="AV5" s="11">
        <f>SUMIFS(PURCHASE!$N$6:$N$10008,PURCHASE!$A$6:$A$10008,$AR$3,PURCHASE!$D$6:$D$10008,$C$5:$C$499)</f>
        <v>0</v>
      </c>
      <c r="AW5" s="11">
        <f>+AX5+AY5+AZ5+BA5</f>
        <v>0</v>
      </c>
      <c r="AX5" s="11">
        <f>SUMIFS(PURCHASE!$K$6:$K$10008,PURCHASE!$A$6:$A$10008,$AW$3,PURCHASE!$D$6:$D$10008,$C$5:$C$499)</f>
        <v>0</v>
      </c>
      <c r="AY5" s="11">
        <f>SUMIFS(PURCHASE!$L$6:$L$10008,PURCHASE!$A$6:$A$10008,$AW$3,PURCHASE!$D$6:$D$10008,$C$5:$C$499)</f>
        <v>0</v>
      </c>
      <c r="AZ5" s="11">
        <f>SUMIFS(PURCHASE!$M$6:$M$10008,PURCHASE!$A$6:$A$10008,$AW$3,PURCHASE!$D$6:$D$10008,$C$5:$C$499)</f>
        <v>0</v>
      </c>
      <c r="BA5" s="11">
        <f>SUMIFS(PURCHASE!$N$6:$N$10008,PURCHASE!$A$6:$A$10008,$AW$3,PURCHASE!$D$6:$D$10008,$C$5:$C$499)</f>
        <v>0</v>
      </c>
      <c r="BB5" s="11">
        <f>+BC5+BD5+BE5+BF5</f>
        <v>0</v>
      </c>
      <c r="BC5" s="11">
        <f>SUMIFS(PURCHASE!$K$6:$K$10008,PURCHASE!$A$6:$A$10008,$BB$3,PURCHASE!$D$6:$D$10008,$C$5:$C$499)</f>
        <v>0</v>
      </c>
      <c r="BD5" s="11">
        <f>SUMIFS(PURCHASE!$L$6:$L$10008,PURCHASE!$A$6:$A$10008,$BB$3,PURCHASE!$D$6:$D$10008,$C$5:$C$499)</f>
        <v>0</v>
      </c>
      <c r="BE5" s="11">
        <f>SUMIFS(PURCHASE!$M$6:$M$10008,PURCHASE!$A$6:$A$10008,$BB$3,PURCHASE!$D$6:$D$10008,$C$5:$C$499)</f>
        <v>0</v>
      </c>
      <c r="BF5" s="11">
        <f>SUMIFS(PURCHASE!$N$6:$N$10008,PURCHASE!$A$6:$A$10008,$BB$3,PURCHASE!$D$6:$D$10008,$C$5:$C$499)</f>
        <v>0</v>
      </c>
      <c r="BG5" s="11">
        <f>+BH5+BI5+BJ5+BK5</f>
        <v>0</v>
      </c>
      <c r="BH5" s="11">
        <f>SUMIFS(PURCHASE!$K$6:$K$10008,PURCHASE!$A$6:$A$10008,$BG$3,PURCHASE!$D$6:$D$10008,$C$5:$C$499)</f>
        <v>0</v>
      </c>
      <c r="BI5" s="11">
        <f>SUMIFS(PURCHASE!$L$6:$L$10008,PURCHASE!$A$6:$A$10008,$BG$3,PURCHASE!$D$6:$D$10008,$C$5:$C$499)</f>
        <v>0</v>
      </c>
      <c r="BJ5" s="11">
        <f>SUMIFS(PURCHASE!$M$6:$M$10008,PURCHASE!$A$6:$A$10008,$BG$3,PURCHASE!$D$6:$D$10008,$C$5:$C$499)</f>
        <v>0</v>
      </c>
      <c r="BK5" s="11">
        <f>SUMIFS(PURCHASE!$N$6:$N$10008,PURCHASE!$A$6:$A$10008,$BG$3,PURCHASE!$D$6:$D$10008,$C$5:$C$499)</f>
        <v>0</v>
      </c>
      <c r="BL5" s="11">
        <f>+D5+I5+N5+S5+X5+AC5+AH5+AM5+AR5+AW5+BB5+BG5</f>
        <v>0</v>
      </c>
      <c r="BM5" s="11">
        <f t="shared" ref="BM5:BP20" si="3">+E5+J5+O5+T5+Y5+AD5+AI5+AN5+AS5+AX5+BC5+BH5</f>
        <v>0</v>
      </c>
      <c r="BN5" s="11">
        <f t="shared" si="3"/>
        <v>0</v>
      </c>
      <c r="BO5" s="11">
        <f t="shared" si="3"/>
        <v>0</v>
      </c>
      <c r="BP5" s="11">
        <f t="shared" si="3"/>
        <v>0</v>
      </c>
    </row>
    <row r="6" spans="1:68" x14ac:dyDescent="0.2">
      <c r="A6" s="467">
        <v>2</v>
      </c>
      <c r="B6" s="468" t="s">
        <v>1061</v>
      </c>
      <c r="C6" s="469" t="s">
        <v>1062</v>
      </c>
      <c r="D6" s="11">
        <f>+E6+F6+G6+H6</f>
        <v>0</v>
      </c>
      <c r="E6" s="11">
        <f>SUMIFS(PURCHASE!$K$6:$K$10008,PURCHASE!$A$6:$A$10008,$D$3,PURCHASE!$D$6:$D$10008,$C$5:$C$499)</f>
        <v>0</v>
      </c>
      <c r="F6" s="11">
        <f>SUMIFS(PURCHASE!$L$6:$L$10008,PURCHASE!$A$6:$A$10008,$D$3,PURCHASE!$D$6:$D$10008,$C$5:$C$499)</f>
        <v>0</v>
      </c>
      <c r="G6" s="11">
        <f>SUMIFS(PURCHASE!$M$6:$M$10008,PURCHASE!$A$6:$A$10008,$D$3,PURCHASE!$D$6:$D$10008,$C$5:$C$499)</f>
        <v>0</v>
      </c>
      <c r="H6" s="11">
        <f>SUMIFS(PURCHASE!$N$6:$N$10008,PURCHASE!$A$6:$A$10008,$D$3,PURCHASE!$D$6:$D$10008,$C$5:$C$499)</f>
        <v>0</v>
      </c>
      <c r="I6" s="473">
        <f>+J6+K6+L6+M6</f>
        <v>0</v>
      </c>
      <c r="J6" s="60">
        <f>SUMIFS(PURCHASE!$K$6:$K$10008,PURCHASE!$A$6:$A$10008,$I$3,PURCHASE!$D$6:$D$10008,$C$5:$C$499)</f>
        <v>0</v>
      </c>
      <c r="K6" s="60">
        <f>SUMIFS(PURCHASE!$L$6:$L$10008,PURCHASE!$A$6:$A$10008,$I$3,PURCHASE!$D$6:$D$10008,$C$5:$C$499)</f>
        <v>0</v>
      </c>
      <c r="L6" s="60">
        <f>SUMIFS(PURCHASE!$M$6:$M$10008,PURCHASE!$A$6:$A$10008,$I$3,PURCHASE!$D$6:$D$10008,$C$5:$C$499)</f>
        <v>0</v>
      </c>
      <c r="M6" s="474">
        <f>SUMIFS(PURCHASE!$N$6:$N$10008,PURCHASE!$A$6:$A$10008,$I$3,PURCHASE!$D$6:$D$10008,$C$5:$C$499)</f>
        <v>0</v>
      </c>
      <c r="N6" s="11">
        <f>+O6+P6+Q6+R6</f>
        <v>0</v>
      </c>
      <c r="O6" s="11">
        <f>SUMIFS(PURCHASE!$K$6:$K$10008,PURCHASE!$A$6:$A$10008,$N$3,PURCHASE!$D$6:$D$10008,$C$5:$C$499)</f>
        <v>0</v>
      </c>
      <c r="P6" s="11">
        <f>SUMIFS(PURCHASE!$L$6:$L$10008,PURCHASE!$A$6:$A$10008,$N$3,PURCHASE!$D$6:$D$10008,$C$5:$C$499)</f>
        <v>0</v>
      </c>
      <c r="Q6" s="11">
        <f>SUMIFS(PURCHASE!$M$6:$M$10008,PURCHASE!$A$6:$A$10008,$N$3,PURCHASE!$D$6:$D$10008,$C$5:$C$499)</f>
        <v>0</v>
      </c>
      <c r="R6" s="11">
        <f>SUMIFS(PURCHASE!$N$6:$N$10008,PURCHASE!$A$6:$A$10008,$N$3,PURCHASE!$D$6:$D$10008,$C$5:$C$499)</f>
        <v>0</v>
      </c>
      <c r="S6" s="11">
        <f>+T6+U6+V6+W6</f>
        <v>0</v>
      </c>
      <c r="T6" s="11">
        <f>SUMIFS(PURCHASE!$K$6:$K$10008,PURCHASE!$A$6:$A$10008,$S$3,PURCHASE!$D$6:$D$10008,$C$5:$C$499)</f>
        <v>0</v>
      </c>
      <c r="U6" s="11">
        <f>SUMIFS(PURCHASE!$L$6:$L$10008,PURCHASE!$A$6:$A$10008,$S$3,PURCHASE!$D$6:$D$10008,$C$5:$C$499)</f>
        <v>0</v>
      </c>
      <c r="V6" s="11">
        <f>SUMIFS(PURCHASE!$M$6:$M$10008,PURCHASE!$A$6:$A$10008,$S$3,PURCHASE!$D$6:$D$10008,$C$5:$C$499)</f>
        <v>0</v>
      </c>
      <c r="W6" s="11">
        <f>SUMIFS(PURCHASE!$N$6:$N$10008,PURCHASE!$A$6:$A$10008,$S$3,PURCHASE!$D$6:$D$10008,$C$5:$C$499)</f>
        <v>0</v>
      </c>
      <c r="X6" s="11">
        <f>+Y6+Z6+AA6+AB6</f>
        <v>0</v>
      </c>
      <c r="Y6" s="11">
        <f>SUMIFS(PURCHASE!$K$6:$K$10008,PURCHASE!$A$6:$A$10008,$X$3,PURCHASE!$D$6:$D$10008,$C$5:$C$499)</f>
        <v>0</v>
      </c>
      <c r="Z6" s="11">
        <f>SUMIFS(PURCHASE!$L$6:$L$10008,PURCHASE!$A$6:$A$10008,$X$3,PURCHASE!$D$6:$D$10008,$C$5:$C$499)</f>
        <v>0</v>
      </c>
      <c r="AA6" s="11">
        <f>SUMIFS(PURCHASE!$M$6:$M$10008,PURCHASE!$A$6:$A$10008,$X$3,PURCHASE!$D$6:$D$10008,$C$5:$C$499)</f>
        <v>0</v>
      </c>
      <c r="AB6" s="11">
        <f>SUMIFS(PURCHASE!$N$6:$N$10008,PURCHASE!$A$6:$A$10008,$X$3,PURCHASE!$D$6:$D$10008,$C$5:$C$499)</f>
        <v>0</v>
      </c>
      <c r="AC6" s="11">
        <f>+AD6+AE6+AF6+AG6</f>
        <v>0</v>
      </c>
      <c r="AD6" s="11">
        <f>SUMIFS(PURCHASE!$K$6:$K$10008,PURCHASE!$A$6:$A$10008,$AC$3,PURCHASE!$D$6:$D$10008,$C$5:$C$499)</f>
        <v>0</v>
      </c>
      <c r="AE6" s="11">
        <f>SUMIFS(PURCHASE!$L$6:$L$10008,PURCHASE!$A$6:$A$10008,$AC$3,PURCHASE!$D$6:$D$10008,$C$5:$C$499)</f>
        <v>0</v>
      </c>
      <c r="AF6" s="11">
        <f>SUMIFS(PURCHASE!$M$6:$M$10008,PURCHASE!$A$6:$A$10008,$AC$3,PURCHASE!$D$6:$D$10008,$C$5:$C$499)</f>
        <v>0</v>
      </c>
      <c r="AG6" s="11">
        <f>SUMIFS(PURCHASE!$N$6:$N$10008,PURCHASE!$A$6:$A$10008,$AC$3,PURCHASE!$D$6:$D$10008,$C$5:$C$499)</f>
        <v>0</v>
      </c>
      <c r="AH6" s="11">
        <f>+AI6+AJ6+AK6+AL6</f>
        <v>0</v>
      </c>
      <c r="AI6" s="11">
        <f>SUMIFS(PURCHASE!$K$6:$K$10008,PURCHASE!$A$6:$A$10008,$AH$3,PURCHASE!$D$6:$D$10008,$C$5:$C$499)</f>
        <v>0</v>
      </c>
      <c r="AJ6" s="11">
        <f>SUMIFS(PURCHASE!$L$6:$L$10008,PURCHASE!$A$6:$A$10008,$AH$3,PURCHASE!$D$6:$D$10008,$C$5:$C$499)</f>
        <v>0</v>
      </c>
      <c r="AK6" s="11">
        <f>SUMIFS(PURCHASE!$M$6:$M$10008,PURCHASE!$A$6:$A$10008,$AH$3,PURCHASE!$D$6:$D$10008,$C$5:$C$499)</f>
        <v>0</v>
      </c>
      <c r="AL6" s="11">
        <f>SUMIFS(PURCHASE!$N$6:$N$10008,PURCHASE!$A$6:$A$10008,$AH$3,PURCHASE!$D$6:$D$10008,$C$5:$C$499)</f>
        <v>0</v>
      </c>
      <c r="AM6" s="11">
        <f>+AN6+AO6+AP6+AQ6</f>
        <v>0</v>
      </c>
      <c r="AN6" s="11">
        <f>SUMIFS(PURCHASE!$K$6:$K$10008,PURCHASE!$A$6:$A$10008,$AM$3,PURCHASE!$D$6:$D$10008,$C$5:$C$499)</f>
        <v>0</v>
      </c>
      <c r="AO6" s="11">
        <f>SUMIFS(PURCHASE!$L$6:$L$10008,PURCHASE!$A$6:$A$10008,$AM$3,PURCHASE!$D$6:$D$10008,$C$5:$C$499)</f>
        <v>0</v>
      </c>
      <c r="AP6" s="11">
        <f>SUMIFS(PURCHASE!$M$6:$M$10008,PURCHASE!$A$6:$A$10008,$AM$3,PURCHASE!$D$6:$D$10008,$C$5:$C$499)</f>
        <v>0</v>
      </c>
      <c r="AQ6" s="11">
        <f>SUMIFS(PURCHASE!$N$6:$N$10008,PURCHASE!$A$6:$A$10008,$AM$3,PURCHASE!$D$6:$D$10008,$C$5:$C$499)</f>
        <v>0</v>
      </c>
      <c r="AR6" s="11">
        <f>+AS6+AT6+AU6+AV6</f>
        <v>0</v>
      </c>
      <c r="AS6" s="11">
        <f>SUMIFS(PURCHASE!$K$6:$K$10008,PURCHASE!$A$6:$A$10008,$AR$3,PURCHASE!$D$6:$D$10008,$C$5:$C$499)</f>
        <v>0</v>
      </c>
      <c r="AT6" s="11">
        <f>SUMIFS(PURCHASE!$L$6:$L$10008,PURCHASE!$A$6:$A$10008,$AR$3,PURCHASE!$D$6:$D$10008,$C$5:$C$499)</f>
        <v>0</v>
      </c>
      <c r="AU6" s="11">
        <f>SUMIFS(PURCHASE!$M$6:$M$10008,PURCHASE!$A$6:$A$10008,$AR$3,PURCHASE!$D$6:$D$10008,$C$5:$C$499)</f>
        <v>0</v>
      </c>
      <c r="AV6" s="11">
        <f>SUMIFS(PURCHASE!$N$6:$N$10008,PURCHASE!$A$6:$A$10008,$AR$3,PURCHASE!$D$6:$D$10008,$C$5:$C$499)</f>
        <v>0</v>
      </c>
      <c r="AW6" s="11">
        <f>+AX6+AY6+AZ6+BA6</f>
        <v>0</v>
      </c>
      <c r="AX6" s="11">
        <f>SUMIFS(PURCHASE!$K$6:$K$10008,PURCHASE!$A$6:$A$10008,$AW$3,PURCHASE!$D$6:$D$10008,$C$5:$C$499)</f>
        <v>0</v>
      </c>
      <c r="AY6" s="11">
        <f>SUMIFS(PURCHASE!$L$6:$L$10008,PURCHASE!$A$6:$A$10008,$AW$3,PURCHASE!$D$6:$D$10008,$C$5:$C$499)</f>
        <v>0</v>
      </c>
      <c r="AZ6" s="11">
        <f>SUMIFS(PURCHASE!$M$6:$M$10008,PURCHASE!$A$6:$A$10008,$AW$3,PURCHASE!$D$6:$D$10008,$C$5:$C$499)</f>
        <v>0</v>
      </c>
      <c r="BA6" s="11">
        <f>SUMIFS(PURCHASE!$N$6:$N$10008,PURCHASE!$A$6:$A$10008,$AW$3,PURCHASE!$D$6:$D$10008,$C$5:$C$499)</f>
        <v>0</v>
      </c>
      <c r="BB6" s="11">
        <f>+BC6+BD6+BE6+BF6</f>
        <v>0</v>
      </c>
      <c r="BC6" s="11">
        <f>SUMIFS(PURCHASE!$K$6:$K$10008,PURCHASE!$A$6:$A$10008,$BB$3,PURCHASE!$D$6:$D$10008,$C$5:$C$499)</f>
        <v>0</v>
      </c>
      <c r="BD6" s="11">
        <f>SUMIFS(PURCHASE!$L$6:$L$10008,PURCHASE!$A$6:$A$10008,$BB$3,PURCHASE!$D$6:$D$10008,$C$5:$C$499)</f>
        <v>0</v>
      </c>
      <c r="BE6" s="11">
        <f>SUMIFS(PURCHASE!$M$6:$M$10008,PURCHASE!$A$6:$A$10008,$BB$3,PURCHASE!$D$6:$D$10008,$C$5:$C$499)</f>
        <v>0</v>
      </c>
      <c r="BF6" s="11">
        <f>SUMIFS(PURCHASE!$N$6:$N$10008,PURCHASE!$A$6:$A$10008,$BB$3,PURCHASE!$D$6:$D$10008,$C$5:$C$499)</f>
        <v>0</v>
      </c>
      <c r="BG6" s="11">
        <f>+BH6+BI6+BJ6+BK6</f>
        <v>0</v>
      </c>
      <c r="BH6" s="11">
        <f>SUMIFS(PURCHASE!$K$6:$K$10008,PURCHASE!$A$6:$A$10008,$BG$3,PURCHASE!$D$6:$D$10008,$C$5:$C$499)</f>
        <v>0</v>
      </c>
      <c r="BI6" s="11">
        <f>SUMIFS(PURCHASE!$L$6:$L$10008,PURCHASE!$A$6:$A$10008,$BG$3,PURCHASE!$D$6:$D$10008,$C$5:$C$499)</f>
        <v>0</v>
      </c>
      <c r="BJ6" s="11">
        <f>SUMIFS(PURCHASE!$M$6:$M$10008,PURCHASE!$A$6:$A$10008,$BG$3,PURCHASE!$D$6:$D$10008,$C$5:$C$499)</f>
        <v>0</v>
      </c>
      <c r="BK6" s="11">
        <f>SUMIFS(PURCHASE!$N$6:$N$10008,PURCHASE!$A$6:$A$10008,$BG$3,PURCHASE!$D$6:$D$10008,$C$5:$C$499)</f>
        <v>0</v>
      </c>
      <c r="BL6" s="11">
        <f t="shared" ref="BL6:BP68" si="4">+D6+I6+N6+S6+X6+AC6+AH6+AM6+AR6+AW6+BB6+BG6</f>
        <v>0</v>
      </c>
      <c r="BM6" s="11">
        <f t="shared" si="3"/>
        <v>0</v>
      </c>
      <c r="BN6" s="11">
        <f t="shared" si="3"/>
        <v>0</v>
      </c>
      <c r="BO6" s="11">
        <f t="shared" si="3"/>
        <v>0</v>
      </c>
      <c r="BP6" s="11">
        <f t="shared" si="3"/>
        <v>0</v>
      </c>
    </row>
    <row r="7" spans="1:68" x14ac:dyDescent="0.2">
      <c r="A7" s="467">
        <v>3</v>
      </c>
      <c r="B7" s="475" t="s">
        <v>857</v>
      </c>
      <c r="C7" s="475" t="s">
        <v>858</v>
      </c>
      <c r="D7" s="11">
        <f t="shared" ref="D7:D70" si="5">+E7+F7+G7+H7</f>
        <v>0</v>
      </c>
      <c r="E7" s="11">
        <f>SUMIFS(PURCHASE!$K$6:$K$10008,PURCHASE!$A$6:$A$10008,$D$3,PURCHASE!$D$6:$D$10008,$C$5:$C$499)</f>
        <v>0</v>
      </c>
      <c r="F7" s="11">
        <f>SUMIFS(PURCHASE!$L$6:$L$10008,PURCHASE!$A$6:$A$10008,$D$3,PURCHASE!$D$6:$D$10008,$C$5:$C$499)</f>
        <v>0</v>
      </c>
      <c r="G7" s="11">
        <f>SUMIFS(PURCHASE!$M$6:$M$10008,PURCHASE!$A$6:$A$10008,$D$3,PURCHASE!$D$6:$D$10008,$C$5:$C$499)</f>
        <v>0</v>
      </c>
      <c r="H7" s="11">
        <f>SUMIFS(PURCHASE!$N$6:$N$10008,PURCHASE!$A$6:$A$10008,$D$3,PURCHASE!$D$6:$D$10008,$C$5:$C$499)</f>
        <v>0</v>
      </c>
      <c r="I7" s="473">
        <f t="shared" ref="I7:I70" si="6">+J7+K7+L7+M7</f>
        <v>0</v>
      </c>
      <c r="J7" s="60">
        <f>SUMIFS(PURCHASE!$K$6:$K$10008,PURCHASE!$A$6:$A$10008,$I$3,PURCHASE!$D$6:$D$10008,$C$5:$C$499)</f>
        <v>0</v>
      </c>
      <c r="K7" s="60">
        <f>SUMIFS(PURCHASE!$L$6:$L$10008,PURCHASE!$A$6:$A$10008,$I$3,PURCHASE!$D$6:$D$10008,$C$5:$C$499)</f>
        <v>0</v>
      </c>
      <c r="L7" s="60">
        <f>SUMIFS(PURCHASE!$M$6:$M$10008,PURCHASE!$A$6:$A$10008,$I$3,PURCHASE!$D$6:$D$10008,$C$5:$C$499)</f>
        <v>0</v>
      </c>
      <c r="M7" s="474">
        <f>SUMIFS(PURCHASE!$N$6:$N$10008,PURCHASE!$A$6:$A$10008,$I$3,PURCHASE!$D$6:$D$10008,$C$5:$C$499)</f>
        <v>0</v>
      </c>
      <c r="N7" s="11">
        <f t="shared" ref="N7:N70" si="7">+O7+P7+Q7+R7</f>
        <v>0</v>
      </c>
      <c r="O7" s="11">
        <f>SUMIFS(PURCHASE!$K$6:$K$10008,PURCHASE!$A$6:$A$10008,$N$3,PURCHASE!$D$6:$D$10008,$C$5:$C$499)</f>
        <v>0</v>
      </c>
      <c r="P7" s="11">
        <f>SUMIFS(PURCHASE!$L$6:$L$10008,PURCHASE!$A$6:$A$10008,$N$3,PURCHASE!$D$6:$D$10008,$C$5:$C$499)</f>
        <v>0</v>
      </c>
      <c r="Q7" s="11">
        <f>SUMIFS(PURCHASE!$M$6:$M$10008,PURCHASE!$A$6:$A$10008,$N$3,PURCHASE!$D$6:$D$10008,$C$5:$C$499)</f>
        <v>0</v>
      </c>
      <c r="R7" s="11">
        <f>SUMIFS(PURCHASE!$N$6:$N$10008,PURCHASE!$A$6:$A$10008,$N$3,PURCHASE!$D$6:$D$10008,$C$5:$C$499)</f>
        <v>0</v>
      </c>
      <c r="S7" s="11">
        <f t="shared" ref="S7:S70" si="8">+T7+U7+V7+W7</f>
        <v>11800</v>
      </c>
      <c r="T7" s="11">
        <f>SUMIFS(PURCHASE!$K$6:$K$10008,PURCHASE!$A$6:$A$10008,$S$3,PURCHASE!$D$6:$D$10008,$C$5:$C$499)</f>
        <v>10000</v>
      </c>
      <c r="U7" s="11">
        <f>SUMIFS(PURCHASE!$L$6:$L$10008,PURCHASE!$A$6:$A$10008,$S$3,PURCHASE!$D$6:$D$10008,$C$5:$C$499)</f>
        <v>0</v>
      </c>
      <c r="V7" s="11">
        <f>SUMIFS(PURCHASE!$M$6:$M$10008,PURCHASE!$A$6:$A$10008,$S$3,PURCHASE!$D$6:$D$10008,$C$5:$C$499)</f>
        <v>900</v>
      </c>
      <c r="W7" s="11">
        <f>SUMIFS(PURCHASE!$N$6:$N$10008,PURCHASE!$A$6:$A$10008,$S$3,PURCHASE!$D$6:$D$10008,$C$5:$C$499)</f>
        <v>900</v>
      </c>
      <c r="X7" s="11">
        <f t="shared" ref="X7:X70" si="9">+Y7+Z7+AA7+AB7</f>
        <v>11800</v>
      </c>
      <c r="Y7" s="11">
        <f>SUMIFS(PURCHASE!$K$6:$K$10008,PURCHASE!$A$6:$A$10008,$X$3,PURCHASE!$D$6:$D$10008,$C$5:$C$499)</f>
        <v>10000</v>
      </c>
      <c r="Z7" s="11">
        <f>SUMIFS(PURCHASE!$L$6:$L$10008,PURCHASE!$A$6:$A$10008,$X$3,PURCHASE!$D$6:$D$10008,$C$5:$C$499)</f>
        <v>0</v>
      </c>
      <c r="AA7" s="11">
        <f>SUMIFS(PURCHASE!$M$6:$M$10008,PURCHASE!$A$6:$A$10008,$X$3,PURCHASE!$D$6:$D$10008,$C$5:$C$499)</f>
        <v>900</v>
      </c>
      <c r="AB7" s="11">
        <f>SUMIFS(PURCHASE!$N$6:$N$10008,PURCHASE!$A$6:$A$10008,$X$3,PURCHASE!$D$6:$D$10008,$C$5:$C$499)</f>
        <v>900</v>
      </c>
      <c r="AC7" s="11">
        <f t="shared" ref="AC7:AC70" si="10">+AD7+AE7+AF7+AG7</f>
        <v>0</v>
      </c>
      <c r="AD7" s="11">
        <f>SUMIFS(PURCHASE!$K$6:$K$10008,PURCHASE!$A$6:$A$10008,$AC$3,PURCHASE!$D$6:$D$10008,$C$5:$C$499)</f>
        <v>0</v>
      </c>
      <c r="AE7" s="11">
        <f>SUMIFS(PURCHASE!$L$6:$L$10008,PURCHASE!$A$6:$A$10008,$AC$3,PURCHASE!$D$6:$D$10008,$C$5:$C$499)</f>
        <v>0</v>
      </c>
      <c r="AF7" s="11">
        <f>SUMIFS(PURCHASE!$M$6:$M$10008,PURCHASE!$A$6:$A$10008,$AC$3,PURCHASE!$D$6:$D$10008,$C$5:$C$499)</f>
        <v>0</v>
      </c>
      <c r="AG7" s="11">
        <f>SUMIFS(PURCHASE!$N$6:$N$10008,PURCHASE!$A$6:$A$10008,$AC$3,PURCHASE!$D$6:$D$10008,$C$5:$C$499)</f>
        <v>0</v>
      </c>
      <c r="AH7" s="11">
        <f t="shared" ref="AH7:AH70" si="11">+AI7+AJ7+AK7+AL7</f>
        <v>0</v>
      </c>
      <c r="AI7" s="11">
        <f>SUMIFS(PURCHASE!$K$6:$K$10008,PURCHASE!$A$6:$A$10008,$AH$3,PURCHASE!$D$6:$D$10008,$C$5:$C$499)</f>
        <v>0</v>
      </c>
      <c r="AJ7" s="11">
        <f>SUMIFS(PURCHASE!$L$6:$L$10008,PURCHASE!$A$6:$A$10008,$AH$3,PURCHASE!$D$6:$D$10008,$C$5:$C$499)</f>
        <v>0</v>
      </c>
      <c r="AK7" s="11">
        <f>SUMIFS(PURCHASE!$M$6:$M$10008,PURCHASE!$A$6:$A$10008,$AH$3,PURCHASE!$D$6:$D$10008,$C$5:$C$499)</f>
        <v>0</v>
      </c>
      <c r="AL7" s="11">
        <f>SUMIFS(PURCHASE!$N$6:$N$10008,PURCHASE!$A$6:$A$10008,$AH$3,PURCHASE!$D$6:$D$10008,$C$5:$C$499)</f>
        <v>0</v>
      </c>
      <c r="AM7" s="11">
        <f t="shared" ref="AM7:AM70" si="12">+AN7+AO7+AP7+AQ7</f>
        <v>0</v>
      </c>
      <c r="AN7" s="11">
        <f>SUMIFS(PURCHASE!$K$6:$K$10008,PURCHASE!$A$6:$A$10008,$AM$3,PURCHASE!$D$6:$D$10008,$C$5:$C$499)</f>
        <v>0</v>
      </c>
      <c r="AO7" s="11">
        <f>SUMIFS(PURCHASE!$L$6:$L$10008,PURCHASE!$A$6:$A$10008,$AM$3,PURCHASE!$D$6:$D$10008,$C$5:$C$499)</f>
        <v>0</v>
      </c>
      <c r="AP7" s="11">
        <f>SUMIFS(PURCHASE!$M$6:$M$10008,PURCHASE!$A$6:$A$10008,$AM$3,PURCHASE!$D$6:$D$10008,$C$5:$C$499)</f>
        <v>0</v>
      </c>
      <c r="AQ7" s="11">
        <f>SUMIFS(PURCHASE!$N$6:$N$10008,PURCHASE!$A$6:$A$10008,$AM$3,PURCHASE!$D$6:$D$10008,$C$5:$C$499)</f>
        <v>0</v>
      </c>
      <c r="AR7" s="11">
        <f t="shared" ref="AR7:AR70" si="13">+AS7+AT7+AU7+AV7</f>
        <v>0</v>
      </c>
      <c r="AS7" s="11">
        <f>SUMIFS(PURCHASE!$K$6:$K$10008,PURCHASE!$A$6:$A$10008,$AR$3,PURCHASE!$D$6:$D$10008,$C$5:$C$499)</f>
        <v>0</v>
      </c>
      <c r="AT7" s="11">
        <f>SUMIFS(PURCHASE!$L$6:$L$10008,PURCHASE!$A$6:$A$10008,$AR$3,PURCHASE!$D$6:$D$10008,$C$5:$C$499)</f>
        <v>0</v>
      </c>
      <c r="AU7" s="11">
        <f>SUMIFS(PURCHASE!$M$6:$M$10008,PURCHASE!$A$6:$A$10008,$AR$3,PURCHASE!$D$6:$D$10008,$C$5:$C$499)</f>
        <v>0</v>
      </c>
      <c r="AV7" s="11">
        <f>SUMIFS(PURCHASE!$N$6:$N$10008,PURCHASE!$A$6:$A$10008,$AR$3,PURCHASE!$D$6:$D$10008,$C$5:$C$499)</f>
        <v>0</v>
      </c>
      <c r="AW7" s="11">
        <f t="shared" ref="AW7:AW70" si="14">+AX7+AY7+AZ7+BA7</f>
        <v>0</v>
      </c>
      <c r="AX7" s="11">
        <f>SUMIFS(PURCHASE!$K$6:$K$10008,PURCHASE!$A$6:$A$10008,$AW$3,PURCHASE!$D$6:$D$10008,$C$5:$C$499)</f>
        <v>0</v>
      </c>
      <c r="AY7" s="11">
        <f>SUMIFS(PURCHASE!$L$6:$L$10008,PURCHASE!$A$6:$A$10008,$AW$3,PURCHASE!$D$6:$D$10008,$C$5:$C$499)</f>
        <v>0</v>
      </c>
      <c r="AZ7" s="11">
        <f>SUMIFS(PURCHASE!$M$6:$M$10008,PURCHASE!$A$6:$A$10008,$AW$3,PURCHASE!$D$6:$D$10008,$C$5:$C$499)</f>
        <v>0</v>
      </c>
      <c r="BA7" s="11">
        <f>SUMIFS(PURCHASE!$N$6:$N$10008,PURCHASE!$A$6:$A$10008,$AW$3,PURCHASE!$D$6:$D$10008,$C$5:$C$499)</f>
        <v>0</v>
      </c>
      <c r="BB7" s="11">
        <f t="shared" ref="BB7:BB70" si="15">+BC7+BD7+BE7+BF7</f>
        <v>0</v>
      </c>
      <c r="BC7" s="11">
        <f>SUMIFS(PURCHASE!$K$6:$K$10008,PURCHASE!$A$6:$A$10008,$BB$3,PURCHASE!$D$6:$D$10008,$C$5:$C$499)</f>
        <v>0</v>
      </c>
      <c r="BD7" s="11">
        <f>SUMIFS(PURCHASE!$L$6:$L$10008,PURCHASE!$A$6:$A$10008,$BB$3,PURCHASE!$D$6:$D$10008,$C$5:$C$499)</f>
        <v>0</v>
      </c>
      <c r="BE7" s="11">
        <f>SUMIFS(PURCHASE!$M$6:$M$10008,PURCHASE!$A$6:$A$10008,$BB$3,PURCHASE!$D$6:$D$10008,$C$5:$C$499)</f>
        <v>0</v>
      </c>
      <c r="BF7" s="11">
        <f>SUMIFS(PURCHASE!$N$6:$N$10008,PURCHASE!$A$6:$A$10008,$BB$3,PURCHASE!$D$6:$D$10008,$C$5:$C$499)</f>
        <v>0</v>
      </c>
      <c r="BG7" s="11">
        <f t="shared" ref="BG7:BG70" si="16">+BH7+BI7+BJ7+BK7</f>
        <v>0</v>
      </c>
      <c r="BH7" s="11">
        <f>SUMIFS(PURCHASE!$K$6:$K$10008,PURCHASE!$A$6:$A$10008,$BG$3,PURCHASE!$D$6:$D$10008,$C$5:$C$499)</f>
        <v>0</v>
      </c>
      <c r="BI7" s="11">
        <f>SUMIFS(PURCHASE!$L$6:$L$10008,PURCHASE!$A$6:$A$10008,$BG$3,PURCHASE!$D$6:$D$10008,$C$5:$C$499)</f>
        <v>0</v>
      </c>
      <c r="BJ7" s="11">
        <f>SUMIFS(PURCHASE!$M$6:$M$10008,PURCHASE!$A$6:$A$10008,$BG$3,PURCHASE!$D$6:$D$10008,$C$5:$C$499)</f>
        <v>0</v>
      </c>
      <c r="BK7" s="11">
        <f>SUMIFS(PURCHASE!$N$6:$N$10008,PURCHASE!$A$6:$A$10008,$BG$3,PURCHASE!$D$6:$D$10008,$C$5:$C$499)</f>
        <v>0</v>
      </c>
      <c r="BL7" s="11">
        <f t="shared" si="4"/>
        <v>23600</v>
      </c>
      <c r="BM7" s="11">
        <f t="shared" si="3"/>
        <v>20000</v>
      </c>
      <c r="BN7" s="11">
        <f t="shared" si="3"/>
        <v>0</v>
      </c>
      <c r="BO7" s="11">
        <f t="shared" si="3"/>
        <v>1800</v>
      </c>
      <c r="BP7" s="11">
        <f t="shared" si="3"/>
        <v>1800</v>
      </c>
    </row>
    <row r="8" spans="1:68" x14ac:dyDescent="0.2">
      <c r="A8" s="467">
        <v>4</v>
      </c>
      <c r="B8" s="468" t="s">
        <v>1063</v>
      </c>
      <c r="C8" s="469" t="s">
        <v>1064</v>
      </c>
      <c r="D8" s="11">
        <f t="shared" si="5"/>
        <v>0</v>
      </c>
      <c r="E8" s="11">
        <f>SUMIFS(PURCHASE!$K$6:$K$10008,PURCHASE!$A$6:$A$10008,$D$3,PURCHASE!$D$6:$D$10008,$C$5:$C$499)</f>
        <v>0</v>
      </c>
      <c r="F8" s="11">
        <f>SUMIFS(PURCHASE!$L$6:$L$10008,PURCHASE!$A$6:$A$10008,$D$3,PURCHASE!$D$6:$D$10008,$C$5:$C$499)</f>
        <v>0</v>
      </c>
      <c r="G8" s="11">
        <f>SUMIFS(PURCHASE!$M$6:$M$10008,PURCHASE!$A$6:$A$10008,$D$3,PURCHASE!$D$6:$D$10008,$C$5:$C$499)</f>
        <v>0</v>
      </c>
      <c r="H8" s="11">
        <f>SUMIFS(PURCHASE!$N$6:$N$10008,PURCHASE!$A$6:$A$10008,$D$3,PURCHASE!$D$6:$D$10008,$C$5:$C$499)</f>
        <v>0</v>
      </c>
      <c r="I8" s="473">
        <f t="shared" si="6"/>
        <v>0</v>
      </c>
      <c r="J8" s="60">
        <f>SUMIFS(PURCHASE!$K$6:$K$10008,PURCHASE!$A$6:$A$10008,$I$3,PURCHASE!$D$6:$D$10008,$C$5:$C$499)</f>
        <v>0</v>
      </c>
      <c r="K8" s="60">
        <f>SUMIFS(PURCHASE!$L$6:$L$10008,PURCHASE!$A$6:$A$10008,$I$3,PURCHASE!$D$6:$D$10008,$C$5:$C$499)</f>
        <v>0</v>
      </c>
      <c r="L8" s="60">
        <f>SUMIFS(PURCHASE!$M$6:$M$10008,PURCHASE!$A$6:$A$10008,$I$3,PURCHASE!$D$6:$D$10008,$C$5:$C$499)</f>
        <v>0</v>
      </c>
      <c r="M8" s="474">
        <f>SUMIFS(PURCHASE!$N$6:$N$10008,PURCHASE!$A$6:$A$10008,$I$3,PURCHASE!$D$6:$D$10008,$C$5:$C$499)</f>
        <v>0</v>
      </c>
      <c r="N8" s="11">
        <f t="shared" si="7"/>
        <v>0</v>
      </c>
      <c r="O8" s="11">
        <f>SUMIFS(PURCHASE!$K$6:$K$10008,PURCHASE!$A$6:$A$10008,$N$3,PURCHASE!$D$6:$D$10008,$C$5:$C$499)</f>
        <v>0</v>
      </c>
      <c r="P8" s="11">
        <f>SUMIFS(PURCHASE!$L$6:$L$10008,PURCHASE!$A$6:$A$10008,$N$3,PURCHASE!$D$6:$D$10008,$C$5:$C$499)</f>
        <v>0</v>
      </c>
      <c r="Q8" s="11">
        <f>SUMIFS(PURCHASE!$M$6:$M$10008,PURCHASE!$A$6:$A$10008,$N$3,PURCHASE!$D$6:$D$10008,$C$5:$C$499)</f>
        <v>0</v>
      </c>
      <c r="R8" s="11">
        <f>SUMIFS(PURCHASE!$N$6:$N$10008,PURCHASE!$A$6:$A$10008,$N$3,PURCHASE!$D$6:$D$10008,$C$5:$C$499)</f>
        <v>0</v>
      </c>
      <c r="S8" s="11">
        <f t="shared" si="8"/>
        <v>0</v>
      </c>
      <c r="T8" s="11">
        <f>SUMIFS(PURCHASE!$K$6:$K$10008,PURCHASE!$A$6:$A$10008,$S$3,PURCHASE!$D$6:$D$10008,$C$5:$C$499)</f>
        <v>0</v>
      </c>
      <c r="U8" s="11">
        <f>SUMIFS(PURCHASE!$L$6:$L$10008,PURCHASE!$A$6:$A$10008,$S$3,PURCHASE!$D$6:$D$10008,$C$5:$C$499)</f>
        <v>0</v>
      </c>
      <c r="V8" s="11">
        <f>SUMIFS(PURCHASE!$M$6:$M$10008,PURCHASE!$A$6:$A$10008,$S$3,PURCHASE!$D$6:$D$10008,$C$5:$C$499)</f>
        <v>0</v>
      </c>
      <c r="W8" s="11">
        <f>SUMIFS(PURCHASE!$N$6:$N$10008,PURCHASE!$A$6:$A$10008,$S$3,PURCHASE!$D$6:$D$10008,$C$5:$C$499)</f>
        <v>0</v>
      </c>
      <c r="X8" s="11">
        <f t="shared" si="9"/>
        <v>0</v>
      </c>
      <c r="Y8" s="11">
        <f>SUMIFS(PURCHASE!$K$6:$K$10008,PURCHASE!$A$6:$A$10008,$X$3,PURCHASE!$D$6:$D$10008,$C$5:$C$499)</f>
        <v>0</v>
      </c>
      <c r="Z8" s="11">
        <f>SUMIFS(PURCHASE!$L$6:$L$10008,PURCHASE!$A$6:$A$10008,$X$3,PURCHASE!$D$6:$D$10008,$C$5:$C$499)</f>
        <v>0</v>
      </c>
      <c r="AA8" s="11">
        <f>SUMIFS(PURCHASE!$M$6:$M$10008,PURCHASE!$A$6:$A$10008,$X$3,PURCHASE!$D$6:$D$10008,$C$5:$C$499)</f>
        <v>0</v>
      </c>
      <c r="AB8" s="11">
        <f>SUMIFS(PURCHASE!$N$6:$N$10008,PURCHASE!$A$6:$A$10008,$X$3,PURCHASE!$D$6:$D$10008,$C$5:$C$499)</f>
        <v>0</v>
      </c>
      <c r="AC8" s="11">
        <f t="shared" si="10"/>
        <v>0</v>
      </c>
      <c r="AD8" s="11">
        <f>SUMIFS(PURCHASE!$K$6:$K$10008,PURCHASE!$A$6:$A$10008,$AC$3,PURCHASE!$D$6:$D$10008,$C$5:$C$499)</f>
        <v>0</v>
      </c>
      <c r="AE8" s="11">
        <f>SUMIFS(PURCHASE!$L$6:$L$10008,PURCHASE!$A$6:$A$10008,$AC$3,PURCHASE!$D$6:$D$10008,$C$5:$C$499)</f>
        <v>0</v>
      </c>
      <c r="AF8" s="11">
        <f>SUMIFS(PURCHASE!$M$6:$M$10008,PURCHASE!$A$6:$A$10008,$AC$3,PURCHASE!$D$6:$D$10008,$C$5:$C$499)</f>
        <v>0</v>
      </c>
      <c r="AG8" s="11">
        <f>SUMIFS(PURCHASE!$N$6:$N$10008,PURCHASE!$A$6:$A$10008,$AC$3,PURCHASE!$D$6:$D$10008,$C$5:$C$499)</f>
        <v>0</v>
      </c>
      <c r="AH8" s="11">
        <f t="shared" si="11"/>
        <v>0</v>
      </c>
      <c r="AI8" s="11">
        <f>SUMIFS(PURCHASE!$K$6:$K$10008,PURCHASE!$A$6:$A$10008,$AH$3,PURCHASE!$D$6:$D$10008,$C$5:$C$499)</f>
        <v>0</v>
      </c>
      <c r="AJ8" s="11">
        <f>SUMIFS(PURCHASE!$L$6:$L$10008,PURCHASE!$A$6:$A$10008,$AH$3,PURCHASE!$D$6:$D$10008,$C$5:$C$499)</f>
        <v>0</v>
      </c>
      <c r="AK8" s="11">
        <f>SUMIFS(PURCHASE!$M$6:$M$10008,PURCHASE!$A$6:$A$10008,$AH$3,PURCHASE!$D$6:$D$10008,$C$5:$C$499)</f>
        <v>0</v>
      </c>
      <c r="AL8" s="11">
        <f>SUMIFS(PURCHASE!$N$6:$N$10008,PURCHASE!$A$6:$A$10008,$AH$3,PURCHASE!$D$6:$D$10008,$C$5:$C$499)</f>
        <v>0</v>
      </c>
      <c r="AM8" s="11">
        <f t="shared" si="12"/>
        <v>0</v>
      </c>
      <c r="AN8" s="11">
        <f>SUMIFS(PURCHASE!$K$6:$K$10008,PURCHASE!$A$6:$A$10008,$AM$3,PURCHASE!$D$6:$D$10008,$C$5:$C$499)</f>
        <v>0</v>
      </c>
      <c r="AO8" s="11">
        <f>SUMIFS(PURCHASE!$L$6:$L$10008,PURCHASE!$A$6:$A$10008,$AM$3,PURCHASE!$D$6:$D$10008,$C$5:$C$499)</f>
        <v>0</v>
      </c>
      <c r="AP8" s="11">
        <f>SUMIFS(PURCHASE!$M$6:$M$10008,PURCHASE!$A$6:$A$10008,$AM$3,PURCHASE!$D$6:$D$10008,$C$5:$C$499)</f>
        <v>0</v>
      </c>
      <c r="AQ8" s="11">
        <f>SUMIFS(PURCHASE!$N$6:$N$10008,PURCHASE!$A$6:$A$10008,$AM$3,PURCHASE!$D$6:$D$10008,$C$5:$C$499)</f>
        <v>0</v>
      </c>
      <c r="AR8" s="11">
        <f t="shared" si="13"/>
        <v>0</v>
      </c>
      <c r="AS8" s="11">
        <f>SUMIFS(PURCHASE!$K$6:$K$10008,PURCHASE!$A$6:$A$10008,$AR$3,PURCHASE!$D$6:$D$10008,$C$5:$C$499)</f>
        <v>0</v>
      </c>
      <c r="AT8" s="11">
        <f>SUMIFS(PURCHASE!$L$6:$L$10008,PURCHASE!$A$6:$A$10008,$AR$3,PURCHASE!$D$6:$D$10008,$C$5:$C$499)</f>
        <v>0</v>
      </c>
      <c r="AU8" s="11">
        <f>SUMIFS(PURCHASE!$M$6:$M$10008,PURCHASE!$A$6:$A$10008,$AR$3,PURCHASE!$D$6:$D$10008,$C$5:$C$499)</f>
        <v>0</v>
      </c>
      <c r="AV8" s="11">
        <f>SUMIFS(PURCHASE!$N$6:$N$10008,PURCHASE!$A$6:$A$10008,$AR$3,PURCHASE!$D$6:$D$10008,$C$5:$C$499)</f>
        <v>0</v>
      </c>
      <c r="AW8" s="11">
        <f t="shared" si="14"/>
        <v>0</v>
      </c>
      <c r="AX8" s="11">
        <f>SUMIFS(PURCHASE!$K$6:$K$10008,PURCHASE!$A$6:$A$10008,$AW$3,PURCHASE!$D$6:$D$10008,$C$5:$C$499)</f>
        <v>0</v>
      </c>
      <c r="AY8" s="11">
        <f>SUMIFS(PURCHASE!$L$6:$L$10008,PURCHASE!$A$6:$A$10008,$AW$3,PURCHASE!$D$6:$D$10008,$C$5:$C$499)</f>
        <v>0</v>
      </c>
      <c r="AZ8" s="11">
        <f>SUMIFS(PURCHASE!$M$6:$M$10008,PURCHASE!$A$6:$A$10008,$AW$3,PURCHASE!$D$6:$D$10008,$C$5:$C$499)</f>
        <v>0</v>
      </c>
      <c r="BA8" s="11">
        <f>SUMIFS(PURCHASE!$N$6:$N$10008,PURCHASE!$A$6:$A$10008,$AW$3,PURCHASE!$D$6:$D$10008,$C$5:$C$499)</f>
        <v>0</v>
      </c>
      <c r="BB8" s="11">
        <f t="shared" si="15"/>
        <v>0</v>
      </c>
      <c r="BC8" s="11">
        <f>SUMIFS(PURCHASE!$K$6:$K$10008,PURCHASE!$A$6:$A$10008,$BB$3,PURCHASE!$D$6:$D$10008,$C$5:$C$499)</f>
        <v>0</v>
      </c>
      <c r="BD8" s="11">
        <f>SUMIFS(PURCHASE!$L$6:$L$10008,PURCHASE!$A$6:$A$10008,$BB$3,PURCHASE!$D$6:$D$10008,$C$5:$C$499)</f>
        <v>0</v>
      </c>
      <c r="BE8" s="11">
        <f>SUMIFS(PURCHASE!$M$6:$M$10008,PURCHASE!$A$6:$A$10008,$BB$3,PURCHASE!$D$6:$D$10008,$C$5:$C$499)</f>
        <v>0</v>
      </c>
      <c r="BF8" s="11">
        <f>SUMIFS(PURCHASE!$N$6:$N$10008,PURCHASE!$A$6:$A$10008,$BB$3,PURCHASE!$D$6:$D$10008,$C$5:$C$499)</f>
        <v>0</v>
      </c>
      <c r="BG8" s="11">
        <f t="shared" si="16"/>
        <v>0</v>
      </c>
      <c r="BH8" s="11">
        <f>SUMIFS(PURCHASE!$K$6:$K$10008,PURCHASE!$A$6:$A$10008,$BG$3,PURCHASE!$D$6:$D$10008,$C$5:$C$499)</f>
        <v>0</v>
      </c>
      <c r="BI8" s="11">
        <f>SUMIFS(PURCHASE!$L$6:$L$10008,PURCHASE!$A$6:$A$10008,$BG$3,PURCHASE!$D$6:$D$10008,$C$5:$C$499)</f>
        <v>0</v>
      </c>
      <c r="BJ8" s="11">
        <f>SUMIFS(PURCHASE!$M$6:$M$10008,PURCHASE!$A$6:$A$10008,$BG$3,PURCHASE!$D$6:$D$10008,$C$5:$C$499)</f>
        <v>0</v>
      </c>
      <c r="BK8" s="11">
        <f>SUMIFS(PURCHASE!$N$6:$N$10008,PURCHASE!$A$6:$A$10008,$BG$3,PURCHASE!$D$6:$D$10008,$C$5:$C$499)</f>
        <v>0</v>
      </c>
      <c r="BL8" s="11">
        <f t="shared" si="4"/>
        <v>0</v>
      </c>
      <c r="BM8" s="11">
        <f t="shared" si="3"/>
        <v>0</v>
      </c>
      <c r="BN8" s="11">
        <f t="shared" si="3"/>
        <v>0</v>
      </c>
      <c r="BO8" s="11">
        <f t="shared" si="3"/>
        <v>0</v>
      </c>
      <c r="BP8" s="11">
        <f t="shared" si="3"/>
        <v>0</v>
      </c>
    </row>
    <row r="9" spans="1:68" x14ac:dyDescent="0.2">
      <c r="A9" s="467">
        <v>5</v>
      </c>
      <c r="B9" s="468" t="s">
        <v>493</v>
      </c>
      <c r="C9" s="469" t="s">
        <v>494</v>
      </c>
      <c r="D9" s="11">
        <f t="shared" si="5"/>
        <v>95735.11099999999</v>
      </c>
      <c r="E9" s="11">
        <f>SUMIFS(PURCHASE!$K$6:$K$10008,PURCHASE!$A$6:$A$10008,$D$3,PURCHASE!$D$6:$D$10008,$C$5:$C$499)</f>
        <v>81131.45</v>
      </c>
      <c r="F9" s="11">
        <f>SUMIFS(PURCHASE!$L$6:$L$10008,PURCHASE!$A$6:$A$10008,$D$3,PURCHASE!$D$6:$D$10008,$C$5:$C$499)</f>
        <v>0</v>
      </c>
      <c r="G9" s="11">
        <f>SUMIFS(PURCHASE!$M$6:$M$10008,PURCHASE!$A$6:$A$10008,$D$3,PURCHASE!$D$6:$D$10008,$C$5:$C$499)</f>
        <v>7301.8305</v>
      </c>
      <c r="H9" s="11">
        <f>SUMIFS(PURCHASE!$N$6:$N$10008,PURCHASE!$A$6:$A$10008,$D$3,PURCHASE!$D$6:$D$10008,$C$5:$C$499)</f>
        <v>7301.8305</v>
      </c>
      <c r="I9" s="473">
        <f t="shared" si="6"/>
        <v>202533.24119999999</v>
      </c>
      <c r="J9" s="60">
        <f>SUMIFS(PURCHASE!$K$6:$K$10008,PURCHASE!$A$6:$A$10008,$I$3,PURCHASE!$D$6:$D$10008,$C$5:$C$499)</f>
        <v>171638.33999999997</v>
      </c>
      <c r="K9" s="60">
        <f>SUMIFS(PURCHASE!$L$6:$L$10008,PURCHASE!$A$6:$A$10008,$I$3,PURCHASE!$D$6:$D$10008,$C$5:$C$499)</f>
        <v>0</v>
      </c>
      <c r="L9" s="60">
        <f>SUMIFS(PURCHASE!$M$6:$M$10008,PURCHASE!$A$6:$A$10008,$I$3,PURCHASE!$D$6:$D$10008,$C$5:$C$499)</f>
        <v>15447.4506</v>
      </c>
      <c r="M9" s="474">
        <f>SUMIFS(PURCHASE!$N$6:$N$10008,PURCHASE!$A$6:$A$10008,$I$3,PURCHASE!$D$6:$D$10008,$C$5:$C$499)</f>
        <v>15447.4506</v>
      </c>
      <c r="N9" s="11">
        <f t="shared" si="7"/>
        <v>197737.4498</v>
      </c>
      <c r="O9" s="11">
        <f>SUMIFS(PURCHASE!$K$6:$K$10008,PURCHASE!$A$6:$A$10008,$N$3,PURCHASE!$D$6:$D$10008,$C$5:$C$499)</f>
        <v>167574.10999999999</v>
      </c>
      <c r="P9" s="11">
        <f>SUMIFS(PURCHASE!$L$6:$L$10008,PURCHASE!$A$6:$A$10008,$N$3,PURCHASE!$D$6:$D$10008,$C$5:$C$499)</f>
        <v>0</v>
      </c>
      <c r="Q9" s="11">
        <f>SUMIFS(PURCHASE!$M$6:$M$10008,PURCHASE!$A$6:$A$10008,$N$3,PURCHASE!$D$6:$D$10008,$C$5:$C$499)</f>
        <v>15081.669900000001</v>
      </c>
      <c r="R9" s="11">
        <f>SUMIFS(PURCHASE!$N$6:$N$10008,PURCHASE!$A$6:$A$10008,$N$3,PURCHASE!$D$6:$D$10008,$C$5:$C$499)</f>
        <v>15081.669900000001</v>
      </c>
      <c r="S9" s="11">
        <f t="shared" si="8"/>
        <v>253494.53839999999</v>
      </c>
      <c r="T9" s="11">
        <f>SUMIFS(PURCHASE!$K$6:$K$10008,PURCHASE!$A$6:$A$10008,$S$3,PURCHASE!$D$6:$D$10008,$C$5:$C$499)</f>
        <v>214825.87999999998</v>
      </c>
      <c r="U9" s="11">
        <f>SUMIFS(PURCHASE!$L$6:$L$10008,PURCHASE!$A$6:$A$10008,$S$3,PURCHASE!$D$6:$D$10008,$C$5:$C$499)</f>
        <v>0</v>
      </c>
      <c r="V9" s="11">
        <f>SUMIFS(PURCHASE!$M$6:$M$10008,PURCHASE!$A$6:$A$10008,$S$3,PURCHASE!$D$6:$D$10008,$C$5:$C$499)</f>
        <v>19334.3292</v>
      </c>
      <c r="W9" s="11">
        <f>SUMIFS(PURCHASE!$N$6:$N$10008,PURCHASE!$A$6:$A$10008,$S$3,PURCHASE!$D$6:$D$10008,$C$5:$C$499)</f>
        <v>19334.3292</v>
      </c>
      <c r="X9" s="11">
        <f t="shared" si="9"/>
        <v>157675.56479999999</v>
      </c>
      <c r="Y9" s="11">
        <f>SUMIFS(PURCHASE!$K$6:$K$10008,PURCHASE!$A$6:$A$10008,$X$3,PURCHASE!$D$6:$D$10008,$C$5:$C$499)</f>
        <v>133623.35999999999</v>
      </c>
      <c r="Z9" s="11">
        <f>SUMIFS(PURCHASE!$L$6:$L$10008,PURCHASE!$A$6:$A$10008,$X$3,PURCHASE!$D$6:$D$10008,$C$5:$C$499)</f>
        <v>0</v>
      </c>
      <c r="AA9" s="11">
        <f>SUMIFS(PURCHASE!$M$6:$M$10008,PURCHASE!$A$6:$A$10008,$X$3,PURCHASE!$D$6:$D$10008,$C$5:$C$499)</f>
        <v>12026.1024</v>
      </c>
      <c r="AB9" s="11">
        <f>SUMIFS(PURCHASE!$N$6:$N$10008,PURCHASE!$A$6:$A$10008,$X$3,PURCHASE!$D$6:$D$10008,$C$5:$C$499)</f>
        <v>12026.1024</v>
      </c>
      <c r="AC9" s="11">
        <f t="shared" si="10"/>
        <v>170454.00900000002</v>
      </c>
      <c r="AD9" s="11">
        <f>SUMIFS(PURCHASE!$K$6:$K$10008,PURCHASE!$A$6:$A$10008,$AC$3,PURCHASE!$D$6:$D$10008,$C$5:$C$499)</f>
        <v>144452.54999999999</v>
      </c>
      <c r="AE9" s="11">
        <f>SUMIFS(PURCHASE!$L$6:$L$10008,PURCHASE!$A$6:$A$10008,$AC$3,PURCHASE!$D$6:$D$10008,$C$5:$C$499)</f>
        <v>0</v>
      </c>
      <c r="AF9" s="11">
        <f>SUMIFS(PURCHASE!$M$6:$M$10008,PURCHASE!$A$6:$A$10008,$AC$3,PURCHASE!$D$6:$D$10008,$C$5:$C$499)</f>
        <v>13000.729500000001</v>
      </c>
      <c r="AG9" s="11">
        <f>SUMIFS(PURCHASE!$N$6:$N$10008,PURCHASE!$A$6:$A$10008,$AC$3,PURCHASE!$D$6:$D$10008,$C$5:$C$499)</f>
        <v>13000.729500000001</v>
      </c>
      <c r="AH9" s="11">
        <f t="shared" si="11"/>
        <v>141337.92200000002</v>
      </c>
      <c r="AI9" s="11">
        <f>SUMIFS(PURCHASE!$K$6:$K$10008,PURCHASE!$A$6:$A$10008,$AH$3,PURCHASE!$D$6:$D$10008,$C$5:$C$499)</f>
        <v>119777.90000000001</v>
      </c>
      <c r="AJ9" s="11">
        <f>SUMIFS(PURCHASE!$L$6:$L$10008,PURCHASE!$A$6:$A$10008,$AH$3,PURCHASE!$D$6:$D$10008,$C$5:$C$499)</f>
        <v>0</v>
      </c>
      <c r="AK9" s="11">
        <f>SUMIFS(PURCHASE!$M$6:$M$10008,PURCHASE!$A$6:$A$10008,$AH$3,PURCHASE!$D$6:$D$10008,$C$5:$C$499)</f>
        <v>10780.011</v>
      </c>
      <c r="AL9" s="11">
        <f>SUMIFS(PURCHASE!$N$6:$N$10008,PURCHASE!$A$6:$A$10008,$AH$3,PURCHASE!$D$6:$D$10008,$C$5:$C$499)</f>
        <v>10780.011</v>
      </c>
      <c r="AM9" s="11">
        <f t="shared" si="12"/>
        <v>0</v>
      </c>
      <c r="AN9" s="11">
        <f>SUMIFS(PURCHASE!$K$6:$K$10008,PURCHASE!$A$6:$A$10008,$AM$3,PURCHASE!$D$6:$D$10008,$C$5:$C$499)</f>
        <v>0</v>
      </c>
      <c r="AO9" s="11">
        <f>SUMIFS(PURCHASE!$L$6:$L$10008,PURCHASE!$A$6:$A$10008,$AM$3,PURCHASE!$D$6:$D$10008,$C$5:$C$499)</f>
        <v>0</v>
      </c>
      <c r="AP9" s="11">
        <f>SUMIFS(PURCHASE!$M$6:$M$10008,PURCHASE!$A$6:$A$10008,$AM$3,PURCHASE!$D$6:$D$10008,$C$5:$C$499)</f>
        <v>0</v>
      </c>
      <c r="AQ9" s="11">
        <f>SUMIFS(PURCHASE!$N$6:$N$10008,PURCHASE!$A$6:$A$10008,$AM$3,PURCHASE!$D$6:$D$10008,$C$5:$C$499)</f>
        <v>0</v>
      </c>
      <c r="AR9" s="11">
        <f t="shared" si="13"/>
        <v>0</v>
      </c>
      <c r="AS9" s="11">
        <f>SUMIFS(PURCHASE!$K$6:$K$10008,PURCHASE!$A$6:$A$10008,$AR$3,PURCHASE!$D$6:$D$10008,$C$5:$C$499)</f>
        <v>0</v>
      </c>
      <c r="AT9" s="11">
        <f>SUMIFS(PURCHASE!$L$6:$L$10008,PURCHASE!$A$6:$A$10008,$AR$3,PURCHASE!$D$6:$D$10008,$C$5:$C$499)</f>
        <v>0</v>
      </c>
      <c r="AU9" s="11">
        <f>SUMIFS(PURCHASE!$M$6:$M$10008,PURCHASE!$A$6:$A$10008,$AR$3,PURCHASE!$D$6:$D$10008,$C$5:$C$499)</f>
        <v>0</v>
      </c>
      <c r="AV9" s="11">
        <f>SUMIFS(PURCHASE!$N$6:$N$10008,PURCHASE!$A$6:$A$10008,$AR$3,PURCHASE!$D$6:$D$10008,$C$5:$C$499)</f>
        <v>0</v>
      </c>
      <c r="AW9" s="11">
        <f t="shared" si="14"/>
        <v>0</v>
      </c>
      <c r="AX9" s="11">
        <f>SUMIFS(PURCHASE!$K$6:$K$10008,PURCHASE!$A$6:$A$10008,$AW$3,PURCHASE!$D$6:$D$10008,$C$5:$C$499)</f>
        <v>0</v>
      </c>
      <c r="AY9" s="11">
        <f>SUMIFS(PURCHASE!$L$6:$L$10008,PURCHASE!$A$6:$A$10008,$AW$3,PURCHASE!$D$6:$D$10008,$C$5:$C$499)</f>
        <v>0</v>
      </c>
      <c r="AZ9" s="11">
        <f>SUMIFS(PURCHASE!$M$6:$M$10008,PURCHASE!$A$6:$A$10008,$AW$3,PURCHASE!$D$6:$D$10008,$C$5:$C$499)</f>
        <v>0</v>
      </c>
      <c r="BA9" s="11">
        <f>SUMIFS(PURCHASE!$N$6:$N$10008,PURCHASE!$A$6:$A$10008,$AW$3,PURCHASE!$D$6:$D$10008,$C$5:$C$499)</f>
        <v>0</v>
      </c>
      <c r="BB9" s="11">
        <f t="shared" si="15"/>
        <v>0</v>
      </c>
      <c r="BC9" s="11">
        <f>SUMIFS(PURCHASE!$K$6:$K$10008,PURCHASE!$A$6:$A$10008,$BB$3,PURCHASE!$D$6:$D$10008,$C$5:$C$499)</f>
        <v>0</v>
      </c>
      <c r="BD9" s="11">
        <f>SUMIFS(PURCHASE!$L$6:$L$10008,PURCHASE!$A$6:$A$10008,$BB$3,PURCHASE!$D$6:$D$10008,$C$5:$C$499)</f>
        <v>0</v>
      </c>
      <c r="BE9" s="11">
        <f>SUMIFS(PURCHASE!$M$6:$M$10008,PURCHASE!$A$6:$A$10008,$BB$3,PURCHASE!$D$6:$D$10008,$C$5:$C$499)</f>
        <v>0</v>
      </c>
      <c r="BF9" s="11">
        <f>SUMIFS(PURCHASE!$N$6:$N$10008,PURCHASE!$A$6:$A$10008,$BB$3,PURCHASE!$D$6:$D$10008,$C$5:$C$499)</f>
        <v>0</v>
      </c>
      <c r="BG9" s="11">
        <f t="shared" si="16"/>
        <v>0</v>
      </c>
      <c r="BH9" s="11">
        <f>SUMIFS(PURCHASE!$K$6:$K$10008,PURCHASE!$A$6:$A$10008,$BG$3,PURCHASE!$D$6:$D$10008,$C$5:$C$499)</f>
        <v>0</v>
      </c>
      <c r="BI9" s="11">
        <f>SUMIFS(PURCHASE!$L$6:$L$10008,PURCHASE!$A$6:$A$10008,$BG$3,PURCHASE!$D$6:$D$10008,$C$5:$C$499)</f>
        <v>0</v>
      </c>
      <c r="BJ9" s="11">
        <f>SUMIFS(PURCHASE!$M$6:$M$10008,PURCHASE!$A$6:$A$10008,$BG$3,PURCHASE!$D$6:$D$10008,$C$5:$C$499)</f>
        <v>0</v>
      </c>
      <c r="BK9" s="11">
        <f>SUMIFS(PURCHASE!$N$6:$N$10008,PURCHASE!$A$6:$A$10008,$BG$3,PURCHASE!$D$6:$D$10008,$C$5:$C$499)</f>
        <v>0</v>
      </c>
      <c r="BL9" s="11">
        <f t="shared" si="4"/>
        <v>1218967.8362</v>
      </c>
      <c r="BM9" s="11">
        <f t="shared" si="3"/>
        <v>1033023.59</v>
      </c>
      <c r="BN9" s="11">
        <f t="shared" si="3"/>
        <v>0</v>
      </c>
      <c r="BO9" s="11">
        <f t="shared" si="3"/>
        <v>92972.123099999997</v>
      </c>
      <c r="BP9" s="11">
        <f t="shared" si="3"/>
        <v>92972.123099999997</v>
      </c>
    </row>
    <row r="10" spans="1:68" x14ac:dyDescent="0.2">
      <c r="A10" s="467">
        <v>6</v>
      </c>
      <c r="B10" s="468" t="s">
        <v>1065</v>
      </c>
      <c r="C10" s="469" t="s">
        <v>1066</v>
      </c>
      <c r="D10" s="11">
        <f t="shared" si="5"/>
        <v>0</v>
      </c>
      <c r="E10" s="11">
        <f>SUMIFS(PURCHASE!$K$6:$K$10008,PURCHASE!$A$6:$A$10008,$D$3,PURCHASE!$D$6:$D$10008,$C$5:$C$499)</f>
        <v>0</v>
      </c>
      <c r="F10" s="11">
        <f>SUMIFS(PURCHASE!$L$6:$L$10008,PURCHASE!$A$6:$A$10008,$D$3,PURCHASE!$D$6:$D$10008,$C$5:$C$499)</f>
        <v>0</v>
      </c>
      <c r="G10" s="11">
        <f>SUMIFS(PURCHASE!$M$6:$M$10008,PURCHASE!$A$6:$A$10008,$D$3,PURCHASE!$D$6:$D$10008,$C$5:$C$499)</f>
        <v>0</v>
      </c>
      <c r="H10" s="11">
        <f>SUMIFS(PURCHASE!$N$6:$N$10008,PURCHASE!$A$6:$A$10008,$D$3,PURCHASE!$D$6:$D$10008,$C$5:$C$499)</f>
        <v>0</v>
      </c>
      <c r="I10" s="473">
        <f t="shared" si="6"/>
        <v>0</v>
      </c>
      <c r="J10" s="60">
        <f>SUMIFS(PURCHASE!$K$6:$K$10008,PURCHASE!$A$6:$A$10008,$I$3,PURCHASE!$D$6:$D$10008,$C$5:$C$499)</f>
        <v>0</v>
      </c>
      <c r="K10" s="60">
        <f>SUMIFS(PURCHASE!$L$6:$L$10008,PURCHASE!$A$6:$A$10008,$I$3,PURCHASE!$D$6:$D$10008,$C$5:$C$499)</f>
        <v>0</v>
      </c>
      <c r="L10" s="60">
        <f>SUMIFS(PURCHASE!$M$6:$M$10008,PURCHASE!$A$6:$A$10008,$I$3,PURCHASE!$D$6:$D$10008,$C$5:$C$499)</f>
        <v>0</v>
      </c>
      <c r="M10" s="474">
        <f>SUMIFS(PURCHASE!$N$6:$N$10008,PURCHASE!$A$6:$A$10008,$I$3,PURCHASE!$D$6:$D$10008,$C$5:$C$499)</f>
        <v>0</v>
      </c>
      <c r="N10" s="11">
        <f t="shared" si="7"/>
        <v>0</v>
      </c>
      <c r="O10" s="11">
        <f>SUMIFS(PURCHASE!$K$6:$K$10008,PURCHASE!$A$6:$A$10008,$N$3,PURCHASE!$D$6:$D$10008,$C$5:$C$499)</f>
        <v>0</v>
      </c>
      <c r="P10" s="11">
        <f>SUMIFS(PURCHASE!$L$6:$L$10008,PURCHASE!$A$6:$A$10008,$N$3,PURCHASE!$D$6:$D$10008,$C$5:$C$499)</f>
        <v>0</v>
      </c>
      <c r="Q10" s="11">
        <f>SUMIFS(PURCHASE!$M$6:$M$10008,PURCHASE!$A$6:$A$10008,$N$3,PURCHASE!$D$6:$D$10008,$C$5:$C$499)</f>
        <v>0</v>
      </c>
      <c r="R10" s="11">
        <f>SUMIFS(PURCHASE!$N$6:$N$10008,PURCHASE!$A$6:$A$10008,$N$3,PURCHASE!$D$6:$D$10008,$C$5:$C$499)</f>
        <v>0</v>
      </c>
      <c r="S10" s="11">
        <f t="shared" si="8"/>
        <v>0</v>
      </c>
      <c r="T10" s="11">
        <f>SUMIFS(PURCHASE!$K$6:$K$10008,PURCHASE!$A$6:$A$10008,$S$3,PURCHASE!$D$6:$D$10008,$C$5:$C$499)</f>
        <v>0</v>
      </c>
      <c r="U10" s="11">
        <f>SUMIFS(PURCHASE!$L$6:$L$10008,PURCHASE!$A$6:$A$10008,$S$3,PURCHASE!$D$6:$D$10008,$C$5:$C$499)</f>
        <v>0</v>
      </c>
      <c r="V10" s="11">
        <f>SUMIFS(PURCHASE!$M$6:$M$10008,PURCHASE!$A$6:$A$10008,$S$3,PURCHASE!$D$6:$D$10008,$C$5:$C$499)</f>
        <v>0</v>
      </c>
      <c r="W10" s="11">
        <f>SUMIFS(PURCHASE!$N$6:$N$10008,PURCHASE!$A$6:$A$10008,$S$3,PURCHASE!$D$6:$D$10008,$C$5:$C$499)</f>
        <v>0</v>
      </c>
      <c r="X10" s="11">
        <f t="shared" si="9"/>
        <v>0</v>
      </c>
      <c r="Y10" s="11">
        <f>SUMIFS(PURCHASE!$K$6:$K$10008,PURCHASE!$A$6:$A$10008,$X$3,PURCHASE!$D$6:$D$10008,$C$5:$C$499)</f>
        <v>0</v>
      </c>
      <c r="Z10" s="11">
        <f>SUMIFS(PURCHASE!$L$6:$L$10008,PURCHASE!$A$6:$A$10008,$X$3,PURCHASE!$D$6:$D$10008,$C$5:$C$499)</f>
        <v>0</v>
      </c>
      <c r="AA10" s="11">
        <f>SUMIFS(PURCHASE!$M$6:$M$10008,PURCHASE!$A$6:$A$10008,$X$3,PURCHASE!$D$6:$D$10008,$C$5:$C$499)</f>
        <v>0</v>
      </c>
      <c r="AB10" s="11">
        <f>SUMIFS(PURCHASE!$N$6:$N$10008,PURCHASE!$A$6:$A$10008,$X$3,PURCHASE!$D$6:$D$10008,$C$5:$C$499)</f>
        <v>0</v>
      </c>
      <c r="AC10" s="11">
        <f t="shared" si="10"/>
        <v>0</v>
      </c>
      <c r="AD10" s="11">
        <f>SUMIFS(PURCHASE!$K$6:$K$10008,PURCHASE!$A$6:$A$10008,$AC$3,PURCHASE!$D$6:$D$10008,$C$5:$C$499)</f>
        <v>0</v>
      </c>
      <c r="AE10" s="11">
        <f>SUMIFS(PURCHASE!$L$6:$L$10008,PURCHASE!$A$6:$A$10008,$AC$3,PURCHASE!$D$6:$D$10008,$C$5:$C$499)</f>
        <v>0</v>
      </c>
      <c r="AF10" s="11">
        <f>SUMIFS(PURCHASE!$M$6:$M$10008,PURCHASE!$A$6:$A$10008,$AC$3,PURCHASE!$D$6:$D$10008,$C$5:$C$499)</f>
        <v>0</v>
      </c>
      <c r="AG10" s="11">
        <f>SUMIFS(PURCHASE!$N$6:$N$10008,PURCHASE!$A$6:$A$10008,$AC$3,PURCHASE!$D$6:$D$10008,$C$5:$C$499)</f>
        <v>0</v>
      </c>
      <c r="AH10" s="11">
        <f t="shared" si="11"/>
        <v>0</v>
      </c>
      <c r="AI10" s="11">
        <f>SUMIFS(PURCHASE!$K$6:$K$10008,PURCHASE!$A$6:$A$10008,$AH$3,PURCHASE!$D$6:$D$10008,$C$5:$C$499)</f>
        <v>0</v>
      </c>
      <c r="AJ10" s="11">
        <f>SUMIFS(PURCHASE!$L$6:$L$10008,PURCHASE!$A$6:$A$10008,$AH$3,PURCHASE!$D$6:$D$10008,$C$5:$C$499)</f>
        <v>0</v>
      </c>
      <c r="AK10" s="11">
        <f>SUMIFS(PURCHASE!$M$6:$M$10008,PURCHASE!$A$6:$A$10008,$AH$3,PURCHASE!$D$6:$D$10008,$C$5:$C$499)</f>
        <v>0</v>
      </c>
      <c r="AL10" s="11">
        <f>SUMIFS(PURCHASE!$N$6:$N$10008,PURCHASE!$A$6:$A$10008,$AH$3,PURCHASE!$D$6:$D$10008,$C$5:$C$499)</f>
        <v>0</v>
      </c>
      <c r="AM10" s="11">
        <f t="shared" si="12"/>
        <v>0</v>
      </c>
      <c r="AN10" s="11">
        <f>SUMIFS(PURCHASE!$K$6:$K$10008,PURCHASE!$A$6:$A$10008,$AM$3,PURCHASE!$D$6:$D$10008,$C$5:$C$499)</f>
        <v>0</v>
      </c>
      <c r="AO10" s="11">
        <f>SUMIFS(PURCHASE!$L$6:$L$10008,PURCHASE!$A$6:$A$10008,$AM$3,PURCHASE!$D$6:$D$10008,$C$5:$C$499)</f>
        <v>0</v>
      </c>
      <c r="AP10" s="11">
        <f>SUMIFS(PURCHASE!$M$6:$M$10008,PURCHASE!$A$6:$A$10008,$AM$3,PURCHASE!$D$6:$D$10008,$C$5:$C$499)</f>
        <v>0</v>
      </c>
      <c r="AQ10" s="11">
        <f>SUMIFS(PURCHASE!$N$6:$N$10008,PURCHASE!$A$6:$A$10008,$AM$3,PURCHASE!$D$6:$D$10008,$C$5:$C$499)</f>
        <v>0</v>
      </c>
      <c r="AR10" s="11">
        <f t="shared" si="13"/>
        <v>0</v>
      </c>
      <c r="AS10" s="11">
        <f>SUMIFS(PURCHASE!$K$6:$K$10008,PURCHASE!$A$6:$A$10008,$AR$3,PURCHASE!$D$6:$D$10008,$C$5:$C$499)</f>
        <v>0</v>
      </c>
      <c r="AT10" s="11">
        <f>SUMIFS(PURCHASE!$L$6:$L$10008,PURCHASE!$A$6:$A$10008,$AR$3,PURCHASE!$D$6:$D$10008,$C$5:$C$499)</f>
        <v>0</v>
      </c>
      <c r="AU10" s="11">
        <f>SUMIFS(PURCHASE!$M$6:$M$10008,PURCHASE!$A$6:$A$10008,$AR$3,PURCHASE!$D$6:$D$10008,$C$5:$C$499)</f>
        <v>0</v>
      </c>
      <c r="AV10" s="11">
        <f>SUMIFS(PURCHASE!$N$6:$N$10008,PURCHASE!$A$6:$A$10008,$AR$3,PURCHASE!$D$6:$D$10008,$C$5:$C$499)</f>
        <v>0</v>
      </c>
      <c r="AW10" s="11">
        <f t="shared" si="14"/>
        <v>0</v>
      </c>
      <c r="AX10" s="11">
        <f>SUMIFS(PURCHASE!$K$6:$K$10008,PURCHASE!$A$6:$A$10008,$AW$3,PURCHASE!$D$6:$D$10008,$C$5:$C$499)</f>
        <v>0</v>
      </c>
      <c r="AY10" s="11">
        <f>SUMIFS(PURCHASE!$L$6:$L$10008,PURCHASE!$A$6:$A$10008,$AW$3,PURCHASE!$D$6:$D$10008,$C$5:$C$499)</f>
        <v>0</v>
      </c>
      <c r="AZ10" s="11">
        <f>SUMIFS(PURCHASE!$M$6:$M$10008,PURCHASE!$A$6:$A$10008,$AW$3,PURCHASE!$D$6:$D$10008,$C$5:$C$499)</f>
        <v>0</v>
      </c>
      <c r="BA10" s="11">
        <f>SUMIFS(PURCHASE!$N$6:$N$10008,PURCHASE!$A$6:$A$10008,$AW$3,PURCHASE!$D$6:$D$10008,$C$5:$C$499)</f>
        <v>0</v>
      </c>
      <c r="BB10" s="11">
        <f t="shared" si="15"/>
        <v>0</v>
      </c>
      <c r="BC10" s="11">
        <f>SUMIFS(PURCHASE!$K$6:$K$10008,PURCHASE!$A$6:$A$10008,$BB$3,PURCHASE!$D$6:$D$10008,$C$5:$C$499)</f>
        <v>0</v>
      </c>
      <c r="BD10" s="11">
        <f>SUMIFS(PURCHASE!$L$6:$L$10008,PURCHASE!$A$6:$A$10008,$BB$3,PURCHASE!$D$6:$D$10008,$C$5:$C$499)</f>
        <v>0</v>
      </c>
      <c r="BE10" s="11">
        <f>SUMIFS(PURCHASE!$M$6:$M$10008,PURCHASE!$A$6:$A$10008,$BB$3,PURCHASE!$D$6:$D$10008,$C$5:$C$499)</f>
        <v>0</v>
      </c>
      <c r="BF10" s="11">
        <f>SUMIFS(PURCHASE!$N$6:$N$10008,PURCHASE!$A$6:$A$10008,$BB$3,PURCHASE!$D$6:$D$10008,$C$5:$C$499)</f>
        <v>0</v>
      </c>
      <c r="BG10" s="11">
        <f t="shared" si="16"/>
        <v>0</v>
      </c>
      <c r="BH10" s="11">
        <f>SUMIFS(PURCHASE!$K$6:$K$10008,PURCHASE!$A$6:$A$10008,$BG$3,PURCHASE!$D$6:$D$10008,$C$5:$C$499)</f>
        <v>0</v>
      </c>
      <c r="BI10" s="11">
        <f>SUMIFS(PURCHASE!$L$6:$L$10008,PURCHASE!$A$6:$A$10008,$BG$3,PURCHASE!$D$6:$D$10008,$C$5:$C$499)</f>
        <v>0</v>
      </c>
      <c r="BJ10" s="11">
        <f>SUMIFS(PURCHASE!$M$6:$M$10008,PURCHASE!$A$6:$A$10008,$BG$3,PURCHASE!$D$6:$D$10008,$C$5:$C$499)</f>
        <v>0</v>
      </c>
      <c r="BK10" s="11">
        <f>SUMIFS(PURCHASE!$N$6:$N$10008,PURCHASE!$A$6:$A$10008,$BG$3,PURCHASE!$D$6:$D$10008,$C$5:$C$499)</f>
        <v>0</v>
      </c>
      <c r="BL10" s="11">
        <f t="shared" si="4"/>
        <v>0</v>
      </c>
      <c r="BM10" s="11">
        <f t="shared" si="3"/>
        <v>0</v>
      </c>
      <c r="BN10" s="11">
        <f t="shared" si="3"/>
        <v>0</v>
      </c>
      <c r="BO10" s="11">
        <f t="shared" si="3"/>
        <v>0</v>
      </c>
      <c r="BP10" s="11">
        <f t="shared" si="3"/>
        <v>0</v>
      </c>
    </row>
    <row r="11" spans="1:68" x14ac:dyDescent="0.2">
      <c r="A11" s="467">
        <v>7</v>
      </c>
      <c r="B11" s="468" t="s">
        <v>511</v>
      </c>
      <c r="C11" s="469" t="s">
        <v>512</v>
      </c>
      <c r="D11" s="11">
        <f t="shared" si="5"/>
        <v>25606</v>
      </c>
      <c r="E11" s="11">
        <f>SUMIFS(PURCHASE!$K$6:$K$10008,PURCHASE!$A$6:$A$10008,$D$3,PURCHASE!$D$6:$D$10008,$C$5:$C$499)</f>
        <v>21700</v>
      </c>
      <c r="F11" s="11">
        <f>SUMIFS(PURCHASE!$L$6:$L$10008,PURCHASE!$A$6:$A$10008,$D$3,PURCHASE!$D$6:$D$10008,$C$5:$C$499)</f>
        <v>0</v>
      </c>
      <c r="G11" s="11">
        <f>SUMIFS(PURCHASE!$M$6:$M$10008,PURCHASE!$A$6:$A$10008,$D$3,PURCHASE!$D$6:$D$10008,$C$5:$C$499)</f>
        <v>1953</v>
      </c>
      <c r="H11" s="11">
        <f>SUMIFS(PURCHASE!$N$6:$N$10008,PURCHASE!$A$6:$A$10008,$D$3,PURCHASE!$D$6:$D$10008,$C$5:$C$499)</f>
        <v>1953</v>
      </c>
      <c r="I11" s="473">
        <f t="shared" si="6"/>
        <v>0</v>
      </c>
      <c r="J11" s="60">
        <f>SUMIFS(PURCHASE!$K$6:$K$10008,PURCHASE!$A$6:$A$10008,$I$3,PURCHASE!$D$6:$D$10008,$C$5:$C$499)</f>
        <v>0</v>
      </c>
      <c r="K11" s="60">
        <f>SUMIFS(PURCHASE!$L$6:$L$10008,PURCHASE!$A$6:$A$10008,$I$3,PURCHASE!$D$6:$D$10008,$C$5:$C$499)</f>
        <v>0</v>
      </c>
      <c r="L11" s="60">
        <f>SUMIFS(PURCHASE!$M$6:$M$10008,PURCHASE!$A$6:$A$10008,$I$3,PURCHASE!$D$6:$D$10008,$C$5:$C$499)</f>
        <v>0</v>
      </c>
      <c r="M11" s="474">
        <f>SUMIFS(PURCHASE!$N$6:$N$10008,PURCHASE!$A$6:$A$10008,$I$3,PURCHASE!$D$6:$D$10008,$C$5:$C$499)</f>
        <v>0</v>
      </c>
      <c r="N11" s="11">
        <f t="shared" si="7"/>
        <v>15635</v>
      </c>
      <c r="O11" s="11">
        <f>SUMIFS(PURCHASE!$K$6:$K$10008,PURCHASE!$A$6:$A$10008,$N$3,PURCHASE!$D$6:$D$10008,$C$5:$C$499)</f>
        <v>13250</v>
      </c>
      <c r="P11" s="11">
        <f>SUMIFS(PURCHASE!$L$6:$L$10008,PURCHASE!$A$6:$A$10008,$N$3,PURCHASE!$D$6:$D$10008,$C$5:$C$499)</f>
        <v>0</v>
      </c>
      <c r="Q11" s="11">
        <f>SUMIFS(PURCHASE!$M$6:$M$10008,PURCHASE!$A$6:$A$10008,$N$3,PURCHASE!$D$6:$D$10008,$C$5:$C$499)</f>
        <v>1192.5</v>
      </c>
      <c r="R11" s="11">
        <f>SUMIFS(PURCHASE!$N$6:$N$10008,PURCHASE!$A$6:$A$10008,$N$3,PURCHASE!$D$6:$D$10008,$C$5:$C$499)</f>
        <v>1192.5</v>
      </c>
      <c r="S11" s="11">
        <f t="shared" si="8"/>
        <v>36580</v>
      </c>
      <c r="T11" s="11">
        <f>SUMIFS(PURCHASE!$K$6:$K$10008,PURCHASE!$A$6:$A$10008,$S$3,PURCHASE!$D$6:$D$10008,$C$5:$C$499)</f>
        <v>31000</v>
      </c>
      <c r="U11" s="11">
        <f>SUMIFS(PURCHASE!$L$6:$L$10008,PURCHASE!$A$6:$A$10008,$S$3,PURCHASE!$D$6:$D$10008,$C$5:$C$499)</f>
        <v>0</v>
      </c>
      <c r="V11" s="11">
        <f>SUMIFS(PURCHASE!$M$6:$M$10008,PURCHASE!$A$6:$A$10008,$S$3,PURCHASE!$D$6:$D$10008,$C$5:$C$499)</f>
        <v>2790</v>
      </c>
      <c r="W11" s="11">
        <f>SUMIFS(PURCHASE!$N$6:$N$10008,PURCHASE!$A$6:$A$10008,$S$3,PURCHASE!$D$6:$D$10008,$C$5:$C$499)</f>
        <v>2790</v>
      </c>
      <c r="X11" s="11">
        <f t="shared" si="9"/>
        <v>0</v>
      </c>
      <c r="Y11" s="11">
        <f>SUMIFS(PURCHASE!$K$6:$K$10008,PURCHASE!$A$6:$A$10008,$X$3,PURCHASE!$D$6:$D$10008,$C$5:$C$499)</f>
        <v>0</v>
      </c>
      <c r="Z11" s="11">
        <f>SUMIFS(PURCHASE!$L$6:$L$10008,PURCHASE!$A$6:$A$10008,$X$3,PURCHASE!$D$6:$D$10008,$C$5:$C$499)</f>
        <v>0</v>
      </c>
      <c r="AA11" s="11">
        <f>SUMIFS(PURCHASE!$M$6:$M$10008,PURCHASE!$A$6:$A$10008,$X$3,PURCHASE!$D$6:$D$10008,$C$5:$C$499)</f>
        <v>0</v>
      </c>
      <c r="AB11" s="11">
        <f>SUMIFS(PURCHASE!$N$6:$N$10008,PURCHASE!$A$6:$A$10008,$X$3,PURCHASE!$D$6:$D$10008,$C$5:$C$499)</f>
        <v>0</v>
      </c>
      <c r="AC11" s="11">
        <f t="shared" si="10"/>
        <v>15422.599999999999</v>
      </c>
      <c r="AD11" s="11">
        <f>SUMIFS(PURCHASE!$K$6:$K$10008,PURCHASE!$A$6:$A$10008,$AC$3,PURCHASE!$D$6:$D$10008,$C$5:$C$499)</f>
        <v>13070</v>
      </c>
      <c r="AE11" s="11">
        <f>SUMIFS(PURCHASE!$L$6:$L$10008,PURCHASE!$A$6:$A$10008,$AC$3,PURCHASE!$D$6:$D$10008,$C$5:$C$499)</f>
        <v>0</v>
      </c>
      <c r="AF11" s="11">
        <f>SUMIFS(PURCHASE!$M$6:$M$10008,PURCHASE!$A$6:$A$10008,$AC$3,PURCHASE!$D$6:$D$10008,$C$5:$C$499)</f>
        <v>1176.3</v>
      </c>
      <c r="AG11" s="11">
        <f>SUMIFS(PURCHASE!$N$6:$N$10008,PURCHASE!$A$6:$A$10008,$AC$3,PURCHASE!$D$6:$D$10008,$C$5:$C$499)</f>
        <v>1176.3</v>
      </c>
      <c r="AH11" s="11">
        <f t="shared" si="11"/>
        <v>0</v>
      </c>
      <c r="AI11" s="11">
        <f>SUMIFS(PURCHASE!$K$6:$K$10008,PURCHASE!$A$6:$A$10008,$AH$3,PURCHASE!$D$6:$D$10008,$C$5:$C$499)</f>
        <v>0</v>
      </c>
      <c r="AJ11" s="11">
        <f>SUMIFS(PURCHASE!$L$6:$L$10008,PURCHASE!$A$6:$A$10008,$AH$3,PURCHASE!$D$6:$D$10008,$C$5:$C$499)</f>
        <v>0</v>
      </c>
      <c r="AK11" s="11">
        <f>SUMIFS(PURCHASE!$M$6:$M$10008,PURCHASE!$A$6:$A$10008,$AH$3,PURCHASE!$D$6:$D$10008,$C$5:$C$499)</f>
        <v>0</v>
      </c>
      <c r="AL11" s="11">
        <f>SUMIFS(PURCHASE!$N$6:$N$10008,PURCHASE!$A$6:$A$10008,$AH$3,PURCHASE!$D$6:$D$10008,$C$5:$C$499)</f>
        <v>0</v>
      </c>
      <c r="AM11" s="11">
        <f t="shared" si="12"/>
        <v>0</v>
      </c>
      <c r="AN11" s="11">
        <f>SUMIFS(PURCHASE!$K$6:$K$10008,PURCHASE!$A$6:$A$10008,$AM$3,PURCHASE!$D$6:$D$10008,$C$5:$C$499)</f>
        <v>0</v>
      </c>
      <c r="AO11" s="11">
        <f>SUMIFS(PURCHASE!$L$6:$L$10008,PURCHASE!$A$6:$A$10008,$AM$3,PURCHASE!$D$6:$D$10008,$C$5:$C$499)</f>
        <v>0</v>
      </c>
      <c r="AP11" s="11">
        <f>SUMIFS(PURCHASE!$M$6:$M$10008,PURCHASE!$A$6:$A$10008,$AM$3,PURCHASE!$D$6:$D$10008,$C$5:$C$499)</f>
        <v>0</v>
      </c>
      <c r="AQ11" s="11">
        <f>SUMIFS(PURCHASE!$N$6:$N$10008,PURCHASE!$A$6:$A$10008,$AM$3,PURCHASE!$D$6:$D$10008,$C$5:$C$499)</f>
        <v>0</v>
      </c>
      <c r="AR11" s="11">
        <f t="shared" si="13"/>
        <v>0</v>
      </c>
      <c r="AS11" s="11">
        <f>SUMIFS(PURCHASE!$K$6:$K$10008,PURCHASE!$A$6:$A$10008,$AR$3,PURCHASE!$D$6:$D$10008,$C$5:$C$499)</f>
        <v>0</v>
      </c>
      <c r="AT11" s="11">
        <f>SUMIFS(PURCHASE!$L$6:$L$10008,PURCHASE!$A$6:$A$10008,$AR$3,PURCHASE!$D$6:$D$10008,$C$5:$C$499)</f>
        <v>0</v>
      </c>
      <c r="AU11" s="11">
        <f>SUMIFS(PURCHASE!$M$6:$M$10008,PURCHASE!$A$6:$A$10008,$AR$3,PURCHASE!$D$6:$D$10008,$C$5:$C$499)</f>
        <v>0</v>
      </c>
      <c r="AV11" s="11">
        <f>SUMIFS(PURCHASE!$N$6:$N$10008,PURCHASE!$A$6:$A$10008,$AR$3,PURCHASE!$D$6:$D$10008,$C$5:$C$499)</f>
        <v>0</v>
      </c>
      <c r="AW11" s="11">
        <f t="shared" si="14"/>
        <v>0</v>
      </c>
      <c r="AX11" s="11">
        <f>SUMIFS(PURCHASE!$K$6:$K$10008,PURCHASE!$A$6:$A$10008,$AW$3,PURCHASE!$D$6:$D$10008,$C$5:$C$499)</f>
        <v>0</v>
      </c>
      <c r="AY11" s="11">
        <f>SUMIFS(PURCHASE!$L$6:$L$10008,PURCHASE!$A$6:$A$10008,$AW$3,PURCHASE!$D$6:$D$10008,$C$5:$C$499)</f>
        <v>0</v>
      </c>
      <c r="AZ11" s="11">
        <f>SUMIFS(PURCHASE!$M$6:$M$10008,PURCHASE!$A$6:$A$10008,$AW$3,PURCHASE!$D$6:$D$10008,$C$5:$C$499)</f>
        <v>0</v>
      </c>
      <c r="BA11" s="11">
        <f>SUMIFS(PURCHASE!$N$6:$N$10008,PURCHASE!$A$6:$A$10008,$AW$3,PURCHASE!$D$6:$D$10008,$C$5:$C$499)</f>
        <v>0</v>
      </c>
      <c r="BB11" s="11">
        <f t="shared" si="15"/>
        <v>0</v>
      </c>
      <c r="BC11" s="11">
        <f>SUMIFS(PURCHASE!$K$6:$K$10008,PURCHASE!$A$6:$A$10008,$BB$3,PURCHASE!$D$6:$D$10008,$C$5:$C$499)</f>
        <v>0</v>
      </c>
      <c r="BD11" s="11">
        <f>SUMIFS(PURCHASE!$L$6:$L$10008,PURCHASE!$A$6:$A$10008,$BB$3,PURCHASE!$D$6:$D$10008,$C$5:$C$499)</f>
        <v>0</v>
      </c>
      <c r="BE11" s="11">
        <f>SUMIFS(PURCHASE!$M$6:$M$10008,PURCHASE!$A$6:$A$10008,$BB$3,PURCHASE!$D$6:$D$10008,$C$5:$C$499)</f>
        <v>0</v>
      </c>
      <c r="BF11" s="11">
        <f>SUMIFS(PURCHASE!$N$6:$N$10008,PURCHASE!$A$6:$A$10008,$BB$3,PURCHASE!$D$6:$D$10008,$C$5:$C$499)</f>
        <v>0</v>
      </c>
      <c r="BG11" s="11">
        <f t="shared" si="16"/>
        <v>0</v>
      </c>
      <c r="BH11" s="11">
        <f>SUMIFS(PURCHASE!$K$6:$K$10008,PURCHASE!$A$6:$A$10008,$BG$3,PURCHASE!$D$6:$D$10008,$C$5:$C$499)</f>
        <v>0</v>
      </c>
      <c r="BI11" s="11">
        <f>SUMIFS(PURCHASE!$L$6:$L$10008,PURCHASE!$A$6:$A$10008,$BG$3,PURCHASE!$D$6:$D$10008,$C$5:$C$499)</f>
        <v>0</v>
      </c>
      <c r="BJ11" s="11">
        <f>SUMIFS(PURCHASE!$M$6:$M$10008,PURCHASE!$A$6:$A$10008,$BG$3,PURCHASE!$D$6:$D$10008,$C$5:$C$499)</f>
        <v>0</v>
      </c>
      <c r="BK11" s="11">
        <f>SUMIFS(PURCHASE!$N$6:$N$10008,PURCHASE!$A$6:$A$10008,$BG$3,PURCHASE!$D$6:$D$10008,$C$5:$C$499)</f>
        <v>0</v>
      </c>
      <c r="BL11" s="11">
        <f t="shared" si="4"/>
        <v>93243.6</v>
      </c>
      <c r="BM11" s="11">
        <f t="shared" si="3"/>
        <v>79020</v>
      </c>
      <c r="BN11" s="11">
        <f t="shared" si="3"/>
        <v>0</v>
      </c>
      <c r="BO11" s="11">
        <f t="shared" si="3"/>
        <v>7111.8</v>
      </c>
      <c r="BP11" s="11">
        <f t="shared" si="3"/>
        <v>7111.8</v>
      </c>
    </row>
    <row r="12" spans="1:68" x14ac:dyDescent="0.2">
      <c r="A12" s="467">
        <v>8</v>
      </c>
      <c r="B12" s="468" t="s">
        <v>591</v>
      </c>
      <c r="C12" s="469" t="s">
        <v>592</v>
      </c>
      <c r="D12" s="11">
        <f t="shared" si="5"/>
        <v>47790</v>
      </c>
      <c r="E12" s="11">
        <f>SUMIFS(PURCHASE!$K$6:$K$10008,PURCHASE!$A$6:$A$10008,$D$3,PURCHASE!$D$6:$D$10008,$C$5:$C$499)</f>
        <v>40500</v>
      </c>
      <c r="F12" s="11">
        <f>SUMIFS(PURCHASE!$L$6:$L$10008,PURCHASE!$A$6:$A$10008,$D$3,PURCHASE!$D$6:$D$10008,$C$5:$C$499)</f>
        <v>0</v>
      </c>
      <c r="G12" s="11">
        <f>SUMIFS(PURCHASE!$M$6:$M$10008,PURCHASE!$A$6:$A$10008,$D$3,PURCHASE!$D$6:$D$10008,$C$5:$C$499)</f>
        <v>3645</v>
      </c>
      <c r="H12" s="11">
        <f>SUMIFS(PURCHASE!$N$6:$N$10008,PURCHASE!$A$6:$A$10008,$D$3,PURCHASE!$D$6:$D$10008,$C$5:$C$499)</f>
        <v>3645</v>
      </c>
      <c r="I12" s="473">
        <f t="shared" si="6"/>
        <v>115262.39999999999</v>
      </c>
      <c r="J12" s="60">
        <f>SUMIFS(PURCHASE!$K$6:$K$10008,PURCHASE!$A$6:$A$10008,$I$3,PURCHASE!$D$6:$D$10008,$C$5:$C$499)</f>
        <v>97680</v>
      </c>
      <c r="K12" s="60">
        <f>SUMIFS(PURCHASE!$L$6:$L$10008,PURCHASE!$A$6:$A$10008,$I$3,PURCHASE!$D$6:$D$10008,$C$5:$C$499)</f>
        <v>0</v>
      </c>
      <c r="L12" s="60">
        <f>SUMIFS(PURCHASE!$M$6:$M$10008,PURCHASE!$A$6:$A$10008,$I$3,PURCHASE!$D$6:$D$10008,$C$5:$C$499)</f>
        <v>8791.2000000000007</v>
      </c>
      <c r="M12" s="474">
        <f>SUMIFS(PURCHASE!$N$6:$N$10008,PURCHASE!$A$6:$A$10008,$I$3,PURCHASE!$D$6:$D$10008,$C$5:$C$499)</f>
        <v>8791.2000000000007</v>
      </c>
      <c r="N12" s="11">
        <f t="shared" si="7"/>
        <v>187919.71999999997</v>
      </c>
      <c r="O12" s="11">
        <f>SUMIFS(PURCHASE!$K$6:$K$10008,PURCHASE!$A$6:$A$10008,$N$3,PURCHASE!$D$6:$D$10008,$C$5:$C$499)</f>
        <v>159254</v>
      </c>
      <c r="P12" s="11">
        <f>SUMIFS(PURCHASE!$L$6:$L$10008,PURCHASE!$A$6:$A$10008,$N$3,PURCHASE!$D$6:$D$10008,$C$5:$C$499)</f>
        <v>0</v>
      </c>
      <c r="Q12" s="11">
        <f>SUMIFS(PURCHASE!$M$6:$M$10008,PURCHASE!$A$6:$A$10008,$N$3,PURCHASE!$D$6:$D$10008,$C$5:$C$499)</f>
        <v>14332.86</v>
      </c>
      <c r="R12" s="11">
        <f>SUMIFS(PURCHASE!$N$6:$N$10008,PURCHASE!$A$6:$A$10008,$N$3,PURCHASE!$D$6:$D$10008,$C$5:$C$499)</f>
        <v>14332.86</v>
      </c>
      <c r="S12" s="11">
        <f t="shared" si="8"/>
        <v>232719.59999999998</v>
      </c>
      <c r="T12" s="11">
        <f>SUMIFS(PURCHASE!$K$6:$K$10008,PURCHASE!$A$6:$A$10008,$S$3,PURCHASE!$D$6:$D$10008,$C$5:$C$499)</f>
        <v>197220</v>
      </c>
      <c r="U12" s="11">
        <f>SUMIFS(PURCHASE!$L$6:$L$10008,PURCHASE!$A$6:$A$10008,$S$3,PURCHASE!$D$6:$D$10008,$C$5:$C$499)</f>
        <v>0</v>
      </c>
      <c r="V12" s="11">
        <f>SUMIFS(PURCHASE!$M$6:$M$10008,PURCHASE!$A$6:$A$10008,$S$3,PURCHASE!$D$6:$D$10008,$C$5:$C$499)</f>
        <v>17749.8</v>
      </c>
      <c r="W12" s="11">
        <f>SUMIFS(PURCHASE!$N$6:$N$10008,PURCHASE!$A$6:$A$10008,$S$3,PURCHASE!$D$6:$D$10008,$C$5:$C$499)</f>
        <v>17749.8</v>
      </c>
      <c r="X12" s="11">
        <f t="shared" si="9"/>
        <v>0</v>
      </c>
      <c r="Y12" s="11">
        <f>SUMIFS(PURCHASE!$K$6:$K$10008,PURCHASE!$A$6:$A$10008,$X$3,PURCHASE!$D$6:$D$10008,$C$5:$C$499)</f>
        <v>0</v>
      </c>
      <c r="Z12" s="11">
        <f>SUMIFS(PURCHASE!$L$6:$L$10008,PURCHASE!$A$6:$A$10008,$X$3,PURCHASE!$D$6:$D$10008,$C$5:$C$499)</f>
        <v>0</v>
      </c>
      <c r="AA12" s="11">
        <f>SUMIFS(PURCHASE!$M$6:$M$10008,PURCHASE!$A$6:$A$10008,$X$3,PURCHASE!$D$6:$D$10008,$C$5:$C$499)</f>
        <v>0</v>
      </c>
      <c r="AB12" s="11">
        <f>SUMIFS(PURCHASE!$N$6:$N$10008,PURCHASE!$A$6:$A$10008,$X$3,PURCHASE!$D$6:$D$10008,$C$5:$C$499)</f>
        <v>0</v>
      </c>
      <c r="AC12" s="11">
        <f t="shared" si="10"/>
        <v>95580</v>
      </c>
      <c r="AD12" s="11">
        <f>SUMIFS(PURCHASE!$K$6:$K$10008,PURCHASE!$A$6:$A$10008,$AC$3,PURCHASE!$D$6:$D$10008,$C$5:$C$499)</f>
        <v>81000</v>
      </c>
      <c r="AE12" s="11">
        <f>SUMIFS(PURCHASE!$L$6:$L$10008,PURCHASE!$A$6:$A$10008,$AC$3,PURCHASE!$D$6:$D$10008,$C$5:$C$499)</f>
        <v>0</v>
      </c>
      <c r="AF12" s="11">
        <f>SUMIFS(PURCHASE!$M$6:$M$10008,PURCHASE!$A$6:$A$10008,$AC$3,PURCHASE!$D$6:$D$10008,$C$5:$C$499)</f>
        <v>7290</v>
      </c>
      <c r="AG12" s="11">
        <f>SUMIFS(PURCHASE!$N$6:$N$10008,PURCHASE!$A$6:$A$10008,$AC$3,PURCHASE!$D$6:$D$10008,$C$5:$C$499)</f>
        <v>7290</v>
      </c>
      <c r="AH12" s="11">
        <f t="shared" si="11"/>
        <v>47790</v>
      </c>
      <c r="AI12" s="11">
        <f>SUMIFS(PURCHASE!$K$6:$K$10008,PURCHASE!$A$6:$A$10008,$AH$3,PURCHASE!$D$6:$D$10008,$C$5:$C$499)</f>
        <v>40500</v>
      </c>
      <c r="AJ12" s="11">
        <f>SUMIFS(PURCHASE!$L$6:$L$10008,PURCHASE!$A$6:$A$10008,$AH$3,PURCHASE!$D$6:$D$10008,$C$5:$C$499)</f>
        <v>0</v>
      </c>
      <c r="AK12" s="11">
        <f>SUMIFS(PURCHASE!$M$6:$M$10008,PURCHASE!$A$6:$A$10008,$AH$3,PURCHASE!$D$6:$D$10008,$C$5:$C$499)</f>
        <v>3645</v>
      </c>
      <c r="AL12" s="11">
        <f>SUMIFS(PURCHASE!$N$6:$N$10008,PURCHASE!$A$6:$A$10008,$AH$3,PURCHASE!$D$6:$D$10008,$C$5:$C$499)</f>
        <v>3645</v>
      </c>
      <c r="AM12" s="11">
        <f t="shared" si="12"/>
        <v>0</v>
      </c>
      <c r="AN12" s="11">
        <f>SUMIFS(PURCHASE!$K$6:$K$10008,PURCHASE!$A$6:$A$10008,$AM$3,PURCHASE!$D$6:$D$10008,$C$5:$C$499)</f>
        <v>0</v>
      </c>
      <c r="AO12" s="11">
        <f>SUMIFS(PURCHASE!$L$6:$L$10008,PURCHASE!$A$6:$A$10008,$AM$3,PURCHASE!$D$6:$D$10008,$C$5:$C$499)</f>
        <v>0</v>
      </c>
      <c r="AP12" s="11">
        <f>SUMIFS(PURCHASE!$M$6:$M$10008,PURCHASE!$A$6:$A$10008,$AM$3,PURCHASE!$D$6:$D$10008,$C$5:$C$499)</f>
        <v>0</v>
      </c>
      <c r="AQ12" s="11">
        <f>SUMIFS(PURCHASE!$N$6:$N$10008,PURCHASE!$A$6:$A$10008,$AM$3,PURCHASE!$D$6:$D$10008,$C$5:$C$499)</f>
        <v>0</v>
      </c>
      <c r="AR12" s="11">
        <f t="shared" si="13"/>
        <v>0</v>
      </c>
      <c r="AS12" s="11">
        <f>SUMIFS(PURCHASE!$K$6:$K$10008,PURCHASE!$A$6:$A$10008,$AR$3,PURCHASE!$D$6:$D$10008,$C$5:$C$499)</f>
        <v>0</v>
      </c>
      <c r="AT12" s="11">
        <f>SUMIFS(PURCHASE!$L$6:$L$10008,PURCHASE!$A$6:$A$10008,$AR$3,PURCHASE!$D$6:$D$10008,$C$5:$C$499)</f>
        <v>0</v>
      </c>
      <c r="AU12" s="11">
        <f>SUMIFS(PURCHASE!$M$6:$M$10008,PURCHASE!$A$6:$A$10008,$AR$3,PURCHASE!$D$6:$D$10008,$C$5:$C$499)</f>
        <v>0</v>
      </c>
      <c r="AV12" s="11">
        <f>SUMIFS(PURCHASE!$N$6:$N$10008,PURCHASE!$A$6:$A$10008,$AR$3,PURCHASE!$D$6:$D$10008,$C$5:$C$499)</f>
        <v>0</v>
      </c>
      <c r="AW12" s="11">
        <f t="shared" si="14"/>
        <v>0</v>
      </c>
      <c r="AX12" s="11">
        <f>SUMIFS(PURCHASE!$K$6:$K$10008,PURCHASE!$A$6:$A$10008,$AW$3,PURCHASE!$D$6:$D$10008,$C$5:$C$499)</f>
        <v>0</v>
      </c>
      <c r="AY12" s="11">
        <f>SUMIFS(PURCHASE!$L$6:$L$10008,PURCHASE!$A$6:$A$10008,$AW$3,PURCHASE!$D$6:$D$10008,$C$5:$C$499)</f>
        <v>0</v>
      </c>
      <c r="AZ12" s="11">
        <f>SUMIFS(PURCHASE!$M$6:$M$10008,PURCHASE!$A$6:$A$10008,$AW$3,PURCHASE!$D$6:$D$10008,$C$5:$C$499)</f>
        <v>0</v>
      </c>
      <c r="BA12" s="11">
        <f>SUMIFS(PURCHASE!$N$6:$N$10008,PURCHASE!$A$6:$A$10008,$AW$3,PURCHASE!$D$6:$D$10008,$C$5:$C$499)</f>
        <v>0</v>
      </c>
      <c r="BB12" s="11">
        <f t="shared" si="15"/>
        <v>0</v>
      </c>
      <c r="BC12" s="11">
        <f>SUMIFS(PURCHASE!$K$6:$K$10008,PURCHASE!$A$6:$A$10008,$BB$3,PURCHASE!$D$6:$D$10008,$C$5:$C$499)</f>
        <v>0</v>
      </c>
      <c r="BD12" s="11">
        <f>SUMIFS(PURCHASE!$L$6:$L$10008,PURCHASE!$A$6:$A$10008,$BB$3,PURCHASE!$D$6:$D$10008,$C$5:$C$499)</f>
        <v>0</v>
      </c>
      <c r="BE12" s="11">
        <f>SUMIFS(PURCHASE!$M$6:$M$10008,PURCHASE!$A$6:$A$10008,$BB$3,PURCHASE!$D$6:$D$10008,$C$5:$C$499)</f>
        <v>0</v>
      </c>
      <c r="BF12" s="11">
        <f>SUMIFS(PURCHASE!$N$6:$N$10008,PURCHASE!$A$6:$A$10008,$BB$3,PURCHASE!$D$6:$D$10008,$C$5:$C$499)</f>
        <v>0</v>
      </c>
      <c r="BG12" s="11">
        <f t="shared" si="16"/>
        <v>0</v>
      </c>
      <c r="BH12" s="11">
        <f>SUMIFS(PURCHASE!$K$6:$K$10008,PURCHASE!$A$6:$A$10008,$BG$3,PURCHASE!$D$6:$D$10008,$C$5:$C$499)</f>
        <v>0</v>
      </c>
      <c r="BI12" s="11">
        <f>SUMIFS(PURCHASE!$L$6:$L$10008,PURCHASE!$A$6:$A$10008,$BG$3,PURCHASE!$D$6:$D$10008,$C$5:$C$499)</f>
        <v>0</v>
      </c>
      <c r="BJ12" s="11">
        <f>SUMIFS(PURCHASE!$M$6:$M$10008,PURCHASE!$A$6:$A$10008,$BG$3,PURCHASE!$D$6:$D$10008,$C$5:$C$499)</f>
        <v>0</v>
      </c>
      <c r="BK12" s="11">
        <f>SUMIFS(PURCHASE!$N$6:$N$10008,PURCHASE!$A$6:$A$10008,$BG$3,PURCHASE!$D$6:$D$10008,$C$5:$C$499)</f>
        <v>0</v>
      </c>
      <c r="BL12" s="11">
        <f t="shared" si="4"/>
        <v>727061.72</v>
      </c>
      <c r="BM12" s="11">
        <f t="shared" si="3"/>
        <v>616154</v>
      </c>
      <c r="BN12" s="11">
        <f t="shared" si="3"/>
        <v>0</v>
      </c>
      <c r="BO12" s="11">
        <f t="shared" si="3"/>
        <v>55453.86</v>
      </c>
      <c r="BP12" s="11">
        <f t="shared" si="3"/>
        <v>55453.86</v>
      </c>
    </row>
    <row r="13" spans="1:68" x14ac:dyDescent="0.2">
      <c r="A13" s="467">
        <v>9</v>
      </c>
      <c r="B13" s="468" t="s">
        <v>521</v>
      </c>
      <c r="C13" s="469" t="s">
        <v>522</v>
      </c>
      <c r="D13" s="11">
        <f t="shared" si="5"/>
        <v>101480</v>
      </c>
      <c r="E13" s="11">
        <f>SUMIFS(PURCHASE!$K$6:$K$10008,PURCHASE!$A$6:$A$10008,$D$3,PURCHASE!$D$6:$D$10008,$C$5:$C$499)</f>
        <v>86000</v>
      </c>
      <c r="F13" s="11">
        <f>SUMIFS(PURCHASE!$L$6:$L$10008,PURCHASE!$A$6:$A$10008,$D$3,PURCHASE!$D$6:$D$10008,$C$5:$C$499)</f>
        <v>0</v>
      </c>
      <c r="G13" s="11">
        <f>SUMIFS(PURCHASE!$M$6:$M$10008,PURCHASE!$A$6:$A$10008,$D$3,PURCHASE!$D$6:$D$10008,$C$5:$C$499)</f>
        <v>7740</v>
      </c>
      <c r="H13" s="11">
        <f>SUMIFS(PURCHASE!$N$6:$N$10008,PURCHASE!$A$6:$A$10008,$D$3,PURCHASE!$D$6:$D$10008,$C$5:$C$499)</f>
        <v>7740</v>
      </c>
      <c r="I13" s="473">
        <f t="shared" si="6"/>
        <v>100477</v>
      </c>
      <c r="J13" s="60">
        <f>SUMIFS(PURCHASE!$K$6:$K$10008,PURCHASE!$A$6:$A$10008,$I$3,PURCHASE!$D$6:$D$10008,$C$5:$C$499)</f>
        <v>85150</v>
      </c>
      <c r="K13" s="60">
        <f>SUMIFS(PURCHASE!$L$6:$L$10008,PURCHASE!$A$6:$A$10008,$I$3,PURCHASE!$D$6:$D$10008,$C$5:$C$499)</f>
        <v>0</v>
      </c>
      <c r="L13" s="60">
        <f>SUMIFS(PURCHASE!$M$6:$M$10008,PURCHASE!$A$6:$A$10008,$I$3,PURCHASE!$D$6:$D$10008,$C$5:$C$499)</f>
        <v>7663.5</v>
      </c>
      <c r="M13" s="474">
        <f>SUMIFS(PURCHASE!$N$6:$N$10008,PURCHASE!$A$6:$A$10008,$I$3,PURCHASE!$D$6:$D$10008,$C$5:$C$499)</f>
        <v>7663.5</v>
      </c>
      <c r="N13" s="11">
        <f t="shared" si="7"/>
        <v>11800</v>
      </c>
      <c r="O13" s="11">
        <f>SUMIFS(PURCHASE!$K$6:$K$10008,PURCHASE!$A$6:$A$10008,$N$3,PURCHASE!$D$6:$D$10008,$C$5:$C$499)</f>
        <v>10000</v>
      </c>
      <c r="P13" s="11">
        <f>SUMIFS(PURCHASE!$L$6:$L$10008,PURCHASE!$A$6:$A$10008,$N$3,PURCHASE!$D$6:$D$10008,$C$5:$C$499)</f>
        <v>0</v>
      </c>
      <c r="Q13" s="11">
        <f>SUMIFS(PURCHASE!$M$6:$M$10008,PURCHASE!$A$6:$A$10008,$N$3,PURCHASE!$D$6:$D$10008,$C$5:$C$499)</f>
        <v>900</v>
      </c>
      <c r="R13" s="11">
        <f>SUMIFS(PURCHASE!$N$6:$N$10008,PURCHASE!$A$6:$A$10008,$N$3,PURCHASE!$D$6:$D$10008,$C$5:$C$499)</f>
        <v>900</v>
      </c>
      <c r="S13" s="11">
        <f t="shared" si="8"/>
        <v>0</v>
      </c>
      <c r="T13" s="11">
        <f>SUMIFS(PURCHASE!$K$6:$K$10008,PURCHASE!$A$6:$A$10008,$S$3,PURCHASE!$D$6:$D$10008,$C$5:$C$499)</f>
        <v>0</v>
      </c>
      <c r="U13" s="11">
        <f>SUMIFS(PURCHASE!$L$6:$L$10008,PURCHASE!$A$6:$A$10008,$S$3,PURCHASE!$D$6:$D$10008,$C$5:$C$499)</f>
        <v>0</v>
      </c>
      <c r="V13" s="11">
        <f>SUMIFS(PURCHASE!$M$6:$M$10008,PURCHASE!$A$6:$A$10008,$S$3,PURCHASE!$D$6:$D$10008,$C$5:$C$499)</f>
        <v>0</v>
      </c>
      <c r="W13" s="11">
        <f>SUMIFS(PURCHASE!$N$6:$N$10008,PURCHASE!$A$6:$A$10008,$S$3,PURCHASE!$D$6:$D$10008,$C$5:$C$499)</f>
        <v>0</v>
      </c>
      <c r="X13" s="11">
        <f t="shared" si="9"/>
        <v>0</v>
      </c>
      <c r="Y13" s="11">
        <f>SUMIFS(PURCHASE!$K$6:$K$10008,PURCHASE!$A$6:$A$10008,$X$3,PURCHASE!$D$6:$D$10008,$C$5:$C$499)</f>
        <v>0</v>
      </c>
      <c r="Z13" s="11">
        <f>SUMIFS(PURCHASE!$L$6:$L$10008,PURCHASE!$A$6:$A$10008,$X$3,PURCHASE!$D$6:$D$10008,$C$5:$C$499)</f>
        <v>0</v>
      </c>
      <c r="AA13" s="11">
        <f>SUMIFS(PURCHASE!$M$6:$M$10008,PURCHASE!$A$6:$A$10008,$X$3,PURCHASE!$D$6:$D$10008,$C$5:$C$499)</f>
        <v>0</v>
      </c>
      <c r="AB13" s="11">
        <f>SUMIFS(PURCHASE!$N$6:$N$10008,PURCHASE!$A$6:$A$10008,$X$3,PURCHASE!$D$6:$D$10008,$C$5:$C$499)</f>
        <v>0</v>
      </c>
      <c r="AC13" s="11">
        <f t="shared" si="10"/>
        <v>0</v>
      </c>
      <c r="AD13" s="11">
        <f>SUMIFS(PURCHASE!$K$6:$K$10008,PURCHASE!$A$6:$A$10008,$AC$3,PURCHASE!$D$6:$D$10008,$C$5:$C$499)</f>
        <v>0</v>
      </c>
      <c r="AE13" s="11">
        <f>SUMIFS(PURCHASE!$L$6:$L$10008,PURCHASE!$A$6:$A$10008,$AC$3,PURCHASE!$D$6:$D$10008,$C$5:$C$499)</f>
        <v>0</v>
      </c>
      <c r="AF13" s="11">
        <f>SUMIFS(PURCHASE!$M$6:$M$10008,PURCHASE!$A$6:$A$10008,$AC$3,PURCHASE!$D$6:$D$10008,$C$5:$C$499)</f>
        <v>0</v>
      </c>
      <c r="AG13" s="11">
        <f>SUMIFS(PURCHASE!$N$6:$N$10008,PURCHASE!$A$6:$A$10008,$AC$3,PURCHASE!$D$6:$D$10008,$C$5:$C$499)</f>
        <v>0</v>
      </c>
      <c r="AH13" s="11">
        <f t="shared" si="11"/>
        <v>0</v>
      </c>
      <c r="AI13" s="11">
        <f>SUMIFS(PURCHASE!$K$6:$K$10008,PURCHASE!$A$6:$A$10008,$AH$3,PURCHASE!$D$6:$D$10008,$C$5:$C$499)</f>
        <v>0</v>
      </c>
      <c r="AJ13" s="11">
        <f>SUMIFS(PURCHASE!$L$6:$L$10008,PURCHASE!$A$6:$A$10008,$AH$3,PURCHASE!$D$6:$D$10008,$C$5:$C$499)</f>
        <v>0</v>
      </c>
      <c r="AK13" s="11">
        <f>SUMIFS(PURCHASE!$M$6:$M$10008,PURCHASE!$A$6:$A$10008,$AH$3,PURCHASE!$D$6:$D$10008,$C$5:$C$499)</f>
        <v>0</v>
      </c>
      <c r="AL13" s="11">
        <f>SUMIFS(PURCHASE!$N$6:$N$10008,PURCHASE!$A$6:$A$10008,$AH$3,PURCHASE!$D$6:$D$10008,$C$5:$C$499)</f>
        <v>0</v>
      </c>
      <c r="AM13" s="11">
        <f t="shared" si="12"/>
        <v>0</v>
      </c>
      <c r="AN13" s="11">
        <f>SUMIFS(PURCHASE!$K$6:$K$10008,PURCHASE!$A$6:$A$10008,$AM$3,PURCHASE!$D$6:$D$10008,$C$5:$C$499)</f>
        <v>0</v>
      </c>
      <c r="AO13" s="11">
        <f>SUMIFS(PURCHASE!$L$6:$L$10008,PURCHASE!$A$6:$A$10008,$AM$3,PURCHASE!$D$6:$D$10008,$C$5:$C$499)</f>
        <v>0</v>
      </c>
      <c r="AP13" s="11">
        <f>SUMIFS(PURCHASE!$M$6:$M$10008,PURCHASE!$A$6:$A$10008,$AM$3,PURCHASE!$D$6:$D$10008,$C$5:$C$499)</f>
        <v>0</v>
      </c>
      <c r="AQ13" s="11">
        <f>SUMIFS(PURCHASE!$N$6:$N$10008,PURCHASE!$A$6:$A$10008,$AM$3,PURCHASE!$D$6:$D$10008,$C$5:$C$499)</f>
        <v>0</v>
      </c>
      <c r="AR13" s="11">
        <f t="shared" si="13"/>
        <v>0</v>
      </c>
      <c r="AS13" s="11">
        <f>SUMIFS(PURCHASE!$K$6:$K$10008,PURCHASE!$A$6:$A$10008,$AR$3,PURCHASE!$D$6:$D$10008,$C$5:$C$499)</f>
        <v>0</v>
      </c>
      <c r="AT13" s="11">
        <f>SUMIFS(PURCHASE!$L$6:$L$10008,PURCHASE!$A$6:$A$10008,$AR$3,PURCHASE!$D$6:$D$10008,$C$5:$C$499)</f>
        <v>0</v>
      </c>
      <c r="AU13" s="11">
        <f>SUMIFS(PURCHASE!$M$6:$M$10008,PURCHASE!$A$6:$A$10008,$AR$3,PURCHASE!$D$6:$D$10008,$C$5:$C$499)</f>
        <v>0</v>
      </c>
      <c r="AV13" s="11">
        <f>SUMIFS(PURCHASE!$N$6:$N$10008,PURCHASE!$A$6:$A$10008,$AR$3,PURCHASE!$D$6:$D$10008,$C$5:$C$499)</f>
        <v>0</v>
      </c>
      <c r="AW13" s="11">
        <f t="shared" si="14"/>
        <v>0</v>
      </c>
      <c r="AX13" s="11">
        <f>SUMIFS(PURCHASE!$K$6:$K$10008,PURCHASE!$A$6:$A$10008,$AW$3,PURCHASE!$D$6:$D$10008,$C$5:$C$499)</f>
        <v>0</v>
      </c>
      <c r="AY13" s="11">
        <f>SUMIFS(PURCHASE!$L$6:$L$10008,PURCHASE!$A$6:$A$10008,$AW$3,PURCHASE!$D$6:$D$10008,$C$5:$C$499)</f>
        <v>0</v>
      </c>
      <c r="AZ13" s="11">
        <f>SUMIFS(PURCHASE!$M$6:$M$10008,PURCHASE!$A$6:$A$10008,$AW$3,PURCHASE!$D$6:$D$10008,$C$5:$C$499)</f>
        <v>0</v>
      </c>
      <c r="BA13" s="11">
        <f>SUMIFS(PURCHASE!$N$6:$N$10008,PURCHASE!$A$6:$A$10008,$AW$3,PURCHASE!$D$6:$D$10008,$C$5:$C$499)</f>
        <v>0</v>
      </c>
      <c r="BB13" s="11">
        <f t="shared" si="15"/>
        <v>0</v>
      </c>
      <c r="BC13" s="11">
        <f>SUMIFS(PURCHASE!$K$6:$K$10008,PURCHASE!$A$6:$A$10008,$BB$3,PURCHASE!$D$6:$D$10008,$C$5:$C$499)</f>
        <v>0</v>
      </c>
      <c r="BD13" s="11">
        <f>SUMIFS(PURCHASE!$L$6:$L$10008,PURCHASE!$A$6:$A$10008,$BB$3,PURCHASE!$D$6:$D$10008,$C$5:$C$499)</f>
        <v>0</v>
      </c>
      <c r="BE13" s="11">
        <f>SUMIFS(PURCHASE!$M$6:$M$10008,PURCHASE!$A$6:$A$10008,$BB$3,PURCHASE!$D$6:$D$10008,$C$5:$C$499)</f>
        <v>0</v>
      </c>
      <c r="BF13" s="11">
        <f>SUMIFS(PURCHASE!$N$6:$N$10008,PURCHASE!$A$6:$A$10008,$BB$3,PURCHASE!$D$6:$D$10008,$C$5:$C$499)</f>
        <v>0</v>
      </c>
      <c r="BG13" s="11">
        <f t="shared" si="16"/>
        <v>0</v>
      </c>
      <c r="BH13" s="11">
        <f>SUMIFS(PURCHASE!$K$6:$K$10008,PURCHASE!$A$6:$A$10008,$BG$3,PURCHASE!$D$6:$D$10008,$C$5:$C$499)</f>
        <v>0</v>
      </c>
      <c r="BI13" s="11">
        <f>SUMIFS(PURCHASE!$L$6:$L$10008,PURCHASE!$A$6:$A$10008,$BG$3,PURCHASE!$D$6:$D$10008,$C$5:$C$499)</f>
        <v>0</v>
      </c>
      <c r="BJ13" s="11">
        <f>SUMIFS(PURCHASE!$M$6:$M$10008,PURCHASE!$A$6:$A$10008,$BG$3,PURCHASE!$D$6:$D$10008,$C$5:$C$499)</f>
        <v>0</v>
      </c>
      <c r="BK13" s="11">
        <f>SUMIFS(PURCHASE!$N$6:$N$10008,PURCHASE!$A$6:$A$10008,$BG$3,PURCHASE!$D$6:$D$10008,$C$5:$C$499)</f>
        <v>0</v>
      </c>
      <c r="BL13" s="11">
        <f t="shared" si="4"/>
        <v>213757</v>
      </c>
      <c r="BM13" s="11">
        <f t="shared" si="3"/>
        <v>181150</v>
      </c>
      <c r="BN13" s="11">
        <f t="shared" si="3"/>
        <v>0</v>
      </c>
      <c r="BO13" s="11">
        <f t="shared" si="3"/>
        <v>16303.5</v>
      </c>
      <c r="BP13" s="11">
        <f t="shared" si="3"/>
        <v>16303.5</v>
      </c>
    </row>
    <row r="14" spans="1:68" x14ac:dyDescent="0.2">
      <c r="A14" s="467">
        <v>10</v>
      </c>
      <c r="B14" s="468" t="s">
        <v>1067</v>
      </c>
      <c r="C14" s="469" t="s">
        <v>1068</v>
      </c>
      <c r="D14" s="11">
        <f t="shared" si="5"/>
        <v>0</v>
      </c>
      <c r="E14" s="11">
        <f>SUMIFS(PURCHASE!$K$6:$K$10008,PURCHASE!$A$6:$A$10008,$D$3,PURCHASE!$D$6:$D$10008,$C$5:$C$499)</f>
        <v>0</v>
      </c>
      <c r="F14" s="11">
        <f>SUMIFS(PURCHASE!$L$6:$L$10008,PURCHASE!$A$6:$A$10008,$D$3,PURCHASE!$D$6:$D$10008,$C$5:$C$499)</f>
        <v>0</v>
      </c>
      <c r="G14" s="11">
        <f>SUMIFS(PURCHASE!$M$6:$M$10008,PURCHASE!$A$6:$A$10008,$D$3,PURCHASE!$D$6:$D$10008,$C$5:$C$499)</f>
        <v>0</v>
      </c>
      <c r="H14" s="11">
        <f>SUMIFS(PURCHASE!$N$6:$N$10008,PURCHASE!$A$6:$A$10008,$D$3,PURCHASE!$D$6:$D$10008,$C$5:$C$499)</f>
        <v>0</v>
      </c>
      <c r="I14" s="473">
        <f t="shared" si="6"/>
        <v>0</v>
      </c>
      <c r="J14" s="60">
        <f>SUMIFS(PURCHASE!$K$6:$K$10008,PURCHASE!$A$6:$A$10008,$I$3,PURCHASE!$D$6:$D$10008,$C$5:$C$499)</f>
        <v>0</v>
      </c>
      <c r="K14" s="60">
        <f>SUMIFS(PURCHASE!$L$6:$L$10008,PURCHASE!$A$6:$A$10008,$I$3,PURCHASE!$D$6:$D$10008,$C$5:$C$499)</f>
        <v>0</v>
      </c>
      <c r="L14" s="60">
        <f>SUMIFS(PURCHASE!$M$6:$M$10008,PURCHASE!$A$6:$A$10008,$I$3,PURCHASE!$D$6:$D$10008,$C$5:$C$499)</f>
        <v>0</v>
      </c>
      <c r="M14" s="474">
        <f>SUMIFS(PURCHASE!$N$6:$N$10008,PURCHASE!$A$6:$A$10008,$I$3,PURCHASE!$D$6:$D$10008,$C$5:$C$499)</f>
        <v>0</v>
      </c>
      <c r="N14" s="11">
        <f t="shared" si="7"/>
        <v>0</v>
      </c>
      <c r="O14" s="11">
        <f>SUMIFS(PURCHASE!$K$6:$K$10008,PURCHASE!$A$6:$A$10008,$N$3,PURCHASE!$D$6:$D$10008,$C$5:$C$499)</f>
        <v>0</v>
      </c>
      <c r="P14" s="11">
        <f>SUMIFS(PURCHASE!$L$6:$L$10008,PURCHASE!$A$6:$A$10008,$N$3,PURCHASE!$D$6:$D$10008,$C$5:$C$499)</f>
        <v>0</v>
      </c>
      <c r="Q14" s="11">
        <f>SUMIFS(PURCHASE!$M$6:$M$10008,PURCHASE!$A$6:$A$10008,$N$3,PURCHASE!$D$6:$D$10008,$C$5:$C$499)</f>
        <v>0</v>
      </c>
      <c r="R14" s="11">
        <f>SUMIFS(PURCHASE!$N$6:$N$10008,PURCHASE!$A$6:$A$10008,$N$3,PURCHASE!$D$6:$D$10008,$C$5:$C$499)</f>
        <v>0</v>
      </c>
      <c r="S14" s="11">
        <f t="shared" si="8"/>
        <v>0</v>
      </c>
      <c r="T14" s="11">
        <f>SUMIFS(PURCHASE!$K$6:$K$10008,PURCHASE!$A$6:$A$10008,$S$3,PURCHASE!$D$6:$D$10008,$C$5:$C$499)</f>
        <v>0</v>
      </c>
      <c r="U14" s="11">
        <f>SUMIFS(PURCHASE!$L$6:$L$10008,PURCHASE!$A$6:$A$10008,$S$3,PURCHASE!$D$6:$D$10008,$C$5:$C$499)</f>
        <v>0</v>
      </c>
      <c r="V14" s="11">
        <f>SUMIFS(PURCHASE!$M$6:$M$10008,PURCHASE!$A$6:$A$10008,$S$3,PURCHASE!$D$6:$D$10008,$C$5:$C$499)</f>
        <v>0</v>
      </c>
      <c r="W14" s="11">
        <f>SUMIFS(PURCHASE!$N$6:$N$10008,PURCHASE!$A$6:$A$10008,$S$3,PURCHASE!$D$6:$D$10008,$C$5:$C$499)</f>
        <v>0</v>
      </c>
      <c r="X14" s="11">
        <f t="shared" si="9"/>
        <v>0</v>
      </c>
      <c r="Y14" s="11">
        <f>SUMIFS(PURCHASE!$K$6:$K$10008,PURCHASE!$A$6:$A$10008,$X$3,PURCHASE!$D$6:$D$10008,$C$5:$C$499)</f>
        <v>0</v>
      </c>
      <c r="Z14" s="11">
        <f>SUMIFS(PURCHASE!$L$6:$L$10008,PURCHASE!$A$6:$A$10008,$X$3,PURCHASE!$D$6:$D$10008,$C$5:$C$499)</f>
        <v>0</v>
      </c>
      <c r="AA14" s="11">
        <f>SUMIFS(PURCHASE!$M$6:$M$10008,PURCHASE!$A$6:$A$10008,$X$3,PURCHASE!$D$6:$D$10008,$C$5:$C$499)</f>
        <v>0</v>
      </c>
      <c r="AB14" s="11">
        <f>SUMIFS(PURCHASE!$N$6:$N$10008,PURCHASE!$A$6:$A$10008,$X$3,PURCHASE!$D$6:$D$10008,$C$5:$C$499)</f>
        <v>0</v>
      </c>
      <c r="AC14" s="11">
        <f t="shared" si="10"/>
        <v>0</v>
      </c>
      <c r="AD14" s="11">
        <f>SUMIFS(PURCHASE!$K$6:$K$10008,PURCHASE!$A$6:$A$10008,$AC$3,PURCHASE!$D$6:$D$10008,$C$5:$C$499)</f>
        <v>0</v>
      </c>
      <c r="AE14" s="11">
        <f>SUMIFS(PURCHASE!$L$6:$L$10008,PURCHASE!$A$6:$A$10008,$AC$3,PURCHASE!$D$6:$D$10008,$C$5:$C$499)</f>
        <v>0</v>
      </c>
      <c r="AF14" s="11">
        <f>SUMIFS(PURCHASE!$M$6:$M$10008,PURCHASE!$A$6:$A$10008,$AC$3,PURCHASE!$D$6:$D$10008,$C$5:$C$499)</f>
        <v>0</v>
      </c>
      <c r="AG14" s="11">
        <f>SUMIFS(PURCHASE!$N$6:$N$10008,PURCHASE!$A$6:$A$10008,$AC$3,PURCHASE!$D$6:$D$10008,$C$5:$C$499)</f>
        <v>0</v>
      </c>
      <c r="AH14" s="11">
        <f t="shared" si="11"/>
        <v>0</v>
      </c>
      <c r="AI14" s="11">
        <f>SUMIFS(PURCHASE!$K$6:$K$10008,PURCHASE!$A$6:$A$10008,$AH$3,PURCHASE!$D$6:$D$10008,$C$5:$C$499)</f>
        <v>0</v>
      </c>
      <c r="AJ14" s="11">
        <f>SUMIFS(PURCHASE!$L$6:$L$10008,PURCHASE!$A$6:$A$10008,$AH$3,PURCHASE!$D$6:$D$10008,$C$5:$C$499)</f>
        <v>0</v>
      </c>
      <c r="AK14" s="11">
        <f>SUMIFS(PURCHASE!$M$6:$M$10008,PURCHASE!$A$6:$A$10008,$AH$3,PURCHASE!$D$6:$D$10008,$C$5:$C$499)</f>
        <v>0</v>
      </c>
      <c r="AL14" s="11">
        <f>SUMIFS(PURCHASE!$N$6:$N$10008,PURCHASE!$A$6:$A$10008,$AH$3,PURCHASE!$D$6:$D$10008,$C$5:$C$499)</f>
        <v>0</v>
      </c>
      <c r="AM14" s="11">
        <f t="shared" si="12"/>
        <v>0</v>
      </c>
      <c r="AN14" s="11">
        <f>SUMIFS(PURCHASE!$K$6:$K$10008,PURCHASE!$A$6:$A$10008,$AM$3,PURCHASE!$D$6:$D$10008,$C$5:$C$499)</f>
        <v>0</v>
      </c>
      <c r="AO14" s="11">
        <f>SUMIFS(PURCHASE!$L$6:$L$10008,PURCHASE!$A$6:$A$10008,$AM$3,PURCHASE!$D$6:$D$10008,$C$5:$C$499)</f>
        <v>0</v>
      </c>
      <c r="AP14" s="11">
        <f>SUMIFS(PURCHASE!$M$6:$M$10008,PURCHASE!$A$6:$A$10008,$AM$3,PURCHASE!$D$6:$D$10008,$C$5:$C$499)</f>
        <v>0</v>
      </c>
      <c r="AQ14" s="11">
        <f>SUMIFS(PURCHASE!$N$6:$N$10008,PURCHASE!$A$6:$A$10008,$AM$3,PURCHASE!$D$6:$D$10008,$C$5:$C$499)</f>
        <v>0</v>
      </c>
      <c r="AR14" s="11">
        <f t="shared" si="13"/>
        <v>0</v>
      </c>
      <c r="AS14" s="11">
        <f>SUMIFS(PURCHASE!$K$6:$K$10008,PURCHASE!$A$6:$A$10008,$AR$3,PURCHASE!$D$6:$D$10008,$C$5:$C$499)</f>
        <v>0</v>
      </c>
      <c r="AT14" s="11">
        <f>SUMIFS(PURCHASE!$L$6:$L$10008,PURCHASE!$A$6:$A$10008,$AR$3,PURCHASE!$D$6:$D$10008,$C$5:$C$499)</f>
        <v>0</v>
      </c>
      <c r="AU14" s="11">
        <f>SUMIFS(PURCHASE!$M$6:$M$10008,PURCHASE!$A$6:$A$10008,$AR$3,PURCHASE!$D$6:$D$10008,$C$5:$C$499)</f>
        <v>0</v>
      </c>
      <c r="AV14" s="11">
        <f>SUMIFS(PURCHASE!$N$6:$N$10008,PURCHASE!$A$6:$A$10008,$AR$3,PURCHASE!$D$6:$D$10008,$C$5:$C$499)</f>
        <v>0</v>
      </c>
      <c r="AW14" s="11">
        <f t="shared" si="14"/>
        <v>0</v>
      </c>
      <c r="AX14" s="11">
        <f>SUMIFS(PURCHASE!$K$6:$K$10008,PURCHASE!$A$6:$A$10008,$AW$3,PURCHASE!$D$6:$D$10008,$C$5:$C$499)</f>
        <v>0</v>
      </c>
      <c r="AY14" s="11">
        <f>SUMIFS(PURCHASE!$L$6:$L$10008,PURCHASE!$A$6:$A$10008,$AW$3,PURCHASE!$D$6:$D$10008,$C$5:$C$499)</f>
        <v>0</v>
      </c>
      <c r="AZ14" s="11">
        <f>SUMIFS(PURCHASE!$M$6:$M$10008,PURCHASE!$A$6:$A$10008,$AW$3,PURCHASE!$D$6:$D$10008,$C$5:$C$499)</f>
        <v>0</v>
      </c>
      <c r="BA14" s="11">
        <f>SUMIFS(PURCHASE!$N$6:$N$10008,PURCHASE!$A$6:$A$10008,$AW$3,PURCHASE!$D$6:$D$10008,$C$5:$C$499)</f>
        <v>0</v>
      </c>
      <c r="BB14" s="11">
        <f t="shared" si="15"/>
        <v>0</v>
      </c>
      <c r="BC14" s="11">
        <f>SUMIFS(PURCHASE!$K$6:$K$10008,PURCHASE!$A$6:$A$10008,$BB$3,PURCHASE!$D$6:$D$10008,$C$5:$C$499)</f>
        <v>0</v>
      </c>
      <c r="BD14" s="11">
        <f>SUMIFS(PURCHASE!$L$6:$L$10008,PURCHASE!$A$6:$A$10008,$BB$3,PURCHASE!$D$6:$D$10008,$C$5:$C$499)</f>
        <v>0</v>
      </c>
      <c r="BE14" s="11">
        <f>SUMIFS(PURCHASE!$M$6:$M$10008,PURCHASE!$A$6:$A$10008,$BB$3,PURCHASE!$D$6:$D$10008,$C$5:$C$499)</f>
        <v>0</v>
      </c>
      <c r="BF14" s="11">
        <f>SUMIFS(PURCHASE!$N$6:$N$10008,PURCHASE!$A$6:$A$10008,$BB$3,PURCHASE!$D$6:$D$10008,$C$5:$C$499)</f>
        <v>0</v>
      </c>
      <c r="BG14" s="11">
        <f t="shared" si="16"/>
        <v>0</v>
      </c>
      <c r="BH14" s="11">
        <f>SUMIFS(PURCHASE!$K$6:$K$10008,PURCHASE!$A$6:$A$10008,$BG$3,PURCHASE!$D$6:$D$10008,$C$5:$C$499)</f>
        <v>0</v>
      </c>
      <c r="BI14" s="11">
        <f>SUMIFS(PURCHASE!$L$6:$L$10008,PURCHASE!$A$6:$A$10008,$BG$3,PURCHASE!$D$6:$D$10008,$C$5:$C$499)</f>
        <v>0</v>
      </c>
      <c r="BJ14" s="11">
        <f>SUMIFS(PURCHASE!$M$6:$M$10008,PURCHASE!$A$6:$A$10008,$BG$3,PURCHASE!$D$6:$D$10008,$C$5:$C$499)</f>
        <v>0</v>
      </c>
      <c r="BK14" s="11">
        <f>SUMIFS(PURCHASE!$N$6:$N$10008,PURCHASE!$A$6:$A$10008,$BG$3,PURCHASE!$D$6:$D$10008,$C$5:$C$499)</f>
        <v>0</v>
      </c>
      <c r="BL14" s="11">
        <f t="shared" si="4"/>
        <v>0</v>
      </c>
      <c r="BM14" s="11">
        <f t="shared" si="3"/>
        <v>0</v>
      </c>
      <c r="BN14" s="11">
        <f t="shared" si="3"/>
        <v>0</v>
      </c>
      <c r="BO14" s="11">
        <f t="shared" si="3"/>
        <v>0</v>
      </c>
      <c r="BP14" s="11">
        <f t="shared" si="3"/>
        <v>0</v>
      </c>
    </row>
    <row r="15" spans="1:68" x14ac:dyDescent="0.2">
      <c r="A15" s="467">
        <v>11</v>
      </c>
      <c r="B15" s="468" t="s">
        <v>482</v>
      </c>
      <c r="C15" s="469" t="s">
        <v>483</v>
      </c>
      <c r="D15" s="11">
        <f t="shared" si="5"/>
        <v>494309.37599999999</v>
      </c>
      <c r="E15" s="11">
        <f>SUMIFS(PURCHASE!$K$6:$K$10008,PURCHASE!$A$6:$A$10008,$D$3,PURCHASE!$D$6:$D$10008,$C$5:$C$499)</f>
        <v>386179.2</v>
      </c>
      <c r="F15" s="11">
        <f>SUMIFS(PURCHASE!$L$6:$L$10008,PURCHASE!$A$6:$A$10008,$D$3,PURCHASE!$D$6:$D$10008,$C$5:$C$499)</f>
        <v>0</v>
      </c>
      <c r="G15" s="11">
        <f>SUMIFS(PURCHASE!$M$6:$M$10008,PURCHASE!$A$6:$A$10008,$D$3,PURCHASE!$D$6:$D$10008,$C$5:$C$499)</f>
        <v>54065.088000000003</v>
      </c>
      <c r="H15" s="11">
        <f>SUMIFS(PURCHASE!$N$6:$N$10008,PURCHASE!$A$6:$A$10008,$D$3,PURCHASE!$D$6:$D$10008,$C$5:$C$499)</f>
        <v>54065.088000000003</v>
      </c>
      <c r="I15" s="473">
        <f t="shared" si="6"/>
        <v>-62484.479999999996</v>
      </c>
      <c r="J15" s="60">
        <f>SUMIFS(PURCHASE!$K$6:$K$10008,PURCHASE!$A$6:$A$10008,$I$3,PURCHASE!$D$6:$D$10008,$C$5:$C$499)</f>
        <v>-48816</v>
      </c>
      <c r="K15" s="60">
        <f>SUMIFS(PURCHASE!$L$6:$L$10008,PURCHASE!$A$6:$A$10008,$I$3,PURCHASE!$D$6:$D$10008,$C$5:$C$499)</f>
        <v>0</v>
      </c>
      <c r="L15" s="60">
        <f>SUMIFS(PURCHASE!$M$6:$M$10008,PURCHASE!$A$6:$A$10008,$I$3,PURCHASE!$D$6:$D$10008,$C$5:$C$499)</f>
        <v>-6834.24</v>
      </c>
      <c r="M15" s="474">
        <f>SUMIFS(PURCHASE!$N$6:$N$10008,PURCHASE!$A$6:$A$10008,$I$3,PURCHASE!$D$6:$D$10008,$C$5:$C$499)</f>
        <v>-6834.24</v>
      </c>
      <c r="N15" s="11">
        <f t="shared" si="7"/>
        <v>0</v>
      </c>
      <c r="O15" s="11">
        <f>SUMIFS(PURCHASE!$K$6:$K$10008,PURCHASE!$A$6:$A$10008,$N$3,PURCHASE!$D$6:$D$10008,$C$5:$C$499)</f>
        <v>0</v>
      </c>
      <c r="P15" s="11">
        <f>SUMIFS(PURCHASE!$L$6:$L$10008,PURCHASE!$A$6:$A$10008,$N$3,PURCHASE!$D$6:$D$10008,$C$5:$C$499)</f>
        <v>0</v>
      </c>
      <c r="Q15" s="11">
        <f>SUMIFS(PURCHASE!$M$6:$M$10008,PURCHASE!$A$6:$A$10008,$N$3,PURCHASE!$D$6:$D$10008,$C$5:$C$499)</f>
        <v>0</v>
      </c>
      <c r="R15" s="11">
        <f>SUMIFS(PURCHASE!$N$6:$N$10008,PURCHASE!$A$6:$A$10008,$N$3,PURCHASE!$D$6:$D$10008,$C$5:$C$499)</f>
        <v>0</v>
      </c>
      <c r="S15" s="11">
        <f t="shared" si="8"/>
        <v>0</v>
      </c>
      <c r="T15" s="11">
        <f>SUMIFS(PURCHASE!$K$6:$K$10008,PURCHASE!$A$6:$A$10008,$S$3,PURCHASE!$D$6:$D$10008,$C$5:$C$499)</f>
        <v>0</v>
      </c>
      <c r="U15" s="11">
        <f>SUMIFS(PURCHASE!$L$6:$L$10008,PURCHASE!$A$6:$A$10008,$S$3,PURCHASE!$D$6:$D$10008,$C$5:$C$499)</f>
        <v>0</v>
      </c>
      <c r="V15" s="11">
        <f>SUMIFS(PURCHASE!$M$6:$M$10008,PURCHASE!$A$6:$A$10008,$S$3,PURCHASE!$D$6:$D$10008,$C$5:$C$499)</f>
        <v>0</v>
      </c>
      <c r="W15" s="11">
        <f>SUMIFS(PURCHASE!$N$6:$N$10008,PURCHASE!$A$6:$A$10008,$S$3,PURCHASE!$D$6:$D$10008,$C$5:$C$499)</f>
        <v>0</v>
      </c>
      <c r="X15" s="11">
        <f t="shared" si="9"/>
        <v>0</v>
      </c>
      <c r="Y15" s="11">
        <f>SUMIFS(PURCHASE!$K$6:$K$10008,PURCHASE!$A$6:$A$10008,$X$3,PURCHASE!$D$6:$D$10008,$C$5:$C$499)</f>
        <v>0</v>
      </c>
      <c r="Z15" s="11">
        <f>SUMIFS(PURCHASE!$L$6:$L$10008,PURCHASE!$A$6:$A$10008,$X$3,PURCHASE!$D$6:$D$10008,$C$5:$C$499)</f>
        <v>0</v>
      </c>
      <c r="AA15" s="11">
        <f>SUMIFS(PURCHASE!$M$6:$M$10008,PURCHASE!$A$6:$A$10008,$X$3,PURCHASE!$D$6:$D$10008,$C$5:$C$499)</f>
        <v>0</v>
      </c>
      <c r="AB15" s="11">
        <f>SUMIFS(PURCHASE!$N$6:$N$10008,PURCHASE!$A$6:$A$10008,$X$3,PURCHASE!$D$6:$D$10008,$C$5:$C$499)</f>
        <v>0</v>
      </c>
      <c r="AC15" s="11">
        <f t="shared" si="10"/>
        <v>0</v>
      </c>
      <c r="AD15" s="11">
        <f>SUMIFS(PURCHASE!$K$6:$K$10008,PURCHASE!$A$6:$A$10008,$AC$3,PURCHASE!$D$6:$D$10008,$C$5:$C$499)</f>
        <v>0</v>
      </c>
      <c r="AE15" s="11">
        <f>SUMIFS(PURCHASE!$L$6:$L$10008,PURCHASE!$A$6:$A$10008,$AC$3,PURCHASE!$D$6:$D$10008,$C$5:$C$499)</f>
        <v>0</v>
      </c>
      <c r="AF15" s="11">
        <f>SUMIFS(PURCHASE!$M$6:$M$10008,PURCHASE!$A$6:$A$10008,$AC$3,PURCHASE!$D$6:$D$10008,$C$5:$C$499)</f>
        <v>0</v>
      </c>
      <c r="AG15" s="11">
        <f>SUMIFS(PURCHASE!$N$6:$N$10008,PURCHASE!$A$6:$A$10008,$AC$3,PURCHASE!$D$6:$D$10008,$C$5:$C$499)</f>
        <v>0</v>
      </c>
      <c r="AH15" s="11">
        <f t="shared" si="11"/>
        <v>0</v>
      </c>
      <c r="AI15" s="11">
        <f>SUMIFS(PURCHASE!$K$6:$K$10008,PURCHASE!$A$6:$A$10008,$AH$3,PURCHASE!$D$6:$D$10008,$C$5:$C$499)</f>
        <v>0</v>
      </c>
      <c r="AJ15" s="11">
        <f>SUMIFS(PURCHASE!$L$6:$L$10008,PURCHASE!$A$6:$A$10008,$AH$3,PURCHASE!$D$6:$D$10008,$C$5:$C$499)</f>
        <v>0</v>
      </c>
      <c r="AK15" s="11">
        <f>SUMIFS(PURCHASE!$M$6:$M$10008,PURCHASE!$A$6:$A$10008,$AH$3,PURCHASE!$D$6:$D$10008,$C$5:$C$499)</f>
        <v>0</v>
      </c>
      <c r="AL15" s="11">
        <f>SUMIFS(PURCHASE!$N$6:$N$10008,PURCHASE!$A$6:$A$10008,$AH$3,PURCHASE!$D$6:$D$10008,$C$5:$C$499)</f>
        <v>0</v>
      </c>
      <c r="AM15" s="11">
        <f t="shared" si="12"/>
        <v>0</v>
      </c>
      <c r="AN15" s="11">
        <f>SUMIFS(PURCHASE!$K$6:$K$10008,PURCHASE!$A$6:$A$10008,$AM$3,PURCHASE!$D$6:$D$10008,$C$5:$C$499)</f>
        <v>0</v>
      </c>
      <c r="AO15" s="11">
        <f>SUMIFS(PURCHASE!$L$6:$L$10008,PURCHASE!$A$6:$A$10008,$AM$3,PURCHASE!$D$6:$D$10008,$C$5:$C$499)</f>
        <v>0</v>
      </c>
      <c r="AP15" s="11">
        <f>SUMIFS(PURCHASE!$M$6:$M$10008,PURCHASE!$A$6:$A$10008,$AM$3,PURCHASE!$D$6:$D$10008,$C$5:$C$499)</f>
        <v>0</v>
      </c>
      <c r="AQ15" s="11">
        <f>SUMIFS(PURCHASE!$N$6:$N$10008,PURCHASE!$A$6:$A$10008,$AM$3,PURCHASE!$D$6:$D$10008,$C$5:$C$499)</f>
        <v>0</v>
      </c>
      <c r="AR15" s="11">
        <f t="shared" si="13"/>
        <v>0</v>
      </c>
      <c r="AS15" s="11">
        <f>SUMIFS(PURCHASE!$K$6:$K$10008,PURCHASE!$A$6:$A$10008,$AR$3,PURCHASE!$D$6:$D$10008,$C$5:$C$499)</f>
        <v>0</v>
      </c>
      <c r="AT15" s="11">
        <f>SUMIFS(PURCHASE!$L$6:$L$10008,PURCHASE!$A$6:$A$10008,$AR$3,PURCHASE!$D$6:$D$10008,$C$5:$C$499)</f>
        <v>0</v>
      </c>
      <c r="AU15" s="11">
        <f>SUMIFS(PURCHASE!$M$6:$M$10008,PURCHASE!$A$6:$A$10008,$AR$3,PURCHASE!$D$6:$D$10008,$C$5:$C$499)</f>
        <v>0</v>
      </c>
      <c r="AV15" s="11">
        <f>SUMIFS(PURCHASE!$N$6:$N$10008,PURCHASE!$A$6:$A$10008,$AR$3,PURCHASE!$D$6:$D$10008,$C$5:$C$499)</f>
        <v>0</v>
      </c>
      <c r="AW15" s="11">
        <f t="shared" si="14"/>
        <v>0</v>
      </c>
      <c r="AX15" s="11">
        <f>SUMIFS(PURCHASE!$K$6:$K$10008,PURCHASE!$A$6:$A$10008,$AW$3,PURCHASE!$D$6:$D$10008,$C$5:$C$499)</f>
        <v>0</v>
      </c>
      <c r="AY15" s="11">
        <f>SUMIFS(PURCHASE!$L$6:$L$10008,PURCHASE!$A$6:$A$10008,$AW$3,PURCHASE!$D$6:$D$10008,$C$5:$C$499)</f>
        <v>0</v>
      </c>
      <c r="AZ15" s="11">
        <f>SUMIFS(PURCHASE!$M$6:$M$10008,PURCHASE!$A$6:$A$10008,$AW$3,PURCHASE!$D$6:$D$10008,$C$5:$C$499)</f>
        <v>0</v>
      </c>
      <c r="BA15" s="11">
        <f>SUMIFS(PURCHASE!$N$6:$N$10008,PURCHASE!$A$6:$A$10008,$AW$3,PURCHASE!$D$6:$D$10008,$C$5:$C$499)</f>
        <v>0</v>
      </c>
      <c r="BB15" s="11">
        <f t="shared" si="15"/>
        <v>0</v>
      </c>
      <c r="BC15" s="11">
        <f>SUMIFS(PURCHASE!$K$6:$K$10008,PURCHASE!$A$6:$A$10008,$BB$3,PURCHASE!$D$6:$D$10008,$C$5:$C$499)</f>
        <v>0</v>
      </c>
      <c r="BD15" s="11">
        <f>SUMIFS(PURCHASE!$L$6:$L$10008,PURCHASE!$A$6:$A$10008,$BB$3,PURCHASE!$D$6:$D$10008,$C$5:$C$499)</f>
        <v>0</v>
      </c>
      <c r="BE15" s="11">
        <f>SUMIFS(PURCHASE!$M$6:$M$10008,PURCHASE!$A$6:$A$10008,$BB$3,PURCHASE!$D$6:$D$10008,$C$5:$C$499)</f>
        <v>0</v>
      </c>
      <c r="BF15" s="11">
        <f>SUMIFS(PURCHASE!$N$6:$N$10008,PURCHASE!$A$6:$A$10008,$BB$3,PURCHASE!$D$6:$D$10008,$C$5:$C$499)</f>
        <v>0</v>
      </c>
      <c r="BG15" s="11">
        <f t="shared" si="16"/>
        <v>0</v>
      </c>
      <c r="BH15" s="11">
        <f>SUMIFS(PURCHASE!$K$6:$K$10008,PURCHASE!$A$6:$A$10008,$BG$3,PURCHASE!$D$6:$D$10008,$C$5:$C$499)</f>
        <v>0</v>
      </c>
      <c r="BI15" s="11">
        <f>SUMIFS(PURCHASE!$L$6:$L$10008,PURCHASE!$A$6:$A$10008,$BG$3,PURCHASE!$D$6:$D$10008,$C$5:$C$499)</f>
        <v>0</v>
      </c>
      <c r="BJ15" s="11">
        <f>SUMIFS(PURCHASE!$M$6:$M$10008,PURCHASE!$A$6:$A$10008,$BG$3,PURCHASE!$D$6:$D$10008,$C$5:$C$499)</f>
        <v>0</v>
      </c>
      <c r="BK15" s="11">
        <f>SUMIFS(PURCHASE!$N$6:$N$10008,PURCHASE!$A$6:$A$10008,$BG$3,PURCHASE!$D$6:$D$10008,$C$5:$C$499)</f>
        <v>0</v>
      </c>
      <c r="BL15" s="11">
        <f t="shared" si="4"/>
        <v>431824.89600000001</v>
      </c>
      <c r="BM15" s="11">
        <f t="shared" si="3"/>
        <v>337363.20000000001</v>
      </c>
      <c r="BN15" s="11">
        <f t="shared" si="3"/>
        <v>0</v>
      </c>
      <c r="BO15" s="11">
        <f t="shared" si="3"/>
        <v>47230.848000000005</v>
      </c>
      <c r="BP15" s="11">
        <f t="shared" si="3"/>
        <v>47230.848000000005</v>
      </c>
    </row>
    <row r="16" spans="1:68" x14ac:dyDescent="0.2">
      <c r="A16" s="467">
        <v>12</v>
      </c>
      <c r="B16" s="468" t="s">
        <v>1069</v>
      </c>
      <c r="C16" s="468" t="s">
        <v>238</v>
      </c>
      <c r="D16" s="11">
        <f t="shared" si="5"/>
        <v>0</v>
      </c>
      <c r="E16" s="11">
        <f>SUMIFS(PURCHASE!$K$6:$K$10008,PURCHASE!$A$6:$A$10008,$D$3,PURCHASE!$D$6:$D$10008,$C$5:$C$499)</f>
        <v>0</v>
      </c>
      <c r="F16" s="11">
        <f>SUMIFS(PURCHASE!$L$6:$L$10008,PURCHASE!$A$6:$A$10008,$D$3,PURCHASE!$D$6:$D$10008,$C$5:$C$499)</f>
        <v>0</v>
      </c>
      <c r="G16" s="11">
        <f>SUMIFS(PURCHASE!$M$6:$M$10008,PURCHASE!$A$6:$A$10008,$D$3,PURCHASE!$D$6:$D$10008,$C$5:$C$499)</f>
        <v>0</v>
      </c>
      <c r="H16" s="11">
        <f>SUMIFS(PURCHASE!$N$6:$N$10008,PURCHASE!$A$6:$A$10008,$D$3,PURCHASE!$D$6:$D$10008,$C$5:$C$499)</f>
        <v>0</v>
      </c>
      <c r="I16" s="473">
        <f t="shared" si="6"/>
        <v>0</v>
      </c>
      <c r="J16" s="60">
        <f>SUMIFS(PURCHASE!$K$6:$K$10008,PURCHASE!$A$6:$A$10008,$I$3,PURCHASE!$D$6:$D$10008,$C$5:$C$499)</f>
        <v>0</v>
      </c>
      <c r="K16" s="60">
        <f>SUMIFS(PURCHASE!$L$6:$L$10008,PURCHASE!$A$6:$A$10008,$I$3,PURCHASE!$D$6:$D$10008,$C$5:$C$499)</f>
        <v>0</v>
      </c>
      <c r="L16" s="60">
        <f>SUMIFS(PURCHASE!$M$6:$M$10008,PURCHASE!$A$6:$A$10008,$I$3,PURCHASE!$D$6:$D$10008,$C$5:$C$499)</f>
        <v>0</v>
      </c>
      <c r="M16" s="474">
        <f>SUMIFS(PURCHASE!$N$6:$N$10008,PURCHASE!$A$6:$A$10008,$I$3,PURCHASE!$D$6:$D$10008,$C$5:$C$499)</f>
        <v>0</v>
      </c>
      <c r="N16" s="11">
        <f t="shared" si="7"/>
        <v>0</v>
      </c>
      <c r="O16" s="11">
        <f>SUMIFS(PURCHASE!$K$6:$K$10008,PURCHASE!$A$6:$A$10008,$N$3,PURCHASE!$D$6:$D$10008,$C$5:$C$499)</f>
        <v>0</v>
      </c>
      <c r="P16" s="11">
        <f>SUMIFS(PURCHASE!$L$6:$L$10008,PURCHASE!$A$6:$A$10008,$N$3,PURCHASE!$D$6:$D$10008,$C$5:$C$499)</f>
        <v>0</v>
      </c>
      <c r="Q16" s="11">
        <f>SUMIFS(PURCHASE!$M$6:$M$10008,PURCHASE!$A$6:$A$10008,$N$3,PURCHASE!$D$6:$D$10008,$C$5:$C$499)</f>
        <v>0</v>
      </c>
      <c r="R16" s="11">
        <f>SUMIFS(PURCHASE!$N$6:$N$10008,PURCHASE!$A$6:$A$10008,$N$3,PURCHASE!$D$6:$D$10008,$C$5:$C$499)</f>
        <v>0</v>
      </c>
      <c r="S16" s="11">
        <f t="shared" si="8"/>
        <v>0</v>
      </c>
      <c r="T16" s="11">
        <f>SUMIFS(PURCHASE!$K$6:$K$10008,PURCHASE!$A$6:$A$10008,$S$3,PURCHASE!$D$6:$D$10008,$C$5:$C$499)</f>
        <v>0</v>
      </c>
      <c r="U16" s="11">
        <f>SUMIFS(PURCHASE!$L$6:$L$10008,PURCHASE!$A$6:$A$10008,$S$3,PURCHASE!$D$6:$D$10008,$C$5:$C$499)</f>
        <v>0</v>
      </c>
      <c r="V16" s="11">
        <f>SUMIFS(PURCHASE!$M$6:$M$10008,PURCHASE!$A$6:$A$10008,$S$3,PURCHASE!$D$6:$D$10008,$C$5:$C$499)</f>
        <v>0</v>
      </c>
      <c r="W16" s="11">
        <f>SUMIFS(PURCHASE!$N$6:$N$10008,PURCHASE!$A$6:$A$10008,$S$3,PURCHASE!$D$6:$D$10008,$C$5:$C$499)</f>
        <v>0</v>
      </c>
      <c r="X16" s="11">
        <f t="shared" si="9"/>
        <v>0</v>
      </c>
      <c r="Y16" s="11">
        <f>SUMIFS(PURCHASE!$K$6:$K$10008,PURCHASE!$A$6:$A$10008,$X$3,PURCHASE!$D$6:$D$10008,$C$5:$C$499)</f>
        <v>0</v>
      </c>
      <c r="Z16" s="11">
        <f>SUMIFS(PURCHASE!$L$6:$L$10008,PURCHASE!$A$6:$A$10008,$X$3,PURCHASE!$D$6:$D$10008,$C$5:$C$499)</f>
        <v>0</v>
      </c>
      <c r="AA16" s="11">
        <f>SUMIFS(PURCHASE!$M$6:$M$10008,PURCHASE!$A$6:$A$10008,$X$3,PURCHASE!$D$6:$D$10008,$C$5:$C$499)</f>
        <v>0</v>
      </c>
      <c r="AB16" s="11">
        <f>SUMIFS(PURCHASE!$N$6:$N$10008,PURCHASE!$A$6:$A$10008,$X$3,PURCHASE!$D$6:$D$10008,$C$5:$C$499)</f>
        <v>0</v>
      </c>
      <c r="AC16" s="11">
        <f t="shared" si="10"/>
        <v>0</v>
      </c>
      <c r="AD16" s="11">
        <f>SUMIFS(PURCHASE!$K$6:$K$10008,PURCHASE!$A$6:$A$10008,$AC$3,PURCHASE!$D$6:$D$10008,$C$5:$C$499)</f>
        <v>0</v>
      </c>
      <c r="AE16" s="11">
        <f>SUMIFS(PURCHASE!$L$6:$L$10008,PURCHASE!$A$6:$A$10008,$AC$3,PURCHASE!$D$6:$D$10008,$C$5:$C$499)</f>
        <v>0</v>
      </c>
      <c r="AF16" s="11">
        <f>SUMIFS(PURCHASE!$M$6:$M$10008,PURCHASE!$A$6:$A$10008,$AC$3,PURCHASE!$D$6:$D$10008,$C$5:$C$499)</f>
        <v>0</v>
      </c>
      <c r="AG16" s="11">
        <f>SUMIFS(PURCHASE!$N$6:$N$10008,PURCHASE!$A$6:$A$10008,$AC$3,PURCHASE!$D$6:$D$10008,$C$5:$C$499)</f>
        <v>0</v>
      </c>
      <c r="AH16" s="11">
        <f t="shared" si="11"/>
        <v>0</v>
      </c>
      <c r="AI16" s="11">
        <f>SUMIFS(PURCHASE!$K$6:$K$10008,PURCHASE!$A$6:$A$10008,$AH$3,PURCHASE!$D$6:$D$10008,$C$5:$C$499)</f>
        <v>0</v>
      </c>
      <c r="AJ16" s="11">
        <f>SUMIFS(PURCHASE!$L$6:$L$10008,PURCHASE!$A$6:$A$10008,$AH$3,PURCHASE!$D$6:$D$10008,$C$5:$C$499)</f>
        <v>0</v>
      </c>
      <c r="AK16" s="11">
        <f>SUMIFS(PURCHASE!$M$6:$M$10008,PURCHASE!$A$6:$A$10008,$AH$3,PURCHASE!$D$6:$D$10008,$C$5:$C$499)</f>
        <v>0</v>
      </c>
      <c r="AL16" s="11">
        <f>SUMIFS(PURCHASE!$N$6:$N$10008,PURCHASE!$A$6:$A$10008,$AH$3,PURCHASE!$D$6:$D$10008,$C$5:$C$499)</f>
        <v>0</v>
      </c>
      <c r="AM16" s="11">
        <f t="shared" si="12"/>
        <v>0</v>
      </c>
      <c r="AN16" s="11">
        <f>SUMIFS(PURCHASE!$K$6:$K$10008,PURCHASE!$A$6:$A$10008,$AM$3,PURCHASE!$D$6:$D$10008,$C$5:$C$499)</f>
        <v>0</v>
      </c>
      <c r="AO16" s="11">
        <f>SUMIFS(PURCHASE!$L$6:$L$10008,PURCHASE!$A$6:$A$10008,$AM$3,PURCHASE!$D$6:$D$10008,$C$5:$C$499)</f>
        <v>0</v>
      </c>
      <c r="AP16" s="11">
        <f>SUMIFS(PURCHASE!$M$6:$M$10008,PURCHASE!$A$6:$A$10008,$AM$3,PURCHASE!$D$6:$D$10008,$C$5:$C$499)</f>
        <v>0</v>
      </c>
      <c r="AQ16" s="11">
        <f>SUMIFS(PURCHASE!$N$6:$N$10008,PURCHASE!$A$6:$A$10008,$AM$3,PURCHASE!$D$6:$D$10008,$C$5:$C$499)</f>
        <v>0</v>
      </c>
      <c r="AR16" s="11">
        <f t="shared" si="13"/>
        <v>0</v>
      </c>
      <c r="AS16" s="11">
        <f>SUMIFS(PURCHASE!$K$6:$K$10008,PURCHASE!$A$6:$A$10008,$AR$3,PURCHASE!$D$6:$D$10008,$C$5:$C$499)</f>
        <v>0</v>
      </c>
      <c r="AT16" s="11">
        <f>SUMIFS(PURCHASE!$L$6:$L$10008,PURCHASE!$A$6:$A$10008,$AR$3,PURCHASE!$D$6:$D$10008,$C$5:$C$499)</f>
        <v>0</v>
      </c>
      <c r="AU16" s="11">
        <f>SUMIFS(PURCHASE!$M$6:$M$10008,PURCHASE!$A$6:$A$10008,$AR$3,PURCHASE!$D$6:$D$10008,$C$5:$C$499)</f>
        <v>0</v>
      </c>
      <c r="AV16" s="11">
        <f>SUMIFS(PURCHASE!$N$6:$N$10008,PURCHASE!$A$6:$A$10008,$AR$3,PURCHASE!$D$6:$D$10008,$C$5:$C$499)</f>
        <v>0</v>
      </c>
      <c r="AW16" s="11">
        <f t="shared" si="14"/>
        <v>0</v>
      </c>
      <c r="AX16" s="11">
        <f>SUMIFS(PURCHASE!$K$6:$K$10008,PURCHASE!$A$6:$A$10008,$AW$3,PURCHASE!$D$6:$D$10008,$C$5:$C$499)</f>
        <v>0</v>
      </c>
      <c r="AY16" s="11">
        <f>SUMIFS(PURCHASE!$L$6:$L$10008,PURCHASE!$A$6:$A$10008,$AW$3,PURCHASE!$D$6:$D$10008,$C$5:$C$499)</f>
        <v>0</v>
      </c>
      <c r="AZ16" s="11">
        <f>SUMIFS(PURCHASE!$M$6:$M$10008,PURCHASE!$A$6:$A$10008,$AW$3,PURCHASE!$D$6:$D$10008,$C$5:$C$499)</f>
        <v>0</v>
      </c>
      <c r="BA16" s="11">
        <f>SUMIFS(PURCHASE!$N$6:$N$10008,PURCHASE!$A$6:$A$10008,$AW$3,PURCHASE!$D$6:$D$10008,$C$5:$C$499)</f>
        <v>0</v>
      </c>
      <c r="BB16" s="11">
        <f t="shared" si="15"/>
        <v>0</v>
      </c>
      <c r="BC16" s="11">
        <f>SUMIFS(PURCHASE!$K$6:$K$10008,PURCHASE!$A$6:$A$10008,$BB$3,PURCHASE!$D$6:$D$10008,$C$5:$C$499)</f>
        <v>0</v>
      </c>
      <c r="BD16" s="11">
        <f>SUMIFS(PURCHASE!$L$6:$L$10008,PURCHASE!$A$6:$A$10008,$BB$3,PURCHASE!$D$6:$D$10008,$C$5:$C$499)</f>
        <v>0</v>
      </c>
      <c r="BE16" s="11">
        <f>SUMIFS(PURCHASE!$M$6:$M$10008,PURCHASE!$A$6:$A$10008,$BB$3,PURCHASE!$D$6:$D$10008,$C$5:$C$499)</f>
        <v>0</v>
      </c>
      <c r="BF16" s="11">
        <f>SUMIFS(PURCHASE!$N$6:$N$10008,PURCHASE!$A$6:$A$10008,$BB$3,PURCHASE!$D$6:$D$10008,$C$5:$C$499)</f>
        <v>0</v>
      </c>
      <c r="BG16" s="11">
        <f t="shared" si="16"/>
        <v>0</v>
      </c>
      <c r="BH16" s="11">
        <f>SUMIFS(PURCHASE!$K$6:$K$10008,PURCHASE!$A$6:$A$10008,$BG$3,PURCHASE!$D$6:$D$10008,$C$5:$C$499)</f>
        <v>0</v>
      </c>
      <c r="BI16" s="11">
        <f>SUMIFS(PURCHASE!$L$6:$L$10008,PURCHASE!$A$6:$A$10008,$BG$3,PURCHASE!$D$6:$D$10008,$C$5:$C$499)</f>
        <v>0</v>
      </c>
      <c r="BJ16" s="11">
        <f>SUMIFS(PURCHASE!$M$6:$M$10008,PURCHASE!$A$6:$A$10008,$BG$3,PURCHASE!$D$6:$D$10008,$C$5:$C$499)</f>
        <v>0</v>
      </c>
      <c r="BK16" s="11">
        <f>SUMIFS(PURCHASE!$N$6:$N$10008,PURCHASE!$A$6:$A$10008,$BG$3,PURCHASE!$D$6:$D$10008,$C$5:$C$499)</f>
        <v>0</v>
      </c>
      <c r="BL16" s="11">
        <f t="shared" si="4"/>
        <v>0</v>
      </c>
      <c r="BM16" s="11">
        <f t="shared" si="3"/>
        <v>0</v>
      </c>
      <c r="BN16" s="11">
        <f t="shared" si="3"/>
        <v>0</v>
      </c>
      <c r="BO16" s="11">
        <f t="shared" si="3"/>
        <v>0</v>
      </c>
      <c r="BP16" s="11">
        <f t="shared" si="3"/>
        <v>0</v>
      </c>
    </row>
    <row r="17" spans="1:68" x14ac:dyDescent="0.2">
      <c r="A17" s="467">
        <v>13</v>
      </c>
      <c r="B17" s="476" t="s">
        <v>489</v>
      </c>
      <c r="C17" s="477" t="s">
        <v>490</v>
      </c>
      <c r="D17" s="11">
        <f t="shared" si="5"/>
        <v>104383.98000000001</v>
      </c>
      <c r="E17" s="11">
        <f>SUMIFS(PURCHASE!$K$6:$K$10008,PURCHASE!$A$6:$A$10008,$D$3,PURCHASE!$D$6:$D$10008,$C$5:$C$499)</f>
        <v>88461</v>
      </c>
      <c r="F17" s="11">
        <f>SUMIFS(PURCHASE!$L$6:$L$10008,PURCHASE!$A$6:$A$10008,$D$3,PURCHASE!$D$6:$D$10008,$C$5:$C$499)</f>
        <v>0</v>
      </c>
      <c r="G17" s="11">
        <f>SUMIFS(PURCHASE!$M$6:$M$10008,PURCHASE!$A$6:$A$10008,$D$3,PURCHASE!$D$6:$D$10008,$C$5:$C$499)</f>
        <v>7961.4900000000007</v>
      </c>
      <c r="H17" s="11">
        <f>SUMIFS(PURCHASE!$N$6:$N$10008,PURCHASE!$A$6:$A$10008,$D$3,PURCHASE!$D$6:$D$10008,$C$5:$C$499)</f>
        <v>7961.4900000000007</v>
      </c>
      <c r="I17" s="473">
        <f t="shared" si="6"/>
        <v>79900.160000000003</v>
      </c>
      <c r="J17" s="60">
        <f>SUMIFS(PURCHASE!$K$6:$K$10008,PURCHASE!$A$6:$A$10008,$I$3,PURCHASE!$D$6:$D$10008,$C$5:$C$499)</f>
        <v>67712</v>
      </c>
      <c r="K17" s="60">
        <f>SUMIFS(PURCHASE!$L$6:$L$10008,PURCHASE!$A$6:$A$10008,$I$3,PURCHASE!$D$6:$D$10008,$C$5:$C$499)</f>
        <v>0</v>
      </c>
      <c r="L17" s="60">
        <f>SUMIFS(PURCHASE!$M$6:$M$10008,PURCHASE!$A$6:$A$10008,$I$3,PURCHASE!$D$6:$D$10008,$C$5:$C$499)</f>
        <v>6094.08</v>
      </c>
      <c r="M17" s="474">
        <f>SUMIFS(PURCHASE!$N$6:$N$10008,PURCHASE!$A$6:$A$10008,$I$3,PURCHASE!$D$6:$D$10008,$C$5:$C$499)</f>
        <v>6094.08</v>
      </c>
      <c r="N17" s="11">
        <f t="shared" si="7"/>
        <v>311534.16000000003</v>
      </c>
      <c r="O17" s="11">
        <f>SUMIFS(PURCHASE!$K$6:$K$10008,PURCHASE!$A$6:$A$10008,$N$3,PURCHASE!$D$6:$D$10008,$C$5:$C$499)</f>
        <v>264012</v>
      </c>
      <c r="P17" s="11">
        <f>SUMIFS(PURCHASE!$L$6:$L$10008,PURCHASE!$A$6:$A$10008,$N$3,PURCHASE!$D$6:$D$10008,$C$5:$C$499)</f>
        <v>0</v>
      </c>
      <c r="Q17" s="11">
        <f>SUMIFS(PURCHASE!$M$6:$M$10008,PURCHASE!$A$6:$A$10008,$N$3,PURCHASE!$D$6:$D$10008,$C$5:$C$499)</f>
        <v>23761.079999999998</v>
      </c>
      <c r="R17" s="11">
        <f>SUMIFS(PURCHASE!$N$6:$N$10008,PURCHASE!$A$6:$A$10008,$N$3,PURCHASE!$D$6:$D$10008,$C$5:$C$499)</f>
        <v>23761.079999999998</v>
      </c>
      <c r="S17" s="11">
        <f t="shared" si="8"/>
        <v>554721.54</v>
      </c>
      <c r="T17" s="11">
        <f>SUMIFS(PURCHASE!$K$6:$K$10008,PURCHASE!$A$6:$A$10008,$S$3,PURCHASE!$D$6:$D$10008,$C$5:$C$499)</f>
        <v>470103</v>
      </c>
      <c r="U17" s="11">
        <f>SUMIFS(PURCHASE!$L$6:$L$10008,PURCHASE!$A$6:$A$10008,$S$3,PURCHASE!$D$6:$D$10008,$C$5:$C$499)</f>
        <v>0</v>
      </c>
      <c r="V17" s="11">
        <f>SUMIFS(PURCHASE!$M$6:$M$10008,PURCHASE!$A$6:$A$10008,$S$3,PURCHASE!$D$6:$D$10008,$C$5:$C$499)</f>
        <v>42309.26999999999</v>
      </c>
      <c r="W17" s="11">
        <f>SUMIFS(PURCHASE!$N$6:$N$10008,PURCHASE!$A$6:$A$10008,$S$3,PURCHASE!$D$6:$D$10008,$C$5:$C$499)</f>
        <v>42309.26999999999</v>
      </c>
      <c r="X17" s="11">
        <f t="shared" si="9"/>
        <v>433982.76</v>
      </c>
      <c r="Y17" s="11">
        <f>SUMIFS(PURCHASE!$K$6:$K$10008,PURCHASE!$A$6:$A$10008,$X$3,PURCHASE!$D$6:$D$10008,$C$5:$C$499)</f>
        <v>367782</v>
      </c>
      <c r="Z17" s="11">
        <f>SUMIFS(PURCHASE!$L$6:$L$10008,PURCHASE!$A$6:$A$10008,$X$3,PURCHASE!$D$6:$D$10008,$C$5:$C$499)</f>
        <v>0</v>
      </c>
      <c r="AA17" s="11">
        <f>SUMIFS(PURCHASE!$M$6:$M$10008,PURCHASE!$A$6:$A$10008,$X$3,PURCHASE!$D$6:$D$10008,$C$5:$C$499)</f>
        <v>33100.380000000005</v>
      </c>
      <c r="AB17" s="11">
        <f>SUMIFS(PURCHASE!$N$6:$N$10008,PURCHASE!$A$6:$A$10008,$X$3,PURCHASE!$D$6:$D$10008,$C$5:$C$499)</f>
        <v>33100.380000000005</v>
      </c>
      <c r="AC17" s="11">
        <f t="shared" si="10"/>
        <v>326388</v>
      </c>
      <c r="AD17" s="11">
        <f>SUMIFS(PURCHASE!$K$6:$K$10008,PURCHASE!$A$6:$A$10008,$AC$3,PURCHASE!$D$6:$D$10008,$C$5:$C$499)</f>
        <v>276600</v>
      </c>
      <c r="AE17" s="11">
        <f>SUMIFS(PURCHASE!$L$6:$L$10008,PURCHASE!$A$6:$A$10008,$AC$3,PURCHASE!$D$6:$D$10008,$C$5:$C$499)</f>
        <v>0</v>
      </c>
      <c r="AF17" s="11">
        <f>SUMIFS(PURCHASE!$M$6:$M$10008,PURCHASE!$A$6:$A$10008,$AC$3,PURCHASE!$D$6:$D$10008,$C$5:$C$499)</f>
        <v>24893.999999999996</v>
      </c>
      <c r="AG17" s="11">
        <f>SUMIFS(PURCHASE!$N$6:$N$10008,PURCHASE!$A$6:$A$10008,$AC$3,PURCHASE!$D$6:$D$10008,$C$5:$C$499)</f>
        <v>24893.999999999996</v>
      </c>
      <c r="AH17" s="11">
        <f t="shared" si="11"/>
        <v>295538.07999999996</v>
      </c>
      <c r="AI17" s="11">
        <f>SUMIFS(PURCHASE!$K$6:$K$10008,PURCHASE!$A$6:$A$10008,$AH$3,PURCHASE!$D$6:$D$10008,$C$5:$C$499)</f>
        <v>250456</v>
      </c>
      <c r="AJ17" s="11">
        <f>SUMIFS(PURCHASE!$L$6:$L$10008,PURCHASE!$A$6:$A$10008,$AH$3,PURCHASE!$D$6:$D$10008,$C$5:$C$499)</f>
        <v>0</v>
      </c>
      <c r="AK17" s="11">
        <f>SUMIFS(PURCHASE!$M$6:$M$10008,PURCHASE!$A$6:$A$10008,$AH$3,PURCHASE!$D$6:$D$10008,$C$5:$C$499)</f>
        <v>22541.039999999997</v>
      </c>
      <c r="AL17" s="11">
        <f>SUMIFS(PURCHASE!$N$6:$N$10008,PURCHASE!$A$6:$A$10008,$AH$3,PURCHASE!$D$6:$D$10008,$C$5:$C$499)</f>
        <v>22541.039999999997</v>
      </c>
      <c r="AM17" s="11">
        <f t="shared" si="12"/>
        <v>0</v>
      </c>
      <c r="AN17" s="11">
        <f>SUMIFS(PURCHASE!$K$6:$K$10008,PURCHASE!$A$6:$A$10008,$AM$3,PURCHASE!$D$6:$D$10008,$C$5:$C$499)</f>
        <v>0</v>
      </c>
      <c r="AO17" s="11">
        <f>SUMIFS(PURCHASE!$L$6:$L$10008,PURCHASE!$A$6:$A$10008,$AM$3,PURCHASE!$D$6:$D$10008,$C$5:$C$499)</f>
        <v>0</v>
      </c>
      <c r="AP17" s="11">
        <f>SUMIFS(PURCHASE!$M$6:$M$10008,PURCHASE!$A$6:$A$10008,$AM$3,PURCHASE!$D$6:$D$10008,$C$5:$C$499)</f>
        <v>0</v>
      </c>
      <c r="AQ17" s="11">
        <f>SUMIFS(PURCHASE!$N$6:$N$10008,PURCHASE!$A$6:$A$10008,$AM$3,PURCHASE!$D$6:$D$10008,$C$5:$C$499)</f>
        <v>0</v>
      </c>
      <c r="AR17" s="11">
        <f t="shared" si="13"/>
        <v>0</v>
      </c>
      <c r="AS17" s="11">
        <f>SUMIFS(PURCHASE!$K$6:$K$10008,PURCHASE!$A$6:$A$10008,$AR$3,PURCHASE!$D$6:$D$10008,$C$5:$C$499)</f>
        <v>0</v>
      </c>
      <c r="AT17" s="11">
        <f>SUMIFS(PURCHASE!$L$6:$L$10008,PURCHASE!$A$6:$A$10008,$AR$3,PURCHASE!$D$6:$D$10008,$C$5:$C$499)</f>
        <v>0</v>
      </c>
      <c r="AU17" s="11">
        <f>SUMIFS(PURCHASE!$M$6:$M$10008,PURCHASE!$A$6:$A$10008,$AR$3,PURCHASE!$D$6:$D$10008,$C$5:$C$499)</f>
        <v>0</v>
      </c>
      <c r="AV17" s="11">
        <f>SUMIFS(PURCHASE!$N$6:$N$10008,PURCHASE!$A$6:$A$10008,$AR$3,PURCHASE!$D$6:$D$10008,$C$5:$C$499)</f>
        <v>0</v>
      </c>
      <c r="AW17" s="11">
        <f t="shared" si="14"/>
        <v>0</v>
      </c>
      <c r="AX17" s="11">
        <f>SUMIFS(PURCHASE!$K$6:$K$10008,PURCHASE!$A$6:$A$10008,$AW$3,PURCHASE!$D$6:$D$10008,$C$5:$C$499)</f>
        <v>0</v>
      </c>
      <c r="AY17" s="11">
        <f>SUMIFS(PURCHASE!$L$6:$L$10008,PURCHASE!$A$6:$A$10008,$AW$3,PURCHASE!$D$6:$D$10008,$C$5:$C$499)</f>
        <v>0</v>
      </c>
      <c r="AZ17" s="11">
        <f>SUMIFS(PURCHASE!$M$6:$M$10008,PURCHASE!$A$6:$A$10008,$AW$3,PURCHASE!$D$6:$D$10008,$C$5:$C$499)</f>
        <v>0</v>
      </c>
      <c r="BA17" s="11">
        <f>SUMIFS(PURCHASE!$N$6:$N$10008,PURCHASE!$A$6:$A$10008,$AW$3,PURCHASE!$D$6:$D$10008,$C$5:$C$499)</f>
        <v>0</v>
      </c>
      <c r="BB17" s="11">
        <f t="shared" si="15"/>
        <v>0</v>
      </c>
      <c r="BC17" s="11">
        <f>SUMIFS(PURCHASE!$K$6:$K$10008,PURCHASE!$A$6:$A$10008,$BB$3,PURCHASE!$D$6:$D$10008,$C$5:$C$499)</f>
        <v>0</v>
      </c>
      <c r="BD17" s="11">
        <f>SUMIFS(PURCHASE!$L$6:$L$10008,PURCHASE!$A$6:$A$10008,$BB$3,PURCHASE!$D$6:$D$10008,$C$5:$C$499)</f>
        <v>0</v>
      </c>
      <c r="BE17" s="11">
        <f>SUMIFS(PURCHASE!$M$6:$M$10008,PURCHASE!$A$6:$A$10008,$BB$3,PURCHASE!$D$6:$D$10008,$C$5:$C$499)</f>
        <v>0</v>
      </c>
      <c r="BF17" s="11">
        <f>SUMIFS(PURCHASE!$N$6:$N$10008,PURCHASE!$A$6:$A$10008,$BB$3,PURCHASE!$D$6:$D$10008,$C$5:$C$499)</f>
        <v>0</v>
      </c>
      <c r="BG17" s="11">
        <f t="shared" si="16"/>
        <v>0</v>
      </c>
      <c r="BH17" s="11">
        <f>SUMIFS(PURCHASE!$K$6:$K$10008,PURCHASE!$A$6:$A$10008,$BG$3,PURCHASE!$D$6:$D$10008,$C$5:$C$499)</f>
        <v>0</v>
      </c>
      <c r="BI17" s="11">
        <f>SUMIFS(PURCHASE!$L$6:$L$10008,PURCHASE!$A$6:$A$10008,$BG$3,PURCHASE!$D$6:$D$10008,$C$5:$C$499)</f>
        <v>0</v>
      </c>
      <c r="BJ17" s="11">
        <f>SUMIFS(PURCHASE!$M$6:$M$10008,PURCHASE!$A$6:$A$10008,$BG$3,PURCHASE!$D$6:$D$10008,$C$5:$C$499)</f>
        <v>0</v>
      </c>
      <c r="BK17" s="11">
        <f>SUMIFS(PURCHASE!$N$6:$N$10008,PURCHASE!$A$6:$A$10008,$BG$3,PURCHASE!$D$6:$D$10008,$C$5:$C$499)</f>
        <v>0</v>
      </c>
      <c r="BL17" s="11">
        <f t="shared" si="4"/>
        <v>2106448.6800000002</v>
      </c>
      <c r="BM17" s="11">
        <f t="shared" si="3"/>
        <v>1785126</v>
      </c>
      <c r="BN17" s="11">
        <f t="shared" si="3"/>
        <v>0</v>
      </c>
      <c r="BO17" s="11">
        <f t="shared" si="3"/>
        <v>160661.34</v>
      </c>
      <c r="BP17" s="11">
        <f t="shared" si="3"/>
        <v>160661.34</v>
      </c>
    </row>
    <row r="18" spans="1:68" x14ac:dyDescent="0.2">
      <c r="A18" s="467">
        <v>14</v>
      </c>
      <c r="B18" s="468" t="s">
        <v>514</v>
      </c>
      <c r="C18" s="469" t="s">
        <v>515</v>
      </c>
      <c r="D18" s="11">
        <f t="shared" si="5"/>
        <v>9786.2474000000002</v>
      </c>
      <c r="E18" s="11">
        <f>SUMIFS(PURCHASE!$K$6:$K$10008,PURCHASE!$A$6:$A$10008,$D$3,PURCHASE!$D$6:$D$10008,$C$5:$C$499)</f>
        <v>8293.43</v>
      </c>
      <c r="F18" s="11">
        <f>SUMIFS(PURCHASE!$L$6:$L$10008,PURCHASE!$A$6:$A$10008,$D$3,PURCHASE!$D$6:$D$10008,$C$5:$C$499)</f>
        <v>0</v>
      </c>
      <c r="G18" s="11">
        <f>SUMIFS(PURCHASE!$M$6:$M$10008,PURCHASE!$A$6:$A$10008,$D$3,PURCHASE!$D$6:$D$10008,$C$5:$C$499)</f>
        <v>746.40869999999995</v>
      </c>
      <c r="H18" s="11">
        <f>SUMIFS(PURCHASE!$N$6:$N$10008,PURCHASE!$A$6:$A$10008,$D$3,PURCHASE!$D$6:$D$10008,$C$5:$C$499)</f>
        <v>746.40869999999995</v>
      </c>
      <c r="I18" s="473">
        <f t="shared" si="6"/>
        <v>1195.3400000000001</v>
      </c>
      <c r="J18" s="60">
        <f>SUMIFS(PURCHASE!$K$6:$K$10008,PURCHASE!$A$6:$A$10008,$I$3,PURCHASE!$D$6:$D$10008,$C$5:$C$499)</f>
        <v>1013</v>
      </c>
      <c r="K18" s="60">
        <f>SUMIFS(PURCHASE!$L$6:$L$10008,PURCHASE!$A$6:$A$10008,$I$3,PURCHASE!$D$6:$D$10008,$C$5:$C$499)</f>
        <v>0</v>
      </c>
      <c r="L18" s="60">
        <f>SUMIFS(PURCHASE!$M$6:$M$10008,PURCHASE!$A$6:$A$10008,$I$3,PURCHASE!$D$6:$D$10008,$C$5:$C$499)</f>
        <v>91.169999999999987</v>
      </c>
      <c r="M18" s="474">
        <f>SUMIFS(PURCHASE!$N$6:$N$10008,PURCHASE!$A$6:$A$10008,$I$3,PURCHASE!$D$6:$D$10008,$C$5:$C$499)</f>
        <v>91.169999999999987</v>
      </c>
      <c r="N18" s="11">
        <f t="shared" si="7"/>
        <v>6026.0476000000008</v>
      </c>
      <c r="O18" s="11">
        <f>SUMIFS(PURCHASE!$K$6:$K$10008,PURCHASE!$A$6:$A$10008,$N$3,PURCHASE!$D$6:$D$10008,$C$5:$C$499)</f>
        <v>5106.8200000000006</v>
      </c>
      <c r="P18" s="11">
        <f>SUMIFS(PURCHASE!$L$6:$L$10008,PURCHASE!$A$6:$A$10008,$N$3,PURCHASE!$D$6:$D$10008,$C$5:$C$499)</f>
        <v>0</v>
      </c>
      <c r="Q18" s="11">
        <f>SUMIFS(PURCHASE!$M$6:$M$10008,PURCHASE!$A$6:$A$10008,$N$3,PURCHASE!$D$6:$D$10008,$C$5:$C$499)</f>
        <v>459.61380000000003</v>
      </c>
      <c r="R18" s="11">
        <f>SUMIFS(PURCHASE!$N$6:$N$10008,PURCHASE!$A$6:$A$10008,$N$3,PURCHASE!$D$6:$D$10008,$C$5:$C$499)</f>
        <v>459.61380000000003</v>
      </c>
      <c r="S18" s="11">
        <f t="shared" si="8"/>
        <v>8386.3189999999995</v>
      </c>
      <c r="T18" s="11">
        <f>SUMIFS(PURCHASE!$K$6:$K$10008,PURCHASE!$A$6:$A$10008,$S$3,PURCHASE!$D$6:$D$10008,$C$5:$C$499)</f>
        <v>7107.0499999999993</v>
      </c>
      <c r="U18" s="11">
        <f>SUMIFS(PURCHASE!$L$6:$L$10008,PURCHASE!$A$6:$A$10008,$S$3,PURCHASE!$D$6:$D$10008,$C$5:$C$499)</f>
        <v>0</v>
      </c>
      <c r="V18" s="11">
        <f>SUMIFS(PURCHASE!$M$6:$M$10008,PURCHASE!$A$6:$A$10008,$S$3,PURCHASE!$D$6:$D$10008,$C$5:$C$499)</f>
        <v>639.6345</v>
      </c>
      <c r="W18" s="11">
        <f>SUMIFS(PURCHASE!$N$6:$N$10008,PURCHASE!$A$6:$A$10008,$S$3,PURCHASE!$D$6:$D$10008,$C$5:$C$499)</f>
        <v>639.6345</v>
      </c>
      <c r="X18" s="11">
        <f t="shared" si="9"/>
        <v>120.36000000000001</v>
      </c>
      <c r="Y18" s="11">
        <f>SUMIFS(PURCHASE!$K$6:$K$10008,PURCHASE!$A$6:$A$10008,$X$3,PURCHASE!$D$6:$D$10008,$C$5:$C$499)</f>
        <v>102</v>
      </c>
      <c r="Z18" s="11">
        <f>SUMIFS(PURCHASE!$L$6:$L$10008,PURCHASE!$A$6:$A$10008,$X$3,PURCHASE!$D$6:$D$10008,$C$5:$C$499)</f>
        <v>0</v>
      </c>
      <c r="AA18" s="11">
        <f>SUMIFS(PURCHASE!$M$6:$M$10008,PURCHASE!$A$6:$A$10008,$X$3,PURCHASE!$D$6:$D$10008,$C$5:$C$499)</f>
        <v>9.18</v>
      </c>
      <c r="AB18" s="11">
        <f>SUMIFS(PURCHASE!$N$6:$N$10008,PURCHASE!$A$6:$A$10008,$X$3,PURCHASE!$D$6:$D$10008,$C$5:$C$499)</f>
        <v>9.18</v>
      </c>
      <c r="AC18" s="11">
        <f t="shared" si="10"/>
        <v>13734.669</v>
      </c>
      <c r="AD18" s="11">
        <f>SUMIFS(PURCHASE!$K$6:$K$10008,PURCHASE!$A$6:$A$10008,$AC$3,PURCHASE!$D$6:$D$10008,$C$5:$C$499)</f>
        <v>11639.550000000001</v>
      </c>
      <c r="AE18" s="11">
        <f>SUMIFS(PURCHASE!$L$6:$L$10008,PURCHASE!$A$6:$A$10008,$AC$3,PURCHASE!$D$6:$D$10008,$C$5:$C$499)</f>
        <v>0</v>
      </c>
      <c r="AF18" s="11">
        <f>SUMIFS(PURCHASE!$M$6:$M$10008,PURCHASE!$A$6:$A$10008,$AC$3,PURCHASE!$D$6:$D$10008,$C$5:$C$499)</f>
        <v>1047.5595000000001</v>
      </c>
      <c r="AG18" s="11">
        <f>SUMIFS(PURCHASE!$N$6:$N$10008,PURCHASE!$A$6:$A$10008,$AC$3,PURCHASE!$D$6:$D$10008,$C$5:$C$499)</f>
        <v>1047.5595000000001</v>
      </c>
      <c r="AH18" s="11">
        <f t="shared" si="11"/>
        <v>182.89999999999998</v>
      </c>
      <c r="AI18" s="11">
        <f>SUMIFS(PURCHASE!$K$6:$K$10008,PURCHASE!$A$6:$A$10008,$AH$3,PURCHASE!$D$6:$D$10008,$C$5:$C$499)</f>
        <v>155</v>
      </c>
      <c r="AJ18" s="11">
        <f>SUMIFS(PURCHASE!$L$6:$L$10008,PURCHASE!$A$6:$A$10008,$AH$3,PURCHASE!$D$6:$D$10008,$C$5:$C$499)</f>
        <v>0</v>
      </c>
      <c r="AK18" s="11">
        <f>SUMIFS(PURCHASE!$M$6:$M$10008,PURCHASE!$A$6:$A$10008,$AH$3,PURCHASE!$D$6:$D$10008,$C$5:$C$499)</f>
        <v>13.95</v>
      </c>
      <c r="AL18" s="11">
        <f>SUMIFS(PURCHASE!$N$6:$N$10008,PURCHASE!$A$6:$A$10008,$AH$3,PURCHASE!$D$6:$D$10008,$C$5:$C$499)</f>
        <v>13.95</v>
      </c>
      <c r="AM18" s="11">
        <f t="shared" si="12"/>
        <v>0</v>
      </c>
      <c r="AN18" s="11">
        <f>SUMIFS(PURCHASE!$K$6:$K$10008,PURCHASE!$A$6:$A$10008,$AM$3,PURCHASE!$D$6:$D$10008,$C$5:$C$499)</f>
        <v>0</v>
      </c>
      <c r="AO18" s="11">
        <f>SUMIFS(PURCHASE!$L$6:$L$10008,PURCHASE!$A$6:$A$10008,$AM$3,PURCHASE!$D$6:$D$10008,$C$5:$C$499)</f>
        <v>0</v>
      </c>
      <c r="AP18" s="11">
        <f>SUMIFS(PURCHASE!$M$6:$M$10008,PURCHASE!$A$6:$A$10008,$AM$3,PURCHASE!$D$6:$D$10008,$C$5:$C$499)</f>
        <v>0</v>
      </c>
      <c r="AQ18" s="11">
        <f>SUMIFS(PURCHASE!$N$6:$N$10008,PURCHASE!$A$6:$A$10008,$AM$3,PURCHASE!$D$6:$D$10008,$C$5:$C$499)</f>
        <v>0</v>
      </c>
      <c r="AR18" s="11">
        <f t="shared" si="13"/>
        <v>0</v>
      </c>
      <c r="AS18" s="11">
        <f>SUMIFS(PURCHASE!$K$6:$K$10008,PURCHASE!$A$6:$A$10008,$AR$3,PURCHASE!$D$6:$D$10008,$C$5:$C$499)</f>
        <v>0</v>
      </c>
      <c r="AT18" s="11">
        <f>SUMIFS(PURCHASE!$L$6:$L$10008,PURCHASE!$A$6:$A$10008,$AR$3,PURCHASE!$D$6:$D$10008,$C$5:$C$499)</f>
        <v>0</v>
      </c>
      <c r="AU18" s="11">
        <f>SUMIFS(PURCHASE!$M$6:$M$10008,PURCHASE!$A$6:$A$10008,$AR$3,PURCHASE!$D$6:$D$10008,$C$5:$C$499)</f>
        <v>0</v>
      </c>
      <c r="AV18" s="11">
        <f>SUMIFS(PURCHASE!$N$6:$N$10008,PURCHASE!$A$6:$A$10008,$AR$3,PURCHASE!$D$6:$D$10008,$C$5:$C$499)</f>
        <v>0</v>
      </c>
      <c r="AW18" s="11">
        <f t="shared" si="14"/>
        <v>0</v>
      </c>
      <c r="AX18" s="11">
        <f>SUMIFS(PURCHASE!$K$6:$K$10008,PURCHASE!$A$6:$A$10008,$AW$3,PURCHASE!$D$6:$D$10008,$C$5:$C$499)</f>
        <v>0</v>
      </c>
      <c r="AY18" s="11">
        <f>SUMIFS(PURCHASE!$L$6:$L$10008,PURCHASE!$A$6:$A$10008,$AW$3,PURCHASE!$D$6:$D$10008,$C$5:$C$499)</f>
        <v>0</v>
      </c>
      <c r="AZ18" s="11">
        <f>SUMIFS(PURCHASE!$M$6:$M$10008,PURCHASE!$A$6:$A$10008,$AW$3,PURCHASE!$D$6:$D$10008,$C$5:$C$499)</f>
        <v>0</v>
      </c>
      <c r="BA18" s="11">
        <f>SUMIFS(PURCHASE!$N$6:$N$10008,PURCHASE!$A$6:$A$10008,$AW$3,PURCHASE!$D$6:$D$10008,$C$5:$C$499)</f>
        <v>0</v>
      </c>
      <c r="BB18" s="11">
        <f t="shared" si="15"/>
        <v>0</v>
      </c>
      <c r="BC18" s="11">
        <f>SUMIFS(PURCHASE!$K$6:$K$10008,PURCHASE!$A$6:$A$10008,$BB$3,PURCHASE!$D$6:$D$10008,$C$5:$C$499)</f>
        <v>0</v>
      </c>
      <c r="BD18" s="11">
        <f>SUMIFS(PURCHASE!$L$6:$L$10008,PURCHASE!$A$6:$A$10008,$BB$3,PURCHASE!$D$6:$D$10008,$C$5:$C$499)</f>
        <v>0</v>
      </c>
      <c r="BE18" s="11">
        <f>SUMIFS(PURCHASE!$M$6:$M$10008,PURCHASE!$A$6:$A$10008,$BB$3,PURCHASE!$D$6:$D$10008,$C$5:$C$499)</f>
        <v>0</v>
      </c>
      <c r="BF18" s="11">
        <f>SUMIFS(PURCHASE!$N$6:$N$10008,PURCHASE!$A$6:$A$10008,$BB$3,PURCHASE!$D$6:$D$10008,$C$5:$C$499)</f>
        <v>0</v>
      </c>
      <c r="BG18" s="11">
        <f t="shared" si="16"/>
        <v>0</v>
      </c>
      <c r="BH18" s="11">
        <f>SUMIFS(PURCHASE!$K$6:$K$10008,PURCHASE!$A$6:$A$10008,$BG$3,PURCHASE!$D$6:$D$10008,$C$5:$C$499)</f>
        <v>0</v>
      </c>
      <c r="BI18" s="11">
        <f>SUMIFS(PURCHASE!$L$6:$L$10008,PURCHASE!$A$6:$A$10008,$BG$3,PURCHASE!$D$6:$D$10008,$C$5:$C$499)</f>
        <v>0</v>
      </c>
      <c r="BJ18" s="11">
        <f>SUMIFS(PURCHASE!$M$6:$M$10008,PURCHASE!$A$6:$A$10008,$BG$3,PURCHASE!$D$6:$D$10008,$C$5:$C$499)</f>
        <v>0</v>
      </c>
      <c r="BK18" s="11">
        <f>SUMIFS(PURCHASE!$N$6:$N$10008,PURCHASE!$A$6:$A$10008,$BG$3,PURCHASE!$D$6:$D$10008,$C$5:$C$499)</f>
        <v>0</v>
      </c>
      <c r="BL18" s="11">
        <f t="shared" si="4"/>
        <v>39431.883000000002</v>
      </c>
      <c r="BM18" s="11">
        <f t="shared" si="3"/>
        <v>33416.85</v>
      </c>
      <c r="BN18" s="11">
        <f t="shared" si="3"/>
        <v>0</v>
      </c>
      <c r="BO18" s="11">
        <f t="shared" si="3"/>
        <v>3007.5164999999997</v>
      </c>
      <c r="BP18" s="11">
        <f t="shared" si="3"/>
        <v>3007.5164999999997</v>
      </c>
    </row>
    <row r="19" spans="1:68" x14ac:dyDescent="0.2">
      <c r="A19" s="467">
        <v>15</v>
      </c>
      <c r="B19" s="468" t="s">
        <v>659</v>
      </c>
      <c r="C19" s="469" t="s">
        <v>660</v>
      </c>
      <c r="D19" s="11">
        <f t="shared" si="5"/>
        <v>0</v>
      </c>
      <c r="E19" s="11">
        <f>SUMIFS(PURCHASE!$K$6:$K$10008,PURCHASE!$A$6:$A$10008,$D$3,PURCHASE!$D$6:$D$10008,$C$5:$C$499)</f>
        <v>0</v>
      </c>
      <c r="F19" s="11">
        <f>SUMIFS(PURCHASE!$L$6:$L$10008,PURCHASE!$A$6:$A$10008,$D$3,PURCHASE!$D$6:$D$10008,$C$5:$C$499)</f>
        <v>0</v>
      </c>
      <c r="G19" s="11">
        <f>SUMIFS(PURCHASE!$M$6:$M$10008,PURCHASE!$A$6:$A$10008,$D$3,PURCHASE!$D$6:$D$10008,$C$5:$C$499)</f>
        <v>0</v>
      </c>
      <c r="H19" s="11">
        <f>SUMIFS(PURCHASE!$N$6:$N$10008,PURCHASE!$A$6:$A$10008,$D$3,PURCHASE!$D$6:$D$10008,$C$5:$C$499)</f>
        <v>0</v>
      </c>
      <c r="I19" s="473">
        <f t="shared" si="6"/>
        <v>19257.599999999999</v>
      </c>
      <c r="J19" s="60">
        <f>SUMIFS(PURCHASE!$K$6:$K$10008,PURCHASE!$A$6:$A$10008,$I$3,PURCHASE!$D$6:$D$10008,$C$5:$C$499)</f>
        <v>16320</v>
      </c>
      <c r="K19" s="60">
        <f>SUMIFS(PURCHASE!$L$6:$L$10008,PURCHASE!$A$6:$A$10008,$I$3,PURCHASE!$D$6:$D$10008,$C$5:$C$499)</f>
        <v>0</v>
      </c>
      <c r="L19" s="60">
        <f>SUMIFS(PURCHASE!$M$6:$M$10008,PURCHASE!$A$6:$A$10008,$I$3,PURCHASE!$D$6:$D$10008,$C$5:$C$499)</f>
        <v>1468.8</v>
      </c>
      <c r="M19" s="474">
        <f>SUMIFS(PURCHASE!$N$6:$N$10008,PURCHASE!$A$6:$A$10008,$I$3,PURCHASE!$D$6:$D$10008,$C$5:$C$499)</f>
        <v>1468.8</v>
      </c>
      <c r="N19" s="11">
        <f t="shared" si="7"/>
        <v>0</v>
      </c>
      <c r="O19" s="11">
        <f>SUMIFS(PURCHASE!$K$6:$K$10008,PURCHASE!$A$6:$A$10008,$N$3,PURCHASE!$D$6:$D$10008,$C$5:$C$499)</f>
        <v>0</v>
      </c>
      <c r="P19" s="11">
        <f>SUMIFS(PURCHASE!$L$6:$L$10008,PURCHASE!$A$6:$A$10008,$N$3,PURCHASE!$D$6:$D$10008,$C$5:$C$499)</f>
        <v>0</v>
      </c>
      <c r="Q19" s="11">
        <f>SUMIFS(PURCHASE!$M$6:$M$10008,PURCHASE!$A$6:$A$10008,$N$3,PURCHASE!$D$6:$D$10008,$C$5:$C$499)</f>
        <v>0</v>
      </c>
      <c r="R19" s="11">
        <f>SUMIFS(PURCHASE!$N$6:$N$10008,PURCHASE!$A$6:$A$10008,$N$3,PURCHASE!$D$6:$D$10008,$C$5:$C$499)</f>
        <v>0</v>
      </c>
      <c r="S19" s="11">
        <f t="shared" si="8"/>
        <v>0</v>
      </c>
      <c r="T19" s="11">
        <f>SUMIFS(PURCHASE!$K$6:$K$10008,PURCHASE!$A$6:$A$10008,$S$3,PURCHASE!$D$6:$D$10008,$C$5:$C$499)</f>
        <v>0</v>
      </c>
      <c r="U19" s="11">
        <f>SUMIFS(PURCHASE!$L$6:$L$10008,PURCHASE!$A$6:$A$10008,$S$3,PURCHASE!$D$6:$D$10008,$C$5:$C$499)</f>
        <v>0</v>
      </c>
      <c r="V19" s="11">
        <f>SUMIFS(PURCHASE!$M$6:$M$10008,PURCHASE!$A$6:$A$10008,$S$3,PURCHASE!$D$6:$D$10008,$C$5:$C$499)</f>
        <v>0</v>
      </c>
      <c r="W19" s="11">
        <f>SUMIFS(PURCHASE!$N$6:$N$10008,PURCHASE!$A$6:$A$10008,$S$3,PURCHASE!$D$6:$D$10008,$C$5:$C$499)</f>
        <v>0</v>
      </c>
      <c r="X19" s="11">
        <f t="shared" si="9"/>
        <v>0</v>
      </c>
      <c r="Y19" s="11">
        <f>SUMIFS(PURCHASE!$K$6:$K$10008,PURCHASE!$A$6:$A$10008,$X$3,PURCHASE!$D$6:$D$10008,$C$5:$C$499)</f>
        <v>0</v>
      </c>
      <c r="Z19" s="11">
        <f>SUMIFS(PURCHASE!$L$6:$L$10008,PURCHASE!$A$6:$A$10008,$X$3,PURCHASE!$D$6:$D$10008,$C$5:$C$499)</f>
        <v>0</v>
      </c>
      <c r="AA19" s="11">
        <f>SUMIFS(PURCHASE!$M$6:$M$10008,PURCHASE!$A$6:$A$10008,$X$3,PURCHASE!$D$6:$D$10008,$C$5:$C$499)</f>
        <v>0</v>
      </c>
      <c r="AB19" s="11">
        <f>SUMIFS(PURCHASE!$N$6:$N$10008,PURCHASE!$A$6:$A$10008,$X$3,PURCHASE!$D$6:$D$10008,$C$5:$C$499)</f>
        <v>0</v>
      </c>
      <c r="AC19" s="11">
        <f t="shared" si="10"/>
        <v>19257.599999999999</v>
      </c>
      <c r="AD19" s="11">
        <f>SUMIFS(PURCHASE!$K$6:$K$10008,PURCHASE!$A$6:$A$10008,$AC$3,PURCHASE!$D$6:$D$10008,$C$5:$C$499)</f>
        <v>16320</v>
      </c>
      <c r="AE19" s="11">
        <f>SUMIFS(PURCHASE!$L$6:$L$10008,PURCHASE!$A$6:$A$10008,$AC$3,PURCHASE!$D$6:$D$10008,$C$5:$C$499)</f>
        <v>0</v>
      </c>
      <c r="AF19" s="11">
        <f>SUMIFS(PURCHASE!$M$6:$M$10008,PURCHASE!$A$6:$A$10008,$AC$3,PURCHASE!$D$6:$D$10008,$C$5:$C$499)</f>
        <v>1468.8</v>
      </c>
      <c r="AG19" s="11">
        <f>SUMIFS(PURCHASE!$N$6:$N$10008,PURCHASE!$A$6:$A$10008,$AC$3,PURCHASE!$D$6:$D$10008,$C$5:$C$499)</f>
        <v>1468.8</v>
      </c>
      <c r="AH19" s="11">
        <f t="shared" si="11"/>
        <v>0</v>
      </c>
      <c r="AI19" s="11">
        <f>SUMIFS(PURCHASE!$K$6:$K$10008,PURCHASE!$A$6:$A$10008,$AH$3,PURCHASE!$D$6:$D$10008,$C$5:$C$499)</f>
        <v>0</v>
      </c>
      <c r="AJ19" s="11">
        <f>SUMIFS(PURCHASE!$L$6:$L$10008,PURCHASE!$A$6:$A$10008,$AH$3,PURCHASE!$D$6:$D$10008,$C$5:$C$499)</f>
        <v>0</v>
      </c>
      <c r="AK19" s="11">
        <f>SUMIFS(PURCHASE!$M$6:$M$10008,PURCHASE!$A$6:$A$10008,$AH$3,PURCHASE!$D$6:$D$10008,$C$5:$C$499)</f>
        <v>0</v>
      </c>
      <c r="AL19" s="11">
        <f>SUMIFS(PURCHASE!$N$6:$N$10008,PURCHASE!$A$6:$A$10008,$AH$3,PURCHASE!$D$6:$D$10008,$C$5:$C$499)</f>
        <v>0</v>
      </c>
      <c r="AM19" s="11">
        <f t="shared" si="12"/>
        <v>0</v>
      </c>
      <c r="AN19" s="11">
        <f>SUMIFS(PURCHASE!$K$6:$K$10008,PURCHASE!$A$6:$A$10008,$AM$3,PURCHASE!$D$6:$D$10008,$C$5:$C$499)</f>
        <v>0</v>
      </c>
      <c r="AO19" s="11">
        <f>SUMIFS(PURCHASE!$L$6:$L$10008,PURCHASE!$A$6:$A$10008,$AM$3,PURCHASE!$D$6:$D$10008,$C$5:$C$499)</f>
        <v>0</v>
      </c>
      <c r="AP19" s="11">
        <f>SUMIFS(PURCHASE!$M$6:$M$10008,PURCHASE!$A$6:$A$10008,$AM$3,PURCHASE!$D$6:$D$10008,$C$5:$C$499)</f>
        <v>0</v>
      </c>
      <c r="AQ19" s="11">
        <f>SUMIFS(PURCHASE!$N$6:$N$10008,PURCHASE!$A$6:$A$10008,$AM$3,PURCHASE!$D$6:$D$10008,$C$5:$C$499)</f>
        <v>0</v>
      </c>
      <c r="AR19" s="11">
        <f t="shared" si="13"/>
        <v>0</v>
      </c>
      <c r="AS19" s="11">
        <f>SUMIFS(PURCHASE!$K$6:$K$10008,PURCHASE!$A$6:$A$10008,$AR$3,PURCHASE!$D$6:$D$10008,$C$5:$C$499)</f>
        <v>0</v>
      </c>
      <c r="AT19" s="11">
        <f>SUMIFS(PURCHASE!$L$6:$L$10008,PURCHASE!$A$6:$A$10008,$AR$3,PURCHASE!$D$6:$D$10008,$C$5:$C$499)</f>
        <v>0</v>
      </c>
      <c r="AU19" s="11">
        <f>SUMIFS(PURCHASE!$M$6:$M$10008,PURCHASE!$A$6:$A$10008,$AR$3,PURCHASE!$D$6:$D$10008,$C$5:$C$499)</f>
        <v>0</v>
      </c>
      <c r="AV19" s="11">
        <f>SUMIFS(PURCHASE!$N$6:$N$10008,PURCHASE!$A$6:$A$10008,$AR$3,PURCHASE!$D$6:$D$10008,$C$5:$C$499)</f>
        <v>0</v>
      </c>
      <c r="AW19" s="11">
        <f t="shared" si="14"/>
        <v>0</v>
      </c>
      <c r="AX19" s="11">
        <f>SUMIFS(PURCHASE!$K$6:$K$10008,PURCHASE!$A$6:$A$10008,$AW$3,PURCHASE!$D$6:$D$10008,$C$5:$C$499)</f>
        <v>0</v>
      </c>
      <c r="AY19" s="11">
        <f>SUMIFS(PURCHASE!$L$6:$L$10008,PURCHASE!$A$6:$A$10008,$AW$3,PURCHASE!$D$6:$D$10008,$C$5:$C$499)</f>
        <v>0</v>
      </c>
      <c r="AZ19" s="11">
        <f>SUMIFS(PURCHASE!$M$6:$M$10008,PURCHASE!$A$6:$A$10008,$AW$3,PURCHASE!$D$6:$D$10008,$C$5:$C$499)</f>
        <v>0</v>
      </c>
      <c r="BA19" s="11">
        <f>SUMIFS(PURCHASE!$N$6:$N$10008,PURCHASE!$A$6:$A$10008,$AW$3,PURCHASE!$D$6:$D$10008,$C$5:$C$499)</f>
        <v>0</v>
      </c>
      <c r="BB19" s="11">
        <f t="shared" si="15"/>
        <v>0</v>
      </c>
      <c r="BC19" s="11">
        <f>SUMIFS(PURCHASE!$K$6:$K$10008,PURCHASE!$A$6:$A$10008,$BB$3,PURCHASE!$D$6:$D$10008,$C$5:$C$499)</f>
        <v>0</v>
      </c>
      <c r="BD19" s="11">
        <f>SUMIFS(PURCHASE!$L$6:$L$10008,PURCHASE!$A$6:$A$10008,$BB$3,PURCHASE!$D$6:$D$10008,$C$5:$C$499)</f>
        <v>0</v>
      </c>
      <c r="BE19" s="11">
        <f>SUMIFS(PURCHASE!$M$6:$M$10008,PURCHASE!$A$6:$A$10008,$BB$3,PURCHASE!$D$6:$D$10008,$C$5:$C$499)</f>
        <v>0</v>
      </c>
      <c r="BF19" s="11">
        <f>SUMIFS(PURCHASE!$N$6:$N$10008,PURCHASE!$A$6:$A$10008,$BB$3,PURCHASE!$D$6:$D$10008,$C$5:$C$499)</f>
        <v>0</v>
      </c>
      <c r="BG19" s="11">
        <f t="shared" si="16"/>
        <v>0</v>
      </c>
      <c r="BH19" s="11">
        <f>SUMIFS(PURCHASE!$K$6:$K$10008,PURCHASE!$A$6:$A$10008,$BG$3,PURCHASE!$D$6:$D$10008,$C$5:$C$499)</f>
        <v>0</v>
      </c>
      <c r="BI19" s="11">
        <f>SUMIFS(PURCHASE!$L$6:$L$10008,PURCHASE!$A$6:$A$10008,$BG$3,PURCHASE!$D$6:$D$10008,$C$5:$C$499)</f>
        <v>0</v>
      </c>
      <c r="BJ19" s="11">
        <f>SUMIFS(PURCHASE!$M$6:$M$10008,PURCHASE!$A$6:$A$10008,$BG$3,PURCHASE!$D$6:$D$10008,$C$5:$C$499)</f>
        <v>0</v>
      </c>
      <c r="BK19" s="11">
        <f>SUMIFS(PURCHASE!$N$6:$N$10008,PURCHASE!$A$6:$A$10008,$BG$3,PURCHASE!$D$6:$D$10008,$C$5:$C$499)</f>
        <v>0</v>
      </c>
      <c r="BL19" s="11">
        <f t="shared" si="4"/>
        <v>38515.199999999997</v>
      </c>
      <c r="BM19" s="11">
        <f t="shared" si="3"/>
        <v>32640</v>
      </c>
      <c r="BN19" s="11">
        <f t="shared" si="3"/>
        <v>0</v>
      </c>
      <c r="BO19" s="11">
        <f t="shared" si="3"/>
        <v>2937.6</v>
      </c>
      <c r="BP19" s="11">
        <f t="shared" si="3"/>
        <v>2937.6</v>
      </c>
    </row>
    <row r="20" spans="1:68" x14ac:dyDescent="0.2">
      <c r="A20" s="467">
        <v>16</v>
      </c>
      <c r="B20" s="468" t="s">
        <v>1070</v>
      </c>
      <c r="C20" s="468" t="s">
        <v>1071</v>
      </c>
      <c r="D20" s="11">
        <f t="shared" si="5"/>
        <v>0</v>
      </c>
      <c r="E20" s="11">
        <f>SUMIFS(PURCHASE!$K$6:$K$10008,PURCHASE!$A$6:$A$10008,$D$3,PURCHASE!$D$6:$D$10008,$C$5:$C$499)</f>
        <v>0</v>
      </c>
      <c r="F20" s="11">
        <f>SUMIFS(PURCHASE!$L$6:$L$10008,PURCHASE!$A$6:$A$10008,$D$3,PURCHASE!$D$6:$D$10008,$C$5:$C$499)</f>
        <v>0</v>
      </c>
      <c r="G20" s="11">
        <f>SUMIFS(PURCHASE!$M$6:$M$10008,PURCHASE!$A$6:$A$10008,$D$3,PURCHASE!$D$6:$D$10008,$C$5:$C$499)</f>
        <v>0</v>
      </c>
      <c r="H20" s="11">
        <f>SUMIFS(PURCHASE!$N$6:$N$10008,PURCHASE!$A$6:$A$10008,$D$3,PURCHASE!$D$6:$D$10008,$C$5:$C$499)</f>
        <v>0</v>
      </c>
      <c r="I20" s="473">
        <f t="shared" si="6"/>
        <v>0</v>
      </c>
      <c r="J20" s="60">
        <f>SUMIFS(PURCHASE!$K$6:$K$10008,PURCHASE!$A$6:$A$10008,$I$3,PURCHASE!$D$6:$D$10008,$C$5:$C$499)</f>
        <v>0</v>
      </c>
      <c r="K20" s="60">
        <f>SUMIFS(PURCHASE!$L$6:$L$10008,PURCHASE!$A$6:$A$10008,$I$3,PURCHASE!$D$6:$D$10008,$C$5:$C$499)</f>
        <v>0</v>
      </c>
      <c r="L20" s="60">
        <f>SUMIFS(PURCHASE!$M$6:$M$10008,PURCHASE!$A$6:$A$10008,$I$3,PURCHASE!$D$6:$D$10008,$C$5:$C$499)</f>
        <v>0</v>
      </c>
      <c r="M20" s="474">
        <f>SUMIFS(PURCHASE!$N$6:$N$10008,PURCHASE!$A$6:$A$10008,$I$3,PURCHASE!$D$6:$D$10008,$C$5:$C$499)</f>
        <v>0</v>
      </c>
      <c r="N20" s="11">
        <f t="shared" si="7"/>
        <v>0</v>
      </c>
      <c r="O20" s="11">
        <f>SUMIFS(PURCHASE!$K$6:$K$10008,PURCHASE!$A$6:$A$10008,$N$3,PURCHASE!$D$6:$D$10008,$C$5:$C$499)</f>
        <v>0</v>
      </c>
      <c r="P20" s="11">
        <f>SUMIFS(PURCHASE!$L$6:$L$10008,PURCHASE!$A$6:$A$10008,$N$3,PURCHASE!$D$6:$D$10008,$C$5:$C$499)</f>
        <v>0</v>
      </c>
      <c r="Q20" s="11">
        <f>SUMIFS(PURCHASE!$M$6:$M$10008,PURCHASE!$A$6:$A$10008,$N$3,PURCHASE!$D$6:$D$10008,$C$5:$C$499)</f>
        <v>0</v>
      </c>
      <c r="R20" s="11">
        <f>SUMIFS(PURCHASE!$N$6:$N$10008,PURCHASE!$A$6:$A$10008,$N$3,PURCHASE!$D$6:$D$10008,$C$5:$C$499)</f>
        <v>0</v>
      </c>
      <c r="S20" s="11">
        <f t="shared" si="8"/>
        <v>0</v>
      </c>
      <c r="T20" s="11">
        <f>SUMIFS(PURCHASE!$K$6:$K$10008,PURCHASE!$A$6:$A$10008,$S$3,PURCHASE!$D$6:$D$10008,$C$5:$C$499)</f>
        <v>0</v>
      </c>
      <c r="U20" s="11">
        <f>SUMIFS(PURCHASE!$L$6:$L$10008,PURCHASE!$A$6:$A$10008,$S$3,PURCHASE!$D$6:$D$10008,$C$5:$C$499)</f>
        <v>0</v>
      </c>
      <c r="V20" s="11">
        <f>SUMIFS(PURCHASE!$M$6:$M$10008,PURCHASE!$A$6:$A$10008,$S$3,PURCHASE!$D$6:$D$10008,$C$5:$C$499)</f>
        <v>0</v>
      </c>
      <c r="W20" s="11">
        <f>SUMIFS(PURCHASE!$N$6:$N$10008,PURCHASE!$A$6:$A$10008,$S$3,PURCHASE!$D$6:$D$10008,$C$5:$C$499)</f>
        <v>0</v>
      </c>
      <c r="X20" s="11">
        <f t="shared" si="9"/>
        <v>0</v>
      </c>
      <c r="Y20" s="11">
        <f>SUMIFS(PURCHASE!$K$6:$K$10008,PURCHASE!$A$6:$A$10008,$X$3,PURCHASE!$D$6:$D$10008,$C$5:$C$499)</f>
        <v>0</v>
      </c>
      <c r="Z20" s="11">
        <f>SUMIFS(PURCHASE!$L$6:$L$10008,PURCHASE!$A$6:$A$10008,$X$3,PURCHASE!$D$6:$D$10008,$C$5:$C$499)</f>
        <v>0</v>
      </c>
      <c r="AA20" s="11">
        <f>SUMIFS(PURCHASE!$M$6:$M$10008,PURCHASE!$A$6:$A$10008,$X$3,PURCHASE!$D$6:$D$10008,$C$5:$C$499)</f>
        <v>0</v>
      </c>
      <c r="AB20" s="11">
        <f>SUMIFS(PURCHASE!$N$6:$N$10008,PURCHASE!$A$6:$A$10008,$X$3,PURCHASE!$D$6:$D$10008,$C$5:$C$499)</f>
        <v>0</v>
      </c>
      <c r="AC20" s="11">
        <f t="shared" si="10"/>
        <v>0</v>
      </c>
      <c r="AD20" s="11">
        <f>SUMIFS(PURCHASE!$K$6:$K$10008,PURCHASE!$A$6:$A$10008,$AC$3,PURCHASE!$D$6:$D$10008,$C$5:$C$499)</f>
        <v>0</v>
      </c>
      <c r="AE20" s="11">
        <f>SUMIFS(PURCHASE!$L$6:$L$10008,PURCHASE!$A$6:$A$10008,$AC$3,PURCHASE!$D$6:$D$10008,$C$5:$C$499)</f>
        <v>0</v>
      </c>
      <c r="AF20" s="11">
        <f>SUMIFS(PURCHASE!$M$6:$M$10008,PURCHASE!$A$6:$A$10008,$AC$3,PURCHASE!$D$6:$D$10008,$C$5:$C$499)</f>
        <v>0</v>
      </c>
      <c r="AG20" s="11">
        <f>SUMIFS(PURCHASE!$N$6:$N$10008,PURCHASE!$A$6:$A$10008,$AC$3,PURCHASE!$D$6:$D$10008,$C$5:$C$499)</f>
        <v>0</v>
      </c>
      <c r="AH20" s="11">
        <f t="shared" si="11"/>
        <v>0</v>
      </c>
      <c r="AI20" s="11">
        <f>SUMIFS(PURCHASE!$K$6:$K$10008,PURCHASE!$A$6:$A$10008,$AH$3,PURCHASE!$D$6:$D$10008,$C$5:$C$499)</f>
        <v>0</v>
      </c>
      <c r="AJ20" s="11">
        <f>SUMIFS(PURCHASE!$L$6:$L$10008,PURCHASE!$A$6:$A$10008,$AH$3,PURCHASE!$D$6:$D$10008,$C$5:$C$499)</f>
        <v>0</v>
      </c>
      <c r="AK20" s="11">
        <f>SUMIFS(PURCHASE!$M$6:$M$10008,PURCHASE!$A$6:$A$10008,$AH$3,PURCHASE!$D$6:$D$10008,$C$5:$C$499)</f>
        <v>0</v>
      </c>
      <c r="AL20" s="11">
        <f>SUMIFS(PURCHASE!$N$6:$N$10008,PURCHASE!$A$6:$A$10008,$AH$3,PURCHASE!$D$6:$D$10008,$C$5:$C$499)</f>
        <v>0</v>
      </c>
      <c r="AM20" s="11">
        <f t="shared" si="12"/>
        <v>0</v>
      </c>
      <c r="AN20" s="11">
        <f>SUMIFS(PURCHASE!$K$6:$K$10008,PURCHASE!$A$6:$A$10008,$AM$3,PURCHASE!$D$6:$D$10008,$C$5:$C$499)</f>
        <v>0</v>
      </c>
      <c r="AO20" s="11">
        <f>SUMIFS(PURCHASE!$L$6:$L$10008,PURCHASE!$A$6:$A$10008,$AM$3,PURCHASE!$D$6:$D$10008,$C$5:$C$499)</f>
        <v>0</v>
      </c>
      <c r="AP20" s="11">
        <f>SUMIFS(PURCHASE!$M$6:$M$10008,PURCHASE!$A$6:$A$10008,$AM$3,PURCHASE!$D$6:$D$10008,$C$5:$C$499)</f>
        <v>0</v>
      </c>
      <c r="AQ20" s="11">
        <f>SUMIFS(PURCHASE!$N$6:$N$10008,PURCHASE!$A$6:$A$10008,$AM$3,PURCHASE!$D$6:$D$10008,$C$5:$C$499)</f>
        <v>0</v>
      </c>
      <c r="AR20" s="11">
        <f t="shared" si="13"/>
        <v>0</v>
      </c>
      <c r="AS20" s="11">
        <f>SUMIFS(PURCHASE!$K$6:$K$10008,PURCHASE!$A$6:$A$10008,$AR$3,PURCHASE!$D$6:$D$10008,$C$5:$C$499)</f>
        <v>0</v>
      </c>
      <c r="AT20" s="11">
        <f>SUMIFS(PURCHASE!$L$6:$L$10008,PURCHASE!$A$6:$A$10008,$AR$3,PURCHASE!$D$6:$D$10008,$C$5:$C$499)</f>
        <v>0</v>
      </c>
      <c r="AU20" s="11">
        <f>SUMIFS(PURCHASE!$M$6:$M$10008,PURCHASE!$A$6:$A$10008,$AR$3,PURCHASE!$D$6:$D$10008,$C$5:$C$499)</f>
        <v>0</v>
      </c>
      <c r="AV20" s="11">
        <f>SUMIFS(PURCHASE!$N$6:$N$10008,PURCHASE!$A$6:$A$10008,$AR$3,PURCHASE!$D$6:$D$10008,$C$5:$C$499)</f>
        <v>0</v>
      </c>
      <c r="AW20" s="11">
        <f t="shared" si="14"/>
        <v>0</v>
      </c>
      <c r="AX20" s="11">
        <f>SUMIFS(PURCHASE!$K$6:$K$10008,PURCHASE!$A$6:$A$10008,$AW$3,PURCHASE!$D$6:$D$10008,$C$5:$C$499)</f>
        <v>0</v>
      </c>
      <c r="AY20" s="11">
        <f>SUMIFS(PURCHASE!$L$6:$L$10008,PURCHASE!$A$6:$A$10008,$AW$3,PURCHASE!$D$6:$D$10008,$C$5:$C$499)</f>
        <v>0</v>
      </c>
      <c r="AZ20" s="11">
        <f>SUMIFS(PURCHASE!$M$6:$M$10008,PURCHASE!$A$6:$A$10008,$AW$3,PURCHASE!$D$6:$D$10008,$C$5:$C$499)</f>
        <v>0</v>
      </c>
      <c r="BA20" s="11">
        <f>SUMIFS(PURCHASE!$N$6:$N$10008,PURCHASE!$A$6:$A$10008,$AW$3,PURCHASE!$D$6:$D$10008,$C$5:$C$499)</f>
        <v>0</v>
      </c>
      <c r="BB20" s="11">
        <f t="shared" si="15"/>
        <v>0</v>
      </c>
      <c r="BC20" s="11">
        <f>SUMIFS(PURCHASE!$K$6:$K$10008,PURCHASE!$A$6:$A$10008,$BB$3,PURCHASE!$D$6:$D$10008,$C$5:$C$499)</f>
        <v>0</v>
      </c>
      <c r="BD20" s="11">
        <f>SUMIFS(PURCHASE!$L$6:$L$10008,PURCHASE!$A$6:$A$10008,$BB$3,PURCHASE!$D$6:$D$10008,$C$5:$C$499)</f>
        <v>0</v>
      </c>
      <c r="BE20" s="11">
        <f>SUMIFS(PURCHASE!$M$6:$M$10008,PURCHASE!$A$6:$A$10008,$BB$3,PURCHASE!$D$6:$D$10008,$C$5:$C$499)</f>
        <v>0</v>
      </c>
      <c r="BF20" s="11">
        <f>SUMIFS(PURCHASE!$N$6:$N$10008,PURCHASE!$A$6:$A$10008,$BB$3,PURCHASE!$D$6:$D$10008,$C$5:$C$499)</f>
        <v>0</v>
      </c>
      <c r="BG20" s="11">
        <f t="shared" si="16"/>
        <v>0</v>
      </c>
      <c r="BH20" s="11">
        <f>SUMIFS(PURCHASE!$K$6:$K$10008,PURCHASE!$A$6:$A$10008,$BG$3,PURCHASE!$D$6:$D$10008,$C$5:$C$499)</f>
        <v>0</v>
      </c>
      <c r="BI20" s="11">
        <f>SUMIFS(PURCHASE!$L$6:$L$10008,PURCHASE!$A$6:$A$10008,$BG$3,PURCHASE!$D$6:$D$10008,$C$5:$C$499)</f>
        <v>0</v>
      </c>
      <c r="BJ20" s="11">
        <f>SUMIFS(PURCHASE!$M$6:$M$10008,PURCHASE!$A$6:$A$10008,$BG$3,PURCHASE!$D$6:$D$10008,$C$5:$C$499)</f>
        <v>0</v>
      </c>
      <c r="BK20" s="11">
        <f>SUMIFS(PURCHASE!$N$6:$N$10008,PURCHASE!$A$6:$A$10008,$BG$3,PURCHASE!$D$6:$D$10008,$C$5:$C$499)</f>
        <v>0</v>
      </c>
      <c r="BL20" s="11">
        <f t="shared" si="4"/>
        <v>0</v>
      </c>
      <c r="BM20" s="11">
        <f t="shared" si="3"/>
        <v>0</v>
      </c>
      <c r="BN20" s="11">
        <f t="shared" si="3"/>
        <v>0</v>
      </c>
      <c r="BO20" s="11">
        <f t="shared" si="3"/>
        <v>0</v>
      </c>
      <c r="BP20" s="11">
        <f t="shared" si="3"/>
        <v>0</v>
      </c>
    </row>
    <row r="21" spans="1:68" x14ac:dyDescent="0.2">
      <c r="A21" s="467">
        <v>17</v>
      </c>
      <c r="B21" s="468" t="s">
        <v>529</v>
      </c>
      <c r="C21" s="469" t="s">
        <v>530</v>
      </c>
      <c r="D21" s="11">
        <f t="shared" si="5"/>
        <v>29028.944</v>
      </c>
      <c r="E21" s="11">
        <f>SUMIFS(PURCHASE!$K$6:$K$10008,PURCHASE!$A$6:$A$10008,$D$3,PURCHASE!$D$6:$D$10008,$C$5:$C$499)</f>
        <v>24600.799999999999</v>
      </c>
      <c r="F21" s="11">
        <f>SUMIFS(PURCHASE!$L$6:$L$10008,PURCHASE!$A$6:$A$10008,$D$3,PURCHASE!$D$6:$D$10008,$C$5:$C$499)</f>
        <v>0</v>
      </c>
      <c r="G21" s="11">
        <f>SUMIFS(PURCHASE!$M$6:$M$10008,PURCHASE!$A$6:$A$10008,$D$3,PURCHASE!$D$6:$D$10008,$C$5:$C$499)</f>
        <v>2214.0720000000001</v>
      </c>
      <c r="H21" s="11">
        <f>SUMIFS(PURCHASE!$N$6:$N$10008,PURCHASE!$A$6:$A$10008,$D$3,PURCHASE!$D$6:$D$10008,$C$5:$C$499)</f>
        <v>2214.0720000000001</v>
      </c>
      <c r="I21" s="473">
        <f t="shared" si="6"/>
        <v>33285.440000000002</v>
      </c>
      <c r="J21" s="60">
        <f>SUMIFS(PURCHASE!$K$6:$K$10008,PURCHASE!$A$6:$A$10008,$I$3,PURCHASE!$D$6:$D$10008,$C$5:$C$499)</f>
        <v>28208</v>
      </c>
      <c r="K21" s="60">
        <f>SUMIFS(PURCHASE!$L$6:$L$10008,PURCHASE!$A$6:$A$10008,$I$3,PURCHASE!$D$6:$D$10008,$C$5:$C$499)</f>
        <v>0</v>
      </c>
      <c r="L21" s="60">
        <f>SUMIFS(PURCHASE!$M$6:$M$10008,PURCHASE!$A$6:$A$10008,$I$3,PURCHASE!$D$6:$D$10008,$C$5:$C$499)</f>
        <v>2538.7199999999998</v>
      </c>
      <c r="M21" s="474">
        <f>SUMIFS(PURCHASE!$N$6:$N$10008,PURCHASE!$A$6:$A$10008,$I$3,PURCHASE!$D$6:$D$10008,$C$5:$C$499)</f>
        <v>2538.7199999999998</v>
      </c>
      <c r="N21" s="11">
        <f t="shared" si="7"/>
        <v>0</v>
      </c>
      <c r="O21" s="11">
        <f>SUMIFS(PURCHASE!$K$6:$K$10008,PURCHASE!$A$6:$A$10008,$N$3,PURCHASE!$D$6:$D$10008,$C$5:$C$499)</f>
        <v>0</v>
      </c>
      <c r="P21" s="11">
        <f>SUMIFS(PURCHASE!$L$6:$L$10008,PURCHASE!$A$6:$A$10008,$N$3,PURCHASE!$D$6:$D$10008,$C$5:$C$499)</f>
        <v>0</v>
      </c>
      <c r="Q21" s="11">
        <f>SUMIFS(PURCHASE!$M$6:$M$10008,PURCHASE!$A$6:$A$10008,$N$3,PURCHASE!$D$6:$D$10008,$C$5:$C$499)</f>
        <v>0</v>
      </c>
      <c r="R21" s="11">
        <f>SUMIFS(PURCHASE!$N$6:$N$10008,PURCHASE!$A$6:$A$10008,$N$3,PURCHASE!$D$6:$D$10008,$C$5:$C$499)</f>
        <v>0</v>
      </c>
      <c r="S21" s="11">
        <f t="shared" si="8"/>
        <v>53981.695999999996</v>
      </c>
      <c r="T21" s="11">
        <f>SUMIFS(PURCHASE!$K$6:$K$10008,PURCHASE!$A$6:$A$10008,$S$3,PURCHASE!$D$6:$D$10008,$C$5:$C$499)</f>
        <v>45747.199999999997</v>
      </c>
      <c r="U21" s="11">
        <f>SUMIFS(PURCHASE!$L$6:$L$10008,PURCHASE!$A$6:$A$10008,$S$3,PURCHASE!$D$6:$D$10008,$C$5:$C$499)</f>
        <v>0</v>
      </c>
      <c r="V21" s="11">
        <f>SUMIFS(PURCHASE!$M$6:$M$10008,PURCHASE!$A$6:$A$10008,$S$3,PURCHASE!$D$6:$D$10008,$C$5:$C$499)</f>
        <v>4117.2479999999996</v>
      </c>
      <c r="W21" s="11">
        <f>SUMIFS(PURCHASE!$N$6:$N$10008,PURCHASE!$A$6:$A$10008,$S$3,PURCHASE!$D$6:$D$10008,$C$5:$C$499)</f>
        <v>4117.2479999999996</v>
      </c>
      <c r="X21" s="11">
        <f t="shared" si="9"/>
        <v>0</v>
      </c>
      <c r="Y21" s="11">
        <f>SUMIFS(PURCHASE!$K$6:$K$10008,PURCHASE!$A$6:$A$10008,$X$3,PURCHASE!$D$6:$D$10008,$C$5:$C$499)</f>
        <v>0</v>
      </c>
      <c r="Z21" s="11">
        <f>SUMIFS(PURCHASE!$L$6:$L$10008,PURCHASE!$A$6:$A$10008,$X$3,PURCHASE!$D$6:$D$10008,$C$5:$C$499)</f>
        <v>0</v>
      </c>
      <c r="AA21" s="11">
        <f>SUMIFS(PURCHASE!$M$6:$M$10008,PURCHASE!$A$6:$A$10008,$X$3,PURCHASE!$D$6:$D$10008,$C$5:$C$499)</f>
        <v>0</v>
      </c>
      <c r="AB21" s="11">
        <f>SUMIFS(PURCHASE!$N$6:$N$10008,PURCHASE!$A$6:$A$10008,$X$3,PURCHASE!$D$6:$D$10008,$C$5:$C$499)</f>
        <v>0</v>
      </c>
      <c r="AC21" s="11">
        <f t="shared" si="10"/>
        <v>0</v>
      </c>
      <c r="AD21" s="11">
        <f>SUMIFS(PURCHASE!$K$6:$K$10008,PURCHASE!$A$6:$A$10008,$AC$3,PURCHASE!$D$6:$D$10008,$C$5:$C$499)</f>
        <v>0</v>
      </c>
      <c r="AE21" s="11">
        <f>SUMIFS(PURCHASE!$L$6:$L$10008,PURCHASE!$A$6:$A$10008,$AC$3,PURCHASE!$D$6:$D$10008,$C$5:$C$499)</f>
        <v>0</v>
      </c>
      <c r="AF21" s="11">
        <f>SUMIFS(PURCHASE!$M$6:$M$10008,PURCHASE!$A$6:$A$10008,$AC$3,PURCHASE!$D$6:$D$10008,$C$5:$C$499)</f>
        <v>0</v>
      </c>
      <c r="AG21" s="11">
        <f>SUMIFS(PURCHASE!$N$6:$N$10008,PURCHASE!$A$6:$A$10008,$AC$3,PURCHASE!$D$6:$D$10008,$C$5:$C$499)</f>
        <v>0</v>
      </c>
      <c r="AH21" s="11">
        <f t="shared" si="11"/>
        <v>0</v>
      </c>
      <c r="AI21" s="11">
        <f>SUMIFS(PURCHASE!$K$6:$K$10008,PURCHASE!$A$6:$A$10008,$AH$3,PURCHASE!$D$6:$D$10008,$C$5:$C$499)</f>
        <v>0</v>
      </c>
      <c r="AJ21" s="11">
        <f>SUMIFS(PURCHASE!$L$6:$L$10008,PURCHASE!$A$6:$A$10008,$AH$3,PURCHASE!$D$6:$D$10008,$C$5:$C$499)</f>
        <v>0</v>
      </c>
      <c r="AK21" s="11">
        <f>SUMIFS(PURCHASE!$M$6:$M$10008,PURCHASE!$A$6:$A$10008,$AH$3,PURCHASE!$D$6:$D$10008,$C$5:$C$499)</f>
        <v>0</v>
      </c>
      <c r="AL21" s="11">
        <f>SUMIFS(PURCHASE!$N$6:$N$10008,PURCHASE!$A$6:$A$10008,$AH$3,PURCHASE!$D$6:$D$10008,$C$5:$C$499)</f>
        <v>0</v>
      </c>
      <c r="AM21" s="11">
        <f t="shared" si="12"/>
        <v>0</v>
      </c>
      <c r="AN21" s="11">
        <f>SUMIFS(PURCHASE!$K$6:$K$10008,PURCHASE!$A$6:$A$10008,$AM$3,PURCHASE!$D$6:$D$10008,$C$5:$C$499)</f>
        <v>0</v>
      </c>
      <c r="AO21" s="11">
        <f>SUMIFS(PURCHASE!$L$6:$L$10008,PURCHASE!$A$6:$A$10008,$AM$3,PURCHASE!$D$6:$D$10008,$C$5:$C$499)</f>
        <v>0</v>
      </c>
      <c r="AP21" s="11">
        <f>SUMIFS(PURCHASE!$M$6:$M$10008,PURCHASE!$A$6:$A$10008,$AM$3,PURCHASE!$D$6:$D$10008,$C$5:$C$499)</f>
        <v>0</v>
      </c>
      <c r="AQ21" s="11">
        <f>SUMIFS(PURCHASE!$N$6:$N$10008,PURCHASE!$A$6:$A$10008,$AM$3,PURCHASE!$D$6:$D$10008,$C$5:$C$499)</f>
        <v>0</v>
      </c>
      <c r="AR21" s="11">
        <f t="shared" si="13"/>
        <v>0</v>
      </c>
      <c r="AS21" s="11">
        <f>SUMIFS(PURCHASE!$K$6:$K$10008,PURCHASE!$A$6:$A$10008,$AR$3,PURCHASE!$D$6:$D$10008,$C$5:$C$499)</f>
        <v>0</v>
      </c>
      <c r="AT21" s="11">
        <f>SUMIFS(PURCHASE!$L$6:$L$10008,PURCHASE!$A$6:$A$10008,$AR$3,PURCHASE!$D$6:$D$10008,$C$5:$C$499)</f>
        <v>0</v>
      </c>
      <c r="AU21" s="11">
        <f>SUMIFS(PURCHASE!$M$6:$M$10008,PURCHASE!$A$6:$A$10008,$AR$3,PURCHASE!$D$6:$D$10008,$C$5:$C$499)</f>
        <v>0</v>
      </c>
      <c r="AV21" s="11">
        <f>SUMIFS(PURCHASE!$N$6:$N$10008,PURCHASE!$A$6:$A$10008,$AR$3,PURCHASE!$D$6:$D$10008,$C$5:$C$499)</f>
        <v>0</v>
      </c>
      <c r="AW21" s="11">
        <f t="shared" si="14"/>
        <v>0</v>
      </c>
      <c r="AX21" s="11">
        <f>SUMIFS(PURCHASE!$K$6:$K$10008,PURCHASE!$A$6:$A$10008,$AW$3,PURCHASE!$D$6:$D$10008,$C$5:$C$499)</f>
        <v>0</v>
      </c>
      <c r="AY21" s="11">
        <f>SUMIFS(PURCHASE!$L$6:$L$10008,PURCHASE!$A$6:$A$10008,$AW$3,PURCHASE!$D$6:$D$10008,$C$5:$C$499)</f>
        <v>0</v>
      </c>
      <c r="AZ21" s="11">
        <f>SUMIFS(PURCHASE!$M$6:$M$10008,PURCHASE!$A$6:$A$10008,$AW$3,PURCHASE!$D$6:$D$10008,$C$5:$C$499)</f>
        <v>0</v>
      </c>
      <c r="BA21" s="11">
        <f>SUMIFS(PURCHASE!$N$6:$N$10008,PURCHASE!$A$6:$A$10008,$AW$3,PURCHASE!$D$6:$D$10008,$C$5:$C$499)</f>
        <v>0</v>
      </c>
      <c r="BB21" s="11">
        <f t="shared" si="15"/>
        <v>0</v>
      </c>
      <c r="BC21" s="11">
        <f>SUMIFS(PURCHASE!$K$6:$K$10008,PURCHASE!$A$6:$A$10008,$BB$3,PURCHASE!$D$6:$D$10008,$C$5:$C$499)</f>
        <v>0</v>
      </c>
      <c r="BD21" s="11">
        <f>SUMIFS(PURCHASE!$L$6:$L$10008,PURCHASE!$A$6:$A$10008,$BB$3,PURCHASE!$D$6:$D$10008,$C$5:$C$499)</f>
        <v>0</v>
      </c>
      <c r="BE21" s="11">
        <f>SUMIFS(PURCHASE!$M$6:$M$10008,PURCHASE!$A$6:$A$10008,$BB$3,PURCHASE!$D$6:$D$10008,$C$5:$C$499)</f>
        <v>0</v>
      </c>
      <c r="BF21" s="11">
        <f>SUMIFS(PURCHASE!$N$6:$N$10008,PURCHASE!$A$6:$A$10008,$BB$3,PURCHASE!$D$6:$D$10008,$C$5:$C$499)</f>
        <v>0</v>
      </c>
      <c r="BG21" s="11">
        <f t="shared" si="16"/>
        <v>0</v>
      </c>
      <c r="BH21" s="11">
        <f>SUMIFS(PURCHASE!$K$6:$K$10008,PURCHASE!$A$6:$A$10008,$BG$3,PURCHASE!$D$6:$D$10008,$C$5:$C$499)</f>
        <v>0</v>
      </c>
      <c r="BI21" s="11">
        <f>SUMIFS(PURCHASE!$L$6:$L$10008,PURCHASE!$A$6:$A$10008,$BG$3,PURCHASE!$D$6:$D$10008,$C$5:$C$499)</f>
        <v>0</v>
      </c>
      <c r="BJ21" s="11">
        <f>SUMIFS(PURCHASE!$M$6:$M$10008,PURCHASE!$A$6:$A$10008,$BG$3,PURCHASE!$D$6:$D$10008,$C$5:$C$499)</f>
        <v>0</v>
      </c>
      <c r="BK21" s="11">
        <f>SUMIFS(PURCHASE!$N$6:$N$10008,PURCHASE!$A$6:$A$10008,$BG$3,PURCHASE!$D$6:$D$10008,$C$5:$C$499)</f>
        <v>0</v>
      </c>
      <c r="BL21" s="11">
        <f t="shared" si="4"/>
        <v>116296.08</v>
      </c>
      <c r="BM21" s="11">
        <f t="shared" si="4"/>
        <v>98556</v>
      </c>
      <c r="BN21" s="11">
        <f t="shared" si="4"/>
        <v>0</v>
      </c>
      <c r="BO21" s="11">
        <f t="shared" si="4"/>
        <v>8870.0399999999991</v>
      </c>
      <c r="BP21" s="11">
        <f t="shared" si="4"/>
        <v>8870.0399999999991</v>
      </c>
    </row>
    <row r="22" spans="1:68" x14ac:dyDescent="0.2">
      <c r="A22" s="467">
        <v>18</v>
      </c>
      <c r="B22" s="468" t="s">
        <v>518</v>
      </c>
      <c r="C22" s="469" t="s">
        <v>519</v>
      </c>
      <c r="D22" s="11">
        <f t="shared" si="5"/>
        <v>5671.08</v>
      </c>
      <c r="E22" s="11">
        <f>SUMIFS(PURCHASE!$K$6:$K$10008,PURCHASE!$A$6:$A$10008,$D$3,PURCHASE!$D$6:$D$10008,$C$5:$C$499)</f>
        <v>4806</v>
      </c>
      <c r="F22" s="11">
        <f>SUMIFS(PURCHASE!$L$6:$L$10008,PURCHASE!$A$6:$A$10008,$D$3,PURCHASE!$D$6:$D$10008,$C$5:$C$499)</f>
        <v>0</v>
      </c>
      <c r="G22" s="11">
        <f>SUMIFS(PURCHASE!$M$6:$M$10008,PURCHASE!$A$6:$A$10008,$D$3,PURCHASE!$D$6:$D$10008,$C$5:$C$499)</f>
        <v>432.54</v>
      </c>
      <c r="H22" s="11">
        <f>SUMIFS(PURCHASE!$N$6:$N$10008,PURCHASE!$A$6:$A$10008,$D$3,PURCHASE!$D$6:$D$10008,$C$5:$C$499)</f>
        <v>432.54</v>
      </c>
      <c r="I22" s="473">
        <f t="shared" si="6"/>
        <v>5658.1</v>
      </c>
      <c r="J22" s="60">
        <f>SUMIFS(PURCHASE!$K$6:$K$10008,PURCHASE!$A$6:$A$10008,$I$3,PURCHASE!$D$6:$D$10008,$C$5:$C$499)</f>
        <v>4795</v>
      </c>
      <c r="K22" s="60">
        <f>SUMIFS(PURCHASE!$L$6:$L$10008,PURCHASE!$A$6:$A$10008,$I$3,PURCHASE!$D$6:$D$10008,$C$5:$C$499)</f>
        <v>0</v>
      </c>
      <c r="L22" s="60">
        <f>SUMIFS(PURCHASE!$M$6:$M$10008,PURCHASE!$A$6:$A$10008,$I$3,PURCHASE!$D$6:$D$10008,$C$5:$C$499)</f>
        <v>431.55</v>
      </c>
      <c r="M22" s="474">
        <f>SUMIFS(PURCHASE!$N$6:$N$10008,PURCHASE!$A$6:$A$10008,$I$3,PURCHASE!$D$6:$D$10008,$C$5:$C$499)</f>
        <v>431.55</v>
      </c>
      <c r="N22" s="11">
        <f t="shared" si="7"/>
        <v>5823.4887999999992</v>
      </c>
      <c r="O22" s="11">
        <f>SUMIFS(PURCHASE!$K$6:$K$10008,PURCHASE!$A$6:$A$10008,$N$3,PURCHASE!$D$6:$D$10008,$C$5:$C$499)</f>
        <v>4935.16</v>
      </c>
      <c r="P22" s="11">
        <f>SUMIFS(PURCHASE!$L$6:$L$10008,PURCHASE!$A$6:$A$10008,$N$3,PURCHASE!$D$6:$D$10008,$C$5:$C$499)</f>
        <v>0</v>
      </c>
      <c r="Q22" s="11">
        <f>SUMIFS(PURCHASE!$M$6:$M$10008,PURCHASE!$A$6:$A$10008,$N$3,PURCHASE!$D$6:$D$10008,$C$5:$C$499)</f>
        <v>444.1644</v>
      </c>
      <c r="R22" s="11">
        <f>SUMIFS(PURCHASE!$N$6:$N$10008,PURCHASE!$A$6:$A$10008,$N$3,PURCHASE!$D$6:$D$10008,$C$5:$C$499)</f>
        <v>444.1644</v>
      </c>
      <c r="S22" s="11">
        <f t="shared" si="8"/>
        <v>5747.7800000000007</v>
      </c>
      <c r="T22" s="11">
        <f>SUMIFS(PURCHASE!$K$6:$K$10008,PURCHASE!$A$6:$A$10008,$S$3,PURCHASE!$D$6:$D$10008,$C$5:$C$499)</f>
        <v>4871</v>
      </c>
      <c r="U22" s="11">
        <f>SUMIFS(PURCHASE!$L$6:$L$10008,PURCHASE!$A$6:$A$10008,$S$3,PURCHASE!$D$6:$D$10008,$C$5:$C$499)</f>
        <v>0</v>
      </c>
      <c r="V22" s="11">
        <f>SUMIFS(PURCHASE!$M$6:$M$10008,PURCHASE!$A$6:$A$10008,$S$3,PURCHASE!$D$6:$D$10008,$C$5:$C$499)</f>
        <v>438.39</v>
      </c>
      <c r="W22" s="11">
        <f>SUMIFS(PURCHASE!$N$6:$N$10008,PURCHASE!$A$6:$A$10008,$S$3,PURCHASE!$D$6:$D$10008,$C$5:$C$499)</f>
        <v>438.39</v>
      </c>
      <c r="X22" s="11">
        <f t="shared" si="9"/>
        <v>5689.9599999999991</v>
      </c>
      <c r="Y22" s="11">
        <f>SUMIFS(PURCHASE!$K$6:$K$10008,PURCHASE!$A$6:$A$10008,$X$3,PURCHASE!$D$6:$D$10008,$C$5:$C$499)</f>
        <v>4822</v>
      </c>
      <c r="Z22" s="11">
        <f>SUMIFS(PURCHASE!$L$6:$L$10008,PURCHASE!$A$6:$A$10008,$X$3,PURCHASE!$D$6:$D$10008,$C$5:$C$499)</f>
        <v>0</v>
      </c>
      <c r="AA22" s="11">
        <f>SUMIFS(PURCHASE!$M$6:$M$10008,PURCHASE!$A$6:$A$10008,$X$3,PURCHASE!$D$6:$D$10008,$C$5:$C$499)</f>
        <v>433.98</v>
      </c>
      <c r="AB22" s="11">
        <f>SUMIFS(PURCHASE!$N$6:$N$10008,PURCHASE!$A$6:$A$10008,$X$3,PURCHASE!$D$6:$D$10008,$C$5:$C$499)</f>
        <v>433.98</v>
      </c>
      <c r="AC22" s="11">
        <f t="shared" si="10"/>
        <v>5659.2800000000007</v>
      </c>
      <c r="AD22" s="11">
        <f>SUMIFS(PURCHASE!$K$6:$K$10008,PURCHASE!$A$6:$A$10008,$AC$3,PURCHASE!$D$6:$D$10008,$C$5:$C$499)</f>
        <v>4796</v>
      </c>
      <c r="AE22" s="11">
        <f>SUMIFS(PURCHASE!$L$6:$L$10008,PURCHASE!$A$6:$A$10008,$AC$3,PURCHASE!$D$6:$D$10008,$C$5:$C$499)</f>
        <v>0</v>
      </c>
      <c r="AF22" s="11">
        <f>SUMIFS(PURCHASE!$M$6:$M$10008,PURCHASE!$A$6:$A$10008,$AC$3,PURCHASE!$D$6:$D$10008,$C$5:$C$499)</f>
        <v>431.64</v>
      </c>
      <c r="AG22" s="11">
        <f>SUMIFS(PURCHASE!$N$6:$N$10008,PURCHASE!$A$6:$A$10008,$AC$3,PURCHASE!$D$6:$D$10008,$C$5:$C$499)</f>
        <v>431.64</v>
      </c>
      <c r="AH22" s="11">
        <f t="shared" si="11"/>
        <v>5660.4599999999991</v>
      </c>
      <c r="AI22" s="11">
        <f>SUMIFS(PURCHASE!$K$6:$K$10008,PURCHASE!$A$6:$A$10008,$AH$3,PURCHASE!$D$6:$D$10008,$C$5:$C$499)</f>
        <v>4797</v>
      </c>
      <c r="AJ22" s="11">
        <f>SUMIFS(PURCHASE!$L$6:$L$10008,PURCHASE!$A$6:$A$10008,$AH$3,PURCHASE!$D$6:$D$10008,$C$5:$C$499)</f>
        <v>0</v>
      </c>
      <c r="AK22" s="11">
        <f>SUMIFS(PURCHASE!$M$6:$M$10008,PURCHASE!$A$6:$A$10008,$AH$3,PURCHASE!$D$6:$D$10008,$C$5:$C$499)</f>
        <v>431.73</v>
      </c>
      <c r="AL22" s="11">
        <f>SUMIFS(PURCHASE!$N$6:$N$10008,PURCHASE!$A$6:$A$10008,$AH$3,PURCHASE!$D$6:$D$10008,$C$5:$C$499)</f>
        <v>431.73</v>
      </c>
      <c r="AM22" s="11">
        <f t="shared" si="12"/>
        <v>0</v>
      </c>
      <c r="AN22" s="11">
        <f>SUMIFS(PURCHASE!$K$6:$K$10008,PURCHASE!$A$6:$A$10008,$AM$3,PURCHASE!$D$6:$D$10008,$C$5:$C$499)</f>
        <v>0</v>
      </c>
      <c r="AO22" s="11">
        <f>SUMIFS(PURCHASE!$L$6:$L$10008,PURCHASE!$A$6:$A$10008,$AM$3,PURCHASE!$D$6:$D$10008,$C$5:$C$499)</f>
        <v>0</v>
      </c>
      <c r="AP22" s="11">
        <f>SUMIFS(PURCHASE!$M$6:$M$10008,PURCHASE!$A$6:$A$10008,$AM$3,PURCHASE!$D$6:$D$10008,$C$5:$C$499)</f>
        <v>0</v>
      </c>
      <c r="AQ22" s="11">
        <f>SUMIFS(PURCHASE!$N$6:$N$10008,PURCHASE!$A$6:$A$10008,$AM$3,PURCHASE!$D$6:$D$10008,$C$5:$C$499)</f>
        <v>0</v>
      </c>
      <c r="AR22" s="11">
        <f t="shared" si="13"/>
        <v>0</v>
      </c>
      <c r="AS22" s="11">
        <f>SUMIFS(PURCHASE!$K$6:$K$10008,PURCHASE!$A$6:$A$10008,$AR$3,PURCHASE!$D$6:$D$10008,$C$5:$C$499)</f>
        <v>0</v>
      </c>
      <c r="AT22" s="11">
        <f>SUMIFS(PURCHASE!$L$6:$L$10008,PURCHASE!$A$6:$A$10008,$AR$3,PURCHASE!$D$6:$D$10008,$C$5:$C$499)</f>
        <v>0</v>
      </c>
      <c r="AU22" s="11">
        <f>SUMIFS(PURCHASE!$M$6:$M$10008,PURCHASE!$A$6:$A$10008,$AR$3,PURCHASE!$D$6:$D$10008,$C$5:$C$499)</f>
        <v>0</v>
      </c>
      <c r="AV22" s="11">
        <f>SUMIFS(PURCHASE!$N$6:$N$10008,PURCHASE!$A$6:$A$10008,$AR$3,PURCHASE!$D$6:$D$10008,$C$5:$C$499)</f>
        <v>0</v>
      </c>
      <c r="AW22" s="11">
        <f t="shared" si="14"/>
        <v>0</v>
      </c>
      <c r="AX22" s="11">
        <f>SUMIFS(PURCHASE!$K$6:$K$10008,PURCHASE!$A$6:$A$10008,$AW$3,PURCHASE!$D$6:$D$10008,$C$5:$C$499)</f>
        <v>0</v>
      </c>
      <c r="AY22" s="11">
        <f>SUMIFS(PURCHASE!$L$6:$L$10008,PURCHASE!$A$6:$A$10008,$AW$3,PURCHASE!$D$6:$D$10008,$C$5:$C$499)</f>
        <v>0</v>
      </c>
      <c r="AZ22" s="11">
        <f>SUMIFS(PURCHASE!$M$6:$M$10008,PURCHASE!$A$6:$A$10008,$AW$3,PURCHASE!$D$6:$D$10008,$C$5:$C$499)</f>
        <v>0</v>
      </c>
      <c r="BA22" s="11">
        <f>SUMIFS(PURCHASE!$N$6:$N$10008,PURCHASE!$A$6:$A$10008,$AW$3,PURCHASE!$D$6:$D$10008,$C$5:$C$499)</f>
        <v>0</v>
      </c>
      <c r="BB22" s="11">
        <f t="shared" si="15"/>
        <v>0</v>
      </c>
      <c r="BC22" s="11">
        <f>SUMIFS(PURCHASE!$K$6:$K$10008,PURCHASE!$A$6:$A$10008,$BB$3,PURCHASE!$D$6:$D$10008,$C$5:$C$499)</f>
        <v>0</v>
      </c>
      <c r="BD22" s="11">
        <f>SUMIFS(PURCHASE!$L$6:$L$10008,PURCHASE!$A$6:$A$10008,$BB$3,PURCHASE!$D$6:$D$10008,$C$5:$C$499)</f>
        <v>0</v>
      </c>
      <c r="BE22" s="11">
        <f>SUMIFS(PURCHASE!$M$6:$M$10008,PURCHASE!$A$6:$A$10008,$BB$3,PURCHASE!$D$6:$D$10008,$C$5:$C$499)</f>
        <v>0</v>
      </c>
      <c r="BF22" s="11">
        <f>SUMIFS(PURCHASE!$N$6:$N$10008,PURCHASE!$A$6:$A$10008,$BB$3,PURCHASE!$D$6:$D$10008,$C$5:$C$499)</f>
        <v>0</v>
      </c>
      <c r="BG22" s="11">
        <f t="shared" si="16"/>
        <v>0</v>
      </c>
      <c r="BH22" s="11">
        <f>SUMIFS(PURCHASE!$K$6:$K$10008,PURCHASE!$A$6:$A$10008,$BG$3,PURCHASE!$D$6:$D$10008,$C$5:$C$499)</f>
        <v>0</v>
      </c>
      <c r="BI22" s="11">
        <f>SUMIFS(PURCHASE!$L$6:$L$10008,PURCHASE!$A$6:$A$10008,$BG$3,PURCHASE!$D$6:$D$10008,$C$5:$C$499)</f>
        <v>0</v>
      </c>
      <c r="BJ22" s="11">
        <f>SUMIFS(PURCHASE!$M$6:$M$10008,PURCHASE!$A$6:$A$10008,$BG$3,PURCHASE!$D$6:$D$10008,$C$5:$C$499)</f>
        <v>0</v>
      </c>
      <c r="BK22" s="11">
        <f>SUMIFS(PURCHASE!$N$6:$N$10008,PURCHASE!$A$6:$A$10008,$BG$3,PURCHASE!$D$6:$D$10008,$C$5:$C$499)</f>
        <v>0</v>
      </c>
      <c r="BL22" s="11">
        <f t="shared" si="4"/>
        <v>39910.148799999995</v>
      </c>
      <c r="BM22" s="11">
        <f t="shared" si="4"/>
        <v>33822.160000000003</v>
      </c>
      <c r="BN22" s="11">
        <f t="shared" si="4"/>
        <v>0</v>
      </c>
      <c r="BO22" s="11">
        <f t="shared" si="4"/>
        <v>3043.9944</v>
      </c>
      <c r="BP22" s="11">
        <f t="shared" si="4"/>
        <v>3043.9944</v>
      </c>
    </row>
    <row r="23" spans="1:68" x14ac:dyDescent="0.2">
      <c r="A23" s="467">
        <v>19</v>
      </c>
      <c r="B23" s="475" t="s">
        <v>1072</v>
      </c>
      <c r="C23" s="475" t="s">
        <v>1073</v>
      </c>
      <c r="D23" s="11">
        <f t="shared" si="5"/>
        <v>0</v>
      </c>
      <c r="E23" s="11">
        <f>SUMIFS(PURCHASE!$K$6:$K$10008,PURCHASE!$A$6:$A$10008,$D$3,PURCHASE!$D$6:$D$10008,$C$5:$C$499)</f>
        <v>0</v>
      </c>
      <c r="F23" s="11">
        <f>SUMIFS(PURCHASE!$L$6:$L$10008,PURCHASE!$A$6:$A$10008,$D$3,PURCHASE!$D$6:$D$10008,$C$5:$C$499)</f>
        <v>0</v>
      </c>
      <c r="G23" s="11">
        <f>SUMIFS(PURCHASE!$M$6:$M$10008,PURCHASE!$A$6:$A$10008,$D$3,PURCHASE!$D$6:$D$10008,$C$5:$C$499)</f>
        <v>0</v>
      </c>
      <c r="H23" s="11">
        <f>SUMIFS(PURCHASE!$N$6:$N$10008,PURCHASE!$A$6:$A$10008,$D$3,PURCHASE!$D$6:$D$10008,$C$5:$C$499)</f>
        <v>0</v>
      </c>
      <c r="I23" s="473">
        <f t="shared" si="6"/>
        <v>0</v>
      </c>
      <c r="J23" s="60">
        <f>SUMIFS(PURCHASE!$K$6:$K$10008,PURCHASE!$A$6:$A$10008,$I$3,PURCHASE!$D$6:$D$10008,$C$5:$C$499)</f>
        <v>0</v>
      </c>
      <c r="K23" s="60">
        <f>SUMIFS(PURCHASE!$L$6:$L$10008,PURCHASE!$A$6:$A$10008,$I$3,PURCHASE!$D$6:$D$10008,$C$5:$C$499)</f>
        <v>0</v>
      </c>
      <c r="L23" s="60">
        <f>SUMIFS(PURCHASE!$M$6:$M$10008,PURCHASE!$A$6:$A$10008,$I$3,PURCHASE!$D$6:$D$10008,$C$5:$C$499)</f>
        <v>0</v>
      </c>
      <c r="M23" s="474">
        <f>SUMIFS(PURCHASE!$N$6:$N$10008,PURCHASE!$A$6:$A$10008,$I$3,PURCHASE!$D$6:$D$10008,$C$5:$C$499)</f>
        <v>0</v>
      </c>
      <c r="N23" s="11">
        <f t="shared" si="7"/>
        <v>0</v>
      </c>
      <c r="O23" s="11">
        <f>SUMIFS(PURCHASE!$K$6:$K$10008,PURCHASE!$A$6:$A$10008,$N$3,PURCHASE!$D$6:$D$10008,$C$5:$C$499)</f>
        <v>0</v>
      </c>
      <c r="P23" s="11">
        <f>SUMIFS(PURCHASE!$L$6:$L$10008,PURCHASE!$A$6:$A$10008,$N$3,PURCHASE!$D$6:$D$10008,$C$5:$C$499)</f>
        <v>0</v>
      </c>
      <c r="Q23" s="11">
        <f>SUMIFS(PURCHASE!$M$6:$M$10008,PURCHASE!$A$6:$A$10008,$N$3,PURCHASE!$D$6:$D$10008,$C$5:$C$499)</f>
        <v>0</v>
      </c>
      <c r="R23" s="11">
        <f>SUMIFS(PURCHASE!$N$6:$N$10008,PURCHASE!$A$6:$A$10008,$N$3,PURCHASE!$D$6:$D$10008,$C$5:$C$499)</f>
        <v>0</v>
      </c>
      <c r="S23" s="11">
        <f t="shared" si="8"/>
        <v>0</v>
      </c>
      <c r="T23" s="11">
        <f>SUMIFS(PURCHASE!$K$6:$K$10008,PURCHASE!$A$6:$A$10008,$S$3,PURCHASE!$D$6:$D$10008,$C$5:$C$499)</f>
        <v>0</v>
      </c>
      <c r="U23" s="11">
        <f>SUMIFS(PURCHASE!$L$6:$L$10008,PURCHASE!$A$6:$A$10008,$S$3,PURCHASE!$D$6:$D$10008,$C$5:$C$499)</f>
        <v>0</v>
      </c>
      <c r="V23" s="11">
        <f>SUMIFS(PURCHASE!$M$6:$M$10008,PURCHASE!$A$6:$A$10008,$S$3,PURCHASE!$D$6:$D$10008,$C$5:$C$499)</f>
        <v>0</v>
      </c>
      <c r="W23" s="11">
        <f>SUMIFS(PURCHASE!$N$6:$N$10008,PURCHASE!$A$6:$A$10008,$S$3,PURCHASE!$D$6:$D$10008,$C$5:$C$499)</f>
        <v>0</v>
      </c>
      <c r="X23" s="11">
        <f t="shared" si="9"/>
        <v>0</v>
      </c>
      <c r="Y23" s="11">
        <f>SUMIFS(PURCHASE!$K$6:$K$10008,PURCHASE!$A$6:$A$10008,$X$3,PURCHASE!$D$6:$D$10008,$C$5:$C$499)</f>
        <v>0</v>
      </c>
      <c r="Z23" s="11">
        <f>SUMIFS(PURCHASE!$L$6:$L$10008,PURCHASE!$A$6:$A$10008,$X$3,PURCHASE!$D$6:$D$10008,$C$5:$C$499)</f>
        <v>0</v>
      </c>
      <c r="AA23" s="11">
        <f>SUMIFS(PURCHASE!$M$6:$M$10008,PURCHASE!$A$6:$A$10008,$X$3,PURCHASE!$D$6:$D$10008,$C$5:$C$499)</f>
        <v>0</v>
      </c>
      <c r="AB23" s="11">
        <f>SUMIFS(PURCHASE!$N$6:$N$10008,PURCHASE!$A$6:$A$10008,$X$3,PURCHASE!$D$6:$D$10008,$C$5:$C$499)</f>
        <v>0</v>
      </c>
      <c r="AC23" s="11">
        <f t="shared" si="10"/>
        <v>0</v>
      </c>
      <c r="AD23" s="11">
        <f>SUMIFS(PURCHASE!$K$6:$K$10008,PURCHASE!$A$6:$A$10008,$AC$3,PURCHASE!$D$6:$D$10008,$C$5:$C$499)</f>
        <v>0</v>
      </c>
      <c r="AE23" s="11">
        <f>SUMIFS(PURCHASE!$L$6:$L$10008,PURCHASE!$A$6:$A$10008,$AC$3,PURCHASE!$D$6:$D$10008,$C$5:$C$499)</f>
        <v>0</v>
      </c>
      <c r="AF23" s="11">
        <f>SUMIFS(PURCHASE!$M$6:$M$10008,PURCHASE!$A$6:$A$10008,$AC$3,PURCHASE!$D$6:$D$10008,$C$5:$C$499)</f>
        <v>0</v>
      </c>
      <c r="AG23" s="11">
        <f>SUMIFS(PURCHASE!$N$6:$N$10008,PURCHASE!$A$6:$A$10008,$AC$3,PURCHASE!$D$6:$D$10008,$C$5:$C$499)</f>
        <v>0</v>
      </c>
      <c r="AH23" s="11">
        <f t="shared" si="11"/>
        <v>0</v>
      </c>
      <c r="AI23" s="11">
        <f>SUMIFS(PURCHASE!$K$6:$K$10008,PURCHASE!$A$6:$A$10008,$AH$3,PURCHASE!$D$6:$D$10008,$C$5:$C$499)</f>
        <v>0</v>
      </c>
      <c r="AJ23" s="11">
        <f>SUMIFS(PURCHASE!$L$6:$L$10008,PURCHASE!$A$6:$A$10008,$AH$3,PURCHASE!$D$6:$D$10008,$C$5:$C$499)</f>
        <v>0</v>
      </c>
      <c r="AK23" s="11">
        <f>SUMIFS(PURCHASE!$M$6:$M$10008,PURCHASE!$A$6:$A$10008,$AH$3,PURCHASE!$D$6:$D$10008,$C$5:$C$499)</f>
        <v>0</v>
      </c>
      <c r="AL23" s="11">
        <f>SUMIFS(PURCHASE!$N$6:$N$10008,PURCHASE!$A$6:$A$10008,$AH$3,PURCHASE!$D$6:$D$10008,$C$5:$C$499)</f>
        <v>0</v>
      </c>
      <c r="AM23" s="11">
        <f t="shared" si="12"/>
        <v>0</v>
      </c>
      <c r="AN23" s="11">
        <f>SUMIFS(PURCHASE!$K$6:$K$10008,PURCHASE!$A$6:$A$10008,$AM$3,PURCHASE!$D$6:$D$10008,$C$5:$C$499)</f>
        <v>0</v>
      </c>
      <c r="AO23" s="11">
        <f>SUMIFS(PURCHASE!$L$6:$L$10008,PURCHASE!$A$6:$A$10008,$AM$3,PURCHASE!$D$6:$D$10008,$C$5:$C$499)</f>
        <v>0</v>
      </c>
      <c r="AP23" s="11">
        <f>SUMIFS(PURCHASE!$M$6:$M$10008,PURCHASE!$A$6:$A$10008,$AM$3,PURCHASE!$D$6:$D$10008,$C$5:$C$499)</f>
        <v>0</v>
      </c>
      <c r="AQ23" s="11">
        <f>SUMIFS(PURCHASE!$N$6:$N$10008,PURCHASE!$A$6:$A$10008,$AM$3,PURCHASE!$D$6:$D$10008,$C$5:$C$499)</f>
        <v>0</v>
      </c>
      <c r="AR23" s="11">
        <f t="shared" si="13"/>
        <v>0</v>
      </c>
      <c r="AS23" s="11">
        <f>SUMIFS(PURCHASE!$K$6:$K$10008,PURCHASE!$A$6:$A$10008,$AR$3,PURCHASE!$D$6:$D$10008,$C$5:$C$499)</f>
        <v>0</v>
      </c>
      <c r="AT23" s="11">
        <f>SUMIFS(PURCHASE!$L$6:$L$10008,PURCHASE!$A$6:$A$10008,$AR$3,PURCHASE!$D$6:$D$10008,$C$5:$C$499)</f>
        <v>0</v>
      </c>
      <c r="AU23" s="11">
        <f>SUMIFS(PURCHASE!$M$6:$M$10008,PURCHASE!$A$6:$A$10008,$AR$3,PURCHASE!$D$6:$D$10008,$C$5:$C$499)</f>
        <v>0</v>
      </c>
      <c r="AV23" s="11">
        <f>SUMIFS(PURCHASE!$N$6:$N$10008,PURCHASE!$A$6:$A$10008,$AR$3,PURCHASE!$D$6:$D$10008,$C$5:$C$499)</f>
        <v>0</v>
      </c>
      <c r="AW23" s="11">
        <f t="shared" si="14"/>
        <v>0</v>
      </c>
      <c r="AX23" s="11">
        <f>SUMIFS(PURCHASE!$K$6:$K$10008,PURCHASE!$A$6:$A$10008,$AW$3,PURCHASE!$D$6:$D$10008,$C$5:$C$499)</f>
        <v>0</v>
      </c>
      <c r="AY23" s="11">
        <f>SUMIFS(PURCHASE!$L$6:$L$10008,PURCHASE!$A$6:$A$10008,$AW$3,PURCHASE!$D$6:$D$10008,$C$5:$C$499)</f>
        <v>0</v>
      </c>
      <c r="AZ23" s="11">
        <f>SUMIFS(PURCHASE!$M$6:$M$10008,PURCHASE!$A$6:$A$10008,$AW$3,PURCHASE!$D$6:$D$10008,$C$5:$C$499)</f>
        <v>0</v>
      </c>
      <c r="BA23" s="11">
        <f>SUMIFS(PURCHASE!$N$6:$N$10008,PURCHASE!$A$6:$A$10008,$AW$3,PURCHASE!$D$6:$D$10008,$C$5:$C$499)</f>
        <v>0</v>
      </c>
      <c r="BB23" s="11">
        <f t="shared" si="15"/>
        <v>0</v>
      </c>
      <c r="BC23" s="11">
        <f>SUMIFS(PURCHASE!$K$6:$K$10008,PURCHASE!$A$6:$A$10008,$BB$3,PURCHASE!$D$6:$D$10008,$C$5:$C$499)</f>
        <v>0</v>
      </c>
      <c r="BD23" s="11">
        <f>SUMIFS(PURCHASE!$L$6:$L$10008,PURCHASE!$A$6:$A$10008,$BB$3,PURCHASE!$D$6:$D$10008,$C$5:$C$499)</f>
        <v>0</v>
      </c>
      <c r="BE23" s="11">
        <f>SUMIFS(PURCHASE!$M$6:$M$10008,PURCHASE!$A$6:$A$10008,$BB$3,PURCHASE!$D$6:$D$10008,$C$5:$C$499)</f>
        <v>0</v>
      </c>
      <c r="BF23" s="11">
        <f>SUMIFS(PURCHASE!$N$6:$N$10008,PURCHASE!$A$6:$A$10008,$BB$3,PURCHASE!$D$6:$D$10008,$C$5:$C$499)</f>
        <v>0</v>
      </c>
      <c r="BG23" s="11">
        <f t="shared" si="16"/>
        <v>0</v>
      </c>
      <c r="BH23" s="11">
        <f>SUMIFS(PURCHASE!$K$6:$K$10008,PURCHASE!$A$6:$A$10008,$BG$3,PURCHASE!$D$6:$D$10008,$C$5:$C$499)</f>
        <v>0</v>
      </c>
      <c r="BI23" s="11">
        <f>SUMIFS(PURCHASE!$L$6:$L$10008,PURCHASE!$A$6:$A$10008,$BG$3,PURCHASE!$D$6:$D$10008,$C$5:$C$499)</f>
        <v>0</v>
      </c>
      <c r="BJ23" s="11">
        <f>SUMIFS(PURCHASE!$M$6:$M$10008,PURCHASE!$A$6:$A$10008,$BG$3,PURCHASE!$D$6:$D$10008,$C$5:$C$499)</f>
        <v>0</v>
      </c>
      <c r="BK23" s="11">
        <f>SUMIFS(PURCHASE!$N$6:$N$10008,PURCHASE!$A$6:$A$10008,$BG$3,PURCHASE!$D$6:$D$10008,$C$5:$C$499)</f>
        <v>0</v>
      </c>
      <c r="BL23" s="11">
        <f t="shared" si="4"/>
        <v>0</v>
      </c>
      <c r="BM23" s="11">
        <f t="shared" si="4"/>
        <v>0</v>
      </c>
      <c r="BN23" s="11">
        <f t="shared" si="4"/>
        <v>0</v>
      </c>
      <c r="BO23" s="11">
        <f t="shared" si="4"/>
        <v>0</v>
      </c>
      <c r="BP23" s="11">
        <f t="shared" si="4"/>
        <v>0</v>
      </c>
    </row>
    <row r="24" spans="1:68" x14ac:dyDescent="0.2">
      <c r="A24" s="467">
        <v>20</v>
      </c>
      <c r="B24" s="468" t="s">
        <v>479</v>
      </c>
      <c r="C24" s="469" t="s">
        <v>480</v>
      </c>
      <c r="D24" s="11">
        <f t="shared" si="5"/>
        <v>25769.311999999998</v>
      </c>
      <c r="E24" s="11">
        <f>SUMIFS(PURCHASE!$K$6:$K$10008,PURCHASE!$A$6:$A$10008,$D$3,PURCHASE!$D$6:$D$10008,$C$5:$C$499)</f>
        <v>21838.400000000001</v>
      </c>
      <c r="F24" s="11">
        <f>SUMIFS(PURCHASE!$L$6:$L$10008,PURCHASE!$A$6:$A$10008,$D$3,PURCHASE!$D$6:$D$10008,$C$5:$C$499)</f>
        <v>0</v>
      </c>
      <c r="G24" s="11">
        <f>SUMIFS(PURCHASE!$M$6:$M$10008,PURCHASE!$A$6:$A$10008,$D$3,PURCHASE!$D$6:$D$10008,$C$5:$C$499)</f>
        <v>1965.4559999999999</v>
      </c>
      <c r="H24" s="11">
        <f>SUMIFS(PURCHASE!$N$6:$N$10008,PURCHASE!$A$6:$A$10008,$D$3,PURCHASE!$D$6:$D$10008,$C$5:$C$499)</f>
        <v>1965.4559999999999</v>
      </c>
      <c r="I24" s="473">
        <f t="shared" si="6"/>
        <v>0</v>
      </c>
      <c r="J24" s="60">
        <f>SUMIFS(PURCHASE!$K$6:$K$10008,PURCHASE!$A$6:$A$10008,$I$3,PURCHASE!$D$6:$D$10008,$C$5:$C$499)</f>
        <v>0</v>
      </c>
      <c r="K24" s="60">
        <f>SUMIFS(PURCHASE!$L$6:$L$10008,PURCHASE!$A$6:$A$10008,$I$3,PURCHASE!$D$6:$D$10008,$C$5:$C$499)</f>
        <v>0</v>
      </c>
      <c r="L24" s="60">
        <f>SUMIFS(PURCHASE!$M$6:$M$10008,PURCHASE!$A$6:$A$10008,$I$3,PURCHASE!$D$6:$D$10008,$C$5:$C$499)</f>
        <v>0</v>
      </c>
      <c r="M24" s="474">
        <f>SUMIFS(PURCHASE!$N$6:$N$10008,PURCHASE!$A$6:$A$10008,$I$3,PURCHASE!$D$6:$D$10008,$C$5:$C$499)</f>
        <v>0</v>
      </c>
      <c r="N24" s="11">
        <f t="shared" si="7"/>
        <v>1836.434</v>
      </c>
      <c r="O24" s="11">
        <f>SUMIFS(PURCHASE!$K$6:$K$10008,PURCHASE!$A$6:$A$10008,$N$3,PURCHASE!$D$6:$D$10008,$C$5:$C$499)</f>
        <v>1556.3</v>
      </c>
      <c r="P24" s="11">
        <f>SUMIFS(PURCHASE!$L$6:$L$10008,PURCHASE!$A$6:$A$10008,$N$3,PURCHASE!$D$6:$D$10008,$C$5:$C$499)</f>
        <v>0</v>
      </c>
      <c r="Q24" s="11">
        <f>SUMIFS(PURCHASE!$M$6:$M$10008,PURCHASE!$A$6:$A$10008,$N$3,PURCHASE!$D$6:$D$10008,$C$5:$C$499)</f>
        <v>140.06700000000001</v>
      </c>
      <c r="R24" s="11">
        <f>SUMIFS(PURCHASE!$N$6:$N$10008,PURCHASE!$A$6:$A$10008,$N$3,PURCHASE!$D$6:$D$10008,$C$5:$C$499)</f>
        <v>140.06700000000001</v>
      </c>
      <c r="S24" s="11">
        <f t="shared" si="8"/>
        <v>46462.087</v>
      </c>
      <c r="T24" s="11">
        <f>SUMIFS(PURCHASE!$K$6:$K$10008,PURCHASE!$A$6:$A$10008,$S$3,PURCHASE!$D$6:$D$10008,$C$5:$C$499)</f>
        <v>39374.649999999994</v>
      </c>
      <c r="U24" s="11">
        <f>SUMIFS(PURCHASE!$L$6:$L$10008,PURCHASE!$A$6:$A$10008,$S$3,PURCHASE!$D$6:$D$10008,$C$5:$C$499)</f>
        <v>0</v>
      </c>
      <c r="V24" s="11">
        <f>SUMIFS(PURCHASE!$M$6:$M$10008,PURCHASE!$A$6:$A$10008,$S$3,PURCHASE!$D$6:$D$10008,$C$5:$C$499)</f>
        <v>3543.7184999999995</v>
      </c>
      <c r="W24" s="11">
        <f>SUMIFS(PURCHASE!$N$6:$N$10008,PURCHASE!$A$6:$A$10008,$S$3,PURCHASE!$D$6:$D$10008,$C$5:$C$499)</f>
        <v>3543.7184999999995</v>
      </c>
      <c r="X24" s="11">
        <f t="shared" si="9"/>
        <v>98480.558000000019</v>
      </c>
      <c r="Y24" s="11">
        <f>SUMIFS(PURCHASE!$K$6:$K$10008,PURCHASE!$A$6:$A$10008,$X$3,PURCHASE!$D$6:$D$10008,$C$5:$C$499)</f>
        <v>83458.100000000006</v>
      </c>
      <c r="Z24" s="11">
        <f>SUMIFS(PURCHASE!$L$6:$L$10008,PURCHASE!$A$6:$A$10008,$X$3,PURCHASE!$D$6:$D$10008,$C$5:$C$499)</f>
        <v>0</v>
      </c>
      <c r="AA24" s="11">
        <f>SUMIFS(PURCHASE!$M$6:$M$10008,PURCHASE!$A$6:$A$10008,$X$3,PURCHASE!$D$6:$D$10008,$C$5:$C$499)</f>
        <v>7511.2290000000003</v>
      </c>
      <c r="AB24" s="11">
        <f>SUMIFS(PURCHASE!$N$6:$N$10008,PURCHASE!$A$6:$A$10008,$X$3,PURCHASE!$D$6:$D$10008,$C$5:$C$499)</f>
        <v>7511.2290000000003</v>
      </c>
      <c r="AC24" s="11">
        <f t="shared" si="10"/>
        <v>120104.53</v>
      </c>
      <c r="AD24" s="11">
        <f>SUMIFS(PURCHASE!$K$6:$K$10008,PURCHASE!$A$6:$A$10008,$AC$3,PURCHASE!$D$6:$D$10008,$C$5:$C$499)</f>
        <v>101783.5</v>
      </c>
      <c r="AE24" s="11">
        <f>SUMIFS(PURCHASE!$L$6:$L$10008,PURCHASE!$A$6:$A$10008,$AC$3,PURCHASE!$D$6:$D$10008,$C$5:$C$499)</f>
        <v>0</v>
      </c>
      <c r="AF24" s="11">
        <f>SUMIFS(PURCHASE!$M$6:$M$10008,PURCHASE!$A$6:$A$10008,$AC$3,PURCHASE!$D$6:$D$10008,$C$5:$C$499)</f>
        <v>9160.5149999999994</v>
      </c>
      <c r="AG24" s="11">
        <f>SUMIFS(PURCHASE!$N$6:$N$10008,PURCHASE!$A$6:$A$10008,$AC$3,PURCHASE!$D$6:$D$10008,$C$5:$C$499)</f>
        <v>9160.5149999999994</v>
      </c>
      <c r="AH24" s="11">
        <f t="shared" si="11"/>
        <v>64115.3</v>
      </c>
      <c r="AI24" s="11">
        <f>SUMIFS(PURCHASE!$K$6:$K$10008,PURCHASE!$A$6:$A$10008,$AH$3,PURCHASE!$D$6:$D$10008,$C$5:$C$499)</f>
        <v>54335</v>
      </c>
      <c r="AJ24" s="11">
        <f>SUMIFS(PURCHASE!$L$6:$L$10008,PURCHASE!$A$6:$A$10008,$AH$3,PURCHASE!$D$6:$D$10008,$C$5:$C$499)</f>
        <v>0</v>
      </c>
      <c r="AK24" s="11">
        <f>SUMIFS(PURCHASE!$M$6:$M$10008,PURCHASE!$A$6:$A$10008,$AH$3,PURCHASE!$D$6:$D$10008,$C$5:$C$499)</f>
        <v>4890.1499999999996</v>
      </c>
      <c r="AL24" s="11">
        <f>SUMIFS(PURCHASE!$N$6:$N$10008,PURCHASE!$A$6:$A$10008,$AH$3,PURCHASE!$D$6:$D$10008,$C$5:$C$499)</f>
        <v>4890.1499999999996</v>
      </c>
      <c r="AM24" s="11">
        <f t="shared" si="12"/>
        <v>0</v>
      </c>
      <c r="AN24" s="11">
        <f>SUMIFS(PURCHASE!$K$6:$K$10008,PURCHASE!$A$6:$A$10008,$AM$3,PURCHASE!$D$6:$D$10008,$C$5:$C$499)</f>
        <v>0</v>
      </c>
      <c r="AO24" s="11">
        <f>SUMIFS(PURCHASE!$L$6:$L$10008,PURCHASE!$A$6:$A$10008,$AM$3,PURCHASE!$D$6:$D$10008,$C$5:$C$499)</f>
        <v>0</v>
      </c>
      <c r="AP24" s="11">
        <f>SUMIFS(PURCHASE!$M$6:$M$10008,PURCHASE!$A$6:$A$10008,$AM$3,PURCHASE!$D$6:$D$10008,$C$5:$C$499)</f>
        <v>0</v>
      </c>
      <c r="AQ24" s="11">
        <f>SUMIFS(PURCHASE!$N$6:$N$10008,PURCHASE!$A$6:$A$10008,$AM$3,PURCHASE!$D$6:$D$10008,$C$5:$C$499)</f>
        <v>0</v>
      </c>
      <c r="AR24" s="11">
        <f t="shared" si="13"/>
        <v>0</v>
      </c>
      <c r="AS24" s="11">
        <f>SUMIFS(PURCHASE!$K$6:$K$10008,PURCHASE!$A$6:$A$10008,$AR$3,PURCHASE!$D$6:$D$10008,$C$5:$C$499)</f>
        <v>0</v>
      </c>
      <c r="AT24" s="11">
        <f>SUMIFS(PURCHASE!$L$6:$L$10008,PURCHASE!$A$6:$A$10008,$AR$3,PURCHASE!$D$6:$D$10008,$C$5:$C$499)</f>
        <v>0</v>
      </c>
      <c r="AU24" s="11">
        <f>SUMIFS(PURCHASE!$M$6:$M$10008,PURCHASE!$A$6:$A$10008,$AR$3,PURCHASE!$D$6:$D$10008,$C$5:$C$499)</f>
        <v>0</v>
      </c>
      <c r="AV24" s="11">
        <f>SUMIFS(PURCHASE!$N$6:$N$10008,PURCHASE!$A$6:$A$10008,$AR$3,PURCHASE!$D$6:$D$10008,$C$5:$C$499)</f>
        <v>0</v>
      </c>
      <c r="AW24" s="11">
        <f t="shared" si="14"/>
        <v>0</v>
      </c>
      <c r="AX24" s="11">
        <f>SUMIFS(PURCHASE!$K$6:$K$10008,PURCHASE!$A$6:$A$10008,$AW$3,PURCHASE!$D$6:$D$10008,$C$5:$C$499)</f>
        <v>0</v>
      </c>
      <c r="AY24" s="11">
        <f>SUMIFS(PURCHASE!$L$6:$L$10008,PURCHASE!$A$6:$A$10008,$AW$3,PURCHASE!$D$6:$D$10008,$C$5:$C$499)</f>
        <v>0</v>
      </c>
      <c r="AZ24" s="11">
        <f>SUMIFS(PURCHASE!$M$6:$M$10008,PURCHASE!$A$6:$A$10008,$AW$3,PURCHASE!$D$6:$D$10008,$C$5:$C$499)</f>
        <v>0</v>
      </c>
      <c r="BA24" s="11">
        <f>SUMIFS(PURCHASE!$N$6:$N$10008,PURCHASE!$A$6:$A$10008,$AW$3,PURCHASE!$D$6:$D$10008,$C$5:$C$499)</f>
        <v>0</v>
      </c>
      <c r="BB24" s="11">
        <f t="shared" si="15"/>
        <v>0</v>
      </c>
      <c r="BC24" s="11">
        <f>SUMIFS(PURCHASE!$K$6:$K$10008,PURCHASE!$A$6:$A$10008,$BB$3,PURCHASE!$D$6:$D$10008,$C$5:$C$499)</f>
        <v>0</v>
      </c>
      <c r="BD24" s="11">
        <f>SUMIFS(PURCHASE!$L$6:$L$10008,PURCHASE!$A$6:$A$10008,$BB$3,PURCHASE!$D$6:$D$10008,$C$5:$C$499)</f>
        <v>0</v>
      </c>
      <c r="BE24" s="11">
        <f>SUMIFS(PURCHASE!$M$6:$M$10008,PURCHASE!$A$6:$A$10008,$BB$3,PURCHASE!$D$6:$D$10008,$C$5:$C$499)</f>
        <v>0</v>
      </c>
      <c r="BF24" s="11">
        <f>SUMIFS(PURCHASE!$N$6:$N$10008,PURCHASE!$A$6:$A$10008,$BB$3,PURCHASE!$D$6:$D$10008,$C$5:$C$499)</f>
        <v>0</v>
      </c>
      <c r="BG24" s="11">
        <f t="shared" si="16"/>
        <v>0</v>
      </c>
      <c r="BH24" s="11">
        <f>SUMIFS(PURCHASE!$K$6:$K$10008,PURCHASE!$A$6:$A$10008,$BG$3,PURCHASE!$D$6:$D$10008,$C$5:$C$499)</f>
        <v>0</v>
      </c>
      <c r="BI24" s="11">
        <f>SUMIFS(PURCHASE!$L$6:$L$10008,PURCHASE!$A$6:$A$10008,$BG$3,PURCHASE!$D$6:$D$10008,$C$5:$C$499)</f>
        <v>0</v>
      </c>
      <c r="BJ24" s="11">
        <f>SUMIFS(PURCHASE!$M$6:$M$10008,PURCHASE!$A$6:$A$10008,$BG$3,PURCHASE!$D$6:$D$10008,$C$5:$C$499)</f>
        <v>0</v>
      </c>
      <c r="BK24" s="11">
        <f>SUMIFS(PURCHASE!$N$6:$N$10008,PURCHASE!$A$6:$A$10008,$BG$3,PURCHASE!$D$6:$D$10008,$C$5:$C$499)</f>
        <v>0</v>
      </c>
      <c r="BL24" s="11">
        <f t="shared" si="4"/>
        <v>356768.22099999996</v>
      </c>
      <c r="BM24" s="11">
        <f t="shared" si="4"/>
        <v>302345.95</v>
      </c>
      <c r="BN24" s="11">
        <f t="shared" si="4"/>
        <v>0</v>
      </c>
      <c r="BO24" s="11">
        <f t="shared" si="4"/>
        <v>27211.135499999997</v>
      </c>
      <c r="BP24" s="11">
        <f t="shared" si="4"/>
        <v>27211.135499999997</v>
      </c>
    </row>
    <row r="25" spans="1:68" x14ac:dyDescent="0.2">
      <c r="A25" s="467">
        <v>21</v>
      </c>
      <c r="B25" s="478" t="s">
        <v>1074</v>
      </c>
      <c r="C25" s="478" t="s">
        <v>1075</v>
      </c>
      <c r="D25" s="11">
        <f t="shared" si="5"/>
        <v>0</v>
      </c>
      <c r="E25" s="11">
        <f>SUMIFS(PURCHASE!$K$6:$K$10008,PURCHASE!$A$6:$A$10008,$D$3,PURCHASE!$D$6:$D$10008,$C$5:$C$499)</f>
        <v>0</v>
      </c>
      <c r="F25" s="11">
        <f>SUMIFS(PURCHASE!$L$6:$L$10008,PURCHASE!$A$6:$A$10008,$D$3,PURCHASE!$D$6:$D$10008,$C$5:$C$499)</f>
        <v>0</v>
      </c>
      <c r="G25" s="11">
        <f>SUMIFS(PURCHASE!$M$6:$M$10008,PURCHASE!$A$6:$A$10008,$D$3,PURCHASE!$D$6:$D$10008,$C$5:$C$499)</f>
        <v>0</v>
      </c>
      <c r="H25" s="11">
        <f>SUMIFS(PURCHASE!$N$6:$N$10008,PURCHASE!$A$6:$A$10008,$D$3,PURCHASE!$D$6:$D$10008,$C$5:$C$499)</f>
        <v>0</v>
      </c>
      <c r="I25" s="473">
        <f t="shared" si="6"/>
        <v>0</v>
      </c>
      <c r="J25" s="60">
        <f>SUMIFS(PURCHASE!$K$6:$K$10008,PURCHASE!$A$6:$A$10008,$I$3,PURCHASE!$D$6:$D$10008,$C$5:$C$499)</f>
        <v>0</v>
      </c>
      <c r="K25" s="60">
        <f>SUMIFS(PURCHASE!$L$6:$L$10008,PURCHASE!$A$6:$A$10008,$I$3,PURCHASE!$D$6:$D$10008,$C$5:$C$499)</f>
        <v>0</v>
      </c>
      <c r="L25" s="60">
        <f>SUMIFS(PURCHASE!$M$6:$M$10008,PURCHASE!$A$6:$A$10008,$I$3,PURCHASE!$D$6:$D$10008,$C$5:$C$499)</f>
        <v>0</v>
      </c>
      <c r="M25" s="474">
        <f>SUMIFS(PURCHASE!$N$6:$N$10008,PURCHASE!$A$6:$A$10008,$I$3,PURCHASE!$D$6:$D$10008,$C$5:$C$499)</f>
        <v>0</v>
      </c>
      <c r="N25" s="11">
        <f t="shared" si="7"/>
        <v>0</v>
      </c>
      <c r="O25" s="11">
        <f>SUMIFS(PURCHASE!$K$6:$K$10008,PURCHASE!$A$6:$A$10008,$N$3,PURCHASE!$D$6:$D$10008,$C$5:$C$499)</f>
        <v>0</v>
      </c>
      <c r="P25" s="11">
        <f>SUMIFS(PURCHASE!$L$6:$L$10008,PURCHASE!$A$6:$A$10008,$N$3,PURCHASE!$D$6:$D$10008,$C$5:$C$499)</f>
        <v>0</v>
      </c>
      <c r="Q25" s="11">
        <f>SUMIFS(PURCHASE!$M$6:$M$10008,PURCHASE!$A$6:$A$10008,$N$3,PURCHASE!$D$6:$D$10008,$C$5:$C$499)</f>
        <v>0</v>
      </c>
      <c r="R25" s="11">
        <f>SUMIFS(PURCHASE!$N$6:$N$10008,PURCHASE!$A$6:$A$10008,$N$3,PURCHASE!$D$6:$D$10008,$C$5:$C$499)</f>
        <v>0</v>
      </c>
      <c r="S25" s="11">
        <f t="shared" si="8"/>
        <v>0</v>
      </c>
      <c r="T25" s="11">
        <f>SUMIFS(PURCHASE!$K$6:$K$10008,PURCHASE!$A$6:$A$10008,$S$3,PURCHASE!$D$6:$D$10008,$C$5:$C$499)</f>
        <v>0</v>
      </c>
      <c r="U25" s="11">
        <f>SUMIFS(PURCHASE!$L$6:$L$10008,PURCHASE!$A$6:$A$10008,$S$3,PURCHASE!$D$6:$D$10008,$C$5:$C$499)</f>
        <v>0</v>
      </c>
      <c r="V25" s="11">
        <f>SUMIFS(PURCHASE!$M$6:$M$10008,PURCHASE!$A$6:$A$10008,$S$3,PURCHASE!$D$6:$D$10008,$C$5:$C$499)</f>
        <v>0</v>
      </c>
      <c r="W25" s="11">
        <f>SUMIFS(PURCHASE!$N$6:$N$10008,PURCHASE!$A$6:$A$10008,$S$3,PURCHASE!$D$6:$D$10008,$C$5:$C$499)</f>
        <v>0</v>
      </c>
      <c r="X25" s="11">
        <f t="shared" si="9"/>
        <v>0</v>
      </c>
      <c r="Y25" s="11">
        <f>SUMIFS(PURCHASE!$K$6:$K$10008,PURCHASE!$A$6:$A$10008,$X$3,PURCHASE!$D$6:$D$10008,$C$5:$C$499)</f>
        <v>0</v>
      </c>
      <c r="Z25" s="11">
        <f>SUMIFS(PURCHASE!$L$6:$L$10008,PURCHASE!$A$6:$A$10008,$X$3,PURCHASE!$D$6:$D$10008,$C$5:$C$499)</f>
        <v>0</v>
      </c>
      <c r="AA25" s="11">
        <f>SUMIFS(PURCHASE!$M$6:$M$10008,PURCHASE!$A$6:$A$10008,$X$3,PURCHASE!$D$6:$D$10008,$C$5:$C$499)</f>
        <v>0</v>
      </c>
      <c r="AB25" s="11">
        <f>SUMIFS(PURCHASE!$N$6:$N$10008,PURCHASE!$A$6:$A$10008,$X$3,PURCHASE!$D$6:$D$10008,$C$5:$C$499)</f>
        <v>0</v>
      </c>
      <c r="AC25" s="11">
        <f t="shared" si="10"/>
        <v>0</v>
      </c>
      <c r="AD25" s="11">
        <f>SUMIFS(PURCHASE!$K$6:$K$10008,PURCHASE!$A$6:$A$10008,$AC$3,PURCHASE!$D$6:$D$10008,$C$5:$C$499)</f>
        <v>0</v>
      </c>
      <c r="AE25" s="11">
        <f>SUMIFS(PURCHASE!$L$6:$L$10008,PURCHASE!$A$6:$A$10008,$AC$3,PURCHASE!$D$6:$D$10008,$C$5:$C$499)</f>
        <v>0</v>
      </c>
      <c r="AF25" s="11">
        <f>SUMIFS(PURCHASE!$M$6:$M$10008,PURCHASE!$A$6:$A$10008,$AC$3,PURCHASE!$D$6:$D$10008,$C$5:$C$499)</f>
        <v>0</v>
      </c>
      <c r="AG25" s="11">
        <f>SUMIFS(PURCHASE!$N$6:$N$10008,PURCHASE!$A$6:$A$10008,$AC$3,PURCHASE!$D$6:$D$10008,$C$5:$C$499)</f>
        <v>0</v>
      </c>
      <c r="AH25" s="11">
        <f t="shared" si="11"/>
        <v>0</v>
      </c>
      <c r="AI25" s="11">
        <f>SUMIFS(PURCHASE!$K$6:$K$10008,PURCHASE!$A$6:$A$10008,$AH$3,PURCHASE!$D$6:$D$10008,$C$5:$C$499)</f>
        <v>0</v>
      </c>
      <c r="AJ25" s="11">
        <f>SUMIFS(PURCHASE!$L$6:$L$10008,PURCHASE!$A$6:$A$10008,$AH$3,PURCHASE!$D$6:$D$10008,$C$5:$C$499)</f>
        <v>0</v>
      </c>
      <c r="AK25" s="11">
        <f>SUMIFS(PURCHASE!$M$6:$M$10008,PURCHASE!$A$6:$A$10008,$AH$3,PURCHASE!$D$6:$D$10008,$C$5:$C$499)</f>
        <v>0</v>
      </c>
      <c r="AL25" s="11">
        <f>SUMIFS(PURCHASE!$N$6:$N$10008,PURCHASE!$A$6:$A$10008,$AH$3,PURCHASE!$D$6:$D$10008,$C$5:$C$499)</f>
        <v>0</v>
      </c>
      <c r="AM25" s="11">
        <f t="shared" si="12"/>
        <v>0</v>
      </c>
      <c r="AN25" s="11">
        <f>SUMIFS(PURCHASE!$K$6:$K$10008,PURCHASE!$A$6:$A$10008,$AM$3,PURCHASE!$D$6:$D$10008,$C$5:$C$499)</f>
        <v>0</v>
      </c>
      <c r="AO25" s="11">
        <f>SUMIFS(PURCHASE!$L$6:$L$10008,PURCHASE!$A$6:$A$10008,$AM$3,PURCHASE!$D$6:$D$10008,$C$5:$C$499)</f>
        <v>0</v>
      </c>
      <c r="AP25" s="11">
        <f>SUMIFS(PURCHASE!$M$6:$M$10008,PURCHASE!$A$6:$A$10008,$AM$3,PURCHASE!$D$6:$D$10008,$C$5:$C$499)</f>
        <v>0</v>
      </c>
      <c r="AQ25" s="11">
        <f>SUMIFS(PURCHASE!$N$6:$N$10008,PURCHASE!$A$6:$A$10008,$AM$3,PURCHASE!$D$6:$D$10008,$C$5:$C$499)</f>
        <v>0</v>
      </c>
      <c r="AR25" s="11">
        <f t="shared" si="13"/>
        <v>0</v>
      </c>
      <c r="AS25" s="11">
        <f>SUMIFS(PURCHASE!$K$6:$K$10008,PURCHASE!$A$6:$A$10008,$AR$3,PURCHASE!$D$6:$D$10008,$C$5:$C$499)</f>
        <v>0</v>
      </c>
      <c r="AT25" s="11">
        <f>SUMIFS(PURCHASE!$L$6:$L$10008,PURCHASE!$A$6:$A$10008,$AR$3,PURCHASE!$D$6:$D$10008,$C$5:$C$499)</f>
        <v>0</v>
      </c>
      <c r="AU25" s="11">
        <f>SUMIFS(PURCHASE!$M$6:$M$10008,PURCHASE!$A$6:$A$10008,$AR$3,PURCHASE!$D$6:$D$10008,$C$5:$C$499)</f>
        <v>0</v>
      </c>
      <c r="AV25" s="11">
        <f>SUMIFS(PURCHASE!$N$6:$N$10008,PURCHASE!$A$6:$A$10008,$AR$3,PURCHASE!$D$6:$D$10008,$C$5:$C$499)</f>
        <v>0</v>
      </c>
      <c r="AW25" s="11">
        <f t="shared" si="14"/>
        <v>0</v>
      </c>
      <c r="AX25" s="11">
        <f>SUMIFS(PURCHASE!$K$6:$K$10008,PURCHASE!$A$6:$A$10008,$AW$3,PURCHASE!$D$6:$D$10008,$C$5:$C$499)</f>
        <v>0</v>
      </c>
      <c r="AY25" s="11">
        <f>SUMIFS(PURCHASE!$L$6:$L$10008,PURCHASE!$A$6:$A$10008,$AW$3,PURCHASE!$D$6:$D$10008,$C$5:$C$499)</f>
        <v>0</v>
      </c>
      <c r="AZ25" s="11">
        <f>SUMIFS(PURCHASE!$M$6:$M$10008,PURCHASE!$A$6:$A$10008,$AW$3,PURCHASE!$D$6:$D$10008,$C$5:$C$499)</f>
        <v>0</v>
      </c>
      <c r="BA25" s="11">
        <f>SUMIFS(PURCHASE!$N$6:$N$10008,PURCHASE!$A$6:$A$10008,$AW$3,PURCHASE!$D$6:$D$10008,$C$5:$C$499)</f>
        <v>0</v>
      </c>
      <c r="BB25" s="11">
        <f t="shared" si="15"/>
        <v>0</v>
      </c>
      <c r="BC25" s="11">
        <f>SUMIFS(PURCHASE!$K$6:$K$10008,PURCHASE!$A$6:$A$10008,$BB$3,PURCHASE!$D$6:$D$10008,$C$5:$C$499)</f>
        <v>0</v>
      </c>
      <c r="BD25" s="11">
        <f>SUMIFS(PURCHASE!$L$6:$L$10008,PURCHASE!$A$6:$A$10008,$BB$3,PURCHASE!$D$6:$D$10008,$C$5:$C$499)</f>
        <v>0</v>
      </c>
      <c r="BE25" s="11">
        <f>SUMIFS(PURCHASE!$M$6:$M$10008,PURCHASE!$A$6:$A$10008,$BB$3,PURCHASE!$D$6:$D$10008,$C$5:$C$499)</f>
        <v>0</v>
      </c>
      <c r="BF25" s="11">
        <f>SUMIFS(PURCHASE!$N$6:$N$10008,PURCHASE!$A$6:$A$10008,$BB$3,PURCHASE!$D$6:$D$10008,$C$5:$C$499)</f>
        <v>0</v>
      </c>
      <c r="BG25" s="11">
        <f t="shared" si="16"/>
        <v>0</v>
      </c>
      <c r="BH25" s="11">
        <f>SUMIFS(PURCHASE!$K$6:$K$10008,PURCHASE!$A$6:$A$10008,$BG$3,PURCHASE!$D$6:$D$10008,$C$5:$C$499)</f>
        <v>0</v>
      </c>
      <c r="BI25" s="11">
        <f>SUMIFS(PURCHASE!$L$6:$L$10008,PURCHASE!$A$6:$A$10008,$BG$3,PURCHASE!$D$6:$D$10008,$C$5:$C$499)</f>
        <v>0</v>
      </c>
      <c r="BJ25" s="11">
        <f>SUMIFS(PURCHASE!$M$6:$M$10008,PURCHASE!$A$6:$A$10008,$BG$3,PURCHASE!$D$6:$D$10008,$C$5:$C$499)</f>
        <v>0</v>
      </c>
      <c r="BK25" s="11">
        <f>SUMIFS(PURCHASE!$N$6:$N$10008,PURCHASE!$A$6:$A$10008,$BG$3,PURCHASE!$D$6:$D$10008,$C$5:$C$499)</f>
        <v>0</v>
      </c>
      <c r="BL25" s="11">
        <f t="shared" si="4"/>
        <v>0</v>
      </c>
      <c r="BM25" s="11">
        <f t="shared" si="4"/>
        <v>0</v>
      </c>
      <c r="BN25" s="11">
        <f t="shared" si="4"/>
        <v>0</v>
      </c>
      <c r="BO25" s="11">
        <f t="shared" si="4"/>
        <v>0</v>
      </c>
      <c r="BP25" s="11">
        <f t="shared" si="4"/>
        <v>0</v>
      </c>
    </row>
    <row r="26" spans="1:68" x14ac:dyDescent="0.2">
      <c r="A26" s="467">
        <v>22</v>
      </c>
      <c r="B26" s="468" t="s">
        <v>533</v>
      </c>
      <c r="C26" s="469" t="s">
        <v>534</v>
      </c>
      <c r="D26" s="11">
        <f t="shared" si="5"/>
        <v>1652</v>
      </c>
      <c r="E26" s="11">
        <f>SUMIFS(PURCHASE!$K$6:$K$10008,PURCHASE!$A$6:$A$10008,$D$3,PURCHASE!$D$6:$D$10008,$C$5:$C$499)</f>
        <v>1400</v>
      </c>
      <c r="F26" s="11">
        <f>SUMIFS(PURCHASE!$L$6:$L$10008,PURCHASE!$A$6:$A$10008,$D$3,PURCHASE!$D$6:$D$10008,$C$5:$C$499)</f>
        <v>0</v>
      </c>
      <c r="G26" s="11">
        <f>SUMIFS(PURCHASE!$M$6:$M$10008,PURCHASE!$A$6:$A$10008,$D$3,PURCHASE!$D$6:$D$10008,$C$5:$C$499)</f>
        <v>126</v>
      </c>
      <c r="H26" s="11">
        <f>SUMIFS(PURCHASE!$N$6:$N$10008,PURCHASE!$A$6:$A$10008,$D$3,PURCHASE!$D$6:$D$10008,$C$5:$C$499)</f>
        <v>126</v>
      </c>
      <c r="I26" s="473">
        <f t="shared" si="6"/>
        <v>0</v>
      </c>
      <c r="J26" s="60">
        <f>SUMIFS(PURCHASE!$K$6:$K$10008,PURCHASE!$A$6:$A$10008,$I$3,PURCHASE!$D$6:$D$10008,$C$5:$C$499)</f>
        <v>0</v>
      </c>
      <c r="K26" s="60">
        <f>SUMIFS(PURCHASE!$L$6:$L$10008,PURCHASE!$A$6:$A$10008,$I$3,PURCHASE!$D$6:$D$10008,$C$5:$C$499)</f>
        <v>0</v>
      </c>
      <c r="L26" s="60">
        <f>SUMIFS(PURCHASE!$M$6:$M$10008,PURCHASE!$A$6:$A$10008,$I$3,PURCHASE!$D$6:$D$10008,$C$5:$C$499)</f>
        <v>0</v>
      </c>
      <c r="M26" s="474">
        <f>SUMIFS(PURCHASE!$N$6:$N$10008,PURCHASE!$A$6:$A$10008,$I$3,PURCHASE!$D$6:$D$10008,$C$5:$C$499)</f>
        <v>0</v>
      </c>
      <c r="N26" s="11">
        <f t="shared" si="7"/>
        <v>0</v>
      </c>
      <c r="O26" s="11">
        <f>SUMIFS(PURCHASE!$K$6:$K$10008,PURCHASE!$A$6:$A$10008,$N$3,PURCHASE!$D$6:$D$10008,$C$5:$C$499)</f>
        <v>0</v>
      </c>
      <c r="P26" s="11">
        <f>SUMIFS(PURCHASE!$L$6:$L$10008,PURCHASE!$A$6:$A$10008,$N$3,PURCHASE!$D$6:$D$10008,$C$5:$C$499)</f>
        <v>0</v>
      </c>
      <c r="Q26" s="11">
        <f>SUMIFS(PURCHASE!$M$6:$M$10008,PURCHASE!$A$6:$A$10008,$N$3,PURCHASE!$D$6:$D$10008,$C$5:$C$499)</f>
        <v>0</v>
      </c>
      <c r="R26" s="11">
        <f>SUMIFS(PURCHASE!$N$6:$N$10008,PURCHASE!$A$6:$A$10008,$N$3,PURCHASE!$D$6:$D$10008,$C$5:$C$499)</f>
        <v>0</v>
      </c>
      <c r="S26" s="11">
        <f t="shared" si="8"/>
        <v>0</v>
      </c>
      <c r="T26" s="11">
        <f>SUMIFS(PURCHASE!$K$6:$K$10008,PURCHASE!$A$6:$A$10008,$S$3,PURCHASE!$D$6:$D$10008,$C$5:$C$499)</f>
        <v>0</v>
      </c>
      <c r="U26" s="11">
        <f>SUMIFS(PURCHASE!$L$6:$L$10008,PURCHASE!$A$6:$A$10008,$S$3,PURCHASE!$D$6:$D$10008,$C$5:$C$499)</f>
        <v>0</v>
      </c>
      <c r="V26" s="11">
        <f>SUMIFS(PURCHASE!$M$6:$M$10008,PURCHASE!$A$6:$A$10008,$S$3,PURCHASE!$D$6:$D$10008,$C$5:$C$499)</f>
        <v>0</v>
      </c>
      <c r="W26" s="11">
        <f>SUMIFS(PURCHASE!$N$6:$N$10008,PURCHASE!$A$6:$A$10008,$S$3,PURCHASE!$D$6:$D$10008,$C$5:$C$499)</f>
        <v>0</v>
      </c>
      <c r="X26" s="11">
        <f t="shared" si="9"/>
        <v>3658.59</v>
      </c>
      <c r="Y26" s="11">
        <f>SUMIFS(PURCHASE!$K$6:$K$10008,PURCHASE!$A$6:$A$10008,$X$3,PURCHASE!$D$6:$D$10008,$C$5:$C$499)</f>
        <v>3100.5</v>
      </c>
      <c r="Z26" s="11">
        <f>SUMIFS(PURCHASE!$L$6:$L$10008,PURCHASE!$A$6:$A$10008,$X$3,PURCHASE!$D$6:$D$10008,$C$5:$C$499)</f>
        <v>0</v>
      </c>
      <c r="AA26" s="11">
        <f>SUMIFS(PURCHASE!$M$6:$M$10008,PURCHASE!$A$6:$A$10008,$X$3,PURCHASE!$D$6:$D$10008,$C$5:$C$499)</f>
        <v>279.04500000000002</v>
      </c>
      <c r="AB26" s="11">
        <f>SUMIFS(PURCHASE!$N$6:$N$10008,PURCHASE!$A$6:$A$10008,$X$3,PURCHASE!$D$6:$D$10008,$C$5:$C$499)</f>
        <v>279.04500000000002</v>
      </c>
      <c r="AC26" s="11">
        <f t="shared" si="10"/>
        <v>0</v>
      </c>
      <c r="AD26" s="11">
        <f>SUMIFS(PURCHASE!$K$6:$K$10008,PURCHASE!$A$6:$A$10008,$AC$3,PURCHASE!$D$6:$D$10008,$C$5:$C$499)</f>
        <v>0</v>
      </c>
      <c r="AE26" s="11">
        <f>SUMIFS(PURCHASE!$L$6:$L$10008,PURCHASE!$A$6:$A$10008,$AC$3,PURCHASE!$D$6:$D$10008,$C$5:$C$499)</f>
        <v>0</v>
      </c>
      <c r="AF26" s="11">
        <f>SUMIFS(PURCHASE!$M$6:$M$10008,PURCHASE!$A$6:$A$10008,$AC$3,PURCHASE!$D$6:$D$10008,$C$5:$C$499)</f>
        <v>0</v>
      </c>
      <c r="AG26" s="11">
        <f>SUMIFS(PURCHASE!$N$6:$N$10008,PURCHASE!$A$6:$A$10008,$AC$3,PURCHASE!$D$6:$D$10008,$C$5:$C$499)</f>
        <v>0</v>
      </c>
      <c r="AH26" s="11">
        <f t="shared" si="11"/>
        <v>3020.8</v>
      </c>
      <c r="AI26" s="11">
        <f>SUMIFS(PURCHASE!$K$6:$K$10008,PURCHASE!$A$6:$A$10008,$AH$3,PURCHASE!$D$6:$D$10008,$C$5:$C$499)</f>
        <v>2560</v>
      </c>
      <c r="AJ26" s="11">
        <f>SUMIFS(PURCHASE!$L$6:$L$10008,PURCHASE!$A$6:$A$10008,$AH$3,PURCHASE!$D$6:$D$10008,$C$5:$C$499)</f>
        <v>0</v>
      </c>
      <c r="AK26" s="11">
        <f>SUMIFS(PURCHASE!$M$6:$M$10008,PURCHASE!$A$6:$A$10008,$AH$3,PURCHASE!$D$6:$D$10008,$C$5:$C$499)</f>
        <v>230.4</v>
      </c>
      <c r="AL26" s="11">
        <f>SUMIFS(PURCHASE!$N$6:$N$10008,PURCHASE!$A$6:$A$10008,$AH$3,PURCHASE!$D$6:$D$10008,$C$5:$C$499)</f>
        <v>230.4</v>
      </c>
      <c r="AM26" s="11">
        <f t="shared" si="12"/>
        <v>0</v>
      </c>
      <c r="AN26" s="11">
        <f>SUMIFS(PURCHASE!$K$6:$K$10008,PURCHASE!$A$6:$A$10008,$AM$3,PURCHASE!$D$6:$D$10008,$C$5:$C$499)</f>
        <v>0</v>
      </c>
      <c r="AO26" s="11">
        <f>SUMIFS(PURCHASE!$L$6:$L$10008,PURCHASE!$A$6:$A$10008,$AM$3,PURCHASE!$D$6:$D$10008,$C$5:$C$499)</f>
        <v>0</v>
      </c>
      <c r="AP26" s="11">
        <f>SUMIFS(PURCHASE!$M$6:$M$10008,PURCHASE!$A$6:$A$10008,$AM$3,PURCHASE!$D$6:$D$10008,$C$5:$C$499)</f>
        <v>0</v>
      </c>
      <c r="AQ26" s="11">
        <f>SUMIFS(PURCHASE!$N$6:$N$10008,PURCHASE!$A$6:$A$10008,$AM$3,PURCHASE!$D$6:$D$10008,$C$5:$C$499)</f>
        <v>0</v>
      </c>
      <c r="AR26" s="11">
        <f t="shared" si="13"/>
        <v>0</v>
      </c>
      <c r="AS26" s="11">
        <f>SUMIFS(PURCHASE!$K$6:$K$10008,PURCHASE!$A$6:$A$10008,$AR$3,PURCHASE!$D$6:$D$10008,$C$5:$C$499)</f>
        <v>0</v>
      </c>
      <c r="AT26" s="11">
        <f>SUMIFS(PURCHASE!$L$6:$L$10008,PURCHASE!$A$6:$A$10008,$AR$3,PURCHASE!$D$6:$D$10008,$C$5:$C$499)</f>
        <v>0</v>
      </c>
      <c r="AU26" s="11">
        <f>SUMIFS(PURCHASE!$M$6:$M$10008,PURCHASE!$A$6:$A$10008,$AR$3,PURCHASE!$D$6:$D$10008,$C$5:$C$499)</f>
        <v>0</v>
      </c>
      <c r="AV26" s="11">
        <f>SUMIFS(PURCHASE!$N$6:$N$10008,PURCHASE!$A$6:$A$10008,$AR$3,PURCHASE!$D$6:$D$10008,$C$5:$C$499)</f>
        <v>0</v>
      </c>
      <c r="AW26" s="11">
        <f t="shared" si="14"/>
        <v>0</v>
      </c>
      <c r="AX26" s="11">
        <f>SUMIFS(PURCHASE!$K$6:$K$10008,PURCHASE!$A$6:$A$10008,$AW$3,PURCHASE!$D$6:$D$10008,$C$5:$C$499)</f>
        <v>0</v>
      </c>
      <c r="AY26" s="11">
        <f>SUMIFS(PURCHASE!$L$6:$L$10008,PURCHASE!$A$6:$A$10008,$AW$3,PURCHASE!$D$6:$D$10008,$C$5:$C$499)</f>
        <v>0</v>
      </c>
      <c r="AZ26" s="11">
        <f>SUMIFS(PURCHASE!$M$6:$M$10008,PURCHASE!$A$6:$A$10008,$AW$3,PURCHASE!$D$6:$D$10008,$C$5:$C$499)</f>
        <v>0</v>
      </c>
      <c r="BA26" s="11">
        <f>SUMIFS(PURCHASE!$N$6:$N$10008,PURCHASE!$A$6:$A$10008,$AW$3,PURCHASE!$D$6:$D$10008,$C$5:$C$499)</f>
        <v>0</v>
      </c>
      <c r="BB26" s="11">
        <f t="shared" si="15"/>
        <v>0</v>
      </c>
      <c r="BC26" s="11">
        <f>SUMIFS(PURCHASE!$K$6:$K$10008,PURCHASE!$A$6:$A$10008,$BB$3,PURCHASE!$D$6:$D$10008,$C$5:$C$499)</f>
        <v>0</v>
      </c>
      <c r="BD26" s="11">
        <f>SUMIFS(PURCHASE!$L$6:$L$10008,PURCHASE!$A$6:$A$10008,$BB$3,PURCHASE!$D$6:$D$10008,$C$5:$C$499)</f>
        <v>0</v>
      </c>
      <c r="BE26" s="11">
        <f>SUMIFS(PURCHASE!$M$6:$M$10008,PURCHASE!$A$6:$A$10008,$BB$3,PURCHASE!$D$6:$D$10008,$C$5:$C$499)</f>
        <v>0</v>
      </c>
      <c r="BF26" s="11">
        <f>SUMIFS(PURCHASE!$N$6:$N$10008,PURCHASE!$A$6:$A$10008,$BB$3,PURCHASE!$D$6:$D$10008,$C$5:$C$499)</f>
        <v>0</v>
      </c>
      <c r="BG26" s="11">
        <f t="shared" si="16"/>
        <v>0</v>
      </c>
      <c r="BH26" s="11">
        <f>SUMIFS(PURCHASE!$K$6:$K$10008,PURCHASE!$A$6:$A$10008,$BG$3,PURCHASE!$D$6:$D$10008,$C$5:$C$499)</f>
        <v>0</v>
      </c>
      <c r="BI26" s="11">
        <f>SUMIFS(PURCHASE!$L$6:$L$10008,PURCHASE!$A$6:$A$10008,$BG$3,PURCHASE!$D$6:$D$10008,$C$5:$C$499)</f>
        <v>0</v>
      </c>
      <c r="BJ26" s="11">
        <f>SUMIFS(PURCHASE!$M$6:$M$10008,PURCHASE!$A$6:$A$10008,$BG$3,PURCHASE!$D$6:$D$10008,$C$5:$C$499)</f>
        <v>0</v>
      </c>
      <c r="BK26" s="11">
        <f>SUMIFS(PURCHASE!$N$6:$N$10008,PURCHASE!$A$6:$A$10008,$BG$3,PURCHASE!$D$6:$D$10008,$C$5:$C$499)</f>
        <v>0</v>
      </c>
      <c r="BL26" s="11">
        <f t="shared" si="4"/>
        <v>8331.39</v>
      </c>
      <c r="BM26" s="11">
        <f t="shared" si="4"/>
        <v>7060.5</v>
      </c>
      <c r="BN26" s="11">
        <f t="shared" si="4"/>
        <v>0</v>
      </c>
      <c r="BO26" s="11">
        <f t="shared" si="4"/>
        <v>635.44500000000005</v>
      </c>
      <c r="BP26" s="11">
        <f t="shared" si="4"/>
        <v>635.44500000000005</v>
      </c>
    </row>
    <row r="27" spans="1:68" x14ac:dyDescent="0.2">
      <c r="A27" s="467">
        <v>23</v>
      </c>
      <c r="B27" s="478" t="s">
        <v>1076</v>
      </c>
      <c r="C27" s="468" t="s">
        <v>1077</v>
      </c>
      <c r="D27" s="11">
        <f t="shared" si="5"/>
        <v>0</v>
      </c>
      <c r="E27" s="11">
        <f>SUMIFS(PURCHASE!$K$6:$K$10008,PURCHASE!$A$6:$A$10008,$D$3,PURCHASE!$D$6:$D$10008,$C$5:$C$499)</f>
        <v>0</v>
      </c>
      <c r="F27" s="11">
        <f>SUMIFS(PURCHASE!$L$6:$L$10008,PURCHASE!$A$6:$A$10008,$D$3,PURCHASE!$D$6:$D$10008,$C$5:$C$499)</f>
        <v>0</v>
      </c>
      <c r="G27" s="11">
        <f>SUMIFS(PURCHASE!$M$6:$M$10008,PURCHASE!$A$6:$A$10008,$D$3,PURCHASE!$D$6:$D$10008,$C$5:$C$499)</f>
        <v>0</v>
      </c>
      <c r="H27" s="11">
        <f>SUMIFS(PURCHASE!$N$6:$N$10008,PURCHASE!$A$6:$A$10008,$D$3,PURCHASE!$D$6:$D$10008,$C$5:$C$499)</f>
        <v>0</v>
      </c>
      <c r="I27" s="473">
        <f t="shared" si="6"/>
        <v>0</v>
      </c>
      <c r="J27" s="60">
        <f>SUMIFS(PURCHASE!$K$6:$K$10008,PURCHASE!$A$6:$A$10008,$I$3,PURCHASE!$D$6:$D$10008,$C$5:$C$499)</f>
        <v>0</v>
      </c>
      <c r="K27" s="60">
        <f>SUMIFS(PURCHASE!$L$6:$L$10008,PURCHASE!$A$6:$A$10008,$I$3,PURCHASE!$D$6:$D$10008,$C$5:$C$499)</f>
        <v>0</v>
      </c>
      <c r="L27" s="60">
        <f>SUMIFS(PURCHASE!$M$6:$M$10008,PURCHASE!$A$6:$A$10008,$I$3,PURCHASE!$D$6:$D$10008,$C$5:$C$499)</f>
        <v>0</v>
      </c>
      <c r="M27" s="474">
        <f>SUMIFS(PURCHASE!$N$6:$N$10008,PURCHASE!$A$6:$A$10008,$I$3,PURCHASE!$D$6:$D$10008,$C$5:$C$499)</f>
        <v>0</v>
      </c>
      <c r="N27" s="11">
        <f t="shared" si="7"/>
        <v>0</v>
      </c>
      <c r="O27" s="11">
        <f>SUMIFS(PURCHASE!$K$6:$K$10008,PURCHASE!$A$6:$A$10008,$N$3,PURCHASE!$D$6:$D$10008,$C$5:$C$499)</f>
        <v>0</v>
      </c>
      <c r="P27" s="11">
        <f>SUMIFS(PURCHASE!$L$6:$L$10008,PURCHASE!$A$6:$A$10008,$N$3,PURCHASE!$D$6:$D$10008,$C$5:$C$499)</f>
        <v>0</v>
      </c>
      <c r="Q27" s="11">
        <f>SUMIFS(PURCHASE!$M$6:$M$10008,PURCHASE!$A$6:$A$10008,$N$3,PURCHASE!$D$6:$D$10008,$C$5:$C$499)</f>
        <v>0</v>
      </c>
      <c r="R27" s="11">
        <f>SUMIFS(PURCHASE!$N$6:$N$10008,PURCHASE!$A$6:$A$10008,$N$3,PURCHASE!$D$6:$D$10008,$C$5:$C$499)</f>
        <v>0</v>
      </c>
      <c r="S27" s="11">
        <f t="shared" si="8"/>
        <v>0</v>
      </c>
      <c r="T27" s="11">
        <f>SUMIFS(PURCHASE!$K$6:$K$10008,PURCHASE!$A$6:$A$10008,$S$3,PURCHASE!$D$6:$D$10008,$C$5:$C$499)</f>
        <v>0</v>
      </c>
      <c r="U27" s="11">
        <f>SUMIFS(PURCHASE!$L$6:$L$10008,PURCHASE!$A$6:$A$10008,$S$3,PURCHASE!$D$6:$D$10008,$C$5:$C$499)</f>
        <v>0</v>
      </c>
      <c r="V27" s="11">
        <f>SUMIFS(PURCHASE!$M$6:$M$10008,PURCHASE!$A$6:$A$10008,$S$3,PURCHASE!$D$6:$D$10008,$C$5:$C$499)</f>
        <v>0</v>
      </c>
      <c r="W27" s="11">
        <f>SUMIFS(PURCHASE!$N$6:$N$10008,PURCHASE!$A$6:$A$10008,$S$3,PURCHASE!$D$6:$D$10008,$C$5:$C$499)</f>
        <v>0</v>
      </c>
      <c r="X27" s="11">
        <f t="shared" si="9"/>
        <v>0</v>
      </c>
      <c r="Y27" s="11">
        <f>SUMIFS(PURCHASE!$K$6:$K$10008,PURCHASE!$A$6:$A$10008,$X$3,PURCHASE!$D$6:$D$10008,$C$5:$C$499)</f>
        <v>0</v>
      </c>
      <c r="Z27" s="11">
        <f>SUMIFS(PURCHASE!$L$6:$L$10008,PURCHASE!$A$6:$A$10008,$X$3,PURCHASE!$D$6:$D$10008,$C$5:$C$499)</f>
        <v>0</v>
      </c>
      <c r="AA27" s="11">
        <f>SUMIFS(PURCHASE!$M$6:$M$10008,PURCHASE!$A$6:$A$10008,$X$3,PURCHASE!$D$6:$D$10008,$C$5:$C$499)</f>
        <v>0</v>
      </c>
      <c r="AB27" s="11">
        <f>SUMIFS(PURCHASE!$N$6:$N$10008,PURCHASE!$A$6:$A$10008,$X$3,PURCHASE!$D$6:$D$10008,$C$5:$C$499)</f>
        <v>0</v>
      </c>
      <c r="AC27" s="11">
        <f t="shared" si="10"/>
        <v>0</v>
      </c>
      <c r="AD27" s="11">
        <f>SUMIFS(PURCHASE!$K$6:$K$10008,PURCHASE!$A$6:$A$10008,$AC$3,PURCHASE!$D$6:$D$10008,$C$5:$C$499)</f>
        <v>0</v>
      </c>
      <c r="AE27" s="11">
        <f>SUMIFS(PURCHASE!$L$6:$L$10008,PURCHASE!$A$6:$A$10008,$AC$3,PURCHASE!$D$6:$D$10008,$C$5:$C$499)</f>
        <v>0</v>
      </c>
      <c r="AF27" s="11">
        <f>SUMIFS(PURCHASE!$M$6:$M$10008,PURCHASE!$A$6:$A$10008,$AC$3,PURCHASE!$D$6:$D$10008,$C$5:$C$499)</f>
        <v>0</v>
      </c>
      <c r="AG27" s="11">
        <f>SUMIFS(PURCHASE!$N$6:$N$10008,PURCHASE!$A$6:$A$10008,$AC$3,PURCHASE!$D$6:$D$10008,$C$5:$C$499)</f>
        <v>0</v>
      </c>
      <c r="AH27" s="11">
        <f t="shared" si="11"/>
        <v>0</v>
      </c>
      <c r="AI27" s="11">
        <f>SUMIFS(PURCHASE!$K$6:$K$10008,PURCHASE!$A$6:$A$10008,$AH$3,PURCHASE!$D$6:$D$10008,$C$5:$C$499)</f>
        <v>0</v>
      </c>
      <c r="AJ27" s="11">
        <f>SUMIFS(PURCHASE!$L$6:$L$10008,PURCHASE!$A$6:$A$10008,$AH$3,PURCHASE!$D$6:$D$10008,$C$5:$C$499)</f>
        <v>0</v>
      </c>
      <c r="AK27" s="11">
        <f>SUMIFS(PURCHASE!$M$6:$M$10008,PURCHASE!$A$6:$A$10008,$AH$3,PURCHASE!$D$6:$D$10008,$C$5:$C$499)</f>
        <v>0</v>
      </c>
      <c r="AL27" s="11">
        <f>SUMIFS(PURCHASE!$N$6:$N$10008,PURCHASE!$A$6:$A$10008,$AH$3,PURCHASE!$D$6:$D$10008,$C$5:$C$499)</f>
        <v>0</v>
      </c>
      <c r="AM27" s="11">
        <f t="shared" si="12"/>
        <v>0</v>
      </c>
      <c r="AN27" s="11">
        <f>SUMIFS(PURCHASE!$K$6:$K$10008,PURCHASE!$A$6:$A$10008,$AM$3,PURCHASE!$D$6:$D$10008,$C$5:$C$499)</f>
        <v>0</v>
      </c>
      <c r="AO27" s="11">
        <f>SUMIFS(PURCHASE!$L$6:$L$10008,PURCHASE!$A$6:$A$10008,$AM$3,PURCHASE!$D$6:$D$10008,$C$5:$C$499)</f>
        <v>0</v>
      </c>
      <c r="AP27" s="11">
        <f>SUMIFS(PURCHASE!$M$6:$M$10008,PURCHASE!$A$6:$A$10008,$AM$3,PURCHASE!$D$6:$D$10008,$C$5:$C$499)</f>
        <v>0</v>
      </c>
      <c r="AQ27" s="11">
        <f>SUMIFS(PURCHASE!$N$6:$N$10008,PURCHASE!$A$6:$A$10008,$AM$3,PURCHASE!$D$6:$D$10008,$C$5:$C$499)</f>
        <v>0</v>
      </c>
      <c r="AR27" s="11">
        <f t="shared" si="13"/>
        <v>0</v>
      </c>
      <c r="AS27" s="11">
        <f>SUMIFS(PURCHASE!$K$6:$K$10008,PURCHASE!$A$6:$A$10008,$AR$3,PURCHASE!$D$6:$D$10008,$C$5:$C$499)</f>
        <v>0</v>
      </c>
      <c r="AT27" s="11">
        <f>SUMIFS(PURCHASE!$L$6:$L$10008,PURCHASE!$A$6:$A$10008,$AR$3,PURCHASE!$D$6:$D$10008,$C$5:$C$499)</f>
        <v>0</v>
      </c>
      <c r="AU27" s="11">
        <f>SUMIFS(PURCHASE!$M$6:$M$10008,PURCHASE!$A$6:$A$10008,$AR$3,PURCHASE!$D$6:$D$10008,$C$5:$C$499)</f>
        <v>0</v>
      </c>
      <c r="AV27" s="11">
        <f>SUMIFS(PURCHASE!$N$6:$N$10008,PURCHASE!$A$6:$A$10008,$AR$3,PURCHASE!$D$6:$D$10008,$C$5:$C$499)</f>
        <v>0</v>
      </c>
      <c r="AW27" s="11">
        <f t="shared" si="14"/>
        <v>0</v>
      </c>
      <c r="AX27" s="11">
        <f>SUMIFS(PURCHASE!$K$6:$K$10008,PURCHASE!$A$6:$A$10008,$AW$3,PURCHASE!$D$6:$D$10008,$C$5:$C$499)</f>
        <v>0</v>
      </c>
      <c r="AY27" s="11">
        <f>SUMIFS(PURCHASE!$L$6:$L$10008,PURCHASE!$A$6:$A$10008,$AW$3,PURCHASE!$D$6:$D$10008,$C$5:$C$499)</f>
        <v>0</v>
      </c>
      <c r="AZ27" s="11">
        <f>SUMIFS(PURCHASE!$M$6:$M$10008,PURCHASE!$A$6:$A$10008,$AW$3,PURCHASE!$D$6:$D$10008,$C$5:$C$499)</f>
        <v>0</v>
      </c>
      <c r="BA27" s="11">
        <f>SUMIFS(PURCHASE!$N$6:$N$10008,PURCHASE!$A$6:$A$10008,$AW$3,PURCHASE!$D$6:$D$10008,$C$5:$C$499)</f>
        <v>0</v>
      </c>
      <c r="BB27" s="11">
        <f t="shared" si="15"/>
        <v>0</v>
      </c>
      <c r="BC27" s="11">
        <f>SUMIFS(PURCHASE!$K$6:$K$10008,PURCHASE!$A$6:$A$10008,$BB$3,PURCHASE!$D$6:$D$10008,$C$5:$C$499)</f>
        <v>0</v>
      </c>
      <c r="BD27" s="11">
        <f>SUMIFS(PURCHASE!$L$6:$L$10008,PURCHASE!$A$6:$A$10008,$BB$3,PURCHASE!$D$6:$D$10008,$C$5:$C$499)</f>
        <v>0</v>
      </c>
      <c r="BE27" s="11">
        <f>SUMIFS(PURCHASE!$M$6:$M$10008,PURCHASE!$A$6:$A$10008,$BB$3,PURCHASE!$D$6:$D$10008,$C$5:$C$499)</f>
        <v>0</v>
      </c>
      <c r="BF27" s="11">
        <f>SUMIFS(PURCHASE!$N$6:$N$10008,PURCHASE!$A$6:$A$10008,$BB$3,PURCHASE!$D$6:$D$10008,$C$5:$C$499)</f>
        <v>0</v>
      </c>
      <c r="BG27" s="11">
        <f t="shared" si="16"/>
        <v>0</v>
      </c>
      <c r="BH27" s="11">
        <f>SUMIFS(PURCHASE!$K$6:$K$10008,PURCHASE!$A$6:$A$10008,$BG$3,PURCHASE!$D$6:$D$10008,$C$5:$C$499)</f>
        <v>0</v>
      </c>
      <c r="BI27" s="11">
        <f>SUMIFS(PURCHASE!$L$6:$L$10008,PURCHASE!$A$6:$A$10008,$BG$3,PURCHASE!$D$6:$D$10008,$C$5:$C$499)</f>
        <v>0</v>
      </c>
      <c r="BJ27" s="11">
        <f>SUMIFS(PURCHASE!$M$6:$M$10008,PURCHASE!$A$6:$A$10008,$BG$3,PURCHASE!$D$6:$D$10008,$C$5:$C$499)</f>
        <v>0</v>
      </c>
      <c r="BK27" s="11">
        <f>SUMIFS(PURCHASE!$N$6:$N$10008,PURCHASE!$A$6:$A$10008,$BG$3,PURCHASE!$D$6:$D$10008,$C$5:$C$499)</f>
        <v>0</v>
      </c>
      <c r="BL27" s="11">
        <f t="shared" si="4"/>
        <v>0</v>
      </c>
      <c r="BM27" s="11">
        <f t="shared" si="4"/>
        <v>0</v>
      </c>
      <c r="BN27" s="11">
        <f t="shared" si="4"/>
        <v>0</v>
      </c>
      <c r="BO27" s="11">
        <f t="shared" si="4"/>
        <v>0</v>
      </c>
      <c r="BP27" s="11">
        <f t="shared" si="4"/>
        <v>0</v>
      </c>
    </row>
    <row r="28" spans="1:68" x14ac:dyDescent="0.2">
      <c r="A28" s="467">
        <v>24</v>
      </c>
      <c r="B28" s="468" t="s">
        <v>1078</v>
      </c>
      <c r="C28" s="469" t="s">
        <v>1079</v>
      </c>
      <c r="D28" s="11">
        <f t="shared" si="5"/>
        <v>0</v>
      </c>
      <c r="E28" s="11">
        <f>SUMIFS(PURCHASE!$K$6:$K$10008,PURCHASE!$A$6:$A$10008,$D$3,PURCHASE!$D$6:$D$10008,$C$5:$C$499)</f>
        <v>0</v>
      </c>
      <c r="F28" s="11">
        <f>SUMIFS(PURCHASE!$L$6:$L$10008,PURCHASE!$A$6:$A$10008,$D$3,PURCHASE!$D$6:$D$10008,$C$5:$C$499)</f>
        <v>0</v>
      </c>
      <c r="G28" s="11">
        <f>SUMIFS(PURCHASE!$M$6:$M$10008,PURCHASE!$A$6:$A$10008,$D$3,PURCHASE!$D$6:$D$10008,$C$5:$C$499)</f>
        <v>0</v>
      </c>
      <c r="H28" s="11">
        <f>SUMIFS(PURCHASE!$N$6:$N$10008,PURCHASE!$A$6:$A$10008,$D$3,PURCHASE!$D$6:$D$10008,$C$5:$C$499)</f>
        <v>0</v>
      </c>
      <c r="I28" s="473">
        <f t="shared" si="6"/>
        <v>0</v>
      </c>
      <c r="J28" s="60">
        <f>SUMIFS(PURCHASE!$K$6:$K$10008,PURCHASE!$A$6:$A$10008,$I$3,PURCHASE!$D$6:$D$10008,$C$5:$C$499)</f>
        <v>0</v>
      </c>
      <c r="K28" s="60">
        <f>SUMIFS(PURCHASE!$L$6:$L$10008,PURCHASE!$A$6:$A$10008,$I$3,PURCHASE!$D$6:$D$10008,$C$5:$C$499)</f>
        <v>0</v>
      </c>
      <c r="L28" s="60">
        <f>SUMIFS(PURCHASE!$M$6:$M$10008,PURCHASE!$A$6:$A$10008,$I$3,PURCHASE!$D$6:$D$10008,$C$5:$C$499)</f>
        <v>0</v>
      </c>
      <c r="M28" s="474">
        <f>SUMIFS(PURCHASE!$N$6:$N$10008,PURCHASE!$A$6:$A$10008,$I$3,PURCHASE!$D$6:$D$10008,$C$5:$C$499)</f>
        <v>0</v>
      </c>
      <c r="N28" s="11">
        <f t="shared" si="7"/>
        <v>0</v>
      </c>
      <c r="O28" s="11">
        <f>SUMIFS(PURCHASE!$K$6:$K$10008,PURCHASE!$A$6:$A$10008,$N$3,PURCHASE!$D$6:$D$10008,$C$5:$C$499)</f>
        <v>0</v>
      </c>
      <c r="P28" s="11">
        <f>SUMIFS(PURCHASE!$L$6:$L$10008,PURCHASE!$A$6:$A$10008,$N$3,PURCHASE!$D$6:$D$10008,$C$5:$C$499)</f>
        <v>0</v>
      </c>
      <c r="Q28" s="11">
        <f>SUMIFS(PURCHASE!$M$6:$M$10008,PURCHASE!$A$6:$A$10008,$N$3,PURCHASE!$D$6:$D$10008,$C$5:$C$499)</f>
        <v>0</v>
      </c>
      <c r="R28" s="11">
        <f>SUMIFS(PURCHASE!$N$6:$N$10008,PURCHASE!$A$6:$A$10008,$N$3,PURCHASE!$D$6:$D$10008,$C$5:$C$499)</f>
        <v>0</v>
      </c>
      <c r="S28" s="11">
        <f t="shared" si="8"/>
        <v>0</v>
      </c>
      <c r="T28" s="11">
        <f>SUMIFS(PURCHASE!$K$6:$K$10008,PURCHASE!$A$6:$A$10008,$S$3,PURCHASE!$D$6:$D$10008,$C$5:$C$499)</f>
        <v>0</v>
      </c>
      <c r="U28" s="11">
        <f>SUMIFS(PURCHASE!$L$6:$L$10008,PURCHASE!$A$6:$A$10008,$S$3,PURCHASE!$D$6:$D$10008,$C$5:$C$499)</f>
        <v>0</v>
      </c>
      <c r="V28" s="11">
        <f>SUMIFS(PURCHASE!$M$6:$M$10008,PURCHASE!$A$6:$A$10008,$S$3,PURCHASE!$D$6:$D$10008,$C$5:$C$499)</f>
        <v>0</v>
      </c>
      <c r="W28" s="11">
        <f>SUMIFS(PURCHASE!$N$6:$N$10008,PURCHASE!$A$6:$A$10008,$S$3,PURCHASE!$D$6:$D$10008,$C$5:$C$499)</f>
        <v>0</v>
      </c>
      <c r="X28" s="11">
        <f t="shared" si="9"/>
        <v>0</v>
      </c>
      <c r="Y28" s="11">
        <f>SUMIFS(PURCHASE!$K$6:$K$10008,PURCHASE!$A$6:$A$10008,$X$3,PURCHASE!$D$6:$D$10008,$C$5:$C$499)</f>
        <v>0</v>
      </c>
      <c r="Z28" s="11">
        <f>SUMIFS(PURCHASE!$L$6:$L$10008,PURCHASE!$A$6:$A$10008,$X$3,PURCHASE!$D$6:$D$10008,$C$5:$C$499)</f>
        <v>0</v>
      </c>
      <c r="AA28" s="11">
        <f>SUMIFS(PURCHASE!$M$6:$M$10008,PURCHASE!$A$6:$A$10008,$X$3,PURCHASE!$D$6:$D$10008,$C$5:$C$499)</f>
        <v>0</v>
      </c>
      <c r="AB28" s="11">
        <f>SUMIFS(PURCHASE!$N$6:$N$10008,PURCHASE!$A$6:$A$10008,$X$3,PURCHASE!$D$6:$D$10008,$C$5:$C$499)</f>
        <v>0</v>
      </c>
      <c r="AC28" s="11">
        <f t="shared" si="10"/>
        <v>0</v>
      </c>
      <c r="AD28" s="11">
        <f>SUMIFS(PURCHASE!$K$6:$K$10008,PURCHASE!$A$6:$A$10008,$AC$3,PURCHASE!$D$6:$D$10008,$C$5:$C$499)</f>
        <v>0</v>
      </c>
      <c r="AE28" s="11">
        <f>SUMIFS(PURCHASE!$L$6:$L$10008,PURCHASE!$A$6:$A$10008,$AC$3,PURCHASE!$D$6:$D$10008,$C$5:$C$499)</f>
        <v>0</v>
      </c>
      <c r="AF28" s="11">
        <f>SUMIFS(PURCHASE!$M$6:$M$10008,PURCHASE!$A$6:$A$10008,$AC$3,PURCHASE!$D$6:$D$10008,$C$5:$C$499)</f>
        <v>0</v>
      </c>
      <c r="AG28" s="11">
        <f>SUMIFS(PURCHASE!$N$6:$N$10008,PURCHASE!$A$6:$A$10008,$AC$3,PURCHASE!$D$6:$D$10008,$C$5:$C$499)</f>
        <v>0</v>
      </c>
      <c r="AH28" s="11">
        <f t="shared" si="11"/>
        <v>0</v>
      </c>
      <c r="AI28" s="11">
        <f>SUMIFS(PURCHASE!$K$6:$K$10008,PURCHASE!$A$6:$A$10008,$AH$3,PURCHASE!$D$6:$D$10008,$C$5:$C$499)</f>
        <v>0</v>
      </c>
      <c r="AJ28" s="11">
        <f>SUMIFS(PURCHASE!$L$6:$L$10008,PURCHASE!$A$6:$A$10008,$AH$3,PURCHASE!$D$6:$D$10008,$C$5:$C$499)</f>
        <v>0</v>
      </c>
      <c r="AK28" s="11">
        <f>SUMIFS(PURCHASE!$M$6:$M$10008,PURCHASE!$A$6:$A$10008,$AH$3,PURCHASE!$D$6:$D$10008,$C$5:$C$499)</f>
        <v>0</v>
      </c>
      <c r="AL28" s="11">
        <f>SUMIFS(PURCHASE!$N$6:$N$10008,PURCHASE!$A$6:$A$10008,$AH$3,PURCHASE!$D$6:$D$10008,$C$5:$C$499)</f>
        <v>0</v>
      </c>
      <c r="AM28" s="11">
        <f t="shared" si="12"/>
        <v>0</v>
      </c>
      <c r="AN28" s="11">
        <f>SUMIFS(PURCHASE!$K$6:$K$10008,PURCHASE!$A$6:$A$10008,$AM$3,PURCHASE!$D$6:$D$10008,$C$5:$C$499)</f>
        <v>0</v>
      </c>
      <c r="AO28" s="11">
        <f>SUMIFS(PURCHASE!$L$6:$L$10008,PURCHASE!$A$6:$A$10008,$AM$3,PURCHASE!$D$6:$D$10008,$C$5:$C$499)</f>
        <v>0</v>
      </c>
      <c r="AP28" s="11">
        <f>SUMIFS(PURCHASE!$M$6:$M$10008,PURCHASE!$A$6:$A$10008,$AM$3,PURCHASE!$D$6:$D$10008,$C$5:$C$499)</f>
        <v>0</v>
      </c>
      <c r="AQ28" s="11">
        <f>SUMIFS(PURCHASE!$N$6:$N$10008,PURCHASE!$A$6:$A$10008,$AM$3,PURCHASE!$D$6:$D$10008,$C$5:$C$499)</f>
        <v>0</v>
      </c>
      <c r="AR28" s="11">
        <f t="shared" si="13"/>
        <v>0</v>
      </c>
      <c r="AS28" s="11">
        <f>SUMIFS(PURCHASE!$K$6:$K$10008,PURCHASE!$A$6:$A$10008,$AR$3,PURCHASE!$D$6:$D$10008,$C$5:$C$499)</f>
        <v>0</v>
      </c>
      <c r="AT28" s="11">
        <f>SUMIFS(PURCHASE!$L$6:$L$10008,PURCHASE!$A$6:$A$10008,$AR$3,PURCHASE!$D$6:$D$10008,$C$5:$C$499)</f>
        <v>0</v>
      </c>
      <c r="AU28" s="11">
        <f>SUMIFS(PURCHASE!$M$6:$M$10008,PURCHASE!$A$6:$A$10008,$AR$3,PURCHASE!$D$6:$D$10008,$C$5:$C$499)</f>
        <v>0</v>
      </c>
      <c r="AV28" s="11">
        <f>SUMIFS(PURCHASE!$N$6:$N$10008,PURCHASE!$A$6:$A$10008,$AR$3,PURCHASE!$D$6:$D$10008,$C$5:$C$499)</f>
        <v>0</v>
      </c>
      <c r="AW28" s="11">
        <f t="shared" si="14"/>
        <v>0</v>
      </c>
      <c r="AX28" s="11">
        <f>SUMIFS(PURCHASE!$K$6:$K$10008,PURCHASE!$A$6:$A$10008,$AW$3,PURCHASE!$D$6:$D$10008,$C$5:$C$499)</f>
        <v>0</v>
      </c>
      <c r="AY28" s="11">
        <f>SUMIFS(PURCHASE!$L$6:$L$10008,PURCHASE!$A$6:$A$10008,$AW$3,PURCHASE!$D$6:$D$10008,$C$5:$C$499)</f>
        <v>0</v>
      </c>
      <c r="AZ28" s="11">
        <f>SUMIFS(PURCHASE!$M$6:$M$10008,PURCHASE!$A$6:$A$10008,$AW$3,PURCHASE!$D$6:$D$10008,$C$5:$C$499)</f>
        <v>0</v>
      </c>
      <c r="BA28" s="11">
        <f>SUMIFS(PURCHASE!$N$6:$N$10008,PURCHASE!$A$6:$A$10008,$AW$3,PURCHASE!$D$6:$D$10008,$C$5:$C$499)</f>
        <v>0</v>
      </c>
      <c r="BB28" s="11">
        <f t="shared" si="15"/>
        <v>0</v>
      </c>
      <c r="BC28" s="11">
        <f>SUMIFS(PURCHASE!$K$6:$K$10008,PURCHASE!$A$6:$A$10008,$BB$3,PURCHASE!$D$6:$D$10008,$C$5:$C$499)</f>
        <v>0</v>
      </c>
      <c r="BD28" s="11">
        <f>SUMIFS(PURCHASE!$L$6:$L$10008,PURCHASE!$A$6:$A$10008,$BB$3,PURCHASE!$D$6:$D$10008,$C$5:$C$499)</f>
        <v>0</v>
      </c>
      <c r="BE28" s="11">
        <f>SUMIFS(PURCHASE!$M$6:$M$10008,PURCHASE!$A$6:$A$10008,$BB$3,PURCHASE!$D$6:$D$10008,$C$5:$C$499)</f>
        <v>0</v>
      </c>
      <c r="BF28" s="11">
        <f>SUMIFS(PURCHASE!$N$6:$N$10008,PURCHASE!$A$6:$A$10008,$BB$3,PURCHASE!$D$6:$D$10008,$C$5:$C$499)</f>
        <v>0</v>
      </c>
      <c r="BG28" s="11">
        <f t="shared" si="16"/>
        <v>0</v>
      </c>
      <c r="BH28" s="11">
        <f>SUMIFS(PURCHASE!$K$6:$K$10008,PURCHASE!$A$6:$A$10008,$BG$3,PURCHASE!$D$6:$D$10008,$C$5:$C$499)</f>
        <v>0</v>
      </c>
      <c r="BI28" s="11">
        <f>SUMIFS(PURCHASE!$L$6:$L$10008,PURCHASE!$A$6:$A$10008,$BG$3,PURCHASE!$D$6:$D$10008,$C$5:$C$499)</f>
        <v>0</v>
      </c>
      <c r="BJ28" s="11">
        <f>SUMIFS(PURCHASE!$M$6:$M$10008,PURCHASE!$A$6:$A$10008,$BG$3,PURCHASE!$D$6:$D$10008,$C$5:$C$499)</f>
        <v>0</v>
      </c>
      <c r="BK28" s="11">
        <f>SUMIFS(PURCHASE!$N$6:$N$10008,PURCHASE!$A$6:$A$10008,$BG$3,PURCHASE!$D$6:$D$10008,$C$5:$C$499)</f>
        <v>0</v>
      </c>
      <c r="BL28" s="11">
        <f t="shared" si="4"/>
        <v>0</v>
      </c>
      <c r="BM28" s="11">
        <f t="shared" si="4"/>
        <v>0</v>
      </c>
      <c r="BN28" s="11">
        <f t="shared" si="4"/>
        <v>0</v>
      </c>
      <c r="BO28" s="11">
        <f t="shared" si="4"/>
        <v>0</v>
      </c>
      <c r="BP28" s="11">
        <f t="shared" si="4"/>
        <v>0</v>
      </c>
    </row>
    <row r="29" spans="1:68" x14ac:dyDescent="0.2">
      <c r="A29" s="467">
        <v>25</v>
      </c>
      <c r="B29" s="468" t="s">
        <v>710</v>
      </c>
      <c r="C29" s="469" t="s">
        <v>711</v>
      </c>
      <c r="D29" s="11">
        <f t="shared" si="5"/>
        <v>0</v>
      </c>
      <c r="E29" s="11">
        <f>SUMIFS(PURCHASE!$K$6:$K$10008,PURCHASE!$A$6:$A$10008,$D$3,PURCHASE!$D$6:$D$10008,$C$5:$C$499)</f>
        <v>0</v>
      </c>
      <c r="F29" s="11">
        <f>SUMIFS(PURCHASE!$L$6:$L$10008,PURCHASE!$A$6:$A$10008,$D$3,PURCHASE!$D$6:$D$10008,$C$5:$C$499)</f>
        <v>0</v>
      </c>
      <c r="G29" s="11">
        <f>SUMIFS(PURCHASE!$M$6:$M$10008,PURCHASE!$A$6:$A$10008,$D$3,PURCHASE!$D$6:$D$10008,$C$5:$C$499)</f>
        <v>0</v>
      </c>
      <c r="H29" s="11">
        <f>SUMIFS(PURCHASE!$N$6:$N$10008,PURCHASE!$A$6:$A$10008,$D$3,PURCHASE!$D$6:$D$10008,$C$5:$C$499)</f>
        <v>0</v>
      </c>
      <c r="I29" s="473">
        <f t="shared" si="6"/>
        <v>0</v>
      </c>
      <c r="J29" s="60">
        <f>SUMIFS(PURCHASE!$K$6:$K$10008,PURCHASE!$A$6:$A$10008,$I$3,PURCHASE!$D$6:$D$10008,$C$5:$C$499)</f>
        <v>0</v>
      </c>
      <c r="K29" s="60">
        <f>SUMIFS(PURCHASE!$L$6:$L$10008,PURCHASE!$A$6:$A$10008,$I$3,PURCHASE!$D$6:$D$10008,$C$5:$C$499)</f>
        <v>0</v>
      </c>
      <c r="L29" s="60">
        <f>SUMIFS(PURCHASE!$M$6:$M$10008,PURCHASE!$A$6:$A$10008,$I$3,PURCHASE!$D$6:$D$10008,$C$5:$C$499)</f>
        <v>0</v>
      </c>
      <c r="M29" s="474">
        <f>SUMIFS(PURCHASE!$N$6:$N$10008,PURCHASE!$A$6:$A$10008,$I$3,PURCHASE!$D$6:$D$10008,$C$5:$C$499)</f>
        <v>0</v>
      </c>
      <c r="N29" s="11">
        <f t="shared" si="7"/>
        <v>8956.2000000000007</v>
      </c>
      <c r="O29" s="11">
        <f>SUMIFS(PURCHASE!$K$6:$K$10008,PURCHASE!$A$6:$A$10008,$N$3,PURCHASE!$D$6:$D$10008,$C$5:$C$499)</f>
        <v>7590</v>
      </c>
      <c r="P29" s="11">
        <f>SUMIFS(PURCHASE!$L$6:$L$10008,PURCHASE!$A$6:$A$10008,$N$3,PURCHASE!$D$6:$D$10008,$C$5:$C$499)</f>
        <v>0</v>
      </c>
      <c r="Q29" s="11">
        <f>SUMIFS(PURCHASE!$M$6:$M$10008,PURCHASE!$A$6:$A$10008,$N$3,PURCHASE!$D$6:$D$10008,$C$5:$C$499)</f>
        <v>683.1</v>
      </c>
      <c r="R29" s="11">
        <f>SUMIFS(PURCHASE!$N$6:$N$10008,PURCHASE!$A$6:$A$10008,$N$3,PURCHASE!$D$6:$D$10008,$C$5:$C$499)</f>
        <v>683.1</v>
      </c>
      <c r="S29" s="11">
        <f t="shared" si="8"/>
        <v>0</v>
      </c>
      <c r="T29" s="11">
        <f>SUMIFS(PURCHASE!$K$6:$K$10008,PURCHASE!$A$6:$A$10008,$S$3,PURCHASE!$D$6:$D$10008,$C$5:$C$499)</f>
        <v>0</v>
      </c>
      <c r="U29" s="11">
        <f>SUMIFS(PURCHASE!$L$6:$L$10008,PURCHASE!$A$6:$A$10008,$S$3,PURCHASE!$D$6:$D$10008,$C$5:$C$499)</f>
        <v>0</v>
      </c>
      <c r="V29" s="11">
        <f>SUMIFS(PURCHASE!$M$6:$M$10008,PURCHASE!$A$6:$A$10008,$S$3,PURCHASE!$D$6:$D$10008,$C$5:$C$499)</f>
        <v>0</v>
      </c>
      <c r="W29" s="11">
        <f>SUMIFS(PURCHASE!$N$6:$N$10008,PURCHASE!$A$6:$A$10008,$S$3,PURCHASE!$D$6:$D$10008,$C$5:$C$499)</f>
        <v>0</v>
      </c>
      <c r="X29" s="11">
        <f t="shared" si="9"/>
        <v>0</v>
      </c>
      <c r="Y29" s="11">
        <f>SUMIFS(PURCHASE!$K$6:$K$10008,PURCHASE!$A$6:$A$10008,$X$3,PURCHASE!$D$6:$D$10008,$C$5:$C$499)</f>
        <v>0</v>
      </c>
      <c r="Z29" s="11">
        <f>SUMIFS(PURCHASE!$L$6:$L$10008,PURCHASE!$A$6:$A$10008,$X$3,PURCHASE!$D$6:$D$10008,$C$5:$C$499)</f>
        <v>0</v>
      </c>
      <c r="AA29" s="11">
        <f>SUMIFS(PURCHASE!$M$6:$M$10008,PURCHASE!$A$6:$A$10008,$X$3,PURCHASE!$D$6:$D$10008,$C$5:$C$499)</f>
        <v>0</v>
      </c>
      <c r="AB29" s="11">
        <f>SUMIFS(PURCHASE!$N$6:$N$10008,PURCHASE!$A$6:$A$10008,$X$3,PURCHASE!$D$6:$D$10008,$C$5:$C$499)</f>
        <v>0</v>
      </c>
      <c r="AC29" s="11">
        <f t="shared" si="10"/>
        <v>0</v>
      </c>
      <c r="AD29" s="11">
        <f>SUMIFS(PURCHASE!$K$6:$K$10008,PURCHASE!$A$6:$A$10008,$AC$3,PURCHASE!$D$6:$D$10008,$C$5:$C$499)</f>
        <v>0</v>
      </c>
      <c r="AE29" s="11">
        <f>SUMIFS(PURCHASE!$L$6:$L$10008,PURCHASE!$A$6:$A$10008,$AC$3,PURCHASE!$D$6:$D$10008,$C$5:$C$499)</f>
        <v>0</v>
      </c>
      <c r="AF29" s="11">
        <f>SUMIFS(PURCHASE!$M$6:$M$10008,PURCHASE!$A$6:$A$10008,$AC$3,PURCHASE!$D$6:$D$10008,$C$5:$C$499)</f>
        <v>0</v>
      </c>
      <c r="AG29" s="11">
        <f>SUMIFS(PURCHASE!$N$6:$N$10008,PURCHASE!$A$6:$A$10008,$AC$3,PURCHASE!$D$6:$D$10008,$C$5:$C$499)</f>
        <v>0</v>
      </c>
      <c r="AH29" s="11">
        <f t="shared" si="11"/>
        <v>9428.2000000000007</v>
      </c>
      <c r="AI29" s="11">
        <f>SUMIFS(PURCHASE!$K$6:$K$10008,PURCHASE!$A$6:$A$10008,$AH$3,PURCHASE!$D$6:$D$10008,$C$5:$C$499)</f>
        <v>7990</v>
      </c>
      <c r="AJ29" s="11">
        <f>SUMIFS(PURCHASE!$L$6:$L$10008,PURCHASE!$A$6:$A$10008,$AH$3,PURCHASE!$D$6:$D$10008,$C$5:$C$499)</f>
        <v>0</v>
      </c>
      <c r="AK29" s="11">
        <f>SUMIFS(PURCHASE!$M$6:$M$10008,PURCHASE!$A$6:$A$10008,$AH$3,PURCHASE!$D$6:$D$10008,$C$5:$C$499)</f>
        <v>719.1</v>
      </c>
      <c r="AL29" s="11">
        <f>SUMIFS(PURCHASE!$N$6:$N$10008,PURCHASE!$A$6:$A$10008,$AH$3,PURCHASE!$D$6:$D$10008,$C$5:$C$499)</f>
        <v>719.1</v>
      </c>
      <c r="AM29" s="11">
        <f t="shared" si="12"/>
        <v>0</v>
      </c>
      <c r="AN29" s="11">
        <f>SUMIFS(PURCHASE!$K$6:$K$10008,PURCHASE!$A$6:$A$10008,$AM$3,PURCHASE!$D$6:$D$10008,$C$5:$C$499)</f>
        <v>0</v>
      </c>
      <c r="AO29" s="11">
        <f>SUMIFS(PURCHASE!$L$6:$L$10008,PURCHASE!$A$6:$A$10008,$AM$3,PURCHASE!$D$6:$D$10008,$C$5:$C$499)</f>
        <v>0</v>
      </c>
      <c r="AP29" s="11">
        <f>SUMIFS(PURCHASE!$M$6:$M$10008,PURCHASE!$A$6:$A$10008,$AM$3,PURCHASE!$D$6:$D$10008,$C$5:$C$499)</f>
        <v>0</v>
      </c>
      <c r="AQ29" s="11">
        <f>SUMIFS(PURCHASE!$N$6:$N$10008,PURCHASE!$A$6:$A$10008,$AM$3,PURCHASE!$D$6:$D$10008,$C$5:$C$499)</f>
        <v>0</v>
      </c>
      <c r="AR29" s="11">
        <f t="shared" si="13"/>
        <v>0</v>
      </c>
      <c r="AS29" s="11">
        <f>SUMIFS(PURCHASE!$K$6:$K$10008,PURCHASE!$A$6:$A$10008,$AR$3,PURCHASE!$D$6:$D$10008,$C$5:$C$499)</f>
        <v>0</v>
      </c>
      <c r="AT29" s="11">
        <f>SUMIFS(PURCHASE!$L$6:$L$10008,PURCHASE!$A$6:$A$10008,$AR$3,PURCHASE!$D$6:$D$10008,$C$5:$C$499)</f>
        <v>0</v>
      </c>
      <c r="AU29" s="11">
        <f>SUMIFS(PURCHASE!$M$6:$M$10008,PURCHASE!$A$6:$A$10008,$AR$3,PURCHASE!$D$6:$D$10008,$C$5:$C$499)</f>
        <v>0</v>
      </c>
      <c r="AV29" s="11">
        <f>SUMIFS(PURCHASE!$N$6:$N$10008,PURCHASE!$A$6:$A$10008,$AR$3,PURCHASE!$D$6:$D$10008,$C$5:$C$499)</f>
        <v>0</v>
      </c>
      <c r="AW29" s="11">
        <f t="shared" si="14"/>
        <v>0</v>
      </c>
      <c r="AX29" s="11">
        <f>SUMIFS(PURCHASE!$K$6:$K$10008,PURCHASE!$A$6:$A$10008,$AW$3,PURCHASE!$D$6:$D$10008,$C$5:$C$499)</f>
        <v>0</v>
      </c>
      <c r="AY29" s="11">
        <f>SUMIFS(PURCHASE!$L$6:$L$10008,PURCHASE!$A$6:$A$10008,$AW$3,PURCHASE!$D$6:$D$10008,$C$5:$C$499)</f>
        <v>0</v>
      </c>
      <c r="AZ29" s="11">
        <f>SUMIFS(PURCHASE!$M$6:$M$10008,PURCHASE!$A$6:$A$10008,$AW$3,PURCHASE!$D$6:$D$10008,$C$5:$C$499)</f>
        <v>0</v>
      </c>
      <c r="BA29" s="11">
        <f>SUMIFS(PURCHASE!$N$6:$N$10008,PURCHASE!$A$6:$A$10008,$AW$3,PURCHASE!$D$6:$D$10008,$C$5:$C$499)</f>
        <v>0</v>
      </c>
      <c r="BB29" s="11">
        <f t="shared" si="15"/>
        <v>0</v>
      </c>
      <c r="BC29" s="11">
        <f>SUMIFS(PURCHASE!$K$6:$K$10008,PURCHASE!$A$6:$A$10008,$BB$3,PURCHASE!$D$6:$D$10008,$C$5:$C$499)</f>
        <v>0</v>
      </c>
      <c r="BD29" s="11">
        <f>SUMIFS(PURCHASE!$L$6:$L$10008,PURCHASE!$A$6:$A$10008,$BB$3,PURCHASE!$D$6:$D$10008,$C$5:$C$499)</f>
        <v>0</v>
      </c>
      <c r="BE29" s="11">
        <f>SUMIFS(PURCHASE!$M$6:$M$10008,PURCHASE!$A$6:$A$10008,$BB$3,PURCHASE!$D$6:$D$10008,$C$5:$C$499)</f>
        <v>0</v>
      </c>
      <c r="BF29" s="11">
        <f>SUMIFS(PURCHASE!$N$6:$N$10008,PURCHASE!$A$6:$A$10008,$BB$3,PURCHASE!$D$6:$D$10008,$C$5:$C$499)</f>
        <v>0</v>
      </c>
      <c r="BG29" s="11">
        <f t="shared" si="16"/>
        <v>0</v>
      </c>
      <c r="BH29" s="11">
        <f>SUMIFS(PURCHASE!$K$6:$K$10008,PURCHASE!$A$6:$A$10008,$BG$3,PURCHASE!$D$6:$D$10008,$C$5:$C$499)</f>
        <v>0</v>
      </c>
      <c r="BI29" s="11">
        <f>SUMIFS(PURCHASE!$L$6:$L$10008,PURCHASE!$A$6:$A$10008,$BG$3,PURCHASE!$D$6:$D$10008,$C$5:$C$499)</f>
        <v>0</v>
      </c>
      <c r="BJ29" s="11">
        <f>SUMIFS(PURCHASE!$M$6:$M$10008,PURCHASE!$A$6:$A$10008,$BG$3,PURCHASE!$D$6:$D$10008,$C$5:$C$499)</f>
        <v>0</v>
      </c>
      <c r="BK29" s="11">
        <f>SUMIFS(PURCHASE!$N$6:$N$10008,PURCHASE!$A$6:$A$10008,$BG$3,PURCHASE!$D$6:$D$10008,$C$5:$C$499)</f>
        <v>0</v>
      </c>
      <c r="BL29" s="11">
        <f t="shared" si="4"/>
        <v>18384.400000000001</v>
      </c>
      <c r="BM29" s="11">
        <f t="shared" si="4"/>
        <v>15580</v>
      </c>
      <c r="BN29" s="11">
        <f t="shared" si="4"/>
        <v>0</v>
      </c>
      <c r="BO29" s="11">
        <f t="shared" si="4"/>
        <v>1402.2</v>
      </c>
      <c r="BP29" s="11">
        <f t="shared" si="4"/>
        <v>1402.2</v>
      </c>
    </row>
    <row r="30" spans="1:68" x14ac:dyDescent="0.2">
      <c r="A30" s="467">
        <v>26</v>
      </c>
      <c r="B30" s="468" t="s">
        <v>845</v>
      </c>
      <c r="C30" s="469" t="s">
        <v>846</v>
      </c>
      <c r="D30" s="11">
        <f t="shared" si="5"/>
        <v>0</v>
      </c>
      <c r="E30" s="11">
        <f>SUMIFS(PURCHASE!$K$6:$K$10008,PURCHASE!$A$6:$A$10008,$D$3,PURCHASE!$D$6:$D$10008,$C$5:$C$499)</f>
        <v>0</v>
      </c>
      <c r="F30" s="11">
        <f>SUMIFS(PURCHASE!$L$6:$L$10008,PURCHASE!$A$6:$A$10008,$D$3,PURCHASE!$D$6:$D$10008,$C$5:$C$499)</f>
        <v>0</v>
      </c>
      <c r="G30" s="11">
        <f>SUMIFS(PURCHASE!$M$6:$M$10008,PURCHASE!$A$6:$A$10008,$D$3,PURCHASE!$D$6:$D$10008,$C$5:$C$499)</f>
        <v>0</v>
      </c>
      <c r="H30" s="11">
        <f>SUMIFS(PURCHASE!$N$6:$N$10008,PURCHASE!$A$6:$A$10008,$D$3,PURCHASE!$D$6:$D$10008,$C$5:$C$499)</f>
        <v>0</v>
      </c>
      <c r="I30" s="473">
        <f t="shared" si="6"/>
        <v>0</v>
      </c>
      <c r="J30" s="60">
        <f>SUMIFS(PURCHASE!$K$6:$K$10008,PURCHASE!$A$6:$A$10008,$I$3,PURCHASE!$D$6:$D$10008,$C$5:$C$499)</f>
        <v>0</v>
      </c>
      <c r="K30" s="60">
        <f>SUMIFS(PURCHASE!$L$6:$L$10008,PURCHASE!$A$6:$A$10008,$I$3,PURCHASE!$D$6:$D$10008,$C$5:$C$499)</f>
        <v>0</v>
      </c>
      <c r="L30" s="60">
        <f>SUMIFS(PURCHASE!$M$6:$M$10008,PURCHASE!$A$6:$A$10008,$I$3,PURCHASE!$D$6:$D$10008,$C$5:$C$499)</f>
        <v>0</v>
      </c>
      <c r="M30" s="474">
        <f>SUMIFS(PURCHASE!$N$6:$N$10008,PURCHASE!$A$6:$A$10008,$I$3,PURCHASE!$D$6:$D$10008,$C$5:$C$499)</f>
        <v>0</v>
      </c>
      <c r="N30" s="11">
        <f t="shared" si="7"/>
        <v>0</v>
      </c>
      <c r="O30" s="11">
        <f>SUMIFS(PURCHASE!$K$6:$K$10008,PURCHASE!$A$6:$A$10008,$N$3,PURCHASE!$D$6:$D$10008,$C$5:$C$499)</f>
        <v>0</v>
      </c>
      <c r="P30" s="11">
        <f>SUMIFS(PURCHASE!$L$6:$L$10008,PURCHASE!$A$6:$A$10008,$N$3,PURCHASE!$D$6:$D$10008,$C$5:$C$499)</f>
        <v>0</v>
      </c>
      <c r="Q30" s="11">
        <f>SUMIFS(PURCHASE!$M$6:$M$10008,PURCHASE!$A$6:$A$10008,$N$3,PURCHASE!$D$6:$D$10008,$C$5:$C$499)</f>
        <v>0</v>
      </c>
      <c r="R30" s="11">
        <f>SUMIFS(PURCHASE!$N$6:$N$10008,PURCHASE!$A$6:$A$10008,$N$3,PURCHASE!$D$6:$D$10008,$C$5:$C$499)</f>
        <v>0</v>
      </c>
      <c r="S30" s="11">
        <f t="shared" si="8"/>
        <v>1060.1120000000001</v>
      </c>
      <c r="T30" s="11">
        <f>SUMIFS(PURCHASE!$K$6:$K$10008,PURCHASE!$A$6:$A$10008,$S$3,PURCHASE!$D$6:$D$10008,$C$5:$C$499)</f>
        <v>898.4</v>
      </c>
      <c r="U30" s="11">
        <f>SUMIFS(PURCHASE!$L$6:$L$10008,PURCHASE!$A$6:$A$10008,$S$3,PURCHASE!$D$6:$D$10008,$C$5:$C$499)</f>
        <v>0</v>
      </c>
      <c r="V30" s="11">
        <f>SUMIFS(PURCHASE!$M$6:$M$10008,PURCHASE!$A$6:$A$10008,$S$3,PURCHASE!$D$6:$D$10008,$C$5:$C$499)</f>
        <v>80.855999999999995</v>
      </c>
      <c r="W30" s="11">
        <f>SUMIFS(PURCHASE!$N$6:$N$10008,PURCHASE!$A$6:$A$10008,$S$3,PURCHASE!$D$6:$D$10008,$C$5:$C$499)</f>
        <v>80.855999999999995</v>
      </c>
      <c r="X30" s="11">
        <f t="shared" si="9"/>
        <v>0</v>
      </c>
      <c r="Y30" s="11">
        <f>SUMIFS(PURCHASE!$K$6:$K$10008,PURCHASE!$A$6:$A$10008,$X$3,PURCHASE!$D$6:$D$10008,$C$5:$C$499)</f>
        <v>0</v>
      </c>
      <c r="Z30" s="11">
        <f>SUMIFS(PURCHASE!$L$6:$L$10008,PURCHASE!$A$6:$A$10008,$X$3,PURCHASE!$D$6:$D$10008,$C$5:$C$499)</f>
        <v>0</v>
      </c>
      <c r="AA30" s="11">
        <f>SUMIFS(PURCHASE!$M$6:$M$10008,PURCHASE!$A$6:$A$10008,$X$3,PURCHASE!$D$6:$D$10008,$C$5:$C$499)</f>
        <v>0</v>
      </c>
      <c r="AB30" s="11">
        <f>SUMIFS(PURCHASE!$N$6:$N$10008,PURCHASE!$A$6:$A$10008,$X$3,PURCHASE!$D$6:$D$10008,$C$5:$C$499)</f>
        <v>0</v>
      </c>
      <c r="AC30" s="11">
        <f t="shared" si="10"/>
        <v>0</v>
      </c>
      <c r="AD30" s="11">
        <f>SUMIFS(PURCHASE!$K$6:$K$10008,PURCHASE!$A$6:$A$10008,$AC$3,PURCHASE!$D$6:$D$10008,$C$5:$C$499)</f>
        <v>0</v>
      </c>
      <c r="AE30" s="11">
        <f>SUMIFS(PURCHASE!$L$6:$L$10008,PURCHASE!$A$6:$A$10008,$AC$3,PURCHASE!$D$6:$D$10008,$C$5:$C$499)</f>
        <v>0</v>
      </c>
      <c r="AF30" s="11">
        <f>SUMIFS(PURCHASE!$M$6:$M$10008,PURCHASE!$A$6:$A$10008,$AC$3,PURCHASE!$D$6:$D$10008,$C$5:$C$499)</f>
        <v>0</v>
      </c>
      <c r="AG30" s="11">
        <f>SUMIFS(PURCHASE!$N$6:$N$10008,PURCHASE!$A$6:$A$10008,$AC$3,PURCHASE!$D$6:$D$10008,$C$5:$C$499)</f>
        <v>0</v>
      </c>
      <c r="AH30" s="11">
        <f t="shared" si="11"/>
        <v>0</v>
      </c>
      <c r="AI30" s="11">
        <f>SUMIFS(PURCHASE!$K$6:$K$10008,PURCHASE!$A$6:$A$10008,$AH$3,PURCHASE!$D$6:$D$10008,$C$5:$C$499)</f>
        <v>0</v>
      </c>
      <c r="AJ30" s="11">
        <f>SUMIFS(PURCHASE!$L$6:$L$10008,PURCHASE!$A$6:$A$10008,$AH$3,PURCHASE!$D$6:$D$10008,$C$5:$C$499)</f>
        <v>0</v>
      </c>
      <c r="AK30" s="11">
        <f>SUMIFS(PURCHASE!$M$6:$M$10008,PURCHASE!$A$6:$A$10008,$AH$3,PURCHASE!$D$6:$D$10008,$C$5:$C$499)</f>
        <v>0</v>
      </c>
      <c r="AL30" s="11">
        <f>SUMIFS(PURCHASE!$N$6:$N$10008,PURCHASE!$A$6:$A$10008,$AH$3,PURCHASE!$D$6:$D$10008,$C$5:$C$499)</f>
        <v>0</v>
      </c>
      <c r="AM30" s="11">
        <f t="shared" si="12"/>
        <v>0</v>
      </c>
      <c r="AN30" s="11">
        <f>SUMIFS(PURCHASE!$K$6:$K$10008,PURCHASE!$A$6:$A$10008,$AM$3,PURCHASE!$D$6:$D$10008,$C$5:$C$499)</f>
        <v>0</v>
      </c>
      <c r="AO30" s="11">
        <f>SUMIFS(PURCHASE!$L$6:$L$10008,PURCHASE!$A$6:$A$10008,$AM$3,PURCHASE!$D$6:$D$10008,$C$5:$C$499)</f>
        <v>0</v>
      </c>
      <c r="AP30" s="11">
        <f>SUMIFS(PURCHASE!$M$6:$M$10008,PURCHASE!$A$6:$A$10008,$AM$3,PURCHASE!$D$6:$D$10008,$C$5:$C$499)</f>
        <v>0</v>
      </c>
      <c r="AQ30" s="11">
        <f>SUMIFS(PURCHASE!$N$6:$N$10008,PURCHASE!$A$6:$A$10008,$AM$3,PURCHASE!$D$6:$D$10008,$C$5:$C$499)</f>
        <v>0</v>
      </c>
      <c r="AR30" s="11">
        <f t="shared" si="13"/>
        <v>0</v>
      </c>
      <c r="AS30" s="11">
        <f>SUMIFS(PURCHASE!$K$6:$K$10008,PURCHASE!$A$6:$A$10008,$AR$3,PURCHASE!$D$6:$D$10008,$C$5:$C$499)</f>
        <v>0</v>
      </c>
      <c r="AT30" s="11">
        <f>SUMIFS(PURCHASE!$L$6:$L$10008,PURCHASE!$A$6:$A$10008,$AR$3,PURCHASE!$D$6:$D$10008,$C$5:$C$499)</f>
        <v>0</v>
      </c>
      <c r="AU30" s="11">
        <f>SUMIFS(PURCHASE!$M$6:$M$10008,PURCHASE!$A$6:$A$10008,$AR$3,PURCHASE!$D$6:$D$10008,$C$5:$C$499)</f>
        <v>0</v>
      </c>
      <c r="AV30" s="11">
        <f>SUMIFS(PURCHASE!$N$6:$N$10008,PURCHASE!$A$6:$A$10008,$AR$3,PURCHASE!$D$6:$D$10008,$C$5:$C$499)</f>
        <v>0</v>
      </c>
      <c r="AW30" s="11">
        <f t="shared" si="14"/>
        <v>0</v>
      </c>
      <c r="AX30" s="11">
        <f>SUMIFS(PURCHASE!$K$6:$K$10008,PURCHASE!$A$6:$A$10008,$AW$3,PURCHASE!$D$6:$D$10008,$C$5:$C$499)</f>
        <v>0</v>
      </c>
      <c r="AY30" s="11">
        <f>SUMIFS(PURCHASE!$L$6:$L$10008,PURCHASE!$A$6:$A$10008,$AW$3,PURCHASE!$D$6:$D$10008,$C$5:$C$499)</f>
        <v>0</v>
      </c>
      <c r="AZ30" s="11">
        <f>SUMIFS(PURCHASE!$M$6:$M$10008,PURCHASE!$A$6:$A$10008,$AW$3,PURCHASE!$D$6:$D$10008,$C$5:$C$499)</f>
        <v>0</v>
      </c>
      <c r="BA30" s="11">
        <f>SUMIFS(PURCHASE!$N$6:$N$10008,PURCHASE!$A$6:$A$10008,$AW$3,PURCHASE!$D$6:$D$10008,$C$5:$C$499)</f>
        <v>0</v>
      </c>
      <c r="BB30" s="11">
        <f t="shared" si="15"/>
        <v>0</v>
      </c>
      <c r="BC30" s="11">
        <f>SUMIFS(PURCHASE!$K$6:$K$10008,PURCHASE!$A$6:$A$10008,$BB$3,PURCHASE!$D$6:$D$10008,$C$5:$C$499)</f>
        <v>0</v>
      </c>
      <c r="BD30" s="11">
        <f>SUMIFS(PURCHASE!$L$6:$L$10008,PURCHASE!$A$6:$A$10008,$BB$3,PURCHASE!$D$6:$D$10008,$C$5:$C$499)</f>
        <v>0</v>
      </c>
      <c r="BE30" s="11">
        <f>SUMIFS(PURCHASE!$M$6:$M$10008,PURCHASE!$A$6:$A$10008,$BB$3,PURCHASE!$D$6:$D$10008,$C$5:$C$499)</f>
        <v>0</v>
      </c>
      <c r="BF30" s="11">
        <f>SUMIFS(PURCHASE!$N$6:$N$10008,PURCHASE!$A$6:$A$10008,$BB$3,PURCHASE!$D$6:$D$10008,$C$5:$C$499)</f>
        <v>0</v>
      </c>
      <c r="BG30" s="11">
        <f t="shared" si="16"/>
        <v>0</v>
      </c>
      <c r="BH30" s="11">
        <f>SUMIFS(PURCHASE!$K$6:$K$10008,PURCHASE!$A$6:$A$10008,$BG$3,PURCHASE!$D$6:$D$10008,$C$5:$C$499)</f>
        <v>0</v>
      </c>
      <c r="BI30" s="11">
        <f>SUMIFS(PURCHASE!$L$6:$L$10008,PURCHASE!$A$6:$A$10008,$BG$3,PURCHASE!$D$6:$D$10008,$C$5:$C$499)</f>
        <v>0</v>
      </c>
      <c r="BJ30" s="11">
        <f>SUMIFS(PURCHASE!$M$6:$M$10008,PURCHASE!$A$6:$A$10008,$BG$3,PURCHASE!$D$6:$D$10008,$C$5:$C$499)</f>
        <v>0</v>
      </c>
      <c r="BK30" s="11">
        <f>SUMIFS(PURCHASE!$N$6:$N$10008,PURCHASE!$A$6:$A$10008,$BG$3,PURCHASE!$D$6:$D$10008,$C$5:$C$499)</f>
        <v>0</v>
      </c>
      <c r="BL30" s="11">
        <f t="shared" si="4"/>
        <v>1060.1120000000001</v>
      </c>
      <c r="BM30" s="11">
        <f t="shared" si="4"/>
        <v>898.4</v>
      </c>
      <c r="BN30" s="11">
        <f t="shared" si="4"/>
        <v>0</v>
      </c>
      <c r="BO30" s="11">
        <f t="shared" si="4"/>
        <v>80.855999999999995</v>
      </c>
      <c r="BP30" s="11">
        <f t="shared" si="4"/>
        <v>80.855999999999995</v>
      </c>
    </row>
    <row r="31" spans="1:68" x14ac:dyDescent="0.2">
      <c r="A31" s="467">
        <v>27</v>
      </c>
      <c r="B31" s="475" t="s">
        <v>1080</v>
      </c>
      <c r="C31" s="468" t="s">
        <v>1081</v>
      </c>
      <c r="D31" s="11">
        <f t="shared" si="5"/>
        <v>0</v>
      </c>
      <c r="E31" s="11">
        <f>SUMIFS(PURCHASE!$K$6:$K$10008,PURCHASE!$A$6:$A$10008,$D$3,PURCHASE!$D$6:$D$10008,$C$5:$C$499)</f>
        <v>0</v>
      </c>
      <c r="F31" s="11">
        <f>SUMIFS(PURCHASE!$L$6:$L$10008,PURCHASE!$A$6:$A$10008,$D$3,PURCHASE!$D$6:$D$10008,$C$5:$C$499)</f>
        <v>0</v>
      </c>
      <c r="G31" s="11">
        <f>SUMIFS(PURCHASE!$M$6:$M$10008,PURCHASE!$A$6:$A$10008,$D$3,PURCHASE!$D$6:$D$10008,$C$5:$C$499)</f>
        <v>0</v>
      </c>
      <c r="H31" s="11">
        <f>SUMIFS(PURCHASE!$N$6:$N$10008,PURCHASE!$A$6:$A$10008,$D$3,PURCHASE!$D$6:$D$10008,$C$5:$C$499)</f>
        <v>0</v>
      </c>
      <c r="I31" s="473">
        <f t="shared" si="6"/>
        <v>0</v>
      </c>
      <c r="J31" s="60">
        <f>SUMIFS(PURCHASE!$K$6:$K$10008,PURCHASE!$A$6:$A$10008,$I$3,PURCHASE!$D$6:$D$10008,$C$5:$C$499)</f>
        <v>0</v>
      </c>
      <c r="K31" s="60">
        <f>SUMIFS(PURCHASE!$L$6:$L$10008,PURCHASE!$A$6:$A$10008,$I$3,PURCHASE!$D$6:$D$10008,$C$5:$C$499)</f>
        <v>0</v>
      </c>
      <c r="L31" s="60">
        <f>SUMIFS(PURCHASE!$M$6:$M$10008,PURCHASE!$A$6:$A$10008,$I$3,PURCHASE!$D$6:$D$10008,$C$5:$C$499)</f>
        <v>0</v>
      </c>
      <c r="M31" s="474">
        <f>SUMIFS(PURCHASE!$N$6:$N$10008,PURCHASE!$A$6:$A$10008,$I$3,PURCHASE!$D$6:$D$10008,$C$5:$C$499)</f>
        <v>0</v>
      </c>
      <c r="N31" s="11">
        <f t="shared" si="7"/>
        <v>0</v>
      </c>
      <c r="O31" s="11">
        <f>SUMIFS(PURCHASE!$K$6:$K$10008,PURCHASE!$A$6:$A$10008,$N$3,PURCHASE!$D$6:$D$10008,$C$5:$C$499)</f>
        <v>0</v>
      </c>
      <c r="P31" s="11">
        <f>SUMIFS(PURCHASE!$L$6:$L$10008,PURCHASE!$A$6:$A$10008,$N$3,PURCHASE!$D$6:$D$10008,$C$5:$C$499)</f>
        <v>0</v>
      </c>
      <c r="Q31" s="11">
        <f>SUMIFS(PURCHASE!$M$6:$M$10008,PURCHASE!$A$6:$A$10008,$N$3,PURCHASE!$D$6:$D$10008,$C$5:$C$499)</f>
        <v>0</v>
      </c>
      <c r="R31" s="11">
        <f>SUMIFS(PURCHASE!$N$6:$N$10008,PURCHASE!$A$6:$A$10008,$N$3,PURCHASE!$D$6:$D$10008,$C$5:$C$499)</f>
        <v>0</v>
      </c>
      <c r="S31" s="11">
        <f t="shared" si="8"/>
        <v>0</v>
      </c>
      <c r="T31" s="11">
        <f>SUMIFS(PURCHASE!$K$6:$K$10008,PURCHASE!$A$6:$A$10008,$S$3,PURCHASE!$D$6:$D$10008,$C$5:$C$499)</f>
        <v>0</v>
      </c>
      <c r="U31" s="11">
        <f>SUMIFS(PURCHASE!$L$6:$L$10008,PURCHASE!$A$6:$A$10008,$S$3,PURCHASE!$D$6:$D$10008,$C$5:$C$499)</f>
        <v>0</v>
      </c>
      <c r="V31" s="11">
        <f>SUMIFS(PURCHASE!$M$6:$M$10008,PURCHASE!$A$6:$A$10008,$S$3,PURCHASE!$D$6:$D$10008,$C$5:$C$499)</f>
        <v>0</v>
      </c>
      <c r="W31" s="11">
        <f>SUMIFS(PURCHASE!$N$6:$N$10008,PURCHASE!$A$6:$A$10008,$S$3,PURCHASE!$D$6:$D$10008,$C$5:$C$499)</f>
        <v>0</v>
      </c>
      <c r="X31" s="11">
        <f t="shared" si="9"/>
        <v>0</v>
      </c>
      <c r="Y31" s="11">
        <f>SUMIFS(PURCHASE!$K$6:$K$10008,PURCHASE!$A$6:$A$10008,$X$3,PURCHASE!$D$6:$D$10008,$C$5:$C$499)</f>
        <v>0</v>
      </c>
      <c r="Z31" s="11">
        <f>SUMIFS(PURCHASE!$L$6:$L$10008,PURCHASE!$A$6:$A$10008,$X$3,PURCHASE!$D$6:$D$10008,$C$5:$C$499)</f>
        <v>0</v>
      </c>
      <c r="AA31" s="11">
        <f>SUMIFS(PURCHASE!$M$6:$M$10008,PURCHASE!$A$6:$A$10008,$X$3,PURCHASE!$D$6:$D$10008,$C$5:$C$499)</f>
        <v>0</v>
      </c>
      <c r="AB31" s="11">
        <f>SUMIFS(PURCHASE!$N$6:$N$10008,PURCHASE!$A$6:$A$10008,$X$3,PURCHASE!$D$6:$D$10008,$C$5:$C$499)</f>
        <v>0</v>
      </c>
      <c r="AC31" s="11">
        <f t="shared" si="10"/>
        <v>0</v>
      </c>
      <c r="AD31" s="11">
        <f>SUMIFS(PURCHASE!$K$6:$K$10008,PURCHASE!$A$6:$A$10008,$AC$3,PURCHASE!$D$6:$D$10008,$C$5:$C$499)</f>
        <v>0</v>
      </c>
      <c r="AE31" s="11">
        <f>SUMIFS(PURCHASE!$L$6:$L$10008,PURCHASE!$A$6:$A$10008,$AC$3,PURCHASE!$D$6:$D$10008,$C$5:$C$499)</f>
        <v>0</v>
      </c>
      <c r="AF31" s="11">
        <f>SUMIFS(PURCHASE!$M$6:$M$10008,PURCHASE!$A$6:$A$10008,$AC$3,PURCHASE!$D$6:$D$10008,$C$5:$C$499)</f>
        <v>0</v>
      </c>
      <c r="AG31" s="11">
        <f>SUMIFS(PURCHASE!$N$6:$N$10008,PURCHASE!$A$6:$A$10008,$AC$3,PURCHASE!$D$6:$D$10008,$C$5:$C$499)</f>
        <v>0</v>
      </c>
      <c r="AH31" s="11">
        <f t="shared" si="11"/>
        <v>0</v>
      </c>
      <c r="AI31" s="11">
        <f>SUMIFS(PURCHASE!$K$6:$K$10008,PURCHASE!$A$6:$A$10008,$AH$3,PURCHASE!$D$6:$D$10008,$C$5:$C$499)</f>
        <v>0</v>
      </c>
      <c r="AJ31" s="11">
        <f>SUMIFS(PURCHASE!$L$6:$L$10008,PURCHASE!$A$6:$A$10008,$AH$3,PURCHASE!$D$6:$D$10008,$C$5:$C$499)</f>
        <v>0</v>
      </c>
      <c r="AK31" s="11">
        <f>SUMIFS(PURCHASE!$M$6:$M$10008,PURCHASE!$A$6:$A$10008,$AH$3,PURCHASE!$D$6:$D$10008,$C$5:$C$499)</f>
        <v>0</v>
      </c>
      <c r="AL31" s="11">
        <f>SUMIFS(PURCHASE!$N$6:$N$10008,PURCHASE!$A$6:$A$10008,$AH$3,PURCHASE!$D$6:$D$10008,$C$5:$C$499)</f>
        <v>0</v>
      </c>
      <c r="AM31" s="11">
        <f t="shared" si="12"/>
        <v>0</v>
      </c>
      <c r="AN31" s="11">
        <f>SUMIFS(PURCHASE!$K$6:$K$10008,PURCHASE!$A$6:$A$10008,$AM$3,PURCHASE!$D$6:$D$10008,$C$5:$C$499)</f>
        <v>0</v>
      </c>
      <c r="AO31" s="11">
        <f>SUMIFS(PURCHASE!$L$6:$L$10008,PURCHASE!$A$6:$A$10008,$AM$3,PURCHASE!$D$6:$D$10008,$C$5:$C$499)</f>
        <v>0</v>
      </c>
      <c r="AP31" s="11">
        <f>SUMIFS(PURCHASE!$M$6:$M$10008,PURCHASE!$A$6:$A$10008,$AM$3,PURCHASE!$D$6:$D$10008,$C$5:$C$499)</f>
        <v>0</v>
      </c>
      <c r="AQ31" s="11">
        <f>SUMIFS(PURCHASE!$N$6:$N$10008,PURCHASE!$A$6:$A$10008,$AM$3,PURCHASE!$D$6:$D$10008,$C$5:$C$499)</f>
        <v>0</v>
      </c>
      <c r="AR31" s="11">
        <f t="shared" si="13"/>
        <v>0</v>
      </c>
      <c r="AS31" s="11">
        <f>SUMIFS(PURCHASE!$K$6:$K$10008,PURCHASE!$A$6:$A$10008,$AR$3,PURCHASE!$D$6:$D$10008,$C$5:$C$499)</f>
        <v>0</v>
      </c>
      <c r="AT31" s="11">
        <f>SUMIFS(PURCHASE!$L$6:$L$10008,PURCHASE!$A$6:$A$10008,$AR$3,PURCHASE!$D$6:$D$10008,$C$5:$C$499)</f>
        <v>0</v>
      </c>
      <c r="AU31" s="11">
        <f>SUMIFS(PURCHASE!$M$6:$M$10008,PURCHASE!$A$6:$A$10008,$AR$3,PURCHASE!$D$6:$D$10008,$C$5:$C$499)</f>
        <v>0</v>
      </c>
      <c r="AV31" s="11">
        <f>SUMIFS(PURCHASE!$N$6:$N$10008,PURCHASE!$A$6:$A$10008,$AR$3,PURCHASE!$D$6:$D$10008,$C$5:$C$499)</f>
        <v>0</v>
      </c>
      <c r="AW31" s="11">
        <f t="shared" si="14"/>
        <v>0</v>
      </c>
      <c r="AX31" s="11">
        <f>SUMIFS(PURCHASE!$K$6:$K$10008,PURCHASE!$A$6:$A$10008,$AW$3,PURCHASE!$D$6:$D$10008,$C$5:$C$499)</f>
        <v>0</v>
      </c>
      <c r="AY31" s="11">
        <f>SUMIFS(PURCHASE!$L$6:$L$10008,PURCHASE!$A$6:$A$10008,$AW$3,PURCHASE!$D$6:$D$10008,$C$5:$C$499)</f>
        <v>0</v>
      </c>
      <c r="AZ31" s="11">
        <f>SUMIFS(PURCHASE!$M$6:$M$10008,PURCHASE!$A$6:$A$10008,$AW$3,PURCHASE!$D$6:$D$10008,$C$5:$C$499)</f>
        <v>0</v>
      </c>
      <c r="BA31" s="11">
        <f>SUMIFS(PURCHASE!$N$6:$N$10008,PURCHASE!$A$6:$A$10008,$AW$3,PURCHASE!$D$6:$D$10008,$C$5:$C$499)</f>
        <v>0</v>
      </c>
      <c r="BB31" s="11">
        <f t="shared" si="15"/>
        <v>0</v>
      </c>
      <c r="BC31" s="11">
        <f>SUMIFS(PURCHASE!$K$6:$K$10008,PURCHASE!$A$6:$A$10008,$BB$3,PURCHASE!$D$6:$D$10008,$C$5:$C$499)</f>
        <v>0</v>
      </c>
      <c r="BD31" s="11">
        <f>SUMIFS(PURCHASE!$L$6:$L$10008,PURCHASE!$A$6:$A$10008,$BB$3,PURCHASE!$D$6:$D$10008,$C$5:$C$499)</f>
        <v>0</v>
      </c>
      <c r="BE31" s="11">
        <f>SUMIFS(PURCHASE!$M$6:$M$10008,PURCHASE!$A$6:$A$10008,$BB$3,PURCHASE!$D$6:$D$10008,$C$5:$C$499)</f>
        <v>0</v>
      </c>
      <c r="BF31" s="11">
        <f>SUMIFS(PURCHASE!$N$6:$N$10008,PURCHASE!$A$6:$A$10008,$BB$3,PURCHASE!$D$6:$D$10008,$C$5:$C$499)</f>
        <v>0</v>
      </c>
      <c r="BG31" s="11">
        <f t="shared" si="16"/>
        <v>0</v>
      </c>
      <c r="BH31" s="11">
        <f>SUMIFS(PURCHASE!$K$6:$K$10008,PURCHASE!$A$6:$A$10008,$BG$3,PURCHASE!$D$6:$D$10008,$C$5:$C$499)</f>
        <v>0</v>
      </c>
      <c r="BI31" s="11">
        <f>SUMIFS(PURCHASE!$L$6:$L$10008,PURCHASE!$A$6:$A$10008,$BG$3,PURCHASE!$D$6:$D$10008,$C$5:$C$499)</f>
        <v>0</v>
      </c>
      <c r="BJ31" s="11">
        <f>SUMIFS(PURCHASE!$M$6:$M$10008,PURCHASE!$A$6:$A$10008,$BG$3,PURCHASE!$D$6:$D$10008,$C$5:$C$499)</f>
        <v>0</v>
      </c>
      <c r="BK31" s="11">
        <f>SUMIFS(PURCHASE!$N$6:$N$10008,PURCHASE!$A$6:$A$10008,$BG$3,PURCHASE!$D$6:$D$10008,$C$5:$C$499)</f>
        <v>0</v>
      </c>
      <c r="BL31" s="11">
        <f t="shared" si="4"/>
        <v>0</v>
      </c>
      <c r="BM31" s="11">
        <f t="shared" si="4"/>
        <v>0</v>
      </c>
      <c r="BN31" s="11">
        <f t="shared" si="4"/>
        <v>0</v>
      </c>
      <c r="BO31" s="11">
        <f t="shared" si="4"/>
        <v>0</v>
      </c>
      <c r="BP31" s="11">
        <f t="shared" si="4"/>
        <v>0</v>
      </c>
    </row>
    <row r="32" spans="1:68" x14ac:dyDescent="0.2">
      <c r="A32" s="467">
        <v>28</v>
      </c>
      <c r="B32" s="468" t="s">
        <v>1082</v>
      </c>
      <c r="C32" s="469" t="s">
        <v>1083</v>
      </c>
      <c r="D32" s="11">
        <f t="shared" si="5"/>
        <v>0</v>
      </c>
      <c r="E32" s="11">
        <f>SUMIFS(PURCHASE!$K$6:$K$10008,PURCHASE!$A$6:$A$10008,$D$3,PURCHASE!$D$6:$D$10008,$C$5:$C$499)</f>
        <v>0</v>
      </c>
      <c r="F32" s="11">
        <f>SUMIFS(PURCHASE!$L$6:$L$10008,PURCHASE!$A$6:$A$10008,$D$3,PURCHASE!$D$6:$D$10008,$C$5:$C$499)</f>
        <v>0</v>
      </c>
      <c r="G32" s="11">
        <f>SUMIFS(PURCHASE!$M$6:$M$10008,PURCHASE!$A$6:$A$10008,$D$3,PURCHASE!$D$6:$D$10008,$C$5:$C$499)</f>
        <v>0</v>
      </c>
      <c r="H32" s="11">
        <f>SUMIFS(PURCHASE!$N$6:$N$10008,PURCHASE!$A$6:$A$10008,$D$3,PURCHASE!$D$6:$D$10008,$C$5:$C$499)</f>
        <v>0</v>
      </c>
      <c r="I32" s="473">
        <f t="shared" si="6"/>
        <v>0</v>
      </c>
      <c r="J32" s="60">
        <f>SUMIFS(PURCHASE!$K$6:$K$10008,PURCHASE!$A$6:$A$10008,$I$3,PURCHASE!$D$6:$D$10008,$C$5:$C$499)</f>
        <v>0</v>
      </c>
      <c r="K32" s="60">
        <f>SUMIFS(PURCHASE!$L$6:$L$10008,PURCHASE!$A$6:$A$10008,$I$3,PURCHASE!$D$6:$D$10008,$C$5:$C$499)</f>
        <v>0</v>
      </c>
      <c r="L32" s="60">
        <f>SUMIFS(PURCHASE!$M$6:$M$10008,PURCHASE!$A$6:$A$10008,$I$3,PURCHASE!$D$6:$D$10008,$C$5:$C$499)</f>
        <v>0</v>
      </c>
      <c r="M32" s="474">
        <f>SUMIFS(PURCHASE!$N$6:$N$10008,PURCHASE!$A$6:$A$10008,$I$3,PURCHASE!$D$6:$D$10008,$C$5:$C$499)</f>
        <v>0</v>
      </c>
      <c r="N32" s="11">
        <f t="shared" si="7"/>
        <v>0</v>
      </c>
      <c r="O32" s="11">
        <f>SUMIFS(PURCHASE!$K$6:$K$10008,PURCHASE!$A$6:$A$10008,$N$3,PURCHASE!$D$6:$D$10008,$C$5:$C$499)</f>
        <v>0</v>
      </c>
      <c r="P32" s="11">
        <f>SUMIFS(PURCHASE!$L$6:$L$10008,PURCHASE!$A$6:$A$10008,$N$3,PURCHASE!$D$6:$D$10008,$C$5:$C$499)</f>
        <v>0</v>
      </c>
      <c r="Q32" s="11">
        <f>SUMIFS(PURCHASE!$M$6:$M$10008,PURCHASE!$A$6:$A$10008,$N$3,PURCHASE!$D$6:$D$10008,$C$5:$C$499)</f>
        <v>0</v>
      </c>
      <c r="R32" s="11">
        <f>SUMIFS(PURCHASE!$N$6:$N$10008,PURCHASE!$A$6:$A$10008,$N$3,PURCHASE!$D$6:$D$10008,$C$5:$C$499)</f>
        <v>0</v>
      </c>
      <c r="S32" s="11">
        <f t="shared" si="8"/>
        <v>0</v>
      </c>
      <c r="T32" s="11">
        <f>SUMIFS(PURCHASE!$K$6:$K$10008,PURCHASE!$A$6:$A$10008,$S$3,PURCHASE!$D$6:$D$10008,$C$5:$C$499)</f>
        <v>0</v>
      </c>
      <c r="U32" s="11">
        <f>SUMIFS(PURCHASE!$L$6:$L$10008,PURCHASE!$A$6:$A$10008,$S$3,PURCHASE!$D$6:$D$10008,$C$5:$C$499)</f>
        <v>0</v>
      </c>
      <c r="V32" s="11">
        <f>SUMIFS(PURCHASE!$M$6:$M$10008,PURCHASE!$A$6:$A$10008,$S$3,PURCHASE!$D$6:$D$10008,$C$5:$C$499)</f>
        <v>0</v>
      </c>
      <c r="W32" s="11">
        <f>SUMIFS(PURCHASE!$N$6:$N$10008,PURCHASE!$A$6:$A$10008,$S$3,PURCHASE!$D$6:$D$10008,$C$5:$C$499)</f>
        <v>0</v>
      </c>
      <c r="X32" s="11">
        <f t="shared" si="9"/>
        <v>0</v>
      </c>
      <c r="Y32" s="11">
        <f>SUMIFS(PURCHASE!$K$6:$K$10008,PURCHASE!$A$6:$A$10008,$X$3,PURCHASE!$D$6:$D$10008,$C$5:$C$499)</f>
        <v>0</v>
      </c>
      <c r="Z32" s="11">
        <f>SUMIFS(PURCHASE!$L$6:$L$10008,PURCHASE!$A$6:$A$10008,$X$3,PURCHASE!$D$6:$D$10008,$C$5:$C$499)</f>
        <v>0</v>
      </c>
      <c r="AA32" s="11">
        <f>SUMIFS(PURCHASE!$M$6:$M$10008,PURCHASE!$A$6:$A$10008,$X$3,PURCHASE!$D$6:$D$10008,$C$5:$C$499)</f>
        <v>0</v>
      </c>
      <c r="AB32" s="11">
        <f>SUMIFS(PURCHASE!$N$6:$N$10008,PURCHASE!$A$6:$A$10008,$X$3,PURCHASE!$D$6:$D$10008,$C$5:$C$499)</f>
        <v>0</v>
      </c>
      <c r="AC32" s="11">
        <f t="shared" si="10"/>
        <v>0</v>
      </c>
      <c r="AD32" s="11">
        <f>SUMIFS(PURCHASE!$K$6:$K$10008,PURCHASE!$A$6:$A$10008,$AC$3,PURCHASE!$D$6:$D$10008,$C$5:$C$499)</f>
        <v>0</v>
      </c>
      <c r="AE32" s="11">
        <f>SUMIFS(PURCHASE!$L$6:$L$10008,PURCHASE!$A$6:$A$10008,$AC$3,PURCHASE!$D$6:$D$10008,$C$5:$C$499)</f>
        <v>0</v>
      </c>
      <c r="AF32" s="11">
        <f>SUMIFS(PURCHASE!$M$6:$M$10008,PURCHASE!$A$6:$A$10008,$AC$3,PURCHASE!$D$6:$D$10008,$C$5:$C$499)</f>
        <v>0</v>
      </c>
      <c r="AG32" s="11">
        <f>SUMIFS(PURCHASE!$N$6:$N$10008,PURCHASE!$A$6:$A$10008,$AC$3,PURCHASE!$D$6:$D$10008,$C$5:$C$499)</f>
        <v>0</v>
      </c>
      <c r="AH32" s="11">
        <f t="shared" si="11"/>
        <v>0</v>
      </c>
      <c r="AI32" s="11">
        <f>SUMIFS(PURCHASE!$K$6:$K$10008,PURCHASE!$A$6:$A$10008,$AH$3,PURCHASE!$D$6:$D$10008,$C$5:$C$499)</f>
        <v>0</v>
      </c>
      <c r="AJ32" s="11">
        <f>SUMIFS(PURCHASE!$L$6:$L$10008,PURCHASE!$A$6:$A$10008,$AH$3,PURCHASE!$D$6:$D$10008,$C$5:$C$499)</f>
        <v>0</v>
      </c>
      <c r="AK32" s="11">
        <f>SUMIFS(PURCHASE!$M$6:$M$10008,PURCHASE!$A$6:$A$10008,$AH$3,PURCHASE!$D$6:$D$10008,$C$5:$C$499)</f>
        <v>0</v>
      </c>
      <c r="AL32" s="11">
        <f>SUMIFS(PURCHASE!$N$6:$N$10008,PURCHASE!$A$6:$A$10008,$AH$3,PURCHASE!$D$6:$D$10008,$C$5:$C$499)</f>
        <v>0</v>
      </c>
      <c r="AM32" s="11">
        <f t="shared" si="12"/>
        <v>0</v>
      </c>
      <c r="AN32" s="11">
        <f>SUMIFS(PURCHASE!$K$6:$K$10008,PURCHASE!$A$6:$A$10008,$AM$3,PURCHASE!$D$6:$D$10008,$C$5:$C$499)</f>
        <v>0</v>
      </c>
      <c r="AO32" s="11">
        <f>SUMIFS(PURCHASE!$L$6:$L$10008,PURCHASE!$A$6:$A$10008,$AM$3,PURCHASE!$D$6:$D$10008,$C$5:$C$499)</f>
        <v>0</v>
      </c>
      <c r="AP32" s="11">
        <f>SUMIFS(PURCHASE!$M$6:$M$10008,PURCHASE!$A$6:$A$10008,$AM$3,PURCHASE!$D$6:$D$10008,$C$5:$C$499)</f>
        <v>0</v>
      </c>
      <c r="AQ32" s="11">
        <f>SUMIFS(PURCHASE!$N$6:$N$10008,PURCHASE!$A$6:$A$10008,$AM$3,PURCHASE!$D$6:$D$10008,$C$5:$C$499)</f>
        <v>0</v>
      </c>
      <c r="AR32" s="11">
        <f t="shared" si="13"/>
        <v>0</v>
      </c>
      <c r="AS32" s="11">
        <f>SUMIFS(PURCHASE!$K$6:$K$10008,PURCHASE!$A$6:$A$10008,$AR$3,PURCHASE!$D$6:$D$10008,$C$5:$C$499)</f>
        <v>0</v>
      </c>
      <c r="AT32" s="11">
        <f>SUMIFS(PURCHASE!$L$6:$L$10008,PURCHASE!$A$6:$A$10008,$AR$3,PURCHASE!$D$6:$D$10008,$C$5:$C$499)</f>
        <v>0</v>
      </c>
      <c r="AU32" s="11">
        <f>SUMIFS(PURCHASE!$M$6:$M$10008,PURCHASE!$A$6:$A$10008,$AR$3,PURCHASE!$D$6:$D$10008,$C$5:$C$499)</f>
        <v>0</v>
      </c>
      <c r="AV32" s="11">
        <f>SUMIFS(PURCHASE!$N$6:$N$10008,PURCHASE!$A$6:$A$10008,$AR$3,PURCHASE!$D$6:$D$10008,$C$5:$C$499)</f>
        <v>0</v>
      </c>
      <c r="AW32" s="11">
        <f t="shared" si="14"/>
        <v>0</v>
      </c>
      <c r="AX32" s="11">
        <f>SUMIFS(PURCHASE!$K$6:$K$10008,PURCHASE!$A$6:$A$10008,$AW$3,PURCHASE!$D$6:$D$10008,$C$5:$C$499)</f>
        <v>0</v>
      </c>
      <c r="AY32" s="11">
        <f>SUMIFS(PURCHASE!$L$6:$L$10008,PURCHASE!$A$6:$A$10008,$AW$3,PURCHASE!$D$6:$D$10008,$C$5:$C$499)</f>
        <v>0</v>
      </c>
      <c r="AZ32" s="11">
        <f>SUMIFS(PURCHASE!$M$6:$M$10008,PURCHASE!$A$6:$A$10008,$AW$3,PURCHASE!$D$6:$D$10008,$C$5:$C$499)</f>
        <v>0</v>
      </c>
      <c r="BA32" s="11">
        <f>SUMIFS(PURCHASE!$N$6:$N$10008,PURCHASE!$A$6:$A$10008,$AW$3,PURCHASE!$D$6:$D$10008,$C$5:$C$499)</f>
        <v>0</v>
      </c>
      <c r="BB32" s="11">
        <f t="shared" si="15"/>
        <v>0</v>
      </c>
      <c r="BC32" s="11">
        <f>SUMIFS(PURCHASE!$K$6:$K$10008,PURCHASE!$A$6:$A$10008,$BB$3,PURCHASE!$D$6:$D$10008,$C$5:$C$499)</f>
        <v>0</v>
      </c>
      <c r="BD32" s="11">
        <f>SUMIFS(PURCHASE!$L$6:$L$10008,PURCHASE!$A$6:$A$10008,$BB$3,PURCHASE!$D$6:$D$10008,$C$5:$C$499)</f>
        <v>0</v>
      </c>
      <c r="BE32" s="11">
        <f>SUMIFS(PURCHASE!$M$6:$M$10008,PURCHASE!$A$6:$A$10008,$BB$3,PURCHASE!$D$6:$D$10008,$C$5:$C$499)</f>
        <v>0</v>
      </c>
      <c r="BF32" s="11">
        <f>SUMIFS(PURCHASE!$N$6:$N$10008,PURCHASE!$A$6:$A$10008,$BB$3,PURCHASE!$D$6:$D$10008,$C$5:$C$499)</f>
        <v>0</v>
      </c>
      <c r="BG32" s="11">
        <f t="shared" si="16"/>
        <v>0</v>
      </c>
      <c r="BH32" s="11">
        <f>SUMIFS(PURCHASE!$K$6:$K$10008,PURCHASE!$A$6:$A$10008,$BG$3,PURCHASE!$D$6:$D$10008,$C$5:$C$499)</f>
        <v>0</v>
      </c>
      <c r="BI32" s="11">
        <f>SUMIFS(PURCHASE!$L$6:$L$10008,PURCHASE!$A$6:$A$10008,$BG$3,PURCHASE!$D$6:$D$10008,$C$5:$C$499)</f>
        <v>0</v>
      </c>
      <c r="BJ32" s="11">
        <f>SUMIFS(PURCHASE!$M$6:$M$10008,PURCHASE!$A$6:$A$10008,$BG$3,PURCHASE!$D$6:$D$10008,$C$5:$C$499)</f>
        <v>0</v>
      </c>
      <c r="BK32" s="11">
        <f>SUMIFS(PURCHASE!$N$6:$N$10008,PURCHASE!$A$6:$A$10008,$BG$3,PURCHASE!$D$6:$D$10008,$C$5:$C$499)</f>
        <v>0</v>
      </c>
      <c r="BL32" s="11">
        <f t="shared" si="4"/>
        <v>0</v>
      </c>
      <c r="BM32" s="11">
        <f t="shared" si="4"/>
        <v>0</v>
      </c>
      <c r="BN32" s="11">
        <f t="shared" si="4"/>
        <v>0</v>
      </c>
      <c r="BO32" s="11">
        <f t="shared" si="4"/>
        <v>0</v>
      </c>
      <c r="BP32" s="11">
        <f t="shared" si="4"/>
        <v>0</v>
      </c>
    </row>
    <row r="33" spans="1:68" x14ac:dyDescent="0.2">
      <c r="A33" s="467">
        <v>29</v>
      </c>
      <c r="B33" s="468" t="s">
        <v>1084</v>
      </c>
      <c r="C33" s="469" t="s">
        <v>1085</v>
      </c>
      <c r="D33" s="11">
        <f t="shared" si="5"/>
        <v>0</v>
      </c>
      <c r="E33" s="11">
        <f>SUMIFS(PURCHASE!$K$6:$K$10008,PURCHASE!$A$6:$A$10008,$D$3,PURCHASE!$D$6:$D$10008,$C$5:$C$499)</f>
        <v>0</v>
      </c>
      <c r="F33" s="11">
        <f>SUMIFS(PURCHASE!$L$6:$L$10008,PURCHASE!$A$6:$A$10008,$D$3,PURCHASE!$D$6:$D$10008,$C$5:$C$499)</f>
        <v>0</v>
      </c>
      <c r="G33" s="11">
        <f>SUMIFS(PURCHASE!$M$6:$M$10008,PURCHASE!$A$6:$A$10008,$D$3,PURCHASE!$D$6:$D$10008,$C$5:$C$499)</f>
        <v>0</v>
      </c>
      <c r="H33" s="11">
        <f>SUMIFS(PURCHASE!$N$6:$N$10008,PURCHASE!$A$6:$A$10008,$D$3,PURCHASE!$D$6:$D$10008,$C$5:$C$499)</f>
        <v>0</v>
      </c>
      <c r="I33" s="473">
        <f t="shared" si="6"/>
        <v>0</v>
      </c>
      <c r="J33" s="60">
        <f>SUMIFS(PURCHASE!$K$6:$K$10008,PURCHASE!$A$6:$A$10008,$I$3,PURCHASE!$D$6:$D$10008,$C$5:$C$499)</f>
        <v>0</v>
      </c>
      <c r="K33" s="60">
        <f>SUMIFS(PURCHASE!$L$6:$L$10008,PURCHASE!$A$6:$A$10008,$I$3,PURCHASE!$D$6:$D$10008,$C$5:$C$499)</f>
        <v>0</v>
      </c>
      <c r="L33" s="60">
        <f>SUMIFS(PURCHASE!$M$6:$M$10008,PURCHASE!$A$6:$A$10008,$I$3,PURCHASE!$D$6:$D$10008,$C$5:$C$499)</f>
        <v>0</v>
      </c>
      <c r="M33" s="474">
        <f>SUMIFS(PURCHASE!$N$6:$N$10008,PURCHASE!$A$6:$A$10008,$I$3,PURCHASE!$D$6:$D$10008,$C$5:$C$499)</f>
        <v>0</v>
      </c>
      <c r="N33" s="11">
        <f t="shared" si="7"/>
        <v>0</v>
      </c>
      <c r="O33" s="11">
        <f>SUMIFS(PURCHASE!$K$6:$K$10008,PURCHASE!$A$6:$A$10008,$N$3,PURCHASE!$D$6:$D$10008,$C$5:$C$499)</f>
        <v>0</v>
      </c>
      <c r="P33" s="11">
        <f>SUMIFS(PURCHASE!$L$6:$L$10008,PURCHASE!$A$6:$A$10008,$N$3,PURCHASE!$D$6:$D$10008,$C$5:$C$499)</f>
        <v>0</v>
      </c>
      <c r="Q33" s="11">
        <f>SUMIFS(PURCHASE!$M$6:$M$10008,PURCHASE!$A$6:$A$10008,$N$3,PURCHASE!$D$6:$D$10008,$C$5:$C$499)</f>
        <v>0</v>
      </c>
      <c r="R33" s="11">
        <f>SUMIFS(PURCHASE!$N$6:$N$10008,PURCHASE!$A$6:$A$10008,$N$3,PURCHASE!$D$6:$D$10008,$C$5:$C$499)</f>
        <v>0</v>
      </c>
      <c r="S33" s="11">
        <f t="shared" si="8"/>
        <v>0</v>
      </c>
      <c r="T33" s="11">
        <f>SUMIFS(PURCHASE!$K$6:$K$10008,PURCHASE!$A$6:$A$10008,$S$3,PURCHASE!$D$6:$D$10008,$C$5:$C$499)</f>
        <v>0</v>
      </c>
      <c r="U33" s="11">
        <f>SUMIFS(PURCHASE!$L$6:$L$10008,PURCHASE!$A$6:$A$10008,$S$3,PURCHASE!$D$6:$D$10008,$C$5:$C$499)</f>
        <v>0</v>
      </c>
      <c r="V33" s="11">
        <f>SUMIFS(PURCHASE!$M$6:$M$10008,PURCHASE!$A$6:$A$10008,$S$3,PURCHASE!$D$6:$D$10008,$C$5:$C$499)</f>
        <v>0</v>
      </c>
      <c r="W33" s="11">
        <f>SUMIFS(PURCHASE!$N$6:$N$10008,PURCHASE!$A$6:$A$10008,$S$3,PURCHASE!$D$6:$D$10008,$C$5:$C$499)</f>
        <v>0</v>
      </c>
      <c r="X33" s="11">
        <f t="shared" si="9"/>
        <v>0</v>
      </c>
      <c r="Y33" s="11">
        <f>SUMIFS(PURCHASE!$K$6:$K$10008,PURCHASE!$A$6:$A$10008,$X$3,PURCHASE!$D$6:$D$10008,$C$5:$C$499)</f>
        <v>0</v>
      </c>
      <c r="Z33" s="11">
        <f>SUMIFS(PURCHASE!$L$6:$L$10008,PURCHASE!$A$6:$A$10008,$X$3,PURCHASE!$D$6:$D$10008,$C$5:$C$499)</f>
        <v>0</v>
      </c>
      <c r="AA33" s="11">
        <f>SUMIFS(PURCHASE!$M$6:$M$10008,PURCHASE!$A$6:$A$10008,$X$3,PURCHASE!$D$6:$D$10008,$C$5:$C$499)</f>
        <v>0</v>
      </c>
      <c r="AB33" s="11">
        <f>SUMIFS(PURCHASE!$N$6:$N$10008,PURCHASE!$A$6:$A$10008,$X$3,PURCHASE!$D$6:$D$10008,$C$5:$C$499)</f>
        <v>0</v>
      </c>
      <c r="AC33" s="11">
        <f t="shared" si="10"/>
        <v>0</v>
      </c>
      <c r="AD33" s="11">
        <f>SUMIFS(PURCHASE!$K$6:$K$10008,PURCHASE!$A$6:$A$10008,$AC$3,PURCHASE!$D$6:$D$10008,$C$5:$C$499)</f>
        <v>0</v>
      </c>
      <c r="AE33" s="11">
        <f>SUMIFS(PURCHASE!$L$6:$L$10008,PURCHASE!$A$6:$A$10008,$AC$3,PURCHASE!$D$6:$D$10008,$C$5:$C$499)</f>
        <v>0</v>
      </c>
      <c r="AF33" s="11">
        <f>SUMIFS(PURCHASE!$M$6:$M$10008,PURCHASE!$A$6:$A$10008,$AC$3,PURCHASE!$D$6:$D$10008,$C$5:$C$499)</f>
        <v>0</v>
      </c>
      <c r="AG33" s="11">
        <f>SUMIFS(PURCHASE!$N$6:$N$10008,PURCHASE!$A$6:$A$10008,$AC$3,PURCHASE!$D$6:$D$10008,$C$5:$C$499)</f>
        <v>0</v>
      </c>
      <c r="AH33" s="11">
        <f t="shared" si="11"/>
        <v>0</v>
      </c>
      <c r="AI33" s="11">
        <f>SUMIFS(PURCHASE!$K$6:$K$10008,PURCHASE!$A$6:$A$10008,$AH$3,PURCHASE!$D$6:$D$10008,$C$5:$C$499)</f>
        <v>0</v>
      </c>
      <c r="AJ33" s="11">
        <f>SUMIFS(PURCHASE!$L$6:$L$10008,PURCHASE!$A$6:$A$10008,$AH$3,PURCHASE!$D$6:$D$10008,$C$5:$C$499)</f>
        <v>0</v>
      </c>
      <c r="AK33" s="11">
        <f>SUMIFS(PURCHASE!$M$6:$M$10008,PURCHASE!$A$6:$A$10008,$AH$3,PURCHASE!$D$6:$D$10008,$C$5:$C$499)</f>
        <v>0</v>
      </c>
      <c r="AL33" s="11">
        <f>SUMIFS(PURCHASE!$N$6:$N$10008,PURCHASE!$A$6:$A$10008,$AH$3,PURCHASE!$D$6:$D$10008,$C$5:$C$499)</f>
        <v>0</v>
      </c>
      <c r="AM33" s="11">
        <f t="shared" si="12"/>
        <v>0</v>
      </c>
      <c r="AN33" s="11">
        <f>SUMIFS(PURCHASE!$K$6:$K$10008,PURCHASE!$A$6:$A$10008,$AM$3,PURCHASE!$D$6:$D$10008,$C$5:$C$499)</f>
        <v>0</v>
      </c>
      <c r="AO33" s="11">
        <f>SUMIFS(PURCHASE!$L$6:$L$10008,PURCHASE!$A$6:$A$10008,$AM$3,PURCHASE!$D$6:$D$10008,$C$5:$C$499)</f>
        <v>0</v>
      </c>
      <c r="AP33" s="11">
        <f>SUMIFS(PURCHASE!$M$6:$M$10008,PURCHASE!$A$6:$A$10008,$AM$3,PURCHASE!$D$6:$D$10008,$C$5:$C$499)</f>
        <v>0</v>
      </c>
      <c r="AQ33" s="11">
        <f>SUMIFS(PURCHASE!$N$6:$N$10008,PURCHASE!$A$6:$A$10008,$AM$3,PURCHASE!$D$6:$D$10008,$C$5:$C$499)</f>
        <v>0</v>
      </c>
      <c r="AR33" s="11">
        <f t="shared" si="13"/>
        <v>0</v>
      </c>
      <c r="AS33" s="11">
        <f>SUMIFS(PURCHASE!$K$6:$K$10008,PURCHASE!$A$6:$A$10008,$AR$3,PURCHASE!$D$6:$D$10008,$C$5:$C$499)</f>
        <v>0</v>
      </c>
      <c r="AT33" s="11">
        <f>SUMIFS(PURCHASE!$L$6:$L$10008,PURCHASE!$A$6:$A$10008,$AR$3,PURCHASE!$D$6:$D$10008,$C$5:$C$499)</f>
        <v>0</v>
      </c>
      <c r="AU33" s="11">
        <f>SUMIFS(PURCHASE!$M$6:$M$10008,PURCHASE!$A$6:$A$10008,$AR$3,PURCHASE!$D$6:$D$10008,$C$5:$C$499)</f>
        <v>0</v>
      </c>
      <c r="AV33" s="11">
        <f>SUMIFS(PURCHASE!$N$6:$N$10008,PURCHASE!$A$6:$A$10008,$AR$3,PURCHASE!$D$6:$D$10008,$C$5:$C$499)</f>
        <v>0</v>
      </c>
      <c r="AW33" s="11">
        <f t="shared" si="14"/>
        <v>0</v>
      </c>
      <c r="AX33" s="11">
        <f>SUMIFS(PURCHASE!$K$6:$K$10008,PURCHASE!$A$6:$A$10008,$AW$3,PURCHASE!$D$6:$D$10008,$C$5:$C$499)</f>
        <v>0</v>
      </c>
      <c r="AY33" s="11">
        <f>SUMIFS(PURCHASE!$L$6:$L$10008,PURCHASE!$A$6:$A$10008,$AW$3,PURCHASE!$D$6:$D$10008,$C$5:$C$499)</f>
        <v>0</v>
      </c>
      <c r="AZ33" s="11">
        <f>SUMIFS(PURCHASE!$M$6:$M$10008,PURCHASE!$A$6:$A$10008,$AW$3,PURCHASE!$D$6:$D$10008,$C$5:$C$499)</f>
        <v>0</v>
      </c>
      <c r="BA33" s="11">
        <f>SUMIFS(PURCHASE!$N$6:$N$10008,PURCHASE!$A$6:$A$10008,$AW$3,PURCHASE!$D$6:$D$10008,$C$5:$C$499)</f>
        <v>0</v>
      </c>
      <c r="BB33" s="11">
        <f t="shared" si="15"/>
        <v>0</v>
      </c>
      <c r="BC33" s="11">
        <f>SUMIFS(PURCHASE!$K$6:$K$10008,PURCHASE!$A$6:$A$10008,$BB$3,PURCHASE!$D$6:$D$10008,$C$5:$C$499)</f>
        <v>0</v>
      </c>
      <c r="BD33" s="11">
        <f>SUMIFS(PURCHASE!$L$6:$L$10008,PURCHASE!$A$6:$A$10008,$BB$3,PURCHASE!$D$6:$D$10008,$C$5:$C$499)</f>
        <v>0</v>
      </c>
      <c r="BE33" s="11">
        <f>SUMIFS(PURCHASE!$M$6:$M$10008,PURCHASE!$A$6:$A$10008,$BB$3,PURCHASE!$D$6:$D$10008,$C$5:$C$499)</f>
        <v>0</v>
      </c>
      <c r="BF33" s="11">
        <f>SUMIFS(PURCHASE!$N$6:$N$10008,PURCHASE!$A$6:$A$10008,$BB$3,PURCHASE!$D$6:$D$10008,$C$5:$C$499)</f>
        <v>0</v>
      </c>
      <c r="BG33" s="11">
        <f t="shared" si="16"/>
        <v>0</v>
      </c>
      <c r="BH33" s="11">
        <f>SUMIFS(PURCHASE!$K$6:$K$10008,PURCHASE!$A$6:$A$10008,$BG$3,PURCHASE!$D$6:$D$10008,$C$5:$C$499)</f>
        <v>0</v>
      </c>
      <c r="BI33" s="11">
        <f>SUMIFS(PURCHASE!$L$6:$L$10008,PURCHASE!$A$6:$A$10008,$BG$3,PURCHASE!$D$6:$D$10008,$C$5:$C$499)</f>
        <v>0</v>
      </c>
      <c r="BJ33" s="11">
        <f>SUMIFS(PURCHASE!$M$6:$M$10008,PURCHASE!$A$6:$A$10008,$BG$3,PURCHASE!$D$6:$D$10008,$C$5:$C$499)</f>
        <v>0</v>
      </c>
      <c r="BK33" s="11">
        <f>SUMIFS(PURCHASE!$N$6:$N$10008,PURCHASE!$A$6:$A$10008,$BG$3,PURCHASE!$D$6:$D$10008,$C$5:$C$499)</f>
        <v>0</v>
      </c>
      <c r="BL33" s="11">
        <f t="shared" si="4"/>
        <v>0</v>
      </c>
      <c r="BM33" s="11">
        <f t="shared" si="4"/>
        <v>0</v>
      </c>
      <c r="BN33" s="11">
        <f t="shared" si="4"/>
        <v>0</v>
      </c>
      <c r="BO33" s="11">
        <f t="shared" si="4"/>
        <v>0</v>
      </c>
      <c r="BP33" s="11">
        <f t="shared" si="4"/>
        <v>0</v>
      </c>
    </row>
    <row r="34" spans="1:68" x14ac:dyDescent="0.2">
      <c r="A34" s="467">
        <v>30</v>
      </c>
      <c r="B34" s="468" t="s">
        <v>1086</v>
      </c>
      <c r="C34" s="469" t="s">
        <v>1087</v>
      </c>
      <c r="D34" s="11">
        <f t="shared" si="5"/>
        <v>0</v>
      </c>
      <c r="E34" s="11">
        <f>SUMIFS(PURCHASE!$K$6:$K$10008,PURCHASE!$A$6:$A$10008,$D$3,PURCHASE!$D$6:$D$10008,$C$5:$C$499)</f>
        <v>0</v>
      </c>
      <c r="F34" s="11">
        <f>SUMIFS(PURCHASE!$L$6:$L$10008,PURCHASE!$A$6:$A$10008,$D$3,PURCHASE!$D$6:$D$10008,$C$5:$C$499)</f>
        <v>0</v>
      </c>
      <c r="G34" s="11">
        <f>SUMIFS(PURCHASE!$M$6:$M$10008,PURCHASE!$A$6:$A$10008,$D$3,PURCHASE!$D$6:$D$10008,$C$5:$C$499)</f>
        <v>0</v>
      </c>
      <c r="H34" s="11">
        <f>SUMIFS(PURCHASE!$N$6:$N$10008,PURCHASE!$A$6:$A$10008,$D$3,PURCHASE!$D$6:$D$10008,$C$5:$C$499)</f>
        <v>0</v>
      </c>
      <c r="I34" s="473">
        <f t="shared" si="6"/>
        <v>0</v>
      </c>
      <c r="J34" s="60">
        <f>SUMIFS(PURCHASE!$K$6:$K$10008,PURCHASE!$A$6:$A$10008,$I$3,PURCHASE!$D$6:$D$10008,$C$5:$C$499)</f>
        <v>0</v>
      </c>
      <c r="K34" s="60">
        <f>SUMIFS(PURCHASE!$L$6:$L$10008,PURCHASE!$A$6:$A$10008,$I$3,PURCHASE!$D$6:$D$10008,$C$5:$C$499)</f>
        <v>0</v>
      </c>
      <c r="L34" s="60">
        <f>SUMIFS(PURCHASE!$M$6:$M$10008,PURCHASE!$A$6:$A$10008,$I$3,PURCHASE!$D$6:$D$10008,$C$5:$C$499)</f>
        <v>0</v>
      </c>
      <c r="M34" s="474">
        <f>SUMIFS(PURCHASE!$N$6:$N$10008,PURCHASE!$A$6:$A$10008,$I$3,PURCHASE!$D$6:$D$10008,$C$5:$C$499)</f>
        <v>0</v>
      </c>
      <c r="N34" s="11">
        <f t="shared" si="7"/>
        <v>0</v>
      </c>
      <c r="O34" s="11">
        <f>SUMIFS(PURCHASE!$K$6:$K$10008,PURCHASE!$A$6:$A$10008,$N$3,PURCHASE!$D$6:$D$10008,$C$5:$C$499)</f>
        <v>0</v>
      </c>
      <c r="P34" s="11">
        <f>SUMIFS(PURCHASE!$L$6:$L$10008,PURCHASE!$A$6:$A$10008,$N$3,PURCHASE!$D$6:$D$10008,$C$5:$C$499)</f>
        <v>0</v>
      </c>
      <c r="Q34" s="11">
        <f>SUMIFS(PURCHASE!$M$6:$M$10008,PURCHASE!$A$6:$A$10008,$N$3,PURCHASE!$D$6:$D$10008,$C$5:$C$499)</f>
        <v>0</v>
      </c>
      <c r="R34" s="11">
        <f>SUMIFS(PURCHASE!$N$6:$N$10008,PURCHASE!$A$6:$A$10008,$N$3,PURCHASE!$D$6:$D$10008,$C$5:$C$499)</f>
        <v>0</v>
      </c>
      <c r="S34" s="11">
        <f t="shared" si="8"/>
        <v>0</v>
      </c>
      <c r="T34" s="11">
        <f>SUMIFS(PURCHASE!$K$6:$K$10008,PURCHASE!$A$6:$A$10008,$S$3,PURCHASE!$D$6:$D$10008,$C$5:$C$499)</f>
        <v>0</v>
      </c>
      <c r="U34" s="11">
        <f>SUMIFS(PURCHASE!$L$6:$L$10008,PURCHASE!$A$6:$A$10008,$S$3,PURCHASE!$D$6:$D$10008,$C$5:$C$499)</f>
        <v>0</v>
      </c>
      <c r="V34" s="11">
        <f>SUMIFS(PURCHASE!$M$6:$M$10008,PURCHASE!$A$6:$A$10008,$S$3,PURCHASE!$D$6:$D$10008,$C$5:$C$499)</f>
        <v>0</v>
      </c>
      <c r="W34" s="11">
        <f>SUMIFS(PURCHASE!$N$6:$N$10008,PURCHASE!$A$6:$A$10008,$S$3,PURCHASE!$D$6:$D$10008,$C$5:$C$499)</f>
        <v>0</v>
      </c>
      <c r="X34" s="11">
        <f t="shared" si="9"/>
        <v>0</v>
      </c>
      <c r="Y34" s="11">
        <f>SUMIFS(PURCHASE!$K$6:$K$10008,PURCHASE!$A$6:$A$10008,$X$3,PURCHASE!$D$6:$D$10008,$C$5:$C$499)</f>
        <v>0</v>
      </c>
      <c r="Z34" s="11">
        <f>SUMIFS(PURCHASE!$L$6:$L$10008,PURCHASE!$A$6:$A$10008,$X$3,PURCHASE!$D$6:$D$10008,$C$5:$C$499)</f>
        <v>0</v>
      </c>
      <c r="AA34" s="11">
        <f>SUMIFS(PURCHASE!$M$6:$M$10008,PURCHASE!$A$6:$A$10008,$X$3,PURCHASE!$D$6:$D$10008,$C$5:$C$499)</f>
        <v>0</v>
      </c>
      <c r="AB34" s="11">
        <f>SUMIFS(PURCHASE!$N$6:$N$10008,PURCHASE!$A$6:$A$10008,$X$3,PURCHASE!$D$6:$D$10008,$C$5:$C$499)</f>
        <v>0</v>
      </c>
      <c r="AC34" s="11">
        <f t="shared" si="10"/>
        <v>0</v>
      </c>
      <c r="AD34" s="11">
        <f>SUMIFS(PURCHASE!$K$6:$K$10008,PURCHASE!$A$6:$A$10008,$AC$3,PURCHASE!$D$6:$D$10008,$C$5:$C$499)</f>
        <v>0</v>
      </c>
      <c r="AE34" s="11">
        <f>SUMIFS(PURCHASE!$L$6:$L$10008,PURCHASE!$A$6:$A$10008,$AC$3,PURCHASE!$D$6:$D$10008,$C$5:$C$499)</f>
        <v>0</v>
      </c>
      <c r="AF34" s="11">
        <f>SUMIFS(PURCHASE!$M$6:$M$10008,PURCHASE!$A$6:$A$10008,$AC$3,PURCHASE!$D$6:$D$10008,$C$5:$C$499)</f>
        <v>0</v>
      </c>
      <c r="AG34" s="11">
        <f>SUMIFS(PURCHASE!$N$6:$N$10008,PURCHASE!$A$6:$A$10008,$AC$3,PURCHASE!$D$6:$D$10008,$C$5:$C$499)</f>
        <v>0</v>
      </c>
      <c r="AH34" s="11">
        <f t="shared" si="11"/>
        <v>0</v>
      </c>
      <c r="AI34" s="11">
        <f>SUMIFS(PURCHASE!$K$6:$K$10008,PURCHASE!$A$6:$A$10008,$AH$3,PURCHASE!$D$6:$D$10008,$C$5:$C$499)</f>
        <v>0</v>
      </c>
      <c r="AJ34" s="11">
        <f>SUMIFS(PURCHASE!$L$6:$L$10008,PURCHASE!$A$6:$A$10008,$AH$3,PURCHASE!$D$6:$D$10008,$C$5:$C$499)</f>
        <v>0</v>
      </c>
      <c r="AK34" s="11">
        <f>SUMIFS(PURCHASE!$M$6:$M$10008,PURCHASE!$A$6:$A$10008,$AH$3,PURCHASE!$D$6:$D$10008,$C$5:$C$499)</f>
        <v>0</v>
      </c>
      <c r="AL34" s="11">
        <f>SUMIFS(PURCHASE!$N$6:$N$10008,PURCHASE!$A$6:$A$10008,$AH$3,PURCHASE!$D$6:$D$10008,$C$5:$C$499)</f>
        <v>0</v>
      </c>
      <c r="AM34" s="11">
        <f t="shared" si="12"/>
        <v>0</v>
      </c>
      <c r="AN34" s="11">
        <f>SUMIFS(PURCHASE!$K$6:$K$10008,PURCHASE!$A$6:$A$10008,$AM$3,PURCHASE!$D$6:$D$10008,$C$5:$C$499)</f>
        <v>0</v>
      </c>
      <c r="AO34" s="11">
        <f>SUMIFS(PURCHASE!$L$6:$L$10008,PURCHASE!$A$6:$A$10008,$AM$3,PURCHASE!$D$6:$D$10008,$C$5:$C$499)</f>
        <v>0</v>
      </c>
      <c r="AP34" s="11">
        <f>SUMIFS(PURCHASE!$M$6:$M$10008,PURCHASE!$A$6:$A$10008,$AM$3,PURCHASE!$D$6:$D$10008,$C$5:$C$499)</f>
        <v>0</v>
      </c>
      <c r="AQ34" s="11">
        <f>SUMIFS(PURCHASE!$N$6:$N$10008,PURCHASE!$A$6:$A$10008,$AM$3,PURCHASE!$D$6:$D$10008,$C$5:$C$499)</f>
        <v>0</v>
      </c>
      <c r="AR34" s="11">
        <f t="shared" si="13"/>
        <v>0</v>
      </c>
      <c r="AS34" s="11">
        <f>SUMIFS(PURCHASE!$K$6:$K$10008,PURCHASE!$A$6:$A$10008,$AR$3,PURCHASE!$D$6:$D$10008,$C$5:$C$499)</f>
        <v>0</v>
      </c>
      <c r="AT34" s="11">
        <f>SUMIFS(PURCHASE!$L$6:$L$10008,PURCHASE!$A$6:$A$10008,$AR$3,PURCHASE!$D$6:$D$10008,$C$5:$C$499)</f>
        <v>0</v>
      </c>
      <c r="AU34" s="11">
        <f>SUMIFS(PURCHASE!$M$6:$M$10008,PURCHASE!$A$6:$A$10008,$AR$3,PURCHASE!$D$6:$D$10008,$C$5:$C$499)</f>
        <v>0</v>
      </c>
      <c r="AV34" s="11">
        <f>SUMIFS(PURCHASE!$N$6:$N$10008,PURCHASE!$A$6:$A$10008,$AR$3,PURCHASE!$D$6:$D$10008,$C$5:$C$499)</f>
        <v>0</v>
      </c>
      <c r="AW34" s="11">
        <f t="shared" si="14"/>
        <v>0</v>
      </c>
      <c r="AX34" s="11">
        <f>SUMIFS(PURCHASE!$K$6:$K$10008,PURCHASE!$A$6:$A$10008,$AW$3,PURCHASE!$D$6:$D$10008,$C$5:$C$499)</f>
        <v>0</v>
      </c>
      <c r="AY34" s="11">
        <f>SUMIFS(PURCHASE!$L$6:$L$10008,PURCHASE!$A$6:$A$10008,$AW$3,PURCHASE!$D$6:$D$10008,$C$5:$C$499)</f>
        <v>0</v>
      </c>
      <c r="AZ34" s="11">
        <f>SUMIFS(PURCHASE!$M$6:$M$10008,PURCHASE!$A$6:$A$10008,$AW$3,PURCHASE!$D$6:$D$10008,$C$5:$C$499)</f>
        <v>0</v>
      </c>
      <c r="BA34" s="11">
        <f>SUMIFS(PURCHASE!$N$6:$N$10008,PURCHASE!$A$6:$A$10008,$AW$3,PURCHASE!$D$6:$D$10008,$C$5:$C$499)</f>
        <v>0</v>
      </c>
      <c r="BB34" s="11">
        <f t="shared" si="15"/>
        <v>0</v>
      </c>
      <c r="BC34" s="11">
        <f>SUMIFS(PURCHASE!$K$6:$K$10008,PURCHASE!$A$6:$A$10008,$BB$3,PURCHASE!$D$6:$D$10008,$C$5:$C$499)</f>
        <v>0</v>
      </c>
      <c r="BD34" s="11">
        <f>SUMIFS(PURCHASE!$L$6:$L$10008,PURCHASE!$A$6:$A$10008,$BB$3,PURCHASE!$D$6:$D$10008,$C$5:$C$499)</f>
        <v>0</v>
      </c>
      <c r="BE34" s="11">
        <f>SUMIFS(PURCHASE!$M$6:$M$10008,PURCHASE!$A$6:$A$10008,$BB$3,PURCHASE!$D$6:$D$10008,$C$5:$C$499)</f>
        <v>0</v>
      </c>
      <c r="BF34" s="11">
        <f>SUMIFS(PURCHASE!$N$6:$N$10008,PURCHASE!$A$6:$A$10008,$BB$3,PURCHASE!$D$6:$D$10008,$C$5:$C$499)</f>
        <v>0</v>
      </c>
      <c r="BG34" s="11">
        <f t="shared" si="16"/>
        <v>0</v>
      </c>
      <c r="BH34" s="11">
        <f>SUMIFS(PURCHASE!$K$6:$K$10008,PURCHASE!$A$6:$A$10008,$BG$3,PURCHASE!$D$6:$D$10008,$C$5:$C$499)</f>
        <v>0</v>
      </c>
      <c r="BI34" s="11">
        <f>SUMIFS(PURCHASE!$L$6:$L$10008,PURCHASE!$A$6:$A$10008,$BG$3,PURCHASE!$D$6:$D$10008,$C$5:$C$499)</f>
        <v>0</v>
      </c>
      <c r="BJ34" s="11">
        <f>SUMIFS(PURCHASE!$M$6:$M$10008,PURCHASE!$A$6:$A$10008,$BG$3,PURCHASE!$D$6:$D$10008,$C$5:$C$499)</f>
        <v>0</v>
      </c>
      <c r="BK34" s="11">
        <f>SUMIFS(PURCHASE!$N$6:$N$10008,PURCHASE!$A$6:$A$10008,$BG$3,PURCHASE!$D$6:$D$10008,$C$5:$C$499)</f>
        <v>0</v>
      </c>
      <c r="BL34" s="11">
        <f t="shared" si="4"/>
        <v>0</v>
      </c>
      <c r="BM34" s="11">
        <f t="shared" si="4"/>
        <v>0</v>
      </c>
      <c r="BN34" s="11">
        <f t="shared" si="4"/>
        <v>0</v>
      </c>
      <c r="BO34" s="11">
        <f t="shared" si="4"/>
        <v>0</v>
      </c>
      <c r="BP34" s="11">
        <f t="shared" si="4"/>
        <v>0</v>
      </c>
    </row>
    <row r="35" spans="1:68" x14ac:dyDescent="0.2">
      <c r="A35" s="467">
        <v>31</v>
      </c>
      <c r="B35" s="468" t="s">
        <v>1088</v>
      </c>
      <c r="C35" s="469" t="s">
        <v>1089</v>
      </c>
      <c r="D35" s="11">
        <f t="shared" si="5"/>
        <v>0</v>
      </c>
      <c r="E35" s="11">
        <f>SUMIFS(PURCHASE!$K$6:$K$10008,PURCHASE!$A$6:$A$10008,$D$3,PURCHASE!$D$6:$D$10008,$C$5:$C$499)</f>
        <v>0</v>
      </c>
      <c r="F35" s="11">
        <f>SUMIFS(PURCHASE!$L$6:$L$10008,PURCHASE!$A$6:$A$10008,$D$3,PURCHASE!$D$6:$D$10008,$C$5:$C$499)</f>
        <v>0</v>
      </c>
      <c r="G35" s="11">
        <f>SUMIFS(PURCHASE!$M$6:$M$10008,PURCHASE!$A$6:$A$10008,$D$3,PURCHASE!$D$6:$D$10008,$C$5:$C$499)</f>
        <v>0</v>
      </c>
      <c r="H35" s="11">
        <f>SUMIFS(PURCHASE!$N$6:$N$10008,PURCHASE!$A$6:$A$10008,$D$3,PURCHASE!$D$6:$D$10008,$C$5:$C$499)</f>
        <v>0</v>
      </c>
      <c r="I35" s="473">
        <f t="shared" si="6"/>
        <v>0</v>
      </c>
      <c r="J35" s="60">
        <f>SUMIFS(PURCHASE!$K$6:$K$10008,PURCHASE!$A$6:$A$10008,$I$3,PURCHASE!$D$6:$D$10008,$C$5:$C$499)</f>
        <v>0</v>
      </c>
      <c r="K35" s="60">
        <f>SUMIFS(PURCHASE!$L$6:$L$10008,PURCHASE!$A$6:$A$10008,$I$3,PURCHASE!$D$6:$D$10008,$C$5:$C$499)</f>
        <v>0</v>
      </c>
      <c r="L35" s="60">
        <f>SUMIFS(PURCHASE!$M$6:$M$10008,PURCHASE!$A$6:$A$10008,$I$3,PURCHASE!$D$6:$D$10008,$C$5:$C$499)</f>
        <v>0</v>
      </c>
      <c r="M35" s="474">
        <f>SUMIFS(PURCHASE!$N$6:$N$10008,PURCHASE!$A$6:$A$10008,$I$3,PURCHASE!$D$6:$D$10008,$C$5:$C$499)</f>
        <v>0</v>
      </c>
      <c r="N35" s="11">
        <f t="shared" si="7"/>
        <v>0</v>
      </c>
      <c r="O35" s="11">
        <f>SUMIFS(PURCHASE!$K$6:$K$10008,PURCHASE!$A$6:$A$10008,$N$3,PURCHASE!$D$6:$D$10008,$C$5:$C$499)</f>
        <v>0</v>
      </c>
      <c r="P35" s="11">
        <f>SUMIFS(PURCHASE!$L$6:$L$10008,PURCHASE!$A$6:$A$10008,$N$3,PURCHASE!$D$6:$D$10008,$C$5:$C$499)</f>
        <v>0</v>
      </c>
      <c r="Q35" s="11">
        <f>SUMIFS(PURCHASE!$M$6:$M$10008,PURCHASE!$A$6:$A$10008,$N$3,PURCHASE!$D$6:$D$10008,$C$5:$C$499)</f>
        <v>0</v>
      </c>
      <c r="R35" s="11">
        <f>SUMIFS(PURCHASE!$N$6:$N$10008,PURCHASE!$A$6:$A$10008,$N$3,PURCHASE!$D$6:$D$10008,$C$5:$C$499)</f>
        <v>0</v>
      </c>
      <c r="S35" s="11">
        <f t="shared" si="8"/>
        <v>0</v>
      </c>
      <c r="T35" s="11">
        <f>SUMIFS(PURCHASE!$K$6:$K$10008,PURCHASE!$A$6:$A$10008,$S$3,PURCHASE!$D$6:$D$10008,$C$5:$C$499)</f>
        <v>0</v>
      </c>
      <c r="U35" s="11">
        <f>SUMIFS(PURCHASE!$L$6:$L$10008,PURCHASE!$A$6:$A$10008,$S$3,PURCHASE!$D$6:$D$10008,$C$5:$C$499)</f>
        <v>0</v>
      </c>
      <c r="V35" s="11">
        <f>SUMIFS(PURCHASE!$M$6:$M$10008,PURCHASE!$A$6:$A$10008,$S$3,PURCHASE!$D$6:$D$10008,$C$5:$C$499)</f>
        <v>0</v>
      </c>
      <c r="W35" s="11">
        <f>SUMIFS(PURCHASE!$N$6:$N$10008,PURCHASE!$A$6:$A$10008,$S$3,PURCHASE!$D$6:$D$10008,$C$5:$C$499)</f>
        <v>0</v>
      </c>
      <c r="X35" s="11">
        <f t="shared" si="9"/>
        <v>0</v>
      </c>
      <c r="Y35" s="11">
        <f>SUMIFS(PURCHASE!$K$6:$K$10008,PURCHASE!$A$6:$A$10008,$X$3,PURCHASE!$D$6:$D$10008,$C$5:$C$499)</f>
        <v>0</v>
      </c>
      <c r="Z35" s="11">
        <f>SUMIFS(PURCHASE!$L$6:$L$10008,PURCHASE!$A$6:$A$10008,$X$3,PURCHASE!$D$6:$D$10008,$C$5:$C$499)</f>
        <v>0</v>
      </c>
      <c r="AA35" s="11">
        <f>SUMIFS(PURCHASE!$M$6:$M$10008,PURCHASE!$A$6:$A$10008,$X$3,PURCHASE!$D$6:$D$10008,$C$5:$C$499)</f>
        <v>0</v>
      </c>
      <c r="AB35" s="11">
        <f>SUMIFS(PURCHASE!$N$6:$N$10008,PURCHASE!$A$6:$A$10008,$X$3,PURCHASE!$D$6:$D$10008,$C$5:$C$499)</f>
        <v>0</v>
      </c>
      <c r="AC35" s="11">
        <f t="shared" si="10"/>
        <v>0</v>
      </c>
      <c r="AD35" s="11">
        <f>SUMIFS(PURCHASE!$K$6:$K$10008,PURCHASE!$A$6:$A$10008,$AC$3,PURCHASE!$D$6:$D$10008,$C$5:$C$499)</f>
        <v>0</v>
      </c>
      <c r="AE35" s="11">
        <f>SUMIFS(PURCHASE!$L$6:$L$10008,PURCHASE!$A$6:$A$10008,$AC$3,PURCHASE!$D$6:$D$10008,$C$5:$C$499)</f>
        <v>0</v>
      </c>
      <c r="AF35" s="11">
        <f>SUMIFS(PURCHASE!$M$6:$M$10008,PURCHASE!$A$6:$A$10008,$AC$3,PURCHASE!$D$6:$D$10008,$C$5:$C$499)</f>
        <v>0</v>
      </c>
      <c r="AG35" s="11">
        <f>SUMIFS(PURCHASE!$N$6:$N$10008,PURCHASE!$A$6:$A$10008,$AC$3,PURCHASE!$D$6:$D$10008,$C$5:$C$499)</f>
        <v>0</v>
      </c>
      <c r="AH35" s="11">
        <f t="shared" si="11"/>
        <v>0</v>
      </c>
      <c r="AI35" s="11">
        <f>SUMIFS(PURCHASE!$K$6:$K$10008,PURCHASE!$A$6:$A$10008,$AH$3,PURCHASE!$D$6:$D$10008,$C$5:$C$499)</f>
        <v>0</v>
      </c>
      <c r="AJ35" s="11">
        <f>SUMIFS(PURCHASE!$L$6:$L$10008,PURCHASE!$A$6:$A$10008,$AH$3,PURCHASE!$D$6:$D$10008,$C$5:$C$499)</f>
        <v>0</v>
      </c>
      <c r="AK35" s="11">
        <f>SUMIFS(PURCHASE!$M$6:$M$10008,PURCHASE!$A$6:$A$10008,$AH$3,PURCHASE!$D$6:$D$10008,$C$5:$C$499)</f>
        <v>0</v>
      </c>
      <c r="AL35" s="11">
        <f>SUMIFS(PURCHASE!$N$6:$N$10008,PURCHASE!$A$6:$A$10008,$AH$3,PURCHASE!$D$6:$D$10008,$C$5:$C$499)</f>
        <v>0</v>
      </c>
      <c r="AM35" s="11">
        <f t="shared" si="12"/>
        <v>0</v>
      </c>
      <c r="AN35" s="11">
        <f>SUMIFS(PURCHASE!$K$6:$K$10008,PURCHASE!$A$6:$A$10008,$AM$3,PURCHASE!$D$6:$D$10008,$C$5:$C$499)</f>
        <v>0</v>
      </c>
      <c r="AO35" s="11">
        <f>SUMIFS(PURCHASE!$L$6:$L$10008,PURCHASE!$A$6:$A$10008,$AM$3,PURCHASE!$D$6:$D$10008,$C$5:$C$499)</f>
        <v>0</v>
      </c>
      <c r="AP35" s="11">
        <f>SUMIFS(PURCHASE!$M$6:$M$10008,PURCHASE!$A$6:$A$10008,$AM$3,PURCHASE!$D$6:$D$10008,$C$5:$C$499)</f>
        <v>0</v>
      </c>
      <c r="AQ35" s="11">
        <f>SUMIFS(PURCHASE!$N$6:$N$10008,PURCHASE!$A$6:$A$10008,$AM$3,PURCHASE!$D$6:$D$10008,$C$5:$C$499)</f>
        <v>0</v>
      </c>
      <c r="AR35" s="11">
        <f t="shared" si="13"/>
        <v>0</v>
      </c>
      <c r="AS35" s="11">
        <f>SUMIFS(PURCHASE!$K$6:$K$10008,PURCHASE!$A$6:$A$10008,$AR$3,PURCHASE!$D$6:$D$10008,$C$5:$C$499)</f>
        <v>0</v>
      </c>
      <c r="AT35" s="11">
        <f>SUMIFS(PURCHASE!$L$6:$L$10008,PURCHASE!$A$6:$A$10008,$AR$3,PURCHASE!$D$6:$D$10008,$C$5:$C$499)</f>
        <v>0</v>
      </c>
      <c r="AU35" s="11">
        <f>SUMIFS(PURCHASE!$M$6:$M$10008,PURCHASE!$A$6:$A$10008,$AR$3,PURCHASE!$D$6:$D$10008,$C$5:$C$499)</f>
        <v>0</v>
      </c>
      <c r="AV35" s="11">
        <f>SUMIFS(PURCHASE!$N$6:$N$10008,PURCHASE!$A$6:$A$10008,$AR$3,PURCHASE!$D$6:$D$10008,$C$5:$C$499)</f>
        <v>0</v>
      </c>
      <c r="AW35" s="11">
        <f t="shared" si="14"/>
        <v>0</v>
      </c>
      <c r="AX35" s="11">
        <f>SUMIFS(PURCHASE!$K$6:$K$10008,PURCHASE!$A$6:$A$10008,$AW$3,PURCHASE!$D$6:$D$10008,$C$5:$C$499)</f>
        <v>0</v>
      </c>
      <c r="AY35" s="11">
        <f>SUMIFS(PURCHASE!$L$6:$L$10008,PURCHASE!$A$6:$A$10008,$AW$3,PURCHASE!$D$6:$D$10008,$C$5:$C$499)</f>
        <v>0</v>
      </c>
      <c r="AZ35" s="11">
        <f>SUMIFS(PURCHASE!$M$6:$M$10008,PURCHASE!$A$6:$A$10008,$AW$3,PURCHASE!$D$6:$D$10008,$C$5:$C$499)</f>
        <v>0</v>
      </c>
      <c r="BA35" s="11">
        <f>SUMIFS(PURCHASE!$N$6:$N$10008,PURCHASE!$A$6:$A$10008,$AW$3,PURCHASE!$D$6:$D$10008,$C$5:$C$499)</f>
        <v>0</v>
      </c>
      <c r="BB35" s="11">
        <f t="shared" si="15"/>
        <v>0</v>
      </c>
      <c r="BC35" s="11">
        <f>SUMIFS(PURCHASE!$K$6:$K$10008,PURCHASE!$A$6:$A$10008,$BB$3,PURCHASE!$D$6:$D$10008,$C$5:$C$499)</f>
        <v>0</v>
      </c>
      <c r="BD35" s="11">
        <f>SUMIFS(PURCHASE!$L$6:$L$10008,PURCHASE!$A$6:$A$10008,$BB$3,PURCHASE!$D$6:$D$10008,$C$5:$C$499)</f>
        <v>0</v>
      </c>
      <c r="BE35" s="11">
        <f>SUMIFS(PURCHASE!$M$6:$M$10008,PURCHASE!$A$6:$A$10008,$BB$3,PURCHASE!$D$6:$D$10008,$C$5:$C$499)</f>
        <v>0</v>
      </c>
      <c r="BF35" s="11">
        <f>SUMIFS(PURCHASE!$N$6:$N$10008,PURCHASE!$A$6:$A$10008,$BB$3,PURCHASE!$D$6:$D$10008,$C$5:$C$499)</f>
        <v>0</v>
      </c>
      <c r="BG35" s="11">
        <f t="shared" si="16"/>
        <v>0</v>
      </c>
      <c r="BH35" s="11">
        <f>SUMIFS(PURCHASE!$K$6:$K$10008,PURCHASE!$A$6:$A$10008,$BG$3,PURCHASE!$D$6:$D$10008,$C$5:$C$499)</f>
        <v>0</v>
      </c>
      <c r="BI35" s="11">
        <f>SUMIFS(PURCHASE!$L$6:$L$10008,PURCHASE!$A$6:$A$10008,$BG$3,PURCHASE!$D$6:$D$10008,$C$5:$C$499)</f>
        <v>0</v>
      </c>
      <c r="BJ35" s="11">
        <f>SUMIFS(PURCHASE!$M$6:$M$10008,PURCHASE!$A$6:$A$10008,$BG$3,PURCHASE!$D$6:$D$10008,$C$5:$C$499)</f>
        <v>0</v>
      </c>
      <c r="BK35" s="11">
        <f>SUMIFS(PURCHASE!$N$6:$N$10008,PURCHASE!$A$6:$A$10008,$BG$3,PURCHASE!$D$6:$D$10008,$C$5:$C$499)</f>
        <v>0</v>
      </c>
      <c r="BL35" s="11">
        <f t="shared" si="4"/>
        <v>0</v>
      </c>
      <c r="BM35" s="11">
        <f t="shared" si="4"/>
        <v>0</v>
      </c>
      <c r="BN35" s="11">
        <f t="shared" si="4"/>
        <v>0</v>
      </c>
      <c r="BO35" s="11">
        <f t="shared" si="4"/>
        <v>0</v>
      </c>
      <c r="BP35" s="11">
        <f t="shared" si="4"/>
        <v>0</v>
      </c>
    </row>
    <row r="36" spans="1:68" x14ac:dyDescent="0.2">
      <c r="A36" s="467">
        <v>32</v>
      </c>
      <c r="B36" s="468" t="s">
        <v>1090</v>
      </c>
      <c r="C36" s="469" t="s">
        <v>1091</v>
      </c>
      <c r="D36" s="11">
        <f t="shared" si="5"/>
        <v>0</v>
      </c>
      <c r="E36" s="11">
        <f>SUMIFS(PURCHASE!$K$6:$K$10008,PURCHASE!$A$6:$A$10008,$D$3,PURCHASE!$D$6:$D$10008,$C$5:$C$499)</f>
        <v>0</v>
      </c>
      <c r="F36" s="11">
        <f>SUMIFS(PURCHASE!$L$6:$L$10008,PURCHASE!$A$6:$A$10008,$D$3,PURCHASE!$D$6:$D$10008,$C$5:$C$499)</f>
        <v>0</v>
      </c>
      <c r="G36" s="11">
        <f>SUMIFS(PURCHASE!$M$6:$M$10008,PURCHASE!$A$6:$A$10008,$D$3,PURCHASE!$D$6:$D$10008,$C$5:$C$499)</f>
        <v>0</v>
      </c>
      <c r="H36" s="11">
        <f>SUMIFS(PURCHASE!$N$6:$N$10008,PURCHASE!$A$6:$A$10008,$D$3,PURCHASE!$D$6:$D$10008,$C$5:$C$499)</f>
        <v>0</v>
      </c>
      <c r="I36" s="473">
        <f t="shared" si="6"/>
        <v>0</v>
      </c>
      <c r="J36" s="60">
        <f>SUMIFS(PURCHASE!$K$6:$K$10008,PURCHASE!$A$6:$A$10008,$I$3,PURCHASE!$D$6:$D$10008,$C$5:$C$499)</f>
        <v>0</v>
      </c>
      <c r="K36" s="60">
        <f>SUMIFS(PURCHASE!$L$6:$L$10008,PURCHASE!$A$6:$A$10008,$I$3,PURCHASE!$D$6:$D$10008,$C$5:$C$499)</f>
        <v>0</v>
      </c>
      <c r="L36" s="60">
        <f>SUMIFS(PURCHASE!$M$6:$M$10008,PURCHASE!$A$6:$A$10008,$I$3,PURCHASE!$D$6:$D$10008,$C$5:$C$499)</f>
        <v>0</v>
      </c>
      <c r="M36" s="474">
        <f>SUMIFS(PURCHASE!$N$6:$N$10008,PURCHASE!$A$6:$A$10008,$I$3,PURCHASE!$D$6:$D$10008,$C$5:$C$499)</f>
        <v>0</v>
      </c>
      <c r="N36" s="11">
        <f t="shared" si="7"/>
        <v>0</v>
      </c>
      <c r="O36" s="11">
        <f>SUMIFS(PURCHASE!$K$6:$K$10008,PURCHASE!$A$6:$A$10008,$N$3,PURCHASE!$D$6:$D$10008,$C$5:$C$499)</f>
        <v>0</v>
      </c>
      <c r="P36" s="11">
        <f>SUMIFS(PURCHASE!$L$6:$L$10008,PURCHASE!$A$6:$A$10008,$N$3,PURCHASE!$D$6:$D$10008,$C$5:$C$499)</f>
        <v>0</v>
      </c>
      <c r="Q36" s="11">
        <f>SUMIFS(PURCHASE!$M$6:$M$10008,PURCHASE!$A$6:$A$10008,$N$3,PURCHASE!$D$6:$D$10008,$C$5:$C$499)</f>
        <v>0</v>
      </c>
      <c r="R36" s="11">
        <f>SUMIFS(PURCHASE!$N$6:$N$10008,PURCHASE!$A$6:$A$10008,$N$3,PURCHASE!$D$6:$D$10008,$C$5:$C$499)</f>
        <v>0</v>
      </c>
      <c r="S36" s="11">
        <f t="shared" si="8"/>
        <v>0</v>
      </c>
      <c r="T36" s="11">
        <f>SUMIFS(PURCHASE!$K$6:$K$10008,PURCHASE!$A$6:$A$10008,$S$3,PURCHASE!$D$6:$D$10008,$C$5:$C$499)</f>
        <v>0</v>
      </c>
      <c r="U36" s="11">
        <f>SUMIFS(PURCHASE!$L$6:$L$10008,PURCHASE!$A$6:$A$10008,$S$3,PURCHASE!$D$6:$D$10008,$C$5:$C$499)</f>
        <v>0</v>
      </c>
      <c r="V36" s="11">
        <f>SUMIFS(PURCHASE!$M$6:$M$10008,PURCHASE!$A$6:$A$10008,$S$3,PURCHASE!$D$6:$D$10008,$C$5:$C$499)</f>
        <v>0</v>
      </c>
      <c r="W36" s="11">
        <f>SUMIFS(PURCHASE!$N$6:$N$10008,PURCHASE!$A$6:$A$10008,$S$3,PURCHASE!$D$6:$D$10008,$C$5:$C$499)</f>
        <v>0</v>
      </c>
      <c r="X36" s="11">
        <f t="shared" si="9"/>
        <v>0</v>
      </c>
      <c r="Y36" s="11">
        <f>SUMIFS(PURCHASE!$K$6:$K$10008,PURCHASE!$A$6:$A$10008,$X$3,PURCHASE!$D$6:$D$10008,$C$5:$C$499)</f>
        <v>0</v>
      </c>
      <c r="Z36" s="11">
        <f>SUMIFS(PURCHASE!$L$6:$L$10008,PURCHASE!$A$6:$A$10008,$X$3,PURCHASE!$D$6:$D$10008,$C$5:$C$499)</f>
        <v>0</v>
      </c>
      <c r="AA36" s="11">
        <f>SUMIFS(PURCHASE!$M$6:$M$10008,PURCHASE!$A$6:$A$10008,$X$3,PURCHASE!$D$6:$D$10008,$C$5:$C$499)</f>
        <v>0</v>
      </c>
      <c r="AB36" s="11">
        <f>SUMIFS(PURCHASE!$N$6:$N$10008,PURCHASE!$A$6:$A$10008,$X$3,PURCHASE!$D$6:$D$10008,$C$5:$C$499)</f>
        <v>0</v>
      </c>
      <c r="AC36" s="11">
        <f t="shared" si="10"/>
        <v>0</v>
      </c>
      <c r="AD36" s="11">
        <f>SUMIFS(PURCHASE!$K$6:$K$10008,PURCHASE!$A$6:$A$10008,$AC$3,PURCHASE!$D$6:$D$10008,$C$5:$C$499)</f>
        <v>0</v>
      </c>
      <c r="AE36" s="11">
        <f>SUMIFS(PURCHASE!$L$6:$L$10008,PURCHASE!$A$6:$A$10008,$AC$3,PURCHASE!$D$6:$D$10008,$C$5:$C$499)</f>
        <v>0</v>
      </c>
      <c r="AF36" s="11">
        <f>SUMIFS(PURCHASE!$M$6:$M$10008,PURCHASE!$A$6:$A$10008,$AC$3,PURCHASE!$D$6:$D$10008,$C$5:$C$499)</f>
        <v>0</v>
      </c>
      <c r="AG36" s="11">
        <f>SUMIFS(PURCHASE!$N$6:$N$10008,PURCHASE!$A$6:$A$10008,$AC$3,PURCHASE!$D$6:$D$10008,$C$5:$C$499)</f>
        <v>0</v>
      </c>
      <c r="AH36" s="11">
        <f t="shared" si="11"/>
        <v>0</v>
      </c>
      <c r="AI36" s="11">
        <f>SUMIFS(PURCHASE!$K$6:$K$10008,PURCHASE!$A$6:$A$10008,$AH$3,PURCHASE!$D$6:$D$10008,$C$5:$C$499)</f>
        <v>0</v>
      </c>
      <c r="AJ36" s="11">
        <f>SUMIFS(PURCHASE!$L$6:$L$10008,PURCHASE!$A$6:$A$10008,$AH$3,PURCHASE!$D$6:$D$10008,$C$5:$C$499)</f>
        <v>0</v>
      </c>
      <c r="AK36" s="11">
        <f>SUMIFS(PURCHASE!$M$6:$M$10008,PURCHASE!$A$6:$A$10008,$AH$3,PURCHASE!$D$6:$D$10008,$C$5:$C$499)</f>
        <v>0</v>
      </c>
      <c r="AL36" s="11">
        <f>SUMIFS(PURCHASE!$N$6:$N$10008,PURCHASE!$A$6:$A$10008,$AH$3,PURCHASE!$D$6:$D$10008,$C$5:$C$499)</f>
        <v>0</v>
      </c>
      <c r="AM36" s="11">
        <f t="shared" si="12"/>
        <v>0</v>
      </c>
      <c r="AN36" s="11">
        <f>SUMIFS(PURCHASE!$K$6:$K$10008,PURCHASE!$A$6:$A$10008,$AM$3,PURCHASE!$D$6:$D$10008,$C$5:$C$499)</f>
        <v>0</v>
      </c>
      <c r="AO36" s="11">
        <f>SUMIFS(PURCHASE!$L$6:$L$10008,PURCHASE!$A$6:$A$10008,$AM$3,PURCHASE!$D$6:$D$10008,$C$5:$C$499)</f>
        <v>0</v>
      </c>
      <c r="AP36" s="11">
        <f>SUMIFS(PURCHASE!$M$6:$M$10008,PURCHASE!$A$6:$A$10008,$AM$3,PURCHASE!$D$6:$D$10008,$C$5:$C$499)</f>
        <v>0</v>
      </c>
      <c r="AQ36" s="11">
        <f>SUMIFS(PURCHASE!$N$6:$N$10008,PURCHASE!$A$6:$A$10008,$AM$3,PURCHASE!$D$6:$D$10008,$C$5:$C$499)</f>
        <v>0</v>
      </c>
      <c r="AR36" s="11">
        <f t="shared" si="13"/>
        <v>0</v>
      </c>
      <c r="AS36" s="11">
        <f>SUMIFS(PURCHASE!$K$6:$K$10008,PURCHASE!$A$6:$A$10008,$AR$3,PURCHASE!$D$6:$D$10008,$C$5:$C$499)</f>
        <v>0</v>
      </c>
      <c r="AT36" s="11">
        <f>SUMIFS(PURCHASE!$L$6:$L$10008,PURCHASE!$A$6:$A$10008,$AR$3,PURCHASE!$D$6:$D$10008,$C$5:$C$499)</f>
        <v>0</v>
      </c>
      <c r="AU36" s="11">
        <f>SUMIFS(PURCHASE!$M$6:$M$10008,PURCHASE!$A$6:$A$10008,$AR$3,PURCHASE!$D$6:$D$10008,$C$5:$C$499)</f>
        <v>0</v>
      </c>
      <c r="AV36" s="11">
        <f>SUMIFS(PURCHASE!$N$6:$N$10008,PURCHASE!$A$6:$A$10008,$AR$3,PURCHASE!$D$6:$D$10008,$C$5:$C$499)</f>
        <v>0</v>
      </c>
      <c r="AW36" s="11">
        <f t="shared" si="14"/>
        <v>0</v>
      </c>
      <c r="AX36" s="11">
        <f>SUMIFS(PURCHASE!$K$6:$K$10008,PURCHASE!$A$6:$A$10008,$AW$3,PURCHASE!$D$6:$D$10008,$C$5:$C$499)</f>
        <v>0</v>
      </c>
      <c r="AY36" s="11">
        <f>SUMIFS(PURCHASE!$L$6:$L$10008,PURCHASE!$A$6:$A$10008,$AW$3,PURCHASE!$D$6:$D$10008,$C$5:$C$499)</f>
        <v>0</v>
      </c>
      <c r="AZ36" s="11">
        <f>SUMIFS(PURCHASE!$M$6:$M$10008,PURCHASE!$A$6:$A$10008,$AW$3,PURCHASE!$D$6:$D$10008,$C$5:$C$499)</f>
        <v>0</v>
      </c>
      <c r="BA36" s="11">
        <f>SUMIFS(PURCHASE!$N$6:$N$10008,PURCHASE!$A$6:$A$10008,$AW$3,PURCHASE!$D$6:$D$10008,$C$5:$C$499)</f>
        <v>0</v>
      </c>
      <c r="BB36" s="11">
        <f t="shared" si="15"/>
        <v>0</v>
      </c>
      <c r="BC36" s="11">
        <f>SUMIFS(PURCHASE!$K$6:$K$10008,PURCHASE!$A$6:$A$10008,$BB$3,PURCHASE!$D$6:$D$10008,$C$5:$C$499)</f>
        <v>0</v>
      </c>
      <c r="BD36" s="11">
        <f>SUMIFS(PURCHASE!$L$6:$L$10008,PURCHASE!$A$6:$A$10008,$BB$3,PURCHASE!$D$6:$D$10008,$C$5:$C$499)</f>
        <v>0</v>
      </c>
      <c r="BE36" s="11">
        <f>SUMIFS(PURCHASE!$M$6:$M$10008,PURCHASE!$A$6:$A$10008,$BB$3,PURCHASE!$D$6:$D$10008,$C$5:$C$499)</f>
        <v>0</v>
      </c>
      <c r="BF36" s="11">
        <f>SUMIFS(PURCHASE!$N$6:$N$10008,PURCHASE!$A$6:$A$10008,$BB$3,PURCHASE!$D$6:$D$10008,$C$5:$C$499)</f>
        <v>0</v>
      </c>
      <c r="BG36" s="11">
        <f t="shared" si="16"/>
        <v>0</v>
      </c>
      <c r="BH36" s="11">
        <f>SUMIFS(PURCHASE!$K$6:$K$10008,PURCHASE!$A$6:$A$10008,$BG$3,PURCHASE!$D$6:$D$10008,$C$5:$C$499)</f>
        <v>0</v>
      </c>
      <c r="BI36" s="11">
        <f>SUMIFS(PURCHASE!$L$6:$L$10008,PURCHASE!$A$6:$A$10008,$BG$3,PURCHASE!$D$6:$D$10008,$C$5:$C$499)</f>
        <v>0</v>
      </c>
      <c r="BJ36" s="11">
        <f>SUMIFS(PURCHASE!$M$6:$M$10008,PURCHASE!$A$6:$A$10008,$BG$3,PURCHASE!$D$6:$D$10008,$C$5:$C$499)</f>
        <v>0</v>
      </c>
      <c r="BK36" s="11">
        <f>SUMIFS(PURCHASE!$N$6:$N$10008,PURCHASE!$A$6:$A$10008,$BG$3,PURCHASE!$D$6:$D$10008,$C$5:$C$499)</f>
        <v>0</v>
      </c>
      <c r="BL36" s="11">
        <f t="shared" si="4"/>
        <v>0</v>
      </c>
      <c r="BM36" s="11">
        <f t="shared" si="4"/>
        <v>0</v>
      </c>
      <c r="BN36" s="11">
        <f t="shared" si="4"/>
        <v>0</v>
      </c>
      <c r="BO36" s="11">
        <f t="shared" si="4"/>
        <v>0</v>
      </c>
      <c r="BP36" s="11">
        <f t="shared" si="4"/>
        <v>0</v>
      </c>
    </row>
    <row r="37" spans="1:68" x14ac:dyDescent="0.2">
      <c r="A37" s="467">
        <v>33</v>
      </c>
      <c r="B37" s="468" t="s">
        <v>1092</v>
      </c>
      <c r="C37" s="469" t="s">
        <v>1093</v>
      </c>
      <c r="D37" s="11">
        <f t="shared" si="5"/>
        <v>0</v>
      </c>
      <c r="E37" s="11">
        <f>SUMIFS(PURCHASE!$K$6:$K$10008,PURCHASE!$A$6:$A$10008,$D$3,PURCHASE!$D$6:$D$10008,$C$5:$C$499)</f>
        <v>0</v>
      </c>
      <c r="F37" s="11">
        <f>SUMIFS(PURCHASE!$L$6:$L$10008,PURCHASE!$A$6:$A$10008,$D$3,PURCHASE!$D$6:$D$10008,$C$5:$C$499)</f>
        <v>0</v>
      </c>
      <c r="G37" s="11">
        <f>SUMIFS(PURCHASE!$M$6:$M$10008,PURCHASE!$A$6:$A$10008,$D$3,PURCHASE!$D$6:$D$10008,$C$5:$C$499)</f>
        <v>0</v>
      </c>
      <c r="H37" s="11">
        <f>SUMIFS(PURCHASE!$N$6:$N$10008,PURCHASE!$A$6:$A$10008,$D$3,PURCHASE!$D$6:$D$10008,$C$5:$C$499)</f>
        <v>0</v>
      </c>
      <c r="I37" s="473">
        <f t="shared" si="6"/>
        <v>0</v>
      </c>
      <c r="J37" s="60">
        <f>SUMIFS(PURCHASE!$K$6:$K$10008,PURCHASE!$A$6:$A$10008,$I$3,PURCHASE!$D$6:$D$10008,$C$5:$C$499)</f>
        <v>0</v>
      </c>
      <c r="K37" s="60">
        <f>SUMIFS(PURCHASE!$L$6:$L$10008,PURCHASE!$A$6:$A$10008,$I$3,PURCHASE!$D$6:$D$10008,$C$5:$C$499)</f>
        <v>0</v>
      </c>
      <c r="L37" s="60">
        <f>SUMIFS(PURCHASE!$M$6:$M$10008,PURCHASE!$A$6:$A$10008,$I$3,PURCHASE!$D$6:$D$10008,$C$5:$C$499)</f>
        <v>0</v>
      </c>
      <c r="M37" s="474">
        <f>SUMIFS(PURCHASE!$N$6:$N$10008,PURCHASE!$A$6:$A$10008,$I$3,PURCHASE!$D$6:$D$10008,$C$5:$C$499)</f>
        <v>0</v>
      </c>
      <c r="N37" s="11">
        <f t="shared" si="7"/>
        <v>0</v>
      </c>
      <c r="O37" s="11">
        <f>SUMIFS(PURCHASE!$K$6:$K$10008,PURCHASE!$A$6:$A$10008,$N$3,PURCHASE!$D$6:$D$10008,$C$5:$C$499)</f>
        <v>0</v>
      </c>
      <c r="P37" s="11">
        <f>SUMIFS(PURCHASE!$L$6:$L$10008,PURCHASE!$A$6:$A$10008,$N$3,PURCHASE!$D$6:$D$10008,$C$5:$C$499)</f>
        <v>0</v>
      </c>
      <c r="Q37" s="11">
        <f>SUMIFS(PURCHASE!$M$6:$M$10008,PURCHASE!$A$6:$A$10008,$N$3,PURCHASE!$D$6:$D$10008,$C$5:$C$499)</f>
        <v>0</v>
      </c>
      <c r="R37" s="11">
        <f>SUMIFS(PURCHASE!$N$6:$N$10008,PURCHASE!$A$6:$A$10008,$N$3,PURCHASE!$D$6:$D$10008,$C$5:$C$499)</f>
        <v>0</v>
      </c>
      <c r="S37" s="11">
        <f t="shared" si="8"/>
        <v>0</v>
      </c>
      <c r="T37" s="11">
        <f>SUMIFS(PURCHASE!$K$6:$K$10008,PURCHASE!$A$6:$A$10008,$S$3,PURCHASE!$D$6:$D$10008,$C$5:$C$499)</f>
        <v>0</v>
      </c>
      <c r="U37" s="11">
        <f>SUMIFS(PURCHASE!$L$6:$L$10008,PURCHASE!$A$6:$A$10008,$S$3,PURCHASE!$D$6:$D$10008,$C$5:$C$499)</f>
        <v>0</v>
      </c>
      <c r="V37" s="11">
        <f>SUMIFS(PURCHASE!$M$6:$M$10008,PURCHASE!$A$6:$A$10008,$S$3,PURCHASE!$D$6:$D$10008,$C$5:$C$499)</f>
        <v>0</v>
      </c>
      <c r="W37" s="11">
        <f>SUMIFS(PURCHASE!$N$6:$N$10008,PURCHASE!$A$6:$A$10008,$S$3,PURCHASE!$D$6:$D$10008,$C$5:$C$499)</f>
        <v>0</v>
      </c>
      <c r="X37" s="11">
        <f t="shared" si="9"/>
        <v>0</v>
      </c>
      <c r="Y37" s="11">
        <f>SUMIFS(PURCHASE!$K$6:$K$10008,PURCHASE!$A$6:$A$10008,$X$3,PURCHASE!$D$6:$D$10008,$C$5:$C$499)</f>
        <v>0</v>
      </c>
      <c r="Z37" s="11">
        <f>SUMIFS(PURCHASE!$L$6:$L$10008,PURCHASE!$A$6:$A$10008,$X$3,PURCHASE!$D$6:$D$10008,$C$5:$C$499)</f>
        <v>0</v>
      </c>
      <c r="AA37" s="11">
        <f>SUMIFS(PURCHASE!$M$6:$M$10008,PURCHASE!$A$6:$A$10008,$X$3,PURCHASE!$D$6:$D$10008,$C$5:$C$499)</f>
        <v>0</v>
      </c>
      <c r="AB37" s="11">
        <f>SUMIFS(PURCHASE!$N$6:$N$10008,PURCHASE!$A$6:$A$10008,$X$3,PURCHASE!$D$6:$D$10008,$C$5:$C$499)</f>
        <v>0</v>
      </c>
      <c r="AC37" s="11">
        <f t="shared" si="10"/>
        <v>0</v>
      </c>
      <c r="AD37" s="11">
        <f>SUMIFS(PURCHASE!$K$6:$K$10008,PURCHASE!$A$6:$A$10008,$AC$3,PURCHASE!$D$6:$D$10008,$C$5:$C$499)</f>
        <v>0</v>
      </c>
      <c r="AE37" s="11">
        <f>SUMIFS(PURCHASE!$L$6:$L$10008,PURCHASE!$A$6:$A$10008,$AC$3,PURCHASE!$D$6:$D$10008,$C$5:$C$499)</f>
        <v>0</v>
      </c>
      <c r="AF37" s="11">
        <f>SUMIFS(PURCHASE!$M$6:$M$10008,PURCHASE!$A$6:$A$10008,$AC$3,PURCHASE!$D$6:$D$10008,$C$5:$C$499)</f>
        <v>0</v>
      </c>
      <c r="AG37" s="11">
        <f>SUMIFS(PURCHASE!$N$6:$N$10008,PURCHASE!$A$6:$A$10008,$AC$3,PURCHASE!$D$6:$D$10008,$C$5:$C$499)</f>
        <v>0</v>
      </c>
      <c r="AH37" s="11">
        <f t="shared" si="11"/>
        <v>0</v>
      </c>
      <c r="AI37" s="11">
        <f>SUMIFS(PURCHASE!$K$6:$K$10008,PURCHASE!$A$6:$A$10008,$AH$3,PURCHASE!$D$6:$D$10008,$C$5:$C$499)</f>
        <v>0</v>
      </c>
      <c r="AJ37" s="11">
        <f>SUMIFS(PURCHASE!$L$6:$L$10008,PURCHASE!$A$6:$A$10008,$AH$3,PURCHASE!$D$6:$D$10008,$C$5:$C$499)</f>
        <v>0</v>
      </c>
      <c r="AK37" s="11">
        <f>SUMIFS(PURCHASE!$M$6:$M$10008,PURCHASE!$A$6:$A$10008,$AH$3,PURCHASE!$D$6:$D$10008,$C$5:$C$499)</f>
        <v>0</v>
      </c>
      <c r="AL37" s="11">
        <f>SUMIFS(PURCHASE!$N$6:$N$10008,PURCHASE!$A$6:$A$10008,$AH$3,PURCHASE!$D$6:$D$10008,$C$5:$C$499)</f>
        <v>0</v>
      </c>
      <c r="AM37" s="11">
        <f t="shared" si="12"/>
        <v>0</v>
      </c>
      <c r="AN37" s="11">
        <f>SUMIFS(PURCHASE!$K$6:$K$10008,PURCHASE!$A$6:$A$10008,$AM$3,PURCHASE!$D$6:$D$10008,$C$5:$C$499)</f>
        <v>0</v>
      </c>
      <c r="AO37" s="11">
        <f>SUMIFS(PURCHASE!$L$6:$L$10008,PURCHASE!$A$6:$A$10008,$AM$3,PURCHASE!$D$6:$D$10008,$C$5:$C$499)</f>
        <v>0</v>
      </c>
      <c r="AP37" s="11">
        <f>SUMIFS(PURCHASE!$M$6:$M$10008,PURCHASE!$A$6:$A$10008,$AM$3,PURCHASE!$D$6:$D$10008,$C$5:$C$499)</f>
        <v>0</v>
      </c>
      <c r="AQ37" s="11">
        <f>SUMIFS(PURCHASE!$N$6:$N$10008,PURCHASE!$A$6:$A$10008,$AM$3,PURCHASE!$D$6:$D$10008,$C$5:$C$499)</f>
        <v>0</v>
      </c>
      <c r="AR37" s="11">
        <f t="shared" si="13"/>
        <v>0</v>
      </c>
      <c r="AS37" s="11">
        <f>SUMIFS(PURCHASE!$K$6:$K$10008,PURCHASE!$A$6:$A$10008,$AR$3,PURCHASE!$D$6:$D$10008,$C$5:$C$499)</f>
        <v>0</v>
      </c>
      <c r="AT37" s="11">
        <f>SUMIFS(PURCHASE!$L$6:$L$10008,PURCHASE!$A$6:$A$10008,$AR$3,PURCHASE!$D$6:$D$10008,$C$5:$C$499)</f>
        <v>0</v>
      </c>
      <c r="AU37" s="11">
        <f>SUMIFS(PURCHASE!$M$6:$M$10008,PURCHASE!$A$6:$A$10008,$AR$3,PURCHASE!$D$6:$D$10008,$C$5:$C$499)</f>
        <v>0</v>
      </c>
      <c r="AV37" s="11">
        <f>SUMIFS(PURCHASE!$N$6:$N$10008,PURCHASE!$A$6:$A$10008,$AR$3,PURCHASE!$D$6:$D$10008,$C$5:$C$499)</f>
        <v>0</v>
      </c>
      <c r="AW37" s="11">
        <f t="shared" si="14"/>
        <v>0</v>
      </c>
      <c r="AX37" s="11">
        <f>SUMIFS(PURCHASE!$K$6:$K$10008,PURCHASE!$A$6:$A$10008,$AW$3,PURCHASE!$D$6:$D$10008,$C$5:$C$499)</f>
        <v>0</v>
      </c>
      <c r="AY37" s="11">
        <f>SUMIFS(PURCHASE!$L$6:$L$10008,PURCHASE!$A$6:$A$10008,$AW$3,PURCHASE!$D$6:$D$10008,$C$5:$C$499)</f>
        <v>0</v>
      </c>
      <c r="AZ37" s="11">
        <f>SUMIFS(PURCHASE!$M$6:$M$10008,PURCHASE!$A$6:$A$10008,$AW$3,PURCHASE!$D$6:$D$10008,$C$5:$C$499)</f>
        <v>0</v>
      </c>
      <c r="BA37" s="11">
        <f>SUMIFS(PURCHASE!$N$6:$N$10008,PURCHASE!$A$6:$A$10008,$AW$3,PURCHASE!$D$6:$D$10008,$C$5:$C$499)</f>
        <v>0</v>
      </c>
      <c r="BB37" s="11">
        <f t="shared" si="15"/>
        <v>0</v>
      </c>
      <c r="BC37" s="11">
        <f>SUMIFS(PURCHASE!$K$6:$K$10008,PURCHASE!$A$6:$A$10008,$BB$3,PURCHASE!$D$6:$D$10008,$C$5:$C$499)</f>
        <v>0</v>
      </c>
      <c r="BD37" s="11">
        <f>SUMIFS(PURCHASE!$L$6:$L$10008,PURCHASE!$A$6:$A$10008,$BB$3,PURCHASE!$D$6:$D$10008,$C$5:$C$499)</f>
        <v>0</v>
      </c>
      <c r="BE37" s="11">
        <f>SUMIFS(PURCHASE!$M$6:$M$10008,PURCHASE!$A$6:$A$10008,$BB$3,PURCHASE!$D$6:$D$10008,$C$5:$C$499)</f>
        <v>0</v>
      </c>
      <c r="BF37" s="11">
        <f>SUMIFS(PURCHASE!$N$6:$N$10008,PURCHASE!$A$6:$A$10008,$BB$3,PURCHASE!$D$6:$D$10008,$C$5:$C$499)</f>
        <v>0</v>
      </c>
      <c r="BG37" s="11">
        <f t="shared" si="16"/>
        <v>0</v>
      </c>
      <c r="BH37" s="11">
        <f>SUMIFS(PURCHASE!$K$6:$K$10008,PURCHASE!$A$6:$A$10008,$BG$3,PURCHASE!$D$6:$D$10008,$C$5:$C$499)</f>
        <v>0</v>
      </c>
      <c r="BI37" s="11">
        <f>SUMIFS(PURCHASE!$L$6:$L$10008,PURCHASE!$A$6:$A$10008,$BG$3,PURCHASE!$D$6:$D$10008,$C$5:$C$499)</f>
        <v>0</v>
      </c>
      <c r="BJ37" s="11">
        <f>SUMIFS(PURCHASE!$M$6:$M$10008,PURCHASE!$A$6:$A$10008,$BG$3,PURCHASE!$D$6:$D$10008,$C$5:$C$499)</f>
        <v>0</v>
      </c>
      <c r="BK37" s="11">
        <f>SUMIFS(PURCHASE!$N$6:$N$10008,PURCHASE!$A$6:$A$10008,$BG$3,PURCHASE!$D$6:$D$10008,$C$5:$C$499)</f>
        <v>0</v>
      </c>
      <c r="BL37" s="11">
        <f t="shared" si="4"/>
        <v>0</v>
      </c>
      <c r="BM37" s="11">
        <f t="shared" si="4"/>
        <v>0</v>
      </c>
      <c r="BN37" s="11">
        <f t="shared" si="4"/>
        <v>0</v>
      </c>
      <c r="BO37" s="11">
        <f t="shared" si="4"/>
        <v>0</v>
      </c>
      <c r="BP37" s="11">
        <f t="shared" si="4"/>
        <v>0</v>
      </c>
    </row>
    <row r="38" spans="1:68" x14ac:dyDescent="0.2">
      <c r="A38" s="467">
        <v>34</v>
      </c>
      <c r="B38" s="468" t="s">
        <v>1094</v>
      </c>
      <c r="C38" s="469" t="s">
        <v>1095</v>
      </c>
      <c r="D38" s="11">
        <f t="shared" si="5"/>
        <v>0</v>
      </c>
      <c r="E38" s="11">
        <f>SUMIFS(PURCHASE!$K$6:$K$10008,PURCHASE!$A$6:$A$10008,$D$3,PURCHASE!$D$6:$D$10008,$C$5:$C$499)</f>
        <v>0</v>
      </c>
      <c r="F38" s="11">
        <f>SUMIFS(PURCHASE!$L$6:$L$10008,PURCHASE!$A$6:$A$10008,$D$3,PURCHASE!$D$6:$D$10008,$C$5:$C$499)</f>
        <v>0</v>
      </c>
      <c r="G38" s="11">
        <f>SUMIFS(PURCHASE!$M$6:$M$10008,PURCHASE!$A$6:$A$10008,$D$3,PURCHASE!$D$6:$D$10008,$C$5:$C$499)</f>
        <v>0</v>
      </c>
      <c r="H38" s="11">
        <f>SUMIFS(PURCHASE!$N$6:$N$10008,PURCHASE!$A$6:$A$10008,$D$3,PURCHASE!$D$6:$D$10008,$C$5:$C$499)</f>
        <v>0</v>
      </c>
      <c r="I38" s="473">
        <f t="shared" si="6"/>
        <v>0</v>
      </c>
      <c r="J38" s="60">
        <f>SUMIFS(PURCHASE!$K$6:$K$10008,PURCHASE!$A$6:$A$10008,$I$3,PURCHASE!$D$6:$D$10008,$C$5:$C$499)</f>
        <v>0</v>
      </c>
      <c r="K38" s="60">
        <f>SUMIFS(PURCHASE!$L$6:$L$10008,PURCHASE!$A$6:$A$10008,$I$3,PURCHASE!$D$6:$D$10008,$C$5:$C$499)</f>
        <v>0</v>
      </c>
      <c r="L38" s="60">
        <f>SUMIFS(PURCHASE!$M$6:$M$10008,PURCHASE!$A$6:$A$10008,$I$3,PURCHASE!$D$6:$D$10008,$C$5:$C$499)</f>
        <v>0</v>
      </c>
      <c r="M38" s="474">
        <f>SUMIFS(PURCHASE!$N$6:$N$10008,PURCHASE!$A$6:$A$10008,$I$3,PURCHASE!$D$6:$D$10008,$C$5:$C$499)</f>
        <v>0</v>
      </c>
      <c r="N38" s="11">
        <f t="shared" si="7"/>
        <v>0</v>
      </c>
      <c r="O38" s="11">
        <f>SUMIFS(PURCHASE!$K$6:$K$10008,PURCHASE!$A$6:$A$10008,$N$3,PURCHASE!$D$6:$D$10008,$C$5:$C$499)</f>
        <v>0</v>
      </c>
      <c r="P38" s="11">
        <f>SUMIFS(PURCHASE!$L$6:$L$10008,PURCHASE!$A$6:$A$10008,$N$3,PURCHASE!$D$6:$D$10008,$C$5:$C$499)</f>
        <v>0</v>
      </c>
      <c r="Q38" s="11">
        <f>SUMIFS(PURCHASE!$M$6:$M$10008,PURCHASE!$A$6:$A$10008,$N$3,PURCHASE!$D$6:$D$10008,$C$5:$C$499)</f>
        <v>0</v>
      </c>
      <c r="R38" s="11">
        <f>SUMIFS(PURCHASE!$N$6:$N$10008,PURCHASE!$A$6:$A$10008,$N$3,PURCHASE!$D$6:$D$10008,$C$5:$C$499)</f>
        <v>0</v>
      </c>
      <c r="S38" s="11">
        <f t="shared" si="8"/>
        <v>0</v>
      </c>
      <c r="T38" s="11">
        <f>SUMIFS(PURCHASE!$K$6:$K$10008,PURCHASE!$A$6:$A$10008,$S$3,PURCHASE!$D$6:$D$10008,$C$5:$C$499)</f>
        <v>0</v>
      </c>
      <c r="U38" s="11">
        <f>SUMIFS(PURCHASE!$L$6:$L$10008,PURCHASE!$A$6:$A$10008,$S$3,PURCHASE!$D$6:$D$10008,$C$5:$C$499)</f>
        <v>0</v>
      </c>
      <c r="V38" s="11">
        <f>SUMIFS(PURCHASE!$M$6:$M$10008,PURCHASE!$A$6:$A$10008,$S$3,PURCHASE!$D$6:$D$10008,$C$5:$C$499)</f>
        <v>0</v>
      </c>
      <c r="W38" s="11">
        <f>SUMIFS(PURCHASE!$N$6:$N$10008,PURCHASE!$A$6:$A$10008,$S$3,PURCHASE!$D$6:$D$10008,$C$5:$C$499)</f>
        <v>0</v>
      </c>
      <c r="X38" s="11">
        <f t="shared" si="9"/>
        <v>0</v>
      </c>
      <c r="Y38" s="11">
        <f>SUMIFS(PURCHASE!$K$6:$K$10008,PURCHASE!$A$6:$A$10008,$X$3,PURCHASE!$D$6:$D$10008,$C$5:$C$499)</f>
        <v>0</v>
      </c>
      <c r="Z38" s="11">
        <f>SUMIFS(PURCHASE!$L$6:$L$10008,PURCHASE!$A$6:$A$10008,$X$3,PURCHASE!$D$6:$D$10008,$C$5:$C$499)</f>
        <v>0</v>
      </c>
      <c r="AA38" s="11">
        <f>SUMIFS(PURCHASE!$M$6:$M$10008,PURCHASE!$A$6:$A$10008,$X$3,PURCHASE!$D$6:$D$10008,$C$5:$C$499)</f>
        <v>0</v>
      </c>
      <c r="AB38" s="11">
        <f>SUMIFS(PURCHASE!$N$6:$N$10008,PURCHASE!$A$6:$A$10008,$X$3,PURCHASE!$D$6:$D$10008,$C$5:$C$499)</f>
        <v>0</v>
      </c>
      <c r="AC38" s="11">
        <f t="shared" si="10"/>
        <v>0</v>
      </c>
      <c r="AD38" s="11">
        <f>SUMIFS(PURCHASE!$K$6:$K$10008,PURCHASE!$A$6:$A$10008,$AC$3,PURCHASE!$D$6:$D$10008,$C$5:$C$499)</f>
        <v>0</v>
      </c>
      <c r="AE38" s="11">
        <f>SUMIFS(PURCHASE!$L$6:$L$10008,PURCHASE!$A$6:$A$10008,$AC$3,PURCHASE!$D$6:$D$10008,$C$5:$C$499)</f>
        <v>0</v>
      </c>
      <c r="AF38" s="11">
        <f>SUMIFS(PURCHASE!$M$6:$M$10008,PURCHASE!$A$6:$A$10008,$AC$3,PURCHASE!$D$6:$D$10008,$C$5:$C$499)</f>
        <v>0</v>
      </c>
      <c r="AG38" s="11">
        <f>SUMIFS(PURCHASE!$N$6:$N$10008,PURCHASE!$A$6:$A$10008,$AC$3,PURCHASE!$D$6:$D$10008,$C$5:$C$499)</f>
        <v>0</v>
      </c>
      <c r="AH38" s="11">
        <f t="shared" si="11"/>
        <v>0</v>
      </c>
      <c r="AI38" s="11">
        <f>SUMIFS(PURCHASE!$K$6:$K$10008,PURCHASE!$A$6:$A$10008,$AH$3,PURCHASE!$D$6:$D$10008,$C$5:$C$499)</f>
        <v>0</v>
      </c>
      <c r="AJ38" s="11">
        <f>SUMIFS(PURCHASE!$L$6:$L$10008,PURCHASE!$A$6:$A$10008,$AH$3,PURCHASE!$D$6:$D$10008,$C$5:$C$499)</f>
        <v>0</v>
      </c>
      <c r="AK38" s="11">
        <f>SUMIFS(PURCHASE!$M$6:$M$10008,PURCHASE!$A$6:$A$10008,$AH$3,PURCHASE!$D$6:$D$10008,$C$5:$C$499)</f>
        <v>0</v>
      </c>
      <c r="AL38" s="11">
        <f>SUMIFS(PURCHASE!$N$6:$N$10008,PURCHASE!$A$6:$A$10008,$AH$3,PURCHASE!$D$6:$D$10008,$C$5:$C$499)</f>
        <v>0</v>
      </c>
      <c r="AM38" s="11">
        <f t="shared" si="12"/>
        <v>0</v>
      </c>
      <c r="AN38" s="11">
        <f>SUMIFS(PURCHASE!$K$6:$K$10008,PURCHASE!$A$6:$A$10008,$AM$3,PURCHASE!$D$6:$D$10008,$C$5:$C$499)</f>
        <v>0</v>
      </c>
      <c r="AO38" s="11">
        <f>SUMIFS(PURCHASE!$L$6:$L$10008,PURCHASE!$A$6:$A$10008,$AM$3,PURCHASE!$D$6:$D$10008,$C$5:$C$499)</f>
        <v>0</v>
      </c>
      <c r="AP38" s="11">
        <f>SUMIFS(PURCHASE!$M$6:$M$10008,PURCHASE!$A$6:$A$10008,$AM$3,PURCHASE!$D$6:$D$10008,$C$5:$C$499)</f>
        <v>0</v>
      </c>
      <c r="AQ38" s="11">
        <f>SUMIFS(PURCHASE!$N$6:$N$10008,PURCHASE!$A$6:$A$10008,$AM$3,PURCHASE!$D$6:$D$10008,$C$5:$C$499)</f>
        <v>0</v>
      </c>
      <c r="AR38" s="11">
        <f t="shared" si="13"/>
        <v>0</v>
      </c>
      <c r="AS38" s="11">
        <f>SUMIFS(PURCHASE!$K$6:$K$10008,PURCHASE!$A$6:$A$10008,$AR$3,PURCHASE!$D$6:$D$10008,$C$5:$C$499)</f>
        <v>0</v>
      </c>
      <c r="AT38" s="11">
        <f>SUMIFS(PURCHASE!$L$6:$L$10008,PURCHASE!$A$6:$A$10008,$AR$3,PURCHASE!$D$6:$D$10008,$C$5:$C$499)</f>
        <v>0</v>
      </c>
      <c r="AU38" s="11">
        <f>SUMIFS(PURCHASE!$M$6:$M$10008,PURCHASE!$A$6:$A$10008,$AR$3,PURCHASE!$D$6:$D$10008,$C$5:$C$499)</f>
        <v>0</v>
      </c>
      <c r="AV38" s="11">
        <f>SUMIFS(PURCHASE!$N$6:$N$10008,PURCHASE!$A$6:$A$10008,$AR$3,PURCHASE!$D$6:$D$10008,$C$5:$C$499)</f>
        <v>0</v>
      </c>
      <c r="AW38" s="11">
        <f t="shared" si="14"/>
        <v>0</v>
      </c>
      <c r="AX38" s="11">
        <f>SUMIFS(PURCHASE!$K$6:$K$10008,PURCHASE!$A$6:$A$10008,$AW$3,PURCHASE!$D$6:$D$10008,$C$5:$C$499)</f>
        <v>0</v>
      </c>
      <c r="AY38" s="11">
        <f>SUMIFS(PURCHASE!$L$6:$L$10008,PURCHASE!$A$6:$A$10008,$AW$3,PURCHASE!$D$6:$D$10008,$C$5:$C$499)</f>
        <v>0</v>
      </c>
      <c r="AZ38" s="11">
        <f>SUMIFS(PURCHASE!$M$6:$M$10008,PURCHASE!$A$6:$A$10008,$AW$3,PURCHASE!$D$6:$D$10008,$C$5:$C$499)</f>
        <v>0</v>
      </c>
      <c r="BA38" s="11">
        <f>SUMIFS(PURCHASE!$N$6:$N$10008,PURCHASE!$A$6:$A$10008,$AW$3,PURCHASE!$D$6:$D$10008,$C$5:$C$499)</f>
        <v>0</v>
      </c>
      <c r="BB38" s="11">
        <f t="shared" si="15"/>
        <v>0</v>
      </c>
      <c r="BC38" s="11">
        <f>SUMIFS(PURCHASE!$K$6:$K$10008,PURCHASE!$A$6:$A$10008,$BB$3,PURCHASE!$D$6:$D$10008,$C$5:$C$499)</f>
        <v>0</v>
      </c>
      <c r="BD38" s="11">
        <f>SUMIFS(PURCHASE!$L$6:$L$10008,PURCHASE!$A$6:$A$10008,$BB$3,PURCHASE!$D$6:$D$10008,$C$5:$C$499)</f>
        <v>0</v>
      </c>
      <c r="BE38" s="11">
        <f>SUMIFS(PURCHASE!$M$6:$M$10008,PURCHASE!$A$6:$A$10008,$BB$3,PURCHASE!$D$6:$D$10008,$C$5:$C$499)</f>
        <v>0</v>
      </c>
      <c r="BF38" s="11">
        <f>SUMIFS(PURCHASE!$N$6:$N$10008,PURCHASE!$A$6:$A$10008,$BB$3,PURCHASE!$D$6:$D$10008,$C$5:$C$499)</f>
        <v>0</v>
      </c>
      <c r="BG38" s="11">
        <f t="shared" si="16"/>
        <v>0</v>
      </c>
      <c r="BH38" s="11">
        <f>SUMIFS(PURCHASE!$K$6:$K$10008,PURCHASE!$A$6:$A$10008,$BG$3,PURCHASE!$D$6:$D$10008,$C$5:$C$499)</f>
        <v>0</v>
      </c>
      <c r="BI38" s="11">
        <f>SUMIFS(PURCHASE!$L$6:$L$10008,PURCHASE!$A$6:$A$10008,$BG$3,PURCHASE!$D$6:$D$10008,$C$5:$C$499)</f>
        <v>0</v>
      </c>
      <c r="BJ38" s="11">
        <f>SUMIFS(PURCHASE!$M$6:$M$10008,PURCHASE!$A$6:$A$10008,$BG$3,PURCHASE!$D$6:$D$10008,$C$5:$C$499)</f>
        <v>0</v>
      </c>
      <c r="BK38" s="11">
        <f>SUMIFS(PURCHASE!$N$6:$N$10008,PURCHASE!$A$6:$A$10008,$BG$3,PURCHASE!$D$6:$D$10008,$C$5:$C$499)</f>
        <v>0</v>
      </c>
      <c r="BL38" s="11">
        <f t="shared" si="4"/>
        <v>0</v>
      </c>
      <c r="BM38" s="11">
        <f t="shared" si="4"/>
        <v>0</v>
      </c>
      <c r="BN38" s="11">
        <f t="shared" si="4"/>
        <v>0</v>
      </c>
      <c r="BO38" s="11">
        <f t="shared" si="4"/>
        <v>0</v>
      </c>
      <c r="BP38" s="11">
        <f t="shared" si="4"/>
        <v>0</v>
      </c>
    </row>
    <row r="39" spans="1:68" x14ac:dyDescent="0.2">
      <c r="A39" s="467">
        <v>35</v>
      </c>
      <c r="B39" s="475" t="s">
        <v>1096</v>
      </c>
      <c r="C39" s="475" t="s">
        <v>1097</v>
      </c>
      <c r="D39" s="11">
        <f t="shared" si="5"/>
        <v>0</v>
      </c>
      <c r="E39" s="11">
        <f>SUMIFS(PURCHASE!$K$6:$K$10008,PURCHASE!$A$6:$A$10008,$D$3,PURCHASE!$D$6:$D$10008,$C$5:$C$499)</f>
        <v>0</v>
      </c>
      <c r="F39" s="11">
        <f>SUMIFS(PURCHASE!$L$6:$L$10008,PURCHASE!$A$6:$A$10008,$D$3,PURCHASE!$D$6:$D$10008,$C$5:$C$499)</f>
        <v>0</v>
      </c>
      <c r="G39" s="11">
        <f>SUMIFS(PURCHASE!$M$6:$M$10008,PURCHASE!$A$6:$A$10008,$D$3,PURCHASE!$D$6:$D$10008,$C$5:$C$499)</f>
        <v>0</v>
      </c>
      <c r="H39" s="11">
        <f>SUMIFS(PURCHASE!$N$6:$N$10008,PURCHASE!$A$6:$A$10008,$D$3,PURCHASE!$D$6:$D$10008,$C$5:$C$499)</f>
        <v>0</v>
      </c>
      <c r="I39" s="473">
        <f t="shared" si="6"/>
        <v>0</v>
      </c>
      <c r="J39" s="60">
        <f>SUMIFS(PURCHASE!$K$6:$K$10008,PURCHASE!$A$6:$A$10008,$I$3,PURCHASE!$D$6:$D$10008,$C$5:$C$499)</f>
        <v>0</v>
      </c>
      <c r="K39" s="60">
        <f>SUMIFS(PURCHASE!$L$6:$L$10008,PURCHASE!$A$6:$A$10008,$I$3,PURCHASE!$D$6:$D$10008,$C$5:$C$499)</f>
        <v>0</v>
      </c>
      <c r="L39" s="60">
        <f>SUMIFS(PURCHASE!$M$6:$M$10008,PURCHASE!$A$6:$A$10008,$I$3,PURCHASE!$D$6:$D$10008,$C$5:$C$499)</f>
        <v>0</v>
      </c>
      <c r="M39" s="474">
        <f>SUMIFS(PURCHASE!$N$6:$N$10008,PURCHASE!$A$6:$A$10008,$I$3,PURCHASE!$D$6:$D$10008,$C$5:$C$499)</f>
        <v>0</v>
      </c>
      <c r="N39" s="11">
        <f t="shared" si="7"/>
        <v>0</v>
      </c>
      <c r="O39" s="11">
        <f>SUMIFS(PURCHASE!$K$6:$K$10008,PURCHASE!$A$6:$A$10008,$N$3,PURCHASE!$D$6:$D$10008,$C$5:$C$499)</f>
        <v>0</v>
      </c>
      <c r="P39" s="11">
        <f>SUMIFS(PURCHASE!$L$6:$L$10008,PURCHASE!$A$6:$A$10008,$N$3,PURCHASE!$D$6:$D$10008,$C$5:$C$499)</f>
        <v>0</v>
      </c>
      <c r="Q39" s="11">
        <f>SUMIFS(PURCHASE!$M$6:$M$10008,PURCHASE!$A$6:$A$10008,$N$3,PURCHASE!$D$6:$D$10008,$C$5:$C$499)</f>
        <v>0</v>
      </c>
      <c r="R39" s="11">
        <f>SUMIFS(PURCHASE!$N$6:$N$10008,PURCHASE!$A$6:$A$10008,$N$3,PURCHASE!$D$6:$D$10008,$C$5:$C$499)</f>
        <v>0</v>
      </c>
      <c r="S39" s="11">
        <f t="shared" si="8"/>
        <v>0</v>
      </c>
      <c r="T39" s="11">
        <f>SUMIFS(PURCHASE!$K$6:$K$10008,PURCHASE!$A$6:$A$10008,$S$3,PURCHASE!$D$6:$D$10008,$C$5:$C$499)</f>
        <v>0</v>
      </c>
      <c r="U39" s="11">
        <f>SUMIFS(PURCHASE!$L$6:$L$10008,PURCHASE!$A$6:$A$10008,$S$3,PURCHASE!$D$6:$D$10008,$C$5:$C$499)</f>
        <v>0</v>
      </c>
      <c r="V39" s="11">
        <f>SUMIFS(PURCHASE!$M$6:$M$10008,PURCHASE!$A$6:$A$10008,$S$3,PURCHASE!$D$6:$D$10008,$C$5:$C$499)</f>
        <v>0</v>
      </c>
      <c r="W39" s="11">
        <f>SUMIFS(PURCHASE!$N$6:$N$10008,PURCHASE!$A$6:$A$10008,$S$3,PURCHASE!$D$6:$D$10008,$C$5:$C$499)</f>
        <v>0</v>
      </c>
      <c r="X39" s="11">
        <f t="shared" si="9"/>
        <v>0</v>
      </c>
      <c r="Y39" s="11">
        <f>SUMIFS(PURCHASE!$K$6:$K$10008,PURCHASE!$A$6:$A$10008,$X$3,PURCHASE!$D$6:$D$10008,$C$5:$C$499)</f>
        <v>0</v>
      </c>
      <c r="Z39" s="11">
        <f>SUMIFS(PURCHASE!$L$6:$L$10008,PURCHASE!$A$6:$A$10008,$X$3,PURCHASE!$D$6:$D$10008,$C$5:$C$499)</f>
        <v>0</v>
      </c>
      <c r="AA39" s="11">
        <f>SUMIFS(PURCHASE!$M$6:$M$10008,PURCHASE!$A$6:$A$10008,$X$3,PURCHASE!$D$6:$D$10008,$C$5:$C$499)</f>
        <v>0</v>
      </c>
      <c r="AB39" s="11">
        <f>SUMIFS(PURCHASE!$N$6:$N$10008,PURCHASE!$A$6:$A$10008,$X$3,PURCHASE!$D$6:$D$10008,$C$5:$C$499)</f>
        <v>0</v>
      </c>
      <c r="AC39" s="11">
        <f t="shared" si="10"/>
        <v>0</v>
      </c>
      <c r="AD39" s="11">
        <f>SUMIFS(PURCHASE!$K$6:$K$10008,PURCHASE!$A$6:$A$10008,$AC$3,PURCHASE!$D$6:$D$10008,$C$5:$C$499)</f>
        <v>0</v>
      </c>
      <c r="AE39" s="11">
        <f>SUMIFS(PURCHASE!$L$6:$L$10008,PURCHASE!$A$6:$A$10008,$AC$3,PURCHASE!$D$6:$D$10008,$C$5:$C$499)</f>
        <v>0</v>
      </c>
      <c r="AF39" s="11">
        <f>SUMIFS(PURCHASE!$M$6:$M$10008,PURCHASE!$A$6:$A$10008,$AC$3,PURCHASE!$D$6:$D$10008,$C$5:$C$499)</f>
        <v>0</v>
      </c>
      <c r="AG39" s="11">
        <f>SUMIFS(PURCHASE!$N$6:$N$10008,PURCHASE!$A$6:$A$10008,$AC$3,PURCHASE!$D$6:$D$10008,$C$5:$C$499)</f>
        <v>0</v>
      </c>
      <c r="AH39" s="11">
        <f t="shared" si="11"/>
        <v>0</v>
      </c>
      <c r="AI39" s="11">
        <f>SUMIFS(PURCHASE!$K$6:$K$10008,PURCHASE!$A$6:$A$10008,$AH$3,PURCHASE!$D$6:$D$10008,$C$5:$C$499)</f>
        <v>0</v>
      </c>
      <c r="AJ39" s="11">
        <f>SUMIFS(PURCHASE!$L$6:$L$10008,PURCHASE!$A$6:$A$10008,$AH$3,PURCHASE!$D$6:$D$10008,$C$5:$C$499)</f>
        <v>0</v>
      </c>
      <c r="AK39" s="11">
        <f>SUMIFS(PURCHASE!$M$6:$M$10008,PURCHASE!$A$6:$A$10008,$AH$3,PURCHASE!$D$6:$D$10008,$C$5:$C$499)</f>
        <v>0</v>
      </c>
      <c r="AL39" s="11">
        <f>SUMIFS(PURCHASE!$N$6:$N$10008,PURCHASE!$A$6:$A$10008,$AH$3,PURCHASE!$D$6:$D$10008,$C$5:$C$499)</f>
        <v>0</v>
      </c>
      <c r="AM39" s="11">
        <f t="shared" si="12"/>
        <v>0</v>
      </c>
      <c r="AN39" s="11">
        <f>SUMIFS(PURCHASE!$K$6:$K$10008,PURCHASE!$A$6:$A$10008,$AM$3,PURCHASE!$D$6:$D$10008,$C$5:$C$499)</f>
        <v>0</v>
      </c>
      <c r="AO39" s="11">
        <f>SUMIFS(PURCHASE!$L$6:$L$10008,PURCHASE!$A$6:$A$10008,$AM$3,PURCHASE!$D$6:$D$10008,$C$5:$C$499)</f>
        <v>0</v>
      </c>
      <c r="AP39" s="11">
        <f>SUMIFS(PURCHASE!$M$6:$M$10008,PURCHASE!$A$6:$A$10008,$AM$3,PURCHASE!$D$6:$D$10008,$C$5:$C$499)</f>
        <v>0</v>
      </c>
      <c r="AQ39" s="11">
        <f>SUMIFS(PURCHASE!$N$6:$N$10008,PURCHASE!$A$6:$A$10008,$AM$3,PURCHASE!$D$6:$D$10008,$C$5:$C$499)</f>
        <v>0</v>
      </c>
      <c r="AR39" s="11">
        <f t="shared" si="13"/>
        <v>0</v>
      </c>
      <c r="AS39" s="11">
        <f>SUMIFS(PURCHASE!$K$6:$K$10008,PURCHASE!$A$6:$A$10008,$AR$3,PURCHASE!$D$6:$D$10008,$C$5:$C$499)</f>
        <v>0</v>
      </c>
      <c r="AT39" s="11">
        <f>SUMIFS(PURCHASE!$L$6:$L$10008,PURCHASE!$A$6:$A$10008,$AR$3,PURCHASE!$D$6:$D$10008,$C$5:$C$499)</f>
        <v>0</v>
      </c>
      <c r="AU39" s="11">
        <f>SUMIFS(PURCHASE!$M$6:$M$10008,PURCHASE!$A$6:$A$10008,$AR$3,PURCHASE!$D$6:$D$10008,$C$5:$C$499)</f>
        <v>0</v>
      </c>
      <c r="AV39" s="11">
        <f>SUMIFS(PURCHASE!$N$6:$N$10008,PURCHASE!$A$6:$A$10008,$AR$3,PURCHASE!$D$6:$D$10008,$C$5:$C$499)</f>
        <v>0</v>
      </c>
      <c r="AW39" s="11">
        <f t="shared" si="14"/>
        <v>0</v>
      </c>
      <c r="AX39" s="11">
        <f>SUMIFS(PURCHASE!$K$6:$K$10008,PURCHASE!$A$6:$A$10008,$AW$3,PURCHASE!$D$6:$D$10008,$C$5:$C$499)</f>
        <v>0</v>
      </c>
      <c r="AY39" s="11">
        <f>SUMIFS(PURCHASE!$L$6:$L$10008,PURCHASE!$A$6:$A$10008,$AW$3,PURCHASE!$D$6:$D$10008,$C$5:$C$499)</f>
        <v>0</v>
      </c>
      <c r="AZ39" s="11">
        <f>SUMIFS(PURCHASE!$M$6:$M$10008,PURCHASE!$A$6:$A$10008,$AW$3,PURCHASE!$D$6:$D$10008,$C$5:$C$499)</f>
        <v>0</v>
      </c>
      <c r="BA39" s="11">
        <f>SUMIFS(PURCHASE!$N$6:$N$10008,PURCHASE!$A$6:$A$10008,$AW$3,PURCHASE!$D$6:$D$10008,$C$5:$C$499)</f>
        <v>0</v>
      </c>
      <c r="BB39" s="11">
        <f t="shared" si="15"/>
        <v>0</v>
      </c>
      <c r="BC39" s="11">
        <f>SUMIFS(PURCHASE!$K$6:$K$10008,PURCHASE!$A$6:$A$10008,$BB$3,PURCHASE!$D$6:$D$10008,$C$5:$C$499)</f>
        <v>0</v>
      </c>
      <c r="BD39" s="11">
        <f>SUMIFS(PURCHASE!$L$6:$L$10008,PURCHASE!$A$6:$A$10008,$BB$3,PURCHASE!$D$6:$D$10008,$C$5:$C$499)</f>
        <v>0</v>
      </c>
      <c r="BE39" s="11">
        <f>SUMIFS(PURCHASE!$M$6:$M$10008,PURCHASE!$A$6:$A$10008,$BB$3,PURCHASE!$D$6:$D$10008,$C$5:$C$499)</f>
        <v>0</v>
      </c>
      <c r="BF39" s="11">
        <f>SUMIFS(PURCHASE!$N$6:$N$10008,PURCHASE!$A$6:$A$10008,$BB$3,PURCHASE!$D$6:$D$10008,$C$5:$C$499)</f>
        <v>0</v>
      </c>
      <c r="BG39" s="11">
        <f t="shared" si="16"/>
        <v>0</v>
      </c>
      <c r="BH39" s="11">
        <f>SUMIFS(PURCHASE!$K$6:$K$10008,PURCHASE!$A$6:$A$10008,$BG$3,PURCHASE!$D$6:$D$10008,$C$5:$C$499)</f>
        <v>0</v>
      </c>
      <c r="BI39" s="11">
        <f>SUMIFS(PURCHASE!$L$6:$L$10008,PURCHASE!$A$6:$A$10008,$BG$3,PURCHASE!$D$6:$D$10008,$C$5:$C$499)</f>
        <v>0</v>
      </c>
      <c r="BJ39" s="11">
        <f>SUMIFS(PURCHASE!$M$6:$M$10008,PURCHASE!$A$6:$A$10008,$BG$3,PURCHASE!$D$6:$D$10008,$C$5:$C$499)</f>
        <v>0</v>
      </c>
      <c r="BK39" s="11">
        <f>SUMIFS(PURCHASE!$N$6:$N$10008,PURCHASE!$A$6:$A$10008,$BG$3,PURCHASE!$D$6:$D$10008,$C$5:$C$499)</f>
        <v>0</v>
      </c>
      <c r="BL39" s="11">
        <f t="shared" si="4"/>
        <v>0</v>
      </c>
      <c r="BM39" s="11">
        <f t="shared" si="4"/>
        <v>0</v>
      </c>
      <c r="BN39" s="11">
        <f t="shared" si="4"/>
        <v>0</v>
      </c>
      <c r="BO39" s="11">
        <f t="shared" si="4"/>
        <v>0</v>
      </c>
      <c r="BP39" s="11">
        <f t="shared" si="4"/>
        <v>0</v>
      </c>
    </row>
    <row r="40" spans="1:68" x14ac:dyDescent="0.2">
      <c r="A40" s="467">
        <v>36</v>
      </c>
      <c r="B40" s="468" t="s">
        <v>1098</v>
      </c>
      <c r="C40" s="469" t="s">
        <v>1099</v>
      </c>
      <c r="D40" s="11">
        <f t="shared" si="5"/>
        <v>0</v>
      </c>
      <c r="E40" s="11">
        <f>SUMIFS(PURCHASE!$K$6:$K$10008,PURCHASE!$A$6:$A$10008,$D$3,PURCHASE!$D$6:$D$10008,$C$5:$C$499)</f>
        <v>0</v>
      </c>
      <c r="F40" s="11">
        <f>SUMIFS(PURCHASE!$L$6:$L$10008,PURCHASE!$A$6:$A$10008,$D$3,PURCHASE!$D$6:$D$10008,$C$5:$C$499)</f>
        <v>0</v>
      </c>
      <c r="G40" s="11">
        <f>SUMIFS(PURCHASE!$M$6:$M$10008,PURCHASE!$A$6:$A$10008,$D$3,PURCHASE!$D$6:$D$10008,$C$5:$C$499)</f>
        <v>0</v>
      </c>
      <c r="H40" s="11">
        <f>SUMIFS(PURCHASE!$N$6:$N$10008,PURCHASE!$A$6:$A$10008,$D$3,PURCHASE!$D$6:$D$10008,$C$5:$C$499)</f>
        <v>0</v>
      </c>
      <c r="I40" s="473">
        <f t="shared" si="6"/>
        <v>0</v>
      </c>
      <c r="J40" s="60">
        <f>SUMIFS(PURCHASE!$K$6:$K$10008,PURCHASE!$A$6:$A$10008,$I$3,PURCHASE!$D$6:$D$10008,$C$5:$C$499)</f>
        <v>0</v>
      </c>
      <c r="K40" s="60">
        <f>SUMIFS(PURCHASE!$L$6:$L$10008,PURCHASE!$A$6:$A$10008,$I$3,PURCHASE!$D$6:$D$10008,$C$5:$C$499)</f>
        <v>0</v>
      </c>
      <c r="L40" s="60">
        <f>SUMIFS(PURCHASE!$M$6:$M$10008,PURCHASE!$A$6:$A$10008,$I$3,PURCHASE!$D$6:$D$10008,$C$5:$C$499)</f>
        <v>0</v>
      </c>
      <c r="M40" s="474">
        <f>SUMIFS(PURCHASE!$N$6:$N$10008,PURCHASE!$A$6:$A$10008,$I$3,PURCHASE!$D$6:$D$10008,$C$5:$C$499)</f>
        <v>0</v>
      </c>
      <c r="N40" s="11">
        <f t="shared" si="7"/>
        <v>0</v>
      </c>
      <c r="O40" s="11">
        <f>SUMIFS(PURCHASE!$K$6:$K$10008,PURCHASE!$A$6:$A$10008,$N$3,PURCHASE!$D$6:$D$10008,$C$5:$C$499)</f>
        <v>0</v>
      </c>
      <c r="P40" s="11">
        <f>SUMIFS(PURCHASE!$L$6:$L$10008,PURCHASE!$A$6:$A$10008,$N$3,PURCHASE!$D$6:$D$10008,$C$5:$C$499)</f>
        <v>0</v>
      </c>
      <c r="Q40" s="11">
        <f>SUMIFS(PURCHASE!$M$6:$M$10008,PURCHASE!$A$6:$A$10008,$N$3,PURCHASE!$D$6:$D$10008,$C$5:$C$499)</f>
        <v>0</v>
      </c>
      <c r="R40" s="11">
        <f>SUMIFS(PURCHASE!$N$6:$N$10008,PURCHASE!$A$6:$A$10008,$N$3,PURCHASE!$D$6:$D$10008,$C$5:$C$499)</f>
        <v>0</v>
      </c>
      <c r="S40" s="11">
        <f t="shared" si="8"/>
        <v>0</v>
      </c>
      <c r="T40" s="11">
        <f>SUMIFS(PURCHASE!$K$6:$K$10008,PURCHASE!$A$6:$A$10008,$S$3,PURCHASE!$D$6:$D$10008,$C$5:$C$499)</f>
        <v>0</v>
      </c>
      <c r="U40" s="11">
        <f>SUMIFS(PURCHASE!$L$6:$L$10008,PURCHASE!$A$6:$A$10008,$S$3,PURCHASE!$D$6:$D$10008,$C$5:$C$499)</f>
        <v>0</v>
      </c>
      <c r="V40" s="11">
        <f>SUMIFS(PURCHASE!$M$6:$M$10008,PURCHASE!$A$6:$A$10008,$S$3,PURCHASE!$D$6:$D$10008,$C$5:$C$499)</f>
        <v>0</v>
      </c>
      <c r="W40" s="11">
        <f>SUMIFS(PURCHASE!$N$6:$N$10008,PURCHASE!$A$6:$A$10008,$S$3,PURCHASE!$D$6:$D$10008,$C$5:$C$499)</f>
        <v>0</v>
      </c>
      <c r="X40" s="11">
        <f t="shared" si="9"/>
        <v>0</v>
      </c>
      <c r="Y40" s="11">
        <f>SUMIFS(PURCHASE!$K$6:$K$10008,PURCHASE!$A$6:$A$10008,$X$3,PURCHASE!$D$6:$D$10008,$C$5:$C$499)</f>
        <v>0</v>
      </c>
      <c r="Z40" s="11">
        <f>SUMIFS(PURCHASE!$L$6:$L$10008,PURCHASE!$A$6:$A$10008,$X$3,PURCHASE!$D$6:$D$10008,$C$5:$C$499)</f>
        <v>0</v>
      </c>
      <c r="AA40" s="11">
        <f>SUMIFS(PURCHASE!$M$6:$M$10008,PURCHASE!$A$6:$A$10008,$X$3,PURCHASE!$D$6:$D$10008,$C$5:$C$499)</f>
        <v>0</v>
      </c>
      <c r="AB40" s="11">
        <f>SUMIFS(PURCHASE!$N$6:$N$10008,PURCHASE!$A$6:$A$10008,$X$3,PURCHASE!$D$6:$D$10008,$C$5:$C$499)</f>
        <v>0</v>
      </c>
      <c r="AC40" s="11">
        <f t="shared" si="10"/>
        <v>0</v>
      </c>
      <c r="AD40" s="11">
        <f>SUMIFS(PURCHASE!$K$6:$K$10008,PURCHASE!$A$6:$A$10008,$AC$3,PURCHASE!$D$6:$D$10008,$C$5:$C$499)</f>
        <v>0</v>
      </c>
      <c r="AE40" s="11">
        <f>SUMIFS(PURCHASE!$L$6:$L$10008,PURCHASE!$A$6:$A$10008,$AC$3,PURCHASE!$D$6:$D$10008,$C$5:$C$499)</f>
        <v>0</v>
      </c>
      <c r="AF40" s="11">
        <f>SUMIFS(PURCHASE!$M$6:$M$10008,PURCHASE!$A$6:$A$10008,$AC$3,PURCHASE!$D$6:$D$10008,$C$5:$C$499)</f>
        <v>0</v>
      </c>
      <c r="AG40" s="11">
        <f>SUMIFS(PURCHASE!$N$6:$N$10008,PURCHASE!$A$6:$A$10008,$AC$3,PURCHASE!$D$6:$D$10008,$C$5:$C$499)</f>
        <v>0</v>
      </c>
      <c r="AH40" s="11">
        <f t="shared" si="11"/>
        <v>0</v>
      </c>
      <c r="AI40" s="11">
        <f>SUMIFS(PURCHASE!$K$6:$K$10008,PURCHASE!$A$6:$A$10008,$AH$3,PURCHASE!$D$6:$D$10008,$C$5:$C$499)</f>
        <v>0</v>
      </c>
      <c r="AJ40" s="11">
        <f>SUMIFS(PURCHASE!$L$6:$L$10008,PURCHASE!$A$6:$A$10008,$AH$3,PURCHASE!$D$6:$D$10008,$C$5:$C$499)</f>
        <v>0</v>
      </c>
      <c r="AK40" s="11">
        <f>SUMIFS(PURCHASE!$M$6:$M$10008,PURCHASE!$A$6:$A$10008,$AH$3,PURCHASE!$D$6:$D$10008,$C$5:$C$499)</f>
        <v>0</v>
      </c>
      <c r="AL40" s="11">
        <f>SUMIFS(PURCHASE!$N$6:$N$10008,PURCHASE!$A$6:$A$10008,$AH$3,PURCHASE!$D$6:$D$10008,$C$5:$C$499)</f>
        <v>0</v>
      </c>
      <c r="AM40" s="11">
        <f t="shared" si="12"/>
        <v>0</v>
      </c>
      <c r="AN40" s="11">
        <f>SUMIFS(PURCHASE!$K$6:$K$10008,PURCHASE!$A$6:$A$10008,$AM$3,PURCHASE!$D$6:$D$10008,$C$5:$C$499)</f>
        <v>0</v>
      </c>
      <c r="AO40" s="11">
        <f>SUMIFS(PURCHASE!$L$6:$L$10008,PURCHASE!$A$6:$A$10008,$AM$3,PURCHASE!$D$6:$D$10008,$C$5:$C$499)</f>
        <v>0</v>
      </c>
      <c r="AP40" s="11">
        <f>SUMIFS(PURCHASE!$M$6:$M$10008,PURCHASE!$A$6:$A$10008,$AM$3,PURCHASE!$D$6:$D$10008,$C$5:$C$499)</f>
        <v>0</v>
      </c>
      <c r="AQ40" s="11">
        <f>SUMIFS(PURCHASE!$N$6:$N$10008,PURCHASE!$A$6:$A$10008,$AM$3,PURCHASE!$D$6:$D$10008,$C$5:$C$499)</f>
        <v>0</v>
      </c>
      <c r="AR40" s="11">
        <f t="shared" si="13"/>
        <v>0</v>
      </c>
      <c r="AS40" s="11">
        <f>SUMIFS(PURCHASE!$K$6:$K$10008,PURCHASE!$A$6:$A$10008,$AR$3,PURCHASE!$D$6:$D$10008,$C$5:$C$499)</f>
        <v>0</v>
      </c>
      <c r="AT40" s="11">
        <f>SUMIFS(PURCHASE!$L$6:$L$10008,PURCHASE!$A$6:$A$10008,$AR$3,PURCHASE!$D$6:$D$10008,$C$5:$C$499)</f>
        <v>0</v>
      </c>
      <c r="AU40" s="11">
        <f>SUMIFS(PURCHASE!$M$6:$M$10008,PURCHASE!$A$6:$A$10008,$AR$3,PURCHASE!$D$6:$D$10008,$C$5:$C$499)</f>
        <v>0</v>
      </c>
      <c r="AV40" s="11">
        <f>SUMIFS(PURCHASE!$N$6:$N$10008,PURCHASE!$A$6:$A$10008,$AR$3,PURCHASE!$D$6:$D$10008,$C$5:$C$499)</f>
        <v>0</v>
      </c>
      <c r="AW40" s="11">
        <f t="shared" si="14"/>
        <v>0</v>
      </c>
      <c r="AX40" s="11">
        <f>SUMIFS(PURCHASE!$K$6:$K$10008,PURCHASE!$A$6:$A$10008,$AW$3,PURCHASE!$D$6:$D$10008,$C$5:$C$499)</f>
        <v>0</v>
      </c>
      <c r="AY40" s="11">
        <f>SUMIFS(PURCHASE!$L$6:$L$10008,PURCHASE!$A$6:$A$10008,$AW$3,PURCHASE!$D$6:$D$10008,$C$5:$C$499)</f>
        <v>0</v>
      </c>
      <c r="AZ40" s="11">
        <f>SUMIFS(PURCHASE!$M$6:$M$10008,PURCHASE!$A$6:$A$10008,$AW$3,PURCHASE!$D$6:$D$10008,$C$5:$C$499)</f>
        <v>0</v>
      </c>
      <c r="BA40" s="11">
        <f>SUMIFS(PURCHASE!$N$6:$N$10008,PURCHASE!$A$6:$A$10008,$AW$3,PURCHASE!$D$6:$D$10008,$C$5:$C$499)</f>
        <v>0</v>
      </c>
      <c r="BB40" s="11">
        <f t="shared" si="15"/>
        <v>0</v>
      </c>
      <c r="BC40" s="11">
        <f>SUMIFS(PURCHASE!$K$6:$K$10008,PURCHASE!$A$6:$A$10008,$BB$3,PURCHASE!$D$6:$D$10008,$C$5:$C$499)</f>
        <v>0</v>
      </c>
      <c r="BD40" s="11">
        <f>SUMIFS(PURCHASE!$L$6:$L$10008,PURCHASE!$A$6:$A$10008,$BB$3,PURCHASE!$D$6:$D$10008,$C$5:$C$499)</f>
        <v>0</v>
      </c>
      <c r="BE40" s="11">
        <f>SUMIFS(PURCHASE!$M$6:$M$10008,PURCHASE!$A$6:$A$10008,$BB$3,PURCHASE!$D$6:$D$10008,$C$5:$C$499)</f>
        <v>0</v>
      </c>
      <c r="BF40" s="11">
        <f>SUMIFS(PURCHASE!$N$6:$N$10008,PURCHASE!$A$6:$A$10008,$BB$3,PURCHASE!$D$6:$D$10008,$C$5:$C$499)</f>
        <v>0</v>
      </c>
      <c r="BG40" s="11">
        <f t="shared" si="16"/>
        <v>0</v>
      </c>
      <c r="BH40" s="11">
        <f>SUMIFS(PURCHASE!$K$6:$K$10008,PURCHASE!$A$6:$A$10008,$BG$3,PURCHASE!$D$6:$D$10008,$C$5:$C$499)</f>
        <v>0</v>
      </c>
      <c r="BI40" s="11">
        <f>SUMIFS(PURCHASE!$L$6:$L$10008,PURCHASE!$A$6:$A$10008,$BG$3,PURCHASE!$D$6:$D$10008,$C$5:$C$499)</f>
        <v>0</v>
      </c>
      <c r="BJ40" s="11">
        <f>SUMIFS(PURCHASE!$M$6:$M$10008,PURCHASE!$A$6:$A$10008,$BG$3,PURCHASE!$D$6:$D$10008,$C$5:$C$499)</f>
        <v>0</v>
      </c>
      <c r="BK40" s="11">
        <f>SUMIFS(PURCHASE!$N$6:$N$10008,PURCHASE!$A$6:$A$10008,$BG$3,PURCHASE!$D$6:$D$10008,$C$5:$C$499)</f>
        <v>0</v>
      </c>
      <c r="BL40" s="11">
        <f t="shared" si="4"/>
        <v>0</v>
      </c>
      <c r="BM40" s="11">
        <f t="shared" si="4"/>
        <v>0</v>
      </c>
      <c r="BN40" s="11">
        <f t="shared" si="4"/>
        <v>0</v>
      </c>
      <c r="BO40" s="11">
        <f t="shared" si="4"/>
        <v>0</v>
      </c>
      <c r="BP40" s="11">
        <f t="shared" si="4"/>
        <v>0</v>
      </c>
    </row>
    <row r="41" spans="1:68" x14ac:dyDescent="0.2">
      <c r="A41" s="467">
        <v>37</v>
      </c>
      <c r="B41" s="468" t="s">
        <v>538</v>
      </c>
      <c r="C41" s="469" t="s">
        <v>539</v>
      </c>
      <c r="D41" s="11">
        <f t="shared" si="5"/>
        <v>114286.54000000001</v>
      </c>
      <c r="E41" s="11">
        <f>SUMIFS(PURCHASE!$K$6:$K$10008,PURCHASE!$A$6:$A$10008,$D$3,PURCHASE!$D$6:$D$10008,$C$5:$C$499)</f>
        <v>96853</v>
      </c>
      <c r="F41" s="11">
        <f>SUMIFS(PURCHASE!$L$6:$L$10008,PURCHASE!$A$6:$A$10008,$D$3,PURCHASE!$D$6:$D$10008,$C$5:$C$499)</f>
        <v>0</v>
      </c>
      <c r="G41" s="11">
        <f>SUMIFS(PURCHASE!$M$6:$M$10008,PURCHASE!$A$6:$A$10008,$D$3,PURCHASE!$D$6:$D$10008,$C$5:$C$499)</f>
        <v>8716.7699999999986</v>
      </c>
      <c r="H41" s="11">
        <f>SUMIFS(PURCHASE!$N$6:$N$10008,PURCHASE!$A$6:$A$10008,$D$3,PURCHASE!$D$6:$D$10008,$C$5:$C$499)</f>
        <v>8716.7699999999986</v>
      </c>
      <c r="I41" s="473">
        <f t="shared" si="6"/>
        <v>20537.900000000001</v>
      </c>
      <c r="J41" s="60">
        <f>SUMIFS(PURCHASE!$K$6:$K$10008,PURCHASE!$A$6:$A$10008,$I$3,PURCHASE!$D$6:$D$10008,$C$5:$C$499)</f>
        <v>17405</v>
      </c>
      <c r="K41" s="60">
        <f>SUMIFS(PURCHASE!$L$6:$L$10008,PURCHASE!$A$6:$A$10008,$I$3,PURCHASE!$D$6:$D$10008,$C$5:$C$499)</f>
        <v>0</v>
      </c>
      <c r="L41" s="60">
        <f>SUMIFS(PURCHASE!$M$6:$M$10008,PURCHASE!$A$6:$A$10008,$I$3,PURCHASE!$D$6:$D$10008,$C$5:$C$499)</f>
        <v>1566.45</v>
      </c>
      <c r="M41" s="474">
        <f>SUMIFS(PURCHASE!$N$6:$N$10008,PURCHASE!$A$6:$A$10008,$I$3,PURCHASE!$D$6:$D$10008,$C$5:$C$499)</f>
        <v>1566.45</v>
      </c>
      <c r="N41" s="11">
        <f t="shared" si="7"/>
        <v>0</v>
      </c>
      <c r="O41" s="11">
        <f>SUMIFS(PURCHASE!$K$6:$K$10008,PURCHASE!$A$6:$A$10008,$N$3,PURCHASE!$D$6:$D$10008,$C$5:$C$499)</f>
        <v>0</v>
      </c>
      <c r="P41" s="11">
        <f>SUMIFS(PURCHASE!$L$6:$L$10008,PURCHASE!$A$6:$A$10008,$N$3,PURCHASE!$D$6:$D$10008,$C$5:$C$499)</f>
        <v>0</v>
      </c>
      <c r="Q41" s="11">
        <f>SUMIFS(PURCHASE!$M$6:$M$10008,PURCHASE!$A$6:$A$10008,$N$3,PURCHASE!$D$6:$D$10008,$C$5:$C$499)</f>
        <v>0</v>
      </c>
      <c r="R41" s="11">
        <f>SUMIFS(PURCHASE!$N$6:$N$10008,PURCHASE!$A$6:$A$10008,$N$3,PURCHASE!$D$6:$D$10008,$C$5:$C$499)</f>
        <v>0</v>
      </c>
      <c r="S41" s="11">
        <f t="shared" si="8"/>
        <v>0</v>
      </c>
      <c r="T41" s="11">
        <f>SUMIFS(PURCHASE!$K$6:$K$10008,PURCHASE!$A$6:$A$10008,$S$3,PURCHASE!$D$6:$D$10008,$C$5:$C$499)</f>
        <v>0</v>
      </c>
      <c r="U41" s="11">
        <f>SUMIFS(PURCHASE!$L$6:$L$10008,PURCHASE!$A$6:$A$10008,$S$3,PURCHASE!$D$6:$D$10008,$C$5:$C$499)</f>
        <v>0</v>
      </c>
      <c r="V41" s="11">
        <f>SUMIFS(PURCHASE!$M$6:$M$10008,PURCHASE!$A$6:$A$10008,$S$3,PURCHASE!$D$6:$D$10008,$C$5:$C$499)</f>
        <v>0</v>
      </c>
      <c r="W41" s="11">
        <f>SUMIFS(PURCHASE!$N$6:$N$10008,PURCHASE!$A$6:$A$10008,$S$3,PURCHASE!$D$6:$D$10008,$C$5:$C$499)</f>
        <v>0</v>
      </c>
      <c r="X41" s="11">
        <f t="shared" si="9"/>
        <v>0</v>
      </c>
      <c r="Y41" s="11">
        <f>SUMIFS(PURCHASE!$K$6:$K$10008,PURCHASE!$A$6:$A$10008,$X$3,PURCHASE!$D$6:$D$10008,$C$5:$C$499)</f>
        <v>0</v>
      </c>
      <c r="Z41" s="11">
        <f>SUMIFS(PURCHASE!$L$6:$L$10008,PURCHASE!$A$6:$A$10008,$X$3,PURCHASE!$D$6:$D$10008,$C$5:$C$499)</f>
        <v>0</v>
      </c>
      <c r="AA41" s="11">
        <f>SUMIFS(PURCHASE!$M$6:$M$10008,PURCHASE!$A$6:$A$10008,$X$3,PURCHASE!$D$6:$D$10008,$C$5:$C$499)</f>
        <v>0</v>
      </c>
      <c r="AB41" s="11">
        <f>SUMIFS(PURCHASE!$N$6:$N$10008,PURCHASE!$A$6:$A$10008,$X$3,PURCHASE!$D$6:$D$10008,$C$5:$C$499)</f>
        <v>0</v>
      </c>
      <c r="AC41" s="11">
        <f t="shared" si="10"/>
        <v>0</v>
      </c>
      <c r="AD41" s="11">
        <f>SUMIFS(PURCHASE!$K$6:$K$10008,PURCHASE!$A$6:$A$10008,$AC$3,PURCHASE!$D$6:$D$10008,$C$5:$C$499)</f>
        <v>0</v>
      </c>
      <c r="AE41" s="11">
        <f>SUMIFS(PURCHASE!$L$6:$L$10008,PURCHASE!$A$6:$A$10008,$AC$3,PURCHASE!$D$6:$D$10008,$C$5:$C$499)</f>
        <v>0</v>
      </c>
      <c r="AF41" s="11">
        <f>SUMIFS(PURCHASE!$M$6:$M$10008,PURCHASE!$A$6:$A$10008,$AC$3,PURCHASE!$D$6:$D$10008,$C$5:$C$499)</f>
        <v>0</v>
      </c>
      <c r="AG41" s="11">
        <f>SUMIFS(PURCHASE!$N$6:$N$10008,PURCHASE!$A$6:$A$10008,$AC$3,PURCHASE!$D$6:$D$10008,$C$5:$C$499)</f>
        <v>0</v>
      </c>
      <c r="AH41" s="11">
        <f t="shared" si="11"/>
        <v>0</v>
      </c>
      <c r="AI41" s="11">
        <f>SUMIFS(PURCHASE!$K$6:$K$10008,PURCHASE!$A$6:$A$10008,$AH$3,PURCHASE!$D$6:$D$10008,$C$5:$C$499)</f>
        <v>0</v>
      </c>
      <c r="AJ41" s="11">
        <f>SUMIFS(PURCHASE!$L$6:$L$10008,PURCHASE!$A$6:$A$10008,$AH$3,PURCHASE!$D$6:$D$10008,$C$5:$C$499)</f>
        <v>0</v>
      </c>
      <c r="AK41" s="11">
        <f>SUMIFS(PURCHASE!$M$6:$M$10008,PURCHASE!$A$6:$A$10008,$AH$3,PURCHASE!$D$6:$D$10008,$C$5:$C$499)</f>
        <v>0</v>
      </c>
      <c r="AL41" s="11">
        <f>SUMIFS(PURCHASE!$N$6:$N$10008,PURCHASE!$A$6:$A$10008,$AH$3,PURCHASE!$D$6:$D$10008,$C$5:$C$499)</f>
        <v>0</v>
      </c>
      <c r="AM41" s="11">
        <f t="shared" si="12"/>
        <v>0</v>
      </c>
      <c r="AN41" s="11">
        <f>SUMIFS(PURCHASE!$K$6:$K$10008,PURCHASE!$A$6:$A$10008,$AM$3,PURCHASE!$D$6:$D$10008,$C$5:$C$499)</f>
        <v>0</v>
      </c>
      <c r="AO41" s="11">
        <f>SUMIFS(PURCHASE!$L$6:$L$10008,PURCHASE!$A$6:$A$10008,$AM$3,PURCHASE!$D$6:$D$10008,$C$5:$C$499)</f>
        <v>0</v>
      </c>
      <c r="AP41" s="11">
        <f>SUMIFS(PURCHASE!$M$6:$M$10008,PURCHASE!$A$6:$A$10008,$AM$3,PURCHASE!$D$6:$D$10008,$C$5:$C$499)</f>
        <v>0</v>
      </c>
      <c r="AQ41" s="11">
        <f>SUMIFS(PURCHASE!$N$6:$N$10008,PURCHASE!$A$6:$A$10008,$AM$3,PURCHASE!$D$6:$D$10008,$C$5:$C$499)</f>
        <v>0</v>
      </c>
      <c r="AR41" s="11">
        <f t="shared" si="13"/>
        <v>0</v>
      </c>
      <c r="AS41" s="11">
        <f>SUMIFS(PURCHASE!$K$6:$K$10008,PURCHASE!$A$6:$A$10008,$AR$3,PURCHASE!$D$6:$D$10008,$C$5:$C$499)</f>
        <v>0</v>
      </c>
      <c r="AT41" s="11">
        <f>SUMIFS(PURCHASE!$L$6:$L$10008,PURCHASE!$A$6:$A$10008,$AR$3,PURCHASE!$D$6:$D$10008,$C$5:$C$499)</f>
        <v>0</v>
      </c>
      <c r="AU41" s="11">
        <f>SUMIFS(PURCHASE!$M$6:$M$10008,PURCHASE!$A$6:$A$10008,$AR$3,PURCHASE!$D$6:$D$10008,$C$5:$C$499)</f>
        <v>0</v>
      </c>
      <c r="AV41" s="11">
        <f>SUMIFS(PURCHASE!$N$6:$N$10008,PURCHASE!$A$6:$A$10008,$AR$3,PURCHASE!$D$6:$D$10008,$C$5:$C$499)</f>
        <v>0</v>
      </c>
      <c r="AW41" s="11">
        <f t="shared" si="14"/>
        <v>0</v>
      </c>
      <c r="AX41" s="11">
        <f>SUMIFS(PURCHASE!$K$6:$K$10008,PURCHASE!$A$6:$A$10008,$AW$3,PURCHASE!$D$6:$D$10008,$C$5:$C$499)</f>
        <v>0</v>
      </c>
      <c r="AY41" s="11">
        <f>SUMIFS(PURCHASE!$L$6:$L$10008,PURCHASE!$A$6:$A$10008,$AW$3,PURCHASE!$D$6:$D$10008,$C$5:$C$499)</f>
        <v>0</v>
      </c>
      <c r="AZ41" s="11">
        <f>SUMIFS(PURCHASE!$M$6:$M$10008,PURCHASE!$A$6:$A$10008,$AW$3,PURCHASE!$D$6:$D$10008,$C$5:$C$499)</f>
        <v>0</v>
      </c>
      <c r="BA41" s="11">
        <f>SUMIFS(PURCHASE!$N$6:$N$10008,PURCHASE!$A$6:$A$10008,$AW$3,PURCHASE!$D$6:$D$10008,$C$5:$C$499)</f>
        <v>0</v>
      </c>
      <c r="BB41" s="11">
        <f t="shared" si="15"/>
        <v>0</v>
      </c>
      <c r="BC41" s="11">
        <f>SUMIFS(PURCHASE!$K$6:$K$10008,PURCHASE!$A$6:$A$10008,$BB$3,PURCHASE!$D$6:$D$10008,$C$5:$C$499)</f>
        <v>0</v>
      </c>
      <c r="BD41" s="11">
        <f>SUMIFS(PURCHASE!$L$6:$L$10008,PURCHASE!$A$6:$A$10008,$BB$3,PURCHASE!$D$6:$D$10008,$C$5:$C$499)</f>
        <v>0</v>
      </c>
      <c r="BE41" s="11">
        <f>SUMIFS(PURCHASE!$M$6:$M$10008,PURCHASE!$A$6:$A$10008,$BB$3,PURCHASE!$D$6:$D$10008,$C$5:$C$499)</f>
        <v>0</v>
      </c>
      <c r="BF41" s="11">
        <f>SUMIFS(PURCHASE!$N$6:$N$10008,PURCHASE!$A$6:$A$10008,$BB$3,PURCHASE!$D$6:$D$10008,$C$5:$C$499)</f>
        <v>0</v>
      </c>
      <c r="BG41" s="11">
        <f t="shared" si="16"/>
        <v>0</v>
      </c>
      <c r="BH41" s="11">
        <f>SUMIFS(PURCHASE!$K$6:$K$10008,PURCHASE!$A$6:$A$10008,$BG$3,PURCHASE!$D$6:$D$10008,$C$5:$C$499)</f>
        <v>0</v>
      </c>
      <c r="BI41" s="11">
        <f>SUMIFS(PURCHASE!$L$6:$L$10008,PURCHASE!$A$6:$A$10008,$BG$3,PURCHASE!$D$6:$D$10008,$C$5:$C$499)</f>
        <v>0</v>
      </c>
      <c r="BJ41" s="11">
        <f>SUMIFS(PURCHASE!$M$6:$M$10008,PURCHASE!$A$6:$A$10008,$BG$3,PURCHASE!$D$6:$D$10008,$C$5:$C$499)</f>
        <v>0</v>
      </c>
      <c r="BK41" s="11">
        <f>SUMIFS(PURCHASE!$N$6:$N$10008,PURCHASE!$A$6:$A$10008,$BG$3,PURCHASE!$D$6:$D$10008,$C$5:$C$499)</f>
        <v>0</v>
      </c>
      <c r="BL41" s="11">
        <f t="shared" si="4"/>
        <v>134824.44</v>
      </c>
      <c r="BM41" s="11">
        <f t="shared" si="4"/>
        <v>114258</v>
      </c>
      <c r="BN41" s="11">
        <f t="shared" si="4"/>
        <v>0</v>
      </c>
      <c r="BO41" s="11">
        <f t="shared" si="4"/>
        <v>10283.219999999999</v>
      </c>
      <c r="BP41" s="11">
        <f t="shared" si="4"/>
        <v>10283.219999999999</v>
      </c>
    </row>
    <row r="42" spans="1:68" x14ac:dyDescent="0.2">
      <c r="A42" s="467">
        <v>38</v>
      </c>
      <c r="B42" s="468" t="s">
        <v>1100</v>
      </c>
      <c r="C42" s="469" t="s">
        <v>1101</v>
      </c>
      <c r="D42" s="11">
        <f t="shared" si="5"/>
        <v>0</v>
      </c>
      <c r="E42" s="11">
        <f>SUMIFS(PURCHASE!$K$6:$K$10008,PURCHASE!$A$6:$A$10008,$D$3,PURCHASE!$D$6:$D$10008,$C$5:$C$499)</f>
        <v>0</v>
      </c>
      <c r="F42" s="11">
        <f>SUMIFS(PURCHASE!$L$6:$L$10008,PURCHASE!$A$6:$A$10008,$D$3,PURCHASE!$D$6:$D$10008,$C$5:$C$499)</f>
        <v>0</v>
      </c>
      <c r="G42" s="11">
        <f>SUMIFS(PURCHASE!$M$6:$M$10008,PURCHASE!$A$6:$A$10008,$D$3,PURCHASE!$D$6:$D$10008,$C$5:$C$499)</f>
        <v>0</v>
      </c>
      <c r="H42" s="11">
        <f>SUMIFS(PURCHASE!$N$6:$N$10008,PURCHASE!$A$6:$A$10008,$D$3,PURCHASE!$D$6:$D$10008,$C$5:$C$499)</f>
        <v>0</v>
      </c>
      <c r="I42" s="473">
        <f t="shared" si="6"/>
        <v>0</v>
      </c>
      <c r="J42" s="60">
        <f>SUMIFS(PURCHASE!$K$6:$K$10008,PURCHASE!$A$6:$A$10008,$I$3,PURCHASE!$D$6:$D$10008,$C$5:$C$499)</f>
        <v>0</v>
      </c>
      <c r="K42" s="60">
        <f>SUMIFS(PURCHASE!$L$6:$L$10008,PURCHASE!$A$6:$A$10008,$I$3,PURCHASE!$D$6:$D$10008,$C$5:$C$499)</f>
        <v>0</v>
      </c>
      <c r="L42" s="60">
        <f>SUMIFS(PURCHASE!$M$6:$M$10008,PURCHASE!$A$6:$A$10008,$I$3,PURCHASE!$D$6:$D$10008,$C$5:$C$499)</f>
        <v>0</v>
      </c>
      <c r="M42" s="474">
        <f>SUMIFS(PURCHASE!$N$6:$N$10008,PURCHASE!$A$6:$A$10008,$I$3,PURCHASE!$D$6:$D$10008,$C$5:$C$499)</f>
        <v>0</v>
      </c>
      <c r="N42" s="11">
        <f t="shared" si="7"/>
        <v>0</v>
      </c>
      <c r="O42" s="11">
        <f>SUMIFS(PURCHASE!$K$6:$K$10008,PURCHASE!$A$6:$A$10008,$N$3,PURCHASE!$D$6:$D$10008,$C$5:$C$499)</f>
        <v>0</v>
      </c>
      <c r="P42" s="11">
        <f>SUMIFS(PURCHASE!$L$6:$L$10008,PURCHASE!$A$6:$A$10008,$N$3,PURCHASE!$D$6:$D$10008,$C$5:$C$499)</f>
        <v>0</v>
      </c>
      <c r="Q42" s="11">
        <f>SUMIFS(PURCHASE!$M$6:$M$10008,PURCHASE!$A$6:$A$10008,$N$3,PURCHASE!$D$6:$D$10008,$C$5:$C$499)</f>
        <v>0</v>
      </c>
      <c r="R42" s="11">
        <f>SUMIFS(PURCHASE!$N$6:$N$10008,PURCHASE!$A$6:$A$10008,$N$3,PURCHASE!$D$6:$D$10008,$C$5:$C$499)</f>
        <v>0</v>
      </c>
      <c r="S42" s="11">
        <f t="shared" si="8"/>
        <v>0</v>
      </c>
      <c r="T42" s="11">
        <f>SUMIFS(PURCHASE!$K$6:$K$10008,PURCHASE!$A$6:$A$10008,$S$3,PURCHASE!$D$6:$D$10008,$C$5:$C$499)</f>
        <v>0</v>
      </c>
      <c r="U42" s="11">
        <f>SUMIFS(PURCHASE!$L$6:$L$10008,PURCHASE!$A$6:$A$10008,$S$3,PURCHASE!$D$6:$D$10008,$C$5:$C$499)</f>
        <v>0</v>
      </c>
      <c r="V42" s="11">
        <f>SUMIFS(PURCHASE!$M$6:$M$10008,PURCHASE!$A$6:$A$10008,$S$3,PURCHASE!$D$6:$D$10008,$C$5:$C$499)</f>
        <v>0</v>
      </c>
      <c r="W42" s="11">
        <f>SUMIFS(PURCHASE!$N$6:$N$10008,PURCHASE!$A$6:$A$10008,$S$3,PURCHASE!$D$6:$D$10008,$C$5:$C$499)</f>
        <v>0</v>
      </c>
      <c r="X42" s="11">
        <f t="shared" si="9"/>
        <v>0</v>
      </c>
      <c r="Y42" s="11">
        <f>SUMIFS(PURCHASE!$K$6:$K$10008,PURCHASE!$A$6:$A$10008,$X$3,PURCHASE!$D$6:$D$10008,$C$5:$C$499)</f>
        <v>0</v>
      </c>
      <c r="Z42" s="11">
        <f>SUMIFS(PURCHASE!$L$6:$L$10008,PURCHASE!$A$6:$A$10008,$X$3,PURCHASE!$D$6:$D$10008,$C$5:$C$499)</f>
        <v>0</v>
      </c>
      <c r="AA42" s="11">
        <f>SUMIFS(PURCHASE!$M$6:$M$10008,PURCHASE!$A$6:$A$10008,$X$3,PURCHASE!$D$6:$D$10008,$C$5:$C$499)</f>
        <v>0</v>
      </c>
      <c r="AB42" s="11">
        <f>SUMIFS(PURCHASE!$N$6:$N$10008,PURCHASE!$A$6:$A$10008,$X$3,PURCHASE!$D$6:$D$10008,$C$5:$C$499)</f>
        <v>0</v>
      </c>
      <c r="AC42" s="11">
        <f t="shared" si="10"/>
        <v>0</v>
      </c>
      <c r="AD42" s="11">
        <f>SUMIFS(PURCHASE!$K$6:$K$10008,PURCHASE!$A$6:$A$10008,$AC$3,PURCHASE!$D$6:$D$10008,$C$5:$C$499)</f>
        <v>0</v>
      </c>
      <c r="AE42" s="11">
        <f>SUMIFS(PURCHASE!$L$6:$L$10008,PURCHASE!$A$6:$A$10008,$AC$3,PURCHASE!$D$6:$D$10008,$C$5:$C$499)</f>
        <v>0</v>
      </c>
      <c r="AF42" s="11">
        <f>SUMIFS(PURCHASE!$M$6:$M$10008,PURCHASE!$A$6:$A$10008,$AC$3,PURCHASE!$D$6:$D$10008,$C$5:$C$499)</f>
        <v>0</v>
      </c>
      <c r="AG42" s="11">
        <f>SUMIFS(PURCHASE!$N$6:$N$10008,PURCHASE!$A$6:$A$10008,$AC$3,PURCHASE!$D$6:$D$10008,$C$5:$C$499)</f>
        <v>0</v>
      </c>
      <c r="AH42" s="11">
        <f t="shared" si="11"/>
        <v>0</v>
      </c>
      <c r="AI42" s="11">
        <f>SUMIFS(PURCHASE!$K$6:$K$10008,PURCHASE!$A$6:$A$10008,$AH$3,PURCHASE!$D$6:$D$10008,$C$5:$C$499)</f>
        <v>0</v>
      </c>
      <c r="AJ42" s="11">
        <f>SUMIFS(PURCHASE!$L$6:$L$10008,PURCHASE!$A$6:$A$10008,$AH$3,PURCHASE!$D$6:$D$10008,$C$5:$C$499)</f>
        <v>0</v>
      </c>
      <c r="AK42" s="11">
        <f>SUMIFS(PURCHASE!$M$6:$M$10008,PURCHASE!$A$6:$A$10008,$AH$3,PURCHASE!$D$6:$D$10008,$C$5:$C$499)</f>
        <v>0</v>
      </c>
      <c r="AL42" s="11">
        <f>SUMIFS(PURCHASE!$N$6:$N$10008,PURCHASE!$A$6:$A$10008,$AH$3,PURCHASE!$D$6:$D$10008,$C$5:$C$499)</f>
        <v>0</v>
      </c>
      <c r="AM42" s="11">
        <f t="shared" si="12"/>
        <v>0</v>
      </c>
      <c r="AN42" s="11">
        <f>SUMIFS(PURCHASE!$K$6:$K$10008,PURCHASE!$A$6:$A$10008,$AM$3,PURCHASE!$D$6:$D$10008,$C$5:$C$499)</f>
        <v>0</v>
      </c>
      <c r="AO42" s="11">
        <f>SUMIFS(PURCHASE!$L$6:$L$10008,PURCHASE!$A$6:$A$10008,$AM$3,PURCHASE!$D$6:$D$10008,$C$5:$C$499)</f>
        <v>0</v>
      </c>
      <c r="AP42" s="11">
        <f>SUMIFS(PURCHASE!$M$6:$M$10008,PURCHASE!$A$6:$A$10008,$AM$3,PURCHASE!$D$6:$D$10008,$C$5:$C$499)</f>
        <v>0</v>
      </c>
      <c r="AQ42" s="11">
        <f>SUMIFS(PURCHASE!$N$6:$N$10008,PURCHASE!$A$6:$A$10008,$AM$3,PURCHASE!$D$6:$D$10008,$C$5:$C$499)</f>
        <v>0</v>
      </c>
      <c r="AR42" s="11">
        <f t="shared" si="13"/>
        <v>0</v>
      </c>
      <c r="AS42" s="11">
        <f>SUMIFS(PURCHASE!$K$6:$K$10008,PURCHASE!$A$6:$A$10008,$AR$3,PURCHASE!$D$6:$D$10008,$C$5:$C$499)</f>
        <v>0</v>
      </c>
      <c r="AT42" s="11">
        <f>SUMIFS(PURCHASE!$L$6:$L$10008,PURCHASE!$A$6:$A$10008,$AR$3,PURCHASE!$D$6:$D$10008,$C$5:$C$499)</f>
        <v>0</v>
      </c>
      <c r="AU42" s="11">
        <f>SUMIFS(PURCHASE!$M$6:$M$10008,PURCHASE!$A$6:$A$10008,$AR$3,PURCHASE!$D$6:$D$10008,$C$5:$C$499)</f>
        <v>0</v>
      </c>
      <c r="AV42" s="11">
        <f>SUMIFS(PURCHASE!$N$6:$N$10008,PURCHASE!$A$6:$A$10008,$AR$3,PURCHASE!$D$6:$D$10008,$C$5:$C$499)</f>
        <v>0</v>
      </c>
      <c r="AW42" s="11">
        <f t="shared" si="14"/>
        <v>0</v>
      </c>
      <c r="AX42" s="11">
        <f>SUMIFS(PURCHASE!$K$6:$K$10008,PURCHASE!$A$6:$A$10008,$AW$3,PURCHASE!$D$6:$D$10008,$C$5:$C$499)</f>
        <v>0</v>
      </c>
      <c r="AY42" s="11">
        <f>SUMIFS(PURCHASE!$L$6:$L$10008,PURCHASE!$A$6:$A$10008,$AW$3,PURCHASE!$D$6:$D$10008,$C$5:$C$499)</f>
        <v>0</v>
      </c>
      <c r="AZ42" s="11">
        <f>SUMIFS(PURCHASE!$M$6:$M$10008,PURCHASE!$A$6:$A$10008,$AW$3,PURCHASE!$D$6:$D$10008,$C$5:$C$499)</f>
        <v>0</v>
      </c>
      <c r="BA42" s="11">
        <f>SUMIFS(PURCHASE!$N$6:$N$10008,PURCHASE!$A$6:$A$10008,$AW$3,PURCHASE!$D$6:$D$10008,$C$5:$C$499)</f>
        <v>0</v>
      </c>
      <c r="BB42" s="11">
        <f t="shared" si="15"/>
        <v>0</v>
      </c>
      <c r="BC42" s="11">
        <f>SUMIFS(PURCHASE!$K$6:$K$10008,PURCHASE!$A$6:$A$10008,$BB$3,PURCHASE!$D$6:$D$10008,$C$5:$C$499)</f>
        <v>0</v>
      </c>
      <c r="BD42" s="11">
        <f>SUMIFS(PURCHASE!$L$6:$L$10008,PURCHASE!$A$6:$A$10008,$BB$3,PURCHASE!$D$6:$D$10008,$C$5:$C$499)</f>
        <v>0</v>
      </c>
      <c r="BE42" s="11">
        <f>SUMIFS(PURCHASE!$M$6:$M$10008,PURCHASE!$A$6:$A$10008,$BB$3,PURCHASE!$D$6:$D$10008,$C$5:$C$499)</f>
        <v>0</v>
      </c>
      <c r="BF42" s="11">
        <f>SUMIFS(PURCHASE!$N$6:$N$10008,PURCHASE!$A$6:$A$10008,$BB$3,PURCHASE!$D$6:$D$10008,$C$5:$C$499)</f>
        <v>0</v>
      </c>
      <c r="BG42" s="11">
        <f t="shared" si="16"/>
        <v>0</v>
      </c>
      <c r="BH42" s="11">
        <f>SUMIFS(PURCHASE!$K$6:$K$10008,PURCHASE!$A$6:$A$10008,$BG$3,PURCHASE!$D$6:$D$10008,$C$5:$C$499)</f>
        <v>0</v>
      </c>
      <c r="BI42" s="11">
        <f>SUMIFS(PURCHASE!$L$6:$L$10008,PURCHASE!$A$6:$A$10008,$BG$3,PURCHASE!$D$6:$D$10008,$C$5:$C$499)</f>
        <v>0</v>
      </c>
      <c r="BJ42" s="11">
        <f>SUMIFS(PURCHASE!$M$6:$M$10008,PURCHASE!$A$6:$A$10008,$BG$3,PURCHASE!$D$6:$D$10008,$C$5:$C$499)</f>
        <v>0</v>
      </c>
      <c r="BK42" s="11">
        <f>SUMIFS(PURCHASE!$N$6:$N$10008,PURCHASE!$A$6:$A$10008,$BG$3,PURCHASE!$D$6:$D$10008,$C$5:$C$499)</f>
        <v>0</v>
      </c>
      <c r="BL42" s="11">
        <f t="shared" si="4"/>
        <v>0</v>
      </c>
      <c r="BM42" s="11">
        <f t="shared" si="4"/>
        <v>0</v>
      </c>
      <c r="BN42" s="11">
        <f t="shared" si="4"/>
        <v>0</v>
      </c>
      <c r="BO42" s="11">
        <f t="shared" si="4"/>
        <v>0</v>
      </c>
      <c r="BP42" s="11">
        <f t="shared" si="4"/>
        <v>0</v>
      </c>
    </row>
    <row r="43" spans="1:68" x14ac:dyDescent="0.2">
      <c r="A43" s="467">
        <v>39</v>
      </c>
      <c r="B43" s="468" t="s">
        <v>1102</v>
      </c>
      <c r="C43" s="468" t="s">
        <v>1103</v>
      </c>
      <c r="D43" s="11">
        <f t="shared" si="5"/>
        <v>0</v>
      </c>
      <c r="E43" s="11">
        <f>SUMIFS(PURCHASE!$K$6:$K$10008,PURCHASE!$A$6:$A$10008,$D$3,PURCHASE!$D$6:$D$10008,$C$5:$C$499)</f>
        <v>0</v>
      </c>
      <c r="F43" s="11">
        <f>SUMIFS(PURCHASE!$L$6:$L$10008,PURCHASE!$A$6:$A$10008,$D$3,PURCHASE!$D$6:$D$10008,$C$5:$C$499)</f>
        <v>0</v>
      </c>
      <c r="G43" s="11">
        <f>SUMIFS(PURCHASE!$M$6:$M$10008,PURCHASE!$A$6:$A$10008,$D$3,PURCHASE!$D$6:$D$10008,$C$5:$C$499)</f>
        <v>0</v>
      </c>
      <c r="H43" s="11">
        <f>SUMIFS(PURCHASE!$N$6:$N$10008,PURCHASE!$A$6:$A$10008,$D$3,PURCHASE!$D$6:$D$10008,$C$5:$C$499)</f>
        <v>0</v>
      </c>
      <c r="I43" s="473">
        <f t="shared" si="6"/>
        <v>0</v>
      </c>
      <c r="J43" s="60">
        <f>SUMIFS(PURCHASE!$K$6:$K$10008,PURCHASE!$A$6:$A$10008,$I$3,PURCHASE!$D$6:$D$10008,$C$5:$C$499)</f>
        <v>0</v>
      </c>
      <c r="K43" s="60">
        <f>SUMIFS(PURCHASE!$L$6:$L$10008,PURCHASE!$A$6:$A$10008,$I$3,PURCHASE!$D$6:$D$10008,$C$5:$C$499)</f>
        <v>0</v>
      </c>
      <c r="L43" s="60">
        <f>SUMIFS(PURCHASE!$M$6:$M$10008,PURCHASE!$A$6:$A$10008,$I$3,PURCHASE!$D$6:$D$10008,$C$5:$C$499)</f>
        <v>0</v>
      </c>
      <c r="M43" s="474">
        <f>SUMIFS(PURCHASE!$N$6:$N$10008,PURCHASE!$A$6:$A$10008,$I$3,PURCHASE!$D$6:$D$10008,$C$5:$C$499)</f>
        <v>0</v>
      </c>
      <c r="N43" s="11">
        <f t="shared" si="7"/>
        <v>0</v>
      </c>
      <c r="O43" s="11">
        <f>SUMIFS(PURCHASE!$K$6:$K$10008,PURCHASE!$A$6:$A$10008,$N$3,PURCHASE!$D$6:$D$10008,$C$5:$C$499)</f>
        <v>0</v>
      </c>
      <c r="P43" s="11">
        <f>SUMIFS(PURCHASE!$L$6:$L$10008,PURCHASE!$A$6:$A$10008,$N$3,PURCHASE!$D$6:$D$10008,$C$5:$C$499)</f>
        <v>0</v>
      </c>
      <c r="Q43" s="11">
        <f>SUMIFS(PURCHASE!$M$6:$M$10008,PURCHASE!$A$6:$A$10008,$N$3,PURCHASE!$D$6:$D$10008,$C$5:$C$499)</f>
        <v>0</v>
      </c>
      <c r="R43" s="11">
        <f>SUMIFS(PURCHASE!$N$6:$N$10008,PURCHASE!$A$6:$A$10008,$N$3,PURCHASE!$D$6:$D$10008,$C$5:$C$499)</f>
        <v>0</v>
      </c>
      <c r="S43" s="11">
        <f t="shared" si="8"/>
        <v>0</v>
      </c>
      <c r="T43" s="11">
        <f>SUMIFS(PURCHASE!$K$6:$K$10008,PURCHASE!$A$6:$A$10008,$S$3,PURCHASE!$D$6:$D$10008,$C$5:$C$499)</f>
        <v>0</v>
      </c>
      <c r="U43" s="11">
        <f>SUMIFS(PURCHASE!$L$6:$L$10008,PURCHASE!$A$6:$A$10008,$S$3,PURCHASE!$D$6:$D$10008,$C$5:$C$499)</f>
        <v>0</v>
      </c>
      <c r="V43" s="11">
        <f>SUMIFS(PURCHASE!$M$6:$M$10008,PURCHASE!$A$6:$A$10008,$S$3,PURCHASE!$D$6:$D$10008,$C$5:$C$499)</f>
        <v>0</v>
      </c>
      <c r="W43" s="11">
        <f>SUMIFS(PURCHASE!$N$6:$N$10008,PURCHASE!$A$6:$A$10008,$S$3,PURCHASE!$D$6:$D$10008,$C$5:$C$499)</f>
        <v>0</v>
      </c>
      <c r="X43" s="11">
        <f t="shared" si="9"/>
        <v>0</v>
      </c>
      <c r="Y43" s="11">
        <f>SUMIFS(PURCHASE!$K$6:$K$10008,PURCHASE!$A$6:$A$10008,$X$3,PURCHASE!$D$6:$D$10008,$C$5:$C$499)</f>
        <v>0</v>
      </c>
      <c r="Z43" s="11">
        <f>SUMIFS(PURCHASE!$L$6:$L$10008,PURCHASE!$A$6:$A$10008,$X$3,PURCHASE!$D$6:$D$10008,$C$5:$C$499)</f>
        <v>0</v>
      </c>
      <c r="AA43" s="11">
        <f>SUMIFS(PURCHASE!$M$6:$M$10008,PURCHASE!$A$6:$A$10008,$X$3,PURCHASE!$D$6:$D$10008,$C$5:$C$499)</f>
        <v>0</v>
      </c>
      <c r="AB43" s="11">
        <f>SUMIFS(PURCHASE!$N$6:$N$10008,PURCHASE!$A$6:$A$10008,$X$3,PURCHASE!$D$6:$D$10008,$C$5:$C$499)</f>
        <v>0</v>
      </c>
      <c r="AC43" s="11">
        <f t="shared" si="10"/>
        <v>0</v>
      </c>
      <c r="AD43" s="11">
        <f>SUMIFS(PURCHASE!$K$6:$K$10008,PURCHASE!$A$6:$A$10008,$AC$3,PURCHASE!$D$6:$D$10008,$C$5:$C$499)</f>
        <v>0</v>
      </c>
      <c r="AE43" s="11">
        <f>SUMIFS(PURCHASE!$L$6:$L$10008,PURCHASE!$A$6:$A$10008,$AC$3,PURCHASE!$D$6:$D$10008,$C$5:$C$499)</f>
        <v>0</v>
      </c>
      <c r="AF43" s="11">
        <f>SUMIFS(PURCHASE!$M$6:$M$10008,PURCHASE!$A$6:$A$10008,$AC$3,PURCHASE!$D$6:$D$10008,$C$5:$C$499)</f>
        <v>0</v>
      </c>
      <c r="AG43" s="11">
        <f>SUMIFS(PURCHASE!$N$6:$N$10008,PURCHASE!$A$6:$A$10008,$AC$3,PURCHASE!$D$6:$D$10008,$C$5:$C$499)</f>
        <v>0</v>
      </c>
      <c r="AH43" s="11">
        <f t="shared" si="11"/>
        <v>0</v>
      </c>
      <c r="AI43" s="11">
        <f>SUMIFS(PURCHASE!$K$6:$K$10008,PURCHASE!$A$6:$A$10008,$AH$3,PURCHASE!$D$6:$D$10008,$C$5:$C$499)</f>
        <v>0</v>
      </c>
      <c r="AJ43" s="11">
        <f>SUMIFS(PURCHASE!$L$6:$L$10008,PURCHASE!$A$6:$A$10008,$AH$3,PURCHASE!$D$6:$D$10008,$C$5:$C$499)</f>
        <v>0</v>
      </c>
      <c r="AK43" s="11">
        <f>SUMIFS(PURCHASE!$M$6:$M$10008,PURCHASE!$A$6:$A$10008,$AH$3,PURCHASE!$D$6:$D$10008,$C$5:$C$499)</f>
        <v>0</v>
      </c>
      <c r="AL43" s="11">
        <f>SUMIFS(PURCHASE!$N$6:$N$10008,PURCHASE!$A$6:$A$10008,$AH$3,PURCHASE!$D$6:$D$10008,$C$5:$C$499)</f>
        <v>0</v>
      </c>
      <c r="AM43" s="11">
        <f t="shared" si="12"/>
        <v>0</v>
      </c>
      <c r="AN43" s="11">
        <f>SUMIFS(PURCHASE!$K$6:$K$10008,PURCHASE!$A$6:$A$10008,$AM$3,PURCHASE!$D$6:$D$10008,$C$5:$C$499)</f>
        <v>0</v>
      </c>
      <c r="AO43" s="11">
        <f>SUMIFS(PURCHASE!$L$6:$L$10008,PURCHASE!$A$6:$A$10008,$AM$3,PURCHASE!$D$6:$D$10008,$C$5:$C$499)</f>
        <v>0</v>
      </c>
      <c r="AP43" s="11">
        <f>SUMIFS(PURCHASE!$M$6:$M$10008,PURCHASE!$A$6:$A$10008,$AM$3,PURCHASE!$D$6:$D$10008,$C$5:$C$499)</f>
        <v>0</v>
      </c>
      <c r="AQ43" s="11">
        <f>SUMIFS(PURCHASE!$N$6:$N$10008,PURCHASE!$A$6:$A$10008,$AM$3,PURCHASE!$D$6:$D$10008,$C$5:$C$499)</f>
        <v>0</v>
      </c>
      <c r="AR43" s="11">
        <f t="shared" si="13"/>
        <v>0</v>
      </c>
      <c r="AS43" s="11">
        <f>SUMIFS(PURCHASE!$K$6:$K$10008,PURCHASE!$A$6:$A$10008,$AR$3,PURCHASE!$D$6:$D$10008,$C$5:$C$499)</f>
        <v>0</v>
      </c>
      <c r="AT43" s="11">
        <f>SUMIFS(PURCHASE!$L$6:$L$10008,PURCHASE!$A$6:$A$10008,$AR$3,PURCHASE!$D$6:$D$10008,$C$5:$C$499)</f>
        <v>0</v>
      </c>
      <c r="AU43" s="11">
        <f>SUMIFS(PURCHASE!$M$6:$M$10008,PURCHASE!$A$6:$A$10008,$AR$3,PURCHASE!$D$6:$D$10008,$C$5:$C$499)</f>
        <v>0</v>
      </c>
      <c r="AV43" s="11">
        <f>SUMIFS(PURCHASE!$N$6:$N$10008,PURCHASE!$A$6:$A$10008,$AR$3,PURCHASE!$D$6:$D$10008,$C$5:$C$499)</f>
        <v>0</v>
      </c>
      <c r="AW43" s="11">
        <f t="shared" si="14"/>
        <v>0</v>
      </c>
      <c r="AX43" s="11">
        <f>SUMIFS(PURCHASE!$K$6:$K$10008,PURCHASE!$A$6:$A$10008,$AW$3,PURCHASE!$D$6:$D$10008,$C$5:$C$499)</f>
        <v>0</v>
      </c>
      <c r="AY43" s="11">
        <f>SUMIFS(PURCHASE!$L$6:$L$10008,PURCHASE!$A$6:$A$10008,$AW$3,PURCHASE!$D$6:$D$10008,$C$5:$C$499)</f>
        <v>0</v>
      </c>
      <c r="AZ43" s="11">
        <f>SUMIFS(PURCHASE!$M$6:$M$10008,PURCHASE!$A$6:$A$10008,$AW$3,PURCHASE!$D$6:$D$10008,$C$5:$C$499)</f>
        <v>0</v>
      </c>
      <c r="BA43" s="11">
        <f>SUMIFS(PURCHASE!$N$6:$N$10008,PURCHASE!$A$6:$A$10008,$AW$3,PURCHASE!$D$6:$D$10008,$C$5:$C$499)</f>
        <v>0</v>
      </c>
      <c r="BB43" s="11">
        <f t="shared" si="15"/>
        <v>0</v>
      </c>
      <c r="BC43" s="11">
        <f>SUMIFS(PURCHASE!$K$6:$K$10008,PURCHASE!$A$6:$A$10008,$BB$3,PURCHASE!$D$6:$D$10008,$C$5:$C$499)</f>
        <v>0</v>
      </c>
      <c r="BD43" s="11">
        <f>SUMIFS(PURCHASE!$L$6:$L$10008,PURCHASE!$A$6:$A$10008,$BB$3,PURCHASE!$D$6:$D$10008,$C$5:$C$499)</f>
        <v>0</v>
      </c>
      <c r="BE43" s="11">
        <f>SUMIFS(PURCHASE!$M$6:$M$10008,PURCHASE!$A$6:$A$10008,$BB$3,PURCHASE!$D$6:$D$10008,$C$5:$C$499)</f>
        <v>0</v>
      </c>
      <c r="BF43" s="11">
        <f>SUMIFS(PURCHASE!$N$6:$N$10008,PURCHASE!$A$6:$A$10008,$BB$3,PURCHASE!$D$6:$D$10008,$C$5:$C$499)</f>
        <v>0</v>
      </c>
      <c r="BG43" s="11">
        <f t="shared" si="16"/>
        <v>0</v>
      </c>
      <c r="BH43" s="11">
        <f>SUMIFS(PURCHASE!$K$6:$K$10008,PURCHASE!$A$6:$A$10008,$BG$3,PURCHASE!$D$6:$D$10008,$C$5:$C$499)</f>
        <v>0</v>
      </c>
      <c r="BI43" s="11">
        <f>SUMIFS(PURCHASE!$L$6:$L$10008,PURCHASE!$A$6:$A$10008,$BG$3,PURCHASE!$D$6:$D$10008,$C$5:$C$499)</f>
        <v>0</v>
      </c>
      <c r="BJ43" s="11">
        <f>SUMIFS(PURCHASE!$M$6:$M$10008,PURCHASE!$A$6:$A$10008,$BG$3,PURCHASE!$D$6:$D$10008,$C$5:$C$499)</f>
        <v>0</v>
      </c>
      <c r="BK43" s="11">
        <f>SUMIFS(PURCHASE!$N$6:$N$10008,PURCHASE!$A$6:$A$10008,$BG$3,PURCHASE!$D$6:$D$10008,$C$5:$C$499)</f>
        <v>0</v>
      </c>
      <c r="BL43" s="11">
        <f t="shared" si="4"/>
        <v>0</v>
      </c>
      <c r="BM43" s="11">
        <f t="shared" si="4"/>
        <v>0</v>
      </c>
      <c r="BN43" s="11">
        <f t="shared" si="4"/>
        <v>0</v>
      </c>
      <c r="BO43" s="11">
        <f t="shared" si="4"/>
        <v>0</v>
      </c>
      <c r="BP43" s="11">
        <f t="shared" si="4"/>
        <v>0</v>
      </c>
    </row>
    <row r="44" spans="1:68" x14ac:dyDescent="0.2">
      <c r="A44" s="467">
        <v>40</v>
      </c>
      <c r="B44" s="468" t="s">
        <v>506</v>
      </c>
      <c r="C44" s="469" t="s">
        <v>507</v>
      </c>
      <c r="D44" s="11">
        <f t="shared" si="5"/>
        <v>41064</v>
      </c>
      <c r="E44" s="11">
        <f>SUMIFS(PURCHASE!$K$6:$K$10008,PURCHASE!$A$6:$A$10008,$D$3,PURCHASE!$D$6:$D$10008,$C$5:$C$499)</f>
        <v>34800</v>
      </c>
      <c r="F44" s="11">
        <f>SUMIFS(PURCHASE!$L$6:$L$10008,PURCHASE!$A$6:$A$10008,$D$3,PURCHASE!$D$6:$D$10008,$C$5:$C$499)</f>
        <v>0</v>
      </c>
      <c r="G44" s="11">
        <f>SUMIFS(PURCHASE!$M$6:$M$10008,PURCHASE!$A$6:$A$10008,$D$3,PURCHASE!$D$6:$D$10008,$C$5:$C$499)</f>
        <v>3132</v>
      </c>
      <c r="H44" s="11">
        <f>SUMIFS(PURCHASE!$N$6:$N$10008,PURCHASE!$A$6:$A$10008,$D$3,PURCHASE!$D$6:$D$10008,$C$5:$C$499)</f>
        <v>3132</v>
      </c>
      <c r="I44" s="473">
        <f t="shared" si="6"/>
        <v>180961.26</v>
      </c>
      <c r="J44" s="60">
        <f>SUMIFS(PURCHASE!$K$6:$K$10008,PURCHASE!$A$6:$A$10008,$I$3,PURCHASE!$D$6:$D$10008,$C$5:$C$499)</f>
        <v>153357</v>
      </c>
      <c r="K44" s="60">
        <f>SUMIFS(PURCHASE!$L$6:$L$10008,PURCHASE!$A$6:$A$10008,$I$3,PURCHASE!$D$6:$D$10008,$C$5:$C$499)</f>
        <v>0</v>
      </c>
      <c r="L44" s="60">
        <f>SUMIFS(PURCHASE!$M$6:$M$10008,PURCHASE!$A$6:$A$10008,$I$3,PURCHASE!$D$6:$D$10008,$C$5:$C$499)</f>
        <v>13802.130000000001</v>
      </c>
      <c r="M44" s="474">
        <f>SUMIFS(PURCHASE!$N$6:$N$10008,PURCHASE!$A$6:$A$10008,$I$3,PURCHASE!$D$6:$D$10008,$C$5:$C$499)</f>
        <v>13802.130000000001</v>
      </c>
      <c r="N44" s="11">
        <f t="shared" si="7"/>
        <v>279559.7</v>
      </c>
      <c r="O44" s="11">
        <f>SUMIFS(PURCHASE!$K$6:$K$10008,PURCHASE!$A$6:$A$10008,$N$3,PURCHASE!$D$6:$D$10008,$C$5:$C$499)</f>
        <v>236915</v>
      </c>
      <c r="P44" s="11">
        <f>SUMIFS(PURCHASE!$L$6:$L$10008,PURCHASE!$A$6:$A$10008,$N$3,PURCHASE!$D$6:$D$10008,$C$5:$C$499)</f>
        <v>0</v>
      </c>
      <c r="Q44" s="11">
        <f>SUMIFS(PURCHASE!$M$6:$M$10008,PURCHASE!$A$6:$A$10008,$N$3,PURCHASE!$D$6:$D$10008,$C$5:$C$499)</f>
        <v>21322.350000000002</v>
      </c>
      <c r="R44" s="11">
        <f>SUMIFS(PURCHASE!$N$6:$N$10008,PURCHASE!$A$6:$A$10008,$N$3,PURCHASE!$D$6:$D$10008,$C$5:$C$499)</f>
        <v>21322.350000000002</v>
      </c>
      <c r="S44" s="11">
        <f t="shared" si="8"/>
        <v>488258.04000000004</v>
      </c>
      <c r="T44" s="11">
        <f>SUMIFS(PURCHASE!$K$6:$K$10008,PURCHASE!$A$6:$A$10008,$S$3,PURCHASE!$D$6:$D$10008,$C$5:$C$499)</f>
        <v>413778</v>
      </c>
      <c r="U44" s="11">
        <f>SUMIFS(PURCHASE!$L$6:$L$10008,PURCHASE!$A$6:$A$10008,$S$3,PURCHASE!$D$6:$D$10008,$C$5:$C$499)</f>
        <v>0</v>
      </c>
      <c r="V44" s="11">
        <f>SUMIFS(PURCHASE!$M$6:$M$10008,PURCHASE!$A$6:$A$10008,$S$3,PURCHASE!$D$6:$D$10008,$C$5:$C$499)</f>
        <v>37240.020000000004</v>
      </c>
      <c r="W44" s="11">
        <f>SUMIFS(PURCHASE!$N$6:$N$10008,PURCHASE!$A$6:$A$10008,$S$3,PURCHASE!$D$6:$D$10008,$C$5:$C$499)</f>
        <v>37240.020000000004</v>
      </c>
      <c r="X44" s="11">
        <f t="shared" si="9"/>
        <v>49937.600000000006</v>
      </c>
      <c r="Y44" s="11">
        <f>SUMIFS(PURCHASE!$K$6:$K$10008,PURCHASE!$A$6:$A$10008,$X$3,PURCHASE!$D$6:$D$10008,$C$5:$C$499)</f>
        <v>42320</v>
      </c>
      <c r="Z44" s="11">
        <f>SUMIFS(PURCHASE!$L$6:$L$10008,PURCHASE!$A$6:$A$10008,$X$3,PURCHASE!$D$6:$D$10008,$C$5:$C$499)</f>
        <v>0</v>
      </c>
      <c r="AA44" s="11">
        <f>SUMIFS(PURCHASE!$M$6:$M$10008,PURCHASE!$A$6:$A$10008,$X$3,PURCHASE!$D$6:$D$10008,$C$5:$C$499)</f>
        <v>3808.8</v>
      </c>
      <c r="AB44" s="11">
        <f>SUMIFS(PURCHASE!$N$6:$N$10008,PURCHASE!$A$6:$A$10008,$X$3,PURCHASE!$D$6:$D$10008,$C$5:$C$499)</f>
        <v>3808.8</v>
      </c>
      <c r="AC44" s="11">
        <f t="shared" si="10"/>
        <v>165294.40000000002</v>
      </c>
      <c r="AD44" s="11">
        <f>SUMIFS(PURCHASE!$K$6:$K$10008,PURCHASE!$A$6:$A$10008,$AC$3,PURCHASE!$D$6:$D$10008,$C$5:$C$499)</f>
        <v>140080</v>
      </c>
      <c r="AE44" s="11">
        <f>SUMIFS(PURCHASE!$L$6:$L$10008,PURCHASE!$A$6:$A$10008,$AC$3,PURCHASE!$D$6:$D$10008,$C$5:$C$499)</f>
        <v>0</v>
      </c>
      <c r="AF44" s="11">
        <f>SUMIFS(PURCHASE!$M$6:$M$10008,PURCHASE!$A$6:$A$10008,$AC$3,PURCHASE!$D$6:$D$10008,$C$5:$C$499)</f>
        <v>12607.199999999999</v>
      </c>
      <c r="AG44" s="11">
        <f>SUMIFS(PURCHASE!$N$6:$N$10008,PURCHASE!$A$6:$A$10008,$AC$3,PURCHASE!$D$6:$D$10008,$C$5:$C$499)</f>
        <v>12607.199999999999</v>
      </c>
      <c r="AH44" s="11">
        <f t="shared" si="11"/>
        <v>300020.90000000002</v>
      </c>
      <c r="AI44" s="11">
        <f>SUMIFS(PURCHASE!$K$6:$K$10008,PURCHASE!$A$6:$A$10008,$AH$3,PURCHASE!$D$6:$D$10008,$C$5:$C$499)</f>
        <v>254255</v>
      </c>
      <c r="AJ44" s="11">
        <f>SUMIFS(PURCHASE!$L$6:$L$10008,PURCHASE!$A$6:$A$10008,$AH$3,PURCHASE!$D$6:$D$10008,$C$5:$C$499)</f>
        <v>0</v>
      </c>
      <c r="AK44" s="11">
        <f>SUMIFS(PURCHASE!$M$6:$M$10008,PURCHASE!$A$6:$A$10008,$AH$3,PURCHASE!$D$6:$D$10008,$C$5:$C$499)</f>
        <v>22882.95</v>
      </c>
      <c r="AL44" s="11">
        <f>SUMIFS(PURCHASE!$N$6:$N$10008,PURCHASE!$A$6:$A$10008,$AH$3,PURCHASE!$D$6:$D$10008,$C$5:$C$499)</f>
        <v>22882.95</v>
      </c>
      <c r="AM44" s="11">
        <f t="shared" si="12"/>
        <v>0</v>
      </c>
      <c r="AN44" s="11">
        <f>SUMIFS(PURCHASE!$K$6:$K$10008,PURCHASE!$A$6:$A$10008,$AM$3,PURCHASE!$D$6:$D$10008,$C$5:$C$499)</f>
        <v>0</v>
      </c>
      <c r="AO44" s="11">
        <f>SUMIFS(PURCHASE!$L$6:$L$10008,PURCHASE!$A$6:$A$10008,$AM$3,PURCHASE!$D$6:$D$10008,$C$5:$C$499)</f>
        <v>0</v>
      </c>
      <c r="AP44" s="11">
        <f>SUMIFS(PURCHASE!$M$6:$M$10008,PURCHASE!$A$6:$A$10008,$AM$3,PURCHASE!$D$6:$D$10008,$C$5:$C$499)</f>
        <v>0</v>
      </c>
      <c r="AQ44" s="11">
        <f>SUMIFS(PURCHASE!$N$6:$N$10008,PURCHASE!$A$6:$A$10008,$AM$3,PURCHASE!$D$6:$D$10008,$C$5:$C$499)</f>
        <v>0</v>
      </c>
      <c r="AR44" s="11">
        <f t="shared" si="13"/>
        <v>0</v>
      </c>
      <c r="AS44" s="11">
        <f>SUMIFS(PURCHASE!$K$6:$K$10008,PURCHASE!$A$6:$A$10008,$AR$3,PURCHASE!$D$6:$D$10008,$C$5:$C$499)</f>
        <v>0</v>
      </c>
      <c r="AT44" s="11">
        <f>SUMIFS(PURCHASE!$L$6:$L$10008,PURCHASE!$A$6:$A$10008,$AR$3,PURCHASE!$D$6:$D$10008,$C$5:$C$499)</f>
        <v>0</v>
      </c>
      <c r="AU44" s="11">
        <f>SUMIFS(PURCHASE!$M$6:$M$10008,PURCHASE!$A$6:$A$10008,$AR$3,PURCHASE!$D$6:$D$10008,$C$5:$C$499)</f>
        <v>0</v>
      </c>
      <c r="AV44" s="11">
        <f>SUMIFS(PURCHASE!$N$6:$N$10008,PURCHASE!$A$6:$A$10008,$AR$3,PURCHASE!$D$6:$D$10008,$C$5:$C$499)</f>
        <v>0</v>
      </c>
      <c r="AW44" s="11">
        <f t="shared" si="14"/>
        <v>0</v>
      </c>
      <c r="AX44" s="11">
        <f>SUMIFS(PURCHASE!$K$6:$K$10008,PURCHASE!$A$6:$A$10008,$AW$3,PURCHASE!$D$6:$D$10008,$C$5:$C$499)</f>
        <v>0</v>
      </c>
      <c r="AY44" s="11">
        <f>SUMIFS(PURCHASE!$L$6:$L$10008,PURCHASE!$A$6:$A$10008,$AW$3,PURCHASE!$D$6:$D$10008,$C$5:$C$499)</f>
        <v>0</v>
      </c>
      <c r="AZ44" s="11">
        <f>SUMIFS(PURCHASE!$M$6:$M$10008,PURCHASE!$A$6:$A$10008,$AW$3,PURCHASE!$D$6:$D$10008,$C$5:$C$499)</f>
        <v>0</v>
      </c>
      <c r="BA44" s="11">
        <f>SUMIFS(PURCHASE!$N$6:$N$10008,PURCHASE!$A$6:$A$10008,$AW$3,PURCHASE!$D$6:$D$10008,$C$5:$C$499)</f>
        <v>0</v>
      </c>
      <c r="BB44" s="11">
        <f t="shared" si="15"/>
        <v>0</v>
      </c>
      <c r="BC44" s="11">
        <f>SUMIFS(PURCHASE!$K$6:$K$10008,PURCHASE!$A$6:$A$10008,$BB$3,PURCHASE!$D$6:$D$10008,$C$5:$C$499)</f>
        <v>0</v>
      </c>
      <c r="BD44" s="11">
        <f>SUMIFS(PURCHASE!$L$6:$L$10008,PURCHASE!$A$6:$A$10008,$BB$3,PURCHASE!$D$6:$D$10008,$C$5:$C$499)</f>
        <v>0</v>
      </c>
      <c r="BE44" s="11">
        <f>SUMIFS(PURCHASE!$M$6:$M$10008,PURCHASE!$A$6:$A$10008,$BB$3,PURCHASE!$D$6:$D$10008,$C$5:$C$499)</f>
        <v>0</v>
      </c>
      <c r="BF44" s="11">
        <f>SUMIFS(PURCHASE!$N$6:$N$10008,PURCHASE!$A$6:$A$10008,$BB$3,PURCHASE!$D$6:$D$10008,$C$5:$C$499)</f>
        <v>0</v>
      </c>
      <c r="BG44" s="11">
        <f t="shared" si="16"/>
        <v>0</v>
      </c>
      <c r="BH44" s="11">
        <f>SUMIFS(PURCHASE!$K$6:$K$10008,PURCHASE!$A$6:$A$10008,$BG$3,PURCHASE!$D$6:$D$10008,$C$5:$C$499)</f>
        <v>0</v>
      </c>
      <c r="BI44" s="11">
        <f>SUMIFS(PURCHASE!$L$6:$L$10008,PURCHASE!$A$6:$A$10008,$BG$3,PURCHASE!$D$6:$D$10008,$C$5:$C$499)</f>
        <v>0</v>
      </c>
      <c r="BJ44" s="11">
        <f>SUMIFS(PURCHASE!$M$6:$M$10008,PURCHASE!$A$6:$A$10008,$BG$3,PURCHASE!$D$6:$D$10008,$C$5:$C$499)</f>
        <v>0</v>
      </c>
      <c r="BK44" s="11">
        <f>SUMIFS(PURCHASE!$N$6:$N$10008,PURCHASE!$A$6:$A$10008,$BG$3,PURCHASE!$D$6:$D$10008,$C$5:$C$499)</f>
        <v>0</v>
      </c>
      <c r="BL44" s="11">
        <f t="shared" si="4"/>
        <v>1505095.9</v>
      </c>
      <c r="BM44" s="11">
        <f t="shared" si="4"/>
        <v>1275505</v>
      </c>
      <c r="BN44" s="11">
        <f t="shared" si="4"/>
        <v>0</v>
      </c>
      <c r="BO44" s="11">
        <f t="shared" si="4"/>
        <v>114795.45</v>
      </c>
      <c r="BP44" s="11">
        <f t="shared" si="4"/>
        <v>114795.45</v>
      </c>
    </row>
    <row r="45" spans="1:68" x14ac:dyDescent="0.2">
      <c r="A45" s="467">
        <v>41</v>
      </c>
      <c r="B45" s="468" t="s">
        <v>1104</v>
      </c>
      <c r="C45" s="469" t="s">
        <v>1105</v>
      </c>
      <c r="D45" s="11">
        <f t="shared" si="5"/>
        <v>0</v>
      </c>
      <c r="E45" s="11">
        <f>SUMIFS(PURCHASE!$K$6:$K$10008,PURCHASE!$A$6:$A$10008,$D$3,PURCHASE!$D$6:$D$10008,$C$5:$C$499)</f>
        <v>0</v>
      </c>
      <c r="F45" s="11">
        <f>SUMIFS(PURCHASE!$L$6:$L$10008,PURCHASE!$A$6:$A$10008,$D$3,PURCHASE!$D$6:$D$10008,$C$5:$C$499)</f>
        <v>0</v>
      </c>
      <c r="G45" s="11">
        <f>SUMIFS(PURCHASE!$M$6:$M$10008,PURCHASE!$A$6:$A$10008,$D$3,PURCHASE!$D$6:$D$10008,$C$5:$C$499)</f>
        <v>0</v>
      </c>
      <c r="H45" s="11">
        <f>SUMIFS(PURCHASE!$N$6:$N$10008,PURCHASE!$A$6:$A$10008,$D$3,PURCHASE!$D$6:$D$10008,$C$5:$C$499)</f>
        <v>0</v>
      </c>
      <c r="I45" s="473">
        <f t="shared" si="6"/>
        <v>0</v>
      </c>
      <c r="J45" s="60">
        <f>SUMIFS(PURCHASE!$K$6:$K$10008,PURCHASE!$A$6:$A$10008,$I$3,PURCHASE!$D$6:$D$10008,$C$5:$C$499)</f>
        <v>0</v>
      </c>
      <c r="K45" s="60">
        <f>SUMIFS(PURCHASE!$L$6:$L$10008,PURCHASE!$A$6:$A$10008,$I$3,PURCHASE!$D$6:$D$10008,$C$5:$C$499)</f>
        <v>0</v>
      </c>
      <c r="L45" s="60">
        <f>SUMIFS(PURCHASE!$M$6:$M$10008,PURCHASE!$A$6:$A$10008,$I$3,PURCHASE!$D$6:$D$10008,$C$5:$C$499)</f>
        <v>0</v>
      </c>
      <c r="M45" s="474">
        <f>SUMIFS(PURCHASE!$N$6:$N$10008,PURCHASE!$A$6:$A$10008,$I$3,PURCHASE!$D$6:$D$10008,$C$5:$C$499)</f>
        <v>0</v>
      </c>
      <c r="N45" s="11">
        <f t="shared" si="7"/>
        <v>0</v>
      </c>
      <c r="O45" s="11">
        <f>SUMIFS(PURCHASE!$K$6:$K$10008,PURCHASE!$A$6:$A$10008,$N$3,PURCHASE!$D$6:$D$10008,$C$5:$C$499)</f>
        <v>0</v>
      </c>
      <c r="P45" s="11">
        <f>SUMIFS(PURCHASE!$L$6:$L$10008,PURCHASE!$A$6:$A$10008,$N$3,PURCHASE!$D$6:$D$10008,$C$5:$C$499)</f>
        <v>0</v>
      </c>
      <c r="Q45" s="11">
        <f>SUMIFS(PURCHASE!$M$6:$M$10008,PURCHASE!$A$6:$A$10008,$N$3,PURCHASE!$D$6:$D$10008,$C$5:$C$499)</f>
        <v>0</v>
      </c>
      <c r="R45" s="11">
        <f>SUMIFS(PURCHASE!$N$6:$N$10008,PURCHASE!$A$6:$A$10008,$N$3,PURCHASE!$D$6:$D$10008,$C$5:$C$499)</f>
        <v>0</v>
      </c>
      <c r="S45" s="11">
        <f t="shared" si="8"/>
        <v>0</v>
      </c>
      <c r="T45" s="11">
        <f>SUMIFS(PURCHASE!$K$6:$K$10008,PURCHASE!$A$6:$A$10008,$S$3,PURCHASE!$D$6:$D$10008,$C$5:$C$499)</f>
        <v>0</v>
      </c>
      <c r="U45" s="11">
        <f>SUMIFS(PURCHASE!$L$6:$L$10008,PURCHASE!$A$6:$A$10008,$S$3,PURCHASE!$D$6:$D$10008,$C$5:$C$499)</f>
        <v>0</v>
      </c>
      <c r="V45" s="11">
        <f>SUMIFS(PURCHASE!$M$6:$M$10008,PURCHASE!$A$6:$A$10008,$S$3,PURCHASE!$D$6:$D$10008,$C$5:$C$499)</f>
        <v>0</v>
      </c>
      <c r="W45" s="11">
        <f>SUMIFS(PURCHASE!$N$6:$N$10008,PURCHASE!$A$6:$A$10008,$S$3,PURCHASE!$D$6:$D$10008,$C$5:$C$499)</f>
        <v>0</v>
      </c>
      <c r="X45" s="11">
        <f t="shared" si="9"/>
        <v>0</v>
      </c>
      <c r="Y45" s="11">
        <f>SUMIFS(PURCHASE!$K$6:$K$10008,PURCHASE!$A$6:$A$10008,$X$3,PURCHASE!$D$6:$D$10008,$C$5:$C$499)</f>
        <v>0</v>
      </c>
      <c r="Z45" s="11">
        <f>SUMIFS(PURCHASE!$L$6:$L$10008,PURCHASE!$A$6:$A$10008,$X$3,PURCHASE!$D$6:$D$10008,$C$5:$C$499)</f>
        <v>0</v>
      </c>
      <c r="AA45" s="11">
        <f>SUMIFS(PURCHASE!$M$6:$M$10008,PURCHASE!$A$6:$A$10008,$X$3,PURCHASE!$D$6:$D$10008,$C$5:$C$499)</f>
        <v>0</v>
      </c>
      <c r="AB45" s="11">
        <f>SUMIFS(PURCHASE!$N$6:$N$10008,PURCHASE!$A$6:$A$10008,$X$3,PURCHASE!$D$6:$D$10008,$C$5:$C$499)</f>
        <v>0</v>
      </c>
      <c r="AC45" s="11">
        <f t="shared" si="10"/>
        <v>0</v>
      </c>
      <c r="AD45" s="11">
        <f>SUMIFS(PURCHASE!$K$6:$K$10008,PURCHASE!$A$6:$A$10008,$AC$3,PURCHASE!$D$6:$D$10008,$C$5:$C$499)</f>
        <v>0</v>
      </c>
      <c r="AE45" s="11">
        <f>SUMIFS(PURCHASE!$L$6:$L$10008,PURCHASE!$A$6:$A$10008,$AC$3,PURCHASE!$D$6:$D$10008,$C$5:$C$499)</f>
        <v>0</v>
      </c>
      <c r="AF45" s="11">
        <f>SUMIFS(PURCHASE!$M$6:$M$10008,PURCHASE!$A$6:$A$10008,$AC$3,PURCHASE!$D$6:$D$10008,$C$5:$C$499)</f>
        <v>0</v>
      </c>
      <c r="AG45" s="11">
        <f>SUMIFS(PURCHASE!$N$6:$N$10008,PURCHASE!$A$6:$A$10008,$AC$3,PURCHASE!$D$6:$D$10008,$C$5:$C$499)</f>
        <v>0</v>
      </c>
      <c r="AH45" s="11">
        <f t="shared" si="11"/>
        <v>0</v>
      </c>
      <c r="AI45" s="11">
        <f>SUMIFS(PURCHASE!$K$6:$K$10008,PURCHASE!$A$6:$A$10008,$AH$3,PURCHASE!$D$6:$D$10008,$C$5:$C$499)</f>
        <v>0</v>
      </c>
      <c r="AJ45" s="11">
        <f>SUMIFS(PURCHASE!$L$6:$L$10008,PURCHASE!$A$6:$A$10008,$AH$3,PURCHASE!$D$6:$D$10008,$C$5:$C$499)</f>
        <v>0</v>
      </c>
      <c r="AK45" s="11">
        <f>SUMIFS(PURCHASE!$M$6:$M$10008,PURCHASE!$A$6:$A$10008,$AH$3,PURCHASE!$D$6:$D$10008,$C$5:$C$499)</f>
        <v>0</v>
      </c>
      <c r="AL45" s="11">
        <f>SUMIFS(PURCHASE!$N$6:$N$10008,PURCHASE!$A$6:$A$10008,$AH$3,PURCHASE!$D$6:$D$10008,$C$5:$C$499)</f>
        <v>0</v>
      </c>
      <c r="AM45" s="11">
        <f t="shared" si="12"/>
        <v>0</v>
      </c>
      <c r="AN45" s="11">
        <f>SUMIFS(PURCHASE!$K$6:$K$10008,PURCHASE!$A$6:$A$10008,$AM$3,PURCHASE!$D$6:$D$10008,$C$5:$C$499)</f>
        <v>0</v>
      </c>
      <c r="AO45" s="11">
        <f>SUMIFS(PURCHASE!$L$6:$L$10008,PURCHASE!$A$6:$A$10008,$AM$3,PURCHASE!$D$6:$D$10008,$C$5:$C$499)</f>
        <v>0</v>
      </c>
      <c r="AP45" s="11">
        <f>SUMIFS(PURCHASE!$M$6:$M$10008,PURCHASE!$A$6:$A$10008,$AM$3,PURCHASE!$D$6:$D$10008,$C$5:$C$499)</f>
        <v>0</v>
      </c>
      <c r="AQ45" s="11">
        <f>SUMIFS(PURCHASE!$N$6:$N$10008,PURCHASE!$A$6:$A$10008,$AM$3,PURCHASE!$D$6:$D$10008,$C$5:$C$499)</f>
        <v>0</v>
      </c>
      <c r="AR45" s="11">
        <f t="shared" si="13"/>
        <v>0</v>
      </c>
      <c r="AS45" s="11">
        <f>SUMIFS(PURCHASE!$K$6:$K$10008,PURCHASE!$A$6:$A$10008,$AR$3,PURCHASE!$D$6:$D$10008,$C$5:$C$499)</f>
        <v>0</v>
      </c>
      <c r="AT45" s="11">
        <f>SUMIFS(PURCHASE!$L$6:$L$10008,PURCHASE!$A$6:$A$10008,$AR$3,PURCHASE!$D$6:$D$10008,$C$5:$C$499)</f>
        <v>0</v>
      </c>
      <c r="AU45" s="11">
        <f>SUMIFS(PURCHASE!$M$6:$M$10008,PURCHASE!$A$6:$A$10008,$AR$3,PURCHASE!$D$6:$D$10008,$C$5:$C$499)</f>
        <v>0</v>
      </c>
      <c r="AV45" s="11">
        <f>SUMIFS(PURCHASE!$N$6:$N$10008,PURCHASE!$A$6:$A$10008,$AR$3,PURCHASE!$D$6:$D$10008,$C$5:$C$499)</f>
        <v>0</v>
      </c>
      <c r="AW45" s="11">
        <f t="shared" si="14"/>
        <v>0</v>
      </c>
      <c r="AX45" s="11">
        <f>SUMIFS(PURCHASE!$K$6:$K$10008,PURCHASE!$A$6:$A$10008,$AW$3,PURCHASE!$D$6:$D$10008,$C$5:$C$499)</f>
        <v>0</v>
      </c>
      <c r="AY45" s="11">
        <f>SUMIFS(PURCHASE!$L$6:$L$10008,PURCHASE!$A$6:$A$10008,$AW$3,PURCHASE!$D$6:$D$10008,$C$5:$C$499)</f>
        <v>0</v>
      </c>
      <c r="AZ45" s="11">
        <f>SUMIFS(PURCHASE!$M$6:$M$10008,PURCHASE!$A$6:$A$10008,$AW$3,PURCHASE!$D$6:$D$10008,$C$5:$C$499)</f>
        <v>0</v>
      </c>
      <c r="BA45" s="11">
        <f>SUMIFS(PURCHASE!$N$6:$N$10008,PURCHASE!$A$6:$A$10008,$AW$3,PURCHASE!$D$6:$D$10008,$C$5:$C$499)</f>
        <v>0</v>
      </c>
      <c r="BB45" s="11">
        <f t="shared" si="15"/>
        <v>0</v>
      </c>
      <c r="BC45" s="11">
        <f>SUMIFS(PURCHASE!$K$6:$K$10008,PURCHASE!$A$6:$A$10008,$BB$3,PURCHASE!$D$6:$D$10008,$C$5:$C$499)</f>
        <v>0</v>
      </c>
      <c r="BD45" s="11">
        <f>SUMIFS(PURCHASE!$L$6:$L$10008,PURCHASE!$A$6:$A$10008,$BB$3,PURCHASE!$D$6:$D$10008,$C$5:$C$499)</f>
        <v>0</v>
      </c>
      <c r="BE45" s="11">
        <f>SUMIFS(PURCHASE!$M$6:$M$10008,PURCHASE!$A$6:$A$10008,$BB$3,PURCHASE!$D$6:$D$10008,$C$5:$C$499)</f>
        <v>0</v>
      </c>
      <c r="BF45" s="11">
        <f>SUMIFS(PURCHASE!$N$6:$N$10008,PURCHASE!$A$6:$A$10008,$BB$3,PURCHASE!$D$6:$D$10008,$C$5:$C$499)</f>
        <v>0</v>
      </c>
      <c r="BG45" s="11">
        <f t="shared" si="16"/>
        <v>0</v>
      </c>
      <c r="BH45" s="11">
        <f>SUMIFS(PURCHASE!$K$6:$K$10008,PURCHASE!$A$6:$A$10008,$BG$3,PURCHASE!$D$6:$D$10008,$C$5:$C$499)</f>
        <v>0</v>
      </c>
      <c r="BI45" s="11">
        <f>SUMIFS(PURCHASE!$L$6:$L$10008,PURCHASE!$A$6:$A$10008,$BG$3,PURCHASE!$D$6:$D$10008,$C$5:$C$499)</f>
        <v>0</v>
      </c>
      <c r="BJ45" s="11">
        <f>SUMIFS(PURCHASE!$M$6:$M$10008,PURCHASE!$A$6:$A$10008,$BG$3,PURCHASE!$D$6:$D$10008,$C$5:$C$499)</f>
        <v>0</v>
      </c>
      <c r="BK45" s="11">
        <f>SUMIFS(PURCHASE!$N$6:$N$10008,PURCHASE!$A$6:$A$10008,$BG$3,PURCHASE!$D$6:$D$10008,$C$5:$C$499)</f>
        <v>0</v>
      </c>
      <c r="BL45" s="11">
        <f t="shared" si="4"/>
        <v>0</v>
      </c>
      <c r="BM45" s="11">
        <f t="shared" si="4"/>
        <v>0</v>
      </c>
      <c r="BN45" s="11">
        <f t="shared" si="4"/>
        <v>0</v>
      </c>
      <c r="BO45" s="11">
        <f t="shared" si="4"/>
        <v>0</v>
      </c>
      <c r="BP45" s="11">
        <f t="shared" si="4"/>
        <v>0</v>
      </c>
    </row>
    <row r="46" spans="1:68" x14ac:dyDescent="0.2">
      <c r="A46" s="467">
        <v>42</v>
      </c>
      <c r="B46" s="468" t="s">
        <v>1106</v>
      </c>
      <c r="C46" s="469" t="s">
        <v>1107</v>
      </c>
      <c r="D46" s="11">
        <f t="shared" si="5"/>
        <v>0</v>
      </c>
      <c r="E46" s="11">
        <f>SUMIFS(PURCHASE!$K$6:$K$10008,PURCHASE!$A$6:$A$10008,$D$3,PURCHASE!$D$6:$D$10008,$C$5:$C$499)</f>
        <v>0</v>
      </c>
      <c r="F46" s="11">
        <f>SUMIFS(PURCHASE!$L$6:$L$10008,PURCHASE!$A$6:$A$10008,$D$3,PURCHASE!$D$6:$D$10008,$C$5:$C$499)</f>
        <v>0</v>
      </c>
      <c r="G46" s="11">
        <f>SUMIFS(PURCHASE!$M$6:$M$10008,PURCHASE!$A$6:$A$10008,$D$3,PURCHASE!$D$6:$D$10008,$C$5:$C$499)</f>
        <v>0</v>
      </c>
      <c r="H46" s="11">
        <f>SUMIFS(PURCHASE!$N$6:$N$10008,PURCHASE!$A$6:$A$10008,$D$3,PURCHASE!$D$6:$D$10008,$C$5:$C$499)</f>
        <v>0</v>
      </c>
      <c r="I46" s="473">
        <f t="shared" si="6"/>
        <v>0</v>
      </c>
      <c r="J46" s="60">
        <f>SUMIFS(PURCHASE!$K$6:$K$10008,PURCHASE!$A$6:$A$10008,$I$3,PURCHASE!$D$6:$D$10008,$C$5:$C$499)</f>
        <v>0</v>
      </c>
      <c r="K46" s="60">
        <f>SUMIFS(PURCHASE!$L$6:$L$10008,PURCHASE!$A$6:$A$10008,$I$3,PURCHASE!$D$6:$D$10008,$C$5:$C$499)</f>
        <v>0</v>
      </c>
      <c r="L46" s="60">
        <f>SUMIFS(PURCHASE!$M$6:$M$10008,PURCHASE!$A$6:$A$10008,$I$3,PURCHASE!$D$6:$D$10008,$C$5:$C$499)</f>
        <v>0</v>
      </c>
      <c r="M46" s="474">
        <f>SUMIFS(PURCHASE!$N$6:$N$10008,PURCHASE!$A$6:$A$10008,$I$3,PURCHASE!$D$6:$D$10008,$C$5:$C$499)</f>
        <v>0</v>
      </c>
      <c r="N46" s="11">
        <f t="shared" si="7"/>
        <v>0</v>
      </c>
      <c r="O46" s="11">
        <f>SUMIFS(PURCHASE!$K$6:$K$10008,PURCHASE!$A$6:$A$10008,$N$3,PURCHASE!$D$6:$D$10008,$C$5:$C$499)</f>
        <v>0</v>
      </c>
      <c r="P46" s="11">
        <f>SUMIFS(PURCHASE!$L$6:$L$10008,PURCHASE!$A$6:$A$10008,$N$3,PURCHASE!$D$6:$D$10008,$C$5:$C$499)</f>
        <v>0</v>
      </c>
      <c r="Q46" s="11">
        <f>SUMIFS(PURCHASE!$M$6:$M$10008,PURCHASE!$A$6:$A$10008,$N$3,PURCHASE!$D$6:$D$10008,$C$5:$C$499)</f>
        <v>0</v>
      </c>
      <c r="R46" s="11">
        <f>SUMIFS(PURCHASE!$N$6:$N$10008,PURCHASE!$A$6:$A$10008,$N$3,PURCHASE!$D$6:$D$10008,$C$5:$C$499)</f>
        <v>0</v>
      </c>
      <c r="S46" s="11">
        <f t="shared" si="8"/>
        <v>0</v>
      </c>
      <c r="T46" s="11">
        <f>SUMIFS(PURCHASE!$K$6:$K$10008,PURCHASE!$A$6:$A$10008,$S$3,PURCHASE!$D$6:$D$10008,$C$5:$C$499)</f>
        <v>0</v>
      </c>
      <c r="U46" s="11">
        <f>SUMIFS(PURCHASE!$L$6:$L$10008,PURCHASE!$A$6:$A$10008,$S$3,PURCHASE!$D$6:$D$10008,$C$5:$C$499)</f>
        <v>0</v>
      </c>
      <c r="V46" s="11">
        <f>SUMIFS(PURCHASE!$M$6:$M$10008,PURCHASE!$A$6:$A$10008,$S$3,PURCHASE!$D$6:$D$10008,$C$5:$C$499)</f>
        <v>0</v>
      </c>
      <c r="W46" s="11">
        <f>SUMIFS(PURCHASE!$N$6:$N$10008,PURCHASE!$A$6:$A$10008,$S$3,PURCHASE!$D$6:$D$10008,$C$5:$C$499)</f>
        <v>0</v>
      </c>
      <c r="X46" s="11">
        <f t="shared" si="9"/>
        <v>0</v>
      </c>
      <c r="Y46" s="11">
        <f>SUMIFS(PURCHASE!$K$6:$K$10008,PURCHASE!$A$6:$A$10008,$X$3,PURCHASE!$D$6:$D$10008,$C$5:$C$499)</f>
        <v>0</v>
      </c>
      <c r="Z46" s="11">
        <f>SUMIFS(PURCHASE!$L$6:$L$10008,PURCHASE!$A$6:$A$10008,$X$3,PURCHASE!$D$6:$D$10008,$C$5:$C$499)</f>
        <v>0</v>
      </c>
      <c r="AA46" s="11">
        <f>SUMIFS(PURCHASE!$M$6:$M$10008,PURCHASE!$A$6:$A$10008,$X$3,PURCHASE!$D$6:$D$10008,$C$5:$C$499)</f>
        <v>0</v>
      </c>
      <c r="AB46" s="11">
        <f>SUMIFS(PURCHASE!$N$6:$N$10008,PURCHASE!$A$6:$A$10008,$X$3,PURCHASE!$D$6:$D$10008,$C$5:$C$499)</f>
        <v>0</v>
      </c>
      <c r="AC46" s="11">
        <f t="shared" si="10"/>
        <v>0</v>
      </c>
      <c r="AD46" s="11">
        <f>SUMIFS(PURCHASE!$K$6:$K$10008,PURCHASE!$A$6:$A$10008,$AC$3,PURCHASE!$D$6:$D$10008,$C$5:$C$499)</f>
        <v>0</v>
      </c>
      <c r="AE46" s="11">
        <f>SUMIFS(PURCHASE!$L$6:$L$10008,PURCHASE!$A$6:$A$10008,$AC$3,PURCHASE!$D$6:$D$10008,$C$5:$C$499)</f>
        <v>0</v>
      </c>
      <c r="AF46" s="11">
        <f>SUMIFS(PURCHASE!$M$6:$M$10008,PURCHASE!$A$6:$A$10008,$AC$3,PURCHASE!$D$6:$D$10008,$C$5:$C$499)</f>
        <v>0</v>
      </c>
      <c r="AG46" s="11">
        <f>SUMIFS(PURCHASE!$N$6:$N$10008,PURCHASE!$A$6:$A$10008,$AC$3,PURCHASE!$D$6:$D$10008,$C$5:$C$499)</f>
        <v>0</v>
      </c>
      <c r="AH46" s="11">
        <f t="shared" si="11"/>
        <v>0</v>
      </c>
      <c r="AI46" s="11">
        <f>SUMIFS(PURCHASE!$K$6:$K$10008,PURCHASE!$A$6:$A$10008,$AH$3,PURCHASE!$D$6:$D$10008,$C$5:$C$499)</f>
        <v>0</v>
      </c>
      <c r="AJ46" s="11">
        <f>SUMIFS(PURCHASE!$L$6:$L$10008,PURCHASE!$A$6:$A$10008,$AH$3,PURCHASE!$D$6:$D$10008,$C$5:$C$499)</f>
        <v>0</v>
      </c>
      <c r="AK46" s="11">
        <f>SUMIFS(PURCHASE!$M$6:$M$10008,PURCHASE!$A$6:$A$10008,$AH$3,PURCHASE!$D$6:$D$10008,$C$5:$C$499)</f>
        <v>0</v>
      </c>
      <c r="AL46" s="11">
        <f>SUMIFS(PURCHASE!$N$6:$N$10008,PURCHASE!$A$6:$A$10008,$AH$3,PURCHASE!$D$6:$D$10008,$C$5:$C$499)</f>
        <v>0</v>
      </c>
      <c r="AM46" s="11">
        <f t="shared" si="12"/>
        <v>0</v>
      </c>
      <c r="AN46" s="11">
        <f>SUMIFS(PURCHASE!$K$6:$K$10008,PURCHASE!$A$6:$A$10008,$AM$3,PURCHASE!$D$6:$D$10008,$C$5:$C$499)</f>
        <v>0</v>
      </c>
      <c r="AO46" s="11">
        <f>SUMIFS(PURCHASE!$L$6:$L$10008,PURCHASE!$A$6:$A$10008,$AM$3,PURCHASE!$D$6:$D$10008,$C$5:$C$499)</f>
        <v>0</v>
      </c>
      <c r="AP46" s="11">
        <f>SUMIFS(PURCHASE!$M$6:$M$10008,PURCHASE!$A$6:$A$10008,$AM$3,PURCHASE!$D$6:$D$10008,$C$5:$C$499)</f>
        <v>0</v>
      </c>
      <c r="AQ46" s="11">
        <f>SUMIFS(PURCHASE!$N$6:$N$10008,PURCHASE!$A$6:$A$10008,$AM$3,PURCHASE!$D$6:$D$10008,$C$5:$C$499)</f>
        <v>0</v>
      </c>
      <c r="AR46" s="11">
        <f t="shared" si="13"/>
        <v>0</v>
      </c>
      <c r="AS46" s="11">
        <f>SUMIFS(PURCHASE!$K$6:$K$10008,PURCHASE!$A$6:$A$10008,$AR$3,PURCHASE!$D$6:$D$10008,$C$5:$C$499)</f>
        <v>0</v>
      </c>
      <c r="AT46" s="11">
        <f>SUMIFS(PURCHASE!$L$6:$L$10008,PURCHASE!$A$6:$A$10008,$AR$3,PURCHASE!$D$6:$D$10008,$C$5:$C$499)</f>
        <v>0</v>
      </c>
      <c r="AU46" s="11">
        <f>SUMIFS(PURCHASE!$M$6:$M$10008,PURCHASE!$A$6:$A$10008,$AR$3,PURCHASE!$D$6:$D$10008,$C$5:$C$499)</f>
        <v>0</v>
      </c>
      <c r="AV46" s="11">
        <f>SUMIFS(PURCHASE!$N$6:$N$10008,PURCHASE!$A$6:$A$10008,$AR$3,PURCHASE!$D$6:$D$10008,$C$5:$C$499)</f>
        <v>0</v>
      </c>
      <c r="AW46" s="11">
        <f t="shared" si="14"/>
        <v>0</v>
      </c>
      <c r="AX46" s="11">
        <f>SUMIFS(PURCHASE!$K$6:$K$10008,PURCHASE!$A$6:$A$10008,$AW$3,PURCHASE!$D$6:$D$10008,$C$5:$C$499)</f>
        <v>0</v>
      </c>
      <c r="AY46" s="11">
        <f>SUMIFS(PURCHASE!$L$6:$L$10008,PURCHASE!$A$6:$A$10008,$AW$3,PURCHASE!$D$6:$D$10008,$C$5:$C$499)</f>
        <v>0</v>
      </c>
      <c r="AZ46" s="11">
        <f>SUMIFS(PURCHASE!$M$6:$M$10008,PURCHASE!$A$6:$A$10008,$AW$3,PURCHASE!$D$6:$D$10008,$C$5:$C$499)</f>
        <v>0</v>
      </c>
      <c r="BA46" s="11">
        <f>SUMIFS(PURCHASE!$N$6:$N$10008,PURCHASE!$A$6:$A$10008,$AW$3,PURCHASE!$D$6:$D$10008,$C$5:$C$499)</f>
        <v>0</v>
      </c>
      <c r="BB46" s="11">
        <f t="shared" si="15"/>
        <v>0</v>
      </c>
      <c r="BC46" s="11">
        <f>SUMIFS(PURCHASE!$K$6:$K$10008,PURCHASE!$A$6:$A$10008,$BB$3,PURCHASE!$D$6:$D$10008,$C$5:$C$499)</f>
        <v>0</v>
      </c>
      <c r="BD46" s="11">
        <f>SUMIFS(PURCHASE!$L$6:$L$10008,PURCHASE!$A$6:$A$10008,$BB$3,PURCHASE!$D$6:$D$10008,$C$5:$C$499)</f>
        <v>0</v>
      </c>
      <c r="BE46" s="11">
        <f>SUMIFS(PURCHASE!$M$6:$M$10008,PURCHASE!$A$6:$A$10008,$BB$3,PURCHASE!$D$6:$D$10008,$C$5:$C$499)</f>
        <v>0</v>
      </c>
      <c r="BF46" s="11">
        <f>SUMIFS(PURCHASE!$N$6:$N$10008,PURCHASE!$A$6:$A$10008,$BB$3,PURCHASE!$D$6:$D$10008,$C$5:$C$499)</f>
        <v>0</v>
      </c>
      <c r="BG46" s="11">
        <f t="shared" si="16"/>
        <v>0</v>
      </c>
      <c r="BH46" s="11">
        <f>SUMIFS(PURCHASE!$K$6:$K$10008,PURCHASE!$A$6:$A$10008,$BG$3,PURCHASE!$D$6:$D$10008,$C$5:$C$499)</f>
        <v>0</v>
      </c>
      <c r="BI46" s="11">
        <f>SUMIFS(PURCHASE!$L$6:$L$10008,PURCHASE!$A$6:$A$10008,$BG$3,PURCHASE!$D$6:$D$10008,$C$5:$C$499)</f>
        <v>0</v>
      </c>
      <c r="BJ46" s="11">
        <f>SUMIFS(PURCHASE!$M$6:$M$10008,PURCHASE!$A$6:$A$10008,$BG$3,PURCHASE!$D$6:$D$10008,$C$5:$C$499)</f>
        <v>0</v>
      </c>
      <c r="BK46" s="11">
        <f>SUMIFS(PURCHASE!$N$6:$N$10008,PURCHASE!$A$6:$A$10008,$BG$3,PURCHASE!$D$6:$D$10008,$C$5:$C$499)</f>
        <v>0</v>
      </c>
      <c r="BL46" s="11">
        <f t="shared" si="4"/>
        <v>0</v>
      </c>
      <c r="BM46" s="11">
        <f t="shared" si="4"/>
        <v>0</v>
      </c>
      <c r="BN46" s="11">
        <f t="shared" si="4"/>
        <v>0</v>
      </c>
      <c r="BO46" s="11">
        <f t="shared" si="4"/>
        <v>0</v>
      </c>
      <c r="BP46" s="11">
        <f t="shared" si="4"/>
        <v>0</v>
      </c>
    </row>
    <row r="47" spans="1:68" x14ac:dyDescent="0.2">
      <c r="A47" s="467">
        <v>43</v>
      </c>
      <c r="B47" s="468" t="s">
        <v>1108</v>
      </c>
      <c r="C47" s="469" t="s">
        <v>1109</v>
      </c>
      <c r="D47" s="11">
        <f t="shared" si="5"/>
        <v>0</v>
      </c>
      <c r="E47" s="11">
        <f>SUMIFS(PURCHASE!$K$6:$K$10008,PURCHASE!$A$6:$A$10008,$D$3,PURCHASE!$D$6:$D$10008,$C$5:$C$499)</f>
        <v>0</v>
      </c>
      <c r="F47" s="11">
        <f>SUMIFS(PURCHASE!$L$6:$L$10008,PURCHASE!$A$6:$A$10008,$D$3,PURCHASE!$D$6:$D$10008,$C$5:$C$499)</f>
        <v>0</v>
      </c>
      <c r="G47" s="11">
        <f>SUMIFS(PURCHASE!$M$6:$M$10008,PURCHASE!$A$6:$A$10008,$D$3,PURCHASE!$D$6:$D$10008,$C$5:$C$499)</f>
        <v>0</v>
      </c>
      <c r="H47" s="11">
        <f>SUMIFS(PURCHASE!$N$6:$N$10008,PURCHASE!$A$6:$A$10008,$D$3,PURCHASE!$D$6:$D$10008,$C$5:$C$499)</f>
        <v>0</v>
      </c>
      <c r="I47" s="473">
        <f t="shared" si="6"/>
        <v>0</v>
      </c>
      <c r="J47" s="60">
        <f>SUMIFS(PURCHASE!$K$6:$K$10008,PURCHASE!$A$6:$A$10008,$I$3,PURCHASE!$D$6:$D$10008,$C$5:$C$499)</f>
        <v>0</v>
      </c>
      <c r="K47" s="60">
        <f>SUMIFS(PURCHASE!$L$6:$L$10008,PURCHASE!$A$6:$A$10008,$I$3,PURCHASE!$D$6:$D$10008,$C$5:$C$499)</f>
        <v>0</v>
      </c>
      <c r="L47" s="60">
        <f>SUMIFS(PURCHASE!$M$6:$M$10008,PURCHASE!$A$6:$A$10008,$I$3,PURCHASE!$D$6:$D$10008,$C$5:$C$499)</f>
        <v>0</v>
      </c>
      <c r="M47" s="474">
        <f>SUMIFS(PURCHASE!$N$6:$N$10008,PURCHASE!$A$6:$A$10008,$I$3,PURCHASE!$D$6:$D$10008,$C$5:$C$499)</f>
        <v>0</v>
      </c>
      <c r="N47" s="11">
        <f t="shared" si="7"/>
        <v>0</v>
      </c>
      <c r="O47" s="11">
        <f>SUMIFS(PURCHASE!$K$6:$K$10008,PURCHASE!$A$6:$A$10008,$N$3,PURCHASE!$D$6:$D$10008,$C$5:$C$499)</f>
        <v>0</v>
      </c>
      <c r="P47" s="11">
        <f>SUMIFS(PURCHASE!$L$6:$L$10008,PURCHASE!$A$6:$A$10008,$N$3,PURCHASE!$D$6:$D$10008,$C$5:$C$499)</f>
        <v>0</v>
      </c>
      <c r="Q47" s="11">
        <f>SUMIFS(PURCHASE!$M$6:$M$10008,PURCHASE!$A$6:$A$10008,$N$3,PURCHASE!$D$6:$D$10008,$C$5:$C$499)</f>
        <v>0</v>
      </c>
      <c r="R47" s="11">
        <f>SUMIFS(PURCHASE!$N$6:$N$10008,PURCHASE!$A$6:$A$10008,$N$3,PURCHASE!$D$6:$D$10008,$C$5:$C$499)</f>
        <v>0</v>
      </c>
      <c r="S47" s="11">
        <f t="shared" si="8"/>
        <v>0</v>
      </c>
      <c r="T47" s="11">
        <f>SUMIFS(PURCHASE!$K$6:$K$10008,PURCHASE!$A$6:$A$10008,$S$3,PURCHASE!$D$6:$D$10008,$C$5:$C$499)</f>
        <v>0</v>
      </c>
      <c r="U47" s="11">
        <f>SUMIFS(PURCHASE!$L$6:$L$10008,PURCHASE!$A$6:$A$10008,$S$3,PURCHASE!$D$6:$D$10008,$C$5:$C$499)</f>
        <v>0</v>
      </c>
      <c r="V47" s="11">
        <f>SUMIFS(PURCHASE!$M$6:$M$10008,PURCHASE!$A$6:$A$10008,$S$3,PURCHASE!$D$6:$D$10008,$C$5:$C$499)</f>
        <v>0</v>
      </c>
      <c r="W47" s="11">
        <f>SUMIFS(PURCHASE!$N$6:$N$10008,PURCHASE!$A$6:$A$10008,$S$3,PURCHASE!$D$6:$D$10008,$C$5:$C$499)</f>
        <v>0</v>
      </c>
      <c r="X47" s="11">
        <f t="shared" si="9"/>
        <v>0</v>
      </c>
      <c r="Y47" s="11">
        <f>SUMIFS(PURCHASE!$K$6:$K$10008,PURCHASE!$A$6:$A$10008,$X$3,PURCHASE!$D$6:$D$10008,$C$5:$C$499)</f>
        <v>0</v>
      </c>
      <c r="Z47" s="11">
        <f>SUMIFS(PURCHASE!$L$6:$L$10008,PURCHASE!$A$6:$A$10008,$X$3,PURCHASE!$D$6:$D$10008,$C$5:$C$499)</f>
        <v>0</v>
      </c>
      <c r="AA47" s="11">
        <f>SUMIFS(PURCHASE!$M$6:$M$10008,PURCHASE!$A$6:$A$10008,$X$3,PURCHASE!$D$6:$D$10008,$C$5:$C$499)</f>
        <v>0</v>
      </c>
      <c r="AB47" s="11">
        <f>SUMIFS(PURCHASE!$N$6:$N$10008,PURCHASE!$A$6:$A$10008,$X$3,PURCHASE!$D$6:$D$10008,$C$5:$C$499)</f>
        <v>0</v>
      </c>
      <c r="AC47" s="11">
        <f t="shared" si="10"/>
        <v>0</v>
      </c>
      <c r="AD47" s="11">
        <f>SUMIFS(PURCHASE!$K$6:$K$10008,PURCHASE!$A$6:$A$10008,$AC$3,PURCHASE!$D$6:$D$10008,$C$5:$C$499)</f>
        <v>0</v>
      </c>
      <c r="AE47" s="11">
        <f>SUMIFS(PURCHASE!$L$6:$L$10008,PURCHASE!$A$6:$A$10008,$AC$3,PURCHASE!$D$6:$D$10008,$C$5:$C$499)</f>
        <v>0</v>
      </c>
      <c r="AF47" s="11">
        <f>SUMIFS(PURCHASE!$M$6:$M$10008,PURCHASE!$A$6:$A$10008,$AC$3,PURCHASE!$D$6:$D$10008,$C$5:$C$499)</f>
        <v>0</v>
      </c>
      <c r="AG47" s="11">
        <f>SUMIFS(PURCHASE!$N$6:$N$10008,PURCHASE!$A$6:$A$10008,$AC$3,PURCHASE!$D$6:$D$10008,$C$5:$C$499)</f>
        <v>0</v>
      </c>
      <c r="AH47" s="11">
        <f t="shared" si="11"/>
        <v>0</v>
      </c>
      <c r="AI47" s="11">
        <f>SUMIFS(PURCHASE!$K$6:$K$10008,PURCHASE!$A$6:$A$10008,$AH$3,PURCHASE!$D$6:$D$10008,$C$5:$C$499)</f>
        <v>0</v>
      </c>
      <c r="AJ47" s="11">
        <f>SUMIFS(PURCHASE!$L$6:$L$10008,PURCHASE!$A$6:$A$10008,$AH$3,PURCHASE!$D$6:$D$10008,$C$5:$C$499)</f>
        <v>0</v>
      </c>
      <c r="AK47" s="11">
        <f>SUMIFS(PURCHASE!$M$6:$M$10008,PURCHASE!$A$6:$A$10008,$AH$3,PURCHASE!$D$6:$D$10008,$C$5:$C$499)</f>
        <v>0</v>
      </c>
      <c r="AL47" s="11">
        <f>SUMIFS(PURCHASE!$N$6:$N$10008,PURCHASE!$A$6:$A$10008,$AH$3,PURCHASE!$D$6:$D$10008,$C$5:$C$499)</f>
        <v>0</v>
      </c>
      <c r="AM47" s="11">
        <f t="shared" si="12"/>
        <v>0</v>
      </c>
      <c r="AN47" s="11">
        <f>SUMIFS(PURCHASE!$K$6:$K$10008,PURCHASE!$A$6:$A$10008,$AM$3,PURCHASE!$D$6:$D$10008,$C$5:$C$499)</f>
        <v>0</v>
      </c>
      <c r="AO47" s="11">
        <f>SUMIFS(PURCHASE!$L$6:$L$10008,PURCHASE!$A$6:$A$10008,$AM$3,PURCHASE!$D$6:$D$10008,$C$5:$C$499)</f>
        <v>0</v>
      </c>
      <c r="AP47" s="11">
        <f>SUMIFS(PURCHASE!$M$6:$M$10008,PURCHASE!$A$6:$A$10008,$AM$3,PURCHASE!$D$6:$D$10008,$C$5:$C$499)</f>
        <v>0</v>
      </c>
      <c r="AQ47" s="11">
        <f>SUMIFS(PURCHASE!$N$6:$N$10008,PURCHASE!$A$6:$A$10008,$AM$3,PURCHASE!$D$6:$D$10008,$C$5:$C$499)</f>
        <v>0</v>
      </c>
      <c r="AR47" s="11">
        <f t="shared" si="13"/>
        <v>0</v>
      </c>
      <c r="AS47" s="11">
        <f>SUMIFS(PURCHASE!$K$6:$K$10008,PURCHASE!$A$6:$A$10008,$AR$3,PURCHASE!$D$6:$D$10008,$C$5:$C$499)</f>
        <v>0</v>
      </c>
      <c r="AT47" s="11">
        <f>SUMIFS(PURCHASE!$L$6:$L$10008,PURCHASE!$A$6:$A$10008,$AR$3,PURCHASE!$D$6:$D$10008,$C$5:$C$499)</f>
        <v>0</v>
      </c>
      <c r="AU47" s="11">
        <f>SUMIFS(PURCHASE!$M$6:$M$10008,PURCHASE!$A$6:$A$10008,$AR$3,PURCHASE!$D$6:$D$10008,$C$5:$C$499)</f>
        <v>0</v>
      </c>
      <c r="AV47" s="11">
        <f>SUMIFS(PURCHASE!$N$6:$N$10008,PURCHASE!$A$6:$A$10008,$AR$3,PURCHASE!$D$6:$D$10008,$C$5:$C$499)</f>
        <v>0</v>
      </c>
      <c r="AW47" s="11">
        <f t="shared" si="14"/>
        <v>0</v>
      </c>
      <c r="AX47" s="11">
        <f>SUMIFS(PURCHASE!$K$6:$K$10008,PURCHASE!$A$6:$A$10008,$AW$3,PURCHASE!$D$6:$D$10008,$C$5:$C$499)</f>
        <v>0</v>
      </c>
      <c r="AY47" s="11">
        <f>SUMIFS(PURCHASE!$L$6:$L$10008,PURCHASE!$A$6:$A$10008,$AW$3,PURCHASE!$D$6:$D$10008,$C$5:$C$499)</f>
        <v>0</v>
      </c>
      <c r="AZ47" s="11">
        <f>SUMIFS(PURCHASE!$M$6:$M$10008,PURCHASE!$A$6:$A$10008,$AW$3,PURCHASE!$D$6:$D$10008,$C$5:$C$499)</f>
        <v>0</v>
      </c>
      <c r="BA47" s="11">
        <f>SUMIFS(PURCHASE!$N$6:$N$10008,PURCHASE!$A$6:$A$10008,$AW$3,PURCHASE!$D$6:$D$10008,$C$5:$C$499)</f>
        <v>0</v>
      </c>
      <c r="BB47" s="11">
        <f t="shared" si="15"/>
        <v>0</v>
      </c>
      <c r="BC47" s="11">
        <f>SUMIFS(PURCHASE!$K$6:$K$10008,PURCHASE!$A$6:$A$10008,$BB$3,PURCHASE!$D$6:$D$10008,$C$5:$C$499)</f>
        <v>0</v>
      </c>
      <c r="BD47" s="11">
        <f>SUMIFS(PURCHASE!$L$6:$L$10008,PURCHASE!$A$6:$A$10008,$BB$3,PURCHASE!$D$6:$D$10008,$C$5:$C$499)</f>
        <v>0</v>
      </c>
      <c r="BE47" s="11">
        <f>SUMIFS(PURCHASE!$M$6:$M$10008,PURCHASE!$A$6:$A$10008,$BB$3,PURCHASE!$D$6:$D$10008,$C$5:$C$499)</f>
        <v>0</v>
      </c>
      <c r="BF47" s="11">
        <f>SUMIFS(PURCHASE!$N$6:$N$10008,PURCHASE!$A$6:$A$10008,$BB$3,PURCHASE!$D$6:$D$10008,$C$5:$C$499)</f>
        <v>0</v>
      </c>
      <c r="BG47" s="11">
        <f t="shared" si="16"/>
        <v>0</v>
      </c>
      <c r="BH47" s="11">
        <f>SUMIFS(PURCHASE!$K$6:$K$10008,PURCHASE!$A$6:$A$10008,$BG$3,PURCHASE!$D$6:$D$10008,$C$5:$C$499)</f>
        <v>0</v>
      </c>
      <c r="BI47" s="11">
        <f>SUMIFS(PURCHASE!$L$6:$L$10008,PURCHASE!$A$6:$A$10008,$BG$3,PURCHASE!$D$6:$D$10008,$C$5:$C$499)</f>
        <v>0</v>
      </c>
      <c r="BJ47" s="11">
        <f>SUMIFS(PURCHASE!$M$6:$M$10008,PURCHASE!$A$6:$A$10008,$BG$3,PURCHASE!$D$6:$D$10008,$C$5:$C$499)</f>
        <v>0</v>
      </c>
      <c r="BK47" s="11">
        <f>SUMIFS(PURCHASE!$N$6:$N$10008,PURCHASE!$A$6:$A$10008,$BG$3,PURCHASE!$D$6:$D$10008,$C$5:$C$499)</f>
        <v>0</v>
      </c>
      <c r="BL47" s="11">
        <f t="shared" si="4"/>
        <v>0</v>
      </c>
      <c r="BM47" s="11">
        <f t="shared" si="4"/>
        <v>0</v>
      </c>
      <c r="BN47" s="11">
        <f t="shared" si="4"/>
        <v>0</v>
      </c>
      <c r="BO47" s="11">
        <f t="shared" si="4"/>
        <v>0</v>
      </c>
      <c r="BP47" s="11">
        <f t="shared" si="4"/>
        <v>0</v>
      </c>
    </row>
    <row r="48" spans="1:68" x14ac:dyDescent="0.2">
      <c r="A48" s="467">
        <v>44</v>
      </c>
      <c r="B48" s="468" t="s">
        <v>54</v>
      </c>
      <c r="C48" s="469" t="s">
        <v>55</v>
      </c>
      <c r="D48" s="11">
        <f t="shared" si="5"/>
        <v>0</v>
      </c>
      <c r="E48" s="11">
        <f>SUMIFS(PURCHASE!$K$6:$K$10008,PURCHASE!$A$6:$A$10008,$D$3,PURCHASE!$D$6:$D$10008,$C$5:$C$499)</f>
        <v>0</v>
      </c>
      <c r="F48" s="11">
        <f>SUMIFS(PURCHASE!$L$6:$L$10008,PURCHASE!$A$6:$A$10008,$D$3,PURCHASE!$D$6:$D$10008,$C$5:$C$499)</f>
        <v>0</v>
      </c>
      <c r="G48" s="11">
        <f>SUMIFS(PURCHASE!$M$6:$M$10008,PURCHASE!$A$6:$A$10008,$D$3,PURCHASE!$D$6:$D$10008,$C$5:$C$499)</f>
        <v>0</v>
      </c>
      <c r="H48" s="11">
        <f>SUMIFS(PURCHASE!$N$6:$N$10008,PURCHASE!$A$6:$A$10008,$D$3,PURCHASE!$D$6:$D$10008,$C$5:$C$499)</f>
        <v>0</v>
      </c>
      <c r="I48" s="473">
        <f t="shared" si="6"/>
        <v>0</v>
      </c>
      <c r="J48" s="60">
        <f>SUMIFS(PURCHASE!$K$6:$K$10008,PURCHASE!$A$6:$A$10008,$I$3,PURCHASE!$D$6:$D$10008,$C$5:$C$499)</f>
        <v>0</v>
      </c>
      <c r="K48" s="60">
        <f>SUMIFS(PURCHASE!$L$6:$L$10008,PURCHASE!$A$6:$A$10008,$I$3,PURCHASE!$D$6:$D$10008,$C$5:$C$499)</f>
        <v>0</v>
      </c>
      <c r="L48" s="60">
        <f>SUMIFS(PURCHASE!$M$6:$M$10008,PURCHASE!$A$6:$A$10008,$I$3,PURCHASE!$D$6:$D$10008,$C$5:$C$499)</f>
        <v>0</v>
      </c>
      <c r="M48" s="474">
        <f>SUMIFS(PURCHASE!$N$6:$N$10008,PURCHASE!$A$6:$A$10008,$I$3,PURCHASE!$D$6:$D$10008,$C$5:$C$499)</f>
        <v>0</v>
      </c>
      <c r="N48" s="11">
        <f t="shared" si="7"/>
        <v>0</v>
      </c>
      <c r="O48" s="11">
        <f>SUMIFS(PURCHASE!$K$6:$K$10008,PURCHASE!$A$6:$A$10008,$N$3,PURCHASE!$D$6:$D$10008,$C$5:$C$499)</f>
        <v>0</v>
      </c>
      <c r="P48" s="11">
        <f>SUMIFS(PURCHASE!$L$6:$L$10008,PURCHASE!$A$6:$A$10008,$N$3,PURCHASE!$D$6:$D$10008,$C$5:$C$499)</f>
        <v>0</v>
      </c>
      <c r="Q48" s="11">
        <f>SUMIFS(PURCHASE!$M$6:$M$10008,PURCHASE!$A$6:$A$10008,$N$3,PURCHASE!$D$6:$D$10008,$C$5:$C$499)</f>
        <v>0</v>
      </c>
      <c r="R48" s="11">
        <f>SUMIFS(PURCHASE!$N$6:$N$10008,PURCHASE!$A$6:$A$10008,$N$3,PURCHASE!$D$6:$D$10008,$C$5:$C$499)</f>
        <v>0</v>
      </c>
      <c r="S48" s="11">
        <f t="shared" si="8"/>
        <v>0</v>
      </c>
      <c r="T48" s="11">
        <f>SUMIFS(PURCHASE!$K$6:$K$10008,PURCHASE!$A$6:$A$10008,$S$3,PURCHASE!$D$6:$D$10008,$C$5:$C$499)</f>
        <v>0</v>
      </c>
      <c r="U48" s="11">
        <f>SUMIFS(PURCHASE!$L$6:$L$10008,PURCHASE!$A$6:$A$10008,$S$3,PURCHASE!$D$6:$D$10008,$C$5:$C$499)</f>
        <v>0</v>
      </c>
      <c r="V48" s="11">
        <f>SUMIFS(PURCHASE!$M$6:$M$10008,PURCHASE!$A$6:$A$10008,$S$3,PURCHASE!$D$6:$D$10008,$C$5:$C$499)</f>
        <v>0</v>
      </c>
      <c r="W48" s="11">
        <f>SUMIFS(PURCHASE!$N$6:$N$10008,PURCHASE!$A$6:$A$10008,$S$3,PURCHASE!$D$6:$D$10008,$C$5:$C$499)</f>
        <v>0</v>
      </c>
      <c r="X48" s="11">
        <f t="shared" si="9"/>
        <v>0</v>
      </c>
      <c r="Y48" s="11">
        <f>SUMIFS(PURCHASE!$K$6:$K$10008,PURCHASE!$A$6:$A$10008,$X$3,PURCHASE!$D$6:$D$10008,$C$5:$C$499)</f>
        <v>0</v>
      </c>
      <c r="Z48" s="11">
        <f>SUMIFS(PURCHASE!$L$6:$L$10008,PURCHASE!$A$6:$A$10008,$X$3,PURCHASE!$D$6:$D$10008,$C$5:$C$499)</f>
        <v>0</v>
      </c>
      <c r="AA48" s="11">
        <f>SUMIFS(PURCHASE!$M$6:$M$10008,PURCHASE!$A$6:$A$10008,$X$3,PURCHASE!$D$6:$D$10008,$C$5:$C$499)</f>
        <v>0</v>
      </c>
      <c r="AB48" s="11">
        <f>SUMIFS(PURCHASE!$N$6:$N$10008,PURCHASE!$A$6:$A$10008,$X$3,PURCHASE!$D$6:$D$10008,$C$5:$C$499)</f>
        <v>0</v>
      </c>
      <c r="AC48" s="11">
        <f t="shared" si="10"/>
        <v>0</v>
      </c>
      <c r="AD48" s="11">
        <f>SUMIFS(PURCHASE!$K$6:$K$10008,PURCHASE!$A$6:$A$10008,$AC$3,PURCHASE!$D$6:$D$10008,$C$5:$C$499)</f>
        <v>0</v>
      </c>
      <c r="AE48" s="11">
        <f>SUMIFS(PURCHASE!$L$6:$L$10008,PURCHASE!$A$6:$A$10008,$AC$3,PURCHASE!$D$6:$D$10008,$C$5:$C$499)</f>
        <v>0</v>
      </c>
      <c r="AF48" s="11">
        <f>SUMIFS(PURCHASE!$M$6:$M$10008,PURCHASE!$A$6:$A$10008,$AC$3,PURCHASE!$D$6:$D$10008,$C$5:$C$499)</f>
        <v>0</v>
      </c>
      <c r="AG48" s="11">
        <f>SUMIFS(PURCHASE!$N$6:$N$10008,PURCHASE!$A$6:$A$10008,$AC$3,PURCHASE!$D$6:$D$10008,$C$5:$C$499)</f>
        <v>0</v>
      </c>
      <c r="AH48" s="11">
        <f t="shared" si="11"/>
        <v>0</v>
      </c>
      <c r="AI48" s="11">
        <f>SUMIFS(PURCHASE!$K$6:$K$10008,PURCHASE!$A$6:$A$10008,$AH$3,PURCHASE!$D$6:$D$10008,$C$5:$C$499)</f>
        <v>0</v>
      </c>
      <c r="AJ48" s="11">
        <f>SUMIFS(PURCHASE!$L$6:$L$10008,PURCHASE!$A$6:$A$10008,$AH$3,PURCHASE!$D$6:$D$10008,$C$5:$C$499)</f>
        <v>0</v>
      </c>
      <c r="AK48" s="11">
        <f>SUMIFS(PURCHASE!$M$6:$M$10008,PURCHASE!$A$6:$A$10008,$AH$3,PURCHASE!$D$6:$D$10008,$C$5:$C$499)</f>
        <v>0</v>
      </c>
      <c r="AL48" s="11">
        <f>SUMIFS(PURCHASE!$N$6:$N$10008,PURCHASE!$A$6:$A$10008,$AH$3,PURCHASE!$D$6:$D$10008,$C$5:$C$499)</f>
        <v>0</v>
      </c>
      <c r="AM48" s="11">
        <f t="shared" si="12"/>
        <v>0</v>
      </c>
      <c r="AN48" s="11">
        <f>SUMIFS(PURCHASE!$K$6:$K$10008,PURCHASE!$A$6:$A$10008,$AM$3,PURCHASE!$D$6:$D$10008,$C$5:$C$499)</f>
        <v>0</v>
      </c>
      <c r="AO48" s="11">
        <f>SUMIFS(PURCHASE!$L$6:$L$10008,PURCHASE!$A$6:$A$10008,$AM$3,PURCHASE!$D$6:$D$10008,$C$5:$C$499)</f>
        <v>0</v>
      </c>
      <c r="AP48" s="11">
        <f>SUMIFS(PURCHASE!$M$6:$M$10008,PURCHASE!$A$6:$A$10008,$AM$3,PURCHASE!$D$6:$D$10008,$C$5:$C$499)</f>
        <v>0</v>
      </c>
      <c r="AQ48" s="11">
        <f>SUMIFS(PURCHASE!$N$6:$N$10008,PURCHASE!$A$6:$A$10008,$AM$3,PURCHASE!$D$6:$D$10008,$C$5:$C$499)</f>
        <v>0</v>
      </c>
      <c r="AR48" s="11">
        <f t="shared" si="13"/>
        <v>0</v>
      </c>
      <c r="AS48" s="11">
        <f>SUMIFS(PURCHASE!$K$6:$K$10008,PURCHASE!$A$6:$A$10008,$AR$3,PURCHASE!$D$6:$D$10008,$C$5:$C$499)</f>
        <v>0</v>
      </c>
      <c r="AT48" s="11">
        <f>SUMIFS(PURCHASE!$L$6:$L$10008,PURCHASE!$A$6:$A$10008,$AR$3,PURCHASE!$D$6:$D$10008,$C$5:$C$499)</f>
        <v>0</v>
      </c>
      <c r="AU48" s="11">
        <f>SUMIFS(PURCHASE!$M$6:$M$10008,PURCHASE!$A$6:$A$10008,$AR$3,PURCHASE!$D$6:$D$10008,$C$5:$C$499)</f>
        <v>0</v>
      </c>
      <c r="AV48" s="11">
        <f>SUMIFS(PURCHASE!$N$6:$N$10008,PURCHASE!$A$6:$A$10008,$AR$3,PURCHASE!$D$6:$D$10008,$C$5:$C$499)</f>
        <v>0</v>
      </c>
      <c r="AW48" s="11">
        <f t="shared" si="14"/>
        <v>0</v>
      </c>
      <c r="AX48" s="11">
        <f>SUMIFS(PURCHASE!$K$6:$K$10008,PURCHASE!$A$6:$A$10008,$AW$3,PURCHASE!$D$6:$D$10008,$C$5:$C$499)</f>
        <v>0</v>
      </c>
      <c r="AY48" s="11">
        <f>SUMIFS(PURCHASE!$L$6:$L$10008,PURCHASE!$A$6:$A$10008,$AW$3,PURCHASE!$D$6:$D$10008,$C$5:$C$499)</f>
        <v>0</v>
      </c>
      <c r="AZ48" s="11">
        <f>SUMIFS(PURCHASE!$M$6:$M$10008,PURCHASE!$A$6:$A$10008,$AW$3,PURCHASE!$D$6:$D$10008,$C$5:$C$499)</f>
        <v>0</v>
      </c>
      <c r="BA48" s="11">
        <f>SUMIFS(PURCHASE!$N$6:$N$10008,PURCHASE!$A$6:$A$10008,$AW$3,PURCHASE!$D$6:$D$10008,$C$5:$C$499)</f>
        <v>0</v>
      </c>
      <c r="BB48" s="11">
        <f t="shared" si="15"/>
        <v>0</v>
      </c>
      <c r="BC48" s="11">
        <f>SUMIFS(PURCHASE!$K$6:$K$10008,PURCHASE!$A$6:$A$10008,$BB$3,PURCHASE!$D$6:$D$10008,$C$5:$C$499)</f>
        <v>0</v>
      </c>
      <c r="BD48" s="11">
        <f>SUMIFS(PURCHASE!$L$6:$L$10008,PURCHASE!$A$6:$A$10008,$BB$3,PURCHASE!$D$6:$D$10008,$C$5:$C$499)</f>
        <v>0</v>
      </c>
      <c r="BE48" s="11">
        <f>SUMIFS(PURCHASE!$M$6:$M$10008,PURCHASE!$A$6:$A$10008,$BB$3,PURCHASE!$D$6:$D$10008,$C$5:$C$499)</f>
        <v>0</v>
      </c>
      <c r="BF48" s="11">
        <f>SUMIFS(PURCHASE!$N$6:$N$10008,PURCHASE!$A$6:$A$10008,$BB$3,PURCHASE!$D$6:$D$10008,$C$5:$C$499)</f>
        <v>0</v>
      </c>
      <c r="BG48" s="11">
        <f t="shared" si="16"/>
        <v>0</v>
      </c>
      <c r="BH48" s="11">
        <f>SUMIFS(PURCHASE!$K$6:$K$10008,PURCHASE!$A$6:$A$10008,$BG$3,PURCHASE!$D$6:$D$10008,$C$5:$C$499)</f>
        <v>0</v>
      </c>
      <c r="BI48" s="11">
        <f>SUMIFS(PURCHASE!$L$6:$L$10008,PURCHASE!$A$6:$A$10008,$BG$3,PURCHASE!$D$6:$D$10008,$C$5:$C$499)</f>
        <v>0</v>
      </c>
      <c r="BJ48" s="11">
        <f>SUMIFS(PURCHASE!$M$6:$M$10008,PURCHASE!$A$6:$A$10008,$BG$3,PURCHASE!$D$6:$D$10008,$C$5:$C$499)</f>
        <v>0</v>
      </c>
      <c r="BK48" s="11">
        <f>SUMIFS(PURCHASE!$N$6:$N$10008,PURCHASE!$A$6:$A$10008,$BG$3,PURCHASE!$D$6:$D$10008,$C$5:$C$499)</f>
        <v>0</v>
      </c>
      <c r="BL48" s="11">
        <f t="shared" si="4"/>
        <v>0</v>
      </c>
      <c r="BM48" s="11">
        <f t="shared" si="4"/>
        <v>0</v>
      </c>
      <c r="BN48" s="11">
        <f t="shared" si="4"/>
        <v>0</v>
      </c>
      <c r="BO48" s="11">
        <f t="shared" si="4"/>
        <v>0</v>
      </c>
      <c r="BP48" s="11">
        <f t="shared" si="4"/>
        <v>0</v>
      </c>
    </row>
    <row r="49" spans="1:68" x14ac:dyDescent="0.2">
      <c r="A49" s="467">
        <v>45</v>
      </c>
      <c r="B49" s="468" t="s">
        <v>45</v>
      </c>
      <c r="C49" s="469" t="s">
        <v>46</v>
      </c>
      <c r="D49" s="11">
        <f t="shared" si="5"/>
        <v>0</v>
      </c>
      <c r="E49" s="11">
        <f>SUMIFS(PURCHASE!$K$6:$K$10008,PURCHASE!$A$6:$A$10008,$D$3,PURCHASE!$D$6:$D$10008,$C$5:$C$499)</f>
        <v>0</v>
      </c>
      <c r="F49" s="11">
        <f>SUMIFS(PURCHASE!$L$6:$L$10008,PURCHASE!$A$6:$A$10008,$D$3,PURCHASE!$D$6:$D$10008,$C$5:$C$499)</f>
        <v>0</v>
      </c>
      <c r="G49" s="11">
        <f>SUMIFS(PURCHASE!$M$6:$M$10008,PURCHASE!$A$6:$A$10008,$D$3,PURCHASE!$D$6:$D$10008,$C$5:$C$499)</f>
        <v>0</v>
      </c>
      <c r="H49" s="11">
        <f>SUMIFS(PURCHASE!$N$6:$N$10008,PURCHASE!$A$6:$A$10008,$D$3,PURCHASE!$D$6:$D$10008,$C$5:$C$499)</f>
        <v>0</v>
      </c>
      <c r="I49" s="473">
        <f t="shared" si="6"/>
        <v>0</v>
      </c>
      <c r="J49" s="60">
        <f>SUMIFS(PURCHASE!$K$6:$K$10008,PURCHASE!$A$6:$A$10008,$I$3,PURCHASE!$D$6:$D$10008,$C$5:$C$499)</f>
        <v>0</v>
      </c>
      <c r="K49" s="60">
        <f>SUMIFS(PURCHASE!$L$6:$L$10008,PURCHASE!$A$6:$A$10008,$I$3,PURCHASE!$D$6:$D$10008,$C$5:$C$499)</f>
        <v>0</v>
      </c>
      <c r="L49" s="60">
        <f>SUMIFS(PURCHASE!$M$6:$M$10008,PURCHASE!$A$6:$A$10008,$I$3,PURCHASE!$D$6:$D$10008,$C$5:$C$499)</f>
        <v>0</v>
      </c>
      <c r="M49" s="474">
        <f>SUMIFS(PURCHASE!$N$6:$N$10008,PURCHASE!$A$6:$A$10008,$I$3,PURCHASE!$D$6:$D$10008,$C$5:$C$499)</f>
        <v>0</v>
      </c>
      <c r="N49" s="11">
        <f t="shared" si="7"/>
        <v>0</v>
      </c>
      <c r="O49" s="11">
        <f>SUMIFS(PURCHASE!$K$6:$K$10008,PURCHASE!$A$6:$A$10008,$N$3,PURCHASE!$D$6:$D$10008,$C$5:$C$499)</f>
        <v>0</v>
      </c>
      <c r="P49" s="11">
        <f>SUMIFS(PURCHASE!$L$6:$L$10008,PURCHASE!$A$6:$A$10008,$N$3,PURCHASE!$D$6:$D$10008,$C$5:$C$499)</f>
        <v>0</v>
      </c>
      <c r="Q49" s="11">
        <f>SUMIFS(PURCHASE!$M$6:$M$10008,PURCHASE!$A$6:$A$10008,$N$3,PURCHASE!$D$6:$D$10008,$C$5:$C$499)</f>
        <v>0</v>
      </c>
      <c r="R49" s="11">
        <f>SUMIFS(PURCHASE!$N$6:$N$10008,PURCHASE!$A$6:$A$10008,$N$3,PURCHASE!$D$6:$D$10008,$C$5:$C$499)</f>
        <v>0</v>
      </c>
      <c r="S49" s="11">
        <f t="shared" si="8"/>
        <v>0</v>
      </c>
      <c r="T49" s="11">
        <f>SUMIFS(PURCHASE!$K$6:$K$10008,PURCHASE!$A$6:$A$10008,$S$3,PURCHASE!$D$6:$D$10008,$C$5:$C$499)</f>
        <v>0</v>
      </c>
      <c r="U49" s="11">
        <f>SUMIFS(PURCHASE!$L$6:$L$10008,PURCHASE!$A$6:$A$10008,$S$3,PURCHASE!$D$6:$D$10008,$C$5:$C$499)</f>
        <v>0</v>
      </c>
      <c r="V49" s="11">
        <f>SUMIFS(PURCHASE!$M$6:$M$10008,PURCHASE!$A$6:$A$10008,$S$3,PURCHASE!$D$6:$D$10008,$C$5:$C$499)</f>
        <v>0</v>
      </c>
      <c r="W49" s="11">
        <f>SUMIFS(PURCHASE!$N$6:$N$10008,PURCHASE!$A$6:$A$10008,$S$3,PURCHASE!$D$6:$D$10008,$C$5:$C$499)</f>
        <v>0</v>
      </c>
      <c r="X49" s="11">
        <f t="shared" si="9"/>
        <v>0</v>
      </c>
      <c r="Y49" s="11">
        <f>SUMIFS(PURCHASE!$K$6:$K$10008,PURCHASE!$A$6:$A$10008,$X$3,PURCHASE!$D$6:$D$10008,$C$5:$C$499)</f>
        <v>0</v>
      </c>
      <c r="Z49" s="11">
        <f>SUMIFS(PURCHASE!$L$6:$L$10008,PURCHASE!$A$6:$A$10008,$X$3,PURCHASE!$D$6:$D$10008,$C$5:$C$499)</f>
        <v>0</v>
      </c>
      <c r="AA49" s="11">
        <f>SUMIFS(PURCHASE!$M$6:$M$10008,PURCHASE!$A$6:$A$10008,$X$3,PURCHASE!$D$6:$D$10008,$C$5:$C$499)</f>
        <v>0</v>
      </c>
      <c r="AB49" s="11">
        <f>SUMIFS(PURCHASE!$N$6:$N$10008,PURCHASE!$A$6:$A$10008,$X$3,PURCHASE!$D$6:$D$10008,$C$5:$C$499)</f>
        <v>0</v>
      </c>
      <c r="AC49" s="11">
        <f t="shared" si="10"/>
        <v>0</v>
      </c>
      <c r="AD49" s="11">
        <f>SUMIFS(PURCHASE!$K$6:$K$10008,PURCHASE!$A$6:$A$10008,$AC$3,PURCHASE!$D$6:$D$10008,$C$5:$C$499)</f>
        <v>0</v>
      </c>
      <c r="AE49" s="11">
        <f>SUMIFS(PURCHASE!$L$6:$L$10008,PURCHASE!$A$6:$A$10008,$AC$3,PURCHASE!$D$6:$D$10008,$C$5:$C$499)</f>
        <v>0</v>
      </c>
      <c r="AF49" s="11">
        <f>SUMIFS(PURCHASE!$M$6:$M$10008,PURCHASE!$A$6:$A$10008,$AC$3,PURCHASE!$D$6:$D$10008,$C$5:$C$499)</f>
        <v>0</v>
      </c>
      <c r="AG49" s="11">
        <f>SUMIFS(PURCHASE!$N$6:$N$10008,PURCHASE!$A$6:$A$10008,$AC$3,PURCHASE!$D$6:$D$10008,$C$5:$C$499)</f>
        <v>0</v>
      </c>
      <c r="AH49" s="11">
        <f t="shared" si="11"/>
        <v>0</v>
      </c>
      <c r="AI49" s="11">
        <f>SUMIFS(PURCHASE!$K$6:$K$10008,PURCHASE!$A$6:$A$10008,$AH$3,PURCHASE!$D$6:$D$10008,$C$5:$C$499)</f>
        <v>0</v>
      </c>
      <c r="AJ49" s="11">
        <f>SUMIFS(PURCHASE!$L$6:$L$10008,PURCHASE!$A$6:$A$10008,$AH$3,PURCHASE!$D$6:$D$10008,$C$5:$C$499)</f>
        <v>0</v>
      </c>
      <c r="AK49" s="11">
        <f>SUMIFS(PURCHASE!$M$6:$M$10008,PURCHASE!$A$6:$A$10008,$AH$3,PURCHASE!$D$6:$D$10008,$C$5:$C$499)</f>
        <v>0</v>
      </c>
      <c r="AL49" s="11">
        <f>SUMIFS(PURCHASE!$N$6:$N$10008,PURCHASE!$A$6:$A$10008,$AH$3,PURCHASE!$D$6:$D$10008,$C$5:$C$499)</f>
        <v>0</v>
      </c>
      <c r="AM49" s="11">
        <f t="shared" si="12"/>
        <v>0</v>
      </c>
      <c r="AN49" s="11">
        <f>SUMIFS(PURCHASE!$K$6:$K$10008,PURCHASE!$A$6:$A$10008,$AM$3,PURCHASE!$D$6:$D$10008,$C$5:$C$499)</f>
        <v>0</v>
      </c>
      <c r="AO49" s="11">
        <f>SUMIFS(PURCHASE!$L$6:$L$10008,PURCHASE!$A$6:$A$10008,$AM$3,PURCHASE!$D$6:$D$10008,$C$5:$C$499)</f>
        <v>0</v>
      </c>
      <c r="AP49" s="11">
        <f>SUMIFS(PURCHASE!$M$6:$M$10008,PURCHASE!$A$6:$A$10008,$AM$3,PURCHASE!$D$6:$D$10008,$C$5:$C$499)</f>
        <v>0</v>
      </c>
      <c r="AQ49" s="11">
        <f>SUMIFS(PURCHASE!$N$6:$N$10008,PURCHASE!$A$6:$A$10008,$AM$3,PURCHASE!$D$6:$D$10008,$C$5:$C$499)</f>
        <v>0</v>
      </c>
      <c r="AR49" s="11">
        <f t="shared" si="13"/>
        <v>0</v>
      </c>
      <c r="AS49" s="11">
        <f>SUMIFS(PURCHASE!$K$6:$K$10008,PURCHASE!$A$6:$A$10008,$AR$3,PURCHASE!$D$6:$D$10008,$C$5:$C$499)</f>
        <v>0</v>
      </c>
      <c r="AT49" s="11">
        <f>SUMIFS(PURCHASE!$L$6:$L$10008,PURCHASE!$A$6:$A$10008,$AR$3,PURCHASE!$D$6:$D$10008,$C$5:$C$499)</f>
        <v>0</v>
      </c>
      <c r="AU49" s="11">
        <f>SUMIFS(PURCHASE!$M$6:$M$10008,PURCHASE!$A$6:$A$10008,$AR$3,PURCHASE!$D$6:$D$10008,$C$5:$C$499)</f>
        <v>0</v>
      </c>
      <c r="AV49" s="11">
        <f>SUMIFS(PURCHASE!$N$6:$N$10008,PURCHASE!$A$6:$A$10008,$AR$3,PURCHASE!$D$6:$D$10008,$C$5:$C$499)</f>
        <v>0</v>
      </c>
      <c r="AW49" s="11">
        <f t="shared" si="14"/>
        <v>0</v>
      </c>
      <c r="AX49" s="11">
        <f>SUMIFS(PURCHASE!$K$6:$K$10008,PURCHASE!$A$6:$A$10008,$AW$3,PURCHASE!$D$6:$D$10008,$C$5:$C$499)</f>
        <v>0</v>
      </c>
      <c r="AY49" s="11">
        <f>SUMIFS(PURCHASE!$L$6:$L$10008,PURCHASE!$A$6:$A$10008,$AW$3,PURCHASE!$D$6:$D$10008,$C$5:$C$499)</f>
        <v>0</v>
      </c>
      <c r="AZ49" s="11">
        <f>SUMIFS(PURCHASE!$M$6:$M$10008,PURCHASE!$A$6:$A$10008,$AW$3,PURCHASE!$D$6:$D$10008,$C$5:$C$499)</f>
        <v>0</v>
      </c>
      <c r="BA49" s="11">
        <f>SUMIFS(PURCHASE!$N$6:$N$10008,PURCHASE!$A$6:$A$10008,$AW$3,PURCHASE!$D$6:$D$10008,$C$5:$C$499)</f>
        <v>0</v>
      </c>
      <c r="BB49" s="11">
        <f t="shared" si="15"/>
        <v>0</v>
      </c>
      <c r="BC49" s="11">
        <f>SUMIFS(PURCHASE!$K$6:$K$10008,PURCHASE!$A$6:$A$10008,$BB$3,PURCHASE!$D$6:$D$10008,$C$5:$C$499)</f>
        <v>0</v>
      </c>
      <c r="BD49" s="11">
        <f>SUMIFS(PURCHASE!$L$6:$L$10008,PURCHASE!$A$6:$A$10008,$BB$3,PURCHASE!$D$6:$D$10008,$C$5:$C$499)</f>
        <v>0</v>
      </c>
      <c r="BE49" s="11">
        <f>SUMIFS(PURCHASE!$M$6:$M$10008,PURCHASE!$A$6:$A$10008,$BB$3,PURCHASE!$D$6:$D$10008,$C$5:$C$499)</f>
        <v>0</v>
      </c>
      <c r="BF49" s="11">
        <f>SUMIFS(PURCHASE!$N$6:$N$10008,PURCHASE!$A$6:$A$10008,$BB$3,PURCHASE!$D$6:$D$10008,$C$5:$C$499)</f>
        <v>0</v>
      </c>
      <c r="BG49" s="11">
        <f t="shared" si="16"/>
        <v>0</v>
      </c>
      <c r="BH49" s="11">
        <f>SUMIFS(PURCHASE!$K$6:$K$10008,PURCHASE!$A$6:$A$10008,$BG$3,PURCHASE!$D$6:$D$10008,$C$5:$C$499)</f>
        <v>0</v>
      </c>
      <c r="BI49" s="11">
        <f>SUMIFS(PURCHASE!$L$6:$L$10008,PURCHASE!$A$6:$A$10008,$BG$3,PURCHASE!$D$6:$D$10008,$C$5:$C$499)</f>
        <v>0</v>
      </c>
      <c r="BJ49" s="11">
        <f>SUMIFS(PURCHASE!$M$6:$M$10008,PURCHASE!$A$6:$A$10008,$BG$3,PURCHASE!$D$6:$D$10008,$C$5:$C$499)</f>
        <v>0</v>
      </c>
      <c r="BK49" s="11">
        <f>SUMIFS(PURCHASE!$N$6:$N$10008,PURCHASE!$A$6:$A$10008,$BG$3,PURCHASE!$D$6:$D$10008,$C$5:$C$499)</f>
        <v>0</v>
      </c>
      <c r="BL49" s="11">
        <f t="shared" si="4"/>
        <v>0</v>
      </c>
      <c r="BM49" s="11">
        <f t="shared" si="4"/>
        <v>0</v>
      </c>
      <c r="BN49" s="11">
        <f t="shared" si="4"/>
        <v>0</v>
      </c>
      <c r="BO49" s="11">
        <f t="shared" si="4"/>
        <v>0</v>
      </c>
      <c r="BP49" s="11">
        <f t="shared" si="4"/>
        <v>0</v>
      </c>
    </row>
    <row r="50" spans="1:68" x14ac:dyDescent="0.2">
      <c r="A50" s="467">
        <v>46</v>
      </c>
      <c r="B50" s="468" t="s">
        <v>496</v>
      </c>
      <c r="C50" s="469" t="s">
        <v>497</v>
      </c>
      <c r="D50" s="11">
        <f t="shared" si="5"/>
        <v>7129.5599999999995</v>
      </c>
      <c r="E50" s="11">
        <f>SUMIFS(PURCHASE!$K$6:$K$10008,PURCHASE!$A$6:$A$10008,$D$3,PURCHASE!$D$6:$D$10008,$C$5:$C$499)</f>
        <v>6042</v>
      </c>
      <c r="F50" s="11">
        <f>SUMIFS(PURCHASE!$L$6:$L$10008,PURCHASE!$A$6:$A$10008,$D$3,PURCHASE!$D$6:$D$10008,$C$5:$C$499)</f>
        <v>0</v>
      </c>
      <c r="G50" s="11">
        <f>SUMIFS(PURCHASE!$M$6:$M$10008,PURCHASE!$A$6:$A$10008,$D$3,PURCHASE!$D$6:$D$10008,$C$5:$C$499)</f>
        <v>543.78</v>
      </c>
      <c r="H50" s="11">
        <f>SUMIFS(PURCHASE!$N$6:$N$10008,PURCHASE!$A$6:$A$10008,$D$3,PURCHASE!$D$6:$D$10008,$C$5:$C$499)</f>
        <v>543.78</v>
      </c>
      <c r="I50" s="473">
        <f t="shared" si="6"/>
        <v>0</v>
      </c>
      <c r="J50" s="60">
        <f>SUMIFS(PURCHASE!$K$6:$K$10008,PURCHASE!$A$6:$A$10008,$I$3,PURCHASE!$D$6:$D$10008,$C$5:$C$499)</f>
        <v>0</v>
      </c>
      <c r="K50" s="60">
        <f>SUMIFS(PURCHASE!$L$6:$L$10008,PURCHASE!$A$6:$A$10008,$I$3,PURCHASE!$D$6:$D$10008,$C$5:$C$499)</f>
        <v>0</v>
      </c>
      <c r="L50" s="60">
        <f>SUMIFS(PURCHASE!$M$6:$M$10008,PURCHASE!$A$6:$A$10008,$I$3,PURCHASE!$D$6:$D$10008,$C$5:$C$499)</f>
        <v>0</v>
      </c>
      <c r="M50" s="474">
        <f>SUMIFS(PURCHASE!$N$6:$N$10008,PURCHASE!$A$6:$A$10008,$I$3,PURCHASE!$D$6:$D$10008,$C$5:$C$499)</f>
        <v>0</v>
      </c>
      <c r="N50" s="11">
        <f t="shared" si="7"/>
        <v>0</v>
      </c>
      <c r="O50" s="11">
        <f>SUMIFS(PURCHASE!$K$6:$K$10008,PURCHASE!$A$6:$A$10008,$N$3,PURCHASE!$D$6:$D$10008,$C$5:$C$499)</f>
        <v>0</v>
      </c>
      <c r="P50" s="11">
        <f>SUMIFS(PURCHASE!$L$6:$L$10008,PURCHASE!$A$6:$A$10008,$N$3,PURCHASE!$D$6:$D$10008,$C$5:$C$499)</f>
        <v>0</v>
      </c>
      <c r="Q50" s="11">
        <f>SUMIFS(PURCHASE!$M$6:$M$10008,PURCHASE!$A$6:$A$10008,$N$3,PURCHASE!$D$6:$D$10008,$C$5:$C$499)</f>
        <v>0</v>
      </c>
      <c r="R50" s="11">
        <f>SUMIFS(PURCHASE!$N$6:$N$10008,PURCHASE!$A$6:$A$10008,$N$3,PURCHASE!$D$6:$D$10008,$C$5:$C$499)</f>
        <v>0</v>
      </c>
      <c r="S50" s="11">
        <f t="shared" si="8"/>
        <v>0</v>
      </c>
      <c r="T50" s="11">
        <f>SUMIFS(PURCHASE!$K$6:$K$10008,PURCHASE!$A$6:$A$10008,$S$3,PURCHASE!$D$6:$D$10008,$C$5:$C$499)</f>
        <v>0</v>
      </c>
      <c r="U50" s="11">
        <f>SUMIFS(PURCHASE!$L$6:$L$10008,PURCHASE!$A$6:$A$10008,$S$3,PURCHASE!$D$6:$D$10008,$C$5:$C$499)</f>
        <v>0</v>
      </c>
      <c r="V50" s="11">
        <f>SUMIFS(PURCHASE!$M$6:$M$10008,PURCHASE!$A$6:$A$10008,$S$3,PURCHASE!$D$6:$D$10008,$C$5:$C$499)</f>
        <v>0</v>
      </c>
      <c r="W50" s="11">
        <f>SUMIFS(PURCHASE!$N$6:$N$10008,PURCHASE!$A$6:$A$10008,$S$3,PURCHASE!$D$6:$D$10008,$C$5:$C$499)</f>
        <v>0</v>
      </c>
      <c r="X50" s="11">
        <f t="shared" si="9"/>
        <v>0</v>
      </c>
      <c r="Y50" s="11">
        <f>SUMIFS(PURCHASE!$K$6:$K$10008,PURCHASE!$A$6:$A$10008,$X$3,PURCHASE!$D$6:$D$10008,$C$5:$C$499)</f>
        <v>0</v>
      </c>
      <c r="Z50" s="11">
        <f>SUMIFS(PURCHASE!$L$6:$L$10008,PURCHASE!$A$6:$A$10008,$X$3,PURCHASE!$D$6:$D$10008,$C$5:$C$499)</f>
        <v>0</v>
      </c>
      <c r="AA50" s="11">
        <f>SUMIFS(PURCHASE!$M$6:$M$10008,PURCHASE!$A$6:$A$10008,$X$3,PURCHASE!$D$6:$D$10008,$C$5:$C$499)</f>
        <v>0</v>
      </c>
      <c r="AB50" s="11">
        <f>SUMIFS(PURCHASE!$N$6:$N$10008,PURCHASE!$A$6:$A$10008,$X$3,PURCHASE!$D$6:$D$10008,$C$5:$C$499)</f>
        <v>0</v>
      </c>
      <c r="AC50" s="11">
        <f t="shared" si="10"/>
        <v>0</v>
      </c>
      <c r="AD50" s="11">
        <f>SUMIFS(PURCHASE!$K$6:$K$10008,PURCHASE!$A$6:$A$10008,$AC$3,PURCHASE!$D$6:$D$10008,$C$5:$C$499)</f>
        <v>0</v>
      </c>
      <c r="AE50" s="11">
        <f>SUMIFS(PURCHASE!$L$6:$L$10008,PURCHASE!$A$6:$A$10008,$AC$3,PURCHASE!$D$6:$D$10008,$C$5:$C$499)</f>
        <v>0</v>
      </c>
      <c r="AF50" s="11">
        <f>SUMIFS(PURCHASE!$M$6:$M$10008,PURCHASE!$A$6:$A$10008,$AC$3,PURCHASE!$D$6:$D$10008,$C$5:$C$499)</f>
        <v>0</v>
      </c>
      <c r="AG50" s="11">
        <f>SUMIFS(PURCHASE!$N$6:$N$10008,PURCHASE!$A$6:$A$10008,$AC$3,PURCHASE!$D$6:$D$10008,$C$5:$C$499)</f>
        <v>0</v>
      </c>
      <c r="AH50" s="11">
        <f t="shared" si="11"/>
        <v>0</v>
      </c>
      <c r="AI50" s="11">
        <f>SUMIFS(PURCHASE!$K$6:$K$10008,PURCHASE!$A$6:$A$10008,$AH$3,PURCHASE!$D$6:$D$10008,$C$5:$C$499)</f>
        <v>0</v>
      </c>
      <c r="AJ50" s="11">
        <f>SUMIFS(PURCHASE!$L$6:$L$10008,PURCHASE!$A$6:$A$10008,$AH$3,PURCHASE!$D$6:$D$10008,$C$5:$C$499)</f>
        <v>0</v>
      </c>
      <c r="AK50" s="11">
        <f>SUMIFS(PURCHASE!$M$6:$M$10008,PURCHASE!$A$6:$A$10008,$AH$3,PURCHASE!$D$6:$D$10008,$C$5:$C$499)</f>
        <v>0</v>
      </c>
      <c r="AL50" s="11">
        <f>SUMIFS(PURCHASE!$N$6:$N$10008,PURCHASE!$A$6:$A$10008,$AH$3,PURCHASE!$D$6:$D$10008,$C$5:$C$499)</f>
        <v>0</v>
      </c>
      <c r="AM50" s="11">
        <f t="shared" si="12"/>
        <v>0</v>
      </c>
      <c r="AN50" s="11">
        <f>SUMIFS(PURCHASE!$K$6:$K$10008,PURCHASE!$A$6:$A$10008,$AM$3,PURCHASE!$D$6:$D$10008,$C$5:$C$499)</f>
        <v>0</v>
      </c>
      <c r="AO50" s="11">
        <f>SUMIFS(PURCHASE!$L$6:$L$10008,PURCHASE!$A$6:$A$10008,$AM$3,PURCHASE!$D$6:$D$10008,$C$5:$C$499)</f>
        <v>0</v>
      </c>
      <c r="AP50" s="11">
        <f>SUMIFS(PURCHASE!$M$6:$M$10008,PURCHASE!$A$6:$A$10008,$AM$3,PURCHASE!$D$6:$D$10008,$C$5:$C$499)</f>
        <v>0</v>
      </c>
      <c r="AQ50" s="11">
        <f>SUMIFS(PURCHASE!$N$6:$N$10008,PURCHASE!$A$6:$A$10008,$AM$3,PURCHASE!$D$6:$D$10008,$C$5:$C$499)</f>
        <v>0</v>
      </c>
      <c r="AR50" s="11">
        <f t="shared" si="13"/>
        <v>0</v>
      </c>
      <c r="AS50" s="11">
        <f>SUMIFS(PURCHASE!$K$6:$K$10008,PURCHASE!$A$6:$A$10008,$AR$3,PURCHASE!$D$6:$D$10008,$C$5:$C$499)</f>
        <v>0</v>
      </c>
      <c r="AT50" s="11">
        <f>SUMIFS(PURCHASE!$L$6:$L$10008,PURCHASE!$A$6:$A$10008,$AR$3,PURCHASE!$D$6:$D$10008,$C$5:$C$499)</f>
        <v>0</v>
      </c>
      <c r="AU50" s="11">
        <f>SUMIFS(PURCHASE!$M$6:$M$10008,PURCHASE!$A$6:$A$10008,$AR$3,PURCHASE!$D$6:$D$10008,$C$5:$C$499)</f>
        <v>0</v>
      </c>
      <c r="AV50" s="11">
        <f>SUMIFS(PURCHASE!$N$6:$N$10008,PURCHASE!$A$6:$A$10008,$AR$3,PURCHASE!$D$6:$D$10008,$C$5:$C$499)</f>
        <v>0</v>
      </c>
      <c r="AW50" s="11">
        <f t="shared" si="14"/>
        <v>0</v>
      </c>
      <c r="AX50" s="11">
        <f>SUMIFS(PURCHASE!$K$6:$K$10008,PURCHASE!$A$6:$A$10008,$AW$3,PURCHASE!$D$6:$D$10008,$C$5:$C$499)</f>
        <v>0</v>
      </c>
      <c r="AY50" s="11">
        <f>SUMIFS(PURCHASE!$L$6:$L$10008,PURCHASE!$A$6:$A$10008,$AW$3,PURCHASE!$D$6:$D$10008,$C$5:$C$499)</f>
        <v>0</v>
      </c>
      <c r="AZ50" s="11">
        <f>SUMIFS(PURCHASE!$M$6:$M$10008,PURCHASE!$A$6:$A$10008,$AW$3,PURCHASE!$D$6:$D$10008,$C$5:$C$499)</f>
        <v>0</v>
      </c>
      <c r="BA50" s="11">
        <f>SUMIFS(PURCHASE!$N$6:$N$10008,PURCHASE!$A$6:$A$10008,$AW$3,PURCHASE!$D$6:$D$10008,$C$5:$C$499)</f>
        <v>0</v>
      </c>
      <c r="BB50" s="11">
        <f t="shared" si="15"/>
        <v>0</v>
      </c>
      <c r="BC50" s="11">
        <f>SUMIFS(PURCHASE!$K$6:$K$10008,PURCHASE!$A$6:$A$10008,$BB$3,PURCHASE!$D$6:$D$10008,$C$5:$C$499)</f>
        <v>0</v>
      </c>
      <c r="BD50" s="11">
        <f>SUMIFS(PURCHASE!$L$6:$L$10008,PURCHASE!$A$6:$A$10008,$BB$3,PURCHASE!$D$6:$D$10008,$C$5:$C$499)</f>
        <v>0</v>
      </c>
      <c r="BE50" s="11">
        <f>SUMIFS(PURCHASE!$M$6:$M$10008,PURCHASE!$A$6:$A$10008,$BB$3,PURCHASE!$D$6:$D$10008,$C$5:$C$499)</f>
        <v>0</v>
      </c>
      <c r="BF50" s="11">
        <f>SUMIFS(PURCHASE!$N$6:$N$10008,PURCHASE!$A$6:$A$10008,$BB$3,PURCHASE!$D$6:$D$10008,$C$5:$C$499)</f>
        <v>0</v>
      </c>
      <c r="BG50" s="11">
        <f t="shared" si="16"/>
        <v>0</v>
      </c>
      <c r="BH50" s="11">
        <f>SUMIFS(PURCHASE!$K$6:$K$10008,PURCHASE!$A$6:$A$10008,$BG$3,PURCHASE!$D$6:$D$10008,$C$5:$C$499)</f>
        <v>0</v>
      </c>
      <c r="BI50" s="11">
        <f>SUMIFS(PURCHASE!$L$6:$L$10008,PURCHASE!$A$6:$A$10008,$BG$3,PURCHASE!$D$6:$D$10008,$C$5:$C$499)</f>
        <v>0</v>
      </c>
      <c r="BJ50" s="11">
        <f>SUMIFS(PURCHASE!$M$6:$M$10008,PURCHASE!$A$6:$A$10008,$BG$3,PURCHASE!$D$6:$D$10008,$C$5:$C$499)</f>
        <v>0</v>
      </c>
      <c r="BK50" s="11">
        <f>SUMIFS(PURCHASE!$N$6:$N$10008,PURCHASE!$A$6:$A$10008,$BG$3,PURCHASE!$D$6:$D$10008,$C$5:$C$499)</f>
        <v>0</v>
      </c>
      <c r="BL50" s="11">
        <f t="shared" si="4"/>
        <v>7129.5599999999995</v>
      </c>
      <c r="BM50" s="11">
        <f t="shared" si="4"/>
        <v>6042</v>
      </c>
      <c r="BN50" s="11">
        <f t="shared" si="4"/>
        <v>0</v>
      </c>
      <c r="BO50" s="11">
        <f t="shared" si="4"/>
        <v>543.78</v>
      </c>
      <c r="BP50" s="11">
        <f t="shared" si="4"/>
        <v>543.78</v>
      </c>
    </row>
    <row r="51" spans="1:68" x14ac:dyDescent="0.2">
      <c r="A51" s="467">
        <v>47</v>
      </c>
      <c r="B51" s="468" t="s">
        <v>677</v>
      </c>
      <c r="C51" s="469" t="s">
        <v>678</v>
      </c>
      <c r="D51" s="11">
        <f t="shared" si="5"/>
        <v>0</v>
      </c>
      <c r="E51" s="11">
        <f>SUMIFS(PURCHASE!$K$6:$K$10008,PURCHASE!$A$6:$A$10008,$D$3,PURCHASE!$D$6:$D$10008,$C$5:$C$499)</f>
        <v>0</v>
      </c>
      <c r="F51" s="11">
        <f>SUMIFS(PURCHASE!$L$6:$L$10008,PURCHASE!$A$6:$A$10008,$D$3,PURCHASE!$D$6:$D$10008,$C$5:$C$499)</f>
        <v>0</v>
      </c>
      <c r="G51" s="11">
        <f>SUMIFS(PURCHASE!$M$6:$M$10008,PURCHASE!$A$6:$A$10008,$D$3,PURCHASE!$D$6:$D$10008,$C$5:$C$499)</f>
        <v>0</v>
      </c>
      <c r="H51" s="11">
        <f>SUMIFS(PURCHASE!$N$6:$N$10008,PURCHASE!$A$6:$A$10008,$D$3,PURCHASE!$D$6:$D$10008,$C$5:$C$499)</f>
        <v>0</v>
      </c>
      <c r="I51" s="473">
        <f t="shared" si="6"/>
        <v>28947.200000000001</v>
      </c>
      <c r="J51" s="60">
        <f>SUMIFS(PURCHASE!$K$6:$K$10008,PURCHASE!$A$6:$A$10008,$I$3,PURCHASE!$D$6:$D$10008,$C$5:$C$499)</f>
        <v>22615</v>
      </c>
      <c r="K51" s="60">
        <f>SUMIFS(PURCHASE!$L$6:$L$10008,PURCHASE!$A$6:$A$10008,$I$3,PURCHASE!$D$6:$D$10008,$C$5:$C$499)</f>
        <v>6332.2</v>
      </c>
      <c r="L51" s="60">
        <f>SUMIFS(PURCHASE!$M$6:$M$10008,PURCHASE!$A$6:$A$10008,$I$3,PURCHASE!$D$6:$D$10008,$C$5:$C$499)</f>
        <v>0</v>
      </c>
      <c r="M51" s="474">
        <f>SUMIFS(PURCHASE!$N$6:$N$10008,PURCHASE!$A$6:$A$10008,$I$3,PURCHASE!$D$6:$D$10008,$C$5:$C$499)</f>
        <v>0</v>
      </c>
      <c r="N51" s="11">
        <f t="shared" si="7"/>
        <v>0</v>
      </c>
      <c r="O51" s="11">
        <f>SUMIFS(PURCHASE!$K$6:$K$10008,PURCHASE!$A$6:$A$10008,$N$3,PURCHASE!$D$6:$D$10008,$C$5:$C$499)</f>
        <v>0</v>
      </c>
      <c r="P51" s="11">
        <f>SUMIFS(PURCHASE!$L$6:$L$10008,PURCHASE!$A$6:$A$10008,$N$3,PURCHASE!$D$6:$D$10008,$C$5:$C$499)</f>
        <v>0</v>
      </c>
      <c r="Q51" s="11">
        <f>SUMIFS(PURCHASE!$M$6:$M$10008,PURCHASE!$A$6:$A$10008,$N$3,PURCHASE!$D$6:$D$10008,$C$5:$C$499)</f>
        <v>0</v>
      </c>
      <c r="R51" s="11">
        <f>SUMIFS(PURCHASE!$N$6:$N$10008,PURCHASE!$A$6:$A$10008,$N$3,PURCHASE!$D$6:$D$10008,$C$5:$C$499)</f>
        <v>0</v>
      </c>
      <c r="S51" s="11">
        <f t="shared" si="8"/>
        <v>28947.200000000001</v>
      </c>
      <c r="T51" s="11">
        <f>SUMIFS(PURCHASE!$K$6:$K$10008,PURCHASE!$A$6:$A$10008,$S$3,PURCHASE!$D$6:$D$10008,$C$5:$C$499)</f>
        <v>22615</v>
      </c>
      <c r="U51" s="11">
        <f>SUMIFS(PURCHASE!$L$6:$L$10008,PURCHASE!$A$6:$A$10008,$S$3,PURCHASE!$D$6:$D$10008,$C$5:$C$499)</f>
        <v>6332.2</v>
      </c>
      <c r="V51" s="11">
        <f>SUMIFS(PURCHASE!$M$6:$M$10008,PURCHASE!$A$6:$A$10008,$S$3,PURCHASE!$D$6:$D$10008,$C$5:$C$499)</f>
        <v>0</v>
      </c>
      <c r="W51" s="11">
        <f>SUMIFS(PURCHASE!$N$6:$N$10008,PURCHASE!$A$6:$A$10008,$S$3,PURCHASE!$D$6:$D$10008,$C$5:$C$499)</f>
        <v>0</v>
      </c>
      <c r="X51" s="11">
        <f t="shared" si="9"/>
        <v>0</v>
      </c>
      <c r="Y51" s="11">
        <f>SUMIFS(PURCHASE!$K$6:$K$10008,PURCHASE!$A$6:$A$10008,$X$3,PURCHASE!$D$6:$D$10008,$C$5:$C$499)</f>
        <v>0</v>
      </c>
      <c r="Z51" s="11">
        <f>SUMIFS(PURCHASE!$L$6:$L$10008,PURCHASE!$A$6:$A$10008,$X$3,PURCHASE!$D$6:$D$10008,$C$5:$C$499)</f>
        <v>0</v>
      </c>
      <c r="AA51" s="11">
        <f>SUMIFS(PURCHASE!$M$6:$M$10008,PURCHASE!$A$6:$A$10008,$X$3,PURCHASE!$D$6:$D$10008,$C$5:$C$499)</f>
        <v>0</v>
      </c>
      <c r="AB51" s="11">
        <f>SUMIFS(PURCHASE!$N$6:$N$10008,PURCHASE!$A$6:$A$10008,$X$3,PURCHASE!$D$6:$D$10008,$C$5:$C$499)</f>
        <v>0</v>
      </c>
      <c r="AC51" s="11">
        <f t="shared" si="10"/>
        <v>0</v>
      </c>
      <c r="AD51" s="11">
        <f>SUMIFS(PURCHASE!$K$6:$K$10008,PURCHASE!$A$6:$A$10008,$AC$3,PURCHASE!$D$6:$D$10008,$C$5:$C$499)</f>
        <v>0</v>
      </c>
      <c r="AE51" s="11">
        <f>SUMIFS(PURCHASE!$L$6:$L$10008,PURCHASE!$A$6:$A$10008,$AC$3,PURCHASE!$D$6:$D$10008,$C$5:$C$499)</f>
        <v>0</v>
      </c>
      <c r="AF51" s="11">
        <f>SUMIFS(PURCHASE!$M$6:$M$10008,PURCHASE!$A$6:$A$10008,$AC$3,PURCHASE!$D$6:$D$10008,$C$5:$C$499)</f>
        <v>0</v>
      </c>
      <c r="AG51" s="11">
        <f>SUMIFS(PURCHASE!$N$6:$N$10008,PURCHASE!$A$6:$A$10008,$AC$3,PURCHASE!$D$6:$D$10008,$C$5:$C$499)</f>
        <v>0</v>
      </c>
      <c r="AH51" s="11">
        <f t="shared" si="11"/>
        <v>11578.88</v>
      </c>
      <c r="AI51" s="11">
        <f>SUMIFS(PURCHASE!$K$6:$K$10008,PURCHASE!$A$6:$A$10008,$AH$3,PURCHASE!$D$6:$D$10008,$C$5:$C$499)</f>
        <v>9046</v>
      </c>
      <c r="AJ51" s="11">
        <f>SUMIFS(PURCHASE!$L$6:$L$10008,PURCHASE!$A$6:$A$10008,$AH$3,PURCHASE!$D$6:$D$10008,$C$5:$C$499)</f>
        <v>2532.8799999999997</v>
      </c>
      <c r="AK51" s="11">
        <f>SUMIFS(PURCHASE!$M$6:$M$10008,PURCHASE!$A$6:$A$10008,$AH$3,PURCHASE!$D$6:$D$10008,$C$5:$C$499)</f>
        <v>0</v>
      </c>
      <c r="AL51" s="11">
        <f>SUMIFS(PURCHASE!$N$6:$N$10008,PURCHASE!$A$6:$A$10008,$AH$3,PURCHASE!$D$6:$D$10008,$C$5:$C$499)</f>
        <v>0</v>
      </c>
      <c r="AM51" s="11">
        <f t="shared" si="12"/>
        <v>0</v>
      </c>
      <c r="AN51" s="11">
        <f>SUMIFS(PURCHASE!$K$6:$K$10008,PURCHASE!$A$6:$A$10008,$AM$3,PURCHASE!$D$6:$D$10008,$C$5:$C$499)</f>
        <v>0</v>
      </c>
      <c r="AO51" s="11">
        <f>SUMIFS(PURCHASE!$L$6:$L$10008,PURCHASE!$A$6:$A$10008,$AM$3,PURCHASE!$D$6:$D$10008,$C$5:$C$499)</f>
        <v>0</v>
      </c>
      <c r="AP51" s="11">
        <f>SUMIFS(PURCHASE!$M$6:$M$10008,PURCHASE!$A$6:$A$10008,$AM$3,PURCHASE!$D$6:$D$10008,$C$5:$C$499)</f>
        <v>0</v>
      </c>
      <c r="AQ51" s="11">
        <f>SUMIFS(PURCHASE!$N$6:$N$10008,PURCHASE!$A$6:$A$10008,$AM$3,PURCHASE!$D$6:$D$10008,$C$5:$C$499)</f>
        <v>0</v>
      </c>
      <c r="AR51" s="11">
        <f t="shared" si="13"/>
        <v>0</v>
      </c>
      <c r="AS51" s="11">
        <f>SUMIFS(PURCHASE!$K$6:$K$10008,PURCHASE!$A$6:$A$10008,$AR$3,PURCHASE!$D$6:$D$10008,$C$5:$C$499)</f>
        <v>0</v>
      </c>
      <c r="AT51" s="11">
        <f>SUMIFS(PURCHASE!$L$6:$L$10008,PURCHASE!$A$6:$A$10008,$AR$3,PURCHASE!$D$6:$D$10008,$C$5:$C$499)</f>
        <v>0</v>
      </c>
      <c r="AU51" s="11">
        <f>SUMIFS(PURCHASE!$M$6:$M$10008,PURCHASE!$A$6:$A$10008,$AR$3,PURCHASE!$D$6:$D$10008,$C$5:$C$499)</f>
        <v>0</v>
      </c>
      <c r="AV51" s="11">
        <f>SUMIFS(PURCHASE!$N$6:$N$10008,PURCHASE!$A$6:$A$10008,$AR$3,PURCHASE!$D$6:$D$10008,$C$5:$C$499)</f>
        <v>0</v>
      </c>
      <c r="AW51" s="11">
        <f t="shared" si="14"/>
        <v>0</v>
      </c>
      <c r="AX51" s="11">
        <f>SUMIFS(PURCHASE!$K$6:$K$10008,PURCHASE!$A$6:$A$10008,$AW$3,PURCHASE!$D$6:$D$10008,$C$5:$C$499)</f>
        <v>0</v>
      </c>
      <c r="AY51" s="11">
        <f>SUMIFS(PURCHASE!$L$6:$L$10008,PURCHASE!$A$6:$A$10008,$AW$3,PURCHASE!$D$6:$D$10008,$C$5:$C$499)</f>
        <v>0</v>
      </c>
      <c r="AZ51" s="11">
        <f>SUMIFS(PURCHASE!$M$6:$M$10008,PURCHASE!$A$6:$A$10008,$AW$3,PURCHASE!$D$6:$D$10008,$C$5:$C$499)</f>
        <v>0</v>
      </c>
      <c r="BA51" s="11">
        <f>SUMIFS(PURCHASE!$N$6:$N$10008,PURCHASE!$A$6:$A$10008,$AW$3,PURCHASE!$D$6:$D$10008,$C$5:$C$499)</f>
        <v>0</v>
      </c>
      <c r="BB51" s="11">
        <f t="shared" si="15"/>
        <v>0</v>
      </c>
      <c r="BC51" s="11">
        <f>SUMIFS(PURCHASE!$K$6:$K$10008,PURCHASE!$A$6:$A$10008,$BB$3,PURCHASE!$D$6:$D$10008,$C$5:$C$499)</f>
        <v>0</v>
      </c>
      <c r="BD51" s="11">
        <f>SUMIFS(PURCHASE!$L$6:$L$10008,PURCHASE!$A$6:$A$10008,$BB$3,PURCHASE!$D$6:$D$10008,$C$5:$C$499)</f>
        <v>0</v>
      </c>
      <c r="BE51" s="11">
        <f>SUMIFS(PURCHASE!$M$6:$M$10008,PURCHASE!$A$6:$A$10008,$BB$3,PURCHASE!$D$6:$D$10008,$C$5:$C$499)</f>
        <v>0</v>
      </c>
      <c r="BF51" s="11">
        <f>SUMIFS(PURCHASE!$N$6:$N$10008,PURCHASE!$A$6:$A$10008,$BB$3,PURCHASE!$D$6:$D$10008,$C$5:$C$499)</f>
        <v>0</v>
      </c>
      <c r="BG51" s="11">
        <f t="shared" si="16"/>
        <v>0</v>
      </c>
      <c r="BH51" s="11">
        <f>SUMIFS(PURCHASE!$K$6:$K$10008,PURCHASE!$A$6:$A$10008,$BG$3,PURCHASE!$D$6:$D$10008,$C$5:$C$499)</f>
        <v>0</v>
      </c>
      <c r="BI51" s="11">
        <f>SUMIFS(PURCHASE!$L$6:$L$10008,PURCHASE!$A$6:$A$10008,$BG$3,PURCHASE!$D$6:$D$10008,$C$5:$C$499)</f>
        <v>0</v>
      </c>
      <c r="BJ51" s="11">
        <f>SUMIFS(PURCHASE!$M$6:$M$10008,PURCHASE!$A$6:$A$10008,$BG$3,PURCHASE!$D$6:$D$10008,$C$5:$C$499)</f>
        <v>0</v>
      </c>
      <c r="BK51" s="11">
        <f>SUMIFS(PURCHASE!$N$6:$N$10008,PURCHASE!$A$6:$A$10008,$BG$3,PURCHASE!$D$6:$D$10008,$C$5:$C$499)</f>
        <v>0</v>
      </c>
      <c r="BL51" s="11">
        <f t="shared" si="4"/>
        <v>69473.279999999999</v>
      </c>
      <c r="BM51" s="11">
        <f t="shared" si="4"/>
        <v>54276</v>
      </c>
      <c r="BN51" s="11">
        <f t="shared" si="4"/>
        <v>15197.279999999999</v>
      </c>
      <c r="BO51" s="11">
        <f t="shared" si="4"/>
        <v>0</v>
      </c>
      <c r="BP51" s="11">
        <f t="shared" si="4"/>
        <v>0</v>
      </c>
    </row>
    <row r="52" spans="1:68" x14ac:dyDescent="0.2">
      <c r="A52" s="467">
        <v>48</v>
      </c>
      <c r="B52" s="468" t="s">
        <v>739</v>
      </c>
      <c r="C52" s="469" t="s">
        <v>740</v>
      </c>
      <c r="D52" s="11">
        <f t="shared" si="5"/>
        <v>0</v>
      </c>
      <c r="E52" s="11">
        <f>SUMIFS(PURCHASE!$K$6:$K$10008,PURCHASE!$A$6:$A$10008,$D$3,PURCHASE!$D$6:$D$10008,$C$5:$C$499)</f>
        <v>0</v>
      </c>
      <c r="F52" s="11">
        <f>SUMIFS(PURCHASE!$L$6:$L$10008,PURCHASE!$A$6:$A$10008,$D$3,PURCHASE!$D$6:$D$10008,$C$5:$C$499)</f>
        <v>0</v>
      </c>
      <c r="G52" s="11">
        <f>SUMIFS(PURCHASE!$M$6:$M$10008,PURCHASE!$A$6:$A$10008,$D$3,PURCHASE!$D$6:$D$10008,$C$5:$C$499)</f>
        <v>0</v>
      </c>
      <c r="H52" s="11">
        <f>SUMIFS(PURCHASE!$N$6:$N$10008,PURCHASE!$A$6:$A$10008,$D$3,PURCHASE!$D$6:$D$10008,$C$5:$C$499)</f>
        <v>0</v>
      </c>
      <c r="I52" s="473">
        <f t="shared" si="6"/>
        <v>0</v>
      </c>
      <c r="J52" s="60">
        <f>SUMIFS(PURCHASE!$K$6:$K$10008,PURCHASE!$A$6:$A$10008,$I$3,PURCHASE!$D$6:$D$10008,$C$5:$C$499)</f>
        <v>0</v>
      </c>
      <c r="K52" s="60">
        <f>SUMIFS(PURCHASE!$L$6:$L$10008,PURCHASE!$A$6:$A$10008,$I$3,PURCHASE!$D$6:$D$10008,$C$5:$C$499)</f>
        <v>0</v>
      </c>
      <c r="L52" s="60">
        <f>SUMIFS(PURCHASE!$M$6:$M$10008,PURCHASE!$A$6:$A$10008,$I$3,PURCHASE!$D$6:$D$10008,$C$5:$C$499)</f>
        <v>0</v>
      </c>
      <c r="M52" s="474">
        <f>SUMIFS(PURCHASE!$N$6:$N$10008,PURCHASE!$A$6:$A$10008,$I$3,PURCHASE!$D$6:$D$10008,$C$5:$C$499)</f>
        <v>0</v>
      </c>
      <c r="N52" s="11">
        <f t="shared" si="7"/>
        <v>29012.660000000003</v>
      </c>
      <c r="O52" s="11">
        <f>SUMIFS(PURCHASE!$K$6:$K$10008,PURCHASE!$A$6:$A$10008,$N$3,PURCHASE!$D$6:$D$10008,$C$5:$C$499)</f>
        <v>24587</v>
      </c>
      <c r="P52" s="11">
        <f>SUMIFS(PURCHASE!$L$6:$L$10008,PURCHASE!$A$6:$A$10008,$N$3,PURCHASE!$D$6:$D$10008,$C$5:$C$499)</f>
        <v>0</v>
      </c>
      <c r="Q52" s="11">
        <f>SUMIFS(PURCHASE!$M$6:$M$10008,PURCHASE!$A$6:$A$10008,$N$3,PURCHASE!$D$6:$D$10008,$C$5:$C$499)</f>
        <v>2212.83</v>
      </c>
      <c r="R52" s="11">
        <f>SUMIFS(PURCHASE!$N$6:$N$10008,PURCHASE!$A$6:$A$10008,$N$3,PURCHASE!$D$6:$D$10008,$C$5:$C$499)</f>
        <v>2212.83</v>
      </c>
      <c r="S52" s="11">
        <f t="shared" si="8"/>
        <v>0</v>
      </c>
      <c r="T52" s="11">
        <f>SUMIFS(PURCHASE!$K$6:$K$10008,PURCHASE!$A$6:$A$10008,$S$3,PURCHASE!$D$6:$D$10008,$C$5:$C$499)</f>
        <v>0</v>
      </c>
      <c r="U52" s="11">
        <f>SUMIFS(PURCHASE!$L$6:$L$10008,PURCHASE!$A$6:$A$10008,$S$3,PURCHASE!$D$6:$D$10008,$C$5:$C$499)</f>
        <v>0</v>
      </c>
      <c r="V52" s="11">
        <f>SUMIFS(PURCHASE!$M$6:$M$10008,PURCHASE!$A$6:$A$10008,$S$3,PURCHASE!$D$6:$D$10008,$C$5:$C$499)</f>
        <v>0</v>
      </c>
      <c r="W52" s="11">
        <f>SUMIFS(PURCHASE!$N$6:$N$10008,PURCHASE!$A$6:$A$10008,$S$3,PURCHASE!$D$6:$D$10008,$C$5:$C$499)</f>
        <v>0</v>
      </c>
      <c r="X52" s="11">
        <f t="shared" si="9"/>
        <v>0</v>
      </c>
      <c r="Y52" s="11">
        <f>SUMIFS(PURCHASE!$K$6:$K$10008,PURCHASE!$A$6:$A$10008,$X$3,PURCHASE!$D$6:$D$10008,$C$5:$C$499)</f>
        <v>0</v>
      </c>
      <c r="Z52" s="11">
        <f>SUMIFS(PURCHASE!$L$6:$L$10008,PURCHASE!$A$6:$A$10008,$X$3,PURCHASE!$D$6:$D$10008,$C$5:$C$499)</f>
        <v>0</v>
      </c>
      <c r="AA52" s="11">
        <f>SUMIFS(PURCHASE!$M$6:$M$10008,PURCHASE!$A$6:$A$10008,$X$3,PURCHASE!$D$6:$D$10008,$C$5:$C$499)</f>
        <v>0</v>
      </c>
      <c r="AB52" s="11">
        <f>SUMIFS(PURCHASE!$N$6:$N$10008,PURCHASE!$A$6:$A$10008,$X$3,PURCHASE!$D$6:$D$10008,$C$5:$C$499)</f>
        <v>0</v>
      </c>
      <c r="AC52" s="11">
        <f t="shared" si="10"/>
        <v>0</v>
      </c>
      <c r="AD52" s="11">
        <f>SUMIFS(PURCHASE!$K$6:$K$10008,PURCHASE!$A$6:$A$10008,$AC$3,PURCHASE!$D$6:$D$10008,$C$5:$C$499)</f>
        <v>0</v>
      </c>
      <c r="AE52" s="11">
        <f>SUMIFS(PURCHASE!$L$6:$L$10008,PURCHASE!$A$6:$A$10008,$AC$3,PURCHASE!$D$6:$D$10008,$C$5:$C$499)</f>
        <v>0</v>
      </c>
      <c r="AF52" s="11">
        <f>SUMIFS(PURCHASE!$M$6:$M$10008,PURCHASE!$A$6:$A$10008,$AC$3,PURCHASE!$D$6:$D$10008,$C$5:$C$499)</f>
        <v>0</v>
      </c>
      <c r="AG52" s="11">
        <f>SUMIFS(PURCHASE!$N$6:$N$10008,PURCHASE!$A$6:$A$10008,$AC$3,PURCHASE!$D$6:$D$10008,$C$5:$C$499)</f>
        <v>0</v>
      </c>
      <c r="AH52" s="11">
        <f t="shared" si="11"/>
        <v>0</v>
      </c>
      <c r="AI52" s="11">
        <f>SUMIFS(PURCHASE!$K$6:$K$10008,PURCHASE!$A$6:$A$10008,$AH$3,PURCHASE!$D$6:$D$10008,$C$5:$C$499)</f>
        <v>0</v>
      </c>
      <c r="AJ52" s="11">
        <f>SUMIFS(PURCHASE!$L$6:$L$10008,PURCHASE!$A$6:$A$10008,$AH$3,PURCHASE!$D$6:$D$10008,$C$5:$C$499)</f>
        <v>0</v>
      </c>
      <c r="AK52" s="11">
        <f>SUMIFS(PURCHASE!$M$6:$M$10008,PURCHASE!$A$6:$A$10008,$AH$3,PURCHASE!$D$6:$D$10008,$C$5:$C$499)</f>
        <v>0</v>
      </c>
      <c r="AL52" s="11">
        <f>SUMIFS(PURCHASE!$N$6:$N$10008,PURCHASE!$A$6:$A$10008,$AH$3,PURCHASE!$D$6:$D$10008,$C$5:$C$499)</f>
        <v>0</v>
      </c>
      <c r="AM52" s="11">
        <f t="shared" si="12"/>
        <v>0</v>
      </c>
      <c r="AN52" s="11">
        <f>SUMIFS(PURCHASE!$K$6:$K$10008,PURCHASE!$A$6:$A$10008,$AM$3,PURCHASE!$D$6:$D$10008,$C$5:$C$499)</f>
        <v>0</v>
      </c>
      <c r="AO52" s="11">
        <f>SUMIFS(PURCHASE!$L$6:$L$10008,PURCHASE!$A$6:$A$10008,$AM$3,PURCHASE!$D$6:$D$10008,$C$5:$C$499)</f>
        <v>0</v>
      </c>
      <c r="AP52" s="11">
        <f>SUMIFS(PURCHASE!$M$6:$M$10008,PURCHASE!$A$6:$A$10008,$AM$3,PURCHASE!$D$6:$D$10008,$C$5:$C$499)</f>
        <v>0</v>
      </c>
      <c r="AQ52" s="11">
        <f>SUMIFS(PURCHASE!$N$6:$N$10008,PURCHASE!$A$6:$A$10008,$AM$3,PURCHASE!$D$6:$D$10008,$C$5:$C$499)</f>
        <v>0</v>
      </c>
      <c r="AR52" s="11">
        <f t="shared" si="13"/>
        <v>0</v>
      </c>
      <c r="AS52" s="11">
        <f>SUMIFS(PURCHASE!$K$6:$K$10008,PURCHASE!$A$6:$A$10008,$AR$3,PURCHASE!$D$6:$D$10008,$C$5:$C$499)</f>
        <v>0</v>
      </c>
      <c r="AT52" s="11">
        <f>SUMIFS(PURCHASE!$L$6:$L$10008,PURCHASE!$A$6:$A$10008,$AR$3,PURCHASE!$D$6:$D$10008,$C$5:$C$499)</f>
        <v>0</v>
      </c>
      <c r="AU52" s="11">
        <f>SUMIFS(PURCHASE!$M$6:$M$10008,PURCHASE!$A$6:$A$10008,$AR$3,PURCHASE!$D$6:$D$10008,$C$5:$C$499)</f>
        <v>0</v>
      </c>
      <c r="AV52" s="11">
        <f>SUMIFS(PURCHASE!$N$6:$N$10008,PURCHASE!$A$6:$A$10008,$AR$3,PURCHASE!$D$6:$D$10008,$C$5:$C$499)</f>
        <v>0</v>
      </c>
      <c r="AW52" s="11">
        <f t="shared" si="14"/>
        <v>0</v>
      </c>
      <c r="AX52" s="11">
        <f>SUMIFS(PURCHASE!$K$6:$K$10008,PURCHASE!$A$6:$A$10008,$AW$3,PURCHASE!$D$6:$D$10008,$C$5:$C$499)</f>
        <v>0</v>
      </c>
      <c r="AY52" s="11">
        <f>SUMIFS(PURCHASE!$L$6:$L$10008,PURCHASE!$A$6:$A$10008,$AW$3,PURCHASE!$D$6:$D$10008,$C$5:$C$499)</f>
        <v>0</v>
      </c>
      <c r="AZ52" s="11">
        <f>SUMIFS(PURCHASE!$M$6:$M$10008,PURCHASE!$A$6:$A$10008,$AW$3,PURCHASE!$D$6:$D$10008,$C$5:$C$499)</f>
        <v>0</v>
      </c>
      <c r="BA52" s="11">
        <f>SUMIFS(PURCHASE!$N$6:$N$10008,PURCHASE!$A$6:$A$10008,$AW$3,PURCHASE!$D$6:$D$10008,$C$5:$C$499)</f>
        <v>0</v>
      </c>
      <c r="BB52" s="11">
        <f t="shared" si="15"/>
        <v>0</v>
      </c>
      <c r="BC52" s="11">
        <f>SUMIFS(PURCHASE!$K$6:$K$10008,PURCHASE!$A$6:$A$10008,$BB$3,PURCHASE!$D$6:$D$10008,$C$5:$C$499)</f>
        <v>0</v>
      </c>
      <c r="BD52" s="11">
        <f>SUMIFS(PURCHASE!$L$6:$L$10008,PURCHASE!$A$6:$A$10008,$BB$3,PURCHASE!$D$6:$D$10008,$C$5:$C$499)</f>
        <v>0</v>
      </c>
      <c r="BE52" s="11">
        <f>SUMIFS(PURCHASE!$M$6:$M$10008,PURCHASE!$A$6:$A$10008,$BB$3,PURCHASE!$D$6:$D$10008,$C$5:$C$499)</f>
        <v>0</v>
      </c>
      <c r="BF52" s="11">
        <f>SUMIFS(PURCHASE!$N$6:$N$10008,PURCHASE!$A$6:$A$10008,$BB$3,PURCHASE!$D$6:$D$10008,$C$5:$C$499)</f>
        <v>0</v>
      </c>
      <c r="BG52" s="11">
        <f t="shared" si="16"/>
        <v>0</v>
      </c>
      <c r="BH52" s="11">
        <f>SUMIFS(PURCHASE!$K$6:$K$10008,PURCHASE!$A$6:$A$10008,$BG$3,PURCHASE!$D$6:$D$10008,$C$5:$C$499)</f>
        <v>0</v>
      </c>
      <c r="BI52" s="11">
        <f>SUMIFS(PURCHASE!$L$6:$L$10008,PURCHASE!$A$6:$A$10008,$BG$3,PURCHASE!$D$6:$D$10008,$C$5:$C$499)</f>
        <v>0</v>
      </c>
      <c r="BJ52" s="11">
        <f>SUMIFS(PURCHASE!$M$6:$M$10008,PURCHASE!$A$6:$A$10008,$BG$3,PURCHASE!$D$6:$D$10008,$C$5:$C$499)</f>
        <v>0</v>
      </c>
      <c r="BK52" s="11">
        <f>SUMIFS(PURCHASE!$N$6:$N$10008,PURCHASE!$A$6:$A$10008,$BG$3,PURCHASE!$D$6:$D$10008,$C$5:$C$499)</f>
        <v>0</v>
      </c>
      <c r="BL52" s="11">
        <f t="shared" si="4"/>
        <v>29012.660000000003</v>
      </c>
      <c r="BM52" s="11">
        <f t="shared" si="4"/>
        <v>24587</v>
      </c>
      <c r="BN52" s="11">
        <f t="shared" si="4"/>
        <v>0</v>
      </c>
      <c r="BO52" s="11">
        <f t="shared" si="4"/>
        <v>2212.83</v>
      </c>
      <c r="BP52" s="11">
        <f t="shared" si="4"/>
        <v>2212.83</v>
      </c>
    </row>
    <row r="53" spans="1:68" x14ac:dyDescent="0.2">
      <c r="A53" s="467">
        <v>49</v>
      </c>
      <c r="B53" s="468" t="s">
        <v>1110</v>
      </c>
      <c r="C53" s="469" t="s">
        <v>1111</v>
      </c>
      <c r="D53" s="11">
        <f t="shared" si="5"/>
        <v>0</v>
      </c>
      <c r="E53" s="11">
        <f>SUMIFS(PURCHASE!$K$6:$K$10008,PURCHASE!$A$6:$A$10008,$D$3,PURCHASE!$D$6:$D$10008,$C$5:$C$499)</f>
        <v>0</v>
      </c>
      <c r="F53" s="11">
        <f>SUMIFS(PURCHASE!$L$6:$L$10008,PURCHASE!$A$6:$A$10008,$D$3,PURCHASE!$D$6:$D$10008,$C$5:$C$499)</f>
        <v>0</v>
      </c>
      <c r="G53" s="11">
        <f>SUMIFS(PURCHASE!$M$6:$M$10008,PURCHASE!$A$6:$A$10008,$D$3,PURCHASE!$D$6:$D$10008,$C$5:$C$499)</f>
        <v>0</v>
      </c>
      <c r="H53" s="11">
        <f>SUMIFS(PURCHASE!$N$6:$N$10008,PURCHASE!$A$6:$A$10008,$D$3,PURCHASE!$D$6:$D$10008,$C$5:$C$499)</f>
        <v>0</v>
      </c>
      <c r="I53" s="473">
        <f t="shared" si="6"/>
        <v>0</v>
      </c>
      <c r="J53" s="60">
        <f>SUMIFS(PURCHASE!$K$6:$K$10008,PURCHASE!$A$6:$A$10008,$I$3,PURCHASE!$D$6:$D$10008,$C$5:$C$499)</f>
        <v>0</v>
      </c>
      <c r="K53" s="60">
        <f>SUMIFS(PURCHASE!$L$6:$L$10008,PURCHASE!$A$6:$A$10008,$I$3,PURCHASE!$D$6:$D$10008,$C$5:$C$499)</f>
        <v>0</v>
      </c>
      <c r="L53" s="60">
        <f>SUMIFS(PURCHASE!$M$6:$M$10008,PURCHASE!$A$6:$A$10008,$I$3,PURCHASE!$D$6:$D$10008,$C$5:$C$499)</f>
        <v>0</v>
      </c>
      <c r="M53" s="474">
        <f>SUMIFS(PURCHASE!$N$6:$N$10008,PURCHASE!$A$6:$A$10008,$I$3,PURCHASE!$D$6:$D$10008,$C$5:$C$499)</f>
        <v>0</v>
      </c>
      <c r="N53" s="11">
        <f t="shared" si="7"/>
        <v>0</v>
      </c>
      <c r="O53" s="11">
        <f>SUMIFS(PURCHASE!$K$6:$K$10008,PURCHASE!$A$6:$A$10008,$N$3,PURCHASE!$D$6:$D$10008,$C$5:$C$499)</f>
        <v>0</v>
      </c>
      <c r="P53" s="11">
        <f>SUMIFS(PURCHASE!$L$6:$L$10008,PURCHASE!$A$6:$A$10008,$N$3,PURCHASE!$D$6:$D$10008,$C$5:$C$499)</f>
        <v>0</v>
      </c>
      <c r="Q53" s="11">
        <f>SUMIFS(PURCHASE!$M$6:$M$10008,PURCHASE!$A$6:$A$10008,$N$3,PURCHASE!$D$6:$D$10008,$C$5:$C$499)</f>
        <v>0</v>
      </c>
      <c r="R53" s="11">
        <f>SUMIFS(PURCHASE!$N$6:$N$10008,PURCHASE!$A$6:$A$10008,$N$3,PURCHASE!$D$6:$D$10008,$C$5:$C$499)</f>
        <v>0</v>
      </c>
      <c r="S53" s="11">
        <f t="shared" si="8"/>
        <v>0</v>
      </c>
      <c r="T53" s="11">
        <f>SUMIFS(PURCHASE!$K$6:$K$10008,PURCHASE!$A$6:$A$10008,$S$3,PURCHASE!$D$6:$D$10008,$C$5:$C$499)</f>
        <v>0</v>
      </c>
      <c r="U53" s="11">
        <f>SUMIFS(PURCHASE!$L$6:$L$10008,PURCHASE!$A$6:$A$10008,$S$3,PURCHASE!$D$6:$D$10008,$C$5:$C$499)</f>
        <v>0</v>
      </c>
      <c r="V53" s="11">
        <f>SUMIFS(PURCHASE!$M$6:$M$10008,PURCHASE!$A$6:$A$10008,$S$3,PURCHASE!$D$6:$D$10008,$C$5:$C$499)</f>
        <v>0</v>
      </c>
      <c r="W53" s="11">
        <f>SUMIFS(PURCHASE!$N$6:$N$10008,PURCHASE!$A$6:$A$10008,$S$3,PURCHASE!$D$6:$D$10008,$C$5:$C$499)</f>
        <v>0</v>
      </c>
      <c r="X53" s="11">
        <f t="shared" si="9"/>
        <v>0</v>
      </c>
      <c r="Y53" s="11">
        <f>SUMIFS(PURCHASE!$K$6:$K$10008,PURCHASE!$A$6:$A$10008,$X$3,PURCHASE!$D$6:$D$10008,$C$5:$C$499)</f>
        <v>0</v>
      </c>
      <c r="Z53" s="11">
        <f>SUMIFS(PURCHASE!$L$6:$L$10008,PURCHASE!$A$6:$A$10008,$X$3,PURCHASE!$D$6:$D$10008,$C$5:$C$499)</f>
        <v>0</v>
      </c>
      <c r="AA53" s="11">
        <f>SUMIFS(PURCHASE!$M$6:$M$10008,PURCHASE!$A$6:$A$10008,$X$3,PURCHASE!$D$6:$D$10008,$C$5:$C$499)</f>
        <v>0</v>
      </c>
      <c r="AB53" s="11">
        <f>SUMIFS(PURCHASE!$N$6:$N$10008,PURCHASE!$A$6:$A$10008,$X$3,PURCHASE!$D$6:$D$10008,$C$5:$C$499)</f>
        <v>0</v>
      </c>
      <c r="AC53" s="11">
        <f t="shared" si="10"/>
        <v>0</v>
      </c>
      <c r="AD53" s="11">
        <f>SUMIFS(PURCHASE!$K$6:$K$10008,PURCHASE!$A$6:$A$10008,$AC$3,PURCHASE!$D$6:$D$10008,$C$5:$C$499)</f>
        <v>0</v>
      </c>
      <c r="AE53" s="11">
        <f>SUMIFS(PURCHASE!$L$6:$L$10008,PURCHASE!$A$6:$A$10008,$AC$3,PURCHASE!$D$6:$D$10008,$C$5:$C$499)</f>
        <v>0</v>
      </c>
      <c r="AF53" s="11">
        <f>SUMIFS(PURCHASE!$M$6:$M$10008,PURCHASE!$A$6:$A$10008,$AC$3,PURCHASE!$D$6:$D$10008,$C$5:$C$499)</f>
        <v>0</v>
      </c>
      <c r="AG53" s="11">
        <f>SUMIFS(PURCHASE!$N$6:$N$10008,PURCHASE!$A$6:$A$10008,$AC$3,PURCHASE!$D$6:$D$10008,$C$5:$C$499)</f>
        <v>0</v>
      </c>
      <c r="AH53" s="11">
        <f t="shared" si="11"/>
        <v>0</v>
      </c>
      <c r="AI53" s="11">
        <f>SUMIFS(PURCHASE!$K$6:$K$10008,PURCHASE!$A$6:$A$10008,$AH$3,PURCHASE!$D$6:$D$10008,$C$5:$C$499)</f>
        <v>0</v>
      </c>
      <c r="AJ53" s="11">
        <f>SUMIFS(PURCHASE!$L$6:$L$10008,PURCHASE!$A$6:$A$10008,$AH$3,PURCHASE!$D$6:$D$10008,$C$5:$C$499)</f>
        <v>0</v>
      </c>
      <c r="AK53" s="11">
        <f>SUMIFS(PURCHASE!$M$6:$M$10008,PURCHASE!$A$6:$A$10008,$AH$3,PURCHASE!$D$6:$D$10008,$C$5:$C$499)</f>
        <v>0</v>
      </c>
      <c r="AL53" s="11">
        <f>SUMIFS(PURCHASE!$N$6:$N$10008,PURCHASE!$A$6:$A$10008,$AH$3,PURCHASE!$D$6:$D$10008,$C$5:$C$499)</f>
        <v>0</v>
      </c>
      <c r="AM53" s="11">
        <f t="shared" si="12"/>
        <v>0</v>
      </c>
      <c r="AN53" s="11">
        <f>SUMIFS(PURCHASE!$K$6:$K$10008,PURCHASE!$A$6:$A$10008,$AM$3,PURCHASE!$D$6:$D$10008,$C$5:$C$499)</f>
        <v>0</v>
      </c>
      <c r="AO53" s="11">
        <f>SUMIFS(PURCHASE!$L$6:$L$10008,PURCHASE!$A$6:$A$10008,$AM$3,PURCHASE!$D$6:$D$10008,$C$5:$C$499)</f>
        <v>0</v>
      </c>
      <c r="AP53" s="11">
        <f>SUMIFS(PURCHASE!$M$6:$M$10008,PURCHASE!$A$6:$A$10008,$AM$3,PURCHASE!$D$6:$D$10008,$C$5:$C$499)</f>
        <v>0</v>
      </c>
      <c r="AQ53" s="11">
        <f>SUMIFS(PURCHASE!$N$6:$N$10008,PURCHASE!$A$6:$A$10008,$AM$3,PURCHASE!$D$6:$D$10008,$C$5:$C$499)</f>
        <v>0</v>
      </c>
      <c r="AR53" s="11">
        <f t="shared" si="13"/>
        <v>0</v>
      </c>
      <c r="AS53" s="11">
        <f>SUMIFS(PURCHASE!$K$6:$K$10008,PURCHASE!$A$6:$A$10008,$AR$3,PURCHASE!$D$6:$D$10008,$C$5:$C$499)</f>
        <v>0</v>
      </c>
      <c r="AT53" s="11">
        <f>SUMIFS(PURCHASE!$L$6:$L$10008,PURCHASE!$A$6:$A$10008,$AR$3,PURCHASE!$D$6:$D$10008,$C$5:$C$499)</f>
        <v>0</v>
      </c>
      <c r="AU53" s="11">
        <f>SUMIFS(PURCHASE!$M$6:$M$10008,PURCHASE!$A$6:$A$10008,$AR$3,PURCHASE!$D$6:$D$10008,$C$5:$C$499)</f>
        <v>0</v>
      </c>
      <c r="AV53" s="11">
        <f>SUMIFS(PURCHASE!$N$6:$N$10008,PURCHASE!$A$6:$A$10008,$AR$3,PURCHASE!$D$6:$D$10008,$C$5:$C$499)</f>
        <v>0</v>
      </c>
      <c r="AW53" s="11">
        <f t="shared" si="14"/>
        <v>0</v>
      </c>
      <c r="AX53" s="11">
        <f>SUMIFS(PURCHASE!$K$6:$K$10008,PURCHASE!$A$6:$A$10008,$AW$3,PURCHASE!$D$6:$D$10008,$C$5:$C$499)</f>
        <v>0</v>
      </c>
      <c r="AY53" s="11">
        <f>SUMIFS(PURCHASE!$L$6:$L$10008,PURCHASE!$A$6:$A$10008,$AW$3,PURCHASE!$D$6:$D$10008,$C$5:$C$499)</f>
        <v>0</v>
      </c>
      <c r="AZ53" s="11">
        <f>SUMIFS(PURCHASE!$M$6:$M$10008,PURCHASE!$A$6:$A$10008,$AW$3,PURCHASE!$D$6:$D$10008,$C$5:$C$499)</f>
        <v>0</v>
      </c>
      <c r="BA53" s="11">
        <f>SUMIFS(PURCHASE!$N$6:$N$10008,PURCHASE!$A$6:$A$10008,$AW$3,PURCHASE!$D$6:$D$10008,$C$5:$C$499)</f>
        <v>0</v>
      </c>
      <c r="BB53" s="11">
        <f t="shared" si="15"/>
        <v>0</v>
      </c>
      <c r="BC53" s="11">
        <f>SUMIFS(PURCHASE!$K$6:$K$10008,PURCHASE!$A$6:$A$10008,$BB$3,PURCHASE!$D$6:$D$10008,$C$5:$C$499)</f>
        <v>0</v>
      </c>
      <c r="BD53" s="11">
        <f>SUMIFS(PURCHASE!$L$6:$L$10008,PURCHASE!$A$6:$A$10008,$BB$3,PURCHASE!$D$6:$D$10008,$C$5:$C$499)</f>
        <v>0</v>
      </c>
      <c r="BE53" s="11">
        <f>SUMIFS(PURCHASE!$M$6:$M$10008,PURCHASE!$A$6:$A$10008,$BB$3,PURCHASE!$D$6:$D$10008,$C$5:$C$499)</f>
        <v>0</v>
      </c>
      <c r="BF53" s="11">
        <f>SUMIFS(PURCHASE!$N$6:$N$10008,PURCHASE!$A$6:$A$10008,$BB$3,PURCHASE!$D$6:$D$10008,$C$5:$C$499)</f>
        <v>0</v>
      </c>
      <c r="BG53" s="11">
        <f t="shared" si="16"/>
        <v>0</v>
      </c>
      <c r="BH53" s="11">
        <f>SUMIFS(PURCHASE!$K$6:$K$10008,PURCHASE!$A$6:$A$10008,$BG$3,PURCHASE!$D$6:$D$10008,$C$5:$C$499)</f>
        <v>0</v>
      </c>
      <c r="BI53" s="11">
        <f>SUMIFS(PURCHASE!$L$6:$L$10008,PURCHASE!$A$6:$A$10008,$BG$3,PURCHASE!$D$6:$D$10008,$C$5:$C$499)</f>
        <v>0</v>
      </c>
      <c r="BJ53" s="11">
        <f>SUMIFS(PURCHASE!$M$6:$M$10008,PURCHASE!$A$6:$A$10008,$BG$3,PURCHASE!$D$6:$D$10008,$C$5:$C$499)</f>
        <v>0</v>
      </c>
      <c r="BK53" s="11">
        <f>SUMIFS(PURCHASE!$N$6:$N$10008,PURCHASE!$A$6:$A$10008,$BG$3,PURCHASE!$D$6:$D$10008,$C$5:$C$499)</f>
        <v>0</v>
      </c>
      <c r="BL53" s="11">
        <f t="shared" si="4"/>
        <v>0</v>
      </c>
      <c r="BM53" s="11">
        <f t="shared" si="4"/>
        <v>0</v>
      </c>
      <c r="BN53" s="11">
        <f t="shared" si="4"/>
        <v>0</v>
      </c>
      <c r="BO53" s="11">
        <f t="shared" si="4"/>
        <v>0</v>
      </c>
      <c r="BP53" s="11">
        <f t="shared" si="4"/>
        <v>0</v>
      </c>
    </row>
    <row r="54" spans="1:68" x14ac:dyDescent="0.2">
      <c r="A54" s="467">
        <v>50</v>
      </c>
      <c r="B54" s="475" t="s">
        <v>1112</v>
      </c>
      <c r="C54" s="468" t="s">
        <v>1113</v>
      </c>
      <c r="D54" s="11">
        <f t="shared" si="5"/>
        <v>0</v>
      </c>
      <c r="E54" s="11">
        <f>SUMIFS(PURCHASE!$K$6:$K$10008,PURCHASE!$A$6:$A$10008,$D$3,PURCHASE!$D$6:$D$10008,$C$5:$C$499)</f>
        <v>0</v>
      </c>
      <c r="F54" s="11">
        <f>SUMIFS(PURCHASE!$L$6:$L$10008,PURCHASE!$A$6:$A$10008,$D$3,PURCHASE!$D$6:$D$10008,$C$5:$C$499)</f>
        <v>0</v>
      </c>
      <c r="G54" s="11">
        <f>SUMIFS(PURCHASE!$M$6:$M$10008,PURCHASE!$A$6:$A$10008,$D$3,PURCHASE!$D$6:$D$10008,$C$5:$C$499)</f>
        <v>0</v>
      </c>
      <c r="H54" s="11">
        <f>SUMIFS(PURCHASE!$N$6:$N$10008,PURCHASE!$A$6:$A$10008,$D$3,PURCHASE!$D$6:$D$10008,$C$5:$C$499)</f>
        <v>0</v>
      </c>
      <c r="I54" s="473">
        <f t="shared" si="6"/>
        <v>0</v>
      </c>
      <c r="J54" s="60">
        <f>SUMIFS(PURCHASE!$K$6:$K$10008,PURCHASE!$A$6:$A$10008,$I$3,PURCHASE!$D$6:$D$10008,$C$5:$C$499)</f>
        <v>0</v>
      </c>
      <c r="K54" s="60">
        <f>SUMIFS(PURCHASE!$L$6:$L$10008,PURCHASE!$A$6:$A$10008,$I$3,PURCHASE!$D$6:$D$10008,$C$5:$C$499)</f>
        <v>0</v>
      </c>
      <c r="L54" s="60">
        <f>SUMIFS(PURCHASE!$M$6:$M$10008,PURCHASE!$A$6:$A$10008,$I$3,PURCHASE!$D$6:$D$10008,$C$5:$C$499)</f>
        <v>0</v>
      </c>
      <c r="M54" s="474">
        <f>SUMIFS(PURCHASE!$N$6:$N$10008,PURCHASE!$A$6:$A$10008,$I$3,PURCHASE!$D$6:$D$10008,$C$5:$C$499)</f>
        <v>0</v>
      </c>
      <c r="N54" s="11">
        <f t="shared" si="7"/>
        <v>0</v>
      </c>
      <c r="O54" s="11">
        <f>SUMIFS(PURCHASE!$K$6:$K$10008,PURCHASE!$A$6:$A$10008,$N$3,PURCHASE!$D$6:$D$10008,$C$5:$C$499)</f>
        <v>0</v>
      </c>
      <c r="P54" s="11">
        <f>SUMIFS(PURCHASE!$L$6:$L$10008,PURCHASE!$A$6:$A$10008,$N$3,PURCHASE!$D$6:$D$10008,$C$5:$C$499)</f>
        <v>0</v>
      </c>
      <c r="Q54" s="11">
        <f>SUMIFS(PURCHASE!$M$6:$M$10008,PURCHASE!$A$6:$A$10008,$N$3,PURCHASE!$D$6:$D$10008,$C$5:$C$499)</f>
        <v>0</v>
      </c>
      <c r="R54" s="11">
        <f>SUMIFS(PURCHASE!$N$6:$N$10008,PURCHASE!$A$6:$A$10008,$N$3,PURCHASE!$D$6:$D$10008,$C$5:$C$499)</f>
        <v>0</v>
      </c>
      <c r="S54" s="11">
        <f t="shared" si="8"/>
        <v>0</v>
      </c>
      <c r="T54" s="11">
        <f>SUMIFS(PURCHASE!$K$6:$K$10008,PURCHASE!$A$6:$A$10008,$S$3,PURCHASE!$D$6:$D$10008,$C$5:$C$499)</f>
        <v>0</v>
      </c>
      <c r="U54" s="11">
        <f>SUMIFS(PURCHASE!$L$6:$L$10008,PURCHASE!$A$6:$A$10008,$S$3,PURCHASE!$D$6:$D$10008,$C$5:$C$499)</f>
        <v>0</v>
      </c>
      <c r="V54" s="11">
        <f>SUMIFS(PURCHASE!$M$6:$M$10008,PURCHASE!$A$6:$A$10008,$S$3,PURCHASE!$D$6:$D$10008,$C$5:$C$499)</f>
        <v>0</v>
      </c>
      <c r="W54" s="11">
        <f>SUMIFS(PURCHASE!$N$6:$N$10008,PURCHASE!$A$6:$A$10008,$S$3,PURCHASE!$D$6:$D$10008,$C$5:$C$499)</f>
        <v>0</v>
      </c>
      <c r="X54" s="11">
        <f t="shared" si="9"/>
        <v>0</v>
      </c>
      <c r="Y54" s="11">
        <f>SUMIFS(PURCHASE!$K$6:$K$10008,PURCHASE!$A$6:$A$10008,$X$3,PURCHASE!$D$6:$D$10008,$C$5:$C$499)</f>
        <v>0</v>
      </c>
      <c r="Z54" s="11">
        <f>SUMIFS(PURCHASE!$L$6:$L$10008,PURCHASE!$A$6:$A$10008,$X$3,PURCHASE!$D$6:$D$10008,$C$5:$C$499)</f>
        <v>0</v>
      </c>
      <c r="AA54" s="11">
        <f>SUMIFS(PURCHASE!$M$6:$M$10008,PURCHASE!$A$6:$A$10008,$X$3,PURCHASE!$D$6:$D$10008,$C$5:$C$499)</f>
        <v>0</v>
      </c>
      <c r="AB54" s="11">
        <f>SUMIFS(PURCHASE!$N$6:$N$10008,PURCHASE!$A$6:$A$10008,$X$3,PURCHASE!$D$6:$D$10008,$C$5:$C$499)</f>
        <v>0</v>
      </c>
      <c r="AC54" s="11">
        <f t="shared" si="10"/>
        <v>0</v>
      </c>
      <c r="AD54" s="11">
        <f>SUMIFS(PURCHASE!$K$6:$K$10008,PURCHASE!$A$6:$A$10008,$AC$3,PURCHASE!$D$6:$D$10008,$C$5:$C$499)</f>
        <v>0</v>
      </c>
      <c r="AE54" s="11">
        <f>SUMIFS(PURCHASE!$L$6:$L$10008,PURCHASE!$A$6:$A$10008,$AC$3,PURCHASE!$D$6:$D$10008,$C$5:$C$499)</f>
        <v>0</v>
      </c>
      <c r="AF54" s="11">
        <f>SUMIFS(PURCHASE!$M$6:$M$10008,PURCHASE!$A$6:$A$10008,$AC$3,PURCHASE!$D$6:$D$10008,$C$5:$C$499)</f>
        <v>0</v>
      </c>
      <c r="AG54" s="11">
        <f>SUMIFS(PURCHASE!$N$6:$N$10008,PURCHASE!$A$6:$A$10008,$AC$3,PURCHASE!$D$6:$D$10008,$C$5:$C$499)</f>
        <v>0</v>
      </c>
      <c r="AH54" s="11">
        <f t="shared" si="11"/>
        <v>0</v>
      </c>
      <c r="AI54" s="11">
        <f>SUMIFS(PURCHASE!$K$6:$K$10008,PURCHASE!$A$6:$A$10008,$AH$3,PURCHASE!$D$6:$D$10008,$C$5:$C$499)</f>
        <v>0</v>
      </c>
      <c r="AJ54" s="11">
        <f>SUMIFS(PURCHASE!$L$6:$L$10008,PURCHASE!$A$6:$A$10008,$AH$3,PURCHASE!$D$6:$D$10008,$C$5:$C$499)</f>
        <v>0</v>
      </c>
      <c r="AK54" s="11">
        <f>SUMIFS(PURCHASE!$M$6:$M$10008,PURCHASE!$A$6:$A$10008,$AH$3,PURCHASE!$D$6:$D$10008,$C$5:$C$499)</f>
        <v>0</v>
      </c>
      <c r="AL54" s="11">
        <f>SUMIFS(PURCHASE!$N$6:$N$10008,PURCHASE!$A$6:$A$10008,$AH$3,PURCHASE!$D$6:$D$10008,$C$5:$C$499)</f>
        <v>0</v>
      </c>
      <c r="AM54" s="11">
        <f t="shared" si="12"/>
        <v>0</v>
      </c>
      <c r="AN54" s="11">
        <f>SUMIFS(PURCHASE!$K$6:$K$10008,PURCHASE!$A$6:$A$10008,$AM$3,PURCHASE!$D$6:$D$10008,$C$5:$C$499)</f>
        <v>0</v>
      </c>
      <c r="AO54" s="11">
        <f>SUMIFS(PURCHASE!$L$6:$L$10008,PURCHASE!$A$6:$A$10008,$AM$3,PURCHASE!$D$6:$D$10008,$C$5:$C$499)</f>
        <v>0</v>
      </c>
      <c r="AP54" s="11">
        <f>SUMIFS(PURCHASE!$M$6:$M$10008,PURCHASE!$A$6:$A$10008,$AM$3,PURCHASE!$D$6:$D$10008,$C$5:$C$499)</f>
        <v>0</v>
      </c>
      <c r="AQ54" s="11">
        <f>SUMIFS(PURCHASE!$N$6:$N$10008,PURCHASE!$A$6:$A$10008,$AM$3,PURCHASE!$D$6:$D$10008,$C$5:$C$499)</f>
        <v>0</v>
      </c>
      <c r="AR54" s="11">
        <f t="shared" si="13"/>
        <v>0</v>
      </c>
      <c r="AS54" s="11">
        <f>SUMIFS(PURCHASE!$K$6:$K$10008,PURCHASE!$A$6:$A$10008,$AR$3,PURCHASE!$D$6:$D$10008,$C$5:$C$499)</f>
        <v>0</v>
      </c>
      <c r="AT54" s="11">
        <f>SUMIFS(PURCHASE!$L$6:$L$10008,PURCHASE!$A$6:$A$10008,$AR$3,PURCHASE!$D$6:$D$10008,$C$5:$C$499)</f>
        <v>0</v>
      </c>
      <c r="AU54" s="11">
        <f>SUMIFS(PURCHASE!$M$6:$M$10008,PURCHASE!$A$6:$A$10008,$AR$3,PURCHASE!$D$6:$D$10008,$C$5:$C$499)</f>
        <v>0</v>
      </c>
      <c r="AV54" s="11">
        <f>SUMIFS(PURCHASE!$N$6:$N$10008,PURCHASE!$A$6:$A$10008,$AR$3,PURCHASE!$D$6:$D$10008,$C$5:$C$499)</f>
        <v>0</v>
      </c>
      <c r="AW54" s="11">
        <f t="shared" si="14"/>
        <v>0</v>
      </c>
      <c r="AX54" s="11">
        <f>SUMIFS(PURCHASE!$K$6:$K$10008,PURCHASE!$A$6:$A$10008,$AW$3,PURCHASE!$D$6:$D$10008,$C$5:$C$499)</f>
        <v>0</v>
      </c>
      <c r="AY54" s="11">
        <f>SUMIFS(PURCHASE!$L$6:$L$10008,PURCHASE!$A$6:$A$10008,$AW$3,PURCHASE!$D$6:$D$10008,$C$5:$C$499)</f>
        <v>0</v>
      </c>
      <c r="AZ54" s="11">
        <f>SUMIFS(PURCHASE!$M$6:$M$10008,PURCHASE!$A$6:$A$10008,$AW$3,PURCHASE!$D$6:$D$10008,$C$5:$C$499)</f>
        <v>0</v>
      </c>
      <c r="BA54" s="11">
        <f>SUMIFS(PURCHASE!$N$6:$N$10008,PURCHASE!$A$6:$A$10008,$AW$3,PURCHASE!$D$6:$D$10008,$C$5:$C$499)</f>
        <v>0</v>
      </c>
      <c r="BB54" s="11">
        <f t="shared" si="15"/>
        <v>0</v>
      </c>
      <c r="BC54" s="11">
        <f>SUMIFS(PURCHASE!$K$6:$K$10008,PURCHASE!$A$6:$A$10008,$BB$3,PURCHASE!$D$6:$D$10008,$C$5:$C$499)</f>
        <v>0</v>
      </c>
      <c r="BD54" s="11">
        <f>SUMIFS(PURCHASE!$L$6:$L$10008,PURCHASE!$A$6:$A$10008,$BB$3,PURCHASE!$D$6:$D$10008,$C$5:$C$499)</f>
        <v>0</v>
      </c>
      <c r="BE54" s="11">
        <f>SUMIFS(PURCHASE!$M$6:$M$10008,PURCHASE!$A$6:$A$10008,$BB$3,PURCHASE!$D$6:$D$10008,$C$5:$C$499)</f>
        <v>0</v>
      </c>
      <c r="BF54" s="11">
        <f>SUMIFS(PURCHASE!$N$6:$N$10008,PURCHASE!$A$6:$A$10008,$BB$3,PURCHASE!$D$6:$D$10008,$C$5:$C$499)</f>
        <v>0</v>
      </c>
      <c r="BG54" s="11">
        <f t="shared" si="16"/>
        <v>0</v>
      </c>
      <c r="BH54" s="11">
        <f>SUMIFS(PURCHASE!$K$6:$K$10008,PURCHASE!$A$6:$A$10008,$BG$3,PURCHASE!$D$6:$D$10008,$C$5:$C$499)</f>
        <v>0</v>
      </c>
      <c r="BI54" s="11">
        <f>SUMIFS(PURCHASE!$L$6:$L$10008,PURCHASE!$A$6:$A$10008,$BG$3,PURCHASE!$D$6:$D$10008,$C$5:$C$499)</f>
        <v>0</v>
      </c>
      <c r="BJ54" s="11">
        <f>SUMIFS(PURCHASE!$M$6:$M$10008,PURCHASE!$A$6:$A$10008,$BG$3,PURCHASE!$D$6:$D$10008,$C$5:$C$499)</f>
        <v>0</v>
      </c>
      <c r="BK54" s="11">
        <f>SUMIFS(PURCHASE!$N$6:$N$10008,PURCHASE!$A$6:$A$10008,$BG$3,PURCHASE!$D$6:$D$10008,$C$5:$C$499)</f>
        <v>0</v>
      </c>
      <c r="BL54" s="11">
        <f t="shared" si="4"/>
        <v>0</v>
      </c>
      <c r="BM54" s="11">
        <f t="shared" si="4"/>
        <v>0</v>
      </c>
      <c r="BN54" s="11">
        <f t="shared" si="4"/>
        <v>0</v>
      </c>
      <c r="BO54" s="11">
        <f t="shared" si="4"/>
        <v>0</v>
      </c>
      <c r="BP54" s="11">
        <f t="shared" si="4"/>
        <v>0</v>
      </c>
    </row>
    <row r="55" spans="1:68" x14ac:dyDescent="0.2">
      <c r="A55" s="467">
        <v>51</v>
      </c>
      <c r="B55" s="468" t="s">
        <v>705</v>
      </c>
      <c r="C55" s="469" t="s">
        <v>706</v>
      </c>
      <c r="D55" s="11">
        <f t="shared" si="5"/>
        <v>0</v>
      </c>
      <c r="E55" s="11">
        <f>SUMIFS(PURCHASE!$K$6:$K$10008,PURCHASE!$A$6:$A$10008,$D$3,PURCHASE!$D$6:$D$10008,$C$5:$C$499)</f>
        <v>0</v>
      </c>
      <c r="F55" s="11">
        <f>SUMIFS(PURCHASE!$L$6:$L$10008,PURCHASE!$A$6:$A$10008,$D$3,PURCHASE!$D$6:$D$10008,$C$5:$C$499)</f>
        <v>0</v>
      </c>
      <c r="G55" s="11">
        <f>SUMIFS(PURCHASE!$M$6:$M$10008,PURCHASE!$A$6:$A$10008,$D$3,PURCHASE!$D$6:$D$10008,$C$5:$C$499)</f>
        <v>0</v>
      </c>
      <c r="H55" s="11">
        <f>SUMIFS(PURCHASE!$N$6:$N$10008,PURCHASE!$A$6:$A$10008,$D$3,PURCHASE!$D$6:$D$10008,$C$5:$C$499)</f>
        <v>0</v>
      </c>
      <c r="I55" s="473">
        <f t="shared" si="6"/>
        <v>0</v>
      </c>
      <c r="J55" s="60">
        <f>SUMIFS(PURCHASE!$K$6:$K$10008,PURCHASE!$A$6:$A$10008,$I$3,PURCHASE!$D$6:$D$10008,$C$5:$C$499)</f>
        <v>0</v>
      </c>
      <c r="K55" s="60">
        <f>SUMIFS(PURCHASE!$L$6:$L$10008,PURCHASE!$A$6:$A$10008,$I$3,PURCHASE!$D$6:$D$10008,$C$5:$C$499)</f>
        <v>0</v>
      </c>
      <c r="L55" s="60">
        <f>SUMIFS(PURCHASE!$M$6:$M$10008,PURCHASE!$A$6:$A$10008,$I$3,PURCHASE!$D$6:$D$10008,$C$5:$C$499)</f>
        <v>0</v>
      </c>
      <c r="M55" s="474">
        <f>SUMIFS(PURCHASE!$N$6:$N$10008,PURCHASE!$A$6:$A$10008,$I$3,PURCHASE!$D$6:$D$10008,$C$5:$C$499)</f>
        <v>0</v>
      </c>
      <c r="N55" s="11">
        <f t="shared" si="7"/>
        <v>3329.92</v>
      </c>
      <c r="O55" s="11">
        <f>SUMIFS(PURCHASE!$K$6:$K$10008,PURCHASE!$A$6:$A$10008,$N$3,PURCHASE!$D$6:$D$10008,$C$5:$C$499)</f>
        <v>2601.5</v>
      </c>
      <c r="P55" s="11">
        <f>SUMIFS(PURCHASE!$L$6:$L$10008,PURCHASE!$A$6:$A$10008,$N$3,PURCHASE!$D$6:$D$10008,$C$5:$C$499)</f>
        <v>0</v>
      </c>
      <c r="Q55" s="11">
        <f>SUMIFS(PURCHASE!$M$6:$M$10008,PURCHASE!$A$6:$A$10008,$N$3,PURCHASE!$D$6:$D$10008,$C$5:$C$499)</f>
        <v>364.21000000000004</v>
      </c>
      <c r="R55" s="11">
        <f>SUMIFS(PURCHASE!$N$6:$N$10008,PURCHASE!$A$6:$A$10008,$N$3,PURCHASE!$D$6:$D$10008,$C$5:$C$499)</f>
        <v>364.21000000000004</v>
      </c>
      <c r="S55" s="11">
        <f t="shared" si="8"/>
        <v>13760</v>
      </c>
      <c r="T55" s="11">
        <f>SUMIFS(PURCHASE!$K$6:$K$10008,PURCHASE!$A$6:$A$10008,$S$3,PURCHASE!$D$6:$D$10008,$C$5:$C$499)</f>
        <v>10750</v>
      </c>
      <c r="U55" s="11">
        <f>SUMIFS(PURCHASE!$L$6:$L$10008,PURCHASE!$A$6:$A$10008,$S$3,PURCHASE!$D$6:$D$10008,$C$5:$C$499)</f>
        <v>0</v>
      </c>
      <c r="V55" s="11">
        <f>SUMIFS(PURCHASE!$M$6:$M$10008,PURCHASE!$A$6:$A$10008,$S$3,PURCHASE!$D$6:$D$10008,$C$5:$C$499)</f>
        <v>1505</v>
      </c>
      <c r="W55" s="11">
        <f>SUMIFS(PURCHASE!$N$6:$N$10008,PURCHASE!$A$6:$A$10008,$S$3,PURCHASE!$D$6:$D$10008,$C$5:$C$499)</f>
        <v>1505</v>
      </c>
      <c r="X55" s="11">
        <f t="shared" si="9"/>
        <v>3742.7200000000003</v>
      </c>
      <c r="Y55" s="11">
        <f>SUMIFS(PURCHASE!$K$6:$K$10008,PURCHASE!$A$6:$A$10008,$X$3,PURCHASE!$D$6:$D$10008,$C$5:$C$499)</f>
        <v>2924</v>
      </c>
      <c r="Z55" s="11">
        <f>SUMIFS(PURCHASE!$L$6:$L$10008,PURCHASE!$A$6:$A$10008,$X$3,PURCHASE!$D$6:$D$10008,$C$5:$C$499)</f>
        <v>0</v>
      </c>
      <c r="AA55" s="11">
        <f>SUMIFS(PURCHASE!$M$6:$M$10008,PURCHASE!$A$6:$A$10008,$X$3,PURCHASE!$D$6:$D$10008,$C$5:$C$499)</f>
        <v>409.35999999999996</v>
      </c>
      <c r="AB55" s="11">
        <f>SUMIFS(PURCHASE!$N$6:$N$10008,PURCHASE!$A$6:$A$10008,$X$3,PURCHASE!$D$6:$D$10008,$C$5:$C$499)</f>
        <v>409.35999999999996</v>
      </c>
      <c r="AC55" s="11">
        <f t="shared" si="10"/>
        <v>0</v>
      </c>
      <c r="AD55" s="11">
        <f>SUMIFS(PURCHASE!$K$6:$K$10008,PURCHASE!$A$6:$A$10008,$AC$3,PURCHASE!$D$6:$D$10008,$C$5:$C$499)</f>
        <v>0</v>
      </c>
      <c r="AE55" s="11">
        <f>SUMIFS(PURCHASE!$L$6:$L$10008,PURCHASE!$A$6:$A$10008,$AC$3,PURCHASE!$D$6:$D$10008,$C$5:$C$499)</f>
        <v>0</v>
      </c>
      <c r="AF55" s="11">
        <f>SUMIFS(PURCHASE!$M$6:$M$10008,PURCHASE!$A$6:$A$10008,$AC$3,PURCHASE!$D$6:$D$10008,$C$5:$C$499)</f>
        <v>0</v>
      </c>
      <c r="AG55" s="11">
        <f>SUMIFS(PURCHASE!$N$6:$N$10008,PURCHASE!$A$6:$A$10008,$AC$3,PURCHASE!$D$6:$D$10008,$C$5:$C$499)</f>
        <v>0</v>
      </c>
      <c r="AH55" s="11">
        <f t="shared" si="11"/>
        <v>0</v>
      </c>
      <c r="AI55" s="11">
        <f>SUMIFS(PURCHASE!$K$6:$K$10008,PURCHASE!$A$6:$A$10008,$AH$3,PURCHASE!$D$6:$D$10008,$C$5:$C$499)</f>
        <v>0</v>
      </c>
      <c r="AJ55" s="11">
        <f>SUMIFS(PURCHASE!$L$6:$L$10008,PURCHASE!$A$6:$A$10008,$AH$3,PURCHASE!$D$6:$D$10008,$C$5:$C$499)</f>
        <v>0</v>
      </c>
      <c r="AK55" s="11">
        <f>SUMIFS(PURCHASE!$M$6:$M$10008,PURCHASE!$A$6:$A$10008,$AH$3,PURCHASE!$D$6:$D$10008,$C$5:$C$499)</f>
        <v>0</v>
      </c>
      <c r="AL55" s="11">
        <f>SUMIFS(PURCHASE!$N$6:$N$10008,PURCHASE!$A$6:$A$10008,$AH$3,PURCHASE!$D$6:$D$10008,$C$5:$C$499)</f>
        <v>0</v>
      </c>
      <c r="AM55" s="11">
        <f t="shared" si="12"/>
        <v>0</v>
      </c>
      <c r="AN55" s="11">
        <f>SUMIFS(PURCHASE!$K$6:$K$10008,PURCHASE!$A$6:$A$10008,$AM$3,PURCHASE!$D$6:$D$10008,$C$5:$C$499)</f>
        <v>0</v>
      </c>
      <c r="AO55" s="11">
        <f>SUMIFS(PURCHASE!$L$6:$L$10008,PURCHASE!$A$6:$A$10008,$AM$3,PURCHASE!$D$6:$D$10008,$C$5:$C$499)</f>
        <v>0</v>
      </c>
      <c r="AP55" s="11">
        <f>SUMIFS(PURCHASE!$M$6:$M$10008,PURCHASE!$A$6:$A$10008,$AM$3,PURCHASE!$D$6:$D$10008,$C$5:$C$499)</f>
        <v>0</v>
      </c>
      <c r="AQ55" s="11">
        <f>SUMIFS(PURCHASE!$N$6:$N$10008,PURCHASE!$A$6:$A$10008,$AM$3,PURCHASE!$D$6:$D$10008,$C$5:$C$499)</f>
        <v>0</v>
      </c>
      <c r="AR55" s="11">
        <f t="shared" si="13"/>
        <v>0</v>
      </c>
      <c r="AS55" s="11">
        <f>SUMIFS(PURCHASE!$K$6:$K$10008,PURCHASE!$A$6:$A$10008,$AR$3,PURCHASE!$D$6:$D$10008,$C$5:$C$499)</f>
        <v>0</v>
      </c>
      <c r="AT55" s="11">
        <f>SUMIFS(PURCHASE!$L$6:$L$10008,PURCHASE!$A$6:$A$10008,$AR$3,PURCHASE!$D$6:$D$10008,$C$5:$C$499)</f>
        <v>0</v>
      </c>
      <c r="AU55" s="11">
        <f>SUMIFS(PURCHASE!$M$6:$M$10008,PURCHASE!$A$6:$A$10008,$AR$3,PURCHASE!$D$6:$D$10008,$C$5:$C$499)</f>
        <v>0</v>
      </c>
      <c r="AV55" s="11">
        <f>SUMIFS(PURCHASE!$N$6:$N$10008,PURCHASE!$A$6:$A$10008,$AR$3,PURCHASE!$D$6:$D$10008,$C$5:$C$499)</f>
        <v>0</v>
      </c>
      <c r="AW55" s="11">
        <f t="shared" si="14"/>
        <v>0</v>
      </c>
      <c r="AX55" s="11">
        <f>SUMIFS(PURCHASE!$K$6:$K$10008,PURCHASE!$A$6:$A$10008,$AW$3,PURCHASE!$D$6:$D$10008,$C$5:$C$499)</f>
        <v>0</v>
      </c>
      <c r="AY55" s="11">
        <f>SUMIFS(PURCHASE!$L$6:$L$10008,PURCHASE!$A$6:$A$10008,$AW$3,PURCHASE!$D$6:$D$10008,$C$5:$C$499)</f>
        <v>0</v>
      </c>
      <c r="AZ55" s="11">
        <f>SUMIFS(PURCHASE!$M$6:$M$10008,PURCHASE!$A$6:$A$10008,$AW$3,PURCHASE!$D$6:$D$10008,$C$5:$C$499)</f>
        <v>0</v>
      </c>
      <c r="BA55" s="11">
        <f>SUMIFS(PURCHASE!$N$6:$N$10008,PURCHASE!$A$6:$A$10008,$AW$3,PURCHASE!$D$6:$D$10008,$C$5:$C$499)</f>
        <v>0</v>
      </c>
      <c r="BB55" s="11">
        <f t="shared" si="15"/>
        <v>0</v>
      </c>
      <c r="BC55" s="11">
        <f>SUMIFS(PURCHASE!$K$6:$K$10008,PURCHASE!$A$6:$A$10008,$BB$3,PURCHASE!$D$6:$D$10008,$C$5:$C$499)</f>
        <v>0</v>
      </c>
      <c r="BD55" s="11">
        <f>SUMIFS(PURCHASE!$L$6:$L$10008,PURCHASE!$A$6:$A$10008,$BB$3,PURCHASE!$D$6:$D$10008,$C$5:$C$499)</f>
        <v>0</v>
      </c>
      <c r="BE55" s="11">
        <f>SUMIFS(PURCHASE!$M$6:$M$10008,PURCHASE!$A$6:$A$10008,$BB$3,PURCHASE!$D$6:$D$10008,$C$5:$C$499)</f>
        <v>0</v>
      </c>
      <c r="BF55" s="11">
        <f>SUMIFS(PURCHASE!$N$6:$N$10008,PURCHASE!$A$6:$A$10008,$BB$3,PURCHASE!$D$6:$D$10008,$C$5:$C$499)</f>
        <v>0</v>
      </c>
      <c r="BG55" s="11">
        <f t="shared" si="16"/>
        <v>0</v>
      </c>
      <c r="BH55" s="11">
        <f>SUMIFS(PURCHASE!$K$6:$K$10008,PURCHASE!$A$6:$A$10008,$BG$3,PURCHASE!$D$6:$D$10008,$C$5:$C$499)</f>
        <v>0</v>
      </c>
      <c r="BI55" s="11">
        <f>SUMIFS(PURCHASE!$L$6:$L$10008,PURCHASE!$A$6:$A$10008,$BG$3,PURCHASE!$D$6:$D$10008,$C$5:$C$499)</f>
        <v>0</v>
      </c>
      <c r="BJ55" s="11">
        <f>SUMIFS(PURCHASE!$M$6:$M$10008,PURCHASE!$A$6:$A$10008,$BG$3,PURCHASE!$D$6:$D$10008,$C$5:$C$499)</f>
        <v>0</v>
      </c>
      <c r="BK55" s="11">
        <f>SUMIFS(PURCHASE!$N$6:$N$10008,PURCHASE!$A$6:$A$10008,$BG$3,PURCHASE!$D$6:$D$10008,$C$5:$C$499)</f>
        <v>0</v>
      </c>
      <c r="BL55" s="11">
        <f t="shared" si="4"/>
        <v>20832.64</v>
      </c>
      <c r="BM55" s="11">
        <f t="shared" si="4"/>
        <v>16275.5</v>
      </c>
      <c r="BN55" s="11">
        <f t="shared" si="4"/>
        <v>0</v>
      </c>
      <c r="BO55" s="11">
        <f t="shared" si="4"/>
        <v>2278.5700000000002</v>
      </c>
      <c r="BP55" s="11">
        <f t="shared" si="4"/>
        <v>2278.5700000000002</v>
      </c>
    </row>
    <row r="56" spans="1:68" x14ac:dyDescent="0.2">
      <c r="A56" s="467">
        <v>52</v>
      </c>
      <c r="B56" s="468" t="s">
        <v>1114</v>
      </c>
      <c r="C56" s="469" t="s">
        <v>1115</v>
      </c>
      <c r="D56" s="11">
        <f t="shared" si="5"/>
        <v>0</v>
      </c>
      <c r="E56" s="11">
        <f>SUMIFS(PURCHASE!$K$6:$K$10008,PURCHASE!$A$6:$A$10008,$D$3,PURCHASE!$D$6:$D$10008,$C$5:$C$499)</f>
        <v>0</v>
      </c>
      <c r="F56" s="11">
        <f>SUMIFS(PURCHASE!$L$6:$L$10008,PURCHASE!$A$6:$A$10008,$D$3,PURCHASE!$D$6:$D$10008,$C$5:$C$499)</f>
        <v>0</v>
      </c>
      <c r="G56" s="11">
        <f>SUMIFS(PURCHASE!$M$6:$M$10008,PURCHASE!$A$6:$A$10008,$D$3,PURCHASE!$D$6:$D$10008,$C$5:$C$499)</f>
        <v>0</v>
      </c>
      <c r="H56" s="11">
        <f>SUMIFS(PURCHASE!$N$6:$N$10008,PURCHASE!$A$6:$A$10008,$D$3,PURCHASE!$D$6:$D$10008,$C$5:$C$499)</f>
        <v>0</v>
      </c>
      <c r="I56" s="473">
        <f t="shared" si="6"/>
        <v>0</v>
      </c>
      <c r="J56" s="60">
        <f>SUMIFS(PURCHASE!$K$6:$K$10008,PURCHASE!$A$6:$A$10008,$I$3,PURCHASE!$D$6:$D$10008,$C$5:$C$499)</f>
        <v>0</v>
      </c>
      <c r="K56" s="60">
        <f>SUMIFS(PURCHASE!$L$6:$L$10008,PURCHASE!$A$6:$A$10008,$I$3,PURCHASE!$D$6:$D$10008,$C$5:$C$499)</f>
        <v>0</v>
      </c>
      <c r="L56" s="60">
        <f>SUMIFS(PURCHASE!$M$6:$M$10008,PURCHASE!$A$6:$A$10008,$I$3,PURCHASE!$D$6:$D$10008,$C$5:$C$499)</f>
        <v>0</v>
      </c>
      <c r="M56" s="474">
        <f>SUMIFS(PURCHASE!$N$6:$N$10008,PURCHASE!$A$6:$A$10008,$I$3,PURCHASE!$D$6:$D$10008,$C$5:$C$499)</f>
        <v>0</v>
      </c>
      <c r="N56" s="11">
        <f t="shared" si="7"/>
        <v>0</v>
      </c>
      <c r="O56" s="11">
        <f>SUMIFS(PURCHASE!$K$6:$K$10008,PURCHASE!$A$6:$A$10008,$N$3,PURCHASE!$D$6:$D$10008,$C$5:$C$499)</f>
        <v>0</v>
      </c>
      <c r="P56" s="11">
        <f>SUMIFS(PURCHASE!$L$6:$L$10008,PURCHASE!$A$6:$A$10008,$N$3,PURCHASE!$D$6:$D$10008,$C$5:$C$499)</f>
        <v>0</v>
      </c>
      <c r="Q56" s="11">
        <f>SUMIFS(PURCHASE!$M$6:$M$10008,PURCHASE!$A$6:$A$10008,$N$3,PURCHASE!$D$6:$D$10008,$C$5:$C$499)</f>
        <v>0</v>
      </c>
      <c r="R56" s="11">
        <f>SUMIFS(PURCHASE!$N$6:$N$10008,PURCHASE!$A$6:$A$10008,$N$3,PURCHASE!$D$6:$D$10008,$C$5:$C$499)</f>
        <v>0</v>
      </c>
      <c r="S56" s="11">
        <f t="shared" si="8"/>
        <v>0</v>
      </c>
      <c r="T56" s="11">
        <f>SUMIFS(PURCHASE!$K$6:$K$10008,PURCHASE!$A$6:$A$10008,$S$3,PURCHASE!$D$6:$D$10008,$C$5:$C$499)</f>
        <v>0</v>
      </c>
      <c r="U56" s="11">
        <f>SUMIFS(PURCHASE!$L$6:$L$10008,PURCHASE!$A$6:$A$10008,$S$3,PURCHASE!$D$6:$D$10008,$C$5:$C$499)</f>
        <v>0</v>
      </c>
      <c r="V56" s="11">
        <f>SUMIFS(PURCHASE!$M$6:$M$10008,PURCHASE!$A$6:$A$10008,$S$3,PURCHASE!$D$6:$D$10008,$C$5:$C$499)</f>
        <v>0</v>
      </c>
      <c r="W56" s="11">
        <f>SUMIFS(PURCHASE!$N$6:$N$10008,PURCHASE!$A$6:$A$10008,$S$3,PURCHASE!$D$6:$D$10008,$C$5:$C$499)</f>
        <v>0</v>
      </c>
      <c r="X56" s="11">
        <f t="shared" si="9"/>
        <v>0</v>
      </c>
      <c r="Y56" s="11">
        <f>SUMIFS(PURCHASE!$K$6:$K$10008,PURCHASE!$A$6:$A$10008,$X$3,PURCHASE!$D$6:$D$10008,$C$5:$C$499)</f>
        <v>0</v>
      </c>
      <c r="Z56" s="11">
        <f>SUMIFS(PURCHASE!$L$6:$L$10008,PURCHASE!$A$6:$A$10008,$X$3,PURCHASE!$D$6:$D$10008,$C$5:$C$499)</f>
        <v>0</v>
      </c>
      <c r="AA56" s="11">
        <f>SUMIFS(PURCHASE!$M$6:$M$10008,PURCHASE!$A$6:$A$10008,$X$3,PURCHASE!$D$6:$D$10008,$C$5:$C$499)</f>
        <v>0</v>
      </c>
      <c r="AB56" s="11">
        <f>SUMIFS(PURCHASE!$N$6:$N$10008,PURCHASE!$A$6:$A$10008,$X$3,PURCHASE!$D$6:$D$10008,$C$5:$C$499)</f>
        <v>0</v>
      </c>
      <c r="AC56" s="11">
        <f t="shared" si="10"/>
        <v>0</v>
      </c>
      <c r="AD56" s="11">
        <f>SUMIFS(PURCHASE!$K$6:$K$10008,PURCHASE!$A$6:$A$10008,$AC$3,PURCHASE!$D$6:$D$10008,$C$5:$C$499)</f>
        <v>0</v>
      </c>
      <c r="AE56" s="11">
        <f>SUMIFS(PURCHASE!$L$6:$L$10008,PURCHASE!$A$6:$A$10008,$AC$3,PURCHASE!$D$6:$D$10008,$C$5:$C$499)</f>
        <v>0</v>
      </c>
      <c r="AF56" s="11">
        <f>SUMIFS(PURCHASE!$M$6:$M$10008,PURCHASE!$A$6:$A$10008,$AC$3,PURCHASE!$D$6:$D$10008,$C$5:$C$499)</f>
        <v>0</v>
      </c>
      <c r="AG56" s="11">
        <f>SUMIFS(PURCHASE!$N$6:$N$10008,PURCHASE!$A$6:$A$10008,$AC$3,PURCHASE!$D$6:$D$10008,$C$5:$C$499)</f>
        <v>0</v>
      </c>
      <c r="AH56" s="11">
        <f t="shared" si="11"/>
        <v>0</v>
      </c>
      <c r="AI56" s="11">
        <f>SUMIFS(PURCHASE!$K$6:$K$10008,PURCHASE!$A$6:$A$10008,$AH$3,PURCHASE!$D$6:$D$10008,$C$5:$C$499)</f>
        <v>0</v>
      </c>
      <c r="AJ56" s="11">
        <f>SUMIFS(PURCHASE!$L$6:$L$10008,PURCHASE!$A$6:$A$10008,$AH$3,PURCHASE!$D$6:$D$10008,$C$5:$C$499)</f>
        <v>0</v>
      </c>
      <c r="AK56" s="11">
        <f>SUMIFS(PURCHASE!$M$6:$M$10008,PURCHASE!$A$6:$A$10008,$AH$3,PURCHASE!$D$6:$D$10008,$C$5:$C$499)</f>
        <v>0</v>
      </c>
      <c r="AL56" s="11">
        <f>SUMIFS(PURCHASE!$N$6:$N$10008,PURCHASE!$A$6:$A$10008,$AH$3,PURCHASE!$D$6:$D$10008,$C$5:$C$499)</f>
        <v>0</v>
      </c>
      <c r="AM56" s="11">
        <f t="shared" si="12"/>
        <v>0</v>
      </c>
      <c r="AN56" s="11">
        <f>SUMIFS(PURCHASE!$K$6:$K$10008,PURCHASE!$A$6:$A$10008,$AM$3,PURCHASE!$D$6:$D$10008,$C$5:$C$499)</f>
        <v>0</v>
      </c>
      <c r="AO56" s="11">
        <f>SUMIFS(PURCHASE!$L$6:$L$10008,PURCHASE!$A$6:$A$10008,$AM$3,PURCHASE!$D$6:$D$10008,$C$5:$C$499)</f>
        <v>0</v>
      </c>
      <c r="AP56" s="11">
        <f>SUMIFS(PURCHASE!$M$6:$M$10008,PURCHASE!$A$6:$A$10008,$AM$3,PURCHASE!$D$6:$D$10008,$C$5:$C$499)</f>
        <v>0</v>
      </c>
      <c r="AQ56" s="11">
        <f>SUMIFS(PURCHASE!$N$6:$N$10008,PURCHASE!$A$6:$A$10008,$AM$3,PURCHASE!$D$6:$D$10008,$C$5:$C$499)</f>
        <v>0</v>
      </c>
      <c r="AR56" s="11">
        <f t="shared" si="13"/>
        <v>0</v>
      </c>
      <c r="AS56" s="11">
        <f>SUMIFS(PURCHASE!$K$6:$K$10008,PURCHASE!$A$6:$A$10008,$AR$3,PURCHASE!$D$6:$D$10008,$C$5:$C$499)</f>
        <v>0</v>
      </c>
      <c r="AT56" s="11">
        <f>SUMIFS(PURCHASE!$L$6:$L$10008,PURCHASE!$A$6:$A$10008,$AR$3,PURCHASE!$D$6:$D$10008,$C$5:$C$499)</f>
        <v>0</v>
      </c>
      <c r="AU56" s="11">
        <f>SUMIFS(PURCHASE!$M$6:$M$10008,PURCHASE!$A$6:$A$10008,$AR$3,PURCHASE!$D$6:$D$10008,$C$5:$C$499)</f>
        <v>0</v>
      </c>
      <c r="AV56" s="11">
        <f>SUMIFS(PURCHASE!$N$6:$N$10008,PURCHASE!$A$6:$A$10008,$AR$3,PURCHASE!$D$6:$D$10008,$C$5:$C$499)</f>
        <v>0</v>
      </c>
      <c r="AW56" s="11">
        <f t="shared" si="14"/>
        <v>0</v>
      </c>
      <c r="AX56" s="11">
        <f>SUMIFS(PURCHASE!$K$6:$K$10008,PURCHASE!$A$6:$A$10008,$AW$3,PURCHASE!$D$6:$D$10008,$C$5:$C$499)</f>
        <v>0</v>
      </c>
      <c r="AY56" s="11">
        <f>SUMIFS(PURCHASE!$L$6:$L$10008,PURCHASE!$A$6:$A$10008,$AW$3,PURCHASE!$D$6:$D$10008,$C$5:$C$499)</f>
        <v>0</v>
      </c>
      <c r="AZ56" s="11">
        <f>SUMIFS(PURCHASE!$M$6:$M$10008,PURCHASE!$A$6:$A$10008,$AW$3,PURCHASE!$D$6:$D$10008,$C$5:$C$499)</f>
        <v>0</v>
      </c>
      <c r="BA56" s="11">
        <f>SUMIFS(PURCHASE!$N$6:$N$10008,PURCHASE!$A$6:$A$10008,$AW$3,PURCHASE!$D$6:$D$10008,$C$5:$C$499)</f>
        <v>0</v>
      </c>
      <c r="BB56" s="11">
        <f t="shared" si="15"/>
        <v>0</v>
      </c>
      <c r="BC56" s="11">
        <f>SUMIFS(PURCHASE!$K$6:$K$10008,PURCHASE!$A$6:$A$10008,$BB$3,PURCHASE!$D$6:$D$10008,$C$5:$C$499)</f>
        <v>0</v>
      </c>
      <c r="BD56" s="11">
        <f>SUMIFS(PURCHASE!$L$6:$L$10008,PURCHASE!$A$6:$A$10008,$BB$3,PURCHASE!$D$6:$D$10008,$C$5:$C$499)</f>
        <v>0</v>
      </c>
      <c r="BE56" s="11">
        <f>SUMIFS(PURCHASE!$M$6:$M$10008,PURCHASE!$A$6:$A$10008,$BB$3,PURCHASE!$D$6:$D$10008,$C$5:$C$499)</f>
        <v>0</v>
      </c>
      <c r="BF56" s="11">
        <f>SUMIFS(PURCHASE!$N$6:$N$10008,PURCHASE!$A$6:$A$10008,$BB$3,PURCHASE!$D$6:$D$10008,$C$5:$C$499)</f>
        <v>0</v>
      </c>
      <c r="BG56" s="11">
        <f t="shared" si="16"/>
        <v>0</v>
      </c>
      <c r="BH56" s="11">
        <f>SUMIFS(PURCHASE!$K$6:$K$10008,PURCHASE!$A$6:$A$10008,$BG$3,PURCHASE!$D$6:$D$10008,$C$5:$C$499)</f>
        <v>0</v>
      </c>
      <c r="BI56" s="11">
        <f>SUMIFS(PURCHASE!$L$6:$L$10008,PURCHASE!$A$6:$A$10008,$BG$3,PURCHASE!$D$6:$D$10008,$C$5:$C$499)</f>
        <v>0</v>
      </c>
      <c r="BJ56" s="11">
        <f>SUMIFS(PURCHASE!$M$6:$M$10008,PURCHASE!$A$6:$A$10008,$BG$3,PURCHASE!$D$6:$D$10008,$C$5:$C$499)</f>
        <v>0</v>
      </c>
      <c r="BK56" s="11">
        <f>SUMIFS(PURCHASE!$N$6:$N$10008,PURCHASE!$A$6:$A$10008,$BG$3,PURCHASE!$D$6:$D$10008,$C$5:$C$499)</f>
        <v>0</v>
      </c>
      <c r="BL56" s="11">
        <f t="shared" si="4"/>
        <v>0</v>
      </c>
      <c r="BM56" s="11">
        <f t="shared" si="4"/>
        <v>0</v>
      </c>
      <c r="BN56" s="11">
        <f t="shared" si="4"/>
        <v>0</v>
      </c>
      <c r="BO56" s="11">
        <f t="shared" si="4"/>
        <v>0</v>
      </c>
      <c r="BP56" s="11">
        <f t="shared" si="4"/>
        <v>0</v>
      </c>
    </row>
    <row r="57" spans="1:68" x14ac:dyDescent="0.2">
      <c r="A57" s="467">
        <v>53</v>
      </c>
      <c r="B57" s="475" t="s">
        <v>1116</v>
      </c>
      <c r="C57" s="468" t="s">
        <v>1117</v>
      </c>
      <c r="D57" s="11">
        <f t="shared" si="5"/>
        <v>0</v>
      </c>
      <c r="E57" s="11">
        <f>SUMIFS(PURCHASE!$K$6:$K$10008,PURCHASE!$A$6:$A$10008,$D$3,PURCHASE!$D$6:$D$10008,$C$5:$C$499)</f>
        <v>0</v>
      </c>
      <c r="F57" s="11">
        <f>SUMIFS(PURCHASE!$L$6:$L$10008,PURCHASE!$A$6:$A$10008,$D$3,PURCHASE!$D$6:$D$10008,$C$5:$C$499)</f>
        <v>0</v>
      </c>
      <c r="G57" s="11">
        <f>SUMIFS(PURCHASE!$M$6:$M$10008,PURCHASE!$A$6:$A$10008,$D$3,PURCHASE!$D$6:$D$10008,$C$5:$C$499)</f>
        <v>0</v>
      </c>
      <c r="H57" s="11">
        <f>SUMIFS(PURCHASE!$N$6:$N$10008,PURCHASE!$A$6:$A$10008,$D$3,PURCHASE!$D$6:$D$10008,$C$5:$C$499)</f>
        <v>0</v>
      </c>
      <c r="I57" s="473">
        <f t="shared" si="6"/>
        <v>0</v>
      </c>
      <c r="J57" s="60">
        <f>SUMIFS(PURCHASE!$K$6:$K$10008,PURCHASE!$A$6:$A$10008,$I$3,PURCHASE!$D$6:$D$10008,$C$5:$C$499)</f>
        <v>0</v>
      </c>
      <c r="K57" s="60">
        <f>SUMIFS(PURCHASE!$L$6:$L$10008,PURCHASE!$A$6:$A$10008,$I$3,PURCHASE!$D$6:$D$10008,$C$5:$C$499)</f>
        <v>0</v>
      </c>
      <c r="L57" s="60">
        <f>SUMIFS(PURCHASE!$M$6:$M$10008,PURCHASE!$A$6:$A$10008,$I$3,PURCHASE!$D$6:$D$10008,$C$5:$C$499)</f>
        <v>0</v>
      </c>
      <c r="M57" s="474">
        <f>SUMIFS(PURCHASE!$N$6:$N$10008,PURCHASE!$A$6:$A$10008,$I$3,PURCHASE!$D$6:$D$10008,$C$5:$C$499)</f>
        <v>0</v>
      </c>
      <c r="N57" s="11">
        <f t="shared" si="7"/>
        <v>0</v>
      </c>
      <c r="O57" s="11">
        <f>SUMIFS(PURCHASE!$K$6:$K$10008,PURCHASE!$A$6:$A$10008,$N$3,PURCHASE!$D$6:$D$10008,$C$5:$C$499)</f>
        <v>0</v>
      </c>
      <c r="P57" s="11">
        <f>SUMIFS(PURCHASE!$L$6:$L$10008,PURCHASE!$A$6:$A$10008,$N$3,PURCHASE!$D$6:$D$10008,$C$5:$C$499)</f>
        <v>0</v>
      </c>
      <c r="Q57" s="11">
        <f>SUMIFS(PURCHASE!$M$6:$M$10008,PURCHASE!$A$6:$A$10008,$N$3,PURCHASE!$D$6:$D$10008,$C$5:$C$499)</f>
        <v>0</v>
      </c>
      <c r="R57" s="11">
        <f>SUMIFS(PURCHASE!$N$6:$N$10008,PURCHASE!$A$6:$A$10008,$N$3,PURCHASE!$D$6:$D$10008,$C$5:$C$499)</f>
        <v>0</v>
      </c>
      <c r="S57" s="11">
        <f t="shared" si="8"/>
        <v>0</v>
      </c>
      <c r="T57" s="11">
        <f>SUMIFS(PURCHASE!$K$6:$K$10008,PURCHASE!$A$6:$A$10008,$S$3,PURCHASE!$D$6:$D$10008,$C$5:$C$499)</f>
        <v>0</v>
      </c>
      <c r="U57" s="11">
        <f>SUMIFS(PURCHASE!$L$6:$L$10008,PURCHASE!$A$6:$A$10008,$S$3,PURCHASE!$D$6:$D$10008,$C$5:$C$499)</f>
        <v>0</v>
      </c>
      <c r="V57" s="11">
        <f>SUMIFS(PURCHASE!$M$6:$M$10008,PURCHASE!$A$6:$A$10008,$S$3,PURCHASE!$D$6:$D$10008,$C$5:$C$499)</f>
        <v>0</v>
      </c>
      <c r="W57" s="11">
        <f>SUMIFS(PURCHASE!$N$6:$N$10008,PURCHASE!$A$6:$A$10008,$S$3,PURCHASE!$D$6:$D$10008,$C$5:$C$499)</f>
        <v>0</v>
      </c>
      <c r="X57" s="11">
        <f t="shared" si="9"/>
        <v>0</v>
      </c>
      <c r="Y57" s="11">
        <f>SUMIFS(PURCHASE!$K$6:$K$10008,PURCHASE!$A$6:$A$10008,$X$3,PURCHASE!$D$6:$D$10008,$C$5:$C$499)</f>
        <v>0</v>
      </c>
      <c r="Z57" s="11">
        <f>SUMIFS(PURCHASE!$L$6:$L$10008,PURCHASE!$A$6:$A$10008,$X$3,PURCHASE!$D$6:$D$10008,$C$5:$C$499)</f>
        <v>0</v>
      </c>
      <c r="AA57" s="11">
        <f>SUMIFS(PURCHASE!$M$6:$M$10008,PURCHASE!$A$6:$A$10008,$X$3,PURCHASE!$D$6:$D$10008,$C$5:$C$499)</f>
        <v>0</v>
      </c>
      <c r="AB57" s="11">
        <f>SUMIFS(PURCHASE!$N$6:$N$10008,PURCHASE!$A$6:$A$10008,$X$3,PURCHASE!$D$6:$D$10008,$C$5:$C$499)</f>
        <v>0</v>
      </c>
      <c r="AC57" s="11">
        <f t="shared" si="10"/>
        <v>0</v>
      </c>
      <c r="AD57" s="11">
        <f>SUMIFS(PURCHASE!$K$6:$K$10008,PURCHASE!$A$6:$A$10008,$AC$3,PURCHASE!$D$6:$D$10008,$C$5:$C$499)</f>
        <v>0</v>
      </c>
      <c r="AE57" s="11">
        <f>SUMIFS(PURCHASE!$L$6:$L$10008,PURCHASE!$A$6:$A$10008,$AC$3,PURCHASE!$D$6:$D$10008,$C$5:$C$499)</f>
        <v>0</v>
      </c>
      <c r="AF57" s="11">
        <f>SUMIFS(PURCHASE!$M$6:$M$10008,PURCHASE!$A$6:$A$10008,$AC$3,PURCHASE!$D$6:$D$10008,$C$5:$C$499)</f>
        <v>0</v>
      </c>
      <c r="AG57" s="11">
        <f>SUMIFS(PURCHASE!$N$6:$N$10008,PURCHASE!$A$6:$A$10008,$AC$3,PURCHASE!$D$6:$D$10008,$C$5:$C$499)</f>
        <v>0</v>
      </c>
      <c r="AH57" s="11">
        <f t="shared" si="11"/>
        <v>0</v>
      </c>
      <c r="AI57" s="11">
        <f>SUMIFS(PURCHASE!$K$6:$K$10008,PURCHASE!$A$6:$A$10008,$AH$3,PURCHASE!$D$6:$D$10008,$C$5:$C$499)</f>
        <v>0</v>
      </c>
      <c r="AJ57" s="11">
        <f>SUMIFS(PURCHASE!$L$6:$L$10008,PURCHASE!$A$6:$A$10008,$AH$3,PURCHASE!$D$6:$D$10008,$C$5:$C$499)</f>
        <v>0</v>
      </c>
      <c r="AK57" s="11">
        <f>SUMIFS(PURCHASE!$M$6:$M$10008,PURCHASE!$A$6:$A$10008,$AH$3,PURCHASE!$D$6:$D$10008,$C$5:$C$499)</f>
        <v>0</v>
      </c>
      <c r="AL57" s="11">
        <f>SUMIFS(PURCHASE!$N$6:$N$10008,PURCHASE!$A$6:$A$10008,$AH$3,PURCHASE!$D$6:$D$10008,$C$5:$C$499)</f>
        <v>0</v>
      </c>
      <c r="AM57" s="11">
        <f t="shared" si="12"/>
        <v>0</v>
      </c>
      <c r="AN57" s="11">
        <f>SUMIFS(PURCHASE!$K$6:$K$10008,PURCHASE!$A$6:$A$10008,$AM$3,PURCHASE!$D$6:$D$10008,$C$5:$C$499)</f>
        <v>0</v>
      </c>
      <c r="AO57" s="11">
        <f>SUMIFS(PURCHASE!$L$6:$L$10008,PURCHASE!$A$6:$A$10008,$AM$3,PURCHASE!$D$6:$D$10008,$C$5:$C$499)</f>
        <v>0</v>
      </c>
      <c r="AP57" s="11">
        <f>SUMIFS(PURCHASE!$M$6:$M$10008,PURCHASE!$A$6:$A$10008,$AM$3,PURCHASE!$D$6:$D$10008,$C$5:$C$499)</f>
        <v>0</v>
      </c>
      <c r="AQ57" s="11">
        <f>SUMIFS(PURCHASE!$N$6:$N$10008,PURCHASE!$A$6:$A$10008,$AM$3,PURCHASE!$D$6:$D$10008,$C$5:$C$499)</f>
        <v>0</v>
      </c>
      <c r="AR57" s="11">
        <f t="shared" si="13"/>
        <v>0</v>
      </c>
      <c r="AS57" s="11">
        <f>SUMIFS(PURCHASE!$K$6:$K$10008,PURCHASE!$A$6:$A$10008,$AR$3,PURCHASE!$D$6:$D$10008,$C$5:$C$499)</f>
        <v>0</v>
      </c>
      <c r="AT57" s="11">
        <f>SUMIFS(PURCHASE!$L$6:$L$10008,PURCHASE!$A$6:$A$10008,$AR$3,PURCHASE!$D$6:$D$10008,$C$5:$C$499)</f>
        <v>0</v>
      </c>
      <c r="AU57" s="11">
        <f>SUMIFS(PURCHASE!$M$6:$M$10008,PURCHASE!$A$6:$A$10008,$AR$3,PURCHASE!$D$6:$D$10008,$C$5:$C$499)</f>
        <v>0</v>
      </c>
      <c r="AV57" s="11">
        <f>SUMIFS(PURCHASE!$N$6:$N$10008,PURCHASE!$A$6:$A$10008,$AR$3,PURCHASE!$D$6:$D$10008,$C$5:$C$499)</f>
        <v>0</v>
      </c>
      <c r="AW57" s="11">
        <f t="shared" si="14"/>
        <v>0</v>
      </c>
      <c r="AX57" s="11">
        <f>SUMIFS(PURCHASE!$K$6:$K$10008,PURCHASE!$A$6:$A$10008,$AW$3,PURCHASE!$D$6:$D$10008,$C$5:$C$499)</f>
        <v>0</v>
      </c>
      <c r="AY57" s="11">
        <f>SUMIFS(PURCHASE!$L$6:$L$10008,PURCHASE!$A$6:$A$10008,$AW$3,PURCHASE!$D$6:$D$10008,$C$5:$C$499)</f>
        <v>0</v>
      </c>
      <c r="AZ57" s="11">
        <f>SUMIFS(PURCHASE!$M$6:$M$10008,PURCHASE!$A$6:$A$10008,$AW$3,PURCHASE!$D$6:$D$10008,$C$5:$C$499)</f>
        <v>0</v>
      </c>
      <c r="BA57" s="11">
        <f>SUMIFS(PURCHASE!$N$6:$N$10008,PURCHASE!$A$6:$A$10008,$AW$3,PURCHASE!$D$6:$D$10008,$C$5:$C$499)</f>
        <v>0</v>
      </c>
      <c r="BB57" s="11">
        <f t="shared" si="15"/>
        <v>0</v>
      </c>
      <c r="BC57" s="11">
        <f>SUMIFS(PURCHASE!$K$6:$K$10008,PURCHASE!$A$6:$A$10008,$BB$3,PURCHASE!$D$6:$D$10008,$C$5:$C$499)</f>
        <v>0</v>
      </c>
      <c r="BD57" s="11">
        <f>SUMIFS(PURCHASE!$L$6:$L$10008,PURCHASE!$A$6:$A$10008,$BB$3,PURCHASE!$D$6:$D$10008,$C$5:$C$499)</f>
        <v>0</v>
      </c>
      <c r="BE57" s="11">
        <f>SUMIFS(PURCHASE!$M$6:$M$10008,PURCHASE!$A$6:$A$10008,$BB$3,PURCHASE!$D$6:$D$10008,$C$5:$C$499)</f>
        <v>0</v>
      </c>
      <c r="BF57" s="11">
        <f>SUMIFS(PURCHASE!$N$6:$N$10008,PURCHASE!$A$6:$A$10008,$BB$3,PURCHASE!$D$6:$D$10008,$C$5:$C$499)</f>
        <v>0</v>
      </c>
      <c r="BG57" s="11">
        <f t="shared" si="16"/>
        <v>0</v>
      </c>
      <c r="BH57" s="11">
        <f>SUMIFS(PURCHASE!$K$6:$K$10008,PURCHASE!$A$6:$A$10008,$BG$3,PURCHASE!$D$6:$D$10008,$C$5:$C$499)</f>
        <v>0</v>
      </c>
      <c r="BI57" s="11">
        <f>SUMIFS(PURCHASE!$L$6:$L$10008,PURCHASE!$A$6:$A$10008,$BG$3,PURCHASE!$D$6:$D$10008,$C$5:$C$499)</f>
        <v>0</v>
      </c>
      <c r="BJ57" s="11">
        <f>SUMIFS(PURCHASE!$M$6:$M$10008,PURCHASE!$A$6:$A$10008,$BG$3,PURCHASE!$D$6:$D$10008,$C$5:$C$499)</f>
        <v>0</v>
      </c>
      <c r="BK57" s="11">
        <f>SUMIFS(PURCHASE!$N$6:$N$10008,PURCHASE!$A$6:$A$10008,$BG$3,PURCHASE!$D$6:$D$10008,$C$5:$C$499)</f>
        <v>0</v>
      </c>
      <c r="BL57" s="11">
        <f t="shared" si="4"/>
        <v>0</v>
      </c>
      <c r="BM57" s="11">
        <f t="shared" si="4"/>
        <v>0</v>
      </c>
      <c r="BN57" s="11">
        <f t="shared" si="4"/>
        <v>0</v>
      </c>
      <c r="BO57" s="11">
        <f t="shared" si="4"/>
        <v>0</v>
      </c>
      <c r="BP57" s="11">
        <f t="shared" si="4"/>
        <v>0</v>
      </c>
    </row>
    <row r="58" spans="1:68" x14ac:dyDescent="0.2">
      <c r="A58" s="467">
        <v>54</v>
      </c>
      <c r="B58" s="468" t="s">
        <v>1118</v>
      </c>
      <c r="C58" s="469" t="s">
        <v>1119</v>
      </c>
      <c r="D58" s="11">
        <f t="shared" si="5"/>
        <v>0</v>
      </c>
      <c r="E58" s="11">
        <f>SUMIFS(PURCHASE!$K$6:$K$10008,PURCHASE!$A$6:$A$10008,$D$3,PURCHASE!$D$6:$D$10008,$C$5:$C$499)</f>
        <v>0</v>
      </c>
      <c r="F58" s="11">
        <f>SUMIFS(PURCHASE!$L$6:$L$10008,PURCHASE!$A$6:$A$10008,$D$3,PURCHASE!$D$6:$D$10008,$C$5:$C$499)</f>
        <v>0</v>
      </c>
      <c r="G58" s="11">
        <f>SUMIFS(PURCHASE!$M$6:$M$10008,PURCHASE!$A$6:$A$10008,$D$3,PURCHASE!$D$6:$D$10008,$C$5:$C$499)</f>
        <v>0</v>
      </c>
      <c r="H58" s="11">
        <f>SUMIFS(PURCHASE!$N$6:$N$10008,PURCHASE!$A$6:$A$10008,$D$3,PURCHASE!$D$6:$D$10008,$C$5:$C$499)</f>
        <v>0</v>
      </c>
      <c r="I58" s="473">
        <f t="shared" si="6"/>
        <v>0</v>
      </c>
      <c r="J58" s="60">
        <f>SUMIFS(PURCHASE!$K$6:$K$10008,PURCHASE!$A$6:$A$10008,$I$3,PURCHASE!$D$6:$D$10008,$C$5:$C$499)</f>
        <v>0</v>
      </c>
      <c r="K58" s="60">
        <f>SUMIFS(PURCHASE!$L$6:$L$10008,PURCHASE!$A$6:$A$10008,$I$3,PURCHASE!$D$6:$D$10008,$C$5:$C$499)</f>
        <v>0</v>
      </c>
      <c r="L58" s="60">
        <f>SUMIFS(PURCHASE!$M$6:$M$10008,PURCHASE!$A$6:$A$10008,$I$3,PURCHASE!$D$6:$D$10008,$C$5:$C$499)</f>
        <v>0</v>
      </c>
      <c r="M58" s="474">
        <f>SUMIFS(PURCHASE!$N$6:$N$10008,PURCHASE!$A$6:$A$10008,$I$3,PURCHASE!$D$6:$D$10008,$C$5:$C$499)</f>
        <v>0</v>
      </c>
      <c r="N58" s="11">
        <f t="shared" si="7"/>
        <v>0</v>
      </c>
      <c r="O58" s="11">
        <f>SUMIFS(PURCHASE!$K$6:$K$10008,PURCHASE!$A$6:$A$10008,$N$3,PURCHASE!$D$6:$D$10008,$C$5:$C$499)</f>
        <v>0</v>
      </c>
      <c r="P58" s="11">
        <f>SUMIFS(PURCHASE!$L$6:$L$10008,PURCHASE!$A$6:$A$10008,$N$3,PURCHASE!$D$6:$D$10008,$C$5:$C$499)</f>
        <v>0</v>
      </c>
      <c r="Q58" s="11">
        <f>SUMIFS(PURCHASE!$M$6:$M$10008,PURCHASE!$A$6:$A$10008,$N$3,PURCHASE!$D$6:$D$10008,$C$5:$C$499)</f>
        <v>0</v>
      </c>
      <c r="R58" s="11">
        <f>SUMIFS(PURCHASE!$N$6:$N$10008,PURCHASE!$A$6:$A$10008,$N$3,PURCHASE!$D$6:$D$10008,$C$5:$C$499)</f>
        <v>0</v>
      </c>
      <c r="S58" s="11">
        <f t="shared" si="8"/>
        <v>0</v>
      </c>
      <c r="T58" s="11">
        <f>SUMIFS(PURCHASE!$K$6:$K$10008,PURCHASE!$A$6:$A$10008,$S$3,PURCHASE!$D$6:$D$10008,$C$5:$C$499)</f>
        <v>0</v>
      </c>
      <c r="U58" s="11">
        <f>SUMIFS(PURCHASE!$L$6:$L$10008,PURCHASE!$A$6:$A$10008,$S$3,PURCHASE!$D$6:$D$10008,$C$5:$C$499)</f>
        <v>0</v>
      </c>
      <c r="V58" s="11">
        <f>SUMIFS(PURCHASE!$M$6:$M$10008,PURCHASE!$A$6:$A$10008,$S$3,PURCHASE!$D$6:$D$10008,$C$5:$C$499)</f>
        <v>0</v>
      </c>
      <c r="W58" s="11">
        <f>SUMIFS(PURCHASE!$N$6:$N$10008,PURCHASE!$A$6:$A$10008,$S$3,PURCHASE!$D$6:$D$10008,$C$5:$C$499)</f>
        <v>0</v>
      </c>
      <c r="X58" s="11">
        <f t="shared" si="9"/>
        <v>0</v>
      </c>
      <c r="Y58" s="11">
        <f>SUMIFS(PURCHASE!$K$6:$K$10008,PURCHASE!$A$6:$A$10008,$X$3,PURCHASE!$D$6:$D$10008,$C$5:$C$499)</f>
        <v>0</v>
      </c>
      <c r="Z58" s="11">
        <f>SUMIFS(PURCHASE!$L$6:$L$10008,PURCHASE!$A$6:$A$10008,$X$3,PURCHASE!$D$6:$D$10008,$C$5:$C$499)</f>
        <v>0</v>
      </c>
      <c r="AA58" s="11">
        <f>SUMIFS(PURCHASE!$M$6:$M$10008,PURCHASE!$A$6:$A$10008,$X$3,PURCHASE!$D$6:$D$10008,$C$5:$C$499)</f>
        <v>0</v>
      </c>
      <c r="AB58" s="11">
        <f>SUMIFS(PURCHASE!$N$6:$N$10008,PURCHASE!$A$6:$A$10008,$X$3,PURCHASE!$D$6:$D$10008,$C$5:$C$499)</f>
        <v>0</v>
      </c>
      <c r="AC58" s="11">
        <f t="shared" si="10"/>
        <v>0</v>
      </c>
      <c r="AD58" s="11">
        <f>SUMIFS(PURCHASE!$K$6:$K$10008,PURCHASE!$A$6:$A$10008,$AC$3,PURCHASE!$D$6:$D$10008,$C$5:$C$499)</f>
        <v>0</v>
      </c>
      <c r="AE58" s="11">
        <f>SUMIFS(PURCHASE!$L$6:$L$10008,PURCHASE!$A$6:$A$10008,$AC$3,PURCHASE!$D$6:$D$10008,$C$5:$C$499)</f>
        <v>0</v>
      </c>
      <c r="AF58" s="11">
        <f>SUMIFS(PURCHASE!$M$6:$M$10008,PURCHASE!$A$6:$A$10008,$AC$3,PURCHASE!$D$6:$D$10008,$C$5:$C$499)</f>
        <v>0</v>
      </c>
      <c r="AG58" s="11">
        <f>SUMIFS(PURCHASE!$N$6:$N$10008,PURCHASE!$A$6:$A$10008,$AC$3,PURCHASE!$D$6:$D$10008,$C$5:$C$499)</f>
        <v>0</v>
      </c>
      <c r="AH58" s="11">
        <f t="shared" si="11"/>
        <v>0</v>
      </c>
      <c r="AI58" s="11">
        <f>SUMIFS(PURCHASE!$K$6:$K$10008,PURCHASE!$A$6:$A$10008,$AH$3,PURCHASE!$D$6:$D$10008,$C$5:$C$499)</f>
        <v>0</v>
      </c>
      <c r="AJ58" s="11">
        <f>SUMIFS(PURCHASE!$L$6:$L$10008,PURCHASE!$A$6:$A$10008,$AH$3,PURCHASE!$D$6:$D$10008,$C$5:$C$499)</f>
        <v>0</v>
      </c>
      <c r="AK58" s="11">
        <f>SUMIFS(PURCHASE!$M$6:$M$10008,PURCHASE!$A$6:$A$10008,$AH$3,PURCHASE!$D$6:$D$10008,$C$5:$C$499)</f>
        <v>0</v>
      </c>
      <c r="AL58" s="11">
        <f>SUMIFS(PURCHASE!$N$6:$N$10008,PURCHASE!$A$6:$A$10008,$AH$3,PURCHASE!$D$6:$D$10008,$C$5:$C$499)</f>
        <v>0</v>
      </c>
      <c r="AM58" s="11">
        <f t="shared" si="12"/>
        <v>0</v>
      </c>
      <c r="AN58" s="11">
        <f>SUMIFS(PURCHASE!$K$6:$K$10008,PURCHASE!$A$6:$A$10008,$AM$3,PURCHASE!$D$6:$D$10008,$C$5:$C$499)</f>
        <v>0</v>
      </c>
      <c r="AO58" s="11">
        <f>SUMIFS(PURCHASE!$L$6:$L$10008,PURCHASE!$A$6:$A$10008,$AM$3,PURCHASE!$D$6:$D$10008,$C$5:$C$499)</f>
        <v>0</v>
      </c>
      <c r="AP58" s="11">
        <f>SUMIFS(PURCHASE!$M$6:$M$10008,PURCHASE!$A$6:$A$10008,$AM$3,PURCHASE!$D$6:$D$10008,$C$5:$C$499)</f>
        <v>0</v>
      </c>
      <c r="AQ58" s="11">
        <f>SUMIFS(PURCHASE!$N$6:$N$10008,PURCHASE!$A$6:$A$10008,$AM$3,PURCHASE!$D$6:$D$10008,$C$5:$C$499)</f>
        <v>0</v>
      </c>
      <c r="AR58" s="11">
        <f t="shared" si="13"/>
        <v>0</v>
      </c>
      <c r="AS58" s="11">
        <f>SUMIFS(PURCHASE!$K$6:$K$10008,PURCHASE!$A$6:$A$10008,$AR$3,PURCHASE!$D$6:$D$10008,$C$5:$C$499)</f>
        <v>0</v>
      </c>
      <c r="AT58" s="11">
        <f>SUMIFS(PURCHASE!$L$6:$L$10008,PURCHASE!$A$6:$A$10008,$AR$3,PURCHASE!$D$6:$D$10008,$C$5:$C$499)</f>
        <v>0</v>
      </c>
      <c r="AU58" s="11">
        <f>SUMIFS(PURCHASE!$M$6:$M$10008,PURCHASE!$A$6:$A$10008,$AR$3,PURCHASE!$D$6:$D$10008,$C$5:$C$499)</f>
        <v>0</v>
      </c>
      <c r="AV58" s="11">
        <f>SUMIFS(PURCHASE!$N$6:$N$10008,PURCHASE!$A$6:$A$10008,$AR$3,PURCHASE!$D$6:$D$10008,$C$5:$C$499)</f>
        <v>0</v>
      </c>
      <c r="AW58" s="11">
        <f t="shared" si="14"/>
        <v>0</v>
      </c>
      <c r="AX58" s="11">
        <f>SUMIFS(PURCHASE!$K$6:$K$10008,PURCHASE!$A$6:$A$10008,$AW$3,PURCHASE!$D$6:$D$10008,$C$5:$C$499)</f>
        <v>0</v>
      </c>
      <c r="AY58" s="11">
        <f>SUMIFS(PURCHASE!$L$6:$L$10008,PURCHASE!$A$6:$A$10008,$AW$3,PURCHASE!$D$6:$D$10008,$C$5:$C$499)</f>
        <v>0</v>
      </c>
      <c r="AZ58" s="11">
        <f>SUMIFS(PURCHASE!$M$6:$M$10008,PURCHASE!$A$6:$A$10008,$AW$3,PURCHASE!$D$6:$D$10008,$C$5:$C$499)</f>
        <v>0</v>
      </c>
      <c r="BA58" s="11">
        <f>SUMIFS(PURCHASE!$N$6:$N$10008,PURCHASE!$A$6:$A$10008,$AW$3,PURCHASE!$D$6:$D$10008,$C$5:$C$499)</f>
        <v>0</v>
      </c>
      <c r="BB58" s="11">
        <f t="shared" si="15"/>
        <v>0</v>
      </c>
      <c r="BC58" s="11">
        <f>SUMIFS(PURCHASE!$K$6:$K$10008,PURCHASE!$A$6:$A$10008,$BB$3,PURCHASE!$D$6:$D$10008,$C$5:$C$499)</f>
        <v>0</v>
      </c>
      <c r="BD58" s="11">
        <f>SUMIFS(PURCHASE!$L$6:$L$10008,PURCHASE!$A$6:$A$10008,$BB$3,PURCHASE!$D$6:$D$10008,$C$5:$C$499)</f>
        <v>0</v>
      </c>
      <c r="BE58" s="11">
        <f>SUMIFS(PURCHASE!$M$6:$M$10008,PURCHASE!$A$6:$A$10008,$BB$3,PURCHASE!$D$6:$D$10008,$C$5:$C$499)</f>
        <v>0</v>
      </c>
      <c r="BF58" s="11">
        <f>SUMIFS(PURCHASE!$N$6:$N$10008,PURCHASE!$A$6:$A$10008,$BB$3,PURCHASE!$D$6:$D$10008,$C$5:$C$499)</f>
        <v>0</v>
      </c>
      <c r="BG58" s="11">
        <f t="shared" si="16"/>
        <v>0</v>
      </c>
      <c r="BH58" s="11">
        <f>SUMIFS(PURCHASE!$K$6:$K$10008,PURCHASE!$A$6:$A$10008,$BG$3,PURCHASE!$D$6:$D$10008,$C$5:$C$499)</f>
        <v>0</v>
      </c>
      <c r="BI58" s="11">
        <f>SUMIFS(PURCHASE!$L$6:$L$10008,PURCHASE!$A$6:$A$10008,$BG$3,PURCHASE!$D$6:$D$10008,$C$5:$C$499)</f>
        <v>0</v>
      </c>
      <c r="BJ58" s="11">
        <f>SUMIFS(PURCHASE!$M$6:$M$10008,PURCHASE!$A$6:$A$10008,$BG$3,PURCHASE!$D$6:$D$10008,$C$5:$C$499)</f>
        <v>0</v>
      </c>
      <c r="BK58" s="11">
        <f>SUMIFS(PURCHASE!$N$6:$N$10008,PURCHASE!$A$6:$A$10008,$BG$3,PURCHASE!$D$6:$D$10008,$C$5:$C$499)</f>
        <v>0</v>
      </c>
      <c r="BL58" s="11">
        <f t="shared" si="4"/>
        <v>0</v>
      </c>
      <c r="BM58" s="11">
        <f t="shared" si="4"/>
        <v>0</v>
      </c>
      <c r="BN58" s="11">
        <f t="shared" si="4"/>
        <v>0</v>
      </c>
      <c r="BO58" s="11">
        <f t="shared" si="4"/>
        <v>0</v>
      </c>
      <c r="BP58" s="11">
        <f t="shared" si="4"/>
        <v>0</v>
      </c>
    </row>
    <row r="59" spans="1:68" x14ac:dyDescent="0.2">
      <c r="A59" s="467">
        <v>55</v>
      </c>
      <c r="B59" s="468" t="s">
        <v>601</v>
      </c>
      <c r="C59" s="469" t="s">
        <v>602</v>
      </c>
      <c r="D59" s="11">
        <f t="shared" si="5"/>
        <v>0</v>
      </c>
      <c r="E59" s="11">
        <f>SUMIFS(PURCHASE!$K$6:$K$10008,PURCHASE!$A$6:$A$10008,$D$3,PURCHASE!$D$6:$D$10008,$C$5:$C$499)</f>
        <v>0</v>
      </c>
      <c r="F59" s="11">
        <f>SUMIFS(PURCHASE!$L$6:$L$10008,PURCHASE!$A$6:$A$10008,$D$3,PURCHASE!$D$6:$D$10008,$C$5:$C$499)</f>
        <v>0</v>
      </c>
      <c r="G59" s="11">
        <f>SUMIFS(PURCHASE!$M$6:$M$10008,PURCHASE!$A$6:$A$10008,$D$3,PURCHASE!$D$6:$D$10008,$C$5:$C$499)</f>
        <v>0</v>
      </c>
      <c r="H59" s="11">
        <f>SUMIFS(PURCHASE!$N$6:$N$10008,PURCHASE!$A$6:$A$10008,$D$3,PURCHASE!$D$6:$D$10008,$C$5:$C$499)</f>
        <v>0</v>
      </c>
      <c r="I59" s="473">
        <f t="shared" si="6"/>
        <v>599017.42079999996</v>
      </c>
      <c r="J59" s="60">
        <f>SUMIFS(PURCHASE!$K$6:$K$10008,PURCHASE!$A$6:$A$10008,$I$3,PURCHASE!$D$6:$D$10008,$C$5:$C$499)</f>
        <v>467982.35999999987</v>
      </c>
      <c r="K59" s="60">
        <f>SUMIFS(PURCHASE!$L$6:$L$10008,PURCHASE!$A$6:$A$10008,$I$3,PURCHASE!$D$6:$D$10008,$C$5:$C$499)</f>
        <v>0</v>
      </c>
      <c r="L59" s="60">
        <f>SUMIFS(PURCHASE!$M$6:$M$10008,PURCHASE!$A$6:$A$10008,$I$3,PURCHASE!$D$6:$D$10008,$C$5:$C$499)</f>
        <v>65517.530399999989</v>
      </c>
      <c r="M59" s="474">
        <f>SUMIFS(PURCHASE!$N$6:$N$10008,PURCHASE!$A$6:$A$10008,$I$3,PURCHASE!$D$6:$D$10008,$C$5:$C$499)</f>
        <v>65517.530399999989</v>
      </c>
      <c r="N59" s="11">
        <f t="shared" si="7"/>
        <v>613361.66400000011</v>
      </c>
      <c r="O59" s="11">
        <f>SUMIFS(PURCHASE!$K$6:$K$10008,PURCHASE!$A$6:$A$10008,$N$3,PURCHASE!$D$6:$D$10008,$C$5:$C$499)</f>
        <v>479188.80000000005</v>
      </c>
      <c r="P59" s="11">
        <f>SUMIFS(PURCHASE!$L$6:$L$10008,PURCHASE!$A$6:$A$10008,$N$3,PURCHASE!$D$6:$D$10008,$C$5:$C$499)</f>
        <v>0</v>
      </c>
      <c r="Q59" s="11">
        <f>SUMIFS(PURCHASE!$M$6:$M$10008,PURCHASE!$A$6:$A$10008,$N$3,PURCHASE!$D$6:$D$10008,$C$5:$C$499)</f>
        <v>67086.432000000001</v>
      </c>
      <c r="R59" s="11">
        <f>SUMIFS(PURCHASE!$N$6:$N$10008,PURCHASE!$A$6:$A$10008,$N$3,PURCHASE!$D$6:$D$10008,$C$5:$C$499)</f>
        <v>67086.432000000001</v>
      </c>
      <c r="S59" s="11">
        <f t="shared" si="8"/>
        <v>537587.71199999994</v>
      </c>
      <c r="T59" s="11">
        <f>SUMIFS(PURCHASE!$K$6:$K$10008,PURCHASE!$A$6:$A$10008,$S$3,PURCHASE!$D$6:$D$10008,$C$5:$C$499)</f>
        <v>419990.39999999997</v>
      </c>
      <c r="U59" s="11">
        <f>SUMIFS(PURCHASE!$L$6:$L$10008,PURCHASE!$A$6:$A$10008,$S$3,PURCHASE!$D$6:$D$10008,$C$5:$C$499)</f>
        <v>0</v>
      </c>
      <c r="V59" s="11">
        <f>SUMIFS(PURCHASE!$M$6:$M$10008,PURCHASE!$A$6:$A$10008,$S$3,PURCHASE!$D$6:$D$10008,$C$5:$C$499)</f>
        <v>58798.656000000003</v>
      </c>
      <c r="W59" s="11">
        <f>SUMIFS(PURCHASE!$N$6:$N$10008,PURCHASE!$A$6:$A$10008,$S$3,PURCHASE!$D$6:$D$10008,$C$5:$C$499)</f>
        <v>58798.656000000003</v>
      </c>
      <c r="X59" s="11">
        <f t="shared" si="9"/>
        <v>261676.79999999999</v>
      </c>
      <c r="Y59" s="11">
        <f>SUMIFS(PURCHASE!$K$6:$K$10008,PURCHASE!$A$6:$A$10008,$X$3,PURCHASE!$D$6:$D$10008,$C$5:$C$499)</f>
        <v>204435</v>
      </c>
      <c r="Z59" s="11">
        <f>SUMIFS(PURCHASE!$L$6:$L$10008,PURCHASE!$A$6:$A$10008,$X$3,PURCHASE!$D$6:$D$10008,$C$5:$C$499)</f>
        <v>0</v>
      </c>
      <c r="AA59" s="11">
        <f>SUMIFS(PURCHASE!$M$6:$M$10008,PURCHASE!$A$6:$A$10008,$X$3,PURCHASE!$D$6:$D$10008,$C$5:$C$499)</f>
        <v>28620.9</v>
      </c>
      <c r="AB59" s="11">
        <f>SUMIFS(PURCHASE!$N$6:$N$10008,PURCHASE!$A$6:$A$10008,$X$3,PURCHASE!$D$6:$D$10008,$C$5:$C$499)</f>
        <v>28620.9</v>
      </c>
      <c r="AC59" s="11">
        <f t="shared" si="10"/>
        <v>439188.47999999998</v>
      </c>
      <c r="AD59" s="11">
        <f>SUMIFS(PURCHASE!$K$6:$K$10008,PURCHASE!$A$6:$A$10008,$AC$3,PURCHASE!$D$6:$D$10008,$C$5:$C$499)</f>
        <v>343116</v>
      </c>
      <c r="AE59" s="11">
        <f>SUMIFS(PURCHASE!$L$6:$L$10008,PURCHASE!$A$6:$A$10008,$AC$3,PURCHASE!$D$6:$D$10008,$C$5:$C$499)</f>
        <v>0</v>
      </c>
      <c r="AF59" s="11">
        <f>SUMIFS(PURCHASE!$M$6:$M$10008,PURCHASE!$A$6:$A$10008,$AC$3,PURCHASE!$D$6:$D$10008,$C$5:$C$499)</f>
        <v>48036.24</v>
      </c>
      <c r="AG59" s="11">
        <f>SUMIFS(PURCHASE!$N$6:$N$10008,PURCHASE!$A$6:$A$10008,$AC$3,PURCHASE!$D$6:$D$10008,$C$5:$C$499)</f>
        <v>48036.24</v>
      </c>
      <c r="AH59" s="11">
        <f t="shared" si="11"/>
        <v>406494.71999999997</v>
      </c>
      <c r="AI59" s="11">
        <f>SUMIFS(PURCHASE!$K$6:$K$10008,PURCHASE!$A$6:$A$10008,$AH$3,PURCHASE!$D$6:$D$10008,$C$5:$C$499)</f>
        <v>317574</v>
      </c>
      <c r="AJ59" s="11">
        <f>SUMIFS(PURCHASE!$L$6:$L$10008,PURCHASE!$A$6:$A$10008,$AH$3,PURCHASE!$D$6:$D$10008,$C$5:$C$499)</f>
        <v>0</v>
      </c>
      <c r="AK59" s="11">
        <f>SUMIFS(PURCHASE!$M$6:$M$10008,PURCHASE!$A$6:$A$10008,$AH$3,PURCHASE!$D$6:$D$10008,$C$5:$C$499)</f>
        <v>44460.359999999993</v>
      </c>
      <c r="AL59" s="11">
        <f>SUMIFS(PURCHASE!$N$6:$N$10008,PURCHASE!$A$6:$A$10008,$AH$3,PURCHASE!$D$6:$D$10008,$C$5:$C$499)</f>
        <v>44460.359999999993</v>
      </c>
      <c r="AM59" s="11">
        <f t="shared" si="12"/>
        <v>0</v>
      </c>
      <c r="AN59" s="11">
        <f>SUMIFS(PURCHASE!$K$6:$K$10008,PURCHASE!$A$6:$A$10008,$AM$3,PURCHASE!$D$6:$D$10008,$C$5:$C$499)</f>
        <v>0</v>
      </c>
      <c r="AO59" s="11">
        <f>SUMIFS(PURCHASE!$L$6:$L$10008,PURCHASE!$A$6:$A$10008,$AM$3,PURCHASE!$D$6:$D$10008,$C$5:$C$499)</f>
        <v>0</v>
      </c>
      <c r="AP59" s="11">
        <f>SUMIFS(PURCHASE!$M$6:$M$10008,PURCHASE!$A$6:$A$10008,$AM$3,PURCHASE!$D$6:$D$10008,$C$5:$C$499)</f>
        <v>0</v>
      </c>
      <c r="AQ59" s="11">
        <f>SUMIFS(PURCHASE!$N$6:$N$10008,PURCHASE!$A$6:$A$10008,$AM$3,PURCHASE!$D$6:$D$10008,$C$5:$C$499)</f>
        <v>0</v>
      </c>
      <c r="AR59" s="11">
        <f t="shared" si="13"/>
        <v>0</v>
      </c>
      <c r="AS59" s="11">
        <f>SUMIFS(PURCHASE!$K$6:$K$10008,PURCHASE!$A$6:$A$10008,$AR$3,PURCHASE!$D$6:$D$10008,$C$5:$C$499)</f>
        <v>0</v>
      </c>
      <c r="AT59" s="11">
        <f>SUMIFS(PURCHASE!$L$6:$L$10008,PURCHASE!$A$6:$A$10008,$AR$3,PURCHASE!$D$6:$D$10008,$C$5:$C$499)</f>
        <v>0</v>
      </c>
      <c r="AU59" s="11">
        <f>SUMIFS(PURCHASE!$M$6:$M$10008,PURCHASE!$A$6:$A$10008,$AR$3,PURCHASE!$D$6:$D$10008,$C$5:$C$499)</f>
        <v>0</v>
      </c>
      <c r="AV59" s="11">
        <f>SUMIFS(PURCHASE!$N$6:$N$10008,PURCHASE!$A$6:$A$10008,$AR$3,PURCHASE!$D$6:$D$10008,$C$5:$C$499)</f>
        <v>0</v>
      </c>
      <c r="AW59" s="11">
        <f t="shared" si="14"/>
        <v>0</v>
      </c>
      <c r="AX59" s="11">
        <f>SUMIFS(PURCHASE!$K$6:$K$10008,PURCHASE!$A$6:$A$10008,$AW$3,PURCHASE!$D$6:$D$10008,$C$5:$C$499)</f>
        <v>0</v>
      </c>
      <c r="AY59" s="11">
        <f>SUMIFS(PURCHASE!$L$6:$L$10008,PURCHASE!$A$6:$A$10008,$AW$3,PURCHASE!$D$6:$D$10008,$C$5:$C$499)</f>
        <v>0</v>
      </c>
      <c r="AZ59" s="11">
        <f>SUMIFS(PURCHASE!$M$6:$M$10008,PURCHASE!$A$6:$A$10008,$AW$3,PURCHASE!$D$6:$D$10008,$C$5:$C$499)</f>
        <v>0</v>
      </c>
      <c r="BA59" s="11">
        <f>SUMIFS(PURCHASE!$N$6:$N$10008,PURCHASE!$A$6:$A$10008,$AW$3,PURCHASE!$D$6:$D$10008,$C$5:$C$499)</f>
        <v>0</v>
      </c>
      <c r="BB59" s="11">
        <f t="shared" si="15"/>
        <v>0</v>
      </c>
      <c r="BC59" s="11">
        <f>SUMIFS(PURCHASE!$K$6:$K$10008,PURCHASE!$A$6:$A$10008,$BB$3,PURCHASE!$D$6:$D$10008,$C$5:$C$499)</f>
        <v>0</v>
      </c>
      <c r="BD59" s="11">
        <f>SUMIFS(PURCHASE!$L$6:$L$10008,PURCHASE!$A$6:$A$10008,$BB$3,PURCHASE!$D$6:$D$10008,$C$5:$C$499)</f>
        <v>0</v>
      </c>
      <c r="BE59" s="11">
        <f>SUMIFS(PURCHASE!$M$6:$M$10008,PURCHASE!$A$6:$A$10008,$BB$3,PURCHASE!$D$6:$D$10008,$C$5:$C$499)</f>
        <v>0</v>
      </c>
      <c r="BF59" s="11">
        <f>SUMIFS(PURCHASE!$N$6:$N$10008,PURCHASE!$A$6:$A$10008,$BB$3,PURCHASE!$D$6:$D$10008,$C$5:$C$499)</f>
        <v>0</v>
      </c>
      <c r="BG59" s="11">
        <f t="shared" si="16"/>
        <v>0</v>
      </c>
      <c r="BH59" s="11">
        <f>SUMIFS(PURCHASE!$K$6:$K$10008,PURCHASE!$A$6:$A$10008,$BG$3,PURCHASE!$D$6:$D$10008,$C$5:$C$499)</f>
        <v>0</v>
      </c>
      <c r="BI59" s="11">
        <f>SUMIFS(PURCHASE!$L$6:$L$10008,PURCHASE!$A$6:$A$10008,$BG$3,PURCHASE!$D$6:$D$10008,$C$5:$C$499)</f>
        <v>0</v>
      </c>
      <c r="BJ59" s="11">
        <f>SUMIFS(PURCHASE!$M$6:$M$10008,PURCHASE!$A$6:$A$10008,$BG$3,PURCHASE!$D$6:$D$10008,$C$5:$C$499)</f>
        <v>0</v>
      </c>
      <c r="BK59" s="11">
        <f>SUMIFS(PURCHASE!$N$6:$N$10008,PURCHASE!$A$6:$A$10008,$BG$3,PURCHASE!$D$6:$D$10008,$C$5:$C$499)</f>
        <v>0</v>
      </c>
      <c r="BL59" s="11">
        <f t="shared" si="4"/>
        <v>2857326.7967999997</v>
      </c>
      <c r="BM59" s="11">
        <f t="shared" si="4"/>
        <v>2232286.5599999996</v>
      </c>
      <c r="BN59" s="11">
        <f t="shared" si="4"/>
        <v>0</v>
      </c>
      <c r="BO59" s="11">
        <f t="shared" si="4"/>
        <v>312520.11839999998</v>
      </c>
      <c r="BP59" s="11">
        <f t="shared" si="4"/>
        <v>312520.11839999998</v>
      </c>
    </row>
    <row r="60" spans="1:68" x14ac:dyDescent="0.2">
      <c r="A60" s="467">
        <v>56</v>
      </c>
      <c r="B60" s="468" t="s">
        <v>1120</v>
      </c>
      <c r="C60" s="469" t="s">
        <v>242</v>
      </c>
      <c r="D60" s="11">
        <f t="shared" si="5"/>
        <v>0</v>
      </c>
      <c r="E60" s="11">
        <f>SUMIFS(PURCHASE!$K$6:$K$10008,PURCHASE!$A$6:$A$10008,$D$3,PURCHASE!$D$6:$D$10008,$C$5:$C$499)</f>
        <v>0</v>
      </c>
      <c r="F60" s="11">
        <f>SUMIFS(PURCHASE!$L$6:$L$10008,PURCHASE!$A$6:$A$10008,$D$3,PURCHASE!$D$6:$D$10008,$C$5:$C$499)</f>
        <v>0</v>
      </c>
      <c r="G60" s="11">
        <f>SUMIFS(PURCHASE!$M$6:$M$10008,PURCHASE!$A$6:$A$10008,$D$3,PURCHASE!$D$6:$D$10008,$C$5:$C$499)</f>
        <v>0</v>
      </c>
      <c r="H60" s="11">
        <f>SUMIFS(PURCHASE!$N$6:$N$10008,PURCHASE!$A$6:$A$10008,$D$3,PURCHASE!$D$6:$D$10008,$C$5:$C$499)</f>
        <v>0</v>
      </c>
      <c r="I60" s="473">
        <f t="shared" si="6"/>
        <v>0</v>
      </c>
      <c r="J60" s="60">
        <f>SUMIFS(PURCHASE!$K$6:$K$10008,PURCHASE!$A$6:$A$10008,$I$3,PURCHASE!$D$6:$D$10008,$C$5:$C$499)</f>
        <v>0</v>
      </c>
      <c r="K60" s="60">
        <f>SUMIFS(PURCHASE!$L$6:$L$10008,PURCHASE!$A$6:$A$10008,$I$3,PURCHASE!$D$6:$D$10008,$C$5:$C$499)</f>
        <v>0</v>
      </c>
      <c r="L60" s="60">
        <f>SUMIFS(PURCHASE!$M$6:$M$10008,PURCHASE!$A$6:$A$10008,$I$3,PURCHASE!$D$6:$D$10008,$C$5:$C$499)</f>
        <v>0</v>
      </c>
      <c r="M60" s="474">
        <f>SUMIFS(PURCHASE!$N$6:$N$10008,PURCHASE!$A$6:$A$10008,$I$3,PURCHASE!$D$6:$D$10008,$C$5:$C$499)</f>
        <v>0</v>
      </c>
      <c r="N60" s="11">
        <f t="shared" si="7"/>
        <v>0</v>
      </c>
      <c r="O60" s="11">
        <f>SUMIFS(PURCHASE!$K$6:$K$10008,PURCHASE!$A$6:$A$10008,$N$3,PURCHASE!$D$6:$D$10008,$C$5:$C$499)</f>
        <v>0</v>
      </c>
      <c r="P60" s="11">
        <f>SUMIFS(PURCHASE!$L$6:$L$10008,PURCHASE!$A$6:$A$10008,$N$3,PURCHASE!$D$6:$D$10008,$C$5:$C$499)</f>
        <v>0</v>
      </c>
      <c r="Q60" s="11">
        <f>SUMIFS(PURCHASE!$M$6:$M$10008,PURCHASE!$A$6:$A$10008,$N$3,PURCHASE!$D$6:$D$10008,$C$5:$C$499)</f>
        <v>0</v>
      </c>
      <c r="R60" s="11">
        <f>SUMIFS(PURCHASE!$N$6:$N$10008,PURCHASE!$A$6:$A$10008,$N$3,PURCHASE!$D$6:$D$10008,$C$5:$C$499)</f>
        <v>0</v>
      </c>
      <c r="S60" s="11">
        <f t="shared" si="8"/>
        <v>0</v>
      </c>
      <c r="T60" s="11">
        <f>SUMIFS(PURCHASE!$K$6:$K$10008,PURCHASE!$A$6:$A$10008,$S$3,PURCHASE!$D$6:$D$10008,$C$5:$C$499)</f>
        <v>0</v>
      </c>
      <c r="U60" s="11">
        <f>SUMIFS(PURCHASE!$L$6:$L$10008,PURCHASE!$A$6:$A$10008,$S$3,PURCHASE!$D$6:$D$10008,$C$5:$C$499)</f>
        <v>0</v>
      </c>
      <c r="V60" s="11">
        <f>SUMIFS(PURCHASE!$M$6:$M$10008,PURCHASE!$A$6:$A$10008,$S$3,PURCHASE!$D$6:$D$10008,$C$5:$C$499)</f>
        <v>0</v>
      </c>
      <c r="W60" s="11">
        <f>SUMIFS(PURCHASE!$N$6:$N$10008,PURCHASE!$A$6:$A$10008,$S$3,PURCHASE!$D$6:$D$10008,$C$5:$C$499)</f>
        <v>0</v>
      </c>
      <c r="X60" s="11">
        <f t="shared" si="9"/>
        <v>0</v>
      </c>
      <c r="Y60" s="11">
        <f>SUMIFS(PURCHASE!$K$6:$K$10008,PURCHASE!$A$6:$A$10008,$X$3,PURCHASE!$D$6:$D$10008,$C$5:$C$499)</f>
        <v>0</v>
      </c>
      <c r="Z60" s="11">
        <f>SUMIFS(PURCHASE!$L$6:$L$10008,PURCHASE!$A$6:$A$10008,$X$3,PURCHASE!$D$6:$D$10008,$C$5:$C$499)</f>
        <v>0</v>
      </c>
      <c r="AA60" s="11">
        <f>SUMIFS(PURCHASE!$M$6:$M$10008,PURCHASE!$A$6:$A$10008,$X$3,PURCHASE!$D$6:$D$10008,$C$5:$C$499)</f>
        <v>0</v>
      </c>
      <c r="AB60" s="11">
        <f>SUMIFS(PURCHASE!$N$6:$N$10008,PURCHASE!$A$6:$A$10008,$X$3,PURCHASE!$D$6:$D$10008,$C$5:$C$499)</f>
        <v>0</v>
      </c>
      <c r="AC60" s="11">
        <f t="shared" si="10"/>
        <v>0</v>
      </c>
      <c r="AD60" s="11">
        <f>SUMIFS(PURCHASE!$K$6:$K$10008,PURCHASE!$A$6:$A$10008,$AC$3,PURCHASE!$D$6:$D$10008,$C$5:$C$499)</f>
        <v>0</v>
      </c>
      <c r="AE60" s="11">
        <f>SUMIFS(PURCHASE!$L$6:$L$10008,PURCHASE!$A$6:$A$10008,$AC$3,PURCHASE!$D$6:$D$10008,$C$5:$C$499)</f>
        <v>0</v>
      </c>
      <c r="AF60" s="11">
        <f>SUMIFS(PURCHASE!$M$6:$M$10008,PURCHASE!$A$6:$A$10008,$AC$3,PURCHASE!$D$6:$D$10008,$C$5:$C$499)</f>
        <v>0</v>
      </c>
      <c r="AG60" s="11">
        <f>SUMIFS(PURCHASE!$N$6:$N$10008,PURCHASE!$A$6:$A$10008,$AC$3,PURCHASE!$D$6:$D$10008,$C$5:$C$499)</f>
        <v>0</v>
      </c>
      <c r="AH60" s="11">
        <f t="shared" si="11"/>
        <v>0</v>
      </c>
      <c r="AI60" s="11">
        <f>SUMIFS(PURCHASE!$K$6:$K$10008,PURCHASE!$A$6:$A$10008,$AH$3,PURCHASE!$D$6:$D$10008,$C$5:$C$499)</f>
        <v>0</v>
      </c>
      <c r="AJ60" s="11">
        <f>SUMIFS(PURCHASE!$L$6:$L$10008,PURCHASE!$A$6:$A$10008,$AH$3,PURCHASE!$D$6:$D$10008,$C$5:$C$499)</f>
        <v>0</v>
      </c>
      <c r="AK60" s="11">
        <f>SUMIFS(PURCHASE!$M$6:$M$10008,PURCHASE!$A$6:$A$10008,$AH$3,PURCHASE!$D$6:$D$10008,$C$5:$C$499)</f>
        <v>0</v>
      </c>
      <c r="AL60" s="11">
        <f>SUMIFS(PURCHASE!$N$6:$N$10008,PURCHASE!$A$6:$A$10008,$AH$3,PURCHASE!$D$6:$D$10008,$C$5:$C$499)</f>
        <v>0</v>
      </c>
      <c r="AM60" s="11">
        <f t="shared" si="12"/>
        <v>0</v>
      </c>
      <c r="AN60" s="11">
        <f>SUMIFS(PURCHASE!$K$6:$K$10008,PURCHASE!$A$6:$A$10008,$AM$3,PURCHASE!$D$6:$D$10008,$C$5:$C$499)</f>
        <v>0</v>
      </c>
      <c r="AO60" s="11">
        <f>SUMIFS(PURCHASE!$L$6:$L$10008,PURCHASE!$A$6:$A$10008,$AM$3,PURCHASE!$D$6:$D$10008,$C$5:$C$499)</f>
        <v>0</v>
      </c>
      <c r="AP60" s="11">
        <f>SUMIFS(PURCHASE!$M$6:$M$10008,PURCHASE!$A$6:$A$10008,$AM$3,PURCHASE!$D$6:$D$10008,$C$5:$C$499)</f>
        <v>0</v>
      </c>
      <c r="AQ60" s="11">
        <f>SUMIFS(PURCHASE!$N$6:$N$10008,PURCHASE!$A$6:$A$10008,$AM$3,PURCHASE!$D$6:$D$10008,$C$5:$C$499)</f>
        <v>0</v>
      </c>
      <c r="AR60" s="11">
        <f t="shared" si="13"/>
        <v>0</v>
      </c>
      <c r="AS60" s="11">
        <f>SUMIFS(PURCHASE!$K$6:$K$10008,PURCHASE!$A$6:$A$10008,$AR$3,PURCHASE!$D$6:$D$10008,$C$5:$C$499)</f>
        <v>0</v>
      </c>
      <c r="AT60" s="11">
        <f>SUMIFS(PURCHASE!$L$6:$L$10008,PURCHASE!$A$6:$A$10008,$AR$3,PURCHASE!$D$6:$D$10008,$C$5:$C$499)</f>
        <v>0</v>
      </c>
      <c r="AU60" s="11">
        <f>SUMIFS(PURCHASE!$M$6:$M$10008,PURCHASE!$A$6:$A$10008,$AR$3,PURCHASE!$D$6:$D$10008,$C$5:$C$499)</f>
        <v>0</v>
      </c>
      <c r="AV60" s="11">
        <f>SUMIFS(PURCHASE!$N$6:$N$10008,PURCHASE!$A$6:$A$10008,$AR$3,PURCHASE!$D$6:$D$10008,$C$5:$C$499)</f>
        <v>0</v>
      </c>
      <c r="AW60" s="11">
        <f t="shared" si="14"/>
        <v>0</v>
      </c>
      <c r="AX60" s="11">
        <f>SUMIFS(PURCHASE!$K$6:$K$10008,PURCHASE!$A$6:$A$10008,$AW$3,PURCHASE!$D$6:$D$10008,$C$5:$C$499)</f>
        <v>0</v>
      </c>
      <c r="AY60" s="11">
        <f>SUMIFS(PURCHASE!$L$6:$L$10008,PURCHASE!$A$6:$A$10008,$AW$3,PURCHASE!$D$6:$D$10008,$C$5:$C$499)</f>
        <v>0</v>
      </c>
      <c r="AZ60" s="11">
        <f>SUMIFS(PURCHASE!$M$6:$M$10008,PURCHASE!$A$6:$A$10008,$AW$3,PURCHASE!$D$6:$D$10008,$C$5:$C$499)</f>
        <v>0</v>
      </c>
      <c r="BA60" s="11">
        <f>SUMIFS(PURCHASE!$N$6:$N$10008,PURCHASE!$A$6:$A$10008,$AW$3,PURCHASE!$D$6:$D$10008,$C$5:$C$499)</f>
        <v>0</v>
      </c>
      <c r="BB60" s="11">
        <f t="shared" si="15"/>
        <v>0</v>
      </c>
      <c r="BC60" s="11">
        <f>SUMIFS(PURCHASE!$K$6:$K$10008,PURCHASE!$A$6:$A$10008,$BB$3,PURCHASE!$D$6:$D$10008,$C$5:$C$499)</f>
        <v>0</v>
      </c>
      <c r="BD60" s="11">
        <f>SUMIFS(PURCHASE!$L$6:$L$10008,PURCHASE!$A$6:$A$10008,$BB$3,PURCHASE!$D$6:$D$10008,$C$5:$C$499)</f>
        <v>0</v>
      </c>
      <c r="BE60" s="11">
        <f>SUMIFS(PURCHASE!$M$6:$M$10008,PURCHASE!$A$6:$A$10008,$BB$3,PURCHASE!$D$6:$D$10008,$C$5:$C$499)</f>
        <v>0</v>
      </c>
      <c r="BF60" s="11">
        <f>SUMIFS(PURCHASE!$N$6:$N$10008,PURCHASE!$A$6:$A$10008,$BB$3,PURCHASE!$D$6:$D$10008,$C$5:$C$499)</f>
        <v>0</v>
      </c>
      <c r="BG60" s="11">
        <f t="shared" si="16"/>
        <v>0</v>
      </c>
      <c r="BH60" s="11">
        <f>SUMIFS(PURCHASE!$K$6:$K$10008,PURCHASE!$A$6:$A$10008,$BG$3,PURCHASE!$D$6:$D$10008,$C$5:$C$499)</f>
        <v>0</v>
      </c>
      <c r="BI60" s="11">
        <f>SUMIFS(PURCHASE!$L$6:$L$10008,PURCHASE!$A$6:$A$10008,$BG$3,PURCHASE!$D$6:$D$10008,$C$5:$C$499)</f>
        <v>0</v>
      </c>
      <c r="BJ60" s="11">
        <f>SUMIFS(PURCHASE!$M$6:$M$10008,PURCHASE!$A$6:$A$10008,$BG$3,PURCHASE!$D$6:$D$10008,$C$5:$C$499)</f>
        <v>0</v>
      </c>
      <c r="BK60" s="11">
        <f>SUMIFS(PURCHASE!$N$6:$N$10008,PURCHASE!$A$6:$A$10008,$BG$3,PURCHASE!$D$6:$D$10008,$C$5:$C$499)</f>
        <v>0</v>
      </c>
      <c r="BL60" s="11">
        <f t="shared" si="4"/>
        <v>0</v>
      </c>
      <c r="BM60" s="11">
        <f t="shared" si="4"/>
        <v>0</v>
      </c>
      <c r="BN60" s="11">
        <f t="shared" si="4"/>
        <v>0</v>
      </c>
      <c r="BO60" s="11">
        <f t="shared" si="4"/>
        <v>0</v>
      </c>
      <c r="BP60" s="11">
        <f t="shared" si="4"/>
        <v>0</v>
      </c>
    </row>
    <row r="61" spans="1:68" x14ac:dyDescent="0.2">
      <c r="A61" s="467">
        <v>57</v>
      </c>
      <c r="B61" s="468" t="s">
        <v>471</v>
      </c>
      <c r="C61" s="468" t="s">
        <v>29</v>
      </c>
      <c r="D61" s="11">
        <f t="shared" si="5"/>
        <v>841073.8688000004</v>
      </c>
      <c r="E61" s="11">
        <f>SUMIFS(PURCHASE!$K$6:$K$10008,PURCHASE!$A$6:$A$10008,$D$3,PURCHASE!$D$6:$D$10008,$C$5:$C$499)</f>
        <v>657088.96000000031</v>
      </c>
      <c r="F61" s="11">
        <f>SUMIFS(PURCHASE!$L$6:$L$10008,PURCHASE!$A$6:$A$10008,$D$3,PURCHASE!$D$6:$D$10008,$C$5:$C$499)</f>
        <v>0</v>
      </c>
      <c r="G61" s="11">
        <f>SUMIFS(PURCHASE!$M$6:$M$10008,PURCHASE!$A$6:$A$10008,$D$3,PURCHASE!$D$6:$D$10008,$C$5:$C$499)</f>
        <v>91992.454400000017</v>
      </c>
      <c r="H61" s="11">
        <f>SUMIFS(PURCHASE!$N$6:$N$10008,PURCHASE!$A$6:$A$10008,$D$3,PURCHASE!$D$6:$D$10008,$C$5:$C$499)</f>
        <v>91992.454400000017</v>
      </c>
      <c r="I61" s="473">
        <f t="shared" si="6"/>
        <v>999591.11680000054</v>
      </c>
      <c r="J61" s="60">
        <f>SUMIFS(PURCHASE!$K$6:$K$10008,PURCHASE!$A$6:$A$10008,$I$3,PURCHASE!$D$6:$D$10008,$C$5:$C$499)</f>
        <v>780930.56000000041</v>
      </c>
      <c r="K61" s="60">
        <f>SUMIFS(PURCHASE!$L$6:$L$10008,PURCHASE!$A$6:$A$10008,$I$3,PURCHASE!$D$6:$D$10008,$C$5:$C$499)</f>
        <v>0</v>
      </c>
      <c r="L61" s="60">
        <f>SUMIFS(PURCHASE!$M$6:$M$10008,PURCHASE!$A$6:$A$10008,$I$3,PURCHASE!$D$6:$D$10008,$C$5:$C$499)</f>
        <v>109330.27840000004</v>
      </c>
      <c r="M61" s="474">
        <f>SUMIFS(PURCHASE!$N$6:$N$10008,PURCHASE!$A$6:$A$10008,$I$3,PURCHASE!$D$6:$D$10008,$C$5:$C$499)</f>
        <v>109330.27840000004</v>
      </c>
      <c r="N61" s="11">
        <f t="shared" si="7"/>
        <v>648988.26240000024</v>
      </c>
      <c r="O61" s="11">
        <f>SUMIFS(PURCHASE!$K$6:$K$10008,PURCHASE!$A$6:$A$10008,$N$3,PURCHASE!$D$6:$D$10008,$C$5:$C$499)</f>
        <v>507022.08000000019</v>
      </c>
      <c r="P61" s="11">
        <f>SUMIFS(PURCHASE!$L$6:$L$10008,PURCHASE!$A$6:$A$10008,$N$3,PURCHASE!$D$6:$D$10008,$C$5:$C$499)</f>
        <v>0</v>
      </c>
      <c r="Q61" s="11">
        <f>SUMIFS(PURCHASE!$M$6:$M$10008,PURCHASE!$A$6:$A$10008,$N$3,PURCHASE!$D$6:$D$10008,$C$5:$C$499)</f>
        <v>70983.091199999981</v>
      </c>
      <c r="R61" s="11">
        <f>SUMIFS(PURCHASE!$N$6:$N$10008,PURCHASE!$A$6:$A$10008,$N$3,PURCHASE!$D$6:$D$10008,$C$5:$C$499)</f>
        <v>70983.091199999981</v>
      </c>
      <c r="S61" s="11">
        <f t="shared" si="8"/>
        <v>876507.13600000029</v>
      </c>
      <c r="T61" s="11">
        <f>SUMIFS(PURCHASE!$K$6:$K$10008,PURCHASE!$A$6:$A$10008,$S$3,PURCHASE!$D$6:$D$10008,$C$5:$C$499)</f>
        <v>684771.2000000003</v>
      </c>
      <c r="U61" s="11">
        <f>SUMIFS(PURCHASE!$L$6:$L$10008,PURCHASE!$A$6:$A$10008,$S$3,PURCHASE!$D$6:$D$10008,$C$5:$C$499)</f>
        <v>0</v>
      </c>
      <c r="V61" s="11">
        <f>SUMIFS(PURCHASE!$M$6:$M$10008,PURCHASE!$A$6:$A$10008,$S$3,PURCHASE!$D$6:$D$10008,$C$5:$C$499)</f>
        <v>95867.968000000023</v>
      </c>
      <c r="W61" s="11">
        <f>SUMIFS(PURCHASE!$N$6:$N$10008,PURCHASE!$A$6:$A$10008,$S$3,PURCHASE!$D$6:$D$10008,$C$5:$C$499)</f>
        <v>95867.968000000023</v>
      </c>
      <c r="X61" s="11">
        <f t="shared" si="9"/>
        <v>632204.08320000023</v>
      </c>
      <c r="Y61" s="11">
        <f>SUMIFS(PURCHASE!$K$6:$K$10008,PURCHASE!$A$6:$A$10008,$X$3,PURCHASE!$D$6:$D$10008,$C$5:$C$499)</f>
        <v>493909.44000000018</v>
      </c>
      <c r="Z61" s="11">
        <f>SUMIFS(PURCHASE!$L$6:$L$10008,PURCHASE!$A$6:$A$10008,$X$3,PURCHASE!$D$6:$D$10008,$C$5:$C$499)</f>
        <v>0</v>
      </c>
      <c r="AA61" s="11">
        <f>SUMIFS(PURCHASE!$M$6:$M$10008,PURCHASE!$A$6:$A$10008,$X$3,PURCHASE!$D$6:$D$10008,$C$5:$C$499)</f>
        <v>69147.321599999981</v>
      </c>
      <c r="AB61" s="11">
        <f>SUMIFS(PURCHASE!$N$6:$N$10008,PURCHASE!$A$6:$A$10008,$X$3,PURCHASE!$D$6:$D$10008,$C$5:$C$499)</f>
        <v>69147.321599999981</v>
      </c>
      <c r="AC61" s="11">
        <f t="shared" si="10"/>
        <v>223789.05600000001</v>
      </c>
      <c r="AD61" s="11">
        <f>SUMIFS(PURCHASE!$K$6:$K$10008,PURCHASE!$A$6:$A$10008,$AC$3,PURCHASE!$D$6:$D$10008,$C$5:$C$499)</f>
        <v>174835.19999999998</v>
      </c>
      <c r="AE61" s="11">
        <f>SUMIFS(PURCHASE!$L$6:$L$10008,PURCHASE!$A$6:$A$10008,$AC$3,PURCHASE!$D$6:$D$10008,$C$5:$C$499)</f>
        <v>0</v>
      </c>
      <c r="AF61" s="11">
        <f>SUMIFS(PURCHASE!$M$6:$M$10008,PURCHASE!$A$6:$A$10008,$AC$3,PURCHASE!$D$6:$D$10008,$C$5:$C$499)</f>
        <v>24476.928000000004</v>
      </c>
      <c r="AG61" s="11">
        <f>SUMIFS(PURCHASE!$N$6:$N$10008,PURCHASE!$A$6:$A$10008,$AC$3,PURCHASE!$D$6:$D$10008,$C$5:$C$499)</f>
        <v>24476.928000000004</v>
      </c>
      <c r="AH61" s="11">
        <f t="shared" si="11"/>
        <v>154787.43040000001</v>
      </c>
      <c r="AI61" s="11">
        <f>SUMIFS(PURCHASE!$K$6:$K$10008,PURCHASE!$A$6:$A$10008,$AH$3,PURCHASE!$D$6:$D$10008,$C$5:$C$499)</f>
        <v>120927.68000000001</v>
      </c>
      <c r="AJ61" s="11">
        <f>SUMIFS(PURCHASE!$L$6:$L$10008,PURCHASE!$A$6:$A$10008,$AH$3,PURCHASE!$D$6:$D$10008,$C$5:$C$499)</f>
        <v>0</v>
      </c>
      <c r="AK61" s="11">
        <f>SUMIFS(PURCHASE!$M$6:$M$10008,PURCHASE!$A$6:$A$10008,$AH$3,PURCHASE!$D$6:$D$10008,$C$5:$C$499)</f>
        <v>16929.875200000002</v>
      </c>
      <c r="AL61" s="11">
        <f>SUMIFS(PURCHASE!$N$6:$N$10008,PURCHASE!$A$6:$A$10008,$AH$3,PURCHASE!$D$6:$D$10008,$C$5:$C$499)</f>
        <v>16929.875200000002</v>
      </c>
      <c r="AM61" s="11">
        <f t="shared" si="12"/>
        <v>0</v>
      </c>
      <c r="AN61" s="11">
        <f>SUMIFS(PURCHASE!$K$6:$K$10008,PURCHASE!$A$6:$A$10008,$AM$3,PURCHASE!$D$6:$D$10008,$C$5:$C$499)</f>
        <v>0</v>
      </c>
      <c r="AO61" s="11">
        <f>SUMIFS(PURCHASE!$L$6:$L$10008,PURCHASE!$A$6:$A$10008,$AM$3,PURCHASE!$D$6:$D$10008,$C$5:$C$499)</f>
        <v>0</v>
      </c>
      <c r="AP61" s="11">
        <f>SUMIFS(PURCHASE!$M$6:$M$10008,PURCHASE!$A$6:$A$10008,$AM$3,PURCHASE!$D$6:$D$10008,$C$5:$C$499)</f>
        <v>0</v>
      </c>
      <c r="AQ61" s="11">
        <f>SUMIFS(PURCHASE!$N$6:$N$10008,PURCHASE!$A$6:$A$10008,$AM$3,PURCHASE!$D$6:$D$10008,$C$5:$C$499)</f>
        <v>0</v>
      </c>
      <c r="AR61" s="11">
        <f t="shared" si="13"/>
        <v>0</v>
      </c>
      <c r="AS61" s="11">
        <f>SUMIFS(PURCHASE!$K$6:$K$10008,PURCHASE!$A$6:$A$10008,$AR$3,PURCHASE!$D$6:$D$10008,$C$5:$C$499)</f>
        <v>0</v>
      </c>
      <c r="AT61" s="11">
        <f>SUMIFS(PURCHASE!$L$6:$L$10008,PURCHASE!$A$6:$A$10008,$AR$3,PURCHASE!$D$6:$D$10008,$C$5:$C$499)</f>
        <v>0</v>
      </c>
      <c r="AU61" s="11">
        <f>SUMIFS(PURCHASE!$M$6:$M$10008,PURCHASE!$A$6:$A$10008,$AR$3,PURCHASE!$D$6:$D$10008,$C$5:$C$499)</f>
        <v>0</v>
      </c>
      <c r="AV61" s="11">
        <f>SUMIFS(PURCHASE!$N$6:$N$10008,PURCHASE!$A$6:$A$10008,$AR$3,PURCHASE!$D$6:$D$10008,$C$5:$C$499)</f>
        <v>0</v>
      </c>
      <c r="AW61" s="11">
        <f t="shared" si="14"/>
        <v>0</v>
      </c>
      <c r="AX61" s="11">
        <f>SUMIFS(PURCHASE!$K$6:$K$10008,PURCHASE!$A$6:$A$10008,$AW$3,PURCHASE!$D$6:$D$10008,$C$5:$C$499)</f>
        <v>0</v>
      </c>
      <c r="AY61" s="11">
        <f>SUMIFS(PURCHASE!$L$6:$L$10008,PURCHASE!$A$6:$A$10008,$AW$3,PURCHASE!$D$6:$D$10008,$C$5:$C$499)</f>
        <v>0</v>
      </c>
      <c r="AZ61" s="11">
        <f>SUMIFS(PURCHASE!$M$6:$M$10008,PURCHASE!$A$6:$A$10008,$AW$3,PURCHASE!$D$6:$D$10008,$C$5:$C$499)</f>
        <v>0</v>
      </c>
      <c r="BA61" s="11">
        <f>SUMIFS(PURCHASE!$N$6:$N$10008,PURCHASE!$A$6:$A$10008,$AW$3,PURCHASE!$D$6:$D$10008,$C$5:$C$499)</f>
        <v>0</v>
      </c>
      <c r="BB61" s="11">
        <f t="shared" si="15"/>
        <v>0</v>
      </c>
      <c r="BC61" s="11">
        <f>SUMIFS(PURCHASE!$K$6:$K$10008,PURCHASE!$A$6:$A$10008,$BB$3,PURCHASE!$D$6:$D$10008,$C$5:$C$499)</f>
        <v>0</v>
      </c>
      <c r="BD61" s="11">
        <f>SUMIFS(PURCHASE!$L$6:$L$10008,PURCHASE!$A$6:$A$10008,$BB$3,PURCHASE!$D$6:$D$10008,$C$5:$C$499)</f>
        <v>0</v>
      </c>
      <c r="BE61" s="11">
        <f>SUMIFS(PURCHASE!$M$6:$M$10008,PURCHASE!$A$6:$A$10008,$BB$3,PURCHASE!$D$6:$D$10008,$C$5:$C$499)</f>
        <v>0</v>
      </c>
      <c r="BF61" s="11">
        <f>SUMIFS(PURCHASE!$N$6:$N$10008,PURCHASE!$A$6:$A$10008,$BB$3,PURCHASE!$D$6:$D$10008,$C$5:$C$499)</f>
        <v>0</v>
      </c>
      <c r="BG61" s="11">
        <f t="shared" si="16"/>
        <v>0</v>
      </c>
      <c r="BH61" s="11">
        <f>SUMIFS(PURCHASE!$K$6:$K$10008,PURCHASE!$A$6:$A$10008,$BG$3,PURCHASE!$D$6:$D$10008,$C$5:$C$499)</f>
        <v>0</v>
      </c>
      <c r="BI61" s="11">
        <f>SUMIFS(PURCHASE!$L$6:$L$10008,PURCHASE!$A$6:$A$10008,$BG$3,PURCHASE!$D$6:$D$10008,$C$5:$C$499)</f>
        <v>0</v>
      </c>
      <c r="BJ61" s="11">
        <f>SUMIFS(PURCHASE!$M$6:$M$10008,PURCHASE!$A$6:$A$10008,$BG$3,PURCHASE!$D$6:$D$10008,$C$5:$C$499)</f>
        <v>0</v>
      </c>
      <c r="BK61" s="11">
        <f>SUMIFS(PURCHASE!$N$6:$N$10008,PURCHASE!$A$6:$A$10008,$BG$3,PURCHASE!$D$6:$D$10008,$C$5:$C$499)</f>
        <v>0</v>
      </c>
      <c r="BL61" s="11">
        <f t="shared" si="4"/>
        <v>4376940.9536000015</v>
      </c>
      <c r="BM61" s="11">
        <f t="shared" si="4"/>
        <v>3419485.1200000015</v>
      </c>
      <c r="BN61" s="11">
        <f t="shared" si="4"/>
        <v>0</v>
      </c>
      <c r="BO61" s="11">
        <f t="shared" si="4"/>
        <v>478727.91680000001</v>
      </c>
      <c r="BP61" s="11">
        <f t="shared" si="4"/>
        <v>478727.91680000001</v>
      </c>
    </row>
    <row r="62" spans="1:68" x14ac:dyDescent="0.2">
      <c r="A62" s="467">
        <v>58</v>
      </c>
      <c r="B62" s="468" t="s">
        <v>527</v>
      </c>
      <c r="C62" s="469" t="s">
        <v>528</v>
      </c>
      <c r="D62" s="11">
        <f t="shared" si="5"/>
        <v>33755.08</v>
      </c>
      <c r="E62" s="11">
        <f>SUMIFS(PURCHASE!$K$6:$K$10008,PURCHASE!$A$6:$A$10008,$D$3,PURCHASE!$D$6:$D$10008,$C$5:$C$499)</f>
        <v>28606</v>
      </c>
      <c r="F62" s="11">
        <f>SUMIFS(PURCHASE!$L$6:$L$10008,PURCHASE!$A$6:$A$10008,$D$3,PURCHASE!$D$6:$D$10008,$C$5:$C$499)</f>
        <v>0</v>
      </c>
      <c r="G62" s="11">
        <f>SUMIFS(PURCHASE!$M$6:$M$10008,PURCHASE!$A$6:$A$10008,$D$3,PURCHASE!$D$6:$D$10008,$C$5:$C$499)</f>
        <v>2574.54</v>
      </c>
      <c r="H62" s="11">
        <f>SUMIFS(PURCHASE!$N$6:$N$10008,PURCHASE!$A$6:$A$10008,$D$3,PURCHASE!$D$6:$D$10008,$C$5:$C$499)</f>
        <v>2574.54</v>
      </c>
      <c r="I62" s="473">
        <f t="shared" si="6"/>
        <v>15673.939999999999</v>
      </c>
      <c r="J62" s="60">
        <f>SUMIFS(PURCHASE!$K$6:$K$10008,PURCHASE!$A$6:$A$10008,$I$3,PURCHASE!$D$6:$D$10008,$C$5:$C$499)</f>
        <v>13283</v>
      </c>
      <c r="K62" s="60">
        <f>SUMIFS(PURCHASE!$L$6:$L$10008,PURCHASE!$A$6:$A$10008,$I$3,PURCHASE!$D$6:$D$10008,$C$5:$C$499)</f>
        <v>0</v>
      </c>
      <c r="L62" s="60">
        <f>SUMIFS(PURCHASE!$M$6:$M$10008,PURCHASE!$A$6:$A$10008,$I$3,PURCHASE!$D$6:$D$10008,$C$5:$C$499)</f>
        <v>1195.47</v>
      </c>
      <c r="M62" s="474">
        <f>SUMIFS(PURCHASE!$N$6:$N$10008,PURCHASE!$A$6:$A$10008,$I$3,PURCHASE!$D$6:$D$10008,$C$5:$C$499)</f>
        <v>1195.47</v>
      </c>
      <c r="N62" s="11">
        <f t="shared" si="7"/>
        <v>20333.760000000002</v>
      </c>
      <c r="O62" s="11">
        <f>SUMIFS(PURCHASE!$K$6:$K$10008,PURCHASE!$A$6:$A$10008,$N$3,PURCHASE!$D$6:$D$10008,$C$5:$C$499)</f>
        <v>17232</v>
      </c>
      <c r="P62" s="11">
        <f>SUMIFS(PURCHASE!$L$6:$L$10008,PURCHASE!$A$6:$A$10008,$N$3,PURCHASE!$D$6:$D$10008,$C$5:$C$499)</f>
        <v>0</v>
      </c>
      <c r="Q62" s="11">
        <f>SUMIFS(PURCHASE!$M$6:$M$10008,PURCHASE!$A$6:$A$10008,$N$3,PURCHASE!$D$6:$D$10008,$C$5:$C$499)</f>
        <v>1550.8799999999999</v>
      </c>
      <c r="R62" s="11">
        <f>SUMIFS(PURCHASE!$N$6:$N$10008,PURCHASE!$A$6:$A$10008,$N$3,PURCHASE!$D$6:$D$10008,$C$5:$C$499)</f>
        <v>1550.8799999999999</v>
      </c>
      <c r="S62" s="11">
        <f t="shared" si="8"/>
        <v>99481.079999999987</v>
      </c>
      <c r="T62" s="11">
        <f>SUMIFS(PURCHASE!$K$6:$K$10008,PURCHASE!$A$6:$A$10008,$S$3,PURCHASE!$D$6:$D$10008,$C$5:$C$499)</f>
        <v>84306</v>
      </c>
      <c r="U62" s="11">
        <f>SUMIFS(PURCHASE!$L$6:$L$10008,PURCHASE!$A$6:$A$10008,$S$3,PURCHASE!$D$6:$D$10008,$C$5:$C$499)</f>
        <v>0</v>
      </c>
      <c r="V62" s="11">
        <f>SUMIFS(PURCHASE!$M$6:$M$10008,PURCHASE!$A$6:$A$10008,$S$3,PURCHASE!$D$6:$D$10008,$C$5:$C$499)</f>
        <v>7587.54</v>
      </c>
      <c r="W62" s="11">
        <f>SUMIFS(PURCHASE!$N$6:$N$10008,PURCHASE!$A$6:$A$10008,$S$3,PURCHASE!$D$6:$D$10008,$C$5:$C$499)</f>
        <v>7587.54</v>
      </c>
      <c r="X62" s="11">
        <f t="shared" si="9"/>
        <v>0</v>
      </c>
      <c r="Y62" s="11">
        <f>SUMIFS(PURCHASE!$K$6:$K$10008,PURCHASE!$A$6:$A$10008,$X$3,PURCHASE!$D$6:$D$10008,$C$5:$C$499)</f>
        <v>0</v>
      </c>
      <c r="Z62" s="11">
        <f>SUMIFS(PURCHASE!$L$6:$L$10008,PURCHASE!$A$6:$A$10008,$X$3,PURCHASE!$D$6:$D$10008,$C$5:$C$499)</f>
        <v>0</v>
      </c>
      <c r="AA62" s="11">
        <f>SUMIFS(PURCHASE!$M$6:$M$10008,PURCHASE!$A$6:$A$10008,$X$3,PURCHASE!$D$6:$D$10008,$C$5:$C$499)</f>
        <v>0</v>
      </c>
      <c r="AB62" s="11">
        <f>SUMIFS(PURCHASE!$N$6:$N$10008,PURCHASE!$A$6:$A$10008,$X$3,PURCHASE!$D$6:$D$10008,$C$5:$C$499)</f>
        <v>0</v>
      </c>
      <c r="AC62" s="11">
        <f t="shared" si="10"/>
        <v>37722.240000000005</v>
      </c>
      <c r="AD62" s="11">
        <f>SUMIFS(PURCHASE!$K$6:$K$10008,PURCHASE!$A$6:$A$10008,$AC$3,PURCHASE!$D$6:$D$10008,$C$5:$C$499)</f>
        <v>31968</v>
      </c>
      <c r="AE62" s="11">
        <f>SUMIFS(PURCHASE!$L$6:$L$10008,PURCHASE!$A$6:$A$10008,$AC$3,PURCHASE!$D$6:$D$10008,$C$5:$C$499)</f>
        <v>0</v>
      </c>
      <c r="AF62" s="11">
        <f>SUMIFS(PURCHASE!$M$6:$M$10008,PURCHASE!$A$6:$A$10008,$AC$3,PURCHASE!$D$6:$D$10008,$C$5:$C$499)</f>
        <v>2877.12</v>
      </c>
      <c r="AG62" s="11">
        <f>SUMIFS(PURCHASE!$N$6:$N$10008,PURCHASE!$A$6:$A$10008,$AC$3,PURCHASE!$D$6:$D$10008,$C$5:$C$499)</f>
        <v>2877.12</v>
      </c>
      <c r="AH62" s="11">
        <f t="shared" si="11"/>
        <v>0</v>
      </c>
      <c r="AI62" s="11">
        <f>SUMIFS(PURCHASE!$K$6:$K$10008,PURCHASE!$A$6:$A$10008,$AH$3,PURCHASE!$D$6:$D$10008,$C$5:$C$499)</f>
        <v>0</v>
      </c>
      <c r="AJ62" s="11">
        <f>SUMIFS(PURCHASE!$L$6:$L$10008,PURCHASE!$A$6:$A$10008,$AH$3,PURCHASE!$D$6:$D$10008,$C$5:$C$499)</f>
        <v>0</v>
      </c>
      <c r="AK62" s="11">
        <f>SUMIFS(PURCHASE!$M$6:$M$10008,PURCHASE!$A$6:$A$10008,$AH$3,PURCHASE!$D$6:$D$10008,$C$5:$C$499)</f>
        <v>0</v>
      </c>
      <c r="AL62" s="11">
        <f>SUMIFS(PURCHASE!$N$6:$N$10008,PURCHASE!$A$6:$A$10008,$AH$3,PURCHASE!$D$6:$D$10008,$C$5:$C$499)</f>
        <v>0</v>
      </c>
      <c r="AM62" s="11">
        <f t="shared" si="12"/>
        <v>0</v>
      </c>
      <c r="AN62" s="11">
        <f>SUMIFS(PURCHASE!$K$6:$K$10008,PURCHASE!$A$6:$A$10008,$AM$3,PURCHASE!$D$6:$D$10008,$C$5:$C$499)</f>
        <v>0</v>
      </c>
      <c r="AO62" s="11">
        <f>SUMIFS(PURCHASE!$L$6:$L$10008,PURCHASE!$A$6:$A$10008,$AM$3,PURCHASE!$D$6:$D$10008,$C$5:$C$499)</f>
        <v>0</v>
      </c>
      <c r="AP62" s="11">
        <f>SUMIFS(PURCHASE!$M$6:$M$10008,PURCHASE!$A$6:$A$10008,$AM$3,PURCHASE!$D$6:$D$10008,$C$5:$C$499)</f>
        <v>0</v>
      </c>
      <c r="AQ62" s="11">
        <f>SUMIFS(PURCHASE!$N$6:$N$10008,PURCHASE!$A$6:$A$10008,$AM$3,PURCHASE!$D$6:$D$10008,$C$5:$C$499)</f>
        <v>0</v>
      </c>
      <c r="AR62" s="11">
        <f t="shared" si="13"/>
        <v>0</v>
      </c>
      <c r="AS62" s="11">
        <f>SUMIFS(PURCHASE!$K$6:$K$10008,PURCHASE!$A$6:$A$10008,$AR$3,PURCHASE!$D$6:$D$10008,$C$5:$C$499)</f>
        <v>0</v>
      </c>
      <c r="AT62" s="11">
        <f>SUMIFS(PURCHASE!$L$6:$L$10008,PURCHASE!$A$6:$A$10008,$AR$3,PURCHASE!$D$6:$D$10008,$C$5:$C$499)</f>
        <v>0</v>
      </c>
      <c r="AU62" s="11">
        <f>SUMIFS(PURCHASE!$M$6:$M$10008,PURCHASE!$A$6:$A$10008,$AR$3,PURCHASE!$D$6:$D$10008,$C$5:$C$499)</f>
        <v>0</v>
      </c>
      <c r="AV62" s="11">
        <f>SUMIFS(PURCHASE!$N$6:$N$10008,PURCHASE!$A$6:$A$10008,$AR$3,PURCHASE!$D$6:$D$10008,$C$5:$C$499)</f>
        <v>0</v>
      </c>
      <c r="AW62" s="11">
        <f t="shared" si="14"/>
        <v>0</v>
      </c>
      <c r="AX62" s="11">
        <f>SUMIFS(PURCHASE!$K$6:$K$10008,PURCHASE!$A$6:$A$10008,$AW$3,PURCHASE!$D$6:$D$10008,$C$5:$C$499)</f>
        <v>0</v>
      </c>
      <c r="AY62" s="11">
        <f>SUMIFS(PURCHASE!$L$6:$L$10008,PURCHASE!$A$6:$A$10008,$AW$3,PURCHASE!$D$6:$D$10008,$C$5:$C$499)</f>
        <v>0</v>
      </c>
      <c r="AZ62" s="11">
        <f>SUMIFS(PURCHASE!$M$6:$M$10008,PURCHASE!$A$6:$A$10008,$AW$3,PURCHASE!$D$6:$D$10008,$C$5:$C$499)</f>
        <v>0</v>
      </c>
      <c r="BA62" s="11">
        <f>SUMIFS(PURCHASE!$N$6:$N$10008,PURCHASE!$A$6:$A$10008,$AW$3,PURCHASE!$D$6:$D$10008,$C$5:$C$499)</f>
        <v>0</v>
      </c>
      <c r="BB62" s="11">
        <f t="shared" si="15"/>
        <v>0</v>
      </c>
      <c r="BC62" s="11">
        <f>SUMIFS(PURCHASE!$K$6:$K$10008,PURCHASE!$A$6:$A$10008,$BB$3,PURCHASE!$D$6:$D$10008,$C$5:$C$499)</f>
        <v>0</v>
      </c>
      <c r="BD62" s="11">
        <f>SUMIFS(PURCHASE!$L$6:$L$10008,PURCHASE!$A$6:$A$10008,$BB$3,PURCHASE!$D$6:$D$10008,$C$5:$C$499)</f>
        <v>0</v>
      </c>
      <c r="BE62" s="11">
        <f>SUMIFS(PURCHASE!$M$6:$M$10008,PURCHASE!$A$6:$A$10008,$BB$3,PURCHASE!$D$6:$D$10008,$C$5:$C$499)</f>
        <v>0</v>
      </c>
      <c r="BF62" s="11">
        <f>SUMIFS(PURCHASE!$N$6:$N$10008,PURCHASE!$A$6:$A$10008,$BB$3,PURCHASE!$D$6:$D$10008,$C$5:$C$499)</f>
        <v>0</v>
      </c>
      <c r="BG62" s="11">
        <f t="shared" si="16"/>
        <v>0</v>
      </c>
      <c r="BH62" s="11">
        <f>SUMIFS(PURCHASE!$K$6:$K$10008,PURCHASE!$A$6:$A$10008,$BG$3,PURCHASE!$D$6:$D$10008,$C$5:$C$499)</f>
        <v>0</v>
      </c>
      <c r="BI62" s="11">
        <f>SUMIFS(PURCHASE!$L$6:$L$10008,PURCHASE!$A$6:$A$10008,$BG$3,PURCHASE!$D$6:$D$10008,$C$5:$C$499)</f>
        <v>0</v>
      </c>
      <c r="BJ62" s="11">
        <f>SUMIFS(PURCHASE!$M$6:$M$10008,PURCHASE!$A$6:$A$10008,$BG$3,PURCHASE!$D$6:$D$10008,$C$5:$C$499)</f>
        <v>0</v>
      </c>
      <c r="BK62" s="11">
        <f>SUMIFS(PURCHASE!$N$6:$N$10008,PURCHASE!$A$6:$A$10008,$BG$3,PURCHASE!$D$6:$D$10008,$C$5:$C$499)</f>
        <v>0</v>
      </c>
      <c r="BL62" s="11">
        <f t="shared" si="4"/>
        <v>206966.09999999998</v>
      </c>
      <c r="BM62" s="11">
        <f t="shared" si="4"/>
        <v>175395</v>
      </c>
      <c r="BN62" s="11">
        <f t="shared" si="4"/>
        <v>0</v>
      </c>
      <c r="BO62" s="11">
        <f t="shared" si="4"/>
        <v>15785.55</v>
      </c>
      <c r="BP62" s="11">
        <f t="shared" si="4"/>
        <v>15785.55</v>
      </c>
    </row>
    <row r="63" spans="1:68" x14ac:dyDescent="0.2">
      <c r="A63" s="467">
        <v>59</v>
      </c>
      <c r="B63" s="468" t="s">
        <v>1121</v>
      </c>
      <c r="C63" s="469" t="s">
        <v>1122</v>
      </c>
      <c r="D63" s="11">
        <f t="shared" si="5"/>
        <v>0</v>
      </c>
      <c r="E63" s="11">
        <f>SUMIFS(PURCHASE!$K$6:$K$10008,PURCHASE!$A$6:$A$10008,$D$3,PURCHASE!$D$6:$D$10008,$C$5:$C$499)</f>
        <v>0</v>
      </c>
      <c r="F63" s="11">
        <f>SUMIFS(PURCHASE!$L$6:$L$10008,PURCHASE!$A$6:$A$10008,$D$3,PURCHASE!$D$6:$D$10008,$C$5:$C$499)</f>
        <v>0</v>
      </c>
      <c r="G63" s="11">
        <f>SUMIFS(PURCHASE!$M$6:$M$10008,PURCHASE!$A$6:$A$10008,$D$3,PURCHASE!$D$6:$D$10008,$C$5:$C$499)</f>
        <v>0</v>
      </c>
      <c r="H63" s="11">
        <f>SUMIFS(PURCHASE!$N$6:$N$10008,PURCHASE!$A$6:$A$10008,$D$3,PURCHASE!$D$6:$D$10008,$C$5:$C$499)</f>
        <v>0</v>
      </c>
      <c r="I63" s="473">
        <f t="shared" si="6"/>
        <v>0</v>
      </c>
      <c r="J63" s="60">
        <f>SUMIFS(PURCHASE!$K$6:$K$10008,PURCHASE!$A$6:$A$10008,$I$3,PURCHASE!$D$6:$D$10008,$C$5:$C$499)</f>
        <v>0</v>
      </c>
      <c r="K63" s="60">
        <f>SUMIFS(PURCHASE!$L$6:$L$10008,PURCHASE!$A$6:$A$10008,$I$3,PURCHASE!$D$6:$D$10008,$C$5:$C$499)</f>
        <v>0</v>
      </c>
      <c r="L63" s="60">
        <f>SUMIFS(PURCHASE!$M$6:$M$10008,PURCHASE!$A$6:$A$10008,$I$3,PURCHASE!$D$6:$D$10008,$C$5:$C$499)</f>
        <v>0</v>
      </c>
      <c r="M63" s="474">
        <f>SUMIFS(PURCHASE!$N$6:$N$10008,PURCHASE!$A$6:$A$10008,$I$3,PURCHASE!$D$6:$D$10008,$C$5:$C$499)</f>
        <v>0</v>
      </c>
      <c r="N63" s="11">
        <f t="shared" si="7"/>
        <v>0</v>
      </c>
      <c r="O63" s="11">
        <f>SUMIFS(PURCHASE!$K$6:$K$10008,PURCHASE!$A$6:$A$10008,$N$3,PURCHASE!$D$6:$D$10008,$C$5:$C$499)</f>
        <v>0</v>
      </c>
      <c r="P63" s="11">
        <f>SUMIFS(PURCHASE!$L$6:$L$10008,PURCHASE!$A$6:$A$10008,$N$3,PURCHASE!$D$6:$D$10008,$C$5:$C$499)</f>
        <v>0</v>
      </c>
      <c r="Q63" s="11">
        <f>SUMIFS(PURCHASE!$M$6:$M$10008,PURCHASE!$A$6:$A$10008,$N$3,PURCHASE!$D$6:$D$10008,$C$5:$C$499)</f>
        <v>0</v>
      </c>
      <c r="R63" s="11">
        <f>SUMIFS(PURCHASE!$N$6:$N$10008,PURCHASE!$A$6:$A$10008,$N$3,PURCHASE!$D$6:$D$10008,$C$5:$C$499)</f>
        <v>0</v>
      </c>
      <c r="S63" s="11">
        <f t="shared" si="8"/>
        <v>0</v>
      </c>
      <c r="T63" s="11">
        <f>SUMIFS(PURCHASE!$K$6:$K$10008,PURCHASE!$A$6:$A$10008,$S$3,PURCHASE!$D$6:$D$10008,$C$5:$C$499)</f>
        <v>0</v>
      </c>
      <c r="U63" s="11">
        <f>SUMIFS(PURCHASE!$L$6:$L$10008,PURCHASE!$A$6:$A$10008,$S$3,PURCHASE!$D$6:$D$10008,$C$5:$C$499)</f>
        <v>0</v>
      </c>
      <c r="V63" s="11">
        <f>SUMIFS(PURCHASE!$M$6:$M$10008,PURCHASE!$A$6:$A$10008,$S$3,PURCHASE!$D$6:$D$10008,$C$5:$C$499)</f>
        <v>0</v>
      </c>
      <c r="W63" s="11">
        <f>SUMIFS(PURCHASE!$N$6:$N$10008,PURCHASE!$A$6:$A$10008,$S$3,PURCHASE!$D$6:$D$10008,$C$5:$C$499)</f>
        <v>0</v>
      </c>
      <c r="X63" s="11">
        <f t="shared" si="9"/>
        <v>0</v>
      </c>
      <c r="Y63" s="11">
        <f>SUMIFS(PURCHASE!$K$6:$K$10008,PURCHASE!$A$6:$A$10008,$X$3,PURCHASE!$D$6:$D$10008,$C$5:$C$499)</f>
        <v>0</v>
      </c>
      <c r="Z63" s="11">
        <f>SUMIFS(PURCHASE!$L$6:$L$10008,PURCHASE!$A$6:$A$10008,$X$3,PURCHASE!$D$6:$D$10008,$C$5:$C$499)</f>
        <v>0</v>
      </c>
      <c r="AA63" s="11">
        <f>SUMIFS(PURCHASE!$M$6:$M$10008,PURCHASE!$A$6:$A$10008,$X$3,PURCHASE!$D$6:$D$10008,$C$5:$C$499)</f>
        <v>0</v>
      </c>
      <c r="AB63" s="11">
        <f>SUMIFS(PURCHASE!$N$6:$N$10008,PURCHASE!$A$6:$A$10008,$X$3,PURCHASE!$D$6:$D$10008,$C$5:$C$499)</f>
        <v>0</v>
      </c>
      <c r="AC63" s="11">
        <f t="shared" si="10"/>
        <v>0</v>
      </c>
      <c r="AD63" s="11">
        <f>SUMIFS(PURCHASE!$K$6:$K$10008,PURCHASE!$A$6:$A$10008,$AC$3,PURCHASE!$D$6:$D$10008,$C$5:$C$499)</f>
        <v>0</v>
      </c>
      <c r="AE63" s="11">
        <f>SUMIFS(PURCHASE!$L$6:$L$10008,PURCHASE!$A$6:$A$10008,$AC$3,PURCHASE!$D$6:$D$10008,$C$5:$C$499)</f>
        <v>0</v>
      </c>
      <c r="AF63" s="11">
        <f>SUMIFS(PURCHASE!$M$6:$M$10008,PURCHASE!$A$6:$A$10008,$AC$3,PURCHASE!$D$6:$D$10008,$C$5:$C$499)</f>
        <v>0</v>
      </c>
      <c r="AG63" s="11">
        <f>SUMIFS(PURCHASE!$N$6:$N$10008,PURCHASE!$A$6:$A$10008,$AC$3,PURCHASE!$D$6:$D$10008,$C$5:$C$499)</f>
        <v>0</v>
      </c>
      <c r="AH63" s="11">
        <f t="shared" si="11"/>
        <v>0</v>
      </c>
      <c r="AI63" s="11">
        <f>SUMIFS(PURCHASE!$K$6:$K$10008,PURCHASE!$A$6:$A$10008,$AH$3,PURCHASE!$D$6:$D$10008,$C$5:$C$499)</f>
        <v>0</v>
      </c>
      <c r="AJ63" s="11">
        <f>SUMIFS(PURCHASE!$L$6:$L$10008,PURCHASE!$A$6:$A$10008,$AH$3,PURCHASE!$D$6:$D$10008,$C$5:$C$499)</f>
        <v>0</v>
      </c>
      <c r="AK63" s="11">
        <f>SUMIFS(PURCHASE!$M$6:$M$10008,PURCHASE!$A$6:$A$10008,$AH$3,PURCHASE!$D$6:$D$10008,$C$5:$C$499)</f>
        <v>0</v>
      </c>
      <c r="AL63" s="11">
        <f>SUMIFS(PURCHASE!$N$6:$N$10008,PURCHASE!$A$6:$A$10008,$AH$3,PURCHASE!$D$6:$D$10008,$C$5:$C$499)</f>
        <v>0</v>
      </c>
      <c r="AM63" s="11">
        <f t="shared" si="12"/>
        <v>0</v>
      </c>
      <c r="AN63" s="11">
        <f>SUMIFS(PURCHASE!$K$6:$K$10008,PURCHASE!$A$6:$A$10008,$AM$3,PURCHASE!$D$6:$D$10008,$C$5:$C$499)</f>
        <v>0</v>
      </c>
      <c r="AO63" s="11">
        <f>SUMIFS(PURCHASE!$L$6:$L$10008,PURCHASE!$A$6:$A$10008,$AM$3,PURCHASE!$D$6:$D$10008,$C$5:$C$499)</f>
        <v>0</v>
      </c>
      <c r="AP63" s="11">
        <f>SUMIFS(PURCHASE!$M$6:$M$10008,PURCHASE!$A$6:$A$10008,$AM$3,PURCHASE!$D$6:$D$10008,$C$5:$C$499)</f>
        <v>0</v>
      </c>
      <c r="AQ63" s="11">
        <f>SUMIFS(PURCHASE!$N$6:$N$10008,PURCHASE!$A$6:$A$10008,$AM$3,PURCHASE!$D$6:$D$10008,$C$5:$C$499)</f>
        <v>0</v>
      </c>
      <c r="AR63" s="11">
        <f t="shared" si="13"/>
        <v>0</v>
      </c>
      <c r="AS63" s="11">
        <f>SUMIFS(PURCHASE!$K$6:$K$10008,PURCHASE!$A$6:$A$10008,$AR$3,PURCHASE!$D$6:$D$10008,$C$5:$C$499)</f>
        <v>0</v>
      </c>
      <c r="AT63" s="11">
        <f>SUMIFS(PURCHASE!$L$6:$L$10008,PURCHASE!$A$6:$A$10008,$AR$3,PURCHASE!$D$6:$D$10008,$C$5:$C$499)</f>
        <v>0</v>
      </c>
      <c r="AU63" s="11">
        <f>SUMIFS(PURCHASE!$M$6:$M$10008,PURCHASE!$A$6:$A$10008,$AR$3,PURCHASE!$D$6:$D$10008,$C$5:$C$499)</f>
        <v>0</v>
      </c>
      <c r="AV63" s="11">
        <f>SUMIFS(PURCHASE!$N$6:$N$10008,PURCHASE!$A$6:$A$10008,$AR$3,PURCHASE!$D$6:$D$10008,$C$5:$C$499)</f>
        <v>0</v>
      </c>
      <c r="AW63" s="11">
        <f t="shared" si="14"/>
        <v>0</v>
      </c>
      <c r="AX63" s="11">
        <f>SUMIFS(PURCHASE!$K$6:$K$10008,PURCHASE!$A$6:$A$10008,$AW$3,PURCHASE!$D$6:$D$10008,$C$5:$C$499)</f>
        <v>0</v>
      </c>
      <c r="AY63" s="11">
        <f>SUMIFS(PURCHASE!$L$6:$L$10008,PURCHASE!$A$6:$A$10008,$AW$3,PURCHASE!$D$6:$D$10008,$C$5:$C$499)</f>
        <v>0</v>
      </c>
      <c r="AZ63" s="11">
        <f>SUMIFS(PURCHASE!$M$6:$M$10008,PURCHASE!$A$6:$A$10008,$AW$3,PURCHASE!$D$6:$D$10008,$C$5:$C$499)</f>
        <v>0</v>
      </c>
      <c r="BA63" s="11">
        <f>SUMIFS(PURCHASE!$N$6:$N$10008,PURCHASE!$A$6:$A$10008,$AW$3,PURCHASE!$D$6:$D$10008,$C$5:$C$499)</f>
        <v>0</v>
      </c>
      <c r="BB63" s="11">
        <f t="shared" si="15"/>
        <v>0</v>
      </c>
      <c r="BC63" s="11">
        <f>SUMIFS(PURCHASE!$K$6:$K$10008,PURCHASE!$A$6:$A$10008,$BB$3,PURCHASE!$D$6:$D$10008,$C$5:$C$499)</f>
        <v>0</v>
      </c>
      <c r="BD63" s="11">
        <f>SUMIFS(PURCHASE!$L$6:$L$10008,PURCHASE!$A$6:$A$10008,$BB$3,PURCHASE!$D$6:$D$10008,$C$5:$C$499)</f>
        <v>0</v>
      </c>
      <c r="BE63" s="11">
        <f>SUMIFS(PURCHASE!$M$6:$M$10008,PURCHASE!$A$6:$A$10008,$BB$3,PURCHASE!$D$6:$D$10008,$C$5:$C$499)</f>
        <v>0</v>
      </c>
      <c r="BF63" s="11">
        <f>SUMIFS(PURCHASE!$N$6:$N$10008,PURCHASE!$A$6:$A$10008,$BB$3,PURCHASE!$D$6:$D$10008,$C$5:$C$499)</f>
        <v>0</v>
      </c>
      <c r="BG63" s="11">
        <f t="shared" si="16"/>
        <v>0</v>
      </c>
      <c r="BH63" s="11">
        <f>SUMIFS(PURCHASE!$K$6:$K$10008,PURCHASE!$A$6:$A$10008,$BG$3,PURCHASE!$D$6:$D$10008,$C$5:$C$499)</f>
        <v>0</v>
      </c>
      <c r="BI63" s="11">
        <f>SUMIFS(PURCHASE!$L$6:$L$10008,PURCHASE!$A$6:$A$10008,$BG$3,PURCHASE!$D$6:$D$10008,$C$5:$C$499)</f>
        <v>0</v>
      </c>
      <c r="BJ63" s="11">
        <f>SUMIFS(PURCHASE!$M$6:$M$10008,PURCHASE!$A$6:$A$10008,$BG$3,PURCHASE!$D$6:$D$10008,$C$5:$C$499)</f>
        <v>0</v>
      </c>
      <c r="BK63" s="11">
        <f>SUMIFS(PURCHASE!$N$6:$N$10008,PURCHASE!$A$6:$A$10008,$BG$3,PURCHASE!$D$6:$D$10008,$C$5:$C$499)</f>
        <v>0</v>
      </c>
      <c r="BL63" s="11">
        <f t="shared" si="4"/>
        <v>0</v>
      </c>
      <c r="BM63" s="11">
        <f t="shared" si="4"/>
        <v>0</v>
      </c>
      <c r="BN63" s="11">
        <f t="shared" si="4"/>
        <v>0</v>
      </c>
      <c r="BO63" s="11">
        <f t="shared" si="4"/>
        <v>0</v>
      </c>
      <c r="BP63" s="11">
        <f t="shared" si="4"/>
        <v>0</v>
      </c>
    </row>
    <row r="64" spans="1:68" x14ac:dyDescent="0.2">
      <c r="A64" s="467">
        <v>60</v>
      </c>
      <c r="B64" s="468" t="s">
        <v>561</v>
      </c>
      <c r="C64" s="469" t="s">
        <v>562</v>
      </c>
      <c r="D64" s="11">
        <f t="shared" si="5"/>
        <v>20178</v>
      </c>
      <c r="E64" s="11">
        <f>SUMIFS(PURCHASE!$K$6:$K$10008,PURCHASE!$A$6:$A$10008,$D$3,PURCHASE!$D$6:$D$10008,$C$5:$C$499)</f>
        <v>17100</v>
      </c>
      <c r="F64" s="11">
        <f>SUMIFS(PURCHASE!$L$6:$L$10008,PURCHASE!$A$6:$A$10008,$D$3,PURCHASE!$D$6:$D$10008,$C$5:$C$499)</f>
        <v>0</v>
      </c>
      <c r="G64" s="11">
        <f>SUMIFS(PURCHASE!$M$6:$M$10008,PURCHASE!$A$6:$A$10008,$D$3,PURCHASE!$D$6:$D$10008,$C$5:$C$499)</f>
        <v>1539</v>
      </c>
      <c r="H64" s="11">
        <f>SUMIFS(PURCHASE!$N$6:$N$10008,PURCHASE!$A$6:$A$10008,$D$3,PURCHASE!$D$6:$D$10008,$C$5:$C$499)</f>
        <v>1539</v>
      </c>
      <c r="I64" s="473">
        <f t="shared" si="6"/>
        <v>0</v>
      </c>
      <c r="J64" s="60">
        <f>SUMIFS(PURCHASE!$K$6:$K$10008,PURCHASE!$A$6:$A$10008,$I$3,PURCHASE!$D$6:$D$10008,$C$5:$C$499)</f>
        <v>0</v>
      </c>
      <c r="K64" s="60">
        <f>SUMIFS(PURCHASE!$L$6:$L$10008,PURCHASE!$A$6:$A$10008,$I$3,PURCHASE!$D$6:$D$10008,$C$5:$C$499)</f>
        <v>0</v>
      </c>
      <c r="L64" s="60">
        <f>SUMIFS(PURCHASE!$M$6:$M$10008,PURCHASE!$A$6:$A$10008,$I$3,PURCHASE!$D$6:$D$10008,$C$5:$C$499)</f>
        <v>0</v>
      </c>
      <c r="M64" s="474">
        <f>SUMIFS(PURCHASE!$N$6:$N$10008,PURCHASE!$A$6:$A$10008,$I$3,PURCHASE!$D$6:$D$10008,$C$5:$C$499)</f>
        <v>0</v>
      </c>
      <c r="N64" s="11">
        <f t="shared" si="7"/>
        <v>0</v>
      </c>
      <c r="O64" s="11">
        <f>SUMIFS(PURCHASE!$K$6:$K$10008,PURCHASE!$A$6:$A$10008,$N$3,PURCHASE!$D$6:$D$10008,$C$5:$C$499)</f>
        <v>0</v>
      </c>
      <c r="P64" s="11">
        <f>SUMIFS(PURCHASE!$L$6:$L$10008,PURCHASE!$A$6:$A$10008,$N$3,PURCHASE!$D$6:$D$10008,$C$5:$C$499)</f>
        <v>0</v>
      </c>
      <c r="Q64" s="11">
        <f>SUMIFS(PURCHASE!$M$6:$M$10008,PURCHASE!$A$6:$A$10008,$N$3,PURCHASE!$D$6:$D$10008,$C$5:$C$499)</f>
        <v>0</v>
      </c>
      <c r="R64" s="11">
        <f>SUMIFS(PURCHASE!$N$6:$N$10008,PURCHASE!$A$6:$A$10008,$N$3,PURCHASE!$D$6:$D$10008,$C$5:$C$499)</f>
        <v>0</v>
      </c>
      <c r="S64" s="11">
        <f t="shared" si="8"/>
        <v>0</v>
      </c>
      <c r="T64" s="11">
        <f>SUMIFS(PURCHASE!$K$6:$K$10008,PURCHASE!$A$6:$A$10008,$S$3,PURCHASE!$D$6:$D$10008,$C$5:$C$499)</f>
        <v>0</v>
      </c>
      <c r="U64" s="11">
        <f>SUMIFS(PURCHASE!$L$6:$L$10008,PURCHASE!$A$6:$A$10008,$S$3,PURCHASE!$D$6:$D$10008,$C$5:$C$499)</f>
        <v>0</v>
      </c>
      <c r="V64" s="11">
        <f>SUMIFS(PURCHASE!$M$6:$M$10008,PURCHASE!$A$6:$A$10008,$S$3,PURCHASE!$D$6:$D$10008,$C$5:$C$499)</f>
        <v>0</v>
      </c>
      <c r="W64" s="11">
        <f>SUMIFS(PURCHASE!$N$6:$N$10008,PURCHASE!$A$6:$A$10008,$S$3,PURCHASE!$D$6:$D$10008,$C$5:$C$499)</f>
        <v>0</v>
      </c>
      <c r="X64" s="11">
        <f t="shared" si="9"/>
        <v>11121.5</v>
      </c>
      <c r="Y64" s="11">
        <f>SUMIFS(PURCHASE!$K$6:$K$10008,PURCHASE!$A$6:$A$10008,$X$3,PURCHASE!$D$6:$D$10008,$C$5:$C$499)</f>
        <v>9425</v>
      </c>
      <c r="Z64" s="11">
        <f>SUMIFS(PURCHASE!$L$6:$L$10008,PURCHASE!$A$6:$A$10008,$X$3,PURCHASE!$D$6:$D$10008,$C$5:$C$499)</f>
        <v>0</v>
      </c>
      <c r="AA64" s="11">
        <f>SUMIFS(PURCHASE!$M$6:$M$10008,PURCHASE!$A$6:$A$10008,$X$3,PURCHASE!$D$6:$D$10008,$C$5:$C$499)</f>
        <v>848.25</v>
      </c>
      <c r="AB64" s="11">
        <f>SUMIFS(PURCHASE!$N$6:$N$10008,PURCHASE!$A$6:$A$10008,$X$3,PURCHASE!$D$6:$D$10008,$C$5:$C$499)</f>
        <v>848.25</v>
      </c>
      <c r="AC64" s="11">
        <f t="shared" si="10"/>
        <v>0</v>
      </c>
      <c r="AD64" s="11">
        <f>SUMIFS(PURCHASE!$K$6:$K$10008,PURCHASE!$A$6:$A$10008,$AC$3,PURCHASE!$D$6:$D$10008,$C$5:$C$499)</f>
        <v>0</v>
      </c>
      <c r="AE64" s="11">
        <f>SUMIFS(PURCHASE!$L$6:$L$10008,PURCHASE!$A$6:$A$10008,$AC$3,PURCHASE!$D$6:$D$10008,$C$5:$C$499)</f>
        <v>0</v>
      </c>
      <c r="AF64" s="11">
        <f>SUMIFS(PURCHASE!$M$6:$M$10008,PURCHASE!$A$6:$A$10008,$AC$3,PURCHASE!$D$6:$D$10008,$C$5:$C$499)</f>
        <v>0</v>
      </c>
      <c r="AG64" s="11">
        <f>SUMIFS(PURCHASE!$N$6:$N$10008,PURCHASE!$A$6:$A$10008,$AC$3,PURCHASE!$D$6:$D$10008,$C$5:$C$499)</f>
        <v>0</v>
      </c>
      <c r="AH64" s="11">
        <f t="shared" si="11"/>
        <v>0</v>
      </c>
      <c r="AI64" s="11">
        <f>SUMIFS(PURCHASE!$K$6:$K$10008,PURCHASE!$A$6:$A$10008,$AH$3,PURCHASE!$D$6:$D$10008,$C$5:$C$499)</f>
        <v>0</v>
      </c>
      <c r="AJ64" s="11">
        <f>SUMIFS(PURCHASE!$L$6:$L$10008,PURCHASE!$A$6:$A$10008,$AH$3,PURCHASE!$D$6:$D$10008,$C$5:$C$499)</f>
        <v>0</v>
      </c>
      <c r="AK64" s="11">
        <f>SUMIFS(PURCHASE!$M$6:$M$10008,PURCHASE!$A$6:$A$10008,$AH$3,PURCHASE!$D$6:$D$10008,$C$5:$C$499)</f>
        <v>0</v>
      </c>
      <c r="AL64" s="11">
        <f>SUMIFS(PURCHASE!$N$6:$N$10008,PURCHASE!$A$6:$A$10008,$AH$3,PURCHASE!$D$6:$D$10008,$C$5:$C$499)</f>
        <v>0</v>
      </c>
      <c r="AM64" s="11">
        <f t="shared" si="12"/>
        <v>0</v>
      </c>
      <c r="AN64" s="11">
        <f>SUMIFS(PURCHASE!$K$6:$K$10008,PURCHASE!$A$6:$A$10008,$AM$3,PURCHASE!$D$6:$D$10008,$C$5:$C$499)</f>
        <v>0</v>
      </c>
      <c r="AO64" s="11">
        <f>SUMIFS(PURCHASE!$L$6:$L$10008,PURCHASE!$A$6:$A$10008,$AM$3,PURCHASE!$D$6:$D$10008,$C$5:$C$499)</f>
        <v>0</v>
      </c>
      <c r="AP64" s="11">
        <f>SUMIFS(PURCHASE!$M$6:$M$10008,PURCHASE!$A$6:$A$10008,$AM$3,PURCHASE!$D$6:$D$10008,$C$5:$C$499)</f>
        <v>0</v>
      </c>
      <c r="AQ64" s="11">
        <f>SUMIFS(PURCHASE!$N$6:$N$10008,PURCHASE!$A$6:$A$10008,$AM$3,PURCHASE!$D$6:$D$10008,$C$5:$C$499)</f>
        <v>0</v>
      </c>
      <c r="AR64" s="11">
        <f t="shared" si="13"/>
        <v>0</v>
      </c>
      <c r="AS64" s="11">
        <f>SUMIFS(PURCHASE!$K$6:$K$10008,PURCHASE!$A$6:$A$10008,$AR$3,PURCHASE!$D$6:$D$10008,$C$5:$C$499)</f>
        <v>0</v>
      </c>
      <c r="AT64" s="11">
        <f>SUMIFS(PURCHASE!$L$6:$L$10008,PURCHASE!$A$6:$A$10008,$AR$3,PURCHASE!$D$6:$D$10008,$C$5:$C$499)</f>
        <v>0</v>
      </c>
      <c r="AU64" s="11">
        <f>SUMIFS(PURCHASE!$M$6:$M$10008,PURCHASE!$A$6:$A$10008,$AR$3,PURCHASE!$D$6:$D$10008,$C$5:$C$499)</f>
        <v>0</v>
      </c>
      <c r="AV64" s="11">
        <f>SUMIFS(PURCHASE!$N$6:$N$10008,PURCHASE!$A$6:$A$10008,$AR$3,PURCHASE!$D$6:$D$10008,$C$5:$C$499)</f>
        <v>0</v>
      </c>
      <c r="AW64" s="11">
        <f t="shared" si="14"/>
        <v>0</v>
      </c>
      <c r="AX64" s="11">
        <f>SUMIFS(PURCHASE!$K$6:$K$10008,PURCHASE!$A$6:$A$10008,$AW$3,PURCHASE!$D$6:$D$10008,$C$5:$C$499)</f>
        <v>0</v>
      </c>
      <c r="AY64" s="11">
        <f>SUMIFS(PURCHASE!$L$6:$L$10008,PURCHASE!$A$6:$A$10008,$AW$3,PURCHASE!$D$6:$D$10008,$C$5:$C$499)</f>
        <v>0</v>
      </c>
      <c r="AZ64" s="11">
        <f>SUMIFS(PURCHASE!$M$6:$M$10008,PURCHASE!$A$6:$A$10008,$AW$3,PURCHASE!$D$6:$D$10008,$C$5:$C$499)</f>
        <v>0</v>
      </c>
      <c r="BA64" s="11">
        <f>SUMIFS(PURCHASE!$N$6:$N$10008,PURCHASE!$A$6:$A$10008,$AW$3,PURCHASE!$D$6:$D$10008,$C$5:$C$499)</f>
        <v>0</v>
      </c>
      <c r="BB64" s="11">
        <f t="shared" si="15"/>
        <v>0</v>
      </c>
      <c r="BC64" s="11">
        <f>SUMIFS(PURCHASE!$K$6:$K$10008,PURCHASE!$A$6:$A$10008,$BB$3,PURCHASE!$D$6:$D$10008,$C$5:$C$499)</f>
        <v>0</v>
      </c>
      <c r="BD64" s="11">
        <f>SUMIFS(PURCHASE!$L$6:$L$10008,PURCHASE!$A$6:$A$10008,$BB$3,PURCHASE!$D$6:$D$10008,$C$5:$C$499)</f>
        <v>0</v>
      </c>
      <c r="BE64" s="11">
        <f>SUMIFS(PURCHASE!$M$6:$M$10008,PURCHASE!$A$6:$A$10008,$BB$3,PURCHASE!$D$6:$D$10008,$C$5:$C$499)</f>
        <v>0</v>
      </c>
      <c r="BF64" s="11">
        <f>SUMIFS(PURCHASE!$N$6:$N$10008,PURCHASE!$A$6:$A$10008,$BB$3,PURCHASE!$D$6:$D$10008,$C$5:$C$499)</f>
        <v>0</v>
      </c>
      <c r="BG64" s="11">
        <f t="shared" si="16"/>
        <v>0</v>
      </c>
      <c r="BH64" s="11">
        <f>SUMIFS(PURCHASE!$K$6:$K$10008,PURCHASE!$A$6:$A$10008,$BG$3,PURCHASE!$D$6:$D$10008,$C$5:$C$499)</f>
        <v>0</v>
      </c>
      <c r="BI64" s="11">
        <f>SUMIFS(PURCHASE!$L$6:$L$10008,PURCHASE!$A$6:$A$10008,$BG$3,PURCHASE!$D$6:$D$10008,$C$5:$C$499)</f>
        <v>0</v>
      </c>
      <c r="BJ64" s="11">
        <f>SUMIFS(PURCHASE!$M$6:$M$10008,PURCHASE!$A$6:$A$10008,$BG$3,PURCHASE!$D$6:$D$10008,$C$5:$C$499)</f>
        <v>0</v>
      </c>
      <c r="BK64" s="11">
        <f>SUMIFS(PURCHASE!$N$6:$N$10008,PURCHASE!$A$6:$A$10008,$BG$3,PURCHASE!$D$6:$D$10008,$C$5:$C$499)</f>
        <v>0</v>
      </c>
      <c r="BL64" s="11">
        <f t="shared" si="4"/>
        <v>31299.5</v>
      </c>
      <c r="BM64" s="11">
        <f t="shared" si="4"/>
        <v>26525</v>
      </c>
      <c r="BN64" s="11">
        <f t="shared" si="4"/>
        <v>0</v>
      </c>
      <c r="BO64" s="11">
        <f t="shared" si="4"/>
        <v>2387.25</v>
      </c>
      <c r="BP64" s="11">
        <f t="shared" si="4"/>
        <v>2387.25</v>
      </c>
    </row>
    <row r="65" spans="1:68" x14ac:dyDescent="0.2">
      <c r="A65" s="467">
        <v>61</v>
      </c>
      <c r="B65" s="468" t="s">
        <v>1123</v>
      </c>
      <c r="C65" s="469" t="s">
        <v>1124</v>
      </c>
      <c r="D65" s="11">
        <f t="shared" si="5"/>
        <v>0</v>
      </c>
      <c r="E65" s="11">
        <f>SUMIFS(PURCHASE!$K$6:$K$10008,PURCHASE!$A$6:$A$10008,$D$3,PURCHASE!$D$6:$D$10008,$C$5:$C$499)</f>
        <v>0</v>
      </c>
      <c r="F65" s="11">
        <f>SUMIFS(PURCHASE!$L$6:$L$10008,PURCHASE!$A$6:$A$10008,$D$3,PURCHASE!$D$6:$D$10008,$C$5:$C$499)</f>
        <v>0</v>
      </c>
      <c r="G65" s="11">
        <f>SUMIFS(PURCHASE!$M$6:$M$10008,PURCHASE!$A$6:$A$10008,$D$3,PURCHASE!$D$6:$D$10008,$C$5:$C$499)</f>
        <v>0</v>
      </c>
      <c r="H65" s="11">
        <f>SUMIFS(PURCHASE!$N$6:$N$10008,PURCHASE!$A$6:$A$10008,$D$3,PURCHASE!$D$6:$D$10008,$C$5:$C$499)</f>
        <v>0</v>
      </c>
      <c r="I65" s="473">
        <f t="shared" si="6"/>
        <v>0</v>
      </c>
      <c r="J65" s="60">
        <f>SUMIFS(PURCHASE!$K$6:$K$10008,PURCHASE!$A$6:$A$10008,$I$3,PURCHASE!$D$6:$D$10008,$C$5:$C$499)</f>
        <v>0</v>
      </c>
      <c r="K65" s="60">
        <f>SUMIFS(PURCHASE!$L$6:$L$10008,PURCHASE!$A$6:$A$10008,$I$3,PURCHASE!$D$6:$D$10008,$C$5:$C$499)</f>
        <v>0</v>
      </c>
      <c r="L65" s="60">
        <f>SUMIFS(PURCHASE!$M$6:$M$10008,PURCHASE!$A$6:$A$10008,$I$3,PURCHASE!$D$6:$D$10008,$C$5:$C$499)</f>
        <v>0</v>
      </c>
      <c r="M65" s="474">
        <f>SUMIFS(PURCHASE!$N$6:$N$10008,PURCHASE!$A$6:$A$10008,$I$3,PURCHASE!$D$6:$D$10008,$C$5:$C$499)</f>
        <v>0</v>
      </c>
      <c r="N65" s="11">
        <f t="shared" si="7"/>
        <v>0</v>
      </c>
      <c r="O65" s="11">
        <f>SUMIFS(PURCHASE!$K$6:$K$10008,PURCHASE!$A$6:$A$10008,$N$3,PURCHASE!$D$6:$D$10008,$C$5:$C$499)</f>
        <v>0</v>
      </c>
      <c r="P65" s="11">
        <f>SUMIFS(PURCHASE!$L$6:$L$10008,PURCHASE!$A$6:$A$10008,$N$3,PURCHASE!$D$6:$D$10008,$C$5:$C$499)</f>
        <v>0</v>
      </c>
      <c r="Q65" s="11">
        <f>SUMIFS(PURCHASE!$M$6:$M$10008,PURCHASE!$A$6:$A$10008,$N$3,PURCHASE!$D$6:$D$10008,$C$5:$C$499)</f>
        <v>0</v>
      </c>
      <c r="R65" s="11">
        <f>SUMIFS(PURCHASE!$N$6:$N$10008,PURCHASE!$A$6:$A$10008,$N$3,PURCHASE!$D$6:$D$10008,$C$5:$C$499)</f>
        <v>0</v>
      </c>
      <c r="S65" s="11">
        <f t="shared" si="8"/>
        <v>0</v>
      </c>
      <c r="T65" s="11">
        <f>SUMIFS(PURCHASE!$K$6:$K$10008,PURCHASE!$A$6:$A$10008,$S$3,PURCHASE!$D$6:$D$10008,$C$5:$C$499)</f>
        <v>0</v>
      </c>
      <c r="U65" s="11">
        <f>SUMIFS(PURCHASE!$L$6:$L$10008,PURCHASE!$A$6:$A$10008,$S$3,PURCHASE!$D$6:$D$10008,$C$5:$C$499)</f>
        <v>0</v>
      </c>
      <c r="V65" s="11">
        <f>SUMIFS(PURCHASE!$M$6:$M$10008,PURCHASE!$A$6:$A$10008,$S$3,PURCHASE!$D$6:$D$10008,$C$5:$C$499)</f>
        <v>0</v>
      </c>
      <c r="W65" s="11">
        <f>SUMIFS(PURCHASE!$N$6:$N$10008,PURCHASE!$A$6:$A$10008,$S$3,PURCHASE!$D$6:$D$10008,$C$5:$C$499)</f>
        <v>0</v>
      </c>
      <c r="X65" s="11">
        <f t="shared" si="9"/>
        <v>0</v>
      </c>
      <c r="Y65" s="11">
        <f>SUMIFS(PURCHASE!$K$6:$K$10008,PURCHASE!$A$6:$A$10008,$X$3,PURCHASE!$D$6:$D$10008,$C$5:$C$499)</f>
        <v>0</v>
      </c>
      <c r="Z65" s="11">
        <f>SUMIFS(PURCHASE!$L$6:$L$10008,PURCHASE!$A$6:$A$10008,$X$3,PURCHASE!$D$6:$D$10008,$C$5:$C$499)</f>
        <v>0</v>
      </c>
      <c r="AA65" s="11">
        <f>SUMIFS(PURCHASE!$M$6:$M$10008,PURCHASE!$A$6:$A$10008,$X$3,PURCHASE!$D$6:$D$10008,$C$5:$C$499)</f>
        <v>0</v>
      </c>
      <c r="AB65" s="11">
        <f>SUMIFS(PURCHASE!$N$6:$N$10008,PURCHASE!$A$6:$A$10008,$X$3,PURCHASE!$D$6:$D$10008,$C$5:$C$499)</f>
        <v>0</v>
      </c>
      <c r="AC65" s="11">
        <f t="shared" si="10"/>
        <v>0</v>
      </c>
      <c r="AD65" s="11">
        <f>SUMIFS(PURCHASE!$K$6:$K$10008,PURCHASE!$A$6:$A$10008,$AC$3,PURCHASE!$D$6:$D$10008,$C$5:$C$499)</f>
        <v>0</v>
      </c>
      <c r="AE65" s="11">
        <f>SUMIFS(PURCHASE!$L$6:$L$10008,PURCHASE!$A$6:$A$10008,$AC$3,PURCHASE!$D$6:$D$10008,$C$5:$C$499)</f>
        <v>0</v>
      </c>
      <c r="AF65" s="11">
        <f>SUMIFS(PURCHASE!$M$6:$M$10008,PURCHASE!$A$6:$A$10008,$AC$3,PURCHASE!$D$6:$D$10008,$C$5:$C$499)</f>
        <v>0</v>
      </c>
      <c r="AG65" s="11">
        <f>SUMIFS(PURCHASE!$N$6:$N$10008,PURCHASE!$A$6:$A$10008,$AC$3,PURCHASE!$D$6:$D$10008,$C$5:$C$499)</f>
        <v>0</v>
      </c>
      <c r="AH65" s="11">
        <f t="shared" si="11"/>
        <v>0</v>
      </c>
      <c r="AI65" s="11">
        <f>SUMIFS(PURCHASE!$K$6:$K$10008,PURCHASE!$A$6:$A$10008,$AH$3,PURCHASE!$D$6:$D$10008,$C$5:$C$499)</f>
        <v>0</v>
      </c>
      <c r="AJ65" s="11">
        <f>SUMIFS(PURCHASE!$L$6:$L$10008,PURCHASE!$A$6:$A$10008,$AH$3,PURCHASE!$D$6:$D$10008,$C$5:$C$499)</f>
        <v>0</v>
      </c>
      <c r="AK65" s="11">
        <f>SUMIFS(PURCHASE!$M$6:$M$10008,PURCHASE!$A$6:$A$10008,$AH$3,PURCHASE!$D$6:$D$10008,$C$5:$C$499)</f>
        <v>0</v>
      </c>
      <c r="AL65" s="11">
        <f>SUMIFS(PURCHASE!$N$6:$N$10008,PURCHASE!$A$6:$A$10008,$AH$3,PURCHASE!$D$6:$D$10008,$C$5:$C$499)</f>
        <v>0</v>
      </c>
      <c r="AM65" s="11">
        <f t="shared" si="12"/>
        <v>0</v>
      </c>
      <c r="AN65" s="11">
        <f>SUMIFS(PURCHASE!$K$6:$K$10008,PURCHASE!$A$6:$A$10008,$AM$3,PURCHASE!$D$6:$D$10008,$C$5:$C$499)</f>
        <v>0</v>
      </c>
      <c r="AO65" s="11">
        <f>SUMIFS(PURCHASE!$L$6:$L$10008,PURCHASE!$A$6:$A$10008,$AM$3,PURCHASE!$D$6:$D$10008,$C$5:$C$499)</f>
        <v>0</v>
      </c>
      <c r="AP65" s="11">
        <f>SUMIFS(PURCHASE!$M$6:$M$10008,PURCHASE!$A$6:$A$10008,$AM$3,PURCHASE!$D$6:$D$10008,$C$5:$C$499)</f>
        <v>0</v>
      </c>
      <c r="AQ65" s="11">
        <f>SUMIFS(PURCHASE!$N$6:$N$10008,PURCHASE!$A$6:$A$10008,$AM$3,PURCHASE!$D$6:$D$10008,$C$5:$C$499)</f>
        <v>0</v>
      </c>
      <c r="AR65" s="11">
        <f t="shared" si="13"/>
        <v>0</v>
      </c>
      <c r="AS65" s="11">
        <f>SUMIFS(PURCHASE!$K$6:$K$10008,PURCHASE!$A$6:$A$10008,$AR$3,PURCHASE!$D$6:$D$10008,$C$5:$C$499)</f>
        <v>0</v>
      </c>
      <c r="AT65" s="11">
        <f>SUMIFS(PURCHASE!$L$6:$L$10008,PURCHASE!$A$6:$A$10008,$AR$3,PURCHASE!$D$6:$D$10008,$C$5:$C$499)</f>
        <v>0</v>
      </c>
      <c r="AU65" s="11">
        <f>SUMIFS(PURCHASE!$M$6:$M$10008,PURCHASE!$A$6:$A$10008,$AR$3,PURCHASE!$D$6:$D$10008,$C$5:$C$499)</f>
        <v>0</v>
      </c>
      <c r="AV65" s="11">
        <f>SUMIFS(PURCHASE!$N$6:$N$10008,PURCHASE!$A$6:$A$10008,$AR$3,PURCHASE!$D$6:$D$10008,$C$5:$C$499)</f>
        <v>0</v>
      </c>
      <c r="AW65" s="11">
        <f t="shared" si="14"/>
        <v>0</v>
      </c>
      <c r="AX65" s="11">
        <f>SUMIFS(PURCHASE!$K$6:$K$10008,PURCHASE!$A$6:$A$10008,$AW$3,PURCHASE!$D$6:$D$10008,$C$5:$C$499)</f>
        <v>0</v>
      </c>
      <c r="AY65" s="11">
        <f>SUMIFS(PURCHASE!$L$6:$L$10008,PURCHASE!$A$6:$A$10008,$AW$3,PURCHASE!$D$6:$D$10008,$C$5:$C$499)</f>
        <v>0</v>
      </c>
      <c r="AZ65" s="11">
        <f>SUMIFS(PURCHASE!$M$6:$M$10008,PURCHASE!$A$6:$A$10008,$AW$3,PURCHASE!$D$6:$D$10008,$C$5:$C$499)</f>
        <v>0</v>
      </c>
      <c r="BA65" s="11">
        <f>SUMIFS(PURCHASE!$N$6:$N$10008,PURCHASE!$A$6:$A$10008,$AW$3,PURCHASE!$D$6:$D$10008,$C$5:$C$499)</f>
        <v>0</v>
      </c>
      <c r="BB65" s="11">
        <f t="shared" si="15"/>
        <v>0</v>
      </c>
      <c r="BC65" s="11">
        <f>SUMIFS(PURCHASE!$K$6:$K$10008,PURCHASE!$A$6:$A$10008,$BB$3,PURCHASE!$D$6:$D$10008,$C$5:$C$499)</f>
        <v>0</v>
      </c>
      <c r="BD65" s="11">
        <f>SUMIFS(PURCHASE!$L$6:$L$10008,PURCHASE!$A$6:$A$10008,$BB$3,PURCHASE!$D$6:$D$10008,$C$5:$C$499)</f>
        <v>0</v>
      </c>
      <c r="BE65" s="11">
        <f>SUMIFS(PURCHASE!$M$6:$M$10008,PURCHASE!$A$6:$A$10008,$BB$3,PURCHASE!$D$6:$D$10008,$C$5:$C$499)</f>
        <v>0</v>
      </c>
      <c r="BF65" s="11">
        <f>SUMIFS(PURCHASE!$N$6:$N$10008,PURCHASE!$A$6:$A$10008,$BB$3,PURCHASE!$D$6:$D$10008,$C$5:$C$499)</f>
        <v>0</v>
      </c>
      <c r="BG65" s="11">
        <f t="shared" si="16"/>
        <v>0</v>
      </c>
      <c r="BH65" s="11">
        <f>SUMIFS(PURCHASE!$K$6:$K$10008,PURCHASE!$A$6:$A$10008,$BG$3,PURCHASE!$D$6:$D$10008,$C$5:$C$499)</f>
        <v>0</v>
      </c>
      <c r="BI65" s="11">
        <f>SUMIFS(PURCHASE!$L$6:$L$10008,PURCHASE!$A$6:$A$10008,$BG$3,PURCHASE!$D$6:$D$10008,$C$5:$C$499)</f>
        <v>0</v>
      </c>
      <c r="BJ65" s="11">
        <f>SUMIFS(PURCHASE!$M$6:$M$10008,PURCHASE!$A$6:$A$10008,$BG$3,PURCHASE!$D$6:$D$10008,$C$5:$C$499)</f>
        <v>0</v>
      </c>
      <c r="BK65" s="11">
        <f>SUMIFS(PURCHASE!$N$6:$N$10008,PURCHASE!$A$6:$A$10008,$BG$3,PURCHASE!$D$6:$D$10008,$C$5:$C$499)</f>
        <v>0</v>
      </c>
      <c r="BL65" s="11">
        <f t="shared" si="4"/>
        <v>0</v>
      </c>
      <c r="BM65" s="11">
        <f t="shared" si="4"/>
        <v>0</v>
      </c>
      <c r="BN65" s="11">
        <f t="shared" si="4"/>
        <v>0</v>
      </c>
      <c r="BO65" s="11">
        <f t="shared" si="4"/>
        <v>0</v>
      </c>
      <c r="BP65" s="11">
        <f t="shared" si="4"/>
        <v>0</v>
      </c>
    </row>
    <row r="66" spans="1:68" x14ac:dyDescent="0.2">
      <c r="A66" s="467">
        <v>62</v>
      </c>
      <c r="B66" s="468" t="s">
        <v>1125</v>
      </c>
      <c r="C66" s="469" t="s">
        <v>1126</v>
      </c>
      <c r="D66" s="11">
        <f t="shared" si="5"/>
        <v>0</v>
      </c>
      <c r="E66" s="11">
        <f>SUMIFS(PURCHASE!$K$6:$K$10008,PURCHASE!$A$6:$A$10008,$D$3,PURCHASE!$D$6:$D$10008,$C$5:$C$499)</f>
        <v>0</v>
      </c>
      <c r="F66" s="11">
        <f>SUMIFS(PURCHASE!$L$6:$L$10008,PURCHASE!$A$6:$A$10008,$D$3,PURCHASE!$D$6:$D$10008,$C$5:$C$499)</f>
        <v>0</v>
      </c>
      <c r="G66" s="11">
        <f>SUMIFS(PURCHASE!$M$6:$M$10008,PURCHASE!$A$6:$A$10008,$D$3,PURCHASE!$D$6:$D$10008,$C$5:$C$499)</f>
        <v>0</v>
      </c>
      <c r="H66" s="11">
        <f>SUMIFS(PURCHASE!$N$6:$N$10008,PURCHASE!$A$6:$A$10008,$D$3,PURCHASE!$D$6:$D$10008,$C$5:$C$499)</f>
        <v>0</v>
      </c>
      <c r="I66" s="473">
        <f t="shared" si="6"/>
        <v>0</v>
      </c>
      <c r="J66" s="60">
        <f>SUMIFS(PURCHASE!$K$6:$K$10008,PURCHASE!$A$6:$A$10008,$I$3,PURCHASE!$D$6:$D$10008,$C$5:$C$499)</f>
        <v>0</v>
      </c>
      <c r="K66" s="60">
        <f>SUMIFS(PURCHASE!$L$6:$L$10008,PURCHASE!$A$6:$A$10008,$I$3,PURCHASE!$D$6:$D$10008,$C$5:$C$499)</f>
        <v>0</v>
      </c>
      <c r="L66" s="60">
        <f>SUMIFS(PURCHASE!$M$6:$M$10008,PURCHASE!$A$6:$A$10008,$I$3,PURCHASE!$D$6:$D$10008,$C$5:$C$499)</f>
        <v>0</v>
      </c>
      <c r="M66" s="474">
        <f>SUMIFS(PURCHASE!$N$6:$N$10008,PURCHASE!$A$6:$A$10008,$I$3,PURCHASE!$D$6:$D$10008,$C$5:$C$499)</f>
        <v>0</v>
      </c>
      <c r="N66" s="11">
        <f t="shared" si="7"/>
        <v>0</v>
      </c>
      <c r="O66" s="11">
        <f>SUMIFS(PURCHASE!$K$6:$K$10008,PURCHASE!$A$6:$A$10008,$N$3,PURCHASE!$D$6:$D$10008,$C$5:$C$499)</f>
        <v>0</v>
      </c>
      <c r="P66" s="11">
        <f>SUMIFS(PURCHASE!$L$6:$L$10008,PURCHASE!$A$6:$A$10008,$N$3,PURCHASE!$D$6:$D$10008,$C$5:$C$499)</f>
        <v>0</v>
      </c>
      <c r="Q66" s="11">
        <f>SUMIFS(PURCHASE!$M$6:$M$10008,PURCHASE!$A$6:$A$10008,$N$3,PURCHASE!$D$6:$D$10008,$C$5:$C$499)</f>
        <v>0</v>
      </c>
      <c r="R66" s="11">
        <f>SUMIFS(PURCHASE!$N$6:$N$10008,PURCHASE!$A$6:$A$10008,$N$3,PURCHASE!$D$6:$D$10008,$C$5:$C$499)</f>
        <v>0</v>
      </c>
      <c r="S66" s="11">
        <f t="shared" si="8"/>
        <v>0</v>
      </c>
      <c r="T66" s="11">
        <f>SUMIFS(PURCHASE!$K$6:$K$10008,PURCHASE!$A$6:$A$10008,$S$3,PURCHASE!$D$6:$D$10008,$C$5:$C$499)</f>
        <v>0</v>
      </c>
      <c r="U66" s="11">
        <f>SUMIFS(PURCHASE!$L$6:$L$10008,PURCHASE!$A$6:$A$10008,$S$3,PURCHASE!$D$6:$D$10008,$C$5:$C$499)</f>
        <v>0</v>
      </c>
      <c r="V66" s="11">
        <f>SUMIFS(PURCHASE!$M$6:$M$10008,PURCHASE!$A$6:$A$10008,$S$3,PURCHASE!$D$6:$D$10008,$C$5:$C$499)</f>
        <v>0</v>
      </c>
      <c r="W66" s="11">
        <f>SUMIFS(PURCHASE!$N$6:$N$10008,PURCHASE!$A$6:$A$10008,$S$3,PURCHASE!$D$6:$D$10008,$C$5:$C$499)</f>
        <v>0</v>
      </c>
      <c r="X66" s="11">
        <f t="shared" si="9"/>
        <v>0</v>
      </c>
      <c r="Y66" s="11">
        <f>SUMIFS(PURCHASE!$K$6:$K$10008,PURCHASE!$A$6:$A$10008,$X$3,PURCHASE!$D$6:$D$10008,$C$5:$C$499)</f>
        <v>0</v>
      </c>
      <c r="Z66" s="11">
        <f>SUMIFS(PURCHASE!$L$6:$L$10008,PURCHASE!$A$6:$A$10008,$X$3,PURCHASE!$D$6:$D$10008,$C$5:$C$499)</f>
        <v>0</v>
      </c>
      <c r="AA66" s="11">
        <f>SUMIFS(PURCHASE!$M$6:$M$10008,PURCHASE!$A$6:$A$10008,$X$3,PURCHASE!$D$6:$D$10008,$C$5:$C$499)</f>
        <v>0</v>
      </c>
      <c r="AB66" s="11">
        <f>SUMIFS(PURCHASE!$N$6:$N$10008,PURCHASE!$A$6:$A$10008,$X$3,PURCHASE!$D$6:$D$10008,$C$5:$C$499)</f>
        <v>0</v>
      </c>
      <c r="AC66" s="11">
        <f t="shared" si="10"/>
        <v>0</v>
      </c>
      <c r="AD66" s="11">
        <f>SUMIFS(PURCHASE!$K$6:$K$10008,PURCHASE!$A$6:$A$10008,$AC$3,PURCHASE!$D$6:$D$10008,$C$5:$C$499)</f>
        <v>0</v>
      </c>
      <c r="AE66" s="11">
        <f>SUMIFS(PURCHASE!$L$6:$L$10008,PURCHASE!$A$6:$A$10008,$AC$3,PURCHASE!$D$6:$D$10008,$C$5:$C$499)</f>
        <v>0</v>
      </c>
      <c r="AF66" s="11">
        <f>SUMIFS(PURCHASE!$M$6:$M$10008,PURCHASE!$A$6:$A$10008,$AC$3,PURCHASE!$D$6:$D$10008,$C$5:$C$499)</f>
        <v>0</v>
      </c>
      <c r="AG66" s="11">
        <f>SUMIFS(PURCHASE!$N$6:$N$10008,PURCHASE!$A$6:$A$10008,$AC$3,PURCHASE!$D$6:$D$10008,$C$5:$C$499)</f>
        <v>0</v>
      </c>
      <c r="AH66" s="11">
        <f t="shared" si="11"/>
        <v>0</v>
      </c>
      <c r="AI66" s="11">
        <f>SUMIFS(PURCHASE!$K$6:$K$10008,PURCHASE!$A$6:$A$10008,$AH$3,PURCHASE!$D$6:$D$10008,$C$5:$C$499)</f>
        <v>0</v>
      </c>
      <c r="AJ66" s="11">
        <f>SUMIFS(PURCHASE!$L$6:$L$10008,PURCHASE!$A$6:$A$10008,$AH$3,PURCHASE!$D$6:$D$10008,$C$5:$C$499)</f>
        <v>0</v>
      </c>
      <c r="AK66" s="11">
        <f>SUMIFS(PURCHASE!$M$6:$M$10008,PURCHASE!$A$6:$A$10008,$AH$3,PURCHASE!$D$6:$D$10008,$C$5:$C$499)</f>
        <v>0</v>
      </c>
      <c r="AL66" s="11">
        <f>SUMIFS(PURCHASE!$N$6:$N$10008,PURCHASE!$A$6:$A$10008,$AH$3,PURCHASE!$D$6:$D$10008,$C$5:$C$499)</f>
        <v>0</v>
      </c>
      <c r="AM66" s="11">
        <f t="shared" si="12"/>
        <v>0</v>
      </c>
      <c r="AN66" s="11">
        <f>SUMIFS(PURCHASE!$K$6:$K$10008,PURCHASE!$A$6:$A$10008,$AM$3,PURCHASE!$D$6:$D$10008,$C$5:$C$499)</f>
        <v>0</v>
      </c>
      <c r="AO66" s="11">
        <f>SUMIFS(PURCHASE!$L$6:$L$10008,PURCHASE!$A$6:$A$10008,$AM$3,PURCHASE!$D$6:$D$10008,$C$5:$C$499)</f>
        <v>0</v>
      </c>
      <c r="AP66" s="11">
        <f>SUMIFS(PURCHASE!$M$6:$M$10008,PURCHASE!$A$6:$A$10008,$AM$3,PURCHASE!$D$6:$D$10008,$C$5:$C$499)</f>
        <v>0</v>
      </c>
      <c r="AQ66" s="11">
        <f>SUMIFS(PURCHASE!$N$6:$N$10008,PURCHASE!$A$6:$A$10008,$AM$3,PURCHASE!$D$6:$D$10008,$C$5:$C$499)</f>
        <v>0</v>
      </c>
      <c r="AR66" s="11">
        <f t="shared" si="13"/>
        <v>0</v>
      </c>
      <c r="AS66" s="11">
        <f>SUMIFS(PURCHASE!$K$6:$K$10008,PURCHASE!$A$6:$A$10008,$AR$3,PURCHASE!$D$6:$D$10008,$C$5:$C$499)</f>
        <v>0</v>
      </c>
      <c r="AT66" s="11">
        <f>SUMIFS(PURCHASE!$L$6:$L$10008,PURCHASE!$A$6:$A$10008,$AR$3,PURCHASE!$D$6:$D$10008,$C$5:$C$499)</f>
        <v>0</v>
      </c>
      <c r="AU66" s="11">
        <f>SUMIFS(PURCHASE!$M$6:$M$10008,PURCHASE!$A$6:$A$10008,$AR$3,PURCHASE!$D$6:$D$10008,$C$5:$C$499)</f>
        <v>0</v>
      </c>
      <c r="AV66" s="11">
        <f>SUMIFS(PURCHASE!$N$6:$N$10008,PURCHASE!$A$6:$A$10008,$AR$3,PURCHASE!$D$6:$D$10008,$C$5:$C$499)</f>
        <v>0</v>
      </c>
      <c r="AW66" s="11">
        <f t="shared" si="14"/>
        <v>0</v>
      </c>
      <c r="AX66" s="11">
        <f>SUMIFS(PURCHASE!$K$6:$K$10008,PURCHASE!$A$6:$A$10008,$AW$3,PURCHASE!$D$6:$D$10008,$C$5:$C$499)</f>
        <v>0</v>
      </c>
      <c r="AY66" s="11">
        <f>SUMIFS(PURCHASE!$L$6:$L$10008,PURCHASE!$A$6:$A$10008,$AW$3,PURCHASE!$D$6:$D$10008,$C$5:$C$499)</f>
        <v>0</v>
      </c>
      <c r="AZ66" s="11">
        <f>SUMIFS(PURCHASE!$M$6:$M$10008,PURCHASE!$A$6:$A$10008,$AW$3,PURCHASE!$D$6:$D$10008,$C$5:$C$499)</f>
        <v>0</v>
      </c>
      <c r="BA66" s="11">
        <f>SUMIFS(PURCHASE!$N$6:$N$10008,PURCHASE!$A$6:$A$10008,$AW$3,PURCHASE!$D$6:$D$10008,$C$5:$C$499)</f>
        <v>0</v>
      </c>
      <c r="BB66" s="11">
        <f t="shared" si="15"/>
        <v>0</v>
      </c>
      <c r="BC66" s="11">
        <f>SUMIFS(PURCHASE!$K$6:$K$10008,PURCHASE!$A$6:$A$10008,$BB$3,PURCHASE!$D$6:$D$10008,$C$5:$C$499)</f>
        <v>0</v>
      </c>
      <c r="BD66" s="11">
        <f>SUMIFS(PURCHASE!$L$6:$L$10008,PURCHASE!$A$6:$A$10008,$BB$3,PURCHASE!$D$6:$D$10008,$C$5:$C$499)</f>
        <v>0</v>
      </c>
      <c r="BE66" s="11">
        <f>SUMIFS(PURCHASE!$M$6:$M$10008,PURCHASE!$A$6:$A$10008,$BB$3,PURCHASE!$D$6:$D$10008,$C$5:$C$499)</f>
        <v>0</v>
      </c>
      <c r="BF66" s="11">
        <f>SUMIFS(PURCHASE!$N$6:$N$10008,PURCHASE!$A$6:$A$10008,$BB$3,PURCHASE!$D$6:$D$10008,$C$5:$C$499)</f>
        <v>0</v>
      </c>
      <c r="BG66" s="11">
        <f t="shared" si="16"/>
        <v>0</v>
      </c>
      <c r="BH66" s="11">
        <f>SUMIFS(PURCHASE!$K$6:$K$10008,PURCHASE!$A$6:$A$10008,$BG$3,PURCHASE!$D$6:$D$10008,$C$5:$C$499)</f>
        <v>0</v>
      </c>
      <c r="BI66" s="11">
        <f>SUMIFS(PURCHASE!$L$6:$L$10008,PURCHASE!$A$6:$A$10008,$BG$3,PURCHASE!$D$6:$D$10008,$C$5:$C$499)</f>
        <v>0</v>
      </c>
      <c r="BJ66" s="11">
        <f>SUMIFS(PURCHASE!$M$6:$M$10008,PURCHASE!$A$6:$A$10008,$BG$3,PURCHASE!$D$6:$D$10008,$C$5:$C$499)</f>
        <v>0</v>
      </c>
      <c r="BK66" s="11">
        <f>SUMIFS(PURCHASE!$N$6:$N$10008,PURCHASE!$A$6:$A$10008,$BG$3,PURCHASE!$D$6:$D$10008,$C$5:$C$499)</f>
        <v>0</v>
      </c>
      <c r="BL66" s="11">
        <f t="shared" si="4"/>
        <v>0</v>
      </c>
      <c r="BM66" s="11">
        <f t="shared" si="4"/>
        <v>0</v>
      </c>
      <c r="BN66" s="11">
        <f t="shared" si="4"/>
        <v>0</v>
      </c>
      <c r="BO66" s="11">
        <f t="shared" si="4"/>
        <v>0</v>
      </c>
      <c r="BP66" s="11">
        <f t="shared" si="4"/>
        <v>0</v>
      </c>
    </row>
    <row r="67" spans="1:68" x14ac:dyDescent="0.2">
      <c r="A67" s="467">
        <v>63</v>
      </c>
      <c r="B67" s="468" t="s">
        <v>487</v>
      </c>
      <c r="C67" s="469" t="s">
        <v>488</v>
      </c>
      <c r="D67" s="11">
        <f t="shared" si="5"/>
        <v>9440</v>
      </c>
      <c r="E67" s="11">
        <f>SUMIFS(PURCHASE!$K$6:$K$10008,PURCHASE!$A$6:$A$10008,$D$3,PURCHASE!$D$6:$D$10008,$C$5:$C$499)</f>
        <v>8000</v>
      </c>
      <c r="F67" s="11">
        <f>SUMIFS(PURCHASE!$L$6:$L$10008,PURCHASE!$A$6:$A$10008,$D$3,PURCHASE!$D$6:$D$10008,$C$5:$C$499)</f>
        <v>0</v>
      </c>
      <c r="G67" s="11">
        <f>SUMIFS(PURCHASE!$M$6:$M$10008,PURCHASE!$A$6:$A$10008,$D$3,PURCHASE!$D$6:$D$10008,$C$5:$C$499)</f>
        <v>720</v>
      </c>
      <c r="H67" s="11">
        <f>SUMIFS(PURCHASE!$N$6:$N$10008,PURCHASE!$A$6:$A$10008,$D$3,PURCHASE!$D$6:$D$10008,$C$5:$C$499)</f>
        <v>720</v>
      </c>
      <c r="I67" s="473">
        <f t="shared" si="6"/>
        <v>0</v>
      </c>
      <c r="J67" s="60">
        <f>SUMIFS(PURCHASE!$K$6:$K$10008,PURCHASE!$A$6:$A$10008,$I$3,PURCHASE!$D$6:$D$10008,$C$5:$C$499)</f>
        <v>0</v>
      </c>
      <c r="K67" s="60">
        <f>SUMIFS(PURCHASE!$L$6:$L$10008,PURCHASE!$A$6:$A$10008,$I$3,PURCHASE!$D$6:$D$10008,$C$5:$C$499)</f>
        <v>0</v>
      </c>
      <c r="L67" s="60">
        <f>SUMIFS(PURCHASE!$M$6:$M$10008,PURCHASE!$A$6:$A$10008,$I$3,PURCHASE!$D$6:$D$10008,$C$5:$C$499)</f>
        <v>0</v>
      </c>
      <c r="M67" s="474">
        <f>SUMIFS(PURCHASE!$N$6:$N$10008,PURCHASE!$A$6:$A$10008,$I$3,PURCHASE!$D$6:$D$10008,$C$5:$C$499)</f>
        <v>0</v>
      </c>
      <c r="N67" s="11">
        <f t="shared" si="7"/>
        <v>9440</v>
      </c>
      <c r="O67" s="11">
        <f>SUMIFS(PURCHASE!$K$6:$K$10008,PURCHASE!$A$6:$A$10008,$N$3,PURCHASE!$D$6:$D$10008,$C$5:$C$499)</f>
        <v>8000</v>
      </c>
      <c r="P67" s="11">
        <f>SUMIFS(PURCHASE!$L$6:$L$10008,PURCHASE!$A$6:$A$10008,$N$3,PURCHASE!$D$6:$D$10008,$C$5:$C$499)</f>
        <v>0</v>
      </c>
      <c r="Q67" s="11">
        <f>SUMIFS(PURCHASE!$M$6:$M$10008,PURCHASE!$A$6:$A$10008,$N$3,PURCHASE!$D$6:$D$10008,$C$5:$C$499)</f>
        <v>720</v>
      </c>
      <c r="R67" s="11">
        <f>SUMIFS(PURCHASE!$N$6:$N$10008,PURCHASE!$A$6:$A$10008,$N$3,PURCHASE!$D$6:$D$10008,$C$5:$C$499)</f>
        <v>720</v>
      </c>
      <c r="S67" s="11">
        <f t="shared" si="8"/>
        <v>0</v>
      </c>
      <c r="T67" s="11">
        <f>SUMIFS(PURCHASE!$K$6:$K$10008,PURCHASE!$A$6:$A$10008,$S$3,PURCHASE!$D$6:$D$10008,$C$5:$C$499)</f>
        <v>0</v>
      </c>
      <c r="U67" s="11">
        <f>SUMIFS(PURCHASE!$L$6:$L$10008,PURCHASE!$A$6:$A$10008,$S$3,PURCHASE!$D$6:$D$10008,$C$5:$C$499)</f>
        <v>0</v>
      </c>
      <c r="V67" s="11">
        <f>SUMIFS(PURCHASE!$M$6:$M$10008,PURCHASE!$A$6:$A$10008,$S$3,PURCHASE!$D$6:$D$10008,$C$5:$C$499)</f>
        <v>0</v>
      </c>
      <c r="W67" s="11">
        <f>SUMIFS(PURCHASE!$N$6:$N$10008,PURCHASE!$A$6:$A$10008,$S$3,PURCHASE!$D$6:$D$10008,$C$5:$C$499)</f>
        <v>0</v>
      </c>
      <c r="X67" s="11">
        <f t="shared" si="9"/>
        <v>0</v>
      </c>
      <c r="Y67" s="11">
        <f>SUMIFS(PURCHASE!$K$6:$K$10008,PURCHASE!$A$6:$A$10008,$X$3,PURCHASE!$D$6:$D$10008,$C$5:$C$499)</f>
        <v>0</v>
      </c>
      <c r="Z67" s="11">
        <f>SUMIFS(PURCHASE!$L$6:$L$10008,PURCHASE!$A$6:$A$10008,$X$3,PURCHASE!$D$6:$D$10008,$C$5:$C$499)</f>
        <v>0</v>
      </c>
      <c r="AA67" s="11">
        <f>SUMIFS(PURCHASE!$M$6:$M$10008,PURCHASE!$A$6:$A$10008,$X$3,PURCHASE!$D$6:$D$10008,$C$5:$C$499)</f>
        <v>0</v>
      </c>
      <c r="AB67" s="11">
        <f>SUMIFS(PURCHASE!$N$6:$N$10008,PURCHASE!$A$6:$A$10008,$X$3,PURCHASE!$D$6:$D$10008,$C$5:$C$499)</f>
        <v>0</v>
      </c>
      <c r="AC67" s="11">
        <f t="shared" si="10"/>
        <v>0</v>
      </c>
      <c r="AD67" s="11">
        <f>SUMIFS(PURCHASE!$K$6:$K$10008,PURCHASE!$A$6:$A$10008,$AC$3,PURCHASE!$D$6:$D$10008,$C$5:$C$499)</f>
        <v>0</v>
      </c>
      <c r="AE67" s="11">
        <f>SUMIFS(PURCHASE!$L$6:$L$10008,PURCHASE!$A$6:$A$10008,$AC$3,PURCHASE!$D$6:$D$10008,$C$5:$C$499)</f>
        <v>0</v>
      </c>
      <c r="AF67" s="11">
        <f>SUMIFS(PURCHASE!$M$6:$M$10008,PURCHASE!$A$6:$A$10008,$AC$3,PURCHASE!$D$6:$D$10008,$C$5:$C$499)</f>
        <v>0</v>
      </c>
      <c r="AG67" s="11">
        <f>SUMIFS(PURCHASE!$N$6:$N$10008,PURCHASE!$A$6:$A$10008,$AC$3,PURCHASE!$D$6:$D$10008,$C$5:$C$499)</f>
        <v>0</v>
      </c>
      <c r="AH67" s="11">
        <f t="shared" si="11"/>
        <v>9440</v>
      </c>
      <c r="AI67" s="11">
        <f>SUMIFS(PURCHASE!$K$6:$K$10008,PURCHASE!$A$6:$A$10008,$AH$3,PURCHASE!$D$6:$D$10008,$C$5:$C$499)</f>
        <v>8000</v>
      </c>
      <c r="AJ67" s="11">
        <f>SUMIFS(PURCHASE!$L$6:$L$10008,PURCHASE!$A$6:$A$10008,$AH$3,PURCHASE!$D$6:$D$10008,$C$5:$C$499)</f>
        <v>0</v>
      </c>
      <c r="AK67" s="11">
        <f>SUMIFS(PURCHASE!$M$6:$M$10008,PURCHASE!$A$6:$A$10008,$AH$3,PURCHASE!$D$6:$D$10008,$C$5:$C$499)</f>
        <v>720</v>
      </c>
      <c r="AL67" s="11">
        <f>SUMIFS(PURCHASE!$N$6:$N$10008,PURCHASE!$A$6:$A$10008,$AH$3,PURCHASE!$D$6:$D$10008,$C$5:$C$499)</f>
        <v>720</v>
      </c>
      <c r="AM67" s="11">
        <f t="shared" si="12"/>
        <v>0</v>
      </c>
      <c r="AN67" s="11">
        <f>SUMIFS(PURCHASE!$K$6:$K$10008,PURCHASE!$A$6:$A$10008,$AM$3,PURCHASE!$D$6:$D$10008,$C$5:$C$499)</f>
        <v>0</v>
      </c>
      <c r="AO67" s="11">
        <f>SUMIFS(PURCHASE!$L$6:$L$10008,PURCHASE!$A$6:$A$10008,$AM$3,PURCHASE!$D$6:$D$10008,$C$5:$C$499)</f>
        <v>0</v>
      </c>
      <c r="AP67" s="11">
        <f>SUMIFS(PURCHASE!$M$6:$M$10008,PURCHASE!$A$6:$A$10008,$AM$3,PURCHASE!$D$6:$D$10008,$C$5:$C$499)</f>
        <v>0</v>
      </c>
      <c r="AQ67" s="11">
        <f>SUMIFS(PURCHASE!$N$6:$N$10008,PURCHASE!$A$6:$A$10008,$AM$3,PURCHASE!$D$6:$D$10008,$C$5:$C$499)</f>
        <v>0</v>
      </c>
      <c r="AR67" s="11">
        <f t="shared" si="13"/>
        <v>0</v>
      </c>
      <c r="AS67" s="11">
        <f>SUMIFS(PURCHASE!$K$6:$K$10008,PURCHASE!$A$6:$A$10008,$AR$3,PURCHASE!$D$6:$D$10008,$C$5:$C$499)</f>
        <v>0</v>
      </c>
      <c r="AT67" s="11">
        <f>SUMIFS(PURCHASE!$L$6:$L$10008,PURCHASE!$A$6:$A$10008,$AR$3,PURCHASE!$D$6:$D$10008,$C$5:$C$499)</f>
        <v>0</v>
      </c>
      <c r="AU67" s="11">
        <f>SUMIFS(PURCHASE!$M$6:$M$10008,PURCHASE!$A$6:$A$10008,$AR$3,PURCHASE!$D$6:$D$10008,$C$5:$C$499)</f>
        <v>0</v>
      </c>
      <c r="AV67" s="11">
        <f>SUMIFS(PURCHASE!$N$6:$N$10008,PURCHASE!$A$6:$A$10008,$AR$3,PURCHASE!$D$6:$D$10008,$C$5:$C$499)</f>
        <v>0</v>
      </c>
      <c r="AW67" s="11">
        <f t="shared" si="14"/>
        <v>0</v>
      </c>
      <c r="AX67" s="11">
        <f>SUMIFS(PURCHASE!$K$6:$K$10008,PURCHASE!$A$6:$A$10008,$AW$3,PURCHASE!$D$6:$D$10008,$C$5:$C$499)</f>
        <v>0</v>
      </c>
      <c r="AY67" s="11">
        <f>SUMIFS(PURCHASE!$L$6:$L$10008,PURCHASE!$A$6:$A$10008,$AW$3,PURCHASE!$D$6:$D$10008,$C$5:$C$499)</f>
        <v>0</v>
      </c>
      <c r="AZ67" s="11">
        <f>SUMIFS(PURCHASE!$M$6:$M$10008,PURCHASE!$A$6:$A$10008,$AW$3,PURCHASE!$D$6:$D$10008,$C$5:$C$499)</f>
        <v>0</v>
      </c>
      <c r="BA67" s="11">
        <f>SUMIFS(PURCHASE!$N$6:$N$10008,PURCHASE!$A$6:$A$10008,$AW$3,PURCHASE!$D$6:$D$10008,$C$5:$C$499)</f>
        <v>0</v>
      </c>
      <c r="BB67" s="11">
        <f t="shared" si="15"/>
        <v>0</v>
      </c>
      <c r="BC67" s="11">
        <f>SUMIFS(PURCHASE!$K$6:$K$10008,PURCHASE!$A$6:$A$10008,$BB$3,PURCHASE!$D$6:$D$10008,$C$5:$C$499)</f>
        <v>0</v>
      </c>
      <c r="BD67" s="11">
        <f>SUMIFS(PURCHASE!$L$6:$L$10008,PURCHASE!$A$6:$A$10008,$BB$3,PURCHASE!$D$6:$D$10008,$C$5:$C$499)</f>
        <v>0</v>
      </c>
      <c r="BE67" s="11">
        <f>SUMIFS(PURCHASE!$M$6:$M$10008,PURCHASE!$A$6:$A$10008,$BB$3,PURCHASE!$D$6:$D$10008,$C$5:$C$499)</f>
        <v>0</v>
      </c>
      <c r="BF67" s="11">
        <f>SUMIFS(PURCHASE!$N$6:$N$10008,PURCHASE!$A$6:$A$10008,$BB$3,PURCHASE!$D$6:$D$10008,$C$5:$C$499)</f>
        <v>0</v>
      </c>
      <c r="BG67" s="11">
        <f t="shared" si="16"/>
        <v>0</v>
      </c>
      <c r="BH67" s="11">
        <f>SUMIFS(PURCHASE!$K$6:$K$10008,PURCHASE!$A$6:$A$10008,$BG$3,PURCHASE!$D$6:$D$10008,$C$5:$C$499)</f>
        <v>0</v>
      </c>
      <c r="BI67" s="11">
        <f>SUMIFS(PURCHASE!$L$6:$L$10008,PURCHASE!$A$6:$A$10008,$BG$3,PURCHASE!$D$6:$D$10008,$C$5:$C$499)</f>
        <v>0</v>
      </c>
      <c r="BJ67" s="11">
        <f>SUMIFS(PURCHASE!$M$6:$M$10008,PURCHASE!$A$6:$A$10008,$BG$3,PURCHASE!$D$6:$D$10008,$C$5:$C$499)</f>
        <v>0</v>
      </c>
      <c r="BK67" s="11">
        <f>SUMIFS(PURCHASE!$N$6:$N$10008,PURCHASE!$A$6:$A$10008,$BG$3,PURCHASE!$D$6:$D$10008,$C$5:$C$499)</f>
        <v>0</v>
      </c>
      <c r="BL67" s="11">
        <f t="shared" si="4"/>
        <v>28320</v>
      </c>
      <c r="BM67" s="11">
        <f t="shared" si="4"/>
        <v>24000</v>
      </c>
      <c r="BN67" s="11">
        <f t="shared" si="4"/>
        <v>0</v>
      </c>
      <c r="BO67" s="11">
        <f t="shared" si="4"/>
        <v>2160</v>
      </c>
      <c r="BP67" s="11">
        <f t="shared" si="4"/>
        <v>2160</v>
      </c>
    </row>
    <row r="68" spans="1:68" x14ac:dyDescent="0.2">
      <c r="A68" s="467">
        <v>64</v>
      </c>
      <c r="B68" s="468" t="s">
        <v>613</v>
      </c>
      <c r="C68" s="469" t="s">
        <v>614</v>
      </c>
      <c r="D68" s="11">
        <f t="shared" si="5"/>
        <v>0</v>
      </c>
      <c r="E68" s="11">
        <f>SUMIFS(PURCHASE!$K$6:$K$10008,PURCHASE!$A$6:$A$10008,$D$3,PURCHASE!$D$6:$D$10008,$C$5:$C$499)</f>
        <v>0</v>
      </c>
      <c r="F68" s="11">
        <f>SUMIFS(PURCHASE!$L$6:$L$10008,PURCHASE!$A$6:$A$10008,$D$3,PURCHASE!$D$6:$D$10008,$C$5:$C$499)</f>
        <v>0</v>
      </c>
      <c r="G68" s="11">
        <f>SUMIFS(PURCHASE!$M$6:$M$10008,PURCHASE!$A$6:$A$10008,$D$3,PURCHASE!$D$6:$D$10008,$C$5:$C$499)</f>
        <v>0</v>
      </c>
      <c r="H68" s="11">
        <f>SUMIFS(PURCHASE!$N$6:$N$10008,PURCHASE!$A$6:$A$10008,$D$3,PURCHASE!$D$6:$D$10008,$C$5:$C$499)</f>
        <v>0</v>
      </c>
      <c r="I68" s="473">
        <f t="shared" si="6"/>
        <v>22302</v>
      </c>
      <c r="J68" s="60">
        <f>SUMIFS(PURCHASE!$K$6:$K$10008,PURCHASE!$A$6:$A$10008,$I$3,PURCHASE!$D$6:$D$10008,$C$5:$C$499)</f>
        <v>18900</v>
      </c>
      <c r="K68" s="60">
        <f>SUMIFS(PURCHASE!$L$6:$L$10008,PURCHASE!$A$6:$A$10008,$I$3,PURCHASE!$D$6:$D$10008,$C$5:$C$499)</f>
        <v>0</v>
      </c>
      <c r="L68" s="60">
        <f>SUMIFS(PURCHASE!$M$6:$M$10008,PURCHASE!$A$6:$A$10008,$I$3,PURCHASE!$D$6:$D$10008,$C$5:$C$499)</f>
        <v>1701</v>
      </c>
      <c r="M68" s="474">
        <f>SUMIFS(PURCHASE!$N$6:$N$10008,PURCHASE!$A$6:$A$10008,$I$3,PURCHASE!$D$6:$D$10008,$C$5:$C$499)</f>
        <v>1701</v>
      </c>
      <c r="N68" s="11">
        <f t="shared" si="7"/>
        <v>0</v>
      </c>
      <c r="O68" s="11">
        <f>SUMIFS(PURCHASE!$K$6:$K$10008,PURCHASE!$A$6:$A$10008,$N$3,PURCHASE!$D$6:$D$10008,$C$5:$C$499)</f>
        <v>0</v>
      </c>
      <c r="P68" s="11">
        <f>SUMIFS(PURCHASE!$L$6:$L$10008,PURCHASE!$A$6:$A$10008,$N$3,PURCHASE!$D$6:$D$10008,$C$5:$C$499)</f>
        <v>0</v>
      </c>
      <c r="Q68" s="11">
        <f>SUMIFS(PURCHASE!$M$6:$M$10008,PURCHASE!$A$6:$A$10008,$N$3,PURCHASE!$D$6:$D$10008,$C$5:$C$499)</f>
        <v>0</v>
      </c>
      <c r="R68" s="11">
        <f>SUMIFS(PURCHASE!$N$6:$N$10008,PURCHASE!$A$6:$A$10008,$N$3,PURCHASE!$D$6:$D$10008,$C$5:$C$499)</f>
        <v>0</v>
      </c>
      <c r="S68" s="11">
        <f t="shared" si="8"/>
        <v>37170</v>
      </c>
      <c r="T68" s="11">
        <f>SUMIFS(PURCHASE!$K$6:$K$10008,PURCHASE!$A$6:$A$10008,$S$3,PURCHASE!$D$6:$D$10008,$C$5:$C$499)</f>
        <v>31500</v>
      </c>
      <c r="U68" s="11">
        <f>SUMIFS(PURCHASE!$L$6:$L$10008,PURCHASE!$A$6:$A$10008,$S$3,PURCHASE!$D$6:$D$10008,$C$5:$C$499)</f>
        <v>0</v>
      </c>
      <c r="V68" s="11">
        <f>SUMIFS(PURCHASE!$M$6:$M$10008,PURCHASE!$A$6:$A$10008,$S$3,PURCHASE!$D$6:$D$10008,$C$5:$C$499)</f>
        <v>2835</v>
      </c>
      <c r="W68" s="11">
        <f>SUMIFS(PURCHASE!$N$6:$N$10008,PURCHASE!$A$6:$A$10008,$S$3,PURCHASE!$D$6:$D$10008,$C$5:$C$499)</f>
        <v>2835</v>
      </c>
      <c r="X68" s="11">
        <f t="shared" si="9"/>
        <v>0</v>
      </c>
      <c r="Y68" s="11">
        <f>SUMIFS(PURCHASE!$K$6:$K$10008,PURCHASE!$A$6:$A$10008,$X$3,PURCHASE!$D$6:$D$10008,$C$5:$C$499)</f>
        <v>0</v>
      </c>
      <c r="Z68" s="11">
        <f>SUMIFS(PURCHASE!$L$6:$L$10008,PURCHASE!$A$6:$A$10008,$X$3,PURCHASE!$D$6:$D$10008,$C$5:$C$499)</f>
        <v>0</v>
      </c>
      <c r="AA68" s="11">
        <f>SUMIFS(PURCHASE!$M$6:$M$10008,PURCHASE!$A$6:$A$10008,$X$3,PURCHASE!$D$6:$D$10008,$C$5:$C$499)</f>
        <v>0</v>
      </c>
      <c r="AB68" s="11">
        <f>SUMIFS(PURCHASE!$N$6:$N$10008,PURCHASE!$A$6:$A$10008,$X$3,PURCHASE!$D$6:$D$10008,$C$5:$C$499)</f>
        <v>0</v>
      </c>
      <c r="AC68" s="11">
        <f t="shared" si="10"/>
        <v>0</v>
      </c>
      <c r="AD68" s="11">
        <f>SUMIFS(PURCHASE!$K$6:$K$10008,PURCHASE!$A$6:$A$10008,$AC$3,PURCHASE!$D$6:$D$10008,$C$5:$C$499)</f>
        <v>0</v>
      </c>
      <c r="AE68" s="11">
        <f>SUMIFS(PURCHASE!$L$6:$L$10008,PURCHASE!$A$6:$A$10008,$AC$3,PURCHASE!$D$6:$D$10008,$C$5:$C$499)</f>
        <v>0</v>
      </c>
      <c r="AF68" s="11">
        <f>SUMIFS(PURCHASE!$M$6:$M$10008,PURCHASE!$A$6:$A$10008,$AC$3,PURCHASE!$D$6:$D$10008,$C$5:$C$499)</f>
        <v>0</v>
      </c>
      <c r="AG68" s="11">
        <f>SUMIFS(PURCHASE!$N$6:$N$10008,PURCHASE!$A$6:$A$10008,$AC$3,PURCHASE!$D$6:$D$10008,$C$5:$C$499)</f>
        <v>0</v>
      </c>
      <c r="AH68" s="11">
        <f t="shared" si="11"/>
        <v>0</v>
      </c>
      <c r="AI68" s="11">
        <f>SUMIFS(PURCHASE!$K$6:$K$10008,PURCHASE!$A$6:$A$10008,$AH$3,PURCHASE!$D$6:$D$10008,$C$5:$C$499)</f>
        <v>0</v>
      </c>
      <c r="AJ68" s="11">
        <f>SUMIFS(PURCHASE!$L$6:$L$10008,PURCHASE!$A$6:$A$10008,$AH$3,PURCHASE!$D$6:$D$10008,$C$5:$C$499)</f>
        <v>0</v>
      </c>
      <c r="AK68" s="11">
        <f>SUMIFS(PURCHASE!$M$6:$M$10008,PURCHASE!$A$6:$A$10008,$AH$3,PURCHASE!$D$6:$D$10008,$C$5:$C$499)</f>
        <v>0</v>
      </c>
      <c r="AL68" s="11">
        <f>SUMIFS(PURCHASE!$N$6:$N$10008,PURCHASE!$A$6:$A$10008,$AH$3,PURCHASE!$D$6:$D$10008,$C$5:$C$499)</f>
        <v>0</v>
      </c>
      <c r="AM68" s="11">
        <f t="shared" si="12"/>
        <v>0</v>
      </c>
      <c r="AN68" s="11">
        <f>SUMIFS(PURCHASE!$K$6:$K$10008,PURCHASE!$A$6:$A$10008,$AM$3,PURCHASE!$D$6:$D$10008,$C$5:$C$499)</f>
        <v>0</v>
      </c>
      <c r="AO68" s="11">
        <f>SUMIFS(PURCHASE!$L$6:$L$10008,PURCHASE!$A$6:$A$10008,$AM$3,PURCHASE!$D$6:$D$10008,$C$5:$C$499)</f>
        <v>0</v>
      </c>
      <c r="AP68" s="11">
        <f>SUMIFS(PURCHASE!$M$6:$M$10008,PURCHASE!$A$6:$A$10008,$AM$3,PURCHASE!$D$6:$D$10008,$C$5:$C$499)</f>
        <v>0</v>
      </c>
      <c r="AQ68" s="11">
        <f>SUMIFS(PURCHASE!$N$6:$N$10008,PURCHASE!$A$6:$A$10008,$AM$3,PURCHASE!$D$6:$D$10008,$C$5:$C$499)</f>
        <v>0</v>
      </c>
      <c r="AR68" s="11">
        <f t="shared" si="13"/>
        <v>0</v>
      </c>
      <c r="AS68" s="11">
        <f>SUMIFS(PURCHASE!$K$6:$K$10008,PURCHASE!$A$6:$A$10008,$AR$3,PURCHASE!$D$6:$D$10008,$C$5:$C$499)</f>
        <v>0</v>
      </c>
      <c r="AT68" s="11">
        <f>SUMIFS(PURCHASE!$L$6:$L$10008,PURCHASE!$A$6:$A$10008,$AR$3,PURCHASE!$D$6:$D$10008,$C$5:$C$499)</f>
        <v>0</v>
      </c>
      <c r="AU68" s="11">
        <f>SUMIFS(PURCHASE!$M$6:$M$10008,PURCHASE!$A$6:$A$10008,$AR$3,PURCHASE!$D$6:$D$10008,$C$5:$C$499)</f>
        <v>0</v>
      </c>
      <c r="AV68" s="11">
        <f>SUMIFS(PURCHASE!$N$6:$N$10008,PURCHASE!$A$6:$A$10008,$AR$3,PURCHASE!$D$6:$D$10008,$C$5:$C$499)</f>
        <v>0</v>
      </c>
      <c r="AW68" s="11">
        <f t="shared" si="14"/>
        <v>0</v>
      </c>
      <c r="AX68" s="11">
        <f>SUMIFS(PURCHASE!$K$6:$K$10008,PURCHASE!$A$6:$A$10008,$AW$3,PURCHASE!$D$6:$D$10008,$C$5:$C$499)</f>
        <v>0</v>
      </c>
      <c r="AY68" s="11">
        <f>SUMIFS(PURCHASE!$L$6:$L$10008,PURCHASE!$A$6:$A$10008,$AW$3,PURCHASE!$D$6:$D$10008,$C$5:$C$499)</f>
        <v>0</v>
      </c>
      <c r="AZ68" s="11">
        <f>SUMIFS(PURCHASE!$M$6:$M$10008,PURCHASE!$A$6:$A$10008,$AW$3,PURCHASE!$D$6:$D$10008,$C$5:$C$499)</f>
        <v>0</v>
      </c>
      <c r="BA68" s="11">
        <f>SUMIFS(PURCHASE!$N$6:$N$10008,PURCHASE!$A$6:$A$10008,$AW$3,PURCHASE!$D$6:$D$10008,$C$5:$C$499)</f>
        <v>0</v>
      </c>
      <c r="BB68" s="11">
        <f t="shared" si="15"/>
        <v>0</v>
      </c>
      <c r="BC68" s="11">
        <f>SUMIFS(PURCHASE!$K$6:$K$10008,PURCHASE!$A$6:$A$10008,$BB$3,PURCHASE!$D$6:$D$10008,$C$5:$C$499)</f>
        <v>0</v>
      </c>
      <c r="BD68" s="11">
        <f>SUMIFS(PURCHASE!$L$6:$L$10008,PURCHASE!$A$6:$A$10008,$BB$3,PURCHASE!$D$6:$D$10008,$C$5:$C$499)</f>
        <v>0</v>
      </c>
      <c r="BE68" s="11">
        <f>SUMIFS(PURCHASE!$M$6:$M$10008,PURCHASE!$A$6:$A$10008,$BB$3,PURCHASE!$D$6:$D$10008,$C$5:$C$499)</f>
        <v>0</v>
      </c>
      <c r="BF68" s="11">
        <f>SUMIFS(PURCHASE!$N$6:$N$10008,PURCHASE!$A$6:$A$10008,$BB$3,PURCHASE!$D$6:$D$10008,$C$5:$C$499)</f>
        <v>0</v>
      </c>
      <c r="BG68" s="11">
        <f t="shared" si="16"/>
        <v>0</v>
      </c>
      <c r="BH68" s="11">
        <f>SUMIFS(PURCHASE!$K$6:$K$10008,PURCHASE!$A$6:$A$10008,$BG$3,PURCHASE!$D$6:$D$10008,$C$5:$C$499)</f>
        <v>0</v>
      </c>
      <c r="BI68" s="11">
        <f>SUMIFS(PURCHASE!$L$6:$L$10008,PURCHASE!$A$6:$A$10008,$BG$3,PURCHASE!$D$6:$D$10008,$C$5:$C$499)</f>
        <v>0</v>
      </c>
      <c r="BJ68" s="11">
        <f>SUMIFS(PURCHASE!$M$6:$M$10008,PURCHASE!$A$6:$A$10008,$BG$3,PURCHASE!$D$6:$D$10008,$C$5:$C$499)</f>
        <v>0</v>
      </c>
      <c r="BK68" s="11">
        <f>SUMIFS(PURCHASE!$N$6:$N$10008,PURCHASE!$A$6:$A$10008,$BG$3,PURCHASE!$D$6:$D$10008,$C$5:$C$499)</f>
        <v>0</v>
      </c>
      <c r="BL68" s="11">
        <f t="shared" si="4"/>
        <v>59472</v>
      </c>
      <c r="BM68" s="11">
        <f t="shared" si="4"/>
        <v>50400</v>
      </c>
      <c r="BN68" s="11">
        <f t="shared" si="4"/>
        <v>0</v>
      </c>
      <c r="BO68" s="11">
        <f t="shared" si="4"/>
        <v>4536</v>
      </c>
      <c r="BP68" s="11">
        <f t="shared" si="4"/>
        <v>4536</v>
      </c>
    </row>
    <row r="69" spans="1:68" x14ac:dyDescent="0.2">
      <c r="A69" s="467">
        <v>65</v>
      </c>
      <c r="B69" s="468" t="s">
        <v>1127</v>
      </c>
      <c r="C69" s="469" t="s">
        <v>1128</v>
      </c>
      <c r="D69" s="11">
        <f t="shared" si="5"/>
        <v>0</v>
      </c>
      <c r="E69" s="11">
        <f>SUMIFS(PURCHASE!$K$6:$K$10008,PURCHASE!$A$6:$A$10008,$D$3,PURCHASE!$D$6:$D$10008,$C$5:$C$499)</f>
        <v>0</v>
      </c>
      <c r="F69" s="11">
        <f>SUMIFS(PURCHASE!$L$6:$L$10008,PURCHASE!$A$6:$A$10008,$D$3,PURCHASE!$D$6:$D$10008,$C$5:$C$499)</f>
        <v>0</v>
      </c>
      <c r="G69" s="11">
        <f>SUMIFS(PURCHASE!$M$6:$M$10008,PURCHASE!$A$6:$A$10008,$D$3,PURCHASE!$D$6:$D$10008,$C$5:$C$499)</f>
        <v>0</v>
      </c>
      <c r="H69" s="11">
        <f>SUMIFS(PURCHASE!$N$6:$N$10008,PURCHASE!$A$6:$A$10008,$D$3,PURCHASE!$D$6:$D$10008,$C$5:$C$499)</f>
        <v>0</v>
      </c>
      <c r="I69" s="473">
        <f t="shared" si="6"/>
        <v>0</v>
      </c>
      <c r="J69" s="60">
        <f>SUMIFS(PURCHASE!$K$6:$K$10008,PURCHASE!$A$6:$A$10008,$I$3,PURCHASE!$D$6:$D$10008,$C$5:$C$499)</f>
        <v>0</v>
      </c>
      <c r="K69" s="60">
        <f>SUMIFS(PURCHASE!$L$6:$L$10008,PURCHASE!$A$6:$A$10008,$I$3,PURCHASE!$D$6:$D$10008,$C$5:$C$499)</f>
        <v>0</v>
      </c>
      <c r="L69" s="60">
        <f>SUMIFS(PURCHASE!$M$6:$M$10008,PURCHASE!$A$6:$A$10008,$I$3,PURCHASE!$D$6:$D$10008,$C$5:$C$499)</f>
        <v>0</v>
      </c>
      <c r="M69" s="474">
        <f>SUMIFS(PURCHASE!$N$6:$N$10008,PURCHASE!$A$6:$A$10008,$I$3,PURCHASE!$D$6:$D$10008,$C$5:$C$499)</f>
        <v>0</v>
      </c>
      <c r="N69" s="11">
        <f t="shared" si="7"/>
        <v>0</v>
      </c>
      <c r="O69" s="11">
        <f>SUMIFS(PURCHASE!$K$6:$K$10008,PURCHASE!$A$6:$A$10008,$N$3,PURCHASE!$D$6:$D$10008,$C$5:$C$499)</f>
        <v>0</v>
      </c>
      <c r="P69" s="11">
        <f>SUMIFS(PURCHASE!$L$6:$L$10008,PURCHASE!$A$6:$A$10008,$N$3,PURCHASE!$D$6:$D$10008,$C$5:$C$499)</f>
        <v>0</v>
      </c>
      <c r="Q69" s="11">
        <f>SUMIFS(PURCHASE!$M$6:$M$10008,PURCHASE!$A$6:$A$10008,$N$3,PURCHASE!$D$6:$D$10008,$C$5:$C$499)</f>
        <v>0</v>
      </c>
      <c r="R69" s="11">
        <f>SUMIFS(PURCHASE!$N$6:$N$10008,PURCHASE!$A$6:$A$10008,$N$3,PURCHASE!$D$6:$D$10008,$C$5:$C$499)</f>
        <v>0</v>
      </c>
      <c r="S69" s="11">
        <f t="shared" si="8"/>
        <v>0</v>
      </c>
      <c r="T69" s="11">
        <f>SUMIFS(PURCHASE!$K$6:$K$10008,PURCHASE!$A$6:$A$10008,$S$3,PURCHASE!$D$6:$D$10008,$C$5:$C$499)</f>
        <v>0</v>
      </c>
      <c r="U69" s="11">
        <f>SUMIFS(PURCHASE!$L$6:$L$10008,PURCHASE!$A$6:$A$10008,$S$3,PURCHASE!$D$6:$D$10008,$C$5:$C$499)</f>
        <v>0</v>
      </c>
      <c r="V69" s="11">
        <f>SUMIFS(PURCHASE!$M$6:$M$10008,PURCHASE!$A$6:$A$10008,$S$3,PURCHASE!$D$6:$D$10008,$C$5:$C$499)</f>
        <v>0</v>
      </c>
      <c r="W69" s="11">
        <f>SUMIFS(PURCHASE!$N$6:$N$10008,PURCHASE!$A$6:$A$10008,$S$3,PURCHASE!$D$6:$D$10008,$C$5:$C$499)</f>
        <v>0</v>
      </c>
      <c r="X69" s="11">
        <f t="shared" si="9"/>
        <v>0</v>
      </c>
      <c r="Y69" s="11">
        <f>SUMIFS(PURCHASE!$K$6:$K$10008,PURCHASE!$A$6:$A$10008,$X$3,PURCHASE!$D$6:$D$10008,$C$5:$C$499)</f>
        <v>0</v>
      </c>
      <c r="Z69" s="11">
        <f>SUMIFS(PURCHASE!$L$6:$L$10008,PURCHASE!$A$6:$A$10008,$X$3,PURCHASE!$D$6:$D$10008,$C$5:$C$499)</f>
        <v>0</v>
      </c>
      <c r="AA69" s="11">
        <f>SUMIFS(PURCHASE!$M$6:$M$10008,PURCHASE!$A$6:$A$10008,$X$3,PURCHASE!$D$6:$D$10008,$C$5:$C$499)</f>
        <v>0</v>
      </c>
      <c r="AB69" s="11">
        <f>SUMIFS(PURCHASE!$N$6:$N$10008,PURCHASE!$A$6:$A$10008,$X$3,PURCHASE!$D$6:$D$10008,$C$5:$C$499)</f>
        <v>0</v>
      </c>
      <c r="AC69" s="11">
        <f t="shared" si="10"/>
        <v>0</v>
      </c>
      <c r="AD69" s="11">
        <f>SUMIFS(PURCHASE!$K$6:$K$10008,PURCHASE!$A$6:$A$10008,$AC$3,PURCHASE!$D$6:$D$10008,$C$5:$C$499)</f>
        <v>0</v>
      </c>
      <c r="AE69" s="11">
        <f>SUMIFS(PURCHASE!$L$6:$L$10008,PURCHASE!$A$6:$A$10008,$AC$3,PURCHASE!$D$6:$D$10008,$C$5:$C$499)</f>
        <v>0</v>
      </c>
      <c r="AF69" s="11">
        <f>SUMIFS(PURCHASE!$M$6:$M$10008,PURCHASE!$A$6:$A$10008,$AC$3,PURCHASE!$D$6:$D$10008,$C$5:$C$499)</f>
        <v>0</v>
      </c>
      <c r="AG69" s="11">
        <f>SUMIFS(PURCHASE!$N$6:$N$10008,PURCHASE!$A$6:$A$10008,$AC$3,PURCHASE!$D$6:$D$10008,$C$5:$C$499)</f>
        <v>0</v>
      </c>
      <c r="AH69" s="11">
        <f t="shared" si="11"/>
        <v>2940.672</v>
      </c>
      <c r="AI69" s="11">
        <f>SUMIFS(PURCHASE!$K$6:$K$10008,PURCHASE!$A$6:$A$10008,$AH$3,PURCHASE!$D$6:$D$10008,$C$5:$C$499)</f>
        <v>2625.6</v>
      </c>
      <c r="AJ69" s="11">
        <f>SUMIFS(PURCHASE!$L$6:$L$10008,PURCHASE!$A$6:$A$10008,$AH$3,PURCHASE!$D$6:$D$10008,$C$5:$C$499)</f>
        <v>0</v>
      </c>
      <c r="AK69" s="11">
        <f>SUMIFS(PURCHASE!$M$6:$M$10008,PURCHASE!$A$6:$A$10008,$AH$3,PURCHASE!$D$6:$D$10008,$C$5:$C$499)</f>
        <v>157.536</v>
      </c>
      <c r="AL69" s="11">
        <f>SUMIFS(PURCHASE!$N$6:$N$10008,PURCHASE!$A$6:$A$10008,$AH$3,PURCHASE!$D$6:$D$10008,$C$5:$C$499)</f>
        <v>157.536</v>
      </c>
      <c r="AM69" s="11">
        <f t="shared" si="12"/>
        <v>0</v>
      </c>
      <c r="AN69" s="11">
        <f>SUMIFS(PURCHASE!$K$6:$K$10008,PURCHASE!$A$6:$A$10008,$AM$3,PURCHASE!$D$6:$D$10008,$C$5:$C$499)</f>
        <v>0</v>
      </c>
      <c r="AO69" s="11">
        <f>SUMIFS(PURCHASE!$L$6:$L$10008,PURCHASE!$A$6:$A$10008,$AM$3,PURCHASE!$D$6:$D$10008,$C$5:$C$499)</f>
        <v>0</v>
      </c>
      <c r="AP69" s="11">
        <f>SUMIFS(PURCHASE!$M$6:$M$10008,PURCHASE!$A$6:$A$10008,$AM$3,PURCHASE!$D$6:$D$10008,$C$5:$C$499)</f>
        <v>0</v>
      </c>
      <c r="AQ69" s="11">
        <f>SUMIFS(PURCHASE!$N$6:$N$10008,PURCHASE!$A$6:$A$10008,$AM$3,PURCHASE!$D$6:$D$10008,$C$5:$C$499)</f>
        <v>0</v>
      </c>
      <c r="AR69" s="11">
        <f t="shared" si="13"/>
        <v>0</v>
      </c>
      <c r="AS69" s="11">
        <f>SUMIFS(PURCHASE!$K$6:$K$10008,PURCHASE!$A$6:$A$10008,$AR$3,PURCHASE!$D$6:$D$10008,$C$5:$C$499)</f>
        <v>0</v>
      </c>
      <c r="AT69" s="11">
        <f>SUMIFS(PURCHASE!$L$6:$L$10008,PURCHASE!$A$6:$A$10008,$AR$3,PURCHASE!$D$6:$D$10008,$C$5:$C$499)</f>
        <v>0</v>
      </c>
      <c r="AU69" s="11">
        <f>SUMIFS(PURCHASE!$M$6:$M$10008,PURCHASE!$A$6:$A$10008,$AR$3,PURCHASE!$D$6:$D$10008,$C$5:$C$499)</f>
        <v>0</v>
      </c>
      <c r="AV69" s="11">
        <f>SUMIFS(PURCHASE!$N$6:$N$10008,PURCHASE!$A$6:$A$10008,$AR$3,PURCHASE!$D$6:$D$10008,$C$5:$C$499)</f>
        <v>0</v>
      </c>
      <c r="AW69" s="11">
        <f t="shared" si="14"/>
        <v>0</v>
      </c>
      <c r="AX69" s="11">
        <f>SUMIFS(PURCHASE!$K$6:$K$10008,PURCHASE!$A$6:$A$10008,$AW$3,PURCHASE!$D$6:$D$10008,$C$5:$C$499)</f>
        <v>0</v>
      </c>
      <c r="AY69" s="11">
        <f>SUMIFS(PURCHASE!$L$6:$L$10008,PURCHASE!$A$6:$A$10008,$AW$3,PURCHASE!$D$6:$D$10008,$C$5:$C$499)</f>
        <v>0</v>
      </c>
      <c r="AZ69" s="11">
        <f>SUMIFS(PURCHASE!$M$6:$M$10008,PURCHASE!$A$6:$A$10008,$AW$3,PURCHASE!$D$6:$D$10008,$C$5:$C$499)</f>
        <v>0</v>
      </c>
      <c r="BA69" s="11">
        <f>SUMIFS(PURCHASE!$N$6:$N$10008,PURCHASE!$A$6:$A$10008,$AW$3,PURCHASE!$D$6:$D$10008,$C$5:$C$499)</f>
        <v>0</v>
      </c>
      <c r="BB69" s="11">
        <f t="shared" si="15"/>
        <v>0</v>
      </c>
      <c r="BC69" s="11">
        <f>SUMIFS(PURCHASE!$K$6:$K$10008,PURCHASE!$A$6:$A$10008,$BB$3,PURCHASE!$D$6:$D$10008,$C$5:$C$499)</f>
        <v>0</v>
      </c>
      <c r="BD69" s="11">
        <f>SUMIFS(PURCHASE!$L$6:$L$10008,PURCHASE!$A$6:$A$10008,$BB$3,PURCHASE!$D$6:$D$10008,$C$5:$C$499)</f>
        <v>0</v>
      </c>
      <c r="BE69" s="11">
        <f>SUMIFS(PURCHASE!$M$6:$M$10008,PURCHASE!$A$6:$A$10008,$BB$3,PURCHASE!$D$6:$D$10008,$C$5:$C$499)</f>
        <v>0</v>
      </c>
      <c r="BF69" s="11">
        <f>SUMIFS(PURCHASE!$N$6:$N$10008,PURCHASE!$A$6:$A$10008,$BB$3,PURCHASE!$D$6:$D$10008,$C$5:$C$499)</f>
        <v>0</v>
      </c>
      <c r="BG69" s="11">
        <f t="shared" si="16"/>
        <v>0</v>
      </c>
      <c r="BH69" s="11">
        <f>SUMIFS(PURCHASE!$K$6:$K$10008,PURCHASE!$A$6:$A$10008,$BG$3,PURCHASE!$D$6:$D$10008,$C$5:$C$499)</f>
        <v>0</v>
      </c>
      <c r="BI69" s="11">
        <f>SUMIFS(PURCHASE!$L$6:$L$10008,PURCHASE!$A$6:$A$10008,$BG$3,PURCHASE!$D$6:$D$10008,$C$5:$C$499)</f>
        <v>0</v>
      </c>
      <c r="BJ69" s="11">
        <f>SUMIFS(PURCHASE!$M$6:$M$10008,PURCHASE!$A$6:$A$10008,$BG$3,PURCHASE!$D$6:$D$10008,$C$5:$C$499)</f>
        <v>0</v>
      </c>
      <c r="BK69" s="11">
        <f>SUMIFS(PURCHASE!$N$6:$N$10008,PURCHASE!$A$6:$A$10008,$BG$3,PURCHASE!$D$6:$D$10008,$C$5:$C$499)</f>
        <v>0</v>
      </c>
      <c r="BL69" s="11">
        <f t="shared" ref="BL69:BP119" si="17">+D69+I69+N69+S69+X69+AC69+AH69+AM69+AR69+AW69+BB69+BG69</f>
        <v>2940.672</v>
      </c>
      <c r="BM69" s="11">
        <f t="shared" si="17"/>
        <v>2625.6</v>
      </c>
      <c r="BN69" s="11">
        <f t="shared" si="17"/>
        <v>0</v>
      </c>
      <c r="BO69" s="11">
        <f t="shared" si="17"/>
        <v>157.536</v>
      </c>
      <c r="BP69" s="11">
        <f t="shared" si="17"/>
        <v>157.536</v>
      </c>
    </row>
    <row r="70" spans="1:68" x14ac:dyDescent="0.2">
      <c r="A70" s="467">
        <v>66</v>
      </c>
      <c r="B70" s="468" t="s">
        <v>554</v>
      </c>
      <c r="C70" s="469" t="s">
        <v>555</v>
      </c>
      <c r="D70" s="11">
        <f t="shared" si="5"/>
        <v>13065.279999999999</v>
      </c>
      <c r="E70" s="11">
        <f>SUMIFS(PURCHASE!$K$6:$K$10008,PURCHASE!$A$6:$A$10008,$D$3,PURCHASE!$D$6:$D$10008,$C$5:$C$499)</f>
        <v>10207.25</v>
      </c>
      <c r="F70" s="11">
        <f>SUMIFS(PURCHASE!$L$6:$L$10008,PURCHASE!$A$6:$A$10008,$D$3,PURCHASE!$D$6:$D$10008,$C$5:$C$499)</f>
        <v>0</v>
      </c>
      <c r="G70" s="11">
        <f>SUMIFS(PURCHASE!$M$6:$M$10008,PURCHASE!$A$6:$A$10008,$D$3,PURCHASE!$D$6:$D$10008,$C$5:$C$499)</f>
        <v>1429.0149999999999</v>
      </c>
      <c r="H70" s="11">
        <f>SUMIFS(PURCHASE!$N$6:$N$10008,PURCHASE!$A$6:$A$10008,$D$3,PURCHASE!$D$6:$D$10008,$C$5:$C$499)</f>
        <v>1429.0149999999999</v>
      </c>
      <c r="I70" s="473">
        <f t="shared" si="6"/>
        <v>30526.207999999999</v>
      </c>
      <c r="J70" s="60">
        <f>SUMIFS(PURCHASE!$K$6:$K$10008,PURCHASE!$A$6:$A$10008,$I$3,PURCHASE!$D$6:$D$10008,$C$5:$C$499)</f>
        <v>23848.6</v>
      </c>
      <c r="K70" s="60">
        <f>SUMIFS(PURCHASE!$L$6:$L$10008,PURCHASE!$A$6:$A$10008,$I$3,PURCHASE!$D$6:$D$10008,$C$5:$C$499)</f>
        <v>0</v>
      </c>
      <c r="L70" s="60">
        <f>SUMIFS(PURCHASE!$M$6:$M$10008,PURCHASE!$A$6:$A$10008,$I$3,PURCHASE!$D$6:$D$10008,$C$5:$C$499)</f>
        <v>3338.8040000000001</v>
      </c>
      <c r="M70" s="474">
        <f>SUMIFS(PURCHASE!$N$6:$N$10008,PURCHASE!$A$6:$A$10008,$I$3,PURCHASE!$D$6:$D$10008,$C$5:$C$499)</f>
        <v>3338.8040000000001</v>
      </c>
      <c r="N70" s="11">
        <f t="shared" si="7"/>
        <v>213860.69759999996</v>
      </c>
      <c r="O70" s="11">
        <f>SUMIFS(PURCHASE!$K$6:$K$10008,PURCHASE!$A$6:$A$10008,$N$3,PURCHASE!$D$6:$D$10008,$C$5:$C$499)</f>
        <v>167078.66999999998</v>
      </c>
      <c r="P70" s="11">
        <f>SUMIFS(PURCHASE!$L$6:$L$10008,PURCHASE!$A$6:$A$10008,$N$3,PURCHASE!$D$6:$D$10008,$C$5:$C$499)</f>
        <v>0</v>
      </c>
      <c r="Q70" s="11">
        <f>SUMIFS(PURCHASE!$M$6:$M$10008,PURCHASE!$A$6:$A$10008,$N$3,PURCHASE!$D$6:$D$10008,$C$5:$C$499)</f>
        <v>23391.013799999997</v>
      </c>
      <c r="R70" s="11">
        <f>SUMIFS(PURCHASE!$N$6:$N$10008,PURCHASE!$A$6:$A$10008,$N$3,PURCHASE!$D$6:$D$10008,$C$5:$C$499)</f>
        <v>23391.013799999997</v>
      </c>
      <c r="S70" s="11">
        <f t="shared" si="8"/>
        <v>391194.79039999994</v>
      </c>
      <c r="T70" s="11">
        <f>SUMIFS(PURCHASE!$K$6:$K$10008,PURCHASE!$A$6:$A$10008,$S$3,PURCHASE!$D$6:$D$10008,$C$5:$C$499)</f>
        <v>305620.92999999993</v>
      </c>
      <c r="U70" s="11">
        <f>SUMIFS(PURCHASE!$L$6:$L$10008,PURCHASE!$A$6:$A$10008,$S$3,PURCHASE!$D$6:$D$10008,$C$5:$C$499)</f>
        <v>0</v>
      </c>
      <c r="V70" s="11">
        <f>SUMIFS(PURCHASE!$M$6:$M$10008,PURCHASE!$A$6:$A$10008,$S$3,PURCHASE!$D$6:$D$10008,$C$5:$C$499)</f>
        <v>42786.930200000003</v>
      </c>
      <c r="W70" s="11">
        <f>SUMIFS(PURCHASE!$N$6:$N$10008,PURCHASE!$A$6:$A$10008,$S$3,PURCHASE!$D$6:$D$10008,$C$5:$C$499)</f>
        <v>42786.930200000003</v>
      </c>
      <c r="X70" s="11">
        <f t="shared" si="9"/>
        <v>292716.08319999999</v>
      </c>
      <c r="Y70" s="11">
        <f>SUMIFS(PURCHASE!$K$6:$K$10008,PURCHASE!$A$6:$A$10008,$X$3,PURCHASE!$D$6:$D$10008,$C$5:$C$499)</f>
        <v>228684.44</v>
      </c>
      <c r="Z70" s="11">
        <f>SUMIFS(PURCHASE!$L$6:$L$10008,PURCHASE!$A$6:$A$10008,$X$3,PURCHASE!$D$6:$D$10008,$C$5:$C$499)</f>
        <v>0</v>
      </c>
      <c r="AA70" s="11">
        <f>SUMIFS(PURCHASE!$M$6:$M$10008,PURCHASE!$A$6:$A$10008,$X$3,PURCHASE!$D$6:$D$10008,$C$5:$C$499)</f>
        <v>32015.821599999999</v>
      </c>
      <c r="AB70" s="11">
        <f>SUMIFS(PURCHASE!$N$6:$N$10008,PURCHASE!$A$6:$A$10008,$X$3,PURCHASE!$D$6:$D$10008,$C$5:$C$499)</f>
        <v>32015.821599999999</v>
      </c>
      <c r="AC70" s="11">
        <f t="shared" si="10"/>
        <v>162840.32000000001</v>
      </c>
      <c r="AD70" s="11">
        <f>SUMIFS(PURCHASE!$K$6:$K$10008,PURCHASE!$A$6:$A$10008,$AC$3,PURCHASE!$D$6:$D$10008,$C$5:$C$499)</f>
        <v>127219</v>
      </c>
      <c r="AE70" s="11">
        <f>SUMIFS(PURCHASE!$L$6:$L$10008,PURCHASE!$A$6:$A$10008,$AC$3,PURCHASE!$D$6:$D$10008,$C$5:$C$499)</f>
        <v>0</v>
      </c>
      <c r="AF70" s="11">
        <f>SUMIFS(PURCHASE!$M$6:$M$10008,PURCHASE!$A$6:$A$10008,$AC$3,PURCHASE!$D$6:$D$10008,$C$5:$C$499)</f>
        <v>17810.66</v>
      </c>
      <c r="AG70" s="11">
        <f>SUMIFS(PURCHASE!$N$6:$N$10008,PURCHASE!$A$6:$A$10008,$AC$3,PURCHASE!$D$6:$D$10008,$C$5:$C$499)</f>
        <v>17810.66</v>
      </c>
      <c r="AH70" s="11">
        <f t="shared" si="11"/>
        <v>98459.26400000001</v>
      </c>
      <c r="AI70" s="11">
        <f>SUMIFS(PURCHASE!$K$6:$K$10008,PURCHASE!$A$6:$A$10008,$AH$3,PURCHASE!$D$6:$D$10008,$C$5:$C$499)</f>
        <v>76921.3</v>
      </c>
      <c r="AJ70" s="11">
        <f>SUMIFS(PURCHASE!$L$6:$L$10008,PURCHASE!$A$6:$A$10008,$AH$3,PURCHASE!$D$6:$D$10008,$C$5:$C$499)</f>
        <v>0</v>
      </c>
      <c r="AK70" s="11">
        <f>SUMIFS(PURCHASE!$M$6:$M$10008,PURCHASE!$A$6:$A$10008,$AH$3,PURCHASE!$D$6:$D$10008,$C$5:$C$499)</f>
        <v>10768.982000000002</v>
      </c>
      <c r="AL70" s="11">
        <f>SUMIFS(PURCHASE!$N$6:$N$10008,PURCHASE!$A$6:$A$10008,$AH$3,PURCHASE!$D$6:$D$10008,$C$5:$C$499)</f>
        <v>10768.982000000002</v>
      </c>
      <c r="AM70" s="11">
        <f t="shared" si="12"/>
        <v>0</v>
      </c>
      <c r="AN70" s="11">
        <f>SUMIFS(PURCHASE!$K$6:$K$10008,PURCHASE!$A$6:$A$10008,$AM$3,PURCHASE!$D$6:$D$10008,$C$5:$C$499)</f>
        <v>0</v>
      </c>
      <c r="AO70" s="11">
        <f>SUMIFS(PURCHASE!$L$6:$L$10008,PURCHASE!$A$6:$A$10008,$AM$3,PURCHASE!$D$6:$D$10008,$C$5:$C$499)</f>
        <v>0</v>
      </c>
      <c r="AP70" s="11">
        <f>SUMIFS(PURCHASE!$M$6:$M$10008,PURCHASE!$A$6:$A$10008,$AM$3,PURCHASE!$D$6:$D$10008,$C$5:$C$499)</f>
        <v>0</v>
      </c>
      <c r="AQ70" s="11">
        <f>SUMIFS(PURCHASE!$N$6:$N$10008,PURCHASE!$A$6:$A$10008,$AM$3,PURCHASE!$D$6:$D$10008,$C$5:$C$499)</f>
        <v>0</v>
      </c>
      <c r="AR70" s="11">
        <f t="shared" si="13"/>
        <v>0</v>
      </c>
      <c r="AS70" s="11">
        <f>SUMIFS(PURCHASE!$K$6:$K$10008,PURCHASE!$A$6:$A$10008,$AR$3,PURCHASE!$D$6:$D$10008,$C$5:$C$499)</f>
        <v>0</v>
      </c>
      <c r="AT70" s="11">
        <f>SUMIFS(PURCHASE!$L$6:$L$10008,PURCHASE!$A$6:$A$10008,$AR$3,PURCHASE!$D$6:$D$10008,$C$5:$C$499)</f>
        <v>0</v>
      </c>
      <c r="AU70" s="11">
        <f>SUMIFS(PURCHASE!$M$6:$M$10008,PURCHASE!$A$6:$A$10008,$AR$3,PURCHASE!$D$6:$D$10008,$C$5:$C$499)</f>
        <v>0</v>
      </c>
      <c r="AV70" s="11">
        <f>SUMIFS(PURCHASE!$N$6:$N$10008,PURCHASE!$A$6:$A$10008,$AR$3,PURCHASE!$D$6:$D$10008,$C$5:$C$499)</f>
        <v>0</v>
      </c>
      <c r="AW70" s="11">
        <f t="shared" si="14"/>
        <v>0</v>
      </c>
      <c r="AX70" s="11">
        <f>SUMIFS(PURCHASE!$K$6:$K$10008,PURCHASE!$A$6:$A$10008,$AW$3,PURCHASE!$D$6:$D$10008,$C$5:$C$499)</f>
        <v>0</v>
      </c>
      <c r="AY70" s="11">
        <f>SUMIFS(PURCHASE!$L$6:$L$10008,PURCHASE!$A$6:$A$10008,$AW$3,PURCHASE!$D$6:$D$10008,$C$5:$C$499)</f>
        <v>0</v>
      </c>
      <c r="AZ70" s="11">
        <f>SUMIFS(PURCHASE!$M$6:$M$10008,PURCHASE!$A$6:$A$10008,$AW$3,PURCHASE!$D$6:$D$10008,$C$5:$C$499)</f>
        <v>0</v>
      </c>
      <c r="BA70" s="11">
        <f>SUMIFS(PURCHASE!$N$6:$N$10008,PURCHASE!$A$6:$A$10008,$AW$3,PURCHASE!$D$6:$D$10008,$C$5:$C$499)</f>
        <v>0</v>
      </c>
      <c r="BB70" s="11">
        <f t="shared" si="15"/>
        <v>0</v>
      </c>
      <c r="BC70" s="11">
        <f>SUMIFS(PURCHASE!$K$6:$K$10008,PURCHASE!$A$6:$A$10008,$BB$3,PURCHASE!$D$6:$D$10008,$C$5:$C$499)</f>
        <v>0</v>
      </c>
      <c r="BD70" s="11">
        <f>SUMIFS(PURCHASE!$L$6:$L$10008,PURCHASE!$A$6:$A$10008,$BB$3,PURCHASE!$D$6:$D$10008,$C$5:$C$499)</f>
        <v>0</v>
      </c>
      <c r="BE70" s="11">
        <f>SUMIFS(PURCHASE!$M$6:$M$10008,PURCHASE!$A$6:$A$10008,$BB$3,PURCHASE!$D$6:$D$10008,$C$5:$C$499)</f>
        <v>0</v>
      </c>
      <c r="BF70" s="11">
        <f>SUMIFS(PURCHASE!$N$6:$N$10008,PURCHASE!$A$6:$A$10008,$BB$3,PURCHASE!$D$6:$D$10008,$C$5:$C$499)</f>
        <v>0</v>
      </c>
      <c r="BG70" s="11">
        <f t="shared" si="16"/>
        <v>0</v>
      </c>
      <c r="BH70" s="11">
        <f>SUMIFS(PURCHASE!$K$6:$K$10008,PURCHASE!$A$6:$A$10008,$BG$3,PURCHASE!$D$6:$D$10008,$C$5:$C$499)</f>
        <v>0</v>
      </c>
      <c r="BI70" s="11">
        <f>SUMIFS(PURCHASE!$L$6:$L$10008,PURCHASE!$A$6:$A$10008,$BG$3,PURCHASE!$D$6:$D$10008,$C$5:$C$499)</f>
        <v>0</v>
      </c>
      <c r="BJ70" s="11">
        <f>SUMIFS(PURCHASE!$M$6:$M$10008,PURCHASE!$A$6:$A$10008,$BG$3,PURCHASE!$D$6:$D$10008,$C$5:$C$499)</f>
        <v>0</v>
      </c>
      <c r="BK70" s="11">
        <f>SUMIFS(PURCHASE!$N$6:$N$10008,PURCHASE!$A$6:$A$10008,$BG$3,PURCHASE!$D$6:$D$10008,$C$5:$C$499)</f>
        <v>0</v>
      </c>
      <c r="BL70" s="11">
        <f t="shared" si="17"/>
        <v>1202662.6431999998</v>
      </c>
      <c r="BM70" s="11">
        <f t="shared" si="17"/>
        <v>939580.19</v>
      </c>
      <c r="BN70" s="11">
        <f t="shared" si="17"/>
        <v>0</v>
      </c>
      <c r="BO70" s="11">
        <f t="shared" si="17"/>
        <v>131541.22659999999</v>
      </c>
      <c r="BP70" s="11">
        <f t="shared" si="17"/>
        <v>131541.22659999999</v>
      </c>
    </row>
    <row r="71" spans="1:68" x14ac:dyDescent="0.2">
      <c r="A71" s="467">
        <v>67</v>
      </c>
      <c r="B71" s="475" t="s">
        <v>686</v>
      </c>
      <c r="C71" s="468" t="s">
        <v>687</v>
      </c>
      <c r="D71" s="11">
        <f t="shared" ref="D71:D134" si="18">+E71+F71+G71+H71</f>
        <v>0</v>
      </c>
      <c r="E71" s="11">
        <f>SUMIFS(PURCHASE!$K$6:$K$10008,PURCHASE!$A$6:$A$10008,$D$3,PURCHASE!$D$6:$D$10008,$C$5:$C$499)</f>
        <v>0</v>
      </c>
      <c r="F71" s="11">
        <f>SUMIFS(PURCHASE!$L$6:$L$10008,PURCHASE!$A$6:$A$10008,$D$3,PURCHASE!$D$6:$D$10008,$C$5:$C$499)</f>
        <v>0</v>
      </c>
      <c r="G71" s="11">
        <f>SUMIFS(PURCHASE!$M$6:$M$10008,PURCHASE!$A$6:$A$10008,$D$3,PURCHASE!$D$6:$D$10008,$C$5:$C$499)</f>
        <v>0</v>
      </c>
      <c r="H71" s="11">
        <f>SUMIFS(PURCHASE!$N$6:$N$10008,PURCHASE!$A$6:$A$10008,$D$3,PURCHASE!$D$6:$D$10008,$C$5:$C$499)</f>
        <v>0</v>
      </c>
      <c r="I71" s="473">
        <f t="shared" ref="I71:I134" si="19">+J71+K71+L71+M71</f>
        <v>0</v>
      </c>
      <c r="J71" s="60">
        <f>SUMIFS(PURCHASE!$K$6:$K$10008,PURCHASE!$A$6:$A$10008,$I$3,PURCHASE!$D$6:$D$10008,$C$5:$C$499)</f>
        <v>0</v>
      </c>
      <c r="K71" s="60">
        <f>SUMIFS(PURCHASE!$L$6:$L$10008,PURCHASE!$A$6:$A$10008,$I$3,PURCHASE!$D$6:$D$10008,$C$5:$C$499)</f>
        <v>0</v>
      </c>
      <c r="L71" s="60">
        <f>SUMIFS(PURCHASE!$M$6:$M$10008,PURCHASE!$A$6:$A$10008,$I$3,PURCHASE!$D$6:$D$10008,$C$5:$C$499)</f>
        <v>0</v>
      </c>
      <c r="M71" s="474">
        <f>SUMIFS(PURCHASE!$N$6:$N$10008,PURCHASE!$A$6:$A$10008,$I$3,PURCHASE!$D$6:$D$10008,$C$5:$C$499)</f>
        <v>0</v>
      </c>
      <c r="N71" s="11">
        <f t="shared" ref="N71:N134" si="20">+O71+P71+Q71+R71</f>
        <v>0</v>
      </c>
      <c r="O71" s="11">
        <f>SUMIFS(PURCHASE!$K$6:$K$10008,PURCHASE!$A$6:$A$10008,$N$3,PURCHASE!$D$6:$D$10008,$C$5:$C$499)</f>
        <v>0</v>
      </c>
      <c r="P71" s="11">
        <f>SUMIFS(PURCHASE!$L$6:$L$10008,PURCHASE!$A$6:$A$10008,$N$3,PURCHASE!$D$6:$D$10008,$C$5:$C$499)</f>
        <v>0</v>
      </c>
      <c r="Q71" s="11">
        <f>SUMIFS(PURCHASE!$M$6:$M$10008,PURCHASE!$A$6:$A$10008,$N$3,PURCHASE!$D$6:$D$10008,$C$5:$C$499)</f>
        <v>0</v>
      </c>
      <c r="R71" s="11">
        <f>SUMIFS(PURCHASE!$N$6:$N$10008,PURCHASE!$A$6:$A$10008,$N$3,PURCHASE!$D$6:$D$10008,$C$5:$C$499)</f>
        <v>0</v>
      </c>
      <c r="S71" s="11">
        <f t="shared" ref="S71:S134" si="21">+T71+U71+V71+W71</f>
        <v>0</v>
      </c>
      <c r="T71" s="11">
        <f>SUMIFS(PURCHASE!$K$6:$K$10008,PURCHASE!$A$6:$A$10008,$S$3,PURCHASE!$D$6:$D$10008,$C$5:$C$499)</f>
        <v>0</v>
      </c>
      <c r="U71" s="11">
        <f>SUMIFS(PURCHASE!$L$6:$L$10008,PURCHASE!$A$6:$A$10008,$S$3,PURCHASE!$D$6:$D$10008,$C$5:$C$499)</f>
        <v>0</v>
      </c>
      <c r="V71" s="11">
        <f>SUMIFS(PURCHASE!$M$6:$M$10008,PURCHASE!$A$6:$A$10008,$S$3,PURCHASE!$D$6:$D$10008,$C$5:$C$499)</f>
        <v>0</v>
      </c>
      <c r="W71" s="11">
        <f>SUMIFS(PURCHASE!$N$6:$N$10008,PURCHASE!$A$6:$A$10008,$S$3,PURCHASE!$D$6:$D$10008,$C$5:$C$499)</f>
        <v>0</v>
      </c>
      <c r="X71" s="11">
        <f t="shared" ref="X71:X134" si="22">+Y71+Z71+AA71+AB71</f>
        <v>0</v>
      </c>
      <c r="Y71" s="11">
        <f>SUMIFS(PURCHASE!$K$6:$K$10008,PURCHASE!$A$6:$A$10008,$X$3,PURCHASE!$D$6:$D$10008,$C$5:$C$499)</f>
        <v>0</v>
      </c>
      <c r="Z71" s="11">
        <f>SUMIFS(PURCHASE!$L$6:$L$10008,PURCHASE!$A$6:$A$10008,$X$3,PURCHASE!$D$6:$D$10008,$C$5:$C$499)</f>
        <v>0</v>
      </c>
      <c r="AA71" s="11">
        <f>SUMIFS(PURCHASE!$M$6:$M$10008,PURCHASE!$A$6:$A$10008,$X$3,PURCHASE!$D$6:$D$10008,$C$5:$C$499)</f>
        <v>0</v>
      </c>
      <c r="AB71" s="11">
        <f>SUMIFS(PURCHASE!$N$6:$N$10008,PURCHASE!$A$6:$A$10008,$X$3,PURCHASE!$D$6:$D$10008,$C$5:$C$499)</f>
        <v>0</v>
      </c>
      <c r="AC71" s="11">
        <f t="shared" ref="AC71:AC134" si="23">+AD71+AE71+AF71+AG71</f>
        <v>0</v>
      </c>
      <c r="AD71" s="11">
        <f>SUMIFS(PURCHASE!$K$6:$K$10008,PURCHASE!$A$6:$A$10008,$AC$3,PURCHASE!$D$6:$D$10008,$C$5:$C$499)</f>
        <v>0</v>
      </c>
      <c r="AE71" s="11">
        <f>SUMIFS(PURCHASE!$L$6:$L$10008,PURCHASE!$A$6:$A$10008,$AC$3,PURCHASE!$D$6:$D$10008,$C$5:$C$499)</f>
        <v>0</v>
      </c>
      <c r="AF71" s="11">
        <f>SUMIFS(PURCHASE!$M$6:$M$10008,PURCHASE!$A$6:$A$10008,$AC$3,PURCHASE!$D$6:$D$10008,$C$5:$C$499)</f>
        <v>0</v>
      </c>
      <c r="AG71" s="11">
        <f>SUMIFS(PURCHASE!$N$6:$N$10008,PURCHASE!$A$6:$A$10008,$AC$3,PURCHASE!$D$6:$D$10008,$C$5:$C$499)</f>
        <v>0</v>
      </c>
      <c r="AH71" s="11">
        <f t="shared" ref="AH71:AH134" si="24">+AI71+AJ71+AK71+AL71</f>
        <v>0</v>
      </c>
      <c r="AI71" s="11">
        <f>SUMIFS(PURCHASE!$K$6:$K$10008,PURCHASE!$A$6:$A$10008,$AH$3,PURCHASE!$D$6:$D$10008,$C$5:$C$499)</f>
        <v>0</v>
      </c>
      <c r="AJ71" s="11">
        <f>SUMIFS(PURCHASE!$L$6:$L$10008,PURCHASE!$A$6:$A$10008,$AH$3,PURCHASE!$D$6:$D$10008,$C$5:$C$499)</f>
        <v>0</v>
      </c>
      <c r="AK71" s="11">
        <f>SUMIFS(PURCHASE!$M$6:$M$10008,PURCHASE!$A$6:$A$10008,$AH$3,PURCHASE!$D$6:$D$10008,$C$5:$C$499)</f>
        <v>0</v>
      </c>
      <c r="AL71" s="11">
        <f>SUMIFS(PURCHASE!$N$6:$N$10008,PURCHASE!$A$6:$A$10008,$AH$3,PURCHASE!$D$6:$D$10008,$C$5:$C$499)</f>
        <v>0</v>
      </c>
      <c r="AM71" s="11">
        <f t="shared" ref="AM71:AM134" si="25">+AN71+AO71+AP71+AQ71</f>
        <v>0</v>
      </c>
      <c r="AN71" s="11">
        <f>SUMIFS(PURCHASE!$K$6:$K$10008,PURCHASE!$A$6:$A$10008,$AM$3,PURCHASE!$D$6:$D$10008,$C$5:$C$499)</f>
        <v>0</v>
      </c>
      <c r="AO71" s="11">
        <f>SUMIFS(PURCHASE!$L$6:$L$10008,PURCHASE!$A$6:$A$10008,$AM$3,PURCHASE!$D$6:$D$10008,$C$5:$C$499)</f>
        <v>0</v>
      </c>
      <c r="AP71" s="11">
        <f>SUMIFS(PURCHASE!$M$6:$M$10008,PURCHASE!$A$6:$A$10008,$AM$3,PURCHASE!$D$6:$D$10008,$C$5:$C$499)</f>
        <v>0</v>
      </c>
      <c r="AQ71" s="11">
        <f>SUMIFS(PURCHASE!$N$6:$N$10008,PURCHASE!$A$6:$A$10008,$AM$3,PURCHASE!$D$6:$D$10008,$C$5:$C$499)</f>
        <v>0</v>
      </c>
      <c r="AR71" s="11">
        <f t="shared" ref="AR71:AR134" si="26">+AS71+AT71+AU71+AV71</f>
        <v>0</v>
      </c>
      <c r="AS71" s="11">
        <f>SUMIFS(PURCHASE!$K$6:$K$10008,PURCHASE!$A$6:$A$10008,$AR$3,PURCHASE!$D$6:$D$10008,$C$5:$C$499)</f>
        <v>0</v>
      </c>
      <c r="AT71" s="11">
        <f>SUMIFS(PURCHASE!$L$6:$L$10008,PURCHASE!$A$6:$A$10008,$AR$3,PURCHASE!$D$6:$D$10008,$C$5:$C$499)</f>
        <v>0</v>
      </c>
      <c r="AU71" s="11">
        <f>SUMIFS(PURCHASE!$M$6:$M$10008,PURCHASE!$A$6:$A$10008,$AR$3,PURCHASE!$D$6:$D$10008,$C$5:$C$499)</f>
        <v>0</v>
      </c>
      <c r="AV71" s="11">
        <f>SUMIFS(PURCHASE!$N$6:$N$10008,PURCHASE!$A$6:$A$10008,$AR$3,PURCHASE!$D$6:$D$10008,$C$5:$C$499)</f>
        <v>0</v>
      </c>
      <c r="AW71" s="11">
        <f t="shared" ref="AW71:AW134" si="27">+AX71+AY71+AZ71+BA71</f>
        <v>0</v>
      </c>
      <c r="AX71" s="11">
        <f>SUMIFS(PURCHASE!$K$6:$K$10008,PURCHASE!$A$6:$A$10008,$AW$3,PURCHASE!$D$6:$D$10008,$C$5:$C$499)</f>
        <v>0</v>
      </c>
      <c r="AY71" s="11">
        <f>SUMIFS(PURCHASE!$L$6:$L$10008,PURCHASE!$A$6:$A$10008,$AW$3,PURCHASE!$D$6:$D$10008,$C$5:$C$499)</f>
        <v>0</v>
      </c>
      <c r="AZ71" s="11">
        <f>SUMIFS(PURCHASE!$M$6:$M$10008,PURCHASE!$A$6:$A$10008,$AW$3,PURCHASE!$D$6:$D$10008,$C$5:$C$499)</f>
        <v>0</v>
      </c>
      <c r="BA71" s="11">
        <f>SUMIFS(PURCHASE!$N$6:$N$10008,PURCHASE!$A$6:$A$10008,$AW$3,PURCHASE!$D$6:$D$10008,$C$5:$C$499)</f>
        <v>0</v>
      </c>
      <c r="BB71" s="11">
        <f t="shared" ref="BB71:BB134" si="28">+BC71+BD71+BE71+BF71</f>
        <v>0</v>
      </c>
      <c r="BC71" s="11">
        <f>SUMIFS(PURCHASE!$K$6:$K$10008,PURCHASE!$A$6:$A$10008,$BB$3,PURCHASE!$D$6:$D$10008,$C$5:$C$499)</f>
        <v>0</v>
      </c>
      <c r="BD71" s="11">
        <f>SUMIFS(PURCHASE!$L$6:$L$10008,PURCHASE!$A$6:$A$10008,$BB$3,PURCHASE!$D$6:$D$10008,$C$5:$C$499)</f>
        <v>0</v>
      </c>
      <c r="BE71" s="11">
        <f>SUMIFS(PURCHASE!$M$6:$M$10008,PURCHASE!$A$6:$A$10008,$BB$3,PURCHASE!$D$6:$D$10008,$C$5:$C$499)</f>
        <v>0</v>
      </c>
      <c r="BF71" s="11">
        <f>SUMIFS(PURCHASE!$N$6:$N$10008,PURCHASE!$A$6:$A$10008,$BB$3,PURCHASE!$D$6:$D$10008,$C$5:$C$499)</f>
        <v>0</v>
      </c>
      <c r="BG71" s="11">
        <f t="shared" ref="BG71:BG134" si="29">+BH71+BI71+BJ71+BK71</f>
        <v>0</v>
      </c>
      <c r="BH71" s="11">
        <f>SUMIFS(PURCHASE!$K$6:$K$10008,PURCHASE!$A$6:$A$10008,$BG$3,PURCHASE!$D$6:$D$10008,$C$5:$C$499)</f>
        <v>0</v>
      </c>
      <c r="BI71" s="11">
        <f>SUMIFS(PURCHASE!$L$6:$L$10008,PURCHASE!$A$6:$A$10008,$BG$3,PURCHASE!$D$6:$D$10008,$C$5:$C$499)</f>
        <v>0</v>
      </c>
      <c r="BJ71" s="11">
        <f>SUMIFS(PURCHASE!$M$6:$M$10008,PURCHASE!$A$6:$A$10008,$BG$3,PURCHASE!$D$6:$D$10008,$C$5:$C$499)</f>
        <v>0</v>
      </c>
      <c r="BK71" s="11">
        <f>SUMIFS(PURCHASE!$N$6:$N$10008,PURCHASE!$A$6:$A$10008,$BG$3,PURCHASE!$D$6:$D$10008,$C$5:$C$499)</f>
        <v>0</v>
      </c>
      <c r="BL71" s="11">
        <f t="shared" si="17"/>
        <v>0</v>
      </c>
      <c r="BM71" s="11">
        <f t="shared" si="17"/>
        <v>0</v>
      </c>
      <c r="BN71" s="11">
        <f t="shared" si="17"/>
        <v>0</v>
      </c>
      <c r="BO71" s="11">
        <f t="shared" si="17"/>
        <v>0</v>
      </c>
      <c r="BP71" s="11">
        <f t="shared" si="17"/>
        <v>0</v>
      </c>
    </row>
    <row r="72" spans="1:68" x14ac:dyDescent="0.2">
      <c r="A72" s="467">
        <v>68</v>
      </c>
      <c r="B72" s="468" t="s">
        <v>476</v>
      </c>
      <c r="C72" s="469" t="s">
        <v>477</v>
      </c>
      <c r="D72" s="11">
        <f t="shared" si="18"/>
        <v>530456.6</v>
      </c>
      <c r="E72" s="11">
        <f>SUMIFS(PURCHASE!$K$6:$K$10008,PURCHASE!$A$6:$A$10008,$D$3,PURCHASE!$D$6:$D$10008,$C$5:$C$499)</f>
        <v>417595</v>
      </c>
      <c r="F72" s="11">
        <f>SUMIFS(PURCHASE!$L$6:$L$10008,PURCHASE!$A$6:$A$10008,$D$3,PURCHASE!$D$6:$D$10008,$C$5:$C$499)</f>
        <v>0</v>
      </c>
      <c r="G72" s="11">
        <f>SUMIFS(PURCHASE!$M$6:$M$10008,PURCHASE!$A$6:$A$10008,$D$3,PURCHASE!$D$6:$D$10008,$C$5:$C$499)</f>
        <v>56430.799999999996</v>
      </c>
      <c r="H72" s="11">
        <f>SUMIFS(PURCHASE!$N$6:$N$10008,PURCHASE!$A$6:$A$10008,$D$3,PURCHASE!$D$6:$D$10008,$C$5:$C$499)</f>
        <v>56430.799999999996</v>
      </c>
      <c r="I72" s="473">
        <f t="shared" si="19"/>
        <v>530456.6</v>
      </c>
      <c r="J72" s="60">
        <f>SUMIFS(PURCHASE!$K$6:$K$10008,PURCHASE!$A$6:$A$10008,$I$3,PURCHASE!$D$6:$D$10008,$C$5:$C$499)</f>
        <v>417595</v>
      </c>
      <c r="K72" s="60">
        <f>SUMIFS(PURCHASE!$L$6:$L$10008,PURCHASE!$A$6:$A$10008,$I$3,PURCHASE!$D$6:$D$10008,$C$5:$C$499)</f>
        <v>0</v>
      </c>
      <c r="L72" s="60">
        <f>SUMIFS(PURCHASE!$M$6:$M$10008,PURCHASE!$A$6:$A$10008,$I$3,PURCHASE!$D$6:$D$10008,$C$5:$C$499)</f>
        <v>56430.799999999996</v>
      </c>
      <c r="M72" s="474">
        <f>SUMIFS(PURCHASE!$N$6:$N$10008,PURCHASE!$A$6:$A$10008,$I$3,PURCHASE!$D$6:$D$10008,$C$5:$C$499)</f>
        <v>56430.799999999996</v>
      </c>
      <c r="N72" s="11">
        <f t="shared" si="20"/>
        <v>530456.6</v>
      </c>
      <c r="O72" s="11">
        <f>SUMIFS(PURCHASE!$K$6:$K$10008,PURCHASE!$A$6:$A$10008,$N$3,PURCHASE!$D$6:$D$10008,$C$5:$C$499)</f>
        <v>417595</v>
      </c>
      <c r="P72" s="11">
        <f>SUMIFS(PURCHASE!$L$6:$L$10008,PURCHASE!$A$6:$A$10008,$N$3,PURCHASE!$D$6:$D$10008,$C$5:$C$499)</f>
        <v>0</v>
      </c>
      <c r="Q72" s="11">
        <f>SUMIFS(PURCHASE!$M$6:$M$10008,PURCHASE!$A$6:$A$10008,$N$3,PURCHASE!$D$6:$D$10008,$C$5:$C$499)</f>
        <v>56430.799999999996</v>
      </c>
      <c r="R72" s="11">
        <f>SUMIFS(PURCHASE!$N$6:$N$10008,PURCHASE!$A$6:$A$10008,$N$3,PURCHASE!$D$6:$D$10008,$C$5:$C$499)</f>
        <v>56430.799999999996</v>
      </c>
      <c r="S72" s="11">
        <f t="shared" si="21"/>
        <v>530456.6</v>
      </c>
      <c r="T72" s="11">
        <f>SUMIFS(PURCHASE!$K$6:$K$10008,PURCHASE!$A$6:$A$10008,$S$3,PURCHASE!$D$6:$D$10008,$C$5:$C$499)</f>
        <v>417595</v>
      </c>
      <c r="U72" s="11">
        <f>SUMIFS(PURCHASE!$L$6:$L$10008,PURCHASE!$A$6:$A$10008,$S$3,PURCHASE!$D$6:$D$10008,$C$5:$C$499)</f>
        <v>0</v>
      </c>
      <c r="V72" s="11">
        <f>SUMIFS(PURCHASE!$M$6:$M$10008,PURCHASE!$A$6:$A$10008,$S$3,PURCHASE!$D$6:$D$10008,$C$5:$C$499)</f>
        <v>56430.799999999996</v>
      </c>
      <c r="W72" s="11">
        <f>SUMIFS(PURCHASE!$N$6:$N$10008,PURCHASE!$A$6:$A$10008,$S$3,PURCHASE!$D$6:$D$10008,$C$5:$C$499)</f>
        <v>56430.799999999996</v>
      </c>
      <c r="X72" s="11">
        <f t="shared" si="22"/>
        <v>530456.6</v>
      </c>
      <c r="Y72" s="11">
        <f>SUMIFS(PURCHASE!$K$6:$K$10008,PURCHASE!$A$6:$A$10008,$X$3,PURCHASE!$D$6:$D$10008,$C$5:$C$499)</f>
        <v>417595</v>
      </c>
      <c r="Z72" s="11">
        <f>SUMIFS(PURCHASE!$L$6:$L$10008,PURCHASE!$A$6:$A$10008,$X$3,PURCHASE!$D$6:$D$10008,$C$5:$C$499)</f>
        <v>0</v>
      </c>
      <c r="AA72" s="11">
        <f>SUMIFS(PURCHASE!$M$6:$M$10008,PURCHASE!$A$6:$A$10008,$X$3,PURCHASE!$D$6:$D$10008,$C$5:$C$499)</f>
        <v>56430.799999999996</v>
      </c>
      <c r="AB72" s="11">
        <f>SUMIFS(PURCHASE!$N$6:$N$10008,PURCHASE!$A$6:$A$10008,$X$3,PURCHASE!$D$6:$D$10008,$C$5:$C$499)</f>
        <v>56430.799999999996</v>
      </c>
      <c r="AC72" s="11">
        <f t="shared" si="23"/>
        <v>530456.6</v>
      </c>
      <c r="AD72" s="11">
        <f>SUMIFS(PURCHASE!$K$6:$K$10008,PURCHASE!$A$6:$A$10008,$AC$3,PURCHASE!$D$6:$D$10008,$C$5:$C$499)</f>
        <v>417595</v>
      </c>
      <c r="AE72" s="11">
        <f>SUMIFS(PURCHASE!$L$6:$L$10008,PURCHASE!$A$6:$A$10008,$AC$3,PURCHASE!$D$6:$D$10008,$C$5:$C$499)</f>
        <v>0</v>
      </c>
      <c r="AF72" s="11">
        <f>SUMIFS(PURCHASE!$M$6:$M$10008,PURCHASE!$A$6:$A$10008,$AC$3,PURCHASE!$D$6:$D$10008,$C$5:$C$499)</f>
        <v>56430.799999999996</v>
      </c>
      <c r="AG72" s="11">
        <f>SUMIFS(PURCHASE!$N$6:$N$10008,PURCHASE!$A$6:$A$10008,$AC$3,PURCHASE!$D$6:$D$10008,$C$5:$C$499)</f>
        <v>56430.799999999996</v>
      </c>
      <c r="AH72" s="11">
        <f t="shared" si="24"/>
        <v>530456.6</v>
      </c>
      <c r="AI72" s="11">
        <f>SUMIFS(PURCHASE!$K$6:$K$10008,PURCHASE!$A$6:$A$10008,$AH$3,PURCHASE!$D$6:$D$10008,$C$5:$C$499)</f>
        <v>417595</v>
      </c>
      <c r="AJ72" s="11">
        <f>SUMIFS(PURCHASE!$L$6:$L$10008,PURCHASE!$A$6:$A$10008,$AH$3,PURCHASE!$D$6:$D$10008,$C$5:$C$499)</f>
        <v>0</v>
      </c>
      <c r="AK72" s="11">
        <f>SUMIFS(PURCHASE!$M$6:$M$10008,PURCHASE!$A$6:$A$10008,$AH$3,PURCHASE!$D$6:$D$10008,$C$5:$C$499)</f>
        <v>56430.799999999996</v>
      </c>
      <c r="AL72" s="11">
        <f>SUMIFS(PURCHASE!$N$6:$N$10008,PURCHASE!$A$6:$A$10008,$AH$3,PURCHASE!$D$6:$D$10008,$C$5:$C$499)</f>
        <v>56430.799999999996</v>
      </c>
      <c r="AM72" s="11">
        <f t="shared" si="25"/>
        <v>0</v>
      </c>
      <c r="AN72" s="11">
        <f>SUMIFS(PURCHASE!$K$6:$K$10008,PURCHASE!$A$6:$A$10008,$AM$3,PURCHASE!$D$6:$D$10008,$C$5:$C$499)</f>
        <v>0</v>
      </c>
      <c r="AO72" s="11">
        <f>SUMIFS(PURCHASE!$L$6:$L$10008,PURCHASE!$A$6:$A$10008,$AM$3,PURCHASE!$D$6:$D$10008,$C$5:$C$499)</f>
        <v>0</v>
      </c>
      <c r="AP72" s="11">
        <f>SUMIFS(PURCHASE!$M$6:$M$10008,PURCHASE!$A$6:$A$10008,$AM$3,PURCHASE!$D$6:$D$10008,$C$5:$C$499)</f>
        <v>0</v>
      </c>
      <c r="AQ72" s="11">
        <f>SUMIFS(PURCHASE!$N$6:$N$10008,PURCHASE!$A$6:$A$10008,$AM$3,PURCHASE!$D$6:$D$10008,$C$5:$C$499)</f>
        <v>0</v>
      </c>
      <c r="AR72" s="11">
        <f t="shared" si="26"/>
        <v>0</v>
      </c>
      <c r="AS72" s="11">
        <f>SUMIFS(PURCHASE!$K$6:$K$10008,PURCHASE!$A$6:$A$10008,$AR$3,PURCHASE!$D$6:$D$10008,$C$5:$C$499)</f>
        <v>0</v>
      </c>
      <c r="AT72" s="11">
        <f>SUMIFS(PURCHASE!$L$6:$L$10008,PURCHASE!$A$6:$A$10008,$AR$3,PURCHASE!$D$6:$D$10008,$C$5:$C$499)</f>
        <v>0</v>
      </c>
      <c r="AU72" s="11">
        <f>SUMIFS(PURCHASE!$M$6:$M$10008,PURCHASE!$A$6:$A$10008,$AR$3,PURCHASE!$D$6:$D$10008,$C$5:$C$499)</f>
        <v>0</v>
      </c>
      <c r="AV72" s="11">
        <f>SUMIFS(PURCHASE!$N$6:$N$10008,PURCHASE!$A$6:$A$10008,$AR$3,PURCHASE!$D$6:$D$10008,$C$5:$C$499)</f>
        <v>0</v>
      </c>
      <c r="AW72" s="11">
        <f t="shared" si="27"/>
        <v>0</v>
      </c>
      <c r="AX72" s="11">
        <f>SUMIFS(PURCHASE!$K$6:$K$10008,PURCHASE!$A$6:$A$10008,$AW$3,PURCHASE!$D$6:$D$10008,$C$5:$C$499)</f>
        <v>0</v>
      </c>
      <c r="AY72" s="11">
        <f>SUMIFS(PURCHASE!$L$6:$L$10008,PURCHASE!$A$6:$A$10008,$AW$3,PURCHASE!$D$6:$D$10008,$C$5:$C$499)</f>
        <v>0</v>
      </c>
      <c r="AZ72" s="11">
        <f>SUMIFS(PURCHASE!$M$6:$M$10008,PURCHASE!$A$6:$A$10008,$AW$3,PURCHASE!$D$6:$D$10008,$C$5:$C$499)</f>
        <v>0</v>
      </c>
      <c r="BA72" s="11">
        <f>SUMIFS(PURCHASE!$N$6:$N$10008,PURCHASE!$A$6:$A$10008,$AW$3,PURCHASE!$D$6:$D$10008,$C$5:$C$499)</f>
        <v>0</v>
      </c>
      <c r="BB72" s="11">
        <f t="shared" si="28"/>
        <v>0</v>
      </c>
      <c r="BC72" s="11">
        <f>SUMIFS(PURCHASE!$K$6:$K$10008,PURCHASE!$A$6:$A$10008,$BB$3,PURCHASE!$D$6:$D$10008,$C$5:$C$499)</f>
        <v>0</v>
      </c>
      <c r="BD72" s="11">
        <f>SUMIFS(PURCHASE!$L$6:$L$10008,PURCHASE!$A$6:$A$10008,$BB$3,PURCHASE!$D$6:$D$10008,$C$5:$C$499)</f>
        <v>0</v>
      </c>
      <c r="BE72" s="11">
        <f>SUMIFS(PURCHASE!$M$6:$M$10008,PURCHASE!$A$6:$A$10008,$BB$3,PURCHASE!$D$6:$D$10008,$C$5:$C$499)</f>
        <v>0</v>
      </c>
      <c r="BF72" s="11">
        <f>SUMIFS(PURCHASE!$N$6:$N$10008,PURCHASE!$A$6:$A$10008,$BB$3,PURCHASE!$D$6:$D$10008,$C$5:$C$499)</f>
        <v>0</v>
      </c>
      <c r="BG72" s="11">
        <f t="shared" si="29"/>
        <v>0</v>
      </c>
      <c r="BH72" s="11">
        <f>SUMIFS(PURCHASE!$K$6:$K$10008,PURCHASE!$A$6:$A$10008,$BG$3,PURCHASE!$D$6:$D$10008,$C$5:$C$499)</f>
        <v>0</v>
      </c>
      <c r="BI72" s="11">
        <f>SUMIFS(PURCHASE!$L$6:$L$10008,PURCHASE!$A$6:$A$10008,$BG$3,PURCHASE!$D$6:$D$10008,$C$5:$C$499)</f>
        <v>0</v>
      </c>
      <c r="BJ72" s="11">
        <f>SUMIFS(PURCHASE!$M$6:$M$10008,PURCHASE!$A$6:$A$10008,$BG$3,PURCHASE!$D$6:$D$10008,$C$5:$C$499)</f>
        <v>0</v>
      </c>
      <c r="BK72" s="11">
        <f>SUMIFS(PURCHASE!$N$6:$N$10008,PURCHASE!$A$6:$A$10008,$BG$3,PURCHASE!$D$6:$D$10008,$C$5:$C$499)</f>
        <v>0</v>
      </c>
      <c r="BL72" s="11">
        <f t="shared" si="17"/>
        <v>3713196.2</v>
      </c>
      <c r="BM72" s="11">
        <f t="shared" si="17"/>
        <v>2923165</v>
      </c>
      <c r="BN72" s="11">
        <f t="shared" si="17"/>
        <v>0</v>
      </c>
      <c r="BO72" s="11">
        <f t="shared" si="17"/>
        <v>395015.6</v>
      </c>
      <c r="BP72" s="11">
        <f t="shared" si="17"/>
        <v>395015.6</v>
      </c>
    </row>
    <row r="73" spans="1:68" x14ac:dyDescent="0.2">
      <c r="A73" s="467">
        <v>69</v>
      </c>
      <c r="B73" s="468" t="s">
        <v>666</v>
      </c>
      <c r="C73" s="469" t="s">
        <v>667</v>
      </c>
      <c r="D73" s="11">
        <f t="shared" si="18"/>
        <v>0</v>
      </c>
      <c r="E73" s="11">
        <f>SUMIFS(PURCHASE!$K$6:$K$10008,PURCHASE!$A$6:$A$10008,$D$3,PURCHASE!$D$6:$D$10008,$C$5:$C$499)</f>
        <v>0</v>
      </c>
      <c r="F73" s="11">
        <f>SUMIFS(PURCHASE!$L$6:$L$10008,PURCHASE!$A$6:$A$10008,$D$3,PURCHASE!$D$6:$D$10008,$C$5:$C$499)</f>
        <v>0</v>
      </c>
      <c r="G73" s="11">
        <f>SUMIFS(PURCHASE!$M$6:$M$10008,PURCHASE!$A$6:$A$10008,$D$3,PURCHASE!$D$6:$D$10008,$C$5:$C$499)</f>
        <v>0</v>
      </c>
      <c r="H73" s="11">
        <f>SUMIFS(PURCHASE!$N$6:$N$10008,PURCHASE!$A$6:$A$10008,$D$3,PURCHASE!$D$6:$D$10008,$C$5:$C$499)</f>
        <v>0</v>
      </c>
      <c r="I73" s="473">
        <f t="shared" si="19"/>
        <v>120862.39999999999</v>
      </c>
      <c r="J73" s="60">
        <f>SUMIFS(PURCHASE!$K$6:$K$10008,PURCHASE!$A$6:$A$10008,$I$3,PURCHASE!$D$6:$D$10008,$C$5:$C$499)</f>
        <v>94423.75</v>
      </c>
      <c r="K73" s="60">
        <f>SUMIFS(PURCHASE!$L$6:$L$10008,PURCHASE!$A$6:$A$10008,$I$3,PURCHASE!$D$6:$D$10008,$C$5:$C$499)</f>
        <v>0</v>
      </c>
      <c r="L73" s="60">
        <f>SUMIFS(PURCHASE!$M$6:$M$10008,PURCHASE!$A$6:$A$10008,$I$3,PURCHASE!$D$6:$D$10008,$C$5:$C$499)</f>
        <v>13219.324999999999</v>
      </c>
      <c r="M73" s="474">
        <f>SUMIFS(PURCHASE!$N$6:$N$10008,PURCHASE!$A$6:$A$10008,$I$3,PURCHASE!$D$6:$D$10008,$C$5:$C$499)</f>
        <v>13219.324999999999</v>
      </c>
      <c r="N73" s="11">
        <f t="shared" si="20"/>
        <v>142256</v>
      </c>
      <c r="O73" s="11">
        <f>SUMIFS(PURCHASE!$K$6:$K$10008,PURCHASE!$A$6:$A$10008,$N$3,PURCHASE!$D$6:$D$10008,$C$5:$C$499)</f>
        <v>111137.5</v>
      </c>
      <c r="P73" s="11">
        <f>SUMIFS(PURCHASE!$L$6:$L$10008,PURCHASE!$A$6:$A$10008,$N$3,PURCHASE!$D$6:$D$10008,$C$5:$C$499)</f>
        <v>0</v>
      </c>
      <c r="Q73" s="11">
        <f>SUMIFS(PURCHASE!$M$6:$M$10008,PURCHASE!$A$6:$A$10008,$N$3,PURCHASE!$D$6:$D$10008,$C$5:$C$499)</f>
        <v>15559.25</v>
      </c>
      <c r="R73" s="11">
        <f>SUMIFS(PURCHASE!$N$6:$N$10008,PURCHASE!$A$6:$A$10008,$N$3,PURCHASE!$D$6:$D$10008,$C$5:$C$499)</f>
        <v>15559.25</v>
      </c>
      <c r="S73" s="11">
        <f t="shared" si="21"/>
        <v>235032.64</v>
      </c>
      <c r="T73" s="11">
        <f>SUMIFS(PURCHASE!$K$6:$K$10008,PURCHASE!$A$6:$A$10008,$S$3,PURCHASE!$D$6:$D$10008,$C$5:$C$499)</f>
        <v>183619.25</v>
      </c>
      <c r="U73" s="11">
        <f>SUMIFS(PURCHASE!$L$6:$L$10008,PURCHASE!$A$6:$A$10008,$S$3,PURCHASE!$D$6:$D$10008,$C$5:$C$499)</f>
        <v>0</v>
      </c>
      <c r="V73" s="11">
        <f>SUMIFS(PURCHASE!$M$6:$M$10008,PURCHASE!$A$6:$A$10008,$S$3,PURCHASE!$D$6:$D$10008,$C$5:$C$499)</f>
        <v>25706.695</v>
      </c>
      <c r="W73" s="11">
        <f>SUMIFS(PURCHASE!$N$6:$N$10008,PURCHASE!$A$6:$A$10008,$S$3,PURCHASE!$D$6:$D$10008,$C$5:$C$499)</f>
        <v>25706.695</v>
      </c>
      <c r="X73" s="11">
        <f t="shared" si="22"/>
        <v>0</v>
      </c>
      <c r="Y73" s="11">
        <f>SUMIFS(PURCHASE!$K$6:$K$10008,PURCHASE!$A$6:$A$10008,$X$3,PURCHASE!$D$6:$D$10008,$C$5:$C$499)</f>
        <v>0</v>
      </c>
      <c r="Z73" s="11">
        <f>SUMIFS(PURCHASE!$L$6:$L$10008,PURCHASE!$A$6:$A$10008,$X$3,PURCHASE!$D$6:$D$10008,$C$5:$C$499)</f>
        <v>0</v>
      </c>
      <c r="AA73" s="11">
        <f>SUMIFS(PURCHASE!$M$6:$M$10008,PURCHASE!$A$6:$A$10008,$X$3,PURCHASE!$D$6:$D$10008,$C$5:$C$499)</f>
        <v>0</v>
      </c>
      <c r="AB73" s="11">
        <f>SUMIFS(PURCHASE!$N$6:$N$10008,PURCHASE!$A$6:$A$10008,$X$3,PURCHASE!$D$6:$D$10008,$C$5:$C$499)</f>
        <v>0</v>
      </c>
      <c r="AC73" s="11">
        <f t="shared" si="23"/>
        <v>0</v>
      </c>
      <c r="AD73" s="11">
        <f>SUMIFS(PURCHASE!$K$6:$K$10008,PURCHASE!$A$6:$A$10008,$AC$3,PURCHASE!$D$6:$D$10008,$C$5:$C$499)</f>
        <v>0</v>
      </c>
      <c r="AE73" s="11">
        <f>SUMIFS(PURCHASE!$L$6:$L$10008,PURCHASE!$A$6:$A$10008,$AC$3,PURCHASE!$D$6:$D$10008,$C$5:$C$499)</f>
        <v>0</v>
      </c>
      <c r="AF73" s="11">
        <f>SUMIFS(PURCHASE!$M$6:$M$10008,PURCHASE!$A$6:$A$10008,$AC$3,PURCHASE!$D$6:$D$10008,$C$5:$C$499)</f>
        <v>0</v>
      </c>
      <c r="AG73" s="11">
        <f>SUMIFS(PURCHASE!$N$6:$N$10008,PURCHASE!$A$6:$A$10008,$AC$3,PURCHASE!$D$6:$D$10008,$C$5:$C$499)</f>
        <v>0</v>
      </c>
      <c r="AH73" s="11">
        <f t="shared" si="24"/>
        <v>0</v>
      </c>
      <c r="AI73" s="11">
        <f>SUMIFS(PURCHASE!$K$6:$K$10008,PURCHASE!$A$6:$A$10008,$AH$3,PURCHASE!$D$6:$D$10008,$C$5:$C$499)</f>
        <v>0</v>
      </c>
      <c r="AJ73" s="11">
        <f>SUMIFS(PURCHASE!$L$6:$L$10008,PURCHASE!$A$6:$A$10008,$AH$3,PURCHASE!$D$6:$D$10008,$C$5:$C$499)</f>
        <v>0</v>
      </c>
      <c r="AK73" s="11">
        <f>SUMIFS(PURCHASE!$M$6:$M$10008,PURCHASE!$A$6:$A$10008,$AH$3,PURCHASE!$D$6:$D$10008,$C$5:$C$499)</f>
        <v>0</v>
      </c>
      <c r="AL73" s="11">
        <f>SUMIFS(PURCHASE!$N$6:$N$10008,PURCHASE!$A$6:$A$10008,$AH$3,PURCHASE!$D$6:$D$10008,$C$5:$C$499)</f>
        <v>0</v>
      </c>
      <c r="AM73" s="11">
        <f t="shared" si="25"/>
        <v>0</v>
      </c>
      <c r="AN73" s="11">
        <f>SUMIFS(PURCHASE!$K$6:$K$10008,PURCHASE!$A$6:$A$10008,$AM$3,PURCHASE!$D$6:$D$10008,$C$5:$C$499)</f>
        <v>0</v>
      </c>
      <c r="AO73" s="11">
        <f>SUMIFS(PURCHASE!$L$6:$L$10008,PURCHASE!$A$6:$A$10008,$AM$3,PURCHASE!$D$6:$D$10008,$C$5:$C$499)</f>
        <v>0</v>
      </c>
      <c r="AP73" s="11">
        <f>SUMIFS(PURCHASE!$M$6:$M$10008,PURCHASE!$A$6:$A$10008,$AM$3,PURCHASE!$D$6:$D$10008,$C$5:$C$499)</f>
        <v>0</v>
      </c>
      <c r="AQ73" s="11">
        <f>SUMIFS(PURCHASE!$N$6:$N$10008,PURCHASE!$A$6:$A$10008,$AM$3,PURCHASE!$D$6:$D$10008,$C$5:$C$499)</f>
        <v>0</v>
      </c>
      <c r="AR73" s="11">
        <f t="shared" si="26"/>
        <v>0</v>
      </c>
      <c r="AS73" s="11">
        <f>SUMIFS(PURCHASE!$K$6:$K$10008,PURCHASE!$A$6:$A$10008,$AR$3,PURCHASE!$D$6:$D$10008,$C$5:$C$499)</f>
        <v>0</v>
      </c>
      <c r="AT73" s="11">
        <f>SUMIFS(PURCHASE!$L$6:$L$10008,PURCHASE!$A$6:$A$10008,$AR$3,PURCHASE!$D$6:$D$10008,$C$5:$C$499)</f>
        <v>0</v>
      </c>
      <c r="AU73" s="11">
        <f>SUMIFS(PURCHASE!$M$6:$M$10008,PURCHASE!$A$6:$A$10008,$AR$3,PURCHASE!$D$6:$D$10008,$C$5:$C$499)</f>
        <v>0</v>
      </c>
      <c r="AV73" s="11">
        <f>SUMIFS(PURCHASE!$N$6:$N$10008,PURCHASE!$A$6:$A$10008,$AR$3,PURCHASE!$D$6:$D$10008,$C$5:$C$499)</f>
        <v>0</v>
      </c>
      <c r="AW73" s="11">
        <f t="shared" si="27"/>
        <v>0</v>
      </c>
      <c r="AX73" s="11">
        <f>SUMIFS(PURCHASE!$K$6:$K$10008,PURCHASE!$A$6:$A$10008,$AW$3,PURCHASE!$D$6:$D$10008,$C$5:$C$499)</f>
        <v>0</v>
      </c>
      <c r="AY73" s="11">
        <f>SUMIFS(PURCHASE!$L$6:$L$10008,PURCHASE!$A$6:$A$10008,$AW$3,PURCHASE!$D$6:$D$10008,$C$5:$C$499)</f>
        <v>0</v>
      </c>
      <c r="AZ73" s="11">
        <f>SUMIFS(PURCHASE!$M$6:$M$10008,PURCHASE!$A$6:$A$10008,$AW$3,PURCHASE!$D$6:$D$10008,$C$5:$C$499)</f>
        <v>0</v>
      </c>
      <c r="BA73" s="11">
        <f>SUMIFS(PURCHASE!$N$6:$N$10008,PURCHASE!$A$6:$A$10008,$AW$3,PURCHASE!$D$6:$D$10008,$C$5:$C$499)</f>
        <v>0</v>
      </c>
      <c r="BB73" s="11">
        <f t="shared" si="28"/>
        <v>0</v>
      </c>
      <c r="BC73" s="11">
        <f>SUMIFS(PURCHASE!$K$6:$K$10008,PURCHASE!$A$6:$A$10008,$BB$3,PURCHASE!$D$6:$D$10008,$C$5:$C$499)</f>
        <v>0</v>
      </c>
      <c r="BD73" s="11">
        <f>SUMIFS(PURCHASE!$L$6:$L$10008,PURCHASE!$A$6:$A$10008,$BB$3,PURCHASE!$D$6:$D$10008,$C$5:$C$499)</f>
        <v>0</v>
      </c>
      <c r="BE73" s="11">
        <f>SUMIFS(PURCHASE!$M$6:$M$10008,PURCHASE!$A$6:$A$10008,$BB$3,PURCHASE!$D$6:$D$10008,$C$5:$C$499)</f>
        <v>0</v>
      </c>
      <c r="BF73" s="11">
        <f>SUMIFS(PURCHASE!$N$6:$N$10008,PURCHASE!$A$6:$A$10008,$BB$3,PURCHASE!$D$6:$D$10008,$C$5:$C$499)</f>
        <v>0</v>
      </c>
      <c r="BG73" s="11">
        <f t="shared" si="29"/>
        <v>0</v>
      </c>
      <c r="BH73" s="11">
        <f>SUMIFS(PURCHASE!$K$6:$K$10008,PURCHASE!$A$6:$A$10008,$BG$3,PURCHASE!$D$6:$D$10008,$C$5:$C$499)</f>
        <v>0</v>
      </c>
      <c r="BI73" s="11">
        <f>SUMIFS(PURCHASE!$L$6:$L$10008,PURCHASE!$A$6:$A$10008,$BG$3,PURCHASE!$D$6:$D$10008,$C$5:$C$499)</f>
        <v>0</v>
      </c>
      <c r="BJ73" s="11">
        <f>SUMIFS(PURCHASE!$M$6:$M$10008,PURCHASE!$A$6:$A$10008,$BG$3,PURCHASE!$D$6:$D$10008,$C$5:$C$499)</f>
        <v>0</v>
      </c>
      <c r="BK73" s="11">
        <f>SUMIFS(PURCHASE!$N$6:$N$10008,PURCHASE!$A$6:$A$10008,$BG$3,PURCHASE!$D$6:$D$10008,$C$5:$C$499)</f>
        <v>0</v>
      </c>
      <c r="BL73" s="11">
        <f t="shared" si="17"/>
        <v>498151.04000000004</v>
      </c>
      <c r="BM73" s="11">
        <f t="shared" si="17"/>
        <v>389180.5</v>
      </c>
      <c r="BN73" s="11">
        <f t="shared" si="17"/>
        <v>0</v>
      </c>
      <c r="BO73" s="11">
        <f t="shared" si="17"/>
        <v>54485.27</v>
      </c>
      <c r="BP73" s="11">
        <f t="shared" si="17"/>
        <v>54485.27</v>
      </c>
    </row>
    <row r="74" spans="1:68" x14ac:dyDescent="0.2">
      <c r="A74" s="467">
        <v>70</v>
      </c>
      <c r="B74" s="468" t="s">
        <v>589</v>
      </c>
      <c r="C74" s="469" t="s">
        <v>590</v>
      </c>
      <c r="D74" s="11">
        <f t="shared" si="18"/>
        <v>124407.4</v>
      </c>
      <c r="E74" s="11">
        <f>SUMIFS(PURCHASE!$K$6:$K$10008,PURCHASE!$A$6:$A$10008,$D$3,PURCHASE!$D$6:$D$10008,$C$5:$C$499)</f>
        <v>105430</v>
      </c>
      <c r="F74" s="11">
        <f>SUMIFS(PURCHASE!$L$6:$L$10008,PURCHASE!$A$6:$A$10008,$D$3,PURCHASE!$D$6:$D$10008,$C$5:$C$499)</f>
        <v>0</v>
      </c>
      <c r="G74" s="11">
        <f>SUMIFS(PURCHASE!$M$6:$M$10008,PURCHASE!$A$6:$A$10008,$D$3,PURCHASE!$D$6:$D$10008,$C$5:$C$499)</f>
        <v>9488.6999999999989</v>
      </c>
      <c r="H74" s="11">
        <f>SUMIFS(PURCHASE!$N$6:$N$10008,PURCHASE!$A$6:$A$10008,$D$3,PURCHASE!$D$6:$D$10008,$C$5:$C$499)</f>
        <v>9488.6999999999989</v>
      </c>
      <c r="I74" s="473">
        <f t="shared" si="19"/>
        <v>238574.052</v>
      </c>
      <c r="J74" s="60">
        <f>SUMIFS(PURCHASE!$K$6:$K$10008,PURCHASE!$A$6:$A$10008,$I$3,PURCHASE!$D$6:$D$10008,$C$5:$C$499)</f>
        <v>202181.4</v>
      </c>
      <c r="K74" s="60">
        <f>SUMIFS(PURCHASE!$L$6:$L$10008,PURCHASE!$A$6:$A$10008,$I$3,PURCHASE!$D$6:$D$10008,$C$5:$C$499)</f>
        <v>0</v>
      </c>
      <c r="L74" s="60">
        <f>SUMIFS(PURCHASE!$M$6:$M$10008,PURCHASE!$A$6:$A$10008,$I$3,PURCHASE!$D$6:$D$10008,$C$5:$C$499)</f>
        <v>18196.325999999997</v>
      </c>
      <c r="M74" s="474">
        <f>SUMIFS(PURCHASE!$N$6:$N$10008,PURCHASE!$A$6:$A$10008,$I$3,PURCHASE!$D$6:$D$10008,$C$5:$C$499)</f>
        <v>18196.325999999997</v>
      </c>
      <c r="N74" s="11">
        <f t="shared" si="20"/>
        <v>184769.06099999999</v>
      </c>
      <c r="O74" s="11">
        <f>SUMIFS(PURCHASE!$K$6:$K$10008,PURCHASE!$A$6:$A$10008,$N$3,PURCHASE!$D$6:$D$10008,$C$5:$C$499)</f>
        <v>156583.95000000001</v>
      </c>
      <c r="P74" s="11">
        <f>SUMIFS(PURCHASE!$L$6:$L$10008,PURCHASE!$A$6:$A$10008,$N$3,PURCHASE!$D$6:$D$10008,$C$5:$C$499)</f>
        <v>0</v>
      </c>
      <c r="Q74" s="11">
        <f>SUMIFS(PURCHASE!$M$6:$M$10008,PURCHASE!$A$6:$A$10008,$N$3,PURCHASE!$D$6:$D$10008,$C$5:$C$499)</f>
        <v>14092.5555</v>
      </c>
      <c r="R74" s="11">
        <f>SUMIFS(PURCHASE!$N$6:$N$10008,PURCHASE!$A$6:$A$10008,$N$3,PURCHASE!$D$6:$D$10008,$C$5:$C$499)</f>
        <v>14092.5555</v>
      </c>
      <c r="S74" s="11">
        <f t="shared" si="21"/>
        <v>77259.792000000001</v>
      </c>
      <c r="T74" s="11">
        <f>SUMIFS(PURCHASE!$K$6:$K$10008,PURCHASE!$A$6:$A$10008,$S$3,PURCHASE!$D$6:$D$10008,$C$5:$C$499)</f>
        <v>65474.400000000001</v>
      </c>
      <c r="U74" s="11">
        <f>SUMIFS(PURCHASE!$L$6:$L$10008,PURCHASE!$A$6:$A$10008,$S$3,PURCHASE!$D$6:$D$10008,$C$5:$C$499)</f>
        <v>0</v>
      </c>
      <c r="V74" s="11">
        <f>SUMIFS(PURCHASE!$M$6:$M$10008,PURCHASE!$A$6:$A$10008,$S$3,PURCHASE!$D$6:$D$10008,$C$5:$C$499)</f>
        <v>5892.6959999999999</v>
      </c>
      <c r="W74" s="11">
        <f>SUMIFS(PURCHASE!$N$6:$N$10008,PURCHASE!$A$6:$A$10008,$S$3,PURCHASE!$D$6:$D$10008,$C$5:$C$499)</f>
        <v>5892.6959999999999</v>
      </c>
      <c r="X74" s="11">
        <f t="shared" si="22"/>
        <v>116024.916</v>
      </c>
      <c r="Y74" s="11">
        <f>SUMIFS(PURCHASE!$K$6:$K$10008,PURCHASE!$A$6:$A$10008,$X$3,PURCHASE!$D$6:$D$10008,$C$5:$C$499)</f>
        <v>98326.2</v>
      </c>
      <c r="Z74" s="11">
        <f>SUMIFS(PURCHASE!$L$6:$L$10008,PURCHASE!$A$6:$A$10008,$X$3,PURCHASE!$D$6:$D$10008,$C$5:$C$499)</f>
        <v>0</v>
      </c>
      <c r="AA74" s="11">
        <f>SUMIFS(PURCHASE!$M$6:$M$10008,PURCHASE!$A$6:$A$10008,$X$3,PURCHASE!$D$6:$D$10008,$C$5:$C$499)</f>
        <v>8849.3580000000002</v>
      </c>
      <c r="AB74" s="11">
        <f>SUMIFS(PURCHASE!$N$6:$N$10008,PURCHASE!$A$6:$A$10008,$X$3,PURCHASE!$D$6:$D$10008,$C$5:$C$499)</f>
        <v>8849.3580000000002</v>
      </c>
      <c r="AC74" s="11">
        <f t="shared" si="23"/>
        <v>98394.890000000014</v>
      </c>
      <c r="AD74" s="11">
        <f>SUMIFS(PURCHASE!$K$6:$K$10008,PURCHASE!$A$6:$A$10008,$AC$3,PURCHASE!$D$6:$D$10008,$C$5:$C$499)</f>
        <v>83385.5</v>
      </c>
      <c r="AE74" s="11">
        <f>SUMIFS(PURCHASE!$L$6:$L$10008,PURCHASE!$A$6:$A$10008,$AC$3,PURCHASE!$D$6:$D$10008,$C$5:$C$499)</f>
        <v>0</v>
      </c>
      <c r="AF74" s="11">
        <f>SUMIFS(PURCHASE!$M$6:$M$10008,PURCHASE!$A$6:$A$10008,$AC$3,PURCHASE!$D$6:$D$10008,$C$5:$C$499)</f>
        <v>7504.6949999999997</v>
      </c>
      <c r="AG74" s="11">
        <f>SUMIFS(PURCHASE!$N$6:$N$10008,PURCHASE!$A$6:$A$10008,$AC$3,PURCHASE!$D$6:$D$10008,$C$5:$C$499)</f>
        <v>7504.6949999999997</v>
      </c>
      <c r="AH74" s="11">
        <f t="shared" si="24"/>
        <v>26919.93</v>
      </c>
      <c r="AI74" s="11">
        <f>SUMIFS(PURCHASE!$K$6:$K$10008,PURCHASE!$A$6:$A$10008,$AH$3,PURCHASE!$D$6:$D$10008,$C$5:$C$499)</f>
        <v>22813.5</v>
      </c>
      <c r="AJ74" s="11">
        <f>SUMIFS(PURCHASE!$L$6:$L$10008,PURCHASE!$A$6:$A$10008,$AH$3,PURCHASE!$D$6:$D$10008,$C$5:$C$499)</f>
        <v>0</v>
      </c>
      <c r="AK74" s="11">
        <f>SUMIFS(PURCHASE!$M$6:$M$10008,PURCHASE!$A$6:$A$10008,$AH$3,PURCHASE!$D$6:$D$10008,$C$5:$C$499)</f>
        <v>2053.2150000000001</v>
      </c>
      <c r="AL74" s="11">
        <f>SUMIFS(PURCHASE!$N$6:$N$10008,PURCHASE!$A$6:$A$10008,$AH$3,PURCHASE!$D$6:$D$10008,$C$5:$C$499)</f>
        <v>2053.2150000000001</v>
      </c>
      <c r="AM74" s="11">
        <f t="shared" si="25"/>
        <v>0</v>
      </c>
      <c r="AN74" s="11">
        <f>SUMIFS(PURCHASE!$K$6:$K$10008,PURCHASE!$A$6:$A$10008,$AM$3,PURCHASE!$D$6:$D$10008,$C$5:$C$499)</f>
        <v>0</v>
      </c>
      <c r="AO74" s="11">
        <f>SUMIFS(PURCHASE!$L$6:$L$10008,PURCHASE!$A$6:$A$10008,$AM$3,PURCHASE!$D$6:$D$10008,$C$5:$C$499)</f>
        <v>0</v>
      </c>
      <c r="AP74" s="11">
        <f>SUMIFS(PURCHASE!$M$6:$M$10008,PURCHASE!$A$6:$A$10008,$AM$3,PURCHASE!$D$6:$D$10008,$C$5:$C$499)</f>
        <v>0</v>
      </c>
      <c r="AQ74" s="11">
        <f>SUMIFS(PURCHASE!$N$6:$N$10008,PURCHASE!$A$6:$A$10008,$AM$3,PURCHASE!$D$6:$D$10008,$C$5:$C$499)</f>
        <v>0</v>
      </c>
      <c r="AR74" s="11">
        <f t="shared" si="26"/>
        <v>0</v>
      </c>
      <c r="AS74" s="11">
        <f>SUMIFS(PURCHASE!$K$6:$K$10008,PURCHASE!$A$6:$A$10008,$AR$3,PURCHASE!$D$6:$D$10008,$C$5:$C$499)</f>
        <v>0</v>
      </c>
      <c r="AT74" s="11">
        <f>SUMIFS(PURCHASE!$L$6:$L$10008,PURCHASE!$A$6:$A$10008,$AR$3,PURCHASE!$D$6:$D$10008,$C$5:$C$499)</f>
        <v>0</v>
      </c>
      <c r="AU74" s="11">
        <f>SUMIFS(PURCHASE!$M$6:$M$10008,PURCHASE!$A$6:$A$10008,$AR$3,PURCHASE!$D$6:$D$10008,$C$5:$C$499)</f>
        <v>0</v>
      </c>
      <c r="AV74" s="11">
        <f>SUMIFS(PURCHASE!$N$6:$N$10008,PURCHASE!$A$6:$A$10008,$AR$3,PURCHASE!$D$6:$D$10008,$C$5:$C$499)</f>
        <v>0</v>
      </c>
      <c r="AW74" s="11">
        <f t="shared" si="27"/>
        <v>0</v>
      </c>
      <c r="AX74" s="11">
        <f>SUMIFS(PURCHASE!$K$6:$K$10008,PURCHASE!$A$6:$A$10008,$AW$3,PURCHASE!$D$6:$D$10008,$C$5:$C$499)</f>
        <v>0</v>
      </c>
      <c r="AY74" s="11">
        <f>SUMIFS(PURCHASE!$L$6:$L$10008,PURCHASE!$A$6:$A$10008,$AW$3,PURCHASE!$D$6:$D$10008,$C$5:$C$499)</f>
        <v>0</v>
      </c>
      <c r="AZ74" s="11">
        <f>SUMIFS(PURCHASE!$M$6:$M$10008,PURCHASE!$A$6:$A$10008,$AW$3,PURCHASE!$D$6:$D$10008,$C$5:$C$499)</f>
        <v>0</v>
      </c>
      <c r="BA74" s="11">
        <f>SUMIFS(PURCHASE!$N$6:$N$10008,PURCHASE!$A$6:$A$10008,$AW$3,PURCHASE!$D$6:$D$10008,$C$5:$C$499)</f>
        <v>0</v>
      </c>
      <c r="BB74" s="11">
        <f t="shared" si="28"/>
        <v>0</v>
      </c>
      <c r="BC74" s="11">
        <f>SUMIFS(PURCHASE!$K$6:$K$10008,PURCHASE!$A$6:$A$10008,$BB$3,PURCHASE!$D$6:$D$10008,$C$5:$C$499)</f>
        <v>0</v>
      </c>
      <c r="BD74" s="11">
        <f>SUMIFS(PURCHASE!$L$6:$L$10008,PURCHASE!$A$6:$A$10008,$BB$3,PURCHASE!$D$6:$D$10008,$C$5:$C$499)</f>
        <v>0</v>
      </c>
      <c r="BE74" s="11">
        <f>SUMIFS(PURCHASE!$M$6:$M$10008,PURCHASE!$A$6:$A$10008,$BB$3,PURCHASE!$D$6:$D$10008,$C$5:$C$499)</f>
        <v>0</v>
      </c>
      <c r="BF74" s="11">
        <f>SUMIFS(PURCHASE!$N$6:$N$10008,PURCHASE!$A$6:$A$10008,$BB$3,PURCHASE!$D$6:$D$10008,$C$5:$C$499)</f>
        <v>0</v>
      </c>
      <c r="BG74" s="11">
        <f t="shared" si="29"/>
        <v>0</v>
      </c>
      <c r="BH74" s="11">
        <f>SUMIFS(PURCHASE!$K$6:$K$10008,PURCHASE!$A$6:$A$10008,$BG$3,PURCHASE!$D$6:$D$10008,$C$5:$C$499)</f>
        <v>0</v>
      </c>
      <c r="BI74" s="11">
        <f>SUMIFS(PURCHASE!$L$6:$L$10008,PURCHASE!$A$6:$A$10008,$BG$3,PURCHASE!$D$6:$D$10008,$C$5:$C$499)</f>
        <v>0</v>
      </c>
      <c r="BJ74" s="11">
        <f>SUMIFS(PURCHASE!$M$6:$M$10008,PURCHASE!$A$6:$A$10008,$BG$3,PURCHASE!$D$6:$D$10008,$C$5:$C$499)</f>
        <v>0</v>
      </c>
      <c r="BK74" s="11">
        <f>SUMIFS(PURCHASE!$N$6:$N$10008,PURCHASE!$A$6:$A$10008,$BG$3,PURCHASE!$D$6:$D$10008,$C$5:$C$499)</f>
        <v>0</v>
      </c>
      <c r="BL74" s="11">
        <f t="shared" si="17"/>
        <v>866350.04100000008</v>
      </c>
      <c r="BM74" s="11">
        <f t="shared" si="17"/>
        <v>734194.95</v>
      </c>
      <c r="BN74" s="11">
        <f t="shared" si="17"/>
        <v>0</v>
      </c>
      <c r="BO74" s="11">
        <f t="shared" si="17"/>
        <v>66077.545499999993</v>
      </c>
      <c r="BP74" s="11">
        <f t="shared" si="17"/>
        <v>66077.545499999993</v>
      </c>
    </row>
    <row r="75" spans="1:68" x14ac:dyDescent="0.2">
      <c r="A75" s="467">
        <v>71</v>
      </c>
      <c r="B75" s="468" t="s">
        <v>919</v>
      </c>
      <c r="C75" s="469" t="s">
        <v>920</v>
      </c>
      <c r="D75" s="11">
        <f t="shared" si="18"/>
        <v>0</v>
      </c>
      <c r="E75" s="11">
        <f>SUMIFS(PURCHASE!$K$6:$K$10008,PURCHASE!$A$6:$A$10008,$D$3,PURCHASE!$D$6:$D$10008,$C$5:$C$499)</f>
        <v>0</v>
      </c>
      <c r="F75" s="11">
        <f>SUMIFS(PURCHASE!$L$6:$L$10008,PURCHASE!$A$6:$A$10008,$D$3,PURCHASE!$D$6:$D$10008,$C$5:$C$499)</f>
        <v>0</v>
      </c>
      <c r="G75" s="11">
        <f>SUMIFS(PURCHASE!$M$6:$M$10008,PURCHASE!$A$6:$A$10008,$D$3,PURCHASE!$D$6:$D$10008,$C$5:$C$499)</f>
        <v>0</v>
      </c>
      <c r="H75" s="11">
        <f>SUMIFS(PURCHASE!$N$6:$N$10008,PURCHASE!$A$6:$A$10008,$D$3,PURCHASE!$D$6:$D$10008,$C$5:$C$499)</f>
        <v>0</v>
      </c>
      <c r="I75" s="473">
        <f t="shared" si="19"/>
        <v>0</v>
      </c>
      <c r="J75" s="60">
        <f>SUMIFS(PURCHASE!$K$6:$K$10008,PURCHASE!$A$6:$A$10008,$I$3,PURCHASE!$D$6:$D$10008,$C$5:$C$499)</f>
        <v>0</v>
      </c>
      <c r="K75" s="60">
        <f>SUMIFS(PURCHASE!$L$6:$L$10008,PURCHASE!$A$6:$A$10008,$I$3,PURCHASE!$D$6:$D$10008,$C$5:$C$499)</f>
        <v>0</v>
      </c>
      <c r="L75" s="60">
        <f>SUMIFS(PURCHASE!$M$6:$M$10008,PURCHASE!$A$6:$A$10008,$I$3,PURCHASE!$D$6:$D$10008,$C$5:$C$499)</f>
        <v>0</v>
      </c>
      <c r="M75" s="474">
        <f>SUMIFS(PURCHASE!$N$6:$N$10008,PURCHASE!$A$6:$A$10008,$I$3,PURCHASE!$D$6:$D$10008,$C$5:$C$499)</f>
        <v>0</v>
      </c>
      <c r="N75" s="11">
        <f t="shared" si="20"/>
        <v>0</v>
      </c>
      <c r="O75" s="11">
        <f>SUMIFS(PURCHASE!$K$6:$K$10008,PURCHASE!$A$6:$A$10008,$N$3,PURCHASE!$D$6:$D$10008,$C$5:$C$499)</f>
        <v>0</v>
      </c>
      <c r="P75" s="11">
        <f>SUMIFS(PURCHASE!$L$6:$L$10008,PURCHASE!$A$6:$A$10008,$N$3,PURCHASE!$D$6:$D$10008,$C$5:$C$499)</f>
        <v>0</v>
      </c>
      <c r="Q75" s="11">
        <f>SUMIFS(PURCHASE!$M$6:$M$10008,PURCHASE!$A$6:$A$10008,$N$3,PURCHASE!$D$6:$D$10008,$C$5:$C$499)</f>
        <v>0</v>
      </c>
      <c r="R75" s="11">
        <f>SUMIFS(PURCHASE!$N$6:$N$10008,PURCHASE!$A$6:$A$10008,$N$3,PURCHASE!$D$6:$D$10008,$C$5:$C$499)</f>
        <v>0</v>
      </c>
      <c r="S75" s="11">
        <f t="shared" si="21"/>
        <v>0</v>
      </c>
      <c r="T75" s="11">
        <f>SUMIFS(PURCHASE!$K$6:$K$10008,PURCHASE!$A$6:$A$10008,$S$3,PURCHASE!$D$6:$D$10008,$C$5:$C$499)</f>
        <v>0</v>
      </c>
      <c r="U75" s="11">
        <f>SUMIFS(PURCHASE!$L$6:$L$10008,PURCHASE!$A$6:$A$10008,$S$3,PURCHASE!$D$6:$D$10008,$C$5:$C$499)</f>
        <v>0</v>
      </c>
      <c r="V75" s="11">
        <f>SUMIFS(PURCHASE!$M$6:$M$10008,PURCHASE!$A$6:$A$10008,$S$3,PURCHASE!$D$6:$D$10008,$C$5:$C$499)</f>
        <v>0</v>
      </c>
      <c r="W75" s="11">
        <f>SUMIFS(PURCHASE!$N$6:$N$10008,PURCHASE!$A$6:$A$10008,$S$3,PURCHASE!$D$6:$D$10008,$C$5:$C$499)</f>
        <v>0</v>
      </c>
      <c r="X75" s="11">
        <f t="shared" si="22"/>
        <v>1274.4000000000001</v>
      </c>
      <c r="Y75" s="11">
        <f>SUMIFS(PURCHASE!$K$6:$K$10008,PURCHASE!$A$6:$A$10008,$X$3,PURCHASE!$D$6:$D$10008,$C$5:$C$499)</f>
        <v>1080</v>
      </c>
      <c r="Z75" s="11">
        <f>SUMIFS(PURCHASE!$L$6:$L$10008,PURCHASE!$A$6:$A$10008,$X$3,PURCHASE!$D$6:$D$10008,$C$5:$C$499)</f>
        <v>0</v>
      </c>
      <c r="AA75" s="11">
        <f>SUMIFS(PURCHASE!$M$6:$M$10008,PURCHASE!$A$6:$A$10008,$X$3,PURCHASE!$D$6:$D$10008,$C$5:$C$499)</f>
        <v>97.2</v>
      </c>
      <c r="AB75" s="11">
        <f>SUMIFS(PURCHASE!$N$6:$N$10008,PURCHASE!$A$6:$A$10008,$X$3,PURCHASE!$D$6:$D$10008,$C$5:$C$499)</f>
        <v>97.2</v>
      </c>
      <c r="AC75" s="11">
        <f t="shared" si="23"/>
        <v>0</v>
      </c>
      <c r="AD75" s="11">
        <f>SUMIFS(PURCHASE!$K$6:$K$10008,PURCHASE!$A$6:$A$10008,$AC$3,PURCHASE!$D$6:$D$10008,$C$5:$C$499)</f>
        <v>0</v>
      </c>
      <c r="AE75" s="11">
        <f>SUMIFS(PURCHASE!$L$6:$L$10008,PURCHASE!$A$6:$A$10008,$AC$3,PURCHASE!$D$6:$D$10008,$C$5:$C$499)</f>
        <v>0</v>
      </c>
      <c r="AF75" s="11">
        <f>SUMIFS(PURCHASE!$M$6:$M$10008,PURCHASE!$A$6:$A$10008,$AC$3,PURCHASE!$D$6:$D$10008,$C$5:$C$499)</f>
        <v>0</v>
      </c>
      <c r="AG75" s="11">
        <f>SUMIFS(PURCHASE!$N$6:$N$10008,PURCHASE!$A$6:$A$10008,$AC$3,PURCHASE!$D$6:$D$10008,$C$5:$C$499)</f>
        <v>0</v>
      </c>
      <c r="AH75" s="11">
        <f t="shared" si="24"/>
        <v>0</v>
      </c>
      <c r="AI75" s="11">
        <f>SUMIFS(PURCHASE!$K$6:$K$10008,PURCHASE!$A$6:$A$10008,$AH$3,PURCHASE!$D$6:$D$10008,$C$5:$C$499)</f>
        <v>0</v>
      </c>
      <c r="AJ75" s="11">
        <f>SUMIFS(PURCHASE!$L$6:$L$10008,PURCHASE!$A$6:$A$10008,$AH$3,PURCHASE!$D$6:$D$10008,$C$5:$C$499)</f>
        <v>0</v>
      </c>
      <c r="AK75" s="11">
        <f>SUMIFS(PURCHASE!$M$6:$M$10008,PURCHASE!$A$6:$A$10008,$AH$3,PURCHASE!$D$6:$D$10008,$C$5:$C$499)</f>
        <v>0</v>
      </c>
      <c r="AL75" s="11">
        <f>SUMIFS(PURCHASE!$N$6:$N$10008,PURCHASE!$A$6:$A$10008,$AH$3,PURCHASE!$D$6:$D$10008,$C$5:$C$499)</f>
        <v>0</v>
      </c>
      <c r="AM75" s="11">
        <f t="shared" si="25"/>
        <v>0</v>
      </c>
      <c r="AN75" s="11">
        <f>SUMIFS(PURCHASE!$K$6:$K$10008,PURCHASE!$A$6:$A$10008,$AM$3,PURCHASE!$D$6:$D$10008,$C$5:$C$499)</f>
        <v>0</v>
      </c>
      <c r="AO75" s="11">
        <f>SUMIFS(PURCHASE!$L$6:$L$10008,PURCHASE!$A$6:$A$10008,$AM$3,PURCHASE!$D$6:$D$10008,$C$5:$C$499)</f>
        <v>0</v>
      </c>
      <c r="AP75" s="11">
        <f>SUMIFS(PURCHASE!$M$6:$M$10008,PURCHASE!$A$6:$A$10008,$AM$3,PURCHASE!$D$6:$D$10008,$C$5:$C$499)</f>
        <v>0</v>
      </c>
      <c r="AQ75" s="11">
        <f>SUMIFS(PURCHASE!$N$6:$N$10008,PURCHASE!$A$6:$A$10008,$AM$3,PURCHASE!$D$6:$D$10008,$C$5:$C$499)</f>
        <v>0</v>
      </c>
      <c r="AR75" s="11">
        <f t="shared" si="26"/>
        <v>0</v>
      </c>
      <c r="AS75" s="11">
        <f>SUMIFS(PURCHASE!$K$6:$K$10008,PURCHASE!$A$6:$A$10008,$AR$3,PURCHASE!$D$6:$D$10008,$C$5:$C$499)</f>
        <v>0</v>
      </c>
      <c r="AT75" s="11">
        <f>SUMIFS(PURCHASE!$L$6:$L$10008,PURCHASE!$A$6:$A$10008,$AR$3,PURCHASE!$D$6:$D$10008,$C$5:$C$499)</f>
        <v>0</v>
      </c>
      <c r="AU75" s="11">
        <f>SUMIFS(PURCHASE!$M$6:$M$10008,PURCHASE!$A$6:$A$10008,$AR$3,PURCHASE!$D$6:$D$10008,$C$5:$C$499)</f>
        <v>0</v>
      </c>
      <c r="AV75" s="11">
        <f>SUMIFS(PURCHASE!$N$6:$N$10008,PURCHASE!$A$6:$A$10008,$AR$3,PURCHASE!$D$6:$D$10008,$C$5:$C$499)</f>
        <v>0</v>
      </c>
      <c r="AW75" s="11">
        <f t="shared" si="27"/>
        <v>0</v>
      </c>
      <c r="AX75" s="11">
        <f>SUMIFS(PURCHASE!$K$6:$K$10008,PURCHASE!$A$6:$A$10008,$AW$3,PURCHASE!$D$6:$D$10008,$C$5:$C$499)</f>
        <v>0</v>
      </c>
      <c r="AY75" s="11">
        <f>SUMIFS(PURCHASE!$L$6:$L$10008,PURCHASE!$A$6:$A$10008,$AW$3,PURCHASE!$D$6:$D$10008,$C$5:$C$499)</f>
        <v>0</v>
      </c>
      <c r="AZ75" s="11">
        <f>SUMIFS(PURCHASE!$M$6:$M$10008,PURCHASE!$A$6:$A$10008,$AW$3,PURCHASE!$D$6:$D$10008,$C$5:$C$499)</f>
        <v>0</v>
      </c>
      <c r="BA75" s="11">
        <f>SUMIFS(PURCHASE!$N$6:$N$10008,PURCHASE!$A$6:$A$10008,$AW$3,PURCHASE!$D$6:$D$10008,$C$5:$C$499)</f>
        <v>0</v>
      </c>
      <c r="BB75" s="11">
        <f t="shared" si="28"/>
        <v>0</v>
      </c>
      <c r="BC75" s="11">
        <f>SUMIFS(PURCHASE!$K$6:$K$10008,PURCHASE!$A$6:$A$10008,$BB$3,PURCHASE!$D$6:$D$10008,$C$5:$C$499)</f>
        <v>0</v>
      </c>
      <c r="BD75" s="11">
        <f>SUMIFS(PURCHASE!$L$6:$L$10008,PURCHASE!$A$6:$A$10008,$BB$3,PURCHASE!$D$6:$D$10008,$C$5:$C$499)</f>
        <v>0</v>
      </c>
      <c r="BE75" s="11">
        <f>SUMIFS(PURCHASE!$M$6:$M$10008,PURCHASE!$A$6:$A$10008,$BB$3,PURCHASE!$D$6:$D$10008,$C$5:$C$499)</f>
        <v>0</v>
      </c>
      <c r="BF75" s="11">
        <f>SUMIFS(PURCHASE!$N$6:$N$10008,PURCHASE!$A$6:$A$10008,$BB$3,PURCHASE!$D$6:$D$10008,$C$5:$C$499)</f>
        <v>0</v>
      </c>
      <c r="BG75" s="11">
        <f t="shared" si="29"/>
        <v>0</v>
      </c>
      <c r="BH75" s="11">
        <f>SUMIFS(PURCHASE!$K$6:$K$10008,PURCHASE!$A$6:$A$10008,$BG$3,PURCHASE!$D$6:$D$10008,$C$5:$C$499)</f>
        <v>0</v>
      </c>
      <c r="BI75" s="11">
        <f>SUMIFS(PURCHASE!$L$6:$L$10008,PURCHASE!$A$6:$A$10008,$BG$3,PURCHASE!$D$6:$D$10008,$C$5:$C$499)</f>
        <v>0</v>
      </c>
      <c r="BJ75" s="11">
        <f>SUMIFS(PURCHASE!$M$6:$M$10008,PURCHASE!$A$6:$A$10008,$BG$3,PURCHASE!$D$6:$D$10008,$C$5:$C$499)</f>
        <v>0</v>
      </c>
      <c r="BK75" s="11">
        <f>SUMIFS(PURCHASE!$N$6:$N$10008,PURCHASE!$A$6:$A$10008,$BG$3,PURCHASE!$D$6:$D$10008,$C$5:$C$499)</f>
        <v>0</v>
      </c>
      <c r="BL75" s="11">
        <f t="shared" si="17"/>
        <v>1274.4000000000001</v>
      </c>
      <c r="BM75" s="11">
        <f t="shared" si="17"/>
        <v>1080</v>
      </c>
      <c r="BN75" s="11">
        <f t="shared" si="17"/>
        <v>0</v>
      </c>
      <c r="BO75" s="11">
        <f t="shared" si="17"/>
        <v>97.2</v>
      </c>
      <c r="BP75" s="11">
        <f t="shared" si="17"/>
        <v>97.2</v>
      </c>
    </row>
    <row r="76" spans="1:68" x14ac:dyDescent="0.2">
      <c r="A76" s="467">
        <v>72</v>
      </c>
      <c r="B76" s="468" t="s">
        <v>625</v>
      </c>
      <c r="C76" s="469" t="s">
        <v>626</v>
      </c>
      <c r="D76" s="11">
        <f t="shared" si="18"/>
        <v>0</v>
      </c>
      <c r="E76" s="11">
        <f>SUMIFS(PURCHASE!$K$6:$K$10008,PURCHASE!$A$6:$A$10008,$D$3,PURCHASE!$D$6:$D$10008,$C$5:$C$499)</f>
        <v>0</v>
      </c>
      <c r="F76" s="11">
        <f>SUMIFS(PURCHASE!$L$6:$L$10008,PURCHASE!$A$6:$A$10008,$D$3,PURCHASE!$D$6:$D$10008,$C$5:$C$499)</f>
        <v>0</v>
      </c>
      <c r="G76" s="11">
        <f>SUMIFS(PURCHASE!$M$6:$M$10008,PURCHASE!$A$6:$A$10008,$D$3,PURCHASE!$D$6:$D$10008,$C$5:$C$499)</f>
        <v>0</v>
      </c>
      <c r="H76" s="11">
        <f>SUMIFS(PURCHASE!$N$6:$N$10008,PURCHASE!$A$6:$A$10008,$D$3,PURCHASE!$D$6:$D$10008,$C$5:$C$499)</f>
        <v>0</v>
      </c>
      <c r="I76" s="473">
        <f t="shared" si="19"/>
        <v>12171.7</v>
      </c>
      <c r="J76" s="60">
        <f>SUMIFS(PURCHASE!$K$6:$K$10008,PURCHASE!$A$6:$A$10008,$I$3,PURCHASE!$D$6:$D$10008,$C$5:$C$499)</f>
        <v>10315</v>
      </c>
      <c r="K76" s="60">
        <f>SUMIFS(PURCHASE!$L$6:$L$10008,PURCHASE!$A$6:$A$10008,$I$3,PURCHASE!$D$6:$D$10008,$C$5:$C$499)</f>
        <v>0</v>
      </c>
      <c r="L76" s="60">
        <f>SUMIFS(PURCHASE!$M$6:$M$10008,PURCHASE!$A$6:$A$10008,$I$3,PURCHASE!$D$6:$D$10008,$C$5:$C$499)</f>
        <v>928.35</v>
      </c>
      <c r="M76" s="474">
        <f>SUMIFS(PURCHASE!$N$6:$N$10008,PURCHASE!$A$6:$A$10008,$I$3,PURCHASE!$D$6:$D$10008,$C$5:$C$499)</f>
        <v>928.35</v>
      </c>
      <c r="N76" s="11">
        <f t="shared" si="20"/>
        <v>0</v>
      </c>
      <c r="O76" s="11">
        <f>SUMIFS(PURCHASE!$K$6:$K$10008,PURCHASE!$A$6:$A$10008,$N$3,PURCHASE!$D$6:$D$10008,$C$5:$C$499)</f>
        <v>0</v>
      </c>
      <c r="P76" s="11">
        <f>SUMIFS(PURCHASE!$L$6:$L$10008,PURCHASE!$A$6:$A$10008,$N$3,PURCHASE!$D$6:$D$10008,$C$5:$C$499)</f>
        <v>0</v>
      </c>
      <c r="Q76" s="11">
        <f>SUMIFS(PURCHASE!$M$6:$M$10008,PURCHASE!$A$6:$A$10008,$N$3,PURCHASE!$D$6:$D$10008,$C$5:$C$499)</f>
        <v>0</v>
      </c>
      <c r="R76" s="11">
        <f>SUMIFS(PURCHASE!$N$6:$N$10008,PURCHASE!$A$6:$A$10008,$N$3,PURCHASE!$D$6:$D$10008,$C$5:$C$499)</f>
        <v>0</v>
      </c>
      <c r="S76" s="11">
        <f t="shared" si="21"/>
        <v>0</v>
      </c>
      <c r="T76" s="11">
        <f>SUMIFS(PURCHASE!$K$6:$K$10008,PURCHASE!$A$6:$A$10008,$S$3,PURCHASE!$D$6:$D$10008,$C$5:$C$499)</f>
        <v>0</v>
      </c>
      <c r="U76" s="11">
        <f>SUMIFS(PURCHASE!$L$6:$L$10008,PURCHASE!$A$6:$A$10008,$S$3,PURCHASE!$D$6:$D$10008,$C$5:$C$499)</f>
        <v>0</v>
      </c>
      <c r="V76" s="11">
        <f>SUMIFS(PURCHASE!$M$6:$M$10008,PURCHASE!$A$6:$A$10008,$S$3,PURCHASE!$D$6:$D$10008,$C$5:$C$499)</f>
        <v>0</v>
      </c>
      <c r="W76" s="11">
        <f>SUMIFS(PURCHASE!$N$6:$N$10008,PURCHASE!$A$6:$A$10008,$S$3,PURCHASE!$D$6:$D$10008,$C$5:$C$499)</f>
        <v>0</v>
      </c>
      <c r="X76" s="11">
        <f t="shared" si="22"/>
        <v>0</v>
      </c>
      <c r="Y76" s="11">
        <f>SUMIFS(PURCHASE!$K$6:$K$10008,PURCHASE!$A$6:$A$10008,$X$3,PURCHASE!$D$6:$D$10008,$C$5:$C$499)</f>
        <v>0</v>
      </c>
      <c r="Z76" s="11">
        <f>SUMIFS(PURCHASE!$L$6:$L$10008,PURCHASE!$A$6:$A$10008,$X$3,PURCHASE!$D$6:$D$10008,$C$5:$C$499)</f>
        <v>0</v>
      </c>
      <c r="AA76" s="11">
        <f>SUMIFS(PURCHASE!$M$6:$M$10008,PURCHASE!$A$6:$A$10008,$X$3,PURCHASE!$D$6:$D$10008,$C$5:$C$499)</f>
        <v>0</v>
      </c>
      <c r="AB76" s="11">
        <f>SUMIFS(PURCHASE!$N$6:$N$10008,PURCHASE!$A$6:$A$10008,$X$3,PURCHASE!$D$6:$D$10008,$C$5:$C$499)</f>
        <v>0</v>
      </c>
      <c r="AC76" s="11">
        <f t="shared" si="23"/>
        <v>0</v>
      </c>
      <c r="AD76" s="11">
        <f>SUMIFS(PURCHASE!$K$6:$K$10008,PURCHASE!$A$6:$A$10008,$AC$3,PURCHASE!$D$6:$D$10008,$C$5:$C$499)</f>
        <v>0</v>
      </c>
      <c r="AE76" s="11">
        <f>SUMIFS(PURCHASE!$L$6:$L$10008,PURCHASE!$A$6:$A$10008,$AC$3,PURCHASE!$D$6:$D$10008,$C$5:$C$499)</f>
        <v>0</v>
      </c>
      <c r="AF76" s="11">
        <f>SUMIFS(PURCHASE!$M$6:$M$10008,PURCHASE!$A$6:$A$10008,$AC$3,PURCHASE!$D$6:$D$10008,$C$5:$C$499)</f>
        <v>0</v>
      </c>
      <c r="AG76" s="11">
        <f>SUMIFS(PURCHASE!$N$6:$N$10008,PURCHASE!$A$6:$A$10008,$AC$3,PURCHASE!$D$6:$D$10008,$C$5:$C$499)</f>
        <v>0</v>
      </c>
      <c r="AH76" s="11">
        <f t="shared" si="24"/>
        <v>0</v>
      </c>
      <c r="AI76" s="11">
        <f>SUMIFS(PURCHASE!$K$6:$K$10008,PURCHASE!$A$6:$A$10008,$AH$3,PURCHASE!$D$6:$D$10008,$C$5:$C$499)</f>
        <v>0</v>
      </c>
      <c r="AJ76" s="11">
        <f>SUMIFS(PURCHASE!$L$6:$L$10008,PURCHASE!$A$6:$A$10008,$AH$3,PURCHASE!$D$6:$D$10008,$C$5:$C$499)</f>
        <v>0</v>
      </c>
      <c r="AK76" s="11">
        <f>SUMIFS(PURCHASE!$M$6:$M$10008,PURCHASE!$A$6:$A$10008,$AH$3,PURCHASE!$D$6:$D$10008,$C$5:$C$499)</f>
        <v>0</v>
      </c>
      <c r="AL76" s="11">
        <f>SUMIFS(PURCHASE!$N$6:$N$10008,PURCHASE!$A$6:$A$10008,$AH$3,PURCHASE!$D$6:$D$10008,$C$5:$C$499)</f>
        <v>0</v>
      </c>
      <c r="AM76" s="11">
        <f t="shared" si="25"/>
        <v>0</v>
      </c>
      <c r="AN76" s="11">
        <f>SUMIFS(PURCHASE!$K$6:$K$10008,PURCHASE!$A$6:$A$10008,$AM$3,PURCHASE!$D$6:$D$10008,$C$5:$C$499)</f>
        <v>0</v>
      </c>
      <c r="AO76" s="11">
        <f>SUMIFS(PURCHASE!$L$6:$L$10008,PURCHASE!$A$6:$A$10008,$AM$3,PURCHASE!$D$6:$D$10008,$C$5:$C$499)</f>
        <v>0</v>
      </c>
      <c r="AP76" s="11">
        <f>SUMIFS(PURCHASE!$M$6:$M$10008,PURCHASE!$A$6:$A$10008,$AM$3,PURCHASE!$D$6:$D$10008,$C$5:$C$499)</f>
        <v>0</v>
      </c>
      <c r="AQ76" s="11">
        <f>SUMIFS(PURCHASE!$N$6:$N$10008,PURCHASE!$A$6:$A$10008,$AM$3,PURCHASE!$D$6:$D$10008,$C$5:$C$499)</f>
        <v>0</v>
      </c>
      <c r="AR76" s="11">
        <f t="shared" si="26"/>
        <v>0</v>
      </c>
      <c r="AS76" s="11">
        <f>SUMIFS(PURCHASE!$K$6:$K$10008,PURCHASE!$A$6:$A$10008,$AR$3,PURCHASE!$D$6:$D$10008,$C$5:$C$499)</f>
        <v>0</v>
      </c>
      <c r="AT76" s="11">
        <f>SUMIFS(PURCHASE!$L$6:$L$10008,PURCHASE!$A$6:$A$10008,$AR$3,PURCHASE!$D$6:$D$10008,$C$5:$C$499)</f>
        <v>0</v>
      </c>
      <c r="AU76" s="11">
        <f>SUMIFS(PURCHASE!$M$6:$M$10008,PURCHASE!$A$6:$A$10008,$AR$3,PURCHASE!$D$6:$D$10008,$C$5:$C$499)</f>
        <v>0</v>
      </c>
      <c r="AV76" s="11">
        <f>SUMIFS(PURCHASE!$N$6:$N$10008,PURCHASE!$A$6:$A$10008,$AR$3,PURCHASE!$D$6:$D$10008,$C$5:$C$499)</f>
        <v>0</v>
      </c>
      <c r="AW76" s="11">
        <f t="shared" si="27"/>
        <v>0</v>
      </c>
      <c r="AX76" s="11">
        <f>SUMIFS(PURCHASE!$K$6:$K$10008,PURCHASE!$A$6:$A$10008,$AW$3,PURCHASE!$D$6:$D$10008,$C$5:$C$499)</f>
        <v>0</v>
      </c>
      <c r="AY76" s="11">
        <f>SUMIFS(PURCHASE!$L$6:$L$10008,PURCHASE!$A$6:$A$10008,$AW$3,PURCHASE!$D$6:$D$10008,$C$5:$C$499)</f>
        <v>0</v>
      </c>
      <c r="AZ76" s="11">
        <f>SUMIFS(PURCHASE!$M$6:$M$10008,PURCHASE!$A$6:$A$10008,$AW$3,PURCHASE!$D$6:$D$10008,$C$5:$C$499)</f>
        <v>0</v>
      </c>
      <c r="BA76" s="11">
        <f>SUMIFS(PURCHASE!$N$6:$N$10008,PURCHASE!$A$6:$A$10008,$AW$3,PURCHASE!$D$6:$D$10008,$C$5:$C$499)</f>
        <v>0</v>
      </c>
      <c r="BB76" s="11">
        <f t="shared" si="28"/>
        <v>0</v>
      </c>
      <c r="BC76" s="11">
        <f>SUMIFS(PURCHASE!$K$6:$K$10008,PURCHASE!$A$6:$A$10008,$BB$3,PURCHASE!$D$6:$D$10008,$C$5:$C$499)</f>
        <v>0</v>
      </c>
      <c r="BD76" s="11">
        <f>SUMIFS(PURCHASE!$L$6:$L$10008,PURCHASE!$A$6:$A$10008,$BB$3,PURCHASE!$D$6:$D$10008,$C$5:$C$499)</f>
        <v>0</v>
      </c>
      <c r="BE76" s="11">
        <f>SUMIFS(PURCHASE!$M$6:$M$10008,PURCHASE!$A$6:$A$10008,$BB$3,PURCHASE!$D$6:$D$10008,$C$5:$C$499)</f>
        <v>0</v>
      </c>
      <c r="BF76" s="11">
        <f>SUMIFS(PURCHASE!$N$6:$N$10008,PURCHASE!$A$6:$A$10008,$BB$3,PURCHASE!$D$6:$D$10008,$C$5:$C$499)</f>
        <v>0</v>
      </c>
      <c r="BG76" s="11">
        <f t="shared" si="29"/>
        <v>0</v>
      </c>
      <c r="BH76" s="11">
        <f>SUMIFS(PURCHASE!$K$6:$K$10008,PURCHASE!$A$6:$A$10008,$BG$3,PURCHASE!$D$6:$D$10008,$C$5:$C$499)</f>
        <v>0</v>
      </c>
      <c r="BI76" s="11">
        <f>SUMIFS(PURCHASE!$L$6:$L$10008,PURCHASE!$A$6:$A$10008,$BG$3,PURCHASE!$D$6:$D$10008,$C$5:$C$499)</f>
        <v>0</v>
      </c>
      <c r="BJ76" s="11">
        <f>SUMIFS(PURCHASE!$M$6:$M$10008,PURCHASE!$A$6:$A$10008,$BG$3,PURCHASE!$D$6:$D$10008,$C$5:$C$499)</f>
        <v>0</v>
      </c>
      <c r="BK76" s="11">
        <f>SUMIFS(PURCHASE!$N$6:$N$10008,PURCHASE!$A$6:$A$10008,$BG$3,PURCHASE!$D$6:$D$10008,$C$5:$C$499)</f>
        <v>0</v>
      </c>
      <c r="BL76" s="11">
        <f t="shared" si="17"/>
        <v>12171.7</v>
      </c>
      <c r="BM76" s="11">
        <f t="shared" si="17"/>
        <v>10315</v>
      </c>
      <c r="BN76" s="11">
        <f t="shared" si="17"/>
        <v>0</v>
      </c>
      <c r="BO76" s="11">
        <f t="shared" si="17"/>
        <v>928.35</v>
      </c>
      <c r="BP76" s="11">
        <f t="shared" si="17"/>
        <v>928.35</v>
      </c>
    </row>
    <row r="77" spans="1:68" x14ac:dyDescent="0.2">
      <c r="A77" s="467">
        <v>73</v>
      </c>
      <c r="B77" s="468" t="s">
        <v>1129</v>
      </c>
      <c r="C77" s="469" t="s">
        <v>1130</v>
      </c>
      <c r="D77" s="11">
        <f t="shared" si="18"/>
        <v>0</v>
      </c>
      <c r="E77" s="11">
        <f>SUMIFS(PURCHASE!$K$6:$K$10008,PURCHASE!$A$6:$A$10008,$D$3,PURCHASE!$D$6:$D$10008,$C$5:$C$499)</f>
        <v>0</v>
      </c>
      <c r="F77" s="11">
        <f>SUMIFS(PURCHASE!$L$6:$L$10008,PURCHASE!$A$6:$A$10008,$D$3,PURCHASE!$D$6:$D$10008,$C$5:$C$499)</f>
        <v>0</v>
      </c>
      <c r="G77" s="11">
        <f>SUMIFS(PURCHASE!$M$6:$M$10008,PURCHASE!$A$6:$A$10008,$D$3,PURCHASE!$D$6:$D$10008,$C$5:$C$499)</f>
        <v>0</v>
      </c>
      <c r="H77" s="11">
        <f>SUMIFS(PURCHASE!$N$6:$N$10008,PURCHASE!$A$6:$A$10008,$D$3,PURCHASE!$D$6:$D$10008,$C$5:$C$499)</f>
        <v>0</v>
      </c>
      <c r="I77" s="473">
        <f t="shared" si="19"/>
        <v>0</v>
      </c>
      <c r="J77" s="60">
        <f>SUMIFS(PURCHASE!$K$6:$K$10008,PURCHASE!$A$6:$A$10008,$I$3,PURCHASE!$D$6:$D$10008,$C$5:$C$499)</f>
        <v>0</v>
      </c>
      <c r="K77" s="60">
        <f>SUMIFS(PURCHASE!$L$6:$L$10008,PURCHASE!$A$6:$A$10008,$I$3,PURCHASE!$D$6:$D$10008,$C$5:$C$499)</f>
        <v>0</v>
      </c>
      <c r="L77" s="60">
        <f>SUMIFS(PURCHASE!$M$6:$M$10008,PURCHASE!$A$6:$A$10008,$I$3,PURCHASE!$D$6:$D$10008,$C$5:$C$499)</f>
        <v>0</v>
      </c>
      <c r="M77" s="474">
        <f>SUMIFS(PURCHASE!$N$6:$N$10008,PURCHASE!$A$6:$A$10008,$I$3,PURCHASE!$D$6:$D$10008,$C$5:$C$499)</f>
        <v>0</v>
      </c>
      <c r="N77" s="11">
        <f t="shared" si="20"/>
        <v>0</v>
      </c>
      <c r="O77" s="11">
        <f>SUMIFS(PURCHASE!$K$6:$K$10008,PURCHASE!$A$6:$A$10008,$N$3,PURCHASE!$D$6:$D$10008,$C$5:$C$499)</f>
        <v>0</v>
      </c>
      <c r="P77" s="11">
        <f>SUMIFS(PURCHASE!$L$6:$L$10008,PURCHASE!$A$6:$A$10008,$N$3,PURCHASE!$D$6:$D$10008,$C$5:$C$499)</f>
        <v>0</v>
      </c>
      <c r="Q77" s="11">
        <f>SUMIFS(PURCHASE!$M$6:$M$10008,PURCHASE!$A$6:$A$10008,$N$3,PURCHASE!$D$6:$D$10008,$C$5:$C$499)</f>
        <v>0</v>
      </c>
      <c r="R77" s="11">
        <f>SUMIFS(PURCHASE!$N$6:$N$10008,PURCHASE!$A$6:$A$10008,$N$3,PURCHASE!$D$6:$D$10008,$C$5:$C$499)</f>
        <v>0</v>
      </c>
      <c r="S77" s="11">
        <f t="shared" si="21"/>
        <v>0</v>
      </c>
      <c r="T77" s="11">
        <f>SUMIFS(PURCHASE!$K$6:$K$10008,PURCHASE!$A$6:$A$10008,$S$3,PURCHASE!$D$6:$D$10008,$C$5:$C$499)</f>
        <v>0</v>
      </c>
      <c r="U77" s="11">
        <f>SUMIFS(PURCHASE!$L$6:$L$10008,PURCHASE!$A$6:$A$10008,$S$3,PURCHASE!$D$6:$D$10008,$C$5:$C$499)</f>
        <v>0</v>
      </c>
      <c r="V77" s="11">
        <f>SUMIFS(PURCHASE!$M$6:$M$10008,PURCHASE!$A$6:$A$10008,$S$3,PURCHASE!$D$6:$D$10008,$C$5:$C$499)</f>
        <v>0</v>
      </c>
      <c r="W77" s="11">
        <f>SUMIFS(PURCHASE!$N$6:$N$10008,PURCHASE!$A$6:$A$10008,$S$3,PURCHASE!$D$6:$D$10008,$C$5:$C$499)</f>
        <v>0</v>
      </c>
      <c r="X77" s="11">
        <f t="shared" si="22"/>
        <v>0</v>
      </c>
      <c r="Y77" s="11">
        <f>SUMIFS(PURCHASE!$K$6:$K$10008,PURCHASE!$A$6:$A$10008,$X$3,PURCHASE!$D$6:$D$10008,$C$5:$C$499)</f>
        <v>0</v>
      </c>
      <c r="Z77" s="11">
        <f>SUMIFS(PURCHASE!$L$6:$L$10008,PURCHASE!$A$6:$A$10008,$X$3,PURCHASE!$D$6:$D$10008,$C$5:$C$499)</f>
        <v>0</v>
      </c>
      <c r="AA77" s="11">
        <f>SUMIFS(PURCHASE!$M$6:$M$10008,PURCHASE!$A$6:$A$10008,$X$3,PURCHASE!$D$6:$D$10008,$C$5:$C$499)</f>
        <v>0</v>
      </c>
      <c r="AB77" s="11">
        <f>SUMIFS(PURCHASE!$N$6:$N$10008,PURCHASE!$A$6:$A$10008,$X$3,PURCHASE!$D$6:$D$10008,$C$5:$C$499)</f>
        <v>0</v>
      </c>
      <c r="AC77" s="11">
        <f t="shared" si="23"/>
        <v>0</v>
      </c>
      <c r="AD77" s="11">
        <f>SUMIFS(PURCHASE!$K$6:$K$10008,PURCHASE!$A$6:$A$10008,$AC$3,PURCHASE!$D$6:$D$10008,$C$5:$C$499)</f>
        <v>0</v>
      </c>
      <c r="AE77" s="11">
        <f>SUMIFS(PURCHASE!$L$6:$L$10008,PURCHASE!$A$6:$A$10008,$AC$3,PURCHASE!$D$6:$D$10008,$C$5:$C$499)</f>
        <v>0</v>
      </c>
      <c r="AF77" s="11">
        <f>SUMIFS(PURCHASE!$M$6:$M$10008,PURCHASE!$A$6:$A$10008,$AC$3,PURCHASE!$D$6:$D$10008,$C$5:$C$499)</f>
        <v>0</v>
      </c>
      <c r="AG77" s="11">
        <f>SUMIFS(PURCHASE!$N$6:$N$10008,PURCHASE!$A$6:$A$10008,$AC$3,PURCHASE!$D$6:$D$10008,$C$5:$C$499)</f>
        <v>0</v>
      </c>
      <c r="AH77" s="11">
        <f t="shared" si="24"/>
        <v>0</v>
      </c>
      <c r="AI77" s="11">
        <f>SUMIFS(PURCHASE!$K$6:$K$10008,PURCHASE!$A$6:$A$10008,$AH$3,PURCHASE!$D$6:$D$10008,$C$5:$C$499)</f>
        <v>0</v>
      </c>
      <c r="AJ77" s="11">
        <f>SUMIFS(PURCHASE!$L$6:$L$10008,PURCHASE!$A$6:$A$10008,$AH$3,PURCHASE!$D$6:$D$10008,$C$5:$C$499)</f>
        <v>0</v>
      </c>
      <c r="AK77" s="11">
        <f>SUMIFS(PURCHASE!$M$6:$M$10008,PURCHASE!$A$6:$A$10008,$AH$3,PURCHASE!$D$6:$D$10008,$C$5:$C$499)</f>
        <v>0</v>
      </c>
      <c r="AL77" s="11">
        <f>SUMIFS(PURCHASE!$N$6:$N$10008,PURCHASE!$A$6:$A$10008,$AH$3,PURCHASE!$D$6:$D$10008,$C$5:$C$499)</f>
        <v>0</v>
      </c>
      <c r="AM77" s="11">
        <f t="shared" si="25"/>
        <v>0</v>
      </c>
      <c r="AN77" s="11">
        <f>SUMIFS(PURCHASE!$K$6:$K$10008,PURCHASE!$A$6:$A$10008,$AM$3,PURCHASE!$D$6:$D$10008,$C$5:$C$499)</f>
        <v>0</v>
      </c>
      <c r="AO77" s="11">
        <f>SUMIFS(PURCHASE!$L$6:$L$10008,PURCHASE!$A$6:$A$10008,$AM$3,PURCHASE!$D$6:$D$10008,$C$5:$C$499)</f>
        <v>0</v>
      </c>
      <c r="AP77" s="11">
        <f>SUMIFS(PURCHASE!$M$6:$M$10008,PURCHASE!$A$6:$A$10008,$AM$3,PURCHASE!$D$6:$D$10008,$C$5:$C$499)</f>
        <v>0</v>
      </c>
      <c r="AQ77" s="11">
        <f>SUMIFS(PURCHASE!$N$6:$N$10008,PURCHASE!$A$6:$A$10008,$AM$3,PURCHASE!$D$6:$D$10008,$C$5:$C$499)</f>
        <v>0</v>
      </c>
      <c r="AR77" s="11">
        <f t="shared" si="26"/>
        <v>0</v>
      </c>
      <c r="AS77" s="11">
        <f>SUMIFS(PURCHASE!$K$6:$K$10008,PURCHASE!$A$6:$A$10008,$AR$3,PURCHASE!$D$6:$D$10008,$C$5:$C$499)</f>
        <v>0</v>
      </c>
      <c r="AT77" s="11">
        <f>SUMIFS(PURCHASE!$L$6:$L$10008,PURCHASE!$A$6:$A$10008,$AR$3,PURCHASE!$D$6:$D$10008,$C$5:$C$499)</f>
        <v>0</v>
      </c>
      <c r="AU77" s="11">
        <f>SUMIFS(PURCHASE!$M$6:$M$10008,PURCHASE!$A$6:$A$10008,$AR$3,PURCHASE!$D$6:$D$10008,$C$5:$C$499)</f>
        <v>0</v>
      </c>
      <c r="AV77" s="11">
        <f>SUMIFS(PURCHASE!$N$6:$N$10008,PURCHASE!$A$6:$A$10008,$AR$3,PURCHASE!$D$6:$D$10008,$C$5:$C$499)</f>
        <v>0</v>
      </c>
      <c r="AW77" s="11">
        <f t="shared" si="27"/>
        <v>0</v>
      </c>
      <c r="AX77" s="11">
        <f>SUMIFS(PURCHASE!$K$6:$K$10008,PURCHASE!$A$6:$A$10008,$AW$3,PURCHASE!$D$6:$D$10008,$C$5:$C$499)</f>
        <v>0</v>
      </c>
      <c r="AY77" s="11">
        <f>SUMIFS(PURCHASE!$L$6:$L$10008,PURCHASE!$A$6:$A$10008,$AW$3,PURCHASE!$D$6:$D$10008,$C$5:$C$499)</f>
        <v>0</v>
      </c>
      <c r="AZ77" s="11">
        <f>SUMIFS(PURCHASE!$M$6:$M$10008,PURCHASE!$A$6:$A$10008,$AW$3,PURCHASE!$D$6:$D$10008,$C$5:$C$499)</f>
        <v>0</v>
      </c>
      <c r="BA77" s="11">
        <f>SUMIFS(PURCHASE!$N$6:$N$10008,PURCHASE!$A$6:$A$10008,$AW$3,PURCHASE!$D$6:$D$10008,$C$5:$C$499)</f>
        <v>0</v>
      </c>
      <c r="BB77" s="11">
        <f t="shared" si="28"/>
        <v>0</v>
      </c>
      <c r="BC77" s="11">
        <f>SUMIFS(PURCHASE!$K$6:$K$10008,PURCHASE!$A$6:$A$10008,$BB$3,PURCHASE!$D$6:$D$10008,$C$5:$C$499)</f>
        <v>0</v>
      </c>
      <c r="BD77" s="11">
        <f>SUMIFS(PURCHASE!$L$6:$L$10008,PURCHASE!$A$6:$A$10008,$BB$3,PURCHASE!$D$6:$D$10008,$C$5:$C$499)</f>
        <v>0</v>
      </c>
      <c r="BE77" s="11">
        <f>SUMIFS(PURCHASE!$M$6:$M$10008,PURCHASE!$A$6:$A$10008,$BB$3,PURCHASE!$D$6:$D$10008,$C$5:$C$499)</f>
        <v>0</v>
      </c>
      <c r="BF77" s="11">
        <f>SUMIFS(PURCHASE!$N$6:$N$10008,PURCHASE!$A$6:$A$10008,$BB$3,PURCHASE!$D$6:$D$10008,$C$5:$C$499)</f>
        <v>0</v>
      </c>
      <c r="BG77" s="11">
        <f t="shared" si="29"/>
        <v>0</v>
      </c>
      <c r="BH77" s="11">
        <f>SUMIFS(PURCHASE!$K$6:$K$10008,PURCHASE!$A$6:$A$10008,$BG$3,PURCHASE!$D$6:$D$10008,$C$5:$C$499)</f>
        <v>0</v>
      </c>
      <c r="BI77" s="11">
        <f>SUMIFS(PURCHASE!$L$6:$L$10008,PURCHASE!$A$6:$A$10008,$BG$3,PURCHASE!$D$6:$D$10008,$C$5:$C$499)</f>
        <v>0</v>
      </c>
      <c r="BJ77" s="11">
        <f>SUMIFS(PURCHASE!$M$6:$M$10008,PURCHASE!$A$6:$A$10008,$BG$3,PURCHASE!$D$6:$D$10008,$C$5:$C$499)</f>
        <v>0</v>
      </c>
      <c r="BK77" s="11">
        <f>SUMIFS(PURCHASE!$N$6:$N$10008,PURCHASE!$A$6:$A$10008,$BG$3,PURCHASE!$D$6:$D$10008,$C$5:$C$499)</f>
        <v>0</v>
      </c>
      <c r="BL77" s="11">
        <f t="shared" si="17"/>
        <v>0</v>
      </c>
      <c r="BM77" s="11">
        <f t="shared" si="17"/>
        <v>0</v>
      </c>
      <c r="BN77" s="11">
        <f t="shared" si="17"/>
        <v>0</v>
      </c>
      <c r="BO77" s="11">
        <f t="shared" si="17"/>
        <v>0</v>
      </c>
      <c r="BP77" s="11">
        <f t="shared" si="17"/>
        <v>0</v>
      </c>
    </row>
    <row r="78" spans="1:68" x14ac:dyDescent="0.2">
      <c r="A78" s="467">
        <v>75</v>
      </c>
      <c r="B78" s="468" t="s">
        <v>499</v>
      </c>
      <c r="C78" s="469" t="s">
        <v>500</v>
      </c>
      <c r="D78" s="11">
        <f t="shared" si="18"/>
        <v>44322.612000000001</v>
      </c>
      <c r="E78" s="11">
        <f>SUMIFS(PURCHASE!$K$6:$K$10008,PURCHASE!$A$6:$A$10008,$D$3,PURCHASE!$D$6:$D$10008,$C$5:$C$499)</f>
        <v>39461.1</v>
      </c>
      <c r="F78" s="11">
        <f>SUMIFS(PURCHASE!$L$6:$L$10008,PURCHASE!$A$6:$A$10008,$D$3,PURCHASE!$D$6:$D$10008,$C$5:$C$499)</f>
        <v>0</v>
      </c>
      <c r="G78" s="11">
        <f>SUMIFS(PURCHASE!$M$6:$M$10008,PURCHASE!$A$6:$A$10008,$D$3,PURCHASE!$D$6:$D$10008,$C$5:$C$499)</f>
        <v>2430.7559999999999</v>
      </c>
      <c r="H78" s="11">
        <f>SUMIFS(PURCHASE!$N$6:$N$10008,PURCHASE!$A$6:$A$10008,$D$3,PURCHASE!$D$6:$D$10008,$C$5:$C$499)</f>
        <v>2430.7559999999999</v>
      </c>
      <c r="I78" s="473">
        <f t="shared" si="19"/>
        <v>22679.339999999997</v>
      </c>
      <c r="J78" s="60">
        <f>SUMIFS(PURCHASE!$K$6:$K$10008,PURCHASE!$A$6:$A$10008,$I$3,PURCHASE!$D$6:$D$10008,$C$5:$C$499)</f>
        <v>21402</v>
      </c>
      <c r="K78" s="60">
        <f>SUMIFS(PURCHASE!$L$6:$L$10008,PURCHASE!$A$6:$A$10008,$I$3,PURCHASE!$D$6:$D$10008,$C$5:$C$499)</f>
        <v>0</v>
      </c>
      <c r="L78" s="60">
        <f>SUMIFS(PURCHASE!$M$6:$M$10008,PURCHASE!$A$6:$A$10008,$I$3,PURCHASE!$D$6:$D$10008,$C$5:$C$499)</f>
        <v>638.66999999999985</v>
      </c>
      <c r="M78" s="474">
        <f>SUMIFS(PURCHASE!$N$6:$N$10008,PURCHASE!$A$6:$A$10008,$I$3,PURCHASE!$D$6:$D$10008,$C$5:$C$499)</f>
        <v>638.66999999999985</v>
      </c>
      <c r="N78" s="11">
        <f t="shared" si="20"/>
        <v>44760.123999999996</v>
      </c>
      <c r="O78" s="11">
        <f>SUMIFS(PURCHASE!$K$6:$K$10008,PURCHASE!$A$6:$A$10008,$N$3,PURCHASE!$D$6:$D$10008,$C$5:$C$499)</f>
        <v>41564.199999999997</v>
      </c>
      <c r="P78" s="11">
        <f>SUMIFS(PURCHASE!$L$6:$L$10008,PURCHASE!$A$6:$A$10008,$N$3,PURCHASE!$D$6:$D$10008,$C$5:$C$499)</f>
        <v>0</v>
      </c>
      <c r="Q78" s="11">
        <f>SUMIFS(PURCHASE!$M$6:$M$10008,PURCHASE!$A$6:$A$10008,$N$3,PURCHASE!$D$6:$D$10008,$C$5:$C$499)</f>
        <v>1597.962</v>
      </c>
      <c r="R78" s="11">
        <f>SUMIFS(PURCHASE!$N$6:$N$10008,PURCHASE!$A$6:$A$10008,$N$3,PURCHASE!$D$6:$D$10008,$C$5:$C$499)</f>
        <v>1597.962</v>
      </c>
      <c r="S78" s="11">
        <f t="shared" si="21"/>
        <v>35012.960000000006</v>
      </c>
      <c r="T78" s="11">
        <f>SUMIFS(PURCHASE!$K$6:$K$10008,PURCHASE!$A$6:$A$10008,$S$3,PURCHASE!$D$6:$D$10008,$C$5:$C$499)</f>
        <v>31267</v>
      </c>
      <c r="U78" s="11">
        <f>SUMIFS(PURCHASE!$L$6:$L$10008,PURCHASE!$A$6:$A$10008,$S$3,PURCHASE!$D$6:$D$10008,$C$5:$C$499)</f>
        <v>0</v>
      </c>
      <c r="V78" s="11">
        <f>SUMIFS(PURCHASE!$M$6:$M$10008,PURCHASE!$A$6:$A$10008,$S$3,PURCHASE!$D$6:$D$10008,$C$5:$C$499)</f>
        <v>1872.98</v>
      </c>
      <c r="W78" s="11">
        <f>SUMIFS(PURCHASE!$N$6:$N$10008,PURCHASE!$A$6:$A$10008,$S$3,PURCHASE!$D$6:$D$10008,$C$5:$C$499)</f>
        <v>1872.98</v>
      </c>
      <c r="X78" s="11">
        <f t="shared" si="22"/>
        <v>49727.914000000004</v>
      </c>
      <c r="Y78" s="11">
        <f>SUMIFS(PURCHASE!$K$6:$K$10008,PURCHASE!$A$6:$A$10008,$X$3,PURCHASE!$D$6:$D$10008,$C$5:$C$499)</f>
        <v>44868.2</v>
      </c>
      <c r="Z78" s="11">
        <f>SUMIFS(PURCHASE!$L$6:$L$10008,PURCHASE!$A$6:$A$10008,$X$3,PURCHASE!$D$6:$D$10008,$C$5:$C$499)</f>
        <v>0</v>
      </c>
      <c r="AA78" s="11">
        <f>SUMIFS(PURCHASE!$M$6:$M$10008,PURCHASE!$A$6:$A$10008,$X$3,PURCHASE!$D$6:$D$10008,$C$5:$C$499)</f>
        <v>2429.857</v>
      </c>
      <c r="AB78" s="11">
        <f>SUMIFS(PURCHASE!$N$6:$N$10008,PURCHASE!$A$6:$A$10008,$X$3,PURCHASE!$D$6:$D$10008,$C$5:$C$499)</f>
        <v>2429.857</v>
      </c>
      <c r="AC78" s="11">
        <f t="shared" si="23"/>
        <v>34632.130000000005</v>
      </c>
      <c r="AD78" s="11">
        <f>SUMIFS(PURCHASE!$K$6:$K$10008,PURCHASE!$A$6:$A$10008,$AC$3,PURCHASE!$D$6:$D$10008,$C$5:$C$499)</f>
        <v>32425</v>
      </c>
      <c r="AE78" s="11">
        <f>SUMIFS(PURCHASE!$L$6:$L$10008,PURCHASE!$A$6:$A$10008,$AC$3,PURCHASE!$D$6:$D$10008,$C$5:$C$499)</f>
        <v>0</v>
      </c>
      <c r="AF78" s="11">
        <f>SUMIFS(PURCHASE!$M$6:$M$10008,PURCHASE!$A$6:$A$10008,$AC$3,PURCHASE!$D$6:$D$10008,$C$5:$C$499)</f>
        <v>1103.5650000000001</v>
      </c>
      <c r="AG78" s="11">
        <f>SUMIFS(PURCHASE!$N$6:$N$10008,PURCHASE!$A$6:$A$10008,$AC$3,PURCHASE!$D$6:$D$10008,$C$5:$C$499)</f>
        <v>1103.5650000000001</v>
      </c>
      <c r="AH78" s="11">
        <f t="shared" si="24"/>
        <v>51162.259999999995</v>
      </c>
      <c r="AI78" s="11">
        <f>SUMIFS(PURCHASE!$K$6:$K$10008,PURCHASE!$A$6:$A$10008,$AH$3,PURCHASE!$D$6:$D$10008,$C$5:$C$499)</f>
        <v>46712</v>
      </c>
      <c r="AJ78" s="11">
        <f>SUMIFS(PURCHASE!$L$6:$L$10008,PURCHASE!$A$6:$A$10008,$AH$3,PURCHASE!$D$6:$D$10008,$C$5:$C$499)</f>
        <v>0</v>
      </c>
      <c r="AK78" s="11">
        <f>SUMIFS(PURCHASE!$M$6:$M$10008,PURCHASE!$A$6:$A$10008,$AH$3,PURCHASE!$D$6:$D$10008,$C$5:$C$499)</f>
        <v>2225.13</v>
      </c>
      <c r="AL78" s="11">
        <f>SUMIFS(PURCHASE!$N$6:$N$10008,PURCHASE!$A$6:$A$10008,$AH$3,PURCHASE!$D$6:$D$10008,$C$5:$C$499)</f>
        <v>2225.13</v>
      </c>
      <c r="AM78" s="11">
        <f t="shared" si="25"/>
        <v>0</v>
      </c>
      <c r="AN78" s="11">
        <f>SUMIFS(PURCHASE!$K$6:$K$10008,PURCHASE!$A$6:$A$10008,$AM$3,PURCHASE!$D$6:$D$10008,$C$5:$C$499)</f>
        <v>0</v>
      </c>
      <c r="AO78" s="11">
        <f>SUMIFS(PURCHASE!$L$6:$L$10008,PURCHASE!$A$6:$A$10008,$AM$3,PURCHASE!$D$6:$D$10008,$C$5:$C$499)</f>
        <v>0</v>
      </c>
      <c r="AP78" s="11">
        <f>SUMIFS(PURCHASE!$M$6:$M$10008,PURCHASE!$A$6:$A$10008,$AM$3,PURCHASE!$D$6:$D$10008,$C$5:$C$499)</f>
        <v>0</v>
      </c>
      <c r="AQ78" s="11">
        <f>SUMIFS(PURCHASE!$N$6:$N$10008,PURCHASE!$A$6:$A$10008,$AM$3,PURCHASE!$D$6:$D$10008,$C$5:$C$499)</f>
        <v>0</v>
      </c>
      <c r="AR78" s="11">
        <f t="shared" si="26"/>
        <v>0</v>
      </c>
      <c r="AS78" s="11">
        <f>SUMIFS(PURCHASE!$K$6:$K$10008,PURCHASE!$A$6:$A$10008,$AR$3,PURCHASE!$D$6:$D$10008,$C$5:$C$499)</f>
        <v>0</v>
      </c>
      <c r="AT78" s="11">
        <f>SUMIFS(PURCHASE!$L$6:$L$10008,PURCHASE!$A$6:$A$10008,$AR$3,PURCHASE!$D$6:$D$10008,$C$5:$C$499)</f>
        <v>0</v>
      </c>
      <c r="AU78" s="11">
        <f>SUMIFS(PURCHASE!$M$6:$M$10008,PURCHASE!$A$6:$A$10008,$AR$3,PURCHASE!$D$6:$D$10008,$C$5:$C$499)</f>
        <v>0</v>
      </c>
      <c r="AV78" s="11">
        <f>SUMIFS(PURCHASE!$N$6:$N$10008,PURCHASE!$A$6:$A$10008,$AR$3,PURCHASE!$D$6:$D$10008,$C$5:$C$499)</f>
        <v>0</v>
      </c>
      <c r="AW78" s="11">
        <f t="shared" si="27"/>
        <v>0</v>
      </c>
      <c r="AX78" s="11">
        <f>SUMIFS(PURCHASE!$K$6:$K$10008,PURCHASE!$A$6:$A$10008,$AW$3,PURCHASE!$D$6:$D$10008,$C$5:$C$499)</f>
        <v>0</v>
      </c>
      <c r="AY78" s="11">
        <f>SUMIFS(PURCHASE!$L$6:$L$10008,PURCHASE!$A$6:$A$10008,$AW$3,PURCHASE!$D$6:$D$10008,$C$5:$C$499)</f>
        <v>0</v>
      </c>
      <c r="AZ78" s="11">
        <f>SUMIFS(PURCHASE!$M$6:$M$10008,PURCHASE!$A$6:$A$10008,$AW$3,PURCHASE!$D$6:$D$10008,$C$5:$C$499)</f>
        <v>0</v>
      </c>
      <c r="BA78" s="11">
        <f>SUMIFS(PURCHASE!$N$6:$N$10008,PURCHASE!$A$6:$A$10008,$AW$3,PURCHASE!$D$6:$D$10008,$C$5:$C$499)</f>
        <v>0</v>
      </c>
      <c r="BB78" s="11">
        <f t="shared" si="28"/>
        <v>0</v>
      </c>
      <c r="BC78" s="11">
        <f>SUMIFS(PURCHASE!$K$6:$K$10008,PURCHASE!$A$6:$A$10008,$BB$3,PURCHASE!$D$6:$D$10008,$C$5:$C$499)</f>
        <v>0</v>
      </c>
      <c r="BD78" s="11">
        <f>SUMIFS(PURCHASE!$L$6:$L$10008,PURCHASE!$A$6:$A$10008,$BB$3,PURCHASE!$D$6:$D$10008,$C$5:$C$499)</f>
        <v>0</v>
      </c>
      <c r="BE78" s="11">
        <f>SUMIFS(PURCHASE!$M$6:$M$10008,PURCHASE!$A$6:$A$10008,$BB$3,PURCHASE!$D$6:$D$10008,$C$5:$C$499)</f>
        <v>0</v>
      </c>
      <c r="BF78" s="11">
        <f>SUMIFS(PURCHASE!$N$6:$N$10008,PURCHASE!$A$6:$A$10008,$BB$3,PURCHASE!$D$6:$D$10008,$C$5:$C$499)</f>
        <v>0</v>
      </c>
      <c r="BG78" s="11">
        <f t="shared" si="29"/>
        <v>0</v>
      </c>
      <c r="BH78" s="11">
        <f>SUMIFS(PURCHASE!$K$6:$K$10008,PURCHASE!$A$6:$A$10008,$BG$3,PURCHASE!$D$6:$D$10008,$C$5:$C$499)</f>
        <v>0</v>
      </c>
      <c r="BI78" s="11">
        <f>SUMIFS(PURCHASE!$L$6:$L$10008,PURCHASE!$A$6:$A$10008,$BG$3,PURCHASE!$D$6:$D$10008,$C$5:$C$499)</f>
        <v>0</v>
      </c>
      <c r="BJ78" s="11">
        <f>SUMIFS(PURCHASE!$M$6:$M$10008,PURCHASE!$A$6:$A$10008,$BG$3,PURCHASE!$D$6:$D$10008,$C$5:$C$499)</f>
        <v>0</v>
      </c>
      <c r="BK78" s="11">
        <f>SUMIFS(PURCHASE!$N$6:$N$10008,PURCHASE!$A$6:$A$10008,$BG$3,PURCHASE!$D$6:$D$10008,$C$5:$C$499)</f>
        <v>0</v>
      </c>
      <c r="BL78" s="11">
        <f t="shared" si="17"/>
        <v>282297.34000000003</v>
      </c>
      <c r="BM78" s="11">
        <f t="shared" si="17"/>
        <v>257699.5</v>
      </c>
      <c r="BN78" s="11">
        <f t="shared" si="17"/>
        <v>0</v>
      </c>
      <c r="BO78" s="11">
        <f t="shared" si="17"/>
        <v>12298.919999999998</v>
      </c>
      <c r="BP78" s="11">
        <f t="shared" si="17"/>
        <v>12298.919999999998</v>
      </c>
    </row>
    <row r="79" spans="1:68" x14ac:dyDescent="0.2">
      <c r="A79" s="467">
        <v>76</v>
      </c>
      <c r="B79" s="468" t="s">
        <v>640</v>
      </c>
      <c r="C79" s="469" t="s">
        <v>641</v>
      </c>
      <c r="D79" s="11">
        <f t="shared" si="18"/>
        <v>0</v>
      </c>
      <c r="E79" s="11">
        <f>SUMIFS(PURCHASE!$K$6:$K$10008,PURCHASE!$A$6:$A$10008,$D$3,PURCHASE!$D$6:$D$10008,$C$5:$C$499)</f>
        <v>0</v>
      </c>
      <c r="F79" s="11">
        <f>SUMIFS(PURCHASE!$L$6:$L$10008,PURCHASE!$A$6:$A$10008,$D$3,PURCHASE!$D$6:$D$10008,$C$5:$C$499)</f>
        <v>0</v>
      </c>
      <c r="G79" s="11">
        <f>SUMIFS(PURCHASE!$M$6:$M$10008,PURCHASE!$A$6:$A$10008,$D$3,PURCHASE!$D$6:$D$10008,$C$5:$C$499)</f>
        <v>0</v>
      </c>
      <c r="H79" s="11">
        <f>SUMIFS(PURCHASE!$N$6:$N$10008,PURCHASE!$A$6:$A$10008,$D$3,PURCHASE!$D$6:$D$10008,$C$5:$C$499)</f>
        <v>0</v>
      </c>
      <c r="I79" s="473">
        <f t="shared" si="19"/>
        <v>45100.048399999992</v>
      </c>
      <c r="J79" s="60">
        <f>SUMIFS(PURCHASE!$K$6:$K$10008,PURCHASE!$A$6:$A$10008,$I$3,PURCHASE!$D$6:$D$10008,$C$5:$C$499)</f>
        <v>38220.379999999997</v>
      </c>
      <c r="K79" s="60">
        <f>SUMIFS(PURCHASE!$L$6:$L$10008,PURCHASE!$A$6:$A$10008,$I$3,PURCHASE!$D$6:$D$10008,$C$5:$C$499)</f>
        <v>0</v>
      </c>
      <c r="L79" s="60">
        <f>SUMIFS(PURCHASE!$M$6:$M$10008,PURCHASE!$A$6:$A$10008,$I$3,PURCHASE!$D$6:$D$10008,$C$5:$C$499)</f>
        <v>3439.8342000000002</v>
      </c>
      <c r="M79" s="474">
        <f>SUMIFS(PURCHASE!$N$6:$N$10008,PURCHASE!$A$6:$A$10008,$I$3,PURCHASE!$D$6:$D$10008,$C$5:$C$499)</f>
        <v>3439.8342000000002</v>
      </c>
      <c r="N79" s="11">
        <f t="shared" si="20"/>
        <v>0</v>
      </c>
      <c r="O79" s="11">
        <f>SUMIFS(PURCHASE!$K$6:$K$10008,PURCHASE!$A$6:$A$10008,$N$3,PURCHASE!$D$6:$D$10008,$C$5:$C$499)</f>
        <v>0</v>
      </c>
      <c r="P79" s="11">
        <f>SUMIFS(PURCHASE!$L$6:$L$10008,PURCHASE!$A$6:$A$10008,$N$3,PURCHASE!$D$6:$D$10008,$C$5:$C$499)</f>
        <v>0</v>
      </c>
      <c r="Q79" s="11">
        <f>SUMIFS(PURCHASE!$M$6:$M$10008,PURCHASE!$A$6:$A$10008,$N$3,PURCHASE!$D$6:$D$10008,$C$5:$C$499)</f>
        <v>0</v>
      </c>
      <c r="R79" s="11">
        <f>SUMIFS(PURCHASE!$N$6:$N$10008,PURCHASE!$A$6:$A$10008,$N$3,PURCHASE!$D$6:$D$10008,$C$5:$C$499)</f>
        <v>0</v>
      </c>
      <c r="S79" s="11">
        <f t="shared" si="21"/>
        <v>0</v>
      </c>
      <c r="T79" s="11">
        <f>SUMIFS(PURCHASE!$K$6:$K$10008,PURCHASE!$A$6:$A$10008,$S$3,PURCHASE!$D$6:$D$10008,$C$5:$C$499)</f>
        <v>0</v>
      </c>
      <c r="U79" s="11">
        <f>SUMIFS(PURCHASE!$L$6:$L$10008,PURCHASE!$A$6:$A$10008,$S$3,PURCHASE!$D$6:$D$10008,$C$5:$C$499)</f>
        <v>0</v>
      </c>
      <c r="V79" s="11">
        <f>SUMIFS(PURCHASE!$M$6:$M$10008,PURCHASE!$A$6:$A$10008,$S$3,PURCHASE!$D$6:$D$10008,$C$5:$C$499)</f>
        <v>0</v>
      </c>
      <c r="W79" s="11">
        <f>SUMIFS(PURCHASE!$N$6:$N$10008,PURCHASE!$A$6:$A$10008,$S$3,PURCHASE!$D$6:$D$10008,$C$5:$C$499)</f>
        <v>0</v>
      </c>
      <c r="X79" s="11">
        <f t="shared" si="22"/>
        <v>0</v>
      </c>
      <c r="Y79" s="11">
        <f>SUMIFS(PURCHASE!$K$6:$K$10008,PURCHASE!$A$6:$A$10008,$X$3,PURCHASE!$D$6:$D$10008,$C$5:$C$499)</f>
        <v>0</v>
      </c>
      <c r="Z79" s="11">
        <f>SUMIFS(PURCHASE!$L$6:$L$10008,PURCHASE!$A$6:$A$10008,$X$3,PURCHASE!$D$6:$D$10008,$C$5:$C$499)</f>
        <v>0</v>
      </c>
      <c r="AA79" s="11">
        <f>SUMIFS(PURCHASE!$M$6:$M$10008,PURCHASE!$A$6:$A$10008,$X$3,PURCHASE!$D$6:$D$10008,$C$5:$C$499)</f>
        <v>0</v>
      </c>
      <c r="AB79" s="11">
        <f>SUMIFS(PURCHASE!$N$6:$N$10008,PURCHASE!$A$6:$A$10008,$X$3,PURCHASE!$D$6:$D$10008,$C$5:$C$499)</f>
        <v>0</v>
      </c>
      <c r="AC79" s="11">
        <f t="shared" si="23"/>
        <v>0</v>
      </c>
      <c r="AD79" s="11">
        <f>SUMIFS(PURCHASE!$K$6:$K$10008,PURCHASE!$A$6:$A$10008,$AC$3,PURCHASE!$D$6:$D$10008,$C$5:$C$499)</f>
        <v>0</v>
      </c>
      <c r="AE79" s="11">
        <f>SUMIFS(PURCHASE!$L$6:$L$10008,PURCHASE!$A$6:$A$10008,$AC$3,PURCHASE!$D$6:$D$10008,$C$5:$C$499)</f>
        <v>0</v>
      </c>
      <c r="AF79" s="11">
        <f>SUMIFS(PURCHASE!$M$6:$M$10008,PURCHASE!$A$6:$A$10008,$AC$3,PURCHASE!$D$6:$D$10008,$C$5:$C$499)</f>
        <v>0</v>
      </c>
      <c r="AG79" s="11">
        <f>SUMIFS(PURCHASE!$N$6:$N$10008,PURCHASE!$A$6:$A$10008,$AC$3,PURCHASE!$D$6:$D$10008,$C$5:$C$499)</f>
        <v>0</v>
      </c>
      <c r="AH79" s="11">
        <f t="shared" si="24"/>
        <v>0</v>
      </c>
      <c r="AI79" s="11">
        <f>SUMIFS(PURCHASE!$K$6:$K$10008,PURCHASE!$A$6:$A$10008,$AH$3,PURCHASE!$D$6:$D$10008,$C$5:$C$499)</f>
        <v>0</v>
      </c>
      <c r="AJ79" s="11">
        <f>SUMIFS(PURCHASE!$L$6:$L$10008,PURCHASE!$A$6:$A$10008,$AH$3,PURCHASE!$D$6:$D$10008,$C$5:$C$499)</f>
        <v>0</v>
      </c>
      <c r="AK79" s="11">
        <f>SUMIFS(PURCHASE!$M$6:$M$10008,PURCHASE!$A$6:$A$10008,$AH$3,PURCHASE!$D$6:$D$10008,$C$5:$C$499)</f>
        <v>0</v>
      </c>
      <c r="AL79" s="11">
        <f>SUMIFS(PURCHASE!$N$6:$N$10008,PURCHASE!$A$6:$A$10008,$AH$3,PURCHASE!$D$6:$D$10008,$C$5:$C$499)</f>
        <v>0</v>
      </c>
      <c r="AM79" s="11">
        <f t="shared" si="25"/>
        <v>0</v>
      </c>
      <c r="AN79" s="11">
        <f>SUMIFS(PURCHASE!$K$6:$K$10008,PURCHASE!$A$6:$A$10008,$AM$3,PURCHASE!$D$6:$D$10008,$C$5:$C$499)</f>
        <v>0</v>
      </c>
      <c r="AO79" s="11">
        <f>SUMIFS(PURCHASE!$L$6:$L$10008,PURCHASE!$A$6:$A$10008,$AM$3,PURCHASE!$D$6:$D$10008,$C$5:$C$499)</f>
        <v>0</v>
      </c>
      <c r="AP79" s="11">
        <f>SUMIFS(PURCHASE!$M$6:$M$10008,PURCHASE!$A$6:$A$10008,$AM$3,PURCHASE!$D$6:$D$10008,$C$5:$C$499)</f>
        <v>0</v>
      </c>
      <c r="AQ79" s="11">
        <f>SUMIFS(PURCHASE!$N$6:$N$10008,PURCHASE!$A$6:$A$10008,$AM$3,PURCHASE!$D$6:$D$10008,$C$5:$C$499)</f>
        <v>0</v>
      </c>
      <c r="AR79" s="11">
        <f t="shared" si="26"/>
        <v>0</v>
      </c>
      <c r="AS79" s="11">
        <f>SUMIFS(PURCHASE!$K$6:$K$10008,PURCHASE!$A$6:$A$10008,$AR$3,PURCHASE!$D$6:$D$10008,$C$5:$C$499)</f>
        <v>0</v>
      </c>
      <c r="AT79" s="11">
        <f>SUMIFS(PURCHASE!$L$6:$L$10008,PURCHASE!$A$6:$A$10008,$AR$3,PURCHASE!$D$6:$D$10008,$C$5:$C$499)</f>
        <v>0</v>
      </c>
      <c r="AU79" s="11">
        <f>SUMIFS(PURCHASE!$M$6:$M$10008,PURCHASE!$A$6:$A$10008,$AR$3,PURCHASE!$D$6:$D$10008,$C$5:$C$499)</f>
        <v>0</v>
      </c>
      <c r="AV79" s="11">
        <f>SUMIFS(PURCHASE!$N$6:$N$10008,PURCHASE!$A$6:$A$10008,$AR$3,PURCHASE!$D$6:$D$10008,$C$5:$C$499)</f>
        <v>0</v>
      </c>
      <c r="AW79" s="11">
        <f t="shared" si="27"/>
        <v>0</v>
      </c>
      <c r="AX79" s="11">
        <f>SUMIFS(PURCHASE!$K$6:$K$10008,PURCHASE!$A$6:$A$10008,$AW$3,PURCHASE!$D$6:$D$10008,$C$5:$C$499)</f>
        <v>0</v>
      </c>
      <c r="AY79" s="11">
        <f>SUMIFS(PURCHASE!$L$6:$L$10008,PURCHASE!$A$6:$A$10008,$AW$3,PURCHASE!$D$6:$D$10008,$C$5:$C$499)</f>
        <v>0</v>
      </c>
      <c r="AZ79" s="11">
        <f>SUMIFS(PURCHASE!$M$6:$M$10008,PURCHASE!$A$6:$A$10008,$AW$3,PURCHASE!$D$6:$D$10008,$C$5:$C$499)</f>
        <v>0</v>
      </c>
      <c r="BA79" s="11">
        <f>SUMIFS(PURCHASE!$N$6:$N$10008,PURCHASE!$A$6:$A$10008,$AW$3,PURCHASE!$D$6:$D$10008,$C$5:$C$499)</f>
        <v>0</v>
      </c>
      <c r="BB79" s="11">
        <f t="shared" si="28"/>
        <v>0</v>
      </c>
      <c r="BC79" s="11">
        <f>SUMIFS(PURCHASE!$K$6:$K$10008,PURCHASE!$A$6:$A$10008,$BB$3,PURCHASE!$D$6:$D$10008,$C$5:$C$499)</f>
        <v>0</v>
      </c>
      <c r="BD79" s="11">
        <f>SUMIFS(PURCHASE!$L$6:$L$10008,PURCHASE!$A$6:$A$10008,$BB$3,PURCHASE!$D$6:$D$10008,$C$5:$C$499)</f>
        <v>0</v>
      </c>
      <c r="BE79" s="11">
        <f>SUMIFS(PURCHASE!$M$6:$M$10008,PURCHASE!$A$6:$A$10008,$BB$3,PURCHASE!$D$6:$D$10008,$C$5:$C$499)</f>
        <v>0</v>
      </c>
      <c r="BF79" s="11">
        <f>SUMIFS(PURCHASE!$N$6:$N$10008,PURCHASE!$A$6:$A$10008,$BB$3,PURCHASE!$D$6:$D$10008,$C$5:$C$499)</f>
        <v>0</v>
      </c>
      <c r="BG79" s="11">
        <f t="shared" si="29"/>
        <v>0</v>
      </c>
      <c r="BH79" s="11">
        <f>SUMIFS(PURCHASE!$K$6:$K$10008,PURCHASE!$A$6:$A$10008,$BG$3,PURCHASE!$D$6:$D$10008,$C$5:$C$499)</f>
        <v>0</v>
      </c>
      <c r="BI79" s="11">
        <f>SUMIFS(PURCHASE!$L$6:$L$10008,PURCHASE!$A$6:$A$10008,$BG$3,PURCHASE!$D$6:$D$10008,$C$5:$C$499)</f>
        <v>0</v>
      </c>
      <c r="BJ79" s="11">
        <f>SUMIFS(PURCHASE!$M$6:$M$10008,PURCHASE!$A$6:$A$10008,$BG$3,PURCHASE!$D$6:$D$10008,$C$5:$C$499)</f>
        <v>0</v>
      </c>
      <c r="BK79" s="11">
        <f>SUMIFS(PURCHASE!$N$6:$N$10008,PURCHASE!$A$6:$A$10008,$BG$3,PURCHASE!$D$6:$D$10008,$C$5:$C$499)</f>
        <v>0</v>
      </c>
      <c r="BL79" s="11">
        <f t="shared" si="17"/>
        <v>45100.048399999992</v>
      </c>
      <c r="BM79" s="11">
        <f t="shared" si="17"/>
        <v>38220.379999999997</v>
      </c>
      <c r="BN79" s="11">
        <f t="shared" si="17"/>
        <v>0</v>
      </c>
      <c r="BO79" s="11">
        <f t="shared" si="17"/>
        <v>3439.8342000000002</v>
      </c>
      <c r="BP79" s="11">
        <f t="shared" si="17"/>
        <v>3439.8342000000002</v>
      </c>
    </row>
    <row r="80" spans="1:68" x14ac:dyDescent="0.2">
      <c r="A80" s="467">
        <v>77</v>
      </c>
      <c r="B80" s="468" t="s">
        <v>1131</v>
      </c>
      <c r="C80" s="469" t="s">
        <v>1132</v>
      </c>
      <c r="D80" s="11">
        <f t="shared" si="18"/>
        <v>0</v>
      </c>
      <c r="E80" s="11">
        <f>SUMIFS(PURCHASE!$K$6:$K$10008,PURCHASE!$A$6:$A$10008,$D$3,PURCHASE!$D$6:$D$10008,$C$5:$C$499)</f>
        <v>0</v>
      </c>
      <c r="F80" s="11">
        <f>SUMIFS(PURCHASE!$L$6:$L$10008,PURCHASE!$A$6:$A$10008,$D$3,PURCHASE!$D$6:$D$10008,$C$5:$C$499)</f>
        <v>0</v>
      </c>
      <c r="G80" s="11">
        <f>SUMIFS(PURCHASE!$M$6:$M$10008,PURCHASE!$A$6:$A$10008,$D$3,PURCHASE!$D$6:$D$10008,$C$5:$C$499)</f>
        <v>0</v>
      </c>
      <c r="H80" s="11">
        <f>SUMIFS(PURCHASE!$N$6:$N$10008,PURCHASE!$A$6:$A$10008,$D$3,PURCHASE!$D$6:$D$10008,$C$5:$C$499)</f>
        <v>0</v>
      </c>
      <c r="I80" s="473">
        <f t="shared" si="19"/>
        <v>0</v>
      </c>
      <c r="J80" s="60">
        <f>SUMIFS(PURCHASE!$K$6:$K$10008,PURCHASE!$A$6:$A$10008,$I$3,PURCHASE!$D$6:$D$10008,$C$5:$C$499)</f>
        <v>0</v>
      </c>
      <c r="K80" s="60">
        <f>SUMIFS(PURCHASE!$L$6:$L$10008,PURCHASE!$A$6:$A$10008,$I$3,PURCHASE!$D$6:$D$10008,$C$5:$C$499)</f>
        <v>0</v>
      </c>
      <c r="L80" s="60">
        <f>SUMIFS(PURCHASE!$M$6:$M$10008,PURCHASE!$A$6:$A$10008,$I$3,PURCHASE!$D$6:$D$10008,$C$5:$C$499)</f>
        <v>0</v>
      </c>
      <c r="M80" s="474">
        <f>SUMIFS(PURCHASE!$N$6:$N$10008,PURCHASE!$A$6:$A$10008,$I$3,PURCHASE!$D$6:$D$10008,$C$5:$C$499)</f>
        <v>0</v>
      </c>
      <c r="N80" s="11">
        <f t="shared" si="20"/>
        <v>0</v>
      </c>
      <c r="O80" s="11">
        <f>SUMIFS(PURCHASE!$K$6:$K$10008,PURCHASE!$A$6:$A$10008,$N$3,PURCHASE!$D$6:$D$10008,$C$5:$C$499)</f>
        <v>0</v>
      </c>
      <c r="P80" s="11">
        <f>SUMIFS(PURCHASE!$L$6:$L$10008,PURCHASE!$A$6:$A$10008,$N$3,PURCHASE!$D$6:$D$10008,$C$5:$C$499)</f>
        <v>0</v>
      </c>
      <c r="Q80" s="11">
        <f>SUMIFS(PURCHASE!$M$6:$M$10008,PURCHASE!$A$6:$A$10008,$N$3,PURCHASE!$D$6:$D$10008,$C$5:$C$499)</f>
        <v>0</v>
      </c>
      <c r="R80" s="11">
        <f>SUMIFS(PURCHASE!$N$6:$N$10008,PURCHASE!$A$6:$A$10008,$N$3,PURCHASE!$D$6:$D$10008,$C$5:$C$499)</f>
        <v>0</v>
      </c>
      <c r="S80" s="11">
        <f t="shared" si="21"/>
        <v>0</v>
      </c>
      <c r="T80" s="11">
        <f>SUMIFS(PURCHASE!$K$6:$K$10008,PURCHASE!$A$6:$A$10008,$S$3,PURCHASE!$D$6:$D$10008,$C$5:$C$499)</f>
        <v>0</v>
      </c>
      <c r="U80" s="11">
        <f>SUMIFS(PURCHASE!$L$6:$L$10008,PURCHASE!$A$6:$A$10008,$S$3,PURCHASE!$D$6:$D$10008,$C$5:$C$499)</f>
        <v>0</v>
      </c>
      <c r="V80" s="11">
        <f>SUMIFS(PURCHASE!$M$6:$M$10008,PURCHASE!$A$6:$A$10008,$S$3,PURCHASE!$D$6:$D$10008,$C$5:$C$499)</f>
        <v>0</v>
      </c>
      <c r="W80" s="11">
        <f>SUMIFS(PURCHASE!$N$6:$N$10008,PURCHASE!$A$6:$A$10008,$S$3,PURCHASE!$D$6:$D$10008,$C$5:$C$499)</f>
        <v>0</v>
      </c>
      <c r="X80" s="11">
        <f t="shared" si="22"/>
        <v>0</v>
      </c>
      <c r="Y80" s="11">
        <f>SUMIFS(PURCHASE!$K$6:$K$10008,PURCHASE!$A$6:$A$10008,$X$3,PURCHASE!$D$6:$D$10008,$C$5:$C$499)</f>
        <v>0</v>
      </c>
      <c r="Z80" s="11">
        <f>SUMIFS(PURCHASE!$L$6:$L$10008,PURCHASE!$A$6:$A$10008,$X$3,PURCHASE!$D$6:$D$10008,$C$5:$C$499)</f>
        <v>0</v>
      </c>
      <c r="AA80" s="11">
        <f>SUMIFS(PURCHASE!$M$6:$M$10008,PURCHASE!$A$6:$A$10008,$X$3,PURCHASE!$D$6:$D$10008,$C$5:$C$499)</f>
        <v>0</v>
      </c>
      <c r="AB80" s="11">
        <f>SUMIFS(PURCHASE!$N$6:$N$10008,PURCHASE!$A$6:$A$10008,$X$3,PURCHASE!$D$6:$D$10008,$C$5:$C$499)</f>
        <v>0</v>
      </c>
      <c r="AC80" s="11">
        <f t="shared" si="23"/>
        <v>0</v>
      </c>
      <c r="AD80" s="11">
        <f>SUMIFS(PURCHASE!$K$6:$K$10008,PURCHASE!$A$6:$A$10008,$AC$3,PURCHASE!$D$6:$D$10008,$C$5:$C$499)</f>
        <v>0</v>
      </c>
      <c r="AE80" s="11">
        <f>SUMIFS(PURCHASE!$L$6:$L$10008,PURCHASE!$A$6:$A$10008,$AC$3,PURCHASE!$D$6:$D$10008,$C$5:$C$499)</f>
        <v>0</v>
      </c>
      <c r="AF80" s="11">
        <f>SUMIFS(PURCHASE!$M$6:$M$10008,PURCHASE!$A$6:$A$10008,$AC$3,PURCHASE!$D$6:$D$10008,$C$5:$C$499)</f>
        <v>0</v>
      </c>
      <c r="AG80" s="11">
        <f>SUMIFS(PURCHASE!$N$6:$N$10008,PURCHASE!$A$6:$A$10008,$AC$3,PURCHASE!$D$6:$D$10008,$C$5:$C$499)</f>
        <v>0</v>
      </c>
      <c r="AH80" s="11">
        <f t="shared" si="24"/>
        <v>0</v>
      </c>
      <c r="AI80" s="11">
        <f>SUMIFS(PURCHASE!$K$6:$K$10008,PURCHASE!$A$6:$A$10008,$AH$3,PURCHASE!$D$6:$D$10008,$C$5:$C$499)</f>
        <v>0</v>
      </c>
      <c r="AJ80" s="11">
        <f>SUMIFS(PURCHASE!$L$6:$L$10008,PURCHASE!$A$6:$A$10008,$AH$3,PURCHASE!$D$6:$D$10008,$C$5:$C$499)</f>
        <v>0</v>
      </c>
      <c r="AK80" s="11">
        <f>SUMIFS(PURCHASE!$M$6:$M$10008,PURCHASE!$A$6:$A$10008,$AH$3,PURCHASE!$D$6:$D$10008,$C$5:$C$499)</f>
        <v>0</v>
      </c>
      <c r="AL80" s="11">
        <f>SUMIFS(PURCHASE!$N$6:$N$10008,PURCHASE!$A$6:$A$10008,$AH$3,PURCHASE!$D$6:$D$10008,$C$5:$C$499)</f>
        <v>0</v>
      </c>
      <c r="AM80" s="11">
        <f t="shared" si="25"/>
        <v>0</v>
      </c>
      <c r="AN80" s="11">
        <f>SUMIFS(PURCHASE!$K$6:$K$10008,PURCHASE!$A$6:$A$10008,$AM$3,PURCHASE!$D$6:$D$10008,$C$5:$C$499)</f>
        <v>0</v>
      </c>
      <c r="AO80" s="11">
        <f>SUMIFS(PURCHASE!$L$6:$L$10008,PURCHASE!$A$6:$A$10008,$AM$3,PURCHASE!$D$6:$D$10008,$C$5:$C$499)</f>
        <v>0</v>
      </c>
      <c r="AP80" s="11">
        <f>SUMIFS(PURCHASE!$M$6:$M$10008,PURCHASE!$A$6:$A$10008,$AM$3,PURCHASE!$D$6:$D$10008,$C$5:$C$499)</f>
        <v>0</v>
      </c>
      <c r="AQ80" s="11">
        <f>SUMIFS(PURCHASE!$N$6:$N$10008,PURCHASE!$A$6:$A$10008,$AM$3,PURCHASE!$D$6:$D$10008,$C$5:$C$499)</f>
        <v>0</v>
      </c>
      <c r="AR80" s="11">
        <f t="shared" si="26"/>
        <v>0</v>
      </c>
      <c r="AS80" s="11">
        <f>SUMIFS(PURCHASE!$K$6:$K$10008,PURCHASE!$A$6:$A$10008,$AR$3,PURCHASE!$D$6:$D$10008,$C$5:$C$499)</f>
        <v>0</v>
      </c>
      <c r="AT80" s="11">
        <f>SUMIFS(PURCHASE!$L$6:$L$10008,PURCHASE!$A$6:$A$10008,$AR$3,PURCHASE!$D$6:$D$10008,$C$5:$C$499)</f>
        <v>0</v>
      </c>
      <c r="AU80" s="11">
        <f>SUMIFS(PURCHASE!$M$6:$M$10008,PURCHASE!$A$6:$A$10008,$AR$3,PURCHASE!$D$6:$D$10008,$C$5:$C$499)</f>
        <v>0</v>
      </c>
      <c r="AV80" s="11">
        <f>SUMIFS(PURCHASE!$N$6:$N$10008,PURCHASE!$A$6:$A$10008,$AR$3,PURCHASE!$D$6:$D$10008,$C$5:$C$499)</f>
        <v>0</v>
      </c>
      <c r="AW80" s="11">
        <f t="shared" si="27"/>
        <v>0</v>
      </c>
      <c r="AX80" s="11">
        <f>SUMIFS(PURCHASE!$K$6:$K$10008,PURCHASE!$A$6:$A$10008,$AW$3,PURCHASE!$D$6:$D$10008,$C$5:$C$499)</f>
        <v>0</v>
      </c>
      <c r="AY80" s="11">
        <f>SUMIFS(PURCHASE!$L$6:$L$10008,PURCHASE!$A$6:$A$10008,$AW$3,PURCHASE!$D$6:$D$10008,$C$5:$C$499)</f>
        <v>0</v>
      </c>
      <c r="AZ80" s="11">
        <f>SUMIFS(PURCHASE!$M$6:$M$10008,PURCHASE!$A$6:$A$10008,$AW$3,PURCHASE!$D$6:$D$10008,$C$5:$C$499)</f>
        <v>0</v>
      </c>
      <c r="BA80" s="11">
        <f>SUMIFS(PURCHASE!$N$6:$N$10008,PURCHASE!$A$6:$A$10008,$AW$3,PURCHASE!$D$6:$D$10008,$C$5:$C$499)</f>
        <v>0</v>
      </c>
      <c r="BB80" s="11">
        <f t="shared" si="28"/>
        <v>0</v>
      </c>
      <c r="BC80" s="11">
        <f>SUMIFS(PURCHASE!$K$6:$K$10008,PURCHASE!$A$6:$A$10008,$BB$3,PURCHASE!$D$6:$D$10008,$C$5:$C$499)</f>
        <v>0</v>
      </c>
      <c r="BD80" s="11">
        <f>SUMIFS(PURCHASE!$L$6:$L$10008,PURCHASE!$A$6:$A$10008,$BB$3,PURCHASE!$D$6:$D$10008,$C$5:$C$499)</f>
        <v>0</v>
      </c>
      <c r="BE80" s="11">
        <f>SUMIFS(PURCHASE!$M$6:$M$10008,PURCHASE!$A$6:$A$10008,$BB$3,PURCHASE!$D$6:$D$10008,$C$5:$C$499)</f>
        <v>0</v>
      </c>
      <c r="BF80" s="11">
        <f>SUMIFS(PURCHASE!$N$6:$N$10008,PURCHASE!$A$6:$A$10008,$BB$3,PURCHASE!$D$6:$D$10008,$C$5:$C$499)</f>
        <v>0</v>
      </c>
      <c r="BG80" s="11">
        <f t="shared" si="29"/>
        <v>0</v>
      </c>
      <c r="BH80" s="11">
        <f>SUMIFS(PURCHASE!$K$6:$K$10008,PURCHASE!$A$6:$A$10008,$BG$3,PURCHASE!$D$6:$D$10008,$C$5:$C$499)</f>
        <v>0</v>
      </c>
      <c r="BI80" s="11">
        <f>SUMIFS(PURCHASE!$L$6:$L$10008,PURCHASE!$A$6:$A$10008,$BG$3,PURCHASE!$D$6:$D$10008,$C$5:$C$499)</f>
        <v>0</v>
      </c>
      <c r="BJ80" s="11">
        <f>SUMIFS(PURCHASE!$M$6:$M$10008,PURCHASE!$A$6:$A$10008,$BG$3,PURCHASE!$D$6:$D$10008,$C$5:$C$499)</f>
        <v>0</v>
      </c>
      <c r="BK80" s="11">
        <f>SUMIFS(PURCHASE!$N$6:$N$10008,PURCHASE!$A$6:$A$10008,$BG$3,PURCHASE!$D$6:$D$10008,$C$5:$C$499)</f>
        <v>0</v>
      </c>
      <c r="BL80" s="11">
        <f t="shared" si="17"/>
        <v>0</v>
      </c>
      <c r="BM80" s="11">
        <f t="shared" si="17"/>
        <v>0</v>
      </c>
      <c r="BN80" s="11">
        <f t="shared" si="17"/>
        <v>0</v>
      </c>
      <c r="BO80" s="11">
        <f t="shared" si="17"/>
        <v>0</v>
      </c>
      <c r="BP80" s="11">
        <f t="shared" si="17"/>
        <v>0</v>
      </c>
    </row>
    <row r="81" spans="1:68" x14ac:dyDescent="0.2">
      <c r="A81" s="467">
        <v>78</v>
      </c>
      <c r="B81" s="468" t="s">
        <v>720</v>
      </c>
      <c r="C81" s="479" t="s">
        <v>671</v>
      </c>
      <c r="D81" s="11">
        <f t="shared" si="18"/>
        <v>0</v>
      </c>
      <c r="E81" s="11">
        <f>SUMIFS(PURCHASE!$K$6:$K$10008,PURCHASE!$A$6:$A$10008,$D$3,PURCHASE!$D$6:$D$10008,$C$5:$C$499)</f>
        <v>0</v>
      </c>
      <c r="F81" s="11">
        <f>SUMIFS(PURCHASE!$L$6:$L$10008,PURCHASE!$A$6:$A$10008,$D$3,PURCHASE!$D$6:$D$10008,$C$5:$C$499)</f>
        <v>0</v>
      </c>
      <c r="G81" s="11">
        <f>SUMIFS(PURCHASE!$M$6:$M$10008,PURCHASE!$A$6:$A$10008,$D$3,PURCHASE!$D$6:$D$10008,$C$5:$C$499)</f>
        <v>0</v>
      </c>
      <c r="H81" s="11">
        <f>SUMIFS(PURCHASE!$N$6:$N$10008,PURCHASE!$A$6:$A$10008,$D$3,PURCHASE!$D$6:$D$10008,$C$5:$C$499)</f>
        <v>0</v>
      </c>
      <c r="I81" s="473">
        <f t="shared" si="19"/>
        <v>778.8</v>
      </c>
      <c r="J81" s="60">
        <f>SUMIFS(PURCHASE!$K$6:$K$10008,PURCHASE!$A$6:$A$10008,$I$3,PURCHASE!$D$6:$D$10008,$C$5:$C$499)</f>
        <v>660</v>
      </c>
      <c r="K81" s="60">
        <f>SUMIFS(PURCHASE!$L$6:$L$10008,PURCHASE!$A$6:$A$10008,$I$3,PURCHASE!$D$6:$D$10008,$C$5:$C$499)</f>
        <v>0</v>
      </c>
      <c r="L81" s="60">
        <f>SUMIFS(PURCHASE!$M$6:$M$10008,PURCHASE!$A$6:$A$10008,$I$3,PURCHASE!$D$6:$D$10008,$C$5:$C$499)</f>
        <v>59.4</v>
      </c>
      <c r="M81" s="474">
        <f>SUMIFS(PURCHASE!$N$6:$N$10008,PURCHASE!$A$6:$A$10008,$I$3,PURCHASE!$D$6:$D$10008,$C$5:$C$499)</f>
        <v>59.4</v>
      </c>
      <c r="N81" s="11">
        <f t="shared" si="20"/>
        <v>934.56</v>
      </c>
      <c r="O81" s="11">
        <f>SUMIFS(PURCHASE!$K$6:$K$10008,PURCHASE!$A$6:$A$10008,$N$3,PURCHASE!$D$6:$D$10008,$C$5:$C$499)</f>
        <v>792</v>
      </c>
      <c r="P81" s="11">
        <f>SUMIFS(PURCHASE!$L$6:$L$10008,PURCHASE!$A$6:$A$10008,$N$3,PURCHASE!$D$6:$D$10008,$C$5:$C$499)</f>
        <v>0</v>
      </c>
      <c r="Q81" s="11">
        <f>SUMIFS(PURCHASE!$M$6:$M$10008,PURCHASE!$A$6:$A$10008,$N$3,PURCHASE!$D$6:$D$10008,$C$5:$C$499)</f>
        <v>71.28</v>
      </c>
      <c r="R81" s="11">
        <f>SUMIFS(PURCHASE!$N$6:$N$10008,PURCHASE!$A$6:$A$10008,$N$3,PURCHASE!$D$6:$D$10008,$C$5:$C$499)</f>
        <v>71.28</v>
      </c>
      <c r="S81" s="11">
        <f t="shared" si="21"/>
        <v>0</v>
      </c>
      <c r="T81" s="11">
        <f>SUMIFS(PURCHASE!$K$6:$K$10008,PURCHASE!$A$6:$A$10008,$S$3,PURCHASE!$D$6:$D$10008,$C$5:$C$499)</f>
        <v>0</v>
      </c>
      <c r="U81" s="11">
        <f>SUMIFS(PURCHASE!$L$6:$L$10008,PURCHASE!$A$6:$A$10008,$S$3,PURCHASE!$D$6:$D$10008,$C$5:$C$499)</f>
        <v>0</v>
      </c>
      <c r="V81" s="11">
        <f>SUMIFS(PURCHASE!$M$6:$M$10008,PURCHASE!$A$6:$A$10008,$S$3,PURCHASE!$D$6:$D$10008,$C$5:$C$499)</f>
        <v>0</v>
      </c>
      <c r="W81" s="11">
        <f>SUMIFS(PURCHASE!$N$6:$N$10008,PURCHASE!$A$6:$A$10008,$S$3,PURCHASE!$D$6:$D$10008,$C$5:$C$499)</f>
        <v>0</v>
      </c>
      <c r="X81" s="11">
        <f t="shared" si="22"/>
        <v>0</v>
      </c>
      <c r="Y81" s="11">
        <f>SUMIFS(PURCHASE!$K$6:$K$10008,PURCHASE!$A$6:$A$10008,$X$3,PURCHASE!$D$6:$D$10008,$C$5:$C$499)</f>
        <v>0</v>
      </c>
      <c r="Z81" s="11">
        <f>SUMIFS(PURCHASE!$L$6:$L$10008,PURCHASE!$A$6:$A$10008,$X$3,PURCHASE!$D$6:$D$10008,$C$5:$C$499)</f>
        <v>0</v>
      </c>
      <c r="AA81" s="11">
        <f>SUMIFS(PURCHASE!$M$6:$M$10008,PURCHASE!$A$6:$A$10008,$X$3,PURCHASE!$D$6:$D$10008,$C$5:$C$499)</f>
        <v>0</v>
      </c>
      <c r="AB81" s="11">
        <f>SUMIFS(PURCHASE!$N$6:$N$10008,PURCHASE!$A$6:$A$10008,$X$3,PURCHASE!$D$6:$D$10008,$C$5:$C$499)</f>
        <v>0</v>
      </c>
      <c r="AC81" s="11">
        <f t="shared" si="23"/>
        <v>0</v>
      </c>
      <c r="AD81" s="11">
        <f>SUMIFS(PURCHASE!$K$6:$K$10008,PURCHASE!$A$6:$A$10008,$AC$3,PURCHASE!$D$6:$D$10008,$C$5:$C$499)</f>
        <v>0</v>
      </c>
      <c r="AE81" s="11">
        <f>SUMIFS(PURCHASE!$L$6:$L$10008,PURCHASE!$A$6:$A$10008,$AC$3,PURCHASE!$D$6:$D$10008,$C$5:$C$499)</f>
        <v>0</v>
      </c>
      <c r="AF81" s="11">
        <f>SUMIFS(PURCHASE!$M$6:$M$10008,PURCHASE!$A$6:$A$10008,$AC$3,PURCHASE!$D$6:$D$10008,$C$5:$C$499)</f>
        <v>0</v>
      </c>
      <c r="AG81" s="11">
        <f>SUMIFS(PURCHASE!$N$6:$N$10008,PURCHASE!$A$6:$A$10008,$AC$3,PURCHASE!$D$6:$D$10008,$C$5:$C$499)</f>
        <v>0</v>
      </c>
      <c r="AH81" s="11">
        <f t="shared" si="24"/>
        <v>0</v>
      </c>
      <c r="AI81" s="11">
        <f>SUMIFS(PURCHASE!$K$6:$K$10008,PURCHASE!$A$6:$A$10008,$AH$3,PURCHASE!$D$6:$D$10008,$C$5:$C$499)</f>
        <v>0</v>
      </c>
      <c r="AJ81" s="11">
        <f>SUMIFS(PURCHASE!$L$6:$L$10008,PURCHASE!$A$6:$A$10008,$AH$3,PURCHASE!$D$6:$D$10008,$C$5:$C$499)</f>
        <v>0</v>
      </c>
      <c r="AK81" s="11">
        <f>SUMIFS(PURCHASE!$M$6:$M$10008,PURCHASE!$A$6:$A$10008,$AH$3,PURCHASE!$D$6:$D$10008,$C$5:$C$499)</f>
        <v>0</v>
      </c>
      <c r="AL81" s="11">
        <f>SUMIFS(PURCHASE!$N$6:$N$10008,PURCHASE!$A$6:$A$10008,$AH$3,PURCHASE!$D$6:$D$10008,$C$5:$C$499)</f>
        <v>0</v>
      </c>
      <c r="AM81" s="11">
        <f t="shared" si="25"/>
        <v>0</v>
      </c>
      <c r="AN81" s="11">
        <f>SUMIFS(PURCHASE!$K$6:$K$10008,PURCHASE!$A$6:$A$10008,$AM$3,PURCHASE!$D$6:$D$10008,$C$5:$C$499)</f>
        <v>0</v>
      </c>
      <c r="AO81" s="11">
        <f>SUMIFS(PURCHASE!$L$6:$L$10008,PURCHASE!$A$6:$A$10008,$AM$3,PURCHASE!$D$6:$D$10008,$C$5:$C$499)</f>
        <v>0</v>
      </c>
      <c r="AP81" s="11">
        <f>SUMIFS(PURCHASE!$M$6:$M$10008,PURCHASE!$A$6:$A$10008,$AM$3,PURCHASE!$D$6:$D$10008,$C$5:$C$499)</f>
        <v>0</v>
      </c>
      <c r="AQ81" s="11">
        <f>SUMIFS(PURCHASE!$N$6:$N$10008,PURCHASE!$A$6:$A$10008,$AM$3,PURCHASE!$D$6:$D$10008,$C$5:$C$499)</f>
        <v>0</v>
      </c>
      <c r="AR81" s="11">
        <f t="shared" si="26"/>
        <v>0</v>
      </c>
      <c r="AS81" s="11">
        <f>SUMIFS(PURCHASE!$K$6:$K$10008,PURCHASE!$A$6:$A$10008,$AR$3,PURCHASE!$D$6:$D$10008,$C$5:$C$499)</f>
        <v>0</v>
      </c>
      <c r="AT81" s="11">
        <f>SUMIFS(PURCHASE!$L$6:$L$10008,PURCHASE!$A$6:$A$10008,$AR$3,PURCHASE!$D$6:$D$10008,$C$5:$C$499)</f>
        <v>0</v>
      </c>
      <c r="AU81" s="11">
        <f>SUMIFS(PURCHASE!$M$6:$M$10008,PURCHASE!$A$6:$A$10008,$AR$3,PURCHASE!$D$6:$D$10008,$C$5:$C$499)</f>
        <v>0</v>
      </c>
      <c r="AV81" s="11">
        <f>SUMIFS(PURCHASE!$N$6:$N$10008,PURCHASE!$A$6:$A$10008,$AR$3,PURCHASE!$D$6:$D$10008,$C$5:$C$499)</f>
        <v>0</v>
      </c>
      <c r="AW81" s="11">
        <f t="shared" si="27"/>
        <v>0</v>
      </c>
      <c r="AX81" s="11">
        <f>SUMIFS(PURCHASE!$K$6:$K$10008,PURCHASE!$A$6:$A$10008,$AW$3,PURCHASE!$D$6:$D$10008,$C$5:$C$499)</f>
        <v>0</v>
      </c>
      <c r="AY81" s="11">
        <f>SUMIFS(PURCHASE!$L$6:$L$10008,PURCHASE!$A$6:$A$10008,$AW$3,PURCHASE!$D$6:$D$10008,$C$5:$C$499)</f>
        <v>0</v>
      </c>
      <c r="AZ81" s="11">
        <f>SUMIFS(PURCHASE!$M$6:$M$10008,PURCHASE!$A$6:$A$10008,$AW$3,PURCHASE!$D$6:$D$10008,$C$5:$C$499)</f>
        <v>0</v>
      </c>
      <c r="BA81" s="11">
        <f>SUMIFS(PURCHASE!$N$6:$N$10008,PURCHASE!$A$6:$A$10008,$AW$3,PURCHASE!$D$6:$D$10008,$C$5:$C$499)</f>
        <v>0</v>
      </c>
      <c r="BB81" s="11">
        <f t="shared" si="28"/>
        <v>0</v>
      </c>
      <c r="BC81" s="11">
        <f>SUMIFS(PURCHASE!$K$6:$K$10008,PURCHASE!$A$6:$A$10008,$BB$3,PURCHASE!$D$6:$D$10008,$C$5:$C$499)</f>
        <v>0</v>
      </c>
      <c r="BD81" s="11">
        <f>SUMIFS(PURCHASE!$L$6:$L$10008,PURCHASE!$A$6:$A$10008,$BB$3,PURCHASE!$D$6:$D$10008,$C$5:$C$499)</f>
        <v>0</v>
      </c>
      <c r="BE81" s="11">
        <f>SUMIFS(PURCHASE!$M$6:$M$10008,PURCHASE!$A$6:$A$10008,$BB$3,PURCHASE!$D$6:$D$10008,$C$5:$C$499)</f>
        <v>0</v>
      </c>
      <c r="BF81" s="11">
        <f>SUMIFS(PURCHASE!$N$6:$N$10008,PURCHASE!$A$6:$A$10008,$BB$3,PURCHASE!$D$6:$D$10008,$C$5:$C$499)</f>
        <v>0</v>
      </c>
      <c r="BG81" s="11">
        <f t="shared" si="29"/>
        <v>0</v>
      </c>
      <c r="BH81" s="11">
        <f>SUMIFS(PURCHASE!$K$6:$K$10008,PURCHASE!$A$6:$A$10008,$BG$3,PURCHASE!$D$6:$D$10008,$C$5:$C$499)</f>
        <v>0</v>
      </c>
      <c r="BI81" s="11">
        <f>SUMIFS(PURCHASE!$L$6:$L$10008,PURCHASE!$A$6:$A$10008,$BG$3,PURCHASE!$D$6:$D$10008,$C$5:$C$499)</f>
        <v>0</v>
      </c>
      <c r="BJ81" s="11">
        <f>SUMIFS(PURCHASE!$M$6:$M$10008,PURCHASE!$A$6:$A$10008,$BG$3,PURCHASE!$D$6:$D$10008,$C$5:$C$499)</f>
        <v>0</v>
      </c>
      <c r="BK81" s="11">
        <f>SUMIFS(PURCHASE!$N$6:$N$10008,PURCHASE!$A$6:$A$10008,$BG$3,PURCHASE!$D$6:$D$10008,$C$5:$C$499)</f>
        <v>0</v>
      </c>
      <c r="BL81" s="11">
        <f t="shared" si="17"/>
        <v>1713.36</v>
      </c>
      <c r="BM81" s="11">
        <f t="shared" si="17"/>
        <v>1452</v>
      </c>
      <c r="BN81" s="11">
        <f t="shared" si="17"/>
        <v>0</v>
      </c>
      <c r="BO81" s="11">
        <f t="shared" si="17"/>
        <v>130.68</v>
      </c>
      <c r="BP81" s="11">
        <f t="shared" si="17"/>
        <v>130.68</v>
      </c>
    </row>
    <row r="82" spans="1:68" x14ac:dyDescent="0.2">
      <c r="A82" s="467">
        <v>79</v>
      </c>
      <c r="B82" s="468" t="s">
        <v>1133</v>
      </c>
      <c r="C82" s="469" t="s">
        <v>156</v>
      </c>
      <c r="D82" s="11">
        <f t="shared" si="18"/>
        <v>0</v>
      </c>
      <c r="E82" s="11">
        <f>SUMIFS(PURCHASE!$K$6:$K$10008,PURCHASE!$A$6:$A$10008,$D$3,PURCHASE!$D$6:$D$10008,$C$5:$C$499)</f>
        <v>0</v>
      </c>
      <c r="F82" s="11">
        <f>SUMIFS(PURCHASE!$L$6:$L$10008,PURCHASE!$A$6:$A$10008,$D$3,PURCHASE!$D$6:$D$10008,$C$5:$C$499)</f>
        <v>0</v>
      </c>
      <c r="G82" s="11">
        <f>SUMIFS(PURCHASE!$M$6:$M$10008,PURCHASE!$A$6:$A$10008,$D$3,PURCHASE!$D$6:$D$10008,$C$5:$C$499)</f>
        <v>0</v>
      </c>
      <c r="H82" s="11">
        <f>SUMIFS(PURCHASE!$N$6:$N$10008,PURCHASE!$A$6:$A$10008,$D$3,PURCHASE!$D$6:$D$10008,$C$5:$C$499)</f>
        <v>0</v>
      </c>
      <c r="I82" s="473">
        <f t="shared" si="19"/>
        <v>0</v>
      </c>
      <c r="J82" s="60">
        <f>SUMIFS(PURCHASE!$K$6:$K$10008,PURCHASE!$A$6:$A$10008,$I$3,PURCHASE!$D$6:$D$10008,$C$5:$C$499)</f>
        <v>0</v>
      </c>
      <c r="K82" s="60">
        <f>SUMIFS(PURCHASE!$L$6:$L$10008,PURCHASE!$A$6:$A$10008,$I$3,PURCHASE!$D$6:$D$10008,$C$5:$C$499)</f>
        <v>0</v>
      </c>
      <c r="L82" s="60">
        <f>SUMIFS(PURCHASE!$M$6:$M$10008,PURCHASE!$A$6:$A$10008,$I$3,PURCHASE!$D$6:$D$10008,$C$5:$C$499)</f>
        <v>0</v>
      </c>
      <c r="M82" s="474">
        <f>SUMIFS(PURCHASE!$N$6:$N$10008,PURCHASE!$A$6:$A$10008,$I$3,PURCHASE!$D$6:$D$10008,$C$5:$C$499)</f>
        <v>0</v>
      </c>
      <c r="N82" s="11">
        <f t="shared" si="20"/>
        <v>0</v>
      </c>
      <c r="O82" s="11">
        <f>SUMIFS(PURCHASE!$K$6:$K$10008,PURCHASE!$A$6:$A$10008,$N$3,PURCHASE!$D$6:$D$10008,$C$5:$C$499)</f>
        <v>0</v>
      </c>
      <c r="P82" s="11">
        <f>SUMIFS(PURCHASE!$L$6:$L$10008,PURCHASE!$A$6:$A$10008,$N$3,PURCHASE!$D$6:$D$10008,$C$5:$C$499)</f>
        <v>0</v>
      </c>
      <c r="Q82" s="11">
        <f>SUMIFS(PURCHASE!$M$6:$M$10008,PURCHASE!$A$6:$A$10008,$N$3,PURCHASE!$D$6:$D$10008,$C$5:$C$499)</f>
        <v>0</v>
      </c>
      <c r="R82" s="11">
        <f>SUMIFS(PURCHASE!$N$6:$N$10008,PURCHASE!$A$6:$A$10008,$N$3,PURCHASE!$D$6:$D$10008,$C$5:$C$499)</f>
        <v>0</v>
      </c>
      <c r="S82" s="11">
        <f t="shared" si="21"/>
        <v>0</v>
      </c>
      <c r="T82" s="11">
        <f>SUMIFS(PURCHASE!$K$6:$K$10008,PURCHASE!$A$6:$A$10008,$S$3,PURCHASE!$D$6:$D$10008,$C$5:$C$499)</f>
        <v>0</v>
      </c>
      <c r="U82" s="11">
        <f>SUMIFS(PURCHASE!$L$6:$L$10008,PURCHASE!$A$6:$A$10008,$S$3,PURCHASE!$D$6:$D$10008,$C$5:$C$499)</f>
        <v>0</v>
      </c>
      <c r="V82" s="11">
        <f>SUMIFS(PURCHASE!$M$6:$M$10008,PURCHASE!$A$6:$A$10008,$S$3,PURCHASE!$D$6:$D$10008,$C$5:$C$499)</f>
        <v>0</v>
      </c>
      <c r="W82" s="11">
        <f>SUMIFS(PURCHASE!$N$6:$N$10008,PURCHASE!$A$6:$A$10008,$S$3,PURCHASE!$D$6:$D$10008,$C$5:$C$499)</f>
        <v>0</v>
      </c>
      <c r="X82" s="11">
        <f t="shared" si="22"/>
        <v>0</v>
      </c>
      <c r="Y82" s="11">
        <f>SUMIFS(PURCHASE!$K$6:$K$10008,PURCHASE!$A$6:$A$10008,$X$3,PURCHASE!$D$6:$D$10008,$C$5:$C$499)</f>
        <v>0</v>
      </c>
      <c r="Z82" s="11">
        <f>SUMIFS(PURCHASE!$L$6:$L$10008,PURCHASE!$A$6:$A$10008,$X$3,PURCHASE!$D$6:$D$10008,$C$5:$C$499)</f>
        <v>0</v>
      </c>
      <c r="AA82" s="11">
        <f>SUMIFS(PURCHASE!$M$6:$M$10008,PURCHASE!$A$6:$A$10008,$X$3,PURCHASE!$D$6:$D$10008,$C$5:$C$499)</f>
        <v>0</v>
      </c>
      <c r="AB82" s="11">
        <f>SUMIFS(PURCHASE!$N$6:$N$10008,PURCHASE!$A$6:$A$10008,$X$3,PURCHASE!$D$6:$D$10008,$C$5:$C$499)</f>
        <v>0</v>
      </c>
      <c r="AC82" s="11">
        <f t="shared" si="23"/>
        <v>0</v>
      </c>
      <c r="AD82" s="11">
        <f>SUMIFS(PURCHASE!$K$6:$K$10008,PURCHASE!$A$6:$A$10008,$AC$3,PURCHASE!$D$6:$D$10008,$C$5:$C$499)</f>
        <v>0</v>
      </c>
      <c r="AE82" s="11">
        <f>SUMIFS(PURCHASE!$L$6:$L$10008,PURCHASE!$A$6:$A$10008,$AC$3,PURCHASE!$D$6:$D$10008,$C$5:$C$499)</f>
        <v>0</v>
      </c>
      <c r="AF82" s="11">
        <f>SUMIFS(PURCHASE!$M$6:$M$10008,PURCHASE!$A$6:$A$10008,$AC$3,PURCHASE!$D$6:$D$10008,$C$5:$C$499)</f>
        <v>0</v>
      </c>
      <c r="AG82" s="11">
        <f>SUMIFS(PURCHASE!$N$6:$N$10008,PURCHASE!$A$6:$A$10008,$AC$3,PURCHASE!$D$6:$D$10008,$C$5:$C$499)</f>
        <v>0</v>
      </c>
      <c r="AH82" s="11">
        <f t="shared" si="24"/>
        <v>0</v>
      </c>
      <c r="AI82" s="11">
        <f>SUMIFS(PURCHASE!$K$6:$K$10008,PURCHASE!$A$6:$A$10008,$AH$3,PURCHASE!$D$6:$D$10008,$C$5:$C$499)</f>
        <v>0</v>
      </c>
      <c r="AJ82" s="11">
        <f>SUMIFS(PURCHASE!$L$6:$L$10008,PURCHASE!$A$6:$A$10008,$AH$3,PURCHASE!$D$6:$D$10008,$C$5:$C$499)</f>
        <v>0</v>
      </c>
      <c r="AK82" s="11">
        <f>SUMIFS(PURCHASE!$M$6:$M$10008,PURCHASE!$A$6:$A$10008,$AH$3,PURCHASE!$D$6:$D$10008,$C$5:$C$499)</f>
        <v>0</v>
      </c>
      <c r="AL82" s="11">
        <f>SUMIFS(PURCHASE!$N$6:$N$10008,PURCHASE!$A$6:$A$10008,$AH$3,PURCHASE!$D$6:$D$10008,$C$5:$C$499)</f>
        <v>0</v>
      </c>
      <c r="AM82" s="11">
        <f t="shared" si="25"/>
        <v>0</v>
      </c>
      <c r="AN82" s="11">
        <f>SUMIFS(PURCHASE!$K$6:$K$10008,PURCHASE!$A$6:$A$10008,$AM$3,PURCHASE!$D$6:$D$10008,$C$5:$C$499)</f>
        <v>0</v>
      </c>
      <c r="AO82" s="11">
        <f>SUMIFS(PURCHASE!$L$6:$L$10008,PURCHASE!$A$6:$A$10008,$AM$3,PURCHASE!$D$6:$D$10008,$C$5:$C$499)</f>
        <v>0</v>
      </c>
      <c r="AP82" s="11">
        <f>SUMIFS(PURCHASE!$M$6:$M$10008,PURCHASE!$A$6:$A$10008,$AM$3,PURCHASE!$D$6:$D$10008,$C$5:$C$499)</f>
        <v>0</v>
      </c>
      <c r="AQ82" s="11">
        <f>SUMIFS(PURCHASE!$N$6:$N$10008,PURCHASE!$A$6:$A$10008,$AM$3,PURCHASE!$D$6:$D$10008,$C$5:$C$499)</f>
        <v>0</v>
      </c>
      <c r="AR82" s="11">
        <f t="shared" si="26"/>
        <v>0</v>
      </c>
      <c r="AS82" s="11">
        <f>SUMIFS(PURCHASE!$K$6:$K$10008,PURCHASE!$A$6:$A$10008,$AR$3,PURCHASE!$D$6:$D$10008,$C$5:$C$499)</f>
        <v>0</v>
      </c>
      <c r="AT82" s="11">
        <f>SUMIFS(PURCHASE!$L$6:$L$10008,PURCHASE!$A$6:$A$10008,$AR$3,PURCHASE!$D$6:$D$10008,$C$5:$C$499)</f>
        <v>0</v>
      </c>
      <c r="AU82" s="11">
        <f>SUMIFS(PURCHASE!$M$6:$M$10008,PURCHASE!$A$6:$A$10008,$AR$3,PURCHASE!$D$6:$D$10008,$C$5:$C$499)</f>
        <v>0</v>
      </c>
      <c r="AV82" s="11">
        <f>SUMIFS(PURCHASE!$N$6:$N$10008,PURCHASE!$A$6:$A$10008,$AR$3,PURCHASE!$D$6:$D$10008,$C$5:$C$499)</f>
        <v>0</v>
      </c>
      <c r="AW82" s="11">
        <f t="shared" si="27"/>
        <v>0</v>
      </c>
      <c r="AX82" s="11">
        <f>SUMIFS(PURCHASE!$K$6:$K$10008,PURCHASE!$A$6:$A$10008,$AW$3,PURCHASE!$D$6:$D$10008,$C$5:$C$499)</f>
        <v>0</v>
      </c>
      <c r="AY82" s="11">
        <f>SUMIFS(PURCHASE!$L$6:$L$10008,PURCHASE!$A$6:$A$10008,$AW$3,PURCHASE!$D$6:$D$10008,$C$5:$C$499)</f>
        <v>0</v>
      </c>
      <c r="AZ82" s="11">
        <f>SUMIFS(PURCHASE!$M$6:$M$10008,PURCHASE!$A$6:$A$10008,$AW$3,PURCHASE!$D$6:$D$10008,$C$5:$C$499)</f>
        <v>0</v>
      </c>
      <c r="BA82" s="11">
        <f>SUMIFS(PURCHASE!$N$6:$N$10008,PURCHASE!$A$6:$A$10008,$AW$3,PURCHASE!$D$6:$D$10008,$C$5:$C$499)</f>
        <v>0</v>
      </c>
      <c r="BB82" s="11">
        <f t="shared" si="28"/>
        <v>0</v>
      </c>
      <c r="BC82" s="11">
        <f>SUMIFS(PURCHASE!$K$6:$K$10008,PURCHASE!$A$6:$A$10008,$BB$3,PURCHASE!$D$6:$D$10008,$C$5:$C$499)</f>
        <v>0</v>
      </c>
      <c r="BD82" s="11">
        <f>SUMIFS(PURCHASE!$L$6:$L$10008,PURCHASE!$A$6:$A$10008,$BB$3,PURCHASE!$D$6:$D$10008,$C$5:$C$499)</f>
        <v>0</v>
      </c>
      <c r="BE82" s="11">
        <f>SUMIFS(PURCHASE!$M$6:$M$10008,PURCHASE!$A$6:$A$10008,$BB$3,PURCHASE!$D$6:$D$10008,$C$5:$C$499)</f>
        <v>0</v>
      </c>
      <c r="BF82" s="11">
        <f>SUMIFS(PURCHASE!$N$6:$N$10008,PURCHASE!$A$6:$A$10008,$BB$3,PURCHASE!$D$6:$D$10008,$C$5:$C$499)</f>
        <v>0</v>
      </c>
      <c r="BG82" s="11">
        <f t="shared" si="29"/>
        <v>0</v>
      </c>
      <c r="BH82" s="11">
        <f>SUMIFS(PURCHASE!$K$6:$K$10008,PURCHASE!$A$6:$A$10008,$BG$3,PURCHASE!$D$6:$D$10008,$C$5:$C$499)</f>
        <v>0</v>
      </c>
      <c r="BI82" s="11">
        <f>SUMIFS(PURCHASE!$L$6:$L$10008,PURCHASE!$A$6:$A$10008,$BG$3,PURCHASE!$D$6:$D$10008,$C$5:$C$499)</f>
        <v>0</v>
      </c>
      <c r="BJ82" s="11">
        <f>SUMIFS(PURCHASE!$M$6:$M$10008,PURCHASE!$A$6:$A$10008,$BG$3,PURCHASE!$D$6:$D$10008,$C$5:$C$499)</f>
        <v>0</v>
      </c>
      <c r="BK82" s="11">
        <f>SUMIFS(PURCHASE!$N$6:$N$10008,PURCHASE!$A$6:$A$10008,$BG$3,PURCHASE!$D$6:$D$10008,$C$5:$C$499)</f>
        <v>0</v>
      </c>
      <c r="BL82" s="11">
        <f t="shared" si="17"/>
        <v>0</v>
      </c>
      <c r="BM82" s="11">
        <f t="shared" si="17"/>
        <v>0</v>
      </c>
      <c r="BN82" s="11">
        <f t="shared" si="17"/>
        <v>0</v>
      </c>
      <c r="BO82" s="11">
        <f t="shared" si="17"/>
        <v>0</v>
      </c>
      <c r="BP82" s="11">
        <f t="shared" si="17"/>
        <v>0</v>
      </c>
    </row>
    <row r="83" spans="1:68" x14ac:dyDescent="0.2">
      <c r="A83" s="467">
        <v>80</v>
      </c>
      <c r="B83" s="468" t="s">
        <v>673</v>
      </c>
      <c r="C83" s="479" t="s">
        <v>674</v>
      </c>
      <c r="D83" s="11">
        <f t="shared" si="18"/>
        <v>0</v>
      </c>
      <c r="E83" s="11">
        <f>SUMIFS(PURCHASE!$K$6:$K$10008,PURCHASE!$A$6:$A$10008,$D$3,PURCHASE!$D$6:$D$10008,$C$5:$C$499)</f>
        <v>0</v>
      </c>
      <c r="F83" s="11">
        <f>SUMIFS(PURCHASE!$L$6:$L$10008,PURCHASE!$A$6:$A$10008,$D$3,PURCHASE!$D$6:$D$10008,$C$5:$C$499)</f>
        <v>0</v>
      </c>
      <c r="G83" s="11">
        <f>SUMIFS(PURCHASE!$M$6:$M$10008,PURCHASE!$A$6:$A$10008,$D$3,PURCHASE!$D$6:$D$10008,$C$5:$C$499)</f>
        <v>0</v>
      </c>
      <c r="H83" s="11">
        <f>SUMIFS(PURCHASE!$N$6:$N$10008,PURCHASE!$A$6:$A$10008,$D$3,PURCHASE!$D$6:$D$10008,$C$5:$C$499)</f>
        <v>0</v>
      </c>
      <c r="I83" s="473">
        <f t="shared" si="19"/>
        <v>27489.279999999999</v>
      </c>
      <c r="J83" s="60">
        <f>SUMIFS(PURCHASE!$K$6:$K$10008,PURCHASE!$A$6:$A$10008,$I$3,PURCHASE!$D$6:$D$10008,$C$5:$C$499)</f>
        <v>23296</v>
      </c>
      <c r="K83" s="60">
        <f>SUMIFS(PURCHASE!$L$6:$L$10008,PURCHASE!$A$6:$A$10008,$I$3,PURCHASE!$D$6:$D$10008,$C$5:$C$499)</f>
        <v>0</v>
      </c>
      <c r="L83" s="60">
        <f>SUMIFS(PURCHASE!$M$6:$M$10008,PURCHASE!$A$6:$A$10008,$I$3,PURCHASE!$D$6:$D$10008,$C$5:$C$499)</f>
        <v>2096.64</v>
      </c>
      <c r="M83" s="474">
        <f>SUMIFS(PURCHASE!$N$6:$N$10008,PURCHASE!$A$6:$A$10008,$I$3,PURCHASE!$D$6:$D$10008,$C$5:$C$499)</f>
        <v>2096.64</v>
      </c>
      <c r="N83" s="11">
        <f t="shared" si="20"/>
        <v>0</v>
      </c>
      <c r="O83" s="11">
        <f>SUMIFS(PURCHASE!$K$6:$K$10008,PURCHASE!$A$6:$A$10008,$N$3,PURCHASE!$D$6:$D$10008,$C$5:$C$499)</f>
        <v>0</v>
      </c>
      <c r="P83" s="11">
        <f>SUMIFS(PURCHASE!$L$6:$L$10008,PURCHASE!$A$6:$A$10008,$N$3,PURCHASE!$D$6:$D$10008,$C$5:$C$499)</f>
        <v>0</v>
      </c>
      <c r="Q83" s="11">
        <f>SUMIFS(PURCHASE!$M$6:$M$10008,PURCHASE!$A$6:$A$10008,$N$3,PURCHASE!$D$6:$D$10008,$C$5:$C$499)</f>
        <v>0</v>
      </c>
      <c r="R83" s="11">
        <f>SUMIFS(PURCHASE!$N$6:$N$10008,PURCHASE!$A$6:$A$10008,$N$3,PURCHASE!$D$6:$D$10008,$C$5:$C$499)</f>
        <v>0</v>
      </c>
      <c r="S83" s="11">
        <f t="shared" si="21"/>
        <v>0</v>
      </c>
      <c r="T83" s="11">
        <f>SUMIFS(PURCHASE!$K$6:$K$10008,PURCHASE!$A$6:$A$10008,$S$3,PURCHASE!$D$6:$D$10008,$C$5:$C$499)</f>
        <v>0</v>
      </c>
      <c r="U83" s="11">
        <f>SUMIFS(PURCHASE!$L$6:$L$10008,PURCHASE!$A$6:$A$10008,$S$3,PURCHASE!$D$6:$D$10008,$C$5:$C$499)</f>
        <v>0</v>
      </c>
      <c r="V83" s="11">
        <f>SUMIFS(PURCHASE!$M$6:$M$10008,PURCHASE!$A$6:$A$10008,$S$3,PURCHASE!$D$6:$D$10008,$C$5:$C$499)</f>
        <v>0</v>
      </c>
      <c r="W83" s="11">
        <f>SUMIFS(PURCHASE!$N$6:$N$10008,PURCHASE!$A$6:$A$10008,$S$3,PURCHASE!$D$6:$D$10008,$C$5:$C$499)</f>
        <v>0</v>
      </c>
      <c r="X83" s="11">
        <f t="shared" si="22"/>
        <v>0</v>
      </c>
      <c r="Y83" s="11">
        <f>SUMIFS(PURCHASE!$K$6:$K$10008,PURCHASE!$A$6:$A$10008,$X$3,PURCHASE!$D$6:$D$10008,$C$5:$C$499)</f>
        <v>0</v>
      </c>
      <c r="Z83" s="11">
        <f>SUMIFS(PURCHASE!$L$6:$L$10008,PURCHASE!$A$6:$A$10008,$X$3,PURCHASE!$D$6:$D$10008,$C$5:$C$499)</f>
        <v>0</v>
      </c>
      <c r="AA83" s="11">
        <f>SUMIFS(PURCHASE!$M$6:$M$10008,PURCHASE!$A$6:$A$10008,$X$3,PURCHASE!$D$6:$D$10008,$C$5:$C$499)</f>
        <v>0</v>
      </c>
      <c r="AB83" s="11">
        <f>SUMIFS(PURCHASE!$N$6:$N$10008,PURCHASE!$A$6:$A$10008,$X$3,PURCHASE!$D$6:$D$10008,$C$5:$C$499)</f>
        <v>0</v>
      </c>
      <c r="AC83" s="11">
        <f t="shared" si="23"/>
        <v>47537</v>
      </c>
      <c r="AD83" s="11">
        <f>SUMIFS(PURCHASE!$K$6:$K$10008,PURCHASE!$A$6:$A$10008,$AC$3,PURCHASE!$D$6:$D$10008,$C$5:$C$499)</f>
        <v>40285</v>
      </c>
      <c r="AE83" s="11">
        <f>SUMIFS(PURCHASE!$L$6:$L$10008,PURCHASE!$A$6:$A$10008,$AC$3,PURCHASE!$D$6:$D$10008,$C$5:$C$499)</f>
        <v>0</v>
      </c>
      <c r="AF83" s="11">
        <f>SUMIFS(PURCHASE!$M$6:$M$10008,PURCHASE!$A$6:$A$10008,$AC$3,PURCHASE!$D$6:$D$10008,$C$5:$C$499)</f>
        <v>3626</v>
      </c>
      <c r="AG83" s="11">
        <f>SUMIFS(PURCHASE!$N$6:$N$10008,PURCHASE!$A$6:$A$10008,$AC$3,PURCHASE!$D$6:$D$10008,$C$5:$C$499)</f>
        <v>3626</v>
      </c>
      <c r="AH83" s="11">
        <f t="shared" si="24"/>
        <v>0</v>
      </c>
      <c r="AI83" s="11">
        <f>SUMIFS(PURCHASE!$K$6:$K$10008,PURCHASE!$A$6:$A$10008,$AH$3,PURCHASE!$D$6:$D$10008,$C$5:$C$499)</f>
        <v>0</v>
      </c>
      <c r="AJ83" s="11">
        <f>SUMIFS(PURCHASE!$L$6:$L$10008,PURCHASE!$A$6:$A$10008,$AH$3,PURCHASE!$D$6:$D$10008,$C$5:$C$499)</f>
        <v>0</v>
      </c>
      <c r="AK83" s="11">
        <f>SUMIFS(PURCHASE!$M$6:$M$10008,PURCHASE!$A$6:$A$10008,$AH$3,PURCHASE!$D$6:$D$10008,$C$5:$C$499)</f>
        <v>0</v>
      </c>
      <c r="AL83" s="11">
        <f>SUMIFS(PURCHASE!$N$6:$N$10008,PURCHASE!$A$6:$A$10008,$AH$3,PURCHASE!$D$6:$D$10008,$C$5:$C$499)</f>
        <v>0</v>
      </c>
      <c r="AM83" s="11">
        <f t="shared" si="25"/>
        <v>0</v>
      </c>
      <c r="AN83" s="11">
        <f>SUMIFS(PURCHASE!$K$6:$K$10008,PURCHASE!$A$6:$A$10008,$AM$3,PURCHASE!$D$6:$D$10008,$C$5:$C$499)</f>
        <v>0</v>
      </c>
      <c r="AO83" s="11">
        <f>SUMIFS(PURCHASE!$L$6:$L$10008,PURCHASE!$A$6:$A$10008,$AM$3,PURCHASE!$D$6:$D$10008,$C$5:$C$499)</f>
        <v>0</v>
      </c>
      <c r="AP83" s="11">
        <f>SUMIFS(PURCHASE!$M$6:$M$10008,PURCHASE!$A$6:$A$10008,$AM$3,PURCHASE!$D$6:$D$10008,$C$5:$C$499)</f>
        <v>0</v>
      </c>
      <c r="AQ83" s="11">
        <f>SUMIFS(PURCHASE!$N$6:$N$10008,PURCHASE!$A$6:$A$10008,$AM$3,PURCHASE!$D$6:$D$10008,$C$5:$C$499)</f>
        <v>0</v>
      </c>
      <c r="AR83" s="11">
        <f t="shared" si="26"/>
        <v>0</v>
      </c>
      <c r="AS83" s="11">
        <f>SUMIFS(PURCHASE!$K$6:$K$10008,PURCHASE!$A$6:$A$10008,$AR$3,PURCHASE!$D$6:$D$10008,$C$5:$C$499)</f>
        <v>0</v>
      </c>
      <c r="AT83" s="11">
        <f>SUMIFS(PURCHASE!$L$6:$L$10008,PURCHASE!$A$6:$A$10008,$AR$3,PURCHASE!$D$6:$D$10008,$C$5:$C$499)</f>
        <v>0</v>
      </c>
      <c r="AU83" s="11">
        <f>SUMIFS(PURCHASE!$M$6:$M$10008,PURCHASE!$A$6:$A$10008,$AR$3,PURCHASE!$D$6:$D$10008,$C$5:$C$499)</f>
        <v>0</v>
      </c>
      <c r="AV83" s="11">
        <f>SUMIFS(PURCHASE!$N$6:$N$10008,PURCHASE!$A$6:$A$10008,$AR$3,PURCHASE!$D$6:$D$10008,$C$5:$C$499)</f>
        <v>0</v>
      </c>
      <c r="AW83" s="11">
        <f t="shared" si="27"/>
        <v>0</v>
      </c>
      <c r="AX83" s="11">
        <f>SUMIFS(PURCHASE!$K$6:$K$10008,PURCHASE!$A$6:$A$10008,$AW$3,PURCHASE!$D$6:$D$10008,$C$5:$C$499)</f>
        <v>0</v>
      </c>
      <c r="AY83" s="11">
        <f>SUMIFS(PURCHASE!$L$6:$L$10008,PURCHASE!$A$6:$A$10008,$AW$3,PURCHASE!$D$6:$D$10008,$C$5:$C$499)</f>
        <v>0</v>
      </c>
      <c r="AZ83" s="11">
        <f>SUMIFS(PURCHASE!$M$6:$M$10008,PURCHASE!$A$6:$A$10008,$AW$3,PURCHASE!$D$6:$D$10008,$C$5:$C$499)</f>
        <v>0</v>
      </c>
      <c r="BA83" s="11">
        <f>SUMIFS(PURCHASE!$N$6:$N$10008,PURCHASE!$A$6:$A$10008,$AW$3,PURCHASE!$D$6:$D$10008,$C$5:$C$499)</f>
        <v>0</v>
      </c>
      <c r="BB83" s="11">
        <f t="shared" si="28"/>
        <v>0</v>
      </c>
      <c r="BC83" s="11">
        <f>SUMIFS(PURCHASE!$K$6:$K$10008,PURCHASE!$A$6:$A$10008,$BB$3,PURCHASE!$D$6:$D$10008,$C$5:$C$499)</f>
        <v>0</v>
      </c>
      <c r="BD83" s="11">
        <f>SUMIFS(PURCHASE!$L$6:$L$10008,PURCHASE!$A$6:$A$10008,$BB$3,PURCHASE!$D$6:$D$10008,$C$5:$C$499)</f>
        <v>0</v>
      </c>
      <c r="BE83" s="11">
        <f>SUMIFS(PURCHASE!$M$6:$M$10008,PURCHASE!$A$6:$A$10008,$BB$3,PURCHASE!$D$6:$D$10008,$C$5:$C$499)</f>
        <v>0</v>
      </c>
      <c r="BF83" s="11">
        <f>SUMIFS(PURCHASE!$N$6:$N$10008,PURCHASE!$A$6:$A$10008,$BB$3,PURCHASE!$D$6:$D$10008,$C$5:$C$499)</f>
        <v>0</v>
      </c>
      <c r="BG83" s="11">
        <f t="shared" si="29"/>
        <v>0</v>
      </c>
      <c r="BH83" s="11">
        <f>SUMIFS(PURCHASE!$K$6:$K$10008,PURCHASE!$A$6:$A$10008,$BG$3,PURCHASE!$D$6:$D$10008,$C$5:$C$499)</f>
        <v>0</v>
      </c>
      <c r="BI83" s="11">
        <f>SUMIFS(PURCHASE!$L$6:$L$10008,PURCHASE!$A$6:$A$10008,$BG$3,PURCHASE!$D$6:$D$10008,$C$5:$C$499)</f>
        <v>0</v>
      </c>
      <c r="BJ83" s="11">
        <f>SUMIFS(PURCHASE!$M$6:$M$10008,PURCHASE!$A$6:$A$10008,$BG$3,PURCHASE!$D$6:$D$10008,$C$5:$C$499)</f>
        <v>0</v>
      </c>
      <c r="BK83" s="11">
        <f>SUMIFS(PURCHASE!$N$6:$N$10008,PURCHASE!$A$6:$A$10008,$BG$3,PURCHASE!$D$6:$D$10008,$C$5:$C$499)</f>
        <v>0</v>
      </c>
      <c r="BL83" s="11">
        <f t="shared" si="17"/>
        <v>75026.28</v>
      </c>
      <c r="BM83" s="11">
        <f t="shared" si="17"/>
        <v>63581</v>
      </c>
      <c r="BN83" s="11">
        <f t="shared" si="17"/>
        <v>0</v>
      </c>
      <c r="BO83" s="11">
        <f t="shared" si="17"/>
        <v>5722.6399999999994</v>
      </c>
      <c r="BP83" s="11">
        <f t="shared" si="17"/>
        <v>5722.6399999999994</v>
      </c>
    </row>
    <row r="84" spans="1:68" x14ac:dyDescent="0.2">
      <c r="A84" s="467">
        <v>81</v>
      </c>
      <c r="B84" s="468" t="s">
        <v>629</v>
      </c>
      <c r="C84" s="469" t="s">
        <v>630</v>
      </c>
      <c r="D84" s="11">
        <f t="shared" si="18"/>
        <v>0</v>
      </c>
      <c r="E84" s="11">
        <f>SUMIFS(PURCHASE!$K$6:$K$10008,PURCHASE!$A$6:$A$10008,$D$3,PURCHASE!$D$6:$D$10008,$C$5:$C$499)</f>
        <v>0</v>
      </c>
      <c r="F84" s="11">
        <f>SUMIFS(PURCHASE!$L$6:$L$10008,PURCHASE!$A$6:$A$10008,$D$3,PURCHASE!$D$6:$D$10008,$C$5:$C$499)</f>
        <v>0</v>
      </c>
      <c r="G84" s="11">
        <f>SUMIFS(PURCHASE!$M$6:$M$10008,PURCHASE!$A$6:$A$10008,$D$3,PURCHASE!$D$6:$D$10008,$C$5:$C$499)</f>
        <v>0</v>
      </c>
      <c r="H84" s="11">
        <f>SUMIFS(PURCHASE!$N$6:$N$10008,PURCHASE!$A$6:$A$10008,$D$3,PURCHASE!$D$6:$D$10008,$C$5:$C$499)</f>
        <v>0</v>
      </c>
      <c r="I84" s="473">
        <f t="shared" si="19"/>
        <v>2360</v>
      </c>
      <c r="J84" s="60">
        <f>SUMIFS(PURCHASE!$K$6:$K$10008,PURCHASE!$A$6:$A$10008,$I$3,PURCHASE!$D$6:$D$10008,$C$5:$C$499)</f>
        <v>2000</v>
      </c>
      <c r="K84" s="60">
        <f>SUMIFS(PURCHASE!$L$6:$L$10008,PURCHASE!$A$6:$A$10008,$I$3,PURCHASE!$D$6:$D$10008,$C$5:$C$499)</f>
        <v>0</v>
      </c>
      <c r="L84" s="60">
        <f>SUMIFS(PURCHASE!$M$6:$M$10008,PURCHASE!$A$6:$A$10008,$I$3,PURCHASE!$D$6:$D$10008,$C$5:$C$499)</f>
        <v>180</v>
      </c>
      <c r="M84" s="474">
        <f>SUMIFS(PURCHASE!$N$6:$N$10008,PURCHASE!$A$6:$A$10008,$I$3,PURCHASE!$D$6:$D$10008,$C$5:$C$499)</f>
        <v>180</v>
      </c>
      <c r="N84" s="11">
        <f t="shared" si="20"/>
        <v>0</v>
      </c>
      <c r="O84" s="11">
        <f>SUMIFS(PURCHASE!$K$6:$K$10008,PURCHASE!$A$6:$A$10008,$N$3,PURCHASE!$D$6:$D$10008,$C$5:$C$499)</f>
        <v>0</v>
      </c>
      <c r="P84" s="11">
        <f>SUMIFS(PURCHASE!$L$6:$L$10008,PURCHASE!$A$6:$A$10008,$N$3,PURCHASE!$D$6:$D$10008,$C$5:$C$499)</f>
        <v>0</v>
      </c>
      <c r="Q84" s="11">
        <f>SUMIFS(PURCHASE!$M$6:$M$10008,PURCHASE!$A$6:$A$10008,$N$3,PURCHASE!$D$6:$D$10008,$C$5:$C$499)</f>
        <v>0</v>
      </c>
      <c r="R84" s="11">
        <f>SUMIFS(PURCHASE!$N$6:$N$10008,PURCHASE!$A$6:$A$10008,$N$3,PURCHASE!$D$6:$D$10008,$C$5:$C$499)</f>
        <v>0</v>
      </c>
      <c r="S84" s="11">
        <f t="shared" si="21"/>
        <v>0</v>
      </c>
      <c r="T84" s="11">
        <f>SUMIFS(PURCHASE!$K$6:$K$10008,PURCHASE!$A$6:$A$10008,$S$3,PURCHASE!$D$6:$D$10008,$C$5:$C$499)</f>
        <v>0</v>
      </c>
      <c r="U84" s="11">
        <f>SUMIFS(PURCHASE!$L$6:$L$10008,PURCHASE!$A$6:$A$10008,$S$3,PURCHASE!$D$6:$D$10008,$C$5:$C$499)</f>
        <v>0</v>
      </c>
      <c r="V84" s="11">
        <f>SUMIFS(PURCHASE!$M$6:$M$10008,PURCHASE!$A$6:$A$10008,$S$3,PURCHASE!$D$6:$D$10008,$C$5:$C$499)</f>
        <v>0</v>
      </c>
      <c r="W84" s="11">
        <f>SUMIFS(PURCHASE!$N$6:$N$10008,PURCHASE!$A$6:$A$10008,$S$3,PURCHASE!$D$6:$D$10008,$C$5:$C$499)</f>
        <v>0</v>
      </c>
      <c r="X84" s="11">
        <f t="shared" si="22"/>
        <v>0</v>
      </c>
      <c r="Y84" s="11">
        <f>SUMIFS(PURCHASE!$K$6:$K$10008,PURCHASE!$A$6:$A$10008,$X$3,PURCHASE!$D$6:$D$10008,$C$5:$C$499)</f>
        <v>0</v>
      </c>
      <c r="Z84" s="11">
        <f>SUMIFS(PURCHASE!$L$6:$L$10008,PURCHASE!$A$6:$A$10008,$X$3,PURCHASE!$D$6:$D$10008,$C$5:$C$499)</f>
        <v>0</v>
      </c>
      <c r="AA84" s="11">
        <f>SUMIFS(PURCHASE!$M$6:$M$10008,PURCHASE!$A$6:$A$10008,$X$3,PURCHASE!$D$6:$D$10008,$C$5:$C$499)</f>
        <v>0</v>
      </c>
      <c r="AB84" s="11">
        <f>SUMIFS(PURCHASE!$N$6:$N$10008,PURCHASE!$A$6:$A$10008,$X$3,PURCHASE!$D$6:$D$10008,$C$5:$C$499)</f>
        <v>0</v>
      </c>
      <c r="AC84" s="11">
        <f t="shared" si="23"/>
        <v>708</v>
      </c>
      <c r="AD84" s="11">
        <f>SUMIFS(PURCHASE!$K$6:$K$10008,PURCHASE!$A$6:$A$10008,$AC$3,PURCHASE!$D$6:$D$10008,$C$5:$C$499)</f>
        <v>600</v>
      </c>
      <c r="AE84" s="11">
        <f>SUMIFS(PURCHASE!$L$6:$L$10008,PURCHASE!$A$6:$A$10008,$AC$3,PURCHASE!$D$6:$D$10008,$C$5:$C$499)</f>
        <v>0</v>
      </c>
      <c r="AF84" s="11">
        <f>SUMIFS(PURCHASE!$M$6:$M$10008,PURCHASE!$A$6:$A$10008,$AC$3,PURCHASE!$D$6:$D$10008,$C$5:$C$499)</f>
        <v>54</v>
      </c>
      <c r="AG84" s="11">
        <f>SUMIFS(PURCHASE!$N$6:$N$10008,PURCHASE!$A$6:$A$10008,$AC$3,PURCHASE!$D$6:$D$10008,$C$5:$C$499)</f>
        <v>54</v>
      </c>
      <c r="AH84" s="11">
        <f t="shared" si="24"/>
        <v>2832</v>
      </c>
      <c r="AI84" s="11">
        <f>SUMIFS(PURCHASE!$K$6:$K$10008,PURCHASE!$A$6:$A$10008,$AH$3,PURCHASE!$D$6:$D$10008,$C$5:$C$499)</f>
        <v>2400</v>
      </c>
      <c r="AJ84" s="11">
        <f>SUMIFS(PURCHASE!$L$6:$L$10008,PURCHASE!$A$6:$A$10008,$AH$3,PURCHASE!$D$6:$D$10008,$C$5:$C$499)</f>
        <v>0</v>
      </c>
      <c r="AK84" s="11">
        <f>SUMIFS(PURCHASE!$M$6:$M$10008,PURCHASE!$A$6:$A$10008,$AH$3,PURCHASE!$D$6:$D$10008,$C$5:$C$499)</f>
        <v>216</v>
      </c>
      <c r="AL84" s="11">
        <f>SUMIFS(PURCHASE!$N$6:$N$10008,PURCHASE!$A$6:$A$10008,$AH$3,PURCHASE!$D$6:$D$10008,$C$5:$C$499)</f>
        <v>216</v>
      </c>
      <c r="AM84" s="11">
        <f t="shared" si="25"/>
        <v>0</v>
      </c>
      <c r="AN84" s="11">
        <f>SUMIFS(PURCHASE!$K$6:$K$10008,PURCHASE!$A$6:$A$10008,$AM$3,PURCHASE!$D$6:$D$10008,$C$5:$C$499)</f>
        <v>0</v>
      </c>
      <c r="AO84" s="11">
        <f>SUMIFS(PURCHASE!$L$6:$L$10008,PURCHASE!$A$6:$A$10008,$AM$3,PURCHASE!$D$6:$D$10008,$C$5:$C$499)</f>
        <v>0</v>
      </c>
      <c r="AP84" s="11">
        <f>SUMIFS(PURCHASE!$M$6:$M$10008,PURCHASE!$A$6:$A$10008,$AM$3,PURCHASE!$D$6:$D$10008,$C$5:$C$499)</f>
        <v>0</v>
      </c>
      <c r="AQ84" s="11">
        <f>SUMIFS(PURCHASE!$N$6:$N$10008,PURCHASE!$A$6:$A$10008,$AM$3,PURCHASE!$D$6:$D$10008,$C$5:$C$499)</f>
        <v>0</v>
      </c>
      <c r="AR84" s="11">
        <f t="shared" si="26"/>
        <v>0</v>
      </c>
      <c r="AS84" s="11">
        <f>SUMIFS(PURCHASE!$K$6:$K$10008,PURCHASE!$A$6:$A$10008,$AR$3,PURCHASE!$D$6:$D$10008,$C$5:$C$499)</f>
        <v>0</v>
      </c>
      <c r="AT84" s="11">
        <f>SUMIFS(PURCHASE!$L$6:$L$10008,PURCHASE!$A$6:$A$10008,$AR$3,PURCHASE!$D$6:$D$10008,$C$5:$C$499)</f>
        <v>0</v>
      </c>
      <c r="AU84" s="11">
        <f>SUMIFS(PURCHASE!$M$6:$M$10008,PURCHASE!$A$6:$A$10008,$AR$3,PURCHASE!$D$6:$D$10008,$C$5:$C$499)</f>
        <v>0</v>
      </c>
      <c r="AV84" s="11">
        <f>SUMIFS(PURCHASE!$N$6:$N$10008,PURCHASE!$A$6:$A$10008,$AR$3,PURCHASE!$D$6:$D$10008,$C$5:$C$499)</f>
        <v>0</v>
      </c>
      <c r="AW84" s="11">
        <f t="shared" si="27"/>
        <v>0</v>
      </c>
      <c r="AX84" s="11">
        <f>SUMIFS(PURCHASE!$K$6:$K$10008,PURCHASE!$A$6:$A$10008,$AW$3,PURCHASE!$D$6:$D$10008,$C$5:$C$499)</f>
        <v>0</v>
      </c>
      <c r="AY84" s="11">
        <f>SUMIFS(PURCHASE!$L$6:$L$10008,PURCHASE!$A$6:$A$10008,$AW$3,PURCHASE!$D$6:$D$10008,$C$5:$C$499)</f>
        <v>0</v>
      </c>
      <c r="AZ84" s="11">
        <f>SUMIFS(PURCHASE!$M$6:$M$10008,PURCHASE!$A$6:$A$10008,$AW$3,PURCHASE!$D$6:$D$10008,$C$5:$C$499)</f>
        <v>0</v>
      </c>
      <c r="BA84" s="11">
        <f>SUMIFS(PURCHASE!$N$6:$N$10008,PURCHASE!$A$6:$A$10008,$AW$3,PURCHASE!$D$6:$D$10008,$C$5:$C$499)</f>
        <v>0</v>
      </c>
      <c r="BB84" s="11">
        <f t="shared" si="28"/>
        <v>0</v>
      </c>
      <c r="BC84" s="11">
        <f>SUMIFS(PURCHASE!$K$6:$K$10008,PURCHASE!$A$6:$A$10008,$BB$3,PURCHASE!$D$6:$D$10008,$C$5:$C$499)</f>
        <v>0</v>
      </c>
      <c r="BD84" s="11">
        <f>SUMIFS(PURCHASE!$L$6:$L$10008,PURCHASE!$A$6:$A$10008,$BB$3,PURCHASE!$D$6:$D$10008,$C$5:$C$499)</f>
        <v>0</v>
      </c>
      <c r="BE84" s="11">
        <f>SUMIFS(PURCHASE!$M$6:$M$10008,PURCHASE!$A$6:$A$10008,$BB$3,PURCHASE!$D$6:$D$10008,$C$5:$C$499)</f>
        <v>0</v>
      </c>
      <c r="BF84" s="11">
        <f>SUMIFS(PURCHASE!$N$6:$N$10008,PURCHASE!$A$6:$A$10008,$BB$3,PURCHASE!$D$6:$D$10008,$C$5:$C$499)</f>
        <v>0</v>
      </c>
      <c r="BG84" s="11">
        <f t="shared" si="29"/>
        <v>0</v>
      </c>
      <c r="BH84" s="11">
        <f>SUMIFS(PURCHASE!$K$6:$K$10008,PURCHASE!$A$6:$A$10008,$BG$3,PURCHASE!$D$6:$D$10008,$C$5:$C$499)</f>
        <v>0</v>
      </c>
      <c r="BI84" s="11">
        <f>SUMIFS(PURCHASE!$L$6:$L$10008,PURCHASE!$A$6:$A$10008,$BG$3,PURCHASE!$D$6:$D$10008,$C$5:$C$499)</f>
        <v>0</v>
      </c>
      <c r="BJ84" s="11">
        <f>SUMIFS(PURCHASE!$M$6:$M$10008,PURCHASE!$A$6:$A$10008,$BG$3,PURCHASE!$D$6:$D$10008,$C$5:$C$499)</f>
        <v>0</v>
      </c>
      <c r="BK84" s="11">
        <f>SUMIFS(PURCHASE!$N$6:$N$10008,PURCHASE!$A$6:$A$10008,$BG$3,PURCHASE!$D$6:$D$10008,$C$5:$C$499)</f>
        <v>0</v>
      </c>
      <c r="BL84" s="11">
        <f t="shared" si="17"/>
        <v>5900</v>
      </c>
      <c r="BM84" s="11">
        <f t="shared" si="17"/>
        <v>5000</v>
      </c>
      <c r="BN84" s="11">
        <f t="shared" si="17"/>
        <v>0</v>
      </c>
      <c r="BO84" s="11">
        <f t="shared" si="17"/>
        <v>450</v>
      </c>
      <c r="BP84" s="11">
        <f t="shared" si="17"/>
        <v>450</v>
      </c>
    </row>
    <row r="85" spans="1:68" x14ac:dyDescent="0.2">
      <c r="A85" s="467">
        <v>82</v>
      </c>
      <c r="B85" s="479" t="s">
        <v>695</v>
      </c>
      <c r="C85" s="479" t="s">
        <v>696</v>
      </c>
      <c r="D85" s="11">
        <f t="shared" si="18"/>
        <v>0</v>
      </c>
      <c r="E85" s="11">
        <f>SUMIFS(PURCHASE!$K$6:$K$10008,PURCHASE!$A$6:$A$10008,$D$3,PURCHASE!$D$6:$D$10008,$C$5:$C$499)</f>
        <v>0</v>
      </c>
      <c r="F85" s="11">
        <f>SUMIFS(PURCHASE!$L$6:$L$10008,PURCHASE!$A$6:$A$10008,$D$3,PURCHASE!$D$6:$D$10008,$C$5:$C$499)</f>
        <v>0</v>
      </c>
      <c r="G85" s="11">
        <f>SUMIFS(PURCHASE!$M$6:$M$10008,PURCHASE!$A$6:$A$10008,$D$3,PURCHASE!$D$6:$D$10008,$C$5:$C$499)</f>
        <v>0</v>
      </c>
      <c r="H85" s="11">
        <f>SUMIFS(PURCHASE!$N$6:$N$10008,PURCHASE!$A$6:$A$10008,$D$3,PURCHASE!$D$6:$D$10008,$C$5:$C$499)</f>
        <v>0</v>
      </c>
      <c r="I85" s="473">
        <f t="shared" si="19"/>
        <v>0</v>
      </c>
      <c r="J85" s="60">
        <f>SUMIFS(PURCHASE!$K$6:$K$10008,PURCHASE!$A$6:$A$10008,$I$3,PURCHASE!$D$6:$D$10008,$C$5:$C$499)</f>
        <v>0</v>
      </c>
      <c r="K85" s="60">
        <f>SUMIFS(PURCHASE!$L$6:$L$10008,PURCHASE!$A$6:$A$10008,$I$3,PURCHASE!$D$6:$D$10008,$C$5:$C$499)</f>
        <v>0</v>
      </c>
      <c r="L85" s="60">
        <f>SUMIFS(PURCHASE!$M$6:$M$10008,PURCHASE!$A$6:$A$10008,$I$3,PURCHASE!$D$6:$D$10008,$C$5:$C$499)</f>
        <v>0</v>
      </c>
      <c r="M85" s="474">
        <f>SUMIFS(PURCHASE!$N$6:$N$10008,PURCHASE!$A$6:$A$10008,$I$3,PURCHASE!$D$6:$D$10008,$C$5:$C$499)</f>
        <v>0</v>
      </c>
      <c r="N85" s="11">
        <f t="shared" si="20"/>
        <v>20744.400000000001</v>
      </c>
      <c r="O85" s="11">
        <f>SUMIFS(PURCHASE!$K$6:$K$10008,PURCHASE!$A$6:$A$10008,$N$3,PURCHASE!$D$6:$D$10008,$C$5:$C$499)</f>
        <v>17580</v>
      </c>
      <c r="P85" s="11">
        <f>SUMIFS(PURCHASE!$L$6:$L$10008,PURCHASE!$A$6:$A$10008,$N$3,PURCHASE!$D$6:$D$10008,$C$5:$C$499)</f>
        <v>0</v>
      </c>
      <c r="Q85" s="11">
        <f>SUMIFS(PURCHASE!$M$6:$M$10008,PURCHASE!$A$6:$A$10008,$N$3,PURCHASE!$D$6:$D$10008,$C$5:$C$499)</f>
        <v>1582.2</v>
      </c>
      <c r="R85" s="11">
        <f>SUMIFS(PURCHASE!$N$6:$N$10008,PURCHASE!$A$6:$A$10008,$N$3,PURCHASE!$D$6:$D$10008,$C$5:$C$499)</f>
        <v>1582.2</v>
      </c>
      <c r="S85" s="11">
        <f t="shared" si="21"/>
        <v>0</v>
      </c>
      <c r="T85" s="11">
        <f>SUMIFS(PURCHASE!$K$6:$K$10008,PURCHASE!$A$6:$A$10008,$S$3,PURCHASE!$D$6:$D$10008,$C$5:$C$499)</f>
        <v>0</v>
      </c>
      <c r="U85" s="11">
        <f>SUMIFS(PURCHASE!$L$6:$L$10008,PURCHASE!$A$6:$A$10008,$S$3,PURCHASE!$D$6:$D$10008,$C$5:$C$499)</f>
        <v>0</v>
      </c>
      <c r="V85" s="11">
        <f>SUMIFS(PURCHASE!$M$6:$M$10008,PURCHASE!$A$6:$A$10008,$S$3,PURCHASE!$D$6:$D$10008,$C$5:$C$499)</f>
        <v>0</v>
      </c>
      <c r="W85" s="11">
        <f>SUMIFS(PURCHASE!$N$6:$N$10008,PURCHASE!$A$6:$A$10008,$S$3,PURCHASE!$D$6:$D$10008,$C$5:$C$499)</f>
        <v>0</v>
      </c>
      <c r="X85" s="11">
        <f t="shared" si="22"/>
        <v>0</v>
      </c>
      <c r="Y85" s="11">
        <f>SUMIFS(PURCHASE!$K$6:$K$10008,PURCHASE!$A$6:$A$10008,$X$3,PURCHASE!$D$6:$D$10008,$C$5:$C$499)</f>
        <v>0</v>
      </c>
      <c r="Z85" s="11">
        <f>SUMIFS(PURCHASE!$L$6:$L$10008,PURCHASE!$A$6:$A$10008,$X$3,PURCHASE!$D$6:$D$10008,$C$5:$C$499)</f>
        <v>0</v>
      </c>
      <c r="AA85" s="11">
        <f>SUMIFS(PURCHASE!$M$6:$M$10008,PURCHASE!$A$6:$A$10008,$X$3,PURCHASE!$D$6:$D$10008,$C$5:$C$499)</f>
        <v>0</v>
      </c>
      <c r="AB85" s="11">
        <f>SUMIFS(PURCHASE!$N$6:$N$10008,PURCHASE!$A$6:$A$10008,$X$3,PURCHASE!$D$6:$D$10008,$C$5:$C$499)</f>
        <v>0</v>
      </c>
      <c r="AC85" s="11">
        <f t="shared" si="23"/>
        <v>0</v>
      </c>
      <c r="AD85" s="11">
        <f>SUMIFS(PURCHASE!$K$6:$K$10008,PURCHASE!$A$6:$A$10008,$AC$3,PURCHASE!$D$6:$D$10008,$C$5:$C$499)</f>
        <v>0</v>
      </c>
      <c r="AE85" s="11">
        <f>SUMIFS(PURCHASE!$L$6:$L$10008,PURCHASE!$A$6:$A$10008,$AC$3,PURCHASE!$D$6:$D$10008,$C$5:$C$499)</f>
        <v>0</v>
      </c>
      <c r="AF85" s="11">
        <f>SUMIFS(PURCHASE!$M$6:$M$10008,PURCHASE!$A$6:$A$10008,$AC$3,PURCHASE!$D$6:$D$10008,$C$5:$C$499)</f>
        <v>0</v>
      </c>
      <c r="AG85" s="11">
        <f>SUMIFS(PURCHASE!$N$6:$N$10008,PURCHASE!$A$6:$A$10008,$AC$3,PURCHASE!$D$6:$D$10008,$C$5:$C$499)</f>
        <v>0</v>
      </c>
      <c r="AH85" s="11">
        <f t="shared" si="24"/>
        <v>0</v>
      </c>
      <c r="AI85" s="11">
        <f>SUMIFS(PURCHASE!$K$6:$K$10008,PURCHASE!$A$6:$A$10008,$AH$3,PURCHASE!$D$6:$D$10008,$C$5:$C$499)</f>
        <v>0</v>
      </c>
      <c r="AJ85" s="11">
        <f>SUMIFS(PURCHASE!$L$6:$L$10008,PURCHASE!$A$6:$A$10008,$AH$3,PURCHASE!$D$6:$D$10008,$C$5:$C$499)</f>
        <v>0</v>
      </c>
      <c r="AK85" s="11">
        <f>SUMIFS(PURCHASE!$M$6:$M$10008,PURCHASE!$A$6:$A$10008,$AH$3,PURCHASE!$D$6:$D$10008,$C$5:$C$499)</f>
        <v>0</v>
      </c>
      <c r="AL85" s="11">
        <f>SUMIFS(PURCHASE!$N$6:$N$10008,PURCHASE!$A$6:$A$10008,$AH$3,PURCHASE!$D$6:$D$10008,$C$5:$C$499)</f>
        <v>0</v>
      </c>
      <c r="AM85" s="11">
        <f t="shared" si="25"/>
        <v>0</v>
      </c>
      <c r="AN85" s="11">
        <f>SUMIFS(PURCHASE!$K$6:$K$10008,PURCHASE!$A$6:$A$10008,$AM$3,PURCHASE!$D$6:$D$10008,$C$5:$C$499)</f>
        <v>0</v>
      </c>
      <c r="AO85" s="11">
        <f>SUMIFS(PURCHASE!$L$6:$L$10008,PURCHASE!$A$6:$A$10008,$AM$3,PURCHASE!$D$6:$D$10008,$C$5:$C$499)</f>
        <v>0</v>
      </c>
      <c r="AP85" s="11">
        <f>SUMIFS(PURCHASE!$M$6:$M$10008,PURCHASE!$A$6:$A$10008,$AM$3,PURCHASE!$D$6:$D$10008,$C$5:$C$499)</f>
        <v>0</v>
      </c>
      <c r="AQ85" s="11">
        <f>SUMIFS(PURCHASE!$N$6:$N$10008,PURCHASE!$A$6:$A$10008,$AM$3,PURCHASE!$D$6:$D$10008,$C$5:$C$499)</f>
        <v>0</v>
      </c>
      <c r="AR85" s="11">
        <f t="shared" si="26"/>
        <v>0</v>
      </c>
      <c r="AS85" s="11">
        <f>SUMIFS(PURCHASE!$K$6:$K$10008,PURCHASE!$A$6:$A$10008,$AR$3,PURCHASE!$D$6:$D$10008,$C$5:$C$499)</f>
        <v>0</v>
      </c>
      <c r="AT85" s="11">
        <f>SUMIFS(PURCHASE!$L$6:$L$10008,PURCHASE!$A$6:$A$10008,$AR$3,PURCHASE!$D$6:$D$10008,$C$5:$C$499)</f>
        <v>0</v>
      </c>
      <c r="AU85" s="11">
        <f>SUMIFS(PURCHASE!$M$6:$M$10008,PURCHASE!$A$6:$A$10008,$AR$3,PURCHASE!$D$6:$D$10008,$C$5:$C$499)</f>
        <v>0</v>
      </c>
      <c r="AV85" s="11">
        <f>SUMIFS(PURCHASE!$N$6:$N$10008,PURCHASE!$A$6:$A$10008,$AR$3,PURCHASE!$D$6:$D$10008,$C$5:$C$499)</f>
        <v>0</v>
      </c>
      <c r="AW85" s="11">
        <f t="shared" si="27"/>
        <v>0</v>
      </c>
      <c r="AX85" s="11">
        <f>SUMIFS(PURCHASE!$K$6:$K$10008,PURCHASE!$A$6:$A$10008,$AW$3,PURCHASE!$D$6:$D$10008,$C$5:$C$499)</f>
        <v>0</v>
      </c>
      <c r="AY85" s="11">
        <f>SUMIFS(PURCHASE!$L$6:$L$10008,PURCHASE!$A$6:$A$10008,$AW$3,PURCHASE!$D$6:$D$10008,$C$5:$C$499)</f>
        <v>0</v>
      </c>
      <c r="AZ85" s="11">
        <f>SUMIFS(PURCHASE!$M$6:$M$10008,PURCHASE!$A$6:$A$10008,$AW$3,PURCHASE!$D$6:$D$10008,$C$5:$C$499)</f>
        <v>0</v>
      </c>
      <c r="BA85" s="11">
        <f>SUMIFS(PURCHASE!$N$6:$N$10008,PURCHASE!$A$6:$A$10008,$AW$3,PURCHASE!$D$6:$D$10008,$C$5:$C$499)</f>
        <v>0</v>
      </c>
      <c r="BB85" s="11">
        <f t="shared" si="28"/>
        <v>0</v>
      </c>
      <c r="BC85" s="11">
        <f>SUMIFS(PURCHASE!$K$6:$K$10008,PURCHASE!$A$6:$A$10008,$BB$3,PURCHASE!$D$6:$D$10008,$C$5:$C$499)</f>
        <v>0</v>
      </c>
      <c r="BD85" s="11">
        <f>SUMIFS(PURCHASE!$L$6:$L$10008,PURCHASE!$A$6:$A$10008,$BB$3,PURCHASE!$D$6:$D$10008,$C$5:$C$499)</f>
        <v>0</v>
      </c>
      <c r="BE85" s="11">
        <f>SUMIFS(PURCHASE!$M$6:$M$10008,PURCHASE!$A$6:$A$10008,$BB$3,PURCHASE!$D$6:$D$10008,$C$5:$C$499)</f>
        <v>0</v>
      </c>
      <c r="BF85" s="11">
        <f>SUMIFS(PURCHASE!$N$6:$N$10008,PURCHASE!$A$6:$A$10008,$BB$3,PURCHASE!$D$6:$D$10008,$C$5:$C$499)</f>
        <v>0</v>
      </c>
      <c r="BG85" s="11">
        <f t="shared" si="29"/>
        <v>0</v>
      </c>
      <c r="BH85" s="11">
        <f>SUMIFS(PURCHASE!$K$6:$K$10008,PURCHASE!$A$6:$A$10008,$BG$3,PURCHASE!$D$6:$D$10008,$C$5:$C$499)</f>
        <v>0</v>
      </c>
      <c r="BI85" s="11">
        <f>SUMIFS(PURCHASE!$L$6:$L$10008,PURCHASE!$A$6:$A$10008,$BG$3,PURCHASE!$D$6:$D$10008,$C$5:$C$499)</f>
        <v>0</v>
      </c>
      <c r="BJ85" s="11">
        <f>SUMIFS(PURCHASE!$M$6:$M$10008,PURCHASE!$A$6:$A$10008,$BG$3,PURCHASE!$D$6:$D$10008,$C$5:$C$499)</f>
        <v>0</v>
      </c>
      <c r="BK85" s="11">
        <f>SUMIFS(PURCHASE!$N$6:$N$10008,PURCHASE!$A$6:$A$10008,$BG$3,PURCHASE!$D$6:$D$10008,$C$5:$C$499)</f>
        <v>0</v>
      </c>
      <c r="BL85" s="11">
        <f t="shared" si="17"/>
        <v>20744.400000000001</v>
      </c>
      <c r="BM85" s="11">
        <f t="shared" si="17"/>
        <v>17580</v>
      </c>
      <c r="BN85" s="11">
        <f t="shared" si="17"/>
        <v>0</v>
      </c>
      <c r="BO85" s="11">
        <f t="shared" si="17"/>
        <v>1582.2</v>
      </c>
      <c r="BP85" s="11">
        <f t="shared" si="17"/>
        <v>1582.2</v>
      </c>
    </row>
    <row r="86" spans="1:68" x14ac:dyDescent="0.2">
      <c r="A86" s="467">
        <v>83</v>
      </c>
      <c r="B86" s="468" t="s">
        <v>1134</v>
      </c>
      <c r="C86" s="469" t="s">
        <v>1135</v>
      </c>
      <c r="D86" s="11">
        <f t="shared" si="18"/>
        <v>0</v>
      </c>
      <c r="E86" s="11">
        <f>SUMIFS(PURCHASE!$K$6:$K$10008,PURCHASE!$A$6:$A$10008,$D$3,PURCHASE!$D$6:$D$10008,$C$5:$C$499)</f>
        <v>0</v>
      </c>
      <c r="F86" s="11">
        <f>SUMIFS(PURCHASE!$L$6:$L$10008,PURCHASE!$A$6:$A$10008,$D$3,PURCHASE!$D$6:$D$10008,$C$5:$C$499)</f>
        <v>0</v>
      </c>
      <c r="G86" s="11">
        <f>SUMIFS(PURCHASE!$M$6:$M$10008,PURCHASE!$A$6:$A$10008,$D$3,PURCHASE!$D$6:$D$10008,$C$5:$C$499)</f>
        <v>0</v>
      </c>
      <c r="H86" s="11">
        <f>SUMIFS(PURCHASE!$N$6:$N$10008,PURCHASE!$A$6:$A$10008,$D$3,PURCHASE!$D$6:$D$10008,$C$5:$C$499)</f>
        <v>0</v>
      </c>
      <c r="I86" s="473">
        <f t="shared" si="19"/>
        <v>0</v>
      </c>
      <c r="J86" s="60">
        <f>SUMIFS(PURCHASE!$K$6:$K$10008,PURCHASE!$A$6:$A$10008,$I$3,PURCHASE!$D$6:$D$10008,$C$5:$C$499)</f>
        <v>0</v>
      </c>
      <c r="K86" s="60">
        <f>SUMIFS(PURCHASE!$L$6:$L$10008,PURCHASE!$A$6:$A$10008,$I$3,PURCHASE!$D$6:$D$10008,$C$5:$C$499)</f>
        <v>0</v>
      </c>
      <c r="L86" s="60">
        <f>SUMIFS(PURCHASE!$M$6:$M$10008,PURCHASE!$A$6:$A$10008,$I$3,PURCHASE!$D$6:$D$10008,$C$5:$C$499)</f>
        <v>0</v>
      </c>
      <c r="M86" s="474">
        <f>SUMIFS(PURCHASE!$N$6:$N$10008,PURCHASE!$A$6:$A$10008,$I$3,PURCHASE!$D$6:$D$10008,$C$5:$C$499)</f>
        <v>0</v>
      </c>
      <c r="N86" s="11">
        <f t="shared" si="20"/>
        <v>0</v>
      </c>
      <c r="O86" s="11">
        <f>SUMIFS(PURCHASE!$K$6:$K$10008,PURCHASE!$A$6:$A$10008,$N$3,PURCHASE!$D$6:$D$10008,$C$5:$C$499)</f>
        <v>0</v>
      </c>
      <c r="P86" s="11">
        <f>SUMIFS(PURCHASE!$L$6:$L$10008,PURCHASE!$A$6:$A$10008,$N$3,PURCHASE!$D$6:$D$10008,$C$5:$C$499)</f>
        <v>0</v>
      </c>
      <c r="Q86" s="11">
        <f>SUMIFS(PURCHASE!$M$6:$M$10008,PURCHASE!$A$6:$A$10008,$N$3,PURCHASE!$D$6:$D$10008,$C$5:$C$499)</f>
        <v>0</v>
      </c>
      <c r="R86" s="11">
        <f>SUMIFS(PURCHASE!$N$6:$N$10008,PURCHASE!$A$6:$A$10008,$N$3,PURCHASE!$D$6:$D$10008,$C$5:$C$499)</f>
        <v>0</v>
      </c>
      <c r="S86" s="11">
        <f t="shared" si="21"/>
        <v>0</v>
      </c>
      <c r="T86" s="11">
        <f>SUMIFS(PURCHASE!$K$6:$K$10008,PURCHASE!$A$6:$A$10008,$S$3,PURCHASE!$D$6:$D$10008,$C$5:$C$499)</f>
        <v>0</v>
      </c>
      <c r="U86" s="11">
        <f>SUMIFS(PURCHASE!$L$6:$L$10008,PURCHASE!$A$6:$A$10008,$S$3,PURCHASE!$D$6:$D$10008,$C$5:$C$499)</f>
        <v>0</v>
      </c>
      <c r="V86" s="11">
        <f>SUMIFS(PURCHASE!$M$6:$M$10008,PURCHASE!$A$6:$A$10008,$S$3,PURCHASE!$D$6:$D$10008,$C$5:$C$499)</f>
        <v>0</v>
      </c>
      <c r="W86" s="11">
        <f>SUMIFS(PURCHASE!$N$6:$N$10008,PURCHASE!$A$6:$A$10008,$S$3,PURCHASE!$D$6:$D$10008,$C$5:$C$499)</f>
        <v>0</v>
      </c>
      <c r="X86" s="11">
        <f t="shared" si="22"/>
        <v>0</v>
      </c>
      <c r="Y86" s="11">
        <f>SUMIFS(PURCHASE!$K$6:$K$10008,PURCHASE!$A$6:$A$10008,$X$3,PURCHASE!$D$6:$D$10008,$C$5:$C$499)</f>
        <v>0</v>
      </c>
      <c r="Z86" s="11">
        <f>SUMIFS(PURCHASE!$L$6:$L$10008,PURCHASE!$A$6:$A$10008,$X$3,PURCHASE!$D$6:$D$10008,$C$5:$C$499)</f>
        <v>0</v>
      </c>
      <c r="AA86" s="11">
        <f>SUMIFS(PURCHASE!$M$6:$M$10008,PURCHASE!$A$6:$A$10008,$X$3,PURCHASE!$D$6:$D$10008,$C$5:$C$499)</f>
        <v>0</v>
      </c>
      <c r="AB86" s="11">
        <f>SUMIFS(PURCHASE!$N$6:$N$10008,PURCHASE!$A$6:$A$10008,$X$3,PURCHASE!$D$6:$D$10008,$C$5:$C$499)</f>
        <v>0</v>
      </c>
      <c r="AC86" s="11">
        <f t="shared" si="23"/>
        <v>0</v>
      </c>
      <c r="AD86" s="11">
        <f>SUMIFS(PURCHASE!$K$6:$K$10008,PURCHASE!$A$6:$A$10008,$AC$3,PURCHASE!$D$6:$D$10008,$C$5:$C$499)</f>
        <v>0</v>
      </c>
      <c r="AE86" s="11">
        <f>SUMIFS(PURCHASE!$L$6:$L$10008,PURCHASE!$A$6:$A$10008,$AC$3,PURCHASE!$D$6:$D$10008,$C$5:$C$499)</f>
        <v>0</v>
      </c>
      <c r="AF86" s="11">
        <f>SUMIFS(PURCHASE!$M$6:$M$10008,PURCHASE!$A$6:$A$10008,$AC$3,PURCHASE!$D$6:$D$10008,$C$5:$C$499)</f>
        <v>0</v>
      </c>
      <c r="AG86" s="11">
        <f>SUMIFS(PURCHASE!$N$6:$N$10008,PURCHASE!$A$6:$A$10008,$AC$3,PURCHASE!$D$6:$D$10008,$C$5:$C$499)</f>
        <v>0</v>
      </c>
      <c r="AH86" s="11">
        <f t="shared" si="24"/>
        <v>0</v>
      </c>
      <c r="AI86" s="11">
        <f>SUMIFS(PURCHASE!$K$6:$K$10008,PURCHASE!$A$6:$A$10008,$AH$3,PURCHASE!$D$6:$D$10008,$C$5:$C$499)</f>
        <v>0</v>
      </c>
      <c r="AJ86" s="11">
        <f>SUMIFS(PURCHASE!$L$6:$L$10008,PURCHASE!$A$6:$A$10008,$AH$3,PURCHASE!$D$6:$D$10008,$C$5:$C$499)</f>
        <v>0</v>
      </c>
      <c r="AK86" s="11">
        <f>SUMIFS(PURCHASE!$M$6:$M$10008,PURCHASE!$A$6:$A$10008,$AH$3,PURCHASE!$D$6:$D$10008,$C$5:$C$499)</f>
        <v>0</v>
      </c>
      <c r="AL86" s="11">
        <f>SUMIFS(PURCHASE!$N$6:$N$10008,PURCHASE!$A$6:$A$10008,$AH$3,PURCHASE!$D$6:$D$10008,$C$5:$C$499)</f>
        <v>0</v>
      </c>
      <c r="AM86" s="11">
        <f t="shared" si="25"/>
        <v>0</v>
      </c>
      <c r="AN86" s="11">
        <f>SUMIFS(PURCHASE!$K$6:$K$10008,PURCHASE!$A$6:$A$10008,$AM$3,PURCHASE!$D$6:$D$10008,$C$5:$C$499)</f>
        <v>0</v>
      </c>
      <c r="AO86" s="11">
        <f>SUMIFS(PURCHASE!$L$6:$L$10008,PURCHASE!$A$6:$A$10008,$AM$3,PURCHASE!$D$6:$D$10008,$C$5:$C$499)</f>
        <v>0</v>
      </c>
      <c r="AP86" s="11">
        <f>SUMIFS(PURCHASE!$M$6:$M$10008,PURCHASE!$A$6:$A$10008,$AM$3,PURCHASE!$D$6:$D$10008,$C$5:$C$499)</f>
        <v>0</v>
      </c>
      <c r="AQ86" s="11">
        <f>SUMIFS(PURCHASE!$N$6:$N$10008,PURCHASE!$A$6:$A$10008,$AM$3,PURCHASE!$D$6:$D$10008,$C$5:$C$499)</f>
        <v>0</v>
      </c>
      <c r="AR86" s="11">
        <f t="shared" si="26"/>
        <v>0</v>
      </c>
      <c r="AS86" s="11">
        <f>SUMIFS(PURCHASE!$K$6:$K$10008,PURCHASE!$A$6:$A$10008,$AR$3,PURCHASE!$D$6:$D$10008,$C$5:$C$499)</f>
        <v>0</v>
      </c>
      <c r="AT86" s="11">
        <f>SUMIFS(PURCHASE!$L$6:$L$10008,PURCHASE!$A$6:$A$10008,$AR$3,PURCHASE!$D$6:$D$10008,$C$5:$C$499)</f>
        <v>0</v>
      </c>
      <c r="AU86" s="11">
        <f>SUMIFS(PURCHASE!$M$6:$M$10008,PURCHASE!$A$6:$A$10008,$AR$3,PURCHASE!$D$6:$D$10008,$C$5:$C$499)</f>
        <v>0</v>
      </c>
      <c r="AV86" s="11">
        <f>SUMIFS(PURCHASE!$N$6:$N$10008,PURCHASE!$A$6:$A$10008,$AR$3,PURCHASE!$D$6:$D$10008,$C$5:$C$499)</f>
        <v>0</v>
      </c>
      <c r="AW86" s="11">
        <f t="shared" si="27"/>
        <v>0</v>
      </c>
      <c r="AX86" s="11">
        <f>SUMIFS(PURCHASE!$K$6:$K$10008,PURCHASE!$A$6:$A$10008,$AW$3,PURCHASE!$D$6:$D$10008,$C$5:$C$499)</f>
        <v>0</v>
      </c>
      <c r="AY86" s="11">
        <f>SUMIFS(PURCHASE!$L$6:$L$10008,PURCHASE!$A$6:$A$10008,$AW$3,PURCHASE!$D$6:$D$10008,$C$5:$C$499)</f>
        <v>0</v>
      </c>
      <c r="AZ86" s="11">
        <f>SUMIFS(PURCHASE!$M$6:$M$10008,PURCHASE!$A$6:$A$10008,$AW$3,PURCHASE!$D$6:$D$10008,$C$5:$C$499)</f>
        <v>0</v>
      </c>
      <c r="BA86" s="11">
        <f>SUMIFS(PURCHASE!$N$6:$N$10008,PURCHASE!$A$6:$A$10008,$AW$3,PURCHASE!$D$6:$D$10008,$C$5:$C$499)</f>
        <v>0</v>
      </c>
      <c r="BB86" s="11">
        <f t="shared" si="28"/>
        <v>0</v>
      </c>
      <c r="BC86" s="11">
        <f>SUMIFS(PURCHASE!$K$6:$K$10008,PURCHASE!$A$6:$A$10008,$BB$3,PURCHASE!$D$6:$D$10008,$C$5:$C$499)</f>
        <v>0</v>
      </c>
      <c r="BD86" s="11">
        <f>SUMIFS(PURCHASE!$L$6:$L$10008,PURCHASE!$A$6:$A$10008,$BB$3,PURCHASE!$D$6:$D$10008,$C$5:$C$499)</f>
        <v>0</v>
      </c>
      <c r="BE86" s="11">
        <f>SUMIFS(PURCHASE!$M$6:$M$10008,PURCHASE!$A$6:$A$10008,$BB$3,PURCHASE!$D$6:$D$10008,$C$5:$C$499)</f>
        <v>0</v>
      </c>
      <c r="BF86" s="11">
        <f>SUMIFS(PURCHASE!$N$6:$N$10008,PURCHASE!$A$6:$A$10008,$BB$3,PURCHASE!$D$6:$D$10008,$C$5:$C$499)</f>
        <v>0</v>
      </c>
      <c r="BG86" s="11">
        <f t="shared" si="29"/>
        <v>0</v>
      </c>
      <c r="BH86" s="11">
        <f>SUMIFS(PURCHASE!$K$6:$K$10008,PURCHASE!$A$6:$A$10008,$BG$3,PURCHASE!$D$6:$D$10008,$C$5:$C$499)</f>
        <v>0</v>
      </c>
      <c r="BI86" s="11">
        <f>SUMIFS(PURCHASE!$L$6:$L$10008,PURCHASE!$A$6:$A$10008,$BG$3,PURCHASE!$D$6:$D$10008,$C$5:$C$499)</f>
        <v>0</v>
      </c>
      <c r="BJ86" s="11">
        <f>SUMIFS(PURCHASE!$M$6:$M$10008,PURCHASE!$A$6:$A$10008,$BG$3,PURCHASE!$D$6:$D$10008,$C$5:$C$499)</f>
        <v>0</v>
      </c>
      <c r="BK86" s="11">
        <f>SUMIFS(PURCHASE!$N$6:$N$10008,PURCHASE!$A$6:$A$10008,$BG$3,PURCHASE!$D$6:$D$10008,$C$5:$C$499)</f>
        <v>0</v>
      </c>
      <c r="BL86" s="11">
        <f t="shared" si="17"/>
        <v>0</v>
      </c>
      <c r="BM86" s="11">
        <f t="shared" si="17"/>
        <v>0</v>
      </c>
      <c r="BN86" s="11">
        <f t="shared" si="17"/>
        <v>0</v>
      </c>
      <c r="BO86" s="11">
        <f t="shared" si="17"/>
        <v>0</v>
      </c>
      <c r="BP86" s="11">
        <f t="shared" si="17"/>
        <v>0</v>
      </c>
    </row>
    <row r="87" spans="1:68" x14ac:dyDescent="0.2">
      <c r="A87" s="467">
        <v>84</v>
      </c>
      <c r="B87" s="479" t="s">
        <v>712</v>
      </c>
      <c r="C87" s="479" t="s">
        <v>713</v>
      </c>
      <c r="D87" s="11">
        <f t="shared" si="18"/>
        <v>0</v>
      </c>
      <c r="E87" s="11">
        <f>SUMIFS(PURCHASE!$K$6:$K$10008,PURCHASE!$A$6:$A$10008,$D$3,PURCHASE!$D$6:$D$10008,$C$5:$C$499)</f>
        <v>0</v>
      </c>
      <c r="F87" s="11">
        <f>SUMIFS(PURCHASE!$L$6:$L$10008,PURCHASE!$A$6:$A$10008,$D$3,PURCHASE!$D$6:$D$10008,$C$5:$C$499)</f>
        <v>0</v>
      </c>
      <c r="G87" s="11">
        <f>SUMIFS(PURCHASE!$M$6:$M$10008,PURCHASE!$A$6:$A$10008,$D$3,PURCHASE!$D$6:$D$10008,$C$5:$C$499)</f>
        <v>0</v>
      </c>
      <c r="H87" s="11">
        <f>SUMIFS(PURCHASE!$N$6:$N$10008,PURCHASE!$A$6:$A$10008,$D$3,PURCHASE!$D$6:$D$10008,$C$5:$C$499)</f>
        <v>0</v>
      </c>
      <c r="I87" s="473">
        <f t="shared" si="19"/>
        <v>0</v>
      </c>
      <c r="J87" s="60">
        <f>SUMIFS(PURCHASE!$K$6:$K$10008,PURCHASE!$A$6:$A$10008,$I$3,PURCHASE!$D$6:$D$10008,$C$5:$C$499)</f>
        <v>0</v>
      </c>
      <c r="K87" s="60">
        <f>SUMIFS(PURCHASE!$L$6:$L$10008,PURCHASE!$A$6:$A$10008,$I$3,PURCHASE!$D$6:$D$10008,$C$5:$C$499)</f>
        <v>0</v>
      </c>
      <c r="L87" s="60">
        <f>SUMIFS(PURCHASE!$M$6:$M$10008,PURCHASE!$A$6:$A$10008,$I$3,PURCHASE!$D$6:$D$10008,$C$5:$C$499)</f>
        <v>0</v>
      </c>
      <c r="M87" s="474">
        <f>SUMIFS(PURCHASE!$N$6:$N$10008,PURCHASE!$A$6:$A$10008,$I$3,PURCHASE!$D$6:$D$10008,$C$5:$C$499)</f>
        <v>0</v>
      </c>
      <c r="N87" s="11">
        <f t="shared" si="20"/>
        <v>8156.16</v>
      </c>
      <c r="O87" s="11">
        <f>SUMIFS(PURCHASE!$K$6:$K$10008,PURCHASE!$A$6:$A$10008,$N$3,PURCHASE!$D$6:$D$10008,$C$5:$C$499)</f>
        <v>6912</v>
      </c>
      <c r="P87" s="11">
        <f>SUMIFS(PURCHASE!$L$6:$L$10008,PURCHASE!$A$6:$A$10008,$N$3,PURCHASE!$D$6:$D$10008,$C$5:$C$499)</f>
        <v>0</v>
      </c>
      <c r="Q87" s="11">
        <f>SUMIFS(PURCHASE!$M$6:$M$10008,PURCHASE!$A$6:$A$10008,$N$3,PURCHASE!$D$6:$D$10008,$C$5:$C$499)</f>
        <v>622.08000000000004</v>
      </c>
      <c r="R87" s="11">
        <f>SUMIFS(PURCHASE!$N$6:$N$10008,PURCHASE!$A$6:$A$10008,$N$3,PURCHASE!$D$6:$D$10008,$C$5:$C$499)</f>
        <v>622.08000000000004</v>
      </c>
      <c r="S87" s="11">
        <f t="shared" si="21"/>
        <v>0</v>
      </c>
      <c r="T87" s="11">
        <f>SUMIFS(PURCHASE!$K$6:$K$10008,PURCHASE!$A$6:$A$10008,$S$3,PURCHASE!$D$6:$D$10008,$C$5:$C$499)</f>
        <v>0</v>
      </c>
      <c r="U87" s="11">
        <f>SUMIFS(PURCHASE!$L$6:$L$10008,PURCHASE!$A$6:$A$10008,$S$3,PURCHASE!$D$6:$D$10008,$C$5:$C$499)</f>
        <v>0</v>
      </c>
      <c r="V87" s="11">
        <f>SUMIFS(PURCHASE!$M$6:$M$10008,PURCHASE!$A$6:$A$10008,$S$3,PURCHASE!$D$6:$D$10008,$C$5:$C$499)</f>
        <v>0</v>
      </c>
      <c r="W87" s="11">
        <f>SUMIFS(PURCHASE!$N$6:$N$10008,PURCHASE!$A$6:$A$10008,$S$3,PURCHASE!$D$6:$D$10008,$C$5:$C$499)</f>
        <v>0</v>
      </c>
      <c r="X87" s="11">
        <f t="shared" si="22"/>
        <v>0</v>
      </c>
      <c r="Y87" s="11">
        <f>SUMIFS(PURCHASE!$K$6:$K$10008,PURCHASE!$A$6:$A$10008,$X$3,PURCHASE!$D$6:$D$10008,$C$5:$C$499)</f>
        <v>0</v>
      </c>
      <c r="Z87" s="11">
        <f>SUMIFS(PURCHASE!$L$6:$L$10008,PURCHASE!$A$6:$A$10008,$X$3,PURCHASE!$D$6:$D$10008,$C$5:$C$499)</f>
        <v>0</v>
      </c>
      <c r="AA87" s="11">
        <f>SUMIFS(PURCHASE!$M$6:$M$10008,PURCHASE!$A$6:$A$10008,$X$3,PURCHASE!$D$6:$D$10008,$C$5:$C$499)</f>
        <v>0</v>
      </c>
      <c r="AB87" s="11">
        <f>SUMIFS(PURCHASE!$N$6:$N$10008,PURCHASE!$A$6:$A$10008,$X$3,PURCHASE!$D$6:$D$10008,$C$5:$C$499)</f>
        <v>0</v>
      </c>
      <c r="AC87" s="11">
        <f t="shared" si="23"/>
        <v>0</v>
      </c>
      <c r="AD87" s="11">
        <f>SUMIFS(PURCHASE!$K$6:$K$10008,PURCHASE!$A$6:$A$10008,$AC$3,PURCHASE!$D$6:$D$10008,$C$5:$C$499)</f>
        <v>0</v>
      </c>
      <c r="AE87" s="11">
        <f>SUMIFS(PURCHASE!$L$6:$L$10008,PURCHASE!$A$6:$A$10008,$AC$3,PURCHASE!$D$6:$D$10008,$C$5:$C$499)</f>
        <v>0</v>
      </c>
      <c r="AF87" s="11">
        <f>SUMIFS(PURCHASE!$M$6:$M$10008,PURCHASE!$A$6:$A$10008,$AC$3,PURCHASE!$D$6:$D$10008,$C$5:$C$499)</f>
        <v>0</v>
      </c>
      <c r="AG87" s="11">
        <f>SUMIFS(PURCHASE!$N$6:$N$10008,PURCHASE!$A$6:$A$10008,$AC$3,PURCHASE!$D$6:$D$10008,$C$5:$C$499)</f>
        <v>0</v>
      </c>
      <c r="AH87" s="11">
        <f t="shared" si="24"/>
        <v>0</v>
      </c>
      <c r="AI87" s="11">
        <f>SUMIFS(PURCHASE!$K$6:$K$10008,PURCHASE!$A$6:$A$10008,$AH$3,PURCHASE!$D$6:$D$10008,$C$5:$C$499)</f>
        <v>0</v>
      </c>
      <c r="AJ87" s="11">
        <f>SUMIFS(PURCHASE!$L$6:$L$10008,PURCHASE!$A$6:$A$10008,$AH$3,PURCHASE!$D$6:$D$10008,$C$5:$C$499)</f>
        <v>0</v>
      </c>
      <c r="AK87" s="11">
        <f>SUMIFS(PURCHASE!$M$6:$M$10008,PURCHASE!$A$6:$A$10008,$AH$3,PURCHASE!$D$6:$D$10008,$C$5:$C$499)</f>
        <v>0</v>
      </c>
      <c r="AL87" s="11">
        <f>SUMIFS(PURCHASE!$N$6:$N$10008,PURCHASE!$A$6:$A$10008,$AH$3,PURCHASE!$D$6:$D$10008,$C$5:$C$499)</f>
        <v>0</v>
      </c>
      <c r="AM87" s="11">
        <f t="shared" si="25"/>
        <v>0</v>
      </c>
      <c r="AN87" s="11">
        <f>SUMIFS(PURCHASE!$K$6:$K$10008,PURCHASE!$A$6:$A$10008,$AM$3,PURCHASE!$D$6:$D$10008,$C$5:$C$499)</f>
        <v>0</v>
      </c>
      <c r="AO87" s="11">
        <f>SUMIFS(PURCHASE!$L$6:$L$10008,PURCHASE!$A$6:$A$10008,$AM$3,PURCHASE!$D$6:$D$10008,$C$5:$C$499)</f>
        <v>0</v>
      </c>
      <c r="AP87" s="11">
        <f>SUMIFS(PURCHASE!$M$6:$M$10008,PURCHASE!$A$6:$A$10008,$AM$3,PURCHASE!$D$6:$D$10008,$C$5:$C$499)</f>
        <v>0</v>
      </c>
      <c r="AQ87" s="11">
        <f>SUMIFS(PURCHASE!$N$6:$N$10008,PURCHASE!$A$6:$A$10008,$AM$3,PURCHASE!$D$6:$D$10008,$C$5:$C$499)</f>
        <v>0</v>
      </c>
      <c r="AR87" s="11">
        <f t="shared" si="26"/>
        <v>0</v>
      </c>
      <c r="AS87" s="11">
        <f>SUMIFS(PURCHASE!$K$6:$K$10008,PURCHASE!$A$6:$A$10008,$AR$3,PURCHASE!$D$6:$D$10008,$C$5:$C$499)</f>
        <v>0</v>
      </c>
      <c r="AT87" s="11">
        <f>SUMIFS(PURCHASE!$L$6:$L$10008,PURCHASE!$A$6:$A$10008,$AR$3,PURCHASE!$D$6:$D$10008,$C$5:$C$499)</f>
        <v>0</v>
      </c>
      <c r="AU87" s="11">
        <f>SUMIFS(PURCHASE!$M$6:$M$10008,PURCHASE!$A$6:$A$10008,$AR$3,PURCHASE!$D$6:$D$10008,$C$5:$C$499)</f>
        <v>0</v>
      </c>
      <c r="AV87" s="11">
        <f>SUMIFS(PURCHASE!$N$6:$N$10008,PURCHASE!$A$6:$A$10008,$AR$3,PURCHASE!$D$6:$D$10008,$C$5:$C$499)</f>
        <v>0</v>
      </c>
      <c r="AW87" s="11">
        <f t="shared" si="27"/>
        <v>0</v>
      </c>
      <c r="AX87" s="11">
        <f>SUMIFS(PURCHASE!$K$6:$K$10008,PURCHASE!$A$6:$A$10008,$AW$3,PURCHASE!$D$6:$D$10008,$C$5:$C$499)</f>
        <v>0</v>
      </c>
      <c r="AY87" s="11">
        <f>SUMIFS(PURCHASE!$L$6:$L$10008,PURCHASE!$A$6:$A$10008,$AW$3,PURCHASE!$D$6:$D$10008,$C$5:$C$499)</f>
        <v>0</v>
      </c>
      <c r="AZ87" s="11">
        <f>SUMIFS(PURCHASE!$M$6:$M$10008,PURCHASE!$A$6:$A$10008,$AW$3,PURCHASE!$D$6:$D$10008,$C$5:$C$499)</f>
        <v>0</v>
      </c>
      <c r="BA87" s="11">
        <f>SUMIFS(PURCHASE!$N$6:$N$10008,PURCHASE!$A$6:$A$10008,$AW$3,PURCHASE!$D$6:$D$10008,$C$5:$C$499)</f>
        <v>0</v>
      </c>
      <c r="BB87" s="11">
        <f t="shared" si="28"/>
        <v>0</v>
      </c>
      <c r="BC87" s="11">
        <f>SUMIFS(PURCHASE!$K$6:$K$10008,PURCHASE!$A$6:$A$10008,$BB$3,PURCHASE!$D$6:$D$10008,$C$5:$C$499)</f>
        <v>0</v>
      </c>
      <c r="BD87" s="11">
        <f>SUMIFS(PURCHASE!$L$6:$L$10008,PURCHASE!$A$6:$A$10008,$BB$3,PURCHASE!$D$6:$D$10008,$C$5:$C$499)</f>
        <v>0</v>
      </c>
      <c r="BE87" s="11">
        <f>SUMIFS(PURCHASE!$M$6:$M$10008,PURCHASE!$A$6:$A$10008,$BB$3,PURCHASE!$D$6:$D$10008,$C$5:$C$499)</f>
        <v>0</v>
      </c>
      <c r="BF87" s="11">
        <f>SUMIFS(PURCHASE!$N$6:$N$10008,PURCHASE!$A$6:$A$10008,$BB$3,PURCHASE!$D$6:$D$10008,$C$5:$C$499)</f>
        <v>0</v>
      </c>
      <c r="BG87" s="11">
        <f t="shared" si="29"/>
        <v>0</v>
      </c>
      <c r="BH87" s="11">
        <f>SUMIFS(PURCHASE!$K$6:$K$10008,PURCHASE!$A$6:$A$10008,$BG$3,PURCHASE!$D$6:$D$10008,$C$5:$C$499)</f>
        <v>0</v>
      </c>
      <c r="BI87" s="11">
        <f>SUMIFS(PURCHASE!$L$6:$L$10008,PURCHASE!$A$6:$A$10008,$BG$3,PURCHASE!$D$6:$D$10008,$C$5:$C$499)</f>
        <v>0</v>
      </c>
      <c r="BJ87" s="11">
        <f>SUMIFS(PURCHASE!$M$6:$M$10008,PURCHASE!$A$6:$A$10008,$BG$3,PURCHASE!$D$6:$D$10008,$C$5:$C$499)</f>
        <v>0</v>
      </c>
      <c r="BK87" s="11">
        <f>SUMIFS(PURCHASE!$N$6:$N$10008,PURCHASE!$A$6:$A$10008,$BG$3,PURCHASE!$D$6:$D$10008,$C$5:$C$499)</f>
        <v>0</v>
      </c>
      <c r="BL87" s="11">
        <f t="shared" si="17"/>
        <v>8156.16</v>
      </c>
      <c r="BM87" s="11">
        <f t="shared" si="17"/>
        <v>6912</v>
      </c>
      <c r="BN87" s="11">
        <f t="shared" si="17"/>
        <v>0</v>
      </c>
      <c r="BO87" s="11">
        <f t="shared" si="17"/>
        <v>622.08000000000004</v>
      </c>
      <c r="BP87" s="11">
        <f t="shared" si="17"/>
        <v>622.08000000000004</v>
      </c>
    </row>
    <row r="88" spans="1:68" x14ac:dyDescent="0.2">
      <c r="A88" s="467">
        <v>85</v>
      </c>
      <c r="B88" s="475" t="s">
        <v>1136</v>
      </c>
      <c r="C88" s="475" t="s">
        <v>1137</v>
      </c>
      <c r="D88" s="11">
        <f t="shared" si="18"/>
        <v>0</v>
      </c>
      <c r="E88" s="11">
        <f>SUMIFS(PURCHASE!$K$6:$K$10008,PURCHASE!$A$6:$A$10008,$D$3,PURCHASE!$D$6:$D$10008,$C$5:$C$499)</f>
        <v>0</v>
      </c>
      <c r="F88" s="11">
        <f>SUMIFS(PURCHASE!$L$6:$L$10008,PURCHASE!$A$6:$A$10008,$D$3,PURCHASE!$D$6:$D$10008,$C$5:$C$499)</f>
        <v>0</v>
      </c>
      <c r="G88" s="11">
        <f>SUMIFS(PURCHASE!$M$6:$M$10008,PURCHASE!$A$6:$A$10008,$D$3,PURCHASE!$D$6:$D$10008,$C$5:$C$499)</f>
        <v>0</v>
      </c>
      <c r="H88" s="11">
        <f>SUMIFS(PURCHASE!$N$6:$N$10008,PURCHASE!$A$6:$A$10008,$D$3,PURCHASE!$D$6:$D$10008,$C$5:$C$499)</f>
        <v>0</v>
      </c>
      <c r="I88" s="473">
        <f t="shared" si="19"/>
        <v>0</v>
      </c>
      <c r="J88" s="60">
        <f>SUMIFS(PURCHASE!$K$6:$K$10008,PURCHASE!$A$6:$A$10008,$I$3,PURCHASE!$D$6:$D$10008,$C$5:$C$499)</f>
        <v>0</v>
      </c>
      <c r="K88" s="60">
        <f>SUMIFS(PURCHASE!$L$6:$L$10008,PURCHASE!$A$6:$A$10008,$I$3,PURCHASE!$D$6:$D$10008,$C$5:$C$499)</f>
        <v>0</v>
      </c>
      <c r="L88" s="60">
        <f>SUMIFS(PURCHASE!$M$6:$M$10008,PURCHASE!$A$6:$A$10008,$I$3,PURCHASE!$D$6:$D$10008,$C$5:$C$499)</f>
        <v>0</v>
      </c>
      <c r="M88" s="474">
        <f>SUMIFS(PURCHASE!$N$6:$N$10008,PURCHASE!$A$6:$A$10008,$I$3,PURCHASE!$D$6:$D$10008,$C$5:$C$499)</f>
        <v>0</v>
      </c>
      <c r="N88" s="11">
        <f t="shared" si="20"/>
        <v>0</v>
      </c>
      <c r="O88" s="11">
        <f>SUMIFS(PURCHASE!$K$6:$K$10008,PURCHASE!$A$6:$A$10008,$N$3,PURCHASE!$D$6:$D$10008,$C$5:$C$499)</f>
        <v>0</v>
      </c>
      <c r="P88" s="11">
        <f>SUMIFS(PURCHASE!$L$6:$L$10008,PURCHASE!$A$6:$A$10008,$N$3,PURCHASE!$D$6:$D$10008,$C$5:$C$499)</f>
        <v>0</v>
      </c>
      <c r="Q88" s="11">
        <f>SUMIFS(PURCHASE!$M$6:$M$10008,PURCHASE!$A$6:$A$10008,$N$3,PURCHASE!$D$6:$D$10008,$C$5:$C$499)</f>
        <v>0</v>
      </c>
      <c r="R88" s="11">
        <f>SUMIFS(PURCHASE!$N$6:$N$10008,PURCHASE!$A$6:$A$10008,$N$3,PURCHASE!$D$6:$D$10008,$C$5:$C$499)</f>
        <v>0</v>
      </c>
      <c r="S88" s="11">
        <f t="shared" si="21"/>
        <v>0</v>
      </c>
      <c r="T88" s="11">
        <f>SUMIFS(PURCHASE!$K$6:$K$10008,PURCHASE!$A$6:$A$10008,$S$3,PURCHASE!$D$6:$D$10008,$C$5:$C$499)</f>
        <v>0</v>
      </c>
      <c r="U88" s="11">
        <f>SUMIFS(PURCHASE!$L$6:$L$10008,PURCHASE!$A$6:$A$10008,$S$3,PURCHASE!$D$6:$D$10008,$C$5:$C$499)</f>
        <v>0</v>
      </c>
      <c r="V88" s="11">
        <f>SUMIFS(PURCHASE!$M$6:$M$10008,PURCHASE!$A$6:$A$10008,$S$3,PURCHASE!$D$6:$D$10008,$C$5:$C$499)</f>
        <v>0</v>
      </c>
      <c r="W88" s="11">
        <f>SUMIFS(PURCHASE!$N$6:$N$10008,PURCHASE!$A$6:$A$10008,$S$3,PURCHASE!$D$6:$D$10008,$C$5:$C$499)</f>
        <v>0</v>
      </c>
      <c r="X88" s="11">
        <f t="shared" si="22"/>
        <v>0</v>
      </c>
      <c r="Y88" s="11">
        <f>SUMIFS(PURCHASE!$K$6:$K$10008,PURCHASE!$A$6:$A$10008,$X$3,PURCHASE!$D$6:$D$10008,$C$5:$C$499)</f>
        <v>0</v>
      </c>
      <c r="Z88" s="11">
        <f>SUMIFS(PURCHASE!$L$6:$L$10008,PURCHASE!$A$6:$A$10008,$X$3,PURCHASE!$D$6:$D$10008,$C$5:$C$499)</f>
        <v>0</v>
      </c>
      <c r="AA88" s="11">
        <f>SUMIFS(PURCHASE!$M$6:$M$10008,PURCHASE!$A$6:$A$10008,$X$3,PURCHASE!$D$6:$D$10008,$C$5:$C$499)</f>
        <v>0</v>
      </c>
      <c r="AB88" s="11">
        <f>SUMIFS(PURCHASE!$N$6:$N$10008,PURCHASE!$A$6:$A$10008,$X$3,PURCHASE!$D$6:$D$10008,$C$5:$C$499)</f>
        <v>0</v>
      </c>
      <c r="AC88" s="11">
        <f t="shared" si="23"/>
        <v>0</v>
      </c>
      <c r="AD88" s="11">
        <f>SUMIFS(PURCHASE!$K$6:$K$10008,PURCHASE!$A$6:$A$10008,$AC$3,PURCHASE!$D$6:$D$10008,$C$5:$C$499)</f>
        <v>0</v>
      </c>
      <c r="AE88" s="11">
        <f>SUMIFS(PURCHASE!$L$6:$L$10008,PURCHASE!$A$6:$A$10008,$AC$3,PURCHASE!$D$6:$D$10008,$C$5:$C$499)</f>
        <v>0</v>
      </c>
      <c r="AF88" s="11">
        <f>SUMIFS(PURCHASE!$M$6:$M$10008,PURCHASE!$A$6:$A$10008,$AC$3,PURCHASE!$D$6:$D$10008,$C$5:$C$499)</f>
        <v>0</v>
      </c>
      <c r="AG88" s="11">
        <f>SUMIFS(PURCHASE!$N$6:$N$10008,PURCHASE!$A$6:$A$10008,$AC$3,PURCHASE!$D$6:$D$10008,$C$5:$C$499)</f>
        <v>0</v>
      </c>
      <c r="AH88" s="11">
        <f t="shared" si="24"/>
        <v>0</v>
      </c>
      <c r="AI88" s="11">
        <f>SUMIFS(PURCHASE!$K$6:$K$10008,PURCHASE!$A$6:$A$10008,$AH$3,PURCHASE!$D$6:$D$10008,$C$5:$C$499)</f>
        <v>0</v>
      </c>
      <c r="AJ88" s="11">
        <f>SUMIFS(PURCHASE!$L$6:$L$10008,PURCHASE!$A$6:$A$10008,$AH$3,PURCHASE!$D$6:$D$10008,$C$5:$C$499)</f>
        <v>0</v>
      </c>
      <c r="AK88" s="11">
        <f>SUMIFS(PURCHASE!$M$6:$M$10008,PURCHASE!$A$6:$A$10008,$AH$3,PURCHASE!$D$6:$D$10008,$C$5:$C$499)</f>
        <v>0</v>
      </c>
      <c r="AL88" s="11">
        <f>SUMIFS(PURCHASE!$N$6:$N$10008,PURCHASE!$A$6:$A$10008,$AH$3,PURCHASE!$D$6:$D$10008,$C$5:$C$499)</f>
        <v>0</v>
      </c>
      <c r="AM88" s="11">
        <f t="shared" si="25"/>
        <v>0</v>
      </c>
      <c r="AN88" s="11">
        <f>SUMIFS(PURCHASE!$K$6:$K$10008,PURCHASE!$A$6:$A$10008,$AM$3,PURCHASE!$D$6:$D$10008,$C$5:$C$499)</f>
        <v>0</v>
      </c>
      <c r="AO88" s="11">
        <f>SUMIFS(PURCHASE!$L$6:$L$10008,PURCHASE!$A$6:$A$10008,$AM$3,PURCHASE!$D$6:$D$10008,$C$5:$C$499)</f>
        <v>0</v>
      </c>
      <c r="AP88" s="11">
        <f>SUMIFS(PURCHASE!$M$6:$M$10008,PURCHASE!$A$6:$A$10008,$AM$3,PURCHASE!$D$6:$D$10008,$C$5:$C$499)</f>
        <v>0</v>
      </c>
      <c r="AQ88" s="11">
        <f>SUMIFS(PURCHASE!$N$6:$N$10008,PURCHASE!$A$6:$A$10008,$AM$3,PURCHASE!$D$6:$D$10008,$C$5:$C$499)</f>
        <v>0</v>
      </c>
      <c r="AR88" s="11">
        <f t="shared" si="26"/>
        <v>0</v>
      </c>
      <c r="AS88" s="11">
        <f>SUMIFS(PURCHASE!$K$6:$K$10008,PURCHASE!$A$6:$A$10008,$AR$3,PURCHASE!$D$6:$D$10008,$C$5:$C$499)</f>
        <v>0</v>
      </c>
      <c r="AT88" s="11">
        <f>SUMIFS(PURCHASE!$L$6:$L$10008,PURCHASE!$A$6:$A$10008,$AR$3,PURCHASE!$D$6:$D$10008,$C$5:$C$499)</f>
        <v>0</v>
      </c>
      <c r="AU88" s="11">
        <f>SUMIFS(PURCHASE!$M$6:$M$10008,PURCHASE!$A$6:$A$10008,$AR$3,PURCHASE!$D$6:$D$10008,$C$5:$C$499)</f>
        <v>0</v>
      </c>
      <c r="AV88" s="11">
        <f>SUMIFS(PURCHASE!$N$6:$N$10008,PURCHASE!$A$6:$A$10008,$AR$3,PURCHASE!$D$6:$D$10008,$C$5:$C$499)</f>
        <v>0</v>
      </c>
      <c r="AW88" s="11">
        <f t="shared" si="27"/>
        <v>0</v>
      </c>
      <c r="AX88" s="11">
        <f>SUMIFS(PURCHASE!$K$6:$K$10008,PURCHASE!$A$6:$A$10008,$AW$3,PURCHASE!$D$6:$D$10008,$C$5:$C$499)</f>
        <v>0</v>
      </c>
      <c r="AY88" s="11">
        <f>SUMIFS(PURCHASE!$L$6:$L$10008,PURCHASE!$A$6:$A$10008,$AW$3,PURCHASE!$D$6:$D$10008,$C$5:$C$499)</f>
        <v>0</v>
      </c>
      <c r="AZ88" s="11">
        <f>SUMIFS(PURCHASE!$M$6:$M$10008,PURCHASE!$A$6:$A$10008,$AW$3,PURCHASE!$D$6:$D$10008,$C$5:$C$499)</f>
        <v>0</v>
      </c>
      <c r="BA88" s="11">
        <f>SUMIFS(PURCHASE!$N$6:$N$10008,PURCHASE!$A$6:$A$10008,$AW$3,PURCHASE!$D$6:$D$10008,$C$5:$C$499)</f>
        <v>0</v>
      </c>
      <c r="BB88" s="11">
        <f t="shared" si="28"/>
        <v>0</v>
      </c>
      <c r="BC88" s="11">
        <f>SUMIFS(PURCHASE!$K$6:$K$10008,PURCHASE!$A$6:$A$10008,$BB$3,PURCHASE!$D$6:$D$10008,$C$5:$C$499)</f>
        <v>0</v>
      </c>
      <c r="BD88" s="11">
        <f>SUMIFS(PURCHASE!$L$6:$L$10008,PURCHASE!$A$6:$A$10008,$BB$3,PURCHASE!$D$6:$D$10008,$C$5:$C$499)</f>
        <v>0</v>
      </c>
      <c r="BE88" s="11">
        <f>SUMIFS(PURCHASE!$M$6:$M$10008,PURCHASE!$A$6:$A$10008,$BB$3,PURCHASE!$D$6:$D$10008,$C$5:$C$499)</f>
        <v>0</v>
      </c>
      <c r="BF88" s="11">
        <f>SUMIFS(PURCHASE!$N$6:$N$10008,PURCHASE!$A$6:$A$10008,$BB$3,PURCHASE!$D$6:$D$10008,$C$5:$C$499)</f>
        <v>0</v>
      </c>
      <c r="BG88" s="11">
        <f t="shared" si="29"/>
        <v>0</v>
      </c>
      <c r="BH88" s="11">
        <f>SUMIFS(PURCHASE!$K$6:$K$10008,PURCHASE!$A$6:$A$10008,$BG$3,PURCHASE!$D$6:$D$10008,$C$5:$C$499)</f>
        <v>0</v>
      </c>
      <c r="BI88" s="11">
        <f>SUMIFS(PURCHASE!$L$6:$L$10008,PURCHASE!$A$6:$A$10008,$BG$3,PURCHASE!$D$6:$D$10008,$C$5:$C$499)</f>
        <v>0</v>
      </c>
      <c r="BJ88" s="11">
        <f>SUMIFS(PURCHASE!$M$6:$M$10008,PURCHASE!$A$6:$A$10008,$BG$3,PURCHASE!$D$6:$D$10008,$C$5:$C$499)</f>
        <v>0</v>
      </c>
      <c r="BK88" s="11">
        <f>SUMIFS(PURCHASE!$N$6:$N$10008,PURCHASE!$A$6:$A$10008,$BG$3,PURCHASE!$D$6:$D$10008,$C$5:$C$499)</f>
        <v>0</v>
      </c>
      <c r="BL88" s="11">
        <f t="shared" si="17"/>
        <v>0</v>
      </c>
      <c r="BM88" s="11">
        <f t="shared" si="17"/>
        <v>0</v>
      </c>
      <c r="BN88" s="11">
        <f t="shared" si="17"/>
        <v>0</v>
      </c>
      <c r="BO88" s="11">
        <f t="shared" si="17"/>
        <v>0</v>
      </c>
      <c r="BP88" s="11">
        <f t="shared" si="17"/>
        <v>0</v>
      </c>
    </row>
    <row r="89" spans="1:68" x14ac:dyDescent="0.2">
      <c r="A89" s="467">
        <v>86</v>
      </c>
      <c r="B89" s="476" t="s">
        <v>708</v>
      </c>
      <c r="C89" s="477" t="s">
        <v>709</v>
      </c>
      <c r="D89" s="11">
        <f t="shared" si="18"/>
        <v>0</v>
      </c>
      <c r="E89" s="11">
        <f>SUMIFS(PURCHASE!$K$6:$K$10008,PURCHASE!$A$6:$A$10008,$D$3,PURCHASE!$D$6:$D$10008,$C$5:$C$499)</f>
        <v>0</v>
      </c>
      <c r="F89" s="11">
        <f>SUMIFS(PURCHASE!$L$6:$L$10008,PURCHASE!$A$6:$A$10008,$D$3,PURCHASE!$D$6:$D$10008,$C$5:$C$499)</f>
        <v>0</v>
      </c>
      <c r="G89" s="11">
        <f>SUMIFS(PURCHASE!$M$6:$M$10008,PURCHASE!$A$6:$A$10008,$D$3,PURCHASE!$D$6:$D$10008,$C$5:$C$499)</f>
        <v>0</v>
      </c>
      <c r="H89" s="11">
        <f>SUMIFS(PURCHASE!$N$6:$N$10008,PURCHASE!$A$6:$A$10008,$D$3,PURCHASE!$D$6:$D$10008,$C$5:$C$499)</f>
        <v>0</v>
      </c>
      <c r="I89" s="473">
        <f t="shared" si="19"/>
        <v>0</v>
      </c>
      <c r="J89" s="60">
        <f>SUMIFS(PURCHASE!$K$6:$K$10008,PURCHASE!$A$6:$A$10008,$I$3,PURCHASE!$D$6:$D$10008,$C$5:$C$499)</f>
        <v>0</v>
      </c>
      <c r="K89" s="60">
        <f>SUMIFS(PURCHASE!$L$6:$L$10008,PURCHASE!$A$6:$A$10008,$I$3,PURCHASE!$D$6:$D$10008,$C$5:$C$499)</f>
        <v>0</v>
      </c>
      <c r="L89" s="60">
        <f>SUMIFS(PURCHASE!$M$6:$M$10008,PURCHASE!$A$6:$A$10008,$I$3,PURCHASE!$D$6:$D$10008,$C$5:$C$499)</f>
        <v>0</v>
      </c>
      <c r="M89" s="474">
        <f>SUMIFS(PURCHASE!$N$6:$N$10008,PURCHASE!$A$6:$A$10008,$I$3,PURCHASE!$D$6:$D$10008,$C$5:$C$499)</f>
        <v>0</v>
      </c>
      <c r="N89" s="11">
        <f t="shared" si="20"/>
        <v>433581.56</v>
      </c>
      <c r="O89" s="11">
        <f>SUMIFS(PURCHASE!$K$6:$K$10008,PURCHASE!$A$6:$A$10008,$N$3,PURCHASE!$D$6:$D$10008,$C$5:$C$499)</f>
        <v>367442</v>
      </c>
      <c r="P89" s="11">
        <f>SUMIFS(PURCHASE!$L$6:$L$10008,PURCHASE!$A$6:$A$10008,$N$3,PURCHASE!$D$6:$D$10008,$C$5:$C$499)</f>
        <v>66139.56</v>
      </c>
      <c r="Q89" s="11">
        <f>SUMIFS(PURCHASE!$M$6:$M$10008,PURCHASE!$A$6:$A$10008,$N$3,PURCHASE!$D$6:$D$10008,$C$5:$C$499)</f>
        <v>0</v>
      </c>
      <c r="R89" s="11">
        <f>SUMIFS(PURCHASE!$N$6:$N$10008,PURCHASE!$A$6:$A$10008,$N$3,PURCHASE!$D$6:$D$10008,$C$5:$C$499)</f>
        <v>0</v>
      </c>
      <c r="S89" s="11">
        <f t="shared" si="21"/>
        <v>0</v>
      </c>
      <c r="T89" s="11">
        <f>SUMIFS(PURCHASE!$K$6:$K$10008,PURCHASE!$A$6:$A$10008,$S$3,PURCHASE!$D$6:$D$10008,$C$5:$C$499)</f>
        <v>0</v>
      </c>
      <c r="U89" s="11">
        <f>SUMIFS(PURCHASE!$L$6:$L$10008,PURCHASE!$A$6:$A$10008,$S$3,PURCHASE!$D$6:$D$10008,$C$5:$C$499)</f>
        <v>0</v>
      </c>
      <c r="V89" s="11">
        <f>SUMIFS(PURCHASE!$M$6:$M$10008,PURCHASE!$A$6:$A$10008,$S$3,PURCHASE!$D$6:$D$10008,$C$5:$C$499)</f>
        <v>0</v>
      </c>
      <c r="W89" s="11">
        <f>SUMIFS(PURCHASE!$N$6:$N$10008,PURCHASE!$A$6:$A$10008,$S$3,PURCHASE!$D$6:$D$10008,$C$5:$C$499)</f>
        <v>0</v>
      </c>
      <c r="X89" s="11">
        <f t="shared" si="22"/>
        <v>0</v>
      </c>
      <c r="Y89" s="11">
        <f>SUMIFS(PURCHASE!$K$6:$K$10008,PURCHASE!$A$6:$A$10008,$X$3,PURCHASE!$D$6:$D$10008,$C$5:$C$499)</f>
        <v>0</v>
      </c>
      <c r="Z89" s="11">
        <f>SUMIFS(PURCHASE!$L$6:$L$10008,PURCHASE!$A$6:$A$10008,$X$3,PURCHASE!$D$6:$D$10008,$C$5:$C$499)</f>
        <v>0</v>
      </c>
      <c r="AA89" s="11">
        <f>SUMIFS(PURCHASE!$M$6:$M$10008,PURCHASE!$A$6:$A$10008,$X$3,PURCHASE!$D$6:$D$10008,$C$5:$C$499)</f>
        <v>0</v>
      </c>
      <c r="AB89" s="11">
        <f>SUMIFS(PURCHASE!$N$6:$N$10008,PURCHASE!$A$6:$A$10008,$X$3,PURCHASE!$D$6:$D$10008,$C$5:$C$499)</f>
        <v>0</v>
      </c>
      <c r="AC89" s="11">
        <f t="shared" si="23"/>
        <v>0</v>
      </c>
      <c r="AD89" s="11">
        <f>SUMIFS(PURCHASE!$K$6:$K$10008,PURCHASE!$A$6:$A$10008,$AC$3,PURCHASE!$D$6:$D$10008,$C$5:$C$499)</f>
        <v>0</v>
      </c>
      <c r="AE89" s="11">
        <f>SUMIFS(PURCHASE!$L$6:$L$10008,PURCHASE!$A$6:$A$10008,$AC$3,PURCHASE!$D$6:$D$10008,$C$5:$C$499)</f>
        <v>0</v>
      </c>
      <c r="AF89" s="11">
        <f>SUMIFS(PURCHASE!$M$6:$M$10008,PURCHASE!$A$6:$A$10008,$AC$3,PURCHASE!$D$6:$D$10008,$C$5:$C$499)</f>
        <v>0</v>
      </c>
      <c r="AG89" s="11">
        <f>SUMIFS(PURCHASE!$N$6:$N$10008,PURCHASE!$A$6:$A$10008,$AC$3,PURCHASE!$D$6:$D$10008,$C$5:$C$499)</f>
        <v>0</v>
      </c>
      <c r="AH89" s="11">
        <f t="shared" si="24"/>
        <v>0</v>
      </c>
      <c r="AI89" s="11">
        <f>SUMIFS(PURCHASE!$K$6:$K$10008,PURCHASE!$A$6:$A$10008,$AH$3,PURCHASE!$D$6:$D$10008,$C$5:$C$499)</f>
        <v>0</v>
      </c>
      <c r="AJ89" s="11">
        <f>SUMIFS(PURCHASE!$L$6:$L$10008,PURCHASE!$A$6:$A$10008,$AH$3,PURCHASE!$D$6:$D$10008,$C$5:$C$499)</f>
        <v>0</v>
      </c>
      <c r="AK89" s="11">
        <f>SUMIFS(PURCHASE!$M$6:$M$10008,PURCHASE!$A$6:$A$10008,$AH$3,PURCHASE!$D$6:$D$10008,$C$5:$C$499)</f>
        <v>0</v>
      </c>
      <c r="AL89" s="11">
        <f>SUMIFS(PURCHASE!$N$6:$N$10008,PURCHASE!$A$6:$A$10008,$AH$3,PURCHASE!$D$6:$D$10008,$C$5:$C$499)</f>
        <v>0</v>
      </c>
      <c r="AM89" s="11">
        <f t="shared" si="25"/>
        <v>0</v>
      </c>
      <c r="AN89" s="11">
        <f>SUMIFS(PURCHASE!$K$6:$K$10008,PURCHASE!$A$6:$A$10008,$AM$3,PURCHASE!$D$6:$D$10008,$C$5:$C$499)</f>
        <v>0</v>
      </c>
      <c r="AO89" s="11">
        <f>SUMIFS(PURCHASE!$L$6:$L$10008,PURCHASE!$A$6:$A$10008,$AM$3,PURCHASE!$D$6:$D$10008,$C$5:$C$499)</f>
        <v>0</v>
      </c>
      <c r="AP89" s="11">
        <f>SUMIFS(PURCHASE!$M$6:$M$10008,PURCHASE!$A$6:$A$10008,$AM$3,PURCHASE!$D$6:$D$10008,$C$5:$C$499)</f>
        <v>0</v>
      </c>
      <c r="AQ89" s="11">
        <f>SUMIFS(PURCHASE!$N$6:$N$10008,PURCHASE!$A$6:$A$10008,$AM$3,PURCHASE!$D$6:$D$10008,$C$5:$C$499)</f>
        <v>0</v>
      </c>
      <c r="AR89" s="11">
        <f t="shared" si="26"/>
        <v>0</v>
      </c>
      <c r="AS89" s="11">
        <f>SUMIFS(PURCHASE!$K$6:$K$10008,PURCHASE!$A$6:$A$10008,$AR$3,PURCHASE!$D$6:$D$10008,$C$5:$C$499)</f>
        <v>0</v>
      </c>
      <c r="AT89" s="11">
        <f>SUMIFS(PURCHASE!$L$6:$L$10008,PURCHASE!$A$6:$A$10008,$AR$3,PURCHASE!$D$6:$D$10008,$C$5:$C$499)</f>
        <v>0</v>
      </c>
      <c r="AU89" s="11">
        <f>SUMIFS(PURCHASE!$M$6:$M$10008,PURCHASE!$A$6:$A$10008,$AR$3,PURCHASE!$D$6:$D$10008,$C$5:$C$499)</f>
        <v>0</v>
      </c>
      <c r="AV89" s="11">
        <f>SUMIFS(PURCHASE!$N$6:$N$10008,PURCHASE!$A$6:$A$10008,$AR$3,PURCHASE!$D$6:$D$10008,$C$5:$C$499)</f>
        <v>0</v>
      </c>
      <c r="AW89" s="11">
        <f t="shared" si="27"/>
        <v>0</v>
      </c>
      <c r="AX89" s="11">
        <f>SUMIFS(PURCHASE!$K$6:$K$10008,PURCHASE!$A$6:$A$10008,$AW$3,PURCHASE!$D$6:$D$10008,$C$5:$C$499)</f>
        <v>0</v>
      </c>
      <c r="AY89" s="11">
        <f>SUMIFS(PURCHASE!$L$6:$L$10008,PURCHASE!$A$6:$A$10008,$AW$3,PURCHASE!$D$6:$D$10008,$C$5:$C$499)</f>
        <v>0</v>
      </c>
      <c r="AZ89" s="11">
        <f>SUMIFS(PURCHASE!$M$6:$M$10008,PURCHASE!$A$6:$A$10008,$AW$3,PURCHASE!$D$6:$D$10008,$C$5:$C$499)</f>
        <v>0</v>
      </c>
      <c r="BA89" s="11">
        <f>SUMIFS(PURCHASE!$N$6:$N$10008,PURCHASE!$A$6:$A$10008,$AW$3,PURCHASE!$D$6:$D$10008,$C$5:$C$499)</f>
        <v>0</v>
      </c>
      <c r="BB89" s="11">
        <f t="shared" si="28"/>
        <v>0</v>
      </c>
      <c r="BC89" s="11">
        <f>SUMIFS(PURCHASE!$K$6:$K$10008,PURCHASE!$A$6:$A$10008,$BB$3,PURCHASE!$D$6:$D$10008,$C$5:$C$499)</f>
        <v>0</v>
      </c>
      <c r="BD89" s="11">
        <f>SUMIFS(PURCHASE!$L$6:$L$10008,PURCHASE!$A$6:$A$10008,$BB$3,PURCHASE!$D$6:$D$10008,$C$5:$C$499)</f>
        <v>0</v>
      </c>
      <c r="BE89" s="11">
        <f>SUMIFS(PURCHASE!$M$6:$M$10008,PURCHASE!$A$6:$A$10008,$BB$3,PURCHASE!$D$6:$D$10008,$C$5:$C$499)</f>
        <v>0</v>
      </c>
      <c r="BF89" s="11">
        <f>SUMIFS(PURCHASE!$N$6:$N$10008,PURCHASE!$A$6:$A$10008,$BB$3,PURCHASE!$D$6:$D$10008,$C$5:$C$499)</f>
        <v>0</v>
      </c>
      <c r="BG89" s="11">
        <f t="shared" si="29"/>
        <v>0</v>
      </c>
      <c r="BH89" s="11">
        <f>SUMIFS(PURCHASE!$K$6:$K$10008,PURCHASE!$A$6:$A$10008,$BG$3,PURCHASE!$D$6:$D$10008,$C$5:$C$499)</f>
        <v>0</v>
      </c>
      <c r="BI89" s="11">
        <f>SUMIFS(PURCHASE!$L$6:$L$10008,PURCHASE!$A$6:$A$10008,$BG$3,PURCHASE!$D$6:$D$10008,$C$5:$C$499)</f>
        <v>0</v>
      </c>
      <c r="BJ89" s="11">
        <f>SUMIFS(PURCHASE!$M$6:$M$10008,PURCHASE!$A$6:$A$10008,$BG$3,PURCHASE!$D$6:$D$10008,$C$5:$C$499)</f>
        <v>0</v>
      </c>
      <c r="BK89" s="11">
        <f>SUMIFS(PURCHASE!$N$6:$N$10008,PURCHASE!$A$6:$A$10008,$BG$3,PURCHASE!$D$6:$D$10008,$C$5:$C$499)</f>
        <v>0</v>
      </c>
      <c r="BL89" s="11">
        <f t="shared" si="17"/>
        <v>433581.56</v>
      </c>
      <c r="BM89" s="11">
        <f t="shared" si="17"/>
        <v>367442</v>
      </c>
      <c r="BN89" s="11">
        <f t="shared" si="17"/>
        <v>66139.56</v>
      </c>
      <c r="BO89" s="11">
        <f t="shared" si="17"/>
        <v>0</v>
      </c>
      <c r="BP89" s="11">
        <f t="shared" si="17"/>
        <v>0</v>
      </c>
    </row>
    <row r="90" spans="1:68" x14ac:dyDescent="0.2">
      <c r="A90" s="467">
        <v>87</v>
      </c>
      <c r="B90" s="468" t="s">
        <v>829</v>
      </c>
      <c r="C90" s="469" t="s">
        <v>830</v>
      </c>
      <c r="D90" s="11">
        <f t="shared" si="18"/>
        <v>0</v>
      </c>
      <c r="E90" s="11">
        <f>SUMIFS(PURCHASE!$K$6:$K$10008,PURCHASE!$A$6:$A$10008,$D$3,PURCHASE!$D$6:$D$10008,$C$5:$C$499)</f>
        <v>0</v>
      </c>
      <c r="F90" s="11">
        <f>SUMIFS(PURCHASE!$L$6:$L$10008,PURCHASE!$A$6:$A$10008,$D$3,PURCHASE!$D$6:$D$10008,$C$5:$C$499)</f>
        <v>0</v>
      </c>
      <c r="G90" s="11">
        <f>SUMIFS(PURCHASE!$M$6:$M$10008,PURCHASE!$A$6:$A$10008,$D$3,PURCHASE!$D$6:$D$10008,$C$5:$C$499)</f>
        <v>0</v>
      </c>
      <c r="H90" s="11">
        <f>SUMIFS(PURCHASE!$N$6:$N$10008,PURCHASE!$A$6:$A$10008,$D$3,PURCHASE!$D$6:$D$10008,$C$5:$C$499)</f>
        <v>0</v>
      </c>
      <c r="I90" s="473">
        <f t="shared" si="19"/>
        <v>0</v>
      </c>
      <c r="J90" s="60">
        <f>SUMIFS(PURCHASE!$K$6:$K$10008,PURCHASE!$A$6:$A$10008,$I$3,PURCHASE!$D$6:$D$10008,$C$5:$C$499)</f>
        <v>0</v>
      </c>
      <c r="K90" s="60">
        <f>SUMIFS(PURCHASE!$L$6:$L$10008,PURCHASE!$A$6:$A$10008,$I$3,PURCHASE!$D$6:$D$10008,$C$5:$C$499)</f>
        <v>0</v>
      </c>
      <c r="L90" s="60">
        <f>SUMIFS(PURCHASE!$M$6:$M$10008,PURCHASE!$A$6:$A$10008,$I$3,PURCHASE!$D$6:$D$10008,$C$5:$C$499)</f>
        <v>0</v>
      </c>
      <c r="M90" s="474">
        <f>SUMIFS(PURCHASE!$N$6:$N$10008,PURCHASE!$A$6:$A$10008,$I$3,PURCHASE!$D$6:$D$10008,$C$5:$C$499)</f>
        <v>0</v>
      </c>
      <c r="N90" s="11">
        <f t="shared" si="20"/>
        <v>0</v>
      </c>
      <c r="O90" s="11">
        <f>SUMIFS(PURCHASE!$K$6:$K$10008,PURCHASE!$A$6:$A$10008,$N$3,PURCHASE!$D$6:$D$10008,$C$5:$C$499)</f>
        <v>0</v>
      </c>
      <c r="P90" s="11">
        <f>SUMIFS(PURCHASE!$L$6:$L$10008,PURCHASE!$A$6:$A$10008,$N$3,PURCHASE!$D$6:$D$10008,$C$5:$C$499)</f>
        <v>0</v>
      </c>
      <c r="Q90" s="11">
        <f>SUMIFS(PURCHASE!$M$6:$M$10008,PURCHASE!$A$6:$A$10008,$N$3,PURCHASE!$D$6:$D$10008,$C$5:$C$499)</f>
        <v>0</v>
      </c>
      <c r="R90" s="11">
        <f>SUMIFS(PURCHASE!$N$6:$N$10008,PURCHASE!$A$6:$A$10008,$N$3,PURCHASE!$D$6:$D$10008,$C$5:$C$499)</f>
        <v>0</v>
      </c>
      <c r="S90" s="11">
        <f t="shared" si="21"/>
        <v>1398.3000000000002</v>
      </c>
      <c r="T90" s="11">
        <f>SUMIFS(PURCHASE!$K$6:$K$10008,PURCHASE!$A$6:$A$10008,$S$3,PURCHASE!$D$6:$D$10008,$C$5:$C$499)</f>
        <v>1185</v>
      </c>
      <c r="U90" s="11">
        <f>SUMIFS(PURCHASE!$L$6:$L$10008,PURCHASE!$A$6:$A$10008,$S$3,PURCHASE!$D$6:$D$10008,$C$5:$C$499)</f>
        <v>0</v>
      </c>
      <c r="V90" s="11">
        <f>SUMIFS(PURCHASE!$M$6:$M$10008,PURCHASE!$A$6:$A$10008,$S$3,PURCHASE!$D$6:$D$10008,$C$5:$C$499)</f>
        <v>106.64999999999999</v>
      </c>
      <c r="W90" s="11">
        <f>SUMIFS(PURCHASE!$N$6:$N$10008,PURCHASE!$A$6:$A$10008,$S$3,PURCHASE!$D$6:$D$10008,$C$5:$C$499)</f>
        <v>106.64999999999999</v>
      </c>
      <c r="X90" s="11">
        <f t="shared" si="22"/>
        <v>0</v>
      </c>
      <c r="Y90" s="11">
        <f>SUMIFS(PURCHASE!$K$6:$K$10008,PURCHASE!$A$6:$A$10008,$X$3,PURCHASE!$D$6:$D$10008,$C$5:$C$499)</f>
        <v>0</v>
      </c>
      <c r="Z90" s="11">
        <f>SUMIFS(PURCHASE!$L$6:$L$10008,PURCHASE!$A$6:$A$10008,$X$3,PURCHASE!$D$6:$D$10008,$C$5:$C$499)</f>
        <v>0</v>
      </c>
      <c r="AA90" s="11">
        <f>SUMIFS(PURCHASE!$M$6:$M$10008,PURCHASE!$A$6:$A$10008,$X$3,PURCHASE!$D$6:$D$10008,$C$5:$C$499)</f>
        <v>0</v>
      </c>
      <c r="AB90" s="11">
        <f>SUMIFS(PURCHASE!$N$6:$N$10008,PURCHASE!$A$6:$A$10008,$X$3,PURCHASE!$D$6:$D$10008,$C$5:$C$499)</f>
        <v>0</v>
      </c>
      <c r="AC90" s="11">
        <f t="shared" si="23"/>
        <v>0</v>
      </c>
      <c r="AD90" s="11">
        <f>SUMIFS(PURCHASE!$K$6:$K$10008,PURCHASE!$A$6:$A$10008,$AC$3,PURCHASE!$D$6:$D$10008,$C$5:$C$499)</f>
        <v>0</v>
      </c>
      <c r="AE90" s="11">
        <f>SUMIFS(PURCHASE!$L$6:$L$10008,PURCHASE!$A$6:$A$10008,$AC$3,PURCHASE!$D$6:$D$10008,$C$5:$C$499)</f>
        <v>0</v>
      </c>
      <c r="AF90" s="11">
        <f>SUMIFS(PURCHASE!$M$6:$M$10008,PURCHASE!$A$6:$A$10008,$AC$3,PURCHASE!$D$6:$D$10008,$C$5:$C$499)</f>
        <v>0</v>
      </c>
      <c r="AG90" s="11">
        <f>SUMIFS(PURCHASE!$N$6:$N$10008,PURCHASE!$A$6:$A$10008,$AC$3,PURCHASE!$D$6:$D$10008,$C$5:$C$499)</f>
        <v>0</v>
      </c>
      <c r="AH90" s="11">
        <f t="shared" si="24"/>
        <v>5338.32</v>
      </c>
      <c r="AI90" s="11">
        <f>SUMIFS(PURCHASE!$K$6:$K$10008,PURCHASE!$A$6:$A$10008,$AH$3,PURCHASE!$D$6:$D$10008,$C$5:$C$499)</f>
        <v>4524</v>
      </c>
      <c r="AJ90" s="11">
        <f>SUMIFS(PURCHASE!$L$6:$L$10008,PURCHASE!$A$6:$A$10008,$AH$3,PURCHASE!$D$6:$D$10008,$C$5:$C$499)</f>
        <v>0</v>
      </c>
      <c r="AK90" s="11">
        <f>SUMIFS(PURCHASE!$M$6:$M$10008,PURCHASE!$A$6:$A$10008,$AH$3,PURCHASE!$D$6:$D$10008,$C$5:$C$499)</f>
        <v>407.16</v>
      </c>
      <c r="AL90" s="11">
        <f>SUMIFS(PURCHASE!$N$6:$N$10008,PURCHASE!$A$6:$A$10008,$AH$3,PURCHASE!$D$6:$D$10008,$C$5:$C$499)</f>
        <v>407.16</v>
      </c>
      <c r="AM90" s="11">
        <f t="shared" si="25"/>
        <v>0</v>
      </c>
      <c r="AN90" s="11">
        <f>SUMIFS(PURCHASE!$K$6:$K$10008,PURCHASE!$A$6:$A$10008,$AM$3,PURCHASE!$D$6:$D$10008,$C$5:$C$499)</f>
        <v>0</v>
      </c>
      <c r="AO90" s="11">
        <f>SUMIFS(PURCHASE!$L$6:$L$10008,PURCHASE!$A$6:$A$10008,$AM$3,PURCHASE!$D$6:$D$10008,$C$5:$C$499)</f>
        <v>0</v>
      </c>
      <c r="AP90" s="11">
        <f>SUMIFS(PURCHASE!$M$6:$M$10008,PURCHASE!$A$6:$A$10008,$AM$3,PURCHASE!$D$6:$D$10008,$C$5:$C$499)</f>
        <v>0</v>
      </c>
      <c r="AQ90" s="11">
        <f>SUMIFS(PURCHASE!$N$6:$N$10008,PURCHASE!$A$6:$A$10008,$AM$3,PURCHASE!$D$6:$D$10008,$C$5:$C$499)</f>
        <v>0</v>
      </c>
      <c r="AR90" s="11">
        <f t="shared" si="26"/>
        <v>0</v>
      </c>
      <c r="AS90" s="11">
        <f>SUMIFS(PURCHASE!$K$6:$K$10008,PURCHASE!$A$6:$A$10008,$AR$3,PURCHASE!$D$6:$D$10008,$C$5:$C$499)</f>
        <v>0</v>
      </c>
      <c r="AT90" s="11">
        <f>SUMIFS(PURCHASE!$L$6:$L$10008,PURCHASE!$A$6:$A$10008,$AR$3,PURCHASE!$D$6:$D$10008,$C$5:$C$499)</f>
        <v>0</v>
      </c>
      <c r="AU90" s="11">
        <f>SUMIFS(PURCHASE!$M$6:$M$10008,PURCHASE!$A$6:$A$10008,$AR$3,PURCHASE!$D$6:$D$10008,$C$5:$C$499)</f>
        <v>0</v>
      </c>
      <c r="AV90" s="11">
        <f>SUMIFS(PURCHASE!$N$6:$N$10008,PURCHASE!$A$6:$A$10008,$AR$3,PURCHASE!$D$6:$D$10008,$C$5:$C$499)</f>
        <v>0</v>
      </c>
      <c r="AW90" s="11">
        <f t="shared" si="27"/>
        <v>0</v>
      </c>
      <c r="AX90" s="11">
        <f>SUMIFS(PURCHASE!$K$6:$K$10008,PURCHASE!$A$6:$A$10008,$AW$3,PURCHASE!$D$6:$D$10008,$C$5:$C$499)</f>
        <v>0</v>
      </c>
      <c r="AY90" s="11">
        <f>SUMIFS(PURCHASE!$L$6:$L$10008,PURCHASE!$A$6:$A$10008,$AW$3,PURCHASE!$D$6:$D$10008,$C$5:$C$499)</f>
        <v>0</v>
      </c>
      <c r="AZ90" s="11">
        <f>SUMIFS(PURCHASE!$M$6:$M$10008,PURCHASE!$A$6:$A$10008,$AW$3,PURCHASE!$D$6:$D$10008,$C$5:$C$499)</f>
        <v>0</v>
      </c>
      <c r="BA90" s="11">
        <f>SUMIFS(PURCHASE!$N$6:$N$10008,PURCHASE!$A$6:$A$10008,$AW$3,PURCHASE!$D$6:$D$10008,$C$5:$C$499)</f>
        <v>0</v>
      </c>
      <c r="BB90" s="11">
        <f t="shared" si="28"/>
        <v>0</v>
      </c>
      <c r="BC90" s="11">
        <f>SUMIFS(PURCHASE!$K$6:$K$10008,PURCHASE!$A$6:$A$10008,$BB$3,PURCHASE!$D$6:$D$10008,$C$5:$C$499)</f>
        <v>0</v>
      </c>
      <c r="BD90" s="11">
        <f>SUMIFS(PURCHASE!$L$6:$L$10008,PURCHASE!$A$6:$A$10008,$BB$3,PURCHASE!$D$6:$D$10008,$C$5:$C$499)</f>
        <v>0</v>
      </c>
      <c r="BE90" s="11">
        <f>SUMIFS(PURCHASE!$M$6:$M$10008,PURCHASE!$A$6:$A$10008,$BB$3,PURCHASE!$D$6:$D$10008,$C$5:$C$499)</f>
        <v>0</v>
      </c>
      <c r="BF90" s="11">
        <f>SUMIFS(PURCHASE!$N$6:$N$10008,PURCHASE!$A$6:$A$10008,$BB$3,PURCHASE!$D$6:$D$10008,$C$5:$C$499)</f>
        <v>0</v>
      </c>
      <c r="BG90" s="11">
        <f t="shared" si="29"/>
        <v>0</v>
      </c>
      <c r="BH90" s="11">
        <f>SUMIFS(PURCHASE!$K$6:$K$10008,PURCHASE!$A$6:$A$10008,$BG$3,PURCHASE!$D$6:$D$10008,$C$5:$C$499)</f>
        <v>0</v>
      </c>
      <c r="BI90" s="11">
        <f>SUMIFS(PURCHASE!$L$6:$L$10008,PURCHASE!$A$6:$A$10008,$BG$3,PURCHASE!$D$6:$D$10008,$C$5:$C$499)</f>
        <v>0</v>
      </c>
      <c r="BJ90" s="11">
        <f>SUMIFS(PURCHASE!$M$6:$M$10008,PURCHASE!$A$6:$A$10008,$BG$3,PURCHASE!$D$6:$D$10008,$C$5:$C$499)</f>
        <v>0</v>
      </c>
      <c r="BK90" s="11">
        <f>SUMIFS(PURCHASE!$N$6:$N$10008,PURCHASE!$A$6:$A$10008,$BG$3,PURCHASE!$D$6:$D$10008,$C$5:$C$499)</f>
        <v>0</v>
      </c>
      <c r="BL90" s="11">
        <f t="shared" si="17"/>
        <v>6736.62</v>
      </c>
      <c r="BM90" s="11">
        <f t="shared" si="17"/>
        <v>5709</v>
      </c>
      <c r="BN90" s="11">
        <f t="shared" si="17"/>
        <v>0</v>
      </c>
      <c r="BO90" s="11">
        <f t="shared" si="17"/>
        <v>513.81000000000006</v>
      </c>
      <c r="BP90" s="11">
        <f t="shared" si="17"/>
        <v>513.81000000000006</v>
      </c>
    </row>
    <row r="91" spans="1:68" x14ac:dyDescent="0.2">
      <c r="A91" s="467">
        <v>88</v>
      </c>
      <c r="B91" s="479" t="s">
        <v>722</v>
      </c>
      <c r="C91" s="479" t="s">
        <v>723</v>
      </c>
      <c r="D91" s="11">
        <f t="shared" si="18"/>
        <v>0</v>
      </c>
      <c r="E91" s="11">
        <f>SUMIFS(PURCHASE!$K$6:$K$10008,PURCHASE!$A$6:$A$10008,$D$3,PURCHASE!$D$6:$D$10008,$C$5:$C$499)</f>
        <v>0</v>
      </c>
      <c r="F91" s="11">
        <f>SUMIFS(PURCHASE!$L$6:$L$10008,PURCHASE!$A$6:$A$10008,$D$3,PURCHASE!$D$6:$D$10008,$C$5:$C$499)</f>
        <v>0</v>
      </c>
      <c r="G91" s="11">
        <f>SUMIFS(PURCHASE!$M$6:$M$10008,PURCHASE!$A$6:$A$10008,$D$3,PURCHASE!$D$6:$D$10008,$C$5:$C$499)</f>
        <v>0</v>
      </c>
      <c r="H91" s="11">
        <f>SUMIFS(PURCHASE!$N$6:$N$10008,PURCHASE!$A$6:$A$10008,$D$3,PURCHASE!$D$6:$D$10008,$C$5:$C$499)</f>
        <v>0</v>
      </c>
      <c r="I91" s="473">
        <f t="shared" si="19"/>
        <v>0</v>
      </c>
      <c r="J91" s="60">
        <f>SUMIFS(PURCHASE!$K$6:$K$10008,PURCHASE!$A$6:$A$10008,$I$3,PURCHASE!$D$6:$D$10008,$C$5:$C$499)</f>
        <v>0</v>
      </c>
      <c r="K91" s="60">
        <f>SUMIFS(PURCHASE!$L$6:$L$10008,PURCHASE!$A$6:$A$10008,$I$3,PURCHASE!$D$6:$D$10008,$C$5:$C$499)</f>
        <v>0</v>
      </c>
      <c r="L91" s="60">
        <f>SUMIFS(PURCHASE!$M$6:$M$10008,PURCHASE!$A$6:$A$10008,$I$3,PURCHASE!$D$6:$D$10008,$C$5:$C$499)</f>
        <v>0</v>
      </c>
      <c r="M91" s="474">
        <f>SUMIFS(PURCHASE!$N$6:$N$10008,PURCHASE!$A$6:$A$10008,$I$3,PURCHASE!$D$6:$D$10008,$C$5:$C$499)</f>
        <v>0</v>
      </c>
      <c r="N91" s="11">
        <f t="shared" si="20"/>
        <v>7906</v>
      </c>
      <c r="O91" s="11">
        <f>SUMIFS(PURCHASE!$K$6:$K$10008,PURCHASE!$A$6:$A$10008,$N$3,PURCHASE!$D$6:$D$10008,$C$5:$C$499)</f>
        <v>6700</v>
      </c>
      <c r="P91" s="11">
        <f>SUMIFS(PURCHASE!$L$6:$L$10008,PURCHASE!$A$6:$A$10008,$N$3,PURCHASE!$D$6:$D$10008,$C$5:$C$499)</f>
        <v>0</v>
      </c>
      <c r="Q91" s="11">
        <f>SUMIFS(PURCHASE!$M$6:$M$10008,PURCHASE!$A$6:$A$10008,$N$3,PURCHASE!$D$6:$D$10008,$C$5:$C$499)</f>
        <v>603</v>
      </c>
      <c r="R91" s="11">
        <f>SUMIFS(PURCHASE!$N$6:$N$10008,PURCHASE!$A$6:$A$10008,$N$3,PURCHASE!$D$6:$D$10008,$C$5:$C$499)</f>
        <v>603</v>
      </c>
      <c r="S91" s="11">
        <f t="shared" si="21"/>
        <v>28084</v>
      </c>
      <c r="T91" s="11">
        <f>SUMIFS(PURCHASE!$K$6:$K$10008,PURCHASE!$A$6:$A$10008,$S$3,PURCHASE!$D$6:$D$10008,$C$5:$C$499)</f>
        <v>23800</v>
      </c>
      <c r="U91" s="11">
        <f>SUMIFS(PURCHASE!$L$6:$L$10008,PURCHASE!$A$6:$A$10008,$S$3,PURCHASE!$D$6:$D$10008,$C$5:$C$499)</f>
        <v>0</v>
      </c>
      <c r="V91" s="11">
        <f>SUMIFS(PURCHASE!$M$6:$M$10008,PURCHASE!$A$6:$A$10008,$S$3,PURCHASE!$D$6:$D$10008,$C$5:$C$499)</f>
        <v>2142</v>
      </c>
      <c r="W91" s="11">
        <f>SUMIFS(PURCHASE!$N$6:$N$10008,PURCHASE!$A$6:$A$10008,$S$3,PURCHASE!$D$6:$D$10008,$C$5:$C$499)</f>
        <v>2142</v>
      </c>
      <c r="X91" s="11">
        <f t="shared" si="22"/>
        <v>0</v>
      </c>
      <c r="Y91" s="11">
        <f>SUMIFS(PURCHASE!$K$6:$K$10008,PURCHASE!$A$6:$A$10008,$X$3,PURCHASE!$D$6:$D$10008,$C$5:$C$499)</f>
        <v>0</v>
      </c>
      <c r="Z91" s="11">
        <f>SUMIFS(PURCHASE!$L$6:$L$10008,PURCHASE!$A$6:$A$10008,$X$3,PURCHASE!$D$6:$D$10008,$C$5:$C$499)</f>
        <v>0</v>
      </c>
      <c r="AA91" s="11">
        <f>SUMIFS(PURCHASE!$M$6:$M$10008,PURCHASE!$A$6:$A$10008,$X$3,PURCHASE!$D$6:$D$10008,$C$5:$C$499)</f>
        <v>0</v>
      </c>
      <c r="AB91" s="11">
        <f>SUMIFS(PURCHASE!$N$6:$N$10008,PURCHASE!$A$6:$A$10008,$X$3,PURCHASE!$D$6:$D$10008,$C$5:$C$499)</f>
        <v>0</v>
      </c>
      <c r="AC91" s="11">
        <f t="shared" si="23"/>
        <v>0</v>
      </c>
      <c r="AD91" s="11">
        <f>SUMIFS(PURCHASE!$K$6:$K$10008,PURCHASE!$A$6:$A$10008,$AC$3,PURCHASE!$D$6:$D$10008,$C$5:$C$499)</f>
        <v>0</v>
      </c>
      <c r="AE91" s="11">
        <f>SUMIFS(PURCHASE!$L$6:$L$10008,PURCHASE!$A$6:$A$10008,$AC$3,PURCHASE!$D$6:$D$10008,$C$5:$C$499)</f>
        <v>0</v>
      </c>
      <c r="AF91" s="11">
        <f>SUMIFS(PURCHASE!$M$6:$M$10008,PURCHASE!$A$6:$A$10008,$AC$3,PURCHASE!$D$6:$D$10008,$C$5:$C$499)</f>
        <v>0</v>
      </c>
      <c r="AG91" s="11">
        <f>SUMIFS(PURCHASE!$N$6:$N$10008,PURCHASE!$A$6:$A$10008,$AC$3,PURCHASE!$D$6:$D$10008,$C$5:$C$499)</f>
        <v>0</v>
      </c>
      <c r="AH91" s="11">
        <f t="shared" si="24"/>
        <v>0</v>
      </c>
      <c r="AI91" s="11">
        <f>SUMIFS(PURCHASE!$K$6:$K$10008,PURCHASE!$A$6:$A$10008,$AH$3,PURCHASE!$D$6:$D$10008,$C$5:$C$499)</f>
        <v>0</v>
      </c>
      <c r="AJ91" s="11">
        <f>SUMIFS(PURCHASE!$L$6:$L$10008,PURCHASE!$A$6:$A$10008,$AH$3,PURCHASE!$D$6:$D$10008,$C$5:$C$499)</f>
        <v>0</v>
      </c>
      <c r="AK91" s="11">
        <f>SUMIFS(PURCHASE!$M$6:$M$10008,PURCHASE!$A$6:$A$10008,$AH$3,PURCHASE!$D$6:$D$10008,$C$5:$C$499)</f>
        <v>0</v>
      </c>
      <c r="AL91" s="11">
        <f>SUMIFS(PURCHASE!$N$6:$N$10008,PURCHASE!$A$6:$A$10008,$AH$3,PURCHASE!$D$6:$D$10008,$C$5:$C$499)</f>
        <v>0</v>
      </c>
      <c r="AM91" s="11">
        <f t="shared" si="25"/>
        <v>0</v>
      </c>
      <c r="AN91" s="11">
        <f>SUMIFS(PURCHASE!$K$6:$K$10008,PURCHASE!$A$6:$A$10008,$AM$3,PURCHASE!$D$6:$D$10008,$C$5:$C$499)</f>
        <v>0</v>
      </c>
      <c r="AO91" s="11">
        <f>SUMIFS(PURCHASE!$L$6:$L$10008,PURCHASE!$A$6:$A$10008,$AM$3,PURCHASE!$D$6:$D$10008,$C$5:$C$499)</f>
        <v>0</v>
      </c>
      <c r="AP91" s="11">
        <f>SUMIFS(PURCHASE!$M$6:$M$10008,PURCHASE!$A$6:$A$10008,$AM$3,PURCHASE!$D$6:$D$10008,$C$5:$C$499)</f>
        <v>0</v>
      </c>
      <c r="AQ91" s="11">
        <f>SUMIFS(PURCHASE!$N$6:$N$10008,PURCHASE!$A$6:$A$10008,$AM$3,PURCHASE!$D$6:$D$10008,$C$5:$C$499)</f>
        <v>0</v>
      </c>
      <c r="AR91" s="11">
        <f t="shared" si="26"/>
        <v>0</v>
      </c>
      <c r="AS91" s="11">
        <f>SUMIFS(PURCHASE!$K$6:$K$10008,PURCHASE!$A$6:$A$10008,$AR$3,PURCHASE!$D$6:$D$10008,$C$5:$C$499)</f>
        <v>0</v>
      </c>
      <c r="AT91" s="11">
        <f>SUMIFS(PURCHASE!$L$6:$L$10008,PURCHASE!$A$6:$A$10008,$AR$3,PURCHASE!$D$6:$D$10008,$C$5:$C$499)</f>
        <v>0</v>
      </c>
      <c r="AU91" s="11">
        <f>SUMIFS(PURCHASE!$M$6:$M$10008,PURCHASE!$A$6:$A$10008,$AR$3,PURCHASE!$D$6:$D$10008,$C$5:$C$499)</f>
        <v>0</v>
      </c>
      <c r="AV91" s="11">
        <f>SUMIFS(PURCHASE!$N$6:$N$10008,PURCHASE!$A$6:$A$10008,$AR$3,PURCHASE!$D$6:$D$10008,$C$5:$C$499)</f>
        <v>0</v>
      </c>
      <c r="AW91" s="11">
        <f t="shared" si="27"/>
        <v>0</v>
      </c>
      <c r="AX91" s="11">
        <f>SUMIFS(PURCHASE!$K$6:$K$10008,PURCHASE!$A$6:$A$10008,$AW$3,PURCHASE!$D$6:$D$10008,$C$5:$C$499)</f>
        <v>0</v>
      </c>
      <c r="AY91" s="11">
        <f>SUMIFS(PURCHASE!$L$6:$L$10008,PURCHASE!$A$6:$A$10008,$AW$3,PURCHASE!$D$6:$D$10008,$C$5:$C$499)</f>
        <v>0</v>
      </c>
      <c r="AZ91" s="11">
        <f>SUMIFS(PURCHASE!$M$6:$M$10008,PURCHASE!$A$6:$A$10008,$AW$3,PURCHASE!$D$6:$D$10008,$C$5:$C$499)</f>
        <v>0</v>
      </c>
      <c r="BA91" s="11">
        <f>SUMIFS(PURCHASE!$N$6:$N$10008,PURCHASE!$A$6:$A$10008,$AW$3,PURCHASE!$D$6:$D$10008,$C$5:$C$499)</f>
        <v>0</v>
      </c>
      <c r="BB91" s="11">
        <f t="shared" si="28"/>
        <v>0</v>
      </c>
      <c r="BC91" s="11">
        <f>SUMIFS(PURCHASE!$K$6:$K$10008,PURCHASE!$A$6:$A$10008,$BB$3,PURCHASE!$D$6:$D$10008,$C$5:$C$499)</f>
        <v>0</v>
      </c>
      <c r="BD91" s="11">
        <f>SUMIFS(PURCHASE!$L$6:$L$10008,PURCHASE!$A$6:$A$10008,$BB$3,PURCHASE!$D$6:$D$10008,$C$5:$C$499)</f>
        <v>0</v>
      </c>
      <c r="BE91" s="11">
        <f>SUMIFS(PURCHASE!$M$6:$M$10008,PURCHASE!$A$6:$A$10008,$BB$3,PURCHASE!$D$6:$D$10008,$C$5:$C$499)</f>
        <v>0</v>
      </c>
      <c r="BF91" s="11">
        <f>SUMIFS(PURCHASE!$N$6:$N$10008,PURCHASE!$A$6:$A$10008,$BB$3,PURCHASE!$D$6:$D$10008,$C$5:$C$499)</f>
        <v>0</v>
      </c>
      <c r="BG91" s="11">
        <f t="shared" si="29"/>
        <v>0</v>
      </c>
      <c r="BH91" s="11">
        <f>SUMIFS(PURCHASE!$K$6:$K$10008,PURCHASE!$A$6:$A$10008,$BG$3,PURCHASE!$D$6:$D$10008,$C$5:$C$499)</f>
        <v>0</v>
      </c>
      <c r="BI91" s="11">
        <f>SUMIFS(PURCHASE!$L$6:$L$10008,PURCHASE!$A$6:$A$10008,$BG$3,PURCHASE!$D$6:$D$10008,$C$5:$C$499)</f>
        <v>0</v>
      </c>
      <c r="BJ91" s="11">
        <f>SUMIFS(PURCHASE!$M$6:$M$10008,PURCHASE!$A$6:$A$10008,$BG$3,PURCHASE!$D$6:$D$10008,$C$5:$C$499)</f>
        <v>0</v>
      </c>
      <c r="BK91" s="11">
        <f>SUMIFS(PURCHASE!$N$6:$N$10008,PURCHASE!$A$6:$A$10008,$BG$3,PURCHASE!$D$6:$D$10008,$C$5:$C$499)</f>
        <v>0</v>
      </c>
      <c r="BL91" s="11">
        <f t="shared" si="17"/>
        <v>35990</v>
      </c>
      <c r="BM91" s="11">
        <f t="shared" si="17"/>
        <v>30500</v>
      </c>
      <c r="BN91" s="11">
        <f t="shared" si="17"/>
        <v>0</v>
      </c>
      <c r="BO91" s="11">
        <f t="shared" si="17"/>
        <v>2745</v>
      </c>
      <c r="BP91" s="11">
        <f t="shared" si="17"/>
        <v>2745</v>
      </c>
    </row>
    <row r="92" spans="1:68" x14ac:dyDescent="0.2">
      <c r="A92" s="467">
        <v>89</v>
      </c>
      <c r="B92" s="468" t="s">
        <v>1138</v>
      </c>
      <c r="C92" s="469" t="s">
        <v>1139</v>
      </c>
      <c r="D92" s="11">
        <f t="shared" si="18"/>
        <v>0</v>
      </c>
      <c r="E92" s="11">
        <f>SUMIFS(PURCHASE!$K$6:$K$10008,PURCHASE!$A$6:$A$10008,$D$3,PURCHASE!$D$6:$D$10008,$C$5:$C$499)</f>
        <v>0</v>
      </c>
      <c r="F92" s="11">
        <f>SUMIFS(PURCHASE!$L$6:$L$10008,PURCHASE!$A$6:$A$10008,$D$3,PURCHASE!$D$6:$D$10008,$C$5:$C$499)</f>
        <v>0</v>
      </c>
      <c r="G92" s="11">
        <f>SUMIFS(PURCHASE!$M$6:$M$10008,PURCHASE!$A$6:$A$10008,$D$3,PURCHASE!$D$6:$D$10008,$C$5:$C$499)</f>
        <v>0</v>
      </c>
      <c r="H92" s="11">
        <f>SUMIFS(PURCHASE!$N$6:$N$10008,PURCHASE!$A$6:$A$10008,$D$3,PURCHASE!$D$6:$D$10008,$C$5:$C$499)</f>
        <v>0</v>
      </c>
      <c r="I92" s="473">
        <f t="shared" si="19"/>
        <v>0</v>
      </c>
      <c r="J92" s="60">
        <f>SUMIFS(PURCHASE!$K$6:$K$10008,PURCHASE!$A$6:$A$10008,$I$3,PURCHASE!$D$6:$D$10008,$C$5:$C$499)</f>
        <v>0</v>
      </c>
      <c r="K92" s="60">
        <f>SUMIFS(PURCHASE!$L$6:$L$10008,PURCHASE!$A$6:$A$10008,$I$3,PURCHASE!$D$6:$D$10008,$C$5:$C$499)</f>
        <v>0</v>
      </c>
      <c r="L92" s="60">
        <f>SUMIFS(PURCHASE!$M$6:$M$10008,PURCHASE!$A$6:$A$10008,$I$3,PURCHASE!$D$6:$D$10008,$C$5:$C$499)</f>
        <v>0</v>
      </c>
      <c r="M92" s="474">
        <f>SUMIFS(PURCHASE!$N$6:$N$10008,PURCHASE!$A$6:$A$10008,$I$3,PURCHASE!$D$6:$D$10008,$C$5:$C$499)</f>
        <v>0</v>
      </c>
      <c r="N92" s="11">
        <f t="shared" si="20"/>
        <v>0</v>
      </c>
      <c r="O92" s="11">
        <f>SUMIFS(PURCHASE!$K$6:$K$10008,PURCHASE!$A$6:$A$10008,$N$3,PURCHASE!$D$6:$D$10008,$C$5:$C$499)</f>
        <v>0</v>
      </c>
      <c r="P92" s="11">
        <f>SUMIFS(PURCHASE!$L$6:$L$10008,PURCHASE!$A$6:$A$10008,$N$3,PURCHASE!$D$6:$D$10008,$C$5:$C$499)</f>
        <v>0</v>
      </c>
      <c r="Q92" s="11">
        <f>SUMIFS(PURCHASE!$M$6:$M$10008,PURCHASE!$A$6:$A$10008,$N$3,PURCHASE!$D$6:$D$10008,$C$5:$C$499)</f>
        <v>0</v>
      </c>
      <c r="R92" s="11">
        <f>SUMIFS(PURCHASE!$N$6:$N$10008,PURCHASE!$A$6:$A$10008,$N$3,PURCHASE!$D$6:$D$10008,$C$5:$C$499)</f>
        <v>0</v>
      </c>
      <c r="S92" s="11">
        <f t="shared" si="21"/>
        <v>0</v>
      </c>
      <c r="T92" s="11">
        <f>SUMIFS(PURCHASE!$K$6:$K$10008,PURCHASE!$A$6:$A$10008,$S$3,PURCHASE!$D$6:$D$10008,$C$5:$C$499)</f>
        <v>0</v>
      </c>
      <c r="U92" s="11">
        <f>SUMIFS(PURCHASE!$L$6:$L$10008,PURCHASE!$A$6:$A$10008,$S$3,PURCHASE!$D$6:$D$10008,$C$5:$C$499)</f>
        <v>0</v>
      </c>
      <c r="V92" s="11">
        <f>SUMIFS(PURCHASE!$M$6:$M$10008,PURCHASE!$A$6:$A$10008,$S$3,PURCHASE!$D$6:$D$10008,$C$5:$C$499)</f>
        <v>0</v>
      </c>
      <c r="W92" s="11">
        <f>SUMIFS(PURCHASE!$N$6:$N$10008,PURCHASE!$A$6:$A$10008,$S$3,PURCHASE!$D$6:$D$10008,$C$5:$C$499)</f>
        <v>0</v>
      </c>
      <c r="X92" s="11">
        <f t="shared" si="22"/>
        <v>0</v>
      </c>
      <c r="Y92" s="11">
        <f>SUMIFS(PURCHASE!$K$6:$K$10008,PURCHASE!$A$6:$A$10008,$X$3,PURCHASE!$D$6:$D$10008,$C$5:$C$499)</f>
        <v>0</v>
      </c>
      <c r="Z92" s="11">
        <f>SUMIFS(PURCHASE!$L$6:$L$10008,PURCHASE!$A$6:$A$10008,$X$3,PURCHASE!$D$6:$D$10008,$C$5:$C$499)</f>
        <v>0</v>
      </c>
      <c r="AA92" s="11">
        <f>SUMIFS(PURCHASE!$M$6:$M$10008,PURCHASE!$A$6:$A$10008,$X$3,PURCHASE!$D$6:$D$10008,$C$5:$C$499)</f>
        <v>0</v>
      </c>
      <c r="AB92" s="11">
        <f>SUMIFS(PURCHASE!$N$6:$N$10008,PURCHASE!$A$6:$A$10008,$X$3,PURCHASE!$D$6:$D$10008,$C$5:$C$499)</f>
        <v>0</v>
      </c>
      <c r="AC92" s="11">
        <f t="shared" si="23"/>
        <v>0</v>
      </c>
      <c r="AD92" s="11">
        <f>SUMIFS(PURCHASE!$K$6:$K$10008,PURCHASE!$A$6:$A$10008,$AC$3,PURCHASE!$D$6:$D$10008,$C$5:$C$499)</f>
        <v>0</v>
      </c>
      <c r="AE92" s="11">
        <f>SUMIFS(PURCHASE!$L$6:$L$10008,PURCHASE!$A$6:$A$10008,$AC$3,PURCHASE!$D$6:$D$10008,$C$5:$C$499)</f>
        <v>0</v>
      </c>
      <c r="AF92" s="11">
        <f>SUMIFS(PURCHASE!$M$6:$M$10008,PURCHASE!$A$6:$A$10008,$AC$3,PURCHASE!$D$6:$D$10008,$C$5:$C$499)</f>
        <v>0</v>
      </c>
      <c r="AG92" s="11">
        <f>SUMIFS(PURCHASE!$N$6:$N$10008,PURCHASE!$A$6:$A$10008,$AC$3,PURCHASE!$D$6:$D$10008,$C$5:$C$499)</f>
        <v>0</v>
      </c>
      <c r="AH92" s="11">
        <f t="shared" si="24"/>
        <v>0</v>
      </c>
      <c r="AI92" s="11">
        <f>SUMIFS(PURCHASE!$K$6:$K$10008,PURCHASE!$A$6:$A$10008,$AH$3,PURCHASE!$D$6:$D$10008,$C$5:$C$499)</f>
        <v>0</v>
      </c>
      <c r="AJ92" s="11">
        <f>SUMIFS(PURCHASE!$L$6:$L$10008,PURCHASE!$A$6:$A$10008,$AH$3,PURCHASE!$D$6:$D$10008,$C$5:$C$499)</f>
        <v>0</v>
      </c>
      <c r="AK92" s="11">
        <f>SUMIFS(PURCHASE!$M$6:$M$10008,PURCHASE!$A$6:$A$10008,$AH$3,PURCHASE!$D$6:$D$10008,$C$5:$C$499)</f>
        <v>0</v>
      </c>
      <c r="AL92" s="11">
        <f>SUMIFS(PURCHASE!$N$6:$N$10008,PURCHASE!$A$6:$A$10008,$AH$3,PURCHASE!$D$6:$D$10008,$C$5:$C$499)</f>
        <v>0</v>
      </c>
      <c r="AM92" s="11">
        <f t="shared" si="25"/>
        <v>0</v>
      </c>
      <c r="AN92" s="11">
        <f>SUMIFS(PURCHASE!$K$6:$K$10008,PURCHASE!$A$6:$A$10008,$AM$3,PURCHASE!$D$6:$D$10008,$C$5:$C$499)</f>
        <v>0</v>
      </c>
      <c r="AO92" s="11">
        <f>SUMIFS(PURCHASE!$L$6:$L$10008,PURCHASE!$A$6:$A$10008,$AM$3,PURCHASE!$D$6:$D$10008,$C$5:$C$499)</f>
        <v>0</v>
      </c>
      <c r="AP92" s="11">
        <f>SUMIFS(PURCHASE!$M$6:$M$10008,PURCHASE!$A$6:$A$10008,$AM$3,PURCHASE!$D$6:$D$10008,$C$5:$C$499)</f>
        <v>0</v>
      </c>
      <c r="AQ92" s="11">
        <f>SUMIFS(PURCHASE!$N$6:$N$10008,PURCHASE!$A$6:$A$10008,$AM$3,PURCHASE!$D$6:$D$10008,$C$5:$C$499)</f>
        <v>0</v>
      </c>
      <c r="AR92" s="11">
        <f t="shared" si="26"/>
        <v>0</v>
      </c>
      <c r="AS92" s="11">
        <f>SUMIFS(PURCHASE!$K$6:$K$10008,PURCHASE!$A$6:$A$10008,$AR$3,PURCHASE!$D$6:$D$10008,$C$5:$C$499)</f>
        <v>0</v>
      </c>
      <c r="AT92" s="11">
        <f>SUMIFS(PURCHASE!$L$6:$L$10008,PURCHASE!$A$6:$A$10008,$AR$3,PURCHASE!$D$6:$D$10008,$C$5:$C$499)</f>
        <v>0</v>
      </c>
      <c r="AU92" s="11">
        <f>SUMIFS(PURCHASE!$M$6:$M$10008,PURCHASE!$A$6:$A$10008,$AR$3,PURCHASE!$D$6:$D$10008,$C$5:$C$499)</f>
        <v>0</v>
      </c>
      <c r="AV92" s="11">
        <f>SUMIFS(PURCHASE!$N$6:$N$10008,PURCHASE!$A$6:$A$10008,$AR$3,PURCHASE!$D$6:$D$10008,$C$5:$C$499)</f>
        <v>0</v>
      </c>
      <c r="AW92" s="11">
        <f t="shared" si="27"/>
        <v>0</v>
      </c>
      <c r="AX92" s="11">
        <f>SUMIFS(PURCHASE!$K$6:$K$10008,PURCHASE!$A$6:$A$10008,$AW$3,PURCHASE!$D$6:$D$10008,$C$5:$C$499)</f>
        <v>0</v>
      </c>
      <c r="AY92" s="11">
        <f>SUMIFS(PURCHASE!$L$6:$L$10008,PURCHASE!$A$6:$A$10008,$AW$3,PURCHASE!$D$6:$D$10008,$C$5:$C$499)</f>
        <v>0</v>
      </c>
      <c r="AZ92" s="11">
        <f>SUMIFS(PURCHASE!$M$6:$M$10008,PURCHASE!$A$6:$A$10008,$AW$3,PURCHASE!$D$6:$D$10008,$C$5:$C$499)</f>
        <v>0</v>
      </c>
      <c r="BA92" s="11">
        <f>SUMIFS(PURCHASE!$N$6:$N$10008,PURCHASE!$A$6:$A$10008,$AW$3,PURCHASE!$D$6:$D$10008,$C$5:$C$499)</f>
        <v>0</v>
      </c>
      <c r="BB92" s="11">
        <f t="shared" si="28"/>
        <v>0</v>
      </c>
      <c r="BC92" s="11">
        <f>SUMIFS(PURCHASE!$K$6:$K$10008,PURCHASE!$A$6:$A$10008,$BB$3,PURCHASE!$D$6:$D$10008,$C$5:$C$499)</f>
        <v>0</v>
      </c>
      <c r="BD92" s="11">
        <f>SUMIFS(PURCHASE!$L$6:$L$10008,PURCHASE!$A$6:$A$10008,$BB$3,PURCHASE!$D$6:$D$10008,$C$5:$C$499)</f>
        <v>0</v>
      </c>
      <c r="BE92" s="11">
        <f>SUMIFS(PURCHASE!$M$6:$M$10008,PURCHASE!$A$6:$A$10008,$BB$3,PURCHASE!$D$6:$D$10008,$C$5:$C$499)</f>
        <v>0</v>
      </c>
      <c r="BF92" s="11">
        <f>SUMIFS(PURCHASE!$N$6:$N$10008,PURCHASE!$A$6:$A$10008,$BB$3,PURCHASE!$D$6:$D$10008,$C$5:$C$499)</f>
        <v>0</v>
      </c>
      <c r="BG92" s="11">
        <f t="shared" si="29"/>
        <v>0</v>
      </c>
      <c r="BH92" s="11">
        <f>SUMIFS(PURCHASE!$K$6:$K$10008,PURCHASE!$A$6:$A$10008,$BG$3,PURCHASE!$D$6:$D$10008,$C$5:$C$499)</f>
        <v>0</v>
      </c>
      <c r="BI92" s="11">
        <f>SUMIFS(PURCHASE!$L$6:$L$10008,PURCHASE!$A$6:$A$10008,$BG$3,PURCHASE!$D$6:$D$10008,$C$5:$C$499)</f>
        <v>0</v>
      </c>
      <c r="BJ92" s="11">
        <f>SUMIFS(PURCHASE!$M$6:$M$10008,PURCHASE!$A$6:$A$10008,$BG$3,PURCHASE!$D$6:$D$10008,$C$5:$C$499)</f>
        <v>0</v>
      </c>
      <c r="BK92" s="11">
        <f>SUMIFS(PURCHASE!$N$6:$N$10008,PURCHASE!$A$6:$A$10008,$BG$3,PURCHASE!$D$6:$D$10008,$C$5:$C$499)</f>
        <v>0</v>
      </c>
      <c r="BL92" s="11">
        <f t="shared" si="17"/>
        <v>0</v>
      </c>
      <c r="BM92" s="11">
        <f t="shared" si="17"/>
        <v>0</v>
      </c>
      <c r="BN92" s="11">
        <f t="shared" si="17"/>
        <v>0</v>
      </c>
      <c r="BO92" s="11">
        <f t="shared" si="17"/>
        <v>0</v>
      </c>
      <c r="BP92" s="11">
        <f t="shared" si="17"/>
        <v>0</v>
      </c>
    </row>
    <row r="93" spans="1:68" x14ac:dyDescent="0.2">
      <c r="A93" s="467">
        <v>90</v>
      </c>
      <c r="B93" s="479" t="s">
        <v>747</v>
      </c>
      <c r="C93" s="479" t="s">
        <v>748</v>
      </c>
      <c r="D93" s="11">
        <f t="shared" si="18"/>
        <v>0</v>
      </c>
      <c r="E93" s="11">
        <f>SUMIFS(PURCHASE!$K$6:$K$10008,PURCHASE!$A$6:$A$10008,$D$3,PURCHASE!$D$6:$D$10008,$C$5:$C$499)</f>
        <v>0</v>
      </c>
      <c r="F93" s="11">
        <f>SUMIFS(PURCHASE!$L$6:$L$10008,PURCHASE!$A$6:$A$10008,$D$3,PURCHASE!$D$6:$D$10008,$C$5:$C$499)</f>
        <v>0</v>
      </c>
      <c r="G93" s="11">
        <f>SUMIFS(PURCHASE!$M$6:$M$10008,PURCHASE!$A$6:$A$10008,$D$3,PURCHASE!$D$6:$D$10008,$C$5:$C$499)</f>
        <v>0</v>
      </c>
      <c r="H93" s="11">
        <f>SUMIFS(PURCHASE!$N$6:$N$10008,PURCHASE!$A$6:$A$10008,$D$3,PURCHASE!$D$6:$D$10008,$C$5:$C$499)</f>
        <v>0</v>
      </c>
      <c r="I93" s="473">
        <f t="shared" si="19"/>
        <v>0</v>
      </c>
      <c r="J93" s="60">
        <f>SUMIFS(PURCHASE!$K$6:$K$10008,PURCHASE!$A$6:$A$10008,$I$3,PURCHASE!$D$6:$D$10008,$C$5:$C$499)</f>
        <v>0</v>
      </c>
      <c r="K93" s="60">
        <f>SUMIFS(PURCHASE!$L$6:$L$10008,PURCHASE!$A$6:$A$10008,$I$3,PURCHASE!$D$6:$D$10008,$C$5:$C$499)</f>
        <v>0</v>
      </c>
      <c r="L93" s="60">
        <f>SUMIFS(PURCHASE!$M$6:$M$10008,PURCHASE!$A$6:$A$10008,$I$3,PURCHASE!$D$6:$D$10008,$C$5:$C$499)</f>
        <v>0</v>
      </c>
      <c r="M93" s="474">
        <f>SUMIFS(PURCHASE!$N$6:$N$10008,PURCHASE!$A$6:$A$10008,$I$3,PURCHASE!$D$6:$D$10008,$C$5:$C$499)</f>
        <v>0</v>
      </c>
      <c r="N93" s="11">
        <f t="shared" si="20"/>
        <v>54870</v>
      </c>
      <c r="O93" s="11">
        <f>SUMIFS(PURCHASE!$K$6:$K$10008,PURCHASE!$A$6:$A$10008,$N$3,PURCHASE!$D$6:$D$10008,$C$5:$C$499)</f>
        <v>46500</v>
      </c>
      <c r="P93" s="11">
        <f>SUMIFS(PURCHASE!$L$6:$L$10008,PURCHASE!$A$6:$A$10008,$N$3,PURCHASE!$D$6:$D$10008,$C$5:$C$499)</f>
        <v>0</v>
      </c>
      <c r="Q93" s="11">
        <f>SUMIFS(PURCHASE!$M$6:$M$10008,PURCHASE!$A$6:$A$10008,$N$3,PURCHASE!$D$6:$D$10008,$C$5:$C$499)</f>
        <v>4185</v>
      </c>
      <c r="R93" s="11">
        <f>SUMIFS(PURCHASE!$N$6:$N$10008,PURCHASE!$A$6:$A$10008,$N$3,PURCHASE!$D$6:$D$10008,$C$5:$C$499)</f>
        <v>4185</v>
      </c>
      <c r="S93" s="11">
        <f t="shared" si="21"/>
        <v>62245</v>
      </c>
      <c r="T93" s="11">
        <f>SUMIFS(PURCHASE!$K$6:$K$10008,PURCHASE!$A$6:$A$10008,$S$3,PURCHASE!$D$6:$D$10008,$C$5:$C$499)</f>
        <v>52750</v>
      </c>
      <c r="U93" s="11">
        <f>SUMIFS(PURCHASE!$L$6:$L$10008,PURCHASE!$A$6:$A$10008,$S$3,PURCHASE!$D$6:$D$10008,$C$5:$C$499)</f>
        <v>0</v>
      </c>
      <c r="V93" s="11">
        <f>SUMIFS(PURCHASE!$M$6:$M$10008,PURCHASE!$A$6:$A$10008,$S$3,PURCHASE!$D$6:$D$10008,$C$5:$C$499)</f>
        <v>4747.5</v>
      </c>
      <c r="W93" s="11">
        <f>SUMIFS(PURCHASE!$N$6:$N$10008,PURCHASE!$A$6:$A$10008,$S$3,PURCHASE!$D$6:$D$10008,$C$5:$C$499)</f>
        <v>4747.5</v>
      </c>
      <c r="X93" s="11">
        <f t="shared" si="22"/>
        <v>137139.6</v>
      </c>
      <c r="Y93" s="11">
        <f>SUMIFS(PURCHASE!$K$6:$K$10008,PURCHASE!$A$6:$A$10008,$X$3,PURCHASE!$D$6:$D$10008,$C$5:$C$499)</f>
        <v>116220</v>
      </c>
      <c r="Z93" s="11">
        <f>SUMIFS(PURCHASE!$L$6:$L$10008,PURCHASE!$A$6:$A$10008,$X$3,PURCHASE!$D$6:$D$10008,$C$5:$C$499)</f>
        <v>0</v>
      </c>
      <c r="AA93" s="11">
        <f>SUMIFS(PURCHASE!$M$6:$M$10008,PURCHASE!$A$6:$A$10008,$X$3,PURCHASE!$D$6:$D$10008,$C$5:$C$499)</f>
        <v>10459.799999999999</v>
      </c>
      <c r="AB93" s="11">
        <f>SUMIFS(PURCHASE!$N$6:$N$10008,PURCHASE!$A$6:$A$10008,$X$3,PURCHASE!$D$6:$D$10008,$C$5:$C$499)</f>
        <v>10459.799999999999</v>
      </c>
      <c r="AC93" s="11">
        <f t="shared" si="23"/>
        <v>88529.5</v>
      </c>
      <c r="AD93" s="11">
        <f>SUMIFS(PURCHASE!$K$6:$K$10008,PURCHASE!$A$6:$A$10008,$AC$3,PURCHASE!$D$6:$D$10008,$C$5:$C$499)</f>
        <v>75025</v>
      </c>
      <c r="AE93" s="11">
        <f>SUMIFS(PURCHASE!$L$6:$L$10008,PURCHASE!$A$6:$A$10008,$AC$3,PURCHASE!$D$6:$D$10008,$C$5:$C$499)</f>
        <v>0</v>
      </c>
      <c r="AF93" s="11">
        <f>SUMIFS(PURCHASE!$M$6:$M$10008,PURCHASE!$A$6:$A$10008,$AC$3,PURCHASE!$D$6:$D$10008,$C$5:$C$499)</f>
        <v>6752.25</v>
      </c>
      <c r="AG93" s="11">
        <f>SUMIFS(PURCHASE!$N$6:$N$10008,PURCHASE!$A$6:$A$10008,$AC$3,PURCHASE!$D$6:$D$10008,$C$5:$C$499)</f>
        <v>6752.25</v>
      </c>
      <c r="AH93" s="11">
        <f t="shared" si="24"/>
        <v>91273</v>
      </c>
      <c r="AI93" s="11">
        <f>SUMIFS(PURCHASE!$K$6:$K$10008,PURCHASE!$A$6:$A$10008,$AH$3,PURCHASE!$D$6:$D$10008,$C$5:$C$499)</f>
        <v>77350</v>
      </c>
      <c r="AJ93" s="11">
        <f>SUMIFS(PURCHASE!$L$6:$L$10008,PURCHASE!$A$6:$A$10008,$AH$3,PURCHASE!$D$6:$D$10008,$C$5:$C$499)</f>
        <v>0</v>
      </c>
      <c r="AK93" s="11">
        <f>SUMIFS(PURCHASE!$M$6:$M$10008,PURCHASE!$A$6:$A$10008,$AH$3,PURCHASE!$D$6:$D$10008,$C$5:$C$499)</f>
        <v>6961.5</v>
      </c>
      <c r="AL93" s="11">
        <f>SUMIFS(PURCHASE!$N$6:$N$10008,PURCHASE!$A$6:$A$10008,$AH$3,PURCHASE!$D$6:$D$10008,$C$5:$C$499)</f>
        <v>6961.5</v>
      </c>
      <c r="AM93" s="11">
        <f t="shared" si="25"/>
        <v>0</v>
      </c>
      <c r="AN93" s="11">
        <f>SUMIFS(PURCHASE!$K$6:$K$10008,PURCHASE!$A$6:$A$10008,$AM$3,PURCHASE!$D$6:$D$10008,$C$5:$C$499)</f>
        <v>0</v>
      </c>
      <c r="AO93" s="11">
        <f>SUMIFS(PURCHASE!$L$6:$L$10008,PURCHASE!$A$6:$A$10008,$AM$3,PURCHASE!$D$6:$D$10008,$C$5:$C$499)</f>
        <v>0</v>
      </c>
      <c r="AP93" s="11">
        <f>SUMIFS(PURCHASE!$M$6:$M$10008,PURCHASE!$A$6:$A$10008,$AM$3,PURCHASE!$D$6:$D$10008,$C$5:$C$499)</f>
        <v>0</v>
      </c>
      <c r="AQ93" s="11">
        <f>SUMIFS(PURCHASE!$N$6:$N$10008,PURCHASE!$A$6:$A$10008,$AM$3,PURCHASE!$D$6:$D$10008,$C$5:$C$499)</f>
        <v>0</v>
      </c>
      <c r="AR93" s="11">
        <f t="shared" si="26"/>
        <v>0</v>
      </c>
      <c r="AS93" s="11">
        <f>SUMIFS(PURCHASE!$K$6:$K$10008,PURCHASE!$A$6:$A$10008,$AR$3,PURCHASE!$D$6:$D$10008,$C$5:$C$499)</f>
        <v>0</v>
      </c>
      <c r="AT93" s="11">
        <f>SUMIFS(PURCHASE!$L$6:$L$10008,PURCHASE!$A$6:$A$10008,$AR$3,PURCHASE!$D$6:$D$10008,$C$5:$C$499)</f>
        <v>0</v>
      </c>
      <c r="AU93" s="11">
        <f>SUMIFS(PURCHASE!$M$6:$M$10008,PURCHASE!$A$6:$A$10008,$AR$3,PURCHASE!$D$6:$D$10008,$C$5:$C$499)</f>
        <v>0</v>
      </c>
      <c r="AV93" s="11">
        <f>SUMIFS(PURCHASE!$N$6:$N$10008,PURCHASE!$A$6:$A$10008,$AR$3,PURCHASE!$D$6:$D$10008,$C$5:$C$499)</f>
        <v>0</v>
      </c>
      <c r="AW93" s="11">
        <f t="shared" si="27"/>
        <v>0</v>
      </c>
      <c r="AX93" s="11">
        <f>SUMIFS(PURCHASE!$K$6:$K$10008,PURCHASE!$A$6:$A$10008,$AW$3,PURCHASE!$D$6:$D$10008,$C$5:$C$499)</f>
        <v>0</v>
      </c>
      <c r="AY93" s="11">
        <f>SUMIFS(PURCHASE!$L$6:$L$10008,PURCHASE!$A$6:$A$10008,$AW$3,PURCHASE!$D$6:$D$10008,$C$5:$C$499)</f>
        <v>0</v>
      </c>
      <c r="AZ93" s="11">
        <f>SUMIFS(PURCHASE!$M$6:$M$10008,PURCHASE!$A$6:$A$10008,$AW$3,PURCHASE!$D$6:$D$10008,$C$5:$C$499)</f>
        <v>0</v>
      </c>
      <c r="BA93" s="11">
        <f>SUMIFS(PURCHASE!$N$6:$N$10008,PURCHASE!$A$6:$A$10008,$AW$3,PURCHASE!$D$6:$D$10008,$C$5:$C$499)</f>
        <v>0</v>
      </c>
      <c r="BB93" s="11">
        <f t="shared" si="28"/>
        <v>0</v>
      </c>
      <c r="BC93" s="11">
        <f>SUMIFS(PURCHASE!$K$6:$K$10008,PURCHASE!$A$6:$A$10008,$BB$3,PURCHASE!$D$6:$D$10008,$C$5:$C$499)</f>
        <v>0</v>
      </c>
      <c r="BD93" s="11">
        <f>SUMIFS(PURCHASE!$L$6:$L$10008,PURCHASE!$A$6:$A$10008,$BB$3,PURCHASE!$D$6:$D$10008,$C$5:$C$499)</f>
        <v>0</v>
      </c>
      <c r="BE93" s="11">
        <f>SUMIFS(PURCHASE!$M$6:$M$10008,PURCHASE!$A$6:$A$10008,$BB$3,PURCHASE!$D$6:$D$10008,$C$5:$C$499)</f>
        <v>0</v>
      </c>
      <c r="BF93" s="11">
        <f>SUMIFS(PURCHASE!$N$6:$N$10008,PURCHASE!$A$6:$A$10008,$BB$3,PURCHASE!$D$6:$D$10008,$C$5:$C$499)</f>
        <v>0</v>
      </c>
      <c r="BG93" s="11">
        <f t="shared" si="29"/>
        <v>0</v>
      </c>
      <c r="BH93" s="11">
        <f>SUMIFS(PURCHASE!$K$6:$K$10008,PURCHASE!$A$6:$A$10008,$BG$3,PURCHASE!$D$6:$D$10008,$C$5:$C$499)</f>
        <v>0</v>
      </c>
      <c r="BI93" s="11">
        <f>SUMIFS(PURCHASE!$L$6:$L$10008,PURCHASE!$A$6:$A$10008,$BG$3,PURCHASE!$D$6:$D$10008,$C$5:$C$499)</f>
        <v>0</v>
      </c>
      <c r="BJ93" s="11">
        <f>SUMIFS(PURCHASE!$M$6:$M$10008,PURCHASE!$A$6:$A$10008,$BG$3,PURCHASE!$D$6:$D$10008,$C$5:$C$499)</f>
        <v>0</v>
      </c>
      <c r="BK93" s="11">
        <f>SUMIFS(PURCHASE!$N$6:$N$10008,PURCHASE!$A$6:$A$10008,$BG$3,PURCHASE!$D$6:$D$10008,$C$5:$C$499)</f>
        <v>0</v>
      </c>
      <c r="BL93" s="11">
        <f t="shared" si="17"/>
        <v>434057.1</v>
      </c>
      <c r="BM93" s="11">
        <f t="shared" si="17"/>
        <v>367845</v>
      </c>
      <c r="BN93" s="11">
        <f t="shared" si="17"/>
        <v>0</v>
      </c>
      <c r="BO93" s="11">
        <f t="shared" si="17"/>
        <v>33106.050000000003</v>
      </c>
      <c r="BP93" s="11">
        <f t="shared" si="17"/>
        <v>33106.050000000003</v>
      </c>
    </row>
    <row r="94" spans="1:68" x14ac:dyDescent="0.2">
      <c r="A94" s="467">
        <v>91</v>
      </c>
      <c r="B94" s="468" t="s">
        <v>634</v>
      </c>
      <c r="C94" s="469" t="s">
        <v>635</v>
      </c>
      <c r="D94" s="11">
        <f t="shared" si="18"/>
        <v>0</v>
      </c>
      <c r="E94" s="11">
        <f>SUMIFS(PURCHASE!$K$6:$K$10008,PURCHASE!$A$6:$A$10008,$D$3,PURCHASE!$D$6:$D$10008,$C$5:$C$499)</f>
        <v>0</v>
      </c>
      <c r="F94" s="11">
        <f>SUMIFS(PURCHASE!$L$6:$L$10008,PURCHASE!$A$6:$A$10008,$D$3,PURCHASE!$D$6:$D$10008,$C$5:$C$499)</f>
        <v>0</v>
      </c>
      <c r="G94" s="11">
        <f>SUMIFS(PURCHASE!$M$6:$M$10008,PURCHASE!$A$6:$A$10008,$D$3,PURCHASE!$D$6:$D$10008,$C$5:$C$499)</f>
        <v>0</v>
      </c>
      <c r="H94" s="11">
        <f>SUMIFS(PURCHASE!$N$6:$N$10008,PURCHASE!$A$6:$A$10008,$D$3,PURCHASE!$D$6:$D$10008,$C$5:$C$499)</f>
        <v>0</v>
      </c>
      <c r="I94" s="473">
        <f t="shared" si="19"/>
        <v>1227.1999999999998</v>
      </c>
      <c r="J94" s="60">
        <f>SUMIFS(PURCHASE!$K$6:$K$10008,PURCHASE!$A$6:$A$10008,$I$3,PURCHASE!$D$6:$D$10008,$C$5:$C$499)</f>
        <v>1040</v>
      </c>
      <c r="K94" s="60">
        <f>SUMIFS(PURCHASE!$L$6:$L$10008,PURCHASE!$A$6:$A$10008,$I$3,PURCHASE!$D$6:$D$10008,$C$5:$C$499)</f>
        <v>0</v>
      </c>
      <c r="L94" s="60">
        <f>SUMIFS(PURCHASE!$M$6:$M$10008,PURCHASE!$A$6:$A$10008,$I$3,PURCHASE!$D$6:$D$10008,$C$5:$C$499)</f>
        <v>93.600000000000009</v>
      </c>
      <c r="M94" s="474">
        <f>SUMIFS(PURCHASE!$N$6:$N$10008,PURCHASE!$A$6:$A$10008,$I$3,PURCHASE!$D$6:$D$10008,$C$5:$C$499)</f>
        <v>93.600000000000009</v>
      </c>
      <c r="N94" s="11">
        <f t="shared" si="20"/>
        <v>6549</v>
      </c>
      <c r="O94" s="11">
        <f>SUMIFS(PURCHASE!$K$6:$K$10008,PURCHASE!$A$6:$A$10008,$N$3,PURCHASE!$D$6:$D$10008,$C$5:$C$499)</f>
        <v>5550</v>
      </c>
      <c r="P94" s="11">
        <f>SUMIFS(PURCHASE!$L$6:$L$10008,PURCHASE!$A$6:$A$10008,$N$3,PURCHASE!$D$6:$D$10008,$C$5:$C$499)</f>
        <v>0</v>
      </c>
      <c r="Q94" s="11">
        <f>SUMIFS(PURCHASE!$M$6:$M$10008,PURCHASE!$A$6:$A$10008,$N$3,PURCHASE!$D$6:$D$10008,$C$5:$C$499)</f>
        <v>499.5</v>
      </c>
      <c r="R94" s="11">
        <f>SUMIFS(PURCHASE!$N$6:$N$10008,PURCHASE!$A$6:$A$10008,$N$3,PURCHASE!$D$6:$D$10008,$C$5:$C$499)</f>
        <v>499.5</v>
      </c>
      <c r="S94" s="11">
        <f t="shared" si="21"/>
        <v>7917.7999999999993</v>
      </c>
      <c r="T94" s="11">
        <f>SUMIFS(PURCHASE!$K$6:$K$10008,PURCHASE!$A$6:$A$10008,$S$3,PURCHASE!$D$6:$D$10008,$C$5:$C$499)</f>
        <v>6710</v>
      </c>
      <c r="U94" s="11">
        <f>SUMIFS(PURCHASE!$L$6:$L$10008,PURCHASE!$A$6:$A$10008,$S$3,PURCHASE!$D$6:$D$10008,$C$5:$C$499)</f>
        <v>0</v>
      </c>
      <c r="V94" s="11">
        <f>SUMIFS(PURCHASE!$M$6:$M$10008,PURCHASE!$A$6:$A$10008,$S$3,PURCHASE!$D$6:$D$10008,$C$5:$C$499)</f>
        <v>603.9</v>
      </c>
      <c r="W94" s="11">
        <f>SUMIFS(PURCHASE!$N$6:$N$10008,PURCHASE!$A$6:$A$10008,$S$3,PURCHASE!$D$6:$D$10008,$C$5:$C$499)</f>
        <v>603.9</v>
      </c>
      <c r="X94" s="11">
        <f t="shared" si="22"/>
        <v>53011.5</v>
      </c>
      <c r="Y94" s="11">
        <f>SUMIFS(PURCHASE!$K$6:$K$10008,PURCHASE!$A$6:$A$10008,$X$3,PURCHASE!$D$6:$D$10008,$C$5:$C$499)</f>
        <v>44925</v>
      </c>
      <c r="Z94" s="11">
        <f>SUMIFS(PURCHASE!$L$6:$L$10008,PURCHASE!$A$6:$A$10008,$X$3,PURCHASE!$D$6:$D$10008,$C$5:$C$499)</f>
        <v>0</v>
      </c>
      <c r="AA94" s="11">
        <f>SUMIFS(PURCHASE!$M$6:$M$10008,PURCHASE!$A$6:$A$10008,$X$3,PURCHASE!$D$6:$D$10008,$C$5:$C$499)</f>
        <v>4043.2500000000005</v>
      </c>
      <c r="AB94" s="11">
        <f>SUMIFS(PURCHASE!$N$6:$N$10008,PURCHASE!$A$6:$A$10008,$X$3,PURCHASE!$D$6:$D$10008,$C$5:$C$499)</f>
        <v>4043.2500000000005</v>
      </c>
      <c r="AC94" s="11">
        <f t="shared" si="23"/>
        <v>6888</v>
      </c>
      <c r="AD94" s="11">
        <f>SUMIFS(PURCHASE!$K$6:$K$10008,PURCHASE!$A$6:$A$10008,$AC$3,PURCHASE!$D$6:$D$10008,$C$5:$C$499)</f>
        <v>6150</v>
      </c>
      <c r="AE94" s="11">
        <f>SUMIFS(PURCHASE!$L$6:$L$10008,PURCHASE!$A$6:$A$10008,$AC$3,PURCHASE!$D$6:$D$10008,$C$5:$C$499)</f>
        <v>0</v>
      </c>
      <c r="AF94" s="11">
        <f>SUMIFS(PURCHASE!$M$6:$M$10008,PURCHASE!$A$6:$A$10008,$AC$3,PURCHASE!$D$6:$D$10008,$C$5:$C$499)</f>
        <v>369</v>
      </c>
      <c r="AG94" s="11">
        <f>SUMIFS(PURCHASE!$N$6:$N$10008,PURCHASE!$A$6:$A$10008,$AC$3,PURCHASE!$D$6:$D$10008,$C$5:$C$499)</f>
        <v>369</v>
      </c>
      <c r="AH94" s="11">
        <f t="shared" si="24"/>
        <v>2000.1</v>
      </c>
      <c r="AI94" s="11">
        <f>SUMIFS(PURCHASE!$K$6:$K$10008,PURCHASE!$A$6:$A$10008,$AH$3,PURCHASE!$D$6:$D$10008,$C$5:$C$499)</f>
        <v>1695</v>
      </c>
      <c r="AJ94" s="11">
        <f>SUMIFS(PURCHASE!$L$6:$L$10008,PURCHASE!$A$6:$A$10008,$AH$3,PURCHASE!$D$6:$D$10008,$C$5:$C$499)</f>
        <v>0</v>
      </c>
      <c r="AK94" s="11">
        <f>SUMIFS(PURCHASE!$M$6:$M$10008,PURCHASE!$A$6:$A$10008,$AH$3,PURCHASE!$D$6:$D$10008,$C$5:$C$499)</f>
        <v>152.54999999999998</v>
      </c>
      <c r="AL94" s="11">
        <f>SUMIFS(PURCHASE!$N$6:$N$10008,PURCHASE!$A$6:$A$10008,$AH$3,PURCHASE!$D$6:$D$10008,$C$5:$C$499)</f>
        <v>152.54999999999998</v>
      </c>
      <c r="AM94" s="11">
        <f t="shared" si="25"/>
        <v>0</v>
      </c>
      <c r="AN94" s="11">
        <f>SUMIFS(PURCHASE!$K$6:$K$10008,PURCHASE!$A$6:$A$10008,$AM$3,PURCHASE!$D$6:$D$10008,$C$5:$C$499)</f>
        <v>0</v>
      </c>
      <c r="AO94" s="11">
        <f>SUMIFS(PURCHASE!$L$6:$L$10008,PURCHASE!$A$6:$A$10008,$AM$3,PURCHASE!$D$6:$D$10008,$C$5:$C$499)</f>
        <v>0</v>
      </c>
      <c r="AP94" s="11">
        <f>SUMIFS(PURCHASE!$M$6:$M$10008,PURCHASE!$A$6:$A$10008,$AM$3,PURCHASE!$D$6:$D$10008,$C$5:$C$499)</f>
        <v>0</v>
      </c>
      <c r="AQ94" s="11">
        <f>SUMIFS(PURCHASE!$N$6:$N$10008,PURCHASE!$A$6:$A$10008,$AM$3,PURCHASE!$D$6:$D$10008,$C$5:$C$499)</f>
        <v>0</v>
      </c>
      <c r="AR94" s="11">
        <f t="shared" si="26"/>
        <v>0</v>
      </c>
      <c r="AS94" s="11">
        <f>SUMIFS(PURCHASE!$K$6:$K$10008,PURCHASE!$A$6:$A$10008,$AR$3,PURCHASE!$D$6:$D$10008,$C$5:$C$499)</f>
        <v>0</v>
      </c>
      <c r="AT94" s="11">
        <f>SUMIFS(PURCHASE!$L$6:$L$10008,PURCHASE!$A$6:$A$10008,$AR$3,PURCHASE!$D$6:$D$10008,$C$5:$C$499)</f>
        <v>0</v>
      </c>
      <c r="AU94" s="11">
        <f>SUMIFS(PURCHASE!$M$6:$M$10008,PURCHASE!$A$6:$A$10008,$AR$3,PURCHASE!$D$6:$D$10008,$C$5:$C$499)</f>
        <v>0</v>
      </c>
      <c r="AV94" s="11">
        <f>SUMIFS(PURCHASE!$N$6:$N$10008,PURCHASE!$A$6:$A$10008,$AR$3,PURCHASE!$D$6:$D$10008,$C$5:$C$499)</f>
        <v>0</v>
      </c>
      <c r="AW94" s="11">
        <f t="shared" si="27"/>
        <v>0</v>
      </c>
      <c r="AX94" s="11">
        <f>SUMIFS(PURCHASE!$K$6:$K$10008,PURCHASE!$A$6:$A$10008,$AW$3,PURCHASE!$D$6:$D$10008,$C$5:$C$499)</f>
        <v>0</v>
      </c>
      <c r="AY94" s="11">
        <f>SUMIFS(PURCHASE!$L$6:$L$10008,PURCHASE!$A$6:$A$10008,$AW$3,PURCHASE!$D$6:$D$10008,$C$5:$C$499)</f>
        <v>0</v>
      </c>
      <c r="AZ94" s="11">
        <f>SUMIFS(PURCHASE!$M$6:$M$10008,PURCHASE!$A$6:$A$10008,$AW$3,PURCHASE!$D$6:$D$10008,$C$5:$C$499)</f>
        <v>0</v>
      </c>
      <c r="BA94" s="11">
        <f>SUMIFS(PURCHASE!$N$6:$N$10008,PURCHASE!$A$6:$A$10008,$AW$3,PURCHASE!$D$6:$D$10008,$C$5:$C$499)</f>
        <v>0</v>
      </c>
      <c r="BB94" s="11">
        <f t="shared" si="28"/>
        <v>0</v>
      </c>
      <c r="BC94" s="11">
        <f>SUMIFS(PURCHASE!$K$6:$K$10008,PURCHASE!$A$6:$A$10008,$BB$3,PURCHASE!$D$6:$D$10008,$C$5:$C$499)</f>
        <v>0</v>
      </c>
      <c r="BD94" s="11">
        <f>SUMIFS(PURCHASE!$L$6:$L$10008,PURCHASE!$A$6:$A$10008,$BB$3,PURCHASE!$D$6:$D$10008,$C$5:$C$499)</f>
        <v>0</v>
      </c>
      <c r="BE94" s="11">
        <f>SUMIFS(PURCHASE!$M$6:$M$10008,PURCHASE!$A$6:$A$10008,$BB$3,PURCHASE!$D$6:$D$10008,$C$5:$C$499)</f>
        <v>0</v>
      </c>
      <c r="BF94" s="11">
        <f>SUMIFS(PURCHASE!$N$6:$N$10008,PURCHASE!$A$6:$A$10008,$BB$3,PURCHASE!$D$6:$D$10008,$C$5:$C$499)</f>
        <v>0</v>
      </c>
      <c r="BG94" s="11">
        <f t="shared" si="29"/>
        <v>0</v>
      </c>
      <c r="BH94" s="11">
        <f>SUMIFS(PURCHASE!$K$6:$K$10008,PURCHASE!$A$6:$A$10008,$BG$3,PURCHASE!$D$6:$D$10008,$C$5:$C$499)</f>
        <v>0</v>
      </c>
      <c r="BI94" s="11">
        <f>SUMIFS(PURCHASE!$L$6:$L$10008,PURCHASE!$A$6:$A$10008,$BG$3,PURCHASE!$D$6:$D$10008,$C$5:$C$499)</f>
        <v>0</v>
      </c>
      <c r="BJ94" s="11">
        <f>SUMIFS(PURCHASE!$M$6:$M$10008,PURCHASE!$A$6:$A$10008,$BG$3,PURCHASE!$D$6:$D$10008,$C$5:$C$499)</f>
        <v>0</v>
      </c>
      <c r="BK94" s="11">
        <f>SUMIFS(PURCHASE!$N$6:$N$10008,PURCHASE!$A$6:$A$10008,$BG$3,PURCHASE!$D$6:$D$10008,$C$5:$C$499)</f>
        <v>0</v>
      </c>
      <c r="BL94" s="11">
        <f t="shared" si="17"/>
        <v>77593.600000000006</v>
      </c>
      <c r="BM94" s="11">
        <f t="shared" si="17"/>
        <v>66070</v>
      </c>
      <c r="BN94" s="11">
        <f t="shared" si="17"/>
        <v>0</v>
      </c>
      <c r="BO94" s="11">
        <f t="shared" si="17"/>
        <v>5761.8</v>
      </c>
      <c r="BP94" s="11">
        <f t="shared" si="17"/>
        <v>5761.8</v>
      </c>
    </row>
    <row r="95" spans="1:68" x14ac:dyDescent="0.2">
      <c r="A95" s="467">
        <v>92</v>
      </c>
      <c r="B95" s="468" t="s">
        <v>1140</v>
      </c>
      <c r="C95" s="469" t="s">
        <v>1141</v>
      </c>
      <c r="D95" s="11">
        <f t="shared" si="18"/>
        <v>0</v>
      </c>
      <c r="E95" s="11">
        <f>SUMIFS(PURCHASE!$K$6:$K$10008,PURCHASE!$A$6:$A$10008,$D$3,PURCHASE!$D$6:$D$10008,$C$5:$C$499)</f>
        <v>0</v>
      </c>
      <c r="F95" s="11">
        <f>SUMIFS(PURCHASE!$L$6:$L$10008,PURCHASE!$A$6:$A$10008,$D$3,PURCHASE!$D$6:$D$10008,$C$5:$C$499)</f>
        <v>0</v>
      </c>
      <c r="G95" s="11">
        <f>SUMIFS(PURCHASE!$M$6:$M$10008,PURCHASE!$A$6:$A$10008,$D$3,PURCHASE!$D$6:$D$10008,$C$5:$C$499)</f>
        <v>0</v>
      </c>
      <c r="H95" s="11">
        <f>SUMIFS(PURCHASE!$N$6:$N$10008,PURCHASE!$A$6:$A$10008,$D$3,PURCHASE!$D$6:$D$10008,$C$5:$C$499)</f>
        <v>0</v>
      </c>
      <c r="I95" s="473">
        <f t="shared" si="19"/>
        <v>0</v>
      </c>
      <c r="J95" s="60">
        <f>SUMIFS(PURCHASE!$K$6:$K$10008,PURCHASE!$A$6:$A$10008,$I$3,PURCHASE!$D$6:$D$10008,$C$5:$C$499)</f>
        <v>0</v>
      </c>
      <c r="K95" s="60">
        <f>SUMIFS(PURCHASE!$L$6:$L$10008,PURCHASE!$A$6:$A$10008,$I$3,PURCHASE!$D$6:$D$10008,$C$5:$C$499)</f>
        <v>0</v>
      </c>
      <c r="L95" s="60">
        <f>SUMIFS(PURCHASE!$M$6:$M$10008,PURCHASE!$A$6:$A$10008,$I$3,PURCHASE!$D$6:$D$10008,$C$5:$C$499)</f>
        <v>0</v>
      </c>
      <c r="M95" s="474">
        <f>SUMIFS(PURCHASE!$N$6:$N$10008,PURCHASE!$A$6:$A$10008,$I$3,PURCHASE!$D$6:$D$10008,$C$5:$C$499)</f>
        <v>0</v>
      </c>
      <c r="N95" s="11">
        <f t="shared" si="20"/>
        <v>0</v>
      </c>
      <c r="O95" s="11">
        <f>SUMIFS(PURCHASE!$K$6:$K$10008,PURCHASE!$A$6:$A$10008,$N$3,PURCHASE!$D$6:$D$10008,$C$5:$C$499)</f>
        <v>0</v>
      </c>
      <c r="P95" s="11">
        <f>SUMIFS(PURCHASE!$L$6:$L$10008,PURCHASE!$A$6:$A$10008,$N$3,PURCHASE!$D$6:$D$10008,$C$5:$C$499)</f>
        <v>0</v>
      </c>
      <c r="Q95" s="11">
        <f>SUMIFS(PURCHASE!$M$6:$M$10008,PURCHASE!$A$6:$A$10008,$N$3,PURCHASE!$D$6:$D$10008,$C$5:$C$499)</f>
        <v>0</v>
      </c>
      <c r="R95" s="11">
        <f>SUMIFS(PURCHASE!$N$6:$N$10008,PURCHASE!$A$6:$A$10008,$N$3,PURCHASE!$D$6:$D$10008,$C$5:$C$499)</f>
        <v>0</v>
      </c>
      <c r="S95" s="11">
        <f t="shared" si="21"/>
        <v>0</v>
      </c>
      <c r="T95" s="11">
        <f>SUMIFS(PURCHASE!$K$6:$K$10008,PURCHASE!$A$6:$A$10008,$S$3,PURCHASE!$D$6:$D$10008,$C$5:$C$499)</f>
        <v>0</v>
      </c>
      <c r="U95" s="11">
        <f>SUMIFS(PURCHASE!$L$6:$L$10008,PURCHASE!$A$6:$A$10008,$S$3,PURCHASE!$D$6:$D$10008,$C$5:$C$499)</f>
        <v>0</v>
      </c>
      <c r="V95" s="11">
        <f>SUMIFS(PURCHASE!$M$6:$M$10008,PURCHASE!$A$6:$A$10008,$S$3,PURCHASE!$D$6:$D$10008,$C$5:$C$499)</f>
        <v>0</v>
      </c>
      <c r="W95" s="11">
        <f>SUMIFS(PURCHASE!$N$6:$N$10008,PURCHASE!$A$6:$A$10008,$S$3,PURCHASE!$D$6:$D$10008,$C$5:$C$499)</f>
        <v>0</v>
      </c>
      <c r="X95" s="11">
        <f t="shared" si="22"/>
        <v>0</v>
      </c>
      <c r="Y95" s="11">
        <f>SUMIFS(PURCHASE!$K$6:$K$10008,PURCHASE!$A$6:$A$10008,$X$3,PURCHASE!$D$6:$D$10008,$C$5:$C$499)</f>
        <v>0</v>
      </c>
      <c r="Z95" s="11">
        <f>SUMIFS(PURCHASE!$L$6:$L$10008,PURCHASE!$A$6:$A$10008,$X$3,PURCHASE!$D$6:$D$10008,$C$5:$C$499)</f>
        <v>0</v>
      </c>
      <c r="AA95" s="11">
        <f>SUMIFS(PURCHASE!$M$6:$M$10008,PURCHASE!$A$6:$A$10008,$X$3,PURCHASE!$D$6:$D$10008,$C$5:$C$499)</f>
        <v>0</v>
      </c>
      <c r="AB95" s="11">
        <f>SUMIFS(PURCHASE!$N$6:$N$10008,PURCHASE!$A$6:$A$10008,$X$3,PURCHASE!$D$6:$D$10008,$C$5:$C$499)</f>
        <v>0</v>
      </c>
      <c r="AC95" s="11">
        <f t="shared" si="23"/>
        <v>0</v>
      </c>
      <c r="AD95" s="11">
        <f>SUMIFS(PURCHASE!$K$6:$K$10008,PURCHASE!$A$6:$A$10008,$AC$3,PURCHASE!$D$6:$D$10008,$C$5:$C$499)</f>
        <v>0</v>
      </c>
      <c r="AE95" s="11">
        <f>SUMIFS(PURCHASE!$L$6:$L$10008,PURCHASE!$A$6:$A$10008,$AC$3,PURCHASE!$D$6:$D$10008,$C$5:$C$499)</f>
        <v>0</v>
      </c>
      <c r="AF95" s="11">
        <f>SUMIFS(PURCHASE!$M$6:$M$10008,PURCHASE!$A$6:$A$10008,$AC$3,PURCHASE!$D$6:$D$10008,$C$5:$C$499)</f>
        <v>0</v>
      </c>
      <c r="AG95" s="11">
        <f>SUMIFS(PURCHASE!$N$6:$N$10008,PURCHASE!$A$6:$A$10008,$AC$3,PURCHASE!$D$6:$D$10008,$C$5:$C$499)</f>
        <v>0</v>
      </c>
      <c r="AH95" s="11">
        <f t="shared" si="24"/>
        <v>0</v>
      </c>
      <c r="AI95" s="11">
        <f>SUMIFS(PURCHASE!$K$6:$K$10008,PURCHASE!$A$6:$A$10008,$AH$3,PURCHASE!$D$6:$D$10008,$C$5:$C$499)</f>
        <v>0</v>
      </c>
      <c r="AJ95" s="11">
        <f>SUMIFS(PURCHASE!$L$6:$L$10008,PURCHASE!$A$6:$A$10008,$AH$3,PURCHASE!$D$6:$D$10008,$C$5:$C$499)</f>
        <v>0</v>
      </c>
      <c r="AK95" s="11">
        <f>SUMIFS(PURCHASE!$M$6:$M$10008,PURCHASE!$A$6:$A$10008,$AH$3,PURCHASE!$D$6:$D$10008,$C$5:$C$499)</f>
        <v>0</v>
      </c>
      <c r="AL95" s="11">
        <f>SUMIFS(PURCHASE!$N$6:$N$10008,PURCHASE!$A$6:$A$10008,$AH$3,PURCHASE!$D$6:$D$10008,$C$5:$C$499)</f>
        <v>0</v>
      </c>
      <c r="AM95" s="11">
        <f t="shared" si="25"/>
        <v>0</v>
      </c>
      <c r="AN95" s="11">
        <f>SUMIFS(PURCHASE!$K$6:$K$10008,PURCHASE!$A$6:$A$10008,$AM$3,PURCHASE!$D$6:$D$10008,$C$5:$C$499)</f>
        <v>0</v>
      </c>
      <c r="AO95" s="11">
        <f>SUMIFS(PURCHASE!$L$6:$L$10008,PURCHASE!$A$6:$A$10008,$AM$3,PURCHASE!$D$6:$D$10008,$C$5:$C$499)</f>
        <v>0</v>
      </c>
      <c r="AP95" s="11">
        <f>SUMIFS(PURCHASE!$M$6:$M$10008,PURCHASE!$A$6:$A$10008,$AM$3,PURCHASE!$D$6:$D$10008,$C$5:$C$499)</f>
        <v>0</v>
      </c>
      <c r="AQ95" s="11">
        <f>SUMIFS(PURCHASE!$N$6:$N$10008,PURCHASE!$A$6:$A$10008,$AM$3,PURCHASE!$D$6:$D$10008,$C$5:$C$499)</f>
        <v>0</v>
      </c>
      <c r="AR95" s="11">
        <f t="shared" si="26"/>
        <v>0</v>
      </c>
      <c r="AS95" s="11">
        <f>SUMIFS(PURCHASE!$K$6:$K$10008,PURCHASE!$A$6:$A$10008,$AR$3,PURCHASE!$D$6:$D$10008,$C$5:$C$499)</f>
        <v>0</v>
      </c>
      <c r="AT95" s="11">
        <f>SUMIFS(PURCHASE!$L$6:$L$10008,PURCHASE!$A$6:$A$10008,$AR$3,PURCHASE!$D$6:$D$10008,$C$5:$C$499)</f>
        <v>0</v>
      </c>
      <c r="AU95" s="11">
        <f>SUMIFS(PURCHASE!$M$6:$M$10008,PURCHASE!$A$6:$A$10008,$AR$3,PURCHASE!$D$6:$D$10008,$C$5:$C$499)</f>
        <v>0</v>
      </c>
      <c r="AV95" s="11">
        <f>SUMIFS(PURCHASE!$N$6:$N$10008,PURCHASE!$A$6:$A$10008,$AR$3,PURCHASE!$D$6:$D$10008,$C$5:$C$499)</f>
        <v>0</v>
      </c>
      <c r="AW95" s="11">
        <f t="shared" si="27"/>
        <v>0</v>
      </c>
      <c r="AX95" s="11">
        <f>SUMIFS(PURCHASE!$K$6:$K$10008,PURCHASE!$A$6:$A$10008,$AW$3,PURCHASE!$D$6:$D$10008,$C$5:$C$499)</f>
        <v>0</v>
      </c>
      <c r="AY95" s="11">
        <f>SUMIFS(PURCHASE!$L$6:$L$10008,PURCHASE!$A$6:$A$10008,$AW$3,PURCHASE!$D$6:$D$10008,$C$5:$C$499)</f>
        <v>0</v>
      </c>
      <c r="AZ95" s="11">
        <f>SUMIFS(PURCHASE!$M$6:$M$10008,PURCHASE!$A$6:$A$10008,$AW$3,PURCHASE!$D$6:$D$10008,$C$5:$C$499)</f>
        <v>0</v>
      </c>
      <c r="BA95" s="11">
        <f>SUMIFS(PURCHASE!$N$6:$N$10008,PURCHASE!$A$6:$A$10008,$AW$3,PURCHASE!$D$6:$D$10008,$C$5:$C$499)</f>
        <v>0</v>
      </c>
      <c r="BB95" s="11">
        <f t="shared" si="28"/>
        <v>0</v>
      </c>
      <c r="BC95" s="11">
        <f>SUMIFS(PURCHASE!$K$6:$K$10008,PURCHASE!$A$6:$A$10008,$BB$3,PURCHASE!$D$6:$D$10008,$C$5:$C$499)</f>
        <v>0</v>
      </c>
      <c r="BD95" s="11">
        <f>SUMIFS(PURCHASE!$L$6:$L$10008,PURCHASE!$A$6:$A$10008,$BB$3,PURCHASE!$D$6:$D$10008,$C$5:$C$499)</f>
        <v>0</v>
      </c>
      <c r="BE95" s="11">
        <f>SUMIFS(PURCHASE!$M$6:$M$10008,PURCHASE!$A$6:$A$10008,$BB$3,PURCHASE!$D$6:$D$10008,$C$5:$C$499)</f>
        <v>0</v>
      </c>
      <c r="BF95" s="11">
        <f>SUMIFS(PURCHASE!$N$6:$N$10008,PURCHASE!$A$6:$A$10008,$BB$3,PURCHASE!$D$6:$D$10008,$C$5:$C$499)</f>
        <v>0</v>
      </c>
      <c r="BG95" s="11">
        <f t="shared" si="29"/>
        <v>0</v>
      </c>
      <c r="BH95" s="11">
        <f>SUMIFS(PURCHASE!$K$6:$K$10008,PURCHASE!$A$6:$A$10008,$BG$3,PURCHASE!$D$6:$D$10008,$C$5:$C$499)</f>
        <v>0</v>
      </c>
      <c r="BI95" s="11">
        <f>SUMIFS(PURCHASE!$L$6:$L$10008,PURCHASE!$A$6:$A$10008,$BG$3,PURCHASE!$D$6:$D$10008,$C$5:$C$499)</f>
        <v>0</v>
      </c>
      <c r="BJ95" s="11">
        <f>SUMIFS(PURCHASE!$M$6:$M$10008,PURCHASE!$A$6:$A$10008,$BG$3,PURCHASE!$D$6:$D$10008,$C$5:$C$499)</f>
        <v>0</v>
      </c>
      <c r="BK95" s="11">
        <f>SUMIFS(PURCHASE!$N$6:$N$10008,PURCHASE!$A$6:$A$10008,$BG$3,PURCHASE!$D$6:$D$10008,$C$5:$C$499)</f>
        <v>0</v>
      </c>
      <c r="BL95" s="11">
        <f t="shared" si="17"/>
        <v>0</v>
      </c>
      <c r="BM95" s="11">
        <f t="shared" si="17"/>
        <v>0</v>
      </c>
      <c r="BN95" s="11">
        <f t="shared" si="17"/>
        <v>0</v>
      </c>
      <c r="BO95" s="11">
        <f t="shared" si="17"/>
        <v>0</v>
      </c>
      <c r="BP95" s="11">
        <f t="shared" si="17"/>
        <v>0</v>
      </c>
    </row>
    <row r="96" spans="1:68" x14ac:dyDescent="0.2">
      <c r="A96" s="467">
        <v>93</v>
      </c>
      <c r="B96" s="468" t="s">
        <v>495</v>
      </c>
      <c r="C96" s="469" t="s">
        <v>74</v>
      </c>
      <c r="D96" s="11">
        <f t="shared" si="18"/>
        <v>112758.91199999998</v>
      </c>
      <c r="E96" s="11">
        <f>SUMIFS(PURCHASE!$K$6:$K$10008,PURCHASE!$A$6:$A$10008,$D$3,PURCHASE!$D$6:$D$10008,$C$5:$C$499)</f>
        <v>95558.399999999994</v>
      </c>
      <c r="F96" s="11">
        <f>SUMIFS(PURCHASE!$L$6:$L$10008,PURCHASE!$A$6:$A$10008,$D$3,PURCHASE!$D$6:$D$10008,$C$5:$C$499)</f>
        <v>0</v>
      </c>
      <c r="G96" s="11">
        <f>SUMIFS(PURCHASE!$M$6:$M$10008,PURCHASE!$A$6:$A$10008,$D$3,PURCHASE!$D$6:$D$10008,$C$5:$C$499)</f>
        <v>8600.2559999999994</v>
      </c>
      <c r="H96" s="11">
        <f>SUMIFS(PURCHASE!$N$6:$N$10008,PURCHASE!$A$6:$A$10008,$D$3,PURCHASE!$D$6:$D$10008,$C$5:$C$499)</f>
        <v>8600.2559999999994</v>
      </c>
      <c r="I96" s="473">
        <f t="shared" si="19"/>
        <v>281897.27999999997</v>
      </c>
      <c r="J96" s="60">
        <f>SUMIFS(PURCHASE!$K$6:$K$10008,PURCHASE!$A$6:$A$10008,$I$3,PURCHASE!$D$6:$D$10008,$C$5:$C$499)</f>
        <v>238895.99999999997</v>
      </c>
      <c r="K96" s="60">
        <f>SUMIFS(PURCHASE!$L$6:$L$10008,PURCHASE!$A$6:$A$10008,$I$3,PURCHASE!$D$6:$D$10008,$C$5:$C$499)</f>
        <v>0</v>
      </c>
      <c r="L96" s="60">
        <f>SUMIFS(PURCHASE!$M$6:$M$10008,PURCHASE!$A$6:$A$10008,$I$3,PURCHASE!$D$6:$D$10008,$C$5:$C$499)</f>
        <v>21500.639999999999</v>
      </c>
      <c r="M96" s="474">
        <f>SUMIFS(PURCHASE!$N$6:$N$10008,PURCHASE!$A$6:$A$10008,$I$3,PURCHASE!$D$6:$D$10008,$C$5:$C$499)</f>
        <v>21500.639999999999</v>
      </c>
      <c r="N96" s="11">
        <f t="shared" si="20"/>
        <v>319483.58399999997</v>
      </c>
      <c r="O96" s="11">
        <f>SUMIFS(PURCHASE!$K$6:$K$10008,PURCHASE!$A$6:$A$10008,$N$3,PURCHASE!$D$6:$D$10008,$C$5:$C$499)</f>
        <v>270748.79999999999</v>
      </c>
      <c r="P96" s="11">
        <f>SUMIFS(PURCHASE!$L$6:$L$10008,PURCHASE!$A$6:$A$10008,$N$3,PURCHASE!$D$6:$D$10008,$C$5:$C$499)</f>
        <v>0</v>
      </c>
      <c r="Q96" s="11">
        <f>SUMIFS(PURCHASE!$M$6:$M$10008,PURCHASE!$A$6:$A$10008,$N$3,PURCHASE!$D$6:$D$10008,$C$5:$C$499)</f>
        <v>24367.392000000003</v>
      </c>
      <c r="R96" s="11">
        <f>SUMIFS(PURCHASE!$N$6:$N$10008,PURCHASE!$A$6:$A$10008,$N$3,PURCHASE!$D$6:$D$10008,$C$5:$C$499)</f>
        <v>24367.392000000003</v>
      </c>
      <c r="S96" s="11">
        <f t="shared" si="21"/>
        <v>513679.52799999993</v>
      </c>
      <c r="T96" s="11">
        <f>SUMIFS(PURCHASE!$K$6:$K$10008,PURCHASE!$A$6:$A$10008,$S$3,PURCHASE!$D$6:$D$10008,$C$5:$C$499)</f>
        <v>435321.59999999998</v>
      </c>
      <c r="U96" s="11">
        <f>SUMIFS(PURCHASE!$L$6:$L$10008,PURCHASE!$A$6:$A$10008,$S$3,PURCHASE!$D$6:$D$10008,$C$5:$C$499)</f>
        <v>0</v>
      </c>
      <c r="V96" s="11">
        <f>SUMIFS(PURCHASE!$M$6:$M$10008,PURCHASE!$A$6:$A$10008,$S$3,PURCHASE!$D$6:$D$10008,$C$5:$C$499)</f>
        <v>39178.964</v>
      </c>
      <c r="W96" s="11">
        <f>SUMIFS(PURCHASE!$N$6:$N$10008,PURCHASE!$A$6:$A$10008,$S$3,PURCHASE!$D$6:$D$10008,$C$5:$C$499)</f>
        <v>39178.964</v>
      </c>
      <c r="X96" s="11">
        <f t="shared" si="22"/>
        <v>291293.85599999997</v>
      </c>
      <c r="Y96" s="11">
        <f>SUMIFS(PURCHASE!$K$6:$K$10008,PURCHASE!$A$6:$A$10008,$X$3,PURCHASE!$D$6:$D$10008,$C$5:$C$499)</f>
        <v>246859.2</v>
      </c>
      <c r="Z96" s="11">
        <f>SUMIFS(PURCHASE!$L$6:$L$10008,PURCHASE!$A$6:$A$10008,$X$3,PURCHASE!$D$6:$D$10008,$C$5:$C$499)</f>
        <v>0</v>
      </c>
      <c r="AA96" s="11">
        <f>SUMIFS(PURCHASE!$M$6:$M$10008,PURCHASE!$A$6:$A$10008,$X$3,PURCHASE!$D$6:$D$10008,$C$5:$C$499)</f>
        <v>22217.328000000001</v>
      </c>
      <c r="AB96" s="11">
        <f>SUMIFS(PURCHASE!$N$6:$N$10008,PURCHASE!$A$6:$A$10008,$X$3,PURCHASE!$D$6:$D$10008,$C$5:$C$499)</f>
        <v>22217.328000000001</v>
      </c>
      <c r="AC96" s="11">
        <f t="shared" si="23"/>
        <v>189309.26800000001</v>
      </c>
      <c r="AD96" s="11">
        <f>SUMIFS(PURCHASE!$K$6:$K$10008,PURCHASE!$A$6:$A$10008,$AC$3,PURCHASE!$D$6:$D$10008,$C$5:$C$499)</f>
        <v>160431.6</v>
      </c>
      <c r="AE96" s="11">
        <f>SUMIFS(PURCHASE!$L$6:$L$10008,PURCHASE!$A$6:$A$10008,$AC$3,PURCHASE!$D$6:$D$10008,$C$5:$C$499)</f>
        <v>0</v>
      </c>
      <c r="AF96" s="11">
        <f>SUMIFS(PURCHASE!$M$6:$M$10008,PURCHASE!$A$6:$A$10008,$AC$3,PURCHASE!$D$6:$D$10008,$C$5:$C$499)</f>
        <v>14438.834000000001</v>
      </c>
      <c r="AG96" s="11">
        <f>SUMIFS(PURCHASE!$N$6:$N$10008,PURCHASE!$A$6:$A$10008,$AC$3,PURCHASE!$D$6:$D$10008,$C$5:$C$499)</f>
        <v>14438.834000000001</v>
      </c>
      <c r="AH96" s="11">
        <f t="shared" si="24"/>
        <v>182382.71160000001</v>
      </c>
      <c r="AI96" s="11">
        <f>SUMIFS(PURCHASE!$K$6:$K$10008,PURCHASE!$A$6:$A$10008,$AH$3,PURCHASE!$D$6:$D$10008,$C$5:$C$499)</f>
        <v>154561.62000000002</v>
      </c>
      <c r="AJ96" s="11">
        <f>SUMIFS(PURCHASE!$L$6:$L$10008,PURCHASE!$A$6:$A$10008,$AH$3,PURCHASE!$D$6:$D$10008,$C$5:$C$499)</f>
        <v>0</v>
      </c>
      <c r="AK96" s="11">
        <f>SUMIFS(PURCHASE!$M$6:$M$10008,PURCHASE!$A$6:$A$10008,$AH$3,PURCHASE!$D$6:$D$10008,$C$5:$C$499)</f>
        <v>13910.5458</v>
      </c>
      <c r="AL96" s="11">
        <f>SUMIFS(PURCHASE!$N$6:$N$10008,PURCHASE!$A$6:$A$10008,$AH$3,PURCHASE!$D$6:$D$10008,$C$5:$C$499)</f>
        <v>13910.5458</v>
      </c>
      <c r="AM96" s="11">
        <f t="shared" si="25"/>
        <v>0</v>
      </c>
      <c r="AN96" s="11">
        <f>SUMIFS(PURCHASE!$K$6:$K$10008,PURCHASE!$A$6:$A$10008,$AM$3,PURCHASE!$D$6:$D$10008,$C$5:$C$499)</f>
        <v>0</v>
      </c>
      <c r="AO96" s="11">
        <f>SUMIFS(PURCHASE!$L$6:$L$10008,PURCHASE!$A$6:$A$10008,$AM$3,PURCHASE!$D$6:$D$10008,$C$5:$C$499)</f>
        <v>0</v>
      </c>
      <c r="AP96" s="11">
        <f>SUMIFS(PURCHASE!$M$6:$M$10008,PURCHASE!$A$6:$A$10008,$AM$3,PURCHASE!$D$6:$D$10008,$C$5:$C$499)</f>
        <v>0</v>
      </c>
      <c r="AQ96" s="11">
        <f>SUMIFS(PURCHASE!$N$6:$N$10008,PURCHASE!$A$6:$A$10008,$AM$3,PURCHASE!$D$6:$D$10008,$C$5:$C$499)</f>
        <v>0</v>
      </c>
      <c r="AR96" s="11">
        <f t="shared" si="26"/>
        <v>0</v>
      </c>
      <c r="AS96" s="11">
        <f>SUMIFS(PURCHASE!$K$6:$K$10008,PURCHASE!$A$6:$A$10008,$AR$3,PURCHASE!$D$6:$D$10008,$C$5:$C$499)</f>
        <v>0</v>
      </c>
      <c r="AT96" s="11">
        <f>SUMIFS(PURCHASE!$L$6:$L$10008,PURCHASE!$A$6:$A$10008,$AR$3,PURCHASE!$D$6:$D$10008,$C$5:$C$499)</f>
        <v>0</v>
      </c>
      <c r="AU96" s="11">
        <f>SUMIFS(PURCHASE!$M$6:$M$10008,PURCHASE!$A$6:$A$10008,$AR$3,PURCHASE!$D$6:$D$10008,$C$5:$C$499)</f>
        <v>0</v>
      </c>
      <c r="AV96" s="11">
        <f>SUMIFS(PURCHASE!$N$6:$N$10008,PURCHASE!$A$6:$A$10008,$AR$3,PURCHASE!$D$6:$D$10008,$C$5:$C$499)</f>
        <v>0</v>
      </c>
      <c r="AW96" s="11">
        <f t="shared" si="27"/>
        <v>0</v>
      </c>
      <c r="AX96" s="11">
        <f>SUMIFS(PURCHASE!$K$6:$K$10008,PURCHASE!$A$6:$A$10008,$AW$3,PURCHASE!$D$6:$D$10008,$C$5:$C$499)</f>
        <v>0</v>
      </c>
      <c r="AY96" s="11">
        <f>SUMIFS(PURCHASE!$L$6:$L$10008,PURCHASE!$A$6:$A$10008,$AW$3,PURCHASE!$D$6:$D$10008,$C$5:$C$499)</f>
        <v>0</v>
      </c>
      <c r="AZ96" s="11">
        <f>SUMIFS(PURCHASE!$M$6:$M$10008,PURCHASE!$A$6:$A$10008,$AW$3,PURCHASE!$D$6:$D$10008,$C$5:$C$499)</f>
        <v>0</v>
      </c>
      <c r="BA96" s="11">
        <f>SUMIFS(PURCHASE!$N$6:$N$10008,PURCHASE!$A$6:$A$10008,$AW$3,PURCHASE!$D$6:$D$10008,$C$5:$C$499)</f>
        <v>0</v>
      </c>
      <c r="BB96" s="11">
        <f t="shared" si="28"/>
        <v>0</v>
      </c>
      <c r="BC96" s="11">
        <f>SUMIFS(PURCHASE!$K$6:$K$10008,PURCHASE!$A$6:$A$10008,$BB$3,PURCHASE!$D$6:$D$10008,$C$5:$C$499)</f>
        <v>0</v>
      </c>
      <c r="BD96" s="11">
        <f>SUMIFS(PURCHASE!$L$6:$L$10008,PURCHASE!$A$6:$A$10008,$BB$3,PURCHASE!$D$6:$D$10008,$C$5:$C$499)</f>
        <v>0</v>
      </c>
      <c r="BE96" s="11">
        <f>SUMIFS(PURCHASE!$M$6:$M$10008,PURCHASE!$A$6:$A$10008,$BB$3,PURCHASE!$D$6:$D$10008,$C$5:$C$499)</f>
        <v>0</v>
      </c>
      <c r="BF96" s="11">
        <f>SUMIFS(PURCHASE!$N$6:$N$10008,PURCHASE!$A$6:$A$10008,$BB$3,PURCHASE!$D$6:$D$10008,$C$5:$C$499)</f>
        <v>0</v>
      </c>
      <c r="BG96" s="11">
        <f t="shared" si="29"/>
        <v>0</v>
      </c>
      <c r="BH96" s="11">
        <f>SUMIFS(PURCHASE!$K$6:$K$10008,PURCHASE!$A$6:$A$10008,$BG$3,PURCHASE!$D$6:$D$10008,$C$5:$C$499)</f>
        <v>0</v>
      </c>
      <c r="BI96" s="11">
        <f>SUMIFS(PURCHASE!$L$6:$L$10008,PURCHASE!$A$6:$A$10008,$BG$3,PURCHASE!$D$6:$D$10008,$C$5:$C$499)</f>
        <v>0</v>
      </c>
      <c r="BJ96" s="11">
        <f>SUMIFS(PURCHASE!$M$6:$M$10008,PURCHASE!$A$6:$A$10008,$BG$3,PURCHASE!$D$6:$D$10008,$C$5:$C$499)</f>
        <v>0</v>
      </c>
      <c r="BK96" s="11">
        <f>SUMIFS(PURCHASE!$N$6:$N$10008,PURCHASE!$A$6:$A$10008,$BG$3,PURCHASE!$D$6:$D$10008,$C$5:$C$499)</f>
        <v>0</v>
      </c>
      <c r="BL96" s="11">
        <f t="shared" si="17"/>
        <v>1890805.1395999996</v>
      </c>
      <c r="BM96" s="11">
        <f t="shared" si="17"/>
        <v>1602377.2200000002</v>
      </c>
      <c r="BN96" s="11">
        <f t="shared" si="17"/>
        <v>0</v>
      </c>
      <c r="BO96" s="11">
        <f t="shared" si="17"/>
        <v>144213.95980000001</v>
      </c>
      <c r="BP96" s="11">
        <f t="shared" si="17"/>
        <v>144213.95980000001</v>
      </c>
    </row>
    <row r="97" spans="1:68" x14ac:dyDescent="0.2">
      <c r="A97" s="467">
        <v>94</v>
      </c>
      <c r="B97" s="468" t="s">
        <v>1142</v>
      </c>
      <c r="C97" s="469" t="s">
        <v>1143</v>
      </c>
      <c r="D97" s="11">
        <f t="shared" si="18"/>
        <v>0</v>
      </c>
      <c r="E97" s="11">
        <f>SUMIFS(PURCHASE!$K$6:$K$10008,PURCHASE!$A$6:$A$10008,$D$3,PURCHASE!$D$6:$D$10008,$C$5:$C$499)</f>
        <v>0</v>
      </c>
      <c r="F97" s="11">
        <f>SUMIFS(PURCHASE!$L$6:$L$10008,PURCHASE!$A$6:$A$10008,$D$3,PURCHASE!$D$6:$D$10008,$C$5:$C$499)</f>
        <v>0</v>
      </c>
      <c r="G97" s="11">
        <f>SUMIFS(PURCHASE!$M$6:$M$10008,PURCHASE!$A$6:$A$10008,$D$3,PURCHASE!$D$6:$D$10008,$C$5:$C$499)</f>
        <v>0</v>
      </c>
      <c r="H97" s="11">
        <f>SUMIFS(PURCHASE!$N$6:$N$10008,PURCHASE!$A$6:$A$10008,$D$3,PURCHASE!$D$6:$D$10008,$C$5:$C$499)</f>
        <v>0</v>
      </c>
      <c r="I97" s="473">
        <f t="shared" si="19"/>
        <v>0</v>
      </c>
      <c r="J97" s="60">
        <f>SUMIFS(PURCHASE!$K$6:$K$10008,PURCHASE!$A$6:$A$10008,$I$3,PURCHASE!$D$6:$D$10008,$C$5:$C$499)</f>
        <v>0</v>
      </c>
      <c r="K97" s="60">
        <f>SUMIFS(PURCHASE!$L$6:$L$10008,PURCHASE!$A$6:$A$10008,$I$3,PURCHASE!$D$6:$D$10008,$C$5:$C$499)</f>
        <v>0</v>
      </c>
      <c r="L97" s="60">
        <f>SUMIFS(PURCHASE!$M$6:$M$10008,PURCHASE!$A$6:$A$10008,$I$3,PURCHASE!$D$6:$D$10008,$C$5:$C$499)</f>
        <v>0</v>
      </c>
      <c r="M97" s="474">
        <f>SUMIFS(PURCHASE!$N$6:$N$10008,PURCHASE!$A$6:$A$10008,$I$3,PURCHASE!$D$6:$D$10008,$C$5:$C$499)</f>
        <v>0</v>
      </c>
      <c r="N97" s="11">
        <f t="shared" si="20"/>
        <v>0</v>
      </c>
      <c r="O97" s="11">
        <f>SUMIFS(PURCHASE!$K$6:$K$10008,PURCHASE!$A$6:$A$10008,$N$3,PURCHASE!$D$6:$D$10008,$C$5:$C$499)</f>
        <v>0</v>
      </c>
      <c r="P97" s="11">
        <f>SUMIFS(PURCHASE!$L$6:$L$10008,PURCHASE!$A$6:$A$10008,$N$3,PURCHASE!$D$6:$D$10008,$C$5:$C$499)</f>
        <v>0</v>
      </c>
      <c r="Q97" s="11">
        <f>SUMIFS(PURCHASE!$M$6:$M$10008,PURCHASE!$A$6:$A$10008,$N$3,PURCHASE!$D$6:$D$10008,$C$5:$C$499)</f>
        <v>0</v>
      </c>
      <c r="R97" s="11">
        <f>SUMIFS(PURCHASE!$N$6:$N$10008,PURCHASE!$A$6:$A$10008,$N$3,PURCHASE!$D$6:$D$10008,$C$5:$C$499)</f>
        <v>0</v>
      </c>
      <c r="S97" s="11">
        <f t="shared" si="21"/>
        <v>0</v>
      </c>
      <c r="T97" s="11">
        <f>SUMIFS(PURCHASE!$K$6:$K$10008,PURCHASE!$A$6:$A$10008,$S$3,PURCHASE!$D$6:$D$10008,$C$5:$C$499)</f>
        <v>0</v>
      </c>
      <c r="U97" s="11">
        <f>SUMIFS(PURCHASE!$L$6:$L$10008,PURCHASE!$A$6:$A$10008,$S$3,PURCHASE!$D$6:$D$10008,$C$5:$C$499)</f>
        <v>0</v>
      </c>
      <c r="V97" s="11">
        <f>SUMIFS(PURCHASE!$M$6:$M$10008,PURCHASE!$A$6:$A$10008,$S$3,PURCHASE!$D$6:$D$10008,$C$5:$C$499)</f>
        <v>0</v>
      </c>
      <c r="W97" s="11">
        <f>SUMIFS(PURCHASE!$N$6:$N$10008,PURCHASE!$A$6:$A$10008,$S$3,PURCHASE!$D$6:$D$10008,$C$5:$C$499)</f>
        <v>0</v>
      </c>
      <c r="X97" s="11">
        <f t="shared" si="22"/>
        <v>0</v>
      </c>
      <c r="Y97" s="11">
        <f>SUMIFS(PURCHASE!$K$6:$K$10008,PURCHASE!$A$6:$A$10008,$X$3,PURCHASE!$D$6:$D$10008,$C$5:$C$499)</f>
        <v>0</v>
      </c>
      <c r="Z97" s="11">
        <f>SUMIFS(PURCHASE!$L$6:$L$10008,PURCHASE!$A$6:$A$10008,$X$3,PURCHASE!$D$6:$D$10008,$C$5:$C$499)</f>
        <v>0</v>
      </c>
      <c r="AA97" s="11">
        <f>SUMIFS(PURCHASE!$M$6:$M$10008,PURCHASE!$A$6:$A$10008,$X$3,PURCHASE!$D$6:$D$10008,$C$5:$C$499)</f>
        <v>0</v>
      </c>
      <c r="AB97" s="11">
        <f>SUMIFS(PURCHASE!$N$6:$N$10008,PURCHASE!$A$6:$A$10008,$X$3,PURCHASE!$D$6:$D$10008,$C$5:$C$499)</f>
        <v>0</v>
      </c>
      <c r="AC97" s="11">
        <f t="shared" si="23"/>
        <v>0</v>
      </c>
      <c r="AD97" s="11">
        <f>SUMIFS(PURCHASE!$K$6:$K$10008,PURCHASE!$A$6:$A$10008,$AC$3,PURCHASE!$D$6:$D$10008,$C$5:$C$499)</f>
        <v>0</v>
      </c>
      <c r="AE97" s="11">
        <f>SUMIFS(PURCHASE!$L$6:$L$10008,PURCHASE!$A$6:$A$10008,$AC$3,PURCHASE!$D$6:$D$10008,$C$5:$C$499)</f>
        <v>0</v>
      </c>
      <c r="AF97" s="11">
        <f>SUMIFS(PURCHASE!$M$6:$M$10008,PURCHASE!$A$6:$A$10008,$AC$3,PURCHASE!$D$6:$D$10008,$C$5:$C$499)</f>
        <v>0</v>
      </c>
      <c r="AG97" s="11">
        <f>SUMIFS(PURCHASE!$N$6:$N$10008,PURCHASE!$A$6:$A$10008,$AC$3,PURCHASE!$D$6:$D$10008,$C$5:$C$499)</f>
        <v>0</v>
      </c>
      <c r="AH97" s="11">
        <f t="shared" si="24"/>
        <v>0</v>
      </c>
      <c r="AI97" s="11">
        <f>SUMIFS(PURCHASE!$K$6:$K$10008,PURCHASE!$A$6:$A$10008,$AH$3,PURCHASE!$D$6:$D$10008,$C$5:$C$499)</f>
        <v>0</v>
      </c>
      <c r="AJ97" s="11">
        <f>SUMIFS(PURCHASE!$L$6:$L$10008,PURCHASE!$A$6:$A$10008,$AH$3,PURCHASE!$D$6:$D$10008,$C$5:$C$499)</f>
        <v>0</v>
      </c>
      <c r="AK97" s="11">
        <f>SUMIFS(PURCHASE!$M$6:$M$10008,PURCHASE!$A$6:$A$10008,$AH$3,PURCHASE!$D$6:$D$10008,$C$5:$C$499)</f>
        <v>0</v>
      </c>
      <c r="AL97" s="11">
        <f>SUMIFS(PURCHASE!$N$6:$N$10008,PURCHASE!$A$6:$A$10008,$AH$3,PURCHASE!$D$6:$D$10008,$C$5:$C$499)</f>
        <v>0</v>
      </c>
      <c r="AM97" s="11">
        <f t="shared" si="25"/>
        <v>0</v>
      </c>
      <c r="AN97" s="11">
        <f>SUMIFS(PURCHASE!$K$6:$K$10008,PURCHASE!$A$6:$A$10008,$AM$3,PURCHASE!$D$6:$D$10008,$C$5:$C$499)</f>
        <v>0</v>
      </c>
      <c r="AO97" s="11">
        <f>SUMIFS(PURCHASE!$L$6:$L$10008,PURCHASE!$A$6:$A$10008,$AM$3,PURCHASE!$D$6:$D$10008,$C$5:$C$499)</f>
        <v>0</v>
      </c>
      <c r="AP97" s="11">
        <f>SUMIFS(PURCHASE!$M$6:$M$10008,PURCHASE!$A$6:$A$10008,$AM$3,PURCHASE!$D$6:$D$10008,$C$5:$C$499)</f>
        <v>0</v>
      </c>
      <c r="AQ97" s="11">
        <f>SUMIFS(PURCHASE!$N$6:$N$10008,PURCHASE!$A$6:$A$10008,$AM$3,PURCHASE!$D$6:$D$10008,$C$5:$C$499)</f>
        <v>0</v>
      </c>
      <c r="AR97" s="11">
        <f t="shared" si="26"/>
        <v>0</v>
      </c>
      <c r="AS97" s="11">
        <f>SUMIFS(PURCHASE!$K$6:$K$10008,PURCHASE!$A$6:$A$10008,$AR$3,PURCHASE!$D$6:$D$10008,$C$5:$C$499)</f>
        <v>0</v>
      </c>
      <c r="AT97" s="11">
        <f>SUMIFS(PURCHASE!$L$6:$L$10008,PURCHASE!$A$6:$A$10008,$AR$3,PURCHASE!$D$6:$D$10008,$C$5:$C$499)</f>
        <v>0</v>
      </c>
      <c r="AU97" s="11">
        <f>SUMIFS(PURCHASE!$M$6:$M$10008,PURCHASE!$A$6:$A$10008,$AR$3,PURCHASE!$D$6:$D$10008,$C$5:$C$499)</f>
        <v>0</v>
      </c>
      <c r="AV97" s="11">
        <f>SUMIFS(PURCHASE!$N$6:$N$10008,PURCHASE!$A$6:$A$10008,$AR$3,PURCHASE!$D$6:$D$10008,$C$5:$C$499)</f>
        <v>0</v>
      </c>
      <c r="AW97" s="11">
        <f t="shared" si="27"/>
        <v>0</v>
      </c>
      <c r="AX97" s="11">
        <f>SUMIFS(PURCHASE!$K$6:$K$10008,PURCHASE!$A$6:$A$10008,$AW$3,PURCHASE!$D$6:$D$10008,$C$5:$C$499)</f>
        <v>0</v>
      </c>
      <c r="AY97" s="11">
        <f>SUMIFS(PURCHASE!$L$6:$L$10008,PURCHASE!$A$6:$A$10008,$AW$3,PURCHASE!$D$6:$D$10008,$C$5:$C$499)</f>
        <v>0</v>
      </c>
      <c r="AZ97" s="11">
        <f>SUMIFS(PURCHASE!$M$6:$M$10008,PURCHASE!$A$6:$A$10008,$AW$3,PURCHASE!$D$6:$D$10008,$C$5:$C$499)</f>
        <v>0</v>
      </c>
      <c r="BA97" s="11">
        <f>SUMIFS(PURCHASE!$N$6:$N$10008,PURCHASE!$A$6:$A$10008,$AW$3,PURCHASE!$D$6:$D$10008,$C$5:$C$499)</f>
        <v>0</v>
      </c>
      <c r="BB97" s="11">
        <f t="shared" si="28"/>
        <v>0</v>
      </c>
      <c r="BC97" s="11">
        <f>SUMIFS(PURCHASE!$K$6:$K$10008,PURCHASE!$A$6:$A$10008,$BB$3,PURCHASE!$D$6:$D$10008,$C$5:$C$499)</f>
        <v>0</v>
      </c>
      <c r="BD97" s="11">
        <f>SUMIFS(PURCHASE!$L$6:$L$10008,PURCHASE!$A$6:$A$10008,$BB$3,PURCHASE!$D$6:$D$10008,$C$5:$C$499)</f>
        <v>0</v>
      </c>
      <c r="BE97" s="11">
        <f>SUMIFS(PURCHASE!$M$6:$M$10008,PURCHASE!$A$6:$A$10008,$BB$3,PURCHASE!$D$6:$D$10008,$C$5:$C$499)</f>
        <v>0</v>
      </c>
      <c r="BF97" s="11">
        <f>SUMIFS(PURCHASE!$N$6:$N$10008,PURCHASE!$A$6:$A$10008,$BB$3,PURCHASE!$D$6:$D$10008,$C$5:$C$499)</f>
        <v>0</v>
      </c>
      <c r="BG97" s="11">
        <f t="shared" si="29"/>
        <v>0</v>
      </c>
      <c r="BH97" s="11">
        <f>SUMIFS(PURCHASE!$K$6:$K$10008,PURCHASE!$A$6:$A$10008,$BG$3,PURCHASE!$D$6:$D$10008,$C$5:$C$499)</f>
        <v>0</v>
      </c>
      <c r="BI97" s="11">
        <f>SUMIFS(PURCHASE!$L$6:$L$10008,PURCHASE!$A$6:$A$10008,$BG$3,PURCHASE!$D$6:$D$10008,$C$5:$C$499)</f>
        <v>0</v>
      </c>
      <c r="BJ97" s="11">
        <f>SUMIFS(PURCHASE!$M$6:$M$10008,PURCHASE!$A$6:$A$10008,$BG$3,PURCHASE!$D$6:$D$10008,$C$5:$C$499)</f>
        <v>0</v>
      </c>
      <c r="BK97" s="11">
        <f>SUMIFS(PURCHASE!$N$6:$N$10008,PURCHASE!$A$6:$A$10008,$BG$3,PURCHASE!$D$6:$D$10008,$C$5:$C$499)</f>
        <v>0</v>
      </c>
      <c r="BL97" s="11">
        <f t="shared" si="17"/>
        <v>0</v>
      </c>
      <c r="BM97" s="11">
        <f t="shared" si="17"/>
        <v>0</v>
      </c>
      <c r="BN97" s="11">
        <f t="shared" si="17"/>
        <v>0</v>
      </c>
      <c r="BO97" s="11">
        <f t="shared" si="17"/>
        <v>0</v>
      </c>
      <c r="BP97" s="11">
        <f t="shared" si="17"/>
        <v>0</v>
      </c>
    </row>
    <row r="98" spans="1:68" x14ac:dyDescent="0.2">
      <c r="A98" s="467">
        <v>95</v>
      </c>
      <c r="B98" s="468" t="s">
        <v>1022</v>
      </c>
      <c r="C98" s="479" t="s">
        <v>1023</v>
      </c>
      <c r="D98" s="11">
        <f t="shared" si="18"/>
        <v>0</v>
      </c>
      <c r="E98" s="11">
        <f>SUMIFS(PURCHASE!$K$6:$K$10008,PURCHASE!$A$6:$A$10008,$D$3,PURCHASE!$D$6:$D$10008,$C$5:$C$499)</f>
        <v>0</v>
      </c>
      <c r="F98" s="11">
        <f>SUMIFS(PURCHASE!$L$6:$L$10008,PURCHASE!$A$6:$A$10008,$D$3,PURCHASE!$D$6:$D$10008,$C$5:$C$499)</f>
        <v>0</v>
      </c>
      <c r="G98" s="11">
        <f>SUMIFS(PURCHASE!$M$6:$M$10008,PURCHASE!$A$6:$A$10008,$D$3,PURCHASE!$D$6:$D$10008,$C$5:$C$499)</f>
        <v>0</v>
      </c>
      <c r="H98" s="11">
        <f>SUMIFS(PURCHASE!$N$6:$N$10008,PURCHASE!$A$6:$A$10008,$D$3,PURCHASE!$D$6:$D$10008,$C$5:$C$499)</f>
        <v>0</v>
      </c>
      <c r="I98" s="473">
        <f t="shared" si="19"/>
        <v>0</v>
      </c>
      <c r="J98" s="60">
        <f>SUMIFS(PURCHASE!$K$6:$K$10008,PURCHASE!$A$6:$A$10008,$I$3,PURCHASE!$D$6:$D$10008,$C$5:$C$499)</f>
        <v>0</v>
      </c>
      <c r="K98" s="60">
        <f>SUMIFS(PURCHASE!$L$6:$L$10008,PURCHASE!$A$6:$A$10008,$I$3,PURCHASE!$D$6:$D$10008,$C$5:$C$499)</f>
        <v>0</v>
      </c>
      <c r="L98" s="60">
        <f>SUMIFS(PURCHASE!$M$6:$M$10008,PURCHASE!$A$6:$A$10008,$I$3,PURCHASE!$D$6:$D$10008,$C$5:$C$499)</f>
        <v>0</v>
      </c>
      <c r="M98" s="474">
        <f>SUMIFS(PURCHASE!$N$6:$N$10008,PURCHASE!$A$6:$A$10008,$I$3,PURCHASE!$D$6:$D$10008,$C$5:$C$499)</f>
        <v>0</v>
      </c>
      <c r="N98" s="11">
        <f t="shared" si="20"/>
        <v>0</v>
      </c>
      <c r="O98" s="11">
        <f>SUMIFS(PURCHASE!$K$6:$K$10008,PURCHASE!$A$6:$A$10008,$N$3,PURCHASE!$D$6:$D$10008,$C$5:$C$499)</f>
        <v>0</v>
      </c>
      <c r="P98" s="11">
        <f>SUMIFS(PURCHASE!$L$6:$L$10008,PURCHASE!$A$6:$A$10008,$N$3,PURCHASE!$D$6:$D$10008,$C$5:$C$499)</f>
        <v>0</v>
      </c>
      <c r="Q98" s="11">
        <f>SUMIFS(PURCHASE!$M$6:$M$10008,PURCHASE!$A$6:$A$10008,$N$3,PURCHASE!$D$6:$D$10008,$C$5:$C$499)</f>
        <v>0</v>
      </c>
      <c r="R98" s="11">
        <f>SUMIFS(PURCHASE!$N$6:$N$10008,PURCHASE!$A$6:$A$10008,$N$3,PURCHASE!$D$6:$D$10008,$C$5:$C$499)</f>
        <v>0</v>
      </c>
      <c r="S98" s="11">
        <f t="shared" si="21"/>
        <v>0</v>
      </c>
      <c r="T98" s="11">
        <f>SUMIFS(PURCHASE!$K$6:$K$10008,PURCHASE!$A$6:$A$10008,$S$3,PURCHASE!$D$6:$D$10008,$C$5:$C$499)</f>
        <v>0</v>
      </c>
      <c r="U98" s="11">
        <f>SUMIFS(PURCHASE!$L$6:$L$10008,PURCHASE!$A$6:$A$10008,$S$3,PURCHASE!$D$6:$D$10008,$C$5:$C$499)</f>
        <v>0</v>
      </c>
      <c r="V98" s="11">
        <f>SUMIFS(PURCHASE!$M$6:$M$10008,PURCHASE!$A$6:$A$10008,$S$3,PURCHASE!$D$6:$D$10008,$C$5:$C$499)</f>
        <v>0</v>
      </c>
      <c r="W98" s="11">
        <f>SUMIFS(PURCHASE!$N$6:$N$10008,PURCHASE!$A$6:$A$10008,$S$3,PURCHASE!$D$6:$D$10008,$C$5:$C$499)</f>
        <v>0</v>
      </c>
      <c r="X98" s="11">
        <f t="shared" si="22"/>
        <v>0</v>
      </c>
      <c r="Y98" s="11">
        <f>SUMIFS(PURCHASE!$K$6:$K$10008,PURCHASE!$A$6:$A$10008,$X$3,PURCHASE!$D$6:$D$10008,$C$5:$C$499)</f>
        <v>0</v>
      </c>
      <c r="Z98" s="11">
        <f>SUMIFS(PURCHASE!$L$6:$L$10008,PURCHASE!$A$6:$A$10008,$X$3,PURCHASE!$D$6:$D$10008,$C$5:$C$499)</f>
        <v>0</v>
      </c>
      <c r="AA98" s="11">
        <f>SUMIFS(PURCHASE!$M$6:$M$10008,PURCHASE!$A$6:$A$10008,$X$3,PURCHASE!$D$6:$D$10008,$C$5:$C$499)</f>
        <v>0</v>
      </c>
      <c r="AB98" s="11">
        <f>SUMIFS(PURCHASE!$N$6:$N$10008,PURCHASE!$A$6:$A$10008,$X$3,PURCHASE!$D$6:$D$10008,$C$5:$C$499)</f>
        <v>0</v>
      </c>
      <c r="AC98" s="11">
        <f t="shared" si="23"/>
        <v>97344</v>
      </c>
      <c r="AD98" s="11">
        <f>SUMIFS(PURCHASE!$K$6:$K$10008,PURCHASE!$A$6:$A$10008,$AC$3,PURCHASE!$D$6:$D$10008,$C$5:$C$499)</f>
        <v>76050</v>
      </c>
      <c r="AE98" s="11">
        <f>SUMIFS(PURCHASE!$L$6:$L$10008,PURCHASE!$A$6:$A$10008,$AC$3,PURCHASE!$D$6:$D$10008,$C$5:$C$499)</f>
        <v>0</v>
      </c>
      <c r="AF98" s="11">
        <f>SUMIFS(PURCHASE!$M$6:$M$10008,PURCHASE!$A$6:$A$10008,$AC$3,PURCHASE!$D$6:$D$10008,$C$5:$C$499)</f>
        <v>10647</v>
      </c>
      <c r="AG98" s="11">
        <f>SUMIFS(PURCHASE!$N$6:$N$10008,PURCHASE!$A$6:$A$10008,$AC$3,PURCHASE!$D$6:$D$10008,$C$5:$C$499)</f>
        <v>10647</v>
      </c>
      <c r="AH98" s="11">
        <f t="shared" si="24"/>
        <v>0</v>
      </c>
      <c r="AI98" s="11">
        <f>SUMIFS(PURCHASE!$K$6:$K$10008,PURCHASE!$A$6:$A$10008,$AH$3,PURCHASE!$D$6:$D$10008,$C$5:$C$499)</f>
        <v>0</v>
      </c>
      <c r="AJ98" s="11">
        <f>SUMIFS(PURCHASE!$L$6:$L$10008,PURCHASE!$A$6:$A$10008,$AH$3,PURCHASE!$D$6:$D$10008,$C$5:$C$499)</f>
        <v>0</v>
      </c>
      <c r="AK98" s="11">
        <f>SUMIFS(PURCHASE!$M$6:$M$10008,PURCHASE!$A$6:$A$10008,$AH$3,PURCHASE!$D$6:$D$10008,$C$5:$C$499)</f>
        <v>0</v>
      </c>
      <c r="AL98" s="11">
        <f>SUMIFS(PURCHASE!$N$6:$N$10008,PURCHASE!$A$6:$A$10008,$AH$3,PURCHASE!$D$6:$D$10008,$C$5:$C$499)</f>
        <v>0</v>
      </c>
      <c r="AM98" s="11">
        <f t="shared" si="25"/>
        <v>0</v>
      </c>
      <c r="AN98" s="11">
        <f>SUMIFS(PURCHASE!$K$6:$K$10008,PURCHASE!$A$6:$A$10008,$AM$3,PURCHASE!$D$6:$D$10008,$C$5:$C$499)</f>
        <v>0</v>
      </c>
      <c r="AO98" s="11">
        <f>SUMIFS(PURCHASE!$L$6:$L$10008,PURCHASE!$A$6:$A$10008,$AM$3,PURCHASE!$D$6:$D$10008,$C$5:$C$499)</f>
        <v>0</v>
      </c>
      <c r="AP98" s="11">
        <f>SUMIFS(PURCHASE!$M$6:$M$10008,PURCHASE!$A$6:$A$10008,$AM$3,PURCHASE!$D$6:$D$10008,$C$5:$C$499)</f>
        <v>0</v>
      </c>
      <c r="AQ98" s="11">
        <f>SUMIFS(PURCHASE!$N$6:$N$10008,PURCHASE!$A$6:$A$10008,$AM$3,PURCHASE!$D$6:$D$10008,$C$5:$C$499)</f>
        <v>0</v>
      </c>
      <c r="AR98" s="11">
        <f t="shared" si="26"/>
        <v>0</v>
      </c>
      <c r="AS98" s="11">
        <f>SUMIFS(PURCHASE!$K$6:$K$10008,PURCHASE!$A$6:$A$10008,$AR$3,PURCHASE!$D$6:$D$10008,$C$5:$C$499)</f>
        <v>0</v>
      </c>
      <c r="AT98" s="11">
        <f>SUMIFS(PURCHASE!$L$6:$L$10008,PURCHASE!$A$6:$A$10008,$AR$3,PURCHASE!$D$6:$D$10008,$C$5:$C$499)</f>
        <v>0</v>
      </c>
      <c r="AU98" s="11">
        <f>SUMIFS(PURCHASE!$M$6:$M$10008,PURCHASE!$A$6:$A$10008,$AR$3,PURCHASE!$D$6:$D$10008,$C$5:$C$499)</f>
        <v>0</v>
      </c>
      <c r="AV98" s="11">
        <f>SUMIFS(PURCHASE!$N$6:$N$10008,PURCHASE!$A$6:$A$10008,$AR$3,PURCHASE!$D$6:$D$10008,$C$5:$C$499)</f>
        <v>0</v>
      </c>
      <c r="AW98" s="11">
        <f t="shared" si="27"/>
        <v>0</v>
      </c>
      <c r="AX98" s="11">
        <f>SUMIFS(PURCHASE!$K$6:$K$10008,PURCHASE!$A$6:$A$10008,$AW$3,PURCHASE!$D$6:$D$10008,$C$5:$C$499)</f>
        <v>0</v>
      </c>
      <c r="AY98" s="11">
        <f>SUMIFS(PURCHASE!$L$6:$L$10008,PURCHASE!$A$6:$A$10008,$AW$3,PURCHASE!$D$6:$D$10008,$C$5:$C$499)</f>
        <v>0</v>
      </c>
      <c r="AZ98" s="11">
        <f>SUMIFS(PURCHASE!$M$6:$M$10008,PURCHASE!$A$6:$A$10008,$AW$3,PURCHASE!$D$6:$D$10008,$C$5:$C$499)</f>
        <v>0</v>
      </c>
      <c r="BA98" s="11">
        <f>SUMIFS(PURCHASE!$N$6:$N$10008,PURCHASE!$A$6:$A$10008,$AW$3,PURCHASE!$D$6:$D$10008,$C$5:$C$499)</f>
        <v>0</v>
      </c>
      <c r="BB98" s="11">
        <f t="shared" si="28"/>
        <v>0</v>
      </c>
      <c r="BC98" s="11">
        <f>SUMIFS(PURCHASE!$K$6:$K$10008,PURCHASE!$A$6:$A$10008,$BB$3,PURCHASE!$D$6:$D$10008,$C$5:$C$499)</f>
        <v>0</v>
      </c>
      <c r="BD98" s="11">
        <f>SUMIFS(PURCHASE!$L$6:$L$10008,PURCHASE!$A$6:$A$10008,$BB$3,PURCHASE!$D$6:$D$10008,$C$5:$C$499)</f>
        <v>0</v>
      </c>
      <c r="BE98" s="11">
        <f>SUMIFS(PURCHASE!$M$6:$M$10008,PURCHASE!$A$6:$A$10008,$BB$3,PURCHASE!$D$6:$D$10008,$C$5:$C$499)</f>
        <v>0</v>
      </c>
      <c r="BF98" s="11">
        <f>SUMIFS(PURCHASE!$N$6:$N$10008,PURCHASE!$A$6:$A$10008,$BB$3,PURCHASE!$D$6:$D$10008,$C$5:$C$499)</f>
        <v>0</v>
      </c>
      <c r="BG98" s="11">
        <f t="shared" si="29"/>
        <v>0</v>
      </c>
      <c r="BH98" s="11">
        <f>SUMIFS(PURCHASE!$K$6:$K$10008,PURCHASE!$A$6:$A$10008,$BG$3,PURCHASE!$D$6:$D$10008,$C$5:$C$499)</f>
        <v>0</v>
      </c>
      <c r="BI98" s="11">
        <f>SUMIFS(PURCHASE!$L$6:$L$10008,PURCHASE!$A$6:$A$10008,$BG$3,PURCHASE!$D$6:$D$10008,$C$5:$C$499)</f>
        <v>0</v>
      </c>
      <c r="BJ98" s="11">
        <f>SUMIFS(PURCHASE!$M$6:$M$10008,PURCHASE!$A$6:$A$10008,$BG$3,PURCHASE!$D$6:$D$10008,$C$5:$C$499)</f>
        <v>0</v>
      </c>
      <c r="BK98" s="11">
        <f>SUMIFS(PURCHASE!$N$6:$N$10008,PURCHASE!$A$6:$A$10008,$BG$3,PURCHASE!$D$6:$D$10008,$C$5:$C$499)</f>
        <v>0</v>
      </c>
      <c r="BL98" s="11">
        <f t="shared" si="17"/>
        <v>97344</v>
      </c>
      <c r="BM98" s="11">
        <f t="shared" si="17"/>
        <v>76050</v>
      </c>
      <c r="BN98" s="11">
        <f t="shared" si="17"/>
        <v>0</v>
      </c>
      <c r="BO98" s="11">
        <f t="shared" si="17"/>
        <v>10647</v>
      </c>
      <c r="BP98" s="11">
        <f t="shared" si="17"/>
        <v>10647</v>
      </c>
    </row>
    <row r="99" spans="1:68" x14ac:dyDescent="0.2">
      <c r="A99" s="467">
        <v>96</v>
      </c>
      <c r="B99" s="468" t="s">
        <v>881</v>
      </c>
      <c r="C99" s="469" t="s">
        <v>882</v>
      </c>
      <c r="D99" s="11">
        <f t="shared" si="18"/>
        <v>0</v>
      </c>
      <c r="E99" s="11">
        <f>SUMIFS(PURCHASE!$K$6:$K$10008,PURCHASE!$A$6:$A$10008,$D$3,PURCHASE!$D$6:$D$10008,$C$5:$C$499)</f>
        <v>0</v>
      </c>
      <c r="F99" s="11">
        <f>SUMIFS(PURCHASE!$L$6:$L$10008,PURCHASE!$A$6:$A$10008,$D$3,PURCHASE!$D$6:$D$10008,$C$5:$C$499)</f>
        <v>0</v>
      </c>
      <c r="G99" s="11">
        <f>SUMIFS(PURCHASE!$M$6:$M$10008,PURCHASE!$A$6:$A$10008,$D$3,PURCHASE!$D$6:$D$10008,$C$5:$C$499)</f>
        <v>0</v>
      </c>
      <c r="H99" s="11">
        <f>SUMIFS(PURCHASE!$N$6:$N$10008,PURCHASE!$A$6:$A$10008,$D$3,PURCHASE!$D$6:$D$10008,$C$5:$C$499)</f>
        <v>0</v>
      </c>
      <c r="I99" s="473">
        <f t="shared" si="19"/>
        <v>0</v>
      </c>
      <c r="J99" s="60">
        <f>SUMIFS(PURCHASE!$K$6:$K$10008,PURCHASE!$A$6:$A$10008,$I$3,PURCHASE!$D$6:$D$10008,$C$5:$C$499)</f>
        <v>0</v>
      </c>
      <c r="K99" s="60">
        <f>SUMIFS(PURCHASE!$L$6:$L$10008,PURCHASE!$A$6:$A$10008,$I$3,PURCHASE!$D$6:$D$10008,$C$5:$C$499)</f>
        <v>0</v>
      </c>
      <c r="L99" s="60">
        <f>SUMIFS(PURCHASE!$M$6:$M$10008,PURCHASE!$A$6:$A$10008,$I$3,PURCHASE!$D$6:$D$10008,$C$5:$C$499)</f>
        <v>0</v>
      </c>
      <c r="M99" s="474">
        <f>SUMIFS(PURCHASE!$N$6:$N$10008,PURCHASE!$A$6:$A$10008,$I$3,PURCHASE!$D$6:$D$10008,$C$5:$C$499)</f>
        <v>0</v>
      </c>
      <c r="N99" s="11">
        <f t="shared" si="20"/>
        <v>0</v>
      </c>
      <c r="O99" s="11">
        <f>SUMIFS(PURCHASE!$K$6:$K$10008,PURCHASE!$A$6:$A$10008,$N$3,PURCHASE!$D$6:$D$10008,$C$5:$C$499)</f>
        <v>0</v>
      </c>
      <c r="P99" s="11">
        <f>SUMIFS(PURCHASE!$L$6:$L$10008,PURCHASE!$A$6:$A$10008,$N$3,PURCHASE!$D$6:$D$10008,$C$5:$C$499)</f>
        <v>0</v>
      </c>
      <c r="Q99" s="11">
        <f>SUMIFS(PURCHASE!$M$6:$M$10008,PURCHASE!$A$6:$A$10008,$N$3,PURCHASE!$D$6:$D$10008,$C$5:$C$499)</f>
        <v>0</v>
      </c>
      <c r="R99" s="11">
        <f>SUMIFS(PURCHASE!$N$6:$N$10008,PURCHASE!$A$6:$A$10008,$N$3,PURCHASE!$D$6:$D$10008,$C$5:$C$499)</f>
        <v>0</v>
      </c>
      <c r="S99" s="11">
        <f t="shared" si="21"/>
        <v>0</v>
      </c>
      <c r="T99" s="11">
        <f>SUMIFS(PURCHASE!$K$6:$K$10008,PURCHASE!$A$6:$A$10008,$S$3,PURCHASE!$D$6:$D$10008,$C$5:$C$499)</f>
        <v>0</v>
      </c>
      <c r="U99" s="11">
        <f>SUMIFS(PURCHASE!$L$6:$L$10008,PURCHASE!$A$6:$A$10008,$S$3,PURCHASE!$D$6:$D$10008,$C$5:$C$499)</f>
        <v>0</v>
      </c>
      <c r="V99" s="11">
        <f>SUMIFS(PURCHASE!$M$6:$M$10008,PURCHASE!$A$6:$A$10008,$S$3,PURCHASE!$D$6:$D$10008,$C$5:$C$499)</f>
        <v>0</v>
      </c>
      <c r="W99" s="11">
        <f>SUMIFS(PURCHASE!$N$6:$N$10008,PURCHASE!$A$6:$A$10008,$S$3,PURCHASE!$D$6:$D$10008,$C$5:$C$499)</f>
        <v>0</v>
      </c>
      <c r="X99" s="11">
        <f t="shared" si="22"/>
        <v>17700</v>
      </c>
      <c r="Y99" s="11">
        <f>SUMIFS(PURCHASE!$K$6:$K$10008,PURCHASE!$A$6:$A$10008,$X$3,PURCHASE!$D$6:$D$10008,$C$5:$C$499)</f>
        <v>15000</v>
      </c>
      <c r="Z99" s="11">
        <f>SUMIFS(PURCHASE!$L$6:$L$10008,PURCHASE!$A$6:$A$10008,$X$3,PURCHASE!$D$6:$D$10008,$C$5:$C$499)</f>
        <v>0</v>
      </c>
      <c r="AA99" s="11">
        <f>SUMIFS(PURCHASE!$M$6:$M$10008,PURCHASE!$A$6:$A$10008,$X$3,PURCHASE!$D$6:$D$10008,$C$5:$C$499)</f>
        <v>1350</v>
      </c>
      <c r="AB99" s="11">
        <f>SUMIFS(PURCHASE!$N$6:$N$10008,PURCHASE!$A$6:$A$10008,$X$3,PURCHASE!$D$6:$D$10008,$C$5:$C$499)</f>
        <v>1350</v>
      </c>
      <c r="AC99" s="11">
        <f t="shared" si="23"/>
        <v>0</v>
      </c>
      <c r="AD99" s="11">
        <f>SUMIFS(PURCHASE!$K$6:$K$10008,PURCHASE!$A$6:$A$10008,$AC$3,PURCHASE!$D$6:$D$10008,$C$5:$C$499)</f>
        <v>0</v>
      </c>
      <c r="AE99" s="11">
        <f>SUMIFS(PURCHASE!$L$6:$L$10008,PURCHASE!$A$6:$A$10008,$AC$3,PURCHASE!$D$6:$D$10008,$C$5:$C$499)</f>
        <v>0</v>
      </c>
      <c r="AF99" s="11">
        <f>SUMIFS(PURCHASE!$M$6:$M$10008,PURCHASE!$A$6:$A$10008,$AC$3,PURCHASE!$D$6:$D$10008,$C$5:$C$499)</f>
        <v>0</v>
      </c>
      <c r="AG99" s="11">
        <f>SUMIFS(PURCHASE!$N$6:$N$10008,PURCHASE!$A$6:$A$10008,$AC$3,PURCHASE!$D$6:$D$10008,$C$5:$C$499)</f>
        <v>0</v>
      </c>
      <c r="AH99" s="11">
        <f t="shared" si="24"/>
        <v>0</v>
      </c>
      <c r="AI99" s="11">
        <f>SUMIFS(PURCHASE!$K$6:$K$10008,PURCHASE!$A$6:$A$10008,$AH$3,PURCHASE!$D$6:$D$10008,$C$5:$C$499)</f>
        <v>0</v>
      </c>
      <c r="AJ99" s="11">
        <f>SUMIFS(PURCHASE!$L$6:$L$10008,PURCHASE!$A$6:$A$10008,$AH$3,PURCHASE!$D$6:$D$10008,$C$5:$C$499)</f>
        <v>0</v>
      </c>
      <c r="AK99" s="11">
        <f>SUMIFS(PURCHASE!$M$6:$M$10008,PURCHASE!$A$6:$A$10008,$AH$3,PURCHASE!$D$6:$D$10008,$C$5:$C$499)</f>
        <v>0</v>
      </c>
      <c r="AL99" s="11">
        <f>SUMIFS(PURCHASE!$N$6:$N$10008,PURCHASE!$A$6:$A$10008,$AH$3,PURCHASE!$D$6:$D$10008,$C$5:$C$499)</f>
        <v>0</v>
      </c>
      <c r="AM99" s="11">
        <f t="shared" si="25"/>
        <v>0</v>
      </c>
      <c r="AN99" s="11">
        <f>SUMIFS(PURCHASE!$K$6:$K$10008,PURCHASE!$A$6:$A$10008,$AM$3,PURCHASE!$D$6:$D$10008,$C$5:$C$499)</f>
        <v>0</v>
      </c>
      <c r="AO99" s="11">
        <f>SUMIFS(PURCHASE!$L$6:$L$10008,PURCHASE!$A$6:$A$10008,$AM$3,PURCHASE!$D$6:$D$10008,$C$5:$C$499)</f>
        <v>0</v>
      </c>
      <c r="AP99" s="11">
        <f>SUMIFS(PURCHASE!$M$6:$M$10008,PURCHASE!$A$6:$A$10008,$AM$3,PURCHASE!$D$6:$D$10008,$C$5:$C$499)</f>
        <v>0</v>
      </c>
      <c r="AQ99" s="11">
        <f>SUMIFS(PURCHASE!$N$6:$N$10008,PURCHASE!$A$6:$A$10008,$AM$3,PURCHASE!$D$6:$D$10008,$C$5:$C$499)</f>
        <v>0</v>
      </c>
      <c r="AR99" s="11">
        <f t="shared" si="26"/>
        <v>0</v>
      </c>
      <c r="AS99" s="11">
        <f>SUMIFS(PURCHASE!$K$6:$K$10008,PURCHASE!$A$6:$A$10008,$AR$3,PURCHASE!$D$6:$D$10008,$C$5:$C$499)</f>
        <v>0</v>
      </c>
      <c r="AT99" s="11">
        <f>SUMIFS(PURCHASE!$L$6:$L$10008,PURCHASE!$A$6:$A$10008,$AR$3,PURCHASE!$D$6:$D$10008,$C$5:$C$499)</f>
        <v>0</v>
      </c>
      <c r="AU99" s="11">
        <f>SUMIFS(PURCHASE!$M$6:$M$10008,PURCHASE!$A$6:$A$10008,$AR$3,PURCHASE!$D$6:$D$10008,$C$5:$C$499)</f>
        <v>0</v>
      </c>
      <c r="AV99" s="11">
        <f>SUMIFS(PURCHASE!$N$6:$N$10008,PURCHASE!$A$6:$A$10008,$AR$3,PURCHASE!$D$6:$D$10008,$C$5:$C$499)</f>
        <v>0</v>
      </c>
      <c r="AW99" s="11">
        <f t="shared" si="27"/>
        <v>0</v>
      </c>
      <c r="AX99" s="11">
        <f>SUMIFS(PURCHASE!$K$6:$K$10008,PURCHASE!$A$6:$A$10008,$AW$3,PURCHASE!$D$6:$D$10008,$C$5:$C$499)</f>
        <v>0</v>
      </c>
      <c r="AY99" s="11">
        <f>SUMIFS(PURCHASE!$L$6:$L$10008,PURCHASE!$A$6:$A$10008,$AW$3,PURCHASE!$D$6:$D$10008,$C$5:$C$499)</f>
        <v>0</v>
      </c>
      <c r="AZ99" s="11">
        <f>SUMIFS(PURCHASE!$M$6:$M$10008,PURCHASE!$A$6:$A$10008,$AW$3,PURCHASE!$D$6:$D$10008,$C$5:$C$499)</f>
        <v>0</v>
      </c>
      <c r="BA99" s="11">
        <f>SUMIFS(PURCHASE!$N$6:$N$10008,PURCHASE!$A$6:$A$10008,$AW$3,PURCHASE!$D$6:$D$10008,$C$5:$C$499)</f>
        <v>0</v>
      </c>
      <c r="BB99" s="11">
        <f t="shared" si="28"/>
        <v>0</v>
      </c>
      <c r="BC99" s="11">
        <f>SUMIFS(PURCHASE!$K$6:$K$10008,PURCHASE!$A$6:$A$10008,$BB$3,PURCHASE!$D$6:$D$10008,$C$5:$C$499)</f>
        <v>0</v>
      </c>
      <c r="BD99" s="11">
        <f>SUMIFS(PURCHASE!$L$6:$L$10008,PURCHASE!$A$6:$A$10008,$BB$3,PURCHASE!$D$6:$D$10008,$C$5:$C$499)</f>
        <v>0</v>
      </c>
      <c r="BE99" s="11">
        <f>SUMIFS(PURCHASE!$M$6:$M$10008,PURCHASE!$A$6:$A$10008,$BB$3,PURCHASE!$D$6:$D$10008,$C$5:$C$499)</f>
        <v>0</v>
      </c>
      <c r="BF99" s="11">
        <f>SUMIFS(PURCHASE!$N$6:$N$10008,PURCHASE!$A$6:$A$10008,$BB$3,PURCHASE!$D$6:$D$10008,$C$5:$C$499)</f>
        <v>0</v>
      </c>
      <c r="BG99" s="11">
        <f t="shared" si="29"/>
        <v>0</v>
      </c>
      <c r="BH99" s="11">
        <f>SUMIFS(PURCHASE!$K$6:$K$10008,PURCHASE!$A$6:$A$10008,$BG$3,PURCHASE!$D$6:$D$10008,$C$5:$C$499)</f>
        <v>0</v>
      </c>
      <c r="BI99" s="11">
        <f>SUMIFS(PURCHASE!$L$6:$L$10008,PURCHASE!$A$6:$A$10008,$BG$3,PURCHASE!$D$6:$D$10008,$C$5:$C$499)</f>
        <v>0</v>
      </c>
      <c r="BJ99" s="11">
        <f>SUMIFS(PURCHASE!$M$6:$M$10008,PURCHASE!$A$6:$A$10008,$BG$3,PURCHASE!$D$6:$D$10008,$C$5:$C$499)</f>
        <v>0</v>
      </c>
      <c r="BK99" s="11">
        <f>SUMIFS(PURCHASE!$N$6:$N$10008,PURCHASE!$A$6:$A$10008,$BG$3,PURCHASE!$D$6:$D$10008,$C$5:$C$499)</f>
        <v>0</v>
      </c>
      <c r="BL99" s="11">
        <f t="shared" si="17"/>
        <v>17700</v>
      </c>
      <c r="BM99" s="11">
        <f t="shared" si="17"/>
        <v>15000</v>
      </c>
      <c r="BN99" s="11">
        <f t="shared" si="17"/>
        <v>0</v>
      </c>
      <c r="BO99" s="11">
        <f t="shared" si="17"/>
        <v>1350</v>
      </c>
      <c r="BP99" s="11">
        <f t="shared" si="17"/>
        <v>1350</v>
      </c>
    </row>
    <row r="100" spans="1:68" x14ac:dyDescent="0.2">
      <c r="A100" s="467">
        <v>97</v>
      </c>
      <c r="B100" s="475" t="s">
        <v>1144</v>
      </c>
      <c r="C100" s="469" t="s">
        <v>1145</v>
      </c>
      <c r="D100" s="11">
        <f t="shared" si="18"/>
        <v>0</v>
      </c>
      <c r="E100" s="11">
        <f>SUMIFS(PURCHASE!$K$6:$K$10008,PURCHASE!$A$6:$A$10008,$D$3,PURCHASE!$D$6:$D$10008,$C$5:$C$499)</f>
        <v>0</v>
      </c>
      <c r="F100" s="11">
        <f>SUMIFS(PURCHASE!$L$6:$L$10008,PURCHASE!$A$6:$A$10008,$D$3,PURCHASE!$D$6:$D$10008,$C$5:$C$499)</f>
        <v>0</v>
      </c>
      <c r="G100" s="11">
        <f>SUMIFS(PURCHASE!$M$6:$M$10008,PURCHASE!$A$6:$A$10008,$D$3,PURCHASE!$D$6:$D$10008,$C$5:$C$499)</f>
        <v>0</v>
      </c>
      <c r="H100" s="11">
        <f>SUMIFS(PURCHASE!$N$6:$N$10008,PURCHASE!$A$6:$A$10008,$D$3,PURCHASE!$D$6:$D$10008,$C$5:$C$499)</f>
        <v>0</v>
      </c>
      <c r="I100" s="473">
        <f t="shared" si="19"/>
        <v>0</v>
      </c>
      <c r="J100" s="60">
        <f>SUMIFS(PURCHASE!$K$6:$K$10008,PURCHASE!$A$6:$A$10008,$I$3,PURCHASE!$D$6:$D$10008,$C$5:$C$499)</f>
        <v>0</v>
      </c>
      <c r="K100" s="60">
        <f>SUMIFS(PURCHASE!$L$6:$L$10008,PURCHASE!$A$6:$A$10008,$I$3,PURCHASE!$D$6:$D$10008,$C$5:$C$499)</f>
        <v>0</v>
      </c>
      <c r="L100" s="60">
        <f>SUMIFS(PURCHASE!$M$6:$M$10008,PURCHASE!$A$6:$A$10008,$I$3,PURCHASE!$D$6:$D$10008,$C$5:$C$499)</f>
        <v>0</v>
      </c>
      <c r="M100" s="474">
        <f>SUMIFS(PURCHASE!$N$6:$N$10008,PURCHASE!$A$6:$A$10008,$I$3,PURCHASE!$D$6:$D$10008,$C$5:$C$499)</f>
        <v>0</v>
      </c>
      <c r="N100" s="11">
        <f t="shared" si="20"/>
        <v>0</v>
      </c>
      <c r="O100" s="11">
        <f>SUMIFS(PURCHASE!$K$6:$K$10008,PURCHASE!$A$6:$A$10008,$N$3,PURCHASE!$D$6:$D$10008,$C$5:$C$499)</f>
        <v>0</v>
      </c>
      <c r="P100" s="11">
        <f>SUMIFS(PURCHASE!$L$6:$L$10008,PURCHASE!$A$6:$A$10008,$N$3,PURCHASE!$D$6:$D$10008,$C$5:$C$499)</f>
        <v>0</v>
      </c>
      <c r="Q100" s="11">
        <f>SUMIFS(PURCHASE!$M$6:$M$10008,PURCHASE!$A$6:$A$10008,$N$3,PURCHASE!$D$6:$D$10008,$C$5:$C$499)</f>
        <v>0</v>
      </c>
      <c r="R100" s="11">
        <f>SUMIFS(PURCHASE!$N$6:$N$10008,PURCHASE!$A$6:$A$10008,$N$3,PURCHASE!$D$6:$D$10008,$C$5:$C$499)</f>
        <v>0</v>
      </c>
      <c r="S100" s="11">
        <f t="shared" si="21"/>
        <v>0</v>
      </c>
      <c r="T100" s="11">
        <f>SUMIFS(PURCHASE!$K$6:$K$10008,PURCHASE!$A$6:$A$10008,$S$3,PURCHASE!$D$6:$D$10008,$C$5:$C$499)</f>
        <v>0</v>
      </c>
      <c r="U100" s="11">
        <f>SUMIFS(PURCHASE!$L$6:$L$10008,PURCHASE!$A$6:$A$10008,$S$3,PURCHASE!$D$6:$D$10008,$C$5:$C$499)</f>
        <v>0</v>
      </c>
      <c r="V100" s="11">
        <f>SUMIFS(PURCHASE!$M$6:$M$10008,PURCHASE!$A$6:$A$10008,$S$3,PURCHASE!$D$6:$D$10008,$C$5:$C$499)</f>
        <v>0</v>
      </c>
      <c r="W100" s="11">
        <f>SUMIFS(PURCHASE!$N$6:$N$10008,PURCHASE!$A$6:$A$10008,$S$3,PURCHASE!$D$6:$D$10008,$C$5:$C$499)</f>
        <v>0</v>
      </c>
      <c r="X100" s="11">
        <f t="shared" si="22"/>
        <v>0</v>
      </c>
      <c r="Y100" s="11">
        <f>SUMIFS(PURCHASE!$K$6:$K$10008,PURCHASE!$A$6:$A$10008,$X$3,PURCHASE!$D$6:$D$10008,$C$5:$C$499)</f>
        <v>0</v>
      </c>
      <c r="Z100" s="11">
        <f>SUMIFS(PURCHASE!$L$6:$L$10008,PURCHASE!$A$6:$A$10008,$X$3,PURCHASE!$D$6:$D$10008,$C$5:$C$499)</f>
        <v>0</v>
      </c>
      <c r="AA100" s="11">
        <f>SUMIFS(PURCHASE!$M$6:$M$10008,PURCHASE!$A$6:$A$10008,$X$3,PURCHASE!$D$6:$D$10008,$C$5:$C$499)</f>
        <v>0</v>
      </c>
      <c r="AB100" s="11">
        <f>SUMIFS(PURCHASE!$N$6:$N$10008,PURCHASE!$A$6:$A$10008,$X$3,PURCHASE!$D$6:$D$10008,$C$5:$C$499)</f>
        <v>0</v>
      </c>
      <c r="AC100" s="11">
        <f t="shared" si="23"/>
        <v>0</v>
      </c>
      <c r="AD100" s="11">
        <f>SUMIFS(PURCHASE!$K$6:$K$10008,PURCHASE!$A$6:$A$10008,$AC$3,PURCHASE!$D$6:$D$10008,$C$5:$C$499)</f>
        <v>0</v>
      </c>
      <c r="AE100" s="11">
        <f>SUMIFS(PURCHASE!$L$6:$L$10008,PURCHASE!$A$6:$A$10008,$AC$3,PURCHASE!$D$6:$D$10008,$C$5:$C$499)</f>
        <v>0</v>
      </c>
      <c r="AF100" s="11">
        <f>SUMIFS(PURCHASE!$M$6:$M$10008,PURCHASE!$A$6:$A$10008,$AC$3,PURCHASE!$D$6:$D$10008,$C$5:$C$499)</f>
        <v>0</v>
      </c>
      <c r="AG100" s="11">
        <f>SUMIFS(PURCHASE!$N$6:$N$10008,PURCHASE!$A$6:$A$10008,$AC$3,PURCHASE!$D$6:$D$10008,$C$5:$C$499)</f>
        <v>0</v>
      </c>
      <c r="AH100" s="11">
        <f t="shared" si="24"/>
        <v>0</v>
      </c>
      <c r="AI100" s="11">
        <f>SUMIFS(PURCHASE!$K$6:$K$10008,PURCHASE!$A$6:$A$10008,$AH$3,PURCHASE!$D$6:$D$10008,$C$5:$C$499)</f>
        <v>0</v>
      </c>
      <c r="AJ100" s="11">
        <f>SUMIFS(PURCHASE!$L$6:$L$10008,PURCHASE!$A$6:$A$10008,$AH$3,PURCHASE!$D$6:$D$10008,$C$5:$C$499)</f>
        <v>0</v>
      </c>
      <c r="AK100" s="11">
        <f>SUMIFS(PURCHASE!$M$6:$M$10008,PURCHASE!$A$6:$A$10008,$AH$3,PURCHASE!$D$6:$D$10008,$C$5:$C$499)</f>
        <v>0</v>
      </c>
      <c r="AL100" s="11">
        <f>SUMIFS(PURCHASE!$N$6:$N$10008,PURCHASE!$A$6:$A$10008,$AH$3,PURCHASE!$D$6:$D$10008,$C$5:$C$499)</f>
        <v>0</v>
      </c>
      <c r="AM100" s="11">
        <f t="shared" si="25"/>
        <v>0</v>
      </c>
      <c r="AN100" s="11">
        <f>SUMIFS(PURCHASE!$K$6:$K$10008,PURCHASE!$A$6:$A$10008,$AM$3,PURCHASE!$D$6:$D$10008,$C$5:$C$499)</f>
        <v>0</v>
      </c>
      <c r="AO100" s="11">
        <f>SUMIFS(PURCHASE!$L$6:$L$10008,PURCHASE!$A$6:$A$10008,$AM$3,PURCHASE!$D$6:$D$10008,$C$5:$C$499)</f>
        <v>0</v>
      </c>
      <c r="AP100" s="11">
        <f>SUMIFS(PURCHASE!$M$6:$M$10008,PURCHASE!$A$6:$A$10008,$AM$3,PURCHASE!$D$6:$D$10008,$C$5:$C$499)</f>
        <v>0</v>
      </c>
      <c r="AQ100" s="11">
        <f>SUMIFS(PURCHASE!$N$6:$N$10008,PURCHASE!$A$6:$A$10008,$AM$3,PURCHASE!$D$6:$D$10008,$C$5:$C$499)</f>
        <v>0</v>
      </c>
      <c r="AR100" s="11">
        <f t="shared" si="26"/>
        <v>0</v>
      </c>
      <c r="AS100" s="11">
        <f>SUMIFS(PURCHASE!$K$6:$K$10008,PURCHASE!$A$6:$A$10008,$AR$3,PURCHASE!$D$6:$D$10008,$C$5:$C$499)</f>
        <v>0</v>
      </c>
      <c r="AT100" s="11">
        <f>SUMIFS(PURCHASE!$L$6:$L$10008,PURCHASE!$A$6:$A$10008,$AR$3,PURCHASE!$D$6:$D$10008,$C$5:$C$499)</f>
        <v>0</v>
      </c>
      <c r="AU100" s="11">
        <f>SUMIFS(PURCHASE!$M$6:$M$10008,PURCHASE!$A$6:$A$10008,$AR$3,PURCHASE!$D$6:$D$10008,$C$5:$C$499)</f>
        <v>0</v>
      </c>
      <c r="AV100" s="11">
        <f>SUMIFS(PURCHASE!$N$6:$N$10008,PURCHASE!$A$6:$A$10008,$AR$3,PURCHASE!$D$6:$D$10008,$C$5:$C$499)</f>
        <v>0</v>
      </c>
      <c r="AW100" s="11">
        <f t="shared" si="27"/>
        <v>0</v>
      </c>
      <c r="AX100" s="11">
        <f>SUMIFS(PURCHASE!$K$6:$K$10008,PURCHASE!$A$6:$A$10008,$AW$3,PURCHASE!$D$6:$D$10008,$C$5:$C$499)</f>
        <v>0</v>
      </c>
      <c r="AY100" s="11">
        <f>SUMIFS(PURCHASE!$L$6:$L$10008,PURCHASE!$A$6:$A$10008,$AW$3,PURCHASE!$D$6:$D$10008,$C$5:$C$499)</f>
        <v>0</v>
      </c>
      <c r="AZ100" s="11">
        <f>SUMIFS(PURCHASE!$M$6:$M$10008,PURCHASE!$A$6:$A$10008,$AW$3,PURCHASE!$D$6:$D$10008,$C$5:$C$499)</f>
        <v>0</v>
      </c>
      <c r="BA100" s="11">
        <f>SUMIFS(PURCHASE!$N$6:$N$10008,PURCHASE!$A$6:$A$10008,$AW$3,PURCHASE!$D$6:$D$10008,$C$5:$C$499)</f>
        <v>0</v>
      </c>
      <c r="BB100" s="11">
        <f t="shared" si="28"/>
        <v>0</v>
      </c>
      <c r="BC100" s="11">
        <f>SUMIFS(PURCHASE!$K$6:$K$10008,PURCHASE!$A$6:$A$10008,$BB$3,PURCHASE!$D$6:$D$10008,$C$5:$C$499)</f>
        <v>0</v>
      </c>
      <c r="BD100" s="11">
        <f>SUMIFS(PURCHASE!$L$6:$L$10008,PURCHASE!$A$6:$A$10008,$BB$3,PURCHASE!$D$6:$D$10008,$C$5:$C$499)</f>
        <v>0</v>
      </c>
      <c r="BE100" s="11">
        <f>SUMIFS(PURCHASE!$M$6:$M$10008,PURCHASE!$A$6:$A$10008,$BB$3,PURCHASE!$D$6:$D$10008,$C$5:$C$499)</f>
        <v>0</v>
      </c>
      <c r="BF100" s="11">
        <f>SUMIFS(PURCHASE!$N$6:$N$10008,PURCHASE!$A$6:$A$10008,$BB$3,PURCHASE!$D$6:$D$10008,$C$5:$C$499)</f>
        <v>0</v>
      </c>
      <c r="BG100" s="11">
        <f t="shared" si="29"/>
        <v>0</v>
      </c>
      <c r="BH100" s="11">
        <f>SUMIFS(PURCHASE!$K$6:$K$10008,PURCHASE!$A$6:$A$10008,$BG$3,PURCHASE!$D$6:$D$10008,$C$5:$C$499)</f>
        <v>0</v>
      </c>
      <c r="BI100" s="11">
        <f>SUMIFS(PURCHASE!$L$6:$L$10008,PURCHASE!$A$6:$A$10008,$BG$3,PURCHASE!$D$6:$D$10008,$C$5:$C$499)</f>
        <v>0</v>
      </c>
      <c r="BJ100" s="11">
        <f>SUMIFS(PURCHASE!$M$6:$M$10008,PURCHASE!$A$6:$A$10008,$BG$3,PURCHASE!$D$6:$D$10008,$C$5:$C$499)</f>
        <v>0</v>
      </c>
      <c r="BK100" s="11">
        <f>SUMIFS(PURCHASE!$N$6:$N$10008,PURCHASE!$A$6:$A$10008,$BG$3,PURCHASE!$D$6:$D$10008,$C$5:$C$499)</f>
        <v>0</v>
      </c>
      <c r="BL100" s="11">
        <f t="shared" si="17"/>
        <v>0</v>
      </c>
      <c r="BM100" s="11">
        <f t="shared" si="17"/>
        <v>0</v>
      </c>
      <c r="BN100" s="11">
        <f t="shared" si="17"/>
        <v>0</v>
      </c>
      <c r="BO100" s="11">
        <f t="shared" si="17"/>
        <v>0</v>
      </c>
      <c r="BP100" s="11">
        <f t="shared" si="17"/>
        <v>0</v>
      </c>
    </row>
    <row r="101" spans="1:68" x14ac:dyDescent="0.2">
      <c r="A101" s="467">
        <v>98</v>
      </c>
      <c r="B101" s="468" t="s">
        <v>1146</v>
      </c>
      <c r="C101" s="469" t="s">
        <v>1147</v>
      </c>
      <c r="D101" s="11">
        <f t="shared" si="18"/>
        <v>0</v>
      </c>
      <c r="E101" s="11">
        <f>SUMIFS(PURCHASE!$K$6:$K$10008,PURCHASE!$A$6:$A$10008,$D$3,PURCHASE!$D$6:$D$10008,$C$5:$C$499)</f>
        <v>0</v>
      </c>
      <c r="F101" s="11">
        <f>SUMIFS(PURCHASE!$L$6:$L$10008,PURCHASE!$A$6:$A$10008,$D$3,PURCHASE!$D$6:$D$10008,$C$5:$C$499)</f>
        <v>0</v>
      </c>
      <c r="G101" s="11">
        <f>SUMIFS(PURCHASE!$M$6:$M$10008,PURCHASE!$A$6:$A$10008,$D$3,PURCHASE!$D$6:$D$10008,$C$5:$C$499)</f>
        <v>0</v>
      </c>
      <c r="H101" s="11">
        <f>SUMIFS(PURCHASE!$N$6:$N$10008,PURCHASE!$A$6:$A$10008,$D$3,PURCHASE!$D$6:$D$10008,$C$5:$C$499)</f>
        <v>0</v>
      </c>
      <c r="I101" s="473">
        <f t="shared" si="19"/>
        <v>0</v>
      </c>
      <c r="J101" s="60">
        <f>SUMIFS(PURCHASE!$K$6:$K$10008,PURCHASE!$A$6:$A$10008,$I$3,PURCHASE!$D$6:$D$10008,$C$5:$C$499)</f>
        <v>0</v>
      </c>
      <c r="K101" s="60">
        <f>SUMIFS(PURCHASE!$L$6:$L$10008,PURCHASE!$A$6:$A$10008,$I$3,PURCHASE!$D$6:$D$10008,$C$5:$C$499)</f>
        <v>0</v>
      </c>
      <c r="L101" s="60">
        <f>SUMIFS(PURCHASE!$M$6:$M$10008,PURCHASE!$A$6:$A$10008,$I$3,PURCHASE!$D$6:$D$10008,$C$5:$C$499)</f>
        <v>0</v>
      </c>
      <c r="M101" s="474">
        <f>SUMIFS(PURCHASE!$N$6:$N$10008,PURCHASE!$A$6:$A$10008,$I$3,PURCHASE!$D$6:$D$10008,$C$5:$C$499)</f>
        <v>0</v>
      </c>
      <c r="N101" s="11">
        <f t="shared" si="20"/>
        <v>0</v>
      </c>
      <c r="O101" s="11">
        <f>SUMIFS(PURCHASE!$K$6:$K$10008,PURCHASE!$A$6:$A$10008,$N$3,PURCHASE!$D$6:$D$10008,$C$5:$C$499)</f>
        <v>0</v>
      </c>
      <c r="P101" s="11">
        <f>SUMIFS(PURCHASE!$L$6:$L$10008,PURCHASE!$A$6:$A$10008,$N$3,PURCHASE!$D$6:$D$10008,$C$5:$C$499)</f>
        <v>0</v>
      </c>
      <c r="Q101" s="11">
        <f>SUMIFS(PURCHASE!$M$6:$M$10008,PURCHASE!$A$6:$A$10008,$N$3,PURCHASE!$D$6:$D$10008,$C$5:$C$499)</f>
        <v>0</v>
      </c>
      <c r="R101" s="11">
        <f>SUMIFS(PURCHASE!$N$6:$N$10008,PURCHASE!$A$6:$A$10008,$N$3,PURCHASE!$D$6:$D$10008,$C$5:$C$499)</f>
        <v>0</v>
      </c>
      <c r="S101" s="11">
        <f t="shared" si="21"/>
        <v>0</v>
      </c>
      <c r="T101" s="11">
        <f>SUMIFS(PURCHASE!$K$6:$K$10008,PURCHASE!$A$6:$A$10008,$S$3,PURCHASE!$D$6:$D$10008,$C$5:$C$499)</f>
        <v>0</v>
      </c>
      <c r="U101" s="11">
        <f>SUMIFS(PURCHASE!$L$6:$L$10008,PURCHASE!$A$6:$A$10008,$S$3,PURCHASE!$D$6:$D$10008,$C$5:$C$499)</f>
        <v>0</v>
      </c>
      <c r="V101" s="11">
        <f>SUMIFS(PURCHASE!$M$6:$M$10008,PURCHASE!$A$6:$A$10008,$S$3,PURCHASE!$D$6:$D$10008,$C$5:$C$499)</f>
        <v>0</v>
      </c>
      <c r="W101" s="11">
        <f>SUMIFS(PURCHASE!$N$6:$N$10008,PURCHASE!$A$6:$A$10008,$S$3,PURCHASE!$D$6:$D$10008,$C$5:$C$499)</f>
        <v>0</v>
      </c>
      <c r="X101" s="11">
        <f t="shared" si="22"/>
        <v>0</v>
      </c>
      <c r="Y101" s="11">
        <f>SUMIFS(PURCHASE!$K$6:$K$10008,PURCHASE!$A$6:$A$10008,$X$3,PURCHASE!$D$6:$D$10008,$C$5:$C$499)</f>
        <v>0</v>
      </c>
      <c r="Z101" s="11">
        <f>SUMIFS(PURCHASE!$L$6:$L$10008,PURCHASE!$A$6:$A$10008,$X$3,PURCHASE!$D$6:$D$10008,$C$5:$C$499)</f>
        <v>0</v>
      </c>
      <c r="AA101" s="11">
        <f>SUMIFS(PURCHASE!$M$6:$M$10008,PURCHASE!$A$6:$A$10008,$X$3,PURCHASE!$D$6:$D$10008,$C$5:$C$499)</f>
        <v>0</v>
      </c>
      <c r="AB101" s="11">
        <f>SUMIFS(PURCHASE!$N$6:$N$10008,PURCHASE!$A$6:$A$10008,$X$3,PURCHASE!$D$6:$D$10008,$C$5:$C$499)</f>
        <v>0</v>
      </c>
      <c r="AC101" s="11">
        <f t="shared" si="23"/>
        <v>0</v>
      </c>
      <c r="AD101" s="11">
        <f>SUMIFS(PURCHASE!$K$6:$K$10008,PURCHASE!$A$6:$A$10008,$AC$3,PURCHASE!$D$6:$D$10008,$C$5:$C$499)</f>
        <v>0</v>
      </c>
      <c r="AE101" s="11">
        <f>SUMIFS(PURCHASE!$L$6:$L$10008,PURCHASE!$A$6:$A$10008,$AC$3,PURCHASE!$D$6:$D$10008,$C$5:$C$499)</f>
        <v>0</v>
      </c>
      <c r="AF101" s="11">
        <f>SUMIFS(PURCHASE!$M$6:$M$10008,PURCHASE!$A$6:$A$10008,$AC$3,PURCHASE!$D$6:$D$10008,$C$5:$C$499)</f>
        <v>0</v>
      </c>
      <c r="AG101" s="11">
        <f>SUMIFS(PURCHASE!$N$6:$N$10008,PURCHASE!$A$6:$A$10008,$AC$3,PURCHASE!$D$6:$D$10008,$C$5:$C$499)</f>
        <v>0</v>
      </c>
      <c r="AH101" s="11">
        <f t="shared" si="24"/>
        <v>0</v>
      </c>
      <c r="AI101" s="11">
        <f>SUMIFS(PURCHASE!$K$6:$K$10008,PURCHASE!$A$6:$A$10008,$AH$3,PURCHASE!$D$6:$D$10008,$C$5:$C$499)</f>
        <v>0</v>
      </c>
      <c r="AJ101" s="11">
        <f>SUMIFS(PURCHASE!$L$6:$L$10008,PURCHASE!$A$6:$A$10008,$AH$3,PURCHASE!$D$6:$D$10008,$C$5:$C$499)</f>
        <v>0</v>
      </c>
      <c r="AK101" s="11">
        <f>SUMIFS(PURCHASE!$M$6:$M$10008,PURCHASE!$A$6:$A$10008,$AH$3,PURCHASE!$D$6:$D$10008,$C$5:$C$499)</f>
        <v>0</v>
      </c>
      <c r="AL101" s="11">
        <f>SUMIFS(PURCHASE!$N$6:$N$10008,PURCHASE!$A$6:$A$10008,$AH$3,PURCHASE!$D$6:$D$10008,$C$5:$C$499)</f>
        <v>0</v>
      </c>
      <c r="AM101" s="11">
        <f t="shared" si="25"/>
        <v>0</v>
      </c>
      <c r="AN101" s="11">
        <f>SUMIFS(PURCHASE!$K$6:$K$10008,PURCHASE!$A$6:$A$10008,$AM$3,PURCHASE!$D$6:$D$10008,$C$5:$C$499)</f>
        <v>0</v>
      </c>
      <c r="AO101" s="11">
        <f>SUMIFS(PURCHASE!$L$6:$L$10008,PURCHASE!$A$6:$A$10008,$AM$3,PURCHASE!$D$6:$D$10008,$C$5:$C$499)</f>
        <v>0</v>
      </c>
      <c r="AP101" s="11">
        <f>SUMIFS(PURCHASE!$M$6:$M$10008,PURCHASE!$A$6:$A$10008,$AM$3,PURCHASE!$D$6:$D$10008,$C$5:$C$499)</f>
        <v>0</v>
      </c>
      <c r="AQ101" s="11">
        <f>SUMIFS(PURCHASE!$N$6:$N$10008,PURCHASE!$A$6:$A$10008,$AM$3,PURCHASE!$D$6:$D$10008,$C$5:$C$499)</f>
        <v>0</v>
      </c>
      <c r="AR101" s="11">
        <f t="shared" si="26"/>
        <v>0</v>
      </c>
      <c r="AS101" s="11">
        <f>SUMIFS(PURCHASE!$K$6:$K$10008,PURCHASE!$A$6:$A$10008,$AR$3,PURCHASE!$D$6:$D$10008,$C$5:$C$499)</f>
        <v>0</v>
      </c>
      <c r="AT101" s="11">
        <f>SUMIFS(PURCHASE!$L$6:$L$10008,PURCHASE!$A$6:$A$10008,$AR$3,PURCHASE!$D$6:$D$10008,$C$5:$C$499)</f>
        <v>0</v>
      </c>
      <c r="AU101" s="11">
        <f>SUMIFS(PURCHASE!$M$6:$M$10008,PURCHASE!$A$6:$A$10008,$AR$3,PURCHASE!$D$6:$D$10008,$C$5:$C$499)</f>
        <v>0</v>
      </c>
      <c r="AV101" s="11">
        <f>SUMIFS(PURCHASE!$N$6:$N$10008,PURCHASE!$A$6:$A$10008,$AR$3,PURCHASE!$D$6:$D$10008,$C$5:$C$499)</f>
        <v>0</v>
      </c>
      <c r="AW101" s="11">
        <f t="shared" si="27"/>
        <v>0</v>
      </c>
      <c r="AX101" s="11">
        <f>SUMIFS(PURCHASE!$K$6:$K$10008,PURCHASE!$A$6:$A$10008,$AW$3,PURCHASE!$D$6:$D$10008,$C$5:$C$499)</f>
        <v>0</v>
      </c>
      <c r="AY101" s="11">
        <f>SUMIFS(PURCHASE!$L$6:$L$10008,PURCHASE!$A$6:$A$10008,$AW$3,PURCHASE!$D$6:$D$10008,$C$5:$C$499)</f>
        <v>0</v>
      </c>
      <c r="AZ101" s="11">
        <f>SUMIFS(PURCHASE!$M$6:$M$10008,PURCHASE!$A$6:$A$10008,$AW$3,PURCHASE!$D$6:$D$10008,$C$5:$C$499)</f>
        <v>0</v>
      </c>
      <c r="BA101" s="11">
        <f>SUMIFS(PURCHASE!$N$6:$N$10008,PURCHASE!$A$6:$A$10008,$AW$3,PURCHASE!$D$6:$D$10008,$C$5:$C$499)</f>
        <v>0</v>
      </c>
      <c r="BB101" s="11">
        <f t="shared" si="28"/>
        <v>0</v>
      </c>
      <c r="BC101" s="11">
        <f>SUMIFS(PURCHASE!$K$6:$K$10008,PURCHASE!$A$6:$A$10008,$BB$3,PURCHASE!$D$6:$D$10008,$C$5:$C$499)</f>
        <v>0</v>
      </c>
      <c r="BD101" s="11">
        <f>SUMIFS(PURCHASE!$L$6:$L$10008,PURCHASE!$A$6:$A$10008,$BB$3,PURCHASE!$D$6:$D$10008,$C$5:$C$499)</f>
        <v>0</v>
      </c>
      <c r="BE101" s="11">
        <f>SUMIFS(PURCHASE!$M$6:$M$10008,PURCHASE!$A$6:$A$10008,$BB$3,PURCHASE!$D$6:$D$10008,$C$5:$C$499)</f>
        <v>0</v>
      </c>
      <c r="BF101" s="11">
        <f>SUMIFS(PURCHASE!$N$6:$N$10008,PURCHASE!$A$6:$A$10008,$BB$3,PURCHASE!$D$6:$D$10008,$C$5:$C$499)</f>
        <v>0</v>
      </c>
      <c r="BG101" s="11">
        <f t="shared" si="29"/>
        <v>0</v>
      </c>
      <c r="BH101" s="11">
        <f>SUMIFS(PURCHASE!$K$6:$K$10008,PURCHASE!$A$6:$A$10008,$BG$3,PURCHASE!$D$6:$D$10008,$C$5:$C$499)</f>
        <v>0</v>
      </c>
      <c r="BI101" s="11">
        <f>SUMIFS(PURCHASE!$L$6:$L$10008,PURCHASE!$A$6:$A$10008,$BG$3,PURCHASE!$D$6:$D$10008,$C$5:$C$499)</f>
        <v>0</v>
      </c>
      <c r="BJ101" s="11">
        <f>SUMIFS(PURCHASE!$M$6:$M$10008,PURCHASE!$A$6:$A$10008,$BG$3,PURCHASE!$D$6:$D$10008,$C$5:$C$499)</f>
        <v>0</v>
      </c>
      <c r="BK101" s="11">
        <f>SUMIFS(PURCHASE!$N$6:$N$10008,PURCHASE!$A$6:$A$10008,$BG$3,PURCHASE!$D$6:$D$10008,$C$5:$C$499)</f>
        <v>0</v>
      </c>
      <c r="BL101" s="11">
        <f t="shared" si="17"/>
        <v>0</v>
      </c>
      <c r="BM101" s="11">
        <f t="shared" si="17"/>
        <v>0</v>
      </c>
      <c r="BN101" s="11">
        <f t="shared" si="17"/>
        <v>0</v>
      </c>
      <c r="BO101" s="11">
        <f t="shared" si="17"/>
        <v>0</v>
      </c>
      <c r="BP101" s="11">
        <f t="shared" si="17"/>
        <v>0</v>
      </c>
    </row>
    <row r="102" spans="1:68" x14ac:dyDescent="0.2">
      <c r="A102" s="467">
        <v>99</v>
      </c>
      <c r="B102" s="468" t="s">
        <v>1148</v>
      </c>
      <c r="C102" s="469" t="s">
        <v>1149</v>
      </c>
      <c r="D102" s="11">
        <f t="shared" si="18"/>
        <v>0</v>
      </c>
      <c r="E102" s="11">
        <f>SUMIFS(PURCHASE!$K$6:$K$10008,PURCHASE!$A$6:$A$10008,$D$3,PURCHASE!$D$6:$D$10008,$C$5:$C$499)</f>
        <v>0</v>
      </c>
      <c r="F102" s="11">
        <f>SUMIFS(PURCHASE!$L$6:$L$10008,PURCHASE!$A$6:$A$10008,$D$3,PURCHASE!$D$6:$D$10008,$C$5:$C$499)</f>
        <v>0</v>
      </c>
      <c r="G102" s="11">
        <f>SUMIFS(PURCHASE!$M$6:$M$10008,PURCHASE!$A$6:$A$10008,$D$3,PURCHASE!$D$6:$D$10008,$C$5:$C$499)</f>
        <v>0</v>
      </c>
      <c r="H102" s="11">
        <f>SUMIFS(PURCHASE!$N$6:$N$10008,PURCHASE!$A$6:$A$10008,$D$3,PURCHASE!$D$6:$D$10008,$C$5:$C$499)</f>
        <v>0</v>
      </c>
      <c r="I102" s="473">
        <f t="shared" si="19"/>
        <v>0</v>
      </c>
      <c r="J102" s="60">
        <f>SUMIFS(PURCHASE!$K$6:$K$10008,PURCHASE!$A$6:$A$10008,$I$3,PURCHASE!$D$6:$D$10008,$C$5:$C$499)</f>
        <v>0</v>
      </c>
      <c r="K102" s="60">
        <f>SUMIFS(PURCHASE!$L$6:$L$10008,PURCHASE!$A$6:$A$10008,$I$3,PURCHASE!$D$6:$D$10008,$C$5:$C$499)</f>
        <v>0</v>
      </c>
      <c r="L102" s="60">
        <f>SUMIFS(PURCHASE!$M$6:$M$10008,PURCHASE!$A$6:$A$10008,$I$3,PURCHASE!$D$6:$D$10008,$C$5:$C$499)</f>
        <v>0</v>
      </c>
      <c r="M102" s="474">
        <f>SUMIFS(PURCHASE!$N$6:$N$10008,PURCHASE!$A$6:$A$10008,$I$3,PURCHASE!$D$6:$D$10008,$C$5:$C$499)</f>
        <v>0</v>
      </c>
      <c r="N102" s="11">
        <f t="shared" si="20"/>
        <v>0</v>
      </c>
      <c r="O102" s="11">
        <f>SUMIFS(PURCHASE!$K$6:$K$10008,PURCHASE!$A$6:$A$10008,$N$3,PURCHASE!$D$6:$D$10008,$C$5:$C$499)</f>
        <v>0</v>
      </c>
      <c r="P102" s="11">
        <f>SUMIFS(PURCHASE!$L$6:$L$10008,PURCHASE!$A$6:$A$10008,$N$3,PURCHASE!$D$6:$D$10008,$C$5:$C$499)</f>
        <v>0</v>
      </c>
      <c r="Q102" s="11">
        <f>SUMIFS(PURCHASE!$M$6:$M$10008,PURCHASE!$A$6:$A$10008,$N$3,PURCHASE!$D$6:$D$10008,$C$5:$C$499)</f>
        <v>0</v>
      </c>
      <c r="R102" s="11">
        <f>SUMIFS(PURCHASE!$N$6:$N$10008,PURCHASE!$A$6:$A$10008,$N$3,PURCHASE!$D$6:$D$10008,$C$5:$C$499)</f>
        <v>0</v>
      </c>
      <c r="S102" s="11">
        <f t="shared" si="21"/>
        <v>0</v>
      </c>
      <c r="T102" s="11">
        <f>SUMIFS(PURCHASE!$K$6:$K$10008,PURCHASE!$A$6:$A$10008,$S$3,PURCHASE!$D$6:$D$10008,$C$5:$C$499)</f>
        <v>0</v>
      </c>
      <c r="U102" s="11">
        <f>SUMIFS(PURCHASE!$L$6:$L$10008,PURCHASE!$A$6:$A$10008,$S$3,PURCHASE!$D$6:$D$10008,$C$5:$C$499)</f>
        <v>0</v>
      </c>
      <c r="V102" s="11">
        <f>SUMIFS(PURCHASE!$M$6:$M$10008,PURCHASE!$A$6:$A$10008,$S$3,PURCHASE!$D$6:$D$10008,$C$5:$C$499)</f>
        <v>0</v>
      </c>
      <c r="W102" s="11">
        <f>SUMIFS(PURCHASE!$N$6:$N$10008,PURCHASE!$A$6:$A$10008,$S$3,PURCHASE!$D$6:$D$10008,$C$5:$C$499)</f>
        <v>0</v>
      </c>
      <c r="X102" s="11">
        <f t="shared" si="22"/>
        <v>0</v>
      </c>
      <c r="Y102" s="11">
        <f>SUMIFS(PURCHASE!$K$6:$K$10008,PURCHASE!$A$6:$A$10008,$X$3,PURCHASE!$D$6:$D$10008,$C$5:$C$499)</f>
        <v>0</v>
      </c>
      <c r="Z102" s="11">
        <f>SUMIFS(PURCHASE!$L$6:$L$10008,PURCHASE!$A$6:$A$10008,$X$3,PURCHASE!$D$6:$D$10008,$C$5:$C$499)</f>
        <v>0</v>
      </c>
      <c r="AA102" s="11">
        <f>SUMIFS(PURCHASE!$M$6:$M$10008,PURCHASE!$A$6:$A$10008,$X$3,PURCHASE!$D$6:$D$10008,$C$5:$C$499)</f>
        <v>0</v>
      </c>
      <c r="AB102" s="11">
        <f>SUMIFS(PURCHASE!$N$6:$N$10008,PURCHASE!$A$6:$A$10008,$X$3,PURCHASE!$D$6:$D$10008,$C$5:$C$499)</f>
        <v>0</v>
      </c>
      <c r="AC102" s="11">
        <f t="shared" si="23"/>
        <v>0</v>
      </c>
      <c r="AD102" s="11">
        <f>SUMIFS(PURCHASE!$K$6:$K$10008,PURCHASE!$A$6:$A$10008,$AC$3,PURCHASE!$D$6:$D$10008,$C$5:$C$499)</f>
        <v>0</v>
      </c>
      <c r="AE102" s="11">
        <f>SUMIFS(PURCHASE!$L$6:$L$10008,PURCHASE!$A$6:$A$10008,$AC$3,PURCHASE!$D$6:$D$10008,$C$5:$C$499)</f>
        <v>0</v>
      </c>
      <c r="AF102" s="11">
        <f>SUMIFS(PURCHASE!$M$6:$M$10008,PURCHASE!$A$6:$A$10008,$AC$3,PURCHASE!$D$6:$D$10008,$C$5:$C$499)</f>
        <v>0</v>
      </c>
      <c r="AG102" s="11">
        <f>SUMIFS(PURCHASE!$N$6:$N$10008,PURCHASE!$A$6:$A$10008,$AC$3,PURCHASE!$D$6:$D$10008,$C$5:$C$499)</f>
        <v>0</v>
      </c>
      <c r="AH102" s="11">
        <f t="shared" si="24"/>
        <v>0</v>
      </c>
      <c r="AI102" s="11">
        <f>SUMIFS(PURCHASE!$K$6:$K$10008,PURCHASE!$A$6:$A$10008,$AH$3,PURCHASE!$D$6:$D$10008,$C$5:$C$499)</f>
        <v>0</v>
      </c>
      <c r="AJ102" s="11">
        <f>SUMIFS(PURCHASE!$L$6:$L$10008,PURCHASE!$A$6:$A$10008,$AH$3,PURCHASE!$D$6:$D$10008,$C$5:$C$499)</f>
        <v>0</v>
      </c>
      <c r="AK102" s="11">
        <f>SUMIFS(PURCHASE!$M$6:$M$10008,PURCHASE!$A$6:$A$10008,$AH$3,PURCHASE!$D$6:$D$10008,$C$5:$C$499)</f>
        <v>0</v>
      </c>
      <c r="AL102" s="11">
        <f>SUMIFS(PURCHASE!$N$6:$N$10008,PURCHASE!$A$6:$A$10008,$AH$3,PURCHASE!$D$6:$D$10008,$C$5:$C$499)</f>
        <v>0</v>
      </c>
      <c r="AM102" s="11">
        <f t="shared" si="25"/>
        <v>0</v>
      </c>
      <c r="AN102" s="11">
        <f>SUMIFS(PURCHASE!$K$6:$K$10008,PURCHASE!$A$6:$A$10008,$AM$3,PURCHASE!$D$6:$D$10008,$C$5:$C$499)</f>
        <v>0</v>
      </c>
      <c r="AO102" s="11">
        <f>SUMIFS(PURCHASE!$L$6:$L$10008,PURCHASE!$A$6:$A$10008,$AM$3,PURCHASE!$D$6:$D$10008,$C$5:$C$499)</f>
        <v>0</v>
      </c>
      <c r="AP102" s="11">
        <f>SUMIFS(PURCHASE!$M$6:$M$10008,PURCHASE!$A$6:$A$10008,$AM$3,PURCHASE!$D$6:$D$10008,$C$5:$C$499)</f>
        <v>0</v>
      </c>
      <c r="AQ102" s="11">
        <f>SUMIFS(PURCHASE!$N$6:$N$10008,PURCHASE!$A$6:$A$10008,$AM$3,PURCHASE!$D$6:$D$10008,$C$5:$C$499)</f>
        <v>0</v>
      </c>
      <c r="AR102" s="11">
        <f t="shared" si="26"/>
        <v>0</v>
      </c>
      <c r="AS102" s="11">
        <f>SUMIFS(PURCHASE!$K$6:$K$10008,PURCHASE!$A$6:$A$10008,$AR$3,PURCHASE!$D$6:$D$10008,$C$5:$C$499)</f>
        <v>0</v>
      </c>
      <c r="AT102" s="11">
        <f>SUMIFS(PURCHASE!$L$6:$L$10008,PURCHASE!$A$6:$A$10008,$AR$3,PURCHASE!$D$6:$D$10008,$C$5:$C$499)</f>
        <v>0</v>
      </c>
      <c r="AU102" s="11">
        <f>SUMIFS(PURCHASE!$M$6:$M$10008,PURCHASE!$A$6:$A$10008,$AR$3,PURCHASE!$D$6:$D$10008,$C$5:$C$499)</f>
        <v>0</v>
      </c>
      <c r="AV102" s="11">
        <f>SUMIFS(PURCHASE!$N$6:$N$10008,PURCHASE!$A$6:$A$10008,$AR$3,PURCHASE!$D$6:$D$10008,$C$5:$C$499)</f>
        <v>0</v>
      </c>
      <c r="AW102" s="11">
        <f t="shared" si="27"/>
        <v>0</v>
      </c>
      <c r="AX102" s="11">
        <f>SUMIFS(PURCHASE!$K$6:$K$10008,PURCHASE!$A$6:$A$10008,$AW$3,PURCHASE!$D$6:$D$10008,$C$5:$C$499)</f>
        <v>0</v>
      </c>
      <c r="AY102" s="11">
        <f>SUMIFS(PURCHASE!$L$6:$L$10008,PURCHASE!$A$6:$A$10008,$AW$3,PURCHASE!$D$6:$D$10008,$C$5:$C$499)</f>
        <v>0</v>
      </c>
      <c r="AZ102" s="11">
        <f>SUMIFS(PURCHASE!$M$6:$M$10008,PURCHASE!$A$6:$A$10008,$AW$3,PURCHASE!$D$6:$D$10008,$C$5:$C$499)</f>
        <v>0</v>
      </c>
      <c r="BA102" s="11">
        <f>SUMIFS(PURCHASE!$N$6:$N$10008,PURCHASE!$A$6:$A$10008,$AW$3,PURCHASE!$D$6:$D$10008,$C$5:$C$499)</f>
        <v>0</v>
      </c>
      <c r="BB102" s="11">
        <f t="shared" si="28"/>
        <v>0</v>
      </c>
      <c r="BC102" s="11">
        <f>SUMIFS(PURCHASE!$K$6:$K$10008,PURCHASE!$A$6:$A$10008,$BB$3,PURCHASE!$D$6:$D$10008,$C$5:$C$499)</f>
        <v>0</v>
      </c>
      <c r="BD102" s="11">
        <f>SUMIFS(PURCHASE!$L$6:$L$10008,PURCHASE!$A$6:$A$10008,$BB$3,PURCHASE!$D$6:$D$10008,$C$5:$C$499)</f>
        <v>0</v>
      </c>
      <c r="BE102" s="11">
        <f>SUMIFS(PURCHASE!$M$6:$M$10008,PURCHASE!$A$6:$A$10008,$BB$3,PURCHASE!$D$6:$D$10008,$C$5:$C$499)</f>
        <v>0</v>
      </c>
      <c r="BF102" s="11">
        <f>SUMIFS(PURCHASE!$N$6:$N$10008,PURCHASE!$A$6:$A$10008,$BB$3,PURCHASE!$D$6:$D$10008,$C$5:$C$499)</f>
        <v>0</v>
      </c>
      <c r="BG102" s="11">
        <f t="shared" si="29"/>
        <v>0</v>
      </c>
      <c r="BH102" s="11">
        <f>SUMIFS(PURCHASE!$K$6:$K$10008,PURCHASE!$A$6:$A$10008,$BG$3,PURCHASE!$D$6:$D$10008,$C$5:$C$499)</f>
        <v>0</v>
      </c>
      <c r="BI102" s="11">
        <f>SUMIFS(PURCHASE!$L$6:$L$10008,PURCHASE!$A$6:$A$10008,$BG$3,PURCHASE!$D$6:$D$10008,$C$5:$C$499)</f>
        <v>0</v>
      </c>
      <c r="BJ102" s="11">
        <f>SUMIFS(PURCHASE!$M$6:$M$10008,PURCHASE!$A$6:$A$10008,$BG$3,PURCHASE!$D$6:$D$10008,$C$5:$C$499)</f>
        <v>0</v>
      </c>
      <c r="BK102" s="11">
        <f>SUMIFS(PURCHASE!$N$6:$N$10008,PURCHASE!$A$6:$A$10008,$BG$3,PURCHASE!$D$6:$D$10008,$C$5:$C$499)</f>
        <v>0</v>
      </c>
      <c r="BL102" s="11">
        <f t="shared" si="17"/>
        <v>0</v>
      </c>
      <c r="BM102" s="11">
        <f t="shared" si="17"/>
        <v>0</v>
      </c>
      <c r="BN102" s="11">
        <f t="shared" si="17"/>
        <v>0</v>
      </c>
      <c r="BO102" s="11">
        <f t="shared" si="17"/>
        <v>0</v>
      </c>
      <c r="BP102" s="11">
        <f t="shared" si="17"/>
        <v>0</v>
      </c>
    </row>
    <row r="103" spans="1:68" x14ac:dyDescent="0.2">
      <c r="A103" s="467">
        <v>100</v>
      </c>
      <c r="B103" s="468" t="s">
        <v>1150</v>
      </c>
      <c r="C103" s="469" t="s">
        <v>1151</v>
      </c>
      <c r="D103" s="11">
        <f t="shared" si="18"/>
        <v>0</v>
      </c>
      <c r="E103" s="11">
        <f>SUMIFS(PURCHASE!$K$6:$K$10008,PURCHASE!$A$6:$A$10008,$D$3,PURCHASE!$D$6:$D$10008,$C$5:$C$499)</f>
        <v>0</v>
      </c>
      <c r="F103" s="11">
        <f>SUMIFS(PURCHASE!$L$6:$L$10008,PURCHASE!$A$6:$A$10008,$D$3,PURCHASE!$D$6:$D$10008,$C$5:$C$499)</f>
        <v>0</v>
      </c>
      <c r="G103" s="11">
        <f>SUMIFS(PURCHASE!$M$6:$M$10008,PURCHASE!$A$6:$A$10008,$D$3,PURCHASE!$D$6:$D$10008,$C$5:$C$499)</f>
        <v>0</v>
      </c>
      <c r="H103" s="11">
        <f>SUMIFS(PURCHASE!$N$6:$N$10008,PURCHASE!$A$6:$A$10008,$D$3,PURCHASE!$D$6:$D$10008,$C$5:$C$499)</f>
        <v>0</v>
      </c>
      <c r="I103" s="473">
        <f t="shared" si="19"/>
        <v>0</v>
      </c>
      <c r="J103" s="60">
        <f>SUMIFS(PURCHASE!$K$6:$K$10008,PURCHASE!$A$6:$A$10008,$I$3,PURCHASE!$D$6:$D$10008,$C$5:$C$499)</f>
        <v>0</v>
      </c>
      <c r="K103" s="60">
        <f>SUMIFS(PURCHASE!$L$6:$L$10008,PURCHASE!$A$6:$A$10008,$I$3,PURCHASE!$D$6:$D$10008,$C$5:$C$499)</f>
        <v>0</v>
      </c>
      <c r="L103" s="60">
        <f>SUMIFS(PURCHASE!$M$6:$M$10008,PURCHASE!$A$6:$A$10008,$I$3,PURCHASE!$D$6:$D$10008,$C$5:$C$499)</f>
        <v>0</v>
      </c>
      <c r="M103" s="474">
        <f>SUMIFS(PURCHASE!$N$6:$N$10008,PURCHASE!$A$6:$A$10008,$I$3,PURCHASE!$D$6:$D$10008,$C$5:$C$499)</f>
        <v>0</v>
      </c>
      <c r="N103" s="11">
        <f t="shared" si="20"/>
        <v>0</v>
      </c>
      <c r="O103" s="11">
        <f>SUMIFS(PURCHASE!$K$6:$K$10008,PURCHASE!$A$6:$A$10008,$N$3,PURCHASE!$D$6:$D$10008,$C$5:$C$499)</f>
        <v>0</v>
      </c>
      <c r="P103" s="11">
        <f>SUMIFS(PURCHASE!$L$6:$L$10008,PURCHASE!$A$6:$A$10008,$N$3,PURCHASE!$D$6:$D$10008,$C$5:$C$499)</f>
        <v>0</v>
      </c>
      <c r="Q103" s="11">
        <f>SUMIFS(PURCHASE!$M$6:$M$10008,PURCHASE!$A$6:$A$10008,$N$3,PURCHASE!$D$6:$D$10008,$C$5:$C$499)</f>
        <v>0</v>
      </c>
      <c r="R103" s="11">
        <f>SUMIFS(PURCHASE!$N$6:$N$10008,PURCHASE!$A$6:$A$10008,$N$3,PURCHASE!$D$6:$D$10008,$C$5:$C$499)</f>
        <v>0</v>
      </c>
      <c r="S103" s="11">
        <f t="shared" si="21"/>
        <v>0</v>
      </c>
      <c r="T103" s="11">
        <f>SUMIFS(PURCHASE!$K$6:$K$10008,PURCHASE!$A$6:$A$10008,$S$3,PURCHASE!$D$6:$D$10008,$C$5:$C$499)</f>
        <v>0</v>
      </c>
      <c r="U103" s="11">
        <f>SUMIFS(PURCHASE!$L$6:$L$10008,PURCHASE!$A$6:$A$10008,$S$3,PURCHASE!$D$6:$D$10008,$C$5:$C$499)</f>
        <v>0</v>
      </c>
      <c r="V103" s="11">
        <f>SUMIFS(PURCHASE!$M$6:$M$10008,PURCHASE!$A$6:$A$10008,$S$3,PURCHASE!$D$6:$D$10008,$C$5:$C$499)</f>
        <v>0</v>
      </c>
      <c r="W103" s="11">
        <f>SUMIFS(PURCHASE!$N$6:$N$10008,PURCHASE!$A$6:$A$10008,$S$3,PURCHASE!$D$6:$D$10008,$C$5:$C$499)</f>
        <v>0</v>
      </c>
      <c r="X103" s="11">
        <f t="shared" si="22"/>
        <v>0</v>
      </c>
      <c r="Y103" s="11">
        <f>SUMIFS(PURCHASE!$K$6:$K$10008,PURCHASE!$A$6:$A$10008,$X$3,PURCHASE!$D$6:$D$10008,$C$5:$C$499)</f>
        <v>0</v>
      </c>
      <c r="Z103" s="11">
        <f>SUMIFS(PURCHASE!$L$6:$L$10008,PURCHASE!$A$6:$A$10008,$X$3,PURCHASE!$D$6:$D$10008,$C$5:$C$499)</f>
        <v>0</v>
      </c>
      <c r="AA103" s="11">
        <f>SUMIFS(PURCHASE!$M$6:$M$10008,PURCHASE!$A$6:$A$10008,$X$3,PURCHASE!$D$6:$D$10008,$C$5:$C$499)</f>
        <v>0</v>
      </c>
      <c r="AB103" s="11">
        <f>SUMIFS(PURCHASE!$N$6:$N$10008,PURCHASE!$A$6:$A$10008,$X$3,PURCHASE!$D$6:$D$10008,$C$5:$C$499)</f>
        <v>0</v>
      </c>
      <c r="AC103" s="11">
        <f t="shared" si="23"/>
        <v>0</v>
      </c>
      <c r="AD103" s="11">
        <f>SUMIFS(PURCHASE!$K$6:$K$10008,PURCHASE!$A$6:$A$10008,$AC$3,PURCHASE!$D$6:$D$10008,$C$5:$C$499)</f>
        <v>0</v>
      </c>
      <c r="AE103" s="11">
        <f>SUMIFS(PURCHASE!$L$6:$L$10008,PURCHASE!$A$6:$A$10008,$AC$3,PURCHASE!$D$6:$D$10008,$C$5:$C$499)</f>
        <v>0</v>
      </c>
      <c r="AF103" s="11">
        <f>SUMIFS(PURCHASE!$M$6:$M$10008,PURCHASE!$A$6:$A$10008,$AC$3,PURCHASE!$D$6:$D$10008,$C$5:$C$499)</f>
        <v>0</v>
      </c>
      <c r="AG103" s="11">
        <f>SUMIFS(PURCHASE!$N$6:$N$10008,PURCHASE!$A$6:$A$10008,$AC$3,PURCHASE!$D$6:$D$10008,$C$5:$C$499)</f>
        <v>0</v>
      </c>
      <c r="AH103" s="11">
        <f t="shared" si="24"/>
        <v>0</v>
      </c>
      <c r="AI103" s="11">
        <f>SUMIFS(PURCHASE!$K$6:$K$10008,PURCHASE!$A$6:$A$10008,$AH$3,PURCHASE!$D$6:$D$10008,$C$5:$C$499)</f>
        <v>0</v>
      </c>
      <c r="AJ103" s="11">
        <f>SUMIFS(PURCHASE!$L$6:$L$10008,PURCHASE!$A$6:$A$10008,$AH$3,PURCHASE!$D$6:$D$10008,$C$5:$C$499)</f>
        <v>0</v>
      </c>
      <c r="AK103" s="11">
        <f>SUMIFS(PURCHASE!$M$6:$M$10008,PURCHASE!$A$6:$A$10008,$AH$3,PURCHASE!$D$6:$D$10008,$C$5:$C$499)</f>
        <v>0</v>
      </c>
      <c r="AL103" s="11">
        <f>SUMIFS(PURCHASE!$N$6:$N$10008,PURCHASE!$A$6:$A$10008,$AH$3,PURCHASE!$D$6:$D$10008,$C$5:$C$499)</f>
        <v>0</v>
      </c>
      <c r="AM103" s="11">
        <f t="shared" si="25"/>
        <v>0</v>
      </c>
      <c r="AN103" s="11">
        <f>SUMIFS(PURCHASE!$K$6:$K$10008,PURCHASE!$A$6:$A$10008,$AM$3,PURCHASE!$D$6:$D$10008,$C$5:$C$499)</f>
        <v>0</v>
      </c>
      <c r="AO103" s="11">
        <f>SUMIFS(PURCHASE!$L$6:$L$10008,PURCHASE!$A$6:$A$10008,$AM$3,PURCHASE!$D$6:$D$10008,$C$5:$C$499)</f>
        <v>0</v>
      </c>
      <c r="AP103" s="11">
        <f>SUMIFS(PURCHASE!$M$6:$M$10008,PURCHASE!$A$6:$A$10008,$AM$3,PURCHASE!$D$6:$D$10008,$C$5:$C$499)</f>
        <v>0</v>
      </c>
      <c r="AQ103" s="11">
        <f>SUMIFS(PURCHASE!$N$6:$N$10008,PURCHASE!$A$6:$A$10008,$AM$3,PURCHASE!$D$6:$D$10008,$C$5:$C$499)</f>
        <v>0</v>
      </c>
      <c r="AR103" s="11">
        <f t="shared" si="26"/>
        <v>0</v>
      </c>
      <c r="AS103" s="11">
        <f>SUMIFS(PURCHASE!$K$6:$K$10008,PURCHASE!$A$6:$A$10008,$AR$3,PURCHASE!$D$6:$D$10008,$C$5:$C$499)</f>
        <v>0</v>
      </c>
      <c r="AT103" s="11">
        <f>SUMIFS(PURCHASE!$L$6:$L$10008,PURCHASE!$A$6:$A$10008,$AR$3,PURCHASE!$D$6:$D$10008,$C$5:$C$499)</f>
        <v>0</v>
      </c>
      <c r="AU103" s="11">
        <f>SUMIFS(PURCHASE!$M$6:$M$10008,PURCHASE!$A$6:$A$10008,$AR$3,PURCHASE!$D$6:$D$10008,$C$5:$C$499)</f>
        <v>0</v>
      </c>
      <c r="AV103" s="11">
        <f>SUMIFS(PURCHASE!$N$6:$N$10008,PURCHASE!$A$6:$A$10008,$AR$3,PURCHASE!$D$6:$D$10008,$C$5:$C$499)</f>
        <v>0</v>
      </c>
      <c r="AW103" s="11">
        <f t="shared" si="27"/>
        <v>0</v>
      </c>
      <c r="AX103" s="11">
        <f>SUMIFS(PURCHASE!$K$6:$K$10008,PURCHASE!$A$6:$A$10008,$AW$3,PURCHASE!$D$6:$D$10008,$C$5:$C$499)</f>
        <v>0</v>
      </c>
      <c r="AY103" s="11">
        <f>SUMIFS(PURCHASE!$L$6:$L$10008,PURCHASE!$A$6:$A$10008,$AW$3,PURCHASE!$D$6:$D$10008,$C$5:$C$499)</f>
        <v>0</v>
      </c>
      <c r="AZ103" s="11">
        <f>SUMIFS(PURCHASE!$M$6:$M$10008,PURCHASE!$A$6:$A$10008,$AW$3,PURCHASE!$D$6:$D$10008,$C$5:$C$499)</f>
        <v>0</v>
      </c>
      <c r="BA103" s="11">
        <f>SUMIFS(PURCHASE!$N$6:$N$10008,PURCHASE!$A$6:$A$10008,$AW$3,PURCHASE!$D$6:$D$10008,$C$5:$C$499)</f>
        <v>0</v>
      </c>
      <c r="BB103" s="11">
        <f t="shared" si="28"/>
        <v>0</v>
      </c>
      <c r="BC103" s="11">
        <f>SUMIFS(PURCHASE!$K$6:$K$10008,PURCHASE!$A$6:$A$10008,$BB$3,PURCHASE!$D$6:$D$10008,$C$5:$C$499)</f>
        <v>0</v>
      </c>
      <c r="BD103" s="11">
        <f>SUMIFS(PURCHASE!$L$6:$L$10008,PURCHASE!$A$6:$A$10008,$BB$3,PURCHASE!$D$6:$D$10008,$C$5:$C$499)</f>
        <v>0</v>
      </c>
      <c r="BE103" s="11">
        <f>SUMIFS(PURCHASE!$M$6:$M$10008,PURCHASE!$A$6:$A$10008,$BB$3,PURCHASE!$D$6:$D$10008,$C$5:$C$499)</f>
        <v>0</v>
      </c>
      <c r="BF103" s="11">
        <f>SUMIFS(PURCHASE!$N$6:$N$10008,PURCHASE!$A$6:$A$10008,$BB$3,PURCHASE!$D$6:$D$10008,$C$5:$C$499)</f>
        <v>0</v>
      </c>
      <c r="BG103" s="11">
        <f t="shared" si="29"/>
        <v>0</v>
      </c>
      <c r="BH103" s="11">
        <f>SUMIFS(PURCHASE!$K$6:$K$10008,PURCHASE!$A$6:$A$10008,$BG$3,PURCHASE!$D$6:$D$10008,$C$5:$C$499)</f>
        <v>0</v>
      </c>
      <c r="BI103" s="11">
        <f>SUMIFS(PURCHASE!$L$6:$L$10008,PURCHASE!$A$6:$A$10008,$BG$3,PURCHASE!$D$6:$D$10008,$C$5:$C$499)</f>
        <v>0</v>
      </c>
      <c r="BJ103" s="11">
        <f>SUMIFS(PURCHASE!$M$6:$M$10008,PURCHASE!$A$6:$A$10008,$BG$3,PURCHASE!$D$6:$D$10008,$C$5:$C$499)</f>
        <v>0</v>
      </c>
      <c r="BK103" s="11">
        <f>SUMIFS(PURCHASE!$N$6:$N$10008,PURCHASE!$A$6:$A$10008,$BG$3,PURCHASE!$D$6:$D$10008,$C$5:$C$499)</f>
        <v>0</v>
      </c>
      <c r="BL103" s="11">
        <f t="shared" si="17"/>
        <v>0</v>
      </c>
      <c r="BM103" s="11">
        <f t="shared" si="17"/>
        <v>0</v>
      </c>
      <c r="BN103" s="11">
        <f t="shared" si="17"/>
        <v>0</v>
      </c>
      <c r="BO103" s="11">
        <f t="shared" si="17"/>
        <v>0</v>
      </c>
      <c r="BP103" s="11">
        <f t="shared" si="17"/>
        <v>0</v>
      </c>
    </row>
    <row r="104" spans="1:68" x14ac:dyDescent="0.2">
      <c r="A104" s="467">
        <v>101</v>
      </c>
      <c r="B104" s="468" t="s">
        <v>1152</v>
      </c>
      <c r="C104" s="469" t="s">
        <v>1153</v>
      </c>
      <c r="D104" s="11">
        <f t="shared" si="18"/>
        <v>0</v>
      </c>
      <c r="E104" s="11">
        <f>SUMIFS(PURCHASE!$K$6:$K$10008,PURCHASE!$A$6:$A$10008,$D$3,PURCHASE!$D$6:$D$10008,$C$5:$C$499)</f>
        <v>0</v>
      </c>
      <c r="F104" s="11">
        <f>SUMIFS(PURCHASE!$L$6:$L$10008,PURCHASE!$A$6:$A$10008,$D$3,PURCHASE!$D$6:$D$10008,$C$5:$C$499)</f>
        <v>0</v>
      </c>
      <c r="G104" s="11">
        <f>SUMIFS(PURCHASE!$M$6:$M$10008,PURCHASE!$A$6:$A$10008,$D$3,PURCHASE!$D$6:$D$10008,$C$5:$C$499)</f>
        <v>0</v>
      </c>
      <c r="H104" s="11">
        <f>SUMIFS(PURCHASE!$N$6:$N$10008,PURCHASE!$A$6:$A$10008,$D$3,PURCHASE!$D$6:$D$10008,$C$5:$C$499)</f>
        <v>0</v>
      </c>
      <c r="I104" s="473">
        <f t="shared" si="19"/>
        <v>0</v>
      </c>
      <c r="J104" s="60">
        <f>SUMIFS(PURCHASE!$K$6:$K$10008,PURCHASE!$A$6:$A$10008,$I$3,PURCHASE!$D$6:$D$10008,$C$5:$C$499)</f>
        <v>0</v>
      </c>
      <c r="K104" s="60">
        <f>SUMIFS(PURCHASE!$L$6:$L$10008,PURCHASE!$A$6:$A$10008,$I$3,PURCHASE!$D$6:$D$10008,$C$5:$C$499)</f>
        <v>0</v>
      </c>
      <c r="L104" s="60">
        <f>SUMIFS(PURCHASE!$M$6:$M$10008,PURCHASE!$A$6:$A$10008,$I$3,PURCHASE!$D$6:$D$10008,$C$5:$C$499)</f>
        <v>0</v>
      </c>
      <c r="M104" s="474">
        <f>SUMIFS(PURCHASE!$N$6:$N$10008,PURCHASE!$A$6:$A$10008,$I$3,PURCHASE!$D$6:$D$10008,$C$5:$C$499)</f>
        <v>0</v>
      </c>
      <c r="N104" s="11">
        <f t="shared" si="20"/>
        <v>0</v>
      </c>
      <c r="O104" s="11">
        <f>SUMIFS(PURCHASE!$K$6:$K$10008,PURCHASE!$A$6:$A$10008,$N$3,PURCHASE!$D$6:$D$10008,$C$5:$C$499)</f>
        <v>0</v>
      </c>
      <c r="P104" s="11">
        <f>SUMIFS(PURCHASE!$L$6:$L$10008,PURCHASE!$A$6:$A$10008,$N$3,PURCHASE!$D$6:$D$10008,$C$5:$C$499)</f>
        <v>0</v>
      </c>
      <c r="Q104" s="11">
        <f>SUMIFS(PURCHASE!$M$6:$M$10008,PURCHASE!$A$6:$A$10008,$N$3,PURCHASE!$D$6:$D$10008,$C$5:$C$499)</f>
        <v>0</v>
      </c>
      <c r="R104" s="11">
        <f>SUMIFS(PURCHASE!$N$6:$N$10008,PURCHASE!$A$6:$A$10008,$N$3,PURCHASE!$D$6:$D$10008,$C$5:$C$499)</f>
        <v>0</v>
      </c>
      <c r="S104" s="11">
        <f t="shared" si="21"/>
        <v>0</v>
      </c>
      <c r="T104" s="11">
        <f>SUMIFS(PURCHASE!$K$6:$K$10008,PURCHASE!$A$6:$A$10008,$S$3,PURCHASE!$D$6:$D$10008,$C$5:$C$499)</f>
        <v>0</v>
      </c>
      <c r="U104" s="11">
        <f>SUMIFS(PURCHASE!$L$6:$L$10008,PURCHASE!$A$6:$A$10008,$S$3,PURCHASE!$D$6:$D$10008,$C$5:$C$499)</f>
        <v>0</v>
      </c>
      <c r="V104" s="11">
        <f>SUMIFS(PURCHASE!$M$6:$M$10008,PURCHASE!$A$6:$A$10008,$S$3,PURCHASE!$D$6:$D$10008,$C$5:$C$499)</f>
        <v>0</v>
      </c>
      <c r="W104" s="11">
        <f>SUMIFS(PURCHASE!$N$6:$N$10008,PURCHASE!$A$6:$A$10008,$S$3,PURCHASE!$D$6:$D$10008,$C$5:$C$499)</f>
        <v>0</v>
      </c>
      <c r="X104" s="11">
        <f t="shared" si="22"/>
        <v>0</v>
      </c>
      <c r="Y104" s="11">
        <f>SUMIFS(PURCHASE!$K$6:$K$10008,PURCHASE!$A$6:$A$10008,$X$3,PURCHASE!$D$6:$D$10008,$C$5:$C$499)</f>
        <v>0</v>
      </c>
      <c r="Z104" s="11">
        <f>SUMIFS(PURCHASE!$L$6:$L$10008,PURCHASE!$A$6:$A$10008,$X$3,PURCHASE!$D$6:$D$10008,$C$5:$C$499)</f>
        <v>0</v>
      </c>
      <c r="AA104" s="11">
        <f>SUMIFS(PURCHASE!$M$6:$M$10008,PURCHASE!$A$6:$A$10008,$X$3,PURCHASE!$D$6:$D$10008,$C$5:$C$499)</f>
        <v>0</v>
      </c>
      <c r="AB104" s="11">
        <f>SUMIFS(PURCHASE!$N$6:$N$10008,PURCHASE!$A$6:$A$10008,$X$3,PURCHASE!$D$6:$D$10008,$C$5:$C$499)</f>
        <v>0</v>
      </c>
      <c r="AC104" s="11">
        <f t="shared" si="23"/>
        <v>0</v>
      </c>
      <c r="AD104" s="11">
        <f>SUMIFS(PURCHASE!$K$6:$K$10008,PURCHASE!$A$6:$A$10008,$AC$3,PURCHASE!$D$6:$D$10008,$C$5:$C$499)</f>
        <v>0</v>
      </c>
      <c r="AE104" s="11">
        <f>SUMIFS(PURCHASE!$L$6:$L$10008,PURCHASE!$A$6:$A$10008,$AC$3,PURCHASE!$D$6:$D$10008,$C$5:$C$499)</f>
        <v>0</v>
      </c>
      <c r="AF104" s="11">
        <f>SUMIFS(PURCHASE!$M$6:$M$10008,PURCHASE!$A$6:$A$10008,$AC$3,PURCHASE!$D$6:$D$10008,$C$5:$C$499)</f>
        <v>0</v>
      </c>
      <c r="AG104" s="11">
        <f>SUMIFS(PURCHASE!$N$6:$N$10008,PURCHASE!$A$6:$A$10008,$AC$3,PURCHASE!$D$6:$D$10008,$C$5:$C$499)</f>
        <v>0</v>
      </c>
      <c r="AH104" s="11">
        <f t="shared" si="24"/>
        <v>0</v>
      </c>
      <c r="AI104" s="11">
        <f>SUMIFS(PURCHASE!$K$6:$K$10008,PURCHASE!$A$6:$A$10008,$AH$3,PURCHASE!$D$6:$D$10008,$C$5:$C$499)</f>
        <v>0</v>
      </c>
      <c r="AJ104" s="11">
        <f>SUMIFS(PURCHASE!$L$6:$L$10008,PURCHASE!$A$6:$A$10008,$AH$3,PURCHASE!$D$6:$D$10008,$C$5:$C$499)</f>
        <v>0</v>
      </c>
      <c r="AK104" s="11">
        <f>SUMIFS(PURCHASE!$M$6:$M$10008,PURCHASE!$A$6:$A$10008,$AH$3,PURCHASE!$D$6:$D$10008,$C$5:$C$499)</f>
        <v>0</v>
      </c>
      <c r="AL104" s="11">
        <f>SUMIFS(PURCHASE!$N$6:$N$10008,PURCHASE!$A$6:$A$10008,$AH$3,PURCHASE!$D$6:$D$10008,$C$5:$C$499)</f>
        <v>0</v>
      </c>
      <c r="AM104" s="11">
        <f t="shared" si="25"/>
        <v>0</v>
      </c>
      <c r="AN104" s="11">
        <f>SUMIFS(PURCHASE!$K$6:$K$10008,PURCHASE!$A$6:$A$10008,$AM$3,PURCHASE!$D$6:$D$10008,$C$5:$C$499)</f>
        <v>0</v>
      </c>
      <c r="AO104" s="11">
        <f>SUMIFS(PURCHASE!$L$6:$L$10008,PURCHASE!$A$6:$A$10008,$AM$3,PURCHASE!$D$6:$D$10008,$C$5:$C$499)</f>
        <v>0</v>
      </c>
      <c r="AP104" s="11">
        <f>SUMIFS(PURCHASE!$M$6:$M$10008,PURCHASE!$A$6:$A$10008,$AM$3,PURCHASE!$D$6:$D$10008,$C$5:$C$499)</f>
        <v>0</v>
      </c>
      <c r="AQ104" s="11">
        <f>SUMIFS(PURCHASE!$N$6:$N$10008,PURCHASE!$A$6:$A$10008,$AM$3,PURCHASE!$D$6:$D$10008,$C$5:$C$499)</f>
        <v>0</v>
      </c>
      <c r="AR104" s="11">
        <f t="shared" si="26"/>
        <v>0</v>
      </c>
      <c r="AS104" s="11">
        <f>SUMIFS(PURCHASE!$K$6:$K$10008,PURCHASE!$A$6:$A$10008,$AR$3,PURCHASE!$D$6:$D$10008,$C$5:$C$499)</f>
        <v>0</v>
      </c>
      <c r="AT104" s="11">
        <f>SUMIFS(PURCHASE!$L$6:$L$10008,PURCHASE!$A$6:$A$10008,$AR$3,PURCHASE!$D$6:$D$10008,$C$5:$C$499)</f>
        <v>0</v>
      </c>
      <c r="AU104" s="11">
        <f>SUMIFS(PURCHASE!$M$6:$M$10008,PURCHASE!$A$6:$A$10008,$AR$3,PURCHASE!$D$6:$D$10008,$C$5:$C$499)</f>
        <v>0</v>
      </c>
      <c r="AV104" s="11">
        <f>SUMIFS(PURCHASE!$N$6:$N$10008,PURCHASE!$A$6:$A$10008,$AR$3,PURCHASE!$D$6:$D$10008,$C$5:$C$499)</f>
        <v>0</v>
      </c>
      <c r="AW104" s="11">
        <f t="shared" si="27"/>
        <v>0</v>
      </c>
      <c r="AX104" s="11">
        <f>SUMIFS(PURCHASE!$K$6:$K$10008,PURCHASE!$A$6:$A$10008,$AW$3,PURCHASE!$D$6:$D$10008,$C$5:$C$499)</f>
        <v>0</v>
      </c>
      <c r="AY104" s="11">
        <f>SUMIFS(PURCHASE!$L$6:$L$10008,PURCHASE!$A$6:$A$10008,$AW$3,PURCHASE!$D$6:$D$10008,$C$5:$C$499)</f>
        <v>0</v>
      </c>
      <c r="AZ104" s="11">
        <f>SUMIFS(PURCHASE!$M$6:$M$10008,PURCHASE!$A$6:$A$10008,$AW$3,PURCHASE!$D$6:$D$10008,$C$5:$C$499)</f>
        <v>0</v>
      </c>
      <c r="BA104" s="11">
        <f>SUMIFS(PURCHASE!$N$6:$N$10008,PURCHASE!$A$6:$A$10008,$AW$3,PURCHASE!$D$6:$D$10008,$C$5:$C$499)</f>
        <v>0</v>
      </c>
      <c r="BB104" s="11">
        <f t="shared" si="28"/>
        <v>0</v>
      </c>
      <c r="BC104" s="11">
        <f>SUMIFS(PURCHASE!$K$6:$K$10008,PURCHASE!$A$6:$A$10008,$BB$3,PURCHASE!$D$6:$D$10008,$C$5:$C$499)</f>
        <v>0</v>
      </c>
      <c r="BD104" s="11">
        <f>SUMIFS(PURCHASE!$L$6:$L$10008,PURCHASE!$A$6:$A$10008,$BB$3,PURCHASE!$D$6:$D$10008,$C$5:$C$499)</f>
        <v>0</v>
      </c>
      <c r="BE104" s="11">
        <f>SUMIFS(PURCHASE!$M$6:$M$10008,PURCHASE!$A$6:$A$10008,$BB$3,PURCHASE!$D$6:$D$10008,$C$5:$C$499)</f>
        <v>0</v>
      </c>
      <c r="BF104" s="11">
        <f>SUMIFS(PURCHASE!$N$6:$N$10008,PURCHASE!$A$6:$A$10008,$BB$3,PURCHASE!$D$6:$D$10008,$C$5:$C$499)</f>
        <v>0</v>
      </c>
      <c r="BG104" s="11">
        <f t="shared" si="29"/>
        <v>0</v>
      </c>
      <c r="BH104" s="11">
        <f>SUMIFS(PURCHASE!$K$6:$K$10008,PURCHASE!$A$6:$A$10008,$BG$3,PURCHASE!$D$6:$D$10008,$C$5:$C$499)</f>
        <v>0</v>
      </c>
      <c r="BI104" s="11">
        <f>SUMIFS(PURCHASE!$L$6:$L$10008,PURCHASE!$A$6:$A$10008,$BG$3,PURCHASE!$D$6:$D$10008,$C$5:$C$499)</f>
        <v>0</v>
      </c>
      <c r="BJ104" s="11">
        <f>SUMIFS(PURCHASE!$M$6:$M$10008,PURCHASE!$A$6:$A$10008,$BG$3,PURCHASE!$D$6:$D$10008,$C$5:$C$499)</f>
        <v>0</v>
      </c>
      <c r="BK104" s="11">
        <f>SUMIFS(PURCHASE!$N$6:$N$10008,PURCHASE!$A$6:$A$10008,$BG$3,PURCHASE!$D$6:$D$10008,$C$5:$C$499)</f>
        <v>0</v>
      </c>
      <c r="BL104" s="11">
        <f t="shared" si="17"/>
        <v>0</v>
      </c>
      <c r="BM104" s="11">
        <f t="shared" si="17"/>
        <v>0</v>
      </c>
      <c r="BN104" s="11">
        <f t="shared" si="17"/>
        <v>0</v>
      </c>
      <c r="BO104" s="11">
        <f t="shared" si="17"/>
        <v>0</v>
      </c>
      <c r="BP104" s="11">
        <f t="shared" si="17"/>
        <v>0</v>
      </c>
    </row>
    <row r="105" spans="1:68" x14ac:dyDescent="0.2">
      <c r="A105" s="467">
        <v>102</v>
      </c>
      <c r="B105" s="468" t="s">
        <v>606</v>
      </c>
      <c r="C105" s="469" t="s">
        <v>607</v>
      </c>
      <c r="D105" s="11">
        <f t="shared" si="18"/>
        <v>0</v>
      </c>
      <c r="E105" s="11">
        <f>SUMIFS(PURCHASE!$K$6:$K$10008,PURCHASE!$A$6:$A$10008,$D$3,PURCHASE!$D$6:$D$10008,$C$5:$C$499)</f>
        <v>0</v>
      </c>
      <c r="F105" s="11">
        <f>SUMIFS(PURCHASE!$L$6:$L$10008,PURCHASE!$A$6:$A$10008,$D$3,PURCHASE!$D$6:$D$10008,$C$5:$C$499)</f>
        <v>0</v>
      </c>
      <c r="G105" s="11">
        <f>SUMIFS(PURCHASE!$M$6:$M$10008,PURCHASE!$A$6:$A$10008,$D$3,PURCHASE!$D$6:$D$10008,$C$5:$C$499)</f>
        <v>0</v>
      </c>
      <c r="H105" s="11">
        <f>SUMIFS(PURCHASE!$N$6:$N$10008,PURCHASE!$A$6:$A$10008,$D$3,PURCHASE!$D$6:$D$10008,$C$5:$C$499)</f>
        <v>0</v>
      </c>
      <c r="I105" s="473">
        <f t="shared" si="19"/>
        <v>29500</v>
      </c>
      <c r="J105" s="60">
        <f>SUMIFS(PURCHASE!$K$6:$K$10008,PURCHASE!$A$6:$A$10008,$I$3,PURCHASE!$D$6:$D$10008,$C$5:$C$499)</f>
        <v>25000</v>
      </c>
      <c r="K105" s="60">
        <f>SUMIFS(PURCHASE!$L$6:$L$10008,PURCHASE!$A$6:$A$10008,$I$3,PURCHASE!$D$6:$D$10008,$C$5:$C$499)</f>
        <v>0</v>
      </c>
      <c r="L105" s="60">
        <f>SUMIFS(PURCHASE!$M$6:$M$10008,PURCHASE!$A$6:$A$10008,$I$3,PURCHASE!$D$6:$D$10008,$C$5:$C$499)</f>
        <v>2250</v>
      </c>
      <c r="M105" s="474">
        <f>SUMIFS(PURCHASE!$N$6:$N$10008,PURCHASE!$A$6:$A$10008,$I$3,PURCHASE!$D$6:$D$10008,$C$5:$C$499)</f>
        <v>2250</v>
      </c>
      <c r="N105" s="11">
        <f t="shared" si="20"/>
        <v>0</v>
      </c>
      <c r="O105" s="11">
        <f>SUMIFS(PURCHASE!$K$6:$K$10008,PURCHASE!$A$6:$A$10008,$N$3,PURCHASE!$D$6:$D$10008,$C$5:$C$499)</f>
        <v>0</v>
      </c>
      <c r="P105" s="11">
        <f>SUMIFS(PURCHASE!$L$6:$L$10008,PURCHASE!$A$6:$A$10008,$N$3,PURCHASE!$D$6:$D$10008,$C$5:$C$499)</f>
        <v>0</v>
      </c>
      <c r="Q105" s="11">
        <f>SUMIFS(PURCHASE!$M$6:$M$10008,PURCHASE!$A$6:$A$10008,$N$3,PURCHASE!$D$6:$D$10008,$C$5:$C$499)</f>
        <v>0</v>
      </c>
      <c r="R105" s="11">
        <f>SUMIFS(PURCHASE!$N$6:$N$10008,PURCHASE!$A$6:$A$10008,$N$3,PURCHASE!$D$6:$D$10008,$C$5:$C$499)</f>
        <v>0</v>
      </c>
      <c r="S105" s="11">
        <f t="shared" si="21"/>
        <v>11800</v>
      </c>
      <c r="T105" s="11">
        <f>SUMIFS(PURCHASE!$K$6:$K$10008,PURCHASE!$A$6:$A$10008,$S$3,PURCHASE!$D$6:$D$10008,$C$5:$C$499)</f>
        <v>10000</v>
      </c>
      <c r="U105" s="11">
        <f>SUMIFS(PURCHASE!$L$6:$L$10008,PURCHASE!$A$6:$A$10008,$S$3,PURCHASE!$D$6:$D$10008,$C$5:$C$499)</f>
        <v>0</v>
      </c>
      <c r="V105" s="11">
        <f>SUMIFS(PURCHASE!$M$6:$M$10008,PURCHASE!$A$6:$A$10008,$S$3,PURCHASE!$D$6:$D$10008,$C$5:$C$499)</f>
        <v>900</v>
      </c>
      <c r="W105" s="11">
        <f>SUMIFS(PURCHASE!$N$6:$N$10008,PURCHASE!$A$6:$A$10008,$S$3,PURCHASE!$D$6:$D$10008,$C$5:$C$499)</f>
        <v>900</v>
      </c>
      <c r="X105" s="11">
        <f t="shared" si="22"/>
        <v>12805.36</v>
      </c>
      <c r="Y105" s="11">
        <f>SUMIFS(PURCHASE!$K$6:$K$10008,PURCHASE!$A$6:$A$10008,$X$3,PURCHASE!$D$6:$D$10008,$C$5:$C$499)</f>
        <v>10852</v>
      </c>
      <c r="Z105" s="11">
        <f>SUMIFS(PURCHASE!$L$6:$L$10008,PURCHASE!$A$6:$A$10008,$X$3,PURCHASE!$D$6:$D$10008,$C$5:$C$499)</f>
        <v>0</v>
      </c>
      <c r="AA105" s="11">
        <f>SUMIFS(PURCHASE!$M$6:$M$10008,PURCHASE!$A$6:$A$10008,$X$3,PURCHASE!$D$6:$D$10008,$C$5:$C$499)</f>
        <v>976.68000000000006</v>
      </c>
      <c r="AB105" s="11">
        <f>SUMIFS(PURCHASE!$N$6:$N$10008,PURCHASE!$A$6:$A$10008,$X$3,PURCHASE!$D$6:$D$10008,$C$5:$C$499)</f>
        <v>976.68000000000006</v>
      </c>
      <c r="AC105" s="11">
        <f t="shared" si="23"/>
        <v>0</v>
      </c>
      <c r="AD105" s="11">
        <f>SUMIFS(PURCHASE!$K$6:$K$10008,PURCHASE!$A$6:$A$10008,$AC$3,PURCHASE!$D$6:$D$10008,$C$5:$C$499)</f>
        <v>0</v>
      </c>
      <c r="AE105" s="11">
        <f>SUMIFS(PURCHASE!$L$6:$L$10008,PURCHASE!$A$6:$A$10008,$AC$3,PURCHASE!$D$6:$D$10008,$C$5:$C$499)</f>
        <v>0</v>
      </c>
      <c r="AF105" s="11">
        <f>SUMIFS(PURCHASE!$M$6:$M$10008,PURCHASE!$A$6:$A$10008,$AC$3,PURCHASE!$D$6:$D$10008,$C$5:$C$499)</f>
        <v>0</v>
      </c>
      <c r="AG105" s="11">
        <f>SUMIFS(PURCHASE!$N$6:$N$10008,PURCHASE!$A$6:$A$10008,$AC$3,PURCHASE!$D$6:$D$10008,$C$5:$C$499)</f>
        <v>0</v>
      </c>
      <c r="AH105" s="11">
        <f t="shared" si="24"/>
        <v>49560</v>
      </c>
      <c r="AI105" s="11">
        <f>SUMIFS(PURCHASE!$K$6:$K$10008,PURCHASE!$A$6:$A$10008,$AH$3,PURCHASE!$D$6:$D$10008,$C$5:$C$499)</f>
        <v>42000</v>
      </c>
      <c r="AJ105" s="11">
        <f>SUMIFS(PURCHASE!$L$6:$L$10008,PURCHASE!$A$6:$A$10008,$AH$3,PURCHASE!$D$6:$D$10008,$C$5:$C$499)</f>
        <v>0</v>
      </c>
      <c r="AK105" s="11">
        <f>SUMIFS(PURCHASE!$M$6:$M$10008,PURCHASE!$A$6:$A$10008,$AH$3,PURCHASE!$D$6:$D$10008,$C$5:$C$499)</f>
        <v>3780</v>
      </c>
      <c r="AL105" s="11">
        <f>SUMIFS(PURCHASE!$N$6:$N$10008,PURCHASE!$A$6:$A$10008,$AH$3,PURCHASE!$D$6:$D$10008,$C$5:$C$499)</f>
        <v>3780</v>
      </c>
      <c r="AM105" s="11">
        <f t="shared" si="25"/>
        <v>0</v>
      </c>
      <c r="AN105" s="11">
        <f>SUMIFS(PURCHASE!$K$6:$K$10008,PURCHASE!$A$6:$A$10008,$AM$3,PURCHASE!$D$6:$D$10008,$C$5:$C$499)</f>
        <v>0</v>
      </c>
      <c r="AO105" s="11">
        <f>SUMIFS(PURCHASE!$L$6:$L$10008,PURCHASE!$A$6:$A$10008,$AM$3,PURCHASE!$D$6:$D$10008,$C$5:$C$499)</f>
        <v>0</v>
      </c>
      <c r="AP105" s="11">
        <f>SUMIFS(PURCHASE!$M$6:$M$10008,PURCHASE!$A$6:$A$10008,$AM$3,PURCHASE!$D$6:$D$10008,$C$5:$C$499)</f>
        <v>0</v>
      </c>
      <c r="AQ105" s="11">
        <f>SUMIFS(PURCHASE!$N$6:$N$10008,PURCHASE!$A$6:$A$10008,$AM$3,PURCHASE!$D$6:$D$10008,$C$5:$C$499)</f>
        <v>0</v>
      </c>
      <c r="AR105" s="11">
        <f t="shared" si="26"/>
        <v>0</v>
      </c>
      <c r="AS105" s="11">
        <f>SUMIFS(PURCHASE!$K$6:$K$10008,PURCHASE!$A$6:$A$10008,$AR$3,PURCHASE!$D$6:$D$10008,$C$5:$C$499)</f>
        <v>0</v>
      </c>
      <c r="AT105" s="11">
        <f>SUMIFS(PURCHASE!$L$6:$L$10008,PURCHASE!$A$6:$A$10008,$AR$3,PURCHASE!$D$6:$D$10008,$C$5:$C$499)</f>
        <v>0</v>
      </c>
      <c r="AU105" s="11">
        <f>SUMIFS(PURCHASE!$M$6:$M$10008,PURCHASE!$A$6:$A$10008,$AR$3,PURCHASE!$D$6:$D$10008,$C$5:$C$499)</f>
        <v>0</v>
      </c>
      <c r="AV105" s="11">
        <f>SUMIFS(PURCHASE!$N$6:$N$10008,PURCHASE!$A$6:$A$10008,$AR$3,PURCHASE!$D$6:$D$10008,$C$5:$C$499)</f>
        <v>0</v>
      </c>
      <c r="AW105" s="11">
        <f t="shared" si="27"/>
        <v>0</v>
      </c>
      <c r="AX105" s="11">
        <f>SUMIFS(PURCHASE!$K$6:$K$10008,PURCHASE!$A$6:$A$10008,$AW$3,PURCHASE!$D$6:$D$10008,$C$5:$C$499)</f>
        <v>0</v>
      </c>
      <c r="AY105" s="11">
        <f>SUMIFS(PURCHASE!$L$6:$L$10008,PURCHASE!$A$6:$A$10008,$AW$3,PURCHASE!$D$6:$D$10008,$C$5:$C$499)</f>
        <v>0</v>
      </c>
      <c r="AZ105" s="11">
        <f>SUMIFS(PURCHASE!$M$6:$M$10008,PURCHASE!$A$6:$A$10008,$AW$3,PURCHASE!$D$6:$D$10008,$C$5:$C$499)</f>
        <v>0</v>
      </c>
      <c r="BA105" s="11">
        <f>SUMIFS(PURCHASE!$N$6:$N$10008,PURCHASE!$A$6:$A$10008,$AW$3,PURCHASE!$D$6:$D$10008,$C$5:$C$499)</f>
        <v>0</v>
      </c>
      <c r="BB105" s="11">
        <f t="shared" si="28"/>
        <v>0</v>
      </c>
      <c r="BC105" s="11">
        <f>SUMIFS(PURCHASE!$K$6:$K$10008,PURCHASE!$A$6:$A$10008,$BB$3,PURCHASE!$D$6:$D$10008,$C$5:$C$499)</f>
        <v>0</v>
      </c>
      <c r="BD105" s="11">
        <f>SUMIFS(PURCHASE!$L$6:$L$10008,PURCHASE!$A$6:$A$10008,$BB$3,PURCHASE!$D$6:$D$10008,$C$5:$C$499)</f>
        <v>0</v>
      </c>
      <c r="BE105" s="11">
        <f>SUMIFS(PURCHASE!$M$6:$M$10008,PURCHASE!$A$6:$A$10008,$BB$3,PURCHASE!$D$6:$D$10008,$C$5:$C$499)</f>
        <v>0</v>
      </c>
      <c r="BF105" s="11">
        <f>SUMIFS(PURCHASE!$N$6:$N$10008,PURCHASE!$A$6:$A$10008,$BB$3,PURCHASE!$D$6:$D$10008,$C$5:$C$499)</f>
        <v>0</v>
      </c>
      <c r="BG105" s="11">
        <f t="shared" si="29"/>
        <v>0</v>
      </c>
      <c r="BH105" s="11">
        <f>SUMIFS(PURCHASE!$K$6:$K$10008,PURCHASE!$A$6:$A$10008,$BG$3,PURCHASE!$D$6:$D$10008,$C$5:$C$499)</f>
        <v>0</v>
      </c>
      <c r="BI105" s="11">
        <f>SUMIFS(PURCHASE!$L$6:$L$10008,PURCHASE!$A$6:$A$10008,$BG$3,PURCHASE!$D$6:$D$10008,$C$5:$C$499)</f>
        <v>0</v>
      </c>
      <c r="BJ105" s="11">
        <f>SUMIFS(PURCHASE!$M$6:$M$10008,PURCHASE!$A$6:$A$10008,$BG$3,PURCHASE!$D$6:$D$10008,$C$5:$C$499)</f>
        <v>0</v>
      </c>
      <c r="BK105" s="11">
        <f>SUMIFS(PURCHASE!$N$6:$N$10008,PURCHASE!$A$6:$A$10008,$BG$3,PURCHASE!$D$6:$D$10008,$C$5:$C$499)</f>
        <v>0</v>
      </c>
      <c r="BL105" s="11">
        <f t="shared" si="17"/>
        <v>103665.36</v>
      </c>
      <c r="BM105" s="11">
        <f t="shared" si="17"/>
        <v>87852</v>
      </c>
      <c r="BN105" s="11">
        <f t="shared" si="17"/>
        <v>0</v>
      </c>
      <c r="BO105" s="11">
        <f t="shared" si="17"/>
        <v>7906.68</v>
      </c>
      <c r="BP105" s="11">
        <f t="shared" si="17"/>
        <v>7906.68</v>
      </c>
    </row>
    <row r="106" spans="1:68" x14ac:dyDescent="0.2">
      <c r="A106" s="467">
        <v>103</v>
      </c>
      <c r="B106" s="468" t="s">
        <v>551</v>
      </c>
      <c r="C106" s="469" t="s">
        <v>552</v>
      </c>
      <c r="D106" s="11">
        <f t="shared" si="18"/>
        <v>1180</v>
      </c>
      <c r="E106" s="11">
        <f>SUMIFS(PURCHASE!$K$6:$K$10008,PURCHASE!$A$6:$A$10008,$D$3,PURCHASE!$D$6:$D$10008,$C$5:$C$499)</f>
        <v>1000</v>
      </c>
      <c r="F106" s="11">
        <f>SUMIFS(PURCHASE!$L$6:$L$10008,PURCHASE!$A$6:$A$10008,$D$3,PURCHASE!$D$6:$D$10008,$C$5:$C$499)</f>
        <v>0</v>
      </c>
      <c r="G106" s="11">
        <f>SUMIFS(PURCHASE!$M$6:$M$10008,PURCHASE!$A$6:$A$10008,$D$3,PURCHASE!$D$6:$D$10008,$C$5:$C$499)</f>
        <v>90</v>
      </c>
      <c r="H106" s="11">
        <f>SUMIFS(PURCHASE!$N$6:$N$10008,PURCHASE!$A$6:$A$10008,$D$3,PURCHASE!$D$6:$D$10008,$C$5:$C$499)</f>
        <v>90</v>
      </c>
      <c r="I106" s="473">
        <f t="shared" si="19"/>
        <v>1191.8000000000002</v>
      </c>
      <c r="J106" s="60">
        <f>SUMIFS(PURCHASE!$K$6:$K$10008,PURCHASE!$A$6:$A$10008,$I$3,PURCHASE!$D$6:$D$10008,$C$5:$C$499)</f>
        <v>1010</v>
      </c>
      <c r="K106" s="60">
        <f>SUMIFS(PURCHASE!$L$6:$L$10008,PURCHASE!$A$6:$A$10008,$I$3,PURCHASE!$D$6:$D$10008,$C$5:$C$499)</f>
        <v>0</v>
      </c>
      <c r="L106" s="60">
        <f>SUMIFS(PURCHASE!$M$6:$M$10008,PURCHASE!$A$6:$A$10008,$I$3,PURCHASE!$D$6:$D$10008,$C$5:$C$499)</f>
        <v>90.9</v>
      </c>
      <c r="M106" s="474">
        <f>SUMIFS(PURCHASE!$N$6:$N$10008,PURCHASE!$A$6:$A$10008,$I$3,PURCHASE!$D$6:$D$10008,$C$5:$C$499)</f>
        <v>90.9</v>
      </c>
      <c r="N106" s="11">
        <f t="shared" si="20"/>
        <v>2501.6000000000004</v>
      </c>
      <c r="O106" s="11">
        <f>SUMIFS(PURCHASE!$K$6:$K$10008,PURCHASE!$A$6:$A$10008,$N$3,PURCHASE!$D$6:$D$10008,$C$5:$C$499)</f>
        <v>2120</v>
      </c>
      <c r="P106" s="11">
        <f>SUMIFS(PURCHASE!$L$6:$L$10008,PURCHASE!$A$6:$A$10008,$N$3,PURCHASE!$D$6:$D$10008,$C$5:$C$499)</f>
        <v>0</v>
      </c>
      <c r="Q106" s="11">
        <f>SUMIFS(PURCHASE!$M$6:$M$10008,PURCHASE!$A$6:$A$10008,$N$3,PURCHASE!$D$6:$D$10008,$C$5:$C$499)</f>
        <v>190.8</v>
      </c>
      <c r="R106" s="11">
        <f>SUMIFS(PURCHASE!$N$6:$N$10008,PURCHASE!$A$6:$A$10008,$N$3,PURCHASE!$D$6:$D$10008,$C$5:$C$499)</f>
        <v>190.8</v>
      </c>
      <c r="S106" s="11">
        <f t="shared" si="21"/>
        <v>1970.6</v>
      </c>
      <c r="T106" s="11">
        <f>SUMIFS(PURCHASE!$K$6:$K$10008,PURCHASE!$A$6:$A$10008,$S$3,PURCHASE!$D$6:$D$10008,$C$5:$C$499)</f>
        <v>1670</v>
      </c>
      <c r="U106" s="11">
        <f>SUMIFS(PURCHASE!$L$6:$L$10008,PURCHASE!$A$6:$A$10008,$S$3,PURCHASE!$D$6:$D$10008,$C$5:$C$499)</f>
        <v>0</v>
      </c>
      <c r="V106" s="11">
        <f>SUMIFS(PURCHASE!$M$6:$M$10008,PURCHASE!$A$6:$A$10008,$S$3,PURCHASE!$D$6:$D$10008,$C$5:$C$499)</f>
        <v>150.30000000000001</v>
      </c>
      <c r="W106" s="11">
        <f>SUMIFS(PURCHASE!$N$6:$N$10008,PURCHASE!$A$6:$A$10008,$S$3,PURCHASE!$D$6:$D$10008,$C$5:$C$499)</f>
        <v>150.30000000000001</v>
      </c>
      <c r="X106" s="11">
        <f t="shared" si="22"/>
        <v>0</v>
      </c>
      <c r="Y106" s="11">
        <f>SUMIFS(PURCHASE!$K$6:$K$10008,PURCHASE!$A$6:$A$10008,$X$3,PURCHASE!$D$6:$D$10008,$C$5:$C$499)</f>
        <v>0</v>
      </c>
      <c r="Z106" s="11">
        <f>SUMIFS(PURCHASE!$L$6:$L$10008,PURCHASE!$A$6:$A$10008,$X$3,PURCHASE!$D$6:$D$10008,$C$5:$C$499)</f>
        <v>0</v>
      </c>
      <c r="AA106" s="11">
        <f>SUMIFS(PURCHASE!$M$6:$M$10008,PURCHASE!$A$6:$A$10008,$X$3,PURCHASE!$D$6:$D$10008,$C$5:$C$499)</f>
        <v>0</v>
      </c>
      <c r="AB106" s="11">
        <f>SUMIFS(PURCHASE!$N$6:$N$10008,PURCHASE!$A$6:$A$10008,$X$3,PURCHASE!$D$6:$D$10008,$C$5:$C$499)</f>
        <v>0</v>
      </c>
      <c r="AC106" s="11">
        <f t="shared" si="23"/>
        <v>23541</v>
      </c>
      <c r="AD106" s="11">
        <f>SUMIFS(PURCHASE!$K$6:$K$10008,PURCHASE!$A$6:$A$10008,$AC$3,PURCHASE!$D$6:$D$10008,$C$5:$C$499)</f>
        <v>19950</v>
      </c>
      <c r="AE106" s="11">
        <f>SUMIFS(PURCHASE!$L$6:$L$10008,PURCHASE!$A$6:$A$10008,$AC$3,PURCHASE!$D$6:$D$10008,$C$5:$C$499)</f>
        <v>0</v>
      </c>
      <c r="AF106" s="11">
        <f>SUMIFS(PURCHASE!$M$6:$M$10008,PURCHASE!$A$6:$A$10008,$AC$3,PURCHASE!$D$6:$D$10008,$C$5:$C$499)</f>
        <v>1795.5</v>
      </c>
      <c r="AG106" s="11">
        <f>SUMIFS(PURCHASE!$N$6:$N$10008,PURCHASE!$A$6:$A$10008,$AC$3,PURCHASE!$D$6:$D$10008,$C$5:$C$499)</f>
        <v>1795.5</v>
      </c>
      <c r="AH106" s="11">
        <f t="shared" si="24"/>
        <v>2360</v>
      </c>
      <c r="AI106" s="11">
        <f>SUMIFS(PURCHASE!$K$6:$K$10008,PURCHASE!$A$6:$A$10008,$AH$3,PURCHASE!$D$6:$D$10008,$C$5:$C$499)</f>
        <v>2000</v>
      </c>
      <c r="AJ106" s="11">
        <f>SUMIFS(PURCHASE!$L$6:$L$10008,PURCHASE!$A$6:$A$10008,$AH$3,PURCHASE!$D$6:$D$10008,$C$5:$C$499)</f>
        <v>0</v>
      </c>
      <c r="AK106" s="11">
        <f>SUMIFS(PURCHASE!$M$6:$M$10008,PURCHASE!$A$6:$A$10008,$AH$3,PURCHASE!$D$6:$D$10008,$C$5:$C$499)</f>
        <v>180</v>
      </c>
      <c r="AL106" s="11">
        <f>SUMIFS(PURCHASE!$N$6:$N$10008,PURCHASE!$A$6:$A$10008,$AH$3,PURCHASE!$D$6:$D$10008,$C$5:$C$499)</f>
        <v>180</v>
      </c>
      <c r="AM106" s="11">
        <f t="shared" si="25"/>
        <v>0</v>
      </c>
      <c r="AN106" s="11">
        <f>SUMIFS(PURCHASE!$K$6:$K$10008,PURCHASE!$A$6:$A$10008,$AM$3,PURCHASE!$D$6:$D$10008,$C$5:$C$499)</f>
        <v>0</v>
      </c>
      <c r="AO106" s="11">
        <f>SUMIFS(PURCHASE!$L$6:$L$10008,PURCHASE!$A$6:$A$10008,$AM$3,PURCHASE!$D$6:$D$10008,$C$5:$C$499)</f>
        <v>0</v>
      </c>
      <c r="AP106" s="11">
        <f>SUMIFS(PURCHASE!$M$6:$M$10008,PURCHASE!$A$6:$A$10008,$AM$3,PURCHASE!$D$6:$D$10008,$C$5:$C$499)</f>
        <v>0</v>
      </c>
      <c r="AQ106" s="11">
        <f>SUMIFS(PURCHASE!$N$6:$N$10008,PURCHASE!$A$6:$A$10008,$AM$3,PURCHASE!$D$6:$D$10008,$C$5:$C$499)</f>
        <v>0</v>
      </c>
      <c r="AR106" s="11">
        <f t="shared" si="26"/>
        <v>0</v>
      </c>
      <c r="AS106" s="11">
        <f>SUMIFS(PURCHASE!$K$6:$K$10008,PURCHASE!$A$6:$A$10008,$AR$3,PURCHASE!$D$6:$D$10008,$C$5:$C$499)</f>
        <v>0</v>
      </c>
      <c r="AT106" s="11">
        <f>SUMIFS(PURCHASE!$L$6:$L$10008,PURCHASE!$A$6:$A$10008,$AR$3,PURCHASE!$D$6:$D$10008,$C$5:$C$499)</f>
        <v>0</v>
      </c>
      <c r="AU106" s="11">
        <f>SUMIFS(PURCHASE!$M$6:$M$10008,PURCHASE!$A$6:$A$10008,$AR$3,PURCHASE!$D$6:$D$10008,$C$5:$C$499)</f>
        <v>0</v>
      </c>
      <c r="AV106" s="11">
        <f>SUMIFS(PURCHASE!$N$6:$N$10008,PURCHASE!$A$6:$A$10008,$AR$3,PURCHASE!$D$6:$D$10008,$C$5:$C$499)</f>
        <v>0</v>
      </c>
      <c r="AW106" s="11">
        <f t="shared" si="27"/>
        <v>0</v>
      </c>
      <c r="AX106" s="11">
        <f>SUMIFS(PURCHASE!$K$6:$K$10008,PURCHASE!$A$6:$A$10008,$AW$3,PURCHASE!$D$6:$D$10008,$C$5:$C$499)</f>
        <v>0</v>
      </c>
      <c r="AY106" s="11">
        <f>SUMIFS(PURCHASE!$L$6:$L$10008,PURCHASE!$A$6:$A$10008,$AW$3,PURCHASE!$D$6:$D$10008,$C$5:$C$499)</f>
        <v>0</v>
      </c>
      <c r="AZ106" s="11">
        <f>SUMIFS(PURCHASE!$M$6:$M$10008,PURCHASE!$A$6:$A$10008,$AW$3,PURCHASE!$D$6:$D$10008,$C$5:$C$499)</f>
        <v>0</v>
      </c>
      <c r="BA106" s="11">
        <f>SUMIFS(PURCHASE!$N$6:$N$10008,PURCHASE!$A$6:$A$10008,$AW$3,PURCHASE!$D$6:$D$10008,$C$5:$C$499)</f>
        <v>0</v>
      </c>
      <c r="BB106" s="11">
        <f t="shared" si="28"/>
        <v>0</v>
      </c>
      <c r="BC106" s="11">
        <f>SUMIFS(PURCHASE!$K$6:$K$10008,PURCHASE!$A$6:$A$10008,$BB$3,PURCHASE!$D$6:$D$10008,$C$5:$C$499)</f>
        <v>0</v>
      </c>
      <c r="BD106" s="11">
        <f>SUMIFS(PURCHASE!$L$6:$L$10008,PURCHASE!$A$6:$A$10008,$BB$3,PURCHASE!$D$6:$D$10008,$C$5:$C$499)</f>
        <v>0</v>
      </c>
      <c r="BE106" s="11">
        <f>SUMIFS(PURCHASE!$M$6:$M$10008,PURCHASE!$A$6:$A$10008,$BB$3,PURCHASE!$D$6:$D$10008,$C$5:$C$499)</f>
        <v>0</v>
      </c>
      <c r="BF106" s="11">
        <f>SUMIFS(PURCHASE!$N$6:$N$10008,PURCHASE!$A$6:$A$10008,$BB$3,PURCHASE!$D$6:$D$10008,$C$5:$C$499)</f>
        <v>0</v>
      </c>
      <c r="BG106" s="11">
        <f t="shared" si="29"/>
        <v>0</v>
      </c>
      <c r="BH106" s="11">
        <f>SUMIFS(PURCHASE!$K$6:$K$10008,PURCHASE!$A$6:$A$10008,$BG$3,PURCHASE!$D$6:$D$10008,$C$5:$C$499)</f>
        <v>0</v>
      </c>
      <c r="BI106" s="11">
        <f>SUMIFS(PURCHASE!$L$6:$L$10008,PURCHASE!$A$6:$A$10008,$BG$3,PURCHASE!$D$6:$D$10008,$C$5:$C$499)</f>
        <v>0</v>
      </c>
      <c r="BJ106" s="11">
        <f>SUMIFS(PURCHASE!$M$6:$M$10008,PURCHASE!$A$6:$A$10008,$BG$3,PURCHASE!$D$6:$D$10008,$C$5:$C$499)</f>
        <v>0</v>
      </c>
      <c r="BK106" s="11">
        <f>SUMIFS(PURCHASE!$N$6:$N$10008,PURCHASE!$A$6:$A$10008,$BG$3,PURCHASE!$D$6:$D$10008,$C$5:$C$499)</f>
        <v>0</v>
      </c>
      <c r="BL106" s="11">
        <f t="shared" si="17"/>
        <v>32745</v>
      </c>
      <c r="BM106" s="11">
        <f t="shared" si="17"/>
        <v>27750</v>
      </c>
      <c r="BN106" s="11">
        <f t="shared" si="17"/>
        <v>0</v>
      </c>
      <c r="BO106" s="11">
        <f t="shared" si="17"/>
        <v>2497.5</v>
      </c>
      <c r="BP106" s="11">
        <f t="shared" si="17"/>
        <v>2497.5</v>
      </c>
    </row>
    <row r="107" spans="1:68" x14ac:dyDescent="0.2">
      <c r="A107" s="467">
        <v>104</v>
      </c>
      <c r="B107" s="468" t="s">
        <v>1154</v>
      </c>
      <c r="C107" s="469" t="s">
        <v>1155</v>
      </c>
      <c r="D107" s="11">
        <f t="shared" si="18"/>
        <v>0</v>
      </c>
      <c r="E107" s="11">
        <f>SUMIFS(PURCHASE!$K$6:$K$10008,PURCHASE!$A$6:$A$10008,$D$3,PURCHASE!$D$6:$D$10008,$C$5:$C$499)</f>
        <v>0</v>
      </c>
      <c r="F107" s="11">
        <f>SUMIFS(PURCHASE!$L$6:$L$10008,PURCHASE!$A$6:$A$10008,$D$3,PURCHASE!$D$6:$D$10008,$C$5:$C$499)</f>
        <v>0</v>
      </c>
      <c r="G107" s="11">
        <f>SUMIFS(PURCHASE!$M$6:$M$10008,PURCHASE!$A$6:$A$10008,$D$3,PURCHASE!$D$6:$D$10008,$C$5:$C$499)</f>
        <v>0</v>
      </c>
      <c r="H107" s="11">
        <f>SUMIFS(PURCHASE!$N$6:$N$10008,PURCHASE!$A$6:$A$10008,$D$3,PURCHASE!$D$6:$D$10008,$C$5:$C$499)</f>
        <v>0</v>
      </c>
      <c r="I107" s="473">
        <f t="shared" si="19"/>
        <v>0</v>
      </c>
      <c r="J107" s="60">
        <f>SUMIFS(PURCHASE!$K$6:$K$10008,PURCHASE!$A$6:$A$10008,$I$3,PURCHASE!$D$6:$D$10008,$C$5:$C$499)</f>
        <v>0</v>
      </c>
      <c r="K107" s="60">
        <f>SUMIFS(PURCHASE!$L$6:$L$10008,PURCHASE!$A$6:$A$10008,$I$3,PURCHASE!$D$6:$D$10008,$C$5:$C$499)</f>
        <v>0</v>
      </c>
      <c r="L107" s="60">
        <f>SUMIFS(PURCHASE!$M$6:$M$10008,PURCHASE!$A$6:$A$10008,$I$3,PURCHASE!$D$6:$D$10008,$C$5:$C$499)</f>
        <v>0</v>
      </c>
      <c r="M107" s="474">
        <f>SUMIFS(PURCHASE!$N$6:$N$10008,PURCHASE!$A$6:$A$10008,$I$3,PURCHASE!$D$6:$D$10008,$C$5:$C$499)</f>
        <v>0</v>
      </c>
      <c r="N107" s="11">
        <f t="shared" si="20"/>
        <v>0</v>
      </c>
      <c r="O107" s="11">
        <f>SUMIFS(PURCHASE!$K$6:$K$10008,PURCHASE!$A$6:$A$10008,$N$3,PURCHASE!$D$6:$D$10008,$C$5:$C$499)</f>
        <v>0</v>
      </c>
      <c r="P107" s="11">
        <f>SUMIFS(PURCHASE!$L$6:$L$10008,PURCHASE!$A$6:$A$10008,$N$3,PURCHASE!$D$6:$D$10008,$C$5:$C$499)</f>
        <v>0</v>
      </c>
      <c r="Q107" s="11">
        <f>SUMIFS(PURCHASE!$M$6:$M$10008,PURCHASE!$A$6:$A$10008,$N$3,PURCHASE!$D$6:$D$10008,$C$5:$C$499)</f>
        <v>0</v>
      </c>
      <c r="R107" s="11">
        <f>SUMIFS(PURCHASE!$N$6:$N$10008,PURCHASE!$A$6:$A$10008,$N$3,PURCHASE!$D$6:$D$10008,$C$5:$C$499)</f>
        <v>0</v>
      </c>
      <c r="S107" s="11">
        <f t="shared" si="21"/>
        <v>0</v>
      </c>
      <c r="T107" s="11">
        <f>SUMIFS(PURCHASE!$K$6:$K$10008,PURCHASE!$A$6:$A$10008,$S$3,PURCHASE!$D$6:$D$10008,$C$5:$C$499)</f>
        <v>0</v>
      </c>
      <c r="U107" s="11">
        <f>SUMIFS(PURCHASE!$L$6:$L$10008,PURCHASE!$A$6:$A$10008,$S$3,PURCHASE!$D$6:$D$10008,$C$5:$C$499)</f>
        <v>0</v>
      </c>
      <c r="V107" s="11">
        <f>SUMIFS(PURCHASE!$M$6:$M$10008,PURCHASE!$A$6:$A$10008,$S$3,PURCHASE!$D$6:$D$10008,$C$5:$C$499)</f>
        <v>0</v>
      </c>
      <c r="W107" s="11">
        <f>SUMIFS(PURCHASE!$N$6:$N$10008,PURCHASE!$A$6:$A$10008,$S$3,PURCHASE!$D$6:$D$10008,$C$5:$C$499)</f>
        <v>0</v>
      </c>
      <c r="X107" s="11">
        <f t="shared" si="22"/>
        <v>0</v>
      </c>
      <c r="Y107" s="11">
        <f>SUMIFS(PURCHASE!$K$6:$K$10008,PURCHASE!$A$6:$A$10008,$X$3,PURCHASE!$D$6:$D$10008,$C$5:$C$499)</f>
        <v>0</v>
      </c>
      <c r="Z107" s="11">
        <f>SUMIFS(PURCHASE!$L$6:$L$10008,PURCHASE!$A$6:$A$10008,$X$3,PURCHASE!$D$6:$D$10008,$C$5:$C$499)</f>
        <v>0</v>
      </c>
      <c r="AA107" s="11">
        <f>SUMIFS(PURCHASE!$M$6:$M$10008,PURCHASE!$A$6:$A$10008,$X$3,PURCHASE!$D$6:$D$10008,$C$5:$C$499)</f>
        <v>0</v>
      </c>
      <c r="AB107" s="11">
        <f>SUMIFS(PURCHASE!$N$6:$N$10008,PURCHASE!$A$6:$A$10008,$X$3,PURCHASE!$D$6:$D$10008,$C$5:$C$499)</f>
        <v>0</v>
      </c>
      <c r="AC107" s="11">
        <f t="shared" si="23"/>
        <v>0</v>
      </c>
      <c r="AD107" s="11">
        <f>SUMIFS(PURCHASE!$K$6:$K$10008,PURCHASE!$A$6:$A$10008,$AC$3,PURCHASE!$D$6:$D$10008,$C$5:$C$499)</f>
        <v>0</v>
      </c>
      <c r="AE107" s="11">
        <f>SUMIFS(PURCHASE!$L$6:$L$10008,PURCHASE!$A$6:$A$10008,$AC$3,PURCHASE!$D$6:$D$10008,$C$5:$C$499)</f>
        <v>0</v>
      </c>
      <c r="AF107" s="11">
        <f>SUMIFS(PURCHASE!$M$6:$M$10008,PURCHASE!$A$6:$A$10008,$AC$3,PURCHASE!$D$6:$D$10008,$C$5:$C$499)</f>
        <v>0</v>
      </c>
      <c r="AG107" s="11">
        <f>SUMIFS(PURCHASE!$N$6:$N$10008,PURCHASE!$A$6:$A$10008,$AC$3,PURCHASE!$D$6:$D$10008,$C$5:$C$499)</f>
        <v>0</v>
      </c>
      <c r="AH107" s="11">
        <f t="shared" si="24"/>
        <v>0</v>
      </c>
      <c r="AI107" s="11">
        <f>SUMIFS(PURCHASE!$K$6:$K$10008,PURCHASE!$A$6:$A$10008,$AH$3,PURCHASE!$D$6:$D$10008,$C$5:$C$499)</f>
        <v>0</v>
      </c>
      <c r="AJ107" s="11">
        <f>SUMIFS(PURCHASE!$L$6:$L$10008,PURCHASE!$A$6:$A$10008,$AH$3,PURCHASE!$D$6:$D$10008,$C$5:$C$499)</f>
        <v>0</v>
      </c>
      <c r="AK107" s="11">
        <f>SUMIFS(PURCHASE!$M$6:$M$10008,PURCHASE!$A$6:$A$10008,$AH$3,PURCHASE!$D$6:$D$10008,$C$5:$C$499)</f>
        <v>0</v>
      </c>
      <c r="AL107" s="11">
        <f>SUMIFS(PURCHASE!$N$6:$N$10008,PURCHASE!$A$6:$A$10008,$AH$3,PURCHASE!$D$6:$D$10008,$C$5:$C$499)</f>
        <v>0</v>
      </c>
      <c r="AM107" s="11">
        <f t="shared" si="25"/>
        <v>0</v>
      </c>
      <c r="AN107" s="11">
        <f>SUMIFS(PURCHASE!$K$6:$K$10008,PURCHASE!$A$6:$A$10008,$AM$3,PURCHASE!$D$6:$D$10008,$C$5:$C$499)</f>
        <v>0</v>
      </c>
      <c r="AO107" s="11">
        <f>SUMIFS(PURCHASE!$L$6:$L$10008,PURCHASE!$A$6:$A$10008,$AM$3,PURCHASE!$D$6:$D$10008,$C$5:$C$499)</f>
        <v>0</v>
      </c>
      <c r="AP107" s="11">
        <f>SUMIFS(PURCHASE!$M$6:$M$10008,PURCHASE!$A$6:$A$10008,$AM$3,PURCHASE!$D$6:$D$10008,$C$5:$C$499)</f>
        <v>0</v>
      </c>
      <c r="AQ107" s="11">
        <f>SUMIFS(PURCHASE!$N$6:$N$10008,PURCHASE!$A$6:$A$10008,$AM$3,PURCHASE!$D$6:$D$10008,$C$5:$C$499)</f>
        <v>0</v>
      </c>
      <c r="AR107" s="11">
        <f t="shared" si="26"/>
        <v>0</v>
      </c>
      <c r="AS107" s="11">
        <f>SUMIFS(PURCHASE!$K$6:$K$10008,PURCHASE!$A$6:$A$10008,$AR$3,PURCHASE!$D$6:$D$10008,$C$5:$C$499)</f>
        <v>0</v>
      </c>
      <c r="AT107" s="11">
        <f>SUMIFS(PURCHASE!$L$6:$L$10008,PURCHASE!$A$6:$A$10008,$AR$3,PURCHASE!$D$6:$D$10008,$C$5:$C$499)</f>
        <v>0</v>
      </c>
      <c r="AU107" s="11">
        <f>SUMIFS(PURCHASE!$M$6:$M$10008,PURCHASE!$A$6:$A$10008,$AR$3,PURCHASE!$D$6:$D$10008,$C$5:$C$499)</f>
        <v>0</v>
      </c>
      <c r="AV107" s="11">
        <f>SUMIFS(PURCHASE!$N$6:$N$10008,PURCHASE!$A$6:$A$10008,$AR$3,PURCHASE!$D$6:$D$10008,$C$5:$C$499)</f>
        <v>0</v>
      </c>
      <c r="AW107" s="11">
        <f t="shared" si="27"/>
        <v>0</v>
      </c>
      <c r="AX107" s="11">
        <f>SUMIFS(PURCHASE!$K$6:$K$10008,PURCHASE!$A$6:$A$10008,$AW$3,PURCHASE!$D$6:$D$10008,$C$5:$C$499)</f>
        <v>0</v>
      </c>
      <c r="AY107" s="11">
        <f>SUMIFS(PURCHASE!$L$6:$L$10008,PURCHASE!$A$6:$A$10008,$AW$3,PURCHASE!$D$6:$D$10008,$C$5:$C$499)</f>
        <v>0</v>
      </c>
      <c r="AZ107" s="11">
        <f>SUMIFS(PURCHASE!$M$6:$M$10008,PURCHASE!$A$6:$A$10008,$AW$3,PURCHASE!$D$6:$D$10008,$C$5:$C$499)</f>
        <v>0</v>
      </c>
      <c r="BA107" s="11">
        <f>SUMIFS(PURCHASE!$N$6:$N$10008,PURCHASE!$A$6:$A$10008,$AW$3,PURCHASE!$D$6:$D$10008,$C$5:$C$499)</f>
        <v>0</v>
      </c>
      <c r="BB107" s="11">
        <f t="shared" si="28"/>
        <v>0</v>
      </c>
      <c r="BC107" s="11">
        <f>SUMIFS(PURCHASE!$K$6:$K$10008,PURCHASE!$A$6:$A$10008,$BB$3,PURCHASE!$D$6:$D$10008,$C$5:$C$499)</f>
        <v>0</v>
      </c>
      <c r="BD107" s="11">
        <f>SUMIFS(PURCHASE!$L$6:$L$10008,PURCHASE!$A$6:$A$10008,$BB$3,PURCHASE!$D$6:$D$10008,$C$5:$C$499)</f>
        <v>0</v>
      </c>
      <c r="BE107" s="11">
        <f>SUMIFS(PURCHASE!$M$6:$M$10008,PURCHASE!$A$6:$A$10008,$BB$3,PURCHASE!$D$6:$D$10008,$C$5:$C$499)</f>
        <v>0</v>
      </c>
      <c r="BF107" s="11">
        <f>SUMIFS(PURCHASE!$N$6:$N$10008,PURCHASE!$A$6:$A$10008,$BB$3,PURCHASE!$D$6:$D$10008,$C$5:$C$499)</f>
        <v>0</v>
      </c>
      <c r="BG107" s="11">
        <f t="shared" si="29"/>
        <v>0</v>
      </c>
      <c r="BH107" s="11">
        <f>SUMIFS(PURCHASE!$K$6:$K$10008,PURCHASE!$A$6:$A$10008,$BG$3,PURCHASE!$D$6:$D$10008,$C$5:$C$499)</f>
        <v>0</v>
      </c>
      <c r="BI107" s="11">
        <f>SUMIFS(PURCHASE!$L$6:$L$10008,PURCHASE!$A$6:$A$10008,$BG$3,PURCHASE!$D$6:$D$10008,$C$5:$C$499)</f>
        <v>0</v>
      </c>
      <c r="BJ107" s="11">
        <f>SUMIFS(PURCHASE!$M$6:$M$10008,PURCHASE!$A$6:$A$10008,$BG$3,PURCHASE!$D$6:$D$10008,$C$5:$C$499)</f>
        <v>0</v>
      </c>
      <c r="BK107" s="11">
        <f>SUMIFS(PURCHASE!$N$6:$N$10008,PURCHASE!$A$6:$A$10008,$BG$3,PURCHASE!$D$6:$D$10008,$C$5:$C$499)</f>
        <v>0</v>
      </c>
      <c r="BL107" s="11">
        <f t="shared" si="17"/>
        <v>0</v>
      </c>
      <c r="BM107" s="11">
        <f t="shared" si="17"/>
        <v>0</v>
      </c>
      <c r="BN107" s="11">
        <f t="shared" si="17"/>
        <v>0</v>
      </c>
      <c r="BO107" s="11">
        <f t="shared" si="17"/>
        <v>0</v>
      </c>
      <c r="BP107" s="11">
        <f t="shared" si="17"/>
        <v>0</v>
      </c>
    </row>
    <row r="108" spans="1:68" x14ac:dyDescent="0.2">
      <c r="A108" s="467">
        <v>105</v>
      </c>
      <c r="B108" s="468" t="s">
        <v>594</v>
      </c>
      <c r="C108" s="469" t="s">
        <v>595</v>
      </c>
      <c r="D108" s="11">
        <f t="shared" si="18"/>
        <v>21240</v>
      </c>
      <c r="E108" s="11">
        <f>SUMIFS(PURCHASE!$K$6:$K$10008,PURCHASE!$A$6:$A$10008,$D$3,PURCHASE!$D$6:$D$10008,$C$5:$C$499)</f>
        <v>18000</v>
      </c>
      <c r="F108" s="11">
        <f>SUMIFS(PURCHASE!$L$6:$L$10008,PURCHASE!$A$6:$A$10008,$D$3,PURCHASE!$D$6:$D$10008,$C$5:$C$499)</f>
        <v>0</v>
      </c>
      <c r="G108" s="11">
        <f>SUMIFS(PURCHASE!$M$6:$M$10008,PURCHASE!$A$6:$A$10008,$D$3,PURCHASE!$D$6:$D$10008,$C$5:$C$499)</f>
        <v>1620</v>
      </c>
      <c r="H108" s="11">
        <f>SUMIFS(PURCHASE!$N$6:$N$10008,PURCHASE!$A$6:$A$10008,$D$3,PURCHASE!$D$6:$D$10008,$C$5:$C$499)</f>
        <v>1620</v>
      </c>
      <c r="I108" s="473">
        <f t="shared" si="19"/>
        <v>0</v>
      </c>
      <c r="J108" s="60">
        <f>SUMIFS(PURCHASE!$K$6:$K$10008,PURCHASE!$A$6:$A$10008,$I$3,PURCHASE!$D$6:$D$10008,$C$5:$C$499)</f>
        <v>0</v>
      </c>
      <c r="K108" s="60">
        <f>SUMIFS(PURCHASE!$L$6:$L$10008,PURCHASE!$A$6:$A$10008,$I$3,PURCHASE!$D$6:$D$10008,$C$5:$C$499)</f>
        <v>0</v>
      </c>
      <c r="L108" s="60">
        <f>SUMIFS(PURCHASE!$M$6:$M$10008,PURCHASE!$A$6:$A$10008,$I$3,PURCHASE!$D$6:$D$10008,$C$5:$C$499)</f>
        <v>0</v>
      </c>
      <c r="M108" s="474">
        <f>SUMIFS(PURCHASE!$N$6:$N$10008,PURCHASE!$A$6:$A$10008,$I$3,PURCHASE!$D$6:$D$10008,$C$5:$C$499)</f>
        <v>0</v>
      </c>
      <c r="N108" s="11">
        <f t="shared" si="20"/>
        <v>0</v>
      </c>
      <c r="O108" s="11">
        <f>SUMIFS(PURCHASE!$K$6:$K$10008,PURCHASE!$A$6:$A$10008,$N$3,PURCHASE!$D$6:$D$10008,$C$5:$C$499)</f>
        <v>0</v>
      </c>
      <c r="P108" s="11">
        <f>SUMIFS(PURCHASE!$L$6:$L$10008,PURCHASE!$A$6:$A$10008,$N$3,PURCHASE!$D$6:$D$10008,$C$5:$C$499)</f>
        <v>0</v>
      </c>
      <c r="Q108" s="11">
        <f>SUMIFS(PURCHASE!$M$6:$M$10008,PURCHASE!$A$6:$A$10008,$N$3,PURCHASE!$D$6:$D$10008,$C$5:$C$499)</f>
        <v>0</v>
      </c>
      <c r="R108" s="11">
        <f>SUMIFS(PURCHASE!$N$6:$N$10008,PURCHASE!$A$6:$A$10008,$N$3,PURCHASE!$D$6:$D$10008,$C$5:$C$499)</f>
        <v>0</v>
      </c>
      <c r="S108" s="11">
        <f t="shared" si="21"/>
        <v>0</v>
      </c>
      <c r="T108" s="11">
        <f>SUMIFS(PURCHASE!$K$6:$K$10008,PURCHASE!$A$6:$A$10008,$S$3,PURCHASE!$D$6:$D$10008,$C$5:$C$499)</f>
        <v>0</v>
      </c>
      <c r="U108" s="11">
        <f>SUMIFS(PURCHASE!$L$6:$L$10008,PURCHASE!$A$6:$A$10008,$S$3,PURCHASE!$D$6:$D$10008,$C$5:$C$499)</f>
        <v>0</v>
      </c>
      <c r="V108" s="11">
        <f>SUMIFS(PURCHASE!$M$6:$M$10008,PURCHASE!$A$6:$A$10008,$S$3,PURCHASE!$D$6:$D$10008,$C$5:$C$499)</f>
        <v>0</v>
      </c>
      <c r="W108" s="11">
        <f>SUMIFS(PURCHASE!$N$6:$N$10008,PURCHASE!$A$6:$A$10008,$S$3,PURCHASE!$D$6:$D$10008,$C$5:$C$499)</f>
        <v>0</v>
      </c>
      <c r="X108" s="11">
        <f t="shared" si="22"/>
        <v>0</v>
      </c>
      <c r="Y108" s="11">
        <f>SUMIFS(PURCHASE!$K$6:$K$10008,PURCHASE!$A$6:$A$10008,$X$3,PURCHASE!$D$6:$D$10008,$C$5:$C$499)</f>
        <v>0</v>
      </c>
      <c r="Z108" s="11">
        <f>SUMIFS(PURCHASE!$L$6:$L$10008,PURCHASE!$A$6:$A$10008,$X$3,PURCHASE!$D$6:$D$10008,$C$5:$C$499)</f>
        <v>0</v>
      </c>
      <c r="AA108" s="11">
        <f>SUMIFS(PURCHASE!$M$6:$M$10008,PURCHASE!$A$6:$A$10008,$X$3,PURCHASE!$D$6:$D$10008,$C$5:$C$499)</f>
        <v>0</v>
      </c>
      <c r="AB108" s="11">
        <f>SUMIFS(PURCHASE!$N$6:$N$10008,PURCHASE!$A$6:$A$10008,$X$3,PURCHASE!$D$6:$D$10008,$C$5:$C$499)</f>
        <v>0</v>
      </c>
      <c r="AC108" s="11">
        <f t="shared" si="23"/>
        <v>0</v>
      </c>
      <c r="AD108" s="11">
        <f>SUMIFS(PURCHASE!$K$6:$K$10008,PURCHASE!$A$6:$A$10008,$AC$3,PURCHASE!$D$6:$D$10008,$C$5:$C$499)</f>
        <v>0</v>
      </c>
      <c r="AE108" s="11">
        <f>SUMIFS(PURCHASE!$L$6:$L$10008,PURCHASE!$A$6:$A$10008,$AC$3,PURCHASE!$D$6:$D$10008,$C$5:$C$499)</f>
        <v>0</v>
      </c>
      <c r="AF108" s="11">
        <f>SUMIFS(PURCHASE!$M$6:$M$10008,PURCHASE!$A$6:$A$10008,$AC$3,PURCHASE!$D$6:$D$10008,$C$5:$C$499)</f>
        <v>0</v>
      </c>
      <c r="AG108" s="11">
        <f>SUMIFS(PURCHASE!$N$6:$N$10008,PURCHASE!$A$6:$A$10008,$AC$3,PURCHASE!$D$6:$D$10008,$C$5:$C$499)</f>
        <v>0</v>
      </c>
      <c r="AH108" s="11">
        <f t="shared" si="24"/>
        <v>0</v>
      </c>
      <c r="AI108" s="11">
        <f>SUMIFS(PURCHASE!$K$6:$K$10008,PURCHASE!$A$6:$A$10008,$AH$3,PURCHASE!$D$6:$D$10008,$C$5:$C$499)</f>
        <v>0</v>
      </c>
      <c r="AJ108" s="11">
        <f>SUMIFS(PURCHASE!$L$6:$L$10008,PURCHASE!$A$6:$A$10008,$AH$3,PURCHASE!$D$6:$D$10008,$C$5:$C$499)</f>
        <v>0</v>
      </c>
      <c r="AK108" s="11">
        <f>SUMIFS(PURCHASE!$M$6:$M$10008,PURCHASE!$A$6:$A$10008,$AH$3,PURCHASE!$D$6:$D$10008,$C$5:$C$499)</f>
        <v>0</v>
      </c>
      <c r="AL108" s="11">
        <f>SUMIFS(PURCHASE!$N$6:$N$10008,PURCHASE!$A$6:$A$10008,$AH$3,PURCHASE!$D$6:$D$10008,$C$5:$C$499)</f>
        <v>0</v>
      </c>
      <c r="AM108" s="11">
        <f t="shared" si="25"/>
        <v>0</v>
      </c>
      <c r="AN108" s="11">
        <f>SUMIFS(PURCHASE!$K$6:$K$10008,PURCHASE!$A$6:$A$10008,$AM$3,PURCHASE!$D$6:$D$10008,$C$5:$C$499)</f>
        <v>0</v>
      </c>
      <c r="AO108" s="11">
        <f>SUMIFS(PURCHASE!$L$6:$L$10008,PURCHASE!$A$6:$A$10008,$AM$3,PURCHASE!$D$6:$D$10008,$C$5:$C$499)</f>
        <v>0</v>
      </c>
      <c r="AP108" s="11">
        <f>SUMIFS(PURCHASE!$M$6:$M$10008,PURCHASE!$A$6:$A$10008,$AM$3,PURCHASE!$D$6:$D$10008,$C$5:$C$499)</f>
        <v>0</v>
      </c>
      <c r="AQ108" s="11">
        <f>SUMIFS(PURCHASE!$N$6:$N$10008,PURCHASE!$A$6:$A$10008,$AM$3,PURCHASE!$D$6:$D$10008,$C$5:$C$499)</f>
        <v>0</v>
      </c>
      <c r="AR108" s="11">
        <f t="shared" si="26"/>
        <v>0</v>
      </c>
      <c r="AS108" s="11">
        <f>SUMIFS(PURCHASE!$K$6:$K$10008,PURCHASE!$A$6:$A$10008,$AR$3,PURCHASE!$D$6:$D$10008,$C$5:$C$499)</f>
        <v>0</v>
      </c>
      <c r="AT108" s="11">
        <f>SUMIFS(PURCHASE!$L$6:$L$10008,PURCHASE!$A$6:$A$10008,$AR$3,PURCHASE!$D$6:$D$10008,$C$5:$C$499)</f>
        <v>0</v>
      </c>
      <c r="AU108" s="11">
        <f>SUMIFS(PURCHASE!$M$6:$M$10008,PURCHASE!$A$6:$A$10008,$AR$3,PURCHASE!$D$6:$D$10008,$C$5:$C$499)</f>
        <v>0</v>
      </c>
      <c r="AV108" s="11">
        <f>SUMIFS(PURCHASE!$N$6:$N$10008,PURCHASE!$A$6:$A$10008,$AR$3,PURCHASE!$D$6:$D$10008,$C$5:$C$499)</f>
        <v>0</v>
      </c>
      <c r="AW108" s="11">
        <f t="shared" si="27"/>
        <v>0</v>
      </c>
      <c r="AX108" s="11">
        <f>SUMIFS(PURCHASE!$K$6:$K$10008,PURCHASE!$A$6:$A$10008,$AW$3,PURCHASE!$D$6:$D$10008,$C$5:$C$499)</f>
        <v>0</v>
      </c>
      <c r="AY108" s="11">
        <f>SUMIFS(PURCHASE!$L$6:$L$10008,PURCHASE!$A$6:$A$10008,$AW$3,PURCHASE!$D$6:$D$10008,$C$5:$C$499)</f>
        <v>0</v>
      </c>
      <c r="AZ108" s="11">
        <f>SUMIFS(PURCHASE!$M$6:$M$10008,PURCHASE!$A$6:$A$10008,$AW$3,PURCHASE!$D$6:$D$10008,$C$5:$C$499)</f>
        <v>0</v>
      </c>
      <c r="BA108" s="11">
        <f>SUMIFS(PURCHASE!$N$6:$N$10008,PURCHASE!$A$6:$A$10008,$AW$3,PURCHASE!$D$6:$D$10008,$C$5:$C$499)</f>
        <v>0</v>
      </c>
      <c r="BB108" s="11">
        <f t="shared" si="28"/>
        <v>0</v>
      </c>
      <c r="BC108" s="11">
        <f>SUMIFS(PURCHASE!$K$6:$K$10008,PURCHASE!$A$6:$A$10008,$BB$3,PURCHASE!$D$6:$D$10008,$C$5:$C$499)</f>
        <v>0</v>
      </c>
      <c r="BD108" s="11">
        <f>SUMIFS(PURCHASE!$L$6:$L$10008,PURCHASE!$A$6:$A$10008,$BB$3,PURCHASE!$D$6:$D$10008,$C$5:$C$499)</f>
        <v>0</v>
      </c>
      <c r="BE108" s="11">
        <f>SUMIFS(PURCHASE!$M$6:$M$10008,PURCHASE!$A$6:$A$10008,$BB$3,PURCHASE!$D$6:$D$10008,$C$5:$C$499)</f>
        <v>0</v>
      </c>
      <c r="BF108" s="11">
        <f>SUMIFS(PURCHASE!$N$6:$N$10008,PURCHASE!$A$6:$A$10008,$BB$3,PURCHASE!$D$6:$D$10008,$C$5:$C$499)</f>
        <v>0</v>
      </c>
      <c r="BG108" s="11">
        <f t="shared" si="29"/>
        <v>0</v>
      </c>
      <c r="BH108" s="11">
        <f>SUMIFS(PURCHASE!$K$6:$K$10008,PURCHASE!$A$6:$A$10008,$BG$3,PURCHASE!$D$6:$D$10008,$C$5:$C$499)</f>
        <v>0</v>
      </c>
      <c r="BI108" s="11">
        <f>SUMIFS(PURCHASE!$L$6:$L$10008,PURCHASE!$A$6:$A$10008,$BG$3,PURCHASE!$D$6:$D$10008,$C$5:$C$499)</f>
        <v>0</v>
      </c>
      <c r="BJ108" s="11">
        <f>SUMIFS(PURCHASE!$M$6:$M$10008,PURCHASE!$A$6:$A$10008,$BG$3,PURCHASE!$D$6:$D$10008,$C$5:$C$499)</f>
        <v>0</v>
      </c>
      <c r="BK108" s="11">
        <f>SUMIFS(PURCHASE!$N$6:$N$10008,PURCHASE!$A$6:$A$10008,$BG$3,PURCHASE!$D$6:$D$10008,$C$5:$C$499)</f>
        <v>0</v>
      </c>
      <c r="BL108" s="11">
        <f t="shared" si="17"/>
        <v>21240</v>
      </c>
      <c r="BM108" s="11">
        <f t="shared" si="17"/>
        <v>18000</v>
      </c>
      <c r="BN108" s="11">
        <f t="shared" si="17"/>
        <v>0</v>
      </c>
      <c r="BO108" s="11">
        <f t="shared" si="17"/>
        <v>1620</v>
      </c>
      <c r="BP108" s="11">
        <f t="shared" si="17"/>
        <v>1620</v>
      </c>
    </row>
    <row r="109" spans="1:68" x14ac:dyDescent="0.2">
      <c r="A109" s="467">
        <v>106</v>
      </c>
      <c r="B109" s="468" t="s">
        <v>1156</v>
      </c>
      <c r="C109" s="469" t="s">
        <v>1157</v>
      </c>
      <c r="D109" s="11">
        <f t="shared" si="18"/>
        <v>0</v>
      </c>
      <c r="E109" s="11">
        <f>SUMIFS(PURCHASE!$K$6:$K$10008,PURCHASE!$A$6:$A$10008,$D$3,PURCHASE!$D$6:$D$10008,$C$5:$C$499)</f>
        <v>0</v>
      </c>
      <c r="F109" s="11">
        <f>SUMIFS(PURCHASE!$L$6:$L$10008,PURCHASE!$A$6:$A$10008,$D$3,PURCHASE!$D$6:$D$10008,$C$5:$C$499)</f>
        <v>0</v>
      </c>
      <c r="G109" s="11">
        <f>SUMIFS(PURCHASE!$M$6:$M$10008,PURCHASE!$A$6:$A$10008,$D$3,PURCHASE!$D$6:$D$10008,$C$5:$C$499)</f>
        <v>0</v>
      </c>
      <c r="H109" s="11">
        <f>SUMIFS(PURCHASE!$N$6:$N$10008,PURCHASE!$A$6:$A$10008,$D$3,PURCHASE!$D$6:$D$10008,$C$5:$C$499)</f>
        <v>0</v>
      </c>
      <c r="I109" s="473">
        <f t="shared" si="19"/>
        <v>0</v>
      </c>
      <c r="J109" s="60">
        <f>SUMIFS(PURCHASE!$K$6:$K$10008,PURCHASE!$A$6:$A$10008,$I$3,PURCHASE!$D$6:$D$10008,$C$5:$C$499)</f>
        <v>0</v>
      </c>
      <c r="K109" s="60">
        <f>SUMIFS(PURCHASE!$L$6:$L$10008,PURCHASE!$A$6:$A$10008,$I$3,PURCHASE!$D$6:$D$10008,$C$5:$C$499)</f>
        <v>0</v>
      </c>
      <c r="L109" s="60">
        <f>SUMIFS(PURCHASE!$M$6:$M$10008,PURCHASE!$A$6:$A$10008,$I$3,PURCHASE!$D$6:$D$10008,$C$5:$C$499)</f>
        <v>0</v>
      </c>
      <c r="M109" s="474">
        <f>SUMIFS(PURCHASE!$N$6:$N$10008,PURCHASE!$A$6:$A$10008,$I$3,PURCHASE!$D$6:$D$10008,$C$5:$C$499)</f>
        <v>0</v>
      </c>
      <c r="N109" s="11">
        <f t="shared" si="20"/>
        <v>0</v>
      </c>
      <c r="O109" s="11">
        <f>SUMIFS(PURCHASE!$K$6:$K$10008,PURCHASE!$A$6:$A$10008,$N$3,PURCHASE!$D$6:$D$10008,$C$5:$C$499)</f>
        <v>0</v>
      </c>
      <c r="P109" s="11">
        <f>SUMIFS(PURCHASE!$L$6:$L$10008,PURCHASE!$A$6:$A$10008,$N$3,PURCHASE!$D$6:$D$10008,$C$5:$C$499)</f>
        <v>0</v>
      </c>
      <c r="Q109" s="11">
        <f>SUMIFS(PURCHASE!$M$6:$M$10008,PURCHASE!$A$6:$A$10008,$N$3,PURCHASE!$D$6:$D$10008,$C$5:$C$499)</f>
        <v>0</v>
      </c>
      <c r="R109" s="11">
        <f>SUMIFS(PURCHASE!$N$6:$N$10008,PURCHASE!$A$6:$A$10008,$N$3,PURCHASE!$D$6:$D$10008,$C$5:$C$499)</f>
        <v>0</v>
      </c>
      <c r="S109" s="11">
        <f t="shared" si="21"/>
        <v>0</v>
      </c>
      <c r="T109" s="11">
        <f>SUMIFS(PURCHASE!$K$6:$K$10008,PURCHASE!$A$6:$A$10008,$S$3,PURCHASE!$D$6:$D$10008,$C$5:$C$499)</f>
        <v>0</v>
      </c>
      <c r="U109" s="11">
        <f>SUMIFS(PURCHASE!$L$6:$L$10008,PURCHASE!$A$6:$A$10008,$S$3,PURCHASE!$D$6:$D$10008,$C$5:$C$499)</f>
        <v>0</v>
      </c>
      <c r="V109" s="11">
        <f>SUMIFS(PURCHASE!$M$6:$M$10008,PURCHASE!$A$6:$A$10008,$S$3,PURCHASE!$D$6:$D$10008,$C$5:$C$499)</f>
        <v>0</v>
      </c>
      <c r="W109" s="11">
        <f>SUMIFS(PURCHASE!$N$6:$N$10008,PURCHASE!$A$6:$A$10008,$S$3,PURCHASE!$D$6:$D$10008,$C$5:$C$499)</f>
        <v>0</v>
      </c>
      <c r="X109" s="11">
        <f t="shared" si="22"/>
        <v>0</v>
      </c>
      <c r="Y109" s="11">
        <f>SUMIFS(PURCHASE!$K$6:$K$10008,PURCHASE!$A$6:$A$10008,$X$3,PURCHASE!$D$6:$D$10008,$C$5:$C$499)</f>
        <v>0</v>
      </c>
      <c r="Z109" s="11">
        <f>SUMIFS(PURCHASE!$L$6:$L$10008,PURCHASE!$A$6:$A$10008,$X$3,PURCHASE!$D$6:$D$10008,$C$5:$C$499)</f>
        <v>0</v>
      </c>
      <c r="AA109" s="11">
        <f>SUMIFS(PURCHASE!$M$6:$M$10008,PURCHASE!$A$6:$A$10008,$X$3,PURCHASE!$D$6:$D$10008,$C$5:$C$499)</f>
        <v>0</v>
      </c>
      <c r="AB109" s="11">
        <f>SUMIFS(PURCHASE!$N$6:$N$10008,PURCHASE!$A$6:$A$10008,$X$3,PURCHASE!$D$6:$D$10008,$C$5:$C$499)</f>
        <v>0</v>
      </c>
      <c r="AC109" s="11">
        <f t="shared" si="23"/>
        <v>0</v>
      </c>
      <c r="AD109" s="11">
        <f>SUMIFS(PURCHASE!$K$6:$K$10008,PURCHASE!$A$6:$A$10008,$AC$3,PURCHASE!$D$6:$D$10008,$C$5:$C$499)</f>
        <v>0</v>
      </c>
      <c r="AE109" s="11">
        <f>SUMIFS(PURCHASE!$L$6:$L$10008,PURCHASE!$A$6:$A$10008,$AC$3,PURCHASE!$D$6:$D$10008,$C$5:$C$499)</f>
        <v>0</v>
      </c>
      <c r="AF109" s="11">
        <f>SUMIFS(PURCHASE!$M$6:$M$10008,PURCHASE!$A$6:$A$10008,$AC$3,PURCHASE!$D$6:$D$10008,$C$5:$C$499)</f>
        <v>0</v>
      </c>
      <c r="AG109" s="11">
        <f>SUMIFS(PURCHASE!$N$6:$N$10008,PURCHASE!$A$6:$A$10008,$AC$3,PURCHASE!$D$6:$D$10008,$C$5:$C$499)</f>
        <v>0</v>
      </c>
      <c r="AH109" s="11">
        <f t="shared" si="24"/>
        <v>0</v>
      </c>
      <c r="AI109" s="11">
        <f>SUMIFS(PURCHASE!$K$6:$K$10008,PURCHASE!$A$6:$A$10008,$AH$3,PURCHASE!$D$6:$D$10008,$C$5:$C$499)</f>
        <v>0</v>
      </c>
      <c r="AJ109" s="11">
        <f>SUMIFS(PURCHASE!$L$6:$L$10008,PURCHASE!$A$6:$A$10008,$AH$3,PURCHASE!$D$6:$D$10008,$C$5:$C$499)</f>
        <v>0</v>
      </c>
      <c r="AK109" s="11">
        <f>SUMIFS(PURCHASE!$M$6:$M$10008,PURCHASE!$A$6:$A$10008,$AH$3,PURCHASE!$D$6:$D$10008,$C$5:$C$499)</f>
        <v>0</v>
      </c>
      <c r="AL109" s="11">
        <f>SUMIFS(PURCHASE!$N$6:$N$10008,PURCHASE!$A$6:$A$10008,$AH$3,PURCHASE!$D$6:$D$10008,$C$5:$C$499)</f>
        <v>0</v>
      </c>
      <c r="AM109" s="11">
        <f t="shared" si="25"/>
        <v>0</v>
      </c>
      <c r="AN109" s="11">
        <f>SUMIFS(PURCHASE!$K$6:$K$10008,PURCHASE!$A$6:$A$10008,$AM$3,PURCHASE!$D$6:$D$10008,$C$5:$C$499)</f>
        <v>0</v>
      </c>
      <c r="AO109" s="11">
        <f>SUMIFS(PURCHASE!$L$6:$L$10008,PURCHASE!$A$6:$A$10008,$AM$3,PURCHASE!$D$6:$D$10008,$C$5:$C$499)</f>
        <v>0</v>
      </c>
      <c r="AP109" s="11">
        <f>SUMIFS(PURCHASE!$M$6:$M$10008,PURCHASE!$A$6:$A$10008,$AM$3,PURCHASE!$D$6:$D$10008,$C$5:$C$499)</f>
        <v>0</v>
      </c>
      <c r="AQ109" s="11">
        <f>SUMIFS(PURCHASE!$N$6:$N$10008,PURCHASE!$A$6:$A$10008,$AM$3,PURCHASE!$D$6:$D$10008,$C$5:$C$499)</f>
        <v>0</v>
      </c>
      <c r="AR109" s="11">
        <f t="shared" si="26"/>
        <v>0</v>
      </c>
      <c r="AS109" s="11">
        <f>SUMIFS(PURCHASE!$K$6:$K$10008,PURCHASE!$A$6:$A$10008,$AR$3,PURCHASE!$D$6:$D$10008,$C$5:$C$499)</f>
        <v>0</v>
      </c>
      <c r="AT109" s="11">
        <f>SUMIFS(PURCHASE!$L$6:$L$10008,PURCHASE!$A$6:$A$10008,$AR$3,PURCHASE!$D$6:$D$10008,$C$5:$C$499)</f>
        <v>0</v>
      </c>
      <c r="AU109" s="11">
        <f>SUMIFS(PURCHASE!$M$6:$M$10008,PURCHASE!$A$6:$A$10008,$AR$3,PURCHASE!$D$6:$D$10008,$C$5:$C$499)</f>
        <v>0</v>
      </c>
      <c r="AV109" s="11">
        <f>SUMIFS(PURCHASE!$N$6:$N$10008,PURCHASE!$A$6:$A$10008,$AR$3,PURCHASE!$D$6:$D$10008,$C$5:$C$499)</f>
        <v>0</v>
      </c>
      <c r="AW109" s="11">
        <f t="shared" si="27"/>
        <v>0</v>
      </c>
      <c r="AX109" s="11">
        <f>SUMIFS(PURCHASE!$K$6:$K$10008,PURCHASE!$A$6:$A$10008,$AW$3,PURCHASE!$D$6:$D$10008,$C$5:$C$499)</f>
        <v>0</v>
      </c>
      <c r="AY109" s="11">
        <f>SUMIFS(PURCHASE!$L$6:$L$10008,PURCHASE!$A$6:$A$10008,$AW$3,PURCHASE!$D$6:$D$10008,$C$5:$C$499)</f>
        <v>0</v>
      </c>
      <c r="AZ109" s="11">
        <f>SUMIFS(PURCHASE!$M$6:$M$10008,PURCHASE!$A$6:$A$10008,$AW$3,PURCHASE!$D$6:$D$10008,$C$5:$C$499)</f>
        <v>0</v>
      </c>
      <c r="BA109" s="11">
        <f>SUMIFS(PURCHASE!$N$6:$N$10008,PURCHASE!$A$6:$A$10008,$AW$3,PURCHASE!$D$6:$D$10008,$C$5:$C$499)</f>
        <v>0</v>
      </c>
      <c r="BB109" s="11">
        <f t="shared" si="28"/>
        <v>0</v>
      </c>
      <c r="BC109" s="11">
        <f>SUMIFS(PURCHASE!$K$6:$K$10008,PURCHASE!$A$6:$A$10008,$BB$3,PURCHASE!$D$6:$D$10008,$C$5:$C$499)</f>
        <v>0</v>
      </c>
      <c r="BD109" s="11">
        <f>SUMIFS(PURCHASE!$L$6:$L$10008,PURCHASE!$A$6:$A$10008,$BB$3,PURCHASE!$D$6:$D$10008,$C$5:$C$499)</f>
        <v>0</v>
      </c>
      <c r="BE109" s="11">
        <f>SUMIFS(PURCHASE!$M$6:$M$10008,PURCHASE!$A$6:$A$10008,$BB$3,PURCHASE!$D$6:$D$10008,$C$5:$C$499)</f>
        <v>0</v>
      </c>
      <c r="BF109" s="11">
        <f>SUMIFS(PURCHASE!$N$6:$N$10008,PURCHASE!$A$6:$A$10008,$BB$3,PURCHASE!$D$6:$D$10008,$C$5:$C$499)</f>
        <v>0</v>
      </c>
      <c r="BG109" s="11">
        <f t="shared" si="29"/>
        <v>0</v>
      </c>
      <c r="BH109" s="11">
        <f>SUMIFS(PURCHASE!$K$6:$K$10008,PURCHASE!$A$6:$A$10008,$BG$3,PURCHASE!$D$6:$D$10008,$C$5:$C$499)</f>
        <v>0</v>
      </c>
      <c r="BI109" s="11">
        <f>SUMIFS(PURCHASE!$L$6:$L$10008,PURCHASE!$A$6:$A$10008,$BG$3,PURCHASE!$D$6:$D$10008,$C$5:$C$499)</f>
        <v>0</v>
      </c>
      <c r="BJ109" s="11">
        <f>SUMIFS(PURCHASE!$M$6:$M$10008,PURCHASE!$A$6:$A$10008,$BG$3,PURCHASE!$D$6:$D$10008,$C$5:$C$499)</f>
        <v>0</v>
      </c>
      <c r="BK109" s="11">
        <f>SUMIFS(PURCHASE!$N$6:$N$10008,PURCHASE!$A$6:$A$10008,$BG$3,PURCHASE!$D$6:$D$10008,$C$5:$C$499)</f>
        <v>0</v>
      </c>
      <c r="BL109" s="11">
        <f t="shared" si="17"/>
        <v>0</v>
      </c>
      <c r="BM109" s="11">
        <f t="shared" si="17"/>
        <v>0</v>
      </c>
      <c r="BN109" s="11">
        <f t="shared" si="17"/>
        <v>0</v>
      </c>
      <c r="BO109" s="11">
        <f t="shared" si="17"/>
        <v>0</v>
      </c>
      <c r="BP109" s="11">
        <f t="shared" si="17"/>
        <v>0</v>
      </c>
    </row>
    <row r="110" spans="1:68" x14ac:dyDescent="0.2">
      <c r="A110" s="467">
        <v>107</v>
      </c>
      <c r="B110" s="468" t="s">
        <v>1158</v>
      </c>
      <c r="C110" s="469" t="s">
        <v>1159</v>
      </c>
      <c r="D110" s="11">
        <f t="shared" si="18"/>
        <v>0</v>
      </c>
      <c r="E110" s="11">
        <f>SUMIFS(PURCHASE!$K$6:$K$10008,PURCHASE!$A$6:$A$10008,$D$3,PURCHASE!$D$6:$D$10008,$C$5:$C$499)</f>
        <v>0</v>
      </c>
      <c r="F110" s="11">
        <f>SUMIFS(PURCHASE!$L$6:$L$10008,PURCHASE!$A$6:$A$10008,$D$3,PURCHASE!$D$6:$D$10008,$C$5:$C$499)</f>
        <v>0</v>
      </c>
      <c r="G110" s="11">
        <f>SUMIFS(PURCHASE!$M$6:$M$10008,PURCHASE!$A$6:$A$10008,$D$3,PURCHASE!$D$6:$D$10008,$C$5:$C$499)</f>
        <v>0</v>
      </c>
      <c r="H110" s="11">
        <f>SUMIFS(PURCHASE!$N$6:$N$10008,PURCHASE!$A$6:$A$10008,$D$3,PURCHASE!$D$6:$D$10008,$C$5:$C$499)</f>
        <v>0</v>
      </c>
      <c r="I110" s="473">
        <f t="shared" si="19"/>
        <v>0</v>
      </c>
      <c r="J110" s="60">
        <f>SUMIFS(PURCHASE!$K$6:$K$10008,PURCHASE!$A$6:$A$10008,$I$3,PURCHASE!$D$6:$D$10008,$C$5:$C$499)</f>
        <v>0</v>
      </c>
      <c r="K110" s="60">
        <f>SUMIFS(PURCHASE!$L$6:$L$10008,PURCHASE!$A$6:$A$10008,$I$3,PURCHASE!$D$6:$D$10008,$C$5:$C$499)</f>
        <v>0</v>
      </c>
      <c r="L110" s="60">
        <f>SUMIFS(PURCHASE!$M$6:$M$10008,PURCHASE!$A$6:$A$10008,$I$3,PURCHASE!$D$6:$D$10008,$C$5:$C$499)</f>
        <v>0</v>
      </c>
      <c r="M110" s="474">
        <f>SUMIFS(PURCHASE!$N$6:$N$10008,PURCHASE!$A$6:$A$10008,$I$3,PURCHASE!$D$6:$D$10008,$C$5:$C$499)</f>
        <v>0</v>
      </c>
      <c r="N110" s="11">
        <f t="shared" si="20"/>
        <v>0</v>
      </c>
      <c r="O110" s="11">
        <f>SUMIFS(PURCHASE!$K$6:$K$10008,PURCHASE!$A$6:$A$10008,$N$3,PURCHASE!$D$6:$D$10008,$C$5:$C$499)</f>
        <v>0</v>
      </c>
      <c r="P110" s="11">
        <f>SUMIFS(PURCHASE!$L$6:$L$10008,PURCHASE!$A$6:$A$10008,$N$3,PURCHASE!$D$6:$D$10008,$C$5:$C$499)</f>
        <v>0</v>
      </c>
      <c r="Q110" s="11">
        <f>SUMIFS(PURCHASE!$M$6:$M$10008,PURCHASE!$A$6:$A$10008,$N$3,PURCHASE!$D$6:$D$10008,$C$5:$C$499)</f>
        <v>0</v>
      </c>
      <c r="R110" s="11">
        <f>SUMIFS(PURCHASE!$N$6:$N$10008,PURCHASE!$A$6:$A$10008,$N$3,PURCHASE!$D$6:$D$10008,$C$5:$C$499)</f>
        <v>0</v>
      </c>
      <c r="S110" s="11">
        <f t="shared" si="21"/>
        <v>0</v>
      </c>
      <c r="T110" s="11">
        <f>SUMIFS(PURCHASE!$K$6:$K$10008,PURCHASE!$A$6:$A$10008,$S$3,PURCHASE!$D$6:$D$10008,$C$5:$C$499)</f>
        <v>0</v>
      </c>
      <c r="U110" s="11">
        <f>SUMIFS(PURCHASE!$L$6:$L$10008,PURCHASE!$A$6:$A$10008,$S$3,PURCHASE!$D$6:$D$10008,$C$5:$C$499)</f>
        <v>0</v>
      </c>
      <c r="V110" s="11">
        <f>SUMIFS(PURCHASE!$M$6:$M$10008,PURCHASE!$A$6:$A$10008,$S$3,PURCHASE!$D$6:$D$10008,$C$5:$C$499)</f>
        <v>0</v>
      </c>
      <c r="W110" s="11">
        <f>SUMIFS(PURCHASE!$N$6:$N$10008,PURCHASE!$A$6:$A$10008,$S$3,PURCHASE!$D$6:$D$10008,$C$5:$C$499)</f>
        <v>0</v>
      </c>
      <c r="X110" s="11">
        <f t="shared" si="22"/>
        <v>0</v>
      </c>
      <c r="Y110" s="11">
        <f>SUMIFS(PURCHASE!$K$6:$K$10008,PURCHASE!$A$6:$A$10008,$X$3,PURCHASE!$D$6:$D$10008,$C$5:$C$499)</f>
        <v>0</v>
      </c>
      <c r="Z110" s="11">
        <f>SUMIFS(PURCHASE!$L$6:$L$10008,PURCHASE!$A$6:$A$10008,$X$3,PURCHASE!$D$6:$D$10008,$C$5:$C$499)</f>
        <v>0</v>
      </c>
      <c r="AA110" s="11">
        <f>SUMIFS(PURCHASE!$M$6:$M$10008,PURCHASE!$A$6:$A$10008,$X$3,PURCHASE!$D$6:$D$10008,$C$5:$C$499)</f>
        <v>0</v>
      </c>
      <c r="AB110" s="11">
        <f>SUMIFS(PURCHASE!$N$6:$N$10008,PURCHASE!$A$6:$A$10008,$X$3,PURCHASE!$D$6:$D$10008,$C$5:$C$499)</f>
        <v>0</v>
      </c>
      <c r="AC110" s="11">
        <f t="shared" si="23"/>
        <v>0</v>
      </c>
      <c r="AD110" s="11">
        <f>SUMIFS(PURCHASE!$K$6:$K$10008,PURCHASE!$A$6:$A$10008,$AC$3,PURCHASE!$D$6:$D$10008,$C$5:$C$499)</f>
        <v>0</v>
      </c>
      <c r="AE110" s="11">
        <f>SUMIFS(PURCHASE!$L$6:$L$10008,PURCHASE!$A$6:$A$10008,$AC$3,PURCHASE!$D$6:$D$10008,$C$5:$C$499)</f>
        <v>0</v>
      </c>
      <c r="AF110" s="11">
        <f>SUMIFS(PURCHASE!$M$6:$M$10008,PURCHASE!$A$6:$A$10008,$AC$3,PURCHASE!$D$6:$D$10008,$C$5:$C$499)</f>
        <v>0</v>
      </c>
      <c r="AG110" s="11">
        <f>SUMIFS(PURCHASE!$N$6:$N$10008,PURCHASE!$A$6:$A$10008,$AC$3,PURCHASE!$D$6:$D$10008,$C$5:$C$499)</f>
        <v>0</v>
      </c>
      <c r="AH110" s="11">
        <f t="shared" si="24"/>
        <v>0</v>
      </c>
      <c r="AI110" s="11">
        <f>SUMIFS(PURCHASE!$K$6:$K$10008,PURCHASE!$A$6:$A$10008,$AH$3,PURCHASE!$D$6:$D$10008,$C$5:$C$499)</f>
        <v>0</v>
      </c>
      <c r="AJ110" s="11">
        <f>SUMIFS(PURCHASE!$L$6:$L$10008,PURCHASE!$A$6:$A$10008,$AH$3,PURCHASE!$D$6:$D$10008,$C$5:$C$499)</f>
        <v>0</v>
      </c>
      <c r="AK110" s="11">
        <f>SUMIFS(PURCHASE!$M$6:$M$10008,PURCHASE!$A$6:$A$10008,$AH$3,PURCHASE!$D$6:$D$10008,$C$5:$C$499)</f>
        <v>0</v>
      </c>
      <c r="AL110" s="11">
        <f>SUMIFS(PURCHASE!$N$6:$N$10008,PURCHASE!$A$6:$A$10008,$AH$3,PURCHASE!$D$6:$D$10008,$C$5:$C$499)</f>
        <v>0</v>
      </c>
      <c r="AM110" s="11">
        <f t="shared" si="25"/>
        <v>0</v>
      </c>
      <c r="AN110" s="11">
        <f>SUMIFS(PURCHASE!$K$6:$K$10008,PURCHASE!$A$6:$A$10008,$AM$3,PURCHASE!$D$6:$D$10008,$C$5:$C$499)</f>
        <v>0</v>
      </c>
      <c r="AO110" s="11">
        <f>SUMIFS(PURCHASE!$L$6:$L$10008,PURCHASE!$A$6:$A$10008,$AM$3,PURCHASE!$D$6:$D$10008,$C$5:$C$499)</f>
        <v>0</v>
      </c>
      <c r="AP110" s="11">
        <f>SUMIFS(PURCHASE!$M$6:$M$10008,PURCHASE!$A$6:$A$10008,$AM$3,PURCHASE!$D$6:$D$10008,$C$5:$C$499)</f>
        <v>0</v>
      </c>
      <c r="AQ110" s="11">
        <f>SUMIFS(PURCHASE!$N$6:$N$10008,PURCHASE!$A$6:$A$10008,$AM$3,PURCHASE!$D$6:$D$10008,$C$5:$C$499)</f>
        <v>0</v>
      </c>
      <c r="AR110" s="11">
        <f t="shared" si="26"/>
        <v>0</v>
      </c>
      <c r="AS110" s="11">
        <f>SUMIFS(PURCHASE!$K$6:$K$10008,PURCHASE!$A$6:$A$10008,$AR$3,PURCHASE!$D$6:$D$10008,$C$5:$C$499)</f>
        <v>0</v>
      </c>
      <c r="AT110" s="11">
        <f>SUMIFS(PURCHASE!$L$6:$L$10008,PURCHASE!$A$6:$A$10008,$AR$3,PURCHASE!$D$6:$D$10008,$C$5:$C$499)</f>
        <v>0</v>
      </c>
      <c r="AU110" s="11">
        <f>SUMIFS(PURCHASE!$M$6:$M$10008,PURCHASE!$A$6:$A$10008,$AR$3,PURCHASE!$D$6:$D$10008,$C$5:$C$499)</f>
        <v>0</v>
      </c>
      <c r="AV110" s="11">
        <f>SUMIFS(PURCHASE!$N$6:$N$10008,PURCHASE!$A$6:$A$10008,$AR$3,PURCHASE!$D$6:$D$10008,$C$5:$C$499)</f>
        <v>0</v>
      </c>
      <c r="AW110" s="11">
        <f t="shared" si="27"/>
        <v>0</v>
      </c>
      <c r="AX110" s="11">
        <f>SUMIFS(PURCHASE!$K$6:$K$10008,PURCHASE!$A$6:$A$10008,$AW$3,PURCHASE!$D$6:$D$10008,$C$5:$C$499)</f>
        <v>0</v>
      </c>
      <c r="AY110" s="11">
        <f>SUMIFS(PURCHASE!$L$6:$L$10008,PURCHASE!$A$6:$A$10008,$AW$3,PURCHASE!$D$6:$D$10008,$C$5:$C$499)</f>
        <v>0</v>
      </c>
      <c r="AZ110" s="11">
        <f>SUMIFS(PURCHASE!$M$6:$M$10008,PURCHASE!$A$6:$A$10008,$AW$3,PURCHASE!$D$6:$D$10008,$C$5:$C$499)</f>
        <v>0</v>
      </c>
      <c r="BA110" s="11">
        <f>SUMIFS(PURCHASE!$N$6:$N$10008,PURCHASE!$A$6:$A$10008,$AW$3,PURCHASE!$D$6:$D$10008,$C$5:$C$499)</f>
        <v>0</v>
      </c>
      <c r="BB110" s="11">
        <f t="shared" si="28"/>
        <v>0</v>
      </c>
      <c r="BC110" s="11">
        <f>SUMIFS(PURCHASE!$K$6:$K$10008,PURCHASE!$A$6:$A$10008,$BB$3,PURCHASE!$D$6:$D$10008,$C$5:$C$499)</f>
        <v>0</v>
      </c>
      <c r="BD110" s="11">
        <f>SUMIFS(PURCHASE!$L$6:$L$10008,PURCHASE!$A$6:$A$10008,$BB$3,PURCHASE!$D$6:$D$10008,$C$5:$C$499)</f>
        <v>0</v>
      </c>
      <c r="BE110" s="11">
        <f>SUMIFS(PURCHASE!$M$6:$M$10008,PURCHASE!$A$6:$A$10008,$BB$3,PURCHASE!$D$6:$D$10008,$C$5:$C$499)</f>
        <v>0</v>
      </c>
      <c r="BF110" s="11">
        <f>SUMIFS(PURCHASE!$N$6:$N$10008,PURCHASE!$A$6:$A$10008,$BB$3,PURCHASE!$D$6:$D$10008,$C$5:$C$499)</f>
        <v>0</v>
      </c>
      <c r="BG110" s="11">
        <f t="shared" si="29"/>
        <v>0</v>
      </c>
      <c r="BH110" s="11">
        <f>SUMIFS(PURCHASE!$K$6:$K$10008,PURCHASE!$A$6:$A$10008,$BG$3,PURCHASE!$D$6:$D$10008,$C$5:$C$499)</f>
        <v>0</v>
      </c>
      <c r="BI110" s="11">
        <f>SUMIFS(PURCHASE!$L$6:$L$10008,PURCHASE!$A$6:$A$10008,$BG$3,PURCHASE!$D$6:$D$10008,$C$5:$C$499)</f>
        <v>0</v>
      </c>
      <c r="BJ110" s="11">
        <f>SUMIFS(PURCHASE!$M$6:$M$10008,PURCHASE!$A$6:$A$10008,$BG$3,PURCHASE!$D$6:$D$10008,$C$5:$C$499)</f>
        <v>0</v>
      </c>
      <c r="BK110" s="11">
        <f>SUMIFS(PURCHASE!$N$6:$N$10008,PURCHASE!$A$6:$A$10008,$BG$3,PURCHASE!$D$6:$D$10008,$C$5:$C$499)</f>
        <v>0</v>
      </c>
      <c r="BL110" s="11">
        <f t="shared" si="17"/>
        <v>0</v>
      </c>
      <c r="BM110" s="11">
        <f t="shared" si="17"/>
        <v>0</v>
      </c>
      <c r="BN110" s="11">
        <f t="shared" si="17"/>
        <v>0</v>
      </c>
      <c r="BO110" s="11">
        <f t="shared" si="17"/>
        <v>0</v>
      </c>
      <c r="BP110" s="11">
        <f t="shared" si="17"/>
        <v>0</v>
      </c>
    </row>
    <row r="111" spans="1:68" x14ac:dyDescent="0.2">
      <c r="A111" s="467">
        <v>108</v>
      </c>
      <c r="B111" s="468" t="s">
        <v>1160</v>
      </c>
      <c r="C111" s="469" t="s">
        <v>1161</v>
      </c>
      <c r="D111" s="11">
        <f t="shared" si="18"/>
        <v>0</v>
      </c>
      <c r="E111" s="11">
        <f>SUMIFS(PURCHASE!$K$6:$K$10008,PURCHASE!$A$6:$A$10008,$D$3,PURCHASE!$D$6:$D$10008,$C$5:$C$499)</f>
        <v>0</v>
      </c>
      <c r="F111" s="11">
        <f>SUMIFS(PURCHASE!$L$6:$L$10008,PURCHASE!$A$6:$A$10008,$D$3,PURCHASE!$D$6:$D$10008,$C$5:$C$499)</f>
        <v>0</v>
      </c>
      <c r="G111" s="11">
        <f>SUMIFS(PURCHASE!$M$6:$M$10008,PURCHASE!$A$6:$A$10008,$D$3,PURCHASE!$D$6:$D$10008,$C$5:$C$499)</f>
        <v>0</v>
      </c>
      <c r="H111" s="11">
        <f>SUMIFS(PURCHASE!$N$6:$N$10008,PURCHASE!$A$6:$A$10008,$D$3,PURCHASE!$D$6:$D$10008,$C$5:$C$499)</f>
        <v>0</v>
      </c>
      <c r="I111" s="473">
        <f t="shared" si="19"/>
        <v>0</v>
      </c>
      <c r="J111" s="60">
        <f>SUMIFS(PURCHASE!$K$6:$K$10008,PURCHASE!$A$6:$A$10008,$I$3,PURCHASE!$D$6:$D$10008,$C$5:$C$499)</f>
        <v>0</v>
      </c>
      <c r="K111" s="60">
        <f>SUMIFS(PURCHASE!$L$6:$L$10008,PURCHASE!$A$6:$A$10008,$I$3,PURCHASE!$D$6:$D$10008,$C$5:$C$499)</f>
        <v>0</v>
      </c>
      <c r="L111" s="60">
        <f>SUMIFS(PURCHASE!$M$6:$M$10008,PURCHASE!$A$6:$A$10008,$I$3,PURCHASE!$D$6:$D$10008,$C$5:$C$499)</f>
        <v>0</v>
      </c>
      <c r="M111" s="474">
        <f>SUMIFS(PURCHASE!$N$6:$N$10008,PURCHASE!$A$6:$A$10008,$I$3,PURCHASE!$D$6:$D$10008,$C$5:$C$499)</f>
        <v>0</v>
      </c>
      <c r="N111" s="11">
        <f t="shared" si="20"/>
        <v>0</v>
      </c>
      <c r="O111" s="11">
        <f>SUMIFS(PURCHASE!$K$6:$K$10008,PURCHASE!$A$6:$A$10008,$N$3,PURCHASE!$D$6:$D$10008,$C$5:$C$499)</f>
        <v>0</v>
      </c>
      <c r="P111" s="11">
        <f>SUMIFS(PURCHASE!$L$6:$L$10008,PURCHASE!$A$6:$A$10008,$N$3,PURCHASE!$D$6:$D$10008,$C$5:$C$499)</f>
        <v>0</v>
      </c>
      <c r="Q111" s="11">
        <f>SUMIFS(PURCHASE!$M$6:$M$10008,PURCHASE!$A$6:$A$10008,$N$3,PURCHASE!$D$6:$D$10008,$C$5:$C$499)</f>
        <v>0</v>
      </c>
      <c r="R111" s="11">
        <f>SUMIFS(PURCHASE!$N$6:$N$10008,PURCHASE!$A$6:$A$10008,$N$3,PURCHASE!$D$6:$D$10008,$C$5:$C$499)</f>
        <v>0</v>
      </c>
      <c r="S111" s="11">
        <f t="shared" si="21"/>
        <v>0</v>
      </c>
      <c r="T111" s="11">
        <f>SUMIFS(PURCHASE!$K$6:$K$10008,PURCHASE!$A$6:$A$10008,$S$3,PURCHASE!$D$6:$D$10008,$C$5:$C$499)</f>
        <v>0</v>
      </c>
      <c r="U111" s="11">
        <f>SUMIFS(PURCHASE!$L$6:$L$10008,PURCHASE!$A$6:$A$10008,$S$3,PURCHASE!$D$6:$D$10008,$C$5:$C$499)</f>
        <v>0</v>
      </c>
      <c r="V111" s="11">
        <f>SUMIFS(PURCHASE!$M$6:$M$10008,PURCHASE!$A$6:$A$10008,$S$3,PURCHASE!$D$6:$D$10008,$C$5:$C$499)</f>
        <v>0</v>
      </c>
      <c r="W111" s="11">
        <f>SUMIFS(PURCHASE!$N$6:$N$10008,PURCHASE!$A$6:$A$10008,$S$3,PURCHASE!$D$6:$D$10008,$C$5:$C$499)</f>
        <v>0</v>
      </c>
      <c r="X111" s="11">
        <f t="shared" si="22"/>
        <v>0</v>
      </c>
      <c r="Y111" s="11">
        <f>SUMIFS(PURCHASE!$K$6:$K$10008,PURCHASE!$A$6:$A$10008,$X$3,PURCHASE!$D$6:$D$10008,$C$5:$C$499)</f>
        <v>0</v>
      </c>
      <c r="Z111" s="11">
        <f>SUMIFS(PURCHASE!$L$6:$L$10008,PURCHASE!$A$6:$A$10008,$X$3,PURCHASE!$D$6:$D$10008,$C$5:$C$499)</f>
        <v>0</v>
      </c>
      <c r="AA111" s="11">
        <f>SUMIFS(PURCHASE!$M$6:$M$10008,PURCHASE!$A$6:$A$10008,$X$3,PURCHASE!$D$6:$D$10008,$C$5:$C$499)</f>
        <v>0</v>
      </c>
      <c r="AB111" s="11">
        <f>SUMIFS(PURCHASE!$N$6:$N$10008,PURCHASE!$A$6:$A$10008,$X$3,PURCHASE!$D$6:$D$10008,$C$5:$C$499)</f>
        <v>0</v>
      </c>
      <c r="AC111" s="11">
        <f t="shared" si="23"/>
        <v>0</v>
      </c>
      <c r="AD111" s="11">
        <f>SUMIFS(PURCHASE!$K$6:$K$10008,PURCHASE!$A$6:$A$10008,$AC$3,PURCHASE!$D$6:$D$10008,$C$5:$C$499)</f>
        <v>0</v>
      </c>
      <c r="AE111" s="11">
        <f>SUMIFS(PURCHASE!$L$6:$L$10008,PURCHASE!$A$6:$A$10008,$AC$3,PURCHASE!$D$6:$D$10008,$C$5:$C$499)</f>
        <v>0</v>
      </c>
      <c r="AF111" s="11">
        <f>SUMIFS(PURCHASE!$M$6:$M$10008,PURCHASE!$A$6:$A$10008,$AC$3,PURCHASE!$D$6:$D$10008,$C$5:$C$499)</f>
        <v>0</v>
      </c>
      <c r="AG111" s="11">
        <f>SUMIFS(PURCHASE!$N$6:$N$10008,PURCHASE!$A$6:$A$10008,$AC$3,PURCHASE!$D$6:$D$10008,$C$5:$C$499)</f>
        <v>0</v>
      </c>
      <c r="AH111" s="11">
        <f t="shared" si="24"/>
        <v>0</v>
      </c>
      <c r="AI111" s="11">
        <f>SUMIFS(PURCHASE!$K$6:$K$10008,PURCHASE!$A$6:$A$10008,$AH$3,PURCHASE!$D$6:$D$10008,$C$5:$C$499)</f>
        <v>0</v>
      </c>
      <c r="AJ111" s="11">
        <f>SUMIFS(PURCHASE!$L$6:$L$10008,PURCHASE!$A$6:$A$10008,$AH$3,PURCHASE!$D$6:$D$10008,$C$5:$C$499)</f>
        <v>0</v>
      </c>
      <c r="AK111" s="11">
        <f>SUMIFS(PURCHASE!$M$6:$M$10008,PURCHASE!$A$6:$A$10008,$AH$3,PURCHASE!$D$6:$D$10008,$C$5:$C$499)</f>
        <v>0</v>
      </c>
      <c r="AL111" s="11">
        <f>SUMIFS(PURCHASE!$N$6:$N$10008,PURCHASE!$A$6:$A$10008,$AH$3,PURCHASE!$D$6:$D$10008,$C$5:$C$499)</f>
        <v>0</v>
      </c>
      <c r="AM111" s="11">
        <f t="shared" si="25"/>
        <v>0</v>
      </c>
      <c r="AN111" s="11">
        <f>SUMIFS(PURCHASE!$K$6:$K$10008,PURCHASE!$A$6:$A$10008,$AM$3,PURCHASE!$D$6:$D$10008,$C$5:$C$499)</f>
        <v>0</v>
      </c>
      <c r="AO111" s="11">
        <f>SUMIFS(PURCHASE!$L$6:$L$10008,PURCHASE!$A$6:$A$10008,$AM$3,PURCHASE!$D$6:$D$10008,$C$5:$C$499)</f>
        <v>0</v>
      </c>
      <c r="AP111" s="11">
        <f>SUMIFS(PURCHASE!$M$6:$M$10008,PURCHASE!$A$6:$A$10008,$AM$3,PURCHASE!$D$6:$D$10008,$C$5:$C$499)</f>
        <v>0</v>
      </c>
      <c r="AQ111" s="11">
        <f>SUMIFS(PURCHASE!$N$6:$N$10008,PURCHASE!$A$6:$A$10008,$AM$3,PURCHASE!$D$6:$D$10008,$C$5:$C$499)</f>
        <v>0</v>
      </c>
      <c r="AR111" s="11">
        <f t="shared" si="26"/>
        <v>0</v>
      </c>
      <c r="AS111" s="11">
        <f>SUMIFS(PURCHASE!$K$6:$K$10008,PURCHASE!$A$6:$A$10008,$AR$3,PURCHASE!$D$6:$D$10008,$C$5:$C$499)</f>
        <v>0</v>
      </c>
      <c r="AT111" s="11">
        <f>SUMIFS(PURCHASE!$L$6:$L$10008,PURCHASE!$A$6:$A$10008,$AR$3,PURCHASE!$D$6:$D$10008,$C$5:$C$499)</f>
        <v>0</v>
      </c>
      <c r="AU111" s="11">
        <f>SUMIFS(PURCHASE!$M$6:$M$10008,PURCHASE!$A$6:$A$10008,$AR$3,PURCHASE!$D$6:$D$10008,$C$5:$C$499)</f>
        <v>0</v>
      </c>
      <c r="AV111" s="11">
        <f>SUMIFS(PURCHASE!$N$6:$N$10008,PURCHASE!$A$6:$A$10008,$AR$3,PURCHASE!$D$6:$D$10008,$C$5:$C$499)</f>
        <v>0</v>
      </c>
      <c r="AW111" s="11">
        <f t="shared" si="27"/>
        <v>0</v>
      </c>
      <c r="AX111" s="11">
        <f>SUMIFS(PURCHASE!$K$6:$K$10008,PURCHASE!$A$6:$A$10008,$AW$3,PURCHASE!$D$6:$D$10008,$C$5:$C$499)</f>
        <v>0</v>
      </c>
      <c r="AY111" s="11">
        <f>SUMIFS(PURCHASE!$L$6:$L$10008,PURCHASE!$A$6:$A$10008,$AW$3,PURCHASE!$D$6:$D$10008,$C$5:$C$499)</f>
        <v>0</v>
      </c>
      <c r="AZ111" s="11">
        <f>SUMIFS(PURCHASE!$M$6:$M$10008,PURCHASE!$A$6:$A$10008,$AW$3,PURCHASE!$D$6:$D$10008,$C$5:$C$499)</f>
        <v>0</v>
      </c>
      <c r="BA111" s="11">
        <f>SUMIFS(PURCHASE!$N$6:$N$10008,PURCHASE!$A$6:$A$10008,$AW$3,PURCHASE!$D$6:$D$10008,$C$5:$C$499)</f>
        <v>0</v>
      </c>
      <c r="BB111" s="11">
        <f t="shared" si="28"/>
        <v>0</v>
      </c>
      <c r="BC111" s="11">
        <f>SUMIFS(PURCHASE!$K$6:$K$10008,PURCHASE!$A$6:$A$10008,$BB$3,PURCHASE!$D$6:$D$10008,$C$5:$C$499)</f>
        <v>0</v>
      </c>
      <c r="BD111" s="11">
        <f>SUMIFS(PURCHASE!$L$6:$L$10008,PURCHASE!$A$6:$A$10008,$BB$3,PURCHASE!$D$6:$D$10008,$C$5:$C$499)</f>
        <v>0</v>
      </c>
      <c r="BE111" s="11">
        <f>SUMIFS(PURCHASE!$M$6:$M$10008,PURCHASE!$A$6:$A$10008,$BB$3,PURCHASE!$D$6:$D$10008,$C$5:$C$499)</f>
        <v>0</v>
      </c>
      <c r="BF111" s="11">
        <f>SUMIFS(PURCHASE!$N$6:$N$10008,PURCHASE!$A$6:$A$10008,$BB$3,PURCHASE!$D$6:$D$10008,$C$5:$C$499)</f>
        <v>0</v>
      </c>
      <c r="BG111" s="11">
        <f t="shared" si="29"/>
        <v>0</v>
      </c>
      <c r="BH111" s="11">
        <f>SUMIFS(PURCHASE!$K$6:$K$10008,PURCHASE!$A$6:$A$10008,$BG$3,PURCHASE!$D$6:$D$10008,$C$5:$C$499)</f>
        <v>0</v>
      </c>
      <c r="BI111" s="11">
        <f>SUMIFS(PURCHASE!$L$6:$L$10008,PURCHASE!$A$6:$A$10008,$BG$3,PURCHASE!$D$6:$D$10008,$C$5:$C$499)</f>
        <v>0</v>
      </c>
      <c r="BJ111" s="11">
        <f>SUMIFS(PURCHASE!$M$6:$M$10008,PURCHASE!$A$6:$A$10008,$BG$3,PURCHASE!$D$6:$D$10008,$C$5:$C$499)</f>
        <v>0</v>
      </c>
      <c r="BK111" s="11">
        <f>SUMIFS(PURCHASE!$N$6:$N$10008,PURCHASE!$A$6:$A$10008,$BG$3,PURCHASE!$D$6:$D$10008,$C$5:$C$499)</f>
        <v>0</v>
      </c>
      <c r="BL111" s="11">
        <f t="shared" si="17"/>
        <v>0</v>
      </c>
      <c r="BM111" s="11">
        <f t="shared" si="17"/>
        <v>0</v>
      </c>
      <c r="BN111" s="11">
        <f t="shared" si="17"/>
        <v>0</v>
      </c>
      <c r="BO111" s="11">
        <f t="shared" si="17"/>
        <v>0</v>
      </c>
      <c r="BP111" s="11">
        <f t="shared" si="17"/>
        <v>0</v>
      </c>
    </row>
    <row r="112" spans="1:68" x14ac:dyDescent="0.2">
      <c r="A112" s="467">
        <v>109</v>
      </c>
      <c r="B112" s="468" t="s">
        <v>1162</v>
      </c>
      <c r="C112" s="469" t="s">
        <v>250</v>
      </c>
      <c r="D112" s="11">
        <f t="shared" si="18"/>
        <v>0</v>
      </c>
      <c r="E112" s="11">
        <f>SUMIFS(PURCHASE!$K$6:$K$10008,PURCHASE!$A$6:$A$10008,$D$3,PURCHASE!$D$6:$D$10008,$C$5:$C$499)</f>
        <v>0</v>
      </c>
      <c r="F112" s="11">
        <f>SUMIFS(PURCHASE!$L$6:$L$10008,PURCHASE!$A$6:$A$10008,$D$3,PURCHASE!$D$6:$D$10008,$C$5:$C$499)</f>
        <v>0</v>
      </c>
      <c r="G112" s="11">
        <f>SUMIFS(PURCHASE!$M$6:$M$10008,PURCHASE!$A$6:$A$10008,$D$3,PURCHASE!$D$6:$D$10008,$C$5:$C$499)</f>
        <v>0</v>
      </c>
      <c r="H112" s="11">
        <f>SUMIFS(PURCHASE!$N$6:$N$10008,PURCHASE!$A$6:$A$10008,$D$3,PURCHASE!$D$6:$D$10008,$C$5:$C$499)</f>
        <v>0</v>
      </c>
      <c r="I112" s="473">
        <f t="shared" si="19"/>
        <v>0</v>
      </c>
      <c r="J112" s="60">
        <f>SUMIFS(PURCHASE!$K$6:$K$10008,PURCHASE!$A$6:$A$10008,$I$3,PURCHASE!$D$6:$D$10008,$C$5:$C$499)</f>
        <v>0</v>
      </c>
      <c r="K112" s="60">
        <f>SUMIFS(PURCHASE!$L$6:$L$10008,PURCHASE!$A$6:$A$10008,$I$3,PURCHASE!$D$6:$D$10008,$C$5:$C$499)</f>
        <v>0</v>
      </c>
      <c r="L112" s="60">
        <f>SUMIFS(PURCHASE!$M$6:$M$10008,PURCHASE!$A$6:$A$10008,$I$3,PURCHASE!$D$6:$D$10008,$C$5:$C$499)</f>
        <v>0</v>
      </c>
      <c r="M112" s="474">
        <f>SUMIFS(PURCHASE!$N$6:$N$10008,PURCHASE!$A$6:$A$10008,$I$3,PURCHASE!$D$6:$D$10008,$C$5:$C$499)</f>
        <v>0</v>
      </c>
      <c r="N112" s="11">
        <f t="shared" si="20"/>
        <v>0</v>
      </c>
      <c r="O112" s="11">
        <f>SUMIFS(PURCHASE!$K$6:$K$10008,PURCHASE!$A$6:$A$10008,$N$3,PURCHASE!$D$6:$D$10008,$C$5:$C$499)</f>
        <v>0</v>
      </c>
      <c r="P112" s="11">
        <f>SUMIFS(PURCHASE!$L$6:$L$10008,PURCHASE!$A$6:$A$10008,$N$3,PURCHASE!$D$6:$D$10008,$C$5:$C$499)</f>
        <v>0</v>
      </c>
      <c r="Q112" s="11">
        <f>SUMIFS(PURCHASE!$M$6:$M$10008,PURCHASE!$A$6:$A$10008,$N$3,PURCHASE!$D$6:$D$10008,$C$5:$C$499)</f>
        <v>0</v>
      </c>
      <c r="R112" s="11">
        <f>SUMIFS(PURCHASE!$N$6:$N$10008,PURCHASE!$A$6:$A$10008,$N$3,PURCHASE!$D$6:$D$10008,$C$5:$C$499)</f>
        <v>0</v>
      </c>
      <c r="S112" s="11">
        <f t="shared" si="21"/>
        <v>0</v>
      </c>
      <c r="T112" s="11">
        <f>SUMIFS(PURCHASE!$K$6:$K$10008,PURCHASE!$A$6:$A$10008,$S$3,PURCHASE!$D$6:$D$10008,$C$5:$C$499)</f>
        <v>0</v>
      </c>
      <c r="U112" s="11">
        <f>SUMIFS(PURCHASE!$L$6:$L$10008,PURCHASE!$A$6:$A$10008,$S$3,PURCHASE!$D$6:$D$10008,$C$5:$C$499)</f>
        <v>0</v>
      </c>
      <c r="V112" s="11">
        <f>SUMIFS(PURCHASE!$M$6:$M$10008,PURCHASE!$A$6:$A$10008,$S$3,PURCHASE!$D$6:$D$10008,$C$5:$C$499)</f>
        <v>0</v>
      </c>
      <c r="W112" s="11">
        <f>SUMIFS(PURCHASE!$N$6:$N$10008,PURCHASE!$A$6:$A$10008,$S$3,PURCHASE!$D$6:$D$10008,$C$5:$C$499)</f>
        <v>0</v>
      </c>
      <c r="X112" s="11">
        <f t="shared" si="22"/>
        <v>0</v>
      </c>
      <c r="Y112" s="11">
        <f>SUMIFS(PURCHASE!$K$6:$K$10008,PURCHASE!$A$6:$A$10008,$X$3,PURCHASE!$D$6:$D$10008,$C$5:$C$499)</f>
        <v>0</v>
      </c>
      <c r="Z112" s="11">
        <f>SUMIFS(PURCHASE!$L$6:$L$10008,PURCHASE!$A$6:$A$10008,$X$3,PURCHASE!$D$6:$D$10008,$C$5:$C$499)</f>
        <v>0</v>
      </c>
      <c r="AA112" s="11">
        <f>SUMIFS(PURCHASE!$M$6:$M$10008,PURCHASE!$A$6:$A$10008,$X$3,PURCHASE!$D$6:$D$10008,$C$5:$C$499)</f>
        <v>0</v>
      </c>
      <c r="AB112" s="11">
        <f>SUMIFS(PURCHASE!$N$6:$N$10008,PURCHASE!$A$6:$A$10008,$X$3,PURCHASE!$D$6:$D$10008,$C$5:$C$499)</f>
        <v>0</v>
      </c>
      <c r="AC112" s="11">
        <f t="shared" si="23"/>
        <v>0</v>
      </c>
      <c r="AD112" s="11">
        <f>SUMIFS(PURCHASE!$K$6:$K$10008,PURCHASE!$A$6:$A$10008,$AC$3,PURCHASE!$D$6:$D$10008,$C$5:$C$499)</f>
        <v>0</v>
      </c>
      <c r="AE112" s="11">
        <f>SUMIFS(PURCHASE!$L$6:$L$10008,PURCHASE!$A$6:$A$10008,$AC$3,PURCHASE!$D$6:$D$10008,$C$5:$C$499)</f>
        <v>0</v>
      </c>
      <c r="AF112" s="11">
        <f>SUMIFS(PURCHASE!$M$6:$M$10008,PURCHASE!$A$6:$A$10008,$AC$3,PURCHASE!$D$6:$D$10008,$C$5:$C$499)</f>
        <v>0</v>
      </c>
      <c r="AG112" s="11">
        <f>SUMIFS(PURCHASE!$N$6:$N$10008,PURCHASE!$A$6:$A$10008,$AC$3,PURCHASE!$D$6:$D$10008,$C$5:$C$499)</f>
        <v>0</v>
      </c>
      <c r="AH112" s="11">
        <f t="shared" si="24"/>
        <v>0</v>
      </c>
      <c r="AI112" s="11">
        <f>SUMIFS(PURCHASE!$K$6:$K$10008,PURCHASE!$A$6:$A$10008,$AH$3,PURCHASE!$D$6:$D$10008,$C$5:$C$499)</f>
        <v>0</v>
      </c>
      <c r="AJ112" s="11">
        <f>SUMIFS(PURCHASE!$L$6:$L$10008,PURCHASE!$A$6:$A$10008,$AH$3,PURCHASE!$D$6:$D$10008,$C$5:$C$499)</f>
        <v>0</v>
      </c>
      <c r="AK112" s="11">
        <f>SUMIFS(PURCHASE!$M$6:$M$10008,PURCHASE!$A$6:$A$10008,$AH$3,PURCHASE!$D$6:$D$10008,$C$5:$C$499)</f>
        <v>0</v>
      </c>
      <c r="AL112" s="11">
        <f>SUMIFS(PURCHASE!$N$6:$N$10008,PURCHASE!$A$6:$A$10008,$AH$3,PURCHASE!$D$6:$D$10008,$C$5:$C$499)</f>
        <v>0</v>
      </c>
      <c r="AM112" s="11">
        <f t="shared" si="25"/>
        <v>0</v>
      </c>
      <c r="AN112" s="11">
        <f>SUMIFS(PURCHASE!$K$6:$K$10008,PURCHASE!$A$6:$A$10008,$AM$3,PURCHASE!$D$6:$D$10008,$C$5:$C$499)</f>
        <v>0</v>
      </c>
      <c r="AO112" s="11">
        <f>SUMIFS(PURCHASE!$L$6:$L$10008,PURCHASE!$A$6:$A$10008,$AM$3,PURCHASE!$D$6:$D$10008,$C$5:$C$499)</f>
        <v>0</v>
      </c>
      <c r="AP112" s="11">
        <f>SUMIFS(PURCHASE!$M$6:$M$10008,PURCHASE!$A$6:$A$10008,$AM$3,PURCHASE!$D$6:$D$10008,$C$5:$C$499)</f>
        <v>0</v>
      </c>
      <c r="AQ112" s="11">
        <f>SUMIFS(PURCHASE!$N$6:$N$10008,PURCHASE!$A$6:$A$10008,$AM$3,PURCHASE!$D$6:$D$10008,$C$5:$C$499)</f>
        <v>0</v>
      </c>
      <c r="AR112" s="11">
        <f t="shared" si="26"/>
        <v>0</v>
      </c>
      <c r="AS112" s="11">
        <f>SUMIFS(PURCHASE!$K$6:$K$10008,PURCHASE!$A$6:$A$10008,$AR$3,PURCHASE!$D$6:$D$10008,$C$5:$C$499)</f>
        <v>0</v>
      </c>
      <c r="AT112" s="11">
        <f>SUMIFS(PURCHASE!$L$6:$L$10008,PURCHASE!$A$6:$A$10008,$AR$3,PURCHASE!$D$6:$D$10008,$C$5:$C$499)</f>
        <v>0</v>
      </c>
      <c r="AU112" s="11">
        <f>SUMIFS(PURCHASE!$M$6:$M$10008,PURCHASE!$A$6:$A$10008,$AR$3,PURCHASE!$D$6:$D$10008,$C$5:$C$499)</f>
        <v>0</v>
      </c>
      <c r="AV112" s="11">
        <f>SUMIFS(PURCHASE!$N$6:$N$10008,PURCHASE!$A$6:$A$10008,$AR$3,PURCHASE!$D$6:$D$10008,$C$5:$C$499)</f>
        <v>0</v>
      </c>
      <c r="AW112" s="11">
        <f t="shared" si="27"/>
        <v>0</v>
      </c>
      <c r="AX112" s="11">
        <f>SUMIFS(PURCHASE!$K$6:$K$10008,PURCHASE!$A$6:$A$10008,$AW$3,PURCHASE!$D$6:$D$10008,$C$5:$C$499)</f>
        <v>0</v>
      </c>
      <c r="AY112" s="11">
        <f>SUMIFS(PURCHASE!$L$6:$L$10008,PURCHASE!$A$6:$A$10008,$AW$3,PURCHASE!$D$6:$D$10008,$C$5:$C$499)</f>
        <v>0</v>
      </c>
      <c r="AZ112" s="11">
        <f>SUMIFS(PURCHASE!$M$6:$M$10008,PURCHASE!$A$6:$A$10008,$AW$3,PURCHASE!$D$6:$D$10008,$C$5:$C$499)</f>
        <v>0</v>
      </c>
      <c r="BA112" s="11">
        <f>SUMIFS(PURCHASE!$N$6:$N$10008,PURCHASE!$A$6:$A$10008,$AW$3,PURCHASE!$D$6:$D$10008,$C$5:$C$499)</f>
        <v>0</v>
      </c>
      <c r="BB112" s="11">
        <f t="shared" si="28"/>
        <v>0</v>
      </c>
      <c r="BC112" s="11">
        <f>SUMIFS(PURCHASE!$K$6:$K$10008,PURCHASE!$A$6:$A$10008,$BB$3,PURCHASE!$D$6:$D$10008,$C$5:$C$499)</f>
        <v>0</v>
      </c>
      <c r="BD112" s="11">
        <f>SUMIFS(PURCHASE!$L$6:$L$10008,PURCHASE!$A$6:$A$10008,$BB$3,PURCHASE!$D$6:$D$10008,$C$5:$C$499)</f>
        <v>0</v>
      </c>
      <c r="BE112" s="11">
        <f>SUMIFS(PURCHASE!$M$6:$M$10008,PURCHASE!$A$6:$A$10008,$BB$3,PURCHASE!$D$6:$D$10008,$C$5:$C$499)</f>
        <v>0</v>
      </c>
      <c r="BF112" s="11">
        <f>SUMIFS(PURCHASE!$N$6:$N$10008,PURCHASE!$A$6:$A$10008,$BB$3,PURCHASE!$D$6:$D$10008,$C$5:$C$499)</f>
        <v>0</v>
      </c>
      <c r="BG112" s="11">
        <f t="shared" si="29"/>
        <v>0</v>
      </c>
      <c r="BH112" s="11">
        <f>SUMIFS(PURCHASE!$K$6:$K$10008,PURCHASE!$A$6:$A$10008,$BG$3,PURCHASE!$D$6:$D$10008,$C$5:$C$499)</f>
        <v>0</v>
      </c>
      <c r="BI112" s="11">
        <f>SUMIFS(PURCHASE!$L$6:$L$10008,PURCHASE!$A$6:$A$10008,$BG$3,PURCHASE!$D$6:$D$10008,$C$5:$C$499)</f>
        <v>0</v>
      </c>
      <c r="BJ112" s="11">
        <f>SUMIFS(PURCHASE!$M$6:$M$10008,PURCHASE!$A$6:$A$10008,$BG$3,PURCHASE!$D$6:$D$10008,$C$5:$C$499)</f>
        <v>0</v>
      </c>
      <c r="BK112" s="11">
        <f>SUMIFS(PURCHASE!$N$6:$N$10008,PURCHASE!$A$6:$A$10008,$BG$3,PURCHASE!$D$6:$D$10008,$C$5:$C$499)</f>
        <v>0</v>
      </c>
      <c r="BL112" s="11">
        <f t="shared" si="17"/>
        <v>0</v>
      </c>
      <c r="BM112" s="11">
        <f t="shared" si="17"/>
        <v>0</v>
      </c>
      <c r="BN112" s="11">
        <f t="shared" si="17"/>
        <v>0</v>
      </c>
      <c r="BO112" s="11">
        <f t="shared" si="17"/>
        <v>0</v>
      </c>
      <c r="BP112" s="11">
        <f t="shared" si="17"/>
        <v>0</v>
      </c>
    </row>
    <row r="113" spans="1:68" x14ac:dyDescent="0.2">
      <c r="A113" s="467">
        <v>110</v>
      </c>
      <c r="B113" s="468" t="s">
        <v>556</v>
      </c>
      <c r="C113" s="469" t="s">
        <v>557</v>
      </c>
      <c r="D113" s="11">
        <f t="shared" si="18"/>
        <v>80735.600000000006</v>
      </c>
      <c r="E113" s="11">
        <f>SUMIFS(PURCHASE!$K$6:$K$10008,PURCHASE!$A$6:$A$10008,$D$3,PURCHASE!$D$6:$D$10008,$C$5:$C$499)</f>
        <v>68420</v>
      </c>
      <c r="F113" s="11">
        <f>SUMIFS(PURCHASE!$L$6:$L$10008,PURCHASE!$A$6:$A$10008,$D$3,PURCHASE!$D$6:$D$10008,$C$5:$C$499)</f>
        <v>0</v>
      </c>
      <c r="G113" s="11">
        <f>SUMIFS(PURCHASE!$M$6:$M$10008,PURCHASE!$A$6:$A$10008,$D$3,PURCHASE!$D$6:$D$10008,$C$5:$C$499)</f>
        <v>6157.8</v>
      </c>
      <c r="H113" s="11">
        <f>SUMIFS(PURCHASE!$N$6:$N$10008,PURCHASE!$A$6:$A$10008,$D$3,PURCHASE!$D$6:$D$10008,$C$5:$C$499)</f>
        <v>6157.8</v>
      </c>
      <c r="I113" s="473">
        <f t="shared" si="19"/>
        <v>166439</v>
      </c>
      <c r="J113" s="60">
        <f>SUMIFS(PURCHASE!$K$6:$K$10008,PURCHASE!$A$6:$A$10008,$I$3,PURCHASE!$D$6:$D$10008,$C$5:$C$499)</f>
        <v>141050</v>
      </c>
      <c r="K113" s="60">
        <f>SUMIFS(PURCHASE!$L$6:$L$10008,PURCHASE!$A$6:$A$10008,$I$3,PURCHASE!$D$6:$D$10008,$C$5:$C$499)</f>
        <v>0</v>
      </c>
      <c r="L113" s="60">
        <f>SUMIFS(PURCHASE!$M$6:$M$10008,PURCHASE!$A$6:$A$10008,$I$3,PURCHASE!$D$6:$D$10008,$C$5:$C$499)</f>
        <v>12694.5</v>
      </c>
      <c r="M113" s="474">
        <f>SUMIFS(PURCHASE!$N$6:$N$10008,PURCHASE!$A$6:$A$10008,$I$3,PURCHASE!$D$6:$D$10008,$C$5:$C$499)</f>
        <v>12694.5</v>
      </c>
      <c r="N113" s="11">
        <f t="shared" si="20"/>
        <v>113457</v>
      </c>
      <c r="O113" s="11">
        <f>SUMIFS(PURCHASE!$K$6:$K$10008,PURCHASE!$A$6:$A$10008,$N$3,PURCHASE!$D$6:$D$10008,$C$5:$C$499)</f>
        <v>96150</v>
      </c>
      <c r="P113" s="11">
        <f>SUMIFS(PURCHASE!$L$6:$L$10008,PURCHASE!$A$6:$A$10008,$N$3,PURCHASE!$D$6:$D$10008,$C$5:$C$499)</f>
        <v>0</v>
      </c>
      <c r="Q113" s="11">
        <f>SUMIFS(PURCHASE!$M$6:$M$10008,PURCHASE!$A$6:$A$10008,$N$3,PURCHASE!$D$6:$D$10008,$C$5:$C$499)</f>
        <v>8653.5</v>
      </c>
      <c r="R113" s="11">
        <f>SUMIFS(PURCHASE!$N$6:$N$10008,PURCHASE!$A$6:$A$10008,$N$3,PURCHASE!$D$6:$D$10008,$C$5:$C$499)</f>
        <v>8653.5</v>
      </c>
      <c r="S113" s="11">
        <f t="shared" si="21"/>
        <v>97090</v>
      </c>
      <c r="T113" s="11">
        <f>SUMIFS(PURCHASE!$K$6:$K$10008,PURCHASE!$A$6:$A$10008,$S$3,PURCHASE!$D$6:$D$10008,$C$5:$C$499)</f>
        <v>82280</v>
      </c>
      <c r="U113" s="11">
        <f>SUMIFS(PURCHASE!$L$6:$L$10008,PURCHASE!$A$6:$A$10008,$S$3,PURCHASE!$D$6:$D$10008,$C$5:$C$499)</f>
        <v>0</v>
      </c>
      <c r="V113" s="11">
        <f>SUMIFS(PURCHASE!$M$6:$M$10008,PURCHASE!$A$6:$A$10008,$S$3,PURCHASE!$D$6:$D$10008,$C$5:$C$499)</f>
        <v>7404.9999999999991</v>
      </c>
      <c r="W113" s="11">
        <f>SUMIFS(PURCHASE!$N$6:$N$10008,PURCHASE!$A$6:$A$10008,$S$3,PURCHASE!$D$6:$D$10008,$C$5:$C$499)</f>
        <v>7404.9999999999991</v>
      </c>
      <c r="X113" s="11">
        <f t="shared" si="22"/>
        <v>113458</v>
      </c>
      <c r="Y113" s="11">
        <f>SUMIFS(PURCHASE!$K$6:$K$10008,PURCHASE!$A$6:$A$10008,$X$3,PURCHASE!$D$6:$D$10008,$C$5:$C$499)</f>
        <v>96150</v>
      </c>
      <c r="Z113" s="11">
        <f>SUMIFS(PURCHASE!$L$6:$L$10008,PURCHASE!$A$6:$A$10008,$X$3,PURCHASE!$D$6:$D$10008,$C$5:$C$499)</f>
        <v>0</v>
      </c>
      <c r="AA113" s="11">
        <f>SUMIFS(PURCHASE!$M$6:$M$10008,PURCHASE!$A$6:$A$10008,$X$3,PURCHASE!$D$6:$D$10008,$C$5:$C$499)</f>
        <v>8654</v>
      </c>
      <c r="AB113" s="11">
        <f>SUMIFS(PURCHASE!$N$6:$N$10008,PURCHASE!$A$6:$A$10008,$X$3,PURCHASE!$D$6:$D$10008,$C$5:$C$499)</f>
        <v>8654</v>
      </c>
      <c r="AC113" s="11">
        <f t="shared" si="23"/>
        <v>119228</v>
      </c>
      <c r="AD113" s="11">
        <f>SUMIFS(PURCHASE!$K$6:$K$10008,PURCHASE!$A$6:$A$10008,$AC$3,PURCHASE!$D$6:$D$10008,$C$5:$C$499)</f>
        <v>101040</v>
      </c>
      <c r="AE113" s="11">
        <f>SUMIFS(PURCHASE!$L$6:$L$10008,PURCHASE!$A$6:$A$10008,$AC$3,PURCHASE!$D$6:$D$10008,$C$5:$C$499)</f>
        <v>0</v>
      </c>
      <c r="AF113" s="11">
        <f>SUMIFS(PURCHASE!$M$6:$M$10008,PURCHASE!$A$6:$A$10008,$AC$3,PURCHASE!$D$6:$D$10008,$C$5:$C$499)</f>
        <v>9094</v>
      </c>
      <c r="AG113" s="11">
        <f>SUMIFS(PURCHASE!$N$6:$N$10008,PURCHASE!$A$6:$A$10008,$AC$3,PURCHASE!$D$6:$D$10008,$C$5:$C$499)</f>
        <v>9094</v>
      </c>
      <c r="AH113" s="11">
        <f t="shared" si="24"/>
        <v>77856.399999999994</v>
      </c>
      <c r="AI113" s="11">
        <f>SUMIFS(PURCHASE!$K$6:$K$10008,PURCHASE!$A$6:$A$10008,$AH$3,PURCHASE!$D$6:$D$10008,$C$5:$C$499)</f>
        <v>65980</v>
      </c>
      <c r="AJ113" s="11">
        <f>SUMIFS(PURCHASE!$L$6:$L$10008,PURCHASE!$A$6:$A$10008,$AH$3,PURCHASE!$D$6:$D$10008,$C$5:$C$499)</f>
        <v>0</v>
      </c>
      <c r="AK113" s="11">
        <f>SUMIFS(PURCHASE!$M$6:$M$10008,PURCHASE!$A$6:$A$10008,$AH$3,PURCHASE!$D$6:$D$10008,$C$5:$C$499)</f>
        <v>5938.2000000000007</v>
      </c>
      <c r="AL113" s="11">
        <f>SUMIFS(PURCHASE!$N$6:$N$10008,PURCHASE!$A$6:$A$10008,$AH$3,PURCHASE!$D$6:$D$10008,$C$5:$C$499)</f>
        <v>5938.2000000000007</v>
      </c>
      <c r="AM113" s="11">
        <f t="shared" si="25"/>
        <v>0</v>
      </c>
      <c r="AN113" s="11">
        <f>SUMIFS(PURCHASE!$K$6:$K$10008,PURCHASE!$A$6:$A$10008,$AM$3,PURCHASE!$D$6:$D$10008,$C$5:$C$499)</f>
        <v>0</v>
      </c>
      <c r="AO113" s="11">
        <f>SUMIFS(PURCHASE!$L$6:$L$10008,PURCHASE!$A$6:$A$10008,$AM$3,PURCHASE!$D$6:$D$10008,$C$5:$C$499)</f>
        <v>0</v>
      </c>
      <c r="AP113" s="11">
        <f>SUMIFS(PURCHASE!$M$6:$M$10008,PURCHASE!$A$6:$A$10008,$AM$3,PURCHASE!$D$6:$D$10008,$C$5:$C$499)</f>
        <v>0</v>
      </c>
      <c r="AQ113" s="11">
        <f>SUMIFS(PURCHASE!$N$6:$N$10008,PURCHASE!$A$6:$A$10008,$AM$3,PURCHASE!$D$6:$D$10008,$C$5:$C$499)</f>
        <v>0</v>
      </c>
      <c r="AR113" s="11">
        <f t="shared" si="26"/>
        <v>0</v>
      </c>
      <c r="AS113" s="11">
        <f>SUMIFS(PURCHASE!$K$6:$K$10008,PURCHASE!$A$6:$A$10008,$AR$3,PURCHASE!$D$6:$D$10008,$C$5:$C$499)</f>
        <v>0</v>
      </c>
      <c r="AT113" s="11">
        <f>SUMIFS(PURCHASE!$L$6:$L$10008,PURCHASE!$A$6:$A$10008,$AR$3,PURCHASE!$D$6:$D$10008,$C$5:$C$499)</f>
        <v>0</v>
      </c>
      <c r="AU113" s="11">
        <f>SUMIFS(PURCHASE!$M$6:$M$10008,PURCHASE!$A$6:$A$10008,$AR$3,PURCHASE!$D$6:$D$10008,$C$5:$C$499)</f>
        <v>0</v>
      </c>
      <c r="AV113" s="11">
        <f>SUMIFS(PURCHASE!$N$6:$N$10008,PURCHASE!$A$6:$A$10008,$AR$3,PURCHASE!$D$6:$D$10008,$C$5:$C$499)</f>
        <v>0</v>
      </c>
      <c r="AW113" s="11">
        <f t="shared" si="27"/>
        <v>0</v>
      </c>
      <c r="AX113" s="11">
        <f>SUMIFS(PURCHASE!$K$6:$K$10008,PURCHASE!$A$6:$A$10008,$AW$3,PURCHASE!$D$6:$D$10008,$C$5:$C$499)</f>
        <v>0</v>
      </c>
      <c r="AY113" s="11">
        <f>SUMIFS(PURCHASE!$L$6:$L$10008,PURCHASE!$A$6:$A$10008,$AW$3,PURCHASE!$D$6:$D$10008,$C$5:$C$499)</f>
        <v>0</v>
      </c>
      <c r="AZ113" s="11">
        <f>SUMIFS(PURCHASE!$M$6:$M$10008,PURCHASE!$A$6:$A$10008,$AW$3,PURCHASE!$D$6:$D$10008,$C$5:$C$499)</f>
        <v>0</v>
      </c>
      <c r="BA113" s="11">
        <f>SUMIFS(PURCHASE!$N$6:$N$10008,PURCHASE!$A$6:$A$10008,$AW$3,PURCHASE!$D$6:$D$10008,$C$5:$C$499)</f>
        <v>0</v>
      </c>
      <c r="BB113" s="11">
        <f t="shared" si="28"/>
        <v>0</v>
      </c>
      <c r="BC113" s="11">
        <f>SUMIFS(PURCHASE!$K$6:$K$10008,PURCHASE!$A$6:$A$10008,$BB$3,PURCHASE!$D$6:$D$10008,$C$5:$C$499)</f>
        <v>0</v>
      </c>
      <c r="BD113" s="11">
        <f>SUMIFS(PURCHASE!$L$6:$L$10008,PURCHASE!$A$6:$A$10008,$BB$3,PURCHASE!$D$6:$D$10008,$C$5:$C$499)</f>
        <v>0</v>
      </c>
      <c r="BE113" s="11">
        <f>SUMIFS(PURCHASE!$M$6:$M$10008,PURCHASE!$A$6:$A$10008,$BB$3,PURCHASE!$D$6:$D$10008,$C$5:$C$499)</f>
        <v>0</v>
      </c>
      <c r="BF113" s="11">
        <f>SUMIFS(PURCHASE!$N$6:$N$10008,PURCHASE!$A$6:$A$10008,$BB$3,PURCHASE!$D$6:$D$10008,$C$5:$C$499)</f>
        <v>0</v>
      </c>
      <c r="BG113" s="11">
        <f t="shared" si="29"/>
        <v>0</v>
      </c>
      <c r="BH113" s="11">
        <f>SUMIFS(PURCHASE!$K$6:$K$10008,PURCHASE!$A$6:$A$10008,$BG$3,PURCHASE!$D$6:$D$10008,$C$5:$C$499)</f>
        <v>0</v>
      </c>
      <c r="BI113" s="11">
        <f>SUMIFS(PURCHASE!$L$6:$L$10008,PURCHASE!$A$6:$A$10008,$BG$3,PURCHASE!$D$6:$D$10008,$C$5:$C$499)</f>
        <v>0</v>
      </c>
      <c r="BJ113" s="11">
        <f>SUMIFS(PURCHASE!$M$6:$M$10008,PURCHASE!$A$6:$A$10008,$BG$3,PURCHASE!$D$6:$D$10008,$C$5:$C$499)</f>
        <v>0</v>
      </c>
      <c r="BK113" s="11">
        <f>SUMIFS(PURCHASE!$N$6:$N$10008,PURCHASE!$A$6:$A$10008,$BG$3,PURCHASE!$D$6:$D$10008,$C$5:$C$499)</f>
        <v>0</v>
      </c>
      <c r="BL113" s="11">
        <f t="shared" si="17"/>
        <v>768264</v>
      </c>
      <c r="BM113" s="11">
        <f t="shared" si="17"/>
        <v>651070</v>
      </c>
      <c r="BN113" s="11">
        <f t="shared" si="17"/>
        <v>0</v>
      </c>
      <c r="BO113" s="11">
        <f t="shared" si="17"/>
        <v>58597</v>
      </c>
      <c r="BP113" s="11">
        <f t="shared" si="17"/>
        <v>58597</v>
      </c>
    </row>
    <row r="114" spans="1:68" x14ac:dyDescent="0.2">
      <c r="A114" s="467">
        <v>111</v>
      </c>
      <c r="B114" s="468" t="s">
        <v>609</v>
      </c>
      <c r="C114" s="469" t="s">
        <v>610</v>
      </c>
      <c r="D114" s="11">
        <f t="shared" si="18"/>
        <v>0</v>
      </c>
      <c r="E114" s="11">
        <f>SUMIFS(PURCHASE!$K$6:$K$10008,PURCHASE!$A$6:$A$10008,$D$3,PURCHASE!$D$6:$D$10008,$C$5:$C$499)</f>
        <v>0</v>
      </c>
      <c r="F114" s="11">
        <f>SUMIFS(PURCHASE!$L$6:$L$10008,PURCHASE!$A$6:$A$10008,$D$3,PURCHASE!$D$6:$D$10008,$C$5:$C$499)</f>
        <v>0</v>
      </c>
      <c r="G114" s="11">
        <f>SUMIFS(PURCHASE!$M$6:$M$10008,PURCHASE!$A$6:$A$10008,$D$3,PURCHASE!$D$6:$D$10008,$C$5:$C$499)</f>
        <v>0</v>
      </c>
      <c r="H114" s="11">
        <f>SUMIFS(PURCHASE!$N$6:$N$10008,PURCHASE!$A$6:$A$10008,$D$3,PURCHASE!$D$6:$D$10008,$C$5:$C$499)</f>
        <v>0</v>
      </c>
      <c r="I114" s="473">
        <f t="shared" si="19"/>
        <v>797409.78</v>
      </c>
      <c r="J114" s="60">
        <f>SUMIFS(PURCHASE!$K$6:$K$10008,PURCHASE!$A$6:$A$10008,$I$3,PURCHASE!$D$6:$D$10008,$C$5:$C$499)</f>
        <v>675771</v>
      </c>
      <c r="K114" s="60">
        <f>SUMIFS(PURCHASE!$L$6:$L$10008,PURCHASE!$A$6:$A$10008,$I$3,PURCHASE!$D$6:$D$10008,$C$5:$C$499)</f>
        <v>0</v>
      </c>
      <c r="L114" s="60">
        <f>SUMIFS(PURCHASE!$M$6:$M$10008,PURCHASE!$A$6:$A$10008,$I$3,PURCHASE!$D$6:$D$10008,$C$5:$C$499)</f>
        <v>60819.39</v>
      </c>
      <c r="M114" s="474">
        <f>SUMIFS(PURCHASE!$N$6:$N$10008,PURCHASE!$A$6:$A$10008,$I$3,PURCHASE!$D$6:$D$10008,$C$5:$C$499)</f>
        <v>60819.39</v>
      </c>
      <c r="N114" s="11">
        <f t="shared" si="20"/>
        <v>923970.67999999993</v>
      </c>
      <c r="O114" s="11">
        <f>SUMIFS(PURCHASE!$K$6:$K$10008,PURCHASE!$A$6:$A$10008,$N$3,PURCHASE!$D$6:$D$10008,$C$5:$C$499)</f>
        <v>783026</v>
      </c>
      <c r="P114" s="11">
        <f>SUMIFS(PURCHASE!$L$6:$L$10008,PURCHASE!$A$6:$A$10008,$N$3,PURCHASE!$D$6:$D$10008,$C$5:$C$499)</f>
        <v>0</v>
      </c>
      <c r="Q114" s="11">
        <f>SUMIFS(PURCHASE!$M$6:$M$10008,PURCHASE!$A$6:$A$10008,$N$3,PURCHASE!$D$6:$D$10008,$C$5:$C$499)</f>
        <v>70472.34</v>
      </c>
      <c r="R114" s="11">
        <f>SUMIFS(PURCHASE!$N$6:$N$10008,PURCHASE!$A$6:$A$10008,$N$3,PURCHASE!$D$6:$D$10008,$C$5:$C$499)</f>
        <v>70472.34</v>
      </c>
      <c r="S114" s="11">
        <f t="shared" si="21"/>
        <v>970488.6399999999</v>
      </c>
      <c r="T114" s="11">
        <f>SUMIFS(PURCHASE!$K$6:$K$10008,PURCHASE!$A$6:$A$10008,$S$3,PURCHASE!$D$6:$D$10008,$C$5:$C$499)</f>
        <v>822448</v>
      </c>
      <c r="U114" s="11">
        <f>SUMIFS(PURCHASE!$L$6:$L$10008,PURCHASE!$A$6:$A$10008,$S$3,PURCHASE!$D$6:$D$10008,$C$5:$C$499)</f>
        <v>0</v>
      </c>
      <c r="V114" s="11">
        <f>SUMIFS(PURCHASE!$M$6:$M$10008,PURCHASE!$A$6:$A$10008,$S$3,PURCHASE!$D$6:$D$10008,$C$5:$C$499)</f>
        <v>74020.319999999992</v>
      </c>
      <c r="W114" s="11">
        <f>SUMIFS(PURCHASE!$N$6:$N$10008,PURCHASE!$A$6:$A$10008,$S$3,PURCHASE!$D$6:$D$10008,$C$5:$C$499)</f>
        <v>74020.319999999992</v>
      </c>
      <c r="X114" s="11">
        <f t="shared" si="22"/>
        <v>1114052.1599999999</v>
      </c>
      <c r="Y114" s="11">
        <f>SUMIFS(PURCHASE!$K$6:$K$10008,PURCHASE!$A$6:$A$10008,$X$3,PURCHASE!$D$6:$D$10008,$C$5:$C$499)</f>
        <v>944112</v>
      </c>
      <c r="Z114" s="11">
        <f>SUMIFS(PURCHASE!$L$6:$L$10008,PURCHASE!$A$6:$A$10008,$X$3,PURCHASE!$D$6:$D$10008,$C$5:$C$499)</f>
        <v>0</v>
      </c>
      <c r="AA114" s="11">
        <f>SUMIFS(PURCHASE!$M$6:$M$10008,PURCHASE!$A$6:$A$10008,$X$3,PURCHASE!$D$6:$D$10008,$C$5:$C$499)</f>
        <v>84970.08</v>
      </c>
      <c r="AB114" s="11">
        <f>SUMIFS(PURCHASE!$N$6:$N$10008,PURCHASE!$A$6:$A$10008,$X$3,PURCHASE!$D$6:$D$10008,$C$5:$C$499)</f>
        <v>84970.08</v>
      </c>
      <c r="AC114" s="11">
        <f t="shared" si="23"/>
        <v>1004727.52</v>
      </c>
      <c r="AD114" s="11">
        <f>SUMIFS(PURCHASE!$K$6:$K$10008,PURCHASE!$A$6:$A$10008,$AC$3,PURCHASE!$D$6:$D$10008,$C$5:$C$499)</f>
        <v>851464</v>
      </c>
      <c r="AE114" s="11">
        <f>SUMIFS(PURCHASE!$L$6:$L$10008,PURCHASE!$A$6:$A$10008,$AC$3,PURCHASE!$D$6:$D$10008,$C$5:$C$499)</f>
        <v>0</v>
      </c>
      <c r="AF114" s="11">
        <f>SUMIFS(PURCHASE!$M$6:$M$10008,PURCHASE!$A$6:$A$10008,$AC$3,PURCHASE!$D$6:$D$10008,$C$5:$C$499)</f>
        <v>76631.759999999995</v>
      </c>
      <c r="AG114" s="11">
        <f>SUMIFS(PURCHASE!$N$6:$N$10008,PURCHASE!$A$6:$A$10008,$AC$3,PURCHASE!$D$6:$D$10008,$C$5:$C$499)</f>
        <v>76631.759999999995</v>
      </c>
      <c r="AH114" s="11">
        <f t="shared" si="24"/>
        <v>1712958.7999999998</v>
      </c>
      <c r="AI114" s="11">
        <f>SUMIFS(PURCHASE!$K$6:$K$10008,PURCHASE!$A$6:$A$10008,$AH$3,PURCHASE!$D$6:$D$10008,$C$5:$C$499)</f>
        <v>1451660</v>
      </c>
      <c r="AJ114" s="11">
        <f>SUMIFS(PURCHASE!$L$6:$L$10008,PURCHASE!$A$6:$A$10008,$AH$3,PURCHASE!$D$6:$D$10008,$C$5:$C$499)</f>
        <v>0</v>
      </c>
      <c r="AK114" s="11">
        <f>SUMIFS(PURCHASE!$M$6:$M$10008,PURCHASE!$A$6:$A$10008,$AH$3,PURCHASE!$D$6:$D$10008,$C$5:$C$499)</f>
        <v>130649.40000000002</v>
      </c>
      <c r="AL114" s="11">
        <f>SUMIFS(PURCHASE!$N$6:$N$10008,PURCHASE!$A$6:$A$10008,$AH$3,PURCHASE!$D$6:$D$10008,$C$5:$C$499)</f>
        <v>130649.40000000002</v>
      </c>
      <c r="AM114" s="11">
        <f t="shared" si="25"/>
        <v>0</v>
      </c>
      <c r="AN114" s="11">
        <f>SUMIFS(PURCHASE!$K$6:$K$10008,PURCHASE!$A$6:$A$10008,$AM$3,PURCHASE!$D$6:$D$10008,$C$5:$C$499)</f>
        <v>0</v>
      </c>
      <c r="AO114" s="11">
        <f>SUMIFS(PURCHASE!$L$6:$L$10008,PURCHASE!$A$6:$A$10008,$AM$3,PURCHASE!$D$6:$D$10008,$C$5:$C$499)</f>
        <v>0</v>
      </c>
      <c r="AP114" s="11">
        <f>SUMIFS(PURCHASE!$M$6:$M$10008,PURCHASE!$A$6:$A$10008,$AM$3,PURCHASE!$D$6:$D$10008,$C$5:$C$499)</f>
        <v>0</v>
      </c>
      <c r="AQ114" s="11">
        <f>SUMIFS(PURCHASE!$N$6:$N$10008,PURCHASE!$A$6:$A$10008,$AM$3,PURCHASE!$D$6:$D$10008,$C$5:$C$499)</f>
        <v>0</v>
      </c>
      <c r="AR114" s="11">
        <f t="shared" si="26"/>
        <v>0</v>
      </c>
      <c r="AS114" s="11">
        <f>SUMIFS(PURCHASE!$K$6:$K$10008,PURCHASE!$A$6:$A$10008,$AR$3,PURCHASE!$D$6:$D$10008,$C$5:$C$499)</f>
        <v>0</v>
      </c>
      <c r="AT114" s="11">
        <f>SUMIFS(PURCHASE!$L$6:$L$10008,PURCHASE!$A$6:$A$10008,$AR$3,PURCHASE!$D$6:$D$10008,$C$5:$C$499)</f>
        <v>0</v>
      </c>
      <c r="AU114" s="11">
        <f>SUMIFS(PURCHASE!$M$6:$M$10008,PURCHASE!$A$6:$A$10008,$AR$3,PURCHASE!$D$6:$D$10008,$C$5:$C$499)</f>
        <v>0</v>
      </c>
      <c r="AV114" s="11">
        <f>SUMIFS(PURCHASE!$N$6:$N$10008,PURCHASE!$A$6:$A$10008,$AR$3,PURCHASE!$D$6:$D$10008,$C$5:$C$499)</f>
        <v>0</v>
      </c>
      <c r="AW114" s="11">
        <f t="shared" si="27"/>
        <v>0</v>
      </c>
      <c r="AX114" s="11">
        <f>SUMIFS(PURCHASE!$K$6:$K$10008,PURCHASE!$A$6:$A$10008,$AW$3,PURCHASE!$D$6:$D$10008,$C$5:$C$499)</f>
        <v>0</v>
      </c>
      <c r="AY114" s="11">
        <f>SUMIFS(PURCHASE!$L$6:$L$10008,PURCHASE!$A$6:$A$10008,$AW$3,PURCHASE!$D$6:$D$10008,$C$5:$C$499)</f>
        <v>0</v>
      </c>
      <c r="AZ114" s="11">
        <f>SUMIFS(PURCHASE!$M$6:$M$10008,PURCHASE!$A$6:$A$10008,$AW$3,PURCHASE!$D$6:$D$10008,$C$5:$C$499)</f>
        <v>0</v>
      </c>
      <c r="BA114" s="11">
        <f>SUMIFS(PURCHASE!$N$6:$N$10008,PURCHASE!$A$6:$A$10008,$AW$3,PURCHASE!$D$6:$D$10008,$C$5:$C$499)</f>
        <v>0</v>
      </c>
      <c r="BB114" s="11">
        <f t="shared" si="28"/>
        <v>0</v>
      </c>
      <c r="BC114" s="11">
        <f>SUMIFS(PURCHASE!$K$6:$K$10008,PURCHASE!$A$6:$A$10008,$BB$3,PURCHASE!$D$6:$D$10008,$C$5:$C$499)</f>
        <v>0</v>
      </c>
      <c r="BD114" s="11">
        <f>SUMIFS(PURCHASE!$L$6:$L$10008,PURCHASE!$A$6:$A$10008,$BB$3,PURCHASE!$D$6:$D$10008,$C$5:$C$499)</f>
        <v>0</v>
      </c>
      <c r="BE114" s="11">
        <f>SUMIFS(PURCHASE!$M$6:$M$10008,PURCHASE!$A$6:$A$10008,$BB$3,PURCHASE!$D$6:$D$10008,$C$5:$C$499)</f>
        <v>0</v>
      </c>
      <c r="BF114" s="11">
        <f>SUMIFS(PURCHASE!$N$6:$N$10008,PURCHASE!$A$6:$A$10008,$BB$3,PURCHASE!$D$6:$D$10008,$C$5:$C$499)</f>
        <v>0</v>
      </c>
      <c r="BG114" s="11">
        <f t="shared" si="29"/>
        <v>0</v>
      </c>
      <c r="BH114" s="11">
        <f>SUMIFS(PURCHASE!$K$6:$K$10008,PURCHASE!$A$6:$A$10008,$BG$3,PURCHASE!$D$6:$D$10008,$C$5:$C$499)</f>
        <v>0</v>
      </c>
      <c r="BI114" s="11">
        <f>SUMIFS(PURCHASE!$L$6:$L$10008,PURCHASE!$A$6:$A$10008,$BG$3,PURCHASE!$D$6:$D$10008,$C$5:$C$499)</f>
        <v>0</v>
      </c>
      <c r="BJ114" s="11">
        <f>SUMIFS(PURCHASE!$M$6:$M$10008,PURCHASE!$A$6:$A$10008,$BG$3,PURCHASE!$D$6:$D$10008,$C$5:$C$499)</f>
        <v>0</v>
      </c>
      <c r="BK114" s="11">
        <f>SUMIFS(PURCHASE!$N$6:$N$10008,PURCHASE!$A$6:$A$10008,$BG$3,PURCHASE!$D$6:$D$10008,$C$5:$C$499)</f>
        <v>0</v>
      </c>
      <c r="BL114" s="11">
        <f t="shared" si="17"/>
        <v>6523607.5799999991</v>
      </c>
      <c r="BM114" s="11">
        <f t="shared" si="17"/>
        <v>5528481</v>
      </c>
      <c r="BN114" s="11">
        <f t="shared" si="17"/>
        <v>0</v>
      </c>
      <c r="BO114" s="11">
        <f t="shared" si="17"/>
        <v>497563.29000000004</v>
      </c>
      <c r="BP114" s="11">
        <f t="shared" si="17"/>
        <v>497563.29000000004</v>
      </c>
    </row>
    <row r="115" spans="1:68" x14ac:dyDescent="0.2">
      <c r="A115" s="467">
        <v>112</v>
      </c>
      <c r="B115" s="468" t="s">
        <v>975</v>
      </c>
      <c r="C115" s="469" t="s">
        <v>976</v>
      </c>
      <c r="D115" s="11">
        <f t="shared" si="18"/>
        <v>0</v>
      </c>
      <c r="E115" s="11">
        <f>SUMIFS(PURCHASE!$K$6:$K$10008,PURCHASE!$A$6:$A$10008,$D$3,PURCHASE!$D$6:$D$10008,$C$5:$C$499)</f>
        <v>0</v>
      </c>
      <c r="F115" s="11">
        <f>SUMIFS(PURCHASE!$L$6:$L$10008,PURCHASE!$A$6:$A$10008,$D$3,PURCHASE!$D$6:$D$10008,$C$5:$C$499)</f>
        <v>0</v>
      </c>
      <c r="G115" s="11">
        <f>SUMIFS(PURCHASE!$M$6:$M$10008,PURCHASE!$A$6:$A$10008,$D$3,PURCHASE!$D$6:$D$10008,$C$5:$C$499)</f>
        <v>0</v>
      </c>
      <c r="H115" s="11">
        <f>SUMIFS(PURCHASE!$N$6:$N$10008,PURCHASE!$A$6:$A$10008,$D$3,PURCHASE!$D$6:$D$10008,$C$5:$C$499)</f>
        <v>0</v>
      </c>
      <c r="I115" s="473">
        <f t="shared" si="19"/>
        <v>0</v>
      </c>
      <c r="J115" s="60">
        <f>SUMIFS(PURCHASE!$K$6:$K$10008,PURCHASE!$A$6:$A$10008,$I$3,PURCHASE!$D$6:$D$10008,$C$5:$C$499)</f>
        <v>0</v>
      </c>
      <c r="K115" s="60">
        <f>SUMIFS(PURCHASE!$L$6:$L$10008,PURCHASE!$A$6:$A$10008,$I$3,PURCHASE!$D$6:$D$10008,$C$5:$C$499)</f>
        <v>0</v>
      </c>
      <c r="L115" s="60">
        <f>SUMIFS(PURCHASE!$M$6:$M$10008,PURCHASE!$A$6:$A$10008,$I$3,PURCHASE!$D$6:$D$10008,$C$5:$C$499)</f>
        <v>0</v>
      </c>
      <c r="M115" s="474">
        <f>SUMIFS(PURCHASE!$N$6:$N$10008,PURCHASE!$A$6:$A$10008,$I$3,PURCHASE!$D$6:$D$10008,$C$5:$C$499)</f>
        <v>0</v>
      </c>
      <c r="N115" s="11">
        <f t="shared" si="20"/>
        <v>0</v>
      </c>
      <c r="O115" s="11">
        <f>SUMIFS(PURCHASE!$K$6:$K$10008,PURCHASE!$A$6:$A$10008,$N$3,PURCHASE!$D$6:$D$10008,$C$5:$C$499)</f>
        <v>0</v>
      </c>
      <c r="P115" s="11">
        <f>SUMIFS(PURCHASE!$L$6:$L$10008,PURCHASE!$A$6:$A$10008,$N$3,PURCHASE!$D$6:$D$10008,$C$5:$C$499)</f>
        <v>0</v>
      </c>
      <c r="Q115" s="11">
        <f>SUMIFS(PURCHASE!$M$6:$M$10008,PURCHASE!$A$6:$A$10008,$N$3,PURCHASE!$D$6:$D$10008,$C$5:$C$499)</f>
        <v>0</v>
      </c>
      <c r="R115" s="11">
        <f>SUMIFS(PURCHASE!$N$6:$N$10008,PURCHASE!$A$6:$A$10008,$N$3,PURCHASE!$D$6:$D$10008,$C$5:$C$499)</f>
        <v>0</v>
      </c>
      <c r="S115" s="11">
        <f t="shared" si="21"/>
        <v>0</v>
      </c>
      <c r="T115" s="11">
        <f>SUMIFS(PURCHASE!$K$6:$K$10008,PURCHASE!$A$6:$A$10008,$S$3,PURCHASE!$D$6:$D$10008,$C$5:$C$499)</f>
        <v>0</v>
      </c>
      <c r="U115" s="11">
        <f>SUMIFS(PURCHASE!$L$6:$L$10008,PURCHASE!$A$6:$A$10008,$S$3,PURCHASE!$D$6:$D$10008,$C$5:$C$499)</f>
        <v>0</v>
      </c>
      <c r="V115" s="11">
        <f>SUMIFS(PURCHASE!$M$6:$M$10008,PURCHASE!$A$6:$A$10008,$S$3,PURCHASE!$D$6:$D$10008,$C$5:$C$499)</f>
        <v>0</v>
      </c>
      <c r="W115" s="11">
        <f>SUMIFS(PURCHASE!$N$6:$N$10008,PURCHASE!$A$6:$A$10008,$S$3,PURCHASE!$D$6:$D$10008,$C$5:$C$499)</f>
        <v>0</v>
      </c>
      <c r="X115" s="11">
        <f t="shared" si="22"/>
        <v>0</v>
      </c>
      <c r="Y115" s="11">
        <f>SUMIFS(PURCHASE!$K$6:$K$10008,PURCHASE!$A$6:$A$10008,$X$3,PURCHASE!$D$6:$D$10008,$C$5:$C$499)</f>
        <v>0</v>
      </c>
      <c r="Z115" s="11">
        <f>SUMIFS(PURCHASE!$L$6:$L$10008,PURCHASE!$A$6:$A$10008,$X$3,PURCHASE!$D$6:$D$10008,$C$5:$C$499)</f>
        <v>0</v>
      </c>
      <c r="AA115" s="11">
        <f>SUMIFS(PURCHASE!$M$6:$M$10008,PURCHASE!$A$6:$A$10008,$X$3,PURCHASE!$D$6:$D$10008,$C$5:$C$499)</f>
        <v>0</v>
      </c>
      <c r="AB115" s="11">
        <f>SUMIFS(PURCHASE!$N$6:$N$10008,PURCHASE!$A$6:$A$10008,$X$3,PURCHASE!$D$6:$D$10008,$C$5:$C$499)</f>
        <v>0</v>
      </c>
      <c r="AC115" s="11">
        <f t="shared" si="23"/>
        <v>44368</v>
      </c>
      <c r="AD115" s="11">
        <f>SUMIFS(PURCHASE!$K$6:$K$10008,PURCHASE!$A$6:$A$10008,$AC$3,PURCHASE!$D$6:$D$10008,$C$5:$C$499)</f>
        <v>37600</v>
      </c>
      <c r="AE115" s="11">
        <f>SUMIFS(PURCHASE!$L$6:$L$10008,PURCHASE!$A$6:$A$10008,$AC$3,PURCHASE!$D$6:$D$10008,$C$5:$C$499)</f>
        <v>0</v>
      </c>
      <c r="AF115" s="11">
        <f>SUMIFS(PURCHASE!$M$6:$M$10008,PURCHASE!$A$6:$A$10008,$AC$3,PURCHASE!$D$6:$D$10008,$C$5:$C$499)</f>
        <v>3384</v>
      </c>
      <c r="AG115" s="11">
        <f>SUMIFS(PURCHASE!$N$6:$N$10008,PURCHASE!$A$6:$A$10008,$AC$3,PURCHASE!$D$6:$D$10008,$C$5:$C$499)</f>
        <v>3384</v>
      </c>
      <c r="AH115" s="11">
        <f t="shared" si="24"/>
        <v>0</v>
      </c>
      <c r="AI115" s="11">
        <f>SUMIFS(PURCHASE!$K$6:$K$10008,PURCHASE!$A$6:$A$10008,$AH$3,PURCHASE!$D$6:$D$10008,$C$5:$C$499)</f>
        <v>0</v>
      </c>
      <c r="AJ115" s="11">
        <f>SUMIFS(PURCHASE!$L$6:$L$10008,PURCHASE!$A$6:$A$10008,$AH$3,PURCHASE!$D$6:$D$10008,$C$5:$C$499)</f>
        <v>0</v>
      </c>
      <c r="AK115" s="11">
        <f>SUMIFS(PURCHASE!$M$6:$M$10008,PURCHASE!$A$6:$A$10008,$AH$3,PURCHASE!$D$6:$D$10008,$C$5:$C$499)</f>
        <v>0</v>
      </c>
      <c r="AL115" s="11">
        <f>SUMIFS(PURCHASE!$N$6:$N$10008,PURCHASE!$A$6:$A$10008,$AH$3,PURCHASE!$D$6:$D$10008,$C$5:$C$499)</f>
        <v>0</v>
      </c>
      <c r="AM115" s="11">
        <f t="shared" si="25"/>
        <v>0</v>
      </c>
      <c r="AN115" s="11">
        <f>SUMIFS(PURCHASE!$K$6:$K$10008,PURCHASE!$A$6:$A$10008,$AM$3,PURCHASE!$D$6:$D$10008,$C$5:$C$499)</f>
        <v>0</v>
      </c>
      <c r="AO115" s="11">
        <f>SUMIFS(PURCHASE!$L$6:$L$10008,PURCHASE!$A$6:$A$10008,$AM$3,PURCHASE!$D$6:$D$10008,$C$5:$C$499)</f>
        <v>0</v>
      </c>
      <c r="AP115" s="11">
        <f>SUMIFS(PURCHASE!$M$6:$M$10008,PURCHASE!$A$6:$A$10008,$AM$3,PURCHASE!$D$6:$D$10008,$C$5:$C$499)</f>
        <v>0</v>
      </c>
      <c r="AQ115" s="11">
        <f>SUMIFS(PURCHASE!$N$6:$N$10008,PURCHASE!$A$6:$A$10008,$AM$3,PURCHASE!$D$6:$D$10008,$C$5:$C$499)</f>
        <v>0</v>
      </c>
      <c r="AR115" s="11">
        <f t="shared" si="26"/>
        <v>0</v>
      </c>
      <c r="AS115" s="11">
        <f>SUMIFS(PURCHASE!$K$6:$K$10008,PURCHASE!$A$6:$A$10008,$AR$3,PURCHASE!$D$6:$D$10008,$C$5:$C$499)</f>
        <v>0</v>
      </c>
      <c r="AT115" s="11">
        <f>SUMIFS(PURCHASE!$L$6:$L$10008,PURCHASE!$A$6:$A$10008,$AR$3,PURCHASE!$D$6:$D$10008,$C$5:$C$499)</f>
        <v>0</v>
      </c>
      <c r="AU115" s="11">
        <f>SUMIFS(PURCHASE!$M$6:$M$10008,PURCHASE!$A$6:$A$10008,$AR$3,PURCHASE!$D$6:$D$10008,$C$5:$C$499)</f>
        <v>0</v>
      </c>
      <c r="AV115" s="11">
        <f>SUMIFS(PURCHASE!$N$6:$N$10008,PURCHASE!$A$6:$A$10008,$AR$3,PURCHASE!$D$6:$D$10008,$C$5:$C$499)</f>
        <v>0</v>
      </c>
      <c r="AW115" s="11">
        <f t="shared" si="27"/>
        <v>0</v>
      </c>
      <c r="AX115" s="11">
        <f>SUMIFS(PURCHASE!$K$6:$K$10008,PURCHASE!$A$6:$A$10008,$AW$3,PURCHASE!$D$6:$D$10008,$C$5:$C$499)</f>
        <v>0</v>
      </c>
      <c r="AY115" s="11">
        <f>SUMIFS(PURCHASE!$L$6:$L$10008,PURCHASE!$A$6:$A$10008,$AW$3,PURCHASE!$D$6:$D$10008,$C$5:$C$499)</f>
        <v>0</v>
      </c>
      <c r="AZ115" s="11">
        <f>SUMIFS(PURCHASE!$M$6:$M$10008,PURCHASE!$A$6:$A$10008,$AW$3,PURCHASE!$D$6:$D$10008,$C$5:$C$499)</f>
        <v>0</v>
      </c>
      <c r="BA115" s="11">
        <f>SUMIFS(PURCHASE!$N$6:$N$10008,PURCHASE!$A$6:$A$10008,$AW$3,PURCHASE!$D$6:$D$10008,$C$5:$C$499)</f>
        <v>0</v>
      </c>
      <c r="BB115" s="11">
        <f t="shared" si="28"/>
        <v>0</v>
      </c>
      <c r="BC115" s="11">
        <f>SUMIFS(PURCHASE!$K$6:$K$10008,PURCHASE!$A$6:$A$10008,$BB$3,PURCHASE!$D$6:$D$10008,$C$5:$C$499)</f>
        <v>0</v>
      </c>
      <c r="BD115" s="11">
        <f>SUMIFS(PURCHASE!$L$6:$L$10008,PURCHASE!$A$6:$A$10008,$BB$3,PURCHASE!$D$6:$D$10008,$C$5:$C$499)</f>
        <v>0</v>
      </c>
      <c r="BE115" s="11">
        <f>SUMIFS(PURCHASE!$M$6:$M$10008,PURCHASE!$A$6:$A$10008,$BB$3,PURCHASE!$D$6:$D$10008,$C$5:$C$499)</f>
        <v>0</v>
      </c>
      <c r="BF115" s="11">
        <f>SUMIFS(PURCHASE!$N$6:$N$10008,PURCHASE!$A$6:$A$10008,$BB$3,PURCHASE!$D$6:$D$10008,$C$5:$C$499)</f>
        <v>0</v>
      </c>
      <c r="BG115" s="11">
        <f t="shared" si="29"/>
        <v>0</v>
      </c>
      <c r="BH115" s="11">
        <f>SUMIFS(PURCHASE!$K$6:$K$10008,PURCHASE!$A$6:$A$10008,$BG$3,PURCHASE!$D$6:$D$10008,$C$5:$C$499)</f>
        <v>0</v>
      </c>
      <c r="BI115" s="11">
        <f>SUMIFS(PURCHASE!$L$6:$L$10008,PURCHASE!$A$6:$A$10008,$BG$3,PURCHASE!$D$6:$D$10008,$C$5:$C$499)</f>
        <v>0</v>
      </c>
      <c r="BJ115" s="11">
        <f>SUMIFS(PURCHASE!$M$6:$M$10008,PURCHASE!$A$6:$A$10008,$BG$3,PURCHASE!$D$6:$D$10008,$C$5:$C$499)</f>
        <v>0</v>
      </c>
      <c r="BK115" s="11">
        <f>SUMIFS(PURCHASE!$N$6:$N$10008,PURCHASE!$A$6:$A$10008,$BG$3,PURCHASE!$D$6:$D$10008,$C$5:$C$499)</f>
        <v>0</v>
      </c>
      <c r="BL115" s="11">
        <f t="shared" si="17"/>
        <v>44368</v>
      </c>
      <c r="BM115" s="11">
        <f t="shared" si="17"/>
        <v>37600</v>
      </c>
      <c r="BN115" s="11">
        <f t="shared" si="17"/>
        <v>0</v>
      </c>
      <c r="BO115" s="11">
        <f t="shared" si="17"/>
        <v>3384</v>
      </c>
      <c r="BP115" s="11">
        <f t="shared" si="17"/>
        <v>3384</v>
      </c>
    </row>
    <row r="116" spans="1:68" x14ac:dyDescent="0.2">
      <c r="A116" s="467">
        <v>113</v>
      </c>
      <c r="B116" s="468" t="s">
        <v>761</v>
      </c>
      <c r="C116" s="469" t="s">
        <v>762</v>
      </c>
      <c r="D116" s="11">
        <f t="shared" si="18"/>
        <v>0</v>
      </c>
      <c r="E116" s="11">
        <f>SUMIFS(PURCHASE!$K$6:$K$10008,PURCHASE!$A$6:$A$10008,$D$3,PURCHASE!$D$6:$D$10008,$C$5:$C$499)</f>
        <v>0</v>
      </c>
      <c r="F116" s="11">
        <f>SUMIFS(PURCHASE!$L$6:$L$10008,PURCHASE!$A$6:$A$10008,$D$3,PURCHASE!$D$6:$D$10008,$C$5:$C$499)</f>
        <v>0</v>
      </c>
      <c r="G116" s="11">
        <f>SUMIFS(PURCHASE!$M$6:$M$10008,PURCHASE!$A$6:$A$10008,$D$3,PURCHASE!$D$6:$D$10008,$C$5:$C$499)</f>
        <v>0</v>
      </c>
      <c r="H116" s="11">
        <f>SUMIFS(PURCHASE!$N$6:$N$10008,PURCHASE!$A$6:$A$10008,$D$3,PURCHASE!$D$6:$D$10008,$C$5:$C$499)</f>
        <v>0</v>
      </c>
      <c r="I116" s="473">
        <f t="shared" si="19"/>
        <v>0</v>
      </c>
      <c r="J116" s="60">
        <f>SUMIFS(PURCHASE!$K$6:$K$10008,PURCHASE!$A$6:$A$10008,$I$3,PURCHASE!$D$6:$D$10008,$C$5:$C$499)</f>
        <v>0</v>
      </c>
      <c r="K116" s="60">
        <f>SUMIFS(PURCHASE!$L$6:$L$10008,PURCHASE!$A$6:$A$10008,$I$3,PURCHASE!$D$6:$D$10008,$C$5:$C$499)</f>
        <v>0</v>
      </c>
      <c r="L116" s="60">
        <f>SUMIFS(PURCHASE!$M$6:$M$10008,PURCHASE!$A$6:$A$10008,$I$3,PURCHASE!$D$6:$D$10008,$C$5:$C$499)</f>
        <v>0</v>
      </c>
      <c r="M116" s="474">
        <f>SUMIFS(PURCHASE!$N$6:$N$10008,PURCHASE!$A$6:$A$10008,$I$3,PURCHASE!$D$6:$D$10008,$C$5:$C$499)</f>
        <v>0</v>
      </c>
      <c r="N116" s="11">
        <f t="shared" si="20"/>
        <v>4956</v>
      </c>
      <c r="O116" s="11">
        <f>SUMIFS(PURCHASE!$K$6:$K$10008,PURCHASE!$A$6:$A$10008,$N$3,PURCHASE!$D$6:$D$10008,$C$5:$C$499)</f>
        <v>4200</v>
      </c>
      <c r="P116" s="11">
        <f>SUMIFS(PURCHASE!$L$6:$L$10008,PURCHASE!$A$6:$A$10008,$N$3,PURCHASE!$D$6:$D$10008,$C$5:$C$499)</f>
        <v>0</v>
      </c>
      <c r="Q116" s="11">
        <f>SUMIFS(PURCHASE!$M$6:$M$10008,PURCHASE!$A$6:$A$10008,$N$3,PURCHASE!$D$6:$D$10008,$C$5:$C$499)</f>
        <v>378</v>
      </c>
      <c r="R116" s="11">
        <f>SUMIFS(PURCHASE!$N$6:$N$10008,PURCHASE!$A$6:$A$10008,$N$3,PURCHASE!$D$6:$D$10008,$C$5:$C$499)</f>
        <v>378</v>
      </c>
      <c r="S116" s="11">
        <f t="shared" si="21"/>
        <v>0</v>
      </c>
      <c r="T116" s="11">
        <f>SUMIFS(PURCHASE!$K$6:$K$10008,PURCHASE!$A$6:$A$10008,$S$3,PURCHASE!$D$6:$D$10008,$C$5:$C$499)</f>
        <v>0</v>
      </c>
      <c r="U116" s="11">
        <f>SUMIFS(PURCHASE!$L$6:$L$10008,PURCHASE!$A$6:$A$10008,$S$3,PURCHASE!$D$6:$D$10008,$C$5:$C$499)</f>
        <v>0</v>
      </c>
      <c r="V116" s="11">
        <f>SUMIFS(PURCHASE!$M$6:$M$10008,PURCHASE!$A$6:$A$10008,$S$3,PURCHASE!$D$6:$D$10008,$C$5:$C$499)</f>
        <v>0</v>
      </c>
      <c r="W116" s="11">
        <f>SUMIFS(PURCHASE!$N$6:$N$10008,PURCHASE!$A$6:$A$10008,$S$3,PURCHASE!$D$6:$D$10008,$C$5:$C$499)</f>
        <v>0</v>
      </c>
      <c r="X116" s="11">
        <f t="shared" si="22"/>
        <v>0</v>
      </c>
      <c r="Y116" s="11">
        <f>SUMIFS(PURCHASE!$K$6:$K$10008,PURCHASE!$A$6:$A$10008,$X$3,PURCHASE!$D$6:$D$10008,$C$5:$C$499)</f>
        <v>0</v>
      </c>
      <c r="Z116" s="11">
        <f>SUMIFS(PURCHASE!$L$6:$L$10008,PURCHASE!$A$6:$A$10008,$X$3,PURCHASE!$D$6:$D$10008,$C$5:$C$499)</f>
        <v>0</v>
      </c>
      <c r="AA116" s="11">
        <f>SUMIFS(PURCHASE!$M$6:$M$10008,PURCHASE!$A$6:$A$10008,$X$3,PURCHASE!$D$6:$D$10008,$C$5:$C$499)</f>
        <v>0</v>
      </c>
      <c r="AB116" s="11">
        <f>SUMIFS(PURCHASE!$N$6:$N$10008,PURCHASE!$A$6:$A$10008,$X$3,PURCHASE!$D$6:$D$10008,$C$5:$C$499)</f>
        <v>0</v>
      </c>
      <c r="AC116" s="11">
        <f t="shared" si="23"/>
        <v>0</v>
      </c>
      <c r="AD116" s="11">
        <f>SUMIFS(PURCHASE!$K$6:$K$10008,PURCHASE!$A$6:$A$10008,$AC$3,PURCHASE!$D$6:$D$10008,$C$5:$C$499)</f>
        <v>0</v>
      </c>
      <c r="AE116" s="11">
        <f>SUMIFS(PURCHASE!$L$6:$L$10008,PURCHASE!$A$6:$A$10008,$AC$3,PURCHASE!$D$6:$D$10008,$C$5:$C$499)</f>
        <v>0</v>
      </c>
      <c r="AF116" s="11">
        <f>SUMIFS(PURCHASE!$M$6:$M$10008,PURCHASE!$A$6:$A$10008,$AC$3,PURCHASE!$D$6:$D$10008,$C$5:$C$499)</f>
        <v>0</v>
      </c>
      <c r="AG116" s="11">
        <f>SUMIFS(PURCHASE!$N$6:$N$10008,PURCHASE!$A$6:$A$10008,$AC$3,PURCHASE!$D$6:$D$10008,$C$5:$C$499)</f>
        <v>0</v>
      </c>
      <c r="AH116" s="11">
        <f t="shared" si="24"/>
        <v>0</v>
      </c>
      <c r="AI116" s="11">
        <f>SUMIFS(PURCHASE!$K$6:$K$10008,PURCHASE!$A$6:$A$10008,$AH$3,PURCHASE!$D$6:$D$10008,$C$5:$C$499)</f>
        <v>0</v>
      </c>
      <c r="AJ116" s="11">
        <f>SUMIFS(PURCHASE!$L$6:$L$10008,PURCHASE!$A$6:$A$10008,$AH$3,PURCHASE!$D$6:$D$10008,$C$5:$C$499)</f>
        <v>0</v>
      </c>
      <c r="AK116" s="11">
        <f>SUMIFS(PURCHASE!$M$6:$M$10008,PURCHASE!$A$6:$A$10008,$AH$3,PURCHASE!$D$6:$D$10008,$C$5:$C$499)</f>
        <v>0</v>
      </c>
      <c r="AL116" s="11">
        <f>SUMIFS(PURCHASE!$N$6:$N$10008,PURCHASE!$A$6:$A$10008,$AH$3,PURCHASE!$D$6:$D$10008,$C$5:$C$499)</f>
        <v>0</v>
      </c>
      <c r="AM116" s="11">
        <f t="shared" si="25"/>
        <v>0</v>
      </c>
      <c r="AN116" s="11">
        <f>SUMIFS(PURCHASE!$K$6:$K$10008,PURCHASE!$A$6:$A$10008,$AM$3,PURCHASE!$D$6:$D$10008,$C$5:$C$499)</f>
        <v>0</v>
      </c>
      <c r="AO116" s="11">
        <f>SUMIFS(PURCHASE!$L$6:$L$10008,PURCHASE!$A$6:$A$10008,$AM$3,PURCHASE!$D$6:$D$10008,$C$5:$C$499)</f>
        <v>0</v>
      </c>
      <c r="AP116" s="11">
        <f>SUMIFS(PURCHASE!$M$6:$M$10008,PURCHASE!$A$6:$A$10008,$AM$3,PURCHASE!$D$6:$D$10008,$C$5:$C$499)</f>
        <v>0</v>
      </c>
      <c r="AQ116" s="11">
        <f>SUMIFS(PURCHASE!$N$6:$N$10008,PURCHASE!$A$6:$A$10008,$AM$3,PURCHASE!$D$6:$D$10008,$C$5:$C$499)</f>
        <v>0</v>
      </c>
      <c r="AR116" s="11">
        <f t="shared" si="26"/>
        <v>0</v>
      </c>
      <c r="AS116" s="11">
        <f>SUMIFS(PURCHASE!$K$6:$K$10008,PURCHASE!$A$6:$A$10008,$AR$3,PURCHASE!$D$6:$D$10008,$C$5:$C$499)</f>
        <v>0</v>
      </c>
      <c r="AT116" s="11">
        <f>SUMIFS(PURCHASE!$L$6:$L$10008,PURCHASE!$A$6:$A$10008,$AR$3,PURCHASE!$D$6:$D$10008,$C$5:$C$499)</f>
        <v>0</v>
      </c>
      <c r="AU116" s="11">
        <f>SUMIFS(PURCHASE!$M$6:$M$10008,PURCHASE!$A$6:$A$10008,$AR$3,PURCHASE!$D$6:$D$10008,$C$5:$C$499)</f>
        <v>0</v>
      </c>
      <c r="AV116" s="11">
        <f>SUMIFS(PURCHASE!$N$6:$N$10008,PURCHASE!$A$6:$A$10008,$AR$3,PURCHASE!$D$6:$D$10008,$C$5:$C$499)</f>
        <v>0</v>
      </c>
      <c r="AW116" s="11">
        <f t="shared" si="27"/>
        <v>0</v>
      </c>
      <c r="AX116" s="11">
        <f>SUMIFS(PURCHASE!$K$6:$K$10008,PURCHASE!$A$6:$A$10008,$AW$3,PURCHASE!$D$6:$D$10008,$C$5:$C$499)</f>
        <v>0</v>
      </c>
      <c r="AY116" s="11">
        <f>SUMIFS(PURCHASE!$L$6:$L$10008,PURCHASE!$A$6:$A$10008,$AW$3,PURCHASE!$D$6:$D$10008,$C$5:$C$499)</f>
        <v>0</v>
      </c>
      <c r="AZ116" s="11">
        <f>SUMIFS(PURCHASE!$M$6:$M$10008,PURCHASE!$A$6:$A$10008,$AW$3,PURCHASE!$D$6:$D$10008,$C$5:$C$499)</f>
        <v>0</v>
      </c>
      <c r="BA116" s="11">
        <f>SUMIFS(PURCHASE!$N$6:$N$10008,PURCHASE!$A$6:$A$10008,$AW$3,PURCHASE!$D$6:$D$10008,$C$5:$C$499)</f>
        <v>0</v>
      </c>
      <c r="BB116" s="11">
        <f t="shared" si="28"/>
        <v>0</v>
      </c>
      <c r="BC116" s="11">
        <f>SUMIFS(PURCHASE!$K$6:$K$10008,PURCHASE!$A$6:$A$10008,$BB$3,PURCHASE!$D$6:$D$10008,$C$5:$C$499)</f>
        <v>0</v>
      </c>
      <c r="BD116" s="11">
        <f>SUMIFS(PURCHASE!$L$6:$L$10008,PURCHASE!$A$6:$A$10008,$BB$3,PURCHASE!$D$6:$D$10008,$C$5:$C$499)</f>
        <v>0</v>
      </c>
      <c r="BE116" s="11">
        <f>SUMIFS(PURCHASE!$M$6:$M$10008,PURCHASE!$A$6:$A$10008,$BB$3,PURCHASE!$D$6:$D$10008,$C$5:$C$499)</f>
        <v>0</v>
      </c>
      <c r="BF116" s="11">
        <f>SUMIFS(PURCHASE!$N$6:$N$10008,PURCHASE!$A$6:$A$10008,$BB$3,PURCHASE!$D$6:$D$10008,$C$5:$C$499)</f>
        <v>0</v>
      </c>
      <c r="BG116" s="11">
        <f t="shared" si="29"/>
        <v>0</v>
      </c>
      <c r="BH116" s="11">
        <f>SUMIFS(PURCHASE!$K$6:$K$10008,PURCHASE!$A$6:$A$10008,$BG$3,PURCHASE!$D$6:$D$10008,$C$5:$C$499)</f>
        <v>0</v>
      </c>
      <c r="BI116" s="11">
        <f>SUMIFS(PURCHASE!$L$6:$L$10008,PURCHASE!$A$6:$A$10008,$BG$3,PURCHASE!$D$6:$D$10008,$C$5:$C$499)</f>
        <v>0</v>
      </c>
      <c r="BJ116" s="11">
        <f>SUMIFS(PURCHASE!$M$6:$M$10008,PURCHASE!$A$6:$A$10008,$BG$3,PURCHASE!$D$6:$D$10008,$C$5:$C$499)</f>
        <v>0</v>
      </c>
      <c r="BK116" s="11">
        <f>SUMIFS(PURCHASE!$N$6:$N$10008,PURCHASE!$A$6:$A$10008,$BG$3,PURCHASE!$D$6:$D$10008,$C$5:$C$499)</f>
        <v>0</v>
      </c>
      <c r="BL116" s="11">
        <f t="shared" si="17"/>
        <v>4956</v>
      </c>
      <c r="BM116" s="11">
        <f t="shared" si="17"/>
        <v>4200</v>
      </c>
      <c r="BN116" s="11">
        <f t="shared" si="17"/>
        <v>0</v>
      </c>
      <c r="BO116" s="11">
        <f t="shared" si="17"/>
        <v>378</v>
      </c>
      <c r="BP116" s="11">
        <f t="shared" si="17"/>
        <v>378</v>
      </c>
    </row>
    <row r="117" spans="1:68" x14ac:dyDescent="0.2">
      <c r="A117" s="467">
        <v>114</v>
      </c>
      <c r="B117" s="468" t="s">
        <v>1163</v>
      </c>
      <c r="C117" s="469" t="s">
        <v>1164</v>
      </c>
      <c r="D117" s="11">
        <f t="shared" si="18"/>
        <v>0</v>
      </c>
      <c r="E117" s="11">
        <f>SUMIFS(PURCHASE!$K$6:$K$10008,PURCHASE!$A$6:$A$10008,$D$3,PURCHASE!$D$6:$D$10008,$C$5:$C$499)</f>
        <v>0</v>
      </c>
      <c r="F117" s="11">
        <f>SUMIFS(PURCHASE!$L$6:$L$10008,PURCHASE!$A$6:$A$10008,$D$3,PURCHASE!$D$6:$D$10008,$C$5:$C$499)</f>
        <v>0</v>
      </c>
      <c r="G117" s="11">
        <f>SUMIFS(PURCHASE!$M$6:$M$10008,PURCHASE!$A$6:$A$10008,$D$3,PURCHASE!$D$6:$D$10008,$C$5:$C$499)</f>
        <v>0</v>
      </c>
      <c r="H117" s="11">
        <f>SUMIFS(PURCHASE!$N$6:$N$10008,PURCHASE!$A$6:$A$10008,$D$3,PURCHASE!$D$6:$D$10008,$C$5:$C$499)</f>
        <v>0</v>
      </c>
      <c r="I117" s="473">
        <f t="shared" si="19"/>
        <v>0</v>
      </c>
      <c r="J117" s="60">
        <f>SUMIFS(PURCHASE!$K$6:$K$10008,PURCHASE!$A$6:$A$10008,$I$3,PURCHASE!$D$6:$D$10008,$C$5:$C$499)</f>
        <v>0</v>
      </c>
      <c r="K117" s="60">
        <f>SUMIFS(PURCHASE!$L$6:$L$10008,PURCHASE!$A$6:$A$10008,$I$3,PURCHASE!$D$6:$D$10008,$C$5:$C$499)</f>
        <v>0</v>
      </c>
      <c r="L117" s="60">
        <f>SUMIFS(PURCHASE!$M$6:$M$10008,PURCHASE!$A$6:$A$10008,$I$3,PURCHASE!$D$6:$D$10008,$C$5:$C$499)</f>
        <v>0</v>
      </c>
      <c r="M117" s="474">
        <f>SUMIFS(PURCHASE!$N$6:$N$10008,PURCHASE!$A$6:$A$10008,$I$3,PURCHASE!$D$6:$D$10008,$C$5:$C$499)</f>
        <v>0</v>
      </c>
      <c r="N117" s="11">
        <f t="shared" si="20"/>
        <v>0</v>
      </c>
      <c r="O117" s="11">
        <f>SUMIFS(PURCHASE!$K$6:$K$10008,PURCHASE!$A$6:$A$10008,$N$3,PURCHASE!$D$6:$D$10008,$C$5:$C$499)</f>
        <v>0</v>
      </c>
      <c r="P117" s="11">
        <f>SUMIFS(PURCHASE!$L$6:$L$10008,PURCHASE!$A$6:$A$10008,$N$3,PURCHASE!$D$6:$D$10008,$C$5:$C$499)</f>
        <v>0</v>
      </c>
      <c r="Q117" s="11">
        <f>SUMIFS(PURCHASE!$M$6:$M$10008,PURCHASE!$A$6:$A$10008,$N$3,PURCHASE!$D$6:$D$10008,$C$5:$C$499)</f>
        <v>0</v>
      </c>
      <c r="R117" s="11">
        <f>SUMIFS(PURCHASE!$N$6:$N$10008,PURCHASE!$A$6:$A$10008,$N$3,PURCHASE!$D$6:$D$10008,$C$5:$C$499)</f>
        <v>0</v>
      </c>
      <c r="S117" s="11">
        <f t="shared" si="21"/>
        <v>0</v>
      </c>
      <c r="T117" s="11">
        <f>SUMIFS(PURCHASE!$K$6:$K$10008,PURCHASE!$A$6:$A$10008,$S$3,PURCHASE!$D$6:$D$10008,$C$5:$C$499)</f>
        <v>0</v>
      </c>
      <c r="U117" s="11">
        <f>SUMIFS(PURCHASE!$L$6:$L$10008,PURCHASE!$A$6:$A$10008,$S$3,PURCHASE!$D$6:$D$10008,$C$5:$C$499)</f>
        <v>0</v>
      </c>
      <c r="V117" s="11">
        <f>SUMIFS(PURCHASE!$M$6:$M$10008,PURCHASE!$A$6:$A$10008,$S$3,PURCHASE!$D$6:$D$10008,$C$5:$C$499)</f>
        <v>0</v>
      </c>
      <c r="W117" s="11">
        <f>SUMIFS(PURCHASE!$N$6:$N$10008,PURCHASE!$A$6:$A$10008,$S$3,PURCHASE!$D$6:$D$10008,$C$5:$C$499)</f>
        <v>0</v>
      </c>
      <c r="X117" s="11">
        <f t="shared" si="22"/>
        <v>0</v>
      </c>
      <c r="Y117" s="11">
        <f>SUMIFS(PURCHASE!$K$6:$K$10008,PURCHASE!$A$6:$A$10008,$X$3,PURCHASE!$D$6:$D$10008,$C$5:$C$499)</f>
        <v>0</v>
      </c>
      <c r="Z117" s="11">
        <f>SUMIFS(PURCHASE!$L$6:$L$10008,PURCHASE!$A$6:$A$10008,$X$3,PURCHASE!$D$6:$D$10008,$C$5:$C$499)</f>
        <v>0</v>
      </c>
      <c r="AA117" s="11">
        <f>SUMIFS(PURCHASE!$M$6:$M$10008,PURCHASE!$A$6:$A$10008,$X$3,PURCHASE!$D$6:$D$10008,$C$5:$C$499)</f>
        <v>0</v>
      </c>
      <c r="AB117" s="11">
        <f>SUMIFS(PURCHASE!$N$6:$N$10008,PURCHASE!$A$6:$A$10008,$X$3,PURCHASE!$D$6:$D$10008,$C$5:$C$499)</f>
        <v>0</v>
      </c>
      <c r="AC117" s="11">
        <f t="shared" si="23"/>
        <v>0</v>
      </c>
      <c r="AD117" s="11">
        <f>SUMIFS(PURCHASE!$K$6:$K$10008,PURCHASE!$A$6:$A$10008,$AC$3,PURCHASE!$D$6:$D$10008,$C$5:$C$499)</f>
        <v>0</v>
      </c>
      <c r="AE117" s="11">
        <f>SUMIFS(PURCHASE!$L$6:$L$10008,PURCHASE!$A$6:$A$10008,$AC$3,PURCHASE!$D$6:$D$10008,$C$5:$C$499)</f>
        <v>0</v>
      </c>
      <c r="AF117" s="11">
        <f>SUMIFS(PURCHASE!$M$6:$M$10008,PURCHASE!$A$6:$A$10008,$AC$3,PURCHASE!$D$6:$D$10008,$C$5:$C$499)</f>
        <v>0</v>
      </c>
      <c r="AG117" s="11">
        <f>SUMIFS(PURCHASE!$N$6:$N$10008,PURCHASE!$A$6:$A$10008,$AC$3,PURCHASE!$D$6:$D$10008,$C$5:$C$499)</f>
        <v>0</v>
      </c>
      <c r="AH117" s="11">
        <f t="shared" si="24"/>
        <v>0</v>
      </c>
      <c r="AI117" s="11">
        <f>SUMIFS(PURCHASE!$K$6:$K$10008,PURCHASE!$A$6:$A$10008,$AH$3,PURCHASE!$D$6:$D$10008,$C$5:$C$499)</f>
        <v>0</v>
      </c>
      <c r="AJ117" s="11">
        <f>SUMIFS(PURCHASE!$L$6:$L$10008,PURCHASE!$A$6:$A$10008,$AH$3,PURCHASE!$D$6:$D$10008,$C$5:$C$499)</f>
        <v>0</v>
      </c>
      <c r="AK117" s="11">
        <f>SUMIFS(PURCHASE!$M$6:$M$10008,PURCHASE!$A$6:$A$10008,$AH$3,PURCHASE!$D$6:$D$10008,$C$5:$C$499)</f>
        <v>0</v>
      </c>
      <c r="AL117" s="11">
        <f>SUMIFS(PURCHASE!$N$6:$N$10008,PURCHASE!$A$6:$A$10008,$AH$3,PURCHASE!$D$6:$D$10008,$C$5:$C$499)</f>
        <v>0</v>
      </c>
      <c r="AM117" s="11">
        <f t="shared" si="25"/>
        <v>0</v>
      </c>
      <c r="AN117" s="11">
        <f>SUMIFS(PURCHASE!$K$6:$K$10008,PURCHASE!$A$6:$A$10008,$AM$3,PURCHASE!$D$6:$D$10008,$C$5:$C$499)</f>
        <v>0</v>
      </c>
      <c r="AO117" s="11">
        <f>SUMIFS(PURCHASE!$L$6:$L$10008,PURCHASE!$A$6:$A$10008,$AM$3,PURCHASE!$D$6:$D$10008,$C$5:$C$499)</f>
        <v>0</v>
      </c>
      <c r="AP117" s="11">
        <f>SUMIFS(PURCHASE!$M$6:$M$10008,PURCHASE!$A$6:$A$10008,$AM$3,PURCHASE!$D$6:$D$10008,$C$5:$C$499)</f>
        <v>0</v>
      </c>
      <c r="AQ117" s="11">
        <f>SUMIFS(PURCHASE!$N$6:$N$10008,PURCHASE!$A$6:$A$10008,$AM$3,PURCHASE!$D$6:$D$10008,$C$5:$C$499)</f>
        <v>0</v>
      </c>
      <c r="AR117" s="11">
        <f t="shared" si="26"/>
        <v>0</v>
      </c>
      <c r="AS117" s="11">
        <f>SUMIFS(PURCHASE!$K$6:$K$10008,PURCHASE!$A$6:$A$10008,$AR$3,PURCHASE!$D$6:$D$10008,$C$5:$C$499)</f>
        <v>0</v>
      </c>
      <c r="AT117" s="11">
        <f>SUMIFS(PURCHASE!$L$6:$L$10008,PURCHASE!$A$6:$A$10008,$AR$3,PURCHASE!$D$6:$D$10008,$C$5:$C$499)</f>
        <v>0</v>
      </c>
      <c r="AU117" s="11">
        <f>SUMIFS(PURCHASE!$M$6:$M$10008,PURCHASE!$A$6:$A$10008,$AR$3,PURCHASE!$D$6:$D$10008,$C$5:$C$499)</f>
        <v>0</v>
      </c>
      <c r="AV117" s="11">
        <f>SUMIFS(PURCHASE!$N$6:$N$10008,PURCHASE!$A$6:$A$10008,$AR$3,PURCHASE!$D$6:$D$10008,$C$5:$C$499)</f>
        <v>0</v>
      </c>
      <c r="AW117" s="11">
        <f t="shared" si="27"/>
        <v>0</v>
      </c>
      <c r="AX117" s="11">
        <f>SUMIFS(PURCHASE!$K$6:$K$10008,PURCHASE!$A$6:$A$10008,$AW$3,PURCHASE!$D$6:$D$10008,$C$5:$C$499)</f>
        <v>0</v>
      </c>
      <c r="AY117" s="11">
        <f>SUMIFS(PURCHASE!$L$6:$L$10008,PURCHASE!$A$6:$A$10008,$AW$3,PURCHASE!$D$6:$D$10008,$C$5:$C$499)</f>
        <v>0</v>
      </c>
      <c r="AZ117" s="11">
        <f>SUMIFS(PURCHASE!$M$6:$M$10008,PURCHASE!$A$6:$A$10008,$AW$3,PURCHASE!$D$6:$D$10008,$C$5:$C$499)</f>
        <v>0</v>
      </c>
      <c r="BA117" s="11">
        <f>SUMIFS(PURCHASE!$N$6:$N$10008,PURCHASE!$A$6:$A$10008,$AW$3,PURCHASE!$D$6:$D$10008,$C$5:$C$499)</f>
        <v>0</v>
      </c>
      <c r="BB117" s="11">
        <f t="shared" si="28"/>
        <v>0</v>
      </c>
      <c r="BC117" s="11">
        <f>SUMIFS(PURCHASE!$K$6:$K$10008,PURCHASE!$A$6:$A$10008,$BB$3,PURCHASE!$D$6:$D$10008,$C$5:$C$499)</f>
        <v>0</v>
      </c>
      <c r="BD117" s="11">
        <f>SUMIFS(PURCHASE!$L$6:$L$10008,PURCHASE!$A$6:$A$10008,$BB$3,PURCHASE!$D$6:$D$10008,$C$5:$C$499)</f>
        <v>0</v>
      </c>
      <c r="BE117" s="11">
        <f>SUMIFS(PURCHASE!$M$6:$M$10008,PURCHASE!$A$6:$A$10008,$BB$3,PURCHASE!$D$6:$D$10008,$C$5:$C$499)</f>
        <v>0</v>
      </c>
      <c r="BF117" s="11">
        <f>SUMIFS(PURCHASE!$N$6:$N$10008,PURCHASE!$A$6:$A$10008,$BB$3,PURCHASE!$D$6:$D$10008,$C$5:$C$499)</f>
        <v>0</v>
      </c>
      <c r="BG117" s="11">
        <f t="shared" si="29"/>
        <v>0</v>
      </c>
      <c r="BH117" s="11">
        <f>SUMIFS(PURCHASE!$K$6:$K$10008,PURCHASE!$A$6:$A$10008,$BG$3,PURCHASE!$D$6:$D$10008,$C$5:$C$499)</f>
        <v>0</v>
      </c>
      <c r="BI117" s="11">
        <f>SUMIFS(PURCHASE!$L$6:$L$10008,PURCHASE!$A$6:$A$10008,$BG$3,PURCHASE!$D$6:$D$10008,$C$5:$C$499)</f>
        <v>0</v>
      </c>
      <c r="BJ117" s="11">
        <f>SUMIFS(PURCHASE!$M$6:$M$10008,PURCHASE!$A$6:$A$10008,$BG$3,PURCHASE!$D$6:$D$10008,$C$5:$C$499)</f>
        <v>0</v>
      </c>
      <c r="BK117" s="11">
        <f>SUMIFS(PURCHASE!$N$6:$N$10008,PURCHASE!$A$6:$A$10008,$BG$3,PURCHASE!$D$6:$D$10008,$C$5:$C$499)</f>
        <v>0</v>
      </c>
      <c r="BL117" s="11">
        <f t="shared" si="17"/>
        <v>0</v>
      </c>
      <c r="BM117" s="11">
        <f t="shared" si="17"/>
        <v>0</v>
      </c>
      <c r="BN117" s="11">
        <f t="shared" si="17"/>
        <v>0</v>
      </c>
      <c r="BO117" s="11">
        <f t="shared" si="17"/>
        <v>0</v>
      </c>
      <c r="BP117" s="11">
        <f t="shared" si="17"/>
        <v>0</v>
      </c>
    </row>
    <row r="118" spans="1:68" x14ac:dyDescent="0.2">
      <c r="A118" s="467">
        <v>115</v>
      </c>
      <c r="B118" s="468" t="s">
        <v>570</v>
      </c>
      <c r="C118" s="469" t="s">
        <v>571</v>
      </c>
      <c r="D118" s="11">
        <f t="shared" si="18"/>
        <v>37619.875</v>
      </c>
      <c r="E118" s="11">
        <f>SUMIFS(PURCHASE!$K$6:$K$10008,PURCHASE!$A$6:$A$10008,$D$3,PURCHASE!$D$6:$D$10008,$C$5:$C$499)</f>
        <v>31881.25</v>
      </c>
      <c r="F118" s="11">
        <f>SUMIFS(PURCHASE!$L$6:$L$10008,PURCHASE!$A$6:$A$10008,$D$3,PURCHASE!$D$6:$D$10008,$C$5:$C$499)</f>
        <v>0</v>
      </c>
      <c r="G118" s="11">
        <f>SUMIFS(PURCHASE!$M$6:$M$10008,PURCHASE!$A$6:$A$10008,$D$3,PURCHASE!$D$6:$D$10008,$C$5:$C$499)</f>
        <v>2869.3125</v>
      </c>
      <c r="H118" s="11">
        <f>SUMIFS(PURCHASE!$N$6:$N$10008,PURCHASE!$A$6:$A$10008,$D$3,PURCHASE!$D$6:$D$10008,$C$5:$C$499)</f>
        <v>2869.3125</v>
      </c>
      <c r="I118" s="473">
        <f t="shared" si="19"/>
        <v>0</v>
      </c>
      <c r="J118" s="60">
        <f>SUMIFS(PURCHASE!$K$6:$K$10008,PURCHASE!$A$6:$A$10008,$I$3,PURCHASE!$D$6:$D$10008,$C$5:$C$499)</f>
        <v>0</v>
      </c>
      <c r="K118" s="60">
        <f>SUMIFS(PURCHASE!$L$6:$L$10008,PURCHASE!$A$6:$A$10008,$I$3,PURCHASE!$D$6:$D$10008,$C$5:$C$499)</f>
        <v>0</v>
      </c>
      <c r="L118" s="60">
        <f>SUMIFS(PURCHASE!$M$6:$M$10008,PURCHASE!$A$6:$A$10008,$I$3,PURCHASE!$D$6:$D$10008,$C$5:$C$499)</f>
        <v>0</v>
      </c>
      <c r="M118" s="474">
        <f>SUMIFS(PURCHASE!$N$6:$N$10008,PURCHASE!$A$6:$A$10008,$I$3,PURCHASE!$D$6:$D$10008,$C$5:$C$499)</f>
        <v>0</v>
      </c>
      <c r="N118" s="11">
        <f t="shared" si="20"/>
        <v>0</v>
      </c>
      <c r="O118" s="11">
        <f>SUMIFS(PURCHASE!$K$6:$K$10008,PURCHASE!$A$6:$A$10008,$N$3,PURCHASE!$D$6:$D$10008,$C$5:$C$499)</f>
        <v>0</v>
      </c>
      <c r="P118" s="11">
        <f>SUMIFS(PURCHASE!$L$6:$L$10008,PURCHASE!$A$6:$A$10008,$N$3,PURCHASE!$D$6:$D$10008,$C$5:$C$499)</f>
        <v>0</v>
      </c>
      <c r="Q118" s="11">
        <f>SUMIFS(PURCHASE!$M$6:$M$10008,PURCHASE!$A$6:$A$10008,$N$3,PURCHASE!$D$6:$D$10008,$C$5:$C$499)</f>
        <v>0</v>
      </c>
      <c r="R118" s="11">
        <f>SUMIFS(PURCHASE!$N$6:$N$10008,PURCHASE!$A$6:$A$10008,$N$3,PURCHASE!$D$6:$D$10008,$C$5:$C$499)</f>
        <v>0</v>
      </c>
      <c r="S118" s="11">
        <f t="shared" si="21"/>
        <v>0</v>
      </c>
      <c r="T118" s="11">
        <f>SUMIFS(PURCHASE!$K$6:$K$10008,PURCHASE!$A$6:$A$10008,$S$3,PURCHASE!$D$6:$D$10008,$C$5:$C$499)</f>
        <v>0</v>
      </c>
      <c r="U118" s="11">
        <f>SUMIFS(PURCHASE!$L$6:$L$10008,PURCHASE!$A$6:$A$10008,$S$3,PURCHASE!$D$6:$D$10008,$C$5:$C$499)</f>
        <v>0</v>
      </c>
      <c r="V118" s="11">
        <f>SUMIFS(PURCHASE!$M$6:$M$10008,PURCHASE!$A$6:$A$10008,$S$3,PURCHASE!$D$6:$D$10008,$C$5:$C$499)</f>
        <v>0</v>
      </c>
      <c r="W118" s="11">
        <f>SUMIFS(PURCHASE!$N$6:$N$10008,PURCHASE!$A$6:$A$10008,$S$3,PURCHASE!$D$6:$D$10008,$C$5:$C$499)</f>
        <v>0</v>
      </c>
      <c r="X118" s="11">
        <f t="shared" si="22"/>
        <v>0</v>
      </c>
      <c r="Y118" s="11">
        <f>SUMIFS(PURCHASE!$K$6:$K$10008,PURCHASE!$A$6:$A$10008,$X$3,PURCHASE!$D$6:$D$10008,$C$5:$C$499)</f>
        <v>0</v>
      </c>
      <c r="Z118" s="11">
        <f>SUMIFS(PURCHASE!$L$6:$L$10008,PURCHASE!$A$6:$A$10008,$X$3,PURCHASE!$D$6:$D$10008,$C$5:$C$499)</f>
        <v>0</v>
      </c>
      <c r="AA118" s="11">
        <f>SUMIFS(PURCHASE!$M$6:$M$10008,PURCHASE!$A$6:$A$10008,$X$3,PURCHASE!$D$6:$D$10008,$C$5:$C$499)</f>
        <v>0</v>
      </c>
      <c r="AB118" s="11">
        <f>SUMIFS(PURCHASE!$N$6:$N$10008,PURCHASE!$A$6:$A$10008,$X$3,PURCHASE!$D$6:$D$10008,$C$5:$C$499)</f>
        <v>0</v>
      </c>
      <c r="AC118" s="11">
        <f t="shared" si="23"/>
        <v>0</v>
      </c>
      <c r="AD118" s="11">
        <f>SUMIFS(PURCHASE!$K$6:$K$10008,PURCHASE!$A$6:$A$10008,$AC$3,PURCHASE!$D$6:$D$10008,$C$5:$C$499)</f>
        <v>0</v>
      </c>
      <c r="AE118" s="11">
        <f>SUMIFS(PURCHASE!$L$6:$L$10008,PURCHASE!$A$6:$A$10008,$AC$3,PURCHASE!$D$6:$D$10008,$C$5:$C$499)</f>
        <v>0</v>
      </c>
      <c r="AF118" s="11">
        <f>SUMIFS(PURCHASE!$M$6:$M$10008,PURCHASE!$A$6:$A$10008,$AC$3,PURCHASE!$D$6:$D$10008,$C$5:$C$499)</f>
        <v>0</v>
      </c>
      <c r="AG118" s="11">
        <f>SUMIFS(PURCHASE!$N$6:$N$10008,PURCHASE!$A$6:$A$10008,$AC$3,PURCHASE!$D$6:$D$10008,$C$5:$C$499)</f>
        <v>0</v>
      </c>
      <c r="AH118" s="11">
        <f t="shared" si="24"/>
        <v>0</v>
      </c>
      <c r="AI118" s="11">
        <f>SUMIFS(PURCHASE!$K$6:$K$10008,PURCHASE!$A$6:$A$10008,$AH$3,PURCHASE!$D$6:$D$10008,$C$5:$C$499)</f>
        <v>0</v>
      </c>
      <c r="AJ118" s="11">
        <f>SUMIFS(PURCHASE!$L$6:$L$10008,PURCHASE!$A$6:$A$10008,$AH$3,PURCHASE!$D$6:$D$10008,$C$5:$C$499)</f>
        <v>0</v>
      </c>
      <c r="AK118" s="11">
        <f>SUMIFS(PURCHASE!$M$6:$M$10008,PURCHASE!$A$6:$A$10008,$AH$3,PURCHASE!$D$6:$D$10008,$C$5:$C$499)</f>
        <v>0</v>
      </c>
      <c r="AL118" s="11">
        <f>SUMIFS(PURCHASE!$N$6:$N$10008,PURCHASE!$A$6:$A$10008,$AH$3,PURCHASE!$D$6:$D$10008,$C$5:$C$499)</f>
        <v>0</v>
      </c>
      <c r="AM118" s="11">
        <f t="shared" si="25"/>
        <v>0</v>
      </c>
      <c r="AN118" s="11">
        <f>SUMIFS(PURCHASE!$K$6:$K$10008,PURCHASE!$A$6:$A$10008,$AM$3,PURCHASE!$D$6:$D$10008,$C$5:$C$499)</f>
        <v>0</v>
      </c>
      <c r="AO118" s="11">
        <f>SUMIFS(PURCHASE!$L$6:$L$10008,PURCHASE!$A$6:$A$10008,$AM$3,PURCHASE!$D$6:$D$10008,$C$5:$C$499)</f>
        <v>0</v>
      </c>
      <c r="AP118" s="11">
        <f>SUMIFS(PURCHASE!$M$6:$M$10008,PURCHASE!$A$6:$A$10008,$AM$3,PURCHASE!$D$6:$D$10008,$C$5:$C$499)</f>
        <v>0</v>
      </c>
      <c r="AQ118" s="11">
        <f>SUMIFS(PURCHASE!$N$6:$N$10008,PURCHASE!$A$6:$A$10008,$AM$3,PURCHASE!$D$6:$D$10008,$C$5:$C$499)</f>
        <v>0</v>
      </c>
      <c r="AR118" s="11">
        <f t="shared" si="26"/>
        <v>0</v>
      </c>
      <c r="AS118" s="11">
        <f>SUMIFS(PURCHASE!$K$6:$K$10008,PURCHASE!$A$6:$A$10008,$AR$3,PURCHASE!$D$6:$D$10008,$C$5:$C$499)</f>
        <v>0</v>
      </c>
      <c r="AT118" s="11">
        <f>SUMIFS(PURCHASE!$L$6:$L$10008,PURCHASE!$A$6:$A$10008,$AR$3,PURCHASE!$D$6:$D$10008,$C$5:$C$499)</f>
        <v>0</v>
      </c>
      <c r="AU118" s="11">
        <f>SUMIFS(PURCHASE!$M$6:$M$10008,PURCHASE!$A$6:$A$10008,$AR$3,PURCHASE!$D$6:$D$10008,$C$5:$C$499)</f>
        <v>0</v>
      </c>
      <c r="AV118" s="11">
        <f>SUMIFS(PURCHASE!$N$6:$N$10008,PURCHASE!$A$6:$A$10008,$AR$3,PURCHASE!$D$6:$D$10008,$C$5:$C$499)</f>
        <v>0</v>
      </c>
      <c r="AW118" s="11">
        <f t="shared" si="27"/>
        <v>0</v>
      </c>
      <c r="AX118" s="11">
        <f>SUMIFS(PURCHASE!$K$6:$K$10008,PURCHASE!$A$6:$A$10008,$AW$3,PURCHASE!$D$6:$D$10008,$C$5:$C$499)</f>
        <v>0</v>
      </c>
      <c r="AY118" s="11">
        <f>SUMIFS(PURCHASE!$L$6:$L$10008,PURCHASE!$A$6:$A$10008,$AW$3,PURCHASE!$D$6:$D$10008,$C$5:$C$499)</f>
        <v>0</v>
      </c>
      <c r="AZ118" s="11">
        <f>SUMIFS(PURCHASE!$M$6:$M$10008,PURCHASE!$A$6:$A$10008,$AW$3,PURCHASE!$D$6:$D$10008,$C$5:$C$499)</f>
        <v>0</v>
      </c>
      <c r="BA118" s="11">
        <f>SUMIFS(PURCHASE!$N$6:$N$10008,PURCHASE!$A$6:$A$10008,$AW$3,PURCHASE!$D$6:$D$10008,$C$5:$C$499)</f>
        <v>0</v>
      </c>
      <c r="BB118" s="11">
        <f t="shared" si="28"/>
        <v>0</v>
      </c>
      <c r="BC118" s="11">
        <f>SUMIFS(PURCHASE!$K$6:$K$10008,PURCHASE!$A$6:$A$10008,$BB$3,PURCHASE!$D$6:$D$10008,$C$5:$C$499)</f>
        <v>0</v>
      </c>
      <c r="BD118" s="11">
        <f>SUMIFS(PURCHASE!$L$6:$L$10008,PURCHASE!$A$6:$A$10008,$BB$3,PURCHASE!$D$6:$D$10008,$C$5:$C$499)</f>
        <v>0</v>
      </c>
      <c r="BE118" s="11">
        <f>SUMIFS(PURCHASE!$M$6:$M$10008,PURCHASE!$A$6:$A$10008,$BB$3,PURCHASE!$D$6:$D$10008,$C$5:$C$499)</f>
        <v>0</v>
      </c>
      <c r="BF118" s="11">
        <f>SUMIFS(PURCHASE!$N$6:$N$10008,PURCHASE!$A$6:$A$10008,$BB$3,PURCHASE!$D$6:$D$10008,$C$5:$C$499)</f>
        <v>0</v>
      </c>
      <c r="BG118" s="11">
        <f t="shared" si="29"/>
        <v>0</v>
      </c>
      <c r="BH118" s="11">
        <f>SUMIFS(PURCHASE!$K$6:$K$10008,PURCHASE!$A$6:$A$10008,$BG$3,PURCHASE!$D$6:$D$10008,$C$5:$C$499)</f>
        <v>0</v>
      </c>
      <c r="BI118" s="11">
        <f>SUMIFS(PURCHASE!$L$6:$L$10008,PURCHASE!$A$6:$A$10008,$BG$3,PURCHASE!$D$6:$D$10008,$C$5:$C$499)</f>
        <v>0</v>
      </c>
      <c r="BJ118" s="11">
        <f>SUMIFS(PURCHASE!$M$6:$M$10008,PURCHASE!$A$6:$A$10008,$BG$3,PURCHASE!$D$6:$D$10008,$C$5:$C$499)</f>
        <v>0</v>
      </c>
      <c r="BK118" s="11">
        <f>SUMIFS(PURCHASE!$N$6:$N$10008,PURCHASE!$A$6:$A$10008,$BG$3,PURCHASE!$D$6:$D$10008,$C$5:$C$499)</f>
        <v>0</v>
      </c>
      <c r="BL118" s="11">
        <f t="shared" si="17"/>
        <v>37619.875</v>
      </c>
      <c r="BM118" s="11">
        <f t="shared" si="17"/>
        <v>31881.25</v>
      </c>
      <c r="BN118" s="11">
        <f t="shared" si="17"/>
        <v>0</v>
      </c>
      <c r="BO118" s="11">
        <f t="shared" si="17"/>
        <v>2869.3125</v>
      </c>
      <c r="BP118" s="11">
        <f t="shared" si="17"/>
        <v>2869.3125</v>
      </c>
    </row>
    <row r="119" spans="1:68" x14ac:dyDescent="0.2">
      <c r="A119" s="467">
        <v>116</v>
      </c>
      <c r="B119" s="468" t="s">
        <v>473</v>
      </c>
      <c r="C119" s="469" t="s">
        <v>41</v>
      </c>
      <c r="D119" s="11">
        <f t="shared" si="18"/>
        <v>94286.822400000005</v>
      </c>
      <c r="E119" s="11">
        <f>SUMIFS(PURCHASE!$K$6:$K$10008,PURCHASE!$A$6:$A$10008,$D$3,PURCHASE!$D$6:$D$10008,$C$5:$C$499)</f>
        <v>73661.58</v>
      </c>
      <c r="F119" s="11">
        <f>SUMIFS(PURCHASE!$L$6:$L$10008,PURCHASE!$A$6:$A$10008,$D$3,PURCHASE!$D$6:$D$10008,$C$5:$C$499)</f>
        <v>0</v>
      </c>
      <c r="G119" s="11">
        <f>SUMIFS(PURCHASE!$M$6:$M$10008,PURCHASE!$A$6:$A$10008,$D$3,PURCHASE!$D$6:$D$10008,$C$5:$C$499)</f>
        <v>10312.621200000001</v>
      </c>
      <c r="H119" s="11">
        <f>SUMIFS(PURCHASE!$N$6:$N$10008,PURCHASE!$A$6:$A$10008,$D$3,PURCHASE!$D$6:$D$10008,$C$5:$C$499)</f>
        <v>10312.621200000001</v>
      </c>
      <c r="I119" s="473">
        <f t="shared" si="19"/>
        <v>30667.328000000001</v>
      </c>
      <c r="J119" s="60">
        <f>SUMIFS(PURCHASE!$K$6:$K$10008,PURCHASE!$A$6:$A$10008,$I$3,PURCHASE!$D$6:$D$10008,$C$5:$C$499)</f>
        <v>23958.85</v>
      </c>
      <c r="K119" s="60">
        <f>SUMIFS(PURCHASE!$L$6:$L$10008,PURCHASE!$A$6:$A$10008,$I$3,PURCHASE!$D$6:$D$10008,$C$5:$C$499)</f>
        <v>0</v>
      </c>
      <c r="L119" s="60">
        <f>SUMIFS(PURCHASE!$M$6:$M$10008,PURCHASE!$A$6:$A$10008,$I$3,PURCHASE!$D$6:$D$10008,$C$5:$C$499)</f>
        <v>3354.2390000000005</v>
      </c>
      <c r="M119" s="474">
        <f>SUMIFS(PURCHASE!$N$6:$N$10008,PURCHASE!$A$6:$A$10008,$I$3,PURCHASE!$D$6:$D$10008,$C$5:$C$499)</f>
        <v>3354.2390000000005</v>
      </c>
      <c r="N119" s="11">
        <f t="shared" si="20"/>
        <v>47007.257599999997</v>
      </c>
      <c r="O119" s="11">
        <f>SUMIFS(PURCHASE!$K$6:$K$10008,PURCHASE!$A$6:$A$10008,$N$3,PURCHASE!$D$6:$D$10008,$C$5:$C$499)</f>
        <v>36724.42</v>
      </c>
      <c r="P119" s="11">
        <f>SUMIFS(PURCHASE!$L$6:$L$10008,PURCHASE!$A$6:$A$10008,$N$3,PURCHASE!$D$6:$D$10008,$C$5:$C$499)</f>
        <v>0</v>
      </c>
      <c r="Q119" s="11">
        <f>SUMIFS(PURCHASE!$M$6:$M$10008,PURCHASE!$A$6:$A$10008,$N$3,PURCHASE!$D$6:$D$10008,$C$5:$C$499)</f>
        <v>5141.4188000000004</v>
      </c>
      <c r="R119" s="11">
        <f>SUMIFS(PURCHASE!$N$6:$N$10008,PURCHASE!$A$6:$A$10008,$N$3,PURCHASE!$D$6:$D$10008,$C$5:$C$499)</f>
        <v>5141.4188000000004</v>
      </c>
      <c r="S119" s="11">
        <f t="shared" si="21"/>
        <v>170615.28400000001</v>
      </c>
      <c r="T119" s="11">
        <f>SUMIFS(PURCHASE!$K$6:$K$10008,PURCHASE!$A$6:$A$10008,$S$3,PURCHASE!$D$6:$D$10008,$C$5:$C$499)</f>
        <v>133289.30000000002</v>
      </c>
      <c r="U119" s="11">
        <f>SUMIFS(PURCHASE!$L$6:$L$10008,PURCHASE!$A$6:$A$10008,$S$3,PURCHASE!$D$6:$D$10008,$C$5:$C$499)</f>
        <v>0</v>
      </c>
      <c r="V119" s="11">
        <f>SUMIFS(PURCHASE!$M$6:$M$10008,PURCHASE!$A$6:$A$10008,$S$3,PURCHASE!$D$6:$D$10008,$C$5:$C$499)</f>
        <v>18662.992000000002</v>
      </c>
      <c r="W119" s="11">
        <f>SUMIFS(PURCHASE!$N$6:$N$10008,PURCHASE!$A$6:$A$10008,$S$3,PURCHASE!$D$6:$D$10008,$C$5:$C$499)</f>
        <v>18662.992000000002</v>
      </c>
      <c r="X119" s="11">
        <f t="shared" si="22"/>
        <v>97290.941599999991</v>
      </c>
      <c r="Y119" s="11">
        <f>SUMIFS(PURCHASE!$K$6:$K$10008,PURCHASE!$A$6:$A$10008,$X$3,PURCHASE!$D$6:$D$10008,$C$5:$C$499)</f>
        <v>76009.22</v>
      </c>
      <c r="Z119" s="11">
        <f>SUMIFS(PURCHASE!$L$6:$L$10008,PURCHASE!$A$6:$A$10008,$X$3,PURCHASE!$D$6:$D$10008,$C$5:$C$499)</f>
        <v>0</v>
      </c>
      <c r="AA119" s="11">
        <f>SUMIFS(PURCHASE!$M$6:$M$10008,PURCHASE!$A$6:$A$10008,$X$3,PURCHASE!$D$6:$D$10008,$C$5:$C$499)</f>
        <v>10640.860799999999</v>
      </c>
      <c r="AB119" s="11">
        <f>SUMIFS(PURCHASE!$N$6:$N$10008,PURCHASE!$A$6:$A$10008,$X$3,PURCHASE!$D$6:$D$10008,$C$5:$C$499)</f>
        <v>10640.860799999999</v>
      </c>
      <c r="AC119" s="11">
        <f t="shared" si="23"/>
        <v>87349.631999999983</v>
      </c>
      <c r="AD119" s="11">
        <f>SUMIFS(PURCHASE!$K$6:$K$10008,PURCHASE!$A$6:$A$10008,$AC$3,PURCHASE!$D$6:$D$10008,$C$5:$C$499)</f>
        <v>68237.649999999994</v>
      </c>
      <c r="AE119" s="11">
        <f>SUMIFS(PURCHASE!$L$6:$L$10008,PURCHASE!$A$6:$A$10008,$AC$3,PURCHASE!$D$6:$D$10008,$C$5:$C$499)</f>
        <v>0</v>
      </c>
      <c r="AF119" s="11">
        <f>SUMIFS(PURCHASE!$M$6:$M$10008,PURCHASE!$A$6:$A$10008,$AC$3,PURCHASE!$D$6:$D$10008,$C$5:$C$499)</f>
        <v>9555.991</v>
      </c>
      <c r="AG119" s="11">
        <f>SUMIFS(PURCHASE!$N$6:$N$10008,PURCHASE!$A$6:$A$10008,$AC$3,PURCHASE!$D$6:$D$10008,$C$5:$C$499)</f>
        <v>9555.991</v>
      </c>
      <c r="AH119" s="11">
        <f t="shared" si="24"/>
        <v>108737.71520000001</v>
      </c>
      <c r="AI119" s="11">
        <f>SUMIFS(PURCHASE!$K$6:$K$10008,PURCHASE!$A$6:$A$10008,$AH$3,PURCHASE!$D$6:$D$10008,$C$5:$C$499)</f>
        <v>84951.34</v>
      </c>
      <c r="AJ119" s="11">
        <f>SUMIFS(PURCHASE!$L$6:$L$10008,PURCHASE!$A$6:$A$10008,$AH$3,PURCHASE!$D$6:$D$10008,$C$5:$C$499)</f>
        <v>0</v>
      </c>
      <c r="AK119" s="11">
        <f>SUMIFS(PURCHASE!$M$6:$M$10008,PURCHASE!$A$6:$A$10008,$AH$3,PURCHASE!$D$6:$D$10008,$C$5:$C$499)</f>
        <v>11893.187600000001</v>
      </c>
      <c r="AL119" s="11">
        <f>SUMIFS(PURCHASE!$N$6:$N$10008,PURCHASE!$A$6:$A$10008,$AH$3,PURCHASE!$D$6:$D$10008,$C$5:$C$499)</f>
        <v>11893.187600000001</v>
      </c>
      <c r="AM119" s="11">
        <f t="shared" si="25"/>
        <v>0</v>
      </c>
      <c r="AN119" s="11">
        <f>SUMIFS(PURCHASE!$K$6:$K$10008,PURCHASE!$A$6:$A$10008,$AM$3,PURCHASE!$D$6:$D$10008,$C$5:$C$499)</f>
        <v>0</v>
      </c>
      <c r="AO119" s="11">
        <f>SUMIFS(PURCHASE!$L$6:$L$10008,PURCHASE!$A$6:$A$10008,$AM$3,PURCHASE!$D$6:$D$10008,$C$5:$C$499)</f>
        <v>0</v>
      </c>
      <c r="AP119" s="11">
        <f>SUMIFS(PURCHASE!$M$6:$M$10008,PURCHASE!$A$6:$A$10008,$AM$3,PURCHASE!$D$6:$D$10008,$C$5:$C$499)</f>
        <v>0</v>
      </c>
      <c r="AQ119" s="11">
        <f>SUMIFS(PURCHASE!$N$6:$N$10008,PURCHASE!$A$6:$A$10008,$AM$3,PURCHASE!$D$6:$D$10008,$C$5:$C$499)</f>
        <v>0</v>
      </c>
      <c r="AR119" s="11">
        <f t="shared" si="26"/>
        <v>0</v>
      </c>
      <c r="AS119" s="11">
        <f>SUMIFS(PURCHASE!$K$6:$K$10008,PURCHASE!$A$6:$A$10008,$AR$3,PURCHASE!$D$6:$D$10008,$C$5:$C$499)</f>
        <v>0</v>
      </c>
      <c r="AT119" s="11">
        <f>SUMIFS(PURCHASE!$L$6:$L$10008,PURCHASE!$A$6:$A$10008,$AR$3,PURCHASE!$D$6:$D$10008,$C$5:$C$499)</f>
        <v>0</v>
      </c>
      <c r="AU119" s="11">
        <f>SUMIFS(PURCHASE!$M$6:$M$10008,PURCHASE!$A$6:$A$10008,$AR$3,PURCHASE!$D$6:$D$10008,$C$5:$C$499)</f>
        <v>0</v>
      </c>
      <c r="AV119" s="11">
        <f>SUMIFS(PURCHASE!$N$6:$N$10008,PURCHASE!$A$6:$A$10008,$AR$3,PURCHASE!$D$6:$D$10008,$C$5:$C$499)</f>
        <v>0</v>
      </c>
      <c r="AW119" s="11">
        <f t="shared" si="27"/>
        <v>0</v>
      </c>
      <c r="AX119" s="11">
        <f>SUMIFS(PURCHASE!$K$6:$K$10008,PURCHASE!$A$6:$A$10008,$AW$3,PURCHASE!$D$6:$D$10008,$C$5:$C$499)</f>
        <v>0</v>
      </c>
      <c r="AY119" s="11">
        <f>SUMIFS(PURCHASE!$L$6:$L$10008,PURCHASE!$A$6:$A$10008,$AW$3,PURCHASE!$D$6:$D$10008,$C$5:$C$499)</f>
        <v>0</v>
      </c>
      <c r="AZ119" s="11">
        <f>SUMIFS(PURCHASE!$M$6:$M$10008,PURCHASE!$A$6:$A$10008,$AW$3,PURCHASE!$D$6:$D$10008,$C$5:$C$499)</f>
        <v>0</v>
      </c>
      <c r="BA119" s="11">
        <f>SUMIFS(PURCHASE!$N$6:$N$10008,PURCHASE!$A$6:$A$10008,$AW$3,PURCHASE!$D$6:$D$10008,$C$5:$C$499)</f>
        <v>0</v>
      </c>
      <c r="BB119" s="11">
        <f t="shared" si="28"/>
        <v>0</v>
      </c>
      <c r="BC119" s="11">
        <f>SUMIFS(PURCHASE!$K$6:$K$10008,PURCHASE!$A$6:$A$10008,$BB$3,PURCHASE!$D$6:$D$10008,$C$5:$C$499)</f>
        <v>0</v>
      </c>
      <c r="BD119" s="11">
        <f>SUMIFS(PURCHASE!$L$6:$L$10008,PURCHASE!$A$6:$A$10008,$BB$3,PURCHASE!$D$6:$D$10008,$C$5:$C$499)</f>
        <v>0</v>
      </c>
      <c r="BE119" s="11">
        <f>SUMIFS(PURCHASE!$M$6:$M$10008,PURCHASE!$A$6:$A$10008,$BB$3,PURCHASE!$D$6:$D$10008,$C$5:$C$499)</f>
        <v>0</v>
      </c>
      <c r="BF119" s="11">
        <f>SUMIFS(PURCHASE!$N$6:$N$10008,PURCHASE!$A$6:$A$10008,$BB$3,PURCHASE!$D$6:$D$10008,$C$5:$C$499)</f>
        <v>0</v>
      </c>
      <c r="BG119" s="11">
        <f t="shared" si="29"/>
        <v>0</v>
      </c>
      <c r="BH119" s="11">
        <f>SUMIFS(PURCHASE!$K$6:$K$10008,PURCHASE!$A$6:$A$10008,$BG$3,PURCHASE!$D$6:$D$10008,$C$5:$C$499)</f>
        <v>0</v>
      </c>
      <c r="BI119" s="11">
        <f>SUMIFS(PURCHASE!$L$6:$L$10008,PURCHASE!$A$6:$A$10008,$BG$3,PURCHASE!$D$6:$D$10008,$C$5:$C$499)</f>
        <v>0</v>
      </c>
      <c r="BJ119" s="11">
        <f>SUMIFS(PURCHASE!$M$6:$M$10008,PURCHASE!$A$6:$A$10008,$BG$3,PURCHASE!$D$6:$D$10008,$C$5:$C$499)</f>
        <v>0</v>
      </c>
      <c r="BK119" s="11">
        <f>SUMIFS(PURCHASE!$N$6:$N$10008,PURCHASE!$A$6:$A$10008,$BG$3,PURCHASE!$D$6:$D$10008,$C$5:$C$499)</f>
        <v>0</v>
      </c>
      <c r="BL119" s="11">
        <f t="shared" si="17"/>
        <v>635954.98080000002</v>
      </c>
      <c r="BM119" s="11">
        <f t="shared" si="17"/>
        <v>496832.36</v>
      </c>
      <c r="BN119" s="11">
        <f t="shared" si="17"/>
        <v>0</v>
      </c>
      <c r="BO119" s="11">
        <f t="shared" si="17"/>
        <v>69561.310400000002</v>
      </c>
      <c r="BP119" s="11">
        <f t="shared" si="17"/>
        <v>69561.310400000002</v>
      </c>
    </row>
    <row r="120" spans="1:68" x14ac:dyDescent="0.2">
      <c r="A120" s="467">
        <v>117</v>
      </c>
      <c r="B120" s="468" t="s">
        <v>1165</v>
      </c>
      <c r="C120" s="468" t="s">
        <v>254</v>
      </c>
      <c r="D120" s="11">
        <f t="shared" si="18"/>
        <v>0</v>
      </c>
      <c r="E120" s="11">
        <f>SUMIFS(PURCHASE!$K$6:$K$10008,PURCHASE!$A$6:$A$10008,$D$3,PURCHASE!$D$6:$D$10008,$C$5:$C$499)</f>
        <v>0</v>
      </c>
      <c r="F120" s="11">
        <f>SUMIFS(PURCHASE!$L$6:$L$10008,PURCHASE!$A$6:$A$10008,$D$3,PURCHASE!$D$6:$D$10008,$C$5:$C$499)</f>
        <v>0</v>
      </c>
      <c r="G120" s="11">
        <f>SUMIFS(PURCHASE!$M$6:$M$10008,PURCHASE!$A$6:$A$10008,$D$3,PURCHASE!$D$6:$D$10008,$C$5:$C$499)</f>
        <v>0</v>
      </c>
      <c r="H120" s="11">
        <f>SUMIFS(PURCHASE!$N$6:$N$10008,PURCHASE!$A$6:$A$10008,$D$3,PURCHASE!$D$6:$D$10008,$C$5:$C$499)</f>
        <v>0</v>
      </c>
      <c r="I120" s="473">
        <f t="shared" si="19"/>
        <v>0</v>
      </c>
      <c r="J120" s="60">
        <f>SUMIFS(PURCHASE!$K$6:$K$10008,PURCHASE!$A$6:$A$10008,$I$3,PURCHASE!$D$6:$D$10008,$C$5:$C$499)</f>
        <v>0</v>
      </c>
      <c r="K120" s="60">
        <f>SUMIFS(PURCHASE!$L$6:$L$10008,PURCHASE!$A$6:$A$10008,$I$3,PURCHASE!$D$6:$D$10008,$C$5:$C$499)</f>
        <v>0</v>
      </c>
      <c r="L120" s="60">
        <f>SUMIFS(PURCHASE!$M$6:$M$10008,PURCHASE!$A$6:$A$10008,$I$3,PURCHASE!$D$6:$D$10008,$C$5:$C$499)</f>
        <v>0</v>
      </c>
      <c r="M120" s="474">
        <f>SUMIFS(PURCHASE!$N$6:$N$10008,PURCHASE!$A$6:$A$10008,$I$3,PURCHASE!$D$6:$D$10008,$C$5:$C$499)</f>
        <v>0</v>
      </c>
      <c r="N120" s="11">
        <f t="shared" si="20"/>
        <v>0</v>
      </c>
      <c r="O120" s="11">
        <f>SUMIFS(PURCHASE!$K$6:$K$10008,PURCHASE!$A$6:$A$10008,$N$3,PURCHASE!$D$6:$D$10008,$C$5:$C$499)</f>
        <v>0</v>
      </c>
      <c r="P120" s="11">
        <f>SUMIFS(PURCHASE!$L$6:$L$10008,PURCHASE!$A$6:$A$10008,$N$3,PURCHASE!$D$6:$D$10008,$C$5:$C$499)</f>
        <v>0</v>
      </c>
      <c r="Q120" s="11">
        <f>SUMIFS(PURCHASE!$M$6:$M$10008,PURCHASE!$A$6:$A$10008,$N$3,PURCHASE!$D$6:$D$10008,$C$5:$C$499)</f>
        <v>0</v>
      </c>
      <c r="R120" s="11">
        <f>SUMIFS(PURCHASE!$N$6:$N$10008,PURCHASE!$A$6:$A$10008,$N$3,PURCHASE!$D$6:$D$10008,$C$5:$C$499)</f>
        <v>0</v>
      </c>
      <c r="S120" s="11">
        <f t="shared" si="21"/>
        <v>0</v>
      </c>
      <c r="T120" s="11">
        <f>SUMIFS(PURCHASE!$K$6:$K$10008,PURCHASE!$A$6:$A$10008,$S$3,PURCHASE!$D$6:$D$10008,$C$5:$C$499)</f>
        <v>0</v>
      </c>
      <c r="U120" s="11">
        <f>SUMIFS(PURCHASE!$L$6:$L$10008,PURCHASE!$A$6:$A$10008,$S$3,PURCHASE!$D$6:$D$10008,$C$5:$C$499)</f>
        <v>0</v>
      </c>
      <c r="V120" s="11">
        <f>SUMIFS(PURCHASE!$M$6:$M$10008,PURCHASE!$A$6:$A$10008,$S$3,PURCHASE!$D$6:$D$10008,$C$5:$C$499)</f>
        <v>0</v>
      </c>
      <c r="W120" s="11">
        <f>SUMIFS(PURCHASE!$N$6:$N$10008,PURCHASE!$A$6:$A$10008,$S$3,PURCHASE!$D$6:$D$10008,$C$5:$C$499)</f>
        <v>0</v>
      </c>
      <c r="X120" s="11">
        <f t="shared" si="22"/>
        <v>0</v>
      </c>
      <c r="Y120" s="11">
        <f>SUMIFS(PURCHASE!$K$6:$K$10008,PURCHASE!$A$6:$A$10008,$X$3,PURCHASE!$D$6:$D$10008,$C$5:$C$499)</f>
        <v>0</v>
      </c>
      <c r="Z120" s="11">
        <f>SUMIFS(PURCHASE!$L$6:$L$10008,PURCHASE!$A$6:$A$10008,$X$3,PURCHASE!$D$6:$D$10008,$C$5:$C$499)</f>
        <v>0</v>
      </c>
      <c r="AA120" s="11">
        <f>SUMIFS(PURCHASE!$M$6:$M$10008,PURCHASE!$A$6:$A$10008,$X$3,PURCHASE!$D$6:$D$10008,$C$5:$C$499)</f>
        <v>0</v>
      </c>
      <c r="AB120" s="11">
        <f>SUMIFS(PURCHASE!$N$6:$N$10008,PURCHASE!$A$6:$A$10008,$X$3,PURCHASE!$D$6:$D$10008,$C$5:$C$499)</f>
        <v>0</v>
      </c>
      <c r="AC120" s="11">
        <f t="shared" si="23"/>
        <v>0</v>
      </c>
      <c r="AD120" s="11">
        <f>SUMIFS(PURCHASE!$K$6:$K$10008,PURCHASE!$A$6:$A$10008,$AC$3,PURCHASE!$D$6:$D$10008,$C$5:$C$499)</f>
        <v>0</v>
      </c>
      <c r="AE120" s="11">
        <f>SUMIFS(PURCHASE!$L$6:$L$10008,PURCHASE!$A$6:$A$10008,$AC$3,PURCHASE!$D$6:$D$10008,$C$5:$C$499)</f>
        <v>0</v>
      </c>
      <c r="AF120" s="11">
        <f>SUMIFS(PURCHASE!$M$6:$M$10008,PURCHASE!$A$6:$A$10008,$AC$3,PURCHASE!$D$6:$D$10008,$C$5:$C$499)</f>
        <v>0</v>
      </c>
      <c r="AG120" s="11">
        <f>SUMIFS(PURCHASE!$N$6:$N$10008,PURCHASE!$A$6:$A$10008,$AC$3,PURCHASE!$D$6:$D$10008,$C$5:$C$499)</f>
        <v>0</v>
      </c>
      <c r="AH120" s="11">
        <f t="shared" si="24"/>
        <v>0</v>
      </c>
      <c r="AI120" s="11">
        <f>SUMIFS(PURCHASE!$K$6:$K$10008,PURCHASE!$A$6:$A$10008,$AH$3,PURCHASE!$D$6:$D$10008,$C$5:$C$499)</f>
        <v>0</v>
      </c>
      <c r="AJ120" s="11">
        <f>SUMIFS(PURCHASE!$L$6:$L$10008,PURCHASE!$A$6:$A$10008,$AH$3,PURCHASE!$D$6:$D$10008,$C$5:$C$499)</f>
        <v>0</v>
      </c>
      <c r="AK120" s="11">
        <f>SUMIFS(PURCHASE!$M$6:$M$10008,PURCHASE!$A$6:$A$10008,$AH$3,PURCHASE!$D$6:$D$10008,$C$5:$C$499)</f>
        <v>0</v>
      </c>
      <c r="AL120" s="11">
        <f>SUMIFS(PURCHASE!$N$6:$N$10008,PURCHASE!$A$6:$A$10008,$AH$3,PURCHASE!$D$6:$D$10008,$C$5:$C$499)</f>
        <v>0</v>
      </c>
      <c r="AM120" s="11">
        <f t="shared" si="25"/>
        <v>0</v>
      </c>
      <c r="AN120" s="11">
        <f>SUMIFS(PURCHASE!$K$6:$K$10008,PURCHASE!$A$6:$A$10008,$AM$3,PURCHASE!$D$6:$D$10008,$C$5:$C$499)</f>
        <v>0</v>
      </c>
      <c r="AO120" s="11">
        <f>SUMIFS(PURCHASE!$L$6:$L$10008,PURCHASE!$A$6:$A$10008,$AM$3,PURCHASE!$D$6:$D$10008,$C$5:$C$499)</f>
        <v>0</v>
      </c>
      <c r="AP120" s="11">
        <f>SUMIFS(PURCHASE!$M$6:$M$10008,PURCHASE!$A$6:$A$10008,$AM$3,PURCHASE!$D$6:$D$10008,$C$5:$C$499)</f>
        <v>0</v>
      </c>
      <c r="AQ120" s="11">
        <f>SUMIFS(PURCHASE!$N$6:$N$10008,PURCHASE!$A$6:$A$10008,$AM$3,PURCHASE!$D$6:$D$10008,$C$5:$C$499)</f>
        <v>0</v>
      </c>
      <c r="AR120" s="11">
        <f t="shared" si="26"/>
        <v>0</v>
      </c>
      <c r="AS120" s="11">
        <f>SUMIFS(PURCHASE!$K$6:$K$10008,PURCHASE!$A$6:$A$10008,$AR$3,PURCHASE!$D$6:$D$10008,$C$5:$C$499)</f>
        <v>0</v>
      </c>
      <c r="AT120" s="11">
        <f>SUMIFS(PURCHASE!$L$6:$L$10008,PURCHASE!$A$6:$A$10008,$AR$3,PURCHASE!$D$6:$D$10008,$C$5:$C$499)</f>
        <v>0</v>
      </c>
      <c r="AU120" s="11">
        <f>SUMIFS(PURCHASE!$M$6:$M$10008,PURCHASE!$A$6:$A$10008,$AR$3,PURCHASE!$D$6:$D$10008,$C$5:$C$499)</f>
        <v>0</v>
      </c>
      <c r="AV120" s="11">
        <f>SUMIFS(PURCHASE!$N$6:$N$10008,PURCHASE!$A$6:$A$10008,$AR$3,PURCHASE!$D$6:$D$10008,$C$5:$C$499)</f>
        <v>0</v>
      </c>
      <c r="AW120" s="11">
        <f t="shared" si="27"/>
        <v>0</v>
      </c>
      <c r="AX120" s="11">
        <f>SUMIFS(PURCHASE!$K$6:$K$10008,PURCHASE!$A$6:$A$10008,$AW$3,PURCHASE!$D$6:$D$10008,$C$5:$C$499)</f>
        <v>0</v>
      </c>
      <c r="AY120" s="11">
        <f>SUMIFS(PURCHASE!$L$6:$L$10008,PURCHASE!$A$6:$A$10008,$AW$3,PURCHASE!$D$6:$D$10008,$C$5:$C$499)</f>
        <v>0</v>
      </c>
      <c r="AZ120" s="11">
        <f>SUMIFS(PURCHASE!$M$6:$M$10008,PURCHASE!$A$6:$A$10008,$AW$3,PURCHASE!$D$6:$D$10008,$C$5:$C$499)</f>
        <v>0</v>
      </c>
      <c r="BA120" s="11">
        <f>SUMIFS(PURCHASE!$N$6:$N$10008,PURCHASE!$A$6:$A$10008,$AW$3,PURCHASE!$D$6:$D$10008,$C$5:$C$499)</f>
        <v>0</v>
      </c>
      <c r="BB120" s="11">
        <f t="shared" si="28"/>
        <v>0</v>
      </c>
      <c r="BC120" s="11">
        <f>SUMIFS(PURCHASE!$K$6:$K$10008,PURCHASE!$A$6:$A$10008,$BB$3,PURCHASE!$D$6:$D$10008,$C$5:$C$499)</f>
        <v>0</v>
      </c>
      <c r="BD120" s="11">
        <f>SUMIFS(PURCHASE!$L$6:$L$10008,PURCHASE!$A$6:$A$10008,$BB$3,PURCHASE!$D$6:$D$10008,$C$5:$C$499)</f>
        <v>0</v>
      </c>
      <c r="BE120" s="11">
        <f>SUMIFS(PURCHASE!$M$6:$M$10008,PURCHASE!$A$6:$A$10008,$BB$3,PURCHASE!$D$6:$D$10008,$C$5:$C$499)</f>
        <v>0</v>
      </c>
      <c r="BF120" s="11">
        <f>SUMIFS(PURCHASE!$N$6:$N$10008,PURCHASE!$A$6:$A$10008,$BB$3,PURCHASE!$D$6:$D$10008,$C$5:$C$499)</f>
        <v>0</v>
      </c>
      <c r="BG120" s="11">
        <f t="shared" si="29"/>
        <v>0</v>
      </c>
      <c r="BH120" s="11">
        <f>SUMIFS(PURCHASE!$K$6:$K$10008,PURCHASE!$A$6:$A$10008,$BG$3,PURCHASE!$D$6:$D$10008,$C$5:$C$499)</f>
        <v>0</v>
      </c>
      <c r="BI120" s="11">
        <f>SUMIFS(PURCHASE!$L$6:$L$10008,PURCHASE!$A$6:$A$10008,$BG$3,PURCHASE!$D$6:$D$10008,$C$5:$C$499)</f>
        <v>0</v>
      </c>
      <c r="BJ120" s="11">
        <f>SUMIFS(PURCHASE!$M$6:$M$10008,PURCHASE!$A$6:$A$10008,$BG$3,PURCHASE!$D$6:$D$10008,$C$5:$C$499)</f>
        <v>0</v>
      </c>
      <c r="BK120" s="11">
        <f>SUMIFS(PURCHASE!$N$6:$N$10008,PURCHASE!$A$6:$A$10008,$BG$3,PURCHASE!$D$6:$D$10008,$C$5:$C$499)</f>
        <v>0</v>
      </c>
      <c r="BL120" s="11">
        <f t="shared" ref="BL120:BP147" si="30">+D120+I120+N120+S120+X120+AC120+AH120+AM120+AR120+AW120+BB120+BG120</f>
        <v>0</v>
      </c>
      <c r="BM120" s="11">
        <f t="shared" si="30"/>
        <v>0</v>
      </c>
      <c r="BN120" s="11">
        <f t="shared" si="30"/>
        <v>0</v>
      </c>
      <c r="BO120" s="11">
        <f t="shared" si="30"/>
        <v>0</v>
      </c>
      <c r="BP120" s="11">
        <f t="shared" si="30"/>
        <v>0</v>
      </c>
    </row>
    <row r="121" spans="1:68" x14ac:dyDescent="0.2">
      <c r="A121" s="467">
        <v>118</v>
      </c>
      <c r="B121" s="468" t="s">
        <v>517</v>
      </c>
      <c r="C121" s="469" t="s">
        <v>256</v>
      </c>
      <c r="D121" s="11">
        <f t="shared" si="18"/>
        <v>9508.2752</v>
      </c>
      <c r="E121" s="11">
        <f>SUMIFS(PURCHASE!$K$6:$K$10008,PURCHASE!$A$6:$A$10008,$D$3,PURCHASE!$D$6:$D$10008,$C$5:$C$499)</f>
        <v>7428.34</v>
      </c>
      <c r="F121" s="11">
        <f>SUMIFS(PURCHASE!$L$6:$L$10008,PURCHASE!$A$6:$A$10008,$D$3,PURCHASE!$D$6:$D$10008,$C$5:$C$499)</f>
        <v>2079.9351999999999</v>
      </c>
      <c r="G121" s="11">
        <f>SUMIFS(PURCHASE!$M$6:$M$10008,PURCHASE!$A$6:$A$10008,$D$3,PURCHASE!$D$6:$D$10008,$C$5:$C$499)</f>
        <v>0</v>
      </c>
      <c r="H121" s="11">
        <f>SUMIFS(PURCHASE!$N$6:$N$10008,PURCHASE!$A$6:$A$10008,$D$3,PURCHASE!$D$6:$D$10008,$C$5:$C$499)</f>
        <v>0</v>
      </c>
      <c r="I121" s="473">
        <f t="shared" si="19"/>
        <v>139890.81600000002</v>
      </c>
      <c r="J121" s="60">
        <f>SUMIFS(PURCHASE!$K$6:$K$10008,PURCHASE!$A$6:$A$10008,$I$3,PURCHASE!$D$6:$D$10008,$C$5:$C$499)</f>
        <v>109289.70000000001</v>
      </c>
      <c r="K121" s="60">
        <f>SUMIFS(PURCHASE!$L$6:$L$10008,PURCHASE!$A$6:$A$10008,$I$3,PURCHASE!$D$6:$D$10008,$C$5:$C$499)</f>
        <v>30601.116000000002</v>
      </c>
      <c r="L121" s="60">
        <f>SUMIFS(PURCHASE!$M$6:$M$10008,PURCHASE!$A$6:$A$10008,$I$3,PURCHASE!$D$6:$D$10008,$C$5:$C$499)</f>
        <v>0</v>
      </c>
      <c r="M121" s="474">
        <f>SUMIFS(PURCHASE!$N$6:$N$10008,PURCHASE!$A$6:$A$10008,$I$3,PURCHASE!$D$6:$D$10008,$C$5:$C$499)</f>
        <v>0</v>
      </c>
      <c r="N121" s="11">
        <f t="shared" si="20"/>
        <v>107180.8768</v>
      </c>
      <c r="O121" s="11">
        <f>SUMIFS(PURCHASE!$K$6:$K$10008,PURCHASE!$A$6:$A$10008,$N$3,PURCHASE!$D$6:$D$10008,$C$5:$C$499)</f>
        <v>83735.06</v>
      </c>
      <c r="P121" s="11">
        <f>SUMIFS(PURCHASE!$L$6:$L$10008,PURCHASE!$A$6:$A$10008,$N$3,PURCHASE!$D$6:$D$10008,$C$5:$C$499)</f>
        <v>23445.816800000001</v>
      </c>
      <c r="Q121" s="11">
        <f>SUMIFS(PURCHASE!$M$6:$M$10008,PURCHASE!$A$6:$A$10008,$N$3,PURCHASE!$D$6:$D$10008,$C$5:$C$499)</f>
        <v>0</v>
      </c>
      <c r="R121" s="11">
        <f>SUMIFS(PURCHASE!$N$6:$N$10008,PURCHASE!$A$6:$A$10008,$N$3,PURCHASE!$D$6:$D$10008,$C$5:$C$499)</f>
        <v>0</v>
      </c>
      <c r="S121" s="11">
        <f t="shared" si="21"/>
        <v>71421.440000000002</v>
      </c>
      <c r="T121" s="11">
        <f>SUMIFS(PURCHASE!$K$6:$K$10008,PURCHASE!$A$6:$A$10008,$S$3,PURCHASE!$D$6:$D$10008,$C$5:$C$499)</f>
        <v>55798</v>
      </c>
      <c r="U121" s="11">
        <f>SUMIFS(PURCHASE!$L$6:$L$10008,PURCHASE!$A$6:$A$10008,$S$3,PURCHASE!$D$6:$D$10008,$C$5:$C$499)</f>
        <v>15623.44</v>
      </c>
      <c r="V121" s="11">
        <f>SUMIFS(PURCHASE!$M$6:$M$10008,PURCHASE!$A$6:$A$10008,$S$3,PURCHASE!$D$6:$D$10008,$C$5:$C$499)</f>
        <v>0</v>
      </c>
      <c r="W121" s="11">
        <f>SUMIFS(PURCHASE!$N$6:$N$10008,PURCHASE!$A$6:$A$10008,$S$3,PURCHASE!$D$6:$D$10008,$C$5:$C$499)</f>
        <v>0</v>
      </c>
      <c r="X121" s="11">
        <f t="shared" si="22"/>
        <v>20079.552</v>
      </c>
      <c r="Y121" s="11">
        <f>SUMIFS(PURCHASE!$K$6:$K$10008,PURCHASE!$A$6:$A$10008,$X$3,PURCHASE!$D$6:$D$10008,$C$5:$C$499)</f>
        <v>15687.15</v>
      </c>
      <c r="Z121" s="11">
        <f>SUMIFS(PURCHASE!$L$6:$L$10008,PURCHASE!$A$6:$A$10008,$X$3,PURCHASE!$D$6:$D$10008,$C$5:$C$499)</f>
        <v>4392.402</v>
      </c>
      <c r="AA121" s="11">
        <f>SUMIFS(PURCHASE!$M$6:$M$10008,PURCHASE!$A$6:$A$10008,$X$3,PURCHASE!$D$6:$D$10008,$C$5:$C$499)</f>
        <v>0</v>
      </c>
      <c r="AB121" s="11">
        <f>SUMIFS(PURCHASE!$N$6:$N$10008,PURCHASE!$A$6:$A$10008,$X$3,PURCHASE!$D$6:$D$10008,$C$5:$C$499)</f>
        <v>0</v>
      </c>
      <c r="AC121" s="11">
        <f t="shared" si="23"/>
        <v>233346.21159999998</v>
      </c>
      <c r="AD121" s="11">
        <f>SUMIFS(PURCHASE!$K$6:$K$10008,PURCHASE!$A$6:$A$10008,$AC$3,PURCHASE!$D$6:$D$10008,$C$5:$C$499)</f>
        <v>182301.72</v>
      </c>
      <c r="AE121" s="11">
        <f>SUMIFS(PURCHASE!$L$6:$L$10008,PURCHASE!$A$6:$A$10008,$AC$3,PURCHASE!$D$6:$D$10008,$C$5:$C$499)</f>
        <v>51044.491599999994</v>
      </c>
      <c r="AF121" s="11">
        <f>SUMIFS(PURCHASE!$M$6:$M$10008,PURCHASE!$A$6:$A$10008,$AC$3,PURCHASE!$D$6:$D$10008,$C$5:$C$499)</f>
        <v>0</v>
      </c>
      <c r="AG121" s="11">
        <f>SUMIFS(PURCHASE!$N$6:$N$10008,PURCHASE!$A$6:$A$10008,$AC$3,PURCHASE!$D$6:$D$10008,$C$5:$C$499)</f>
        <v>0</v>
      </c>
      <c r="AH121" s="11">
        <f t="shared" si="24"/>
        <v>148953.49759999997</v>
      </c>
      <c r="AI121" s="11">
        <f>SUMIFS(PURCHASE!$K$6:$K$10008,PURCHASE!$A$6:$A$10008,$AH$3,PURCHASE!$D$6:$D$10008,$C$5:$C$499)</f>
        <v>116369.91999999998</v>
      </c>
      <c r="AJ121" s="11">
        <f>SUMIFS(PURCHASE!$L$6:$L$10008,PURCHASE!$A$6:$A$10008,$AH$3,PURCHASE!$D$6:$D$10008,$C$5:$C$499)</f>
        <v>32583.577600000001</v>
      </c>
      <c r="AK121" s="11">
        <f>SUMIFS(PURCHASE!$M$6:$M$10008,PURCHASE!$A$6:$A$10008,$AH$3,PURCHASE!$D$6:$D$10008,$C$5:$C$499)</f>
        <v>0</v>
      </c>
      <c r="AL121" s="11">
        <f>SUMIFS(PURCHASE!$N$6:$N$10008,PURCHASE!$A$6:$A$10008,$AH$3,PURCHASE!$D$6:$D$10008,$C$5:$C$499)</f>
        <v>0</v>
      </c>
      <c r="AM121" s="11">
        <f t="shared" si="25"/>
        <v>0</v>
      </c>
      <c r="AN121" s="11">
        <f>SUMIFS(PURCHASE!$K$6:$K$10008,PURCHASE!$A$6:$A$10008,$AM$3,PURCHASE!$D$6:$D$10008,$C$5:$C$499)</f>
        <v>0</v>
      </c>
      <c r="AO121" s="11">
        <f>SUMIFS(PURCHASE!$L$6:$L$10008,PURCHASE!$A$6:$A$10008,$AM$3,PURCHASE!$D$6:$D$10008,$C$5:$C$499)</f>
        <v>0</v>
      </c>
      <c r="AP121" s="11">
        <f>SUMIFS(PURCHASE!$M$6:$M$10008,PURCHASE!$A$6:$A$10008,$AM$3,PURCHASE!$D$6:$D$10008,$C$5:$C$499)</f>
        <v>0</v>
      </c>
      <c r="AQ121" s="11">
        <f>SUMIFS(PURCHASE!$N$6:$N$10008,PURCHASE!$A$6:$A$10008,$AM$3,PURCHASE!$D$6:$D$10008,$C$5:$C$499)</f>
        <v>0</v>
      </c>
      <c r="AR121" s="11">
        <f t="shared" si="26"/>
        <v>0</v>
      </c>
      <c r="AS121" s="11">
        <f>SUMIFS(PURCHASE!$K$6:$K$10008,PURCHASE!$A$6:$A$10008,$AR$3,PURCHASE!$D$6:$D$10008,$C$5:$C$499)</f>
        <v>0</v>
      </c>
      <c r="AT121" s="11">
        <f>SUMIFS(PURCHASE!$L$6:$L$10008,PURCHASE!$A$6:$A$10008,$AR$3,PURCHASE!$D$6:$D$10008,$C$5:$C$499)</f>
        <v>0</v>
      </c>
      <c r="AU121" s="11">
        <f>SUMIFS(PURCHASE!$M$6:$M$10008,PURCHASE!$A$6:$A$10008,$AR$3,PURCHASE!$D$6:$D$10008,$C$5:$C$499)</f>
        <v>0</v>
      </c>
      <c r="AV121" s="11">
        <f>SUMIFS(PURCHASE!$N$6:$N$10008,PURCHASE!$A$6:$A$10008,$AR$3,PURCHASE!$D$6:$D$10008,$C$5:$C$499)</f>
        <v>0</v>
      </c>
      <c r="AW121" s="11">
        <f t="shared" si="27"/>
        <v>0</v>
      </c>
      <c r="AX121" s="11">
        <f>SUMIFS(PURCHASE!$K$6:$K$10008,PURCHASE!$A$6:$A$10008,$AW$3,PURCHASE!$D$6:$D$10008,$C$5:$C$499)</f>
        <v>0</v>
      </c>
      <c r="AY121" s="11">
        <f>SUMIFS(PURCHASE!$L$6:$L$10008,PURCHASE!$A$6:$A$10008,$AW$3,PURCHASE!$D$6:$D$10008,$C$5:$C$499)</f>
        <v>0</v>
      </c>
      <c r="AZ121" s="11">
        <f>SUMIFS(PURCHASE!$M$6:$M$10008,PURCHASE!$A$6:$A$10008,$AW$3,PURCHASE!$D$6:$D$10008,$C$5:$C$499)</f>
        <v>0</v>
      </c>
      <c r="BA121" s="11">
        <f>SUMIFS(PURCHASE!$N$6:$N$10008,PURCHASE!$A$6:$A$10008,$AW$3,PURCHASE!$D$6:$D$10008,$C$5:$C$499)</f>
        <v>0</v>
      </c>
      <c r="BB121" s="11">
        <f t="shared" si="28"/>
        <v>0</v>
      </c>
      <c r="BC121" s="11">
        <f>SUMIFS(PURCHASE!$K$6:$K$10008,PURCHASE!$A$6:$A$10008,$BB$3,PURCHASE!$D$6:$D$10008,$C$5:$C$499)</f>
        <v>0</v>
      </c>
      <c r="BD121" s="11">
        <f>SUMIFS(PURCHASE!$L$6:$L$10008,PURCHASE!$A$6:$A$10008,$BB$3,PURCHASE!$D$6:$D$10008,$C$5:$C$499)</f>
        <v>0</v>
      </c>
      <c r="BE121" s="11">
        <f>SUMIFS(PURCHASE!$M$6:$M$10008,PURCHASE!$A$6:$A$10008,$BB$3,PURCHASE!$D$6:$D$10008,$C$5:$C$499)</f>
        <v>0</v>
      </c>
      <c r="BF121" s="11">
        <f>SUMIFS(PURCHASE!$N$6:$N$10008,PURCHASE!$A$6:$A$10008,$BB$3,PURCHASE!$D$6:$D$10008,$C$5:$C$499)</f>
        <v>0</v>
      </c>
      <c r="BG121" s="11">
        <f t="shared" si="29"/>
        <v>0</v>
      </c>
      <c r="BH121" s="11">
        <f>SUMIFS(PURCHASE!$K$6:$K$10008,PURCHASE!$A$6:$A$10008,$BG$3,PURCHASE!$D$6:$D$10008,$C$5:$C$499)</f>
        <v>0</v>
      </c>
      <c r="BI121" s="11">
        <f>SUMIFS(PURCHASE!$L$6:$L$10008,PURCHASE!$A$6:$A$10008,$BG$3,PURCHASE!$D$6:$D$10008,$C$5:$C$499)</f>
        <v>0</v>
      </c>
      <c r="BJ121" s="11">
        <f>SUMIFS(PURCHASE!$M$6:$M$10008,PURCHASE!$A$6:$A$10008,$BG$3,PURCHASE!$D$6:$D$10008,$C$5:$C$499)</f>
        <v>0</v>
      </c>
      <c r="BK121" s="11">
        <f>SUMIFS(PURCHASE!$N$6:$N$10008,PURCHASE!$A$6:$A$10008,$BG$3,PURCHASE!$D$6:$D$10008,$C$5:$C$499)</f>
        <v>0</v>
      </c>
      <c r="BL121" s="11">
        <f t="shared" si="30"/>
        <v>730380.6692</v>
      </c>
      <c r="BM121" s="11">
        <f t="shared" si="30"/>
        <v>570609.8899999999</v>
      </c>
      <c r="BN121" s="11">
        <f t="shared" si="30"/>
        <v>159770.77919999999</v>
      </c>
      <c r="BO121" s="11">
        <f t="shared" si="30"/>
        <v>0</v>
      </c>
      <c r="BP121" s="11">
        <f t="shared" si="30"/>
        <v>0</v>
      </c>
    </row>
    <row r="122" spans="1:68" x14ac:dyDescent="0.2">
      <c r="A122" s="467">
        <v>119</v>
      </c>
      <c r="B122" s="468" t="s">
        <v>1166</v>
      </c>
      <c r="C122" s="469" t="s">
        <v>1167</v>
      </c>
      <c r="D122" s="11">
        <f t="shared" si="18"/>
        <v>0</v>
      </c>
      <c r="E122" s="11">
        <f>SUMIFS(PURCHASE!$K$6:$K$10008,PURCHASE!$A$6:$A$10008,$D$3,PURCHASE!$D$6:$D$10008,$C$5:$C$499)</f>
        <v>0</v>
      </c>
      <c r="F122" s="11">
        <f>SUMIFS(PURCHASE!$L$6:$L$10008,PURCHASE!$A$6:$A$10008,$D$3,PURCHASE!$D$6:$D$10008,$C$5:$C$499)</f>
        <v>0</v>
      </c>
      <c r="G122" s="11">
        <f>SUMIFS(PURCHASE!$M$6:$M$10008,PURCHASE!$A$6:$A$10008,$D$3,PURCHASE!$D$6:$D$10008,$C$5:$C$499)</f>
        <v>0</v>
      </c>
      <c r="H122" s="11">
        <f>SUMIFS(PURCHASE!$N$6:$N$10008,PURCHASE!$A$6:$A$10008,$D$3,PURCHASE!$D$6:$D$10008,$C$5:$C$499)</f>
        <v>0</v>
      </c>
      <c r="I122" s="473">
        <f t="shared" si="19"/>
        <v>0</v>
      </c>
      <c r="J122" s="60">
        <f>SUMIFS(PURCHASE!$K$6:$K$10008,PURCHASE!$A$6:$A$10008,$I$3,PURCHASE!$D$6:$D$10008,$C$5:$C$499)</f>
        <v>0</v>
      </c>
      <c r="K122" s="60">
        <f>SUMIFS(PURCHASE!$L$6:$L$10008,PURCHASE!$A$6:$A$10008,$I$3,PURCHASE!$D$6:$D$10008,$C$5:$C$499)</f>
        <v>0</v>
      </c>
      <c r="L122" s="60">
        <f>SUMIFS(PURCHASE!$M$6:$M$10008,PURCHASE!$A$6:$A$10008,$I$3,PURCHASE!$D$6:$D$10008,$C$5:$C$499)</f>
        <v>0</v>
      </c>
      <c r="M122" s="474">
        <f>SUMIFS(PURCHASE!$N$6:$N$10008,PURCHASE!$A$6:$A$10008,$I$3,PURCHASE!$D$6:$D$10008,$C$5:$C$499)</f>
        <v>0</v>
      </c>
      <c r="N122" s="11">
        <f t="shared" si="20"/>
        <v>0</v>
      </c>
      <c r="O122" s="11">
        <f>SUMIFS(PURCHASE!$K$6:$K$10008,PURCHASE!$A$6:$A$10008,$N$3,PURCHASE!$D$6:$D$10008,$C$5:$C$499)</f>
        <v>0</v>
      </c>
      <c r="P122" s="11">
        <f>SUMIFS(PURCHASE!$L$6:$L$10008,PURCHASE!$A$6:$A$10008,$N$3,PURCHASE!$D$6:$D$10008,$C$5:$C$499)</f>
        <v>0</v>
      </c>
      <c r="Q122" s="11">
        <f>SUMIFS(PURCHASE!$M$6:$M$10008,PURCHASE!$A$6:$A$10008,$N$3,PURCHASE!$D$6:$D$10008,$C$5:$C$499)</f>
        <v>0</v>
      </c>
      <c r="R122" s="11">
        <f>SUMIFS(PURCHASE!$N$6:$N$10008,PURCHASE!$A$6:$A$10008,$N$3,PURCHASE!$D$6:$D$10008,$C$5:$C$499)</f>
        <v>0</v>
      </c>
      <c r="S122" s="11">
        <f t="shared" si="21"/>
        <v>0</v>
      </c>
      <c r="T122" s="11">
        <f>SUMIFS(PURCHASE!$K$6:$K$10008,PURCHASE!$A$6:$A$10008,$S$3,PURCHASE!$D$6:$D$10008,$C$5:$C$499)</f>
        <v>0</v>
      </c>
      <c r="U122" s="11">
        <f>SUMIFS(PURCHASE!$L$6:$L$10008,PURCHASE!$A$6:$A$10008,$S$3,PURCHASE!$D$6:$D$10008,$C$5:$C$499)</f>
        <v>0</v>
      </c>
      <c r="V122" s="11">
        <f>SUMIFS(PURCHASE!$M$6:$M$10008,PURCHASE!$A$6:$A$10008,$S$3,PURCHASE!$D$6:$D$10008,$C$5:$C$499)</f>
        <v>0</v>
      </c>
      <c r="W122" s="11">
        <f>SUMIFS(PURCHASE!$N$6:$N$10008,PURCHASE!$A$6:$A$10008,$S$3,PURCHASE!$D$6:$D$10008,$C$5:$C$499)</f>
        <v>0</v>
      </c>
      <c r="X122" s="11">
        <f t="shared" si="22"/>
        <v>0</v>
      </c>
      <c r="Y122" s="11">
        <f>SUMIFS(PURCHASE!$K$6:$K$10008,PURCHASE!$A$6:$A$10008,$X$3,PURCHASE!$D$6:$D$10008,$C$5:$C$499)</f>
        <v>0</v>
      </c>
      <c r="Z122" s="11">
        <f>SUMIFS(PURCHASE!$L$6:$L$10008,PURCHASE!$A$6:$A$10008,$X$3,PURCHASE!$D$6:$D$10008,$C$5:$C$499)</f>
        <v>0</v>
      </c>
      <c r="AA122" s="11">
        <f>SUMIFS(PURCHASE!$M$6:$M$10008,PURCHASE!$A$6:$A$10008,$X$3,PURCHASE!$D$6:$D$10008,$C$5:$C$499)</f>
        <v>0</v>
      </c>
      <c r="AB122" s="11">
        <f>SUMIFS(PURCHASE!$N$6:$N$10008,PURCHASE!$A$6:$A$10008,$X$3,PURCHASE!$D$6:$D$10008,$C$5:$C$499)</f>
        <v>0</v>
      </c>
      <c r="AC122" s="11">
        <f t="shared" si="23"/>
        <v>0</v>
      </c>
      <c r="AD122" s="11">
        <f>SUMIFS(PURCHASE!$K$6:$K$10008,PURCHASE!$A$6:$A$10008,$AC$3,PURCHASE!$D$6:$D$10008,$C$5:$C$499)</f>
        <v>0</v>
      </c>
      <c r="AE122" s="11">
        <f>SUMIFS(PURCHASE!$L$6:$L$10008,PURCHASE!$A$6:$A$10008,$AC$3,PURCHASE!$D$6:$D$10008,$C$5:$C$499)</f>
        <v>0</v>
      </c>
      <c r="AF122" s="11">
        <f>SUMIFS(PURCHASE!$M$6:$M$10008,PURCHASE!$A$6:$A$10008,$AC$3,PURCHASE!$D$6:$D$10008,$C$5:$C$499)</f>
        <v>0</v>
      </c>
      <c r="AG122" s="11">
        <f>SUMIFS(PURCHASE!$N$6:$N$10008,PURCHASE!$A$6:$A$10008,$AC$3,PURCHASE!$D$6:$D$10008,$C$5:$C$499)</f>
        <v>0</v>
      </c>
      <c r="AH122" s="11">
        <f t="shared" si="24"/>
        <v>0</v>
      </c>
      <c r="AI122" s="11">
        <f>SUMIFS(PURCHASE!$K$6:$K$10008,PURCHASE!$A$6:$A$10008,$AH$3,PURCHASE!$D$6:$D$10008,$C$5:$C$499)</f>
        <v>0</v>
      </c>
      <c r="AJ122" s="11">
        <f>SUMIFS(PURCHASE!$L$6:$L$10008,PURCHASE!$A$6:$A$10008,$AH$3,PURCHASE!$D$6:$D$10008,$C$5:$C$499)</f>
        <v>0</v>
      </c>
      <c r="AK122" s="11">
        <f>SUMIFS(PURCHASE!$M$6:$M$10008,PURCHASE!$A$6:$A$10008,$AH$3,PURCHASE!$D$6:$D$10008,$C$5:$C$499)</f>
        <v>0</v>
      </c>
      <c r="AL122" s="11">
        <f>SUMIFS(PURCHASE!$N$6:$N$10008,PURCHASE!$A$6:$A$10008,$AH$3,PURCHASE!$D$6:$D$10008,$C$5:$C$499)</f>
        <v>0</v>
      </c>
      <c r="AM122" s="11">
        <f t="shared" si="25"/>
        <v>0</v>
      </c>
      <c r="AN122" s="11">
        <f>SUMIFS(PURCHASE!$K$6:$K$10008,PURCHASE!$A$6:$A$10008,$AM$3,PURCHASE!$D$6:$D$10008,$C$5:$C$499)</f>
        <v>0</v>
      </c>
      <c r="AO122" s="11">
        <f>SUMIFS(PURCHASE!$L$6:$L$10008,PURCHASE!$A$6:$A$10008,$AM$3,PURCHASE!$D$6:$D$10008,$C$5:$C$499)</f>
        <v>0</v>
      </c>
      <c r="AP122" s="11">
        <f>SUMIFS(PURCHASE!$M$6:$M$10008,PURCHASE!$A$6:$A$10008,$AM$3,PURCHASE!$D$6:$D$10008,$C$5:$C$499)</f>
        <v>0</v>
      </c>
      <c r="AQ122" s="11">
        <f>SUMIFS(PURCHASE!$N$6:$N$10008,PURCHASE!$A$6:$A$10008,$AM$3,PURCHASE!$D$6:$D$10008,$C$5:$C$499)</f>
        <v>0</v>
      </c>
      <c r="AR122" s="11">
        <f t="shared" si="26"/>
        <v>0</v>
      </c>
      <c r="AS122" s="11">
        <f>SUMIFS(PURCHASE!$K$6:$K$10008,PURCHASE!$A$6:$A$10008,$AR$3,PURCHASE!$D$6:$D$10008,$C$5:$C$499)</f>
        <v>0</v>
      </c>
      <c r="AT122" s="11">
        <f>SUMIFS(PURCHASE!$L$6:$L$10008,PURCHASE!$A$6:$A$10008,$AR$3,PURCHASE!$D$6:$D$10008,$C$5:$C$499)</f>
        <v>0</v>
      </c>
      <c r="AU122" s="11">
        <f>SUMIFS(PURCHASE!$M$6:$M$10008,PURCHASE!$A$6:$A$10008,$AR$3,PURCHASE!$D$6:$D$10008,$C$5:$C$499)</f>
        <v>0</v>
      </c>
      <c r="AV122" s="11">
        <f>SUMIFS(PURCHASE!$N$6:$N$10008,PURCHASE!$A$6:$A$10008,$AR$3,PURCHASE!$D$6:$D$10008,$C$5:$C$499)</f>
        <v>0</v>
      </c>
      <c r="AW122" s="11">
        <f t="shared" si="27"/>
        <v>0</v>
      </c>
      <c r="AX122" s="11">
        <f>SUMIFS(PURCHASE!$K$6:$K$10008,PURCHASE!$A$6:$A$10008,$AW$3,PURCHASE!$D$6:$D$10008,$C$5:$C$499)</f>
        <v>0</v>
      </c>
      <c r="AY122" s="11">
        <f>SUMIFS(PURCHASE!$L$6:$L$10008,PURCHASE!$A$6:$A$10008,$AW$3,PURCHASE!$D$6:$D$10008,$C$5:$C$499)</f>
        <v>0</v>
      </c>
      <c r="AZ122" s="11">
        <f>SUMIFS(PURCHASE!$M$6:$M$10008,PURCHASE!$A$6:$A$10008,$AW$3,PURCHASE!$D$6:$D$10008,$C$5:$C$499)</f>
        <v>0</v>
      </c>
      <c r="BA122" s="11">
        <f>SUMIFS(PURCHASE!$N$6:$N$10008,PURCHASE!$A$6:$A$10008,$AW$3,PURCHASE!$D$6:$D$10008,$C$5:$C$499)</f>
        <v>0</v>
      </c>
      <c r="BB122" s="11">
        <f t="shared" si="28"/>
        <v>0</v>
      </c>
      <c r="BC122" s="11">
        <f>SUMIFS(PURCHASE!$K$6:$K$10008,PURCHASE!$A$6:$A$10008,$BB$3,PURCHASE!$D$6:$D$10008,$C$5:$C$499)</f>
        <v>0</v>
      </c>
      <c r="BD122" s="11">
        <f>SUMIFS(PURCHASE!$L$6:$L$10008,PURCHASE!$A$6:$A$10008,$BB$3,PURCHASE!$D$6:$D$10008,$C$5:$C$499)</f>
        <v>0</v>
      </c>
      <c r="BE122" s="11">
        <f>SUMIFS(PURCHASE!$M$6:$M$10008,PURCHASE!$A$6:$A$10008,$BB$3,PURCHASE!$D$6:$D$10008,$C$5:$C$499)</f>
        <v>0</v>
      </c>
      <c r="BF122" s="11">
        <f>SUMIFS(PURCHASE!$N$6:$N$10008,PURCHASE!$A$6:$A$10008,$BB$3,PURCHASE!$D$6:$D$10008,$C$5:$C$499)</f>
        <v>0</v>
      </c>
      <c r="BG122" s="11">
        <f t="shared" si="29"/>
        <v>0</v>
      </c>
      <c r="BH122" s="11">
        <f>SUMIFS(PURCHASE!$K$6:$K$10008,PURCHASE!$A$6:$A$10008,$BG$3,PURCHASE!$D$6:$D$10008,$C$5:$C$499)</f>
        <v>0</v>
      </c>
      <c r="BI122" s="11">
        <f>SUMIFS(PURCHASE!$L$6:$L$10008,PURCHASE!$A$6:$A$10008,$BG$3,PURCHASE!$D$6:$D$10008,$C$5:$C$499)</f>
        <v>0</v>
      </c>
      <c r="BJ122" s="11">
        <f>SUMIFS(PURCHASE!$M$6:$M$10008,PURCHASE!$A$6:$A$10008,$BG$3,PURCHASE!$D$6:$D$10008,$C$5:$C$499)</f>
        <v>0</v>
      </c>
      <c r="BK122" s="11">
        <f>SUMIFS(PURCHASE!$N$6:$N$10008,PURCHASE!$A$6:$A$10008,$BG$3,PURCHASE!$D$6:$D$10008,$C$5:$C$499)</f>
        <v>0</v>
      </c>
      <c r="BL122" s="11">
        <f t="shared" si="30"/>
        <v>0</v>
      </c>
      <c r="BM122" s="11">
        <f t="shared" si="30"/>
        <v>0</v>
      </c>
      <c r="BN122" s="11">
        <f t="shared" si="30"/>
        <v>0</v>
      </c>
      <c r="BO122" s="11">
        <f t="shared" si="30"/>
        <v>0</v>
      </c>
      <c r="BP122" s="11">
        <f t="shared" si="30"/>
        <v>0</v>
      </c>
    </row>
    <row r="123" spans="1:68" x14ac:dyDescent="0.2">
      <c r="A123" s="467">
        <v>120</v>
      </c>
      <c r="B123" s="468" t="s">
        <v>892</v>
      </c>
      <c r="C123" s="469" t="s">
        <v>893</v>
      </c>
      <c r="D123" s="11">
        <f t="shared" si="18"/>
        <v>0</v>
      </c>
      <c r="E123" s="11">
        <f>SUMIFS(PURCHASE!$K$6:$K$10008,PURCHASE!$A$6:$A$10008,$D$3,PURCHASE!$D$6:$D$10008,$C$5:$C$499)</f>
        <v>0</v>
      </c>
      <c r="F123" s="11">
        <f>SUMIFS(PURCHASE!$L$6:$L$10008,PURCHASE!$A$6:$A$10008,$D$3,PURCHASE!$D$6:$D$10008,$C$5:$C$499)</f>
        <v>0</v>
      </c>
      <c r="G123" s="11">
        <f>SUMIFS(PURCHASE!$M$6:$M$10008,PURCHASE!$A$6:$A$10008,$D$3,PURCHASE!$D$6:$D$10008,$C$5:$C$499)</f>
        <v>0</v>
      </c>
      <c r="H123" s="11">
        <f>SUMIFS(PURCHASE!$N$6:$N$10008,PURCHASE!$A$6:$A$10008,$D$3,PURCHASE!$D$6:$D$10008,$C$5:$C$499)</f>
        <v>0</v>
      </c>
      <c r="I123" s="473">
        <f t="shared" si="19"/>
        <v>0</v>
      </c>
      <c r="J123" s="60">
        <f>SUMIFS(PURCHASE!$K$6:$K$10008,PURCHASE!$A$6:$A$10008,$I$3,PURCHASE!$D$6:$D$10008,$C$5:$C$499)</f>
        <v>0</v>
      </c>
      <c r="K123" s="60">
        <f>SUMIFS(PURCHASE!$L$6:$L$10008,PURCHASE!$A$6:$A$10008,$I$3,PURCHASE!$D$6:$D$10008,$C$5:$C$499)</f>
        <v>0</v>
      </c>
      <c r="L123" s="60">
        <f>SUMIFS(PURCHASE!$M$6:$M$10008,PURCHASE!$A$6:$A$10008,$I$3,PURCHASE!$D$6:$D$10008,$C$5:$C$499)</f>
        <v>0</v>
      </c>
      <c r="M123" s="474">
        <f>SUMIFS(PURCHASE!$N$6:$N$10008,PURCHASE!$A$6:$A$10008,$I$3,PURCHASE!$D$6:$D$10008,$C$5:$C$499)</f>
        <v>0</v>
      </c>
      <c r="N123" s="11">
        <f t="shared" si="20"/>
        <v>0</v>
      </c>
      <c r="O123" s="11">
        <f>SUMIFS(PURCHASE!$K$6:$K$10008,PURCHASE!$A$6:$A$10008,$N$3,PURCHASE!$D$6:$D$10008,$C$5:$C$499)</f>
        <v>0</v>
      </c>
      <c r="P123" s="11">
        <f>SUMIFS(PURCHASE!$L$6:$L$10008,PURCHASE!$A$6:$A$10008,$N$3,PURCHASE!$D$6:$D$10008,$C$5:$C$499)</f>
        <v>0</v>
      </c>
      <c r="Q123" s="11">
        <f>SUMIFS(PURCHASE!$M$6:$M$10008,PURCHASE!$A$6:$A$10008,$N$3,PURCHASE!$D$6:$D$10008,$C$5:$C$499)</f>
        <v>0</v>
      </c>
      <c r="R123" s="11">
        <f>SUMIFS(PURCHASE!$N$6:$N$10008,PURCHASE!$A$6:$A$10008,$N$3,PURCHASE!$D$6:$D$10008,$C$5:$C$499)</f>
        <v>0</v>
      </c>
      <c r="S123" s="11">
        <f t="shared" si="21"/>
        <v>0</v>
      </c>
      <c r="T123" s="11">
        <f>SUMIFS(PURCHASE!$K$6:$K$10008,PURCHASE!$A$6:$A$10008,$S$3,PURCHASE!$D$6:$D$10008,$C$5:$C$499)</f>
        <v>0</v>
      </c>
      <c r="U123" s="11">
        <f>SUMIFS(PURCHASE!$L$6:$L$10008,PURCHASE!$A$6:$A$10008,$S$3,PURCHASE!$D$6:$D$10008,$C$5:$C$499)</f>
        <v>0</v>
      </c>
      <c r="V123" s="11">
        <f>SUMIFS(PURCHASE!$M$6:$M$10008,PURCHASE!$A$6:$A$10008,$S$3,PURCHASE!$D$6:$D$10008,$C$5:$C$499)</f>
        <v>0</v>
      </c>
      <c r="W123" s="11">
        <f>SUMIFS(PURCHASE!$N$6:$N$10008,PURCHASE!$A$6:$A$10008,$S$3,PURCHASE!$D$6:$D$10008,$C$5:$C$499)</f>
        <v>0</v>
      </c>
      <c r="X123" s="11">
        <f t="shared" si="22"/>
        <v>11800</v>
      </c>
      <c r="Y123" s="11">
        <f>SUMIFS(PURCHASE!$K$6:$K$10008,PURCHASE!$A$6:$A$10008,$X$3,PURCHASE!$D$6:$D$10008,$C$5:$C$499)</f>
        <v>10000</v>
      </c>
      <c r="Z123" s="11">
        <f>SUMIFS(PURCHASE!$L$6:$L$10008,PURCHASE!$A$6:$A$10008,$X$3,PURCHASE!$D$6:$D$10008,$C$5:$C$499)</f>
        <v>0</v>
      </c>
      <c r="AA123" s="11">
        <f>SUMIFS(PURCHASE!$M$6:$M$10008,PURCHASE!$A$6:$A$10008,$X$3,PURCHASE!$D$6:$D$10008,$C$5:$C$499)</f>
        <v>900</v>
      </c>
      <c r="AB123" s="11">
        <f>SUMIFS(PURCHASE!$N$6:$N$10008,PURCHASE!$A$6:$A$10008,$X$3,PURCHASE!$D$6:$D$10008,$C$5:$C$499)</f>
        <v>900</v>
      </c>
      <c r="AC123" s="11">
        <f t="shared" si="23"/>
        <v>0</v>
      </c>
      <c r="AD123" s="11">
        <f>SUMIFS(PURCHASE!$K$6:$K$10008,PURCHASE!$A$6:$A$10008,$AC$3,PURCHASE!$D$6:$D$10008,$C$5:$C$499)</f>
        <v>0</v>
      </c>
      <c r="AE123" s="11">
        <f>SUMIFS(PURCHASE!$L$6:$L$10008,PURCHASE!$A$6:$A$10008,$AC$3,PURCHASE!$D$6:$D$10008,$C$5:$C$499)</f>
        <v>0</v>
      </c>
      <c r="AF123" s="11">
        <f>SUMIFS(PURCHASE!$M$6:$M$10008,PURCHASE!$A$6:$A$10008,$AC$3,PURCHASE!$D$6:$D$10008,$C$5:$C$499)</f>
        <v>0</v>
      </c>
      <c r="AG123" s="11">
        <f>SUMIFS(PURCHASE!$N$6:$N$10008,PURCHASE!$A$6:$A$10008,$AC$3,PURCHASE!$D$6:$D$10008,$C$5:$C$499)</f>
        <v>0</v>
      </c>
      <c r="AH123" s="11">
        <f t="shared" si="24"/>
        <v>0</v>
      </c>
      <c r="AI123" s="11">
        <f>SUMIFS(PURCHASE!$K$6:$K$10008,PURCHASE!$A$6:$A$10008,$AH$3,PURCHASE!$D$6:$D$10008,$C$5:$C$499)</f>
        <v>0</v>
      </c>
      <c r="AJ123" s="11">
        <f>SUMIFS(PURCHASE!$L$6:$L$10008,PURCHASE!$A$6:$A$10008,$AH$3,PURCHASE!$D$6:$D$10008,$C$5:$C$499)</f>
        <v>0</v>
      </c>
      <c r="AK123" s="11">
        <f>SUMIFS(PURCHASE!$M$6:$M$10008,PURCHASE!$A$6:$A$10008,$AH$3,PURCHASE!$D$6:$D$10008,$C$5:$C$499)</f>
        <v>0</v>
      </c>
      <c r="AL123" s="11">
        <f>SUMIFS(PURCHASE!$N$6:$N$10008,PURCHASE!$A$6:$A$10008,$AH$3,PURCHASE!$D$6:$D$10008,$C$5:$C$499)</f>
        <v>0</v>
      </c>
      <c r="AM123" s="11">
        <f t="shared" si="25"/>
        <v>0</v>
      </c>
      <c r="AN123" s="11">
        <f>SUMIFS(PURCHASE!$K$6:$K$10008,PURCHASE!$A$6:$A$10008,$AM$3,PURCHASE!$D$6:$D$10008,$C$5:$C$499)</f>
        <v>0</v>
      </c>
      <c r="AO123" s="11">
        <f>SUMIFS(PURCHASE!$L$6:$L$10008,PURCHASE!$A$6:$A$10008,$AM$3,PURCHASE!$D$6:$D$10008,$C$5:$C$499)</f>
        <v>0</v>
      </c>
      <c r="AP123" s="11">
        <f>SUMIFS(PURCHASE!$M$6:$M$10008,PURCHASE!$A$6:$A$10008,$AM$3,PURCHASE!$D$6:$D$10008,$C$5:$C$499)</f>
        <v>0</v>
      </c>
      <c r="AQ123" s="11">
        <f>SUMIFS(PURCHASE!$N$6:$N$10008,PURCHASE!$A$6:$A$10008,$AM$3,PURCHASE!$D$6:$D$10008,$C$5:$C$499)</f>
        <v>0</v>
      </c>
      <c r="AR123" s="11">
        <f t="shared" si="26"/>
        <v>0</v>
      </c>
      <c r="AS123" s="11">
        <f>SUMIFS(PURCHASE!$K$6:$K$10008,PURCHASE!$A$6:$A$10008,$AR$3,PURCHASE!$D$6:$D$10008,$C$5:$C$499)</f>
        <v>0</v>
      </c>
      <c r="AT123" s="11">
        <f>SUMIFS(PURCHASE!$L$6:$L$10008,PURCHASE!$A$6:$A$10008,$AR$3,PURCHASE!$D$6:$D$10008,$C$5:$C$499)</f>
        <v>0</v>
      </c>
      <c r="AU123" s="11">
        <f>SUMIFS(PURCHASE!$M$6:$M$10008,PURCHASE!$A$6:$A$10008,$AR$3,PURCHASE!$D$6:$D$10008,$C$5:$C$499)</f>
        <v>0</v>
      </c>
      <c r="AV123" s="11">
        <f>SUMIFS(PURCHASE!$N$6:$N$10008,PURCHASE!$A$6:$A$10008,$AR$3,PURCHASE!$D$6:$D$10008,$C$5:$C$499)</f>
        <v>0</v>
      </c>
      <c r="AW123" s="11">
        <f t="shared" si="27"/>
        <v>0</v>
      </c>
      <c r="AX123" s="11">
        <f>SUMIFS(PURCHASE!$K$6:$K$10008,PURCHASE!$A$6:$A$10008,$AW$3,PURCHASE!$D$6:$D$10008,$C$5:$C$499)</f>
        <v>0</v>
      </c>
      <c r="AY123" s="11">
        <f>SUMIFS(PURCHASE!$L$6:$L$10008,PURCHASE!$A$6:$A$10008,$AW$3,PURCHASE!$D$6:$D$10008,$C$5:$C$499)</f>
        <v>0</v>
      </c>
      <c r="AZ123" s="11">
        <f>SUMIFS(PURCHASE!$M$6:$M$10008,PURCHASE!$A$6:$A$10008,$AW$3,PURCHASE!$D$6:$D$10008,$C$5:$C$499)</f>
        <v>0</v>
      </c>
      <c r="BA123" s="11">
        <f>SUMIFS(PURCHASE!$N$6:$N$10008,PURCHASE!$A$6:$A$10008,$AW$3,PURCHASE!$D$6:$D$10008,$C$5:$C$499)</f>
        <v>0</v>
      </c>
      <c r="BB123" s="11">
        <f t="shared" si="28"/>
        <v>0</v>
      </c>
      <c r="BC123" s="11">
        <f>SUMIFS(PURCHASE!$K$6:$K$10008,PURCHASE!$A$6:$A$10008,$BB$3,PURCHASE!$D$6:$D$10008,$C$5:$C$499)</f>
        <v>0</v>
      </c>
      <c r="BD123" s="11">
        <f>SUMIFS(PURCHASE!$L$6:$L$10008,PURCHASE!$A$6:$A$10008,$BB$3,PURCHASE!$D$6:$D$10008,$C$5:$C$499)</f>
        <v>0</v>
      </c>
      <c r="BE123" s="11">
        <f>SUMIFS(PURCHASE!$M$6:$M$10008,PURCHASE!$A$6:$A$10008,$BB$3,PURCHASE!$D$6:$D$10008,$C$5:$C$499)</f>
        <v>0</v>
      </c>
      <c r="BF123" s="11">
        <f>SUMIFS(PURCHASE!$N$6:$N$10008,PURCHASE!$A$6:$A$10008,$BB$3,PURCHASE!$D$6:$D$10008,$C$5:$C$499)</f>
        <v>0</v>
      </c>
      <c r="BG123" s="11">
        <f t="shared" si="29"/>
        <v>0</v>
      </c>
      <c r="BH123" s="11">
        <f>SUMIFS(PURCHASE!$K$6:$K$10008,PURCHASE!$A$6:$A$10008,$BG$3,PURCHASE!$D$6:$D$10008,$C$5:$C$499)</f>
        <v>0</v>
      </c>
      <c r="BI123" s="11">
        <f>SUMIFS(PURCHASE!$L$6:$L$10008,PURCHASE!$A$6:$A$10008,$BG$3,PURCHASE!$D$6:$D$10008,$C$5:$C$499)</f>
        <v>0</v>
      </c>
      <c r="BJ123" s="11">
        <f>SUMIFS(PURCHASE!$M$6:$M$10008,PURCHASE!$A$6:$A$10008,$BG$3,PURCHASE!$D$6:$D$10008,$C$5:$C$499)</f>
        <v>0</v>
      </c>
      <c r="BK123" s="11">
        <f>SUMIFS(PURCHASE!$N$6:$N$10008,PURCHASE!$A$6:$A$10008,$BG$3,PURCHASE!$D$6:$D$10008,$C$5:$C$499)</f>
        <v>0</v>
      </c>
      <c r="BL123" s="11">
        <f t="shared" si="30"/>
        <v>11800</v>
      </c>
      <c r="BM123" s="11">
        <f t="shared" si="30"/>
        <v>10000</v>
      </c>
      <c r="BN123" s="11">
        <f t="shared" si="30"/>
        <v>0</v>
      </c>
      <c r="BO123" s="11">
        <f t="shared" si="30"/>
        <v>900</v>
      </c>
      <c r="BP123" s="11">
        <f t="shared" si="30"/>
        <v>900</v>
      </c>
    </row>
    <row r="124" spans="1:68" x14ac:dyDescent="0.2">
      <c r="A124" s="467">
        <v>121</v>
      </c>
      <c r="B124" s="468" t="s">
        <v>1168</v>
      </c>
      <c r="C124" s="468" t="s">
        <v>1169</v>
      </c>
      <c r="D124" s="11">
        <f t="shared" si="18"/>
        <v>0</v>
      </c>
      <c r="E124" s="11">
        <f>SUMIFS(PURCHASE!$K$6:$K$10008,PURCHASE!$A$6:$A$10008,$D$3,PURCHASE!$D$6:$D$10008,$C$5:$C$499)</f>
        <v>0</v>
      </c>
      <c r="F124" s="11">
        <f>SUMIFS(PURCHASE!$L$6:$L$10008,PURCHASE!$A$6:$A$10008,$D$3,PURCHASE!$D$6:$D$10008,$C$5:$C$499)</f>
        <v>0</v>
      </c>
      <c r="G124" s="11">
        <f>SUMIFS(PURCHASE!$M$6:$M$10008,PURCHASE!$A$6:$A$10008,$D$3,PURCHASE!$D$6:$D$10008,$C$5:$C$499)</f>
        <v>0</v>
      </c>
      <c r="H124" s="11">
        <f>SUMIFS(PURCHASE!$N$6:$N$10008,PURCHASE!$A$6:$A$10008,$D$3,PURCHASE!$D$6:$D$10008,$C$5:$C$499)</f>
        <v>0</v>
      </c>
      <c r="I124" s="473">
        <f t="shared" si="19"/>
        <v>0</v>
      </c>
      <c r="J124" s="60">
        <f>SUMIFS(PURCHASE!$K$6:$K$10008,PURCHASE!$A$6:$A$10008,$I$3,PURCHASE!$D$6:$D$10008,$C$5:$C$499)</f>
        <v>0</v>
      </c>
      <c r="K124" s="60">
        <f>SUMIFS(PURCHASE!$L$6:$L$10008,PURCHASE!$A$6:$A$10008,$I$3,PURCHASE!$D$6:$D$10008,$C$5:$C$499)</f>
        <v>0</v>
      </c>
      <c r="L124" s="60">
        <f>SUMIFS(PURCHASE!$M$6:$M$10008,PURCHASE!$A$6:$A$10008,$I$3,PURCHASE!$D$6:$D$10008,$C$5:$C$499)</f>
        <v>0</v>
      </c>
      <c r="M124" s="474">
        <f>SUMIFS(PURCHASE!$N$6:$N$10008,PURCHASE!$A$6:$A$10008,$I$3,PURCHASE!$D$6:$D$10008,$C$5:$C$499)</f>
        <v>0</v>
      </c>
      <c r="N124" s="11">
        <f t="shared" si="20"/>
        <v>0</v>
      </c>
      <c r="O124" s="11">
        <f>SUMIFS(PURCHASE!$K$6:$K$10008,PURCHASE!$A$6:$A$10008,$N$3,PURCHASE!$D$6:$D$10008,$C$5:$C$499)</f>
        <v>0</v>
      </c>
      <c r="P124" s="11">
        <f>SUMIFS(PURCHASE!$L$6:$L$10008,PURCHASE!$A$6:$A$10008,$N$3,PURCHASE!$D$6:$D$10008,$C$5:$C$499)</f>
        <v>0</v>
      </c>
      <c r="Q124" s="11">
        <f>SUMIFS(PURCHASE!$M$6:$M$10008,PURCHASE!$A$6:$A$10008,$N$3,PURCHASE!$D$6:$D$10008,$C$5:$C$499)</f>
        <v>0</v>
      </c>
      <c r="R124" s="11">
        <f>SUMIFS(PURCHASE!$N$6:$N$10008,PURCHASE!$A$6:$A$10008,$N$3,PURCHASE!$D$6:$D$10008,$C$5:$C$499)</f>
        <v>0</v>
      </c>
      <c r="S124" s="11">
        <f t="shared" si="21"/>
        <v>0</v>
      </c>
      <c r="T124" s="11">
        <f>SUMIFS(PURCHASE!$K$6:$K$10008,PURCHASE!$A$6:$A$10008,$S$3,PURCHASE!$D$6:$D$10008,$C$5:$C$499)</f>
        <v>0</v>
      </c>
      <c r="U124" s="11">
        <f>SUMIFS(PURCHASE!$L$6:$L$10008,PURCHASE!$A$6:$A$10008,$S$3,PURCHASE!$D$6:$D$10008,$C$5:$C$499)</f>
        <v>0</v>
      </c>
      <c r="V124" s="11">
        <f>SUMIFS(PURCHASE!$M$6:$M$10008,PURCHASE!$A$6:$A$10008,$S$3,PURCHASE!$D$6:$D$10008,$C$5:$C$499)</f>
        <v>0</v>
      </c>
      <c r="W124" s="11">
        <f>SUMIFS(PURCHASE!$N$6:$N$10008,PURCHASE!$A$6:$A$10008,$S$3,PURCHASE!$D$6:$D$10008,$C$5:$C$499)</f>
        <v>0</v>
      </c>
      <c r="X124" s="11">
        <f t="shared" si="22"/>
        <v>0</v>
      </c>
      <c r="Y124" s="11">
        <f>SUMIFS(PURCHASE!$K$6:$K$10008,PURCHASE!$A$6:$A$10008,$X$3,PURCHASE!$D$6:$D$10008,$C$5:$C$499)</f>
        <v>0</v>
      </c>
      <c r="Z124" s="11">
        <f>SUMIFS(PURCHASE!$L$6:$L$10008,PURCHASE!$A$6:$A$10008,$X$3,PURCHASE!$D$6:$D$10008,$C$5:$C$499)</f>
        <v>0</v>
      </c>
      <c r="AA124" s="11">
        <f>SUMIFS(PURCHASE!$M$6:$M$10008,PURCHASE!$A$6:$A$10008,$X$3,PURCHASE!$D$6:$D$10008,$C$5:$C$499)</f>
        <v>0</v>
      </c>
      <c r="AB124" s="11">
        <f>SUMIFS(PURCHASE!$N$6:$N$10008,PURCHASE!$A$6:$A$10008,$X$3,PURCHASE!$D$6:$D$10008,$C$5:$C$499)</f>
        <v>0</v>
      </c>
      <c r="AC124" s="11">
        <f t="shared" si="23"/>
        <v>0</v>
      </c>
      <c r="AD124" s="11">
        <f>SUMIFS(PURCHASE!$K$6:$K$10008,PURCHASE!$A$6:$A$10008,$AC$3,PURCHASE!$D$6:$D$10008,$C$5:$C$499)</f>
        <v>0</v>
      </c>
      <c r="AE124" s="11">
        <f>SUMIFS(PURCHASE!$L$6:$L$10008,PURCHASE!$A$6:$A$10008,$AC$3,PURCHASE!$D$6:$D$10008,$C$5:$C$499)</f>
        <v>0</v>
      </c>
      <c r="AF124" s="11">
        <f>SUMIFS(PURCHASE!$M$6:$M$10008,PURCHASE!$A$6:$A$10008,$AC$3,PURCHASE!$D$6:$D$10008,$C$5:$C$499)</f>
        <v>0</v>
      </c>
      <c r="AG124" s="11">
        <f>SUMIFS(PURCHASE!$N$6:$N$10008,PURCHASE!$A$6:$A$10008,$AC$3,PURCHASE!$D$6:$D$10008,$C$5:$C$499)</f>
        <v>0</v>
      </c>
      <c r="AH124" s="11">
        <f t="shared" si="24"/>
        <v>0</v>
      </c>
      <c r="AI124" s="11">
        <f>SUMIFS(PURCHASE!$K$6:$K$10008,PURCHASE!$A$6:$A$10008,$AH$3,PURCHASE!$D$6:$D$10008,$C$5:$C$499)</f>
        <v>0</v>
      </c>
      <c r="AJ124" s="11">
        <f>SUMIFS(PURCHASE!$L$6:$L$10008,PURCHASE!$A$6:$A$10008,$AH$3,PURCHASE!$D$6:$D$10008,$C$5:$C$499)</f>
        <v>0</v>
      </c>
      <c r="AK124" s="11">
        <f>SUMIFS(PURCHASE!$M$6:$M$10008,PURCHASE!$A$6:$A$10008,$AH$3,PURCHASE!$D$6:$D$10008,$C$5:$C$499)</f>
        <v>0</v>
      </c>
      <c r="AL124" s="11">
        <f>SUMIFS(PURCHASE!$N$6:$N$10008,PURCHASE!$A$6:$A$10008,$AH$3,PURCHASE!$D$6:$D$10008,$C$5:$C$499)</f>
        <v>0</v>
      </c>
      <c r="AM124" s="11">
        <f t="shared" si="25"/>
        <v>0</v>
      </c>
      <c r="AN124" s="11">
        <f>SUMIFS(PURCHASE!$K$6:$K$10008,PURCHASE!$A$6:$A$10008,$AM$3,PURCHASE!$D$6:$D$10008,$C$5:$C$499)</f>
        <v>0</v>
      </c>
      <c r="AO124" s="11">
        <f>SUMIFS(PURCHASE!$L$6:$L$10008,PURCHASE!$A$6:$A$10008,$AM$3,PURCHASE!$D$6:$D$10008,$C$5:$C$499)</f>
        <v>0</v>
      </c>
      <c r="AP124" s="11">
        <f>SUMIFS(PURCHASE!$M$6:$M$10008,PURCHASE!$A$6:$A$10008,$AM$3,PURCHASE!$D$6:$D$10008,$C$5:$C$499)</f>
        <v>0</v>
      </c>
      <c r="AQ124" s="11">
        <f>SUMIFS(PURCHASE!$N$6:$N$10008,PURCHASE!$A$6:$A$10008,$AM$3,PURCHASE!$D$6:$D$10008,$C$5:$C$499)</f>
        <v>0</v>
      </c>
      <c r="AR124" s="11">
        <f t="shared" si="26"/>
        <v>0</v>
      </c>
      <c r="AS124" s="11">
        <f>SUMIFS(PURCHASE!$K$6:$K$10008,PURCHASE!$A$6:$A$10008,$AR$3,PURCHASE!$D$6:$D$10008,$C$5:$C$499)</f>
        <v>0</v>
      </c>
      <c r="AT124" s="11">
        <f>SUMIFS(PURCHASE!$L$6:$L$10008,PURCHASE!$A$6:$A$10008,$AR$3,PURCHASE!$D$6:$D$10008,$C$5:$C$499)</f>
        <v>0</v>
      </c>
      <c r="AU124" s="11">
        <f>SUMIFS(PURCHASE!$M$6:$M$10008,PURCHASE!$A$6:$A$10008,$AR$3,PURCHASE!$D$6:$D$10008,$C$5:$C$499)</f>
        <v>0</v>
      </c>
      <c r="AV124" s="11">
        <f>SUMIFS(PURCHASE!$N$6:$N$10008,PURCHASE!$A$6:$A$10008,$AR$3,PURCHASE!$D$6:$D$10008,$C$5:$C$499)</f>
        <v>0</v>
      </c>
      <c r="AW124" s="11">
        <f t="shared" si="27"/>
        <v>0</v>
      </c>
      <c r="AX124" s="11">
        <f>SUMIFS(PURCHASE!$K$6:$K$10008,PURCHASE!$A$6:$A$10008,$AW$3,PURCHASE!$D$6:$D$10008,$C$5:$C$499)</f>
        <v>0</v>
      </c>
      <c r="AY124" s="11">
        <f>SUMIFS(PURCHASE!$L$6:$L$10008,PURCHASE!$A$6:$A$10008,$AW$3,PURCHASE!$D$6:$D$10008,$C$5:$C$499)</f>
        <v>0</v>
      </c>
      <c r="AZ124" s="11">
        <f>SUMIFS(PURCHASE!$M$6:$M$10008,PURCHASE!$A$6:$A$10008,$AW$3,PURCHASE!$D$6:$D$10008,$C$5:$C$499)</f>
        <v>0</v>
      </c>
      <c r="BA124" s="11">
        <f>SUMIFS(PURCHASE!$N$6:$N$10008,PURCHASE!$A$6:$A$10008,$AW$3,PURCHASE!$D$6:$D$10008,$C$5:$C$499)</f>
        <v>0</v>
      </c>
      <c r="BB124" s="11">
        <f t="shared" si="28"/>
        <v>0</v>
      </c>
      <c r="BC124" s="11">
        <f>SUMIFS(PURCHASE!$K$6:$K$10008,PURCHASE!$A$6:$A$10008,$BB$3,PURCHASE!$D$6:$D$10008,$C$5:$C$499)</f>
        <v>0</v>
      </c>
      <c r="BD124" s="11">
        <f>SUMIFS(PURCHASE!$L$6:$L$10008,PURCHASE!$A$6:$A$10008,$BB$3,PURCHASE!$D$6:$D$10008,$C$5:$C$499)</f>
        <v>0</v>
      </c>
      <c r="BE124" s="11">
        <f>SUMIFS(PURCHASE!$M$6:$M$10008,PURCHASE!$A$6:$A$10008,$BB$3,PURCHASE!$D$6:$D$10008,$C$5:$C$499)</f>
        <v>0</v>
      </c>
      <c r="BF124" s="11">
        <f>SUMIFS(PURCHASE!$N$6:$N$10008,PURCHASE!$A$6:$A$10008,$BB$3,PURCHASE!$D$6:$D$10008,$C$5:$C$499)</f>
        <v>0</v>
      </c>
      <c r="BG124" s="11">
        <f t="shared" si="29"/>
        <v>0</v>
      </c>
      <c r="BH124" s="11">
        <f>SUMIFS(PURCHASE!$K$6:$K$10008,PURCHASE!$A$6:$A$10008,$BG$3,PURCHASE!$D$6:$D$10008,$C$5:$C$499)</f>
        <v>0</v>
      </c>
      <c r="BI124" s="11">
        <f>SUMIFS(PURCHASE!$L$6:$L$10008,PURCHASE!$A$6:$A$10008,$BG$3,PURCHASE!$D$6:$D$10008,$C$5:$C$499)</f>
        <v>0</v>
      </c>
      <c r="BJ124" s="11">
        <f>SUMIFS(PURCHASE!$M$6:$M$10008,PURCHASE!$A$6:$A$10008,$BG$3,PURCHASE!$D$6:$D$10008,$C$5:$C$499)</f>
        <v>0</v>
      </c>
      <c r="BK124" s="11">
        <f>SUMIFS(PURCHASE!$N$6:$N$10008,PURCHASE!$A$6:$A$10008,$BG$3,PURCHASE!$D$6:$D$10008,$C$5:$C$499)</f>
        <v>0</v>
      </c>
      <c r="BL124" s="11">
        <f t="shared" si="30"/>
        <v>0</v>
      </c>
      <c r="BM124" s="11">
        <f t="shared" si="30"/>
        <v>0</v>
      </c>
      <c r="BN124" s="11">
        <f t="shared" si="30"/>
        <v>0</v>
      </c>
      <c r="BO124" s="11">
        <f t="shared" si="30"/>
        <v>0</v>
      </c>
      <c r="BP124" s="11">
        <f t="shared" si="30"/>
        <v>0</v>
      </c>
    </row>
    <row r="125" spans="1:68" x14ac:dyDescent="0.2">
      <c r="A125" s="467">
        <v>122</v>
      </c>
      <c r="B125" s="468" t="s">
        <v>866</v>
      </c>
      <c r="C125" s="469" t="s">
        <v>867</v>
      </c>
      <c r="D125" s="11">
        <f t="shared" si="18"/>
        <v>0</v>
      </c>
      <c r="E125" s="11">
        <f>SUMIFS(PURCHASE!$K$6:$K$10008,PURCHASE!$A$6:$A$10008,$D$3,PURCHASE!$D$6:$D$10008,$C$5:$C$499)</f>
        <v>0</v>
      </c>
      <c r="F125" s="11">
        <f>SUMIFS(PURCHASE!$L$6:$L$10008,PURCHASE!$A$6:$A$10008,$D$3,PURCHASE!$D$6:$D$10008,$C$5:$C$499)</f>
        <v>0</v>
      </c>
      <c r="G125" s="11">
        <f>SUMIFS(PURCHASE!$M$6:$M$10008,PURCHASE!$A$6:$A$10008,$D$3,PURCHASE!$D$6:$D$10008,$C$5:$C$499)</f>
        <v>0</v>
      </c>
      <c r="H125" s="11">
        <f>SUMIFS(PURCHASE!$N$6:$N$10008,PURCHASE!$A$6:$A$10008,$D$3,PURCHASE!$D$6:$D$10008,$C$5:$C$499)</f>
        <v>0</v>
      </c>
      <c r="I125" s="473">
        <f t="shared" si="19"/>
        <v>0</v>
      </c>
      <c r="J125" s="60">
        <f>SUMIFS(PURCHASE!$K$6:$K$10008,PURCHASE!$A$6:$A$10008,$I$3,PURCHASE!$D$6:$D$10008,$C$5:$C$499)</f>
        <v>0</v>
      </c>
      <c r="K125" s="60">
        <f>SUMIFS(PURCHASE!$L$6:$L$10008,PURCHASE!$A$6:$A$10008,$I$3,PURCHASE!$D$6:$D$10008,$C$5:$C$499)</f>
        <v>0</v>
      </c>
      <c r="L125" s="60">
        <f>SUMIFS(PURCHASE!$M$6:$M$10008,PURCHASE!$A$6:$A$10008,$I$3,PURCHASE!$D$6:$D$10008,$C$5:$C$499)</f>
        <v>0</v>
      </c>
      <c r="M125" s="474">
        <f>SUMIFS(PURCHASE!$N$6:$N$10008,PURCHASE!$A$6:$A$10008,$I$3,PURCHASE!$D$6:$D$10008,$C$5:$C$499)</f>
        <v>0</v>
      </c>
      <c r="N125" s="11">
        <f t="shared" si="20"/>
        <v>0</v>
      </c>
      <c r="O125" s="11">
        <f>SUMIFS(PURCHASE!$K$6:$K$10008,PURCHASE!$A$6:$A$10008,$N$3,PURCHASE!$D$6:$D$10008,$C$5:$C$499)</f>
        <v>0</v>
      </c>
      <c r="P125" s="11">
        <f>SUMIFS(PURCHASE!$L$6:$L$10008,PURCHASE!$A$6:$A$10008,$N$3,PURCHASE!$D$6:$D$10008,$C$5:$C$499)</f>
        <v>0</v>
      </c>
      <c r="Q125" s="11">
        <f>SUMIFS(PURCHASE!$M$6:$M$10008,PURCHASE!$A$6:$A$10008,$N$3,PURCHASE!$D$6:$D$10008,$C$5:$C$499)</f>
        <v>0</v>
      </c>
      <c r="R125" s="11">
        <f>SUMIFS(PURCHASE!$N$6:$N$10008,PURCHASE!$A$6:$A$10008,$N$3,PURCHASE!$D$6:$D$10008,$C$5:$C$499)</f>
        <v>0</v>
      </c>
      <c r="S125" s="11">
        <f t="shared" si="21"/>
        <v>41654</v>
      </c>
      <c r="T125" s="11">
        <f>SUMIFS(PURCHASE!$K$6:$K$10008,PURCHASE!$A$6:$A$10008,$S$3,PURCHASE!$D$6:$D$10008,$C$5:$C$499)</f>
        <v>35300</v>
      </c>
      <c r="U125" s="11">
        <f>SUMIFS(PURCHASE!$L$6:$L$10008,PURCHASE!$A$6:$A$10008,$S$3,PURCHASE!$D$6:$D$10008,$C$5:$C$499)</f>
        <v>0</v>
      </c>
      <c r="V125" s="11">
        <f>SUMIFS(PURCHASE!$M$6:$M$10008,PURCHASE!$A$6:$A$10008,$S$3,PURCHASE!$D$6:$D$10008,$C$5:$C$499)</f>
        <v>3177</v>
      </c>
      <c r="W125" s="11">
        <f>SUMIFS(PURCHASE!$N$6:$N$10008,PURCHASE!$A$6:$A$10008,$S$3,PURCHASE!$D$6:$D$10008,$C$5:$C$499)</f>
        <v>3177</v>
      </c>
      <c r="X125" s="11">
        <f t="shared" si="22"/>
        <v>0</v>
      </c>
      <c r="Y125" s="11">
        <f>SUMIFS(PURCHASE!$K$6:$K$10008,PURCHASE!$A$6:$A$10008,$X$3,PURCHASE!$D$6:$D$10008,$C$5:$C$499)</f>
        <v>0</v>
      </c>
      <c r="Z125" s="11">
        <f>SUMIFS(PURCHASE!$L$6:$L$10008,PURCHASE!$A$6:$A$10008,$X$3,PURCHASE!$D$6:$D$10008,$C$5:$C$499)</f>
        <v>0</v>
      </c>
      <c r="AA125" s="11">
        <f>SUMIFS(PURCHASE!$M$6:$M$10008,PURCHASE!$A$6:$A$10008,$X$3,PURCHASE!$D$6:$D$10008,$C$5:$C$499)</f>
        <v>0</v>
      </c>
      <c r="AB125" s="11">
        <f>SUMIFS(PURCHASE!$N$6:$N$10008,PURCHASE!$A$6:$A$10008,$X$3,PURCHASE!$D$6:$D$10008,$C$5:$C$499)</f>
        <v>0</v>
      </c>
      <c r="AC125" s="11">
        <f t="shared" si="23"/>
        <v>0</v>
      </c>
      <c r="AD125" s="11">
        <f>SUMIFS(PURCHASE!$K$6:$K$10008,PURCHASE!$A$6:$A$10008,$AC$3,PURCHASE!$D$6:$D$10008,$C$5:$C$499)</f>
        <v>0</v>
      </c>
      <c r="AE125" s="11">
        <f>SUMIFS(PURCHASE!$L$6:$L$10008,PURCHASE!$A$6:$A$10008,$AC$3,PURCHASE!$D$6:$D$10008,$C$5:$C$499)</f>
        <v>0</v>
      </c>
      <c r="AF125" s="11">
        <f>SUMIFS(PURCHASE!$M$6:$M$10008,PURCHASE!$A$6:$A$10008,$AC$3,PURCHASE!$D$6:$D$10008,$C$5:$C$499)</f>
        <v>0</v>
      </c>
      <c r="AG125" s="11">
        <f>SUMIFS(PURCHASE!$N$6:$N$10008,PURCHASE!$A$6:$A$10008,$AC$3,PURCHASE!$D$6:$D$10008,$C$5:$C$499)</f>
        <v>0</v>
      </c>
      <c r="AH125" s="11">
        <f t="shared" si="24"/>
        <v>0</v>
      </c>
      <c r="AI125" s="11">
        <f>SUMIFS(PURCHASE!$K$6:$K$10008,PURCHASE!$A$6:$A$10008,$AH$3,PURCHASE!$D$6:$D$10008,$C$5:$C$499)</f>
        <v>0</v>
      </c>
      <c r="AJ125" s="11">
        <f>SUMIFS(PURCHASE!$L$6:$L$10008,PURCHASE!$A$6:$A$10008,$AH$3,PURCHASE!$D$6:$D$10008,$C$5:$C$499)</f>
        <v>0</v>
      </c>
      <c r="AK125" s="11">
        <f>SUMIFS(PURCHASE!$M$6:$M$10008,PURCHASE!$A$6:$A$10008,$AH$3,PURCHASE!$D$6:$D$10008,$C$5:$C$499)</f>
        <v>0</v>
      </c>
      <c r="AL125" s="11">
        <f>SUMIFS(PURCHASE!$N$6:$N$10008,PURCHASE!$A$6:$A$10008,$AH$3,PURCHASE!$D$6:$D$10008,$C$5:$C$499)</f>
        <v>0</v>
      </c>
      <c r="AM125" s="11">
        <f t="shared" si="25"/>
        <v>0</v>
      </c>
      <c r="AN125" s="11">
        <f>SUMIFS(PURCHASE!$K$6:$K$10008,PURCHASE!$A$6:$A$10008,$AM$3,PURCHASE!$D$6:$D$10008,$C$5:$C$499)</f>
        <v>0</v>
      </c>
      <c r="AO125" s="11">
        <f>SUMIFS(PURCHASE!$L$6:$L$10008,PURCHASE!$A$6:$A$10008,$AM$3,PURCHASE!$D$6:$D$10008,$C$5:$C$499)</f>
        <v>0</v>
      </c>
      <c r="AP125" s="11">
        <f>SUMIFS(PURCHASE!$M$6:$M$10008,PURCHASE!$A$6:$A$10008,$AM$3,PURCHASE!$D$6:$D$10008,$C$5:$C$499)</f>
        <v>0</v>
      </c>
      <c r="AQ125" s="11">
        <f>SUMIFS(PURCHASE!$N$6:$N$10008,PURCHASE!$A$6:$A$10008,$AM$3,PURCHASE!$D$6:$D$10008,$C$5:$C$499)</f>
        <v>0</v>
      </c>
      <c r="AR125" s="11">
        <f t="shared" si="26"/>
        <v>0</v>
      </c>
      <c r="AS125" s="11">
        <f>SUMIFS(PURCHASE!$K$6:$K$10008,PURCHASE!$A$6:$A$10008,$AR$3,PURCHASE!$D$6:$D$10008,$C$5:$C$499)</f>
        <v>0</v>
      </c>
      <c r="AT125" s="11">
        <f>SUMIFS(PURCHASE!$L$6:$L$10008,PURCHASE!$A$6:$A$10008,$AR$3,PURCHASE!$D$6:$D$10008,$C$5:$C$499)</f>
        <v>0</v>
      </c>
      <c r="AU125" s="11">
        <f>SUMIFS(PURCHASE!$M$6:$M$10008,PURCHASE!$A$6:$A$10008,$AR$3,PURCHASE!$D$6:$D$10008,$C$5:$C$499)</f>
        <v>0</v>
      </c>
      <c r="AV125" s="11">
        <f>SUMIFS(PURCHASE!$N$6:$N$10008,PURCHASE!$A$6:$A$10008,$AR$3,PURCHASE!$D$6:$D$10008,$C$5:$C$499)</f>
        <v>0</v>
      </c>
      <c r="AW125" s="11">
        <f t="shared" si="27"/>
        <v>0</v>
      </c>
      <c r="AX125" s="11">
        <f>SUMIFS(PURCHASE!$K$6:$K$10008,PURCHASE!$A$6:$A$10008,$AW$3,PURCHASE!$D$6:$D$10008,$C$5:$C$499)</f>
        <v>0</v>
      </c>
      <c r="AY125" s="11">
        <f>SUMIFS(PURCHASE!$L$6:$L$10008,PURCHASE!$A$6:$A$10008,$AW$3,PURCHASE!$D$6:$D$10008,$C$5:$C$499)</f>
        <v>0</v>
      </c>
      <c r="AZ125" s="11">
        <f>SUMIFS(PURCHASE!$M$6:$M$10008,PURCHASE!$A$6:$A$10008,$AW$3,PURCHASE!$D$6:$D$10008,$C$5:$C$499)</f>
        <v>0</v>
      </c>
      <c r="BA125" s="11">
        <f>SUMIFS(PURCHASE!$N$6:$N$10008,PURCHASE!$A$6:$A$10008,$AW$3,PURCHASE!$D$6:$D$10008,$C$5:$C$499)</f>
        <v>0</v>
      </c>
      <c r="BB125" s="11">
        <f t="shared" si="28"/>
        <v>0</v>
      </c>
      <c r="BC125" s="11">
        <f>SUMIFS(PURCHASE!$K$6:$K$10008,PURCHASE!$A$6:$A$10008,$BB$3,PURCHASE!$D$6:$D$10008,$C$5:$C$499)</f>
        <v>0</v>
      </c>
      <c r="BD125" s="11">
        <f>SUMIFS(PURCHASE!$L$6:$L$10008,PURCHASE!$A$6:$A$10008,$BB$3,PURCHASE!$D$6:$D$10008,$C$5:$C$499)</f>
        <v>0</v>
      </c>
      <c r="BE125" s="11">
        <f>SUMIFS(PURCHASE!$M$6:$M$10008,PURCHASE!$A$6:$A$10008,$BB$3,PURCHASE!$D$6:$D$10008,$C$5:$C$499)</f>
        <v>0</v>
      </c>
      <c r="BF125" s="11">
        <f>SUMIFS(PURCHASE!$N$6:$N$10008,PURCHASE!$A$6:$A$10008,$BB$3,PURCHASE!$D$6:$D$10008,$C$5:$C$499)</f>
        <v>0</v>
      </c>
      <c r="BG125" s="11">
        <f t="shared" si="29"/>
        <v>0</v>
      </c>
      <c r="BH125" s="11">
        <f>SUMIFS(PURCHASE!$K$6:$K$10008,PURCHASE!$A$6:$A$10008,$BG$3,PURCHASE!$D$6:$D$10008,$C$5:$C$499)</f>
        <v>0</v>
      </c>
      <c r="BI125" s="11">
        <f>SUMIFS(PURCHASE!$L$6:$L$10008,PURCHASE!$A$6:$A$10008,$BG$3,PURCHASE!$D$6:$D$10008,$C$5:$C$499)</f>
        <v>0</v>
      </c>
      <c r="BJ125" s="11">
        <f>SUMIFS(PURCHASE!$M$6:$M$10008,PURCHASE!$A$6:$A$10008,$BG$3,PURCHASE!$D$6:$D$10008,$C$5:$C$499)</f>
        <v>0</v>
      </c>
      <c r="BK125" s="11">
        <f>SUMIFS(PURCHASE!$N$6:$N$10008,PURCHASE!$A$6:$A$10008,$BG$3,PURCHASE!$D$6:$D$10008,$C$5:$C$499)</f>
        <v>0</v>
      </c>
      <c r="BL125" s="11">
        <f t="shared" si="30"/>
        <v>41654</v>
      </c>
      <c r="BM125" s="11">
        <f t="shared" si="30"/>
        <v>35300</v>
      </c>
      <c r="BN125" s="11">
        <f t="shared" si="30"/>
        <v>0</v>
      </c>
      <c r="BO125" s="11">
        <f t="shared" si="30"/>
        <v>3177</v>
      </c>
      <c r="BP125" s="11">
        <f t="shared" si="30"/>
        <v>3177</v>
      </c>
    </row>
    <row r="126" spans="1:68" x14ac:dyDescent="0.2">
      <c r="A126" s="467">
        <v>123</v>
      </c>
      <c r="B126" s="475" t="s">
        <v>853</v>
      </c>
      <c r="C126" s="475" t="s">
        <v>854</v>
      </c>
      <c r="D126" s="11">
        <f t="shared" si="18"/>
        <v>0</v>
      </c>
      <c r="E126" s="11">
        <f>SUMIFS(PURCHASE!$K$6:$K$10008,PURCHASE!$A$6:$A$10008,$D$3,PURCHASE!$D$6:$D$10008,$C$5:$C$499)</f>
        <v>0</v>
      </c>
      <c r="F126" s="11">
        <f>SUMIFS(PURCHASE!$L$6:$L$10008,PURCHASE!$A$6:$A$10008,$D$3,PURCHASE!$D$6:$D$10008,$C$5:$C$499)</f>
        <v>0</v>
      </c>
      <c r="G126" s="11">
        <f>SUMIFS(PURCHASE!$M$6:$M$10008,PURCHASE!$A$6:$A$10008,$D$3,PURCHASE!$D$6:$D$10008,$C$5:$C$499)</f>
        <v>0</v>
      </c>
      <c r="H126" s="11">
        <f>SUMIFS(PURCHASE!$N$6:$N$10008,PURCHASE!$A$6:$A$10008,$D$3,PURCHASE!$D$6:$D$10008,$C$5:$C$499)</f>
        <v>0</v>
      </c>
      <c r="I126" s="473">
        <f t="shared" si="19"/>
        <v>0</v>
      </c>
      <c r="J126" s="60">
        <f>SUMIFS(PURCHASE!$K$6:$K$10008,PURCHASE!$A$6:$A$10008,$I$3,PURCHASE!$D$6:$D$10008,$C$5:$C$499)</f>
        <v>0</v>
      </c>
      <c r="K126" s="60">
        <f>SUMIFS(PURCHASE!$L$6:$L$10008,PURCHASE!$A$6:$A$10008,$I$3,PURCHASE!$D$6:$D$10008,$C$5:$C$499)</f>
        <v>0</v>
      </c>
      <c r="L126" s="60">
        <f>SUMIFS(PURCHASE!$M$6:$M$10008,PURCHASE!$A$6:$A$10008,$I$3,PURCHASE!$D$6:$D$10008,$C$5:$C$499)</f>
        <v>0</v>
      </c>
      <c r="M126" s="474">
        <f>SUMIFS(PURCHASE!$N$6:$N$10008,PURCHASE!$A$6:$A$10008,$I$3,PURCHASE!$D$6:$D$10008,$C$5:$C$499)</f>
        <v>0</v>
      </c>
      <c r="N126" s="11">
        <f t="shared" si="20"/>
        <v>0</v>
      </c>
      <c r="O126" s="11">
        <f>SUMIFS(PURCHASE!$K$6:$K$10008,PURCHASE!$A$6:$A$10008,$N$3,PURCHASE!$D$6:$D$10008,$C$5:$C$499)</f>
        <v>0</v>
      </c>
      <c r="P126" s="11">
        <f>SUMIFS(PURCHASE!$L$6:$L$10008,PURCHASE!$A$6:$A$10008,$N$3,PURCHASE!$D$6:$D$10008,$C$5:$C$499)</f>
        <v>0</v>
      </c>
      <c r="Q126" s="11">
        <f>SUMIFS(PURCHASE!$M$6:$M$10008,PURCHASE!$A$6:$A$10008,$N$3,PURCHASE!$D$6:$D$10008,$C$5:$C$499)</f>
        <v>0</v>
      </c>
      <c r="R126" s="11">
        <f>SUMIFS(PURCHASE!$N$6:$N$10008,PURCHASE!$A$6:$A$10008,$N$3,PURCHASE!$D$6:$D$10008,$C$5:$C$499)</f>
        <v>0</v>
      </c>
      <c r="S126" s="11">
        <f t="shared" si="21"/>
        <v>9812.9980000000014</v>
      </c>
      <c r="T126" s="11">
        <f>SUMIFS(PURCHASE!$K$6:$K$10008,PURCHASE!$A$6:$A$10008,$S$3,PURCHASE!$D$6:$D$10008,$C$5:$C$499)</f>
        <v>8316.1</v>
      </c>
      <c r="U126" s="11">
        <f>SUMIFS(PURCHASE!$L$6:$L$10008,PURCHASE!$A$6:$A$10008,$S$3,PURCHASE!$D$6:$D$10008,$C$5:$C$499)</f>
        <v>0</v>
      </c>
      <c r="V126" s="11">
        <f>SUMIFS(PURCHASE!$M$6:$M$10008,PURCHASE!$A$6:$A$10008,$S$3,PURCHASE!$D$6:$D$10008,$C$5:$C$499)</f>
        <v>748.44900000000007</v>
      </c>
      <c r="W126" s="11">
        <f>SUMIFS(PURCHASE!$N$6:$N$10008,PURCHASE!$A$6:$A$10008,$S$3,PURCHASE!$D$6:$D$10008,$C$5:$C$499)</f>
        <v>748.44900000000007</v>
      </c>
      <c r="X126" s="11">
        <f t="shared" si="22"/>
        <v>0</v>
      </c>
      <c r="Y126" s="11">
        <f>SUMIFS(PURCHASE!$K$6:$K$10008,PURCHASE!$A$6:$A$10008,$X$3,PURCHASE!$D$6:$D$10008,$C$5:$C$499)</f>
        <v>0</v>
      </c>
      <c r="Z126" s="11">
        <f>SUMIFS(PURCHASE!$L$6:$L$10008,PURCHASE!$A$6:$A$10008,$X$3,PURCHASE!$D$6:$D$10008,$C$5:$C$499)</f>
        <v>0</v>
      </c>
      <c r="AA126" s="11">
        <f>SUMIFS(PURCHASE!$M$6:$M$10008,PURCHASE!$A$6:$A$10008,$X$3,PURCHASE!$D$6:$D$10008,$C$5:$C$499)</f>
        <v>0</v>
      </c>
      <c r="AB126" s="11">
        <f>SUMIFS(PURCHASE!$N$6:$N$10008,PURCHASE!$A$6:$A$10008,$X$3,PURCHASE!$D$6:$D$10008,$C$5:$C$499)</f>
        <v>0</v>
      </c>
      <c r="AC126" s="11">
        <f t="shared" si="23"/>
        <v>0</v>
      </c>
      <c r="AD126" s="11">
        <f>SUMIFS(PURCHASE!$K$6:$K$10008,PURCHASE!$A$6:$A$10008,$AC$3,PURCHASE!$D$6:$D$10008,$C$5:$C$499)</f>
        <v>0</v>
      </c>
      <c r="AE126" s="11">
        <f>SUMIFS(PURCHASE!$L$6:$L$10008,PURCHASE!$A$6:$A$10008,$AC$3,PURCHASE!$D$6:$D$10008,$C$5:$C$499)</f>
        <v>0</v>
      </c>
      <c r="AF126" s="11">
        <f>SUMIFS(PURCHASE!$M$6:$M$10008,PURCHASE!$A$6:$A$10008,$AC$3,PURCHASE!$D$6:$D$10008,$C$5:$C$499)</f>
        <v>0</v>
      </c>
      <c r="AG126" s="11">
        <f>SUMIFS(PURCHASE!$N$6:$N$10008,PURCHASE!$A$6:$A$10008,$AC$3,PURCHASE!$D$6:$D$10008,$C$5:$C$499)</f>
        <v>0</v>
      </c>
      <c r="AH126" s="11">
        <f t="shared" si="24"/>
        <v>0</v>
      </c>
      <c r="AI126" s="11">
        <f>SUMIFS(PURCHASE!$K$6:$K$10008,PURCHASE!$A$6:$A$10008,$AH$3,PURCHASE!$D$6:$D$10008,$C$5:$C$499)</f>
        <v>0</v>
      </c>
      <c r="AJ126" s="11">
        <f>SUMIFS(PURCHASE!$L$6:$L$10008,PURCHASE!$A$6:$A$10008,$AH$3,PURCHASE!$D$6:$D$10008,$C$5:$C$499)</f>
        <v>0</v>
      </c>
      <c r="AK126" s="11">
        <f>SUMIFS(PURCHASE!$M$6:$M$10008,PURCHASE!$A$6:$A$10008,$AH$3,PURCHASE!$D$6:$D$10008,$C$5:$C$499)</f>
        <v>0</v>
      </c>
      <c r="AL126" s="11">
        <f>SUMIFS(PURCHASE!$N$6:$N$10008,PURCHASE!$A$6:$A$10008,$AH$3,PURCHASE!$D$6:$D$10008,$C$5:$C$499)</f>
        <v>0</v>
      </c>
      <c r="AM126" s="11">
        <f t="shared" si="25"/>
        <v>0</v>
      </c>
      <c r="AN126" s="11">
        <f>SUMIFS(PURCHASE!$K$6:$K$10008,PURCHASE!$A$6:$A$10008,$AM$3,PURCHASE!$D$6:$D$10008,$C$5:$C$499)</f>
        <v>0</v>
      </c>
      <c r="AO126" s="11">
        <f>SUMIFS(PURCHASE!$L$6:$L$10008,PURCHASE!$A$6:$A$10008,$AM$3,PURCHASE!$D$6:$D$10008,$C$5:$C$499)</f>
        <v>0</v>
      </c>
      <c r="AP126" s="11">
        <f>SUMIFS(PURCHASE!$M$6:$M$10008,PURCHASE!$A$6:$A$10008,$AM$3,PURCHASE!$D$6:$D$10008,$C$5:$C$499)</f>
        <v>0</v>
      </c>
      <c r="AQ126" s="11">
        <f>SUMIFS(PURCHASE!$N$6:$N$10008,PURCHASE!$A$6:$A$10008,$AM$3,PURCHASE!$D$6:$D$10008,$C$5:$C$499)</f>
        <v>0</v>
      </c>
      <c r="AR126" s="11">
        <f t="shared" si="26"/>
        <v>0</v>
      </c>
      <c r="AS126" s="11">
        <f>SUMIFS(PURCHASE!$K$6:$K$10008,PURCHASE!$A$6:$A$10008,$AR$3,PURCHASE!$D$6:$D$10008,$C$5:$C$499)</f>
        <v>0</v>
      </c>
      <c r="AT126" s="11">
        <f>SUMIFS(PURCHASE!$L$6:$L$10008,PURCHASE!$A$6:$A$10008,$AR$3,PURCHASE!$D$6:$D$10008,$C$5:$C$499)</f>
        <v>0</v>
      </c>
      <c r="AU126" s="11">
        <f>SUMIFS(PURCHASE!$M$6:$M$10008,PURCHASE!$A$6:$A$10008,$AR$3,PURCHASE!$D$6:$D$10008,$C$5:$C$499)</f>
        <v>0</v>
      </c>
      <c r="AV126" s="11">
        <f>SUMIFS(PURCHASE!$N$6:$N$10008,PURCHASE!$A$6:$A$10008,$AR$3,PURCHASE!$D$6:$D$10008,$C$5:$C$499)</f>
        <v>0</v>
      </c>
      <c r="AW126" s="11">
        <f t="shared" si="27"/>
        <v>0</v>
      </c>
      <c r="AX126" s="11">
        <f>SUMIFS(PURCHASE!$K$6:$K$10008,PURCHASE!$A$6:$A$10008,$AW$3,PURCHASE!$D$6:$D$10008,$C$5:$C$499)</f>
        <v>0</v>
      </c>
      <c r="AY126" s="11">
        <f>SUMIFS(PURCHASE!$L$6:$L$10008,PURCHASE!$A$6:$A$10008,$AW$3,PURCHASE!$D$6:$D$10008,$C$5:$C$499)</f>
        <v>0</v>
      </c>
      <c r="AZ126" s="11">
        <f>SUMIFS(PURCHASE!$M$6:$M$10008,PURCHASE!$A$6:$A$10008,$AW$3,PURCHASE!$D$6:$D$10008,$C$5:$C$499)</f>
        <v>0</v>
      </c>
      <c r="BA126" s="11">
        <f>SUMIFS(PURCHASE!$N$6:$N$10008,PURCHASE!$A$6:$A$10008,$AW$3,PURCHASE!$D$6:$D$10008,$C$5:$C$499)</f>
        <v>0</v>
      </c>
      <c r="BB126" s="11">
        <f t="shared" si="28"/>
        <v>0</v>
      </c>
      <c r="BC126" s="11">
        <f>SUMIFS(PURCHASE!$K$6:$K$10008,PURCHASE!$A$6:$A$10008,$BB$3,PURCHASE!$D$6:$D$10008,$C$5:$C$499)</f>
        <v>0</v>
      </c>
      <c r="BD126" s="11">
        <f>SUMIFS(PURCHASE!$L$6:$L$10008,PURCHASE!$A$6:$A$10008,$BB$3,PURCHASE!$D$6:$D$10008,$C$5:$C$499)</f>
        <v>0</v>
      </c>
      <c r="BE126" s="11">
        <f>SUMIFS(PURCHASE!$M$6:$M$10008,PURCHASE!$A$6:$A$10008,$BB$3,PURCHASE!$D$6:$D$10008,$C$5:$C$499)</f>
        <v>0</v>
      </c>
      <c r="BF126" s="11">
        <f>SUMIFS(PURCHASE!$N$6:$N$10008,PURCHASE!$A$6:$A$10008,$BB$3,PURCHASE!$D$6:$D$10008,$C$5:$C$499)</f>
        <v>0</v>
      </c>
      <c r="BG126" s="11">
        <f t="shared" si="29"/>
        <v>0</v>
      </c>
      <c r="BH126" s="11">
        <f>SUMIFS(PURCHASE!$K$6:$K$10008,PURCHASE!$A$6:$A$10008,$BG$3,PURCHASE!$D$6:$D$10008,$C$5:$C$499)</f>
        <v>0</v>
      </c>
      <c r="BI126" s="11">
        <f>SUMIFS(PURCHASE!$L$6:$L$10008,PURCHASE!$A$6:$A$10008,$BG$3,PURCHASE!$D$6:$D$10008,$C$5:$C$499)</f>
        <v>0</v>
      </c>
      <c r="BJ126" s="11">
        <f>SUMIFS(PURCHASE!$M$6:$M$10008,PURCHASE!$A$6:$A$10008,$BG$3,PURCHASE!$D$6:$D$10008,$C$5:$C$499)</f>
        <v>0</v>
      </c>
      <c r="BK126" s="11">
        <f>SUMIFS(PURCHASE!$N$6:$N$10008,PURCHASE!$A$6:$A$10008,$BG$3,PURCHASE!$D$6:$D$10008,$C$5:$C$499)</f>
        <v>0</v>
      </c>
      <c r="BL126" s="11">
        <f t="shared" si="30"/>
        <v>9812.9980000000014</v>
      </c>
      <c r="BM126" s="11">
        <f t="shared" si="30"/>
        <v>8316.1</v>
      </c>
      <c r="BN126" s="11">
        <f t="shared" si="30"/>
        <v>0</v>
      </c>
      <c r="BO126" s="11">
        <f t="shared" si="30"/>
        <v>748.44900000000007</v>
      </c>
      <c r="BP126" s="11">
        <f t="shared" si="30"/>
        <v>748.44900000000007</v>
      </c>
    </row>
    <row r="127" spans="1:68" x14ac:dyDescent="0.2">
      <c r="A127" s="467">
        <v>124</v>
      </c>
      <c r="B127" s="468" t="s">
        <v>741</v>
      </c>
      <c r="C127" s="469" t="s">
        <v>225</v>
      </c>
      <c r="D127" s="11">
        <f t="shared" si="18"/>
        <v>0</v>
      </c>
      <c r="E127" s="11">
        <f>SUMIFS(PURCHASE!$K$6:$K$10008,PURCHASE!$A$6:$A$10008,$D$3,PURCHASE!$D$6:$D$10008,$C$5:$C$499)</f>
        <v>0</v>
      </c>
      <c r="F127" s="11">
        <f>SUMIFS(PURCHASE!$L$6:$L$10008,PURCHASE!$A$6:$A$10008,$D$3,PURCHASE!$D$6:$D$10008,$C$5:$C$499)</f>
        <v>0</v>
      </c>
      <c r="G127" s="11">
        <f>SUMIFS(PURCHASE!$M$6:$M$10008,PURCHASE!$A$6:$A$10008,$D$3,PURCHASE!$D$6:$D$10008,$C$5:$C$499)</f>
        <v>0</v>
      </c>
      <c r="H127" s="11">
        <f>SUMIFS(PURCHASE!$N$6:$N$10008,PURCHASE!$A$6:$A$10008,$D$3,PURCHASE!$D$6:$D$10008,$C$5:$C$499)</f>
        <v>0</v>
      </c>
      <c r="I127" s="473">
        <f t="shared" si="19"/>
        <v>0</v>
      </c>
      <c r="J127" s="60">
        <f>SUMIFS(PURCHASE!$K$6:$K$10008,PURCHASE!$A$6:$A$10008,$I$3,PURCHASE!$D$6:$D$10008,$C$5:$C$499)</f>
        <v>0</v>
      </c>
      <c r="K127" s="60">
        <f>SUMIFS(PURCHASE!$L$6:$L$10008,PURCHASE!$A$6:$A$10008,$I$3,PURCHASE!$D$6:$D$10008,$C$5:$C$499)</f>
        <v>0</v>
      </c>
      <c r="L127" s="60">
        <f>SUMIFS(PURCHASE!$M$6:$M$10008,PURCHASE!$A$6:$A$10008,$I$3,PURCHASE!$D$6:$D$10008,$C$5:$C$499)</f>
        <v>0</v>
      </c>
      <c r="M127" s="474">
        <f>SUMIFS(PURCHASE!$N$6:$N$10008,PURCHASE!$A$6:$A$10008,$I$3,PURCHASE!$D$6:$D$10008,$C$5:$C$499)</f>
        <v>0</v>
      </c>
      <c r="N127" s="11">
        <f t="shared" si="20"/>
        <v>58144.512000000002</v>
      </c>
      <c r="O127" s="11">
        <f>SUMIFS(PURCHASE!$K$6:$K$10008,PURCHASE!$A$6:$A$10008,$N$3,PURCHASE!$D$6:$D$10008,$C$5:$C$499)</f>
        <v>45425.4</v>
      </c>
      <c r="P127" s="11">
        <f>SUMIFS(PURCHASE!$L$6:$L$10008,PURCHASE!$A$6:$A$10008,$N$3,PURCHASE!$D$6:$D$10008,$C$5:$C$499)</f>
        <v>0</v>
      </c>
      <c r="Q127" s="11">
        <f>SUMIFS(PURCHASE!$M$6:$M$10008,PURCHASE!$A$6:$A$10008,$N$3,PURCHASE!$D$6:$D$10008,$C$5:$C$499)</f>
        <v>6359.5560000000005</v>
      </c>
      <c r="R127" s="11">
        <f>SUMIFS(PURCHASE!$N$6:$N$10008,PURCHASE!$A$6:$A$10008,$N$3,PURCHASE!$D$6:$D$10008,$C$5:$C$499)</f>
        <v>6359.5560000000005</v>
      </c>
      <c r="S127" s="11">
        <f t="shared" si="21"/>
        <v>66721.556000000011</v>
      </c>
      <c r="T127" s="11">
        <f>SUMIFS(PURCHASE!$K$6:$K$10008,PURCHASE!$A$6:$A$10008,$S$3,PURCHASE!$D$6:$D$10008,$C$5:$C$499)</f>
        <v>52126.200000000004</v>
      </c>
      <c r="U127" s="11">
        <f>SUMIFS(PURCHASE!$L$6:$L$10008,PURCHASE!$A$6:$A$10008,$S$3,PURCHASE!$D$6:$D$10008,$C$5:$C$499)</f>
        <v>0</v>
      </c>
      <c r="V127" s="11">
        <f>SUMIFS(PURCHASE!$M$6:$M$10008,PURCHASE!$A$6:$A$10008,$S$3,PURCHASE!$D$6:$D$10008,$C$5:$C$499)</f>
        <v>7297.6780000000008</v>
      </c>
      <c r="W127" s="11">
        <f>SUMIFS(PURCHASE!$N$6:$N$10008,PURCHASE!$A$6:$A$10008,$S$3,PURCHASE!$D$6:$D$10008,$C$5:$C$499)</f>
        <v>7297.6780000000008</v>
      </c>
      <c r="X127" s="11">
        <f t="shared" si="22"/>
        <v>0</v>
      </c>
      <c r="Y127" s="11">
        <f>SUMIFS(PURCHASE!$K$6:$K$10008,PURCHASE!$A$6:$A$10008,$X$3,PURCHASE!$D$6:$D$10008,$C$5:$C$499)</f>
        <v>0</v>
      </c>
      <c r="Z127" s="11">
        <f>SUMIFS(PURCHASE!$L$6:$L$10008,PURCHASE!$A$6:$A$10008,$X$3,PURCHASE!$D$6:$D$10008,$C$5:$C$499)</f>
        <v>0</v>
      </c>
      <c r="AA127" s="11">
        <f>SUMIFS(PURCHASE!$M$6:$M$10008,PURCHASE!$A$6:$A$10008,$X$3,PURCHASE!$D$6:$D$10008,$C$5:$C$499)</f>
        <v>0</v>
      </c>
      <c r="AB127" s="11">
        <f>SUMIFS(PURCHASE!$N$6:$N$10008,PURCHASE!$A$6:$A$10008,$X$3,PURCHASE!$D$6:$D$10008,$C$5:$C$499)</f>
        <v>0</v>
      </c>
      <c r="AC127" s="11">
        <f t="shared" si="23"/>
        <v>52448.255999999994</v>
      </c>
      <c r="AD127" s="11">
        <f>SUMIFS(PURCHASE!$K$6:$K$10008,PURCHASE!$A$6:$A$10008,$AC$3,PURCHASE!$D$6:$D$10008,$C$5:$C$499)</f>
        <v>40975.199999999997</v>
      </c>
      <c r="AE127" s="11">
        <f>SUMIFS(PURCHASE!$L$6:$L$10008,PURCHASE!$A$6:$A$10008,$AC$3,PURCHASE!$D$6:$D$10008,$C$5:$C$499)</f>
        <v>0</v>
      </c>
      <c r="AF127" s="11">
        <f>SUMIFS(PURCHASE!$M$6:$M$10008,PURCHASE!$A$6:$A$10008,$AC$3,PURCHASE!$D$6:$D$10008,$C$5:$C$499)</f>
        <v>5736.5280000000002</v>
      </c>
      <c r="AG127" s="11">
        <f>SUMIFS(PURCHASE!$N$6:$N$10008,PURCHASE!$A$6:$A$10008,$AC$3,PURCHASE!$D$6:$D$10008,$C$5:$C$499)</f>
        <v>5736.5280000000002</v>
      </c>
      <c r="AH127" s="11">
        <f t="shared" si="24"/>
        <v>0</v>
      </c>
      <c r="AI127" s="11">
        <f>SUMIFS(PURCHASE!$K$6:$K$10008,PURCHASE!$A$6:$A$10008,$AH$3,PURCHASE!$D$6:$D$10008,$C$5:$C$499)</f>
        <v>0</v>
      </c>
      <c r="AJ127" s="11">
        <f>SUMIFS(PURCHASE!$L$6:$L$10008,PURCHASE!$A$6:$A$10008,$AH$3,PURCHASE!$D$6:$D$10008,$C$5:$C$499)</f>
        <v>0</v>
      </c>
      <c r="AK127" s="11">
        <f>SUMIFS(PURCHASE!$M$6:$M$10008,PURCHASE!$A$6:$A$10008,$AH$3,PURCHASE!$D$6:$D$10008,$C$5:$C$499)</f>
        <v>0</v>
      </c>
      <c r="AL127" s="11">
        <f>SUMIFS(PURCHASE!$N$6:$N$10008,PURCHASE!$A$6:$A$10008,$AH$3,PURCHASE!$D$6:$D$10008,$C$5:$C$499)</f>
        <v>0</v>
      </c>
      <c r="AM127" s="11">
        <f t="shared" si="25"/>
        <v>0</v>
      </c>
      <c r="AN127" s="11">
        <f>SUMIFS(PURCHASE!$K$6:$K$10008,PURCHASE!$A$6:$A$10008,$AM$3,PURCHASE!$D$6:$D$10008,$C$5:$C$499)</f>
        <v>0</v>
      </c>
      <c r="AO127" s="11">
        <f>SUMIFS(PURCHASE!$L$6:$L$10008,PURCHASE!$A$6:$A$10008,$AM$3,PURCHASE!$D$6:$D$10008,$C$5:$C$499)</f>
        <v>0</v>
      </c>
      <c r="AP127" s="11">
        <f>SUMIFS(PURCHASE!$M$6:$M$10008,PURCHASE!$A$6:$A$10008,$AM$3,PURCHASE!$D$6:$D$10008,$C$5:$C$499)</f>
        <v>0</v>
      </c>
      <c r="AQ127" s="11">
        <f>SUMIFS(PURCHASE!$N$6:$N$10008,PURCHASE!$A$6:$A$10008,$AM$3,PURCHASE!$D$6:$D$10008,$C$5:$C$499)</f>
        <v>0</v>
      </c>
      <c r="AR127" s="11">
        <f t="shared" si="26"/>
        <v>0</v>
      </c>
      <c r="AS127" s="11">
        <f>SUMIFS(PURCHASE!$K$6:$K$10008,PURCHASE!$A$6:$A$10008,$AR$3,PURCHASE!$D$6:$D$10008,$C$5:$C$499)</f>
        <v>0</v>
      </c>
      <c r="AT127" s="11">
        <f>SUMIFS(PURCHASE!$L$6:$L$10008,PURCHASE!$A$6:$A$10008,$AR$3,PURCHASE!$D$6:$D$10008,$C$5:$C$499)</f>
        <v>0</v>
      </c>
      <c r="AU127" s="11">
        <f>SUMIFS(PURCHASE!$M$6:$M$10008,PURCHASE!$A$6:$A$10008,$AR$3,PURCHASE!$D$6:$D$10008,$C$5:$C$499)</f>
        <v>0</v>
      </c>
      <c r="AV127" s="11">
        <f>SUMIFS(PURCHASE!$N$6:$N$10008,PURCHASE!$A$6:$A$10008,$AR$3,PURCHASE!$D$6:$D$10008,$C$5:$C$499)</f>
        <v>0</v>
      </c>
      <c r="AW127" s="11">
        <f t="shared" si="27"/>
        <v>0</v>
      </c>
      <c r="AX127" s="11">
        <f>SUMIFS(PURCHASE!$K$6:$K$10008,PURCHASE!$A$6:$A$10008,$AW$3,PURCHASE!$D$6:$D$10008,$C$5:$C$499)</f>
        <v>0</v>
      </c>
      <c r="AY127" s="11">
        <f>SUMIFS(PURCHASE!$L$6:$L$10008,PURCHASE!$A$6:$A$10008,$AW$3,PURCHASE!$D$6:$D$10008,$C$5:$C$499)</f>
        <v>0</v>
      </c>
      <c r="AZ127" s="11">
        <f>SUMIFS(PURCHASE!$M$6:$M$10008,PURCHASE!$A$6:$A$10008,$AW$3,PURCHASE!$D$6:$D$10008,$C$5:$C$499)</f>
        <v>0</v>
      </c>
      <c r="BA127" s="11">
        <f>SUMIFS(PURCHASE!$N$6:$N$10008,PURCHASE!$A$6:$A$10008,$AW$3,PURCHASE!$D$6:$D$10008,$C$5:$C$499)</f>
        <v>0</v>
      </c>
      <c r="BB127" s="11">
        <f t="shared" si="28"/>
        <v>0</v>
      </c>
      <c r="BC127" s="11">
        <f>SUMIFS(PURCHASE!$K$6:$K$10008,PURCHASE!$A$6:$A$10008,$BB$3,PURCHASE!$D$6:$D$10008,$C$5:$C$499)</f>
        <v>0</v>
      </c>
      <c r="BD127" s="11">
        <f>SUMIFS(PURCHASE!$L$6:$L$10008,PURCHASE!$A$6:$A$10008,$BB$3,PURCHASE!$D$6:$D$10008,$C$5:$C$499)</f>
        <v>0</v>
      </c>
      <c r="BE127" s="11">
        <f>SUMIFS(PURCHASE!$M$6:$M$10008,PURCHASE!$A$6:$A$10008,$BB$3,PURCHASE!$D$6:$D$10008,$C$5:$C$499)</f>
        <v>0</v>
      </c>
      <c r="BF127" s="11">
        <f>SUMIFS(PURCHASE!$N$6:$N$10008,PURCHASE!$A$6:$A$10008,$BB$3,PURCHASE!$D$6:$D$10008,$C$5:$C$499)</f>
        <v>0</v>
      </c>
      <c r="BG127" s="11">
        <f t="shared" si="29"/>
        <v>0</v>
      </c>
      <c r="BH127" s="11">
        <f>SUMIFS(PURCHASE!$K$6:$K$10008,PURCHASE!$A$6:$A$10008,$BG$3,PURCHASE!$D$6:$D$10008,$C$5:$C$499)</f>
        <v>0</v>
      </c>
      <c r="BI127" s="11">
        <f>SUMIFS(PURCHASE!$L$6:$L$10008,PURCHASE!$A$6:$A$10008,$BG$3,PURCHASE!$D$6:$D$10008,$C$5:$C$499)</f>
        <v>0</v>
      </c>
      <c r="BJ127" s="11">
        <f>SUMIFS(PURCHASE!$M$6:$M$10008,PURCHASE!$A$6:$A$10008,$BG$3,PURCHASE!$D$6:$D$10008,$C$5:$C$499)</f>
        <v>0</v>
      </c>
      <c r="BK127" s="11">
        <f>SUMIFS(PURCHASE!$N$6:$N$10008,PURCHASE!$A$6:$A$10008,$BG$3,PURCHASE!$D$6:$D$10008,$C$5:$C$499)</f>
        <v>0</v>
      </c>
      <c r="BL127" s="11">
        <f t="shared" si="30"/>
        <v>177314.32400000002</v>
      </c>
      <c r="BM127" s="11">
        <f t="shared" si="30"/>
        <v>138526.79999999999</v>
      </c>
      <c r="BN127" s="11">
        <f t="shared" si="30"/>
        <v>0</v>
      </c>
      <c r="BO127" s="11">
        <f t="shared" si="30"/>
        <v>19393.762000000002</v>
      </c>
      <c r="BP127" s="11">
        <f t="shared" si="30"/>
        <v>19393.762000000002</v>
      </c>
    </row>
    <row r="128" spans="1:68" x14ac:dyDescent="0.2">
      <c r="A128" s="467">
        <v>125</v>
      </c>
      <c r="B128" s="468" t="s">
        <v>472</v>
      </c>
      <c r="C128" s="469" t="s">
        <v>21</v>
      </c>
      <c r="D128" s="11">
        <f t="shared" si="18"/>
        <v>196364.54400000002</v>
      </c>
      <c r="E128" s="11">
        <f>SUMIFS(PURCHASE!$K$6:$K$10008,PURCHASE!$A$6:$A$10008,$D$3,PURCHASE!$D$6:$D$10008,$C$5:$C$499)</f>
        <v>153409.80000000002</v>
      </c>
      <c r="F128" s="11">
        <f>SUMIFS(PURCHASE!$L$6:$L$10008,PURCHASE!$A$6:$A$10008,$D$3,PURCHASE!$D$6:$D$10008,$C$5:$C$499)</f>
        <v>0</v>
      </c>
      <c r="G128" s="11">
        <f>SUMIFS(PURCHASE!$M$6:$M$10008,PURCHASE!$A$6:$A$10008,$D$3,PURCHASE!$D$6:$D$10008,$C$5:$C$499)</f>
        <v>21477.371999999996</v>
      </c>
      <c r="H128" s="11">
        <f>SUMIFS(PURCHASE!$N$6:$N$10008,PURCHASE!$A$6:$A$10008,$D$3,PURCHASE!$D$6:$D$10008,$C$5:$C$499)</f>
        <v>21477.371999999996</v>
      </c>
      <c r="I128" s="473">
        <f t="shared" si="19"/>
        <v>23731.199999999997</v>
      </c>
      <c r="J128" s="60">
        <f>SUMIFS(PURCHASE!$K$6:$K$10008,PURCHASE!$A$6:$A$10008,$I$3,PURCHASE!$D$6:$D$10008,$C$5:$C$499)</f>
        <v>18540</v>
      </c>
      <c r="K128" s="60">
        <f>SUMIFS(PURCHASE!$L$6:$L$10008,PURCHASE!$A$6:$A$10008,$I$3,PURCHASE!$D$6:$D$10008,$C$5:$C$499)</f>
        <v>0</v>
      </c>
      <c r="L128" s="60">
        <f>SUMIFS(PURCHASE!$M$6:$M$10008,PURCHASE!$A$6:$A$10008,$I$3,PURCHASE!$D$6:$D$10008,$C$5:$C$499)</f>
        <v>2595.6</v>
      </c>
      <c r="M128" s="474">
        <f>SUMIFS(PURCHASE!$N$6:$N$10008,PURCHASE!$A$6:$A$10008,$I$3,PURCHASE!$D$6:$D$10008,$C$5:$C$499)</f>
        <v>2595.6</v>
      </c>
      <c r="N128" s="11">
        <f t="shared" si="20"/>
        <v>0</v>
      </c>
      <c r="O128" s="11">
        <f>SUMIFS(PURCHASE!$K$6:$K$10008,PURCHASE!$A$6:$A$10008,$N$3,PURCHASE!$D$6:$D$10008,$C$5:$C$499)</f>
        <v>0</v>
      </c>
      <c r="P128" s="11">
        <f>SUMIFS(PURCHASE!$L$6:$L$10008,PURCHASE!$A$6:$A$10008,$N$3,PURCHASE!$D$6:$D$10008,$C$5:$C$499)</f>
        <v>0</v>
      </c>
      <c r="Q128" s="11">
        <f>SUMIFS(PURCHASE!$M$6:$M$10008,PURCHASE!$A$6:$A$10008,$N$3,PURCHASE!$D$6:$D$10008,$C$5:$C$499)</f>
        <v>0</v>
      </c>
      <c r="R128" s="11">
        <f>SUMIFS(PURCHASE!$N$6:$N$10008,PURCHASE!$A$6:$A$10008,$N$3,PURCHASE!$D$6:$D$10008,$C$5:$C$499)</f>
        <v>0</v>
      </c>
      <c r="S128" s="11">
        <f t="shared" si="21"/>
        <v>0</v>
      </c>
      <c r="T128" s="11">
        <f>SUMIFS(PURCHASE!$K$6:$K$10008,PURCHASE!$A$6:$A$10008,$S$3,PURCHASE!$D$6:$D$10008,$C$5:$C$499)</f>
        <v>0</v>
      </c>
      <c r="U128" s="11">
        <f>SUMIFS(PURCHASE!$L$6:$L$10008,PURCHASE!$A$6:$A$10008,$S$3,PURCHASE!$D$6:$D$10008,$C$5:$C$499)</f>
        <v>0</v>
      </c>
      <c r="V128" s="11">
        <f>SUMIFS(PURCHASE!$M$6:$M$10008,PURCHASE!$A$6:$A$10008,$S$3,PURCHASE!$D$6:$D$10008,$C$5:$C$499)</f>
        <v>0</v>
      </c>
      <c r="W128" s="11">
        <f>SUMIFS(PURCHASE!$N$6:$N$10008,PURCHASE!$A$6:$A$10008,$S$3,PURCHASE!$D$6:$D$10008,$C$5:$C$499)</f>
        <v>0</v>
      </c>
      <c r="X128" s="11">
        <f t="shared" si="22"/>
        <v>0</v>
      </c>
      <c r="Y128" s="11">
        <f>SUMIFS(PURCHASE!$K$6:$K$10008,PURCHASE!$A$6:$A$10008,$X$3,PURCHASE!$D$6:$D$10008,$C$5:$C$499)</f>
        <v>0</v>
      </c>
      <c r="Z128" s="11">
        <f>SUMIFS(PURCHASE!$L$6:$L$10008,PURCHASE!$A$6:$A$10008,$X$3,PURCHASE!$D$6:$D$10008,$C$5:$C$499)</f>
        <v>0</v>
      </c>
      <c r="AA128" s="11">
        <f>SUMIFS(PURCHASE!$M$6:$M$10008,PURCHASE!$A$6:$A$10008,$X$3,PURCHASE!$D$6:$D$10008,$C$5:$C$499)</f>
        <v>0</v>
      </c>
      <c r="AB128" s="11">
        <f>SUMIFS(PURCHASE!$N$6:$N$10008,PURCHASE!$A$6:$A$10008,$X$3,PURCHASE!$D$6:$D$10008,$C$5:$C$499)</f>
        <v>0</v>
      </c>
      <c r="AC128" s="11">
        <f t="shared" si="23"/>
        <v>0</v>
      </c>
      <c r="AD128" s="11">
        <f>SUMIFS(PURCHASE!$K$6:$K$10008,PURCHASE!$A$6:$A$10008,$AC$3,PURCHASE!$D$6:$D$10008,$C$5:$C$499)</f>
        <v>0</v>
      </c>
      <c r="AE128" s="11">
        <f>SUMIFS(PURCHASE!$L$6:$L$10008,PURCHASE!$A$6:$A$10008,$AC$3,PURCHASE!$D$6:$D$10008,$C$5:$C$499)</f>
        <v>0</v>
      </c>
      <c r="AF128" s="11">
        <f>SUMIFS(PURCHASE!$M$6:$M$10008,PURCHASE!$A$6:$A$10008,$AC$3,PURCHASE!$D$6:$D$10008,$C$5:$C$499)</f>
        <v>0</v>
      </c>
      <c r="AG128" s="11">
        <f>SUMIFS(PURCHASE!$N$6:$N$10008,PURCHASE!$A$6:$A$10008,$AC$3,PURCHASE!$D$6:$D$10008,$C$5:$C$499)</f>
        <v>0</v>
      </c>
      <c r="AH128" s="11">
        <f t="shared" si="24"/>
        <v>0</v>
      </c>
      <c r="AI128" s="11">
        <f>SUMIFS(PURCHASE!$K$6:$K$10008,PURCHASE!$A$6:$A$10008,$AH$3,PURCHASE!$D$6:$D$10008,$C$5:$C$499)</f>
        <v>0</v>
      </c>
      <c r="AJ128" s="11">
        <f>SUMIFS(PURCHASE!$L$6:$L$10008,PURCHASE!$A$6:$A$10008,$AH$3,PURCHASE!$D$6:$D$10008,$C$5:$C$499)</f>
        <v>0</v>
      </c>
      <c r="AK128" s="11">
        <f>SUMIFS(PURCHASE!$M$6:$M$10008,PURCHASE!$A$6:$A$10008,$AH$3,PURCHASE!$D$6:$D$10008,$C$5:$C$499)</f>
        <v>0</v>
      </c>
      <c r="AL128" s="11">
        <f>SUMIFS(PURCHASE!$N$6:$N$10008,PURCHASE!$A$6:$A$10008,$AH$3,PURCHASE!$D$6:$D$10008,$C$5:$C$499)</f>
        <v>0</v>
      </c>
      <c r="AM128" s="11">
        <f t="shared" si="25"/>
        <v>0</v>
      </c>
      <c r="AN128" s="11">
        <f>SUMIFS(PURCHASE!$K$6:$K$10008,PURCHASE!$A$6:$A$10008,$AM$3,PURCHASE!$D$6:$D$10008,$C$5:$C$499)</f>
        <v>0</v>
      </c>
      <c r="AO128" s="11">
        <f>SUMIFS(PURCHASE!$L$6:$L$10008,PURCHASE!$A$6:$A$10008,$AM$3,PURCHASE!$D$6:$D$10008,$C$5:$C$499)</f>
        <v>0</v>
      </c>
      <c r="AP128" s="11">
        <f>SUMIFS(PURCHASE!$M$6:$M$10008,PURCHASE!$A$6:$A$10008,$AM$3,PURCHASE!$D$6:$D$10008,$C$5:$C$499)</f>
        <v>0</v>
      </c>
      <c r="AQ128" s="11">
        <f>SUMIFS(PURCHASE!$N$6:$N$10008,PURCHASE!$A$6:$A$10008,$AM$3,PURCHASE!$D$6:$D$10008,$C$5:$C$499)</f>
        <v>0</v>
      </c>
      <c r="AR128" s="11">
        <f t="shared" si="26"/>
        <v>0</v>
      </c>
      <c r="AS128" s="11">
        <f>SUMIFS(PURCHASE!$K$6:$K$10008,PURCHASE!$A$6:$A$10008,$AR$3,PURCHASE!$D$6:$D$10008,$C$5:$C$499)</f>
        <v>0</v>
      </c>
      <c r="AT128" s="11">
        <f>SUMIFS(PURCHASE!$L$6:$L$10008,PURCHASE!$A$6:$A$10008,$AR$3,PURCHASE!$D$6:$D$10008,$C$5:$C$499)</f>
        <v>0</v>
      </c>
      <c r="AU128" s="11">
        <f>SUMIFS(PURCHASE!$M$6:$M$10008,PURCHASE!$A$6:$A$10008,$AR$3,PURCHASE!$D$6:$D$10008,$C$5:$C$499)</f>
        <v>0</v>
      </c>
      <c r="AV128" s="11">
        <f>SUMIFS(PURCHASE!$N$6:$N$10008,PURCHASE!$A$6:$A$10008,$AR$3,PURCHASE!$D$6:$D$10008,$C$5:$C$499)</f>
        <v>0</v>
      </c>
      <c r="AW128" s="11">
        <f t="shared" si="27"/>
        <v>0</v>
      </c>
      <c r="AX128" s="11">
        <f>SUMIFS(PURCHASE!$K$6:$K$10008,PURCHASE!$A$6:$A$10008,$AW$3,PURCHASE!$D$6:$D$10008,$C$5:$C$499)</f>
        <v>0</v>
      </c>
      <c r="AY128" s="11">
        <f>SUMIFS(PURCHASE!$L$6:$L$10008,PURCHASE!$A$6:$A$10008,$AW$3,PURCHASE!$D$6:$D$10008,$C$5:$C$499)</f>
        <v>0</v>
      </c>
      <c r="AZ128" s="11">
        <f>SUMIFS(PURCHASE!$M$6:$M$10008,PURCHASE!$A$6:$A$10008,$AW$3,PURCHASE!$D$6:$D$10008,$C$5:$C$499)</f>
        <v>0</v>
      </c>
      <c r="BA128" s="11">
        <f>SUMIFS(PURCHASE!$N$6:$N$10008,PURCHASE!$A$6:$A$10008,$AW$3,PURCHASE!$D$6:$D$10008,$C$5:$C$499)</f>
        <v>0</v>
      </c>
      <c r="BB128" s="11">
        <f t="shared" si="28"/>
        <v>0</v>
      </c>
      <c r="BC128" s="11">
        <f>SUMIFS(PURCHASE!$K$6:$K$10008,PURCHASE!$A$6:$A$10008,$BB$3,PURCHASE!$D$6:$D$10008,$C$5:$C$499)</f>
        <v>0</v>
      </c>
      <c r="BD128" s="11">
        <f>SUMIFS(PURCHASE!$L$6:$L$10008,PURCHASE!$A$6:$A$10008,$BB$3,PURCHASE!$D$6:$D$10008,$C$5:$C$499)</f>
        <v>0</v>
      </c>
      <c r="BE128" s="11">
        <f>SUMIFS(PURCHASE!$M$6:$M$10008,PURCHASE!$A$6:$A$10008,$BB$3,PURCHASE!$D$6:$D$10008,$C$5:$C$499)</f>
        <v>0</v>
      </c>
      <c r="BF128" s="11">
        <f>SUMIFS(PURCHASE!$N$6:$N$10008,PURCHASE!$A$6:$A$10008,$BB$3,PURCHASE!$D$6:$D$10008,$C$5:$C$499)</f>
        <v>0</v>
      </c>
      <c r="BG128" s="11">
        <f t="shared" si="29"/>
        <v>0</v>
      </c>
      <c r="BH128" s="11">
        <f>SUMIFS(PURCHASE!$K$6:$K$10008,PURCHASE!$A$6:$A$10008,$BG$3,PURCHASE!$D$6:$D$10008,$C$5:$C$499)</f>
        <v>0</v>
      </c>
      <c r="BI128" s="11">
        <f>SUMIFS(PURCHASE!$L$6:$L$10008,PURCHASE!$A$6:$A$10008,$BG$3,PURCHASE!$D$6:$D$10008,$C$5:$C$499)</f>
        <v>0</v>
      </c>
      <c r="BJ128" s="11">
        <f>SUMIFS(PURCHASE!$M$6:$M$10008,PURCHASE!$A$6:$A$10008,$BG$3,PURCHASE!$D$6:$D$10008,$C$5:$C$499)</f>
        <v>0</v>
      </c>
      <c r="BK128" s="11">
        <f>SUMIFS(PURCHASE!$N$6:$N$10008,PURCHASE!$A$6:$A$10008,$BG$3,PURCHASE!$D$6:$D$10008,$C$5:$C$499)</f>
        <v>0</v>
      </c>
      <c r="BL128" s="11">
        <f t="shared" si="30"/>
        <v>220095.74400000001</v>
      </c>
      <c r="BM128" s="11">
        <f t="shared" si="30"/>
        <v>171949.80000000002</v>
      </c>
      <c r="BN128" s="11">
        <f t="shared" si="30"/>
        <v>0</v>
      </c>
      <c r="BO128" s="11">
        <f t="shared" si="30"/>
        <v>24072.971999999994</v>
      </c>
      <c r="BP128" s="11">
        <f t="shared" si="30"/>
        <v>24072.971999999994</v>
      </c>
    </row>
    <row r="129" spans="1:68" x14ac:dyDescent="0.2">
      <c r="A129" s="467">
        <v>126</v>
      </c>
      <c r="B129" s="468" t="s">
        <v>1170</v>
      </c>
      <c r="C129" s="468" t="s">
        <v>1171</v>
      </c>
      <c r="D129" s="11">
        <f t="shared" si="18"/>
        <v>0</v>
      </c>
      <c r="E129" s="11">
        <f>SUMIFS(PURCHASE!$K$6:$K$10008,PURCHASE!$A$6:$A$10008,$D$3,PURCHASE!$D$6:$D$10008,$C$5:$C$499)</f>
        <v>0</v>
      </c>
      <c r="F129" s="11">
        <f>SUMIFS(PURCHASE!$L$6:$L$10008,PURCHASE!$A$6:$A$10008,$D$3,PURCHASE!$D$6:$D$10008,$C$5:$C$499)</f>
        <v>0</v>
      </c>
      <c r="G129" s="11">
        <f>SUMIFS(PURCHASE!$M$6:$M$10008,PURCHASE!$A$6:$A$10008,$D$3,PURCHASE!$D$6:$D$10008,$C$5:$C$499)</f>
        <v>0</v>
      </c>
      <c r="H129" s="11">
        <f>SUMIFS(PURCHASE!$N$6:$N$10008,PURCHASE!$A$6:$A$10008,$D$3,PURCHASE!$D$6:$D$10008,$C$5:$C$499)</f>
        <v>0</v>
      </c>
      <c r="I129" s="473">
        <f t="shared" si="19"/>
        <v>0</v>
      </c>
      <c r="J129" s="60">
        <f>SUMIFS(PURCHASE!$K$6:$K$10008,PURCHASE!$A$6:$A$10008,$I$3,PURCHASE!$D$6:$D$10008,$C$5:$C$499)</f>
        <v>0</v>
      </c>
      <c r="K129" s="60">
        <f>SUMIFS(PURCHASE!$L$6:$L$10008,PURCHASE!$A$6:$A$10008,$I$3,PURCHASE!$D$6:$D$10008,$C$5:$C$499)</f>
        <v>0</v>
      </c>
      <c r="L129" s="60">
        <f>SUMIFS(PURCHASE!$M$6:$M$10008,PURCHASE!$A$6:$A$10008,$I$3,PURCHASE!$D$6:$D$10008,$C$5:$C$499)</f>
        <v>0</v>
      </c>
      <c r="M129" s="474">
        <f>SUMIFS(PURCHASE!$N$6:$N$10008,PURCHASE!$A$6:$A$10008,$I$3,PURCHASE!$D$6:$D$10008,$C$5:$C$499)</f>
        <v>0</v>
      </c>
      <c r="N129" s="11">
        <f t="shared" si="20"/>
        <v>0</v>
      </c>
      <c r="O129" s="11">
        <f>SUMIFS(PURCHASE!$K$6:$K$10008,PURCHASE!$A$6:$A$10008,$N$3,PURCHASE!$D$6:$D$10008,$C$5:$C$499)</f>
        <v>0</v>
      </c>
      <c r="P129" s="11">
        <f>SUMIFS(PURCHASE!$L$6:$L$10008,PURCHASE!$A$6:$A$10008,$N$3,PURCHASE!$D$6:$D$10008,$C$5:$C$499)</f>
        <v>0</v>
      </c>
      <c r="Q129" s="11">
        <f>SUMIFS(PURCHASE!$M$6:$M$10008,PURCHASE!$A$6:$A$10008,$N$3,PURCHASE!$D$6:$D$10008,$C$5:$C$499)</f>
        <v>0</v>
      </c>
      <c r="R129" s="11">
        <f>SUMIFS(PURCHASE!$N$6:$N$10008,PURCHASE!$A$6:$A$10008,$N$3,PURCHASE!$D$6:$D$10008,$C$5:$C$499)</f>
        <v>0</v>
      </c>
      <c r="S129" s="11">
        <f t="shared" si="21"/>
        <v>0</v>
      </c>
      <c r="T129" s="11">
        <f>SUMIFS(PURCHASE!$K$6:$K$10008,PURCHASE!$A$6:$A$10008,$S$3,PURCHASE!$D$6:$D$10008,$C$5:$C$499)</f>
        <v>0</v>
      </c>
      <c r="U129" s="11">
        <f>SUMIFS(PURCHASE!$L$6:$L$10008,PURCHASE!$A$6:$A$10008,$S$3,PURCHASE!$D$6:$D$10008,$C$5:$C$499)</f>
        <v>0</v>
      </c>
      <c r="V129" s="11">
        <f>SUMIFS(PURCHASE!$M$6:$M$10008,PURCHASE!$A$6:$A$10008,$S$3,PURCHASE!$D$6:$D$10008,$C$5:$C$499)</f>
        <v>0</v>
      </c>
      <c r="W129" s="11">
        <f>SUMIFS(PURCHASE!$N$6:$N$10008,PURCHASE!$A$6:$A$10008,$S$3,PURCHASE!$D$6:$D$10008,$C$5:$C$499)</f>
        <v>0</v>
      </c>
      <c r="X129" s="11">
        <f t="shared" si="22"/>
        <v>0</v>
      </c>
      <c r="Y129" s="11">
        <f>SUMIFS(PURCHASE!$K$6:$K$10008,PURCHASE!$A$6:$A$10008,$X$3,PURCHASE!$D$6:$D$10008,$C$5:$C$499)</f>
        <v>0</v>
      </c>
      <c r="Z129" s="11">
        <f>SUMIFS(PURCHASE!$L$6:$L$10008,PURCHASE!$A$6:$A$10008,$X$3,PURCHASE!$D$6:$D$10008,$C$5:$C$499)</f>
        <v>0</v>
      </c>
      <c r="AA129" s="11">
        <f>SUMIFS(PURCHASE!$M$6:$M$10008,PURCHASE!$A$6:$A$10008,$X$3,PURCHASE!$D$6:$D$10008,$C$5:$C$499)</f>
        <v>0</v>
      </c>
      <c r="AB129" s="11">
        <f>SUMIFS(PURCHASE!$N$6:$N$10008,PURCHASE!$A$6:$A$10008,$X$3,PURCHASE!$D$6:$D$10008,$C$5:$C$499)</f>
        <v>0</v>
      </c>
      <c r="AC129" s="11">
        <f t="shared" si="23"/>
        <v>0</v>
      </c>
      <c r="AD129" s="11">
        <f>SUMIFS(PURCHASE!$K$6:$K$10008,PURCHASE!$A$6:$A$10008,$AC$3,PURCHASE!$D$6:$D$10008,$C$5:$C$499)</f>
        <v>0</v>
      </c>
      <c r="AE129" s="11">
        <f>SUMIFS(PURCHASE!$L$6:$L$10008,PURCHASE!$A$6:$A$10008,$AC$3,PURCHASE!$D$6:$D$10008,$C$5:$C$499)</f>
        <v>0</v>
      </c>
      <c r="AF129" s="11">
        <f>SUMIFS(PURCHASE!$M$6:$M$10008,PURCHASE!$A$6:$A$10008,$AC$3,PURCHASE!$D$6:$D$10008,$C$5:$C$499)</f>
        <v>0</v>
      </c>
      <c r="AG129" s="11">
        <f>SUMIFS(PURCHASE!$N$6:$N$10008,PURCHASE!$A$6:$A$10008,$AC$3,PURCHASE!$D$6:$D$10008,$C$5:$C$499)</f>
        <v>0</v>
      </c>
      <c r="AH129" s="11">
        <f t="shared" si="24"/>
        <v>0</v>
      </c>
      <c r="AI129" s="11">
        <f>SUMIFS(PURCHASE!$K$6:$K$10008,PURCHASE!$A$6:$A$10008,$AH$3,PURCHASE!$D$6:$D$10008,$C$5:$C$499)</f>
        <v>0</v>
      </c>
      <c r="AJ129" s="11">
        <f>SUMIFS(PURCHASE!$L$6:$L$10008,PURCHASE!$A$6:$A$10008,$AH$3,PURCHASE!$D$6:$D$10008,$C$5:$C$499)</f>
        <v>0</v>
      </c>
      <c r="AK129" s="11">
        <f>SUMIFS(PURCHASE!$M$6:$M$10008,PURCHASE!$A$6:$A$10008,$AH$3,PURCHASE!$D$6:$D$10008,$C$5:$C$499)</f>
        <v>0</v>
      </c>
      <c r="AL129" s="11">
        <f>SUMIFS(PURCHASE!$N$6:$N$10008,PURCHASE!$A$6:$A$10008,$AH$3,PURCHASE!$D$6:$D$10008,$C$5:$C$499)</f>
        <v>0</v>
      </c>
      <c r="AM129" s="11">
        <f t="shared" si="25"/>
        <v>0</v>
      </c>
      <c r="AN129" s="11">
        <f>SUMIFS(PURCHASE!$K$6:$K$10008,PURCHASE!$A$6:$A$10008,$AM$3,PURCHASE!$D$6:$D$10008,$C$5:$C$499)</f>
        <v>0</v>
      </c>
      <c r="AO129" s="11">
        <f>SUMIFS(PURCHASE!$L$6:$L$10008,PURCHASE!$A$6:$A$10008,$AM$3,PURCHASE!$D$6:$D$10008,$C$5:$C$499)</f>
        <v>0</v>
      </c>
      <c r="AP129" s="11">
        <f>SUMIFS(PURCHASE!$M$6:$M$10008,PURCHASE!$A$6:$A$10008,$AM$3,PURCHASE!$D$6:$D$10008,$C$5:$C$499)</f>
        <v>0</v>
      </c>
      <c r="AQ129" s="11">
        <f>SUMIFS(PURCHASE!$N$6:$N$10008,PURCHASE!$A$6:$A$10008,$AM$3,PURCHASE!$D$6:$D$10008,$C$5:$C$499)</f>
        <v>0</v>
      </c>
      <c r="AR129" s="11">
        <f t="shared" si="26"/>
        <v>0</v>
      </c>
      <c r="AS129" s="11">
        <f>SUMIFS(PURCHASE!$K$6:$K$10008,PURCHASE!$A$6:$A$10008,$AR$3,PURCHASE!$D$6:$D$10008,$C$5:$C$499)</f>
        <v>0</v>
      </c>
      <c r="AT129" s="11">
        <f>SUMIFS(PURCHASE!$L$6:$L$10008,PURCHASE!$A$6:$A$10008,$AR$3,PURCHASE!$D$6:$D$10008,$C$5:$C$499)</f>
        <v>0</v>
      </c>
      <c r="AU129" s="11">
        <f>SUMIFS(PURCHASE!$M$6:$M$10008,PURCHASE!$A$6:$A$10008,$AR$3,PURCHASE!$D$6:$D$10008,$C$5:$C$499)</f>
        <v>0</v>
      </c>
      <c r="AV129" s="11">
        <f>SUMIFS(PURCHASE!$N$6:$N$10008,PURCHASE!$A$6:$A$10008,$AR$3,PURCHASE!$D$6:$D$10008,$C$5:$C$499)</f>
        <v>0</v>
      </c>
      <c r="AW129" s="11">
        <f t="shared" si="27"/>
        <v>0</v>
      </c>
      <c r="AX129" s="11">
        <f>SUMIFS(PURCHASE!$K$6:$K$10008,PURCHASE!$A$6:$A$10008,$AW$3,PURCHASE!$D$6:$D$10008,$C$5:$C$499)</f>
        <v>0</v>
      </c>
      <c r="AY129" s="11">
        <f>SUMIFS(PURCHASE!$L$6:$L$10008,PURCHASE!$A$6:$A$10008,$AW$3,PURCHASE!$D$6:$D$10008,$C$5:$C$499)</f>
        <v>0</v>
      </c>
      <c r="AZ129" s="11">
        <f>SUMIFS(PURCHASE!$M$6:$M$10008,PURCHASE!$A$6:$A$10008,$AW$3,PURCHASE!$D$6:$D$10008,$C$5:$C$499)</f>
        <v>0</v>
      </c>
      <c r="BA129" s="11">
        <f>SUMIFS(PURCHASE!$N$6:$N$10008,PURCHASE!$A$6:$A$10008,$AW$3,PURCHASE!$D$6:$D$10008,$C$5:$C$499)</f>
        <v>0</v>
      </c>
      <c r="BB129" s="11">
        <f t="shared" si="28"/>
        <v>0</v>
      </c>
      <c r="BC129" s="11">
        <f>SUMIFS(PURCHASE!$K$6:$K$10008,PURCHASE!$A$6:$A$10008,$BB$3,PURCHASE!$D$6:$D$10008,$C$5:$C$499)</f>
        <v>0</v>
      </c>
      <c r="BD129" s="11">
        <f>SUMIFS(PURCHASE!$L$6:$L$10008,PURCHASE!$A$6:$A$10008,$BB$3,PURCHASE!$D$6:$D$10008,$C$5:$C$499)</f>
        <v>0</v>
      </c>
      <c r="BE129" s="11">
        <f>SUMIFS(PURCHASE!$M$6:$M$10008,PURCHASE!$A$6:$A$10008,$BB$3,PURCHASE!$D$6:$D$10008,$C$5:$C$499)</f>
        <v>0</v>
      </c>
      <c r="BF129" s="11">
        <f>SUMIFS(PURCHASE!$N$6:$N$10008,PURCHASE!$A$6:$A$10008,$BB$3,PURCHASE!$D$6:$D$10008,$C$5:$C$499)</f>
        <v>0</v>
      </c>
      <c r="BG129" s="11">
        <f t="shared" si="29"/>
        <v>0</v>
      </c>
      <c r="BH129" s="11">
        <f>SUMIFS(PURCHASE!$K$6:$K$10008,PURCHASE!$A$6:$A$10008,$BG$3,PURCHASE!$D$6:$D$10008,$C$5:$C$499)</f>
        <v>0</v>
      </c>
      <c r="BI129" s="11">
        <f>SUMIFS(PURCHASE!$L$6:$L$10008,PURCHASE!$A$6:$A$10008,$BG$3,PURCHASE!$D$6:$D$10008,$C$5:$C$499)</f>
        <v>0</v>
      </c>
      <c r="BJ129" s="11">
        <f>SUMIFS(PURCHASE!$M$6:$M$10008,PURCHASE!$A$6:$A$10008,$BG$3,PURCHASE!$D$6:$D$10008,$C$5:$C$499)</f>
        <v>0</v>
      </c>
      <c r="BK129" s="11">
        <f>SUMIFS(PURCHASE!$N$6:$N$10008,PURCHASE!$A$6:$A$10008,$BG$3,PURCHASE!$D$6:$D$10008,$C$5:$C$499)</f>
        <v>0</v>
      </c>
      <c r="BL129" s="11">
        <f t="shared" si="30"/>
        <v>0</v>
      </c>
      <c r="BM129" s="11">
        <f t="shared" si="30"/>
        <v>0</v>
      </c>
      <c r="BN129" s="11">
        <f t="shared" si="30"/>
        <v>0</v>
      </c>
      <c r="BO129" s="11">
        <f t="shared" si="30"/>
        <v>0</v>
      </c>
      <c r="BP129" s="11">
        <f t="shared" si="30"/>
        <v>0</v>
      </c>
    </row>
    <row r="130" spans="1:68" x14ac:dyDescent="0.2">
      <c r="A130" s="467">
        <v>127</v>
      </c>
      <c r="B130" s="468" t="s">
        <v>1172</v>
      </c>
      <c r="C130" s="469" t="s">
        <v>103</v>
      </c>
      <c r="D130" s="11">
        <f t="shared" si="18"/>
        <v>0</v>
      </c>
      <c r="E130" s="11">
        <f>SUMIFS(PURCHASE!$K$6:$K$10008,PURCHASE!$A$6:$A$10008,$D$3,PURCHASE!$D$6:$D$10008,$C$5:$C$499)</f>
        <v>0</v>
      </c>
      <c r="F130" s="11">
        <f>SUMIFS(PURCHASE!$L$6:$L$10008,PURCHASE!$A$6:$A$10008,$D$3,PURCHASE!$D$6:$D$10008,$C$5:$C$499)</f>
        <v>0</v>
      </c>
      <c r="G130" s="11">
        <f>SUMIFS(PURCHASE!$M$6:$M$10008,PURCHASE!$A$6:$A$10008,$D$3,PURCHASE!$D$6:$D$10008,$C$5:$C$499)</f>
        <v>0</v>
      </c>
      <c r="H130" s="11">
        <f>SUMIFS(PURCHASE!$N$6:$N$10008,PURCHASE!$A$6:$A$10008,$D$3,PURCHASE!$D$6:$D$10008,$C$5:$C$499)</f>
        <v>0</v>
      </c>
      <c r="I130" s="473">
        <f t="shared" si="19"/>
        <v>0</v>
      </c>
      <c r="J130" s="60">
        <f>SUMIFS(PURCHASE!$K$6:$K$10008,PURCHASE!$A$6:$A$10008,$I$3,PURCHASE!$D$6:$D$10008,$C$5:$C$499)</f>
        <v>0</v>
      </c>
      <c r="K130" s="60">
        <f>SUMIFS(PURCHASE!$L$6:$L$10008,PURCHASE!$A$6:$A$10008,$I$3,PURCHASE!$D$6:$D$10008,$C$5:$C$499)</f>
        <v>0</v>
      </c>
      <c r="L130" s="60">
        <f>SUMIFS(PURCHASE!$M$6:$M$10008,PURCHASE!$A$6:$A$10008,$I$3,PURCHASE!$D$6:$D$10008,$C$5:$C$499)</f>
        <v>0</v>
      </c>
      <c r="M130" s="474">
        <f>SUMIFS(PURCHASE!$N$6:$N$10008,PURCHASE!$A$6:$A$10008,$I$3,PURCHASE!$D$6:$D$10008,$C$5:$C$499)</f>
        <v>0</v>
      </c>
      <c r="N130" s="11">
        <f t="shared" si="20"/>
        <v>0</v>
      </c>
      <c r="O130" s="11">
        <f>SUMIFS(PURCHASE!$K$6:$K$10008,PURCHASE!$A$6:$A$10008,$N$3,PURCHASE!$D$6:$D$10008,$C$5:$C$499)</f>
        <v>0</v>
      </c>
      <c r="P130" s="11">
        <f>SUMIFS(PURCHASE!$L$6:$L$10008,PURCHASE!$A$6:$A$10008,$N$3,PURCHASE!$D$6:$D$10008,$C$5:$C$499)</f>
        <v>0</v>
      </c>
      <c r="Q130" s="11">
        <f>SUMIFS(PURCHASE!$M$6:$M$10008,PURCHASE!$A$6:$A$10008,$N$3,PURCHASE!$D$6:$D$10008,$C$5:$C$499)</f>
        <v>0</v>
      </c>
      <c r="R130" s="11">
        <f>SUMIFS(PURCHASE!$N$6:$N$10008,PURCHASE!$A$6:$A$10008,$N$3,PURCHASE!$D$6:$D$10008,$C$5:$C$499)</f>
        <v>0</v>
      </c>
      <c r="S130" s="11">
        <f t="shared" si="21"/>
        <v>0</v>
      </c>
      <c r="T130" s="11">
        <f>SUMIFS(PURCHASE!$K$6:$K$10008,PURCHASE!$A$6:$A$10008,$S$3,PURCHASE!$D$6:$D$10008,$C$5:$C$499)</f>
        <v>0</v>
      </c>
      <c r="U130" s="11">
        <f>SUMIFS(PURCHASE!$L$6:$L$10008,PURCHASE!$A$6:$A$10008,$S$3,PURCHASE!$D$6:$D$10008,$C$5:$C$499)</f>
        <v>0</v>
      </c>
      <c r="V130" s="11">
        <f>SUMIFS(PURCHASE!$M$6:$M$10008,PURCHASE!$A$6:$A$10008,$S$3,PURCHASE!$D$6:$D$10008,$C$5:$C$499)</f>
        <v>0</v>
      </c>
      <c r="W130" s="11">
        <f>SUMIFS(PURCHASE!$N$6:$N$10008,PURCHASE!$A$6:$A$10008,$S$3,PURCHASE!$D$6:$D$10008,$C$5:$C$499)</f>
        <v>0</v>
      </c>
      <c r="X130" s="11">
        <f t="shared" si="22"/>
        <v>24139.315199999997</v>
      </c>
      <c r="Y130" s="11">
        <f>SUMIFS(PURCHASE!$K$6:$K$10008,PURCHASE!$A$6:$A$10008,$X$3,PURCHASE!$D$6:$D$10008,$C$5:$C$499)</f>
        <v>18858.839999999997</v>
      </c>
      <c r="Z130" s="11">
        <f>SUMIFS(PURCHASE!$L$6:$L$10008,PURCHASE!$A$6:$A$10008,$X$3,PURCHASE!$D$6:$D$10008,$C$5:$C$499)</f>
        <v>5280.4751999999999</v>
      </c>
      <c r="AA130" s="11">
        <f>SUMIFS(PURCHASE!$M$6:$M$10008,PURCHASE!$A$6:$A$10008,$X$3,PURCHASE!$D$6:$D$10008,$C$5:$C$499)</f>
        <v>0</v>
      </c>
      <c r="AB130" s="11">
        <f>SUMIFS(PURCHASE!$N$6:$N$10008,PURCHASE!$A$6:$A$10008,$X$3,PURCHASE!$D$6:$D$10008,$C$5:$C$499)</f>
        <v>0</v>
      </c>
      <c r="AC130" s="11">
        <f t="shared" si="23"/>
        <v>29344.511999999999</v>
      </c>
      <c r="AD130" s="11">
        <f>SUMIFS(PURCHASE!$K$6:$K$10008,PURCHASE!$A$6:$A$10008,$AC$3,PURCHASE!$D$6:$D$10008,$C$5:$C$499)</f>
        <v>22925.399999999998</v>
      </c>
      <c r="AE130" s="11">
        <f>SUMIFS(PURCHASE!$L$6:$L$10008,PURCHASE!$A$6:$A$10008,$AC$3,PURCHASE!$D$6:$D$10008,$C$5:$C$499)</f>
        <v>6419.1120000000001</v>
      </c>
      <c r="AF130" s="11">
        <f>SUMIFS(PURCHASE!$M$6:$M$10008,PURCHASE!$A$6:$A$10008,$AC$3,PURCHASE!$D$6:$D$10008,$C$5:$C$499)</f>
        <v>0</v>
      </c>
      <c r="AG130" s="11">
        <f>SUMIFS(PURCHASE!$N$6:$N$10008,PURCHASE!$A$6:$A$10008,$AC$3,PURCHASE!$D$6:$D$10008,$C$5:$C$499)</f>
        <v>0</v>
      </c>
      <c r="AH130" s="11">
        <f t="shared" si="24"/>
        <v>3016.4223999999999</v>
      </c>
      <c r="AI130" s="11">
        <f>SUMIFS(PURCHASE!$K$6:$K$10008,PURCHASE!$A$6:$A$10008,$AH$3,PURCHASE!$D$6:$D$10008,$C$5:$C$499)</f>
        <v>2356.58</v>
      </c>
      <c r="AJ130" s="11">
        <f>SUMIFS(PURCHASE!$L$6:$L$10008,PURCHASE!$A$6:$A$10008,$AH$3,PURCHASE!$D$6:$D$10008,$C$5:$C$499)</f>
        <v>659.8424</v>
      </c>
      <c r="AK130" s="11">
        <f>SUMIFS(PURCHASE!$M$6:$M$10008,PURCHASE!$A$6:$A$10008,$AH$3,PURCHASE!$D$6:$D$10008,$C$5:$C$499)</f>
        <v>0</v>
      </c>
      <c r="AL130" s="11">
        <f>SUMIFS(PURCHASE!$N$6:$N$10008,PURCHASE!$A$6:$A$10008,$AH$3,PURCHASE!$D$6:$D$10008,$C$5:$C$499)</f>
        <v>0</v>
      </c>
      <c r="AM130" s="11">
        <f t="shared" si="25"/>
        <v>0</v>
      </c>
      <c r="AN130" s="11">
        <f>SUMIFS(PURCHASE!$K$6:$K$10008,PURCHASE!$A$6:$A$10008,$AM$3,PURCHASE!$D$6:$D$10008,$C$5:$C$499)</f>
        <v>0</v>
      </c>
      <c r="AO130" s="11">
        <f>SUMIFS(PURCHASE!$L$6:$L$10008,PURCHASE!$A$6:$A$10008,$AM$3,PURCHASE!$D$6:$D$10008,$C$5:$C$499)</f>
        <v>0</v>
      </c>
      <c r="AP130" s="11">
        <f>SUMIFS(PURCHASE!$M$6:$M$10008,PURCHASE!$A$6:$A$10008,$AM$3,PURCHASE!$D$6:$D$10008,$C$5:$C$499)</f>
        <v>0</v>
      </c>
      <c r="AQ130" s="11">
        <f>SUMIFS(PURCHASE!$N$6:$N$10008,PURCHASE!$A$6:$A$10008,$AM$3,PURCHASE!$D$6:$D$10008,$C$5:$C$499)</f>
        <v>0</v>
      </c>
      <c r="AR130" s="11">
        <f t="shared" si="26"/>
        <v>0</v>
      </c>
      <c r="AS130" s="11">
        <f>SUMIFS(PURCHASE!$K$6:$K$10008,PURCHASE!$A$6:$A$10008,$AR$3,PURCHASE!$D$6:$D$10008,$C$5:$C$499)</f>
        <v>0</v>
      </c>
      <c r="AT130" s="11">
        <f>SUMIFS(PURCHASE!$L$6:$L$10008,PURCHASE!$A$6:$A$10008,$AR$3,PURCHASE!$D$6:$D$10008,$C$5:$C$499)</f>
        <v>0</v>
      </c>
      <c r="AU130" s="11">
        <f>SUMIFS(PURCHASE!$M$6:$M$10008,PURCHASE!$A$6:$A$10008,$AR$3,PURCHASE!$D$6:$D$10008,$C$5:$C$499)</f>
        <v>0</v>
      </c>
      <c r="AV130" s="11">
        <f>SUMIFS(PURCHASE!$N$6:$N$10008,PURCHASE!$A$6:$A$10008,$AR$3,PURCHASE!$D$6:$D$10008,$C$5:$C$499)</f>
        <v>0</v>
      </c>
      <c r="AW130" s="11">
        <f t="shared" si="27"/>
        <v>0</v>
      </c>
      <c r="AX130" s="11">
        <f>SUMIFS(PURCHASE!$K$6:$K$10008,PURCHASE!$A$6:$A$10008,$AW$3,PURCHASE!$D$6:$D$10008,$C$5:$C$499)</f>
        <v>0</v>
      </c>
      <c r="AY130" s="11">
        <f>SUMIFS(PURCHASE!$L$6:$L$10008,PURCHASE!$A$6:$A$10008,$AW$3,PURCHASE!$D$6:$D$10008,$C$5:$C$499)</f>
        <v>0</v>
      </c>
      <c r="AZ130" s="11">
        <f>SUMIFS(PURCHASE!$M$6:$M$10008,PURCHASE!$A$6:$A$10008,$AW$3,PURCHASE!$D$6:$D$10008,$C$5:$C$499)</f>
        <v>0</v>
      </c>
      <c r="BA130" s="11">
        <f>SUMIFS(PURCHASE!$N$6:$N$10008,PURCHASE!$A$6:$A$10008,$AW$3,PURCHASE!$D$6:$D$10008,$C$5:$C$499)</f>
        <v>0</v>
      </c>
      <c r="BB130" s="11">
        <f t="shared" si="28"/>
        <v>0</v>
      </c>
      <c r="BC130" s="11">
        <f>SUMIFS(PURCHASE!$K$6:$K$10008,PURCHASE!$A$6:$A$10008,$BB$3,PURCHASE!$D$6:$D$10008,$C$5:$C$499)</f>
        <v>0</v>
      </c>
      <c r="BD130" s="11">
        <f>SUMIFS(PURCHASE!$L$6:$L$10008,PURCHASE!$A$6:$A$10008,$BB$3,PURCHASE!$D$6:$D$10008,$C$5:$C$499)</f>
        <v>0</v>
      </c>
      <c r="BE130" s="11">
        <f>SUMIFS(PURCHASE!$M$6:$M$10008,PURCHASE!$A$6:$A$10008,$BB$3,PURCHASE!$D$6:$D$10008,$C$5:$C$499)</f>
        <v>0</v>
      </c>
      <c r="BF130" s="11">
        <f>SUMIFS(PURCHASE!$N$6:$N$10008,PURCHASE!$A$6:$A$10008,$BB$3,PURCHASE!$D$6:$D$10008,$C$5:$C$499)</f>
        <v>0</v>
      </c>
      <c r="BG130" s="11">
        <f t="shared" si="29"/>
        <v>0</v>
      </c>
      <c r="BH130" s="11">
        <f>SUMIFS(PURCHASE!$K$6:$K$10008,PURCHASE!$A$6:$A$10008,$BG$3,PURCHASE!$D$6:$D$10008,$C$5:$C$499)</f>
        <v>0</v>
      </c>
      <c r="BI130" s="11">
        <f>SUMIFS(PURCHASE!$L$6:$L$10008,PURCHASE!$A$6:$A$10008,$BG$3,PURCHASE!$D$6:$D$10008,$C$5:$C$499)</f>
        <v>0</v>
      </c>
      <c r="BJ130" s="11">
        <f>SUMIFS(PURCHASE!$M$6:$M$10008,PURCHASE!$A$6:$A$10008,$BG$3,PURCHASE!$D$6:$D$10008,$C$5:$C$499)</f>
        <v>0</v>
      </c>
      <c r="BK130" s="11">
        <f>SUMIFS(PURCHASE!$N$6:$N$10008,PURCHASE!$A$6:$A$10008,$BG$3,PURCHASE!$D$6:$D$10008,$C$5:$C$499)</f>
        <v>0</v>
      </c>
      <c r="BL130" s="11">
        <f t="shared" si="30"/>
        <v>56500.249600000003</v>
      </c>
      <c r="BM130" s="11">
        <f t="shared" si="30"/>
        <v>44140.819999999992</v>
      </c>
      <c r="BN130" s="11">
        <f t="shared" si="30"/>
        <v>12359.429599999999</v>
      </c>
      <c r="BO130" s="11">
        <f t="shared" si="30"/>
        <v>0</v>
      </c>
      <c r="BP130" s="11">
        <f t="shared" si="30"/>
        <v>0</v>
      </c>
    </row>
    <row r="131" spans="1:68" x14ac:dyDescent="0.2">
      <c r="A131" s="467">
        <v>128</v>
      </c>
      <c r="B131" s="468" t="s">
        <v>1173</v>
      </c>
      <c r="C131" s="469" t="s">
        <v>1174</v>
      </c>
      <c r="D131" s="11">
        <f t="shared" si="18"/>
        <v>0</v>
      </c>
      <c r="E131" s="11">
        <f>SUMIFS(PURCHASE!$K$6:$K$10008,PURCHASE!$A$6:$A$10008,$D$3,PURCHASE!$D$6:$D$10008,$C$5:$C$499)</f>
        <v>0</v>
      </c>
      <c r="F131" s="11">
        <f>SUMIFS(PURCHASE!$L$6:$L$10008,PURCHASE!$A$6:$A$10008,$D$3,PURCHASE!$D$6:$D$10008,$C$5:$C$499)</f>
        <v>0</v>
      </c>
      <c r="G131" s="11">
        <f>SUMIFS(PURCHASE!$M$6:$M$10008,PURCHASE!$A$6:$A$10008,$D$3,PURCHASE!$D$6:$D$10008,$C$5:$C$499)</f>
        <v>0</v>
      </c>
      <c r="H131" s="11">
        <f>SUMIFS(PURCHASE!$N$6:$N$10008,PURCHASE!$A$6:$A$10008,$D$3,PURCHASE!$D$6:$D$10008,$C$5:$C$499)</f>
        <v>0</v>
      </c>
      <c r="I131" s="473">
        <f t="shared" si="19"/>
        <v>0</v>
      </c>
      <c r="J131" s="60">
        <f>SUMIFS(PURCHASE!$K$6:$K$10008,PURCHASE!$A$6:$A$10008,$I$3,PURCHASE!$D$6:$D$10008,$C$5:$C$499)</f>
        <v>0</v>
      </c>
      <c r="K131" s="60">
        <f>SUMIFS(PURCHASE!$L$6:$L$10008,PURCHASE!$A$6:$A$10008,$I$3,PURCHASE!$D$6:$D$10008,$C$5:$C$499)</f>
        <v>0</v>
      </c>
      <c r="L131" s="60">
        <f>SUMIFS(PURCHASE!$M$6:$M$10008,PURCHASE!$A$6:$A$10008,$I$3,PURCHASE!$D$6:$D$10008,$C$5:$C$499)</f>
        <v>0</v>
      </c>
      <c r="M131" s="474">
        <f>SUMIFS(PURCHASE!$N$6:$N$10008,PURCHASE!$A$6:$A$10008,$I$3,PURCHASE!$D$6:$D$10008,$C$5:$C$499)</f>
        <v>0</v>
      </c>
      <c r="N131" s="11">
        <f t="shared" si="20"/>
        <v>0</v>
      </c>
      <c r="O131" s="11">
        <f>SUMIFS(PURCHASE!$K$6:$K$10008,PURCHASE!$A$6:$A$10008,$N$3,PURCHASE!$D$6:$D$10008,$C$5:$C$499)</f>
        <v>0</v>
      </c>
      <c r="P131" s="11">
        <f>SUMIFS(PURCHASE!$L$6:$L$10008,PURCHASE!$A$6:$A$10008,$N$3,PURCHASE!$D$6:$D$10008,$C$5:$C$499)</f>
        <v>0</v>
      </c>
      <c r="Q131" s="11">
        <f>SUMIFS(PURCHASE!$M$6:$M$10008,PURCHASE!$A$6:$A$10008,$N$3,PURCHASE!$D$6:$D$10008,$C$5:$C$499)</f>
        <v>0</v>
      </c>
      <c r="R131" s="11">
        <f>SUMIFS(PURCHASE!$N$6:$N$10008,PURCHASE!$A$6:$A$10008,$N$3,PURCHASE!$D$6:$D$10008,$C$5:$C$499)</f>
        <v>0</v>
      </c>
      <c r="S131" s="11">
        <f t="shared" si="21"/>
        <v>0</v>
      </c>
      <c r="T131" s="11">
        <f>SUMIFS(PURCHASE!$K$6:$K$10008,PURCHASE!$A$6:$A$10008,$S$3,PURCHASE!$D$6:$D$10008,$C$5:$C$499)</f>
        <v>0</v>
      </c>
      <c r="U131" s="11">
        <f>SUMIFS(PURCHASE!$L$6:$L$10008,PURCHASE!$A$6:$A$10008,$S$3,PURCHASE!$D$6:$D$10008,$C$5:$C$499)</f>
        <v>0</v>
      </c>
      <c r="V131" s="11">
        <f>SUMIFS(PURCHASE!$M$6:$M$10008,PURCHASE!$A$6:$A$10008,$S$3,PURCHASE!$D$6:$D$10008,$C$5:$C$499)</f>
        <v>0</v>
      </c>
      <c r="W131" s="11">
        <f>SUMIFS(PURCHASE!$N$6:$N$10008,PURCHASE!$A$6:$A$10008,$S$3,PURCHASE!$D$6:$D$10008,$C$5:$C$499)</f>
        <v>0</v>
      </c>
      <c r="X131" s="11">
        <f t="shared" si="22"/>
        <v>0</v>
      </c>
      <c r="Y131" s="11">
        <f>SUMIFS(PURCHASE!$K$6:$K$10008,PURCHASE!$A$6:$A$10008,$X$3,PURCHASE!$D$6:$D$10008,$C$5:$C$499)</f>
        <v>0</v>
      </c>
      <c r="Z131" s="11">
        <f>SUMIFS(PURCHASE!$L$6:$L$10008,PURCHASE!$A$6:$A$10008,$X$3,PURCHASE!$D$6:$D$10008,$C$5:$C$499)</f>
        <v>0</v>
      </c>
      <c r="AA131" s="11">
        <f>SUMIFS(PURCHASE!$M$6:$M$10008,PURCHASE!$A$6:$A$10008,$X$3,PURCHASE!$D$6:$D$10008,$C$5:$C$499)</f>
        <v>0</v>
      </c>
      <c r="AB131" s="11">
        <f>SUMIFS(PURCHASE!$N$6:$N$10008,PURCHASE!$A$6:$A$10008,$X$3,PURCHASE!$D$6:$D$10008,$C$5:$C$499)</f>
        <v>0</v>
      </c>
      <c r="AC131" s="11">
        <f t="shared" si="23"/>
        <v>0</v>
      </c>
      <c r="AD131" s="11">
        <f>SUMIFS(PURCHASE!$K$6:$K$10008,PURCHASE!$A$6:$A$10008,$AC$3,PURCHASE!$D$6:$D$10008,$C$5:$C$499)</f>
        <v>0</v>
      </c>
      <c r="AE131" s="11">
        <f>SUMIFS(PURCHASE!$L$6:$L$10008,PURCHASE!$A$6:$A$10008,$AC$3,PURCHASE!$D$6:$D$10008,$C$5:$C$499)</f>
        <v>0</v>
      </c>
      <c r="AF131" s="11">
        <f>SUMIFS(PURCHASE!$M$6:$M$10008,PURCHASE!$A$6:$A$10008,$AC$3,PURCHASE!$D$6:$D$10008,$C$5:$C$499)</f>
        <v>0</v>
      </c>
      <c r="AG131" s="11">
        <f>SUMIFS(PURCHASE!$N$6:$N$10008,PURCHASE!$A$6:$A$10008,$AC$3,PURCHASE!$D$6:$D$10008,$C$5:$C$499)</f>
        <v>0</v>
      </c>
      <c r="AH131" s="11">
        <f t="shared" si="24"/>
        <v>0</v>
      </c>
      <c r="AI131" s="11">
        <f>SUMIFS(PURCHASE!$K$6:$K$10008,PURCHASE!$A$6:$A$10008,$AH$3,PURCHASE!$D$6:$D$10008,$C$5:$C$499)</f>
        <v>0</v>
      </c>
      <c r="AJ131" s="11">
        <f>SUMIFS(PURCHASE!$L$6:$L$10008,PURCHASE!$A$6:$A$10008,$AH$3,PURCHASE!$D$6:$D$10008,$C$5:$C$499)</f>
        <v>0</v>
      </c>
      <c r="AK131" s="11">
        <f>SUMIFS(PURCHASE!$M$6:$M$10008,PURCHASE!$A$6:$A$10008,$AH$3,PURCHASE!$D$6:$D$10008,$C$5:$C$499)</f>
        <v>0</v>
      </c>
      <c r="AL131" s="11">
        <f>SUMIFS(PURCHASE!$N$6:$N$10008,PURCHASE!$A$6:$A$10008,$AH$3,PURCHASE!$D$6:$D$10008,$C$5:$C$499)</f>
        <v>0</v>
      </c>
      <c r="AM131" s="11">
        <f t="shared" si="25"/>
        <v>0</v>
      </c>
      <c r="AN131" s="11">
        <f>SUMIFS(PURCHASE!$K$6:$K$10008,PURCHASE!$A$6:$A$10008,$AM$3,PURCHASE!$D$6:$D$10008,$C$5:$C$499)</f>
        <v>0</v>
      </c>
      <c r="AO131" s="11">
        <f>SUMIFS(PURCHASE!$L$6:$L$10008,PURCHASE!$A$6:$A$10008,$AM$3,PURCHASE!$D$6:$D$10008,$C$5:$C$499)</f>
        <v>0</v>
      </c>
      <c r="AP131" s="11">
        <f>SUMIFS(PURCHASE!$M$6:$M$10008,PURCHASE!$A$6:$A$10008,$AM$3,PURCHASE!$D$6:$D$10008,$C$5:$C$499)</f>
        <v>0</v>
      </c>
      <c r="AQ131" s="11">
        <f>SUMIFS(PURCHASE!$N$6:$N$10008,PURCHASE!$A$6:$A$10008,$AM$3,PURCHASE!$D$6:$D$10008,$C$5:$C$499)</f>
        <v>0</v>
      </c>
      <c r="AR131" s="11">
        <f t="shared" si="26"/>
        <v>0</v>
      </c>
      <c r="AS131" s="11">
        <f>SUMIFS(PURCHASE!$K$6:$K$10008,PURCHASE!$A$6:$A$10008,$AR$3,PURCHASE!$D$6:$D$10008,$C$5:$C$499)</f>
        <v>0</v>
      </c>
      <c r="AT131" s="11">
        <f>SUMIFS(PURCHASE!$L$6:$L$10008,PURCHASE!$A$6:$A$10008,$AR$3,PURCHASE!$D$6:$D$10008,$C$5:$C$499)</f>
        <v>0</v>
      </c>
      <c r="AU131" s="11">
        <f>SUMIFS(PURCHASE!$M$6:$M$10008,PURCHASE!$A$6:$A$10008,$AR$3,PURCHASE!$D$6:$D$10008,$C$5:$C$499)</f>
        <v>0</v>
      </c>
      <c r="AV131" s="11">
        <f>SUMIFS(PURCHASE!$N$6:$N$10008,PURCHASE!$A$6:$A$10008,$AR$3,PURCHASE!$D$6:$D$10008,$C$5:$C$499)</f>
        <v>0</v>
      </c>
      <c r="AW131" s="11">
        <f t="shared" si="27"/>
        <v>0</v>
      </c>
      <c r="AX131" s="11">
        <f>SUMIFS(PURCHASE!$K$6:$K$10008,PURCHASE!$A$6:$A$10008,$AW$3,PURCHASE!$D$6:$D$10008,$C$5:$C$499)</f>
        <v>0</v>
      </c>
      <c r="AY131" s="11">
        <f>SUMIFS(PURCHASE!$L$6:$L$10008,PURCHASE!$A$6:$A$10008,$AW$3,PURCHASE!$D$6:$D$10008,$C$5:$C$499)</f>
        <v>0</v>
      </c>
      <c r="AZ131" s="11">
        <f>SUMIFS(PURCHASE!$M$6:$M$10008,PURCHASE!$A$6:$A$10008,$AW$3,PURCHASE!$D$6:$D$10008,$C$5:$C$499)</f>
        <v>0</v>
      </c>
      <c r="BA131" s="11">
        <f>SUMIFS(PURCHASE!$N$6:$N$10008,PURCHASE!$A$6:$A$10008,$AW$3,PURCHASE!$D$6:$D$10008,$C$5:$C$499)</f>
        <v>0</v>
      </c>
      <c r="BB131" s="11">
        <f t="shared" si="28"/>
        <v>0</v>
      </c>
      <c r="BC131" s="11">
        <f>SUMIFS(PURCHASE!$K$6:$K$10008,PURCHASE!$A$6:$A$10008,$BB$3,PURCHASE!$D$6:$D$10008,$C$5:$C$499)</f>
        <v>0</v>
      </c>
      <c r="BD131" s="11">
        <f>SUMIFS(PURCHASE!$L$6:$L$10008,PURCHASE!$A$6:$A$10008,$BB$3,PURCHASE!$D$6:$D$10008,$C$5:$C$499)</f>
        <v>0</v>
      </c>
      <c r="BE131" s="11">
        <f>SUMIFS(PURCHASE!$M$6:$M$10008,PURCHASE!$A$6:$A$10008,$BB$3,PURCHASE!$D$6:$D$10008,$C$5:$C$499)</f>
        <v>0</v>
      </c>
      <c r="BF131" s="11">
        <f>SUMIFS(PURCHASE!$N$6:$N$10008,PURCHASE!$A$6:$A$10008,$BB$3,PURCHASE!$D$6:$D$10008,$C$5:$C$499)</f>
        <v>0</v>
      </c>
      <c r="BG131" s="11">
        <f t="shared" si="29"/>
        <v>0</v>
      </c>
      <c r="BH131" s="11">
        <f>SUMIFS(PURCHASE!$K$6:$K$10008,PURCHASE!$A$6:$A$10008,$BG$3,PURCHASE!$D$6:$D$10008,$C$5:$C$499)</f>
        <v>0</v>
      </c>
      <c r="BI131" s="11">
        <f>SUMIFS(PURCHASE!$L$6:$L$10008,PURCHASE!$A$6:$A$10008,$BG$3,PURCHASE!$D$6:$D$10008,$C$5:$C$499)</f>
        <v>0</v>
      </c>
      <c r="BJ131" s="11">
        <f>SUMIFS(PURCHASE!$M$6:$M$10008,PURCHASE!$A$6:$A$10008,$BG$3,PURCHASE!$D$6:$D$10008,$C$5:$C$499)</f>
        <v>0</v>
      </c>
      <c r="BK131" s="11">
        <f>SUMIFS(PURCHASE!$N$6:$N$10008,PURCHASE!$A$6:$A$10008,$BG$3,PURCHASE!$D$6:$D$10008,$C$5:$C$499)</f>
        <v>0</v>
      </c>
      <c r="BL131" s="11">
        <f t="shared" si="30"/>
        <v>0</v>
      </c>
      <c r="BM131" s="11">
        <f t="shared" si="30"/>
        <v>0</v>
      </c>
      <c r="BN131" s="11">
        <f t="shared" si="30"/>
        <v>0</v>
      </c>
      <c r="BO131" s="11">
        <f t="shared" si="30"/>
        <v>0</v>
      </c>
      <c r="BP131" s="11">
        <f t="shared" si="30"/>
        <v>0</v>
      </c>
    </row>
    <row r="132" spans="1:68" x14ac:dyDescent="0.2">
      <c r="A132" s="467">
        <v>129</v>
      </c>
      <c r="B132" s="475" t="s">
        <v>963</v>
      </c>
      <c r="C132" s="475" t="s">
        <v>964</v>
      </c>
      <c r="D132" s="11">
        <f t="shared" si="18"/>
        <v>0</v>
      </c>
      <c r="E132" s="11">
        <f>SUMIFS(PURCHASE!$K$6:$K$10008,PURCHASE!$A$6:$A$10008,$D$3,PURCHASE!$D$6:$D$10008,$C$5:$C$499)</f>
        <v>0</v>
      </c>
      <c r="F132" s="11">
        <f>SUMIFS(PURCHASE!$L$6:$L$10008,PURCHASE!$A$6:$A$10008,$D$3,PURCHASE!$D$6:$D$10008,$C$5:$C$499)</f>
        <v>0</v>
      </c>
      <c r="G132" s="11">
        <f>SUMIFS(PURCHASE!$M$6:$M$10008,PURCHASE!$A$6:$A$10008,$D$3,PURCHASE!$D$6:$D$10008,$C$5:$C$499)</f>
        <v>0</v>
      </c>
      <c r="H132" s="11">
        <f>SUMIFS(PURCHASE!$N$6:$N$10008,PURCHASE!$A$6:$A$10008,$D$3,PURCHASE!$D$6:$D$10008,$C$5:$C$499)</f>
        <v>0</v>
      </c>
      <c r="I132" s="473">
        <f t="shared" si="19"/>
        <v>0</v>
      </c>
      <c r="J132" s="60">
        <f>SUMIFS(PURCHASE!$K$6:$K$10008,PURCHASE!$A$6:$A$10008,$I$3,PURCHASE!$D$6:$D$10008,$C$5:$C$499)</f>
        <v>0</v>
      </c>
      <c r="K132" s="60">
        <f>SUMIFS(PURCHASE!$L$6:$L$10008,PURCHASE!$A$6:$A$10008,$I$3,PURCHASE!$D$6:$D$10008,$C$5:$C$499)</f>
        <v>0</v>
      </c>
      <c r="L132" s="60">
        <f>SUMIFS(PURCHASE!$M$6:$M$10008,PURCHASE!$A$6:$A$10008,$I$3,PURCHASE!$D$6:$D$10008,$C$5:$C$499)</f>
        <v>0</v>
      </c>
      <c r="M132" s="474">
        <f>SUMIFS(PURCHASE!$N$6:$N$10008,PURCHASE!$A$6:$A$10008,$I$3,PURCHASE!$D$6:$D$10008,$C$5:$C$499)</f>
        <v>0</v>
      </c>
      <c r="N132" s="11">
        <f t="shared" si="20"/>
        <v>0</v>
      </c>
      <c r="O132" s="11">
        <f>SUMIFS(PURCHASE!$K$6:$K$10008,PURCHASE!$A$6:$A$10008,$N$3,PURCHASE!$D$6:$D$10008,$C$5:$C$499)</f>
        <v>0</v>
      </c>
      <c r="P132" s="11">
        <f>SUMIFS(PURCHASE!$L$6:$L$10008,PURCHASE!$A$6:$A$10008,$N$3,PURCHASE!$D$6:$D$10008,$C$5:$C$499)</f>
        <v>0</v>
      </c>
      <c r="Q132" s="11">
        <f>SUMIFS(PURCHASE!$M$6:$M$10008,PURCHASE!$A$6:$A$10008,$N$3,PURCHASE!$D$6:$D$10008,$C$5:$C$499)</f>
        <v>0</v>
      </c>
      <c r="R132" s="11">
        <f>SUMIFS(PURCHASE!$N$6:$N$10008,PURCHASE!$A$6:$A$10008,$N$3,PURCHASE!$D$6:$D$10008,$C$5:$C$499)</f>
        <v>0</v>
      </c>
      <c r="S132" s="11">
        <f t="shared" si="21"/>
        <v>0</v>
      </c>
      <c r="T132" s="11">
        <f>SUMIFS(PURCHASE!$K$6:$K$10008,PURCHASE!$A$6:$A$10008,$S$3,PURCHASE!$D$6:$D$10008,$C$5:$C$499)</f>
        <v>0</v>
      </c>
      <c r="U132" s="11">
        <f>SUMIFS(PURCHASE!$L$6:$L$10008,PURCHASE!$A$6:$A$10008,$S$3,PURCHASE!$D$6:$D$10008,$C$5:$C$499)</f>
        <v>0</v>
      </c>
      <c r="V132" s="11">
        <f>SUMIFS(PURCHASE!$M$6:$M$10008,PURCHASE!$A$6:$A$10008,$S$3,PURCHASE!$D$6:$D$10008,$C$5:$C$499)</f>
        <v>0</v>
      </c>
      <c r="W132" s="11">
        <f>SUMIFS(PURCHASE!$N$6:$N$10008,PURCHASE!$A$6:$A$10008,$S$3,PURCHASE!$D$6:$D$10008,$C$5:$C$499)</f>
        <v>0</v>
      </c>
      <c r="X132" s="11">
        <f t="shared" si="22"/>
        <v>0</v>
      </c>
      <c r="Y132" s="11">
        <f>SUMIFS(PURCHASE!$K$6:$K$10008,PURCHASE!$A$6:$A$10008,$X$3,PURCHASE!$D$6:$D$10008,$C$5:$C$499)</f>
        <v>0</v>
      </c>
      <c r="Z132" s="11">
        <f>SUMIFS(PURCHASE!$L$6:$L$10008,PURCHASE!$A$6:$A$10008,$X$3,PURCHASE!$D$6:$D$10008,$C$5:$C$499)</f>
        <v>0</v>
      </c>
      <c r="AA132" s="11">
        <f>SUMIFS(PURCHASE!$M$6:$M$10008,PURCHASE!$A$6:$A$10008,$X$3,PURCHASE!$D$6:$D$10008,$C$5:$C$499)</f>
        <v>0</v>
      </c>
      <c r="AB132" s="11">
        <f>SUMIFS(PURCHASE!$N$6:$N$10008,PURCHASE!$A$6:$A$10008,$X$3,PURCHASE!$D$6:$D$10008,$C$5:$C$499)</f>
        <v>0</v>
      </c>
      <c r="AC132" s="11">
        <f t="shared" si="23"/>
        <v>1770</v>
      </c>
      <c r="AD132" s="11">
        <f>SUMIFS(PURCHASE!$K$6:$K$10008,PURCHASE!$A$6:$A$10008,$AC$3,PURCHASE!$D$6:$D$10008,$C$5:$C$499)</f>
        <v>1500</v>
      </c>
      <c r="AE132" s="11">
        <f>SUMIFS(PURCHASE!$L$6:$L$10008,PURCHASE!$A$6:$A$10008,$AC$3,PURCHASE!$D$6:$D$10008,$C$5:$C$499)</f>
        <v>0</v>
      </c>
      <c r="AF132" s="11">
        <f>SUMIFS(PURCHASE!$M$6:$M$10008,PURCHASE!$A$6:$A$10008,$AC$3,PURCHASE!$D$6:$D$10008,$C$5:$C$499)</f>
        <v>135</v>
      </c>
      <c r="AG132" s="11">
        <f>SUMIFS(PURCHASE!$N$6:$N$10008,PURCHASE!$A$6:$A$10008,$AC$3,PURCHASE!$D$6:$D$10008,$C$5:$C$499)</f>
        <v>135</v>
      </c>
      <c r="AH132" s="11">
        <f t="shared" si="24"/>
        <v>0</v>
      </c>
      <c r="AI132" s="11">
        <f>SUMIFS(PURCHASE!$K$6:$K$10008,PURCHASE!$A$6:$A$10008,$AH$3,PURCHASE!$D$6:$D$10008,$C$5:$C$499)</f>
        <v>0</v>
      </c>
      <c r="AJ132" s="11">
        <f>SUMIFS(PURCHASE!$L$6:$L$10008,PURCHASE!$A$6:$A$10008,$AH$3,PURCHASE!$D$6:$D$10008,$C$5:$C$499)</f>
        <v>0</v>
      </c>
      <c r="AK132" s="11">
        <f>SUMIFS(PURCHASE!$M$6:$M$10008,PURCHASE!$A$6:$A$10008,$AH$3,PURCHASE!$D$6:$D$10008,$C$5:$C$499)</f>
        <v>0</v>
      </c>
      <c r="AL132" s="11">
        <f>SUMIFS(PURCHASE!$N$6:$N$10008,PURCHASE!$A$6:$A$10008,$AH$3,PURCHASE!$D$6:$D$10008,$C$5:$C$499)</f>
        <v>0</v>
      </c>
      <c r="AM132" s="11">
        <f t="shared" si="25"/>
        <v>0</v>
      </c>
      <c r="AN132" s="11">
        <f>SUMIFS(PURCHASE!$K$6:$K$10008,PURCHASE!$A$6:$A$10008,$AM$3,PURCHASE!$D$6:$D$10008,$C$5:$C$499)</f>
        <v>0</v>
      </c>
      <c r="AO132" s="11">
        <f>SUMIFS(PURCHASE!$L$6:$L$10008,PURCHASE!$A$6:$A$10008,$AM$3,PURCHASE!$D$6:$D$10008,$C$5:$C$499)</f>
        <v>0</v>
      </c>
      <c r="AP132" s="11">
        <f>SUMIFS(PURCHASE!$M$6:$M$10008,PURCHASE!$A$6:$A$10008,$AM$3,PURCHASE!$D$6:$D$10008,$C$5:$C$499)</f>
        <v>0</v>
      </c>
      <c r="AQ132" s="11">
        <f>SUMIFS(PURCHASE!$N$6:$N$10008,PURCHASE!$A$6:$A$10008,$AM$3,PURCHASE!$D$6:$D$10008,$C$5:$C$499)</f>
        <v>0</v>
      </c>
      <c r="AR132" s="11">
        <f t="shared" si="26"/>
        <v>0</v>
      </c>
      <c r="AS132" s="11">
        <f>SUMIFS(PURCHASE!$K$6:$K$10008,PURCHASE!$A$6:$A$10008,$AR$3,PURCHASE!$D$6:$D$10008,$C$5:$C$499)</f>
        <v>0</v>
      </c>
      <c r="AT132" s="11">
        <f>SUMIFS(PURCHASE!$L$6:$L$10008,PURCHASE!$A$6:$A$10008,$AR$3,PURCHASE!$D$6:$D$10008,$C$5:$C$499)</f>
        <v>0</v>
      </c>
      <c r="AU132" s="11">
        <f>SUMIFS(PURCHASE!$M$6:$M$10008,PURCHASE!$A$6:$A$10008,$AR$3,PURCHASE!$D$6:$D$10008,$C$5:$C$499)</f>
        <v>0</v>
      </c>
      <c r="AV132" s="11">
        <f>SUMIFS(PURCHASE!$N$6:$N$10008,PURCHASE!$A$6:$A$10008,$AR$3,PURCHASE!$D$6:$D$10008,$C$5:$C$499)</f>
        <v>0</v>
      </c>
      <c r="AW132" s="11">
        <f t="shared" si="27"/>
        <v>0</v>
      </c>
      <c r="AX132" s="11">
        <f>SUMIFS(PURCHASE!$K$6:$K$10008,PURCHASE!$A$6:$A$10008,$AW$3,PURCHASE!$D$6:$D$10008,$C$5:$C$499)</f>
        <v>0</v>
      </c>
      <c r="AY132" s="11">
        <f>SUMIFS(PURCHASE!$L$6:$L$10008,PURCHASE!$A$6:$A$10008,$AW$3,PURCHASE!$D$6:$D$10008,$C$5:$C$499)</f>
        <v>0</v>
      </c>
      <c r="AZ132" s="11">
        <f>SUMIFS(PURCHASE!$M$6:$M$10008,PURCHASE!$A$6:$A$10008,$AW$3,PURCHASE!$D$6:$D$10008,$C$5:$C$499)</f>
        <v>0</v>
      </c>
      <c r="BA132" s="11">
        <f>SUMIFS(PURCHASE!$N$6:$N$10008,PURCHASE!$A$6:$A$10008,$AW$3,PURCHASE!$D$6:$D$10008,$C$5:$C$499)</f>
        <v>0</v>
      </c>
      <c r="BB132" s="11">
        <f t="shared" si="28"/>
        <v>0</v>
      </c>
      <c r="BC132" s="11">
        <f>SUMIFS(PURCHASE!$K$6:$K$10008,PURCHASE!$A$6:$A$10008,$BB$3,PURCHASE!$D$6:$D$10008,$C$5:$C$499)</f>
        <v>0</v>
      </c>
      <c r="BD132" s="11">
        <f>SUMIFS(PURCHASE!$L$6:$L$10008,PURCHASE!$A$6:$A$10008,$BB$3,PURCHASE!$D$6:$D$10008,$C$5:$C$499)</f>
        <v>0</v>
      </c>
      <c r="BE132" s="11">
        <f>SUMIFS(PURCHASE!$M$6:$M$10008,PURCHASE!$A$6:$A$10008,$BB$3,PURCHASE!$D$6:$D$10008,$C$5:$C$499)</f>
        <v>0</v>
      </c>
      <c r="BF132" s="11">
        <f>SUMIFS(PURCHASE!$N$6:$N$10008,PURCHASE!$A$6:$A$10008,$BB$3,PURCHASE!$D$6:$D$10008,$C$5:$C$499)</f>
        <v>0</v>
      </c>
      <c r="BG132" s="11">
        <f t="shared" si="29"/>
        <v>0</v>
      </c>
      <c r="BH132" s="11">
        <f>SUMIFS(PURCHASE!$K$6:$K$10008,PURCHASE!$A$6:$A$10008,$BG$3,PURCHASE!$D$6:$D$10008,$C$5:$C$499)</f>
        <v>0</v>
      </c>
      <c r="BI132" s="11">
        <f>SUMIFS(PURCHASE!$L$6:$L$10008,PURCHASE!$A$6:$A$10008,$BG$3,PURCHASE!$D$6:$D$10008,$C$5:$C$499)</f>
        <v>0</v>
      </c>
      <c r="BJ132" s="11">
        <f>SUMIFS(PURCHASE!$M$6:$M$10008,PURCHASE!$A$6:$A$10008,$BG$3,PURCHASE!$D$6:$D$10008,$C$5:$C$499)</f>
        <v>0</v>
      </c>
      <c r="BK132" s="11">
        <f>SUMIFS(PURCHASE!$N$6:$N$10008,PURCHASE!$A$6:$A$10008,$BG$3,PURCHASE!$D$6:$D$10008,$C$5:$C$499)</f>
        <v>0</v>
      </c>
      <c r="BL132" s="11">
        <f t="shared" si="30"/>
        <v>1770</v>
      </c>
      <c r="BM132" s="11">
        <f t="shared" si="30"/>
        <v>1500</v>
      </c>
      <c r="BN132" s="11">
        <f t="shared" si="30"/>
        <v>0</v>
      </c>
      <c r="BO132" s="11">
        <f t="shared" si="30"/>
        <v>135</v>
      </c>
      <c r="BP132" s="11">
        <f t="shared" si="30"/>
        <v>135</v>
      </c>
    </row>
    <row r="133" spans="1:68" x14ac:dyDescent="0.2">
      <c r="A133" s="467">
        <v>130</v>
      </c>
      <c r="B133" s="468" t="s">
        <v>541</v>
      </c>
      <c r="C133" s="469" t="s">
        <v>542</v>
      </c>
      <c r="D133" s="11">
        <f t="shared" si="18"/>
        <v>4130</v>
      </c>
      <c r="E133" s="11">
        <f>SUMIFS(PURCHASE!$K$6:$K$10008,PURCHASE!$A$6:$A$10008,$D$3,PURCHASE!$D$6:$D$10008,$C$5:$C$499)</f>
        <v>3500</v>
      </c>
      <c r="F133" s="11">
        <f>SUMIFS(PURCHASE!$L$6:$L$10008,PURCHASE!$A$6:$A$10008,$D$3,PURCHASE!$D$6:$D$10008,$C$5:$C$499)</f>
        <v>0</v>
      </c>
      <c r="G133" s="11">
        <f>SUMIFS(PURCHASE!$M$6:$M$10008,PURCHASE!$A$6:$A$10008,$D$3,PURCHASE!$D$6:$D$10008,$C$5:$C$499)</f>
        <v>315</v>
      </c>
      <c r="H133" s="11">
        <f>SUMIFS(PURCHASE!$N$6:$N$10008,PURCHASE!$A$6:$A$10008,$D$3,PURCHASE!$D$6:$D$10008,$C$5:$C$499)</f>
        <v>315</v>
      </c>
      <c r="I133" s="473">
        <f t="shared" si="19"/>
        <v>4130</v>
      </c>
      <c r="J133" s="60">
        <f>SUMIFS(PURCHASE!$K$6:$K$10008,PURCHASE!$A$6:$A$10008,$I$3,PURCHASE!$D$6:$D$10008,$C$5:$C$499)</f>
        <v>3500</v>
      </c>
      <c r="K133" s="60">
        <f>SUMIFS(PURCHASE!$L$6:$L$10008,PURCHASE!$A$6:$A$10008,$I$3,PURCHASE!$D$6:$D$10008,$C$5:$C$499)</f>
        <v>0</v>
      </c>
      <c r="L133" s="60">
        <f>SUMIFS(PURCHASE!$M$6:$M$10008,PURCHASE!$A$6:$A$10008,$I$3,PURCHASE!$D$6:$D$10008,$C$5:$C$499)</f>
        <v>315</v>
      </c>
      <c r="M133" s="474">
        <f>SUMIFS(PURCHASE!$N$6:$N$10008,PURCHASE!$A$6:$A$10008,$I$3,PURCHASE!$D$6:$D$10008,$C$5:$C$499)</f>
        <v>315</v>
      </c>
      <c r="N133" s="11">
        <f t="shared" si="20"/>
        <v>4130</v>
      </c>
      <c r="O133" s="11">
        <f>SUMIFS(PURCHASE!$K$6:$K$10008,PURCHASE!$A$6:$A$10008,$N$3,PURCHASE!$D$6:$D$10008,$C$5:$C$499)</f>
        <v>3500</v>
      </c>
      <c r="P133" s="11">
        <f>SUMIFS(PURCHASE!$L$6:$L$10008,PURCHASE!$A$6:$A$10008,$N$3,PURCHASE!$D$6:$D$10008,$C$5:$C$499)</f>
        <v>0</v>
      </c>
      <c r="Q133" s="11">
        <f>SUMIFS(PURCHASE!$M$6:$M$10008,PURCHASE!$A$6:$A$10008,$N$3,PURCHASE!$D$6:$D$10008,$C$5:$C$499)</f>
        <v>315</v>
      </c>
      <c r="R133" s="11">
        <f>SUMIFS(PURCHASE!$N$6:$N$10008,PURCHASE!$A$6:$A$10008,$N$3,PURCHASE!$D$6:$D$10008,$C$5:$C$499)</f>
        <v>315</v>
      </c>
      <c r="S133" s="11">
        <f t="shared" si="21"/>
        <v>4130</v>
      </c>
      <c r="T133" s="11">
        <f>SUMIFS(PURCHASE!$K$6:$K$10008,PURCHASE!$A$6:$A$10008,$S$3,PURCHASE!$D$6:$D$10008,$C$5:$C$499)</f>
        <v>3500</v>
      </c>
      <c r="U133" s="11">
        <f>SUMIFS(PURCHASE!$L$6:$L$10008,PURCHASE!$A$6:$A$10008,$S$3,PURCHASE!$D$6:$D$10008,$C$5:$C$499)</f>
        <v>0</v>
      </c>
      <c r="V133" s="11">
        <f>SUMIFS(PURCHASE!$M$6:$M$10008,PURCHASE!$A$6:$A$10008,$S$3,PURCHASE!$D$6:$D$10008,$C$5:$C$499)</f>
        <v>315</v>
      </c>
      <c r="W133" s="11">
        <f>SUMIFS(PURCHASE!$N$6:$N$10008,PURCHASE!$A$6:$A$10008,$S$3,PURCHASE!$D$6:$D$10008,$C$5:$C$499)</f>
        <v>315</v>
      </c>
      <c r="X133" s="11">
        <f t="shared" si="22"/>
        <v>4130</v>
      </c>
      <c r="Y133" s="11">
        <f>SUMIFS(PURCHASE!$K$6:$K$10008,PURCHASE!$A$6:$A$10008,$X$3,PURCHASE!$D$6:$D$10008,$C$5:$C$499)</f>
        <v>3500</v>
      </c>
      <c r="Z133" s="11">
        <f>SUMIFS(PURCHASE!$L$6:$L$10008,PURCHASE!$A$6:$A$10008,$X$3,PURCHASE!$D$6:$D$10008,$C$5:$C$499)</f>
        <v>0</v>
      </c>
      <c r="AA133" s="11">
        <f>SUMIFS(PURCHASE!$M$6:$M$10008,PURCHASE!$A$6:$A$10008,$X$3,PURCHASE!$D$6:$D$10008,$C$5:$C$499)</f>
        <v>315</v>
      </c>
      <c r="AB133" s="11">
        <f>SUMIFS(PURCHASE!$N$6:$N$10008,PURCHASE!$A$6:$A$10008,$X$3,PURCHASE!$D$6:$D$10008,$C$5:$C$499)</f>
        <v>315</v>
      </c>
      <c r="AC133" s="11">
        <f t="shared" si="23"/>
        <v>4130</v>
      </c>
      <c r="AD133" s="11">
        <f>SUMIFS(PURCHASE!$K$6:$K$10008,PURCHASE!$A$6:$A$10008,$AC$3,PURCHASE!$D$6:$D$10008,$C$5:$C$499)</f>
        <v>3500</v>
      </c>
      <c r="AE133" s="11">
        <f>SUMIFS(PURCHASE!$L$6:$L$10008,PURCHASE!$A$6:$A$10008,$AC$3,PURCHASE!$D$6:$D$10008,$C$5:$C$499)</f>
        <v>0</v>
      </c>
      <c r="AF133" s="11">
        <f>SUMIFS(PURCHASE!$M$6:$M$10008,PURCHASE!$A$6:$A$10008,$AC$3,PURCHASE!$D$6:$D$10008,$C$5:$C$499)</f>
        <v>315</v>
      </c>
      <c r="AG133" s="11">
        <f>SUMIFS(PURCHASE!$N$6:$N$10008,PURCHASE!$A$6:$A$10008,$AC$3,PURCHASE!$D$6:$D$10008,$C$5:$C$499)</f>
        <v>315</v>
      </c>
      <c r="AH133" s="11">
        <f t="shared" si="24"/>
        <v>4130</v>
      </c>
      <c r="AI133" s="11">
        <f>SUMIFS(PURCHASE!$K$6:$K$10008,PURCHASE!$A$6:$A$10008,$AH$3,PURCHASE!$D$6:$D$10008,$C$5:$C$499)</f>
        <v>3500</v>
      </c>
      <c r="AJ133" s="11">
        <f>SUMIFS(PURCHASE!$L$6:$L$10008,PURCHASE!$A$6:$A$10008,$AH$3,PURCHASE!$D$6:$D$10008,$C$5:$C$499)</f>
        <v>0</v>
      </c>
      <c r="AK133" s="11">
        <f>SUMIFS(PURCHASE!$M$6:$M$10008,PURCHASE!$A$6:$A$10008,$AH$3,PURCHASE!$D$6:$D$10008,$C$5:$C$499)</f>
        <v>315</v>
      </c>
      <c r="AL133" s="11">
        <f>SUMIFS(PURCHASE!$N$6:$N$10008,PURCHASE!$A$6:$A$10008,$AH$3,PURCHASE!$D$6:$D$10008,$C$5:$C$499)</f>
        <v>315</v>
      </c>
      <c r="AM133" s="11">
        <f t="shared" si="25"/>
        <v>0</v>
      </c>
      <c r="AN133" s="11">
        <f>SUMIFS(PURCHASE!$K$6:$K$10008,PURCHASE!$A$6:$A$10008,$AM$3,PURCHASE!$D$6:$D$10008,$C$5:$C$499)</f>
        <v>0</v>
      </c>
      <c r="AO133" s="11">
        <f>SUMIFS(PURCHASE!$L$6:$L$10008,PURCHASE!$A$6:$A$10008,$AM$3,PURCHASE!$D$6:$D$10008,$C$5:$C$499)</f>
        <v>0</v>
      </c>
      <c r="AP133" s="11">
        <f>SUMIFS(PURCHASE!$M$6:$M$10008,PURCHASE!$A$6:$A$10008,$AM$3,PURCHASE!$D$6:$D$10008,$C$5:$C$499)</f>
        <v>0</v>
      </c>
      <c r="AQ133" s="11">
        <f>SUMIFS(PURCHASE!$N$6:$N$10008,PURCHASE!$A$6:$A$10008,$AM$3,PURCHASE!$D$6:$D$10008,$C$5:$C$499)</f>
        <v>0</v>
      </c>
      <c r="AR133" s="11">
        <f t="shared" si="26"/>
        <v>0</v>
      </c>
      <c r="AS133" s="11">
        <f>SUMIFS(PURCHASE!$K$6:$K$10008,PURCHASE!$A$6:$A$10008,$AR$3,PURCHASE!$D$6:$D$10008,$C$5:$C$499)</f>
        <v>0</v>
      </c>
      <c r="AT133" s="11">
        <f>SUMIFS(PURCHASE!$L$6:$L$10008,PURCHASE!$A$6:$A$10008,$AR$3,PURCHASE!$D$6:$D$10008,$C$5:$C$499)</f>
        <v>0</v>
      </c>
      <c r="AU133" s="11">
        <f>SUMIFS(PURCHASE!$M$6:$M$10008,PURCHASE!$A$6:$A$10008,$AR$3,PURCHASE!$D$6:$D$10008,$C$5:$C$499)</f>
        <v>0</v>
      </c>
      <c r="AV133" s="11">
        <f>SUMIFS(PURCHASE!$N$6:$N$10008,PURCHASE!$A$6:$A$10008,$AR$3,PURCHASE!$D$6:$D$10008,$C$5:$C$499)</f>
        <v>0</v>
      </c>
      <c r="AW133" s="11">
        <f t="shared" si="27"/>
        <v>0</v>
      </c>
      <c r="AX133" s="11">
        <f>SUMIFS(PURCHASE!$K$6:$K$10008,PURCHASE!$A$6:$A$10008,$AW$3,PURCHASE!$D$6:$D$10008,$C$5:$C$499)</f>
        <v>0</v>
      </c>
      <c r="AY133" s="11">
        <f>SUMIFS(PURCHASE!$L$6:$L$10008,PURCHASE!$A$6:$A$10008,$AW$3,PURCHASE!$D$6:$D$10008,$C$5:$C$499)</f>
        <v>0</v>
      </c>
      <c r="AZ133" s="11">
        <f>SUMIFS(PURCHASE!$M$6:$M$10008,PURCHASE!$A$6:$A$10008,$AW$3,PURCHASE!$D$6:$D$10008,$C$5:$C$499)</f>
        <v>0</v>
      </c>
      <c r="BA133" s="11">
        <f>SUMIFS(PURCHASE!$N$6:$N$10008,PURCHASE!$A$6:$A$10008,$AW$3,PURCHASE!$D$6:$D$10008,$C$5:$C$499)</f>
        <v>0</v>
      </c>
      <c r="BB133" s="11">
        <f t="shared" si="28"/>
        <v>0</v>
      </c>
      <c r="BC133" s="11">
        <f>SUMIFS(PURCHASE!$K$6:$K$10008,PURCHASE!$A$6:$A$10008,$BB$3,PURCHASE!$D$6:$D$10008,$C$5:$C$499)</f>
        <v>0</v>
      </c>
      <c r="BD133" s="11">
        <f>SUMIFS(PURCHASE!$L$6:$L$10008,PURCHASE!$A$6:$A$10008,$BB$3,PURCHASE!$D$6:$D$10008,$C$5:$C$499)</f>
        <v>0</v>
      </c>
      <c r="BE133" s="11">
        <f>SUMIFS(PURCHASE!$M$6:$M$10008,PURCHASE!$A$6:$A$10008,$BB$3,PURCHASE!$D$6:$D$10008,$C$5:$C$499)</f>
        <v>0</v>
      </c>
      <c r="BF133" s="11">
        <f>SUMIFS(PURCHASE!$N$6:$N$10008,PURCHASE!$A$6:$A$10008,$BB$3,PURCHASE!$D$6:$D$10008,$C$5:$C$499)</f>
        <v>0</v>
      </c>
      <c r="BG133" s="11">
        <f t="shared" si="29"/>
        <v>0</v>
      </c>
      <c r="BH133" s="11">
        <f>SUMIFS(PURCHASE!$K$6:$K$10008,PURCHASE!$A$6:$A$10008,$BG$3,PURCHASE!$D$6:$D$10008,$C$5:$C$499)</f>
        <v>0</v>
      </c>
      <c r="BI133" s="11">
        <f>SUMIFS(PURCHASE!$L$6:$L$10008,PURCHASE!$A$6:$A$10008,$BG$3,PURCHASE!$D$6:$D$10008,$C$5:$C$499)</f>
        <v>0</v>
      </c>
      <c r="BJ133" s="11">
        <f>SUMIFS(PURCHASE!$M$6:$M$10008,PURCHASE!$A$6:$A$10008,$BG$3,PURCHASE!$D$6:$D$10008,$C$5:$C$499)</f>
        <v>0</v>
      </c>
      <c r="BK133" s="11">
        <f>SUMIFS(PURCHASE!$N$6:$N$10008,PURCHASE!$A$6:$A$10008,$BG$3,PURCHASE!$D$6:$D$10008,$C$5:$C$499)</f>
        <v>0</v>
      </c>
      <c r="BL133" s="11">
        <f t="shared" si="30"/>
        <v>28910</v>
      </c>
      <c r="BM133" s="11">
        <f t="shared" si="30"/>
        <v>24500</v>
      </c>
      <c r="BN133" s="11">
        <f t="shared" si="30"/>
        <v>0</v>
      </c>
      <c r="BO133" s="11">
        <f t="shared" si="30"/>
        <v>2205</v>
      </c>
      <c r="BP133" s="11">
        <f t="shared" si="30"/>
        <v>2205</v>
      </c>
    </row>
    <row r="134" spans="1:68" x14ac:dyDescent="0.2">
      <c r="A134" s="467">
        <v>131</v>
      </c>
      <c r="B134" s="468" t="s">
        <v>565</v>
      </c>
      <c r="C134" s="469" t="s">
        <v>566</v>
      </c>
      <c r="D134" s="11">
        <f t="shared" si="18"/>
        <v>18169.281200000001</v>
      </c>
      <c r="E134" s="11">
        <f>SUMIFS(PURCHASE!$K$6:$K$10008,PURCHASE!$A$6:$A$10008,$D$3,PURCHASE!$D$6:$D$10008,$C$5:$C$499)</f>
        <v>15456.34</v>
      </c>
      <c r="F134" s="11">
        <f>SUMIFS(PURCHASE!$L$6:$L$10008,PURCHASE!$A$6:$A$10008,$D$3,PURCHASE!$D$6:$D$10008,$C$5:$C$499)</f>
        <v>0</v>
      </c>
      <c r="G134" s="11">
        <f>SUMIFS(PURCHASE!$M$6:$M$10008,PURCHASE!$A$6:$A$10008,$D$3,PURCHASE!$D$6:$D$10008,$C$5:$C$499)</f>
        <v>1356.4705999999999</v>
      </c>
      <c r="H134" s="11">
        <f>SUMIFS(PURCHASE!$N$6:$N$10008,PURCHASE!$A$6:$A$10008,$D$3,PURCHASE!$D$6:$D$10008,$C$5:$C$499)</f>
        <v>1356.4705999999999</v>
      </c>
      <c r="I134" s="473">
        <f t="shared" si="19"/>
        <v>13880.5756</v>
      </c>
      <c r="J134" s="60">
        <f>SUMIFS(PURCHASE!$K$6:$K$10008,PURCHASE!$A$6:$A$10008,$I$3,PURCHASE!$D$6:$D$10008,$C$5:$C$499)</f>
        <v>11902.42</v>
      </c>
      <c r="K134" s="60">
        <f>SUMIFS(PURCHASE!$L$6:$L$10008,PURCHASE!$A$6:$A$10008,$I$3,PURCHASE!$D$6:$D$10008,$C$5:$C$499)</f>
        <v>0</v>
      </c>
      <c r="L134" s="60">
        <f>SUMIFS(PURCHASE!$M$6:$M$10008,PURCHASE!$A$6:$A$10008,$I$3,PURCHASE!$D$6:$D$10008,$C$5:$C$499)</f>
        <v>989.07780000000002</v>
      </c>
      <c r="M134" s="474">
        <f>SUMIFS(PURCHASE!$N$6:$N$10008,PURCHASE!$A$6:$A$10008,$I$3,PURCHASE!$D$6:$D$10008,$C$5:$C$499)</f>
        <v>989.07780000000002</v>
      </c>
      <c r="N134" s="11">
        <f t="shared" si="20"/>
        <v>10602.955799999998</v>
      </c>
      <c r="O134" s="11">
        <f>SUMIFS(PURCHASE!$K$6:$K$10008,PURCHASE!$A$6:$A$10008,$N$3,PURCHASE!$D$6:$D$10008,$C$5:$C$499)</f>
        <v>9020.81</v>
      </c>
      <c r="P134" s="11">
        <f>SUMIFS(PURCHASE!$L$6:$L$10008,PURCHASE!$A$6:$A$10008,$N$3,PURCHASE!$D$6:$D$10008,$C$5:$C$499)</f>
        <v>0</v>
      </c>
      <c r="Q134" s="11">
        <f>SUMIFS(PURCHASE!$M$6:$M$10008,PURCHASE!$A$6:$A$10008,$N$3,PURCHASE!$D$6:$D$10008,$C$5:$C$499)</f>
        <v>791.07289999999989</v>
      </c>
      <c r="R134" s="11">
        <f>SUMIFS(PURCHASE!$N$6:$N$10008,PURCHASE!$A$6:$A$10008,$N$3,PURCHASE!$D$6:$D$10008,$C$5:$C$499)</f>
        <v>791.07289999999989</v>
      </c>
      <c r="S134" s="11">
        <f t="shared" si="21"/>
        <v>0</v>
      </c>
      <c r="T134" s="11">
        <f>SUMIFS(PURCHASE!$K$6:$K$10008,PURCHASE!$A$6:$A$10008,$S$3,PURCHASE!$D$6:$D$10008,$C$5:$C$499)</f>
        <v>0</v>
      </c>
      <c r="U134" s="11">
        <f>SUMIFS(PURCHASE!$L$6:$L$10008,PURCHASE!$A$6:$A$10008,$S$3,PURCHASE!$D$6:$D$10008,$C$5:$C$499)</f>
        <v>0</v>
      </c>
      <c r="V134" s="11">
        <f>SUMIFS(PURCHASE!$M$6:$M$10008,PURCHASE!$A$6:$A$10008,$S$3,PURCHASE!$D$6:$D$10008,$C$5:$C$499)</f>
        <v>0</v>
      </c>
      <c r="W134" s="11">
        <f>SUMIFS(PURCHASE!$N$6:$N$10008,PURCHASE!$A$6:$A$10008,$S$3,PURCHASE!$D$6:$D$10008,$C$5:$C$499)</f>
        <v>0</v>
      </c>
      <c r="X134" s="11">
        <f t="shared" si="22"/>
        <v>0</v>
      </c>
      <c r="Y134" s="11">
        <f>SUMIFS(PURCHASE!$K$6:$K$10008,PURCHASE!$A$6:$A$10008,$X$3,PURCHASE!$D$6:$D$10008,$C$5:$C$499)</f>
        <v>0</v>
      </c>
      <c r="Z134" s="11">
        <f>SUMIFS(PURCHASE!$L$6:$L$10008,PURCHASE!$A$6:$A$10008,$X$3,PURCHASE!$D$6:$D$10008,$C$5:$C$499)</f>
        <v>0</v>
      </c>
      <c r="AA134" s="11">
        <f>SUMIFS(PURCHASE!$M$6:$M$10008,PURCHASE!$A$6:$A$10008,$X$3,PURCHASE!$D$6:$D$10008,$C$5:$C$499)</f>
        <v>0</v>
      </c>
      <c r="AB134" s="11">
        <f>SUMIFS(PURCHASE!$N$6:$N$10008,PURCHASE!$A$6:$A$10008,$X$3,PURCHASE!$D$6:$D$10008,$C$5:$C$499)</f>
        <v>0</v>
      </c>
      <c r="AC134" s="11">
        <f t="shared" si="23"/>
        <v>34408.650799999996</v>
      </c>
      <c r="AD134" s="11">
        <f>SUMIFS(PURCHASE!$K$6:$K$10008,PURCHASE!$A$6:$A$10008,$AC$3,PURCHASE!$D$6:$D$10008,$C$5:$C$499)</f>
        <v>29174.059999999998</v>
      </c>
      <c r="AE134" s="11">
        <f>SUMIFS(PURCHASE!$L$6:$L$10008,PURCHASE!$A$6:$A$10008,$AC$3,PURCHASE!$D$6:$D$10008,$C$5:$C$499)</f>
        <v>0</v>
      </c>
      <c r="AF134" s="11">
        <f>SUMIFS(PURCHASE!$M$6:$M$10008,PURCHASE!$A$6:$A$10008,$AC$3,PURCHASE!$D$6:$D$10008,$C$5:$C$499)</f>
        <v>2617.2953999999986</v>
      </c>
      <c r="AG134" s="11">
        <f>SUMIFS(PURCHASE!$N$6:$N$10008,PURCHASE!$A$6:$A$10008,$AC$3,PURCHASE!$D$6:$D$10008,$C$5:$C$499)</f>
        <v>2617.2953999999986</v>
      </c>
      <c r="AH134" s="11">
        <f t="shared" si="24"/>
        <v>0</v>
      </c>
      <c r="AI134" s="11">
        <f>SUMIFS(PURCHASE!$K$6:$K$10008,PURCHASE!$A$6:$A$10008,$AH$3,PURCHASE!$D$6:$D$10008,$C$5:$C$499)</f>
        <v>0</v>
      </c>
      <c r="AJ134" s="11">
        <f>SUMIFS(PURCHASE!$L$6:$L$10008,PURCHASE!$A$6:$A$10008,$AH$3,PURCHASE!$D$6:$D$10008,$C$5:$C$499)</f>
        <v>0</v>
      </c>
      <c r="AK134" s="11">
        <f>SUMIFS(PURCHASE!$M$6:$M$10008,PURCHASE!$A$6:$A$10008,$AH$3,PURCHASE!$D$6:$D$10008,$C$5:$C$499)</f>
        <v>0</v>
      </c>
      <c r="AL134" s="11">
        <f>SUMIFS(PURCHASE!$N$6:$N$10008,PURCHASE!$A$6:$A$10008,$AH$3,PURCHASE!$D$6:$D$10008,$C$5:$C$499)</f>
        <v>0</v>
      </c>
      <c r="AM134" s="11">
        <f t="shared" si="25"/>
        <v>0</v>
      </c>
      <c r="AN134" s="11">
        <f>SUMIFS(PURCHASE!$K$6:$K$10008,PURCHASE!$A$6:$A$10008,$AM$3,PURCHASE!$D$6:$D$10008,$C$5:$C$499)</f>
        <v>0</v>
      </c>
      <c r="AO134" s="11">
        <f>SUMIFS(PURCHASE!$L$6:$L$10008,PURCHASE!$A$6:$A$10008,$AM$3,PURCHASE!$D$6:$D$10008,$C$5:$C$499)</f>
        <v>0</v>
      </c>
      <c r="AP134" s="11">
        <f>SUMIFS(PURCHASE!$M$6:$M$10008,PURCHASE!$A$6:$A$10008,$AM$3,PURCHASE!$D$6:$D$10008,$C$5:$C$499)</f>
        <v>0</v>
      </c>
      <c r="AQ134" s="11">
        <f>SUMIFS(PURCHASE!$N$6:$N$10008,PURCHASE!$A$6:$A$10008,$AM$3,PURCHASE!$D$6:$D$10008,$C$5:$C$499)</f>
        <v>0</v>
      </c>
      <c r="AR134" s="11">
        <f t="shared" si="26"/>
        <v>0</v>
      </c>
      <c r="AS134" s="11">
        <f>SUMIFS(PURCHASE!$K$6:$K$10008,PURCHASE!$A$6:$A$10008,$AR$3,PURCHASE!$D$6:$D$10008,$C$5:$C$499)</f>
        <v>0</v>
      </c>
      <c r="AT134" s="11">
        <f>SUMIFS(PURCHASE!$L$6:$L$10008,PURCHASE!$A$6:$A$10008,$AR$3,PURCHASE!$D$6:$D$10008,$C$5:$C$499)</f>
        <v>0</v>
      </c>
      <c r="AU134" s="11">
        <f>SUMIFS(PURCHASE!$M$6:$M$10008,PURCHASE!$A$6:$A$10008,$AR$3,PURCHASE!$D$6:$D$10008,$C$5:$C$499)</f>
        <v>0</v>
      </c>
      <c r="AV134" s="11">
        <f>SUMIFS(PURCHASE!$N$6:$N$10008,PURCHASE!$A$6:$A$10008,$AR$3,PURCHASE!$D$6:$D$10008,$C$5:$C$499)</f>
        <v>0</v>
      </c>
      <c r="AW134" s="11">
        <f t="shared" si="27"/>
        <v>0</v>
      </c>
      <c r="AX134" s="11">
        <f>SUMIFS(PURCHASE!$K$6:$K$10008,PURCHASE!$A$6:$A$10008,$AW$3,PURCHASE!$D$6:$D$10008,$C$5:$C$499)</f>
        <v>0</v>
      </c>
      <c r="AY134" s="11">
        <f>SUMIFS(PURCHASE!$L$6:$L$10008,PURCHASE!$A$6:$A$10008,$AW$3,PURCHASE!$D$6:$D$10008,$C$5:$C$499)</f>
        <v>0</v>
      </c>
      <c r="AZ134" s="11">
        <f>SUMIFS(PURCHASE!$M$6:$M$10008,PURCHASE!$A$6:$A$10008,$AW$3,PURCHASE!$D$6:$D$10008,$C$5:$C$499)</f>
        <v>0</v>
      </c>
      <c r="BA134" s="11">
        <f>SUMIFS(PURCHASE!$N$6:$N$10008,PURCHASE!$A$6:$A$10008,$AW$3,PURCHASE!$D$6:$D$10008,$C$5:$C$499)</f>
        <v>0</v>
      </c>
      <c r="BB134" s="11">
        <f t="shared" si="28"/>
        <v>0</v>
      </c>
      <c r="BC134" s="11">
        <f>SUMIFS(PURCHASE!$K$6:$K$10008,PURCHASE!$A$6:$A$10008,$BB$3,PURCHASE!$D$6:$D$10008,$C$5:$C$499)</f>
        <v>0</v>
      </c>
      <c r="BD134" s="11">
        <f>SUMIFS(PURCHASE!$L$6:$L$10008,PURCHASE!$A$6:$A$10008,$BB$3,PURCHASE!$D$6:$D$10008,$C$5:$C$499)</f>
        <v>0</v>
      </c>
      <c r="BE134" s="11">
        <f>SUMIFS(PURCHASE!$M$6:$M$10008,PURCHASE!$A$6:$A$10008,$BB$3,PURCHASE!$D$6:$D$10008,$C$5:$C$499)</f>
        <v>0</v>
      </c>
      <c r="BF134" s="11">
        <f>SUMIFS(PURCHASE!$N$6:$N$10008,PURCHASE!$A$6:$A$10008,$BB$3,PURCHASE!$D$6:$D$10008,$C$5:$C$499)</f>
        <v>0</v>
      </c>
      <c r="BG134" s="11">
        <f t="shared" si="29"/>
        <v>0</v>
      </c>
      <c r="BH134" s="11">
        <f>SUMIFS(PURCHASE!$K$6:$K$10008,PURCHASE!$A$6:$A$10008,$BG$3,PURCHASE!$D$6:$D$10008,$C$5:$C$499)</f>
        <v>0</v>
      </c>
      <c r="BI134" s="11">
        <f>SUMIFS(PURCHASE!$L$6:$L$10008,PURCHASE!$A$6:$A$10008,$BG$3,PURCHASE!$D$6:$D$10008,$C$5:$C$499)</f>
        <v>0</v>
      </c>
      <c r="BJ134" s="11">
        <f>SUMIFS(PURCHASE!$M$6:$M$10008,PURCHASE!$A$6:$A$10008,$BG$3,PURCHASE!$D$6:$D$10008,$C$5:$C$499)</f>
        <v>0</v>
      </c>
      <c r="BK134" s="11">
        <f>SUMIFS(PURCHASE!$N$6:$N$10008,PURCHASE!$A$6:$A$10008,$BG$3,PURCHASE!$D$6:$D$10008,$C$5:$C$499)</f>
        <v>0</v>
      </c>
      <c r="BL134" s="11">
        <f t="shared" si="30"/>
        <v>77061.463399999993</v>
      </c>
      <c r="BM134" s="11">
        <f t="shared" si="30"/>
        <v>65553.63</v>
      </c>
      <c r="BN134" s="11">
        <f t="shared" si="30"/>
        <v>0</v>
      </c>
      <c r="BO134" s="11">
        <f t="shared" si="30"/>
        <v>5753.9166999999979</v>
      </c>
      <c r="BP134" s="11">
        <f t="shared" si="30"/>
        <v>5753.9166999999979</v>
      </c>
    </row>
    <row r="135" spans="1:68" x14ac:dyDescent="0.2">
      <c r="A135" s="467">
        <v>132</v>
      </c>
      <c r="B135" s="468" t="s">
        <v>779</v>
      </c>
      <c r="C135" s="469" t="s">
        <v>780</v>
      </c>
      <c r="D135" s="11">
        <f t="shared" ref="D135:D147" si="31">+E135+F135+G135+H135</f>
        <v>0</v>
      </c>
      <c r="E135" s="11">
        <f>SUMIFS(PURCHASE!$K$6:$K$10008,PURCHASE!$A$6:$A$10008,$D$3,PURCHASE!$D$6:$D$10008,$C$5:$C$499)</f>
        <v>0</v>
      </c>
      <c r="F135" s="11">
        <f>SUMIFS(PURCHASE!$L$6:$L$10008,PURCHASE!$A$6:$A$10008,$D$3,PURCHASE!$D$6:$D$10008,$C$5:$C$499)</f>
        <v>0</v>
      </c>
      <c r="G135" s="11">
        <f>SUMIFS(PURCHASE!$M$6:$M$10008,PURCHASE!$A$6:$A$10008,$D$3,PURCHASE!$D$6:$D$10008,$C$5:$C$499)</f>
        <v>0</v>
      </c>
      <c r="H135" s="11">
        <f>SUMIFS(PURCHASE!$N$6:$N$10008,PURCHASE!$A$6:$A$10008,$D$3,PURCHASE!$D$6:$D$10008,$C$5:$C$499)</f>
        <v>0</v>
      </c>
      <c r="I135" s="473">
        <f t="shared" ref="I135:I147" si="32">+J135+K135+L135+M135</f>
        <v>0</v>
      </c>
      <c r="J135" s="60">
        <f>SUMIFS(PURCHASE!$K$6:$K$10008,PURCHASE!$A$6:$A$10008,$I$3,PURCHASE!$D$6:$D$10008,$C$5:$C$499)</f>
        <v>0</v>
      </c>
      <c r="K135" s="60">
        <f>SUMIFS(PURCHASE!$L$6:$L$10008,PURCHASE!$A$6:$A$10008,$I$3,PURCHASE!$D$6:$D$10008,$C$5:$C$499)</f>
        <v>0</v>
      </c>
      <c r="L135" s="60">
        <f>SUMIFS(PURCHASE!$M$6:$M$10008,PURCHASE!$A$6:$A$10008,$I$3,PURCHASE!$D$6:$D$10008,$C$5:$C$499)</f>
        <v>0</v>
      </c>
      <c r="M135" s="474">
        <f>SUMIFS(PURCHASE!$N$6:$N$10008,PURCHASE!$A$6:$A$10008,$I$3,PURCHASE!$D$6:$D$10008,$C$5:$C$499)</f>
        <v>0</v>
      </c>
      <c r="N135" s="11">
        <f t="shared" ref="N135:N147" si="33">+O135+P135+Q135+R135</f>
        <v>0</v>
      </c>
      <c r="O135" s="11">
        <f>SUMIFS(PURCHASE!$K$6:$K$10008,PURCHASE!$A$6:$A$10008,$N$3,PURCHASE!$D$6:$D$10008,$C$5:$C$499)</f>
        <v>0</v>
      </c>
      <c r="P135" s="11">
        <f>SUMIFS(PURCHASE!$L$6:$L$10008,PURCHASE!$A$6:$A$10008,$N$3,PURCHASE!$D$6:$D$10008,$C$5:$C$499)</f>
        <v>0</v>
      </c>
      <c r="Q135" s="11">
        <f>SUMIFS(PURCHASE!$M$6:$M$10008,PURCHASE!$A$6:$A$10008,$N$3,PURCHASE!$D$6:$D$10008,$C$5:$C$499)</f>
        <v>0</v>
      </c>
      <c r="R135" s="11">
        <f>SUMIFS(PURCHASE!$N$6:$N$10008,PURCHASE!$A$6:$A$10008,$N$3,PURCHASE!$D$6:$D$10008,$C$5:$C$499)</f>
        <v>0</v>
      </c>
      <c r="S135" s="11">
        <f t="shared" ref="S135:S147" si="34">+T135+U135+V135+W135</f>
        <v>698560</v>
      </c>
      <c r="T135" s="11">
        <f>SUMIFS(PURCHASE!$K$6:$K$10008,PURCHASE!$A$6:$A$10008,$S$3,PURCHASE!$D$6:$D$10008,$C$5:$C$499)</f>
        <v>592000</v>
      </c>
      <c r="U135" s="11">
        <f>SUMIFS(PURCHASE!$L$6:$L$10008,PURCHASE!$A$6:$A$10008,$S$3,PURCHASE!$D$6:$D$10008,$C$5:$C$499)</f>
        <v>0</v>
      </c>
      <c r="V135" s="11">
        <f>SUMIFS(PURCHASE!$M$6:$M$10008,PURCHASE!$A$6:$A$10008,$S$3,PURCHASE!$D$6:$D$10008,$C$5:$C$499)</f>
        <v>53280</v>
      </c>
      <c r="W135" s="11">
        <f>SUMIFS(PURCHASE!$N$6:$N$10008,PURCHASE!$A$6:$A$10008,$S$3,PURCHASE!$D$6:$D$10008,$C$5:$C$499)</f>
        <v>53280</v>
      </c>
      <c r="X135" s="11">
        <f t="shared" ref="X135:X147" si="35">+Y135+Z135+AA135+AB135</f>
        <v>0</v>
      </c>
      <c r="Y135" s="11">
        <f>SUMIFS(PURCHASE!$K$6:$K$10008,PURCHASE!$A$6:$A$10008,$X$3,PURCHASE!$D$6:$D$10008,$C$5:$C$499)</f>
        <v>0</v>
      </c>
      <c r="Z135" s="11">
        <f>SUMIFS(PURCHASE!$L$6:$L$10008,PURCHASE!$A$6:$A$10008,$X$3,PURCHASE!$D$6:$D$10008,$C$5:$C$499)</f>
        <v>0</v>
      </c>
      <c r="AA135" s="11">
        <f>SUMIFS(PURCHASE!$M$6:$M$10008,PURCHASE!$A$6:$A$10008,$X$3,PURCHASE!$D$6:$D$10008,$C$5:$C$499)</f>
        <v>0</v>
      </c>
      <c r="AB135" s="11">
        <f>SUMIFS(PURCHASE!$N$6:$N$10008,PURCHASE!$A$6:$A$10008,$X$3,PURCHASE!$D$6:$D$10008,$C$5:$C$499)</f>
        <v>0</v>
      </c>
      <c r="AC135" s="11">
        <f t="shared" ref="AC135:AC147" si="36">+AD135+AE135+AF135+AG135</f>
        <v>0</v>
      </c>
      <c r="AD135" s="11">
        <f>SUMIFS(PURCHASE!$K$6:$K$10008,PURCHASE!$A$6:$A$10008,$AC$3,PURCHASE!$D$6:$D$10008,$C$5:$C$499)</f>
        <v>0</v>
      </c>
      <c r="AE135" s="11">
        <f>SUMIFS(PURCHASE!$L$6:$L$10008,PURCHASE!$A$6:$A$10008,$AC$3,PURCHASE!$D$6:$D$10008,$C$5:$C$499)</f>
        <v>0</v>
      </c>
      <c r="AF135" s="11">
        <f>SUMIFS(PURCHASE!$M$6:$M$10008,PURCHASE!$A$6:$A$10008,$AC$3,PURCHASE!$D$6:$D$10008,$C$5:$C$499)</f>
        <v>0</v>
      </c>
      <c r="AG135" s="11">
        <f>SUMIFS(PURCHASE!$N$6:$N$10008,PURCHASE!$A$6:$A$10008,$AC$3,PURCHASE!$D$6:$D$10008,$C$5:$C$499)</f>
        <v>0</v>
      </c>
      <c r="AH135" s="11">
        <f t="shared" ref="AH135:AH147" si="37">+AI135+AJ135+AK135+AL135</f>
        <v>0</v>
      </c>
      <c r="AI135" s="11">
        <f>SUMIFS(PURCHASE!$K$6:$K$10008,PURCHASE!$A$6:$A$10008,$AH$3,PURCHASE!$D$6:$D$10008,$C$5:$C$499)</f>
        <v>0</v>
      </c>
      <c r="AJ135" s="11">
        <f>SUMIFS(PURCHASE!$L$6:$L$10008,PURCHASE!$A$6:$A$10008,$AH$3,PURCHASE!$D$6:$D$10008,$C$5:$C$499)</f>
        <v>0</v>
      </c>
      <c r="AK135" s="11">
        <f>SUMIFS(PURCHASE!$M$6:$M$10008,PURCHASE!$A$6:$A$10008,$AH$3,PURCHASE!$D$6:$D$10008,$C$5:$C$499)</f>
        <v>0</v>
      </c>
      <c r="AL135" s="11">
        <f>SUMIFS(PURCHASE!$N$6:$N$10008,PURCHASE!$A$6:$A$10008,$AH$3,PURCHASE!$D$6:$D$10008,$C$5:$C$499)</f>
        <v>0</v>
      </c>
      <c r="AM135" s="11">
        <f t="shared" ref="AM135:AM147" si="38">+AN135+AO135+AP135+AQ135</f>
        <v>0</v>
      </c>
      <c r="AN135" s="11">
        <f>SUMIFS(PURCHASE!$K$6:$K$10008,PURCHASE!$A$6:$A$10008,$AM$3,PURCHASE!$D$6:$D$10008,$C$5:$C$499)</f>
        <v>0</v>
      </c>
      <c r="AO135" s="11">
        <f>SUMIFS(PURCHASE!$L$6:$L$10008,PURCHASE!$A$6:$A$10008,$AM$3,PURCHASE!$D$6:$D$10008,$C$5:$C$499)</f>
        <v>0</v>
      </c>
      <c r="AP135" s="11">
        <f>SUMIFS(PURCHASE!$M$6:$M$10008,PURCHASE!$A$6:$A$10008,$AM$3,PURCHASE!$D$6:$D$10008,$C$5:$C$499)</f>
        <v>0</v>
      </c>
      <c r="AQ135" s="11">
        <f>SUMIFS(PURCHASE!$N$6:$N$10008,PURCHASE!$A$6:$A$10008,$AM$3,PURCHASE!$D$6:$D$10008,$C$5:$C$499)</f>
        <v>0</v>
      </c>
      <c r="AR135" s="11">
        <f t="shared" ref="AR135:AR147" si="39">+AS135+AT135+AU135+AV135</f>
        <v>0</v>
      </c>
      <c r="AS135" s="11">
        <f>SUMIFS(PURCHASE!$K$6:$K$10008,PURCHASE!$A$6:$A$10008,$AR$3,PURCHASE!$D$6:$D$10008,$C$5:$C$499)</f>
        <v>0</v>
      </c>
      <c r="AT135" s="11">
        <f>SUMIFS(PURCHASE!$L$6:$L$10008,PURCHASE!$A$6:$A$10008,$AR$3,PURCHASE!$D$6:$D$10008,$C$5:$C$499)</f>
        <v>0</v>
      </c>
      <c r="AU135" s="11">
        <f>SUMIFS(PURCHASE!$M$6:$M$10008,PURCHASE!$A$6:$A$10008,$AR$3,PURCHASE!$D$6:$D$10008,$C$5:$C$499)</f>
        <v>0</v>
      </c>
      <c r="AV135" s="11">
        <f>SUMIFS(PURCHASE!$N$6:$N$10008,PURCHASE!$A$6:$A$10008,$AR$3,PURCHASE!$D$6:$D$10008,$C$5:$C$499)</f>
        <v>0</v>
      </c>
      <c r="AW135" s="11">
        <f t="shared" ref="AW135:AW147" si="40">+AX135+AY135+AZ135+BA135</f>
        <v>0</v>
      </c>
      <c r="AX135" s="11">
        <f>SUMIFS(PURCHASE!$K$6:$K$10008,PURCHASE!$A$6:$A$10008,$AW$3,PURCHASE!$D$6:$D$10008,$C$5:$C$499)</f>
        <v>0</v>
      </c>
      <c r="AY135" s="11">
        <f>SUMIFS(PURCHASE!$L$6:$L$10008,PURCHASE!$A$6:$A$10008,$AW$3,PURCHASE!$D$6:$D$10008,$C$5:$C$499)</f>
        <v>0</v>
      </c>
      <c r="AZ135" s="11">
        <f>SUMIFS(PURCHASE!$M$6:$M$10008,PURCHASE!$A$6:$A$10008,$AW$3,PURCHASE!$D$6:$D$10008,$C$5:$C$499)</f>
        <v>0</v>
      </c>
      <c r="BA135" s="11">
        <f>SUMIFS(PURCHASE!$N$6:$N$10008,PURCHASE!$A$6:$A$10008,$AW$3,PURCHASE!$D$6:$D$10008,$C$5:$C$499)</f>
        <v>0</v>
      </c>
      <c r="BB135" s="11">
        <f t="shared" ref="BB135:BB147" si="41">+BC135+BD135+BE135+BF135</f>
        <v>0</v>
      </c>
      <c r="BC135" s="11">
        <f>SUMIFS(PURCHASE!$K$6:$K$10008,PURCHASE!$A$6:$A$10008,$BB$3,PURCHASE!$D$6:$D$10008,$C$5:$C$499)</f>
        <v>0</v>
      </c>
      <c r="BD135" s="11">
        <f>SUMIFS(PURCHASE!$L$6:$L$10008,PURCHASE!$A$6:$A$10008,$BB$3,PURCHASE!$D$6:$D$10008,$C$5:$C$499)</f>
        <v>0</v>
      </c>
      <c r="BE135" s="11">
        <f>SUMIFS(PURCHASE!$M$6:$M$10008,PURCHASE!$A$6:$A$10008,$BB$3,PURCHASE!$D$6:$D$10008,$C$5:$C$499)</f>
        <v>0</v>
      </c>
      <c r="BF135" s="11">
        <f>SUMIFS(PURCHASE!$N$6:$N$10008,PURCHASE!$A$6:$A$10008,$BB$3,PURCHASE!$D$6:$D$10008,$C$5:$C$499)</f>
        <v>0</v>
      </c>
      <c r="BG135" s="11">
        <f t="shared" ref="BG135:BG147" si="42">+BH135+BI135+BJ135+BK135</f>
        <v>0</v>
      </c>
      <c r="BH135" s="11">
        <f>SUMIFS(PURCHASE!$K$6:$K$10008,PURCHASE!$A$6:$A$10008,$BG$3,PURCHASE!$D$6:$D$10008,$C$5:$C$499)</f>
        <v>0</v>
      </c>
      <c r="BI135" s="11">
        <f>SUMIFS(PURCHASE!$L$6:$L$10008,PURCHASE!$A$6:$A$10008,$BG$3,PURCHASE!$D$6:$D$10008,$C$5:$C$499)</f>
        <v>0</v>
      </c>
      <c r="BJ135" s="11">
        <f>SUMIFS(PURCHASE!$M$6:$M$10008,PURCHASE!$A$6:$A$10008,$BG$3,PURCHASE!$D$6:$D$10008,$C$5:$C$499)</f>
        <v>0</v>
      </c>
      <c r="BK135" s="11">
        <f>SUMIFS(PURCHASE!$N$6:$N$10008,PURCHASE!$A$6:$A$10008,$BG$3,PURCHASE!$D$6:$D$10008,$C$5:$C$499)</f>
        <v>0</v>
      </c>
      <c r="BL135" s="11">
        <f t="shared" si="30"/>
        <v>698560</v>
      </c>
      <c r="BM135" s="11">
        <f t="shared" si="30"/>
        <v>592000</v>
      </c>
      <c r="BN135" s="11">
        <f t="shared" si="30"/>
        <v>0</v>
      </c>
      <c r="BO135" s="11">
        <f t="shared" si="30"/>
        <v>53280</v>
      </c>
      <c r="BP135" s="11">
        <f t="shared" si="30"/>
        <v>53280</v>
      </c>
    </row>
    <row r="136" spans="1:68" x14ac:dyDescent="0.2">
      <c r="A136" s="467">
        <v>133</v>
      </c>
      <c r="B136" s="468" t="s">
        <v>546</v>
      </c>
      <c r="C136" s="469" t="s">
        <v>547</v>
      </c>
      <c r="D136" s="11">
        <f t="shared" si="31"/>
        <v>1504.5</v>
      </c>
      <c r="E136" s="11">
        <f>SUMIFS(PURCHASE!$K$6:$K$10008,PURCHASE!$A$6:$A$10008,$D$3,PURCHASE!$D$6:$D$10008,$C$5:$C$499)</f>
        <v>1275</v>
      </c>
      <c r="F136" s="11">
        <f>SUMIFS(PURCHASE!$L$6:$L$10008,PURCHASE!$A$6:$A$10008,$D$3,PURCHASE!$D$6:$D$10008,$C$5:$C$499)</f>
        <v>0</v>
      </c>
      <c r="G136" s="11">
        <f>SUMIFS(PURCHASE!$M$6:$M$10008,PURCHASE!$A$6:$A$10008,$D$3,PURCHASE!$D$6:$D$10008,$C$5:$C$499)</f>
        <v>114.75</v>
      </c>
      <c r="H136" s="11">
        <f>SUMIFS(PURCHASE!$N$6:$N$10008,PURCHASE!$A$6:$A$10008,$D$3,PURCHASE!$D$6:$D$10008,$C$5:$C$499)</f>
        <v>114.75</v>
      </c>
      <c r="I136" s="473">
        <f t="shared" si="32"/>
        <v>0</v>
      </c>
      <c r="J136" s="60">
        <f>SUMIFS(PURCHASE!$K$6:$K$10008,PURCHASE!$A$6:$A$10008,$I$3,PURCHASE!$D$6:$D$10008,$C$5:$C$499)</f>
        <v>0</v>
      </c>
      <c r="K136" s="60">
        <f>SUMIFS(PURCHASE!$L$6:$L$10008,PURCHASE!$A$6:$A$10008,$I$3,PURCHASE!$D$6:$D$10008,$C$5:$C$499)</f>
        <v>0</v>
      </c>
      <c r="L136" s="60">
        <f>SUMIFS(PURCHASE!$M$6:$M$10008,PURCHASE!$A$6:$A$10008,$I$3,PURCHASE!$D$6:$D$10008,$C$5:$C$499)</f>
        <v>0</v>
      </c>
      <c r="M136" s="474">
        <f>SUMIFS(PURCHASE!$N$6:$N$10008,PURCHASE!$A$6:$A$10008,$I$3,PURCHASE!$D$6:$D$10008,$C$5:$C$499)</f>
        <v>0</v>
      </c>
      <c r="N136" s="11">
        <f t="shared" si="33"/>
        <v>0</v>
      </c>
      <c r="O136" s="11">
        <f>SUMIFS(PURCHASE!$K$6:$K$10008,PURCHASE!$A$6:$A$10008,$N$3,PURCHASE!$D$6:$D$10008,$C$5:$C$499)</f>
        <v>0</v>
      </c>
      <c r="P136" s="11">
        <f>SUMIFS(PURCHASE!$L$6:$L$10008,PURCHASE!$A$6:$A$10008,$N$3,PURCHASE!$D$6:$D$10008,$C$5:$C$499)</f>
        <v>0</v>
      </c>
      <c r="Q136" s="11">
        <f>SUMIFS(PURCHASE!$M$6:$M$10008,PURCHASE!$A$6:$A$10008,$N$3,PURCHASE!$D$6:$D$10008,$C$5:$C$499)</f>
        <v>0</v>
      </c>
      <c r="R136" s="11">
        <f>SUMIFS(PURCHASE!$N$6:$N$10008,PURCHASE!$A$6:$A$10008,$N$3,PURCHASE!$D$6:$D$10008,$C$5:$C$499)</f>
        <v>0</v>
      </c>
      <c r="S136" s="11">
        <f t="shared" si="34"/>
        <v>0</v>
      </c>
      <c r="T136" s="11">
        <f>SUMIFS(PURCHASE!$K$6:$K$10008,PURCHASE!$A$6:$A$10008,$S$3,PURCHASE!$D$6:$D$10008,$C$5:$C$499)</f>
        <v>0</v>
      </c>
      <c r="U136" s="11">
        <f>SUMIFS(PURCHASE!$L$6:$L$10008,PURCHASE!$A$6:$A$10008,$S$3,PURCHASE!$D$6:$D$10008,$C$5:$C$499)</f>
        <v>0</v>
      </c>
      <c r="V136" s="11">
        <f>SUMIFS(PURCHASE!$M$6:$M$10008,PURCHASE!$A$6:$A$10008,$S$3,PURCHASE!$D$6:$D$10008,$C$5:$C$499)</f>
        <v>0</v>
      </c>
      <c r="W136" s="11">
        <f>SUMIFS(PURCHASE!$N$6:$N$10008,PURCHASE!$A$6:$A$10008,$S$3,PURCHASE!$D$6:$D$10008,$C$5:$C$499)</f>
        <v>0</v>
      </c>
      <c r="X136" s="11">
        <f t="shared" si="35"/>
        <v>0</v>
      </c>
      <c r="Y136" s="11">
        <f>SUMIFS(PURCHASE!$K$6:$K$10008,PURCHASE!$A$6:$A$10008,$X$3,PURCHASE!$D$6:$D$10008,$C$5:$C$499)</f>
        <v>0</v>
      </c>
      <c r="Z136" s="11">
        <f>SUMIFS(PURCHASE!$L$6:$L$10008,PURCHASE!$A$6:$A$10008,$X$3,PURCHASE!$D$6:$D$10008,$C$5:$C$499)</f>
        <v>0</v>
      </c>
      <c r="AA136" s="11">
        <f>SUMIFS(PURCHASE!$M$6:$M$10008,PURCHASE!$A$6:$A$10008,$X$3,PURCHASE!$D$6:$D$10008,$C$5:$C$499)</f>
        <v>0</v>
      </c>
      <c r="AB136" s="11">
        <f>SUMIFS(PURCHASE!$N$6:$N$10008,PURCHASE!$A$6:$A$10008,$X$3,PURCHASE!$D$6:$D$10008,$C$5:$C$499)</f>
        <v>0</v>
      </c>
      <c r="AC136" s="11">
        <f t="shared" si="36"/>
        <v>0</v>
      </c>
      <c r="AD136" s="11">
        <f>SUMIFS(PURCHASE!$K$6:$K$10008,PURCHASE!$A$6:$A$10008,$AC$3,PURCHASE!$D$6:$D$10008,$C$5:$C$499)</f>
        <v>0</v>
      </c>
      <c r="AE136" s="11">
        <f>SUMIFS(PURCHASE!$L$6:$L$10008,PURCHASE!$A$6:$A$10008,$AC$3,PURCHASE!$D$6:$D$10008,$C$5:$C$499)</f>
        <v>0</v>
      </c>
      <c r="AF136" s="11">
        <f>SUMIFS(PURCHASE!$M$6:$M$10008,PURCHASE!$A$6:$A$10008,$AC$3,PURCHASE!$D$6:$D$10008,$C$5:$C$499)</f>
        <v>0</v>
      </c>
      <c r="AG136" s="11">
        <f>SUMIFS(PURCHASE!$N$6:$N$10008,PURCHASE!$A$6:$A$10008,$AC$3,PURCHASE!$D$6:$D$10008,$C$5:$C$499)</f>
        <v>0</v>
      </c>
      <c r="AH136" s="11">
        <f t="shared" si="37"/>
        <v>0</v>
      </c>
      <c r="AI136" s="11">
        <f>SUMIFS(PURCHASE!$K$6:$K$10008,PURCHASE!$A$6:$A$10008,$AH$3,PURCHASE!$D$6:$D$10008,$C$5:$C$499)</f>
        <v>0</v>
      </c>
      <c r="AJ136" s="11">
        <f>SUMIFS(PURCHASE!$L$6:$L$10008,PURCHASE!$A$6:$A$10008,$AH$3,PURCHASE!$D$6:$D$10008,$C$5:$C$499)</f>
        <v>0</v>
      </c>
      <c r="AK136" s="11">
        <f>SUMIFS(PURCHASE!$M$6:$M$10008,PURCHASE!$A$6:$A$10008,$AH$3,PURCHASE!$D$6:$D$10008,$C$5:$C$499)</f>
        <v>0</v>
      </c>
      <c r="AL136" s="11">
        <f>SUMIFS(PURCHASE!$N$6:$N$10008,PURCHASE!$A$6:$A$10008,$AH$3,PURCHASE!$D$6:$D$10008,$C$5:$C$499)</f>
        <v>0</v>
      </c>
      <c r="AM136" s="11">
        <f t="shared" si="38"/>
        <v>0</v>
      </c>
      <c r="AN136" s="11">
        <f>SUMIFS(PURCHASE!$K$6:$K$10008,PURCHASE!$A$6:$A$10008,$AM$3,PURCHASE!$D$6:$D$10008,$C$5:$C$499)</f>
        <v>0</v>
      </c>
      <c r="AO136" s="11">
        <f>SUMIFS(PURCHASE!$L$6:$L$10008,PURCHASE!$A$6:$A$10008,$AM$3,PURCHASE!$D$6:$D$10008,$C$5:$C$499)</f>
        <v>0</v>
      </c>
      <c r="AP136" s="11">
        <f>SUMIFS(PURCHASE!$M$6:$M$10008,PURCHASE!$A$6:$A$10008,$AM$3,PURCHASE!$D$6:$D$10008,$C$5:$C$499)</f>
        <v>0</v>
      </c>
      <c r="AQ136" s="11">
        <f>SUMIFS(PURCHASE!$N$6:$N$10008,PURCHASE!$A$6:$A$10008,$AM$3,PURCHASE!$D$6:$D$10008,$C$5:$C$499)</f>
        <v>0</v>
      </c>
      <c r="AR136" s="11">
        <f t="shared" si="39"/>
        <v>0</v>
      </c>
      <c r="AS136" s="11">
        <f>SUMIFS(PURCHASE!$K$6:$K$10008,PURCHASE!$A$6:$A$10008,$AR$3,PURCHASE!$D$6:$D$10008,$C$5:$C$499)</f>
        <v>0</v>
      </c>
      <c r="AT136" s="11">
        <f>SUMIFS(PURCHASE!$L$6:$L$10008,PURCHASE!$A$6:$A$10008,$AR$3,PURCHASE!$D$6:$D$10008,$C$5:$C$499)</f>
        <v>0</v>
      </c>
      <c r="AU136" s="11">
        <f>SUMIFS(PURCHASE!$M$6:$M$10008,PURCHASE!$A$6:$A$10008,$AR$3,PURCHASE!$D$6:$D$10008,$C$5:$C$499)</f>
        <v>0</v>
      </c>
      <c r="AV136" s="11">
        <f>SUMIFS(PURCHASE!$N$6:$N$10008,PURCHASE!$A$6:$A$10008,$AR$3,PURCHASE!$D$6:$D$10008,$C$5:$C$499)</f>
        <v>0</v>
      </c>
      <c r="AW136" s="11">
        <f t="shared" si="40"/>
        <v>0</v>
      </c>
      <c r="AX136" s="11">
        <f>SUMIFS(PURCHASE!$K$6:$K$10008,PURCHASE!$A$6:$A$10008,$AW$3,PURCHASE!$D$6:$D$10008,$C$5:$C$499)</f>
        <v>0</v>
      </c>
      <c r="AY136" s="11">
        <f>SUMIFS(PURCHASE!$L$6:$L$10008,PURCHASE!$A$6:$A$10008,$AW$3,PURCHASE!$D$6:$D$10008,$C$5:$C$499)</f>
        <v>0</v>
      </c>
      <c r="AZ136" s="11">
        <f>SUMIFS(PURCHASE!$M$6:$M$10008,PURCHASE!$A$6:$A$10008,$AW$3,PURCHASE!$D$6:$D$10008,$C$5:$C$499)</f>
        <v>0</v>
      </c>
      <c r="BA136" s="11">
        <f>SUMIFS(PURCHASE!$N$6:$N$10008,PURCHASE!$A$6:$A$10008,$AW$3,PURCHASE!$D$6:$D$10008,$C$5:$C$499)</f>
        <v>0</v>
      </c>
      <c r="BB136" s="11">
        <f t="shared" si="41"/>
        <v>0</v>
      </c>
      <c r="BC136" s="11">
        <f>SUMIFS(PURCHASE!$K$6:$K$10008,PURCHASE!$A$6:$A$10008,$BB$3,PURCHASE!$D$6:$D$10008,$C$5:$C$499)</f>
        <v>0</v>
      </c>
      <c r="BD136" s="11">
        <f>SUMIFS(PURCHASE!$L$6:$L$10008,PURCHASE!$A$6:$A$10008,$BB$3,PURCHASE!$D$6:$D$10008,$C$5:$C$499)</f>
        <v>0</v>
      </c>
      <c r="BE136" s="11">
        <f>SUMIFS(PURCHASE!$M$6:$M$10008,PURCHASE!$A$6:$A$10008,$BB$3,PURCHASE!$D$6:$D$10008,$C$5:$C$499)</f>
        <v>0</v>
      </c>
      <c r="BF136" s="11">
        <f>SUMIFS(PURCHASE!$N$6:$N$10008,PURCHASE!$A$6:$A$10008,$BB$3,PURCHASE!$D$6:$D$10008,$C$5:$C$499)</f>
        <v>0</v>
      </c>
      <c r="BG136" s="11">
        <f t="shared" si="42"/>
        <v>0</v>
      </c>
      <c r="BH136" s="11">
        <f>SUMIFS(PURCHASE!$K$6:$K$10008,PURCHASE!$A$6:$A$10008,$BG$3,PURCHASE!$D$6:$D$10008,$C$5:$C$499)</f>
        <v>0</v>
      </c>
      <c r="BI136" s="11">
        <f>SUMIFS(PURCHASE!$L$6:$L$10008,PURCHASE!$A$6:$A$10008,$BG$3,PURCHASE!$D$6:$D$10008,$C$5:$C$499)</f>
        <v>0</v>
      </c>
      <c r="BJ136" s="11">
        <f>SUMIFS(PURCHASE!$M$6:$M$10008,PURCHASE!$A$6:$A$10008,$BG$3,PURCHASE!$D$6:$D$10008,$C$5:$C$499)</f>
        <v>0</v>
      </c>
      <c r="BK136" s="11">
        <f>SUMIFS(PURCHASE!$N$6:$N$10008,PURCHASE!$A$6:$A$10008,$BG$3,PURCHASE!$D$6:$D$10008,$C$5:$C$499)</f>
        <v>0</v>
      </c>
      <c r="BL136" s="11">
        <f t="shared" si="30"/>
        <v>1504.5</v>
      </c>
      <c r="BM136" s="11">
        <f t="shared" si="30"/>
        <v>1275</v>
      </c>
      <c r="BN136" s="11">
        <f t="shared" si="30"/>
        <v>0</v>
      </c>
      <c r="BO136" s="11">
        <f t="shared" si="30"/>
        <v>114.75</v>
      </c>
      <c r="BP136" s="11">
        <f t="shared" si="30"/>
        <v>114.75</v>
      </c>
    </row>
    <row r="137" spans="1:68" x14ac:dyDescent="0.2">
      <c r="A137" s="467">
        <v>136</v>
      </c>
      <c r="B137" s="467" t="s">
        <v>682</v>
      </c>
      <c r="C137" s="467" t="s">
        <v>683</v>
      </c>
      <c r="D137" s="11">
        <f t="shared" si="31"/>
        <v>0</v>
      </c>
      <c r="E137" s="11">
        <f>SUMIFS(PURCHASE!$K$6:$K$10008,PURCHASE!$A$6:$A$10008,$D$3,PURCHASE!$D$6:$D$10008,$C$5:$C$499)</f>
        <v>0</v>
      </c>
      <c r="F137" s="11">
        <f>SUMIFS(PURCHASE!$L$6:$L$10008,PURCHASE!$A$6:$A$10008,$D$3,PURCHASE!$D$6:$D$10008,$C$5:$C$499)</f>
        <v>0</v>
      </c>
      <c r="G137" s="11">
        <f>SUMIFS(PURCHASE!$M$6:$M$10008,PURCHASE!$A$6:$A$10008,$D$3,PURCHASE!$D$6:$D$10008,$C$5:$C$499)</f>
        <v>0</v>
      </c>
      <c r="H137" s="11">
        <f>SUMIFS(PURCHASE!$N$6:$N$10008,PURCHASE!$A$6:$A$10008,$D$3,PURCHASE!$D$6:$D$10008,$C$5:$C$499)</f>
        <v>0</v>
      </c>
      <c r="I137" s="473">
        <f t="shared" si="32"/>
        <v>36587.86</v>
      </c>
      <c r="J137" s="60">
        <f>SUMIFS(PURCHASE!$K$6:$K$10008,PURCHASE!$A$6:$A$10008,$I$3,PURCHASE!$D$6:$D$10008,$C$5:$C$499)</f>
        <v>28892</v>
      </c>
      <c r="K137" s="60">
        <f>SUMIFS(PURCHASE!$L$6:$L$10008,PURCHASE!$A$6:$A$10008,$I$3,PURCHASE!$D$6:$D$10008,$C$5:$C$499)</f>
        <v>0</v>
      </c>
      <c r="L137" s="60">
        <f>SUMIFS(PURCHASE!$M$6:$M$10008,PURCHASE!$A$6:$A$10008,$I$3,PURCHASE!$D$6:$D$10008,$C$5:$C$499)</f>
        <v>3847.9300000000003</v>
      </c>
      <c r="M137" s="474">
        <f>SUMIFS(PURCHASE!$N$6:$N$10008,PURCHASE!$A$6:$A$10008,$I$3,PURCHASE!$D$6:$D$10008,$C$5:$C$499)</f>
        <v>3847.9300000000003</v>
      </c>
      <c r="N137" s="11">
        <f t="shared" si="33"/>
        <v>0</v>
      </c>
      <c r="O137" s="11">
        <f>SUMIFS(PURCHASE!$K$6:$K$10008,PURCHASE!$A$6:$A$10008,$N$3,PURCHASE!$D$6:$D$10008,$C$5:$C$499)</f>
        <v>0</v>
      </c>
      <c r="P137" s="11">
        <f>SUMIFS(PURCHASE!$L$6:$L$10008,PURCHASE!$A$6:$A$10008,$N$3,PURCHASE!$D$6:$D$10008,$C$5:$C$499)</f>
        <v>0</v>
      </c>
      <c r="Q137" s="11">
        <f>SUMIFS(PURCHASE!$M$6:$M$10008,PURCHASE!$A$6:$A$10008,$N$3,PURCHASE!$D$6:$D$10008,$C$5:$C$499)</f>
        <v>0</v>
      </c>
      <c r="R137" s="11">
        <f>SUMIFS(PURCHASE!$N$6:$N$10008,PURCHASE!$A$6:$A$10008,$N$3,PURCHASE!$D$6:$D$10008,$C$5:$C$499)</f>
        <v>0</v>
      </c>
      <c r="S137" s="11">
        <f t="shared" si="34"/>
        <v>0</v>
      </c>
      <c r="T137" s="11">
        <f>SUMIFS(PURCHASE!$K$6:$K$10008,PURCHASE!$A$6:$A$10008,$S$3,PURCHASE!$D$6:$D$10008,$C$5:$C$499)</f>
        <v>0</v>
      </c>
      <c r="U137" s="11">
        <f>SUMIFS(PURCHASE!$L$6:$L$10008,PURCHASE!$A$6:$A$10008,$S$3,PURCHASE!$D$6:$D$10008,$C$5:$C$499)</f>
        <v>0</v>
      </c>
      <c r="V137" s="11">
        <f>SUMIFS(PURCHASE!$M$6:$M$10008,PURCHASE!$A$6:$A$10008,$S$3,PURCHASE!$D$6:$D$10008,$C$5:$C$499)</f>
        <v>0</v>
      </c>
      <c r="W137" s="11">
        <f>SUMIFS(PURCHASE!$N$6:$N$10008,PURCHASE!$A$6:$A$10008,$S$3,PURCHASE!$D$6:$D$10008,$C$5:$C$499)</f>
        <v>0</v>
      </c>
      <c r="X137" s="11">
        <f t="shared" si="35"/>
        <v>0</v>
      </c>
      <c r="Y137" s="11">
        <f>SUMIFS(PURCHASE!$K$6:$K$10008,PURCHASE!$A$6:$A$10008,$X$3,PURCHASE!$D$6:$D$10008,$C$5:$C$499)</f>
        <v>0</v>
      </c>
      <c r="Z137" s="11">
        <f>SUMIFS(PURCHASE!$L$6:$L$10008,PURCHASE!$A$6:$A$10008,$X$3,PURCHASE!$D$6:$D$10008,$C$5:$C$499)</f>
        <v>0</v>
      </c>
      <c r="AA137" s="11">
        <f>SUMIFS(PURCHASE!$M$6:$M$10008,PURCHASE!$A$6:$A$10008,$X$3,PURCHASE!$D$6:$D$10008,$C$5:$C$499)</f>
        <v>0</v>
      </c>
      <c r="AB137" s="11">
        <f>SUMIFS(PURCHASE!$N$6:$N$10008,PURCHASE!$A$6:$A$10008,$X$3,PURCHASE!$D$6:$D$10008,$C$5:$C$499)</f>
        <v>0</v>
      </c>
      <c r="AC137" s="11">
        <f t="shared" si="36"/>
        <v>0</v>
      </c>
      <c r="AD137" s="11">
        <f>SUMIFS(PURCHASE!$K$6:$K$10008,PURCHASE!$A$6:$A$10008,$AC$3,PURCHASE!$D$6:$D$10008,$C$5:$C$499)</f>
        <v>0</v>
      </c>
      <c r="AE137" s="11">
        <f>SUMIFS(PURCHASE!$L$6:$L$10008,PURCHASE!$A$6:$A$10008,$AC$3,PURCHASE!$D$6:$D$10008,$C$5:$C$499)</f>
        <v>0</v>
      </c>
      <c r="AF137" s="11">
        <f>SUMIFS(PURCHASE!$M$6:$M$10008,PURCHASE!$A$6:$A$10008,$AC$3,PURCHASE!$D$6:$D$10008,$C$5:$C$499)</f>
        <v>0</v>
      </c>
      <c r="AG137" s="11">
        <f>SUMIFS(PURCHASE!$N$6:$N$10008,PURCHASE!$A$6:$A$10008,$AC$3,PURCHASE!$D$6:$D$10008,$C$5:$C$499)</f>
        <v>0</v>
      </c>
      <c r="AH137" s="11">
        <f t="shared" si="37"/>
        <v>0</v>
      </c>
      <c r="AI137" s="11">
        <f>SUMIFS(PURCHASE!$K$6:$K$10008,PURCHASE!$A$6:$A$10008,$AH$3,PURCHASE!$D$6:$D$10008,$C$5:$C$499)</f>
        <v>0</v>
      </c>
      <c r="AJ137" s="11">
        <f>SUMIFS(PURCHASE!$L$6:$L$10008,PURCHASE!$A$6:$A$10008,$AH$3,PURCHASE!$D$6:$D$10008,$C$5:$C$499)</f>
        <v>0</v>
      </c>
      <c r="AK137" s="11">
        <f>SUMIFS(PURCHASE!$M$6:$M$10008,PURCHASE!$A$6:$A$10008,$AH$3,PURCHASE!$D$6:$D$10008,$C$5:$C$499)</f>
        <v>0</v>
      </c>
      <c r="AL137" s="11">
        <f>SUMIFS(PURCHASE!$N$6:$N$10008,PURCHASE!$A$6:$A$10008,$AH$3,PURCHASE!$D$6:$D$10008,$C$5:$C$499)</f>
        <v>0</v>
      </c>
      <c r="AM137" s="11">
        <f t="shared" si="38"/>
        <v>0</v>
      </c>
      <c r="AN137" s="11">
        <f>SUMIFS(PURCHASE!$K$6:$K$10008,PURCHASE!$A$6:$A$10008,$AM$3,PURCHASE!$D$6:$D$10008,$C$5:$C$499)</f>
        <v>0</v>
      </c>
      <c r="AO137" s="11">
        <f>SUMIFS(PURCHASE!$L$6:$L$10008,PURCHASE!$A$6:$A$10008,$AM$3,PURCHASE!$D$6:$D$10008,$C$5:$C$499)</f>
        <v>0</v>
      </c>
      <c r="AP137" s="11">
        <f>SUMIFS(PURCHASE!$M$6:$M$10008,PURCHASE!$A$6:$A$10008,$AM$3,PURCHASE!$D$6:$D$10008,$C$5:$C$499)</f>
        <v>0</v>
      </c>
      <c r="AQ137" s="11">
        <f>SUMIFS(PURCHASE!$N$6:$N$10008,PURCHASE!$A$6:$A$10008,$AM$3,PURCHASE!$D$6:$D$10008,$C$5:$C$499)</f>
        <v>0</v>
      </c>
      <c r="AR137" s="11">
        <f t="shared" si="39"/>
        <v>0</v>
      </c>
      <c r="AS137" s="11">
        <f>SUMIFS(PURCHASE!$K$6:$K$10008,PURCHASE!$A$6:$A$10008,$AR$3,PURCHASE!$D$6:$D$10008,$C$5:$C$499)</f>
        <v>0</v>
      </c>
      <c r="AT137" s="11">
        <f>SUMIFS(PURCHASE!$L$6:$L$10008,PURCHASE!$A$6:$A$10008,$AR$3,PURCHASE!$D$6:$D$10008,$C$5:$C$499)</f>
        <v>0</v>
      </c>
      <c r="AU137" s="11">
        <f>SUMIFS(PURCHASE!$M$6:$M$10008,PURCHASE!$A$6:$A$10008,$AR$3,PURCHASE!$D$6:$D$10008,$C$5:$C$499)</f>
        <v>0</v>
      </c>
      <c r="AV137" s="11">
        <f>SUMIFS(PURCHASE!$N$6:$N$10008,PURCHASE!$A$6:$A$10008,$AR$3,PURCHASE!$D$6:$D$10008,$C$5:$C$499)</f>
        <v>0</v>
      </c>
      <c r="AW137" s="11">
        <f t="shared" si="40"/>
        <v>0</v>
      </c>
      <c r="AX137" s="11">
        <f>SUMIFS(PURCHASE!$K$6:$K$10008,PURCHASE!$A$6:$A$10008,$AW$3,PURCHASE!$D$6:$D$10008,$C$5:$C$499)</f>
        <v>0</v>
      </c>
      <c r="AY137" s="11">
        <f>SUMIFS(PURCHASE!$L$6:$L$10008,PURCHASE!$A$6:$A$10008,$AW$3,PURCHASE!$D$6:$D$10008,$C$5:$C$499)</f>
        <v>0</v>
      </c>
      <c r="AZ137" s="11">
        <f>SUMIFS(PURCHASE!$M$6:$M$10008,PURCHASE!$A$6:$A$10008,$AW$3,PURCHASE!$D$6:$D$10008,$C$5:$C$499)</f>
        <v>0</v>
      </c>
      <c r="BA137" s="11">
        <f>SUMIFS(PURCHASE!$N$6:$N$10008,PURCHASE!$A$6:$A$10008,$AW$3,PURCHASE!$D$6:$D$10008,$C$5:$C$499)</f>
        <v>0</v>
      </c>
      <c r="BB137" s="11">
        <f t="shared" si="41"/>
        <v>0</v>
      </c>
      <c r="BC137" s="11">
        <f>SUMIFS(PURCHASE!$K$6:$K$10008,PURCHASE!$A$6:$A$10008,$BB$3,PURCHASE!$D$6:$D$10008,$C$5:$C$499)</f>
        <v>0</v>
      </c>
      <c r="BD137" s="11">
        <f>SUMIFS(PURCHASE!$L$6:$L$10008,PURCHASE!$A$6:$A$10008,$BB$3,PURCHASE!$D$6:$D$10008,$C$5:$C$499)</f>
        <v>0</v>
      </c>
      <c r="BE137" s="11">
        <f>SUMIFS(PURCHASE!$M$6:$M$10008,PURCHASE!$A$6:$A$10008,$BB$3,PURCHASE!$D$6:$D$10008,$C$5:$C$499)</f>
        <v>0</v>
      </c>
      <c r="BF137" s="11">
        <f>SUMIFS(PURCHASE!$N$6:$N$10008,PURCHASE!$A$6:$A$10008,$BB$3,PURCHASE!$D$6:$D$10008,$C$5:$C$499)</f>
        <v>0</v>
      </c>
      <c r="BG137" s="11">
        <f t="shared" si="42"/>
        <v>0</v>
      </c>
      <c r="BH137" s="11">
        <f>SUMIFS(PURCHASE!$K$6:$K$10008,PURCHASE!$A$6:$A$10008,$BG$3,PURCHASE!$D$6:$D$10008,$C$5:$C$499)</f>
        <v>0</v>
      </c>
      <c r="BI137" s="11">
        <f>SUMIFS(PURCHASE!$L$6:$L$10008,PURCHASE!$A$6:$A$10008,$BG$3,PURCHASE!$D$6:$D$10008,$C$5:$C$499)</f>
        <v>0</v>
      </c>
      <c r="BJ137" s="11">
        <f>SUMIFS(PURCHASE!$M$6:$M$10008,PURCHASE!$A$6:$A$10008,$BG$3,PURCHASE!$D$6:$D$10008,$C$5:$C$499)</f>
        <v>0</v>
      </c>
      <c r="BK137" s="11">
        <f>SUMIFS(PURCHASE!$N$6:$N$10008,PURCHASE!$A$6:$A$10008,$BG$3,PURCHASE!$D$6:$D$10008,$C$5:$C$499)</f>
        <v>0</v>
      </c>
      <c r="BL137" s="11">
        <f t="shared" si="30"/>
        <v>36587.86</v>
      </c>
      <c r="BM137" s="11">
        <f t="shared" si="30"/>
        <v>28892</v>
      </c>
      <c r="BN137" s="11">
        <f t="shared" si="30"/>
        <v>0</v>
      </c>
      <c r="BO137" s="11">
        <f t="shared" si="30"/>
        <v>3847.9300000000003</v>
      </c>
      <c r="BP137" s="11">
        <f t="shared" si="30"/>
        <v>3847.9300000000003</v>
      </c>
    </row>
    <row r="138" spans="1:68" x14ac:dyDescent="0.2">
      <c r="A138" s="467">
        <v>137</v>
      </c>
      <c r="B138" s="467" t="s">
        <v>928</v>
      </c>
      <c r="C138" s="467" t="s">
        <v>929</v>
      </c>
      <c r="D138" s="11">
        <f t="shared" si="31"/>
        <v>0</v>
      </c>
      <c r="E138" s="11">
        <f>SUMIFS(PURCHASE!$K$6:$K$10008,PURCHASE!$A$6:$A$10008,$D$3,PURCHASE!$D$6:$D$10008,$C$5:$C$499)</f>
        <v>0</v>
      </c>
      <c r="F138" s="11">
        <f>SUMIFS(PURCHASE!$L$6:$L$10008,PURCHASE!$A$6:$A$10008,$D$3,PURCHASE!$D$6:$D$10008,$C$5:$C$499)</f>
        <v>0</v>
      </c>
      <c r="G138" s="11">
        <f>SUMIFS(PURCHASE!$M$6:$M$10008,PURCHASE!$A$6:$A$10008,$D$3,PURCHASE!$D$6:$D$10008,$C$5:$C$499)</f>
        <v>0</v>
      </c>
      <c r="H138" s="11">
        <f>SUMIFS(PURCHASE!$N$6:$N$10008,PURCHASE!$A$6:$A$10008,$D$3,PURCHASE!$D$6:$D$10008,$C$5:$C$499)</f>
        <v>0</v>
      </c>
      <c r="I138" s="473">
        <f t="shared" si="32"/>
        <v>0</v>
      </c>
      <c r="J138" s="60">
        <f>SUMIFS(PURCHASE!$K$6:$K$10008,PURCHASE!$A$6:$A$10008,$I$3,PURCHASE!$D$6:$D$10008,$C$5:$C$499)</f>
        <v>0</v>
      </c>
      <c r="K138" s="60">
        <f>SUMIFS(PURCHASE!$L$6:$L$10008,PURCHASE!$A$6:$A$10008,$I$3,PURCHASE!$D$6:$D$10008,$C$5:$C$499)</f>
        <v>0</v>
      </c>
      <c r="L138" s="60">
        <f>SUMIFS(PURCHASE!$M$6:$M$10008,PURCHASE!$A$6:$A$10008,$I$3,PURCHASE!$D$6:$D$10008,$C$5:$C$499)</f>
        <v>0</v>
      </c>
      <c r="M138" s="474">
        <f>SUMIFS(PURCHASE!$N$6:$N$10008,PURCHASE!$A$6:$A$10008,$I$3,PURCHASE!$D$6:$D$10008,$C$5:$C$499)</f>
        <v>0</v>
      </c>
      <c r="N138" s="11">
        <f t="shared" si="33"/>
        <v>0</v>
      </c>
      <c r="O138" s="11">
        <f>SUMIFS(PURCHASE!$K$6:$K$10008,PURCHASE!$A$6:$A$10008,$N$3,PURCHASE!$D$6:$D$10008,$C$5:$C$499)</f>
        <v>0</v>
      </c>
      <c r="P138" s="11">
        <f>SUMIFS(PURCHASE!$L$6:$L$10008,PURCHASE!$A$6:$A$10008,$N$3,PURCHASE!$D$6:$D$10008,$C$5:$C$499)</f>
        <v>0</v>
      </c>
      <c r="Q138" s="11">
        <f>SUMIFS(PURCHASE!$M$6:$M$10008,PURCHASE!$A$6:$A$10008,$N$3,PURCHASE!$D$6:$D$10008,$C$5:$C$499)</f>
        <v>0</v>
      </c>
      <c r="R138" s="11">
        <f>SUMIFS(PURCHASE!$N$6:$N$10008,PURCHASE!$A$6:$A$10008,$N$3,PURCHASE!$D$6:$D$10008,$C$5:$C$499)</f>
        <v>0</v>
      </c>
      <c r="S138" s="11">
        <f t="shared" si="34"/>
        <v>0</v>
      </c>
      <c r="T138" s="11">
        <f>SUMIFS(PURCHASE!$K$6:$K$10008,PURCHASE!$A$6:$A$10008,$S$3,PURCHASE!$D$6:$D$10008,$C$5:$C$499)</f>
        <v>0</v>
      </c>
      <c r="U138" s="11">
        <f>SUMIFS(PURCHASE!$L$6:$L$10008,PURCHASE!$A$6:$A$10008,$S$3,PURCHASE!$D$6:$D$10008,$C$5:$C$499)</f>
        <v>0</v>
      </c>
      <c r="V138" s="11">
        <f>SUMIFS(PURCHASE!$M$6:$M$10008,PURCHASE!$A$6:$A$10008,$S$3,PURCHASE!$D$6:$D$10008,$C$5:$C$499)</f>
        <v>0</v>
      </c>
      <c r="W138" s="11">
        <f>SUMIFS(PURCHASE!$N$6:$N$10008,PURCHASE!$A$6:$A$10008,$S$3,PURCHASE!$D$6:$D$10008,$C$5:$C$499)</f>
        <v>0</v>
      </c>
      <c r="X138" s="11">
        <f t="shared" si="35"/>
        <v>8555</v>
      </c>
      <c r="Y138" s="11">
        <f>SUMIFS(PURCHASE!$K$6:$K$10008,PURCHASE!$A$6:$A$10008,$X$3,PURCHASE!$D$6:$D$10008,$C$5:$C$499)</f>
        <v>7250</v>
      </c>
      <c r="Z138" s="11">
        <f>SUMIFS(PURCHASE!$L$6:$L$10008,PURCHASE!$A$6:$A$10008,$X$3,PURCHASE!$D$6:$D$10008,$C$5:$C$499)</f>
        <v>1305</v>
      </c>
      <c r="AA138" s="11">
        <f>SUMIFS(PURCHASE!$M$6:$M$10008,PURCHASE!$A$6:$A$10008,$X$3,PURCHASE!$D$6:$D$10008,$C$5:$C$499)</f>
        <v>0</v>
      </c>
      <c r="AB138" s="11">
        <f>SUMIFS(PURCHASE!$N$6:$N$10008,PURCHASE!$A$6:$A$10008,$X$3,PURCHASE!$D$6:$D$10008,$C$5:$C$499)</f>
        <v>0</v>
      </c>
      <c r="AC138" s="11">
        <f t="shared" si="36"/>
        <v>0</v>
      </c>
      <c r="AD138" s="11">
        <f>SUMIFS(PURCHASE!$K$6:$K$10008,PURCHASE!$A$6:$A$10008,$AC$3,PURCHASE!$D$6:$D$10008,$C$5:$C$499)</f>
        <v>0</v>
      </c>
      <c r="AE138" s="11">
        <f>SUMIFS(PURCHASE!$L$6:$L$10008,PURCHASE!$A$6:$A$10008,$AC$3,PURCHASE!$D$6:$D$10008,$C$5:$C$499)</f>
        <v>0</v>
      </c>
      <c r="AF138" s="11">
        <f>SUMIFS(PURCHASE!$M$6:$M$10008,PURCHASE!$A$6:$A$10008,$AC$3,PURCHASE!$D$6:$D$10008,$C$5:$C$499)</f>
        <v>0</v>
      </c>
      <c r="AG138" s="11">
        <f>SUMIFS(PURCHASE!$N$6:$N$10008,PURCHASE!$A$6:$A$10008,$AC$3,PURCHASE!$D$6:$D$10008,$C$5:$C$499)</f>
        <v>0</v>
      </c>
      <c r="AH138" s="11">
        <f t="shared" si="37"/>
        <v>0</v>
      </c>
      <c r="AI138" s="11">
        <f>SUMIFS(PURCHASE!$K$6:$K$10008,PURCHASE!$A$6:$A$10008,$AH$3,PURCHASE!$D$6:$D$10008,$C$5:$C$499)</f>
        <v>0</v>
      </c>
      <c r="AJ138" s="11">
        <f>SUMIFS(PURCHASE!$L$6:$L$10008,PURCHASE!$A$6:$A$10008,$AH$3,PURCHASE!$D$6:$D$10008,$C$5:$C$499)</f>
        <v>0</v>
      </c>
      <c r="AK138" s="11">
        <f>SUMIFS(PURCHASE!$M$6:$M$10008,PURCHASE!$A$6:$A$10008,$AH$3,PURCHASE!$D$6:$D$10008,$C$5:$C$499)</f>
        <v>0</v>
      </c>
      <c r="AL138" s="11">
        <f>SUMIFS(PURCHASE!$N$6:$N$10008,PURCHASE!$A$6:$A$10008,$AH$3,PURCHASE!$D$6:$D$10008,$C$5:$C$499)</f>
        <v>0</v>
      </c>
      <c r="AM138" s="11">
        <f t="shared" si="38"/>
        <v>0</v>
      </c>
      <c r="AN138" s="11">
        <f>SUMIFS(PURCHASE!$K$6:$K$10008,PURCHASE!$A$6:$A$10008,$AM$3,PURCHASE!$D$6:$D$10008,$C$5:$C$499)</f>
        <v>0</v>
      </c>
      <c r="AO138" s="11">
        <f>SUMIFS(PURCHASE!$L$6:$L$10008,PURCHASE!$A$6:$A$10008,$AM$3,PURCHASE!$D$6:$D$10008,$C$5:$C$499)</f>
        <v>0</v>
      </c>
      <c r="AP138" s="11">
        <f>SUMIFS(PURCHASE!$M$6:$M$10008,PURCHASE!$A$6:$A$10008,$AM$3,PURCHASE!$D$6:$D$10008,$C$5:$C$499)</f>
        <v>0</v>
      </c>
      <c r="AQ138" s="11">
        <f>SUMIFS(PURCHASE!$N$6:$N$10008,PURCHASE!$A$6:$A$10008,$AM$3,PURCHASE!$D$6:$D$10008,$C$5:$C$499)</f>
        <v>0</v>
      </c>
      <c r="AR138" s="11">
        <f t="shared" si="39"/>
        <v>0</v>
      </c>
      <c r="AS138" s="11">
        <f>SUMIFS(PURCHASE!$K$6:$K$10008,PURCHASE!$A$6:$A$10008,$AR$3,PURCHASE!$D$6:$D$10008,$C$5:$C$499)</f>
        <v>0</v>
      </c>
      <c r="AT138" s="11">
        <f>SUMIFS(PURCHASE!$L$6:$L$10008,PURCHASE!$A$6:$A$10008,$AR$3,PURCHASE!$D$6:$D$10008,$C$5:$C$499)</f>
        <v>0</v>
      </c>
      <c r="AU138" s="11">
        <f>SUMIFS(PURCHASE!$M$6:$M$10008,PURCHASE!$A$6:$A$10008,$AR$3,PURCHASE!$D$6:$D$10008,$C$5:$C$499)</f>
        <v>0</v>
      </c>
      <c r="AV138" s="11">
        <f>SUMIFS(PURCHASE!$N$6:$N$10008,PURCHASE!$A$6:$A$10008,$AR$3,PURCHASE!$D$6:$D$10008,$C$5:$C$499)</f>
        <v>0</v>
      </c>
      <c r="AW138" s="11">
        <f t="shared" si="40"/>
        <v>0</v>
      </c>
      <c r="AX138" s="11">
        <f>SUMIFS(PURCHASE!$K$6:$K$10008,PURCHASE!$A$6:$A$10008,$AW$3,PURCHASE!$D$6:$D$10008,$C$5:$C$499)</f>
        <v>0</v>
      </c>
      <c r="AY138" s="11">
        <f>SUMIFS(PURCHASE!$L$6:$L$10008,PURCHASE!$A$6:$A$10008,$AW$3,PURCHASE!$D$6:$D$10008,$C$5:$C$499)</f>
        <v>0</v>
      </c>
      <c r="AZ138" s="11">
        <f>SUMIFS(PURCHASE!$M$6:$M$10008,PURCHASE!$A$6:$A$10008,$AW$3,PURCHASE!$D$6:$D$10008,$C$5:$C$499)</f>
        <v>0</v>
      </c>
      <c r="BA138" s="11">
        <f>SUMIFS(PURCHASE!$N$6:$N$10008,PURCHASE!$A$6:$A$10008,$AW$3,PURCHASE!$D$6:$D$10008,$C$5:$C$499)</f>
        <v>0</v>
      </c>
      <c r="BB138" s="11">
        <f t="shared" si="41"/>
        <v>0</v>
      </c>
      <c r="BC138" s="11">
        <f>SUMIFS(PURCHASE!$K$6:$K$10008,PURCHASE!$A$6:$A$10008,$BB$3,PURCHASE!$D$6:$D$10008,$C$5:$C$499)</f>
        <v>0</v>
      </c>
      <c r="BD138" s="11">
        <f>SUMIFS(PURCHASE!$L$6:$L$10008,PURCHASE!$A$6:$A$10008,$BB$3,PURCHASE!$D$6:$D$10008,$C$5:$C$499)</f>
        <v>0</v>
      </c>
      <c r="BE138" s="11">
        <f>SUMIFS(PURCHASE!$M$6:$M$10008,PURCHASE!$A$6:$A$10008,$BB$3,PURCHASE!$D$6:$D$10008,$C$5:$C$499)</f>
        <v>0</v>
      </c>
      <c r="BF138" s="11">
        <f>SUMIFS(PURCHASE!$N$6:$N$10008,PURCHASE!$A$6:$A$10008,$BB$3,PURCHASE!$D$6:$D$10008,$C$5:$C$499)</f>
        <v>0</v>
      </c>
      <c r="BG138" s="11">
        <f t="shared" si="42"/>
        <v>0</v>
      </c>
      <c r="BH138" s="11">
        <f>SUMIFS(PURCHASE!$K$6:$K$10008,PURCHASE!$A$6:$A$10008,$BG$3,PURCHASE!$D$6:$D$10008,$C$5:$C$499)</f>
        <v>0</v>
      </c>
      <c r="BI138" s="11">
        <f>SUMIFS(PURCHASE!$L$6:$L$10008,PURCHASE!$A$6:$A$10008,$BG$3,PURCHASE!$D$6:$D$10008,$C$5:$C$499)</f>
        <v>0</v>
      </c>
      <c r="BJ138" s="11">
        <f>SUMIFS(PURCHASE!$M$6:$M$10008,PURCHASE!$A$6:$A$10008,$BG$3,PURCHASE!$D$6:$D$10008,$C$5:$C$499)</f>
        <v>0</v>
      </c>
      <c r="BK138" s="11">
        <f>SUMIFS(PURCHASE!$N$6:$N$10008,PURCHASE!$A$6:$A$10008,$BG$3,PURCHASE!$D$6:$D$10008,$C$5:$C$499)</f>
        <v>0</v>
      </c>
      <c r="BL138" s="11">
        <f t="shared" si="30"/>
        <v>8555</v>
      </c>
      <c r="BM138" s="11">
        <f t="shared" si="30"/>
        <v>7250</v>
      </c>
      <c r="BN138" s="11">
        <f t="shared" si="30"/>
        <v>1305</v>
      </c>
      <c r="BO138" s="11">
        <f t="shared" si="30"/>
        <v>0</v>
      </c>
      <c r="BP138" s="11">
        <f t="shared" si="30"/>
        <v>0</v>
      </c>
    </row>
    <row r="139" spans="1:68" x14ac:dyDescent="0.2">
      <c r="A139" s="467">
        <v>144</v>
      </c>
      <c r="B139" s="468" t="s">
        <v>784</v>
      </c>
      <c r="C139" s="469" t="s">
        <v>785</v>
      </c>
      <c r="D139" s="11">
        <f t="shared" si="31"/>
        <v>0</v>
      </c>
      <c r="E139" s="11">
        <f>SUMIFS(PURCHASE!$K$6:$K$10008,PURCHASE!$A$6:$A$10008,$D$3,PURCHASE!$D$6:$D$10008,$C$5:$C$499)</f>
        <v>0</v>
      </c>
      <c r="F139" s="11">
        <f>SUMIFS(PURCHASE!$L$6:$L$10008,PURCHASE!$A$6:$A$10008,$D$3,PURCHASE!$D$6:$D$10008,$C$5:$C$499)</f>
        <v>0</v>
      </c>
      <c r="G139" s="11">
        <f>SUMIFS(PURCHASE!$M$6:$M$10008,PURCHASE!$A$6:$A$10008,$D$3,PURCHASE!$D$6:$D$10008,$C$5:$C$499)</f>
        <v>0</v>
      </c>
      <c r="H139" s="11">
        <f>SUMIFS(PURCHASE!$N$6:$N$10008,PURCHASE!$A$6:$A$10008,$D$3,PURCHASE!$D$6:$D$10008,$C$5:$C$499)</f>
        <v>0</v>
      </c>
      <c r="I139" s="473">
        <f t="shared" si="32"/>
        <v>0</v>
      </c>
      <c r="J139" s="60">
        <f>SUMIFS(PURCHASE!$K$6:$K$10008,PURCHASE!$A$6:$A$10008,$I$3,PURCHASE!$D$6:$D$10008,$C$5:$C$499)</f>
        <v>0</v>
      </c>
      <c r="K139" s="60">
        <f>SUMIFS(PURCHASE!$L$6:$L$10008,PURCHASE!$A$6:$A$10008,$I$3,PURCHASE!$D$6:$D$10008,$C$5:$C$499)</f>
        <v>0</v>
      </c>
      <c r="L139" s="60">
        <f>SUMIFS(PURCHASE!$M$6:$M$10008,PURCHASE!$A$6:$A$10008,$I$3,PURCHASE!$D$6:$D$10008,$C$5:$C$499)</f>
        <v>0</v>
      </c>
      <c r="M139" s="474">
        <f>SUMIFS(PURCHASE!$N$6:$N$10008,PURCHASE!$A$6:$A$10008,$I$3,PURCHASE!$D$6:$D$10008,$C$5:$C$499)</f>
        <v>0</v>
      </c>
      <c r="N139" s="11">
        <f t="shared" si="33"/>
        <v>0</v>
      </c>
      <c r="O139" s="11">
        <f>SUMIFS(PURCHASE!$K$6:$K$10008,PURCHASE!$A$6:$A$10008,$N$3,PURCHASE!$D$6:$D$10008,$C$5:$C$499)</f>
        <v>0</v>
      </c>
      <c r="P139" s="11">
        <f>SUMIFS(PURCHASE!$L$6:$L$10008,PURCHASE!$A$6:$A$10008,$N$3,PURCHASE!$D$6:$D$10008,$C$5:$C$499)</f>
        <v>0</v>
      </c>
      <c r="Q139" s="11">
        <f>SUMIFS(PURCHASE!$M$6:$M$10008,PURCHASE!$A$6:$A$10008,$N$3,PURCHASE!$D$6:$D$10008,$C$5:$C$499)</f>
        <v>0</v>
      </c>
      <c r="R139" s="11">
        <f>SUMIFS(PURCHASE!$N$6:$N$10008,PURCHASE!$A$6:$A$10008,$N$3,PURCHASE!$D$6:$D$10008,$C$5:$C$499)</f>
        <v>0</v>
      </c>
      <c r="S139" s="11">
        <f t="shared" si="34"/>
        <v>12744</v>
      </c>
      <c r="T139" s="11">
        <f>SUMIFS(PURCHASE!$K$6:$K$10008,PURCHASE!$A$6:$A$10008,$S$3,PURCHASE!$D$6:$D$10008,$C$5:$C$499)</f>
        <v>10800</v>
      </c>
      <c r="U139" s="11">
        <f>SUMIFS(PURCHASE!$L$6:$L$10008,PURCHASE!$A$6:$A$10008,$S$3,PURCHASE!$D$6:$D$10008,$C$5:$C$499)</f>
        <v>1944</v>
      </c>
      <c r="V139" s="11">
        <f>SUMIFS(PURCHASE!$M$6:$M$10008,PURCHASE!$A$6:$A$10008,$S$3,PURCHASE!$D$6:$D$10008,$C$5:$C$499)</f>
        <v>0</v>
      </c>
      <c r="W139" s="11">
        <f>SUMIFS(PURCHASE!$N$6:$N$10008,PURCHASE!$A$6:$A$10008,$S$3,PURCHASE!$D$6:$D$10008,$C$5:$C$499)</f>
        <v>0</v>
      </c>
      <c r="X139" s="11">
        <f t="shared" si="35"/>
        <v>0</v>
      </c>
      <c r="Y139" s="11">
        <f>SUMIFS(PURCHASE!$K$6:$K$10008,PURCHASE!$A$6:$A$10008,$X$3,PURCHASE!$D$6:$D$10008,$C$5:$C$499)</f>
        <v>0</v>
      </c>
      <c r="Z139" s="11">
        <f>SUMIFS(PURCHASE!$L$6:$L$10008,PURCHASE!$A$6:$A$10008,$X$3,PURCHASE!$D$6:$D$10008,$C$5:$C$499)</f>
        <v>0</v>
      </c>
      <c r="AA139" s="11">
        <f>SUMIFS(PURCHASE!$M$6:$M$10008,PURCHASE!$A$6:$A$10008,$X$3,PURCHASE!$D$6:$D$10008,$C$5:$C$499)</f>
        <v>0</v>
      </c>
      <c r="AB139" s="11">
        <f>SUMIFS(PURCHASE!$N$6:$N$10008,PURCHASE!$A$6:$A$10008,$X$3,PURCHASE!$D$6:$D$10008,$C$5:$C$499)</f>
        <v>0</v>
      </c>
      <c r="AC139" s="11">
        <f t="shared" si="36"/>
        <v>0</v>
      </c>
      <c r="AD139" s="11">
        <f>SUMIFS(PURCHASE!$K$6:$K$10008,PURCHASE!$A$6:$A$10008,$AC$3,PURCHASE!$D$6:$D$10008,$C$5:$C$499)</f>
        <v>0</v>
      </c>
      <c r="AE139" s="11">
        <f>SUMIFS(PURCHASE!$L$6:$L$10008,PURCHASE!$A$6:$A$10008,$AC$3,PURCHASE!$D$6:$D$10008,$C$5:$C$499)</f>
        <v>0</v>
      </c>
      <c r="AF139" s="11">
        <f>SUMIFS(PURCHASE!$M$6:$M$10008,PURCHASE!$A$6:$A$10008,$AC$3,PURCHASE!$D$6:$D$10008,$C$5:$C$499)</f>
        <v>0</v>
      </c>
      <c r="AG139" s="11">
        <f>SUMIFS(PURCHASE!$N$6:$N$10008,PURCHASE!$A$6:$A$10008,$AC$3,PURCHASE!$D$6:$D$10008,$C$5:$C$499)</f>
        <v>0</v>
      </c>
      <c r="AH139" s="11">
        <f t="shared" si="37"/>
        <v>0</v>
      </c>
      <c r="AI139" s="11">
        <f>SUMIFS(PURCHASE!$K$6:$K$10008,PURCHASE!$A$6:$A$10008,$AH$3,PURCHASE!$D$6:$D$10008,$C$5:$C$499)</f>
        <v>0</v>
      </c>
      <c r="AJ139" s="11">
        <f>SUMIFS(PURCHASE!$L$6:$L$10008,PURCHASE!$A$6:$A$10008,$AH$3,PURCHASE!$D$6:$D$10008,$C$5:$C$499)</f>
        <v>0</v>
      </c>
      <c r="AK139" s="11">
        <f>SUMIFS(PURCHASE!$M$6:$M$10008,PURCHASE!$A$6:$A$10008,$AH$3,PURCHASE!$D$6:$D$10008,$C$5:$C$499)</f>
        <v>0</v>
      </c>
      <c r="AL139" s="11">
        <f>SUMIFS(PURCHASE!$N$6:$N$10008,PURCHASE!$A$6:$A$10008,$AH$3,PURCHASE!$D$6:$D$10008,$C$5:$C$499)</f>
        <v>0</v>
      </c>
      <c r="AM139" s="11">
        <f t="shared" si="38"/>
        <v>0</v>
      </c>
      <c r="AN139" s="11">
        <f>SUMIFS(PURCHASE!$K$6:$K$10008,PURCHASE!$A$6:$A$10008,$AM$3,PURCHASE!$D$6:$D$10008,$C$5:$C$499)</f>
        <v>0</v>
      </c>
      <c r="AO139" s="11">
        <f>SUMIFS(PURCHASE!$L$6:$L$10008,PURCHASE!$A$6:$A$10008,$AM$3,PURCHASE!$D$6:$D$10008,$C$5:$C$499)</f>
        <v>0</v>
      </c>
      <c r="AP139" s="11">
        <f>SUMIFS(PURCHASE!$M$6:$M$10008,PURCHASE!$A$6:$A$10008,$AM$3,PURCHASE!$D$6:$D$10008,$C$5:$C$499)</f>
        <v>0</v>
      </c>
      <c r="AQ139" s="11">
        <f>SUMIFS(PURCHASE!$N$6:$N$10008,PURCHASE!$A$6:$A$10008,$AM$3,PURCHASE!$D$6:$D$10008,$C$5:$C$499)</f>
        <v>0</v>
      </c>
      <c r="AR139" s="11">
        <f t="shared" si="39"/>
        <v>0</v>
      </c>
      <c r="AS139" s="11">
        <f>SUMIFS(PURCHASE!$K$6:$K$10008,PURCHASE!$A$6:$A$10008,$AR$3,PURCHASE!$D$6:$D$10008,$C$5:$C$499)</f>
        <v>0</v>
      </c>
      <c r="AT139" s="11">
        <f>SUMIFS(PURCHASE!$L$6:$L$10008,PURCHASE!$A$6:$A$10008,$AR$3,PURCHASE!$D$6:$D$10008,$C$5:$C$499)</f>
        <v>0</v>
      </c>
      <c r="AU139" s="11">
        <f>SUMIFS(PURCHASE!$M$6:$M$10008,PURCHASE!$A$6:$A$10008,$AR$3,PURCHASE!$D$6:$D$10008,$C$5:$C$499)</f>
        <v>0</v>
      </c>
      <c r="AV139" s="11">
        <f>SUMIFS(PURCHASE!$N$6:$N$10008,PURCHASE!$A$6:$A$10008,$AR$3,PURCHASE!$D$6:$D$10008,$C$5:$C$499)</f>
        <v>0</v>
      </c>
      <c r="AW139" s="11">
        <f t="shared" si="40"/>
        <v>0</v>
      </c>
      <c r="AX139" s="11">
        <f>SUMIFS(PURCHASE!$K$6:$K$10008,PURCHASE!$A$6:$A$10008,$AW$3,PURCHASE!$D$6:$D$10008,$C$5:$C$499)</f>
        <v>0</v>
      </c>
      <c r="AY139" s="11">
        <f>SUMIFS(PURCHASE!$L$6:$L$10008,PURCHASE!$A$6:$A$10008,$AW$3,PURCHASE!$D$6:$D$10008,$C$5:$C$499)</f>
        <v>0</v>
      </c>
      <c r="AZ139" s="11">
        <f>SUMIFS(PURCHASE!$M$6:$M$10008,PURCHASE!$A$6:$A$10008,$AW$3,PURCHASE!$D$6:$D$10008,$C$5:$C$499)</f>
        <v>0</v>
      </c>
      <c r="BA139" s="11">
        <f>SUMIFS(PURCHASE!$N$6:$N$10008,PURCHASE!$A$6:$A$10008,$AW$3,PURCHASE!$D$6:$D$10008,$C$5:$C$499)</f>
        <v>0</v>
      </c>
      <c r="BB139" s="11">
        <f t="shared" si="41"/>
        <v>0</v>
      </c>
      <c r="BC139" s="11">
        <f>SUMIFS(PURCHASE!$K$6:$K$10008,PURCHASE!$A$6:$A$10008,$BB$3,PURCHASE!$D$6:$D$10008,$C$5:$C$499)</f>
        <v>0</v>
      </c>
      <c r="BD139" s="11">
        <f>SUMIFS(PURCHASE!$L$6:$L$10008,PURCHASE!$A$6:$A$10008,$BB$3,PURCHASE!$D$6:$D$10008,$C$5:$C$499)</f>
        <v>0</v>
      </c>
      <c r="BE139" s="11">
        <f>SUMIFS(PURCHASE!$M$6:$M$10008,PURCHASE!$A$6:$A$10008,$BB$3,PURCHASE!$D$6:$D$10008,$C$5:$C$499)</f>
        <v>0</v>
      </c>
      <c r="BF139" s="11">
        <f>SUMIFS(PURCHASE!$N$6:$N$10008,PURCHASE!$A$6:$A$10008,$BB$3,PURCHASE!$D$6:$D$10008,$C$5:$C$499)</f>
        <v>0</v>
      </c>
      <c r="BG139" s="11">
        <f t="shared" si="42"/>
        <v>0</v>
      </c>
      <c r="BH139" s="11">
        <f>SUMIFS(PURCHASE!$K$6:$K$10008,PURCHASE!$A$6:$A$10008,$BG$3,PURCHASE!$D$6:$D$10008,$C$5:$C$499)</f>
        <v>0</v>
      </c>
      <c r="BI139" s="11">
        <f>SUMIFS(PURCHASE!$L$6:$L$10008,PURCHASE!$A$6:$A$10008,$BG$3,PURCHASE!$D$6:$D$10008,$C$5:$C$499)</f>
        <v>0</v>
      </c>
      <c r="BJ139" s="11">
        <f>SUMIFS(PURCHASE!$M$6:$M$10008,PURCHASE!$A$6:$A$10008,$BG$3,PURCHASE!$D$6:$D$10008,$C$5:$C$499)</f>
        <v>0</v>
      </c>
      <c r="BK139" s="11">
        <f>SUMIFS(PURCHASE!$N$6:$N$10008,PURCHASE!$A$6:$A$10008,$BG$3,PURCHASE!$D$6:$D$10008,$C$5:$C$499)</f>
        <v>0</v>
      </c>
      <c r="BL139" s="11">
        <f t="shared" si="30"/>
        <v>12744</v>
      </c>
      <c r="BM139" s="11">
        <f t="shared" si="30"/>
        <v>10800</v>
      </c>
      <c r="BN139" s="11">
        <f t="shared" si="30"/>
        <v>1944</v>
      </c>
      <c r="BO139" s="11">
        <f t="shared" si="30"/>
        <v>0</v>
      </c>
      <c r="BP139" s="11">
        <f t="shared" si="30"/>
        <v>0</v>
      </c>
    </row>
    <row r="140" spans="1:68" x14ac:dyDescent="0.2">
      <c r="A140" s="467">
        <v>145</v>
      </c>
      <c r="B140" s="468" t="s">
        <v>999</v>
      </c>
      <c r="C140" s="469" t="s">
        <v>1000</v>
      </c>
      <c r="D140" s="11">
        <f t="shared" si="31"/>
        <v>0</v>
      </c>
      <c r="E140" s="11">
        <f>SUMIFS(PURCHASE!$K$6:$K$10008,PURCHASE!$A$6:$A$10008,$D$3,PURCHASE!$D$6:$D$10008,$C$5:$C$499)</f>
        <v>0</v>
      </c>
      <c r="F140" s="11">
        <f>SUMIFS(PURCHASE!$L$6:$L$10008,PURCHASE!$A$6:$A$10008,$D$3,PURCHASE!$D$6:$D$10008,$C$5:$C$499)</f>
        <v>0</v>
      </c>
      <c r="G140" s="11">
        <f>SUMIFS(PURCHASE!$M$6:$M$10008,PURCHASE!$A$6:$A$10008,$D$3,PURCHASE!$D$6:$D$10008,$C$5:$C$499)</f>
        <v>0</v>
      </c>
      <c r="H140" s="11">
        <f>SUMIFS(PURCHASE!$N$6:$N$10008,PURCHASE!$A$6:$A$10008,$D$3,PURCHASE!$D$6:$D$10008,$C$5:$C$499)</f>
        <v>0</v>
      </c>
      <c r="I140" s="473">
        <f t="shared" si="32"/>
        <v>0</v>
      </c>
      <c r="J140" s="60">
        <f>SUMIFS(PURCHASE!$K$6:$K$10008,PURCHASE!$A$6:$A$10008,$I$3,PURCHASE!$D$6:$D$10008,$C$5:$C$499)</f>
        <v>0</v>
      </c>
      <c r="K140" s="60">
        <f>SUMIFS(PURCHASE!$L$6:$L$10008,PURCHASE!$A$6:$A$10008,$I$3,PURCHASE!$D$6:$D$10008,$C$5:$C$499)</f>
        <v>0</v>
      </c>
      <c r="L140" s="60">
        <f>SUMIFS(PURCHASE!$M$6:$M$10008,PURCHASE!$A$6:$A$10008,$I$3,PURCHASE!$D$6:$D$10008,$C$5:$C$499)</f>
        <v>0</v>
      </c>
      <c r="M140" s="474">
        <f>SUMIFS(PURCHASE!$N$6:$N$10008,PURCHASE!$A$6:$A$10008,$I$3,PURCHASE!$D$6:$D$10008,$C$5:$C$499)</f>
        <v>0</v>
      </c>
      <c r="N140" s="11">
        <f t="shared" si="33"/>
        <v>0</v>
      </c>
      <c r="O140" s="11">
        <f>SUMIFS(PURCHASE!$K$6:$K$10008,PURCHASE!$A$6:$A$10008,$N$3,PURCHASE!$D$6:$D$10008,$C$5:$C$499)</f>
        <v>0</v>
      </c>
      <c r="P140" s="11">
        <f>SUMIFS(PURCHASE!$L$6:$L$10008,PURCHASE!$A$6:$A$10008,$N$3,PURCHASE!$D$6:$D$10008,$C$5:$C$499)</f>
        <v>0</v>
      </c>
      <c r="Q140" s="11">
        <f>SUMIFS(PURCHASE!$M$6:$M$10008,PURCHASE!$A$6:$A$10008,$N$3,PURCHASE!$D$6:$D$10008,$C$5:$C$499)</f>
        <v>0</v>
      </c>
      <c r="R140" s="11">
        <f>SUMIFS(PURCHASE!$N$6:$N$10008,PURCHASE!$A$6:$A$10008,$N$3,PURCHASE!$D$6:$D$10008,$C$5:$C$499)</f>
        <v>0</v>
      </c>
      <c r="S140" s="11">
        <f t="shared" si="34"/>
        <v>0</v>
      </c>
      <c r="T140" s="11">
        <f>SUMIFS(PURCHASE!$K$6:$K$10008,PURCHASE!$A$6:$A$10008,$S$3,PURCHASE!$D$6:$D$10008,$C$5:$C$499)</f>
        <v>0</v>
      </c>
      <c r="U140" s="11">
        <f>SUMIFS(PURCHASE!$L$6:$L$10008,PURCHASE!$A$6:$A$10008,$S$3,PURCHASE!$D$6:$D$10008,$C$5:$C$499)</f>
        <v>0</v>
      </c>
      <c r="V140" s="11">
        <f>SUMIFS(PURCHASE!$M$6:$M$10008,PURCHASE!$A$6:$A$10008,$S$3,PURCHASE!$D$6:$D$10008,$C$5:$C$499)</f>
        <v>0</v>
      </c>
      <c r="W140" s="11">
        <f>SUMIFS(PURCHASE!$N$6:$N$10008,PURCHASE!$A$6:$A$10008,$S$3,PURCHASE!$D$6:$D$10008,$C$5:$C$499)</f>
        <v>0</v>
      </c>
      <c r="X140" s="11">
        <f t="shared" si="35"/>
        <v>0</v>
      </c>
      <c r="Y140" s="11">
        <f>SUMIFS(PURCHASE!$K$6:$K$10008,PURCHASE!$A$6:$A$10008,$X$3,PURCHASE!$D$6:$D$10008,$C$5:$C$499)</f>
        <v>0</v>
      </c>
      <c r="Z140" s="11">
        <f>SUMIFS(PURCHASE!$L$6:$L$10008,PURCHASE!$A$6:$A$10008,$X$3,PURCHASE!$D$6:$D$10008,$C$5:$C$499)</f>
        <v>0</v>
      </c>
      <c r="AA140" s="11">
        <f>SUMIFS(PURCHASE!$M$6:$M$10008,PURCHASE!$A$6:$A$10008,$X$3,PURCHASE!$D$6:$D$10008,$C$5:$C$499)</f>
        <v>0</v>
      </c>
      <c r="AB140" s="11">
        <f>SUMIFS(PURCHASE!$N$6:$N$10008,PURCHASE!$A$6:$A$10008,$X$3,PURCHASE!$D$6:$D$10008,$C$5:$C$499)</f>
        <v>0</v>
      </c>
      <c r="AC140" s="11">
        <f t="shared" si="36"/>
        <v>3494.3999999999996</v>
      </c>
      <c r="AD140" s="11">
        <f>SUMIFS(PURCHASE!$K$6:$K$10008,PURCHASE!$A$6:$A$10008,$AC$3,PURCHASE!$D$6:$D$10008,$C$5:$C$499)</f>
        <v>3120</v>
      </c>
      <c r="AE140" s="11">
        <f>SUMIFS(PURCHASE!$L$6:$L$10008,PURCHASE!$A$6:$A$10008,$AC$3,PURCHASE!$D$6:$D$10008,$C$5:$C$499)</f>
        <v>0</v>
      </c>
      <c r="AF140" s="11">
        <f>SUMIFS(PURCHASE!$M$6:$M$10008,PURCHASE!$A$6:$A$10008,$AC$3,PURCHASE!$D$6:$D$10008,$C$5:$C$499)</f>
        <v>187.2</v>
      </c>
      <c r="AG140" s="11">
        <f>SUMIFS(PURCHASE!$N$6:$N$10008,PURCHASE!$A$6:$A$10008,$AC$3,PURCHASE!$D$6:$D$10008,$C$5:$C$499)</f>
        <v>187.2</v>
      </c>
      <c r="AH140" s="11">
        <f t="shared" si="37"/>
        <v>0</v>
      </c>
      <c r="AI140" s="11">
        <f>SUMIFS(PURCHASE!$K$6:$K$10008,PURCHASE!$A$6:$A$10008,$AH$3,PURCHASE!$D$6:$D$10008,$C$5:$C$499)</f>
        <v>0</v>
      </c>
      <c r="AJ140" s="11">
        <f>SUMIFS(PURCHASE!$L$6:$L$10008,PURCHASE!$A$6:$A$10008,$AH$3,PURCHASE!$D$6:$D$10008,$C$5:$C$499)</f>
        <v>0</v>
      </c>
      <c r="AK140" s="11">
        <f>SUMIFS(PURCHASE!$M$6:$M$10008,PURCHASE!$A$6:$A$10008,$AH$3,PURCHASE!$D$6:$D$10008,$C$5:$C$499)</f>
        <v>0</v>
      </c>
      <c r="AL140" s="11">
        <f>SUMIFS(PURCHASE!$N$6:$N$10008,PURCHASE!$A$6:$A$10008,$AH$3,PURCHASE!$D$6:$D$10008,$C$5:$C$499)</f>
        <v>0</v>
      </c>
      <c r="AM140" s="11">
        <f t="shared" si="38"/>
        <v>0</v>
      </c>
      <c r="AN140" s="11">
        <f>SUMIFS(PURCHASE!$K$6:$K$10008,PURCHASE!$A$6:$A$10008,$AM$3,PURCHASE!$D$6:$D$10008,$C$5:$C$499)</f>
        <v>0</v>
      </c>
      <c r="AO140" s="11">
        <f>SUMIFS(PURCHASE!$L$6:$L$10008,PURCHASE!$A$6:$A$10008,$AM$3,PURCHASE!$D$6:$D$10008,$C$5:$C$499)</f>
        <v>0</v>
      </c>
      <c r="AP140" s="11">
        <f>SUMIFS(PURCHASE!$M$6:$M$10008,PURCHASE!$A$6:$A$10008,$AM$3,PURCHASE!$D$6:$D$10008,$C$5:$C$499)</f>
        <v>0</v>
      </c>
      <c r="AQ140" s="11">
        <f>SUMIFS(PURCHASE!$N$6:$N$10008,PURCHASE!$A$6:$A$10008,$AM$3,PURCHASE!$D$6:$D$10008,$C$5:$C$499)</f>
        <v>0</v>
      </c>
      <c r="AR140" s="11">
        <f t="shared" si="39"/>
        <v>0</v>
      </c>
      <c r="AS140" s="11">
        <f>SUMIFS(PURCHASE!$K$6:$K$10008,PURCHASE!$A$6:$A$10008,$AR$3,PURCHASE!$D$6:$D$10008,$C$5:$C$499)</f>
        <v>0</v>
      </c>
      <c r="AT140" s="11">
        <f>SUMIFS(PURCHASE!$L$6:$L$10008,PURCHASE!$A$6:$A$10008,$AR$3,PURCHASE!$D$6:$D$10008,$C$5:$C$499)</f>
        <v>0</v>
      </c>
      <c r="AU140" s="11">
        <f>SUMIFS(PURCHASE!$M$6:$M$10008,PURCHASE!$A$6:$A$10008,$AR$3,PURCHASE!$D$6:$D$10008,$C$5:$C$499)</f>
        <v>0</v>
      </c>
      <c r="AV140" s="11">
        <f>SUMIFS(PURCHASE!$N$6:$N$10008,PURCHASE!$A$6:$A$10008,$AR$3,PURCHASE!$D$6:$D$10008,$C$5:$C$499)</f>
        <v>0</v>
      </c>
      <c r="AW140" s="11">
        <f t="shared" si="40"/>
        <v>0</v>
      </c>
      <c r="AX140" s="11">
        <f>SUMIFS(PURCHASE!$K$6:$K$10008,PURCHASE!$A$6:$A$10008,$AW$3,PURCHASE!$D$6:$D$10008,$C$5:$C$499)</f>
        <v>0</v>
      </c>
      <c r="AY140" s="11">
        <f>SUMIFS(PURCHASE!$L$6:$L$10008,PURCHASE!$A$6:$A$10008,$AW$3,PURCHASE!$D$6:$D$10008,$C$5:$C$499)</f>
        <v>0</v>
      </c>
      <c r="AZ140" s="11">
        <f>SUMIFS(PURCHASE!$M$6:$M$10008,PURCHASE!$A$6:$A$10008,$AW$3,PURCHASE!$D$6:$D$10008,$C$5:$C$499)</f>
        <v>0</v>
      </c>
      <c r="BA140" s="11">
        <f>SUMIFS(PURCHASE!$N$6:$N$10008,PURCHASE!$A$6:$A$10008,$AW$3,PURCHASE!$D$6:$D$10008,$C$5:$C$499)</f>
        <v>0</v>
      </c>
      <c r="BB140" s="11">
        <f t="shared" si="41"/>
        <v>0</v>
      </c>
      <c r="BC140" s="11">
        <f>SUMIFS(PURCHASE!$K$6:$K$10008,PURCHASE!$A$6:$A$10008,$BB$3,PURCHASE!$D$6:$D$10008,$C$5:$C$499)</f>
        <v>0</v>
      </c>
      <c r="BD140" s="11">
        <f>SUMIFS(PURCHASE!$L$6:$L$10008,PURCHASE!$A$6:$A$10008,$BB$3,PURCHASE!$D$6:$D$10008,$C$5:$C$499)</f>
        <v>0</v>
      </c>
      <c r="BE140" s="11">
        <f>SUMIFS(PURCHASE!$M$6:$M$10008,PURCHASE!$A$6:$A$10008,$BB$3,PURCHASE!$D$6:$D$10008,$C$5:$C$499)</f>
        <v>0</v>
      </c>
      <c r="BF140" s="11">
        <f>SUMIFS(PURCHASE!$N$6:$N$10008,PURCHASE!$A$6:$A$10008,$BB$3,PURCHASE!$D$6:$D$10008,$C$5:$C$499)</f>
        <v>0</v>
      </c>
      <c r="BG140" s="11">
        <f t="shared" si="42"/>
        <v>0</v>
      </c>
      <c r="BH140" s="11">
        <f>SUMIFS(PURCHASE!$K$6:$K$10008,PURCHASE!$A$6:$A$10008,$BG$3,PURCHASE!$D$6:$D$10008,$C$5:$C$499)</f>
        <v>0</v>
      </c>
      <c r="BI140" s="11">
        <f>SUMIFS(PURCHASE!$L$6:$L$10008,PURCHASE!$A$6:$A$10008,$BG$3,PURCHASE!$D$6:$D$10008,$C$5:$C$499)</f>
        <v>0</v>
      </c>
      <c r="BJ140" s="11">
        <f>SUMIFS(PURCHASE!$M$6:$M$10008,PURCHASE!$A$6:$A$10008,$BG$3,PURCHASE!$D$6:$D$10008,$C$5:$C$499)</f>
        <v>0</v>
      </c>
      <c r="BK140" s="11">
        <f>SUMIFS(PURCHASE!$N$6:$N$10008,PURCHASE!$A$6:$A$10008,$BG$3,PURCHASE!$D$6:$D$10008,$C$5:$C$499)</f>
        <v>0</v>
      </c>
      <c r="BL140" s="11">
        <f t="shared" si="30"/>
        <v>3494.3999999999996</v>
      </c>
      <c r="BM140" s="11">
        <f t="shared" si="30"/>
        <v>3120</v>
      </c>
      <c r="BN140" s="11">
        <f t="shared" si="30"/>
        <v>0</v>
      </c>
      <c r="BO140" s="11">
        <f t="shared" si="30"/>
        <v>187.2</v>
      </c>
      <c r="BP140" s="11">
        <f t="shared" si="30"/>
        <v>187.2</v>
      </c>
    </row>
    <row r="141" spans="1:68" x14ac:dyDescent="0.2">
      <c r="A141" s="467">
        <v>146</v>
      </c>
      <c r="B141" s="468" t="s">
        <v>1001</v>
      </c>
      <c r="C141" s="469" t="s">
        <v>1002</v>
      </c>
      <c r="D141" s="11">
        <f t="shared" si="31"/>
        <v>0</v>
      </c>
      <c r="E141" s="11">
        <f>SUMIFS(PURCHASE!$K$6:$K$10008,PURCHASE!$A$6:$A$10008,$D$3,PURCHASE!$D$6:$D$10008,$C$5:$C$499)</f>
        <v>0</v>
      </c>
      <c r="F141" s="11">
        <f>SUMIFS(PURCHASE!$L$6:$L$10008,PURCHASE!$A$6:$A$10008,$D$3,PURCHASE!$D$6:$D$10008,$C$5:$C$499)</f>
        <v>0</v>
      </c>
      <c r="G141" s="11">
        <f>SUMIFS(PURCHASE!$M$6:$M$10008,PURCHASE!$A$6:$A$10008,$D$3,PURCHASE!$D$6:$D$10008,$C$5:$C$499)</f>
        <v>0</v>
      </c>
      <c r="H141" s="11">
        <f>SUMIFS(PURCHASE!$N$6:$N$10008,PURCHASE!$A$6:$A$10008,$D$3,PURCHASE!$D$6:$D$10008,$C$5:$C$499)</f>
        <v>0</v>
      </c>
      <c r="I141" s="473">
        <f t="shared" si="32"/>
        <v>0</v>
      </c>
      <c r="J141" s="60">
        <f>SUMIFS(PURCHASE!$K$6:$K$10008,PURCHASE!$A$6:$A$10008,$I$3,PURCHASE!$D$6:$D$10008,$C$5:$C$499)</f>
        <v>0</v>
      </c>
      <c r="K141" s="60">
        <f>SUMIFS(PURCHASE!$L$6:$L$10008,PURCHASE!$A$6:$A$10008,$I$3,PURCHASE!$D$6:$D$10008,$C$5:$C$499)</f>
        <v>0</v>
      </c>
      <c r="L141" s="60">
        <f>SUMIFS(PURCHASE!$M$6:$M$10008,PURCHASE!$A$6:$A$10008,$I$3,PURCHASE!$D$6:$D$10008,$C$5:$C$499)</f>
        <v>0</v>
      </c>
      <c r="M141" s="474">
        <f>SUMIFS(PURCHASE!$N$6:$N$10008,PURCHASE!$A$6:$A$10008,$I$3,PURCHASE!$D$6:$D$10008,$C$5:$C$499)</f>
        <v>0</v>
      </c>
      <c r="N141" s="11">
        <f t="shared" si="33"/>
        <v>0</v>
      </c>
      <c r="O141" s="11">
        <f>SUMIFS(PURCHASE!$K$6:$K$10008,PURCHASE!$A$6:$A$10008,$N$3,PURCHASE!$D$6:$D$10008,$C$5:$C$499)</f>
        <v>0</v>
      </c>
      <c r="P141" s="11">
        <f>SUMIFS(PURCHASE!$L$6:$L$10008,PURCHASE!$A$6:$A$10008,$N$3,PURCHASE!$D$6:$D$10008,$C$5:$C$499)</f>
        <v>0</v>
      </c>
      <c r="Q141" s="11">
        <f>SUMIFS(PURCHASE!$M$6:$M$10008,PURCHASE!$A$6:$A$10008,$N$3,PURCHASE!$D$6:$D$10008,$C$5:$C$499)</f>
        <v>0</v>
      </c>
      <c r="R141" s="11">
        <f>SUMIFS(PURCHASE!$N$6:$N$10008,PURCHASE!$A$6:$A$10008,$N$3,PURCHASE!$D$6:$D$10008,$C$5:$C$499)</f>
        <v>0</v>
      </c>
      <c r="S141" s="11">
        <f t="shared" si="34"/>
        <v>0</v>
      </c>
      <c r="T141" s="11">
        <f>SUMIFS(PURCHASE!$K$6:$K$10008,PURCHASE!$A$6:$A$10008,$S$3,PURCHASE!$D$6:$D$10008,$C$5:$C$499)</f>
        <v>0</v>
      </c>
      <c r="U141" s="11">
        <f>SUMIFS(PURCHASE!$L$6:$L$10008,PURCHASE!$A$6:$A$10008,$S$3,PURCHASE!$D$6:$D$10008,$C$5:$C$499)</f>
        <v>0</v>
      </c>
      <c r="V141" s="11">
        <f>SUMIFS(PURCHASE!$M$6:$M$10008,PURCHASE!$A$6:$A$10008,$S$3,PURCHASE!$D$6:$D$10008,$C$5:$C$499)</f>
        <v>0</v>
      </c>
      <c r="W141" s="11">
        <f>SUMIFS(PURCHASE!$N$6:$N$10008,PURCHASE!$A$6:$A$10008,$S$3,PURCHASE!$D$6:$D$10008,$C$5:$C$499)</f>
        <v>0</v>
      </c>
      <c r="X141" s="11">
        <f t="shared" si="35"/>
        <v>0</v>
      </c>
      <c r="Y141" s="11">
        <f>SUMIFS(PURCHASE!$K$6:$K$10008,PURCHASE!$A$6:$A$10008,$X$3,PURCHASE!$D$6:$D$10008,$C$5:$C$499)</f>
        <v>0</v>
      </c>
      <c r="Z141" s="11">
        <f>SUMIFS(PURCHASE!$L$6:$L$10008,PURCHASE!$A$6:$A$10008,$X$3,PURCHASE!$D$6:$D$10008,$C$5:$C$499)</f>
        <v>0</v>
      </c>
      <c r="AA141" s="11">
        <f>SUMIFS(PURCHASE!$M$6:$M$10008,PURCHASE!$A$6:$A$10008,$X$3,PURCHASE!$D$6:$D$10008,$C$5:$C$499)</f>
        <v>0</v>
      </c>
      <c r="AB141" s="11">
        <f>SUMIFS(PURCHASE!$N$6:$N$10008,PURCHASE!$A$6:$A$10008,$X$3,PURCHASE!$D$6:$D$10008,$C$5:$C$499)</f>
        <v>0</v>
      </c>
      <c r="AC141" s="11">
        <f t="shared" si="36"/>
        <v>3494.3999999999996</v>
      </c>
      <c r="AD141" s="11">
        <f>SUMIFS(PURCHASE!$K$6:$K$10008,PURCHASE!$A$6:$A$10008,$AC$3,PURCHASE!$D$6:$D$10008,$C$5:$C$499)</f>
        <v>3120</v>
      </c>
      <c r="AE141" s="11">
        <f>SUMIFS(PURCHASE!$L$6:$L$10008,PURCHASE!$A$6:$A$10008,$AC$3,PURCHASE!$D$6:$D$10008,$C$5:$C$499)</f>
        <v>0</v>
      </c>
      <c r="AF141" s="11">
        <f>SUMIFS(PURCHASE!$M$6:$M$10008,PURCHASE!$A$6:$A$10008,$AC$3,PURCHASE!$D$6:$D$10008,$C$5:$C$499)</f>
        <v>187.2</v>
      </c>
      <c r="AG141" s="11">
        <f>SUMIFS(PURCHASE!$N$6:$N$10008,PURCHASE!$A$6:$A$10008,$AC$3,PURCHASE!$D$6:$D$10008,$C$5:$C$499)</f>
        <v>187.2</v>
      </c>
      <c r="AH141" s="11">
        <f t="shared" si="37"/>
        <v>0</v>
      </c>
      <c r="AI141" s="11">
        <f>SUMIFS(PURCHASE!$K$6:$K$10008,PURCHASE!$A$6:$A$10008,$AH$3,PURCHASE!$D$6:$D$10008,$C$5:$C$499)</f>
        <v>0</v>
      </c>
      <c r="AJ141" s="11">
        <f>SUMIFS(PURCHASE!$L$6:$L$10008,PURCHASE!$A$6:$A$10008,$AH$3,PURCHASE!$D$6:$D$10008,$C$5:$C$499)</f>
        <v>0</v>
      </c>
      <c r="AK141" s="11">
        <f>SUMIFS(PURCHASE!$M$6:$M$10008,PURCHASE!$A$6:$A$10008,$AH$3,PURCHASE!$D$6:$D$10008,$C$5:$C$499)</f>
        <v>0</v>
      </c>
      <c r="AL141" s="11">
        <f>SUMIFS(PURCHASE!$N$6:$N$10008,PURCHASE!$A$6:$A$10008,$AH$3,PURCHASE!$D$6:$D$10008,$C$5:$C$499)</f>
        <v>0</v>
      </c>
      <c r="AM141" s="11">
        <f t="shared" si="38"/>
        <v>0</v>
      </c>
      <c r="AN141" s="11">
        <f>SUMIFS(PURCHASE!$K$6:$K$10008,PURCHASE!$A$6:$A$10008,$AM$3,PURCHASE!$D$6:$D$10008,$C$5:$C$499)</f>
        <v>0</v>
      </c>
      <c r="AO141" s="11">
        <f>SUMIFS(PURCHASE!$L$6:$L$10008,PURCHASE!$A$6:$A$10008,$AM$3,PURCHASE!$D$6:$D$10008,$C$5:$C$499)</f>
        <v>0</v>
      </c>
      <c r="AP141" s="11">
        <f>SUMIFS(PURCHASE!$M$6:$M$10008,PURCHASE!$A$6:$A$10008,$AM$3,PURCHASE!$D$6:$D$10008,$C$5:$C$499)</f>
        <v>0</v>
      </c>
      <c r="AQ141" s="11">
        <f>SUMIFS(PURCHASE!$N$6:$N$10008,PURCHASE!$A$6:$A$10008,$AM$3,PURCHASE!$D$6:$D$10008,$C$5:$C$499)</f>
        <v>0</v>
      </c>
      <c r="AR141" s="11">
        <f t="shared" si="39"/>
        <v>0</v>
      </c>
      <c r="AS141" s="11">
        <f>SUMIFS(PURCHASE!$K$6:$K$10008,PURCHASE!$A$6:$A$10008,$AR$3,PURCHASE!$D$6:$D$10008,$C$5:$C$499)</f>
        <v>0</v>
      </c>
      <c r="AT141" s="11">
        <f>SUMIFS(PURCHASE!$L$6:$L$10008,PURCHASE!$A$6:$A$10008,$AR$3,PURCHASE!$D$6:$D$10008,$C$5:$C$499)</f>
        <v>0</v>
      </c>
      <c r="AU141" s="11">
        <f>SUMIFS(PURCHASE!$M$6:$M$10008,PURCHASE!$A$6:$A$10008,$AR$3,PURCHASE!$D$6:$D$10008,$C$5:$C$499)</f>
        <v>0</v>
      </c>
      <c r="AV141" s="11">
        <f>SUMIFS(PURCHASE!$N$6:$N$10008,PURCHASE!$A$6:$A$10008,$AR$3,PURCHASE!$D$6:$D$10008,$C$5:$C$499)</f>
        <v>0</v>
      </c>
      <c r="AW141" s="11">
        <f t="shared" si="40"/>
        <v>0</v>
      </c>
      <c r="AX141" s="11">
        <f>SUMIFS(PURCHASE!$K$6:$K$10008,PURCHASE!$A$6:$A$10008,$AW$3,PURCHASE!$D$6:$D$10008,$C$5:$C$499)</f>
        <v>0</v>
      </c>
      <c r="AY141" s="11">
        <f>SUMIFS(PURCHASE!$L$6:$L$10008,PURCHASE!$A$6:$A$10008,$AW$3,PURCHASE!$D$6:$D$10008,$C$5:$C$499)</f>
        <v>0</v>
      </c>
      <c r="AZ141" s="11">
        <f>SUMIFS(PURCHASE!$M$6:$M$10008,PURCHASE!$A$6:$A$10008,$AW$3,PURCHASE!$D$6:$D$10008,$C$5:$C$499)</f>
        <v>0</v>
      </c>
      <c r="BA141" s="11">
        <f>SUMIFS(PURCHASE!$N$6:$N$10008,PURCHASE!$A$6:$A$10008,$AW$3,PURCHASE!$D$6:$D$10008,$C$5:$C$499)</f>
        <v>0</v>
      </c>
      <c r="BB141" s="11">
        <f t="shared" si="41"/>
        <v>0</v>
      </c>
      <c r="BC141" s="11">
        <f>SUMIFS(PURCHASE!$K$6:$K$10008,PURCHASE!$A$6:$A$10008,$BB$3,PURCHASE!$D$6:$D$10008,$C$5:$C$499)</f>
        <v>0</v>
      </c>
      <c r="BD141" s="11">
        <f>SUMIFS(PURCHASE!$L$6:$L$10008,PURCHASE!$A$6:$A$10008,$BB$3,PURCHASE!$D$6:$D$10008,$C$5:$C$499)</f>
        <v>0</v>
      </c>
      <c r="BE141" s="11">
        <f>SUMIFS(PURCHASE!$M$6:$M$10008,PURCHASE!$A$6:$A$10008,$BB$3,PURCHASE!$D$6:$D$10008,$C$5:$C$499)</f>
        <v>0</v>
      </c>
      <c r="BF141" s="11">
        <f>SUMIFS(PURCHASE!$N$6:$N$10008,PURCHASE!$A$6:$A$10008,$BB$3,PURCHASE!$D$6:$D$10008,$C$5:$C$499)</f>
        <v>0</v>
      </c>
      <c r="BG141" s="11">
        <f t="shared" si="42"/>
        <v>0</v>
      </c>
      <c r="BH141" s="11">
        <f>SUMIFS(PURCHASE!$K$6:$K$10008,PURCHASE!$A$6:$A$10008,$BG$3,PURCHASE!$D$6:$D$10008,$C$5:$C$499)</f>
        <v>0</v>
      </c>
      <c r="BI141" s="11">
        <f>SUMIFS(PURCHASE!$L$6:$L$10008,PURCHASE!$A$6:$A$10008,$BG$3,PURCHASE!$D$6:$D$10008,$C$5:$C$499)</f>
        <v>0</v>
      </c>
      <c r="BJ141" s="11">
        <f>SUMIFS(PURCHASE!$M$6:$M$10008,PURCHASE!$A$6:$A$10008,$BG$3,PURCHASE!$D$6:$D$10008,$C$5:$C$499)</f>
        <v>0</v>
      </c>
      <c r="BK141" s="11">
        <f>SUMIFS(PURCHASE!$N$6:$N$10008,PURCHASE!$A$6:$A$10008,$BG$3,PURCHASE!$D$6:$D$10008,$C$5:$C$499)</f>
        <v>0</v>
      </c>
      <c r="BL141" s="11">
        <f t="shared" si="30"/>
        <v>3494.3999999999996</v>
      </c>
      <c r="BM141" s="11">
        <f t="shared" si="30"/>
        <v>3120</v>
      </c>
      <c r="BN141" s="11">
        <f t="shared" si="30"/>
        <v>0</v>
      </c>
      <c r="BO141" s="11">
        <f t="shared" si="30"/>
        <v>187.2</v>
      </c>
      <c r="BP141" s="11">
        <f t="shared" si="30"/>
        <v>187.2</v>
      </c>
    </row>
    <row r="142" spans="1:68" x14ac:dyDescent="0.2">
      <c r="A142" s="467">
        <v>147</v>
      </c>
      <c r="B142" s="468" t="s">
        <v>1004</v>
      </c>
      <c r="C142" s="469" t="s">
        <v>1005</v>
      </c>
      <c r="D142" s="11">
        <f t="shared" si="31"/>
        <v>0</v>
      </c>
      <c r="E142" s="11">
        <f>SUMIFS(PURCHASE!$K$6:$K$10008,PURCHASE!$A$6:$A$10008,$D$3,PURCHASE!$D$6:$D$10008,$C$5:$C$499)</f>
        <v>0</v>
      </c>
      <c r="F142" s="11">
        <f>SUMIFS(PURCHASE!$L$6:$L$10008,PURCHASE!$A$6:$A$10008,$D$3,PURCHASE!$D$6:$D$10008,$C$5:$C$499)</f>
        <v>0</v>
      </c>
      <c r="G142" s="11">
        <f>SUMIFS(PURCHASE!$M$6:$M$10008,PURCHASE!$A$6:$A$10008,$D$3,PURCHASE!$D$6:$D$10008,$C$5:$C$499)</f>
        <v>0</v>
      </c>
      <c r="H142" s="11">
        <f>SUMIFS(PURCHASE!$N$6:$N$10008,PURCHASE!$A$6:$A$10008,$D$3,PURCHASE!$D$6:$D$10008,$C$5:$C$499)</f>
        <v>0</v>
      </c>
      <c r="I142" s="473">
        <f t="shared" si="32"/>
        <v>0</v>
      </c>
      <c r="J142" s="60">
        <f>SUMIFS(PURCHASE!$K$6:$K$10008,PURCHASE!$A$6:$A$10008,$I$3,PURCHASE!$D$6:$D$10008,$C$5:$C$499)</f>
        <v>0</v>
      </c>
      <c r="K142" s="60">
        <f>SUMIFS(PURCHASE!$L$6:$L$10008,PURCHASE!$A$6:$A$10008,$I$3,PURCHASE!$D$6:$D$10008,$C$5:$C$499)</f>
        <v>0</v>
      </c>
      <c r="L142" s="60">
        <f>SUMIFS(PURCHASE!$M$6:$M$10008,PURCHASE!$A$6:$A$10008,$I$3,PURCHASE!$D$6:$D$10008,$C$5:$C$499)</f>
        <v>0</v>
      </c>
      <c r="M142" s="474">
        <f>SUMIFS(PURCHASE!$N$6:$N$10008,PURCHASE!$A$6:$A$10008,$I$3,PURCHASE!$D$6:$D$10008,$C$5:$C$499)</f>
        <v>0</v>
      </c>
      <c r="N142" s="11">
        <f t="shared" si="33"/>
        <v>0</v>
      </c>
      <c r="O142" s="11">
        <f>SUMIFS(PURCHASE!$K$6:$K$10008,PURCHASE!$A$6:$A$10008,$N$3,PURCHASE!$D$6:$D$10008,$C$5:$C$499)</f>
        <v>0</v>
      </c>
      <c r="P142" s="11">
        <f>SUMIFS(PURCHASE!$L$6:$L$10008,PURCHASE!$A$6:$A$10008,$N$3,PURCHASE!$D$6:$D$10008,$C$5:$C$499)</f>
        <v>0</v>
      </c>
      <c r="Q142" s="11">
        <f>SUMIFS(PURCHASE!$M$6:$M$10008,PURCHASE!$A$6:$A$10008,$N$3,PURCHASE!$D$6:$D$10008,$C$5:$C$499)</f>
        <v>0</v>
      </c>
      <c r="R142" s="11">
        <f>SUMIFS(PURCHASE!$N$6:$N$10008,PURCHASE!$A$6:$A$10008,$N$3,PURCHASE!$D$6:$D$10008,$C$5:$C$499)</f>
        <v>0</v>
      </c>
      <c r="S142" s="11">
        <f t="shared" si="34"/>
        <v>0</v>
      </c>
      <c r="T142" s="11">
        <f>SUMIFS(PURCHASE!$K$6:$K$10008,PURCHASE!$A$6:$A$10008,$S$3,PURCHASE!$D$6:$D$10008,$C$5:$C$499)</f>
        <v>0</v>
      </c>
      <c r="U142" s="11">
        <f>SUMIFS(PURCHASE!$L$6:$L$10008,PURCHASE!$A$6:$A$10008,$S$3,PURCHASE!$D$6:$D$10008,$C$5:$C$499)</f>
        <v>0</v>
      </c>
      <c r="V142" s="11">
        <f>SUMIFS(PURCHASE!$M$6:$M$10008,PURCHASE!$A$6:$A$10008,$S$3,PURCHASE!$D$6:$D$10008,$C$5:$C$499)</f>
        <v>0</v>
      </c>
      <c r="W142" s="11">
        <f>SUMIFS(PURCHASE!$N$6:$N$10008,PURCHASE!$A$6:$A$10008,$S$3,PURCHASE!$D$6:$D$10008,$C$5:$C$499)</f>
        <v>0</v>
      </c>
      <c r="X142" s="11">
        <f t="shared" si="35"/>
        <v>0</v>
      </c>
      <c r="Y142" s="11">
        <f>SUMIFS(PURCHASE!$K$6:$K$10008,PURCHASE!$A$6:$A$10008,$X$3,PURCHASE!$D$6:$D$10008,$C$5:$C$499)</f>
        <v>0</v>
      </c>
      <c r="Z142" s="11">
        <f>SUMIFS(PURCHASE!$L$6:$L$10008,PURCHASE!$A$6:$A$10008,$X$3,PURCHASE!$D$6:$D$10008,$C$5:$C$499)</f>
        <v>0</v>
      </c>
      <c r="AA142" s="11">
        <f>SUMIFS(PURCHASE!$M$6:$M$10008,PURCHASE!$A$6:$A$10008,$X$3,PURCHASE!$D$6:$D$10008,$C$5:$C$499)</f>
        <v>0</v>
      </c>
      <c r="AB142" s="11">
        <f>SUMIFS(PURCHASE!$N$6:$N$10008,PURCHASE!$A$6:$A$10008,$X$3,PURCHASE!$D$6:$D$10008,$C$5:$C$499)</f>
        <v>0</v>
      </c>
      <c r="AC142" s="11">
        <f t="shared" si="36"/>
        <v>3494.3999999999996</v>
      </c>
      <c r="AD142" s="11">
        <f>SUMIFS(PURCHASE!$K$6:$K$10008,PURCHASE!$A$6:$A$10008,$AC$3,PURCHASE!$D$6:$D$10008,$C$5:$C$499)</f>
        <v>3120</v>
      </c>
      <c r="AE142" s="11">
        <f>SUMIFS(PURCHASE!$L$6:$L$10008,PURCHASE!$A$6:$A$10008,$AC$3,PURCHASE!$D$6:$D$10008,$C$5:$C$499)</f>
        <v>0</v>
      </c>
      <c r="AF142" s="11">
        <f>SUMIFS(PURCHASE!$M$6:$M$10008,PURCHASE!$A$6:$A$10008,$AC$3,PURCHASE!$D$6:$D$10008,$C$5:$C$499)</f>
        <v>187.2</v>
      </c>
      <c r="AG142" s="11">
        <f>SUMIFS(PURCHASE!$N$6:$N$10008,PURCHASE!$A$6:$A$10008,$AC$3,PURCHASE!$D$6:$D$10008,$C$5:$C$499)</f>
        <v>187.2</v>
      </c>
      <c r="AH142" s="11">
        <f t="shared" si="37"/>
        <v>0</v>
      </c>
      <c r="AI142" s="11">
        <f>SUMIFS(PURCHASE!$K$6:$K$10008,PURCHASE!$A$6:$A$10008,$AH$3,PURCHASE!$D$6:$D$10008,$C$5:$C$499)</f>
        <v>0</v>
      </c>
      <c r="AJ142" s="11">
        <f>SUMIFS(PURCHASE!$L$6:$L$10008,PURCHASE!$A$6:$A$10008,$AH$3,PURCHASE!$D$6:$D$10008,$C$5:$C$499)</f>
        <v>0</v>
      </c>
      <c r="AK142" s="11">
        <f>SUMIFS(PURCHASE!$M$6:$M$10008,PURCHASE!$A$6:$A$10008,$AH$3,PURCHASE!$D$6:$D$10008,$C$5:$C$499)</f>
        <v>0</v>
      </c>
      <c r="AL142" s="11">
        <f>SUMIFS(PURCHASE!$N$6:$N$10008,PURCHASE!$A$6:$A$10008,$AH$3,PURCHASE!$D$6:$D$10008,$C$5:$C$499)</f>
        <v>0</v>
      </c>
      <c r="AM142" s="11">
        <f t="shared" si="38"/>
        <v>0</v>
      </c>
      <c r="AN142" s="11">
        <f>SUMIFS(PURCHASE!$K$6:$K$10008,PURCHASE!$A$6:$A$10008,$AM$3,PURCHASE!$D$6:$D$10008,$C$5:$C$499)</f>
        <v>0</v>
      </c>
      <c r="AO142" s="11">
        <f>SUMIFS(PURCHASE!$L$6:$L$10008,PURCHASE!$A$6:$A$10008,$AM$3,PURCHASE!$D$6:$D$10008,$C$5:$C$499)</f>
        <v>0</v>
      </c>
      <c r="AP142" s="11">
        <f>SUMIFS(PURCHASE!$M$6:$M$10008,PURCHASE!$A$6:$A$10008,$AM$3,PURCHASE!$D$6:$D$10008,$C$5:$C$499)</f>
        <v>0</v>
      </c>
      <c r="AQ142" s="11">
        <f>SUMIFS(PURCHASE!$N$6:$N$10008,PURCHASE!$A$6:$A$10008,$AM$3,PURCHASE!$D$6:$D$10008,$C$5:$C$499)</f>
        <v>0</v>
      </c>
      <c r="AR142" s="11">
        <f t="shared" si="39"/>
        <v>0</v>
      </c>
      <c r="AS142" s="11">
        <f>SUMIFS(PURCHASE!$K$6:$K$10008,PURCHASE!$A$6:$A$10008,$AR$3,PURCHASE!$D$6:$D$10008,$C$5:$C$499)</f>
        <v>0</v>
      </c>
      <c r="AT142" s="11">
        <f>SUMIFS(PURCHASE!$L$6:$L$10008,PURCHASE!$A$6:$A$10008,$AR$3,PURCHASE!$D$6:$D$10008,$C$5:$C$499)</f>
        <v>0</v>
      </c>
      <c r="AU142" s="11">
        <f>SUMIFS(PURCHASE!$M$6:$M$10008,PURCHASE!$A$6:$A$10008,$AR$3,PURCHASE!$D$6:$D$10008,$C$5:$C$499)</f>
        <v>0</v>
      </c>
      <c r="AV142" s="11">
        <f>SUMIFS(PURCHASE!$N$6:$N$10008,PURCHASE!$A$6:$A$10008,$AR$3,PURCHASE!$D$6:$D$10008,$C$5:$C$499)</f>
        <v>0</v>
      </c>
      <c r="AW142" s="11">
        <f t="shared" si="40"/>
        <v>0</v>
      </c>
      <c r="AX142" s="11">
        <f>SUMIFS(PURCHASE!$K$6:$K$10008,PURCHASE!$A$6:$A$10008,$AW$3,PURCHASE!$D$6:$D$10008,$C$5:$C$499)</f>
        <v>0</v>
      </c>
      <c r="AY142" s="11">
        <f>SUMIFS(PURCHASE!$L$6:$L$10008,PURCHASE!$A$6:$A$10008,$AW$3,PURCHASE!$D$6:$D$10008,$C$5:$C$499)</f>
        <v>0</v>
      </c>
      <c r="AZ142" s="11">
        <f>SUMIFS(PURCHASE!$M$6:$M$10008,PURCHASE!$A$6:$A$10008,$AW$3,PURCHASE!$D$6:$D$10008,$C$5:$C$499)</f>
        <v>0</v>
      </c>
      <c r="BA142" s="11">
        <f>SUMIFS(PURCHASE!$N$6:$N$10008,PURCHASE!$A$6:$A$10008,$AW$3,PURCHASE!$D$6:$D$10008,$C$5:$C$499)</f>
        <v>0</v>
      </c>
      <c r="BB142" s="11">
        <f t="shared" si="41"/>
        <v>0</v>
      </c>
      <c r="BC142" s="11">
        <f>SUMIFS(PURCHASE!$K$6:$K$10008,PURCHASE!$A$6:$A$10008,$BB$3,PURCHASE!$D$6:$D$10008,$C$5:$C$499)</f>
        <v>0</v>
      </c>
      <c r="BD142" s="11">
        <f>SUMIFS(PURCHASE!$L$6:$L$10008,PURCHASE!$A$6:$A$10008,$BB$3,PURCHASE!$D$6:$D$10008,$C$5:$C$499)</f>
        <v>0</v>
      </c>
      <c r="BE142" s="11">
        <f>SUMIFS(PURCHASE!$M$6:$M$10008,PURCHASE!$A$6:$A$10008,$BB$3,PURCHASE!$D$6:$D$10008,$C$5:$C$499)</f>
        <v>0</v>
      </c>
      <c r="BF142" s="11">
        <f>SUMIFS(PURCHASE!$N$6:$N$10008,PURCHASE!$A$6:$A$10008,$BB$3,PURCHASE!$D$6:$D$10008,$C$5:$C$499)</f>
        <v>0</v>
      </c>
      <c r="BG142" s="11">
        <f t="shared" si="42"/>
        <v>0</v>
      </c>
      <c r="BH142" s="11">
        <f>SUMIFS(PURCHASE!$K$6:$K$10008,PURCHASE!$A$6:$A$10008,$BG$3,PURCHASE!$D$6:$D$10008,$C$5:$C$499)</f>
        <v>0</v>
      </c>
      <c r="BI142" s="11">
        <f>SUMIFS(PURCHASE!$L$6:$L$10008,PURCHASE!$A$6:$A$10008,$BG$3,PURCHASE!$D$6:$D$10008,$C$5:$C$499)</f>
        <v>0</v>
      </c>
      <c r="BJ142" s="11">
        <f>SUMIFS(PURCHASE!$M$6:$M$10008,PURCHASE!$A$6:$A$10008,$BG$3,PURCHASE!$D$6:$D$10008,$C$5:$C$499)</f>
        <v>0</v>
      </c>
      <c r="BK142" s="11">
        <f>SUMIFS(PURCHASE!$N$6:$N$10008,PURCHASE!$A$6:$A$10008,$BG$3,PURCHASE!$D$6:$D$10008,$C$5:$C$499)</f>
        <v>0</v>
      </c>
      <c r="BL142" s="11">
        <f t="shared" si="30"/>
        <v>3494.3999999999996</v>
      </c>
      <c r="BM142" s="11">
        <f t="shared" si="30"/>
        <v>3120</v>
      </c>
      <c r="BN142" s="11">
        <f t="shared" si="30"/>
        <v>0</v>
      </c>
      <c r="BO142" s="11">
        <f t="shared" si="30"/>
        <v>187.2</v>
      </c>
      <c r="BP142" s="11">
        <f t="shared" si="30"/>
        <v>187.2</v>
      </c>
    </row>
    <row r="143" spans="1:68" x14ac:dyDescent="0.2">
      <c r="A143" s="467">
        <v>148</v>
      </c>
      <c r="B143" s="468" t="s">
        <v>788</v>
      </c>
      <c r="C143" s="469" t="s">
        <v>789</v>
      </c>
      <c r="D143" s="11">
        <f t="shared" si="31"/>
        <v>0</v>
      </c>
      <c r="E143" s="11">
        <f>SUMIFS(PURCHASE!$K$6:$K$10008,PURCHASE!$A$6:$A$10008,$D$3,PURCHASE!$D$6:$D$10008,$C$5:$C$499)</f>
        <v>0</v>
      </c>
      <c r="F143" s="11">
        <f>SUMIFS(PURCHASE!$L$6:$L$10008,PURCHASE!$A$6:$A$10008,$D$3,PURCHASE!$D$6:$D$10008,$C$5:$C$499)</f>
        <v>0</v>
      </c>
      <c r="G143" s="11">
        <f>SUMIFS(PURCHASE!$M$6:$M$10008,PURCHASE!$A$6:$A$10008,$D$3,PURCHASE!$D$6:$D$10008,$C$5:$C$499)</f>
        <v>0</v>
      </c>
      <c r="H143" s="11">
        <f>SUMIFS(PURCHASE!$N$6:$N$10008,PURCHASE!$A$6:$A$10008,$D$3,PURCHASE!$D$6:$D$10008,$C$5:$C$499)</f>
        <v>0</v>
      </c>
      <c r="I143" s="473">
        <f t="shared" si="32"/>
        <v>0</v>
      </c>
      <c r="J143" s="60">
        <f>SUMIFS(PURCHASE!$K$6:$K$10008,PURCHASE!$A$6:$A$10008,$I$3,PURCHASE!$D$6:$D$10008,$C$5:$C$499)</f>
        <v>0</v>
      </c>
      <c r="K143" s="60">
        <f>SUMIFS(PURCHASE!$L$6:$L$10008,PURCHASE!$A$6:$A$10008,$I$3,PURCHASE!$D$6:$D$10008,$C$5:$C$499)</f>
        <v>0</v>
      </c>
      <c r="L143" s="60">
        <f>SUMIFS(PURCHASE!$M$6:$M$10008,PURCHASE!$A$6:$A$10008,$I$3,PURCHASE!$D$6:$D$10008,$C$5:$C$499)</f>
        <v>0</v>
      </c>
      <c r="M143" s="474">
        <f>SUMIFS(PURCHASE!$N$6:$N$10008,PURCHASE!$A$6:$A$10008,$I$3,PURCHASE!$D$6:$D$10008,$C$5:$C$499)</f>
        <v>0</v>
      </c>
      <c r="N143" s="11">
        <f t="shared" si="33"/>
        <v>0</v>
      </c>
      <c r="O143" s="11">
        <f>SUMIFS(PURCHASE!$K$6:$K$10008,PURCHASE!$A$6:$A$10008,$N$3,PURCHASE!$D$6:$D$10008,$C$5:$C$499)</f>
        <v>0</v>
      </c>
      <c r="P143" s="11">
        <f>SUMIFS(PURCHASE!$L$6:$L$10008,PURCHASE!$A$6:$A$10008,$N$3,PURCHASE!$D$6:$D$10008,$C$5:$C$499)</f>
        <v>0</v>
      </c>
      <c r="Q143" s="11">
        <f>SUMIFS(PURCHASE!$M$6:$M$10008,PURCHASE!$A$6:$A$10008,$N$3,PURCHASE!$D$6:$D$10008,$C$5:$C$499)</f>
        <v>0</v>
      </c>
      <c r="R143" s="11">
        <f>SUMIFS(PURCHASE!$N$6:$N$10008,PURCHASE!$A$6:$A$10008,$N$3,PURCHASE!$D$6:$D$10008,$C$5:$C$499)</f>
        <v>0</v>
      </c>
      <c r="S143" s="11">
        <f t="shared" si="34"/>
        <v>94754</v>
      </c>
      <c r="T143" s="11">
        <f>SUMIFS(PURCHASE!$K$6:$K$10008,PURCHASE!$A$6:$A$10008,$S$3,PURCHASE!$D$6:$D$10008,$C$5:$C$499)</f>
        <v>80300</v>
      </c>
      <c r="U143" s="11">
        <f>SUMIFS(PURCHASE!$L$6:$L$10008,PURCHASE!$A$6:$A$10008,$S$3,PURCHASE!$D$6:$D$10008,$C$5:$C$499)</f>
        <v>0</v>
      </c>
      <c r="V143" s="11">
        <f>SUMIFS(PURCHASE!$M$6:$M$10008,PURCHASE!$A$6:$A$10008,$S$3,PURCHASE!$D$6:$D$10008,$C$5:$C$499)</f>
        <v>7227</v>
      </c>
      <c r="W143" s="11">
        <f>SUMIFS(PURCHASE!$N$6:$N$10008,PURCHASE!$A$6:$A$10008,$S$3,PURCHASE!$D$6:$D$10008,$C$5:$C$499)</f>
        <v>7227</v>
      </c>
      <c r="X143" s="11">
        <f t="shared" si="35"/>
        <v>0</v>
      </c>
      <c r="Y143" s="11">
        <f>SUMIFS(PURCHASE!$K$6:$K$10008,PURCHASE!$A$6:$A$10008,$X$3,PURCHASE!$D$6:$D$10008,$C$5:$C$499)</f>
        <v>0</v>
      </c>
      <c r="Z143" s="11">
        <f>SUMIFS(PURCHASE!$L$6:$L$10008,PURCHASE!$A$6:$A$10008,$X$3,PURCHASE!$D$6:$D$10008,$C$5:$C$499)</f>
        <v>0</v>
      </c>
      <c r="AA143" s="11">
        <f>SUMIFS(PURCHASE!$M$6:$M$10008,PURCHASE!$A$6:$A$10008,$X$3,PURCHASE!$D$6:$D$10008,$C$5:$C$499)</f>
        <v>0</v>
      </c>
      <c r="AB143" s="11">
        <f>SUMIFS(PURCHASE!$N$6:$N$10008,PURCHASE!$A$6:$A$10008,$X$3,PURCHASE!$D$6:$D$10008,$C$5:$C$499)</f>
        <v>0</v>
      </c>
      <c r="AC143" s="11">
        <f t="shared" si="36"/>
        <v>0</v>
      </c>
      <c r="AD143" s="11">
        <f>SUMIFS(PURCHASE!$K$6:$K$10008,PURCHASE!$A$6:$A$10008,$AC$3,PURCHASE!$D$6:$D$10008,$C$5:$C$499)</f>
        <v>0</v>
      </c>
      <c r="AE143" s="11">
        <f>SUMIFS(PURCHASE!$L$6:$L$10008,PURCHASE!$A$6:$A$10008,$AC$3,PURCHASE!$D$6:$D$10008,$C$5:$C$499)</f>
        <v>0</v>
      </c>
      <c r="AF143" s="11">
        <f>SUMIFS(PURCHASE!$M$6:$M$10008,PURCHASE!$A$6:$A$10008,$AC$3,PURCHASE!$D$6:$D$10008,$C$5:$C$499)</f>
        <v>0</v>
      </c>
      <c r="AG143" s="11">
        <f>SUMIFS(PURCHASE!$N$6:$N$10008,PURCHASE!$A$6:$A$10008,$AC$3,PURCHASE!$D$6:$D$10008,$C$5:$C$499)</f>
        <v>0</v>
      </c>
      <c r="AH143" s="11">
        <f t="shared" si="37"/>
        <v>0</v>
      </c>
      <c r="AI143" s="11">
        <f>SUMIFS(PURCHASE!$K$6:$K$10008,PURCHASE!$A$6:$A$10008,$AH$3,PURCHASE!$D$6:$D$10008,$C$5:$C$499)</f>
        <v>0</v>
      </c>
      <c r="AJ143" s="11">
        <f>SUMIFS(PURCHASE!$L$6:$L$10008,PURCHASE!$A$6:$A$10008,$AH$3,PURCHASE!$D$6:$D$10008,$C$5:$C$499)</f>
        <v>0</v>
      </c>
      <c r="AK143" s="11">
        <f>SUMIFS(PURCHASE!$M$6:$M$10008,PURCHASE!$A$6:$A$10008,$AH$3,PURCHASE!$D$6:$D$10008,$C$5:$C$499)</f>
        <v>0</v>
      </c>
      <c r="AL143" s="11">
        <f>SUMIFS(PURCHASE!$N$6:$N$10008,PURCHASE!$A$6:$A$10008,$AH$3,PURCHASE!$D$6:$D$10008,$C$5:$C$499)</f>
        <v>0</v>
      </c>
      <c r="AM143" s="11">
        <f t="shared" si="38"/>
        <v>0</v>
      </c>
      <c r="AN143" s="11">
        <f>SUMIFS(PURCHASE!$K$6:$K$10008,PURCHASE!$A$6:$A$10008,$AM$3,PURCHASE!$D$6:$D$10008,$C$5:$C$499)</f>
        <v>0</v>
      </c>
      <c r="AO143" s="11">
        <f>SUMIFS(PURCHASE!$L$6:$L$10008,PURCHASE!$A$6:$A$10008,$AM$3,PURCHASE!$D$6:$D$10008,$C$5:$C$499)</f>
        <v>0</v>
      </c>
      <c r="AP143" s="11">
        <f>SUMIFS(PURCHASE!$M$6:$M$10008,PURCHASE!$A$6:$A$10008,$AM$3,PURCHASE!$D$6:$D$10008,$C$5:$C$499)</f>
        <v>0</v>
      </c>
      <c r="AQ143" s="11">
        <f>SUMIFS(PURCHASE!$N$6:$N$10008,PURCHASE!$A$6:$A$10008,$AM$3,PURCHASE!$D$6:$D$10008,$C$5:$C$499)</f>
        <v>0</v>
      </c>
      <c r="AR143" s="11">
        <f t="shared" si="39"/>
        <v>0</v>
      </c>
      <c r="AS143" s="11">
        <f>SUMIFS(PURCHASE!$K$6:$K$10008,PURCHASE!$A$6:$A$10008,$AR$3,PURCHASE!$D$6:$D$10008,$C$5:$C$499)</f>
        <v>0</v>
      </c>
      <c r="AT143" s="11">
        <f>SUMIFS(PURCHASE!$L$6:$L$10008,PURCHASE!$A$6:$A$10008,$AR$3,PURCHASE!$D$6:$D$10008,$C$5:$C$499)</f>
        <v>0</v>
      </c>
      <c r="AU143" s="11">
        <f>SUMIFS(PURCHASE!$M$6:$M$10008,PURCHASE!$A$6:$A$10008,$AR$3,PURCHASE!$D$6:$D$10008,$C$5:$C$499)</f>
        <v>0</v>
      </c>
      <c r="AV143" s="11">
        <f>SUMIFS(PURCHASE!$N$6:$N$10008,PURCHASE!$A$6:$A$10008,$AR$3,PURCHASE!$D$6:$D$10008,$C$5:$C$499)</f>
        <v>0</v>
      </c>
      <c r="AW143" s="11">
        <f t="shared" si="40"/>
        <v>0</v>
      </c>
      <c r="AX143" s="11">
        <f>SUMIFS(PURCHASE!$K$6:$K$10008,PURCHASE!$A$6:$A$10008,$AW$3,PURCHASE!$D$6:$D$10008,$C$5:$C$499)</f>
        <v>0</v>
      </c>
      <c r="AY143" s="11">
        <f>SUMIFS(PURCHASE!$L$6:$L$10008,PURCHASE!$A$6:$A$10008,$AW$3,PURCHASE!$D$6:$D$10008,$C$5:$C$499)</f>
        <v>0</v>
      </c>
      <c r="AZ143" s="11">
        <f>SUMIFS(PURCHASE!$M$6:$M$10008,PURCHASE!$A$6:$A$10008,$AW$3,PURCHASE!$D$6:$D$10008,$C$5:$C$499)</f>
        <v>0</v>
      </c>
      <c r="BA143" s="11">
        <f>SUMIFS(PURCHASE!$N$6:$N$10008,PURCHASE!$A$6:$A$10008,$AW$3,PURCHASE!$D$6:$D$10008,$C$5:$C$499)</f>
        <v>0</v>
      </c>
      <c r="BB143" s="11">
        <f t="shared" si="41"/>
        <v>0</v>
      </c>
      <c r="BC143" s="11">
        <f>SUMIFS(PURCHASE!$K$6:$K$10008,PURCHASE!$A$6:$A$10008,$BB$3,PURCHASE!$D$6:$D$10008,$C$5:$C$499)</f>
        <v>0</v>
      </c>
      <c r="BD143" s="11">
        <f>SUMIFS(PURCHASE!$L$6:$L$10008,PURCHASE!$A$6:$A$10008,$BB$3,PURCHASE!$D$6:$D$10008,$C$5:$C$499)</f>
        <v>0</v>
      </c>
      <c r="BE143" s="11">
        <f>SUMIFS(PURCHASE!$M$6:$M$10008,PURCHASE!$A$6:$A$10008,$BB$3,PURCHASE!$D$6:$D$10008,$C$5:$C$499)</f>
        <v>0</v>
      </c>
      <c r="BF143" s="11">
        <f>SUMIFS(PURCHASE!$N$6:$N$10008,PURCHASE!$A$6:$A$10008,$BB$3,PURCHASE!$D$6:$D$10008,$C$5:$C$499)</f>
        <v>0</v>
      </c>
      <c r="BG143" s="11">
        <f t="shared" si="42"/>
        <v>0</v>
      </c>
      <c r="BH143" s="11">
        <f>SUMIFS(PURCHASE!$K$6:$K$10008,PURCHASE!$A$6:$A$10008,$BG$3,PURCHASE!$D$6:$D$10008,$C$5:$C$499)</f>
        <v>0</v>
      </c>
      <c r="BI143" s="11">
        <f>SUMIFS(PURCHASE!$L$6:$L$10008,PURCHASE!$A$6:$A$10008,$BG$3,PURCHASE!$D$6:$D$10008,$C$5:$C$499)</f>
        <v>0</v>
      </c>
      <c r="BJ143" s="11">
        <f>SUMIFS(PURCHASE!$M$6:$M$10008,PURCHASE!$A$6:$A$10008,$BG$3,PURCHASE!$D$6:$D$10008,$C$5:$C$499)</f>
        <v>0</v>
      </c>
      <c r="BK143" s="11">
        <f>SUMIFS(PURCHASE!$N$6:$N$10008,PURCHASE!$A$6:$A$10008,$BG$3,PURCHASE!$D$6:$D$10008,$C$5:$C$499)</f>
        <v>0</v>
      </c>
      <c r="BL143" s="11">
        <f t="shared" si="30"/>
        <v>94754</v>
      </c>
      <c r="BM143" s="11">
        <f t="shared" si="30"/>
        <v>80300</v>
      </c>
      <c r="BN143" s="11">
        <f t="shared" si="30"/>
        <v>0</v>
      </c>
      <c r="BO143" s="11">
        <f t="shared" si="30"/>
        <v>7227</v>
      </c>
      <c r="BP143" s="11">
        <f t="shared" si="30"/>
        <v>7227</v>
      </c>
    </row>
    <row r="144" spans="1:68" x14ac:dyDescent="0.2">
      <c r="A144" s="467">
        <v>149</v>
      </c>
      <c r="B144" s="468" t="s">
        <v>837</v>
      </c>
      <c r="C144" s="469" t="s">
        <v>838</v>
      </c>
      <c r="D144" s="11">
        <f t="shared" si="31"/>
        <v>0</v>
      </c>
      <c r="E144" s="11">
        <f>SUMIFS(PURCHASE!$K$6:$K$10008,PURCHASE!$A$6:$A$10008,$D$3,PURCHASE!$D$6:$D$10008,$C$5:$C$499)</f>
        <v>0</v>
      </c>
      <c r="F144" s="11">
        <f>SUMIFS(PURCHASE!$L$6:$L$10008,PURCHASE!$A$6:$A$10008,$D$3,PURCHASE!$D$6:$D$10008,$C$5:$C$499)</f>
        <v>0</v>
      </c>
      <c r="G144" s="11">
        <f>SUMIFS(PURCHASE!$M$6:$M$10008,PURCHASE!$A$6:$A$10008,$D$3,PURCHASE!$D$6:$D$10008,$C$5:$C$499)</f>
        <v>0</v>
      </c>
      <c r="H144" s="11">
        <f>SUMIFS(PURCHASE!$N$6:$N$10008,PURCHASE!$A$6:$A$10008,$D$3,PURCHASE!$D$6:$D$10008,$C$5:$C$499)</f>
        <v>0</v>
      </c>
      <c r="I144" s="473">
        <f t="shared" si="32"/>
        <v>0</v>
      </c>
      <c r="J144" s="60">
        <f>SUMIFS(PURCHASE!$K$6:$K$10008,PURCHASE!$A$6:$A$10008,$I$3,PURCHASE!$D$6:$D$10008,$C$5:$C$499)</f>
        <v>0</v>
      </c>
      <c r="K144" s="60">
        <f>SUMIFS(PURCHASE!$L$6:$L$10008,PURCHASE!$A$6:$A$10008,$I$3,PURCHASE!$D$6:$D$10008,$C$5:$C$499)</f>
        <v>0</v>
      </c>
      <c r="L144" s="60">
        <f>SUMIFS(PURCHASE!$M$6:$M$10008,PURCHASE!$A$6:$A$10008,$I$3,PURCHASE!$D$6:$D$10008,$C$5:$C$499)</f>
        <v>0</v>
      </c>
      <c r="M144" s="474">
        <f>SUMIFS(PURCHASE!$N$6:$N$10008,PURCHASE!$A$6:$A$10008,$I$3,PURCHASE!$D$6:$D$10008,$C$5:$C$499)</f>
        <v>0</v>
      </c>
      <c r="N144" s="11">
        <f t="shared" si="33"/>
        <v>0</v>
      </c>
      <c r="O144" s="11">
        <f>SUMIFS(PURCHASE!$K$6:$K$10008,PURCHASE!$A$6:$A$10008,$N$3,PURCHASE!$D$6:$D$10008,$C$5:$C$499)</f>
        <v>0</v>
      </c>
      <c r="P144" s="11">
        <f>SUMIFS(PURCHASE!$L$6:$L$10008,PURCHASE!$A$6:$A$10008,$N$3,PURCHASE!$D$6:$D$10008,$C$5:$C$499)</f>
        <v>0</v>
      </c>
      <c r="Q144" s="11">
        <f>SUMIFS(PURCHASE!$M$6:$M$10008,PURCHASE!$A$6:$A$10008,$N$3,PURCHASE!$D$6:$D$10008,$C$5:$C$499)</f>
        <v>0</v>
      </c>
      <c r="R144" s="11">
        <f>SUMIFS(PURCHASE!$N$6:$N$10008,PURCHASE!$A$6:$A$10008,$N$3,PURCHASE!$D$6:$D$10008,$C$5:$C$499)</f>
        <v>0</v>
      </c>
      <c r="S144" s="11">
        <f t="shared" si="34"/>
        <v>6962</v>
      </c>
      <c r="T144" s="11">
        <f>SUMIFS(PURCHASE!$K$6:$K$10008,PURCHASE!$A$6:$A$10008,$S$3,PURCHASE!$D$6:$D$10008,$C$5:$C$499)</f>
        <v>5900</v>
      </c>
      <c r="U144" s="11">
        <f>SUMIFS(PURCHASE!$L$6:$L$10008,PURCHASE!$A$6:$A$10008,$S$3,PURCHASE!$D$6:$D$10008,$C$5:$C$499)</f>
        <v>0</v>
      </c>
      <c r="V144" s="11">
        <f>SUMIFS(PURCHASE!$M$6:$M$10008,PURCHASE!$A$6:$A$10008,$S$3,PURCHASE!$D$6:$D$10008,$C$5:$C$499)</f>
        <v>531</v>
      </c>
      <c r="W144" s="11">
        <f>SUMIFS(PURCHASE!$N$6:$N$10008,PURCHASE!$A$6:$A$10008,$S$3,PURCHASE!$D$6:$D$10008,$C$5:$C$499)</f>
        <v>531</v>
      </c>
      <c r="X144" s="11">
        <f t="shared" si="35"/>
        <v>0</v>
      </c>
      <c r="Y144" s="11">
        <f>SUMIFS(PURCHASE!$K$6:$K$10008,PURCHASE!$A$6:$A$10008,$X$3,PURCHASE!$D$6:$D$10008,$C$5:$C$499)</f>
        <v>0</v>
      </c>
      <c r="Z144" s="11">
        <f>SUMIFS(PURCHASE!$L$6:$L$10008,PURCHASE!$A$6:$A$10008,$X$3,PURCHASE!$D$6:$D$10008,$C$5:$C$499)</f>
        <v>0</v>
      </c>
      <c r="AA144" s="11">
        <f>SUMIFS(PURCHASE!$M$6:$M$10008,PURCHASE!$A$6:$A$10008,$X$3,PURCHASE!$D$6:$D$10008,$C$5:$C$499)</f>
        <v>0</v>
      </c>
      <c r="AB144" s="11">
        <f>SUMIFS(PURCHASE!$N$6:$N$10008,PURCHASE!$A$6:$A$10008,$X$3,PURCHASE!$D$6:$D$10008,$C$5:$C$499)</f>
        <v>0</v>
      </c>
      <c r="AC144" s="11">
        <f t="shared" si="36"/>
        <v>0</v>
      </c>
      <c r="AD144" s="11">
        <f>SUMIFS(PURCHASE!$K$6:$K$10008,PURCHASE!$A$6:$A$10008,$AC$3,PURCHASE!$D$6:$D$10008,$C$5:$C$499)</f>
        <v>0</v>
      </c>
      <c r="AE144" s="11">
        <f>SUMIFS(PURCHASE!$L$6:$L$10008,PURCHASE!$A$6:$A$10008,$AC$3,PURCHASE!$D$6:$D$10008,$C$5:$C$499)</f>
        <v>0</v>
      </c>
      <c r="AF144" s="11">
        <f>SUMIFS(PURCHASE!$M$6:$M$10008,PURCHASE!$A$6:$A$10008,$AC$3,PURCHASE!$D$6:$D$10008,$C$5:$C$499)</f>
        <v>0</v>
      </c>
      <c r="AG144" s="11">
        <f>SUMIFS(PURCHASE!$N$6:$N$10008,PURCHASE!$A$6:$A$10008,$AC$3,PURCHASE!$D$6:$D$10008,$C$5:$C$499)</f>
        <v>0</v>
      </c>
      <c r="AH144" s="11">
        <f t="shared" si="37"/>
        <v>0</v>
      </c>
      <c r="AI144" s="11">
        <f>SUMIFS(PURCHASE!$K$6:$K$10008,PURCHASE!$A$6:$A$10008,$AH$3,PURCHASE!$D$6:$D$10008,$C$5:$C$499)</f>
        <v>0</v>
      </c>
      <c r="AJ144" s="11">
        <f>SUMIFS(PURCHASE!$L$6:$L$10008,PURCHASE!$A$6:$A$10008,$AH$3,PURCHASE!$D$6:$D$10008,$C$5:$C$499)</f>
        <v>0</v>
      </c>
      <c r="AK144" s="11">
        <f>SUMIFS(PURCHASE!$M$6:$M$10008,PURCHASE!$A$6:$A$10008,$AH$3,PURCHASE!$D$6:$D$10008,$C$5:$C$499)</f>
        <v>0</v>
      </c>
      <c r="AL144" s="11">
        <f>SUMIFS(PURCHASE!$N$6:$N$10008,PURCHASE!$A$6:$A$10008,$AH$3,PURCHASE!$D$6:$D$10008,$C$5:$C$499)</f>
        <v>0</v>
      </c>
      <c r="AM144" s="11">
        <f t="shared" si="38"/>
        <v>0</v>
      </c>
      <c r="AN144" s="11">
        <f>SUMIFS(PURCHASE!$K$6:$K$10008,PURCHASE!$A$6:$A$10008,$AM$3,PURCHASE!$D$6:$D$10008,$C$5:$C$499)</f>
        <v>0</v>
      </c>
      <c r="AO144" s="11">
        <f>SUMIFS(PURCHASE!$L$6:$L$10008,PURCHASE!$A$6:$A$10008,$AM$3,PURCHASE!$D$6:$D$10008,$C$5:$C$499)</f>
        <v>0</v>
      </c>
      <c r="AP144" s="11">
        <f>SUMIFS(PURCHASE!$M$6:$M$10008,PURCHASE!$A$6:$A$10008,$AM$3,PURCHASE!$D$6:$D$10008,$C$5:$C$499)</f>
        <v>0</v>
      </c>
      <c r="AQ144" s="11">
        <f>SUMIFS(PURCHASE!$N$6:$N$10008,PURCHASE!$A$6:$A$10008,$AM$3,PURCHASE!$D$6:$D$10008,$C$5:$C$499)</f>
        <v>0</v>
      </c>
      <c r="AR144" s="11">
        <f t="shared" si="39"/>
        <v>0</v>
      </c>
      <c r="AS144" s="11">
        <f>SUMIFS(PURCHASE!$K$6:$K$10008,PURCHASE!$A$6:$A$10008,$AR$3,PURCHASE!$D$6:$D$10008,$C$5:$C$499)</f>
        <v>0</v>
      </c>
      <c r="AT144" s="11">
        <f>SUMIFS(PURCHASE!$L$6:$L$10008,PURCHASE!$A$6:$A$10008,$AR$3,PURCHASE!$D$6:$D$10008,$C$5:$C$499)</f>
        <v>0</v>
      </c>
      <c r="AU144" s="11">
        <f>SUMIFS(PURCHASE!$M$6:$M$10008,PURCHASE!$A$6:$A$10008,$AR$3,PURCHASE!$D$6:$D$10008,$C$5:$C$499)</f>
        <v>0</v>
      </c>
      <c r="AV144" s="11">
        <f>SUMIFS(PURCHASE!$N$6:$N$10008,PURCHASE!$A$6:$A$10008,$AR$3,PURCHASE!$D$6:$D$10008,$C$5:$C$499)</f>
        <v>0</v>
      </c>
      <c r="AW144" s="11">
        <f t="shared" si="40"/>
        <v>0</v>
      </c>
      <c r="AX144" s="11">
        <f>SUMIFS(PURCHASE!$K$6:$K$10008,PURCHASE!$A$6:$A$10008,$AW$3,PURCHASE!$D$6:$D$10008,$C$5:$C$499)</f>
        <v>0</v>
      </c>
      <c r="AY144" s="11">
        <f>SUMIFS(PURCHASE!$L$6:$L$10008,PURCHASE!$A$6:$A$10008,$AW$3,PURCHASE!$D$6:$D$10008,$C$5:$C$499)</f>
        <v>0</v>
      </c>
      <c r="AZ144" s="11">
        <f>SUMIFS(PURCHASE!$M$6:$M$10008,PURCHASE!$A$6:$A$10008,$AW$3,PURCHASE!$D$6:$D$10008,$C$5:$C$499)</f>
        <v>0</v>
      </c>
      <c r="BA144" s="11">
        <f>SUMIFS(PURCHASE!$N$6:$N$10008,PURCHASE!$A$6:$A$10008,$AW$3,PURCHASE!$D$6:$D$10008,$C$5:$C$499)</f>
        <v>0</v>
      </c>
      <c r="BB144" s="11">
        <f t="shared" si="41"/>
        <v>0</v>
      </c>
      <c r="BC144" s="11">
        <f>SUMIFS(PURCHASE!$K$6:$K$10008,PURCHASE!$A$6:$A$10008,$BB$3,PURCHASE!$D$6:$D$10008,$C$5:$C$499)</f>
        <v>0</v>
      </c>
      <c r="BD144" s="11">
        <f>SUMIFS(PURCHASE!$L$6:$L$10008,PURCHASE!$A$6:$A$10008,$BB$3,PURCHASE!$D$6:$D$10008,$C$5:$C$499)</f>
        <v>0</v>
      </c>
      <c r="BE144" s="11">
        <f>SUMIFS(PURCHASE!$M$6:$M$10008,PURCHASE!$A$6:$A$10008,$BB$3,PURCHASE!$D$6:$D$10008,$C$5:$C$499)</f>
        <v>0</v>
      </c>
      <c r="BF144" s="11">
        <f>SUMIFS(PURCHASE!$N$6:$N$10008,PURCHASE!$A$6:$A$10008,$BB$3,PURCHASE!$D$6:$D$10008,$C$5:$C$499)</f>
        <v>0</v>
      </c>
      <c r="BG144" s="11">
        <f t="shared" si="42"/>
        <v>0</v>
      </c>
      <c r="BH144" s="11">
        <f>SUMIFS(PURCHASE!$K$6:$K$10008,PURCHASE!$A$6:$A$10008,$BG$3,PURCHASE!$D$6:$D$10008,$C$5:$C$499)</f>
        <v>0</v>
      </c>
      <c r="BI144" s="11">
        <f>SUMIFS(PURCHASE!$L$6:$L$10008,PURCHASE!$A$6:$A$10008,$BG$3,PURCHASE!$D$6:$D$10008,$C$5:$C$499)</f>
        <v>0</v>
      </c>
      <c r="BJ144" s="11">
        <f>SUMIFS(PURCHASE!$M$6:$M$10008,PURCHASE!$A$6:$A$10008,$BG$3,PURCHASE!$D$6:$D$10008,$C$5:$C$499)</f>
        <v>0</v>
      </c>
      <c r="BK144" s="11">
        <f>SUMIFS(PURCHASE!$N$6:$N$10008,PURCHASE!$A$6:$A$10008,$BG$3,PURCHASE!$D$6:$D$10008,$C$5:$C$499)</f>
        <v>0</v>
      </c>
      <c r="BL144" s="11">
        <f t="shared" si="30"/>
        <v>6962</v>
      </c>
      <c r="BM144" s="11">
        <f t="shared" si="30"/>
        <v>5900</v>
      </c>
      <c r="BN144" s="11">
        <f t="shared" si="30"/>
        <v>0</v>
      </c>
      <c r="BO144" s="11">
        <f t="shared" si="30"/>
        <v>531</v>
      </c>
      <c r="BP144" s="11">
        <f t="shared" si="30"/>
        <v>531</v>
      </c>
    </row>
    <row r="145" spans="1:68" x14ac:dyDescent="0.2">
      <c r="A145" s="467">
        <v>150</v>
      </c>
      <c r="B145" s="468" t="s">
        <v>850</v>
      </c>
      <c r="C145" s="469" t="s">
        <v>851</v>
      </c>
      <c r="D145" s="11">
        <f t="shared" si="31"/>
        <v>0</v>
      </c>
      <c r="E145" s="11">
        <f>SUMIFS(PURCHASE!$K$6:$K$10008,PURCHASE!$A$6:$A$10008,$D$3,PURCHASE!$D$6:$D$10008,$C$5:$C$499)</f>
        <v>0</v>
      </c>
      <c r="F145" s="11">
        <f>SUMIFS(PURCHASE!$L$6:$L$10008,PURCHASE!$A$6:$A$10008,$D$3,PURCHASE!$D$6:$D$10008,$C$5:$C$499)</f>
        <v>0</v>
      </c>
      <c r="G145" s="11">
        <f>SUMIFS(PURCHASE!$M$6:$M$10008,PURCHASE!$A$6:$A$10008,$D$3,PURCHASE!$D$6:$D$10008,$C$5:$C$499)</f>
        <v>0</v>
      </c>
      <c r="H145" s="11">
        <f>SUMIFS(PURCHASE!$N$6:$N$10008,PURCHASE!$A$6:$A$10008,$D$3,PURCHASE!$D$6:$D$10008,$C$5:$C$499)</f>
        <v>0</v>
      </c>
      <c r="I145" s="473">
        <f t="shared" si="32"/>
        <v>0</v>
      </c>
      <c r="J145" s="60">
        <f>SUMIFS(PURCHASE!$K$6:$K$10008,PURCHASE!$A$6:$A$10008,$I$3,PURCHASE!$D$6:$D$10008,$C$5:$C$499)</f>
        <v>0</v>
      </c>
      <c r="K145" s="60">
        <f>SUMIFS(PURCHASE!$L$6:$L$10008,PURCHASE!$A$6:$A$10008,$I$3,PURCHASE!$D$6:$D$10008,$C$5:$C$499)</f>
        <v>0</v>
      </c>
      <c r="L145" s="60">
        <f>SUMIFS(PURCHASE!$M$6:$M$10008,PURCHASE!$A$6:$A$10008,$I$3,PURCHASE!$D$6:$D$10008,$C$5:$C$499)</f>
        <v>0</v>
      </c>
      <c r="M145" s="474">
        <f>SUMIFS(PURCHASE!$N$6:$N$10008,PURCHASE!$A$6:$A$10008,$I$3,PURCHASE!$D$6:$D$10008,$C$5:$C$499)</f>
        <v>0</v>
      </c>
      <c r="N145" s="11">
        <f t="shared" si="33"/>
        <v>0</v>
      </c>
      <c r="O145" s="11">
        <f>SUMIFS(PURCHASE!$K$6:$K$10008,PURCHASE!$A$6:$A$10008,$N$3,PURCHASE!$D$6:$D$10008,$C$5:$C$499)</f>
        <v>0</v>
      </c>
      <c r="P145" s="11">
        <f>SUMIFS(PURCHASE!$L$6:$L$10008,PURCHASE!$A$6:$A$10008,$N$3,PURCHASE!$D$6:$D$10008,$C$5:$C$499)</f>
        <v>0</v>
      </c>
      <c r="Q145" s="11">
        <f>SUMIFS(PURCHASE!$M$6:$M$10008,PURCHASE!$A$6:$A$10008,$N$3,PURCHASE!$D$6:$D$10008,$C$5:$C$499)</f>
        <v>0</v>
      </c>
      <c r="R145" s="11">
        <f>SUMIFS(PURCHASE!$N$6:$N$10008,PURCHASE!$A$6:$A$10008,$N$3,PURCHASE!$D$6:$D$10008,$C$5:$C$499)</f>
        <v>0</v>
      </c>
      <c r="S145" s="11">
        <f t="shared" si="34"/>
        <v>4461.24</v>
      </c>
      <c r="T145" s="11">
        <f>SUMIFS(PURCHASE!$K$6:$K$10008,PURCHASE!$A$6:$A$10008,$S$3,PURCHASE!$D$6:$D$10008,$C$5:$C$499)</f>
        <v>3780</v>
      </c>
      <c r="U145" s="11">
        <f>SUMIFS(PURCHASE!$L$6:$L$10008,PURCHASE!$A$6:$A$10008,$S$3,PURCHASE!$D$6:$D$10008,$C$5:$C$499)</f>
        <v>0</v>
      </c>
      <c r="V145" s="11">
        <f>SUMIFS(PURCHASE!$M$6:$M$10008,PURCHASE!$A$6:$A$10008,$S$3,PURCHASE!$D$6:$D$10008,$C$5:$C$499)</f>
        <v>340.62</v>
      </c>
      <c r="W145" s="11">
        <f>SUMIFS(PURCHASE!$N$6:$N$10008,PURCHASE!$A$6:$A$10008,$S$3,PURCHASE!$D$6:$D$10008,$C$5:$C$499)</f>
        <v>340.62</v>
      </c>
      <c r="X145" s="11">
        <f t="shared" si="35"/>
        <v>0</v>
      </c>
      <c r="Y145" s="11">
        <f>SUMIFS(PURCHASE!$K$6:$K$10008,PURCHASE!$A$6:$A$10008,$X$3,PURCHASE!$D$6:$D$10008,$C$5:$C$499)</f>
        <v>0</v>
      </c>
      <c r="Z145" s="11">
        <f>SUMIFS(PURCHASE!$L$6:$L$10008,PURCHASE!$A$6:$A$10008,$X$3,PURCHASE!$D$6:$D$10008,$C$5:$C$499)</f>
        <v>0</v>
      </c>
      <c r="AA145" s="11">
        <f>SUMIFS(PURCHASE!$M$6:$M$10008,PURCHASE!$A$6:$A$10008,$X$3,PURCHASE!$D$6:$D$10008,$C$5:$C$499)</f>
        <v>0</v>
      </c>
      <c r="AB145" s="11">
        <f>SUMIFS(PURCHASE!$N$6:$N$10008,PURCHASE!$A$6:$A$10008,$X$3,PURCHASE!$D$6:$D$10008,$C$5:$C$499)</f>
        <v>0</v>
      </c>
      <c r="AC145" s="11">
        <f t="shared" si="36"/>
        <v>0</v>
      </c>
      <c r="AD145" s="11">
        <f>SUMIFS(PURCHASE!$K$6:$K$10008,PURCHASE!$A$6:$A$10008,$AC$3,PURCHASE!$D$6:$D$10008,$C$5:$C$499)</f>
        <v>0</v>
      </c>
      <c r="AE145" s="11">
        <f>SUMIFS(PURCHASE!$L$6:$L$10008,PURCHASE!$A$6:$A$10008,$AC$3,PURCHASE!$D$6:$D$10008,$C$5:$C$499)</f>
        <v>0</v>
      </c>
      <c r="AF145" s="11">
        <f>SUMIFS(PURCHASE!$M$6:$M$10008,PURCHASE!$A$6:$A$10008,$AC$3,PURCHASE!$D$6:$D$10008,$C$5:$C$499)</f>
        <v>0</v>
      </c>
      <c r="AG145" s="11">
        <f>SUMIFS(PURCHASE!$N$6:$N$10008,PURCHASE!$A$6:$A$10008,$AC$3,PURCHASE!$D$6:$D$10008,$C$5:$C$499)</f>
        <v>0</v>
      </c>
      <c r="AH145" s="11">
        <f t="shared" si="37"/>
        <v>0</v>
      </c>
      <c r="AI145" s="11">
        <f>SUMIFS(PURCHASE!$K$6:$K$10008,PURCHASE!$A$6:$A$10008,$AH$3,PURCHASE!$D$6:$D$10008,$C$5:$C$499)</f>
        <v>0</v>
      </c>
      <c r="AJ145" s="11">
        <f>SUMIFS(PURCHASE!$L$6:$L$10008,PURCHASE!$A$6:$A$10008,$AH$3,PURCHASE!$D$6:$D$10008,$C$5:$C$499)</f>
        <v>0</v>
      </c>
      <c r="AK145" s="11">
        <f>SUMIFS(PURCHASE!$M$6:$M$10008,PURCHASE!$A$6:$A$10008,$AH$3,PURCHASE!$D$6:$D$10008,$C$5:$C$499)</f>
        <v>0</v>
      </c>
      <c r="AL145" s="11">
        <f>SUMIFS(PURCHASE!$N$6:$N$10008,PURCHASE!$A$6:$A$10008,$AH$3,PURCHASE!$D$6:$D$10008,$C$5:$C$499)</f>
        <v>0</v>
      </c>
      <c r="AM145" s="11">
        <f t="shared" si="38"/>
        <v>0</v>
      </c>
      <c r="AN145" s="11">
        <f>SUMIFS(PURCHASE!$K$6:$K$10008,PURCHASE!$A$6:$A$10008,$AM$3,PURCHASE!$D$6:$D$10008,$C$5:$C$499)</f>
        <v>0</v>
      </c>
      <c r="AO145" s="11">
        <f>SUMIFS(PURCHASE!$L$6:$L$10008,PURCHASE!$A$6:$A$10008,$AM$3,PURCHASE!$D$6:$D$10008,$C$5:$C$499)</f>
        <v>0</v>
      </c>
      <c r="AP145" s="11">
        <f>SUMIFS(PURCHASE!$M$6:$M$10008,PURCHASE!$A$6:$A$10008,$AM$3,PURCHASE!$D$6:$D$10008,$C$5:$C$499)</f>
        <v>0</v>
      </c>
      <c r="AQ145" s="11">
        <f>SUMIFS(PURCHASE!$N$6:$N$10008,PURCHASE!$A$6:$A$10008,$AM$3,PURCHASE!$D$6:$D$10008,$C$5:$C$499)</f>
        <v>0</v>
      </c>
      <c r="AR145" s="11">
        <f t="shared" si="39"/>
        <v>0</v>
      </c>
      <c r="AS145" s="11">
        <f>SUMIFS(PURCHASE!$K$6:$K$10008,PURCHASE!$A$6:$A$10008,$AR$3,PURCHASE!$D$6:$D$10008,$C$5:$C$499)</f>
        <v>0</v>
      </c>
      <c r="AT145" s="11">
        <f>SUMIFS(PURCHASE!$L$6:$L$10008,PURCHASE!$A$6:$A$10008,$AR$3,PURCHASE!$D$6:$D$10008,$C$5:$C$499)</f>
        <v>0</v>
      </c>
      <c r="AU145" s="11">
        <f>SUMIFS(PURCHASE!$M$6:$M$10008,PURCHASE!$A$6:$A$10008,$AR$3,PURCHASE!$D$6:$D$10008,$C$5:$C$499)</f>
        <v>0</v>
      </c>
      <c r="AV145" s="11">
        <f>SUMIFS(PURCHASE!$N$6:$N$10008,PURCHASE!$A$6:$A$10008,$AR$3,PURCHASE!$D$6:$D$10008,$C$5:$C$499)</f>
        <v>0</v>
      </c>
      <c r="AW145" s="11">
        <f t="shared" si="40"/>
        <v>0</v>
      </c>
      <c r="AX145" s="11">
        <f>SUMIFS(PURCHASE!$K$6:$K$10008,PURCHASE!$A$6:$A$10008,$AW$3,PURCHASE!$D$6:$D$10008,$C$5:$C$499)</f>
        <v>0</v>
      </c>
      <c r="AY145" s="11">
        <f>SUMIFS(PURCHASE!$L$6:$L$10008,PURCHASE!$A$6:$A$10008,$AW$3,PURCHASE!$D$6:$D$10008,$C$5:$C$499)</f>
        <v>0</v>
      </c>
      <c r="AZ145" s="11">
        <f>SUMIFS(PURCHASE!$M$6:$M$10008,PURCHASE!$A$6:$A$10008,$AW$3,PURCHASE!$D$6:$D$10008,$C$5:$C$499)</f>
        <v>0</v>
      </c>
      <c r="BA145" s="11">
        <f>SUMIFS(PURCHASE!$N$6:$N$10008,PURCHASE!$A$6:$A$10008,$AW$3,PURCHASE!$D$6:$D$10008,$C$5:$C$499)</f>
        <v>0</v>
      </c>
      <c r="BB145" s="11">
        <f t="shared" si="41"/>
        <v>0</v>
      </c>
      <c r="BC145" s="11">
        <f>SUMIFS(PURCHASE!$K$6:$K$10008,PURCHASE!$A$6:$A$10008,$BB$3,PURCHASE!$D$6:$D$10008,$C$5:$C$499)</f>
        <v>0</v>
      </c>
      <c r="BD145" s="11">
        <f>SUMIFS(PURCHASE!$L$6:$L$10008,PURCHASE!$A$6:$A$10008,$BB$3,PURCHASE!$D$6:$D$10008,$C$5:$C$499)</f>
        <v>0</v>
      </c>
      <c r="BE145" s="11">
        <f>SUMIFS(PURCHASE!$M$6:$M$10008,PURCHASE!$A$6:$A$10008,$BB$3,PURCHASE!$D$6:$D$10008,$C$5:$C$499)</f>
        <v>0</v>
      </c>
      <c r="BF145" s="11">
        <f>SUMIFS(PURCHASE!$N$6:$N$10008,PURCHASE!$A$6:$A$10008,$BB$3,PURCHASE!$D$6:$D$10008,$C$5:$C$499)</f>
        <v>0</v>
      </c>
      <c r="BG145" s="11">
        <f t="shared" si="42"/>
        <v>0</v>
      </c>
      <c r="BH145" s="11">
        <f>SUMIFS(PURCHASE!$K$6:$K$10008,PURCHASE!$A$6:$A$10008,$BG$3,PURCHASE!$D$6:$D$10008,$C$5:$C$499)</f>
        <v>0</v>
      </c>
      <c r="BI145" s="11">
        <f>SUMIFS(PURCHASE!$L$6:$L$10008,PURCHASE!$A$6:$A$10008,$BG$3,PURCHASE!$D$6:$D$10008,$C$5:$C$499)</f>
        <v>0</v>
      </c>
      <c r="BJ145" s="11">
        <f>SUMIFS(PURCHASE!$M$6:$M$10008,PURCHASE!$A$6:$A$10008,$BG$3,PURCHASE!$D$6:$D$10008,$C$5:$C$499)</f>
        <v>0</v>
      </c>
      <c r="BK145" s="11">
        <f>SUMIFS(PURCHASE!$N$6:$N$10008,PURCHASE!$A$6:$A$10008,$BG$3,PURCHASE!$D$6:$D$10008,$C$5:$C$499)</f>
        <v>0</v>
      </c>
      <c r="BL145" s="11">
        <f t="shared" si="30"/>
        <v>4461.24</v>
      </c>
      <c r="BM145" s="11">
        <f t="shared" si="30"/>
        <v>3780</v>
      </c>
      <c r="BN145" s="11">
        <f t="shared" si="30"/>
        <v>0</v>
      </c>
      <c r="BO145" s="11">
        <f t="shared" si="30"/>
        <v>340.62</v>
      </c>
      <c r="BP145" s="11">
        <f t="shared" si="30"/>
        <v>340.62</v>
      </c>
    </row>
    <row r="146" spans="1:68" x14ac:dyDescent="0.2">
      <c r="A146" s="467">
        <v>151</v>
      </c>
      <c r="B146" s="468" t="s">
        <v>900</v>
      </c>
      <c r="C146" s="469" t="s">
        <v>901</v>
      </c>
      <c r="D146" s="11">
        <f t="shared" si="31"/>
        <v>0</v>
      </c>
      <c r="E146" s="11">
        <f>SUMIFS(PURCHASE!$K$6:$K$10008,PURCHASE!$A$6:$A$10008,$D$3,PURCHASE!$D$6:$D$10008,$C$5:$C$499)</f>
        <v>0</v>
      </c>
      <c r="F146" s="11">
        <f>SUMIFS(PURCHASE!$L$6:$L$10008,PURCHASE!$A$6:$A$10008,$D$3,PURCHASE!$D$6:$D$10008,$C$5:$C$499)</f>
        <v>0</v>
      </c>
      <c r="G146" s="11">
        <f>SUMIFS(PURCHASE!$M$6:$M$10008,PURCHASE!$A$6:$A$10008,$D$3,PURCHASE!$D$6:$D$10008,$C$5:$C$499)</f>
        <v>0</v>
      </c>
      <c r="H146" s="11">
        <f>SUMIFS(PURCHASE!$N$6:$N$10008,PURCHASE!$A$6:$A$10008,$D$3,PURCHASE!$D$6:$D$10008,$C$5:$C$499)</f>
        <v>0</v>
      </c>
      <c r="I146" s="473">
        <f t="shared" si="32"/>
        <v>0</v>
      </c>
      <c r="J146" s="60">
        <f>SUMIFS(PURCHASE!$K$6:$K$10008,PURCHASE!$A$6:$A$10008,$I$3,PURCHASE!$D$6:$D$10008,$C$5:$C$499)</f>
        <v>0</v>
      </c>
      <c r="K146" s="60">
        <f>SUMIFS(PURCHASE!$L$6:$L$10008,PURCHASE!$A$6:$A$10008,$I$3,PURCHASE!$D$6:$D$10008,$C$5:$C$499)</f>
        <v>0</v>
      </c>
      <c r="L146" s="60">
        <f>SUMIFS(PURCHASE!$M$6:$M$10008,PURCHASE!$A$6:$A$10008,$I$3,PURCHASE!$D$6:$D$10008,$C$5:$C$499)</f>
        <v>0</v>
      </c>
      <c r="M146" s="474">
        <f>SUMIFS(PURCHASE!$N$6:$N$10008,PURCHASE!$A$6:$A$10008,$I$3,PURCHASE!$D$6:$D$10008,$C$5:$C$499)</f>
        <v>0</v>
      </c>
      <c r="N146" s="11">
        <f t="shared" si="33"/>
        <v>0</v>
      </c>
      <c r="O146" s="11">
        <f>SUMIFS(PURCHASE!$K$6:$K$10008,PURCHASE!$A$6:$A$10008,$N$3,PURCHASE!$D$6:$D$10008,$C$5:$C$499)</f>
        <v>0</v>
      </c>
      <c r="P146" s="11">
        <f>SUMIFS(PURCHASE!$L$6:$L$10008,PURCHASE!$A$6:$A$10008,$N$3,PURCHASE!$D$6:$D$10008,$C$5:$C$499)</f>
        <v>0</v>
      </c>
      <c r="Q146" s="11">
        <f>SUMIFS(PURCHASE!$M$6:$M$10008,PURCHASE!$A$6:$A$10008,$N$3,PURCHASE!$D$6:$D$10008,$C$5:$C$499)</f>
        <v>0</v>
      </c>
      <c r="R146" s="11">
        <f>SUMIFS(PURCHASE!$N$6:$N$10008,PURCHASE!$A$6:$A$10008,$N$3,PURCHASE!$D$6:$D$10008,$C$5:$C$499)</f>
        <v>0</v>
      </c>
      <c r="S146" s="11">
        <f t="shared" si="34"/>
        <v>0</v>
      </c>
      <c r="T146" s="11">
        <f>SUMIFS(PURCHASE!$K$6:$K$10008,PURCHASE!$A$6:$A$10008,$S$3,PURCHASE!$D$6:$D$10008,$C$5:$C$499)</f>
        <v>0</v>
      </c>
      <c r="U146" s="11">
        <f>SUMIFS(PURCHASE!$L$6:$L$10008,PURCHASE!$A$6:$A$10008,$S$3,PURCHASE!$D$6:$D$10008,$C$5:$C$499)</f>
        <v>0</v>
      </c>
      <c r="V146" s="11">
        <f>SUMIFS(PURCHASE!$M$6:$M$10008,PURCHASE!$A$6:$A$10008,$S$3,PURCHASE!$D$6:$D$10008,$C$5:$C$499)</f>
        <v>0</v>
      </c>
      <c r="W146" s="11">
        <f>SUMIFS(PURCHASE!$N$6:$N$10008,PURCHASE!$A$6:$A$10008,$S$3,PURCHASE!$D$6:$D$10008,$C$5:$C$499)</f>
        <v>0</v>
      </c>
      <c r="X146" s="11">
        <f t="shared" si="35"/>
        <v>23806.5</v>
      </c>
      <c r="Y146" s="11">
        <f>SUMIFS(PURCHASE!$K$6:$K$10008,PURCHASE!$A$6:$A$10008,$X$3,PURCHASE!$D$6:$D$10008,$C$5:$C$499)</f>
        <v>20175</v>
      </c>
      <c r="Z146" s="11">
        <f>SUMIFS(PURCHASE!$L$6:$L$10008,PURCHASE!$A$6:$A$10008,$X$3,PURCHASE!$D$6:$D$10008,$C$5:$C$499)</f>
        <v>0</v>
      </c>
      <c r="AA146" s="11">
        <f>SUMIFS(PURCHASE!$M$6:$M$10008,PURCHASE!$A$6:$A$10008,$X$3,PURCHASE!$D$6:$D$10008,$C$5:$C$499)</f>
        <v>1815.75</v>
      </c>
      <c r="AB146" s="11">
        <f>SUMIFS(PURCHASE!$N$6:$N$10008,PURCHASE!$A$6:$A$10008,$X$3,PURCHASE!$D$6:$D$10008,$C$5:$C$499)</f>
        <v>1815.75</v>
      </c>
      <c r="AC146" s="11">
        <f t="shared" si="36"/>
        <v>6106.5</v>
      </c>
      <c r="AD146" s="11">
        <f>SUMIFS(PURCHASE!$K$6:$K$10008,PURCHASE!$A$6:$A$10008,$AC$3,PURCHASE!$D$6:$D$10008,$C$5:$C$499)</f>
        <v>5175</v>
      </c>
      <c r="AE146" s="11">
        <f>SUMIFS(PURCHASE!$L$6:$L$10008,PURCHASE!$A$6:$A$10008,$AC$3,PURCHASE!$D$6:$D$10008,$C$5:$C$499)</f>
        <v>0</v>
      </c>
      <c r="AF146" s="11">
        <f>SUMIFS(PURCHASE!$M$6:$M$10008,PURCHASE!$A$6:$A$10008,$AC$3,PURCHASE!$D$6:$D$10008,$C$5:$C$499)</f>
        <v>465.75</v>
      </c>
      <c r="AG146" s="11">
        <f>SUMIFS(PURCHASE!$N$6:$N$10008,PURCHASE!$A$6:$A$10008,$AC$3,PURCHASE!$D$6:$D$10008,$C$5:$C$499)</f>
        <v>465.75</v>
      </c>
      <c r="AH146" s="11">
        <f t="shared" si="37"/>
        <v>2950</v>
      </c>
      <c r="AI146" s="11">
        <f>SUMIFS(PURCHASE!$K$6:$K$10008,PURCHASE!$A$6:$A$10008,$AH$3,PURCHASE!$D$6:$D$10008,$C$5:$C$499)</f>
        <v>2500</v>
      </c>
      <c r="AJ146" s="11">
        <f>SUMIFS(PURCHASE!$L$6:$L$10008,PURCHASE!$A$6:$A$10008,$AH$3,PURCHASE!$D$6:$D$10008,$C$5:$C$499)</f>
        <v>0</v>
      </c>
      <c r="AK146" s="11">
        <f>SUMIFS(PURCHASE!$M$6:$M$10008,PURCHASE!$A$6:$A$10008,$AH$3,PURCHASE!$D$6:$D$10008,$C$5:$C$499)</f>
        <v>225</v>
      </c>
      <c r="AL146" s="11">
        <f>SUMIFS(PURCHASE!$N$6:$N$10008,PURCHASE!$A$6:$A$10008,$AH$3,PURCHASE!$D$6:$D$10008,$C$5:$C$499)</f>
        <v>225</v>
      </c>
      <c r="AM146" s="11">
        <f t="shared" si="38"/>
        <v>0</v>
      </c>
      <c r="AN146" s="11">
        <f>SUMIFS(PURCHASE!$K$6:$K$10008,PURCHASE!$A$6:$A$10008,$AM$3,PURCHASE!$D$6:$D$10008,$C$5:$C$499)</f>
        <v>0</v>
      </c>
      <c r="AO146" s="11">
        <f>SUMIFS(PURCHASE!$L$6:$L$10008,PURCHASE!$A$6:$A$10008,$AM$3,PURCHASE!$D$6:$D$10008,$C$5:$C$499)</f>
        <v>0</v>
      </c>
      <c r="AP146" s="11">
        <f>SUMIFS(PURCHASE!$M$6:$M$10008,PURCHASE!$A$6:$A$10008,$AM$3,PURCHASE!$D$6:$D$10008,$C$5:$C$499)</f>
        <v>0</v>
      </c>
      <c r="AQ146" s="11">
        <f>SUMIFS(PURCHASE!$N$6:$N$10008,PURCHASE!$A$6:$A$10008,$AM$3,PURCHASE!$D$6:$D$10008,$C$5:$C$499)</f>
        <v>0</v>
      </c>
      <c r="AR146" s="11">
        <f t="shared" si="39"/>
        <v>0</v>
      </c>
      <c r="AS146" s="11">
        <f>SUMIFS(PURCHASE!$K$6:$K$10008,PURCHASE!$A$6:$A$10008,$AR$3,PURCHASE!$D$6:$D$10008,$C$5:$C$499)</f>
        <v>0</v>
      </c>
      <c r="AT146" s="11">
        <f>SUMIFS(PURCHASE!$L$6:$L$10008,PURCHASE!$A$6:$A$10008,$AR$3,PURCHASE!$D$6:$D$10008,$C$5:$C$499)</f>
        <v>0</v>
      </c>
      <c r="AU146" s="11">
        <f>SUMIFS(PURCHASE!$M$6:$M$10008,PURCHASE!$A$6:$A$10008,$AR$3,PURCHASE!$D$6:$D$10008,$C$5:$C$499)</f>
        <v>0</v>
      </c>
      <c r="AV146" s="11">
        <f>SUMIFS(PURCHASE!$N$6:$N$10008,PURCHASE!$A$6:$A$10008,$AR$3,PURCHASE!$D$6:$D$10008,$C$5:$C$499)</f>
        <v>0</v>
      </c>
      <c r="AW146" s="11">
        <f t="shared" si="40"/>
        <v>0</v>
      </c>
      <c r="AX146" s="11">
        <f>SUMIFS(PURCHASE!$K$6:$K$10008,PURCHASE!$A$6:$A$10008,$AW$3,PURCHASE!$D$6:$D$10008,$C$5:$C$499)</f>
        <v>0</v>
      </c>
      <c r="AY146" s="11">
        <f>SUMIFS(PURCHASE!$L$6:$L$10008,PURCHASE!$A$6:$A$10008,$AW$3,PURCHASE!$D$6:$D$10008,$C$5:$C$499)</f>
        <v>0</v>
      </c>
      <c r="AZ146" s="11">
        <f>SUMIFS(PURCHASE!$M$6:$M$10008,PURCHASE!$A$6:$A$10008,$AW$3,PURCHASE!$D$6:$D$10008,$C$5:$C$499)</f>
        <v>0</v>
      </c>
      <c r="BA146" s="11">
        <f>SUMIFS(PURCHASE!$N$6:$N$10008,PURCHASE!$A$6:$A$10008,$AW$3,PURCHASE!$D$6:$D$10008,$C$5:$C$499)</f>
        <v>0</v>
      </c>
      <c r="BB146" s="11">
        <f t="shared" si="41"/>
        <v>0</v>
      </c>
      <c r="BC146" s="11">
        <f>SUMIFS(PURCHASE!$K$6:$K$10008,PURCHASE!$A$6:$A$10008,$BB$3,PURCHASE!$D$6:$D$10008,$C$5:$C$499)</f>
        <v>0</v>
      </c>
      <c r="BD146" s="11">
        <f>SUMIFS(PURCHASE!$L$6:$L$10008,PURCHASE!$A$6:$A$10008,$BB$3,PURCHASE!$D$6:$D$10008,$C$5:$C$499)</f>
        <v>0</v>
      </c>
      <c r="BE146" s="11">
        <f>SUMIFS(PURCHASE!$M$6:$M$10008,PURCHASE!$A$6:$A$10008,$BB$3,PURCHASE!$D$6:$D$10008,$C$5:$C$499)</f>
        <v>0</v>
      </c>
      <c r="BF146" s="11">
        <f>SUMIFS(PURCHASE!$N$6:$N$10008,PURCHASE!$A$6:$A$10008,$BB$3,PURCHASE!$D$6:$D$10008,$C$5:$C$499)</f>
        <v>0</v>
      </c>
      <c r="BG146" s="11">
        <f t="shared" si="42"/>
        <v>0</v>
      </c>
      <c r="BH146" s="11">
        <f>SUMIFS(PURCHASE!$K$6:$K$10008,PURCHASE!$A$6:$A$10008,$BG$3,PURCHASE!$D$6:$D$10008,$C$5:$C$499)</f>
        <v>0</v>
      </c>
      <c r="BI146" s="11">
        <f>SUMIFS(PURCHASE!$L$6:$L$10008,PURCHASE!$A$6:$A$10008,$BG$3,PURCHASE!$D$6:$D$10008,$C$5:$C$499)</f>
        <v>0</v>
      </c>
      <c r="BJ146" s="11">
        <f>SUMIFS(PURCHASE!$M$6:$M$10008,PURCHASE!$A$6:$A$10008,$BG$3,PURCHASE!$D$6:$D$10008,$C$5:$C$499)</f>
        <v>0</v>
      </c>
      <c r="BK146" s="11">
        <f>SUMIFS(PURCHASE!$N$6:$N$10008,PURCHASE!$A$6:$A$10008,$BG$3,PURCHASE!$D$6:$D$10008,$C$5:$C$499)</f>
        <v>0</v>
      </c>
      <c r="BL146" s="11">
        <f t="shared" si="30"/>
        <v>32863</v>
      </c>
      <c r="BM146" s="11">
        <f t="shared" si="30"/>
        <v>27850</v>
      </c>
      <c r="BN146" s="11">
        <f t="shared" si="30"/>
        <v>0</v>
      </c>
      <c r="BO146" s="11">
        <f t="shared" si="30"/>
        <v>2506.5</v>
      </c>
      <c r="BP146" s="11">
        <f t="shared" si="30"/>
        <v>2506.5</v>
      </c>
    </row>
    <row r="147" spans="1:68" x14ac:dyDescent="0.2">
      <c r="A147" s="467">
        <v>152</v>
      </c>
      <c r="B147" s="468" t="s">
        <v>914</v>
      </c>
      <c r="C147" s="469" t="s">
        <v>915</v>
      </c>
      <c r="D147" s="11">
        <f t="shared" si="31"/>
        <v>0</v>
      </c>
      <c r="E147" s="11">
        <f>SUMIFS(PURCHASE!$K$6:$K$10008,PURCHASE!$A$6:$A$10008,$D$3,PURCHASE!$D$6:$D$10008,$C$5:$C$499)</f>
        <v>0</v>
      </c>
      <c r="F147" s="11">
        <f>SUMIFS(PURCHASE!$L$6:$L$10008,PURCHASE!$A$6:$A$10008,$D$3,PURCHASE!$D$6:$D$10008,$C$5:$C$499)</f>
        <v>0</v>
      </c>
      <c r="G147" s="11">
        <f>SUMIFS(PURCHASE!$M$6:$M$10008,PURCHASE!$A$6:$A$10008,$D$3,PURCHASE!$D$6:$D$10008,$C$5:$C$499)</f>
        <v>0</v>
      </c>
      <c r="H147" s="11">
        <f>SUMIFS(PURCHASE!$N$6:$N$10008,PURCHASE!$A$6:$A$10008,$D$3,PURCHASE!$D$6:$D$10008,$C$5:$C$499)</f>
        <v>0</v>
      </c>
      <c r="I147" s="473">
        <f t="shared" si="32"/>
        <v>0</v>
      </c>
      <c r="J147" s="60">
        <f>SUMIFS(PURCHASE!$K$6:$K$10008,PURCHASE!$A$6:$A$10008,$I$3,PURCHASE!$D$6:$D$10008,$C$5:$C$499)</f>
        <v>0</v>
      </c>
      <c r="K147" s="60">
        <f>SUMIFS(PURCHASE!$L$6:$L$10008,PURCHASE!$A$6:$A$10008,$I$3,PURCHASE!$D$6:$D$10008,$C$5:$C$499)</f>
        <v>0</v>
      </c>
      <c r="L147" s="60">
        <f>SUMIFS(PURCHASE!$M$6:$M$10008,PURCHASE!$A$6:$A$10008,$I$3,PURCHASE!$D$6:$D$10008,$C$5:$C$499)</f>
        <v>0</v>
      </c>
      <c r="M147" s="474">
        <f>SUMIFS(PURCHASE!$N$6:$N$10008,PURCHASE!$A$6:$A$10008,$I$3,PURCHASE!$D$6:$D$10008,$C$5:$C$499)</f>
        <v>0</v>
      </c>
      <c r="N147" s="11">
        <f t="shared" si="33"/>
        <v>0</v>
      </c>
      <c r="O147" s="11">
        <f>SUMIFS(PURCHASE!$K$6:$K$10008,PURCHASE!$A$6:$A$10008,$N$3,PURCHASE!$D$6:$D$10008,$C$5:$C$499)</f>
        <v>0</v>
      </c>
      <c r="P147" s="11">
        <f>SUMIFS(PURCHASE!$L$6:$L$10008,PURCHASE!$A$6:$A$10008,$N$3,PURCHASE!$D$6:$D$10008,$C$5:$C$499)</f>
        <v>0</v>
      </c>
      <c r="Q147" s="11">
        <f>SUMIFS(PURCHASE!$M$6:$M$10008,PURCHASE!$A$6:$A$10008,$N$3,PURCHASE!$D$6:$D$10008,$C$5:$C$499)</f>
        <v>0</v>
      </c>
      <c r="R147" s="11">
        <f>SUMIFS(PURCHASE!$N$6:$N$10008,PURCHASE!$A$6:$A$10008,$N$3,PURCHASE!$D$6:$D$10008,$C$5:$C$499)</f>
        <v>0</v>
      </c>
      <c r="S147" s="11">
        <f t="shared" si="34"/>
        <v>0</v>
      </c>
      <c r="T147" s="11">
        <f>SUMIFS(PURCHASE!$K$6:$K$10008,PURCHASE!$A$6:$A$10008,$S$3,PURCHASE!$D$6:$D$10008,$C$5:$C$499)</f>
        <v>0</v>
      </c>
      <c r="U147" s="11">
        <f>SUMIFS(PURCHASE!$L$6:$L$10008,PURCHASE!$A$6:$A$10008,$S$3,PURCHASE!$D$6:$D$10008,$C$5:$C$499)</f>
        <v>0</v>
      </c>
      <c r="V147" s="11">
        <f>SUMIFS(PURCHASE!$M$6:$M$10008,PURCHASE!$A$6:$A$10008,$S$3,PURCHASE!$D$6:$D$10008,$C$5:$C$499)</f>
        <v>0</v>
      </c>
      <c r="W147" s="11">
        <f>SUMIFS(PURCHASE!$N$6:$N$10008,PURCHASE!$A$6:$A$10008,$S$3,PURCHASE!$D$6:$D$10008,$C$5:$C$499)</f>
        <v>0</v>
      </c>
      <c r="X147" s="11">
        <f t="shared" si="35"/>
        <v>3540</v>
      </c>
      <c r="Y147" s="11">
        <f>SUMIFS(PURCHASE!$K$6:$K$10008,PURCHASE!$A$6:$A$10008,$X$3,PURCHASE!$D$6:$D$10008,$C$5:$C$499)</f>
        <v>3000</v>
      </c>
      <c r="Z147" s="11">
        <f>SUMIFS(PURCHASE!$L$6:$L$10008,PURCHASE!$A$6:$A$10008,$X$3,PURCHASE!$D$6:$D$10008,$C$5:$C$499)</f>
        <v>0</v>
      </c>
      <c r="AA147" s="11">
        <f>SUMIFS(PURCHASE!$M$6:$M$10008,PURCHASE!$A$6:$A$10008,$X$3,PURCHASE!$D$6:$D$10008,$C$5:$C$499)</f>
        <v>270</v>
      </c>
      <c r="AB147" s="11">
        <f>SUMIFS(PURCHASE!$N$6:$N$10008,PURCHASE!$A$6:$A$10008,$X$3,PURCHASE!$D$6:$D$10008,$C$5:$C$499)</f>
        <v>270</v>
      </c>
      <c r="AC147" s="11">
        <f t="shared" si="36"/>
        <v>0</v>
      </c>
      <c r="AD147" s="11">
        <f>SUMIFS(PURCHASE!$K$6:$K$10008,PURCHASE!$A$6:$A$10008,$AC$3,PURCHASE!$D$6:$D$10008,$C$5:$C$499)</f>
        <v>0</v>
      </c>
      <c r="AE147" s="11">
        <f>SUMIFS(PURCHASE!$L$6:$L$10008,PURCHASE!$A$6:$A$10008,$AC$3,PURCHASE!$D$6:$D$10008,$C$5:$C$499)</f>
        <v>0</v>
      </c>
      <c r="AF147" s="11">
        <f>SUMIFS(PURCHASE!$M$6:$M$10008,PURCHASE!$A$6:$A$10008,$AC$3,PURCHASE!$D$6:$D$10008,$C$5:$C$499)</f>
        <v>0</v>
      </c>
      <c r="AG147" s="11">
        <f>SUMIFS(PURCHASE!$N$6:$N$10008,PURCHASE!$A$6:$A$10008,$AC$3,PURCHASE!$D$6:$D$10008,$C$5:$C$499)</f>
        <v>0</v>
      </c>
      <c r="AH147" s="11">
        <f t="shared" si="37"/>
        <v>0</v>
      </c>
      <c r="AI147" s="11">
        <f>SUMIFS(PURCHASE!$K$6:$K$10008,PURCHASE!$A$6:$A$10008,$AH$3,PURCHASE!$D$6:$D$10008,$C$5:$C$499)</f>
        <v>0</v>
      </c>
      <c r="AJ147" s="11">
        <f>SUMIFS(PURCHASE!$L$6:$L$10008,PURCHASE!$A$6:$A$10008,$AH$3,PURCHASE!$D$6:$D$10008,$C$5:$C$499)</f>
        <v>0</v>
      </c>
      <c r="AK147" s="11">
        <f>SUMIFS(PURCHASE!$M$6:$M$10008,PURCHASE!$A$6:$A$10008,$AH$3,PURCHASE!$D$6:$D$10008,$C$5:$C$499)</f>
        <v>0</v>
      </c>
      <c r="AL147" s="11">
        <f>SUMIFS(PURCHASE!$N$6:$N$10008,PURCHASE!$A$6:$A$10008,$AH$3,PURCHASE!$D$6:$D$10008,$C$5:$C$499)</f>
        <v>0</v>
      </c>
      <c r="AM147" s="11">
        <f t="shared" si="38"/>
        <v>0</v>
      </c>
      <c r="AN147" s="11">
        <f>SUMIFS(PURCHASE!$K$6:$K$10008,PURCHASE!$A$6:$A$10008,$AM$3,PURCHASE!$D$6:$D$10008,$C$5:$C$499)</f>
        <v>0</v>
      </c>
      <c r="AO147" s="11">
        <f>SUMIFS(PURCHASE!$L$6:$L$10008,PURCHASE!$A$6:$A$10008,$AM$3,PURCHASE!$D$6:$D$10008,$C$5:$C$499)</f>
        <v>0</v>
      </c>
      <c r="AP147" s="11">
        <f>SUMIFS(PURCHASE!$M$6:$M$10008,PURCHASE!$A$6:$A$10008,$AM$3,PURCHASE!$D$6:$D$10008,$C$5:$C$499)</f>
        <v>0</v>
      </c>
      <c r="AQ147" s="11">
        <f>SUMIFS(PURCHASE!$N$6:$N$10008,PURCHASE!$A$6:$A$10008,$AM$3,PURCHASE!$D$6:$D$10008,$C$5:$C$499)</f>
        <v>0</v>
      </c>
      <c r="AR147" s="11">
        <f t="shared" si="39"/>
        <v>0</v>
      </c>
      <c r="AS147" s="11">
        <f>SUMIFS(PURCHASE!$K$6:$K$10008,PURCHASE!$A$6:$A$10008,$AR$3,PURCHASE!$D$6:$D$10008,$C$5:$C$499)</f>
        <v>0</v>
      </c>
      <c r="AT147" s="11">
        <f>SUMIFS(PURCHASE!$L$6:$L$10008,PURCHASE!$A$6:$A$10008,$AR$3,PURCHASE!$D$6:$D$10008,$C$5:$C$499)</f>
        <v>0</v>
      </c>
      <c r="AU147" s="11">
        <f>SUMIFS(PURCHASE!$M$6:$M$10008,PURCHASE!$A$6:$A$10008,$AR$3,PURCHASE!$D$6:$D$10008,$C$5:$C$499)</f>
        <v>0</v>
      </c>
      <c r="AV147" s="11">
        <f>SUMIFS(PURCHASE!$N$6:$N$10008,PURCHASE!$A$6:$A$10008,$AR$3,PURCHASE!$D$6:$D$10008,$C$5:$C$499)</f>
        <v>0</v>
      </c>
      <c r="AW147" s="11">
        <f t="shared" si="40"/>
        <v>0</v>
      </c>
      <c r="AX147" s="11">
        <f>SUMIFS(PURCHASE!$K$6:$K$10008,PURCHASE!$A$6:$A$10008,$AW$3,PURCHASE!$D$6:$D$10008,$C$5:$C$499)</f>
        <v>0</v>
      </c>
      <c r="AY147" s="11">
        <f>SUMIFS(PURCHASE!$L$6:$L$10008,PURCHASE!$A$6:$A$10008,$AW$3,PURCHASE!$D$6:$D$10008,$C$5:$C$499)</f>
        <v>0</v>
      </c>
      <c r="AZ147" s="11">
        <f>SUMIFS(PURCHASE!$M$6:$M$10008,PURCHASE!$A$6:$A$10008,$AW$3,PURCHASE!$D$6:$D$10008,$C$5:$C$499)</f>
        <v>0</v>
      </c>
      <c r="BA147" s="11">
        <f>SUMIFS(PURCHASE!$N$6:$N$10008,PURCHASE!$A$6:$A$10008,$AW$3,PURCHASE!$D$6:$D$10008,$C$5:$C$499)</f>
        <v>0</v>
      </c>
      <c r="BB147" s="11">
        <f t="shared" si="41"/>
        <v>0</v>
      </c>
      <c r="BC147" s="11">
        <f>SUMIFS(PURCHASE!$K$6:$K$10008,PURCHASE!$A$6:$A$10008,$BB$3,PURCHASE!$D$6:$D$10008,$C$5:$C$499)</f>
        <v>0</v>
      </c>
      <c r="BD147" s="11">
        <f>SUMIFS(PURCHASE!$L$6:$L$10008,PURCHASE!$A$6:$A$10008,$BB$3,PURCHASE!$D$6:$D$10008,$C$5:$C$499)</f>
        <v>0</v>
      </c>
      <c r="BE147" s="11">
        <f>SUMIFS(PURCHASE!$M$6:$M$10008,PURCHASE!$A$6:$A$10008,$BB$3,PURCHASE!$D$6:$D$10008,$C$5:$C$499)</f>
        <v>0</v>
      </c>
      <c r="BF147" s="11">
        <f>SUMIFS(PURCHASE!$N$6:$N$10008,PURCHASE!$A$6:$A$10008,$BB$3,PURCHASE!$D$6:$D$10008,$C$5:$C$499)</f>
        <v>0</v>
      </c>
      <c r="BG147" s="11">
        <f t="shared" si="42"/>
        <v>0</v>
      </c>
      <c r="BH147" s="11">
        <f>SUMIFS(PURCHASE!$K$6:$K$10008,PURCHASE!$A$6:$A$10008,$BG$3,PURCHASE!$D$6:$D$10008,$C$5:$C$499)</f>
        <v>0</v>
      </c>
      <c r="BI147" s="11">
        <f>SUMIFS(PURCHASE!$L$6:$L$10008,PURCHASE!$A$6:$A$10008,$BG$3,PURCHASE!$D$6:$D$10008,$C$5:$C$499)</f>
        <v>0</v>
      </c>
      <c r="BJ147" s="11">
        <f>SUMIFS(PURCHASE!$M$6:$M$10008,PURCHASE!$A$6:$A$10008,$BG$3,PURCHASE!$D$6:$D$10008,$C$5:$C$499)</f>
        <v>0</v>
      </c>
      <c r="BK147" s="11">
        <f>SUMIFS(PURCHASE!$N$6:$N$10008,PURCHASE!$A$6:$A$10008,$BG$3,PURCHASE!$D$6:$D$10008,$C$5:$C$499)</f>
        <v>0</v>
      </c>
      <c r="BL147" s="11">
        <f t="shared" si="30"/>
        <v>3540</v>
      </c>
      <c r="BM147" s="11">
        <f t="shared" si="30"/>
        <v>3000</v>
      </c>
      <c r="BN147" s="11">
        <f t="shared" si="30"/>
        <v>0</v>
      </c>
      <c r="BO147" s="11">
        <f t="shared" si="30"/>
        <v>270</v>
      </c>
      <c r="BP147" s="11">
        <f t="shared" si="30"/>
        <v>270</v>
      </c>
    </row>
    <row r="148" spans="1:68" x14ac:dyDescent="0.2">
      <c r="A148" s="467">
        <v>153</v>
      </c>
      <c r="B148" s="468" t="s">
        <v>1024</v>
      </c>
      <c r="C148" s="469" t="s">
        <v>1025</v>
      </c>
      <c r="D148" s="11">
        <f t="shared" ref="D148:D152" si="43">+E148+F148+G148+H148</f>
        <v>0</v>
      </c>
      <c r="E148" s="11">
        <f>SUMIFS(PURCHASE!$K$6:$K$10008,PURCHASE!$A$6:$A$10008,$D$3,PURCHASE!$D$6:$D$10008,$C$5:$C$499)</f>
        <v>0</v>
      </c>
      <c r="F148" s="11">
        <f>SUMIFS(PURCHASE!$L$6:$L$10008,PURCHASE!$A$6:$A$10008,$D$3,PURCHASE!$D$6:$D$10008,$C$5:$C$499)</f>
        <v>0</v>
      </c>
      <c r="G148" s="11">
        <f>SUMIFS(PURCHASE!$M$6:$M$10008,PURCHASE!$A$6:$A$10008,$D$3,PURCHASE!$D$6:$D$10008,$C$5:$C$499)</f>
        <v>0</v>
      </c>
      <c r="H148" s="11">
        <f>SUMIFS(PURCHASE!$N$6:$N$10008,PURCHASE!$A$6:$A$10008,$D$3,PURCHASE!$D$6:$D$10008,$C$5:$C$499)</f>
        <v>0</v>
      </c>
      <c r="I148" s="473">
        <f t="shared" ref="I148:I152" si="44">+J148+K148+L148+M148</f>
        <v>0</v>
      </c>
      <c r="J148" s="60">
        <f>SUMIFS(PURCHASE!$K$6:$K$10008,PURCHASE!$A$6:$A$10008,$I$3,PURCHASE!$D$6:$D$10008,$C$5:$C$499)</f>
        <v>0</v>
      </c>
      <c r="K148" s="60">
        <f>SUMIFS(PURCHASE!$L$6:$L$10008,PURCHASE!$A$6:$A$10008,$I$3,PURCHASE!$D$6:$D$10008,$C$5:$C$499)</f>
        <v>0</v>
      </c>
      <c r="L148" s="60">
        <f>SUMIFS(PURCHASE!$M$6:$M$10008,PURCHASE!$A$6:$A$10008,$I$3,PURCHASE!$D$6:$D$10008,$C$5:$C$499)</f>
        <v>0</v>
      </c>
      <c r="M148" s="474">
        <f>SUMIFS(PURCHASE!$N$6:$N$10008,PURCHASE!$A$6:$A$10008,$I$3,PURCHASE!$D$6:$D$10008,$C$5:$C$499)</f>
        <v>0</v>
      </c>
      <c r="N148" s="11">
        <f t="shared" ref="N148:N152" si="45">+O148+P148+Q148+R148</f>
        <v>0</v>
      </c>
      <c r="O148" s="11">
        <f>SUMIFS(PURCHASE!$K$6:$K$10008,PURCHASE!$A$6:$A$10008,$N$3,PURCHASE!$D$6:$D$10008,$C$5:$C$499)</f>
        <v>0</v>
      </c>
      <c r="P148" s="11">
        <f>SUMIFS(PURCHASE!$L$6:$L$10008,PURCHASE!$A$6:$A$10008,$N$3,PURCHASE!$D$6:$D$10008,$C$5:$C$499)</f>
        <v>0</v>
      </c>
      <c r="Q148" s="11">
        <f>SUMIFS(PURCHASE!$M$6:$M$10008,PURCHASE!$A$6:$A$10008,$N$3,PURCHASE!$D$6:$D$10008,$C$5:$C$499)</f>
        <v>0</v>
      </c>
      <c r="R148" s="11">
        <f>SUMIFS(PURCHASE!$N$6:$N$10008,PURCHASE!$A$6:$A$10008,$N$3,PURCHASE!$D$6:$D$10008,$C$5:$C$499)</f>
        <v>0</v>
      </c>
      <c r="S148" s="11">
        <f t="shared" ref="S148:S152" si="46">+T148+U148+V148+W148</f>
        <v>0</v>
      </c>
      <c r="T148" s="11">
        <f>SUMIFS(PURCHASE!$K$6:$K$10008,PURCHASE!$A$6:$A$10008,$S$3,PURCHASE!$D$6:$D$10008,$C$5:$C$499)</f>
        <v>0</v>
      </c>
      <c r="U148" s="11">
        <f>SUMIFS(PURCHASE!$L$6:$L$10008,PURCHASE!$A$6:$A$10008,$S$3,PURCHASE!$D$6:$D$10008,$C$5:$C$499)</f>
        <v>0</v>
      </c>
      <c r="V148" s="11">
        <f>SUMIFS(PURCHASE!$M$6:$M$10008,PURCHASE!$A$6:$A$10008,$S$3,PURCHASE!$D$6:$D$10008,$C$5:$C$499)</f>
        <v>0</v>
      </c>
      <c r="W148" s="11">
        <f>SUMIFS(PURCHASE!$N$6:$N$10008,PURCHASE!$A$6:$A$10008,$S$3,PURCHASE!$D$6:$D$10008,$C$5:$C$499)</f>
        <v>0</v>
      </c>
      <c r="X148" s="11">
        <f t="shared" ref="X148:X152" si="47">+Y148+Z148+AA148+AB148</f>
        <v>0</v>
      </c>
      <c r="Y148" s="11">
        <f>SUMIFS(PURCHASE!$K$6:$K$10008,PURCHASE!$A$6:$A$10008,$X$3,PURCHASE!$D$6:$D$10008,$C$5:$C$499)</f>
        <v>0</v>
      </c>
      <c r="Z148" s="11">
        <f>SUMIFS(PURCHASE!$L$6:$L$10008,PURCHASE!$A$6:$A$10008,$X$3,PURCHASE!$D$6:$D$10008,$C$5:$C$499)</f>
        <v>0</v>
      </c>
      <c r="AA148" s="11">
        <f>SUMIFS(PURCHASE!$M$6:$M$10008,PURCHASE!$A$6:$A$10008,$X$3,PURCHASE!$D$6:$D$10008,$C$5:$C$499)</f>
        <v>0</v>
      </c>
      <c r="AB148" s="11">
        <f>SUMIFS(PURCHASE!$N$6:$N$10008,PURCHASE!$A$6:$A$10008,$X$3,PURCHASE!$D$6:$D$10008,$C$5:$C$499)</f>
        <v>0</v>
      </c>
      <c r="AC148" s="11">
        <f t="shared" ref="AC148:AC152" si="48">+AD148+AE148+AF148+AG148</f>
        <v>86500.242199999993</v>
      </c>
      <c r="AD148" s="11">
        <f>SUMIFS(PURCHASE!$K$6:$K$10008,PURCHASE!$A$6:$A$10008,$AC$3,PURCHASE!$D$6:$D$10008,$C$5:$C$499)</f>
        <v>73305.289999999994</v>
      </c>
      <c r="AE148" s="11">
        <f>SUMIFS(PURCHASE!$L$6:$L$10008,PURCHASE!$A$6:$A$10008,$AC$3,PURCHASE!$D$6:$D$10008,$C$5:$C$499)</f>
        <v>0</v>
      </c>
      <c r="AF148" s="11">
        <f>SUMIFS(PURCHASE!$M$6:$M$10008,PURCHASE!$A$6:$A$10008,$AC$3,PURCHASE!$D$6:$D$10008,$C$5:$C$499)</f>
        <v>6597.476099999999</v>
      </c>
      <c r="AG148" s="11">
        <f>SUMIFS(PURCHASE!$N$6:$N$10008,PURCHASE!$A$6:$A$10008,$AC$3,PURCHASE!$D$6:$D$10008,$C$5:$C$499)</f>
        <v>6597.476099999999</v>
      </c>
      <c r="AH148" s="11">
        <f t="shared" ref="AH148:AH152" si="49">+AI148+AJ148+AK148+AL148</f>
        <v>0</v>
      </c>
      <c r="AI148" s="11">
        <f>SUMIFS(PURCHASE!$K$6:$K$10008,PURCHASE!$A$6:$A$10008,$AH$3,PURCHASE!$D$6:$D$10008,$C$5:$C$499)</f>
        <v>0</v>
      </c>
      <c r="AJ148" s="11">
        <f>SUMIFS(PURCHASE!$L$6:$L$10008,PURCHASE!$A$6:$A$10008,$AH$3,PURCHASE!$D$6:$D$10008,$C$5:$C$499)</f>
        <v>0</v>
      </c>
      <c r="AK148" s="11">
        <f>SUMIFS(PURCHASE!$M$6:$M$10008,PURCHASE!$A$6:$A$10008,$AH$3,PURCHASE!$D$6:$D$10008,$C$5:$C$499)</f>
        <v>0</v>
      </c>
      <c r="AL148" s="11">
        <f>SUMIFS(PURCHASE!$N$6:$N$10008,PURCHASE!$A$6:$A$10008,$AH$3,PURCHASE!$D$6:$D$10008,$C$5:$C$499)</f>
        <v>0</v>
      </c>
      <c r="AM148" s="11">
        <f t="shared" ref="AM148:AM152" si="50">+AN148+AO148+AP148+AQ148</f>
        <v>0</v>
      </c>
      <c r="AN148" s="11">
        <f>SUMIFS(PURCHASE!$K$6:$K$10008,PURCHASE!$A$6:$A$10008,$AM$3,PURCHASE!$D$6:$D$10008,$C$5:$C$499)</f>
        <v>0</v>
      </c>
      <c r="AO148" s="11">
        <f>SUMIFS(PURCHASE!$L$6:$L$10008,PURCHASE!$A$6:$A$10008,$AM$3,PURCHASE!$D$6:$D$10008,$C$5:$C$499)</f>
        <v>0</v>
      </c>
      <c r="AP148" s="11">
        <f>SUMIFS(PURCHASE!$M$6:$M$10008,PURCHASE!$A$6:$A$10008,$AM$3,PURCHASE!$D$6:$D$10008,$C$5:$C$499)</f>
        <v>0</v>
      </c>
      <c r="AQ148" s="11">
        <f>SUMIFS(PURCHASE!$N$6:$N$10008,PURCHASE!$A$6:$A$10008,$AM$3,PURCHASE!$D$6:$D$10008,$C$5:$C$499)</f>
        <v>0</v>
      </c>
      <c r="AR148" s="11">
        <f t="shared" ref="AR148:AR152" si="51">+AS148+AT148+AU148+AV148</f>
        <v>0</v>
      </c>
      <c r="AS148" s="11">
        <f>SUMIFS(PURCHASE!$K$6:$K$10008,PURCHASE!$A$6:$A$10008,$AR$3,PURCHASE!$D$6:$D$10008,$C$5:$C$499)</f>
        <v>0</v>
      </c>
      <c r="AT148" s="11">
        <f>SUMIFS(PURCHASE!$L$6:$L$10008,PURCHASE!$A$6:$A$10008,$AR$3,PURCHASE!$D$6:$D$10008,$C$5:$C$499)</f>
        <v>0</v>
      </c>
      <c r="AU148" s="11">
        <f>SUMIFS(PURCHASE!$M$6:$M$10008,PURCHASE!$A$6:$A$10008,$AR$3,PURCHASE!$D$6:$D$10008,$C$5:$C$499)</f>
        <v>0</v>
      </c>
      <c r="AV148" s="11">
        <f>SUMIFS(PURCHASE!$N$6:$N$10008,PURCHASE!$A$6:$A$10008,$AR$3,PURCHASE!$D$6:$D$10008,$C$5:$C$499)</f>
        <v>0</v>
      </c>
      <c r="AW148" s="11">
        <f t="shared" ref="AW148:AW152" si="52">+AX148+AY148+AZ148+BA148</f>
        <v>0</v>
      </c>
      <c r="AX148" s="11">
        <f>SUMIFS(PURCHASE!$K$6:$K$10008,PURCHASE!$A$6:$A$10008,$AW$3,PURCHASE!$D$6:$D$10008,$C$5:$C$499)</f>
        <v>0</v>
      </c>
      <c r="AY148" s="11">
        <f>SUMIFS(PURCHASE!$L$6:$L$10008,PURCHASE!$A$6:$A$10008,$AW$3,PURCHASE!$D$6:$D$10008,$C$5:$C$499)</f>
        <v>0</v>
      </c>
      <c r="AZ148" s="11">
        <f>SUMIFS(PURCHASE!$M$6:$M$10008,PURCHASE!$A$6:$A$10008,$AW$3,PURCHASE!$D$6:$D$10008,$C$5:$C$499)</f>
        <v>0</v>
      </c>
      <c r="BA148" s="11">
        <f>SUMIFS(PURCHASE!$N$6:$N$10008,PURCHASE!$A$6:$A$10008,$AW$3,PURCHASE!$D$6:$D$10008,$C$5:$C$499)</f>
        <v>0</v>
      </c>
      <c r="BB148" s="11">
        <f t="shared" ref="BB148:BB152" si="53">+BC148+BD148+BE148+BF148</f>
        <v>0</v>
      </c>
      <c r="BC148" s="11">
        <f>SUMIFS(PURCHASE!$K$6:$K$10008,PURCHASE!$A$6:$A$10008,$BB$3,PURCHASE!$D$6:$D$10008,$C$5:$C$499)</f>
        <v>0</v>
      </c>
      <c r="BD148" s="11">
        <f>SUMIFS(PURCHASE!$L$6:$L$10008,PURCHASE!$A$6:$A$10008,$BB$3,PURCHASE!$D$6:$D$10008,$C$5:$C$499)</f>
        <v>0</v>
      </c>
      <c r="BE148" s="11">
        <f>SUMIFS(PURCHASE!$M$6:$M$10008,PURCHASE!$A$6:$A$10008,$BB$3,PURCHASE!$D$6:$D$10008,$C$5:$C$499)</f>
        <v>0</v>
      </c>
      <c r="BF148" s="11">
        <f>SUMIFS(PURCHASE!$N$6:$N$10008,PURCHASE!$A$6:$A$10008,$BB$3,PURCHASE!$D$6:$D$10008,$C$5:$C$499)</f>
        <v>0</v>
      </c>
      <c r="BG148" s="11">
        <f t="shared" ref="BG148:BG152" si="54">+BH148+BI148+BJ148+BK148</f>
        <v>0</v>
      </c>
      <c r="BH148" s="11">
        <f>SUMIFS(PURCHASE!$K$6:$K$10008,PURCHASE!$A$6:$A$10008,$BG$3,PURCHASE!$D$6:$D$10008,$C$5:$C$499)</f>
        <v>0</v>
      </c>
      <c r="BI148" s="11">
        <f>SUMIFS(PURCHASE!$L$6:$L$10008,PURCHASE!$A$6:$A$10008,$BG$3,PURCHASE!$D$6:$D$10008,$C$5:$C$499)</f>
        <v>0</v>
      </c>
      <c r="BJ148" s="11">
        <f>SUMIFS(PURCHASE!$M$6:$M$10008,PURCHASE!$A$6:$A$10008,$BG$3,PURCHASE!$D$6:$D$10008,$C$5:$C$499)</f>
        <v>0</v>
      </c>
      <c r="BK148" s="11">
        <f>SUMIFS(PURCHASE!$N$6:$N$10008,PURCHASE!$A$6:$A$10008,$BG$3,PURCHASE!$D$6:$D$10008,$C$5:$C$499)</f>
        <v>0</v>
      </c>
      <c r="BL148" s="11">
        <f t="shared" ref="BL148:BL152" si="55">+D148+I148+N148+S148+X148+AC148+AH148+AM148+AR148+AW148+BB148+BG148</f>
        <v>86500.242199999993</v>
      </c>
      <c r="BM148" s="11">
        <f t="shared" ref="BM148:BM152" si="56">+E148+J148+O148+T148+Y148+AD148+AI148+AN148+AS148+AX148+BC148+BH148</f>
        <v>73305.289999999994</v>
      </c>
      <c r="BN148" s="11">
        <f t="shared" ref="BN148:BN152" si="57">+F148+K148+P148+U148+Z148+AE148+AJ148+AO148+AT148+AY148+BD148+BI148</f>
        <v>0</v>
      </c>
      <c r="BO148" s="11">
        <f t="shared" ref="BO148:BO152" si="58">+G148+L148+Q148+V148+AA148+AF148+AK148+AP148+AU148+AZ148+BE148+BJ148</f>
        <v>6597.476099999999</v>
      </c>
      <c r="BP148" s="11">
        <f t="shared" ref="BP148:BP152" si="59">+H148+M148+R148+W148+AB148+AG148+AL148+AQ148+AV148+BA148+BF148+BK148</f>
        <v>6597.476099999999</v>
      </c>
    </row>
    <row r="149" spans="1:68" x14ac:dyDescent="0.2">
      <c r="B149" s="480" t="s">
        <v>3373</v>
      </c>
      <c r="C149" s="481" t="s">
        <v>3374</v>
      </c>
      <c r="D149" s="11">
        <f t="shared" si="43"/>
        <v>0</v>
      </c>
      <c r="E149" s="11">
        <f>SUMIFS(PURCHASE!$K$6:$K$10008,PURCHASE!$A$6:$A$10008,$D$3,PURCHASE!$D$6:$D$10008,$C$5:$C$499)</f>
        <v>0</v>
      </c>
      <c r="F149" s="11">
        <f>SUMIFS(PURCHASE!$L$6:$L$10008,PURCHASE!$A$6:$A$10008,$D$3,PURCHASE!$D$6:$D$10008,$C$5:$C$499)</f>
        <v>0</v>
      </c>
      <c r="G149" s="11">
        <f>SUMIFS(PURCHASE!$M$6:$M$10008,PURCHASE!$A$6:$A$10008,$D$3,PURCHASE!$D$6:$D$10008,$C$5:$C$499)</f>
        <v>0</v>
      </c>
      <c r="H149" s="11">
        <f>SUMIFS(PURCHASE!$N$6:$N$10008,PURCHASE!$A$6:$A$10008,$D$3,PURCHASE!$D$6:$D$10008,$C$5:$C$499)</f>
        <v>0</v>
      </c>
      <c r="I149" s="473">
        <f t="shared" si="44"/>
        <v>0</v>
      </c>
      <c r="J149" s="60">
        <f>SUMIFS(PURCHASE!$K$6:$K$10008,PURCHASE!$A$6:$A$10008,$I$3,PURCHASE!$D$6:$D$10008,$C$5:$C$499)</f>
        <v>0</v>
      </c>
      <c r="K149" s="60">
        <f>SUMIFS(PURCHASE!$L$6:$L$10008,PURCHASE!$A$6:$A$10008,$I$3,PURCHASE!$D$6:$D$10008,$C$5:$C$499)</f>
        <v>0</v>
      </c>
      <c r="L149" s="60">
        <f>SUMIFS(PURCHASE!$M$6:$M$10008,PURCHASE!$A$6:$A$10008,$I$3,PURCHASE!$D$6:$D$10008,$C$5:$C$499)</f>
        <v>0</v>
      </c>
      <c r="M149" s="474">
        <f>SUMIFS(PURCHASE!$N$6:$N$10008,PURCHASE!$A$6:$A$10008,$I$3,PURCHASE!$D$6:$D$10008,$C$5:$C$499)</f>
        <v>0</v>
      </c>
      <c r="N149" s="11">
        <f t="shared" si="45"/>
        <v>0</v>
      </c>
      <c r="O149" s="11">
        <f>SUMIFS(PURCHASE!$K$6:$K$10008,PURCHASE!$A$6:$A$10008,$N$3,PURCHASE!$D$6:$D$10008,$C$5:$C$499)</f>
        <v>0</v>
      </c>
      <c r="P149" s="11">
        <f>SUMIFS(PURCHASE!$L$6:$L$10008,PURCHASE!$A$6:$A$10008,$N$3,PURCHASE!$D$6:$D$10008,$C$5:$C$499)</f>
        <v>0</v>
      </c>
      <c r="Q149" s="11">
        <f>SUMIFS(PURCHASE!$M$6:$M$10008,PURCHASE!$A$6:$A$10008,$N$3,PURCHASE!$D$6:$D$10008,$C$5:$C$499)</f>
        <v>0</v>
      </c>
      <c r="R149" s="11">
        <f>SUMIFS(PURCHASE!$N$6:$N$10008,PURCHASE!$A$6:$A$10008,$N$3,PURCHASE!$D$6:$D$10008,$C$5:$C$499)</f>
        <v>0</v>
      </c>
      <c r="S149" s="11">
        <f t="shared" si="46"/>
        <v>0</v>
      </c>
      <c r="T149" s="11">
        <f>SUMIFS(PURCHASE!$K$6:$K$10008,PURCHASE!$A$6:$A$10008,$S$3,PURCHASE!$D$6:$D$10008,$C$5:$C$499)</f>
        <v>0</v>
      </c>
      <c r="U149" s="11">
        <f>SUMIFS(PURCHASE!$L$6:$L$10008,PURCHASE!$A$6:$A$10008,$S$3,PURCHASE!$D$6:$D$10008,$C$5:$C$499)</f>
        <v>0</v>
      </c>
      <c r="V149" s="11">
        <f>SUMIFS(PURCHASE!$M$6:$M$10008,PURCHASE!$A$6:$A$10008,$S$3,PURCHASE!$D$6:$D$10008,$C$5:$C$499)</f>
        <v>0</v>
      </c>
      <c r="W149" s="11">
        <f>SUMIFS(PURCHASE!$N$6:$N$10008,PURCHASE!$A$6:$A$10008,$S$3,PURCHASE!$D$6:$D$10008,$C$5:$C$499)</f>
        <v>0</v>
      </c>
      <c r="X149" s="11">
        <f t="shared" si="47"/>
        <v>0</v>
      </c>
      <c r="Y149" s="11">
        <f>SUMIFS(PURCHASE!$K$6:$K$10008,PURCHASE!$A$6:$A$10008,$X$3,PURCHASE!$D$6:$D$10008,$C$5:$C$499)</f>
        <v>0</v>
      </c>
      <c r="Z149" s="11">
        <f>SUMIFS(PURCHASE!$L$6:$L$10008,PURCHASE!$A$6:$A$10008,$X$3,PURCHASE!$D$6:$D$10008,$C$5:$C$499)</f>
        <v>0</v>
      </c>
      <c r="AA149" s="11">
        <f>SUMIFS(PURCHASE!$M$6:$M$10008,PURCHASE!$A$6:$A$10008,$X$3,PURCHASE!$D$6:$D$10008,$C$5:$C$499)</f>
        <v>0</v>
      </c>
      <c r="AB149" s="11">
        <f>SUMIFS(PURCHASE!$N$6:$N$10008,PURCHASE!$A$6:$A$10008,$X$3,PURCHASE!$D$6:$D$10008,$C$5:$C$499)</f>
        <v>0</v>
      </c>
      <c r="AC149" s="11">
        <f t="shared" si="48"/>
        <v>0</v>
      </c>
      <c r="AD149" s="11">
        <f>SUMIFS(PURCHASE!$K$6:$K$10008,PURCHASE!$A$6:$A$10008,$AC$3,PURCHASE!$D$6:$D$10008,$C$5:$C$499)</f>
        <v>0</v>
      </c>
      <c r="AE149" s="11">
        <f>SUMIFS(PURCHASE!$L$6:$L$10008,PURCHASE!$A$6:$A$10008,$AC$3,PURCHASE!$D$6:$D$10008,$C$5:$C$499)</f>
        <v>0</v>
      </c>
      <c r="AF149" s="11">
        <f>SUMIFS(PURCHASE!$M$6:$M$10008,PURCHASE!$A$6:$A$10008,$AC$3,PURCHASE!$D$6:$D$10008,$C$5:$C$499)</f>
        <v>0</v>
      </c>
      <c r="AG149" s="11">
        <f>SUMIFS(PURCHASE!$N$6:$N$10008,PURCHASE!$A$6:$A$10008,$AC$3,PURCHASE!$D$6:$D$10008,$C$5:$C$499)</f>
        <v>0</v>
      </c>
      <c r="AH149" s="11">
        <f t="shared" si="49"/>
        <v>0</v>
      </c>
      <c r="AI149" s="11">
        <f>SUMIFS(PURCHASE!$K$6:$K$10008,PURCHASE!$A$6:$A$10008,$AH$3,PURCHASE!$D$6:$D$10008,$C$5:$C$499)</f>
        <v>0</v>
      </c>
      <c r="AJ149" s="11">
        <f>SUMIFS(PURCHASE!$L$6:$L$10008,PURCHASE!$A$6:$A$10008,$AH$3,PURCHASE!$D$6:$D$10008,$C$5:$C$499)</f>
        <v>0</v>
      </c>
      <c r="AK149" s="11">
        <f>SUMIFS(PURCHASE!$M$6:$M$10008,PURCHASE!$A$6:$A$10008,$AH$3,PURCHASE!$D$6:$D$10008,$C$5:$C$499)</f>
        <v>0</v>
      </c>
      <c r="AL149" s="11">
        <f>SUMIFS(PURCHASE!$N$6:$N$10008,PURCHASE!$A$6:$A$10008,$AH$3,PURCHASE!$D$6:$D$10008,$C$5:$C$499)</f>
        <v>0</v>
      </c>
      <c r="AM149" s="11">
        <f t="shared" si="50"/>
        <v>0</v>
      </c>
      <c r="AN149" s="11">
        <f>SUMIFS(PURCHASE!$K$6:$K$10008,PURCHASE!$A$6:$A$10008,$AM$3,PURCHASE!$D$6:$D$10008,$C$5:$C$499)</f>
        <v>0</v>
      </c>
      <c r="AO149" s="11">
        <f>SUMIFS(PURCHASE!$L$6:$L$10008,PURCHASE!$A$6:$A$10008,$AM$3,PURCHASE!$D$6:$D$10008,$C$5:$C$499)</f>
        <v>0</v>
      </c>
      <c r="AP149" s="11">
        <f>SUMIFS(PURCHASE!$M$6:$M$10008,PURCHASE!$A$6:$A$10008,$AM$3,PURCHASE!$D$6:$D$10008,$C$5:$C$499)</f>
        <v>0</v>
      </c>
      <c r="AQ149" s="11">
        <f>SUMIFS(PURCHASE!$N$6:$N$10008,PURCHASE!$A$6:$A$10008,$AM$3,PURCHASE!$D$6:$D$10008,$C$5:$C$499)</f>
        <v>0</v>
      </c>
      <c r="AR149" s="11">
        <f t="shared" si="51"/>
        <v>0</v>
      </c>
      <c r="AS149" s="11">
        <f>SUMIFS(PURCHASE!$K$6:$K$10008,PURCHASE!$A$6:$A$10008,$AR$3,PURCHASE!$D$6:$D$10008,$C$5:$C$499)</f>
        <v>0</v>
      </c>
      <c r="AT149" s="11">
        <f>SUMIFS(PURCHASE!$L$6:$L$10008,PURCHASE!$A$6:$A$10008,$AR$3,PURCHASE!$D$6:$D$10008,$C$5:$C$499)</f>
        <v>0</v>
      </c>
      <c r="AU149" s="11">
        <f>SUMIFS(PURCHASE!$M$6:$M$10008,PURCHASE!$A$6:$A$10008,$AR$3,PURCHASE!$D$6:$D$10008,$C$5:$C$499)</f>
        <v>0</v>
      </c>
      <c r="AV149" s="11">
        <f>SUMIFS(PURCHASE!$N$6:$N$10008,PURCHASE!$A$6:$A$10008,$AR$3,PURCHASE!$D$6:$D$10008,$C$5:$C$499)</f>
        <v>0</v>
      </c>
      <c r="AW149" s="11">
        <f t="shared" si="52"/>
        <v>0</v>
      </c>
      <c r="AX149" s="11">
        <f>SUMIFS(PURCHASE!$K$6:$K$10008,PURCHASE!$A$6:$A$10008,$AW$3,PURCHASE!$D$6:$D$10008,$C$5:$C$499)</f>
        <v>0</v>
      </c>
      <c r="AY149" s="11">
        <f>SUMIFS(PURCHASE!$L$6:$L$10008,PURCHASE!$A$6:$A$10008,$AW$3,PURCHASE!$D$6:$D$10008,$C$5:$C$499)</f>
        <v>0</v>
      </c>
      <c r="AZ149" s="11">
        <f>SUMIFS(PURCHASE!$M$6:$M$10008,PURCHASE!$A$6:$A$10008,$AW$3,PURCHASE!$D$6:$D$10008,$C$5:$C$499)</f>
        <v>0</v>
      </c>
      <c r="BA149" s="11">
        <f>SUMIFS(PURCHASE!$N$6:$N$10008,PURCHASE!$A$6:$A$10008,$AW$3,PURCHASE!$D$6:$D$10008,$C$5:$C$499)</f>
        <v>0</v>
      </c>
      <c r="BB149" s="11">
        <f t="shared" si="53"/>
        <v>0</v>
      </c>
      <c r="BC149" s="11">
        <f>SUMIFS(PURCHASE!$K$6:$K$10008,PURCHASE!$A$6:$A$10008,$BB$3,PURCHASE!$D$6:$D$10008,$C$5:$C$499)</f>
        <v>0</v>
      </c>
      <c r="BD149" s="11">
        <f>SUMIFS(PURCHASE!$L$6:$L$10008,PURCHASE!$A$6:$A$10008,$BB$3,PURCHASE!$D$6:$D$10008,$C$5:$C$499)</f>
        <v>0</v>
      </c>
      <c r="BE149" s="11">
        <f>SUMIFS(PURCHASE!$M$6:$M$10008,PURCHASE!$A$6:$A$10008,$BB$3,PURCHASE!$D$6:$D$10008,$C$5:$C$499)</f>
        <v>0</v>
      </c>
      <c r="BF149" s="11">
        <f>SUMIFS(PURCHASE!$N$6:$N$10008,PURCHASE!$A$6:$A$10008,$BB$3,PURCHASE!$D$6:$D$10008,$C$5:$C$499)</f>
        <v>0</v>
      </c>
      <c r="BG149" s="11">
        <f t="shared" si="54"/>
        <v>0</v>
      </c>
      <c r="BH149" s="11">
        <f>SUMIFS(PURCHASE!$K$6:$K$10008,PURCHASE!$A$6:$A$10008,$BG$3,PURCHASE!$D$6:$D$10008,$C$5:$C$499)</f>
        <v>0</v>
      </c>
      <c r="BI149" s="11">
        <f>SUMIFS(PURCHASE!$L$6:$L$10008,PURCHASE!$A$6:$A$10008,$BG$3,PURCHASE!$D$6:$D$10008,$C$5:$C$499)</f>
        <v>0</v>
      </c>
      <c r="BJ149" s="11">
        <f>SUMIFS(PURCHASE!$M$6:$M$10008,PURCHASE!$A$6:$A$10008,$BG$3,PURCHASE!$D$6:$D$10008,$C$5:$C$499)</f>
        <v>0</v>
      </c>
      <c r="BK149" s="11">
        <f>SUMIFS(PURCHASE!$N$6:$N$10008,PURCHASE!$A$6:$A$10008,$BG$3,PURCHASE!$D$6:$D$10008,$C$5:$C$499)</f>
        <v>0</v>
      </c>
      <c r="BL149" s="11">
        <f t="shared" si="55"/>
        <v>0</v>
      </c>
      <c r="BM149" s="11">
        <f t="shared" si="56"/>
        <v>0</v>
      </c>
      <c r="BN149" s="11">
        <f t="shared" si="57"/>
        <v>0</v>
      </c>
      <c r="BO149" s="11">
        <f t="shared" si="58"/>
        <v>0</v>
      </c>
      <c r="BP149" s="11">
        <f t="shared" si="59"/>
        <v>0</v>
      </c>
    </row>
    <row r="150" spans="1:68" x14ac:dyDescent="0.2">
      <c r="D150" s="11">
        <f t="shared" si="43"/>
        <v>0</v>
      </c>
      <c r="E150" s="11">
        <f>SUMIFS(PURCHASE!$K$6:$K$10008,PURCHASE!$A$6:$A$10008,$D$3,PURCHASE!$D$6:$D$10008,$C$5:$C$499)</f>
        <v>0</v>
      </c>
      <c r="F150" s="11">
        <f>SUMIFS(PURCHASE!$L$6:$L$10008,PURCHASE!$A$6:$A$10008,$D$3,PURCHASE!$D$6:$D$10008,$C$5:$C$499)</f>
        <v>0</v>
      </c>
      <c r="G150" s="11">
        <f>SUMIFS(PURCHASE!$M$6:$M$10008,PURCHASE!$A$6:$A$10008,$D$3,PURCHASE!$D$6:$D$10008,$C$5:$C$499)</f>
        <v>0</v>
      </c>
      <c r="H150" s="11">
        <f>SUMIFS(PURCHASE!$N$6:$N$10008,PURCHASE!$A$6:$A$10008,$D$3,PURCHASE!$D$6:$D$10008,$C$5:$C$499)</f>
        <v>0</v>
      </c>
      <c r="I150" s="473">
        <f t="shared" si="44"/>
        <v>0</v>
      </c>
      <c r="J150" s="60">
        <f>SUMIFS(PURCHASE!$K$6:$K$10008,PURCHASE!$A$6:$A$10008,$I$3,PURCHASE!$D$6:$D$10008,$C$5:$C$499)</f>
        <v>0</v>
      </c>
      <c r="K150" s="60">
        <f>SUMIFS(PURCHASE!$L$6:$L$10008,PURCHASE!$A$6:$A$10008,$I$3,PURCHASE!$D$6:$D$10008,$C$5:$C$499)</f>
        <v>0</v>
      </c>
      <c r="L150" s="60">
        <f>SUMIFS(PURCHASE!$M$6:$M$10008,PURCHASE!$A$6:$A$10008,$I$3,PURCHASE!$D$6:$D$10008,$C$5:$C$499)</f>
        <v>0</v>
      </c>
      <c r="M150" s="474">
        <f>SUMIFS(PURCHASE!$N$6:$N$10008,PURCHASE!$A$6:$A$10008,$I$3,PURCHASE!$D$6:$D$10008,$C$5:$C$499)</f>
        <v>0</v>
      </c>
      <c r="N150" s="11">
        <f t="shared" si="45"/>
        <v>0</v>
      </c>
      <c r="O150" s="11">
        <f>SUMIFS(PURCHASE!$K$6:$K$10008,PURCHASE!$A$6:$A$10008,$N$3,PURCHASE!$D$6:$D$10008,$C$5:$C$499)</f>
        <v>0</v>
      </c>
      <c r="P150" s="11">
        <f>SUMIFS(PURCHASE!$L$6:$L$10008,PURCHASE!$A$6:$A$10008,$N$3,PURCHASE!$D$6:$D$10008,$C$5:$C$499)</f>
        <v>0</v>
      </c>
      <c r="Q150" s="11">
        <f>SUMIFS(PURCHASE!$M$6:$M$10008,PURCHASE!$A$6:$A$10008,$N$3,PURCHASE!$D$6:$D$10008,$C$5:$C$499)</f>
        <v>0</v>
      </c>
      <c r="R150" s="11">
        <f>SUMIFS(PURCHASE!$N$6:$N$10008,PURCHASE!$A$6:$A$10008,$N$3,PURCHASE!$D$6:$D$10008,$C$5:$C$499)</f>
        <v>0</v>
      </c>
      <c r="S150" s="11">
        <f t="shared" si="46"/>
        <v>0</v>
      </c>
      <c r="T150" s="11">
        <f>SUMIFS(PURCHASE!$K$6:$K$10008,PURCHASE!$A$6:$A$10008,$S$3,PURCHASE!$D$6:$D$10008,$C$5:$C$499)</f>
        <v>0</v>
      </c>
      <c r="U150" s="11">
        <f>SUMIFS(PURCHASE!$L$6:$L$10008,PURCHASE!$A$6:$A$10008,$S$3,PURCHASE!$D$6:$D$10008,$C$5:$C$499)</f>
        <v>0</v>
      </c>
      <c r="V150" s="11">
        <f>SUMIFS(PURCHASE!$M$6:$M$10008,PURCHASE!$A$6:$A$10008,$S$3,PURCHASE!$D$6:$D$10008,$C$5:$C$499)</f>
        <v>0</v>
      </c>
      <c r="W150" s="11">
        <f>SUMIFS(PURCHASE!$N$6:$N$10008,PURCHASE!$A$6:$A$10008,$S$3,PURCHASE!$D$6:$D$10008,$C$5:$C$499)</f>
        <v>0</v>
      </c>
      <c r="X150" s="11">
        <f t="shared" si="47"/>
        <v>0</v>
      </c>
      <c r="Y150" s="11">
        <f>SUMIFS(PURCHASE!$K$6:$K$10008,PURCHASE!$A$6:$A$10008,$X$3,PURCHASE!$D$6:$D$10008,$C$5:$C$499)</f>
        <v>0</v>
      </c>
      <c r="Z150" s="11">
        <f>SUMIFS(PURCHASE!$L$6:$L$10008,PURCHASE!$A$6:$A$10008,$X$3,PURCHASE!$D$6:$D$10008,$C$5:$C$499)</f>
        <v>0</v>
      </c>
      <c r="AA150" s="11">
        <f>SUMIFS(PURCHASE!$M$6:$M$10008,PURCHASE!$A$6:$A$10008,$X$3,PURCHASE!$D$6:$D$10008,$C$5:$C$499)</f>
        <v>0</v>
      </c>
      <c r="AB150" s="11">
        <f>SUMIFS(PURCHASE!$N$6:$N$10008,PURCHASE!$A$6:$A$10008,$X$3,PURCHASE!$D$6:$D$10008,$C$5:$C$499)</f>
        <v>0</v>
      </c>
      <c r="AC150" s="11">
        <f t="shared" si="48"/>
        <v>0</v>
      </c>
      <c r="AD150" s="11">
        <f>SUMIFS(PURCHASE!$K$6:$K$10008,PURCHASE!$A$6:$A$10008,$AC$3,PURCHASE!$D$6:$D$10008,$C$5:$C$499)</f>
        <v>0</v>
      </c>
      <c r="AE150" s="11">
        <f>SUMIFS(PURCHASE!$L$6:$L$10008,PURCHASE!$A$6:$A$10008,$AC$3,PURCHASE!$D$6:$D$10008,$C$5:$C$499)</f>
        <v>0</v>
      </c>
      <c r="AF150" s="11">
        <f>SUMIFS(PURCHASE!$M$6:$M$10008,PURCHASE!$A$6:$A$10008,$AC$3,PURCHASE!$D$6:$D$10008,$C$5:$C$499)</f>
        <v>0</v>
      </c>
      <c r="AG150" s="11">
        <f>SUMIFS(PURCHASE!$N$6:$N$10008,PURCHASE!$A$6:$A$10008,$AC$3,PURCHASE!$D$6:$D$10008,$C$5:$C$499)</f>
        <v>0</v>
      </c>
      <c r="AH150" s="11">
        <f t="shared" si="49"/>
        <v>0</v>
      </c>
      <c r="AI150" s="11">
        <f>SUMIFS(PURCHASE!$K$6:$K$10008,PURCHASE!$A$6:$A$10008,$AH$3,PURCHASE!$D$6:$D$10008,$C$5:$C$499)</f>
        <v>0</v>
      </c>
      <c r="AJ150" s="11">
        <f>SUMIFS(PURCHASE!$L$6:$L$10008,PURCHASE!$A$6:$A$10008,$AH$3,PURCHASE!$D$6:$D$10008,$C$5:$C$499)</f>
        <v>0</v>
      </c>
      <c r="AK150" s="11">
        <f>SUMIFS(PURCHASE!$M$6:$M$10008,PURCHASE!$A$6:$A$10008,$AH$3,PURCHASE!$D$6:$D$10008,$C$5:$C$499)</f>
        <v>0</v>
      </c>
      <c r="AL150" s="11">
        <f>SUMIFS(PURCHASE!$N$6:$N$10008,PURCHASE!$A$6:$A$10008,$AH$3,PURCHASE!$D$6:$D$10008,$C$5:$C$499)</f>
        <v>0</v>
      </c>
      <c r="AM150" s="11">
        <f t="shared" si="50"/>
        <v>0</v>
      </c>
      <c r="AN150" s="11">
        <f>SUMIFS(PURCHASE!$K$6:$K$10008,PURCHASE!$A$6:$A$10008,$AM$3,PURCHASE!$D$6:$D$10008,$C$5:$C$499)</f>
        <v>0</v>
      </c>
      <c r="AO150" s="11">
        <f>SUMIFS(PURCHASE!$L$6:$L$10008,PURCHASE!$A$6:$A$10008,$AM$3,PURCHASE!$D$6:$D$10008,$C$5:$C$499)</f>
        <v>0</v>
      </c>
      <c r="AP150" s="11">
        <f>SUMIFS(PURCHASE!$M$6:$M$10008,PURCHASE!$A$6:$A$10008,$AM$3,PURCHASE!$D$6:$D$10008,$C$5:$C$499)</f>
        <v>0</v>
      </c>
      <c r="AQ150" s="11">
        <f>SUMIFS(PURCHASE!$N$6:$N$10008,PURCHASE!$A$6:$A$10008,$AM$3,PURCHASE!$D$6:$D$10008,$C$5:$C$499)</f>
        <v>0</v>
      </c>
      <c r="AR150" s="11">
        <f t="shared" si="51"/>
        <v>0</v>
      </c>
      <c r="AS150" s="11">
        <f>SUMIFS(PURCHASE!$K$6:$K$10008,PURCHASE!$A$6:$A$10008,$AR$3,PURCHASE!$D$6:$D$10008,$C$5:$C$499)</f>
        <v>0</v>
      </c>
      <c r="AT150" s="11">
        <f>SUMIFS(PURCHASE!$L$6:$L$10008,PURCHASE!$A$6:$A$10008,$AR$3,PURCHASE!$D$6:$D$10008,$C$5:$C$499)</f>
        <v>0</v>
      </c>
      <c r="AU150" s="11">
        <f>SUMIFS(PURCHASE!$M$6:$M$10008,PURCHASE!$A$6:$A$10008,$AR$3,PURCHASE!$D$6:$D$10008,$C$5:$C$499)</f>
        <v>0</v>
      </c>
      <c r="AV150" s="11">
        <f>SUMIFS(PURCHASE!$N$6:$N$10008,PURCHASE!$A$6:$A$10008,$AR$3,PURCHASE!$D$6:$D$10008,$C$5:$C$499)</f>
        <v>0</v>
      </c>
      <c r="AW150" s="11">
        <f t="shared" si="52"/>
        <v>0</v>
      </c>
      <c r="AX150" s="11">
        <f>SUMIFS(PURCHASE!$K$6:$K$10008,PURCHASE!$A$6:$A$10008,$AW$3,PURCHASE!$D$6:$D$10008,$C$5:$C$499)</f>
        <v>0</v>
      </c>
      <c r="AY150" s="11">
        <f>SUMIFS(PURCHASE!$L$6:$L$10008,PURCHASE!$A$6:$A$10008,$AW$3,PURCHASE!$D$6:$D$10008,$C$5:$C$499)</f>
        <v>0</v>
      </c>
      <c r="AZ150" s="11">
        <f>SUMIFS(PURCHASE!$M$6:$M$10008,PURCHASE!$A$6:$A$10008,$AW$3,PURCHASE!$D$6:$D$10008,$C$5:$C$499)</f>
        <v>0</v>
      </c>
      <c r="BA150" s="11">
        <f>SUMIFS(PURCHASE!$N$6:$N$10008,PURCHASE!$A$6:$A$10008,$AW$3,PURCHASE!$D$6:$D$10008,$C$5:$C$499)</f>
        <v>0</v>
      </c>
      <c r="BB150" s="11">
        <f t="shared" si="53"/>
        <v>0</v>
      </c>
      <c r="BC150" s="11">
        <f>SUMIFS(PURCHASE!$K$6:$K$10008,PURCHASE!$A$6:$A$10008,$BB$3,PURCHASE!$D$6:$D$10008,$C$5:$C$499)</f>
        <v>0</v>
      </c>
      <c r="BD150" s="11">
        <f>SUMIFS(PURCHASE!$L$6:$L$10008,PURCHASE!$A$6:$A$10008,$BB$3,PURCHASE!$D$6:$D$10008,$C$5:$C$499)</f>
        <v>0</v>
      </c>
      <c r="BE150" s="11">
        <f>SUMIFS(PURCHASE!$M$6:$M$10008,PURCHASE!$A$6:$A$10008,$BB$3,PURCHASE!$D$6:$D$10008,$C$5:$C$499)</f>
        <v>0</v>
      </c>
      <c r="BF150" s="11">
        <f>SUMIFS(PURCHASE!$N$6:$N$10008,PURCHASE!$A$6:$A$10008,$BB$3,PURCHASE!$D$6:$D$10008,$C$5:$C$499)</f>
        <v>0</v>
      </c>
      <c r="BG150" s="11">
        <f t="shared" si="54"/>
        <v>0</v>
      </c>
      <c r="BH150" s="11">
        <f>SUMIFS(PURCHASE!$K$6:$K$10008,PURCHASE!$A$6:$A$10008,$BG$3,PURCHASE!$D$6:$D$10008,$C$5:$C$499)</f>
        <v>0</v>
      </c>
      <c r="BI150" s="11">
        <f>SUMIFS(PURCHASE!$L$6:$L$10008,PURCHASE!$A$6:$A$10008,$BG$3,PURCHASE!$D$6:$D$10008,$C$5:$C$499)</f>
        <v>0</v>
      </c>
      <c r="BJ150" s="11">
        <f>SUMIFS(PURCHASE!$M$6:$M$10008,PURCHASE!$A$6:$A$10008,$BG$3,PURCHASE!$D$6:$D$10008,$C$5:$C$499)</f>
        <v>0</v>
      </c>
      <c r="BK150" s="11">
        <f>SUMIFS(PURCHASE!$N$6:$N$10008,PURCHASE!$A$6:$A$10008,$BG$3,PURCHASE!$D$6:$D$10008,$C$5:$C$499)</f>
        <v>0</v>
      </c>
      <c r="BL150" s="11">
        <f t="shared" si="55"/>
        <v>0</v>
      </c>
      <c r="BM150" s="11">
        <f t="shared" si="56"/>
        <v>0</v>
      </c>
      <c r="BN150" s="11">
        <f t="shared" si="57"/>
        <v>0</v>
      </c>
      <c r="BO150" s="11">
        <f t="shared" si="58"/>
        <v>0</v>
      </c>
      <c r="BP150" s="11">
        <f t="shared" si="59"/>
        <v>0</v>
      </c>
    </row>
    <row r="151" spans="1:68" x14ac:dyDescent="0.2">
      <c r="D151" s="11">
        <f t="shared" si="43"/>
        <v>0</v>
      </c>
      <c r="E151" s="11">
        <f>SUMIFS(PURCHASE!$K$6:$K$10008,PURCHASE!$A$6:$A$10008,$D$3,PURCHASE!$D$6:$D$10008,$C$5:$C$499)</f>
        <v>0</v>
      </c>
      <c r="F151" s="11">
        <f>SUMIFS(PURCHASE!$L$6:$L$10008,PURCHASE!$A$6:$A$10008,$D$3,PURCHASE!$D$6:$D$10008,$C$5:$C$499)</f>
        <v>0</v>
      </c>
      <c r="G151" s="11">
        <f>SUMIFS(PURCHASE!$M$6:$M$10008,PURCHASE!$A$6:$A$10008,$D$3,PURCHASE!$D$6:$D$10008,$C$5:$C$499)</f>
        <v>0</v>
      </c>
      <c r="H151" s="11">
        <f>SUMIFS(PURCHASE!$N$6:$N$10008,PURCHASE!$A$6:$A$10008,$D$3,PURCHASE!$D$6:$D$10008,$C$5:$C$499)</f>
        <v>0</v>
      </c>
      <c r="I151" s="473">
        <f t="shared" si="44"/>
        <v>0</v>
      </c>
      <c r="J151" s="60">
        <f>SUMIFS(PURCHASE!$K$6:$K$10008,PURCHASE!$A$6:$A$10008,$I$3,PURCHASE!$D$6:$D$10008,$C$5:$C$499)</f>
        <v>0</v>
      </c>
      <c r="K151" s="60">
        <f>SUMIFS(PURCHASE!$L$6:$L$10008,PURCHASE!$A$6:$A$10008,$I$3,PURCHASE!$D$6:$D$10008,$C$5:$C$499)</f>
        <v>0</v>
      </c>
      <c r="L151" s="60">
        <f>SUMIFS(PURCHASE!$M$6:$M$10008,PURCHASE!$A$6:$A$10008,$I$3,PURCHASE!$D$6:$D$10008,$C$5:$C$499)</f>
        <v>0</v>
      </c>
      <c r="M151" s="474">
        <f>SUMIFS(PURCHASE!$N$6:$N$10008,PURCHASE!$A$6:$A$10008,$I$3,PURCHASE!$D$6:$D$10008,$C$5:$C$499)</f>
        <v>0</v>
      </c>
      <c r="N151" s="11">
        <f t="shared" si="45"/>
        <v>0</v>
      </c>
      <c r="O151" s="11">
        <f>SUMIFS(PURCHASE!$K$6:$K$10008,PURCHASE!$A$6:$A$10008,$N$3,PURCHASE!$D$6:$D$10008,$C$5:$C$499)</f>
        <v>0</v>
      </c>
      <c r="P151" s="11">
        <f>SUMIFS(PURCHASE!$L$6:$L$10008,PURCHASE!$A$6:$A$10008,$N$3,PURCHASE!$D$6:$D$10008,$C$5:$C$499)</f>
        <v>0</v>
      </c>
      <c r="Q151" s="11">
        <f>SUMIFS(PURCHASE!$M$6:$M$10008,PURCHASE!$A$6:$A$10008,$N$3,PURCHASE!$D$6:$D$10008,$C$5:$C$499)</f>
        <v>0</v>
      </c>
      <c r="R151" s="11">
        <f>SUMIFS(PURCHASE!$N$6:$N$10008,PURCHASE!$A$6:$A$10008,$N$3,PURCHASE!$D$6:$D$10008,$C$5:$C$499)</f>
        <v>0</v>
      </c>
      <c r="S151" s="11">
        <f t="shared" si="46"/>
        <v>0</v>
      </c>
      <c r="T151" s="11">
        <f>SUMIFS(PURCHASE!$K$6:$K$10008,PURCHASE!$A$6:$A$10008,$S$3,PURCHASE!$D$6:$D$10008,$C$5:$C$499)</f>
        <v>0</v>
      </c>
      <c r="U151" s="11">
        <f>SUMIFS(PURCHASE!$L$6:$L$10008,PURCHASE!$A$6:$A$10008,$S$3,PURCHASE!$D$6:$D$10008,$C$5:$C$499)</f>
        <v>0</v>
      </c>
      <c r="V151" s="11">
        <f>SUMIFS(PURCHASE!$M$6:$M$10008,PURCHASE!$A$6:$A$10008,$S$3,PURCHASE!$D$6:$D$10008,$C$5:$C$499)</f>
        <v>0</v>
      </c>
      <c r="W151" s="11">
        <f>SUMIFS(PURCHASE!$N$6:$N$10008,PURCHASE!$A$6:$A$10008,$S$3,PURCHASE!$D$6:$D$10008,$C$5:$C$499)</f>
        <v>0</v>
      </c>
      <c r="X151" s="11">
        <f t="shared" si="47"/>
        <v>0</v>
      </c>
      <c r="Y151" s="11">
        <f>SUMIFS(PURCHASE!$K$6:$K$10008,PURCHASE!$A$6:$A$10008,$X$3,PURCHASE!$D$6:$D$10008,$C$5:$C$499)</f>
        <v>0</v>
      </c>
      <c r="Z151" s="11">
        <f>SUMIFS(PURCHASE!$L$6:$L$10008,PURCHASE!$A$6:$A$10008,$X$3,PURCHASE!$D$6:$D$10008,$C$5:$C$499)</f>
        <v>0</v>
      </c>
      <c r="AA151" s="11">
        <f>SUMIFS(PURCHASE!$M$6:$M$10008,PURCHASE!$A$6:$A$10008,$X$3,PURCHASE!$D$6:$D$10008,$C$5:$C$499)</f>
        <v>0</v>
      </c>
      <c r="AB151" s="11">
        <f>SUMIFS(PURCHASE!$N$6:$N$10008,PURCHASE!$A$6:$A$10008,$X$3,PURCHASE!$D$6:$D$10008,$C$5:$C$499)</f>
        <v>0</v>
      </c>
      <c r="AC151" s="11">
        <f t="shared" si="48"/>
        <v>0</v>
      </c>
      <c r="AD151" s="11">
        <f>SUMIFS(PURCHASE!$K$6:$K$10008,PURCHASE!$A$6:$A$10008,$AC$3,PURCHASE!$D$6:$D$10008,$C$5:$C$499)</f>
        <v>0</v>
      </c>
      <c r="AE151" s="11">
        <f>SUMIFS(PURCHASE!$L$6:$L$10008,PURCHASE!$A$6:$A$10008,$AC$3,PURCHASE!$D$6:$D$10008,$C$5:$C$499)</f>
        <v>0</v>
      </c>
      <c r="AF151" s="11">
        <f>SUMIFS(PURCHASE!$M$6:$M$10008,PURCHASE!$A$6:$A$10008,$AC$3,PURCHASE!$D$6:$D$10008,$C$5:$C$499)</f>
        <v>0</v>
      </c>
      <c r="AG151" s="11">
        <f>SUMIFS(PURCHASE!$N$6:$N$10008,PURCHASE!$A$6:$A$10008,$AC$3,PURCHASE!$D$6:$D$10008,$C$5:$C$499)</f>
        <v>0</v>
      </c>
      <c r="AH151" s="11">
        <f t="shared" si="49"/>
        <v>0</v>
      </c>
      <c r="AI151" s="11">
        <f>SUMIFS(PURCHASE!$K$6:$K$10008,PURCHASE!$A$6:$A$10008,$AH$3,PURCHASE!$D$6:$D$10008,$C$5:$C$499)</f>
        <v>0</v>
      </c>
      <c r="AJ151" s="11">
        <f>SUMIFS(PURCHASE!$L$6:$L$10008,PURCHASE!$A$6:$A$10008,$AH$3,PURCHASE!$D$6:$D$10008,$C$5:$C$499)</f>
        <v>0</v>
      </c>
      <c r="AK151" s="11">
        <f>SUMIFS(PURCHASE!$M$6:$M$10008,PURCHASE!$A$6:$A$10008,$AH$3,PURCHASE!$D$6:$D$10008,$C$5:$C$499)</f>
        <v>0</v>
      </c>
      <c r="AL151" s="11">
        <f>SUMIFS(PURCHASE!$N$6:$N$10008,PURCHASE!$A$6:$A$10008,$AH$3,PURCHASE!$D$6:$D$10008,$C$5:$C$499)</f>
        <v>0</v>
      </c>
      <c r="AM151" s="11">
        <f t="shared" si="50"/>
        <v>0</v>
      </c>
      <c r="AN151" s="11">
        <f>SUMIFS(PURCHASE!$K$6:$K$10008,PURCHASE!$A$6:$A$10008,$AM$3,PURCHASE!$D$6:$D$10008,$C$5:$C$499)</f>
        <v>0</v>
      </c>
      <c r="AO151" s="11">
        <f>SUMIFS(PURCHASE!$L$6:$L$10008,PURCHASE!$A$6:$A$10008,$AM$3,PURCHASE!$D$6:$D$10008,$C$5:$C$499)</f>
        <v>0</v>
      </c>
      <c r="AP151" s="11">
        <f>SUMIFS(PURCHASE!$M$6:$M$10008,PURCHASE!$A$6:$A$10008,$AM$3,PURCHASE!$D$6:$D$10008,$C$5:$C$499)</f>
        <v>0</v>
      </c>
      <c r="AQ151" s="11">
        <f>SUMIFS(PURCHASE!$N$6:$N$10008,PURCHASE!$A$6:$A$10008,$AM$3,PURCHASE!$D$6:$D$10008,$C$5:$C$499)</f>
        <v>0</v>
      </c>
      <c r="AR151" s="11">
        <f t="shared" si="51"/>
        <v>0</v>
      </c>
      <c r="AS151" s="11">
        <f>SUMIFS(PURCHASE!$K$6:$K$10008,PURCHASE!$A$6:$A$10008,$AR$3,PURCHASE!$D$6:$D$10008,$C$5:$C$499)</f>
        <v>0</v>
      </c>
      <c r="AT151" s="11">
        <f>SUMIFS(PURCHASE!$L$6:$L$10008,PURCHASE!$A$6:$A$10008,$AR$3,PURCHASE!$D$6:$D$10008,$C$5:$C$499)</f>
        <v>0</v>
      </c>
      <c r="AU151" s="11">
        <f>SUMIFS(PURCHASE!$M$6:$M$10008,PURCHASE!$A$6:$A$10008,$AR$3,PURCHASE!$D$6:$D$10008,$C$5:$C$499)</f>
        <v>0</v>
      </c>
      <c r="AV151" s="11">
        <f>SUMIFS(PURCHASE!$N$6:$N$10008,PURCHASE!$A$6:$A$10008,$AR$3,PURCHASE!$D$6:$D$10008,$C$5:$C$499)</f>
        <v>0</v>
      </c>
      <c r="AW151" s="11">
        <f t="shared" si="52"/>
        <v>0</v>
      </c>
      <c r="AX151" s="11">
        <f>SUMIFS(PURCHASE!$K$6:$K$10008,PURCHASE!$A$6:$A$10008,$AW$3,PURCHASE!$D$6:$D$10008,$C$5:$C$499)</f>
        <v>0</v>
      </c>
      <c r="AY151" s="11">
        <f>SUMIFS(PURCHASE!$L$6:$L$10008,PURCHASE!$A$6:$A$10008,$AW$3,PURCHASE!$D$6:$D$10008,$C$5:$C$499)</f>
        <v>0</v>
      </c>
      <c r="AZ151" s="11">
        <f>SUMIFS(PURCHASE!$M$6:$M$10008,PURCHASE!$A$6:$A$10008,$AW$3,PURCHASE!$D$6:$D$10008,$C$5:$C$499)</f>
        <v>0</v>
      </c>
      <c r="BA151" s="11">
        <f>SUMIFS(PURCHASE!$N$6:$N$10008,PURCHASE!$A$6:$A$10008,$AW$3,PURCHASE!$D$6:$D$10008,$C$5:$C$499)</f>
        <v>0</v>
      </c>
      <c r="BB151" s="11">
        <f t="shared" si="53"/>
        <v>0</v>
      </c>
      <c r="BC151" s="11">
        <f>SUMIFS(PURCHASE!$K$6:$K$10008,PURCHASE!$A$6:$A$10008,$BB$3,PURCHASE!$D$6:$D$10008,$C$5:$C$499)</f>
        <v>0</v>
      </c>
      <c r="BD151" s="11">
        <f>SUMIFS(PURCHASE!$L$6:$L$10008,PURCHASE!$A$6:$A$10008,$BB$3,PURCHASE!$D$6:$D$10008,$C$5:$C$499)</f>
        <v>0</v>
      </c>
      <c r="BE151" s="11">
        <f>SUMIFS(PURCHASE!$M$6:$M$10008,PURCHASE!$A$6:$A$10008,$BB$3,PURCHASE!$D$6:$D$10008,$C$5:$C$499)</f>
        <v>0</v>
      </c>
      <c r="BF151" s="11">
        <f>SUMIFS(PURCHASE!$N$6:$N$10008,PURCHASE!$A$6:$A$10008,$BB$3,PURCHASE!$D$6:$D$10008,$C$5:$C$499)</f>
        <v>0</v>
      </c>
      <c r="BG151" s="11">
        <f t="shared" si="54"/>
        <v>0</v>
      </c>
      <c r="BH151" s="11">
        <f>SUMIFS(PURCHASE!$K$6:$K$10008,PURCHASE!$A$6:$A$10008,$BG$3,PURCHASE!$D$6:$D$10008,$C$5:$C$499)</f>
        <v>0</v>
      </c>
      <c r="BI151" s="11">
        <f>SUMIFS(PURCHASE!$L$6:$L$10008,PURCHASE!$A$6:$A$10008,$BG$3,PURCHASE!$D$6:$D$10008,$C$5:$C$499)</f>
        <v>0</v>
      </c>
      <c r="BJ151" s="11">
        <f>SUMIFS(PURCHASE!$M$6:$M$10008,PURCHASE!$A$6:$A$10008,$BG$3,PURCHASE!$D$6:$D$10008,$C$5:$C$499)</f>
        <v>0</v>
      </c>
      <c r="BK151" s="11">
        <f>SUMIFS(PURCHASE!$N$6:$N$10008,PURCHASE!$A$6:$A$10008,$BG$3,PURCHASE!$D$6:$D$10008,$C$5:$C$499)</f>
        <v>0</v>
      </c>
      <c r="BL151" s="11">
        <f t="shared" si="55"/>
        <v>0</v>
      </c>
      <c r="BM151" s="11">
        <f t="shared" si="56"/>
        <v>0</v>
      </c>
      <c r="BN151" s="11">
        <f t="shared" si="57"/>
        <v>0</v>
      </c>
      <c r="BO151" s="11">
        <f t="shared" si="58"/>
        <v>0</v>
      </c>
      <c r="BP151" s="11">
        <f t="shared" si="59"/>
        <v>0</v>
      </c>
    </row>
    <row r="152" spans="1:68" x14ac:dyDescent="0.2">
      <c r="D152" s="11">
        <f t="shared" si="43"/>
        <v>0</v>
      </c>
      <c r="E152" s="11">
        <f>SUMIFS(PURCHASE!$K$6:$K$10008,PURCHASE!$A$6:$A$10008,$D$3,PURCHASE!$D$6:$D$10008,$C$5:$C$499)</f>
        <v>0</v>
      </c>
      <c r="F152" s="11">
        <f>SUMIFS(PURCHASE!$L$6:$L$10008,PURCHASE!$A$6:$A$10008,$D$3,PURCHASE!$D$6:$D$10008,$C$5:$C$499)</f>
        <v>0</v>
      </c>
      <c r="G152" s="11">
        <f>SUMIFS(PURCHASE!$M$6:$M$10008,PURCHASE!$A$6:$A$10008,$D$3,PURCHASE!$D$6:$D$10008,$C$5:$C$499)</f>
        <v>0</v>
      </c>
      <c r="H152" s="11">
        <f>SUMIFS(PURCHASE!$N$6:$N$10008,PURCHASE!$A$6:$A$10008,$D$3,PURCHASE!$D$6:$D$10008,$C$5:$C$499)</f>
        <v>0</v>
      </c>
      <c r="I152" s="473">
        <f t="shared" si="44"/>
        <v>0</v>
      </c>
      <c r="J152" s="60">
        <f>SUMIFS(PURCHASE!$K$6:$K$10008,PURCHASE!$A$6:$A$10008,$I$3,PURCHASE!$D$6:$D$10008,$C$5:$C$499)</f>
        <v>0</v>
      </c>
      <c r="K152" s="60">
        <f>SUMIFS(PURCHASE!$L$6:$L$10008,PURCHASE!$A$6:$A$10008,$I$3,PURCHASE!$D$6:$D$10008,$C$5:$C$499)</f>
        <v>0</v>
      </c>
      <c r="L152" s="60">
        <f>SUMIFS(PURCHASE!$M$6:$M$10008,PURCHASE!$A$6:$A$10008,$I$3,PURCHASE!$D$6:$D$10008,$C$5:$C$499)</f>
        <v>0</v>
      </c>
      <c r="M152" s="474">
        <f>SUMIFS(PURCHASE!$N$6:$N$10008,PURCHASE!$A$6:$A$10008,$I$3,PURCHASE!$D$6:$D$10008,$C$5:$C$499)</f>
        <v>0</v>
      </c>
      <c r="N152" s="11">
        <f t="shared" si="45"/>
        <v>0</v>
      </c>
      <c r="O152" s="11">
        <f>SUMIFS(PURCHASE!$K$6:$K$10008,PURCHASE!$A$6:$A$10008,$N$3,PURCHASE!$D$6:$D$10008,$C$5:$C$499)</f>
        <v>0</v>
      </c>
      <c r="P152" s="11">
        <f>SUMIFS(PURCHASE!$L$6:$L$10008,PURCHASE!$A$6:$A$10008,$N$3,PURCHASE!$D$6:$D$10008,$C$5:$C$499)</f>
        <v>0</v>
      </c>
      <c r="Q152" s="11">
        <f>SUMIFS(PURCHASE!$M$6:$M$10008,PURCHASE!$A$6:$A$10008,$N$3,PURCHASE!$D$6:$D$10008,$C$5:$C$499)</f>
        <v>0</v>
      </c>
      <c r="R152" s="11">
        <f>SUMIFS(PURCHASE!$N$6:$N$10008,PURCHASE!$A$6:$A$10008,$N$3,PURCHASE!$D$6:$D$10008,$C$5:$C$499)</f>
        <v>0</v>
      </c>
      <c r="S152" s="11">
        <f t="shared" si="46"/>
        <v>0</v>
      </c>
      <c r="T152" s="11">
        <f>SUMIFS(PURCHASE!$K$6:$K$10008,PURCHASE!$A$6:$A$10008,$S$3,PURCHASE!$D$6:$D$10008,$C$5:$C$499)</f>
        <v>0</v>
      </c>
      <c r="U152" s="11">
        <f>SUMIFS(PURCHASE!$L$6:$L$10008,PURCHASE!$A$6:$A$10008,$S$3,PURCHASE!$D$6:$D$10008,$C$5:$C$499)</f>
        <v>0</v>
      </c>
      <c r="V152" s="11">
        <f>SUMIFS(PURCHASE!$M$6:$M$10008,PURCHASE!$A$6:$A$10008,$S$3,PURCHASE!$D$6:$D$10008,$C$5:$C$499)</f>
        <v>0</v>
      </c>
      <c r="W152" s="11">
        <f>SUMIFS(PURCHASE!$N$6:$N$10008,PURCHASE!$A$6:$A$10008,$S$3,PURCHASE!$D$6:$D$10008,$C$5:$C$499)</f>
        <v>0</v>
      </c>
      <c r="X152" s="11">
        <f t="shared" si="47"/>
        <v>0</v>
      </c>
      <c r="Y152" s="11">
        <f>SUMIFS(PURCHASE!$K$6:$K$10008,PURCHASE!$A$6:$A$10008,$X$3,PURCHASE!$D$6:$D$10008,$C$5:$C$499)</f>
        <v>0</v>
      </c>
      <c r="Z152" s="11">
        <f>SUMIFS(PURCHASE!$L$6:$L$10008,PURCHASE!$A$6:$A$10008,$X$3,PURCHASE!$D$6:$D$10008,$C$5:$C$499)</f>
        <v>0</v>
      </c>
      <c r="AA152" s="11">
        <f>SUMIFS(PURCHASE!$M$6:$M$10008,PURCHASE!$A$6:$A$10008,$X$3,PURCHASE!$D$6:$D$10008,$C$5:$C$499)</f>
        <v>0</v>
      </c>
      <c r="AB152" s="11">
        <f>SUMIFS(PURCHASE!$N$6:$N$10008,PURCHASE!$A$6:$A$10008,$X$3,PURCHASE!$D$6:$D$10008,$C$5:$C$499)</f>
        <v>0</v>
      </c>
      <c r="AC152" s="11">
        <f t="shared" si="48"/>
        <v>0</v>
      </c>
      <c r="AD152" s="11">
        <f>SUMIFS(PURCHASE!$K$6:$K$10008,PURCHASE!$A$6:$A$10008,$AC$3,PURCHASE!$D$6:$D$10008,$C$5:$C$499)</f>
        <v>0</v>
      </c>
      <c r="AE152" s="11">
        <f>SUMIFS(PURCHASE!$L$6:$L$10008,PURCHASE!$A$6:$A$10008,$AC$3,PURCHASE!$D$6:$D$10008,$C$5:$C$499)</f>
        <v>0</v>
      </c>
      <c r="AF152" s="11">
        <f>SUMIFS(PURCHASE!$M$6:$M$10008,PURCHASE!$A$6:$A$10008,$AC$3,PURCHASE!$D$6:$D$10008,$C$5:$C$499)</f>
        <v>0</v>
      </c>
      <c r="AG152" s="11">
        <f>SUMIFS(PURCHASE!$N$6:$N$10008,PURCHASE!$A$6:$A$10008,$AC$3,PURCHASE!$D$6:$D$10008,$C$5:$C$499)</f>
        <v>0</v>
      </c>
      <c r="AH152" s="11">
        <f t="shared" si="49"/>
        <v>0</v>
      </c>
      <c r="AI152" s="11">
        <f>SUMIFS(PURCHASE!$K$6:$K$10008,PURCHASE!$A$6:$A$10008,$AH$3,PURCHASE!$D$6:$D$10008,$C$5:$C$499)</f>
        <v>0</v>
      </c>
      <c r="AJ152" s="11">
        <f>SUMIFS(PURCHASE!$L$6:$L$10008,PURCHASE!$A$6:$A$10008,$AH$3,PURCHASE!$D$6:$D$10008,$C$5:$C$499)</f>
        <v>0</v>
      </c>
      <c r="AK152" s="11">
        <f>SUMIFS(PURCHASE!$M$6:$M$10008,PURCHASE!$A$6:$A$10008,$AH$3,PURCHASE!$D$6:$D$10008,$C$5:$C$499)</f>
        <v>0</v>
      </c>
      <c r="AL152" s="11">
        <f>SUMIFS(PURCHASE!$N$6:$N$10008,PURCHASE!$A$6:$A$10008,$AH$3,PURCHASE!$D$6:$D$10008,$C$5:$C$499)</f>
        <v>0</v>
      </c>
      <c r="AM152" s="11">
        <f t="shared" si="50"/>
        <v>0</v>
      </c>
      <c r="AN152" s="11">
        <f>SUMIFS(PURCHASE!$K$6:$K$10008,PURCHASE!$A$6:$A$10008,$AM$3,PURCHASE!$D$6:$D$10008,$C$5:$C$499)</f>
        <v>0</v>
      </c>
      <c r="AO152" s="11">
        <f>SUMIFS(PURCHASE!$L$6:$L$10008,PURCHASE!$A$6:$A$10008,$AM$3,PURCHASE!$D$6:$D$10008,$C$5:$C$499)</f>
        <v>0</v>
      </c>
      <c r="AP152" s="11">
        <f>SUMIFS(PURCHASE!$M$6:$M$10008,PURCHASE!$A$6:$A$10008,$AM$3,PURCHASE!$D$6:$D$10008,$C$5:$C$499)</f>
        <v>0</v>
      </c>
      <c r="AQ152" s="11">
        <f>SUMIFS(PURCHASE!$N$6:$N$10008,PURCHASE!$A$6:$A$10008,$AM$3,PURCHASE!$D$6:$D$10008,$C$5:$C$499)</f>
        <v>0</v>
      </c>
      <c r="AR152" s="11">
        <f t="shared" si="51"/>
        <v>0</v>
      </c>
      <c r="AS152" s="11">
        <f>SUMIFS(PURCHASE!$K$6:$K$10008,PURCHASE!$A$6:$A$10008,$AR$3,PURCHASE!$D$6:$D$10008,$C$5:$C$499)</f>
        <v>0</v>
      </c>
      <c r="AT152" s="11">
        <f>SUMIFS(PURCHASE!$L$6:$L$10008,PURCHASE!$A$6:$A$10008,$AR$3,PURCHASE!$D$6:$D$10008,$C$5:$C$499)</f>
        <v>0</v>
      </c>
      <c r="AU152" s="11">
        <f>SUMIFS(PURCHASE!$M$6:$M$10008,PURCHASE!$A$6:$A$10008,$AR$3,PURCHASE!$D$6:$D$10008,$C$5:$C$499)</f>
        <v>0</v>
      </c>
      <c r="AV152" s="11">
        <f>SUMIFS(PURCHASE!$N$6:$N$10008,PURCHASE!$A$6:$A$10008,$AR$3,PURCHASE!$D$6:$D$10008,$C$5:$C$499)</f>
        <v>0</v>
      </c>
      <c r="AW152" s="11">
        <f t="shared" si="52"/>
        <v>0</v>
      </c>
      <c r="AX152" s="11">
        <f>SUMIFS(PURCHASE!$K$6:$K$10008,PURCHASE!$A$6:$A$10008,$AW$3,PURCHASE!$D$6:$D$10008,$C$5:$C$499)</f>
        <v>0</v>
      </c>
      <c r="AY152" s="11">
        <f>SUMIFS(PURCHASE!$L$6:$L$10008,PURCHASE!$A$6:$A$10008,$AW$3,PURCHASE!$D$6:$D$10008,$C$5:$C$499)</f>
        <v>0</v>
      </c>
      <c r="AZ152" s="11">
        <f>SUMIFS(PURCHASE!$M$6:$M$10008,PURCHASE!$A$6:$A$10008,$AW$3,PURCHASE!$D$6:$D$10008,$C$5:$C$499)</f>
        <v>0</v>
      </c>
      <c r="BA152" s="11">
        <f>SUMIFS(PURCHASE!$N$6:$N$10008,PURCHASE!$A$6:$A$10008,$AW$3,PURCHASE!$D$6:$D$10008,$C$5:$C$499)</f>
        <v>0</v>
      </c>
      <c r="BB152" s="11">
        <f t="shared" si="53"/>
        <v>0</v>
      </c>
      <c r="BC152" s="11">
        <f>SUMIFS(PURCHASE!$K$6:$K$10008,PURCHASE!$A$6:$A$10008,$BB$3,PURCHASE!$D$6:$D$10008,$C$5:$C$499)</f>
        <v>0</v>
      </c>
      <c r="BD152" s="11">
        <f>SUMIFS(PURCHASE!$L$6:$L$10008,PURCHASE!$A$6:$A$10008,$BB$3,PURCHASE!$D$6:$D$10008,$C$5:$C$499)</f>
        <v>0</v>
      </c>
      <c r="BE152" s="11">
        <f>SUMIFS(PURCHASE!$M$6:$M$10008,PURCHASE!$A$6:$A$10008,$BB$3,PURCHASE!$D$6:$D$10008,$C$5:$C$499)</f>
        <v>0</v>
      </c>
      <c r="BF152" s="11">
        <f>SUMIFS(PURCHASE!$N$6:$N$10008,PURCHASE!$A$6:$A$10008,$BB$3,PURCHASE!$D$6:$D$10008,$C$5:$C$499)</f>
        <v>0</v>
      </c>
      <c r="BG152" s="11">
        <f t="shared" si="54"/>
        <v>0</v>
      </c>
      <c r="BH152" s="11">
        <f>SUMIFS(PURCHASE!$K$6:$K$10008,PURCHASE!$A$6:$A$10008,$BG$3,PURCHASE!$D$6:$D$10008,$C$5:$C$499)</f>
        <v>0</v>
      </c>
      <c r="BI152" s="11">
        <f>SUMIFS(PURCHASE!$L$6:$L$10008,PURCHASE!$A$6:$A$10008,$BG$3,PURCHASE!$D$6:$D$10008,$C$5:$C$499)</f>
        <v>0</v>
      </c>
      <c r="BJ152" s="11">
        <f>SUMIFS(PURCHASE!$M$6:$M$10008,PURCHASE!$A$6:$A$10008,$BG$3,PURCHASE!$D$6:$D$10008,$C$5:$C$499)</f>
        <v>0</v>
      </c>
      <c r="BK152" s="11">
        <f>SUMIFS(PURCHASE!$N$6:$N$10008,PURCHASE!$A$6:$A$10008,$BG$3,PURCHASE!$D$6:$D$10008,$C$5:$C$499)</f>
        <v>0</v>
      </c>
      <c r="BL152" s="11">
        <f t="shared" si="55"/>
        <v>0</v>
      </c>
      <c r="BM152" s="11">
        <f t="shared" si="56"/>
        <v>0</v>
      </c>
      <c r="BN152" s="11">
        <f t="shared" si="57"/>
        <v>0</v>
      </c>
      <c r="BO152" s="11">
        <f t="shared" si="58"/>
        <v>0</v>
      </c>
      <c r="BP152" s="11">
        <f t="shared" si="59"/>
        <v>0</v>
      </c>
    </row>
  </sheetData>
  <mergeCells count="13">
    <mergeCell ref="BL3:BP3"/>
    <mergeCell ref="AC3:AG3"/>
    <mergeCell ref="AH3:AL3"/>
    <mergeCell ref="D3:H3"/>
    <mergeCell ref="I3:M3"/>
    <mergeCell ref="N3:R3"/>
    <mergeCell ref="S3:W3"/>
    <mergeCell ref="X3:AB3"/>
    <mergeCell ref="AM3:AQ3"/>
    <mergeCell ref="AR3:AV3"/>
    <mergeCell ref="AW3:BA3"/>
    <mergeCell ref="BB3:BF3"/>
    <mergeCell ref="BG3:BK3"/>
  </mergeCells>
  <conditionalFormatting sqref="B88:B97 B5:B86 B107:B123 B99:B105">
    <cfRule type="duplicateValues" dxfId="483" priority="106"/>
  </conditionalFormatting>
  <conditionalFormatting sqref="C5">
    <cfRule type="duplicateValues" dxfId="482" priority="105"/>
  </conditionalFormatting>
  <conditionalFormatting sqref="C105">
    <cfRule type="duplicateValues" dxfId="481" priority="104"/>
  </conditionalFormatting>
  <conditionalFormatting sqref="C107">
    <cfRule type="duplicateValues" dxfId="480" priority="103"/>
  </conditionalFormatting>
  <conditionalFormatting sqref="C108">
    <cfRule type="duplicateValues" dxfId="479" priority="102"/>
  </conditionalFormatting>
  <conditionalFormatting sqref="C109">
    <cfRule type="duplicateValues" dxfId="478" priority="101"/>
  </conditionalFormatting>
  <conditionalFormatting sqref="C110">
    <cfRule type="duplicateValues" dxfId="477" priority="100"/>
  </conditionalFormatting>
  <conditionalFormatting sqref="C111:C114">
    <cfRule type="duplicateValues" dxfId="476" priority="99"/>
  </conditionalFormatting>
  <conditionalFormatting sqref="C107:C114 C5:C97 C99:C105">
    <cfRule type="duplicateValues" dxfId="475" priority="98"/>
  </conditionalFormatting>
  <conditionalFormatting sqref="C85:C97 C107:C114 C99:C105">
    <cfRule type="duplicateValues" dxfId="474" priority="97"/>
  </conditionalFormatting>
  <conditionalFormatting sqref="C85:C97 C99:C105">
    <cfRule type="duplicateValues" dxfId="473" priority="96"/>
  </conditionalFormatting>
  <conditionalFormatting sqref="C107:C113 C5:C97 C99:C105">
    <cfRule type="duplicateValues" dxfId="472" priority="95"/>
  </conditionalFormatting>
  <conditionalFormatting sqref="C115">
    <cfRule type="duplicateValues" dxfId="471" priority="94"/>
  </conditionalFormatting>
  <conditionalFormatting sqref="C115">
    <cfRule type="duplicateValues" dxfId="470" priority="93"/>
  </conditionalFormatting>
  <conditionalFormatting sqref="C116">
    <cfRule type="duplicateValues" dxfId="469" priority="92"/>
  </conditionalFormatting>
  <conditionalFormatting sqref="C116">
    <cfRule type="duplicateValues" dxfId="468" priority="91"/>
  </conditionalFormatting>
  <conditionalFormatting sqref="C117">
    <cfRule type="duplicateValues" dxfId="467" priority="90"/>
  </conditionalFormatting>
  <conditionalFormatting sqref="C117">
    <cfRule type="duplicateValues" dxfId="466" priority="89"/>
  </conditionalFormatting>
  <conditionalFormatting sqref="C118">
    <cfRule type="duplicateValues" dxfId="465" priority="88"/>
  </conditionalFormatting>
  <conditionalFormatting sqref="C118">
    <cfRule type="duplicateValues" dxfId="464" priority="87"/>
  </conditionalFormatting>
  <conditionalFormatting sqref="C119">
    <cfRule type="duplicateValues" dxfId="463" priority="86"/>
  </conditionalFormatting>
  <conditionalFormatting sqref="C119">
    <cfRule type="duplicateValues" dxfId="462" priority="85"/>
  </conditionalFormatting>
  <conditionalFormatting sqref="C120">
    <cfRule type="duplicateValues" dxfId="461" priority="84"/>
  </conditionalFormatting>
  <conditionalFormatting sqref="C120">
    <cfRule type="duplicateValues" dxfId="460" priority="83"/>
  </conditionalFormatting>
  <conditionalFormatting sqref="C121">
    <cfRule type="duplicateValues" dxfId="459" priority="82"/>
  </conditionalFormatting>
  <conditionalFormatting sqref="C121">
    <cfRule type="duplicateValues" dxfId="458" priority="81"/>
  </conditionalFormatting>
  <conditionalFormatting sqref="C122">
    <cfRule type="duplicateValues" dxfId="457" priority="80"/>
  </conditionalFormatting>
  <conditionalFormatting sqref="C122">
    <cfRule type="duplicateValues" dxfId="456" priority="79"/>
  </conditionalFormatting>
  <conditionalFormatting sqref="C123">
    <cfRule type="duplicateValues" dxfId="455" priority="78"/>
  </conditionalFormatting>
  <conditionalFormatting sqref="C123">
    <cfRule type="duplicateValues" dxfId="454" priority="77"/>
  </conditionalFormatting>
  <conditionalFormatting sqref="C107:C123 C5:C97 C99:C105">
    <cfRule type="duplicateValues" dxfId="453" priority="76"/>
  </conditionalFormatting>
  <conditionalFormatting sqref="B106">
    <cfRule type="duplicateValues" dxfId="452" priority="75"/>
  </conditionalFormatting>
  <conditionalFormatting sqref="C106">
    <cfRule type="duplicateValues" dxfId="451" priority="74"/>
  </conditionalFormatting>
  <conditionalFormatting sqref="C106">
    <cfRule type="duplicateValues" dxfId="450" priority="73"/>
  </conditionalFormatting>
  <conditionalFormatting sqref="C106">
    <cfRule type="duplicateValues" dxfId="449" priority="72"/>
  </conditionalFormatting>
  <conditionalFormatting sqref="C106">
    <cfRule type="duplicateValues" dxfId="448" priority="71"/>
  </conditionalFormatting>
  <conditionalFormatting sqref="C106">
    <cfRule type="duplicateValues" dxfId="447" priority="70"/>
  </conditionalFormatting>
  <conditionalFormatting sqref="C106">
    <cfRule type="duplicateValues" dxfId="446" priority="69"/>
  </conditionalFormatting>
  <conditionalFormatting sqref="C106">
    <cfRule type="duplicateValues" dxfId="445" priority="68"/>
  </conditionalFormatting>
  <conditionalFormatting sqref="B128">
    <cfRule type="duplicateValues" dxfId="444" priority="67"/>
  </conditionalFormatting>
  <conditionalFormatting sqref="C128">
    <cfRule type="duplicateValues" dxfId="443" priority="66"/>
  </conditionalFormatting>
  <conditionalFormatting sqref="C128">
    <cfRule type="duplicateValues" dxfId="442" priority="65"/>
  </conditionalFormatting>
  <conditionalFormatting sqref="C128">
    <cfRule type="duplicateValues" dxfId="441" priority="64"/>
  </conditionalFormatting>
  <conditionalFormatting sqref="C128">
    <cfRule type="duplicateValues" dxfId="440" priority="63"/>
  </conditionalFormatting>
  <conditionalFormatting sqref="C128">
    <cfRule type="duplicateValues" dxfId="439" priority="62"/>
  </conditionalFormatting>
  <conditionalFormatting sqref="C128">
    <cfRule type="duplicateValues" dxfId="438" priority="61"/>
  </conditionalFormatting>
  <conditionalFormatting sqref="C128">
    <cfRule type="duplicateValues" dxfId="437" priority="60"/>
  </conditionalFormatting>
  <conditionalFormatting sqref="B129">
    <cfRule type="duplicateValues" dxfId="436" priority="59"/>
  </conditionalFormatting>
  <conditionalFormatting sqref="C129">
    <cfRule type="duplicateValues" dxfId="435" priority="58"/>
  </conditionalFormatting>
  <conditionalFormatting sqref="C129">
    <cfRule type="duplicateValues" dxfId="434" priority="57"/>
  </conditionalFormatting>
  <conditionalFormatting sqref="C129">
    <cfRule type="duplicateValues" dxfId="433" priority="56"/>
  </conditionalFormatting>
  <conditionalFormatting sqref="C129">
    <cfRule type="duplicateValues" dxfId="432" priority="55"/>
  </conditionalFormatting>
  <conditionalFormatting sqref="C129">
    <cfRule type="duplicateValues" dxfId="431" priority="54"/>
  </conditionalFormatting>
  <conditionalFormatting sqref="C129">
    <cfRule type="duplicateValues" dxfId="430" priority="53"/>
  </conditionalFormatting>
  <conditionalFormatting sqref="C129">
    <cfRule type="duplicateValues" dxfId="429" priority="52"/>
  </conditionalFormatting>
  <conditionalFormatting sqref="B130">
    <cfRule type="duplicateValues" dxfId="428" priority="51"/>
  </conditionalFormatting>
  <conditionalFormatting sqref="B131">
    <cfRule type="duplicateValues" dxfId="427" priority="50"/>
  </conditionalFormatting>
  <conditionalFormatting sqref="B134">
    <cfRule type="duplicateValues" dxfId="426" priority="49"/>
  </conditionalFormatting>
  <conditionalFormatting sqref="C134">
    <cfRule type="duplicateValues" dxfId="425" priority="48"/>
  </conditionalFormatting>
  <conditionalFormatting sqref="C134">
    <cfRule type="duplicateValues" dxfId="424" priority="47"/>
  </conditionalFormatting>
  <conditionalFormatting sqref="C134">
    <cfRule type="duplicateValues" dxfId="423" priority="46"/>
  </conditionalFormatting>
  <conditionalFormatting sqref="C134">
    <cfRule type="duplicateValues" dxfId="422" priority="45"/>
  </conditionalFormatting>
  <conditionalFormatting sqref="C134">
    <cfRule type="duplicateValues" dxfId="421" priority="44"/>
  </conditionalFormatting>
  <conditionalFormatting sqref="C134">
    <cfRule type="duplicateValues" dxfId="420" priority="43"/>
  </conditionalFormatting>
  <conditionalFormatting sqref="C134">
    <cfRule type="duplicateValues" dxfId="419" priority="42"/>
  </conditionalFormatting>
  <conditionalFormatting sqref="B139:B142">
    <cfRule type="duplicateValues" dxfId="418" priority="33"/>
  </conditionalFormatting>
  <conditionalFormatting sqref="B143">
    <cfRule type="duplicateValues" dxfId="417" priority="32"/>
  </conditionalFormatting>
  <conditionalFormatting sqref="C143">
    <cfRule type="duplicateValues" dxfId="416" priority="31"/>
  </conditionalFormatting>
  <conditionalFormatting sqref="C143">
    <cfRule type="duplicateValues" dxfId="415" priority="30"/>
  </conditionalFormatting>
  <conditionalFormatting sqref="C143">
    <cfRule type="duplicateValues" dxfId="414" priority="29"/>
  </conditionalFormatting>
  <conditionalFormatting sqref="B144">
    <cfRule type="duplicateValues" dxfId="413" priority="28"/>
  </conditionalFormatting>
  <conditionalFormatting sqref="C144">
    <cfRule type="duplicateValues" dxfId="412" priority="27"/>
  </conditionalFormatting>
  <conditionalFormatting sqref="C144">
    <cfRule type="duplicateValues" dxfId="411" priority="26"/>
  </conditionalFormatting>
  <conditionalFormatting sqref="C144">
    <cfRule type="duplicateValues" dxfId="410" priority="25"/>
  </conditionalFormatting>
  <conditionalFormatting sqref="B145">
    <cfRule type="duplicateValues" dxfId="409" priority="24"/>
  </conditionalFormatting>
  <conditionalFormatting sqref="C145">
    <cfRule type="duplicateValues" dxfId="408" priority="23"/>
  </conditionalFormatting>
  <conditionalFormatting sqref="C145">
    <cfRule type="duplicateValues" dxfId="407" priority="22"/>
  </conditionalFormatting>
  <conditionalFormatting sqref="C145">
    <cfRule type="duplicateValues" dxfId="406" priority="21"/>
  </conditionalFormatting>
  <conditionalFormatting sqref="B146">
    <cfRule type="duplicateValues" dxfId="405" priority="20"/>
  </conditionalFormatting>
  <conditionalFormatting sqref="C146">
    <cfRule type="duplicateValues" dxfId="404" priority="19"/>
  </conditionalFormatting>
  <conditionalFormatting sqref="C146">
    <cfRule type="duplicateValues" dxfId="403" priority="18"/>
  </conditionalFormatting>
  <conditionalFormatting sqref="C146">
    <cfRule type="duplicateValues" dxfId="402" priority="17"/>
  </conditionalFormatting>
  <conditionalFormatting sqref="B147">
    <cfRule type="duplicateValues" dxfId="401" priority="16"/>
  </conditionalFormatting>
  <conditionalFormatting sqref="C147">
    <cfRule type="duplicateValues" dxfId="400" priority="15"/>
  </conditionalFormatting>
  <conditionalFormatting sqref="C147">
    <cfRule type="duplicateValues" dxfId="399" priority="14"/>
  </conditionalFormatting>
  <conditionalFormatting sqref="C147">
    <cfRule type="duplicateValues" dxfId="398" priority="13"/>
  </conditionalFormatting>
  <conditionalFormatting sqref="B98">
    <cfRule type="duplicateValues" dxfId="397" priority="107"/>
  </conditionalFormatting>
  <conditionalFormatting sqref="B148">
    <cfRule type="duplicateValues" dxfId="396" priority="11"/>
  </conditionalFormatting>
  <conditionalFormatting sqref="C148">
    <cfRule type="duplicateValues" dxfId="395" priority="10"/>
  </conditionalFormatting>
  <conditionalFormatting sqref="C148">
    <cfRule type="duplicateValues" dxfId="394" priority="9"/>
  </conditionalFormatting>
  <conditionalFormatting sqref="C148">
    <cfRule type="duplicateValues" dxfId="393" priority="8"/>
  </conditionalFormatting>
  <conditionalFormatting sqref="B148:C148">
    <cfRule type="duplicateValues" dxfId="392" priority="7"/>
  </conditionalFormatting>
  <conditionalFormatting sqref="B5:C148">
    <cfRule type="duplicateValues" dxfId="391" priority="4"/>
    <cfRule type="duplicateValues" dxfId="390" priority="118"/>
  </conditionalFormatting>
  <conditionalFormatting sqref="B5:C147">
    <cfRule type="duplicateValues" dxfId="389" priority="121"/>
  </conditionalFormatting>
  <conditionalFormatting sqref="C5:C148">
    <cfRule type="duplicateValues" dxfId="388" priority="123"/>
  </conditionalFormatting>
  <conditionalFormatting sqref="B149:C149">
    <cfRule type="duplicateValues" dxfId="387" priority="2"/>
  </conditionalFormatting>
  <conditionalFormatting sqref="B149:C149">
    <cfRule type="duplicateValues" dxfId="386" priority="3"/>
  </conditionalFormatting>
  <conditionalFormatting sqref="A5:C149">
    <cfRule type="duplicateValues" dxfId="385" priority="1"/>
  </conditionalFormatting>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49"/>
  <sheetViews>
    <sheetView workbookViewId="0"/>
  </sheetViews>
  <sheetFormatPr defaultColWidth="9.109375" defaultRowHeight="10.199999999999999" x14ac:dyDescent="0.2"/>
  <cols>
    <col min="1" max="1" width="3.88671875" style="11" customWidth="1"/>
    <col min="2" max="2" width="23.5546875" style="11" customWidth="1"/>
    <col min="3" max="3" width="18.33203125" style="11" customWidth="1"/>
    <col min="4" max="63" width="12.6640625" style="11" customWidth="1"/>
    <col min="64" max="64" width="14.109375" style="11" customWidth="1"/>
    <col min="65" max="65" width="14.5546875" style="11" customWidth="1"/>
    <col min="66" max="68" width="12.6640625" style="11" customWidth="1"/>
    <col min="69" max="16384" width="9.109375" style="11"/>
  </cols>
  <sheetData>
    <row r="1" spans="1:68" ht="10.8" thickBot="1" x14ac:dyDescent="0.25">
      <c r="A1" s="66"/>
      <c r="B1" s="66"/>
      <c r="C1" s="66"/>
    </row>
    <row r="2" spans="1:68" ht="11.4" thickTop="1" thickBot="1" x14ac:dyDescent="0.25">
      <c r="A2" s="66"/>
      <c r="B2" s="66"/>
      <c r="C2" s="66" t="s">
        <v>347</v>
      </c>
      <c r="D2" s="482">
        <f>SUM(D5:D9995)</f>
        <v>3020563.8800000004</v>
      </c>
      <c r="E2" s="482">
        <f t="shared" ref="E2:BK2" si="0">SUM(E5:E9995)</f>
        <v>2400372.54</v>
      </c>
      <c r="F2" s="482">
        <f t="shared" si="0"/>
        <v>3785.86</v>
      </c>
      <c r="G2" s="482">
        <f t="shared" si="0"/>
        <v>296538.37000000005</v>
      </c>
      <c r="H2" s="482">
        <f t="shared" si="0"/>
        <v>296538.37000000005</v>
      </c>
      <c r="I2" s="482">
        <f t="shared" si="0"/>
        <v>4635531.24</v>
      </c>
      <c r="J2" s="482">
        <f t="shared" si="0"/>
        <v>3705643.9900000007</v>
      </c>
      <c r="K2" s="482">
        <f t="shared" si="0"/>
        <v>36933.31</v>
      </c>
      <c r="L2" s="482">
        <f t="shared" si="0"/>
        <v>406729.26</v>
      </c>
      <c r="M2" s="482">
        <f t="shared" si="0"/>
        <v>406729.26</v>
      </c>
      <c r="N2" s="482">
        <f t="shared" si="0"/>
        <v>6341382.2400000002</v>
      </c>
      <c r="O2" s="482">
        <f t="shared" si="0"/>
        <v>5162294.3900000006</v>
      </c>
      <c r="P2" s="482">
        <f t="shared" si="0"/>
        <v>98111.400000000009</v>
      </c>
      <c r="Q2" s="482">
        <f t="shared" si="0"/>
        <v>509089.18000000017</v>
      </c>
      <c r="R2" s="482">
        <f t="shared" si="0"/>
        <v>509089.18000000017</v>
      </c>
      <c r="S2" s="482">
        <f t="shared" si="0"/>
        <v>6422356.5299999993</v>
      </c>
      <c r="T2" s="482">
        <f t="shared" si="0"/>
        <v>5238661.26</v>
      </c>
      <c r="U2" s="482">
        <f t="shared" si="0"/>
        <v>25597.7</v>
      </c>
      <c r="V2" s="482">
        <f t="shared" si="0"/>
        <v>571262.31999999995</v>
      </c>
      <c r="W2" s="482">
        <f t="shared" si="0"/>
        <v>571262.31999999995</v>
      </c>
      <c r="X2" s="482">
        <f t="shared" si="0"/>
        <v>4026388.3499999992</v>
      </c>
      <c r="Y2" s="482">
        <f t="shared" si="0"/>
        <v>3293086.7</v>
      </c>
      <c r="Z2" s="482">
        <f t="shared" si="0"/>
        <v>6991.9299999999994</v>
      </c>
      <c r="AA2" s="482">
        <f t="shared" si="0"/>
        <v>363156.84</v>
      </c>
      <c r="AB2" s="482">
        <f t="shared" si="0"/>
        <v>363156.84</v>
      </c>
      <c r="AC2" s="482">
        <f t="shared" si="0"/>
        <v>4538830.25</v>
      </c>
      <c r="AD2" s="482">
        <f t="shared" si="0"/>
        <v>3632937.7800000003</v>
      </c>
      <c r="AE2" s="482">
        <f t="shared" si="0"/>
        <v>56326.299999999996</v>
      </c>
      <c r="AF2" s="482">
        <f t="shared" si="0"/>
        <v>361369.86</v>
      </c>
      <c r="AG2" s="482">
        <f t="shared" si="0"/>
        <v>361369.86</v>
      </c>
      <c r="AH2" s="482">
        <f t="shared" si="0"/>
        <v>441320.94999999995</v>
      </c>
      <c r="AI2" s="482">
        <f t="shared" si="0"/>
        <v>366599.55</v>
      </c>
      <c r="AJ2" s="482">
        <f t="shared" si="0"/>
        <v>659.84</v>
      </c>
      <c r="AK2" s="482">
        <f t="shared" si="0"/>
        <v>37030.25</v>
      </c>
      <c r="AL2" s="482">
        <f t="shared" si="0"/>
        <v>37030.25</v>
      </c>
      <c r="AM2" s="482">
        <f t="shared" si="0"/>
        <v>0</v>
      </c>
      <c r="AN2" s="482">
        <f t="shared" si="0"/>
        <v>0</v>
      </c>
      <c r="AO2" s="482">
        <f t="shared" si="0"/>
        <v>0</v>
      </c>
      <c r="AP2" s="482">
        <f t="shared" si="0"/>
        <v>0</v>
      </c>
      <c r="AQ2" s="482">
        <f t="shared" si="0"/>
        <v>0</v>
      </c>
      <c r="AR2" s="482">
        <f t="shared" si="0"/>
        <v>0</v>
      </c>
      <c r="AS2" s="482">
        <f t="shared" si="0"/>
        <v>0</v>
      </c>
      <c r="AT2" s="482">
        <f t="shared" si="0"/>
        <v>0</v>
      </c>
      <c r="AU2" s="482">
        <f t="shared" si="0"/>
        <v>0</v>
      </c>
      <c r="AV2" s="482">
        <f t="shared" si="0"/>
        <v>0</v>
      </c>
      <c r="AW2" s="482">
        <f t="shared" si="0"/>
        <v>0</v>
      </c>
      <c r="AX2" s="482">
        <f t="shared" si="0"/>
        <v>0</v>
      </c>
      <c r="AY2" s="482">
        <f t="shared" si="0"/>
        <v>0</v>
      </c>
      <c r="AZ2" s="482">
        <f t="shared" si="0"/>
        <v>0</v>
      </c>
      <c r="BA2" s="482">
        <f t="shared" si="0"/>
        <v>0</v>
      </c>
      <c r="BB2" s="482">
        <f t="shared" si="0"/>
        <v>0</v>
      </c>
      <c r="BC2" s="482">
        <f t="shared" si="0"/>
        <v>0</v>
      </c>
      <c r="BD2" s="482">
        <f t="shared" si="0"/>
        <v>0</v>
      </c>
      <c r="BE2" s="482">
        <f t="shared" si="0"/>
        <v>0</v>
      </c>
      <c r="BF2" s="482">
        <f t="shared" si="0"/>
        <v>0</v>
      </c>
      <c r="BG2" s="482">
        <f t="shared" si="0"/>
        <v>0</v>
      </c>
      <c r="BH2" s="482">
        <f t="shared" si="0"/>
        <v>0</v>
      </c>
      <c r="BI2" s="482">
        <f t="shared" si="0"/>
        <v>0</v>
      </c>
      <c r="BJ2" s="482">
        <f t="shared" si="0"/>
        <v>0</v>
      </c>
      <c r="BK2" s="482">
        <f t="shared" si="0"/>
        <v>0</v>
      </c>
      <c r="BL2" s="482">
        <f>SUM(BL5:BL9995)</f>
        <v>29426373.440000001</v>
      </c>
      <c r="BM2" s="482">
        <f>SUM(BM5:BM9995)</f>
        <v>23799596.210000005</v>
      </c>
      <c r="BN2" s="482">
        <f>SUM(BN5:BN9995)</f>
        <v>228406.33999999997</v>
      </c>
      <c r="BO2" s="482">
        <f>SUM(BO5:BO9995)</f>
        <v>2545176.08</v>
      </c>
      <c r="BP2" s="482">
        <f>SUM(BP5:BP9995)</f>
        <v>2545176.08</v>
      </c>
    </row>
    <row r="3" spans="1:68" ht="11.4" thickTop="1" thickBot="1" x14ac:dyDescent="0.25">
      <c r="A3" s="464" t="s">
        <v>1503</v>
      </c>
      <c r="B3" s="464" t="s">
        <v>1504</v>
      </c>
      <c r="C3" s="464" t="s">
        <v>1505</v>
      </c>
      <c r="D3" s="1458">
        <v>43556</v>
      </c>
      <c r="E3" s="1458"/>
      <c r="F3" s="1458"/>
      <c r="G3" s="1458"/>
      <c r="H3" s="1459"/>
      <c r="I3" s="1460">
        <v>43586</v>
      </c>
      <c r="J3" s="1461"/>
      <c r="K3" s="1461"/>
      <c r="L3" s="1461"/>
      <c r="M3" s="1462"/>
      <c r="N3" s="1463">
        <v>43617</v>
      </c>
      <c r="O3" s="1464"/>
      <c r="P3" s="1464"/>
      <c r="Q3" s="1464"/>
      <c r="R3" s="1465"/>
      <c r="S3" s="1459">
        <v>43647</v>
      </c>
      <c r="T3" s="1466"/>
      <c r="U3" s="1466"/>
      <c r="V3" s="1466"/>
      <c r="W3" s="1467"/>
      <c r="X3" s="1468">
        <v>43678</v>
      </c>
      <c r="Y3" s="1469"/>
      <c r="Z3" s="1469"/>
      <c r="AA3" s="1469"/>
      <c r="AB3" s="1470"/>
      <c r="AC3" s="1187">
        <v>43709</v>
      </c>
      <c r="AD3" s="1188"/>
      <c r="AE3" s="1188"/>
      <c r="AF3" s="1188"/>
      <c r="AG3" s="1189"/>
      <c r="AH3" s="1455">
        <v>43739</v>
      </c>
      <c r="AI3" s="1456"/>
      <c r="AJ3" s="1456"/>
      <c r="AK3" s="1456"/>
      <c r="AL3" s="1457"/>
      <c r="AM3" s="1468">
        <v>43770</v>
      </c>
      <c r="AN3" s="1469"/>
      <c r="AO3" s="1469"/>
      <c r="AP3" s="1469"/>
      <c r="AQ3" s="1470"/>
      <c r="AR3" s="1187">
        <v>43800</v>
      </c>
      <c r="AS3" s="1188"/>
      <c r="AT3" s="1188"/>
      <c r="AU3" s="1188"/>
      <c r="AV3" s="1189"/>
      <c r="AW3" s="1455">
        <v>43831</v>
      </c>
      <c r="AX3" s="1456"/>
      <c r="AY3" s="1456"/>
      <c r="AZ3" s="1456"/>
      <c r="BA3" s="1457"/>
      <c r="BB3" s="1468">
        <v>43862</v>
      </c>
      <c r="BC3" s="1469"/>
      <c r="BD3" s="1469"/>
      <c r="BE3" s="1469"/>
      <c r="BF3" s="1470"/>
      <c r="BG3" s="1187">
        <v>43891</v>
      </c>
      <c r="BH3" s="1188"/>
      <c r="BI3" s="1188"/>
      <c r="BJ3" s="1188"/>
      <c r="BK3" s="1189"/>
      <c r="BL3" s="1187" t="s">
        <v>347</v>
      </c>
      <c r="BM3" s="1188"/>
      <c r="BN3" s="1188"/>
      <c r="BO3" s="1188"/>
      <c r="BP3" s="1189"/>
    </row>
    <row r="4" spans="1:68" ht="12" customHeight="1" thickTop="1" thickBot="1" x14ac:dyDescent="0.25">
      <c r="A4" s="465" t="s">
        <v>1506</v>
      </c>
      <c r="B4" s="465" t="s">
        <v>274</v>
      </c>
      <c r="C4" s="465" t="s">
        <v>1506</v>
      </c>
      <c r="D4" s="466" t="s">
        <v>347</v>
      </c>
      <c r="E4" s="466" t="s">
        <v>369</v>
      </c>
      <c r="F4" s="466" t="s">
        <v>16</v>
      </c>
      <c r="G4" s="466" t="s">
        <v>17</v>
      </c>
      <c r="H4" s="466" t="s">
        <v>18</v>
      </c>
      <c r="I4" s="466" t="s">
        <v>347</v>
      </c>
      <c r="J4" s="466" t="s">
        <v>367</v>
      </c>
      <c r="K4" s="466" t="s">
        <v>16</v>
      </c>
      <c r="L4" s="466" t="s">
        <v>17</v>
      </c>
      <c r="M4" s="466" t="s">
        <v>18</v>
      </c>
      <c r="N4" s="466" t="s">
        <v>347</v>
      </c>
      <c r="O4" s="466" t="s">
        <v>367</v>
      </c>
      <c r="P4" s="466" t="s">
        <v>16</v>
      </c>
      <c r="Q4" s="466" t="s">
        <v>17</v>
      </c>
      <c r="R4" s="466" t="s">
        <v>18</v>
      </c>
      <c r="S4" s="466" t="s">
        <v>347</v>
      </c>
      <c r="T4" s="466" t="s">
        <v>367</v>
      </c>
      <c r="U4" s="466" t="s">
        <v>16</v>
      </c>
      <c r="V4" s="466" t="s">
        <v>17</v>
      </c>
      <c r="W4" s="466" t="s">
        <v>18</v>
      </c>
      <c r="X4" s="466" t="s">
        <v>347</v>
      </c>
      <c r="Y4" s="466" t="s">
        <v>367</v>
      </c>
      <c r="Z4" s="466" t="s">
        <v>16</v>
      </c>
      <c r="AA4" s="466" t="s">
        <v>17</v>
      </c>
      <c r="AB4" s="466" t="s">
        <v>18</v>
      </c>
      <c r="AC4" s="466" t="s">
        <v>347</v>
      </c>
      <c r="AD4" s="466" t="s">
        <v>367</v>
      </c>
      <c r="AE4" s="466" t="s">
        <v>16</v>
      </c>
      <c r="AF4" s="466" t="s">
        <v>17</v>
      </c>
      <c r="AG4" s="466" t="s">
        <v>18</v>
      </c>
      <c r="AH4" s="466" t="s">
        <v>347</v>
      </c>
      <c r="AI4" s="466" t="s">
        <v>367</v>
      </c>
      <c r="AJ4" s="466" t="s">
        <v>16</v>
      </c>
      <c r="AK4" s="466" t="s">
        <v>17</v>
      </c>
      <c r="AL4" s="466" t="s">
        <v>18</v>
      </c>
      <c r="AM4" s="466" t="s">
        <v>347</v>
      </c>
      <c r="AN4" s="466" t="s">
        <v>367</v>
      </c>
      <c r="AO4" s="466" t="s">
        <v>16</v>
      </c>
      <c r="AP4" s="466" t="s">
        <v>17</v>
      </c>
      <c r="AQ4" s="466" t="s">
        <v>18</v>
      </c>
      <c r="AR4" s="466" t="s">
        <v>347</v>
      </c>
      <c r="AS4" s="466" t="s">
        <v>367</v>
      </c>
      <c r="AT4" s="466" t="s">
        <v>16</v>
      </c>
      <c r="AU4" s="466" t="s">
        <v>17</v>
      </c>
      <c r="AV4" s="466" t="s">
        <v>18</v>
      </c>
      <c r="AW4" s="466" t="s">
        <v>347</v>
      </c>
      <c r="AX4" s="466" t="s">
        <v>367</v>
      </c>
      <c r="AY4" s="466" t="s">
        <v>16</v>
      </c>
      <c r="AZ4" s="466" t="s">
        <v>17</v>
      </c>
      <c r="BA4" s="466" t="s">
        <v>18</v>
      </c>
      <c r="BB4" s="466" t="s">
        <v>347</v>
      </c>
      <c r="BC4" s="466" t="s">
        <v>367</v>
      </c>
      <c r="BD4" s="466" t="s">
        <v>16</v>
      </c>
      <c r="BE4" s="466" t="s">
        <v>17</v>
      </c>
      <c r="BF4" s="466" t="s">
        <v>18</v>
      </c>
      <c r="BG4" s="466" t="s">
        <v>347</v>
      </c>
      <c r="BH4" s="466" t="s">
        <v>367</v>
      </c>
      <c r="BI4" s="466" t="s">
        <v>16</v>
      </c>
      <c r="BJ4" s="466" t="s">
        <v>17</v>
      </c>
      <c r="BK4" s="466" t="s">
        <v>18</v>
      </c>
      <c r="BL4" s="466" t="s">
        <v>347</v>
      </c>
      <c r="BM4" s="466" t="s">
        <v>367</v>
      </c>
      <c r="BN4" s="466" t="s">
        <v>16</v>
      </c>
      <c r="BO4" s="466" t="s">
        <v>17</v>
      </c>
      <c r="BP4" s="466" t="s">
        <v>18</v>
      </c>
    </row>
    <row r="5" spans="1:68" ht="10.8" thickTop="1" x14ac:dyDescent="0.2">
      <c r="A5" s="467">
        <v>1</v>
      </c>
      <c r="B5" s="468" t="s">
        <v>1059</v>
      </c>
      <c r="C5" s="469" t="s">
        <v>1060</v>
      </c>
      <c r="D5" s="72">
        <f>SUMIFS('GSTR-2A'!$G$6:$G$10000,'GSTR-2A'!$B$6:$B$10000,$C$5:$C$4995,'GSTR-2A'!$A$6:$A$10000,$D$3)</f>
        <v>0</v>
      </c>
      <c r="E5" s="72">
        <f>SUMIFS('GSTR-2A'!$K$6:$K$10000,'GSTR-2A'!$B$6:$B$10000,$C$5:$C$4995,'GSTR-2A'!$A$6:$A$10000,$D$3)</f>
        <v>0</v>
      </c>
      <c r="F5" s="72">
        <f>SUMIFS('GSTR-2A'!$L$6:$L$10000,'GSTR-2A'!$B$6:$B$10000,$C$5:$C$4995,'GSTR-2A'!$A$6:$A$10000,$D$3)</f>
        <v>0</v>
      </c>
      <c r="G5" s="72">
        <f>SUMIFS('GSTR-2A'!$M$6:$M$10000,'GSTR-2A'!$B$6:$B$10000,$C$5:$C$4995,'GSTR-2A'!$A$6:$A$10000,$D$3)</f>
        <v>0</v>
      </c>
      <c r="H5" s="72">
        <f>SUMIFS('GSTR-2A'!$N$6:$N$10000,'GSTR-2A'!$B$6:$B$10000,$C$5:$C$4995,'GSTR-2A'!$A$6:$A$10000,$D$3)</f>
        <v>0</v>
      </c>
      <c r="I5" s="483">
        <f>SUMIFS('GSTR-2A'!$G$6:$G$10000,'GSTR-2A'!$B$6:$B$10000,$C$5:$C$4995,'GSTR-2A'!$A$6:$A$10000,$I$3)</f>
        <v>0</v>
      </c>
      <c r="J5" s="484">
        <f>SUMIFS('GSTR-2A'!$K$6:$K$10000,'GSTR-2A'!$B$6:$B$10000,$C$5:$C$4995,'GSTR-2A'!$A$6:$A$10000,$I$3)</f>
        <v>0</v>
      </c>
      <c r="K5" s="484">
        <f>SUMIFS('GSTR-2A'!$L$6:$L$10000,'GSTR-2A'!$B$6:$B$10000,$C$5:$C$4995,'GSTR-2A'!$A$6:$A$10000,$I$3)</f>
        <v>0</v>
      </c>
      <c r="L5" s="484">
        <f>SUMIFS('GSTR-2A'!$M$6:$M$10000,'GSTR-2A'!$B$6:$B$10000,$C$5:$C$4995,'GSTR-2A'!$A$6:$A$10000,$I$3)</f>
        <v>0</v>
      </c>
      <c r="M5" s="485">
        <f>SUMIFS('GSTR-2A'!$N$6:$N$10000,'GSTR-2A'!$B$6:$B$10000,$C$5:$C$4995,'GSTR-2A'!$A$6:$A$10000,$I$3)</f>
        <v>0</v>
      </c>
      <c r="N5" s="483">
        <f>SUMIFS('GSTR-2A'!$G$6:$G$10000,'GSTR-2A'!$B$6:$B$10000,$C$5:$C$4995,'GSTR-2A'!$A$6:$A$10000,$N$3)</f>
        <v>0</v>
      </c>
      <c r="O5" s="484">
        <f>SUMIFS('GSTR-2A'!$K$6:$K$10000,'GSTR-2A'!$B$6:$B$10000,$C$5:$C$4995,'GSTR-2A'!$A$6:$A$10000,$N$3)</f>
        <v>0</v>
      </c>
      <c r="P5" s="484">
        <f>SUMIFS('GSTR-2A'!$L$6:$L$10000,'GSTR-2A'!$B$6:$B$10000,$C$5:$C$4995,'GSTR-2A'!$A$6:$A$10000,$N$3)</f>
        <v>0</v>
      </c>
      <c r="Q5" s="484">
        <f>SUMIFS('GSTR-2A'!$M$6:$M$10000,'GSTR-2A'!$B$6:$B$10000,$C$5:$C$4995,'GSTR-2A'!$A$6:$A$10000,$N$3)</f>
        <v>0</v>
      </c>
      <c r="R5" s="485">
        <f>SUMIFS('GSTR-2A'!$N$6:$N$10000,'GSTR-2A'!$B$6:$B$10000,$C$5:$C$4995,'GSTR-2A'!$A$6:$A$10000,$N$3)</f>
        <v>0</v>
      </c>
      <c r="S5" s="483">
        <f>SUMIFS('GSTR-2A'!$G$6:$G$10000,'GSTR-2A'!$B$6:$B$10000,$C$5:$C$4995,'GSTR-2A'!$A$6:$A$10000,$S$3)</f>
        <v>0</v>
      </c>
      <c r="T5" s="484">
        <f>SUMIFS('GSTR-2A'!$K$6:$K$10000,'GSTR-2A'!$B$6:$B$10000,$C$5:$C$4995,'GSTR-2A'!$A$6:$A$10000,$S$3)</f>
        <v>0</v>
      </c>
      <c r="U5" s="484">
        <f>SUMIFS('GSTR-2A'!$L$6:$L$10000,'GSTR-2A'!$B$6:$B$10000,$C$5:$C$4995,'GSTR-2A'!$A$6:$A$10000,$S$3)</f>
        <v>0</v>
      </c>
      <c r="V5" s="484">
        <f>SUMIFS('GSTR-2A'!$M$6:$M$10000,'GSTR-2A'!$B$6:$B$10000,$C$5:$C$4995,'GSTR-2A'!$A$6:$A$10000,$S$3)</f>
        <v>0</v>
      </c>
      <c r="W5" s="485">
        <f>SUMIFS('GSTR-2A'!$N$6:$N$10000,'GSTR-2A'!$B$6:$B$10000,$C$5:$C$4995,'GSTR-2A'!$A$6:$A$10000,$S$3)</f>
        <v>0</v>
      </c>
      <c r="X5" s="483">
        <f>SUMIFS('GSTR-2A'!$G$6:$G$10000,'GSTR-2A'!$B$6:$B$10000,$C$5:$C$4995,'GSTR-2A'!$A$6:$A$10000,$X$3)</f>
        <v>0</v>
      </c>
      <c r="Y5" s="484">
        <f>SUMIFS('GSTR-2A'!$K$6:$K$10000,'GSTR-2A'!$B$6:$B$10000,$C$5:$C$4995,'GSTR-2A'!$A$6:$A$10000,$X$3)</f>
        <v>0</v>
      </c>
      <c r="Z5" s="484">
        <f>SUMIFS('GSTR-2A'!$L$6:$L$10000,'GSTR-2A'!$B$6:$B$10000,$C$5:$C$4995,'GSTR-2A'!$A$6:$A$10000,$X$3)</f>
        <v>0</v>
      </c>
      <c r="AA5" s="484">
        <f>SUMIFS('GSTR-2A'!$M$6:$M$10000,'GSTR-2A'!$B$6:$B$10000,$C$5:$C$4995,'GSTR-2A'!$A$6:$A$10000,$X$3)</f>
        <v>0</v>
      </c>
      <c r="AB5" s="485">
        <f>SUMIFS('GSTR-2A'!$N$6:$N$10000,'GSTR-2A'!$B$6:$B$10000,$C$5:$C$4995,'GSTR-2A'!$A$6:$A$10000,$X$3)</f>
        <v>0</v>
      </c>
      <c r="AC5" s="483">
        <f>SUMIFS('GSTR-2A'!$G$6:$G$10000,'GSTR-2A'!$B$6:$B$10000,$C$5:$C$4995,'GSTR-2A'!$A$6:$A$10000,$AC$3)</f>
        <v>0</v>
      </c>
      <c r="AD5" s="484">
        <f>SUMIFS('GSTR-2A'!$K$6:$K$10000,'GSTR-2A'!$B$6:$B$10000,$C$5:$C$4995,'GSTR-2A'!$A$6:$A$10000,$AC$3)</f>
        <v>0</v>
      </c>
      <c r="AE5" s="484">
        <f>SUMIFS('GSTR-2A'!$L$6:$L$10000,'GSTR-2A'!$B$6:$B$10000,$C$5:$C$4995,'GSTR-2A'!$A$6:$A$10000,$AC$3)</f>
        <v>0</v>
      </c>
      <c r="AF5" s="484">
        <f>SUMIFS('GSTR-2A'!$M$6:$M$10000,'GSTR-2A'!$B$6:$B$10000,$C$5:$C$4995,'GSTR-2A'!$A$6:$A$10000,$AC$3)</f>
        <v>0</v>
      </c>
      <c r="AG5" s="485">
        <f>SUMIFS('GSTR-2A'!$N$6:$N$10000,'GSTR-2A'!$B$6:$B$10000,$C$5:$C$4995,'GSTR-2A'!$A$6:$A$10000,$AC$3)</f>
        <v>0</v>
      </c>
      <c r="AH5" s="483">
        <f>SUMIFS('GSTR-2A'!$G$6:$G$10000,'GSTR-2A'!$B$6:$B$10000,$C$5:$C$4995,'GSTR-2A'!$A$6:$A$10000,$AH$3)</f>
        <v>0</v>
      </c>
      <c r="AI5" s="484">
        <f>SUMIFS('GSTR-2A'!$K$6:$K$10000,'GSTR-2A'!$B$6:$B$10000,$C$5:$C$4995,'GSTR-2A'!$A$6:$A$10000,$AH$3)</f>
        <v>0</v>
      </c>
      <c r="AJ5" s="484">
        <f>SUMIFS('GSTR-2A'!$L$6:$L$10000,'GSTR-2A'!$B$6:$B$10000,$C$5:$C$4995,'GSTR-2A'!$A$6:$A$10000,$AH$3)</f>
        <v>0</v>
      </c>
      <c r="AK5" s="484">
        <f>SUMIFS('GSTR-2A'!$M$6:$M$10000,'GSTR-2A'!$B$6:$B$10000,$C$5:$C$4995,'GSTR-2A'!$A$6:$A$10000,$AH$3)</f>
        <v>0</v>
      </c>
      <c r="AL5" s="485">
        <f>SUMIFS('GSTR-2A'!$N$6:$N$10000,'GSTR-2A'!$B$6:$B$10000,$C$5:$C$4995,'GSTR-2A'!$A$6:$A$10000,$AH$3)</f>
        <v>0</v>
      </c>
      <c r="AM5" s="483">
        <f>SUMIFS('GSTR-2A'!$G$6:$G$10000,'GSTR-2A'!$B$6:$B$10000,$C$5:$C$4995,'GSTR-2A'!$A$6:$A$10000,$AM$3)</f>
        <v>0</v>
      </c>
      <c r="AN5" s="484">
        <f>SUMIFS('GSTR-2A'!$K$6:$K$10000,'GSTR-2A'!$B$6:$B$10000,$C$5:$C$4995,'GSTR-2A'!$A$6:$A$10000,$AM$3)</f>
        <v>0</v>
      </c>
      <c r="AO5" s="484">
        <f>SUMIFS('GSTR-2A'!$L$6:$L$10000,'GSTR-2A'!$B$6:$B$10000,$C$5:$C$4995,'GSTR-2A'!$A$6:$A$10000,$AM$3)</f>
        <v>0</v>
      </c>
      <c r="AP5" s="484">
        <f>SUMIFS('GSTR-2A'!$M$6:$M$10000,'GSTR-2A'!$B$6:$B$10000,$C$5:$C$4995,'GSTR-2A'!$A$6:$A$10000,$AM$3)</f>
        <v>0</v>
      </c>
      <c r="AQ5" s="485">
        <f>SUMIFS('GSTR-2A'!$N$6:$N$10000,'GSTR-2A'!$B$6:$B$10000,$C$5:$C$4995,'GSTR-2A'!$A$6:$A$10000,$AM$3)</f>
        <v>0</v>
      </c>
      <c r="AR5" s="483">
        <f>SUMIFS('GSTR-2A'!$G$6:$G$10000,'GSTR-2A'!$B$6:$B$10000,$C$5:$C$4995,'GSTR-2A'!$A$6:$A$10000,$AR$3)</f>
        <v>0</v>
      </c>
      <c r="AS5" s="484">
        <f>SUMIFS('GSTR-2A'!$K$6:$K$10000,'GSTR-2A'!$B$6:$B$10000,$C$5:$C$4995,'GSTR-2A'!$A$6:$A$10000,$AR$3)</f>
        <v>0</v>
      </c>
      <c r="AT5" s="484">
        <f>SUMIFS('GSTR-2A'!$L$6:$L$10000,'GSTR-2A'!$B$6:$B$10000,$C$5:$C$4995,'GSTR-2A'!$A$6:$A$10000,$AR$3)</f>
        <v>0</v>
      </c>
      <c r="AU5" s="484">
        <f>SUMIFS('GSTR-2A'!$M$6:$M$10000,'GSTR-2A'!$B$6:$B$10000,$C$5:$C$4995,'GSTR-2A'!$A$6:$A$10000,$AR$3)</f>
        <v>0</v>
      </c>
      <c r="AV5" s="485">
        <f>SUMIFS('GSTR-2A'!$N$6:$N$10000,'GSTR-2A'!$B$6:$B$10000,$C$5:$C$4995,'GSTR-2A'!$A$6:$A$10000,$AR$3)</f>
        <v>0</v>
      </c>
      <c r="AW5" s="483">
        <f>SUMIFS('GSTR-2A'!$G$6:$G$10000,'GSTR-2A'!$B$6:$B$10000,$C$5:$C$4995,'GSTR-2A'!$A$6:$A$10000,$AW$3)</f>
        <v>0</v>
      </c>
      <c r="AX5" s="484">
        <f>SUMIFS('GSTR-2A'!$K$6:$K$10000,'GSTR-2A'!$B$6:$B$10000,$C$5:$C$4995,'GSTR-2A'!$A$6:$A$10000,$AW$3)</f>
        <v>0</v>
      </c>
      <c r="AY5" s="484">
        <f>SUMIFS('GSTR-2A'!$L$6:$L$10000,'GSTR-2A'!$B$6:$B$10000,$C$5:$C$4995,'GSTR-2A'!$A$6:$A$10000,$AW$3)</f>
        <v>0</v>
      </c>
      <c r="AZ5" s="484">
        <f>SUMIFS('GSTR-2A'!$M$6:$M$10000,'GSTR-2A'!$B$6:$B$10000,$C$5:$C$4995,'GSTR-2A'!$A$6:$A$10000,$AW$3)</f>
        <v>0</v>
      </c>
      <c r="BA5" s="485">
        <f>SUMIFS('GSTR-2A'!$N$6:$N$10000,'GSTR-2A'!$B$6:$B$10000,$C$5:$C$4995,'GSTR-2A'!$A$6:$A$10000,$AW$3)</f>
        <v>0</v>
      </c>
      <c r="BB5" s="483">
        <f>SUMIFS('GSTR-2A'!$G$6:$G$10000,'GSTR-2A'!$B$6:$B$10000,$C$5:$C$4995,'GSTR-2A'!$A$6:$A$10000,$BB$3)</f>
        <v>0</v>
      </c>
      <c r="BC5" s="484">
        <f>SUMIFS('GSTR-2A'!$K$6:$K$10000,'GSTR-2A'!$B$6:$B$10000,$C$5:$C$4995,'GSTR-2A'!$A$6:$A$10000,$BB$3)</f>
        <v>0</v>
      </c>
      <c r="BD5" s="484">
        <f>SUMIFS('GSTR-2A'!$L$6:$L$10000,'GSTR-2A'!$B$6:$B$10000,$C$5:$C$4995,'GSTR-2A'!$A$6:$A$10000,$BB$3)</f>
        <v>0</v>
      </c>
      <c r="BE5" s="484">
        <f>SUMIFS('GSTR-2A'!$M$6:$M$10000,'GSTR-2A'!$B$6:$B$10000,$C$5:$C$4995,'GSTR-2A'!$A$6:$A$10000,$BB$3)</f>
        <v>0</v>
      </c>
      <c r="BF5" s="485">
        <f>SUMIFS('GSTR-2A'!$N$6:$N$10000,'GSTR-2A'!$B$6:$B$10000,$C$5:$C$4995,'GSTR-2A'!$A$6:$A$10000,$BB$3)</f>
        <v>0</v>
      </c>
      <c r="BG5" s="483">
        <f>SUMIFS('GSTR-2A'!$G$6:$G$10000,'GSTR-2A'!$B$6:$B$10000,$C$5:$C$4995,'GSTR-2A'!$A$6:$A$10000,$BG$3)</f>
        <v>0</v>
      </c>
      <c r="BH5" s="484">
        <f>SUMIFS('GSTR-2A'!$K$6:$K$10000,'GSTR-2A'!$B$6:$B$10000,$C$5:$C$4995,'GSTR-2A'!$A$6:$A$10000,$BG$3)</f>
        <v>0</v>
      </c>
      <c r="BI5" s="484">
        <f>SUMIFS('GSTR-2A'!$L$6:$L$10000,'GSTR-2A'!$B$6:$B$10000,$C$5:$C$4995,'GSTR-2A'!$A$6:$A$10000,$BG$3)</f>
        <v>0</v>
      </c>
      <c r="BJ5" s="484">
        <f>SUMIFS('GSTR-2A'!$M$6:$M$10000,'GSTR-2A'!$B$6:$B$10000,$C$5:$C$4995,'GSTR-2A'!$A$6:$A$10000,$BG$3)</f>
        <v>0</v>
      </c>
      <c r="BK5" s="485">
        <f>SUMIFS('GSTR-2A'!$N$6:$N$10000,'GSTR-2A'!$B$6:$B$10000,$C$5:$C$4995,'GSTR-2A'!$A$6:$A$10000,$BG$3)</f>
        <v>0</v>
      </c>
      <c r="BL5" s="72">
        <f>+D5+I5+N5+S5+X5+AC5+AH5+AM5+AR5+AW5+BB5+BG5</f>
        <v>0</v>
      </c>
      <c r="BM5" s="72">
        <f t="shared" ref="BM5:BP5" si="1">+E5+J5+O5+T5+Y5+AD5+AI5+AN5+AS5+AX5+BC5+BH5</f>
        <v>0</v>
      </c>
      <c r="BN5" s="72">
        <f t="shared" si="1"/>
        <v>0</v>
      </c>
      <c r="BO5" s="72">
        <f t="shared" si="1"/>
        <v>0</v>
      </c>
      <c r="BP5" s="72">
        <f t="shared" si="1"/>
        <v>0</v>
      </c>
    </row>
    <row r="6" spans="1:68" x14ac:dyDescent="0.2">
      <c r="A6" s="467">
        <v>2</v>
      </c>
      <c r="B6" s="468" t="s">
        <v>1061</v>
      </c>
      <c r="C6" s="469" t="s">
        <v>1062</v>
      </c>
      <c r="D6" s="72">
        <f>SUMIFS('GSTR-2A'!$G$6:$G$10000,'GSTR-2A'!$B$6:$B$10000,$C$5:$C$4995,'GSTR-2A'!$A$6:$A$10000,$D$3)</f>
        <v>0</v>
      </c>
      <c r="E6" s="72">
        <f>SUMIFS('GSTR-2A'!$K$6:$K$10000,'GSTR-2A'!$B$6:$B$10000,$C$5:$C$4995,'GSTR-2A'!$A$6:$A$10000,$D$3)</f>
        <v>0</v>
      </c>
      <c r="F6" s="72">
        <f>SUMIFS('GSTR-2A'!$L$6:$L$10000,'GSTR-2A'!$B$6:$B$10000,$C$5:$C$4995,'GSTR-2A'!$A$6:$A$10000,$D$3)</f>
        <v>0</v>
      </c>
      <c r="G6" s="72">
        <f>SUMIFS('GSTR-2A'!$M$6:$M$10000,'GSTR-2A'!$B$6:$B$10000,$C$5:$C$4995,'GSTR-2A'!$A$6:$A$10000,$D$3)</f>
        <v>0</v>
      </c>
      <c r="H6" s="72">
        <f>SUMIFS('GSTR-2A'!$N$6:$N$10000,'GSTR-2A'!$B$6:$B$10000,$C$5:$C$4995,'GSTR-2A'!$A$6:$A$10000,$D$3)</f>
        <v>0</v>
      </c>
      <c r="I6" s="486">
        <f>SUMIFS('GSTR-2A'!$G$6:$G$10000,'GSTR-2A'!$B$6:$B$10000,$C$5:$C$4995,'GSTR-2A'!$A$6:$A$10000,$I$3)</f>
        <v>0</v>
      </c>
      <c r="J6" s="487">
        <f>SUMIFS('GSTR-2A'!$K$6:$K$10000,'GSTR-2A'!$B$6:$B$10000,$C$5:$C$4995,'GSTR-2A'!$A$6:$A$10000,$I$3)</f>
        <v>0</v>
      </c>
      <c r="K6" s="487">
        <f>SUMIFS('GSTR-2A'!$L$6:$L$10000,'GSTR-2A'!$B$6:$B$10000,$C$5:$C$4995,'GSTR-2A'!$A$6:$A$10000,$I$3)</f>
        <v>0</v>
      </c>
      <c r="L6" s="487">
        <f>SUMIFS('GSTR-2A'!$M$6:$M$10000,'GSTR-2A'!$B$6:$B$10000,$C$5:$C$4995,'GSTR-2A'!$A$6:$A$10000,$I$3)</f>
        <v>0</v>
      </c>
      <c r="M6" s="488">
        <f>SUMIFS('GSTR-2A'!$N$6:$N$10000,'GSTR-2A'!$B$6:$B$10000,$C$5:$C$4995,'GSTR-2A'!$A$6:$A$10000,$I$3)</f>
        <v>0</v>
      </c>
      <c r="N6" s="486">
        <f>SUMIFS('GSTR-2A'!$G$6:$G$10000,'GSTR-2A'!$B$6:$B$10000,$C$5:$C$4995,'GSTR-2A'!$A$6:$A$10000,$N$3)</f>
        <v>0</v>
      </c>
      <c r="O6" s="487">
        <f>SUMIFS('GSTR-2A'!$K$6:$K$10000,'GSTR-2A'!$B$6:$B$10000,$C$5:$C$4995,'GSTR-2A'!$A$6:$A$10000,$N$3)</f>
        <v>0</v>
      </c>
      <c r="P6" s="487">
        <f>SUMIFS('GSTR-2A'!$L$6:$L$10000,'GSTR-2A'!$B$6:$B$10000,$C$5:$C$4995,'GSTR-2A'!$A$6:$A$10000,$N$3)</f>
        <v>0</v>
      </c>
      <c r="Q6" s="487">
        <f>SUMIFS('GSTR-2A'!$M$6:$M$10000,'GSTR-2A'!$B$6:$B$10000,$C$5:$C$4995,'GSTR-2A'!$A$6:$A$10000,$N$3)</f>
        <v>0</v>
      </c>
      <c r="R6" s="488">
        <f>SUMIFS('GSTR-2A'!$N$6:$N$10000,'GSTR-2A'!$B$6:$B$10000,$C$5:$C$4995,'GSTR-2A'!$A$6:$A$10000,$N$3)</f>
        <v>0</v>
      </c>
      <c r="S6" s="486">
        <f>SUMIFS('GSTR-2A'!$G$6:$G$10000,'GSTR-2A'!$B$6:$B$10000,$C$5:$C$4995,'GSTR-2A'!$A$6:$A$10000,$S$3)</f>
        <v>0</v>
      </c>
      <c r="T6" s="487">
        <f>SUMIFS('GSTR-2A'!$K$6:$K$10000,'GSTR-2A'!$B$6:$B$10000,$C$5:$C$4995,'GSTR-2A'!$A$6:$A$10000,$S$3)</f>
        <v>0</v>
      </c>
      <c r="U6" s="487">
        <f>SUMIFS('GSTR-2A'!$L$6:$L$10000,'GSTR-2A'!$B$6:$B$10000,$C$5:$C$4995,'GSTR-2A'!$A$6:$A$10000,$S$3)</f>
        <v>0</v>
      </c>
      <c r="V6" s="487">
        <f>SUMIFS('GSTR-2A'!$M$6:$M$10000,'GSTR-2A'!$B$6:$B$10000,$C$5:$C$4995,'GSTR-2A'!$A$6:$A$10000,$S$3)</f>
        <v>0</v>
      </c>
      <c r="W6" s="488">
        <f>SUMIFS('GSTR-2A'!$N$6:$N$10000,'GSTR-2A'!$B$6:$B$10000,$C$5:$C$4995,'GSTR-2A'!$A$6:$A$10000,$S$3)</f>
        <v>0</v>
      </c>
      <c r="X6" s="486">
        <f>SUMIFS('GSTR-2A'!$G$6:$G$10000,'GSTR-2A'!$B$6:$B$10000,$C$5:$C$4995,'GSTR-2A'!$A$6:$A$10000,$X$3)</f>
        <v>0</v>
      </c>
      <c r="Y6" s="487">
        <f>SUMIFS('GSTR-2A'!$K$6:$K$10000,'GSTR-2A'!$B$6:$B$10000,$C$5:$C$4995,'GSTR-2A'!$A$6:$A$10000,$X$3)</f>
        <v>0</v>
      </c>
      <c r="Z6" s="487">
        <f>SUMIFS('GSTR-2A'!$L$6:$L$10000,'GSTR-2A'!$B$6:$B$10000,$C$5:$C$4995,'GSTR-2A'!$A$6:$A$10000,$X$3)</f>
        <v>0</v>
      </c>
      <c r="AA6" s="487">
        <f>SUMIFS('GSTR-2A'!$M$6:$M$10000,'GSTR-2A'!$B$6:$B$10000,$C$5:$C$4995,'GSTR-2A'!$A$6:$A$10000,$X$3)</f>
        <v>0</v>
      </c>
      <c r="AB6" s="488">
        <f>SUMIFS('GSTR-2A'!$N$6:$N$10000,'GSTR-2A'!$B$6:$B$10000,$C$5:$C$4995,'GSTR-2A'!$A$6:$A$10000,$X$3)</f>
        <v>0</v>
      </c>
      <c r="AC6" s="486">
        <f>SUMIFS('GSTR-2A'!$G$6:$G$10000,'GSTR-2A'!$B$6:$B$10000,$C$5:$C$4995,'GSTR-2A'!$A$6:$A$10000,$AC$3)</f>
        <v>0</v>
      </c>
      <c r="AD6" s="487">
        <f>SUMIFS('GSTR-2A'!$K$6:$K$10000,'GSTR-2A'!$B$6:$B$10000,$C$5:$C$4995,'GSTR-2A'!$A$6:$A$10000,$AC$3)</f>
        <v>0</v>
      </c>
      <c r="AE6" s="487">
        <f>SUMIFS('GSTR-2A'!$L$6:$L$10000,'GSTR-2A'!$B$6:$B$10000,$C$5:$C$4995,'GSTR-2A'!$A$6:$A$10000,$AC$3)</f>
        <v>0</v>
      </c>
      <c r="AF6" s="487">
        <f>SUMIFS('GSTR-2A'!$M$6:$M$10000,'GSTR-2A'!$B$6:$B$10000,$C$5:$C$4995,'GSTR-2A'!$A$6:$A$10000,$AC$3)</f>
        <v>0</v>
      </c>
      <c r="AG6" s="488">
        <f>SUMIFS('GSTR-2A'!$N$6:$N$10000,'GSTR-2A'!$B$6:$B$10000,$C$5:$C$4995,'GSTR-2A'!$A$6:$A$10000,$AC$3)</f>
        <v>0</v>
      </c>
      <c r="AH6" s="486">
        <f>SUMIFS('GSTR-2A'!$G$6:$G$10000,'GSTR-2A'!$B$6:$B$10000,$C$5:$C$4995,'GSTR-2A'!$A$6:$A$10000,$AH$3)</f>
        <v>0</v>
      </c>
      <c r="AI6" s="487">
        <f>SUMIFS('GSTR-2A'!$K$6:$K$10000,'GSTR-2A'!$B$6:$B$10000,$C$5:$C$4995,'GSTR-2A'!$A$6:$A$10000,$AH$3)</f>
        <v>0</v>
      </c>
      <c r="AJ6" s="487">
        <f>SUMIFS('GSTR-2A'!$L$6:$L$10000,'GSTR-2A'!$B$6:$B$10000,$C$5:$C$4995,'GSTR-2A'!$A$6:$A$10000,$AH$3)</f>
        <v>0</v>
      </c>
      <c r="AK6" s="487">
        <f>SUMIFS('GSTR-2A'!$M$6:$M$10000,'GSTR-2A'!$B$6:$B$10000,$C$5:$C$4995,'GSTR-2A'!$A$6:$A$10000,$AH$3)</f>
        <v>0</v>
      </c>
      <c r="AL6" s="488">
        <f>SUMIFS('GSTR-2A'!$N$6:$N$10000,'GSTR-2A'!$B$6:$B$10000,$C$5:$C$4995,'GSTR-2A'!$A$6:$A$10000,$AH$3)</f>
        <v>0</v>
      </c>
      <c r="AM6" s="486">
        <f>SUMIFS('GSTR-2A'!$G$6:$G$10000,'GSTR-2A'!$B$6:$B$10000,$C$5:$C$4995,'GSTR-2A'!$A$6:$A$10000,$AM$3)</f>
        <v>0</v>
      </c>
      <c r="AN6" s="487">
        <f>SUMIFS('GSTR-2A'!$K$6:$K$10000,'GSTR-2A'!$B$6:$B$10000,$C$5:$C$4995,'GSTR-2A'!$A$6:$A$10000,$AM$3)</f>
        <v>0</v>
      </c>
      <c r="AO6" s="487">
        <f>SUMIFS('GSTR-2A'!$L$6:$L$10000,'GSTR-2A'!$B$6:$B$10000,$C$5:$C$4995,'GSTR-2A'!$A$6:$A$10000,$AM$3)</f>
        <v>0</v>
      </c>
      <c r="AP6" s="487">
        <f>SUMIFS('GSTR-2A'!$M$6:$M$10000,'GSTR-2A'!$B$6:$B$10000,$C$5:$C$4995,'GSTR-2A'!$A$6:$A$10000,$AM$3)</f>
        <v>0</v>
      </c>
      <c r="AQ6" s="488">
        <f>SUMIFS('GSTR-2A'!$N$6:$N$10000,'GSTR-2A'!$B$6:$B$10000,$C$5:$C$4995,'GSTR-2A'!$A$6:$A$10000,$AM$3)</f>
        <v>0</v>
      </c>
      <c r="AR6" s="486">
        <f>SUMIFS('GSTR-2A'!$G$6:$G$10000,'GSTR-2A'!$B$6:$B$10000,$C$5:$C$4995,'GSTR-2A'!$A$6:$A$10000,$AR$3)</f>
        <v>0</v>
      </c>
      <c r="AS6" s="487">
        <f>SUMIFS('GSTR-2A'!$K$6:$K$10000,'GSTR-2A'!$B$6:$B$10000,$C$5:$C$4995,'GSTR-2A'!$A$6:$A$10000,$AR$3)</f>
        <v>0</v>
      </c>
      <c r="AT6" s="487">
        <f>SUMIFS('GSTR-2A'!$L$6:$L$10000,'GSTR-2A'!$B$6:$B$10000,$C$5:$C$4995,'GSTR-2A'!$A$6:$A$10000,$AR$3)</f>
        <v>0</v>
      </c>
      <c r="AU6" s="487">
        <f>SUMIFS('GSTR-2A'!$M$6:$M$10000,'GSTR-2A'!$B$6:$B$10000,$C$5:$C$4995,'GSTR-2A'!$A$6:$A$10000,$AR$3)</f>
        <v>0</v>
      </c>
      <c r="AV6" s="488">
        <f>SUMIFS('GSTR-2A'!$N$6:$N$10000,'GSTR-2A'!$B$6:$B$10000,$C$5:$C$4995,'GSTR-2A'!$A$6:$A$10000,$AR$3)</f>
        <v>0</v>
      </c>
      <c r="AW6" s="486">
        <f>SUMIFS('GSTR-2A'!$G$6:$G$10000,'GSTR-2A'!$B$6:$B$10000,$C$5:$C$4995,'GSTR-2A'!$A$6:$A$10000,$AW$3)</f>
        <v>0</v>
      </c>
      <c r="AX6" s="487">
        <f>SUMIFS('GSTR-2A'!$K$6:$K$10000,'GSTR-2A'!$B$6:$B$10000,$C$5:$C$4995,'GSTR-2A'!$A$6:$A$10000,$AW$3)</f>
        <v>0</v>
      </c>
      <c r="AY6" s="487">
        <f>SUMIFS('GSTR-2A'!$L$6:$L$10000,'GSTR-2A'!$B$6:$B$10000,$C$5:$C$4995,'GSTR-2A'!$A$6:$A$10000,$AW$3)</f>
        <v>0</v>
      </c>
      <c r="AZ6" s="487">
        <f>SUMIFS('GSTR-2A'!$M$6:$M$10000,'GSTR-2A'!$B$6:$B$10000,$C$5:$C$4995,'GSTR-2A'!$A$6:$A$10000,$AW$3)</f>
        <v>0</v>
      </c>
      <c r="BA6" s="488">
        <f>SUMIFS('GSTR-2A'!$N$6:$N$10000,'GSTR-2A'!$B$6:$B$10000,$C$5:$C$4995,'GSTR-2A'!$A$6:$A$10000,$AW$3)</f>
        <v>0</v>
      </c>
      <c r="BB6" s="486">
        <f>SUMIFS('GSTR-2A'!$G$6:$G$10000,'GSTR-2A'!$B$6:$B$10000,$C$5:$C$4995,'GSTR-2A'!$A$6:$A$10000,$BB$3)</f>
        <v>0</v>
      </c>
      <c r="BC6" s="487">
        <f>SUMIFS('GSTR-2A'!$K$6:$K$10000,'GSTR-2A'!$B$6:$B$10000,$C$5:$C$4995,'GSTR-2A'!$A$6:$A$10000,$BB$3)</f>
        <v>0</v>
      </c>
      <c r="BD6" s="487">
        <f>SUMIFS('GSTR-2A'!$L$6:$L$10000,'GSTR-2A'!$B$6:$B$10000,$C$5:$C$4995,'GSTR-2A'!$A$6:$A$10000,$BB$3)</f>
        <v>0</v>
      </c>
      <c r="BE6" s="487">
        <f>SUMIFS('GSTR-2A'!$M$6:$M$10000,'GSTR-2A'!$B$6:$B$10000,$C$5:$C$4995,'GSTR-2A'!$A$6:$A$10000,$BB$3)</f>
        <v>0</v>
      </c>
      <c r="BF6" s="488">
        <f>SUMIFS('GSTR-2A'!$N$6:$N$10000,'GSTR-2A'!$B$6:$B$10000,$C$5:$C$4995,'GSTR-2A'!$A$6:$A$10000,$BB$3)</f>
        <v>0</v>
      </c>
      <c r="BG6" s="486">
        <f>SUMIFS('GSTR-2A'!$G$6:$G$10000,'GSTR-2A'!$B$6:$B$10000,$C$5:$C$4995,'GSTR-2A'!$A$6:$A$10000,$BG$3)</f>
        <v>0</v>
      </c>
      <c r="BH6" s="487">
        <f>SUMIFS('GSTR-2A'!$K$6:$K$10000,'GSTR-2A'!$B$6:$B$10000,$C$5:$C$4995,'GSTR-2A'!$A$6:$A$10000,$BG$3)</f>
        <v>0</v>
      </c>
      <c r="BI6" s="487">
        <f>SUMIFS('GSTR-2A'!$L$6:$L$10000,'GSTR-2A'!$B$6:$B$10000,$C$5:$C$4995,'GSTR-2A'!$A$6:$A$10000,$BG$3)</f>
        <v>0</v>
      </c>
      <c r="BJ6" s="487">
        <f>SUMIFS('GSTR-2A'!$M$6:$M$10000,'GSTR-2A'!$B$6:$B$10000,$C$5:$C$4995,'GSTR-2A'!$A$6:$A$10000,$BG$3)</f>
        <v>0</v>
      </c>
      <c r="BK6" s="488">
        <f>SUMIFS('GSTR-2A'!$N$6:$N$10000,'GSTR-2A'!$B$6:$B$10000,$C$5:$C$4995,'GSTR-2A'!$A$6:$A$10000,$BG$3)</f>
        <v>0</v>
      </c>
      <c r="BL6" s="72">
        <f t="shared" ref="BL6:BL69" si="2">+D6+I6+N6+S6+X6+AC6+AH6+AM6+AR6+AW6+BB6+BG6</f>
        <v>0</v>
      </c>
      <c r="BM6" s="72">
        <f t="shared" ref="BM6:BM69" si="3">+E6+J6+O6+T6+Y6+AD6+AI6+AN6+AS6+AX6+BC6+BH6</f>
        <v>0</v>
      </c>
      <c r="BN6" s="72">
        <f t="shared" ref="BN6:BN69" si="4">+F6+K6+P6+U6+Z6+AE6+AJ6+AO6+AT6+AY6+BD6+BI6</f>
        <v>0</v>
      </c>
      <c r="BO6" s="72">
        <f t="shared" ref="BO6:BO69" si="5">+G6+L6+Q6+V6+AA6+AF6+AK6+AP6+AU6+AZ6+BE6+BJ6</f>
        <v>0</v>
      </c>
      <c r="BP6" s="72">
        <f t="shared" ref="BP6:BP69" si="6">+H6+M6+R6+W6+AB6+AG6+AL6+AQ6+AV6+BA6+BF6+BK6</f>
        <v>0</v>
      </c>
    </row>
    <row r="7" spans="1:68" x14ac:dyDescent="0.2">
      <c r="A7" s="467">
        <v>3</v>
      </c>
      <c r="B7" s="475" t="s">
        <v>857</v>
      </c>
      <c r="C7" s="475" t="s">
        <v>858</v>
      </c>
      <c r="D7" s="72">
        <f>SUMIFS('GSTR-2A'!$G$6:$G$10000,'GSTR-2A'!$B$6:$B$10000,$C$5:$C$4995,'GSTR-2A'!$A$6:$A$10000,$D$3)</f>
        <v>0</v>
      </c>
      <c r="E7" s="72">
        <f>SUMIFS('GSTR-2A'!$K$6:$K$10000,'GSTR-2A'!$B$6:$B$10000,$C$5:$C$4995,'GSTR-2A'!$A$6:$A$10000,$D$3)</f>
        <v>0</v>
      </c>
      <c r="F7" s="72">
        <f>SUMIFS('GSTR-2A'!$L$6:$L$10000,'GSTR-2A'!$B$6:$B$10000,$C$5:$C$4995,'GSTR-2A'!$A$6:$A$10000,$D$3)</f>
        <v>0</v>
      </c>
      <c r="G7" s="72">
        <f>SUMIFS('GSTR-2A'!$M$6:$M$10000,'GSTR-2A'!$B$6:$B$10000,$C$5:$C$4995,'GSTR-2A'!$A$6:$A$10000,$D$3)</f>
        <v>0</v>
      </c>
      <c r="H7" s="72">
        <f>SUMIFS('GSTR-2A'!$N$6:$N$10000,'GSTR-2A'!$B$6:$B$10000,$C$5:$C$4995,'GSTR-2A'!$A$6:$A$10000,$D$3)</f>
        <v>0</v>
      </c>
      <c r="I7" s="486">
        <f>SUMIFS('GSTR-2A'!$G$6:$G$10000,'GSTR-2A'!$B$6:$B$10000,$C$5:$C$4995,'GSTR-2A'!$A$6:$A$10000,$I$3)</f>
        <v>0</v>
      </c>
      <c r="J7" s="487">
        <f>SUMIFS('GSTR-2A'!$K$6:$K$10000,'GSTR-2A'!$B$6:$B$10000,$C$5:$C$4995,'GSTR-2A'!$A$6:$A$10000,$I$3)</f>
        <v>0</v>
      </c>
      <c r="K7" s="487">
        <f>SUMIFS('GSTR-2A'!$L$6:$L$10000,'GSTR-2A'!$B$6:$B$10000,$C$5:$C$4995,'GSTR-2A'!$A$6:$A$10000,$I$3)</f>
        <v>0</v>
      </c>
      <c r="L7" s="487">
        <f>SUMIFS('GSTR-2A'!$M$6:$M$10000,'GSTR-2A'!$B$6:$B$10000,$C$5:$C$4995,'GSTR-2A'!$A$6:$A$10000,$I$3)</f>
        <v>0</v>
      </c>
      <c r="M7" s="488">
        <f>SUMIFS('GSTR-2A'!$N$6:$N$10000,'GSTR-2A'!$B$6:$B$10000,$C$5:$C$4995,'GSTR-2A'!$A$6:$A$10000,$I$3)</f>
        <v>0</v>
      </c>
      <c r="N7" s="486">
        <f>SUMIFS('GSTR-2A'!$G$6:$G$10000,'GSTR-2A'!$B$6:$B$10000,$C$5:$C$4995,'GSTR-2A'!$A$6:$A$10000,$N$3)</f>
        <v>0</v>
      </c>
      <c r="O7" s="487">
        <f>SUMIFS('GSTR-2A'!$K$6:$K$10000,'GSTR-2A'!$B$6:$B$10000,$C$5:$C$4995,'GSTR-2A'!$A$6:$A$10000,$N$3)</f>
        <v>0</v>
      </c>
      <c r="P7" s="487">
        <f>SUMIFS('GSTR-2A'!$L$6:$L$10000,'GSTR-2A'!$B$6:$B$10000,$C$5:$C$4995,'GSTR-2A'!$A$6:$A$10000,$N$3)</f>
        <v>0</v>
      </c>
      <c r="Q7" s="487">
        <f>SUMIFS('GSTR-2A'!$M$6:$M$10000,'GSTR-2A'!$B$6:$B$10000,$C$5:$C$4995,'GSTR-2A'!$A$6:$A$10000,$N$3)</f>
        <v>0</v>
      </c>
      <c r="R7" s="488">
        <f>SUMIFS('GSTR-2A'!$N$6:$N$10000,'GSTR-2A'!$B$6:$B$10000,$C$5:$C$4995,'GSTR-2A'!$A$6:$A$10000,$N$3)</f>
        <v>0</v>
      </c>
      <c r="S7" s="486">
        <f>SUMIFS('GSTR-2A'!$G$6:$G$10000,'GSTR-2A'!$B$6:$B$10000,$C$5:$C$4995,'GSTR-2A'!$A$6:$A$10000,$S$3)</f>
        <v>0</v>
      </c>
      <c r="T7" s="487">
        <f>SUMIFS('GSTR-2A'!$K$6:$K$10000,'GSTR-2A'!$B$6:$B$10000,$C$5:$C$4995,'GSTR-2A'!$A$6:$A$10000,$S$3)</f>
        <v>0</v>
      </c>
      <c r="U7" s="487">
        <f>SUMIFS('GSTR-2A'!$L$6:$L$10000,'GSTR-2A'!$B$6:$B$10000,$C$5:$C$4995,'GSTR-2A'!$A$6:$A$10000,$S$3)</f>
        <v>0</v>
      </c>
      <c r="V7" s="487">
        <f>SUMIFS('GSTR-2A'!$M$6:$M$10000,'GSTR-2A'!$B$6:$B$10000,$C$5:$C$4995,'GSTR-2A'!$A$6:$A$10000,$S$3)</f>
        <v>0</v>
      </c>
      <c r="W7" s="488">
        <f>SUMIFS('GSTR-2A'!$N$6:$N$10000,'GSTR-2A'!$B$6:$B$10000,$C$5:$C$4995,'GSTR-2A'!$A$6:$A$10000,$S$3)</f>
        <v>0</v>
      </c>
      <c r="X7" s="486">
        <f>SUMIFS('GSTR-2A'!$G$6:$G$10000,'GSTR-2A'!$B$6:$B$10000,$C$5:$C$4995,'GSTR-2A'!$A$6:$A$10000,$X$3)</f>
        <v>11800</v>
      </c>
      <c r="Y7" s="487">
        <f>SUMIFS('GSTR-2A'!$K$6:$K$10000,'GSTR-2A'!$B$6:$B$10000,$C$5:$C$4995,'GSTR-2A'!$A$6:$A$10000,$X$3)</f>
        <v>10000</v>
      </c>
      <c r="Z7" s="487">
        <f>SUMIFS('GSTR-2A'!$L$6:$L$10000,'GSTR-2A'!$B$6:$B$10000,$C$5:$C$4995,'GSTR-2A'!$A$6:$A$10000,$X$3)</f>
        <v>0</v>
      </c>
      <c r="AA7" s="487">
        <f>SUMIFS('GSTR-2A'!$M$6:$M$10000,'GSTR-2A'!$B$6:$B$10000,$C$5:$C$4995,'GSTR-2A'!$A$6:$A$10000,$X$3)</f>
        <v>900</v>
      </c>
      <c r="AB7" s="488">
        <f>SUMIFS('GSTR-2A'!$N$6:$N$10000,'GSTR-2A'!$B$6:$B$10000,$C$5:$C$4995,'GSTR-2A'!$A$6:$A$10000,$X$3)</f>
        <v>900</v>
      </c>
      <c r="AC7" s="486">
        <f>SUMIFS('GSTR-2A'!$G$6:$G$10000,'GSTR-2A'!$B$6:$B$10000,$C$5:$C$4995,'GSTR-2A'!$A$6:$A$10000,$AC$3)</f>
        <v>0</v>
      </c>
      <c r="AD7" s="487">
        <f>SUMIFS('GSTR-2A'!$K$6:$K$10000,'GSTR-2A'!$B$6:$B$10000,$C$5:$C$4995,'GSTR-2A'!$A$6:$A$10000,$AC$3)</f>
        <v>0</v>
      </c>
      <c r="AE7" s="487">
        <f>SUMIFS('GSTR-2A'!$L$6:$L$10000,'GSTR-2A'!$B$6:$B$10000,$C$5:$C$4995,'GSTR-2A'!$A$6:$A$10000,$AC$3)</f>
        <v>0</v>
      </c>
      <c r="AF7" s="487">
        <f>SUMIFS('GSTR-2A'!$M$6:$M$10000,'GSTR-2A'!$B$6:$B$10000,$C$5:$C$4995,'GSTR-2A'!$A$6:$A$10000,$AC$3)</f>
        <v>0</v>
      </c>
      <c r="AG7" s="488">
        <f>SUMIFS('GSTR-2A'!$N$6:$N$10000,'GSTR-2A'!$B$6:$B$10000,$C$5:$C$4995,'GSTR-2A'!$A$6:$A$10000,$AC$3)</f>
        <v>0</v>
      </c>
      <c r="AH7" s="486">
        <f>SUMIFS('GSTR-2A'!$G$6:$G$10000,'GSTR-2A'!$B$6:$B$10000,$C$5:$C$4995,'GSTR-2A'!$A$6:$A$10000,$AH$3)</f>
        <v>0</v>
      </c>
      <c r="AI7" s="487">
        <f>SUMIFS('GSTR-2A'!$K$6:$K$10000,'GSTR-2A'!$B$6:$B$10000,$C$5:$C$4995,'GSTR-2A'!$A$6:$A$10000,$AH$3)</f>
        <v>0</v>
      </c>
      <c r="AJ7" s="487">
        <f>SUMIFS('GSTR-2A'!$L$6:$L$10000,'GSTR-2A'!$B$6:$B$10000,$C$5:$C$4995,'GSTR-2A'!$A$6:$A$10000,$AH$3)</f>
        <v>0</v>
      </c>
      <c r="AK7" s="487">
        <f>SUMIFS('GSTR-2A'!$M$6:$M$10000,'GSTR-2A'!$B$6:$B$10000,$C$5:$C$4995,'GSTR-2A'!$A$6:$A$10000,$AH$3)</f>
        <v>0</v>
      </c>
      <c r="AL7" s="488">
        <f>SUMIFS('GSTR-2A'!$N$6:$N$10000,'GSTR-2A'!$B$6:$B$10000,$C$5:$C$4995,'GSTR-2A'!$A$6:$A$10000,$AH$3)</f>
        <v>0</v>
      </c>
      <c r="AM7" s="486">
        <f>SUMIFS('GSTR-2A'!$G$6:$G$10000,'GSTR-2A'!$B$6:$B$10000,$C$5:$C$4995,'GSTR-2A'!$A$6:$A$10000,$AM$3)</f>
        <v>0</v>
      </c>
      <c r="AN7" s="487">
        <f>SUMIFS('GSTR-2A'!$K$6:$K$10000,'GSTR-2A'!$B$6:$B$10000,$C$5:$C$4995,'GSTR-2A'!$A$6:$A$10000,$AM$3)</f>
        <v>0</v>
      </c>
      <c r="AO7" s="487">
        <f>SUMIFS('GSTR-2A'!$L$6:$L$10000,'GSTR-2A'!$B$6:$B$10000,$C$5:$C$4995,'GSTR-2A'!$A$6:$A$10000,$AM$3)</f>
        <v>0</v>
      </c>
      <c r="AP7" s="487">
        <f>SUMIFS('GSTR-2A'!$M$6:$M$10000,'GSTR-2A'!$B$6:$B$10000,$C$5:$C$4995,'GSTR-2A'!$A$6:$A$10000,$AM$3)</f>
        <v>0</v>
      </c>
      <c r="AQ7" s="488">
        <f>SUMIFS('GSTR-2A'!$N$6:$N$10000,'GSTR-2A'!$B$6:$B$10000,$C$5:$C$4995,'GSTR-2A'!$A$6:$A$10000,$AM$3)</f>
        <v>0</v>
      </c>
      <c r="AR7" s="486">
        <f>SUMIFS('GSTR-2A'!$G$6:$G$10000,'GSTR-2A'!$B$6:$B$10000,$C$5:$C$4995,'GSTR-2A'!$A$6:$A$10000,$AR$3)</f>
        <v>0</v>
      </c>
      <c r="AS7" s="487">
        <f>SUMIFS('GSTR-2A'!$K$6:$K$10000,'GSTR-2A'!$B$6:$B$10000,$C$5:$C$4995,'GSTR-2A'!$A$6:$A$10000,$AR$3)</f>
        <v>0</v>
      </c>
      <c r="AT7" s="487">
        <f>SUMIFS('GSTR-2A'!$L$6:$L$10000,'GSTR-2A'!$B$6:$B$10000,$C$5:$C$4995,'GSTR-2A'!$A$6:$A$10000,$AR$3)</f>
        <v>0</v>
      </c>
      <c r="AU7" s="487">
        <f>SUMIFS('GSTR-2A'!$M$6:$M$10000,'GSTR-2A'!$B$6:$B$10000,$C$5:$C$4995,'GSTR-2A'!$A$6:$A$10000,$AR$3)</f>
        <v>0</v>
      </c>
      <c r="AV7" s="488">
        <f>SUMIFS('GSTR-2A'!$N$6:$N$10000,'GSTR-2A'!$B$6:$B$10000,$C$5:$C$4995,'GSTR-2A'!$A$6:$A$10000,$AR$3)</f>
        <v>0</v>
      </c>
      <c r="AW7" s="486">
        <f>SUMIFS('GSTR-2A'!$G$6:$G$10000,'GSTR-2A'!$B$6:$B$10000,$C$5:$C$4995,'GSTR-2A'!$A$6:$A$10000,$AW$3)</f>
        <v>0</v>
      </c>
      <c r="AX7" s="487">
        <f>SUMIFS('GSTR-2A'!$K$6:$K$10000,'GSTR-2A'!$B$6:$B$10000,$C$5:$C$4995,'GSTR-2A'!$A$6:$A$10000,$AW$3)</f>
        <v>0</v>
      </c>
      <c r="AY7" s="487">
        <f>SUMIFS('GSTR-2A'!$L$6:$L$10000,'GSTR-2A'!$B$6:$B$10000,$C$5:$C$4995,'GSTR-2A'!$A$6:$A$10000,$AW$3)</f>
        <v>0</v>
      </c>
      <c r="AZ7" s="487">
        <f>SUMIFS('GSTR-2A'!$M$6:$M$10000,'GSTR-2A'!$B$6:$B$10000,$C$5:$C$4995,'GSTR-2A'!$A$6:$A$10000,$AW$3)</f>
        <v>0</v>
      </c>
      <c r="BA7" s="488">
        <f>SUMIFS('GSTR-2A'!$N$6:$N$10000,'GSTR-2A'!$B$6:$B$10000,$C$5:$C$4995,'GSTR-2A'!$A$6:$A$10000,$AW$3)</f>
        <v>0</v>
      </c>
      <c r="BB7" s="486">
        <f>SUMIFS('GSTR-2A'!$G$6:$G$10000,'GSTR-2A'!$B$6:$B$10000,$C$5:$C$4995,'GSTR-2A'!$A$6:$A$10000,$BB$3)</f>
        <v>0</v>
      </c>
      <c r="BC7" s="487">
        <f>SUMIFS('GSTR-2A'!$K$6:$K$10000,'GSTR-2A'!$B$6:$B$10000,$C$5:$C$4995,'GSTR-2A'!$A$6:$A$10000,$BB$3)</f>
        <v>0</v>
      </c>
      <c r="BD7" s="487">
        <f>SUMIFS('GSTR-2A'!$L$6:$L$10000,'GSTR-2A'!$B$6:$B$10000,$C$5:$C$4995,'GSTR-2A'!$A$6:$A$10000,$BB$3)</f>
        <v>0</v>
      </c>
      <c r="BE7" s="487">
        <f>SUMIFS('GSTR-2A'!$M$6:$M$10000,'GSTR-2A'!$B$6:$B$10000,$C$5:$C$4995,'GSTR-2A'!$A$6:$A$10000,$BB$3)</f>
        <v>0</v>
      </c>
      <c r="BF7" s="488">
        <f>SUMIFS('GSTR-2A'!$N$6:$N$10000,'GSTR-2A'!$B$6:$B$10000,$C$5:$C$4995,'GSTR-2A'!$A$6:$A$10000,$BB$3)</f>
        <v>0</v>
      </c>
      <c r="BG7" s="486">
        <f>SUMIFS('GSTR-2A'!$G$6:$G$10000,'GSTR-2A'!$B$6:$B$10000,$C$5:$C$4995,'GSTR-2A'!$A$6:$A$10000,$BG$3)</f>
        <v>0</v>
      </c>
      <c r="BH7" s="487">
        <f>SUMIFS('GSTR-2A'!$K$6:$K$10000,'GSTR-2A'!$B$6:$B$10000,$C$5:$C$4995,'GSTR-2A'!$A$6:$A$10000,$BG$3)</f>
        <v>0</v>
      </c>
      <c r="BI7" s="487">
        <f>SUMIFS('GSTR-2A'!$L$6:$L$10000,'GSTR-2A'!$B$6:$B$10000,$C$5:$C$4995,'GSTR-2A'!$A$6:$A$10000,$BG$3)</f>
        <v>0</v>
      </c>
      <c r="BJ7" s="487">
        <f>SUMIFS('GSTR-2A'!$M$6:$M$10000,'GSTR-2A'!$B$6:$B$10000,$C$5:$C$4995,'GSTR-2A'!$A$6:$A$10000,$BG$3)</f>
        <v>0</v>
      </c>
      <c r="BK7" s="488">
        <f>SUMIFS('GSTR-2A'!$N$6:$N$10000,'GSTR-2A'!$B$6:$B$10000,$C$5:$C$4995,'GSTR-2A'!$A$6:$A$10000,$BG$3)</f>
        <v>0</v>
      </c>
      <c r="BL7" s="72">
        <f t="shared" si="2"/>
        <v>11800</v>
      </c>
      <c r="BM7" s="72">
        <f t="shared" si="3"/>
        <v>10000</v>
      </c>
      <c r="BN7" s="72">
        <f t="shared" si="4"/>
        <v>0</v>
      </c>
      <c r="BO7" s="72">
        <f t="shared" si="5"/>
        <v>900</v>
      </c>
      <c r="BP7" s="72">
        <f t="shared" si="6"/>
        <v>900</v>
      </c>
    </row>
    <row r="8" spans="1:68" x14ac:dyDescent="0.2">
      <c r="A8" s="467">
        <v>4</v>
      </c>
      <c r="B8" s="468" t="s">
        <v>1063</v>
      </c>
      <c r="C8" s="469" t="s">
        <v>1064</v>
      </c>
      <c r="D8" s="72">
        <f>SUMIFS('GSTR-2A'!$G$6:$G$10000,'GSTR-2A'!$B$6:$B$10000,$C$5:$C$4995,'GSTR-2A'!$A$6:$A$10000,$D$3)</f>
        <v>0</v>
      </c>
      <c r="E8" s="72">
        <f>SUMIFS('GSTR-2A'!$K$6:$K$10000,'GSTR-2A'!$B$6:$B$10000,$C$5:$C$4995,'GSTR-2A'!$A$6:$A$10000,$D$3)</f>
        <v>0</v>
      </c>
      <c r="F8" s="72">
        <f>SUMIFS('GSTR-2A'!$L$6:$L$10000,'GSTR-2A'!$B$6:$B$10000,$C$5:$C$4995,'GSTR-2A'!$A$6:$A$10000,$D$3)</f>
        <v>0</v>
      </c>
      <c r="G8" s="72">
        <f>SUMIFS('GSTR-2A'!$M$6:$M$10000,'GSTR-2A'!$B$6:$B$10000,$C$5:$C$4995,'GSTR-2A'!$A$6:$A$10000,$D$3)</f>
        <v>0</v>
      </c>
      <c r="H8" s="72">
        <f>SUMIFS('GSTR-2A'!$N$6:$N$10000,'GSTR-2A'!$B$6:$B$10000,$C$5:$C$4995,'GSTR-2A'!$A$6:$A$10000,$D$3)</f>
        <v>0</v>
      </c>
      <c r="I8" s="486">
        <f>SUMIFS('GSTR-2A'!$G$6:$G$10000,'GSTR-2A'!$B$6:$B$10000,$C$5:$C$4995,'GSTR-2A'!$A$6:$A$10000,$I$3)</f>
        <v>0</v>
      </c>
      <c r="J8" s="487">
        <f>SUMIFS('GSTR-2A'!$K$6:$K$10000,'GSTR-2A'!$B$6:$B$10000,$C$5:$C$4995,'GSTR-2A'!$A$6:$A$10000,$I$3)</f>
        <v>0</v>
      </c>
      <c r="K8" s="487">
        <f>SUMIFS('GSTR-2A'!$L$6:$L$10000,'GSTR-2A'!$B$6:$B$10000,$C$5:$C$4995,'GSTR-2A'!$A$6:$A$10000,$I$3)</f>
        <v>0</v>
      </c>
      <c r="L8" s="487">
        <f>SUMIFS('GSTR-2A'!$M$6:$M$10000,'GSTR-2A'!$B$6:$B$10000,$C$5:$C$4995,'GSTR-2A'!$A$6:$A$10000,$I$3)</f>
        <v>0</v>
      </c>
      <c r="M8" s="488">
        <f>SUMIFS('GSTR-2A'!$N$6:$N$10000,'GSTR-2A'!$B$6:$B$10000,$C$5:$C$4995,'GSTR-2A'!$A$6:$A$10000,$I$3)</f>
        <v>0</v>
      </c>
      <c r="N8" s="486">
        <f>SUMIFS('GSTR-2A'!$G$6:$G$10000,'GSTR-2A'!$B$6:$B$10000,$C$5:$C$4995,'GSTR-2A'!$A$6:$A$10000,$N$3)</f>
        <v>0</v>
      </c>
      <c r="O8" s="487">
        <f>SUMIFS('GSTR-2A'!$K$6:$K$10000,'GSTR-2A'!$B$6:$B$10000,$C$5:$C$4995,'GSTR-2A'!$A$6:$A$10000,$N$3)</f>
        <v>0</v>
      </c>
      <c r="P8" s="487">
        <f>SUMIFS('GSTR-2A'!$L$6:$L$10000,'GSTR-2A'!$B$6:$B$10000,$C$5:$C$4995,'GSTR-2A'!$A$6:$A$10000,$N$3)</f>
        <v>0</v>
      </c>
      <c r="Q8" s="487">
        <f>SUMIFS('GSTR-2A'!$M$6:$M$10000,'GSTR-2A'!$B$6:$B$10000,$C$5:$C$4995,'GSTR-2A'!$A$6:$A$10000,$N$3)</f>
        <v>0</v>
      </c>
      <c r="R8" s="488">
        <f>SUMIFS('GSTR-2A'!$N$6:$N$10000,'GSTR-2A'!$B$6:$B$10000,$C$5:$C$4995,'GSTR-2A'!$A$6:$A$10000,$N$3)</f>
        <v>0</v>
      </c>
      <c r="S8" s="486">
        <f>SUMIFS('GSTR-2A'!$G$6:$G$10000,'GSTR-2A'!$B$6:$B$10000,$C$5:$C$4995,'GSTR-2A'!$A$6:$A$10000,$S$3)</f>
        <v>0</v>
      </c>
      <c r="T8" s="487">
        <f>SUMIFS('GSTR-2A'!$K$6:$K$10000,'GSTR-2A'!$B$6:$B$10000,$C$5:$C$4995,'GSTR-2A'!$A$6:$A$10000,$S$3)</f>
        <v>0</v>
      </c>
      <c r="U8" s="487">
        <f>SUMIFS('GSTR-2A'!$L$6:$L$10000,'GSTR-2A'!$B$6:$B$10000,$C$5:$C$4995,'GSTR-2A'!$A$6:$A$10000,$S$3)</f>
        <v>0</v>
      </c>
      <c r="V8" s="487">
        <f>SUMIFS('GSTR-2A'!$M$6:$M$10000,'GSTR-2A'!$B$6:$B$10000,$C$5:$C$4995,'GSTR-2A'!$A$6:$A$10000,$S$3)</f>
        <v>0</v>
      </c>
      <c r="W8" s="488">
        <f>SUMIFS('GSTR-2A'!$N$6:$N$10000,'GSTR-2A'!$B$6:$B$10000,$C$5:$C$4995,'GSTR-2A'!$A$6:$A$10000,$S$3)</f>
        <v>0</v>
      </c>
      <c r="X8" s="486">
        <f>SUMIFS('GSTR-2A'!$G$6:$G$10000,'GSTR-2A'!$B$6:$B$10000,$C$5:$C$4995,'GSTR-2A'!$A$6:$A$10000,$X$3)</f>
        <v>0</v>
      </c>
      <c r="Y8" s="487">
        <f>SUMIFS('GSTR-2A'!$K$6:$K$10000,'GSTR-2A'!$B$6:$B$10000,$C$5:$C$4995,'GSTR-2A'!$A$6:$A$10000,$X$3)</f>
        <v>0</v>
      </c>
      <c r="Z8" s="487">
        <f>SUMIFS('GSTR-2A'!$L$6:$L$10000,'GSTR-2A'!$B$6:$B$10000,$C$5:$C$4995,'GSTR-2A'!$A$6:$A$10000,$X$3)</f>
        <v>0</v>
      </c>
      <c r="AA8" s="487">
        <f>SUMIFS('GSTR-2A'!$M$6:$M$10000,'GSTR-2A'!$B$6:$B$10000,$C$5:$C$4995,'GSTR-2A'!$A$6:$A$10000,$X$3)</f>
        <v>0</v>
      </c>
      <c r="AB8" s="488">
        <f>SUMIFS('GSTR-2A'!$N$6:$N$10000,'GSTR-2A'!$B$6:$B$10000,$C$5:$C$4995,'GSTR-2A'!$A$6:$A$10000,$X$3)</f>
        <v>0</v>
      </c>
      <c r="AC8" s="486">
        <f>SUMIFS('GSTR-2A'!$G$6:$G$10000,'GSTR-2A'!$B$6:$B$10000,$C$5:$C$4995,'GSTR-2A'!$A$6:$A$10000,$AC$3)</f>
        <v>0</v>
      </c>
      <c r="AD8" s="487">
        <f>SUMIFS('GSTR-2A'!$K$6:$K$10000,'GSTR-2A'!$B$6:$B$10000,$C$5:$C$4995,'GSTR-2A'!$A$6:$A$10000,$AC$3)</f>
        <v>0</v>
      </c>
      <c r="AE8" s="487">
        <f>SUMIFS('GSTR-2A'!$L$6:$L$10000,'GSTR-2A'!$B$6:$B$10000,$C$5:$C$4995,'GSTR-2A'!$A$6:$A$10000,$AC$3)</f>
        <v>0</v>
      </c>
      <c r="AF8" s="487">
        <f>SUMIFS('GSTR-2A'!$M$6:$M$10000,'GSTR-2A'!$B$6:$B$10000,$C$5:$C$4995,'GSTR-2A'!$A$6:$A$10000,$AC$3)</f>
        <v>0</v>
      </c>
      <c r="AG8" s="488">
        <f>SUMIFS('GSTR-2A'!$N$6:$N$10000,'GSTR-2A'!$B$6:$B$10000,$C$5:$C$4995,'GSTR-2A'!$A$6:$A$10000,$AC$3)</f>
        <v>0</v>
      </c>
      <c r="AH8" s="486">
        <f>SUMIFS('GSTR-2A'!$G$6:$G$10000,'GSTR-2A'!$B$6:$B$10000,$C$5:$C$4995,'GSTR-2A'!$A$6:$A$10000,$AH$3)</f>
        <v>0</v>
      </c>
      <c r="AI8" s="487">
        <f>SUMIFS('GSTR-2A'!$K$6:$K$10000,'GSTR-2A'!$B$6:$B$10000,$C$5:$C$4995,'GSTR-2A'!$A$6:$A$10000,$AH$3)</f>
        <v>0</v>
      </c>
      <c r="AJ8" s="487">
        <f>SUMIFS('GSTR-2A'!$L$6:$L$10000,'GSTR-2A'!$B$6:$B$10000,$C$5:$C$4995,'GSTR-2A'!$A$6:$A$10000,$AH$3)</f>
        <v>0</v>
      </c>
      <c r="AK8" s="487">
        <f>SUMIFS('GSTR-2A'!$M$6:$M$10000,'GSTR-2A'!$B$6:$B$10000,$C$5:$C$4995,'GSTR-2A'!$A$6:$A$10000,$AH$3)</f>
        <v>0</v>
      </c>
      <c r="AL8" s="488">
        <f>SUMIFS('GSTR-2A'!$N$6:$N$10000,'GSTR-2A'!$B$6:$B$10000,$C$5:$C$4995,'GSTR-2A'!$A$6:$A$10000,$AH$3)</f>
        <v>0</v>
      </c>
      <c r="AM8" s="486">
        <f>SUMIFS('GSTR-2A'!$G$6:$G$10000,'GSTR-2A'!$B$6:$B$10000,$C$5:$C$4995,'GSTR-2A'!$A$6:$A$10000,$AM$3)</f>
        <v>0</v>
      </c>
      <c r="AN8" s="487">
        <f>SUMIFS('GSTR-2A'!$K$6:$K$10000,'GSTR-2A'!$B$6:$B$10000,$C$5:$C$4995,'GSTR-2A'!$A$6:$A$10000,$AM$3)</f>
        <v>0</v>
      </c>
      <c r="AO8" s="487">
        <f>SUMIFS('GSTR-2A'!$L$6:$L$10000,'GSTR-2A'!$B$6:$B$10000,$C$5:$C$4995,'GSTR-2A'!$A$6:$A$10000,$AM$3)</f>
        <v>0</v>
      </c>
      <c r="AP8" s="487">
        <f>SUMIFS('GSTR-2A'!$M$6:$M$10000,'GSTR-2A'!$B$6:$B$10000,$C$5:$C$4995,'GSTR-2A'!$A$6:$A$10000,$AM$3)</f>
        <v>0</v>
      </c>
      <c r="AQ8" s="488">
        <f>SUMIFS('GSTR-2A'!$N$6:$N$10000,'GSTR-2A'!$B$6:$B$10000,$C$5:$C$4995,'GSTR-2A'!$A$6:$A$10000,$AM$3)</f>
        <v>0</v>
      </c>
      <c r="AR8" s="486">
        <f>SUMIFS('GSTR-2A'!$G$6:$G$10000,'GSTR-2A'!$B$6:$B$10000,$C$5:$C$4995,'GSTR-2A'!$A$6:$A$10000,$AR$3)</f>
        <v>0</v>
      </c>
      <c r="AS8" s="487">
        <f>SUMIFS('GSTR-2A'!$K$6:$K$10000,'GSTR-2A'!$B$6:$B$10000,$C$5:$C$4995,'GSTR-2A'!$A$6:$A$10000,$AR$3)</f>
        <v>0</v>
      </c>
      <c r="AT8" s="487">
        <f>SUMIFS('GSTR-2A'!$L$6:$L$10000,'GSTR-2A'!$B$6:$B$10000,$C$5:$C$4995,'GSTR-2A'!$A$6:$A$10000,$AR$3)</f>
        <v>0</v>
      </c>
      <c r="AU8" s="487">
        <f>SUMIFS('GSTR-2A'!$M$6:$M$10000,'GSTR-2A'!$B$6:$B$10000,$C$5:$C$4995,'GSTR-2A'!$A$6:$A$10000,$AR$3)</f>
        <v>0</v>
      </c>
      <c r="AV8" s="488">
        <f>SUMIFS('GSTR-2A'!$N$6:$N$10000,'GSTR-2A'!$B$6:$B$10000,$C$5:$C$4995,'GSTR-2A'!$A$6:$A$10000,$AR$3)</f>
        <v>0</v>
      </c>
      <c r="AW8" s="486">
        <f>SUMIFS('GSTR-2A'!$G$6:$G$10000,'GSTR-2A'!$B$6:$B$10000,$C$5:$C$4995,'GSTR-2A'!$A$6:$A$10000,$AW$3)</f>
        <v>0</v>
      </c>
      <c r="AX8" s="487">
        <f>SUMIFS('GSTR-2A'!$K$6:$K$10000,'GSTR-2A'!$B$6:$B$10000,$C$5:$C$4995,'GSTR-2A'!$A$6:$A$10000,$AW$3)</f>
        <v>0</v>
      </c>
      <c r="AY8" s="487">
        <f>SUMIFS('GSTR-2A'!$L$6:$L$10000,'GSTR-2A'!$B$6:$B$10000,$C$5:$C$4995,'GSTR-2A'!$A$6:$A$10000,$AW$3)</f>
        <v>0</v>
      </c>
      <c r="AZ8" s="487">
        <f>SUMIFS('GSTR-2A'!$M$6:$M$10000,'GSTR-2A'!$B$6:$B$10000,$C$5:$C$4995,'GSTR-2A'!$A$6:$A$10000,$AW$3)</f>
        <v>0</v>
      </c>
      <c r="BA8" s="488">
        <f>SUMIFS('GSTR-2A'!$N$6:$N$10000,'GSTR-2A'!$B$6:$B$10000,$C$5:$C$4995,'GSTR-2A'!$A$6:$A$10000,$AW$3)</f>
        <v>0</v>
      </c>
      <c r="BB8" s="486">
        <f>SUMIFS('GSTR-2A'!$G$6:$G$10000,'GSTR-2A'!$B$6:$B$10000,$C$5:$C$4995,'GSTR-2A'!$A$6:$A$10000,$BB$3)</f>
        <v>0</v>
      </c>
      <c r="BC8" s="487">
        <f>SUMIFS('GSTR-2A'!$K$6:$K$10000,'GSTR-2A'!$B$6:$B$10000,$C$5:$C$4995,'GSTR-2A'!$A$6:$A$10000,$BB$3)</f>
        <v>0</v>
      </c>
      <c r="BD8" s="487">
        <f>SUMIFS('GSTR-2A'!$L$6:$L$10000,'GSTR-2A'!$B$6:$B$10000,$C$5:$C$4995,'GSTR-2A'!$A$6:$A$10000,$BB$3)</f>
        <v>0</v>
      </c>
      <c r="BE8" s="487">
        <f>SUMIFS('GSTR-2A'!$M$6:$M$10000,'GSTR-2A'!$B$6:$B$10000,$C$5:$C$4995,'GSTR-2A'!$A$6:$A$10000,$BB$3)</f>
        <v>0</v>
      </c>
      <c r="BF8" s="488">
        <f>SUMIFS('GSTR-2A'!$N$6:$N$10000,'GSTR-2A'!$B$6:$B$10000,$C$5:$C$4995,'GSTR-2A'!$A$6:$A$10000,$BB$3)</f>
        <v>0</v>
      </c>
      <c r="BG8" s="486">
        <f>SUMIFS('GSTR-2A'!$G$6:$G$10000,'GSTR-2A'!$B$6:$B$10000,$C$5:$C$4995,'GSTR-2A'!$A$6:$A$10000,$BG$3)</f>
        <v>0</v>
      </c>
      <c r="BH8" s="487">
        <f>SUMIFS('GSTR-2A'!$K$6:$K$10000,'GSTR-2A'!$B$6:$B$10000,$C$5:$C$4995,'GSTR-2A'!$A$6:$A$10000,$BG$3)</f>
        <v>0</v>
      </c>
      <c r="BI8" s="487">
        <f>SUMIFS('GSTR-2A'!$L$6:$L$10000,'GSTR-2A'!$B$6:$B$10000,$C$5:$C$4995,'GSTR-2A'!$A$6:$A$10000,$BG$3)</f>
        <v>0</v>
      </c>
      <c r="BJ8" s="487">
        <f>SUMIFS('GSTR-2A'!$M$6:$M$10000,'GSTR-2A'!$B$6:$B$10000,$C$5:$C$4995,'GSTR-2A'!$A$6:$A$10000,$BG$3)</f>
        <v>0</v>
      </c>
      <c r="BK8" s="488">
        <f>SUMIFS('GSTR-2A'!$N$6:$N$10000,'GSTR-2A'!$B$6:$B$10000,$C$5:$C$4995,'GSTR-2A'!$A$6:$A$10000,$BG$3)</f>
        <v>0</v>
      </c>
      <c r="BL8" s="72">
        <f t="shared" si="2"/>
        <v>0</v>
      </c>
      <c r="BM8" s="72">
        <f t="shared" si="3"/>
        <v>0</v>
      </c>
      <c r="BN8" s="72">
        <f t="shared" si="4"/>
        <v>0</v>
      </c>
      <c r="BO8" s="72">
        <f t="shared" si="5"/>
        <v>0</v>
      </c>
      <c r="BP8" s="72">
        <f t="shared" si="6"/>
        <v>0</v>
      </c>
    </row>
    <row r="9" spans="1:68" x14ac:dyDescent="0.2">
      <c r="A9" s="467">
        <v>5</v>
      </c>
      <c r="B9" s="468" t="s">
        <v>493</v>
      </c>
      <c r="C9" s="469" t="s">
        <v>494</v>
      </c>
      <c r="D9" s="72">
        <f>SUMIFS('GSTR-2A'!$G$6:$G$10000,'GSTR-2A'!$B$6:$B$10000,$C$5:$C$4995,'GSTR-2A'!$A$6:$A$10000,$D$3)</f>
        <v>95735</v>
      </c>
      <c r="E9" s="72">
        <f>SUMIFS('GSTR-2A'!$K$6:$K$10000,'GSTR-2A'!$B$6:$B$10000,$C$5:$C$4995,'GSTR-2A'!$A$6:$A$10000,$D$3)</f>
        <v>81131.45</v>
      </c>
      <c r="F9" s="72">
        <f>SUMIFS('GSTR-2A'!$L$6:$L$10000,'GSTR-2A'!$B$6:$B$10000,$C$5:$C$4995,'GSTR-2A'!$A$6:$A$10000,$D$3)</f>
        <v>0</v>
      </c>
      <c r="G9" s="72">
        <f>SUMIFS('GSTR-2A'!$M$6:$M$10000,'GSTR-2A'!$B$6:$B$10000,$C$5:$C$4995,'GSTR-2A'!$A$6:$A$10000,$D$3)</f>
        <v>7301.83</v>
      </c>
      <c r="H9" s="72">
        <f>SUMIFS('GSTR-2A'!$N$6:$N$10000,'GSTR-2A'!$B$6:$B$10000,$C$5:$C$4995,'GSTR-2A'!$A$6:$A$10000,$D$3)</f>
        <v>7301.83</v>
      </c>
      <c r="I9" s="486">
        <f>SUMIFS('GSTR-2A'!$G$6:$G$10000,'GSTR-2A'!$B$6:$B$10000,$C$5:$C$4995,'GSTR-2A'!$A$6:$A$10000,$I$3)</f>
        <v>202534</v>
      </c>
      <c r="J9" s="487">
        <f>SUMIFS('GSTR-2A'!$K$6:$K$10000,'GSTR-2A'!$B$6:$B$10000,$C$5:$C$4995,'GSTR-2A'!$A$6:$A$10000,$I$3)</f>
        <v>171638.33999999997</v>
      </c>
      <c r="K9" s="487">
        <f>SUMIFS('GSTR-2A'!$L$6:$L$10000,'GSTR-2A'!$B$6:$B$10000,$C$5:$C$4995,'GSTR-2A'!$A$6:$A$10000,$I$3)</f>
        <v>0</v>
      </c>
      <c r="L9" s="487">
        <f>SUMIFS('GSTR-2A'!$M$6:$M$10000,'GSTR-2A'!$B$6:$B$10000,$C$5:$C$4995,'GSTR-2A'!$A$6:$A$10000,$I$3)</f>
        <v>15447.460000000001</v>
      </c>
      <c r="M9" s="488">
        <f>SUMIFS('GSTR-2A'!$N$6:$N$10000,'GSTR-2A'!$B$6:$B$10000,$C$5:$C$4995,'GSTR-2A'!$A$6:$A$10000,$I$3)</f>
        <v>15447.460000000001</v>
      </c>
      <c r="N9" s="486">
        <f>SUMIFS('GSTR-2A'!$G$6:$G$10000,'GSTR-2A'!$B$6:$B$10000,$C$5:$C$4995,'GSTR-2A'!$A$6:$A$10000,$N$3)</f>
        <v>197737</v>
      </c>
      <c r="O9" s="487">
        <f>SUMIFS('GSTR-2A'!$K$6:$K$10000,'GSTR-2A'!$B$6:$B$10000,$C$5:$C$4995,'GSTR-2A'!$A$6:$A$10000,$N$3)</f>
        <v>167574.10999999999</v>
      </c>
      <c r="P9" s="487">
        <f>SUMIFS('GSTR-2A'!$L$6:$L$10000,'GSTR-2A'!$B$6:$B$10000,$C$5:$C$4995,'GSTR-2A'!$A$6:$A$10000,$N$3)</f>
        <v>0</v>
      </c>
      <c r="Q9" s="487">
        <f>SUMIFS('GSTR-2A'!$M$6:$M$10000,'GSTR-2A'!$B$6:$B$10000,$C$5:$C$4995,'GSTR-2A'!$A$6:$A$10000,$N$3)</f>
        <v>15081.68</v>
      </c>
      <c r="R9" s="488">
        <f>SUMIFS('GSTR-2A'!$N$6:$N$10000,'GSTR-2A'!$B$6:$B$10000,$C$5:$C$4995,'GSTR-2A'!$A$6:$A$10000,$N$3)</f>
        <v>15081.68</v>
      </c>
      <c r="S9" s="486">
        <f>SUMIFS('GSTR-2A'!$G$6:$G$10000,'GSTR-2A'!$B$6:$B$10000,$C$5:$C$4995,'GSTR-2A'!$A$6:$A$10000,$S$3)</f>
        <v>253495</v>
      </c>
      <c r="T9" s="487">
        <f>SUMIFS('GSTR-2A'!$K$6:$K$10000,'GSTR-2A'!$B$6:$B$10000,$C$5:$C$4995,'GSTR-2A'!$A$6:$A$10000,$S$3)</f>
        <v>214825.87999999998</v>
      </c>
      <c r="U9" s="487">
        <f>SUMIFS('GSTR-2A'!$L$6:$L$10000,'GSTR-2A'!$B$6:$B$10000,$C$5:$C$4995,'GSTR-2A'!$A$6:$A$10000,$S$3)</f>
        <v>0</v>
      </c>
      <c r="V9" s="487">
        <f>SUMIFS('GSTR-2A'!$M$6:$M$10000,'GSTR-2A'!$B$6:$B$10000,$C$5:$C$4995,'GSTR-2A'!$A$6:$A$10000,$S$3)</f>
        <v>19334.329999999998</v>
      </c>
      <c r="W9" s="488">
        <f>SUMIFS('GSTR-2A'!$N$6:$N$10000,'GSTR-2A'!$B$6:$B$10000,$C$5:$C$4995,'GSTR-2A'!$A$6:$A$10000,$S$3)</f>
        <v>19334.329999999998</v>
      </c>
      <c r="X9" s="486">
        <f>SUMIFS('GSTR-2A'!$G$6:$G$10000,'GSTR-2A'!$B$6:$B$10000,$C$5:$C$4995,'GSTR-2A'!$A$6:$A$10000,$X$3)</f>
        <v>157675</v>
      </c>
      <c r="Y9" s="487">
        <f>SUMIFS('GSTR-2A'!$K$6:$K$10000,'GSTR-2A'!$B$6:$B$10000,$C$5:$C$4995,'GSTR-2A'!$A$6:$A$10000,$X$3)</f>
        <v>133623.35999999999</v>
      </c>
      <c r="Z9" s="487">
        <f>SUMIFS('GSTR-2A'!$L$6:$L$10000,'GSTR-2A'!$B$6:$B$10000,$C$5:$C$4995,'GSTR-2A'!$A$6:$A$10000,$X$3)</f>
        <v>0</v>
      </c>
      <c r="AA9" s="487">
        <f>SUMIFS('GSTR-2A'!$M$6:$M$10000,'GSTR-2A'!$B$6:$B$10000,$C$5:$C$4995,'GSTR-2A'!$A$6:$A$10000,$X$3)</f>
        <v>12026.11</v>
      </c>
      <c r="AB9" s="488">
        <f>SUMIFS('GSTR-2A'!$N$6:$N$10000,'GSTR-2A'!$B$6:$B$10000,$C$5:$C$4995,'GSTR-2A'!$A$6:$A$10000,$X$3)</f>
        <v>12026.11</v>
      </c>
      <c r="AC9" s="486">
        <f>SUMIFS('GSTR-2A'!$G$6:$G$10000,'GSTR-2A'!$B$6:$B$10000,$C$5:$C$4995,'GSTR-2A'!$A$6:$A$10000,$AC$3)</f>
        <v>170454</v>
      </c>
      <c r="AD9" s="487">
        <f>SUMIFS('GSTR-2A'!$K$6:$K$10000,'GSTR-2A'!$B$6:$B$10000,$C$5:$C$4995,'GSTR-2A'!$A$6:$A$10000,$AC$3)</f>
        <v>144452.54999999999</v>
      </c>
      <c r="AE9" s="487">
        <f>SUMIFS('GSTR-2A'!$L$6:$L$10000,'GSTR-2A'!$B$6:$B$10000,$C$5:$C$4995,'GSTR-2A'!$A$6:$A$10000,$AC$3)</f>
        <v>0</v>
      </c>
      <c r="AF9" s="487">
        <f>SUMIFS('GSTR-2A'!$M$6:$M$10000,'GSTR-2A'!$B$6:$B$10000,$C$5:$C$4995,'GSTR-2A'!$A$6:$A$10000,$AC$3)</f>
        <v>13000.730000000001</v>
      </c>
      <c r="AG9" s="488">
        <f>SUMIFS('GSTR-2A'!$N$6:$N$10000,'GSTR-2A'!$B$6:$B$10000,$C$5:$C$4995,'GSTR-2A'!$A$6:$A$10000,$AC$3)</f>
        <v>13000.730000000001</v>
      </c>
      <c r="AH9" s="486">
        <f>SUMIFS('GSTR-2A'!$G$6:$G$10000,'GSTR-2A'!$B$6:$B$10000,$C$5:$C$4995,'GSTR-2A'!$A$6:$A$10000,$AH$3)</f>
        <v>141339</v>
      </c>
      <c r="AI9" s="487">
        <f>SUMIFS('GSTR-2A'!$K$6:$K$10000,'GSTR-2A'!$B$6:$B$10000,$C$5:$C$4995,'GSTR-2A'!$A$6:$A$10000,$AH$3)</f>
        <v>119777.90000000001</v>
      </c>
      <c r="AJ9" s="487">
        <f>SUMIFS('GSTR-2A'!$L$6:$L$10000,'GSTR-2A'!$B$6:$B$10000,$C$5:$C$4995,'GSTR-2A'!$A$6:$A$10000,$AH$3)</f>
        <v>0</v>
      </c>
      <c r="AK9" s="487">
        <f>SUMIFS('GSTR-2A'!$M$6:$M$10000,'GSTR-2A'!$B$6:$B$10000,$C$5:$C$4995,'GSTR-2A'!$A$6:$A$10000,$AH$3)</f>
        <v>10780.01</v>
      </c>
      <c r="AL9" s="488">
        <f>SUMIFS('GSTR-2A'!$N$6:$N$10000,'GSTR-2A'!$B$6:$B$10000,$C$5:$C$4995,'GSTR-2A'!$A$6:$A$10000,$AH$3)</f>
        <v>10780.01</v>
      </c>
      <c r="AM9" s="486">
        <f>SUMIFS('GSTR-2A'!$G$6:$G$10000,'GSTR-2A'!$B$6:$B$10000,$C$5:$C$4995,'GSTR-2A'!$A$6:$A$10000,$AM$3)</f>
        <v>0</v>
      </c>
      <c r="AN9" s="487">
        <f>SUMIFS('GSTR-2A'!$K$6:$K$10000,'GSTR-2A'!$B$6:$B$10000,$C$5:$C$4995,'GSTR-2A'!$A$6:$A$10000,$AM$3)</f>
        <v>0</v>
      </c>
      <c r="AO9" s="487">
        <f>SUMIFS('GSTR-2A'!$L$6:$L$10000,'GSTR-2A'!$B$6:$B$10000,$C$5:$C$4995,'GSTR-2A'!$A$6:$A$10000,$AM$3)</f>
        <v>0</v>
      </c>
      <c r="AP9" s="487">
        <f>SUMIFS('GSTR-2A'!$M$6:$M$10000,'GSTR-2A'!$B$6:$B$10000,$C$5:$C$4995,'GSTR-2A'!$A$6:$A$10000,$AM$3)</f>
        <v>0</v>
      </c>
      <c r="AQ9" s="488">
        <f>SUMIFS('GSTR-2A'!$N$6:$N$10000,'GSTR-2A'!$B$6:$B$10000,$C$5:$C$4995,'GSTR-2A'!$A$6:$A$10000,$AM$3)</f>
        <v>0</v>
      </c>
      <c r="AR9" s="486">
        <f>SUMIFS('GSTR-2A'!$G$6:$G$10000,'GSTR-2A'!$B$6:$B$10000,$C$5:$C$4995,'GSTR-2A'!$A$6:$A$10000,$AR$3)</f>
        <v>0</v>
      </c>
      <c r="AS9" s="487">
        <f>SUMIFS('GSTR-2A'!$K$6:$K$10000,'GSTR-2A'!$B$6:$B$10000,$C$5:$C$4995,'GSTR-2A'!$A$6:$A$10000,$AR$3)</f>
        <v>0</v>
      </c>
      <c r="AT9" s="487">
        <f>SUMIFS('GSTR-2A'!$L$6:$L$10000,'GSTR-2A'!$B$6:$B$10000,$C$5:$C$4995,'GSTR-2A'!$A$6:$A$10000,$AR$3)</f>
        <v>0</v>
      </c>
      <c r="AU9" s="487">
        <f>SUMIFS('GSTR-2A'!$M$6:$M$10000,'GSTR-2A'!$B$6:$B$10000,$C$5:$C$4995,'GSTR-2A'!$A$6:$A$10000,$AR$3)</f>
        <v>0</v>
      </c>
      <c r="AV9" s="488">
        <f>SUMIFS('GSTR-2A'!$N$6:$N$10000,'GSTR-2A'!$B$6:$B$10000,$C$5:$C$4995,'GSTR-2A'!$A$6:$A$10000,$AR$3)</f>
        <v>0</v>
      </c>
      <c r="AW9" s="486">
        <f>SUMIFS('GSTR-2A'!$G$6:$G$10000,'GSTR-2A'!$B$6:$B$10000,$C$5:$C$4995,'GSTR-2A'!$A$6:$A$10000,$AW$3)</f>
        <v>0</v>
      </c>
      <c r="AX9" s="487">
        <f>SUMIFS('GSTR-2A'!$K$6:$K$10000,'GSTR-2A'!$B$6:$B$10000,$C$5:$C$4995,'GSTR-2A'!$A$6:$A$10000,$AW$3)</f>
        <v>0</v>
      </c>
      <c r="AY9" s="487">
        <f>SUMIFS('GSTR-2A'!$L$6:$L$10000,'GSTR-2A'!$B$6:$B$10000,$C$5:$C$4995,'GSTR-2A'!$A$6:$A$10000,$AW$3)</f>
        <v>0</v>
      </c>
      <c r="AZ9" s="487">
        <f>SUMIFS('GSTR-2A'!$M$6:$M$10000,'GSTR-2A'!$B$6:$B$10000,$C$5:$C$4995,'GSTR-2A'!$A$6:$A$10000,$AW$3)</f>
        <v>0</v>
      </c>
      <c r="BA9" s="488">
        <f>SUMIFS('GSTR-2A'!$N$6:$N$10000,'GSTR-2A'!$B$6:$B$10000,$C$5:$C$4995,'GSTR-2A'!$A$6:$A$10000,$AW$3)</f>
        <v>0</v>
      </c>
      <c r="BB9" s="486">
        <f>SUMIFS('GSTR-2A'!$G$6:$G$10000,'GSTR-2A'!$B$6:$B$10000,$C$5:$C$4995,'GSTR-2A'!$A$6:$A$10000,$BB$3)</f>
        <v>0</v>
      </c>
      <c r="BC9" s="487">
        <f>SUMIFS('GSTR-2A'!$K$6:$K$10000,'GSTR-2A'!$B$6:$B$10000,$C$5:$C$4995,'GSTR-2A'!$A$6:$A$10000,$BB$3)</f>
        <v>0</v>
      </c>
      <c r="BD9" s="487">
        <f>SUMIFS('GSTR-2A'!$L$6:$L$10000,'GSTR-2A'!$B$6:$B$10000,$C$5:$C$4995,'GSTR-2A'!$A$6:$A$10000,$BB$3)</f>
        <v>0</v>
      </c>
      <c r="BE9" s="487">
        <f>SUMIFS('GSTR-2A'!$M$6:$M$10000,'GSTR-2A'!$B$6:$B$10000,$C$5:$C$4995,'GSTR-2A'!$A$6:$A$10000,$BB$3)</f>
        <v>0</v>
      </c>
      <c r="BF9" s="488">
        <f>SUMIFS('GSTR-2A'!$N$6:$N$10000,'GSTR-2A'!$B$6:$B$10000,$C$5:$C$4995,'GSTR-2A'!$A$6:$A$10000,$BB$3)</f>
        <v>0</v>
      </c>
      <c r="BG9" s="486">
        <f>SUMIFS('GSTR-2A'!$G$6:$G$10000,'GSTR-2A'!$B$6:$B$10000,$C$5:$C$4995,'GSTR-2A'!$A$6:$A$10000,$BG$3)</f>
        <v>0</v>
      </c>
      <c r="BH9" s="487">
        <f>SUMIFS('GSTR-2A'!$K$6:$K$10000,'GSTR-2A'!$B$6:$B$10000,$C$5:$C$4995,'GSTR-2A'!$A$6:$A$10000,$BG$3)</f>
        <v>0</v>
      </c>
      <c r="BI9" s="487">
        <f>SUMIFS('GSTR-2A'!$L$6:$L$10000,'GSTR-2A'!$B$6:$B$10000,$C$5:$C$4995,'GSTR-2A'!$A$6:$A$10000,$BG$3)</f>
        <v>0</v>
      </c>
      <c r="BJ9" s="487">
        <f>SUMIFS('GSTR-2A'!$M$6:$M$10000,'GSTR-2A'!$B$6:$B$10000,$C$5:$C$4995,'GSTR-2A'!$A$6:$A$10000,$BG$3)</f>
        <v>0</v>
      </c>
      <c r="BK9" s="488">
        <f>SUMIFS('GSTR-2A'!$N$6:$N$10000,'GSTR-2A'!$B$6:$B$10000,$C$5:$C$4995,'GSTR-2A'!$A$6:$A$10000,$BG$3)</f>
        <v>0</v>
      </c>
      <c r="BL9" s="72">
        <f t="shared" si="2"/>
        <v>1218969</v>
      </c>
      <c r="BM9" s="72">
        <f t="shared" si="3"/>
        <v>1033023.59</v>
      </c>
      <c r="BN9" s="72">
        <f t="shared" si="4"/>
        <v>0</v>
      </c>
      <c r="BO9" s="72">
        <f t="shared" si="5"/>
        <v>92972.15</v>
      </c>
      <c r="BP9" s="72">
        <f t="shared" si="6"/>
        <v>92972.15</v>
      </c>
    </row>
    <row r="10" spans="1:68" x14ac:dyDescent="0.2">
      <c r="A10" s="467">
        <v>6</v>
      </c>
      <c r="B10" s="468" t="s">
        <v>1065</v>
      </c>
      <c r="C10" s="469" t="s">
        <v>1066</v>
      </c>
      <c r="D10" s="72">
        <f>SUMIFS('GSTR-2A'!$G$6:$G$10000,'GSTR-2A'!$B$6:$B$10000,$C$5:$C$4995,'GSTR-2A'!$A$6:$A$10000,$D$3)</f>
        <v>0</v>
      </c>
      <c r="E10" s="72">
        <f>SUMIFS('GSTR-2A'!$K$6:$K$10000,'GSTR-2A'!$B$6:$B$10000,$C$5:$C$4995,'GSTR-2A'!$A$6:$A$10000,$D$3)</f>
        <v>0</v>
      </c>
      <c r="F10" s="72">
        <f>SUMIFS('GSTR-2A'!$L$6:$L$10000,'GSTR-2A'!$B$6:$B$10000,$C$5:$C$4995,'GSTR-2A'!$A$6:$A$10000,$D$3)</f>
        <v>0</v>
      </c>
      <c r="G10" s="72">
        <f>SUMIFS('GSTR-2A'!$M$6:$M$10000,'GSTR-2A'!$B$6:$B$10000,$C$5:$C$4995,'GSTR-2A'!$A$6:$A$10000,$D$3)</f>
        <v>0</v>
      </c>
      <c r="H10" s="72">
        <f>SUMIFS('GSTR-2A'!$N$6:$N$10000,'GSTR-2A'!$B$6:$B$10000,$C$5:$C$4995,'GSTR-2A'!$A$6:$A$10000,$D$3)</f>
        <v>0</v>
      </c>
      <c r="I10" s="486">
        <f>SUMIFS('GSTR-2A'!$G$6:$G$10000,'GSTR-2A'!$B$6:$B$10000,$C$5:$C$4995,'GSTR-2A'!$A$6:$A$10000,$I$3)</f>
        <v>0</v>
      </c>
      <c r="J10" s="487">
        <f>SUMIFS('GSTR-2A'!$K$6:$K$10000,'GSTR-2A'!$B$6:$B$10000,$C$5:$C$4995,'GSTR-2A'!$A$6:$A$10000,$I$3)</f>
        <v>0</v>
      </c>
      <c r="K10" s="487">
        <f>SUMIFS('GSTR-2A'!$L$6:$L$10000,'GSTR-2A'!$B$6:$B$10000,$C$5:$C$4995,'GSTR-2A'!$A$6:$A$10000,$I$3)</f>
        <v>0</v>
      </c>
      <c r="L10" s="487">
        <f>SUMIFS('GSTR-2A'!$M$6:$M$10000,'GSTR-2A'!$B$6:$B$10000,$C$5:$C$4995,'GSTR-2A'!$A$6:$A$10000,$I$3)</f>
        <v>0</v>
      </c>
      <c r="M10" s="488">
        <f>SUMIFS('GSTR-2A'!$N$6:$N$10000,'GSTR-2A'!$B$6:$B$10000,$C$5:$C$4995,'GSTR-2A'!$A$6:$A$10000,$I$3)</f>
        <v>0</v>
      </c>
      <c r="N10" s="486">
        <f>SUMIFS('GSTR-2A'!$G$6:$G$10000,'GSTR-2A'!$B$6:$B$10000,$C$5:$C$4995,'GSTR-2A'!$A$6:$A$10000,$N$3)</f>
        <v>0</v>
      </c>
      <c r="O10" s="487">
        <f>SUMIFS('GSTR-2A'!$K$6:$K$10000,'GSTR-2A'!$B$6:$B$10000,$C$5:$C$4995,'GSTR-2A'!$A$6:$A$10000,$N$3)</f>
        <v>0</v>
      </c>
      <c r="P10" s="487">
        <f>SUMIFS('GSTR-2A'!$L$6:$L$10000,'GSTR-2A'!$B$6:$B$10000,$C$5:$C$4995,'GSTR-2A'!$A$6:$A$10000,$N$3)</f>
        <v>0</v>
      </c>
      <c r="Q10" s="487">
        <f>SUMIFS('GSTR-2A'!$M$6:$M$10000,'GSTR-2A'!$B$6:$B$10000,$C$5:$C$4995,'GSTR-2A'!$A$6:$A$10000,$N$3)</f>
        <v>0</v>
      </c>
      <c r="R10" s="488">
        <f>SUMIFS('GSTR-2A'!$N$6:$N$10000,'GSTR-2A'!$B$6:$B$10000,$C$5:$C$4995,'GSTR-2A'!$A$6:$A$10000,$N$3)</f>
        <v>0</v>
      </c>
      <c r="S10" s="486">
        <f>SUMIFS('GSTR-2A'!$G$6:$G$10000,'GSTR-2A'!$B$6:$B$10000,$C$5:$C$4995,'GSTR-2A'!$A$6:$A$10000,$S$3)</f>
        <v>0</v>
      </c>
      <c r="T10" s="487">
        <f>SUMIFS('GSTR-2A'!$K$6:$K$10000,'GSTR-2A'!$B$6:$B$10000,$C$5:$C$4995,'GSTR-2A'!$A$6:$A$10000,$S$3)</f>
        <v>0</v>
      </c>
      <c r="U10" s="487">
        <f>SUMIFS('GSTR-2A'!$L$6:$L$10000,'GSTR-2A'!$B$6:$B$10000,$C$5:$C$4995,'GSTR-2A'!$A$6:$A$10000,$S$3)</f>
        <v>0</v>
      </c>
      <c r="V10" s="487">
        <f>SUMIFS('GSTR-2A'!$M$6:$M$10000,'GSTR-2A'!$B$6:$B$10000,$C$5:$C$4995,'GSTR-2A'!$A$6:$A$10000,$S$3)</f>
        <v>0</v>
      </c>
      <c r="W10" s="488">
        <f>SUMIFS('GSTR-2A'!$N$6:$N$10000,'GSTR-2A'!$B$6:$B$10000,$C$5:$C$4995,'GSTR-2A'!$A$6:$A$10000,$S$3)</f>
        <v>0</v>
      </c>
      <c r="X10" s="486">
        <f>SUMIFS('GSTR-2A'!$G$6:$G$10000,'GSTR-2A'!$B$6:$B$10000,$C$5:$C$4995,'GSTR-2A'!$A$6:$A$10000,$X$3)</f>
        <v>0</v>
      </c>
      <c r="Y10" s="487">
        <f>SUMIFS('GSTR-2A'!$K$6:$K$10000,'GSTR-2A'!$B$6:$B$10000,$C$5:$C$4995,'GSTR-2A'!$A$6:$A$10000,$X$3)</f>
        <v>0</v>
      </c>
      <c r="Z10" s="487">
        <f>SUMIFS('GSTR-2A'!$L$6:$L$10000,'GSTR-2A'!$B$6:$B$10000,$C$5:$C$4995,'GSTR-2A'!$A$6:$A$10000,$X$3)</f>
        <v>0</v>
      </c>
      <c r="AA10" s="487">
        <f>SUMIFS('GSTR-2A'!$M$6:$M$10000,'GSTR-2A'!$B$6:$B$10000,$C$5:$C$4995,'GSTR-2A'!$A$6:$A$10000,$X$3)</f>
        <v>0</v>
      </c>
      <c r="AB10" s="488">
        <f>SUMIFS('GSTR-2A'!$N$6:$N$10000,'GSTR-2A'!$B$6:$B$10000,$C$5:$C$4995,'GSTR-2A'!$A$6:$A$10000,$X$3)</f>
        <v>0</v>
      </c>
      <c r="AC10" s="486">
        <f>SUMIFS('GSTR-2A'!$G$6:$G$10000,'GSTR-2A'!$B$6:$B$10000,$C$5:$C$4995,'GSTR-2A'!$A$6:$A$10000,$AC$3)</f>
        <v>0</v>
      </c>
      <c r="AD10" s="487">
        <f>SUMIFS('GSTR-2A'!$K$6:$K$10000,'GSTR-2A'!$B$6:$B$10000,$C$5:$C$4995,'GSTR-2A'!$A$6:$A$10000,$AC$3)</f>
        <v>0</v>
      </c>
      <c r="AE10" s="487">
        <f>SUMIFS('GSTR-2A'!$L$6:$L$10000,'GSTR-2A'!$B$6:$B$10000,$C$5:$C$4995,'GSTR-2A'!$A$6:$A$10000,$AC$3)</f>
        <v>0</v>
      </c>
      <c r="AF10" s="487">
        <f>SUMIFS('GSTR-2A'!$M$6:$M$10000,'GSTR-2A'!$B$6:$B$10000,$C$5:$C$4995,'GSTR-2A'!$A$6:$A$10000,$AC$3)</f>
        <v>0</v>
      </c>
      <c r="AG10" s="488">
        <f>SUMIFS('GSTR-2A'!$N$6:$N$10000,'GSTR-2A'!$B$6:$B$10000,$C$5:$C$4995,'GSTR-2A'!$A$6:$A$10000,$AC$3)</f>
        <v>0</v>
      </c>
      <c r="AH10" s="486">
        <f>SUMIFS('GSTR-2A'!$G$6:$G$10000,'GSTR-2A'!$B$6:$B$10000,$C$5:$C$4995,'GSTR-2A'!$A$6:$A$10000,$AH$3)</f>
        <v>0</v>
      </c>
      <c r="AI10" s="487">
        <f>SUMIFS('GSTR-2A'!$K$6:$K$10000,'GSTR-2A'!$B$6:$B$10000,$C$5:$C$4995,'GSTR-2A'!$A$6:$A$10000,$AH$3)</f>
        <v>0</v>
      </c>
      <c r="AJ10" s="487">
        <f>SUMIFS('GSTR-2A'!$L$6:$L$10000,'GSTR-2A'!$B$6:$B$10000,$C$5:$C$4995,'GSTR-2A'!$A$6:$A$10000,$AH$3)</f>
        <v>0</v>
      </c>
      <c r="AK10" s="487">
        <f>SUMIFS('GSTR-2A'!$M$6:$M$10000,'GSTR-2A'!$B$6:$B$10000,$C$5:$C$4995,'GSTR-2A'!$A$6:$A$10000,$AH$3)</f>
        <v>0</v>
      </c>
      <c r="AL10" s="488">
        <f>SUMIFS('GSTR-2A'!$N$6:$N$10000,'GSTR-2A'!$B$6:$B$10000,$C$5:$C$4995,'GSTR-2A'!$A$6:$A$10000,$AH$3)</f>
        <v>0</v>
      </c>
      <c r="AM10" s="486">
        <f>SUMIFS('GSTR-2A'!$G$6:$G$10000,'GSTR-2A'!$B$6:$B$10000,$C$5:$C$4995,'GSTR-2A'!$A$6:$A$10000,$AM$3)</f>
        <v>0</v>
      </c>
      <c r="AN10" s="487">
        <f>SUMIFS('GSTR-2A'!$K$6:$K$10000,'GSTR-2A'!$B$6:$B$10000,$C$5:$C$4995,'GSTR-2A'!$A$6:$A$10000,$AM$3)</f>
        <v>0</v>
      </c>
      <c r="AO10" s="487">
        <f>SUMIFS('GSTR-2A'!$L$6:$L$10000,'GSTR-2A'!$B$6:$B$10000,$C$5:$C$4995,'GSTR-2A'!$A$6:$A$10000,$AM$3)</f>
        <v>0</v>
      </c>
      <c r="AP10" s="487">
        <f>SUMIFS('GSTR-2A'!$M$6:$M$10000,'GSTR-2A'!$B$6:$B$10000,$C$5:$C$4995,'GSTR-2A'!$A$6:$A$10000,$AM$3)</f>
        <v>0</v>
      </c>
      <c r="AQ10" s="488">
        <f>SUMIFS('GSTR-2A'!$N$6:$N$10000,'GSTR-2A'!$B$6:$B$10000,$C$5:$C$4995,'GSTR-2A'!$A$6:$A$10000,$AM$3)</f>
        <v>0</v>
      </c>
      <c r="AR10" s="486">
        <f>SUMIFS('GSTR-2A'!$G$6:$G$10000,'GSTR-2A'!$B$6:$B$10000,$C$5:$C$4995,'GSTR-2A'!$A$6:$A$10000,$AR$3)</f>
        <v>0</v>
      </c>
      <c r="AS10" s="487">
        <f>SUMIFS('GSTR-2A'!$K$6:$K$10000,'GSTR-2A'!$B$6:$B$10000,$C$5:$C$4995,'GSTR-2A'!$A$6:$A$10000,$AR$3)</f>
        <v>0</v>
      </c>
      <c r="AT10" s="487">
        <f>SUMIFS('GSTR-2A'!$L$6:$L$10000,'GSTR-2A'!$B$6:$B$10000,$C$5:$C$4995,'GSTR-2A'!$A$6:$A$10000,$AR$3)</f>
        <v>0</v>
      </c>
      <c r="AU10" s="487">
        <f>SUMIFS('GSTR-2A'!$M$6:$M$10000,'GSTR-2A'!$B$6:$B$10000,$C$5:$C$4995,'GSTR-2A'!$A$6:$A$10000,$AR$3)</f>
        <v>0</v>
      </c>
      <c r="AV10" s="488">
        <f>SUMIFS('GSTR-2A'!$N$6:$N$10000,'GSTR-2A'!$B$6:$B$10000,$C$5:$C$4995,'GSTR-2A'!$A$6:$A$10000,$AR$3)</f>
        <v>0</v>
      </c>
      <c r="AW10" s="486">
        <f>SUMIFS('GSTR-2A'!$G$6:$G$10000,'GSTR-2A'!$B$6:$B$10000,$C$5:$C$4995,'GSTR-2A'!$A$6:$A$10000,$AW$3)</f>
        <v>0</v>
      </c>
      <c r="AX10" s="487">
        <f>SUMIFS('GSTR-2A'!$K$6:$K$10000,'GSTR-2A'!$B$6:$B$10000,$C$5:$C$4995,'GSTR-2A'!$A$6:$A$10000,$AW$3)</f>
        <v>0</v>
      </c>
      <c r="AY10" s="487">
        <f>SUMIFS('GSTR-2A'!$L$6:$L$10000,'GSTR-2A'!$B$6:$B$10000,$C$5:$C$4995,'GSTR-2A'!$A$6:$A$10000,$AW$3)</f>
        <v>0</v>
      </c>
      <c r="AZ10" s="487">
        <f>SUMIFS('GSTR-2A'!$M$6:$M$10000,'GSTR-2A'!$B$6:$B$10000,$C$5:$C$4995,'GSTR-2A'!$A$6:$A$10000,$AW$3)</f>
        <v>0</v>
      </c>
      <c r="BA10" s="488">
        <f>SUMIFS('GSTR-2A'!$N$6:$N$10000,'GSTR-2A'!$B$6:$B$10000,$C$5:$C$4995,'GSTR-2A'!$A$6:$A$10000,$AW$3)</f>
        <v>0</v>
      </c>
      <c r="BB10" s="486">
        <f>SUMIFS('GSTR-2A'!$G$6:$G$10000,'GSTR-2A'!$B$6:$B$10000,$C$5:$C$4995,'GSTR-2A'!$A$6:$A$10000,$BB$3)</f>
        <v>0</v>
      </c>
      <c r="BC10" s="487">
        <f>SUMIFS('GSTR-2A'!$K$6:$K$10000,'GSTR-2A'!$B$6:$B$10000,$C$5:$C$4995,'GSTR-2A'!$A$6:$A$10000,$BB$3)</f>
        <v>0</v>
      </c>
      <c r="BD10" s="487">
        <f>SUMIFS('GSTR-2A'!$L$6:$L$10000,'GSTR-2A'!$B$6:$B$10000,$C$5:$C$4995,'GSTR-2A'!$A$6:$A$10000,$BB$3)</f>
        <v>0</v>
      </c>
      <c r="BE10" s="487">
        <f>SUMIFS('GSTR-2A'!$M$6:$M$10000,'GSTR-2A'!$B$6:$B$10000,$C$5:$C$4995,'GSTR-2A'!$A$6:$A$10000,$BB$3)</f>
        <v>0</v>
      </c>
      <c r="BF10" s="488">
        <f>SUMIFS('GSTR-2A'!$N$6:$N$10000,'GSTR-2A'!$B$6:$B$10000,$C$5:$C$4995,'GSTR-2A'!$A$6:$A$10000,$BB$3)</f>
        <v>0</v>
      </c>
      <c r="BG10" s="486">
        <f>SUMIFS('GSTR-2A'!$G$6:$G$10000,'GSTR-2A'!$B$6:$B$10000,$C$5:$C$4995,'GSTR-2A'!$A$6:$A$10000,$BG$3)</f>
        <v>0</v>
      </c>
      <c r="BH10" s="487">
        <f>SUMIFS('GSTR-2A'!$K$6:$K$10000,'GSTR-2A'!$B$6:$B$10000,$C$5:$C$4995,'GSTR-2A'!$A$6:$A$10000,$BG$3)</f>
        <v>0</v>
      </c>
      <c r="BI10" s="487">
        <f>SUMIFS('GSTR-2A'!$L$6:$L$10000,'GSTR-2A'!$B$6:$B$10000,$C$5:$C$4995,'GSTR-2A'!$A$6:$A$10000,$BG$3)</f>
        <v>0</v>
      </c>
      <c r="BJ10" s="487">
        <f>SUMIFS('GSTR-2A'!$M$6:$M$10000,'GSTR-2A'!$B$6:$B$10000,$C$5:$C$4995,'GSTR-2A'!$A$6:$A$10000,$BG$3)</f>
        <v>0</v>
      </c>
      <c r="BK10" s="488">
        <f>SUMIFS('GSTR-2A'!$N$6:$N$10000,'GSTR-2A'!$B$6:$B$10000,$C$5:$C$4995,'GSTR-2A'!$A$6:$A$10000,$BG$3)</f>
        <v>0</v>
      </c>
      <c r="BL10" s="72">
        <f t="shared" si="2"/>
        <v>0</v>
      </c>
      <c r="BM10" s="72">
        <f t="shared" si="3"/>
        <v>0</v>
      </c>
      <c r="BN10" s="72">
        <f t="shared" si="4"/>
        <v>0</v>
      </c>
      <c r="BO10" s="72">
        <f t="shared" si="5"/>
        <v>0</v>
      </c>
      <c r="BP10" s="72">
        <f t="shared" si="6"/>
        <v>0</v>
      </c>
    </row>
    <row r="11" spans="1:68" x14ac:dyDescent="0.2">
      <c r="A11" s="467">
        <v>7</v>
      </c>
      <c r="B11" s="468" t="s">
        <v>511</v>
      </c>
      <c r="C11" s="469" t="s">
        <v>512</v>
      </c>
      <c r="D11" s="72">
        <f>SUMIFS('GSTR-2A'!$G$6:$G$10000,'GSTR-2A'!$B$6:$B$10000,$C$5:$C$4995,'GSTR-2A'!$A$6:$A$10000,$D$3)</f>
        <v>25606</v>
      </c>
      <c r="E11" s="72">
        <f>SUMIFS('GSTR-2A'!$K$6:$K$10000,'GSTR-2A'!$B$6:$B$10000,$C$5:$C$4995,'GSTR-2A'!$A$6:$A$10000,$D$3)</f>
        <v>21700</v>
      </c>
      <c r="F11" s="72">
        <f>SUMIFS('GSTR-2A'!$L$6:$L$10000,'GSTR-2A'!$B$6:$B$10000,$C$5:$C$4995,'GSTR-2A'!$A$6:$A$10000,$D$3)</f>
        <v>0</v>
      </c>
      <c r="G11" s="72">
        <f>SUMIFS('GSTR-2A'!$M$6:$M$10000,'GSTR-2A'!$B$6:$B$10000,$C$5:$C$4995,'GSTR-2A'!$A$6:$A$10000,$D$3)</f>
        <v>1953</v>
      </c>
      <c r="H11" s="72">
        <f>SUMIFS('GSTR-2A'!$N$6:$N$10000,'GSTR-2A'!$B$6:$B$10000,$C$5:$C$4995,'GSTR-2A'!$A$6:$A$10000,$D$3)</f>
        <v>1953</v>
      </c>
      <c r="I11" s="486">
        <f>SUMIFS('GSTR-2A'!$G$6:$G$10000,'GSTR-2A'!$B$6:$B$10000,$C$5:$C$4995,'GSTR-2A'!$A$6:$A$10000,$I$3)</f>
        <v>0</v>
      </c>
      <c r="J11" s="487">
        <f>SUMIFS('GSTR-2A'!$K$6:$K$10000,'GSTR-2A'!$B$6:$B$10000,$C$5:$C$4995,'GSTR-2A'!$A$6:$A$10000,$I$3)</f>
        <v>0</v>
      </c>
      <c r="K11" s="487">
        <f>SUMIFS('GSTR-2A'!$L$6:$L$10000,'GSTR-2A'!$B$6:$B$10000,$C$5:$C$4995,'GSTR-2A'!$A$6:$A$10000,$I$3)</f>
        <v>0</v>
      </c>
      <c r="L11" s="487">
        <f>SUMIFS('GSTR-2A'!$M$6:$M$10000,'GSTR-2A'!$B$6:$B$10000,$C$5:$C$4995,'GSTR-2A'!$A$6:$A$10000,$I$3)</f>
        <v>0</v>
      </c>
      <c r="M11" s="488">
        <f>SUMIFS('GSTR-2A'!$N$6:$N$10000,'GSTR-2A'!$B$6:$B$10000,$C$5:$C$4995,'GSTR-2A'!$A$6:$A$10000,$I$3)</f>
        <v>0</v>
      </c>
      <c r="N11" s="486">
        <f>SUMIFS('GSTR-2A'!$G$6:$G$10000,'GSTR-2A'!$B$6:$B$10000,$C$5:$C$4995,'GSTR-2A'!$A$6:$A$10000,$N$3)</f>
        <v>15635</v>
      </c>
      <c r="O11" s="487">
        <f>SUMIFS('GSTR-2A'!$K$6:$K$10000,'GSTR-2A'!$B$6:$B$10000,$C$5:$C$4995,'GSTR-2A'!$A$6:$A$10000,$N$3)</f>
        <v>13250</v>
      </c>
      <c r="P11" s="487">
        <f>SUMIFS('GSTR-2A'!$L$6:$L$10000,'GSTR-2A'!$B$6:$B$10000,$C$5:$C$4995,'GSTR-2A'!$A$6:$A$10000,$N$3)</f>
        <v>0</v>
      </c>
      <c r="Q11" s="487">
        <f>SUMIFS('GSTR-2A'!$M$6:$M$10000,'GSTR-2A'!$B$6:$B$10000,$C$5:$C$4995,'GSTR-2A'!$A$6:$A$10000,$N$3)</f>
        <v>1192.5</v>
      </c>
      <c r="R11" s="488">
        <f>SUMIFS('GSTR-2A'!$N$6:$N$10000,'GSTR-2A'!$B$6:$B$10000,$C$5:$C$4995,'GSTR-2A'!$A$6:$A$10000,$N$3)</f>
        <v>1192.5</v>
      </c>
      <c r="S11" s="486">
        <f>SUMIFS('GSTR-2A'!$G$6:$G$10000,'GSTR-2A'!$B$6:$B$10000,$C$5:$C$4995,'GSTR-2A'!$A$6:$A$10000,$S$3)</f>
        <v>36580</v>
      </c>
      <c r="T11" s="487">
        <f>SUMIFS('GSTR-2A'!$K$6:$K$10000,'GSTR-2A'!$B$6:$B$10000,$C$5:$C$4995,'GSTR-2A'!$A$6:$A$10000,$S$3)</f>
        <v>31000</v>
      </c>
      <c r="U11" s="487">
        <f>SUMIFS('GSTR-2A'!$L$6:$L$10000,'GSTR-2A'!$B$6:$B$10000,$C$5:$C$4995,'GSTR-2A'!$A$6:$A$10000,$S$3)</f>
        <v>0</v>
      </c>
      <c r="V11" s="487">
        <f>SUMIFS('GSTR-2A'!$M$6:$M$10000,'GSTR-2A'!$B$6:$B$10000,$C$5:$C$4995,'GSTR-2A'!$A$6:$A$10000,$S$3)</f>
        <v>2790</v>
      </c>
      <c r="W11" s="488">
        <f>SUMIFS('GSTR-2A'!$N$6:$N$10000,'GSTR-2A'!$B$6:$B$10000,$C$5:$C$4995,'GSTR-2A'!$A$6:$A$10000,$S$3)</f>
        <v>2790</v>
      </c>
      <c r="X11" s="486">
        <f>SUMIFS('GSTR-2A'!$G$6:$G$10000,'GSTR-2A'!$B$6:$B$10000,$C$5:$C$4995,'GSTR-2A'!$A$6:$A$10000,$X$3)</f>
        <v>0</v>
      </c>
      <c r="Y11" s="487">
        <f>SUMIFS('GSTR-2A'!$K$6:$K$10000,'GSTR-2A'!$B$6:$B$10000,$C$5:$C$4995,'GSTR-2A'!$A$6:$A$10000,$X$3)</f>
        <v>0</v>
      </c>
      <c r="Z11" s="487">
        <f>SUMIFS('GSTR-2A'!$L$6:$L$10000,'GSTR-2A'!$B$6:$B$10000,$C$5:$C$4995,'GSTR-2A'!$A$6:$A$10000,$X$3)</f>
        <v>0</v>
      </c>
      <c r="AA11" s="487">
        <f>SUMIFS('GSTR-2A'!$M$6:$M$10000,'GSTR-2A'!$B$6:$B$10000,$C$5:$C$4995,'GSTR-2A'!$A$6:$A$10000,$X$3)</f>
        <v>0</v>
      </c>
      <c r="AB11" s="488">
        <f>SUMIFS('GSTR-2A'!$N$6:$N$10000,'GSTR-2A'!$B$6:$B$10000,$C$5:$C$4995,'GSTR-2A'!$A$6:$A$10000,$X$3)</f>
        <v>0</v>
      </c>
      <c r="AC11" s="486">
        <f>SUMIFS('GSTR-2A'!$G$6:$G$10000,'GSTR-2A'!$B$6:$B$10000,$C$5:$C$4995,'GSTR-2A'!$A$6:$A$10000,$AC$3)</f>
        <v>15422.6</v>
      </c>
      <c r="AD11" s="487">
        <f>SUMIFS('GSTR-2A'!$K$6:$K$10000,'GSTR-2A'!$B$6:$B$10000,$C$5:$C$4995,'GSTR-2A'!$A$6:$A$10000,$AC$3)</f>
        <v>13070</v>
      </c>
      <c r="AE11" s="487">
        <f>SUMIFS('GSTR-2A'!$L$6:$L$10000,'GSTR-2A'!$B$6:$B$10000,$C$5:$C$4995,'GSTR-2A'!$A$6:$A$10000,$AC$3)</f>
        <v>0</v>
      </c>
      <c r="AF11" s="487">
        <f>SUMIFS('GSTR-2A'!$M$6:$M$10000,'GSTR-2A'!$B$6:$B$10000,$C$5:$C$4995,'GSTR-2A'!$A$6:$A$10000,$AC$3)</f>
        <v>1176.3</v>
      </c>
      <c r="AG11" s="488">
        <f>SUMIFS('GSTR-2A'!$N$6:$N$10000,'GSTR-2A'!$B$6:$B$10000,$C$5:$C$4995,'GSTR-2A'!$A$6:$A$10000,$AC$3)</f>
        <v>1176.3</v>
      </c>
      <c r="AH11" s="486">
        <f>SUMIFS('GSTR-2A'!$G$6:$G$10000,'GSTR-2A'!$B$6:$B$10000,$C$5:$C$4995,'GSTR-2A'!$A$6:$A$10000,$AH$3)</f>
        <v>0</v>
      </c>
      <c r="AI11" s="487">
        <f>SUMIFS('GSTR-2A'!$K$6:$K$10000,'GSTR-2A'!$B$6:$B$10000,$C$5:$C$4995,'GSTR-2A'!$A$6:$A$10000,$AH$3)</f>
        <v>0</v>
      </c>
      <c r="AJ11" s="487">
        <f>SUMIFS('GSTR-2A'!$L$6:$L$10000,'GSTR-2A'!$B$6:$B$10000,$C$5:$C$4995,'GSTR-2A'!$A$6:$A$10000,$AH$3)</f>
        <v>0</v>
      </c>
      <c r="AK11" s="487">
        <f>SUMIFS('GSTR-2A'!$M$6:$M$10000,'GSTR-2A'!$B$6:$B$10000,$C$5:$C$4995,'GSTR-2A'!$A$6:$A$10000,$AH$3)</f>
        <v>0</v>
      </c>
      <c r="AL11" s="488">
        <f>SUMIFS('GSTR-2A'!$N$6:$N$10000,'GSTR-2A'!$B$6:$B$10000,$C$5:$C$4995,'GSTR-2A'!$A$6:$A$10000,$AH$3)</f>
        <v>0</v>
      </c>
      <c r="AM11" s="486">
        <f>SUMIFS('GSTR-2A'!$G$6:$G$10000,'GSTR-2A'!$B$6:$B$10000,$C$5:$C$4995,'GSTR-2A'!$A$6:$A$10000,$AM$3)</f>
        <v>0</v>
      </c>
      <c r="AN11" s="487">
        <f>SUMIFS('GSTR-2A'!$K$6:$K$10000,'GSTR-2A'!$B$6:$B$10000,$C$5:$C$4995,'GSTR-2A'!$A$6:$A$10000,$AM$3)</f>
        <v>0</v>
      </c>
      <c r="AO11" s="487">
        <f>SUMIFS('GSTR-2A'!$L$6:$L$10000,'GSTR-2A'!$B$6:$B$10000,$C$5:$C$4995,'GSTR-2A'!$A$6:$A$10000,$AM$3)</f>
        <v>0</v>
      </c>
      <c r="AP11" s="487">
        <f>SUMIFS('GSTR-2A'!$M$6:$M$10000,'GSTR-2A'!$B$6:$B$10000,$C$5:$C$4995,'GSTR-2A'!$A$6:$A$10000,$AM$3)</f>
        <v>0</v>
      </c>
      <c r="AQ11" s="488">
        <f>SUMIFS('GSTR-2A'!$N$6:$N$10000,'GSTR-2A'!$B$6:$B$10000,$C$5:$C$4995,'GSTR-2A'!$A$6:$A$10000,$AM$3)</f>
        <v>0</v>
      </c>
      <c r="AR11" s="486">
        <f>SUMIFS('GSTR-2A'!$G$6:$G$10000,'GSTR-2A'!$B$6:$B$10000,$C$5:$C$4995,'GSTR-2A'!$A$6:$A$10000,$AR$3)</f>
        <v>0</v>
      </c>
      <c r="AS11" s="487">
        <f>SUMIFS('GSTR-2A'!$K$6:$K$10000,'GSTR-2A'!$B$6:$B$10000,$C$5:$C$4995,'GSTR-2A'!$A$6:$A$10000,$AR$3)</f>
        <v>0</v>
      </c>
      <c r="AT11" s="487">
        <f>SUMIFS('GSTR-2A'!$L$6:$L$10000,'GSTR-2A'!$B$6:$B$10000,$C$5:$C$4995,'GSTR-2A'!$A$6:$A$10000,$AR$3)</f>
        <v>0</v>
      </c>
      <c r="AU11" s="487">
        <f>SUMIFS('GSTR-2A'!$M$6:$M$10000,'GSTR-2A'!$B$6:$B$10000,$C$5:$C$4995,'GSTR-2A'!$A$6:$A$10000,$AR$3)</f>
        <v>0</v>
      </c>
      <c r="AV11" s="488">
        <f>SUMIFS('GSTR-2A'!$N$6:$N$10000,'GSTR-2A'!$B$6:$B$10000,$C$5:$C$4995,'GSTR-2A'!$A$6:$A$10000,$AR$3)</f>
        <v>0</v>
      </c>
      <c r="AW11" s="486">
        <f>SUMIFS('GSTR-2A'!$G$6:$G$10000,'GSTR-2A'!$B$6:$B$10000,$C$5:$C$4995,'GSTR-2A'!$A$6:$A$10000,$AW$3)</f>
        <v>0</v>
      </c>
      <c r="AX11" s="487">
        <f>SUMIFS('GSTR-2A'!$K$6:$K$10000,'GSTR-2A'!$B$6:$B$10000,$C$5:$C$4995,'GSTR-2A'!$A$6:$A$10000,$AW$3)</f>
        <v>0</v>
      </c>
      <c r="AY11" s="487">
        <f>SUMIFS('GSTR-2A'!$L$6:$L$10000,'GSTR-2A'!$B$6:$B$10000,$C$5:$C$4995,'GSTR-2A'!$A$6:$A$10000,$AW$3)</f>
        <v>0</v>
      </c>
      <c r="AZ11" s="487">
        <f>SUMIFS('GSTR-2A'!$M$6:$M$10000,'GSTR-2A'!$B$6:$B$10000,$C$5:$C$4995,'GSTR-2A'!$A$6:$A$10000,$AW$3)</f>
        <v>0</v>
      </c>
      <c r="BA11" s="488">
        <f>SUMIFS('GSTR-2A'!$N$6:$N$10000,'GSTR-2A'!$B$6:$B$10000,$C$5:$C$4995,'GSTR-2A'!$A$6:$A$10000,$AW$3)</f>
        <v>0</v>
      </c>
      <c r="BB11" s="486">
        <f>SUMIFS('GSTR-2A'!$G$6:$G$10000,'GSTR-2A'!$B$6:$B$10000,$C$5:$C$4995,'GSTR-2A'!$A$6:$A$10000,$BB$3)</f>
        <v>0</v>
      </c>
      <c r="BC11" s="487">
        <f>SUMIFS('GSTR-2A'!$K$6:$K$10000,'GSTR-2A'!$B$6:$B$10000,$C$5:$C$4995,'GSTR-2A'!$A$6:$A$10000,$BB$3)</f>
        <v>0</v>
      </c>
      <c r="BD11" s="487">
        <f>SUMIFS('GSTR-2A'!$L$6:$L$10000,'GSTR-2A'!$B$6:$B$10000,$C$5:$C$4995,'GSTR-2A'!$A$6:$A$10000,$BB$3)</f>
        <v>0</v>
      </c>
      <c r="BE11" s="487">
        <f>SUMIFS('GSTR-2A'!$M$6:$M$10000,'GSTR-2A'!$B$6:$B$10000,$C$5:$C$4995,'GSTR-2A'!$A$6:$A$10000,$BB$3)</f>
        <v>0</v>
      </c>
      <c r="BF11" s="488">
        <f>SUMIFS('GSTR-2A'!$N$6:$N$10000,'GSTR-2A'!$B$6:$B$10000,$C$5:$C$4995,'GSTR-2A'!$A$6:$A$10000,$BB$3)</f>
        <v>0</v>
      </c>
      <c r="BG11" s="486">
        <f>SUMIFS('GSTR-2A'!$G$6:$G$10000,'GSTR-2A'!$B$6:$B$10000,$C$5:$C$4995,'GSTR-2A'!$A$6:$A$10000,$BG$3)</f>
        <v>0</v>
      </c>
      <c r="BH11" s="487">
        <f>SUMIFS('GSTR-2A'!$K$6:$K$10000,'GSTR-2A'!$B$6:$B$10000,$C$5:$C$4995,'GSTR-2A'!$A$6:$A$10000,$BG$3)</f>
        <v>0</v>
      </c>
      <c r="BI11" s="487">
        <f>SUMIFS('GSTR-2A'!$L$6:$L$10000,'GSTR-2A'!$B$6:$B$10000,$C$5:$C$4995,'GSTR-2A'!$A$6:$A$10000,$BG$3)</f>
        <v>0</v>
      </c>
      <c r="BJ11" s="487">
        <f>SUMIFS('GSTR-2A'!$M$6:$M$10000,'GSTR-2A'!$B$6:$B$10000,$C$5:$C$4995,'GSTR-2A'!$A$6:$A$10000,$BG$3)</f>
        <v>0</v>
      </c>
      <c r="BK11" s="488">
        <f>SUMIFS('GSTR-2A'!$N$6:$N$10000,'GSTR-2A'!$B$6:$B$10000,$C$5:$C$4995,'GSTR-2A'!$A$6:$A$10000,$BG$3)</f>
        <v>0</v>
      </c>
      <c r="BL11" s="72">
        <f t="shared" si="2"/>
        <v>93243.6</v>
      </c>
      <c r="BM11" s="72">
        <f t="shared" si="3"/>
        <v>79020</v>
      </c>
      <c r="BN11" s="72">
        <f t="shared" si="4"/>
        <v>0</v>
      </c>
      <c r="BO11" s="72">
        <f t="shared" si="5"/>
        <v>7111.8</v>
      </c>
      <c r="BP11" s="72">
        <f t="shared" si="6"/>
        <v>7111.8</v>
      </c>
    </row>
    <row r="12" spans="1:68" x14ac:dyDescent="0.2">
      <c r="A12" s="467">
        <v>8</v>
      </c>
      <c r="B12" s="468" t="s">
        <v>591</v>
      </c>
      <c r="C12" s="469" t="s">
        <v>592</v>
      </c>
      <c r="D12" s="72">
        <f>SUMIFS('GSTR-2A'!$G$6:$G$10000,'GSTR-2A'!$B$6:$B$10000,$C$5:$C$4995,'GSTR-2A'!$A$6:$A$10000,$D$3)</f>
        <v>47790</v>
      </c>
      <c r="E12" s="72">
        <f>SUMIFS('GSTR-2A'!$K$6:$K$10000,'GSTR-2A'!$B$6:$B$10000,$C$5:$C$4995,'GSTR-2A'!$A$6:$A$10000,$D$3)</f>
        <v>40500</v>
      </c>
      <c r="F12" s="72">
        <f>SUMIFS('GSTR-2A'!$L$6:$L$10000,'GSTR-2A'!$B$6:$B$10000,$C$5:$C$4995,'GSTR-2A'!$A$6:$A$10000,$D$3)</f>
        <v>0</v>
      </c>
      <c r="G12" s="72">
        <f>SUMIFS('GSTR-2A'!$M$6:$M$10000,'GSTR-2A'!$B$6:$B$10000,$C$5:$C$4995,'GSTR-2A'!$A$6:$A$10000,$D$3)</f>
        <v>3645</v>
      </c>
      <c r="H12" s="72">
        <f>SUMIFS('GSTR-2A'!$N$6:$N$10000,'GSTR-2A'!$B$6:$B$10000,$C$5:$C$4995,'GSTR-2A'!$A$6:$A$10000,$D$3)</f>
        <v>3645</v>
      </c>
      <c r="I12" s="486">
        <f>SUMIFS('GSTR-2A'!$G$6:$G$10000,'GSTR-2A'!$B$6:$B$10000,$C$5:$C$4995,'GSTR-2A'!$A$6:$A$10000,$I$3)</f>
        <v>115264</v>
      </c>
      <c r="J12" s="487">
        <f>SUMIFS('GSTR-2A'!$K$6:$K$10000,'GSTR-2A'!$B$6:$B$10000,$C$5:$C$4995,'GSTR-2A'!$A$6:$A$10000,$I$3)</f>
        <v>97680</v>
      </c>
      <c r="K12" s="487">
        <f>SUMIFS('GSTR-2A'!$L$6:$L$10000,'GSTR-2A'!$B$6:$B$10000,$C$5:$C$4995,'GSTR-2A'!$A$6:$A$10000,$I$3)</f>
        <v>0</v>
      </c>
      <c r="L12" s="487">
        <f>SUMIFS('GSTR-2A'!$M$6:$M$10000,'GSTR-2A'!$B$6:$B$10000,$C$5:$C$4995,'GSTR-2A'!$A$6:$A$10000,$I$3)</f>
        <v>8791.2000000000007</v>
      </c>
      <c r="M12" s="488">
        <f>SUMIFS('GSTR-2A'!$N$6:$N$10000,'GSTR-2A'!$B$6:$B$10000,$C$5:$C$4995,'GSTR-2A'!$A$6:$A$10000,$I$3)</f>
        <v>8791.2000000000007</v>
      </c>
      <c r="N12" s="486">
        <f>SUMIFS('GSTR-2A'!$G$6:$G$10000,'GSTR-2A'!$B$6:$B$10000,$C$5:$C$4995,'GSTR-2A'!$A$6:$A$10000,$N$3)</f>
        <v>187920</v>
      </c>
      <c r="O12" s="487">
        <f>SUMIFS('GSTR-2A'!$K$6:$K$10000,'GSTR-2A'!$B$6:$B$10000,$C$5:$C$4995,'GSTR-2A'!$A$6:$A$10000,$N$3)</f>
        <v>159254</v>
      </c>
      <c r="P12" s="487">
        <f>SUMIFS('GSTR-2A'!$L$6:$L$10000,'GSTR-2A'!$B$6:$B$10000,$C$5:$C$4995,'GSTR-2A'!$A$6:$A$10000,$N$3)</f>
        <v>0</v>
      </c>
      <c r="Q12" s="487">
        <f>SUMIFS('GSTR-2A'!$M$6:$M$10000,'GSTR-2A'!$B$6:$B$10000,$C$5:$C$4995,'GSTR-2A'!$A$6:$A$10000,$N$3)</f>
        <v>14332.86</v>
      </c>
      <c r="R12" s="488">
        <f>SUMIFS('GSTR-2A'!$N$6:$N$10000,'GSTR-2A'!$B$6:$B$10000,$C$5:$C$4995,'GSTR-2A'!$A$6:$A$10000,$N$3)</f>
        <v>14332.86</v>
      </c>
      <c r="S12" s="486">
        <f>SUMIFS('GSTR-2A'!$G$6:$G$10000,'GSTR-2A'!$B$6:$B$10000,$C$5:$C$4995,'GSTR-2A'!$A$6:$A$10000,$S$3)</f>
        <v>232720</v>
      </c>
      <c r="T12" s="487">
        <f>SUMIFS('GSTR-2A'!$K$6:$K$10000,'GSTR-2A'!$B$6:$B$10000,$C$5:$C$4995,'GSTR-2A'!$A$6:$A$10000,$S$3)</f>
        <v>197220.4</v>
      </c>
      <c r="U12" s="487">
        <f>SUMIFS('GSTR-2A'!$L$6:$L$10000,'GSTR-2A'!$B$6:$B$10000,$C$5:$C$4995,'GSTR-2A'!$A$6:$A$10000,$S$3)</f>
        <v>0</v>
      </c>
      <c r="V12" s="487">
        <f>SUMIFS('GSTR-2A'!$M$6:$M$10000,'GSTR-2A'!$B$6:$B$10000,$C$5:$C$4995,'GSTR-2A'!$A$6:$A$10000,$S$3)</f>
        <v>17749.84</v>
      </c>
      <c r="W12" s="488">
        <f>SUMIFS('GSTR-2A'!$N$6:$N$10000,'GSTR-2A'!$B$6:$B$10000,$C$5:$C$4995,'GSTR-2A'!$A$6:$A$10000,$S$3)</f>
        <v>17749.84</v>
      </c>
      <c r="X12" s="486">
        <f>SUMIFS('GSTR-2A'!$G$6:$G$10000,'GSTR-2A'!$B$6:$B$10000,$C$5:$C$4995,'GSTR-2A'!$A$6:$A$10000,$X$3)</f>
        <v>0</v>
      </c>
      <c r="Y12" s="487">
        <f>SUMIFS('GSTR-2A'!$K$6:$K$10000,'GSTR-2A'!$B$6:$B$10000,$C$5:$C$4995,'GSTR-2A'!$A$6:$A$10000,$X$3)</f>
        <v>0</v>
      </c>
      <c r="Z12" s="487">
        <f>SUMIFS('GSTR-2A'!$L$6:$L$10000,'GSTR-2A'!$B$6:$B$10000,$C$5:$C$4995,'GSTR-2A'!$A$6:$A$10000,$X$3)</f>
        <v>0</v>
      </c>
      <c r="AA12" s="487">
        <f>SUMIFS('GSTR-2A'!$M$6:$M$10000,'GSTR-2A'!$B$6:$B$10000,$C$5:$C$4995,'GSTR-2A'!$A$6:$A$10000,$X$3)</f>
        <v>0</v>
      </c>
      <c r="AB12" s="488">
        <f>SUMIFS('GSTR-2A'!$N$6:$N$10000,'GSTR-2A'!$B$6:$B$10000,$C$5:$C$4995,'GSTR-2A'!$A$6:$A$10000,$X$3)</f>
        <v>0</v>
      </c>
      <c r="AC12" s="486">
        <f>SUMIFS('GSTR-2A'!$G$6:$G$10000,'GSTR-2A'!$B$6:$B$10000,$C$5:$C$4995,'GSTR-2A'!$A$6:$A$10000,$AC$3)</f>
        <v>154096</v>
      </c>
      <c r="AD12" s="487">
        <f>SUMIFS('GSTR-2A'!$K$6:$K$10000,'GSTR-2A'!$B$6:$B$10000,$C$5:$C$4995,'GSTR-2A'!$A$6:$A$10000,$AC$3)</f>
        <v>130589.8</v>
      </c>
      <c r="AE12" s="487">
        <f>SUMIFS('GSTR-2A'!$L$6:$L$10000,'GSTR-2A'!$B$6:$B$10000,$C$5:$C$4995,'GSTR-2A'!$A$6:$A$10000,$AC$3)</f>
        <v>0</v>
      </c>
      <c r="AF12" s="487">
        <f>SUMIFS('GSTR-2A'!$M$6:$M$10000,'GSTR-2A'!$B$6:$B$10000,$C$5:$C$4995,'GSTR-2A'!$A$6:$A$10000,$AC$3)</f>
        <v>11753.08</v>
      </c>
      <c r="AG12" s="488">
        <f>SUMIFS('GSTR-2A'!$N$6:$N$10000,'GSTR-2A'!$B$6:$B$10000,$C$5:$C$4995,'GSTR-2A'!$A$6:$A$10000,$AC$3)</f>
        <v>11753.08</v>
      </c>
      <c r="AH12" s="486">
        <f>SUMIFS('GSTR-2A'!$G$6:$G$10000,'GSTR-2A'!$B$6:$B$10000,$C$5:$C$4995,'GSTR-2A'!$A$6:$A$10000,$AH$3)</f>
        <v>0</v>
      </c>
      <c r="AI12" s="487">
        <f>SUMIFS('GSTR-2A'!$K$6:$K$10000,'GSTR-2A'!$B$6:$B$10000,$C$5:$C$4995,'GSTR-2A'!$A$6:$A$10000,$AH$3)</f>
        <v>0</v>
      </c>
      <c r="AJ12" s="487">
        <f>SUMIFS('GSTR-2A'!$L$6:$L$10000,'GSTR-2A'!$B$6:$B$10000,$C$5:$C$4995,'GSTR-2A'!$A$6:$A$10000,$AH$3)</f>
        <v>0</v>
      </c>
      <c r="AK12" s="487">
        <f>SUMIFS('GSTR-2A'!$M$6:$M$10000,'GSTR-2A'!$B$6:$B$10000,$C$5:$C$4995,'GSTR-2A'!$A$6:$A$10000,$AH$3)</f>
        <v>0</v>
      </c>
      <c r="AL12" s="488">
        <f>SUMIFS('GSTR-2A'!$N$6:$N$10000,'GSTR-2A'!$B$6:$B$10000,$C$5:$C$4995,'GSTR-2A'!$A$6:$A$10000,$AH$3)</f>
        <v>0</v>
      </c>
      <c r="AM12" s="486">
        <f>SUMIFS('GSTR-2A'!$G$6:$G$10000,'GSTR-2A'!$B$6:$B$10000,$C$5:$C$4995,'GSTR-2A'!$A$6:$A$10000,$AM$3)</f>
        <v>0</v>
      </c>
      <c r="AN12" s="487">
        <f>SUMIFS('GSTR-2A'!$K$6:$K$10000,'GSTR-2A'!$B$6:$B$10000,$C$5:$C$4995,'GSTR-2A'!$A$6:$A$10000,$AM$3)</f>
        <v>0</v>
      </c>
      <c r="AO12" s="487">
        <f>SUMIFS('GSTR-2A'!$L$6:$L$10000,'GSTR-2A'!$B$6:$B$10000,$C$5:$C$4995,'GSTR-2A'!$A$6:$A$10000,$AM$3)</f>
        <v>0</v>
      </c>
      <c r="AP12" s="487">
        <f>SUMIFS('GSTR-2A'!$M$6:$M$10000,'GSTR-2A'!$B$6:$B$10000,$C$5:$C$4995,'GSTR-2A'!$A$6:$A$10000,$AM$3)</f>
        <v>0</v>
      </c>
      <c r="AQ12" s="488">
        <f>SUMIFS('GSTR-2A'!$N$6:$N$10000,'GSTR-2A'!$B$6:$B$10000,$C$5:$C$4995,'GSTR-2A'!$A$6:$A$10000,$AM$3)</f>
        <v>0</v>
      </c>
      <c r="AR12" s="486">
        <f>SUMIFS('GSTR-2A'!$G$6:$G$10000,'GSTR-2A'!$B$6:$B$10000,$C$5:$C$4995,'GSTR-2A'!$A$6:$A$10000,$AR$3)</f>
        <v>0</v>
      </c>
      <c r="AS12" s="487">
        <f>SUMIFS('GSTR-2A'!$K$6:$K$10000,'GSTR-2A'!$B$6:$B$10000,$C$5:$C$4995,'GSTR-2A'!$A$6:$A$10000,$AR$3)</f>
        <v>0</v>
      </c>
      <c r="AT12" s="487">
        <f>SUMIFS('GSTR-2A'!$L$6:$L$10000,'GSTR-2A'!$B$6:$B$10000,$C$5:$C$4995,'GSTR-2A'!$A$6:$A$10000,$AR$3)</f>
        <v>0</v>
      </c>
      <c r="AU12" s="487">
        <f>SUMIFS('GSTR-2A'!$M$6:$M$10000,'GSTR-2A'!$B$6:$B$10000,$C$5:$C$4995,'GSTR-2A'!$A$6:$A$10000,$AR$3)</f>
        <v>0</v>
      </c>
      <c r="AV12" s="488">
        <f>SUMIFS('GSTR-2A'!$N$6:$N$10000,'GSTR-2A'!$B$6:$B$10000,$C$5:$C$4995,'GSTR-2A'!$A$6:$A$10000,$AR$3)</f>
        <v>0</v>
      </c>
      <c r="AW12" s="486">
        <f>SUMIFS('GSTR-2A'!$G$6:$G$10000,'GSTR-2A'!$B$6:$B$10000,$C$5:$C$4995,'GSTR-2A'!$A$6:$A$10000,$AW$3)</f>
        <v>0</v>
      </c>
      <c r="AX12" s="487">
        <f>SUMIFS('GSTR-2A'!$K$6:$K$10000,'GSTR-2A'!$B$6:$B$10000,$C$5:$C$4995,'GSTR-2A'!$A$6:$A$10000,$AW$3)</f>
        <v>0</v>
      </c>
      <c r="AY12" s="487">
        <f>SUMIFS('GSTR-2A'!$L$6:$L$10000,'GSTR-2A'!$B$6:$B$10000,$C$5:$C$4995,'GSTR-2A'!$A$6:$A$10000,$AW$3)</f>
        <v>0</v>
      </c>
      <c r="AZ12" s="487">
        <f>SUMIFS('GSTR-2A'!$M$6:$M$10000,'GSTR-2A'!$B$6:$B$10000,$C$5:$C$4995,'GSTR-2A'!$A$6:$A$10000,$AW$3)</f>
        <v>0</v>
      </c>
      <c r="BA12" s="488">
        <f>SUMIFS('GSTR-2A'!$N$6:$N$10000,'GSTR-2A'!$B$6:$B$10000,$C$5:$C$4995,'GSTR-2A'!$A$6:$A$10000,$AW$3)</f>
        <v>0</v>
      </c>
      <c r="BB12" s="486">
        <f>SUMIFS('GSTR-2A'!$G$6:$G$10000,'GSTR-2A'!$B$6:$B$10000,$C$5:$C$4995,'GSTR-2A'!$A$6:$A$10000,$BB$3)</f>
        <v>0</v>
      </c>
      <c r="BC12" s="487">
        <f>SUMIFS('GSTR-2A'!$K$6:$K$10000,'GSTR-2A'!$B$6:$B$10000,$C$5:$C$4995,'GSTR-2A'!$A$6:$A$10000,$BB$3)</f>
        <v>0</v>
      </c>
      <c r="BD12" s="487">
        <f>SUMIFS('GSTR-2A'!$L$6:$L$10000,'GSTR-2A'!$B$6:$B$10000,$C$5:$C$4995,'GSTR-2A'!$A$6:$A$10000,$BB$3)</f>
        <v>0</v>
      </c>
      <c r="BE12" s="487">
        <f>SUMIFS('GSTR-2A'!$M$6:$M$10000,'GSTR-2A'!$B$6:$B$10000,$C$5:$C$4995,'GSTR-2A'!$A$6:$A$10000,$BB$3)</f>
        <v>0</v>
      </c>
      <c r="BF12" s="488">
        <f>SUMIFS('GSTR-2A'!$N$6:$N$10000,'GSTR-2A'!$B$6:$B$10000,$C$5:$C$4995,'GSTR-2A'!$A$6:$A$10000,$BB$3)</f>
        <v>0</v>
      </c>
      <c r="BG12" s="486">
        <f>SUMIFS('GSTR-2A'!$G$6:$G$10000,'GSTR-2A'!$B$6:$B$10000,$C$5:$C$4995,'GSTR-2A'!$A$6:$A$10000,$BG$3)</f>
        <v>0</v>
      </c>
      <c r="BH12" s="487">
        <f>SUMIFS('GSTR-2A'!$K$6:$K$10000,'GSTR-2A'!$B$6:$B$10000,$C$5:$C$4995,'GSTR-2A'!$A$6:$A$10000,$BG$3)</f>
        <v>0</v>
      </c>
      <c r="BI12" s="487">
        <f>SUMIFS('GSTR-2A'!$L$6:$L$10000,'GSTR-2A'!$B$6:$B$10000,$C$5:$C$4995,'GSTR-2A'!$A$6:$A$10000,$BG$3)</f>
        <v>0</v>
      </c>
      <c r="BJ12" s="487">
        <f>SUMIFS('GSTR-2A'!$M$6:$M$10000,'GSTR-2A'!$B$6:$B$10000,$C$5:$C$4995,'GSTR-2A'!$A$6:$A$10000,$BG$3)</f>
        <v>0</v>
      </c>
      <c r="BK12" s="488">
        <f>SUMIFS('GSTR-2A'!$N$6:$N$10000,'GSTR-2A'!$B$6:$B$10000,$C$5:$C$4995,'GSTR-2A'!$A$6:$A$10000,$BG$3)</f>
        <v>0</v>
      </c>
      <c r="BL12" s="72">
        <f t="shared" si="2"/>
        <v>737790</v>
      </c>
      <c r="BM12" s="72">
        <f t="shared" si="3"/>
        <v>625244.20000000007</v>
      </c>
      <c r="BN12" s="72">
        <f t="shared" si="4"/>
        <v>0</v>
      </c>
      <c r="BO12" s="72">
        <f t="shared" si="5"/>
        <v>56271.98</v>
      </c>
      <c r="BP12" s="72">
        <f t="shared" si="6"/>
        <v>56271.98</v>
      </c>
    </row>
    <row r="13" spans="1:68" x14ac:dyDescent="0.2">
      <c r="A13" s="467">
        <v>9</v>
      </c>
      <c r="B13" s="468" t="s">
        <v>521</v>
      </c>
      <c r="C13" s="469" t="s">
        <v>522</v>
      </c>
      <c r="D13" s="72">
        <f>SUMIFS('GSTR-2A'!$G$6:$G$10000,'GSTR-2A'!$B$6:$B$10000,$C$5:$C$4995,'GSTR-2A'!$A$6:$A$10000,$D$3)</f>
        <v>0</v>
      </c>
      <c r="E13" s="72">
        <f>SUMIFS('GSTR-2A'!$K$6:$K$10000,'GSTR-2A'!$B$6:$B$10000,$C$5:$C$4995,'GSTR-2A'!$A$6:$A$10000,$D$3)</f>
        <v>0</v>
      </c>
      <c r="F13" s="72">
        <f>SUMIFS('GSTR-2A'!$L$6:$L$10000,'GSTR-2A'!$B$6:$B$10000,$C$5:$C$4995,'GSTR-2A'!$A$6:$A$10000,$D$3)</f>
        <v>0</v>
      </c>
      <c r="G13" s="72">
        <f>SUMIFS('GSTR-2A'!$M$6:$M$10000,'GSTR-2A'!$B$6:$B$10000,$C$5:$C$4995,'GSTR-2A'!$A$6:$A$10000,$D$3)</f>
        <v>0</v>
      </c>
      <c r="H13" s="72">
        <f>SUMIFS('GSTR-2A'!$N$6:$N$10000,'GSTR-2A'!$B$6:$B$10000,$C$5:$C$4995,'GSTR-2A'!$A$6:$A$10000,$D$3)</f>
        <v>0</v>
      </c>
      <c r="I13" s="486">
        <f>SUMIFS('GSTR-2A'!$G$6:$G$10000,'GSTR-2A'!$B$6:$B$10000,$C$5:$C$4995,'GSTR-2A'!$A$6:$A$10000,$I$3)</f>
        <v>0</v>
      </c>
      <c r="J13" s="487">
        <f>SUMIFS('GSTR-2A'!$K$6:$K$10000,'GSTR-2A'!$B$6:$B$10000,$C$5:$C$4995,'GSTR-2A'!$A$6:$A$10000,$I$3)</f>
        <v>0</v>
      </c>
      <c r="K13" s="487">
        <f>SUMIFS('GSTR-2A'!$L$6:$L$10000,'GSTR-2A'!$B$6:$B$10000,$C$5:$C$4995,'GSTR-2A'!$A$6:$A$10000,$I$3)</f>
        <v>0</v>
      </c>
      <c r="L13" s="487">
        <f>SUMIFS('GSTR-2A'!$M$6:$M$10000,'GSTR-2A'!$B$6:$B$10000,$C$5:$C$4995,'GSTR-2A'!$A$6:$A$10000,$I$3)</f>
        <v>0</v>
      </c>
      <c r="M13" s="488">
        <f>SUMIFS('GSTR-2A'!$N$6:$N$10000,'GSTR-2A'!$B$6:$B$10000,$C$5:$C$4995,'GSTR-2A'!$A$6:$A$10000,$I$3)</f>
        <v>0</v>
      </c>
      <c r="N13" s="486">
        <f>SUMIFS('GSTR-2A'!$G$6:$G$10000,'GSTR-2A'!$B$6:$B$10000,$C$5:$C$4995,'GSTR-2A'!$A$6:$A$10000,$N$3)</f>
        <v>213757</v>
      </c>
      <c r="O13" s="487">
        <f>SUMIFS('GSTR-2A'!$K$6:$K$10000,'GSTR-2A'!$B$6:$B$10000,$C$5:$C$4995,'GSTR-2A'!$A$6:$A$10000,$N$3)</f>
        <v>181150</v>
      </c>
      <c r="P13" s="487">
        <f>SUMIFS('GSTR-2A'!$L$6:$L$10000,'GSTR-2A'!$B$6:$B$10000,$C$5:$C$4995,'GSTR-2A'!$A$6:$A$10000,$N$3)</f>
        <v>0</v>
      </c>
      <c r="Q13" s="487">
        <f>SUMIFS('GSTR-2A'!$M$6:$M$10000,'GSTR-2A'!$B$6:$B$10000,$C$5:$C$4995,'GSTR-2A'!$A$6:$A$10000,$N$3)</f>
        <v>16303.5</v>
      </c>
      <c r="R13" s="488">
        <f>SUMIFS('GSTR-2A'!$N$6:$N$10000,'GSTR-2A'!$B$6:$B$10000,$C$5:$C$4995,'GSTR-2A'!$A$6:$A$10000,$N$3)</f>
        <v>16303.5</v>
      </c>
      <c r="S13" s="486">
        <f>SUMIFS('GSTR-2A'!$G$6:$G$10000,'GSTR-2A'!$B$6:$B$10000,$C$5:$C$4995,'GSTR-2A'!$A$6:$A$10000,$S$3)</f>
        <v>0</v>
      </c>
      <c r="T13" s="487">
        <f>SUMIFS('GSTR-2A'!$K$6:$K$10000,'GSTR-2A'!$B$6:$B$10000,$C$5:$C$4995,'GSTR-2A'!$A$6:$A$10000,$S$3)</f>
        <v>0</v>
      </c>
      <c r="U13" s="487">
        <f>SUMIFS('GSTR-2A'!$L$6:$L$10000,'GSTR-2A'!$B$6:$B$10000,$C$5:$C$4995,'GSTR-2A'!$A$6:$A$10000,$S$3)</f>
        <v>0</v>
      </c>
      <c r="V13" s="487">
        <f>SUMIFS('GSTR-2A'!$M$6:$M$10000,'GSTR-2A'!$B$6:$B$10000,$C$5:$C$4995,'GSTR-2A'!$A$6:$A$10000,$S$3)</f>
        <v>0</v>
      </c>
      <c r="W13" s="488">
        <f>SUMIFS('GSTR-2A'!$N$6:$N$10000,'GSTR-2A'!$B$6:$B$10000,$C$5:$C$4995,'GSTR-2A'!$A$6:$A$10000,$S$3)</f>
        <v>0</v>
      </c>
      <c r="X13" s="486">
        <f>SUMIFS('GSTR-2A'!$G$6:$G$10000,'GSTR-2A'!$B$6:$B$10000,$C$5:$C$4995,'GSTR-2A'!$A$6:$A$10000,$X$3)</f>
        <v>0</v>
      </c>
      <c r="Y13" s="487">
        <f>SUMIFS('GSTR-2A'!$K$6:$K$10000,'GSTR-2A'!$B$6:$B$10000,$C$5:$C$4995,'GSTR-2A'!$A$6:$A$10000,$X$3)</f>
        <v>0</v>
      </c>
      <c r="Z13" s="487">
        <f>SUMIFS('GSTR-2A'!$L$6:$L$10000,'GSTR-2A'!$B$6:$B$10000,$C$5:$C$4995,'GSTR-2A'!$A$6:$A$10000,$X$3)</f>
        <v>0</v>
      </c>
      <c r="AA13" s="487">
        <f>SUMIFS('GSTR-2A'!$M$6:$M$10000,'GSTR-2A'!$B$6:$B$10000,$C$5:$C$4995,'GSTR-2A'!$A$6:$A$10000,$X$3)</f>
        <v>0</v>
      </c>
      <c r="AB13" s="488">
        <f>SUMIFS('GSTR-2A'!$N$6:$N$10000,'GSTR-2A'!$B$6:$B$10000,$C$5:$C$4995,'GSTR-2A'!$A$6:$A$10000,$X$3)</f>
        <v>0</v>
      </c>
      <c r="AC13" s="486">
        <f>SUMIFS('GSTR-2A'!$G$6:$G$10000,'GSTR-2A'!$B$6:$B$10000,$C$5:$C$4995,'GSTR-2A'!$A$6:$A$10000,$AC$3)</f>
        <v>0</v>
      </c>
      <c r="AD13" s="487">
        <f>SUMIFS('GSTR-2A'!$K$6:$K$10000,'GSTR-2A'!$B$6:$B$10000,$C$5:$C$4995,'GSTR-2A'!$A$6:$A$10000,$AC$3)</f>
        <v>0</v>
      </c>
      <c r="AE13" s="487">
        <f>SUMIFS('GSTR-2A'!$L$6:$L$10000,'GSTR-2A'!$B$6:$B$10000,$C$5:$C$4995,'GSTR-2A'!$A$6:$A$10000,$AC$3)</f>
        <v>0</v>
      </c>
      <c r="AF13" s="487">
        <f>SUMIFS('GSTR-2A'!$M$6:$M$10000,'GSTR-2A'!$B$6:$B$10000,$C$5:$C$4995,'GSTR-2A'!$A$6:$A$10000,$AC$3)</f>
        <v>0</v>
      </c>
      <c r="AG13" s="488">
        <f>SUMIFS('GSTR-2A'!$N$6:$N$10000,'GSTR-2A'!$B$6:$B$10000,$C$5:$C$4995,'GSTR-2A'!$A$6:$A$10000,$AC$3)</f>
        <v>0</v>
      </c>
      <c r="AH13" s="486">
        <f>SUMIFS('GSTR-2A'!$G$6:$G$10000,'GSTR-2A'!$B$6:$B$10000,$C$5:$C$4995,'GSTR-2A'!$A$6:$A$10000,$AH$3)</f>
        <v>0</v>
      </c>
      <c r="AI13" s="487">
        <f>SUMIFS('GSTR-2A'!$K$6:$K$10000,'GSTR-2A'!$B$6:$B$10000,$C$5:$C$4995,'GSTR-2A'!$A$6:$A$10000,$AH$3)</f>
        <v>0</v>
      </c>
      <c r="AJ13" s="487">
        <f>SUMIFS('GSTR-2A'!$L$6:$L$10000,'GSTR-2A'!$B$6:$B$10000,$C$5:$C$4995,'GSTR-2A'!$A$6:$A$10000,$AH$3)</f>
        <v>0</v>
      </c>
      <c r="AK13" s="487">
        <f>SUMIFS('GSTR-2A'!$M$6:$M$10000,'GSTR-2A'!$B$6:$B$10000,$C$5:$C$4995,'GSTR-2A'!$A$6:$A$10000,$AH$3)</f>
        <v>0</v>
      </c>
      <c r="AL13" s="488">
        <f>SUMIFS('GSTR-2A'!$N$6:$N$10000,'GSTR-2A'!$B$6:$B$10000,$C$5:$C$4995,'GSTR-2A'!$A$6:$A$10000,$AH$3)</f>
        <v>0</v>
      </c>
      <c r="AM13" s="486">
        <f>SUMIFS('GSTR-2A'!$G$6:$G$10000,'GSTR-2A'!$B$6:$B$10000,$C$5:$C$4995,'GSTR-2A'!$A$6:$A$10000,$AM$3)</f>
        <v>0</v>
      </c>
      <c r="AN13" s="487">
        <f>SUMIFS('GSTR-2A'!$K$6:$K$10000,'GSTR-2A'!$B$6:$B$10000,$C$5:$C$4995,'GSTR-2A'!$A$6:$A$10000,$AM$3)</f>
        <v>0</v>
      </c>
      <c r="AO13" s="487">
        <f>SUMIFS('GSTR-2A'!$L$6:$L$10000,'GSTR-2A'!$B$6:$B$10000,$C$5:$C$4995,'GSTR-2A'!$A$6:$A$10000,$AM$3)</f>
        <v>0</v>
      </c>
      <c r="AP13" s="487">
        <f>SUMIFS('GSTR-2A'!$M$6:$M$10000,'GSTR-2A'!$B$6:$B$10000,$C$5:$C$4995,'GSTR-2A'!$A$6:$A$10000,$AM$3)</f>
        <v>0</v>
      </c>
      <c r="AQ13" s="488">
        <f>SUMIFS('GSTR-2A'!$N$6:$N$10000,'GSTR-2A'!$B$6:$B$10000,$C$5:$C$4995,'GSTR-2A'!$A$6:$A$10000,$AM$3)</f>
        <v>0</v>
      </c>
      <c r="AR13" s="486">
        <f>SUMIFS('GSTR-2A'!$G$6:$G$10000,'GSTR-2A'!$B$6:$B$10000,$C$5:$C$4995,'GSTR-2A'!$A$6:$A$10000,$AR$3)</f>
        <v>0</v>
      </c>
      <c r="AS13" s="487">
        <f>SUMIFS('GSTR-2A'!$K$6:$K$10000,'GSTR-2A'!$B$6:$B$10000,$C$5:$C$4995,'GSTR-2A'!$A$6:$A$10000,$AR$3)</f>
        <v>0</v>
      </c>
      <c r="AT13" s="487">
        <f>SUMIFS('GSTR-2A'!$L$6:$L$10000,'GSTR-2A'!$B$6:$B$10000,$C$5:$C$4995,'GSTR-2A'!$A$6:$A$10000,$AR$3)</f>
        <v>0</v>
      </c>
      <c r="AU13" s="487">
        <f>SUMIFS('GSTR-2A'!$M$6:$M$10000,'GSTR-2A'!$B$6:$B$10000,$C$5:$C$4995,'GSTR-2A'!$A$6:$A$10000,$AR$3)</f>
        <v>0</v>
      </c>
      <c r="AV13" s="488">
        <f>SUMIFS('GSTR-2A'!$N$6:$N$10000,'GSTR-2A'!$B$6:$B$10000,$C$5:$C$4995,'GSTR-2A'!$A$6:$A$10000,$AR$3)</f>
        <v>0</v>
      </c>
      <c r="AW13" s="486">
        <f>SUMIFS('GSTR-2A'!$G$6:$G$10000,'GSTR-2A'!$B$6:$B$10000,$C$5:$C$4995,'GSTR-2A'!$A$6:$A$10000,$AW$3)</f>
        <v>0</v>
      </c>
      <c r="AX13" s="487">
        <f>SUMIFS('GSTR-2A'!$K$6:$K$10000,'GSTR-2A'!$B$6:$B$10000,$C$5:$C$4995,'GSTR-2A'!$A$6:$A$10000,$AW$3)</f>
        <v>0</v>
      </c>
      <c r="AY13" s="487">
        <f>SUMIFS('GSTR-2A'!$L$6:$L$10000,'GSTR-2A'!$B$6:$B$10000,$C$5:$C$4995,'GSTR-2A'!$A$6:$A$10000,$AW$3)</f>
        <v>0</v>
      </c>
      <c r="AZ13" s="487">
        <f>SUMIFS('GSTR-2A'!$M$6:$M$10000,'GSTR-2A'!$B$6:$B$10000,$C$5:$C$4995,'GSTR-2A'!$A$6:$A$10000,$AW$3)</f>
        <v>0</v>
      </c>
      <c r="BA13" s="488">
        <f>SUMIFS('GSTR-2A'!$N$6:$N$10000,'GSTR-2A'!$B$6:$B$10000,$C$5:$C$4995,'GSTR-2A'!$A$6:$A$10000,$AW$3)</f>
        <v>0</v>
      </c>
      <c r="BB13" s="486">
        <f>SUMIFS('GSTR-2A'!$G$6:$G$10000,'GSTR-2A'!$B$6:$B$10000,$C$5:$C$4995,'GSTR-2A'!$A$6:$A$10000,$BB$3)</f>
        <v>0</v>
      </c>
      <c r="BC13" s="487">
        <f>SUMIFS('GSTR-2A'!$K$6:$K$10000,'GSTR-2A'!$B$6:$B$10000,$C$5:$C$4995,'GSTR-2A'!$A$6:$A$10000,$BB$3)</f>
        <v>0</v>
      </c>
      <c r="BD13" s="487">
        <f>SUMIFS('GSTR-2A'!$L$6:$L$10000,'GSTR-2A'!$B$6:$B$10000,$C$5:$C$4995,'GSTR-2A'!$A$6:$A$10000,$BB$3)</f>
        <v>0</v>
      </c>
      <c r="BE13" s="487">
        <f>SUMIFS('GSTR-2A'!$M$6:$M$10000,'GSTR-2A'!$B$6:$B$10000,$C$5:$C$4995,'GSTR-2A'!$A$6:$A$10000,$BB$3)</f>
        <v>0</v>
      </c>
      <c r="BF13" s="488">
        <f>SUMIFS('GSTR-2A'!$N$6:$N$10000,'GSTR-2A'!$B$6:$B$10000,$C$5:$C$4995,'GSTR-2A'!$A$6:$A$10000,$BB$3)</f>
        <v>0</v>
      </c>
      <c r="BG13" s="486">
        <f>SUMIFS('GSTR-2A'!$G$6:$G$10000,'GSTR-2A'!$B$6:$B$10000,$C$5:$C$4995,'GSTR-2A'!$A$6:$A$10000,$BG$3)</f>
        <v>0</v>
      </c>
      <c r="BH13" s="487">
        <f>SUMIFS('GSTR-2A'!$K$6:$K$10000,'GSTR-2A'!$B$6:$B$10000,$C$5:$C$4995,'GSTR-2A'!$A$6:$A$10000,$BG$3)</f>
        <v>0</v>
      </c>
      <c r="BI13" s="487">
        <f>SUMIFS('GSTR-2A'!$L$6:$L$10000,'GSTR-2A'!$B$6:$B$10000,$C$5:$C$4995,'GSTR-2A'!$A$6:$A$10000,$BG$3)</f>
        <v>0</v>
      </c>
      <c r="BJ13" s="487">
        <f>SUMIFS('GSTR-2A'!$M$6:$M$10000,'GSTR-2A'!$B$6:$B$10000,$C$5:$C$4995,'GSTR-2A'!$A$6:$A$10000,$BG$3)</f>
        <v>0</v>
      </c>
      <c r="BK13" s="488">
        <f>SUMIFS('GSTR-2A'!$N$6:$N$10000,'GSTR-2A'!$B$6:$B$10000,$C$5:$C$4995,'GSTR-2A'!$A$6:$A$10000,$BG$3)</f>
        <v>0</v>
      </c>
      <c r="BL13" s="72">
        <f t="shared" si="2"/>
        <v>213757</v>
      </c>
      <c r="BM13" s="72">
        <f t="shared" si="3"/>
        <v>181150</v>
      </c>
      <c r="BN13" s="72">
        <f t="shared" si="4"/>
        <v>0</v>
      </c>
      <c r="BO13" s="72">
        <f t="shared" si="5"/>
        <v>16303.5</v>
      </c>
      <c r="BP13" s="72">
        <f t="shared" si="6"/>
        <v>16303.5</v>
      </c>
    </row>
    <row r="14" spans="1:68" x14ac:dyDescent="0.2">
      <c r="A14" s="467">
        <v>10</v>
      </c>
      <c r="B14" s="468" t="s">
        <v>1067</v>
      </c>
      <c r="C14" s="469" t="s">
        <v>1068</v>
      </c>
      <c r="D14" s="72">
        <f>SUMIFS('GSTR-2A'!$G$6:$G$10000,'GSTR-2A'!$B$6:$B$10000,$C$5:$C$4995,'GSTR-2A'!$A$6:$A$10000,$D$3)</f>
        <v>0</v>
      </c>
      <c r="E14" s="72">
        <f>SUMIFS('GSTR-2A'!$K$6:$K$10000,'GSTR-2A'!$B$6:$B$10000,$C$5:$C$4995,'GSTR-2A'!$A$6:$A$10000,$D$3)</f>
        <v>0</v>
      </c>
      <c r="F14" s="72">
        <f>SUMIFS('GSTR-2A'!$L$6:$L$10000,'GSTR-2A'!$B$6:$B$10000,$C$5:$C$4995,'GSTR-2A'!$A$6:$A$10000,$D$3)</f>
        <v>0</v>
      </c>
      <c r="G14" s="72">
        <f>SUMIFS('GSTR-2A'!$M$6:$M$10000,'GSTR-2A'!$B$6:$B$10000,$C$5:$C$4995,'GSTR-2A'!$A$6:$A$10000,$D$3)</f>
        <v>0</v>
      </c>
      <c r="H14" s="72">
        <f>SUMIFS('GSTR-2A'!$N$6:$N$10000,'GSTR-2A'!$B$6:$B$10000,$C$5:$C$4995,'GSTR-2A'!$A$6:$A$10000,$D$3)</f>
        <v>0</v>
      </c>
      <c r="I14" s="486">
        <f>SUMIFS('GSTR-2A'!$G$6:$G$10000,'GSTR-2A'!$B$6:$B$10000,$C$5:$C$4995,'GSTR-2A'!$A$6:$A$10000,$I$3)</f>
        <v>0</v>
      </c>
      <c r="J14" s="487">
        <f>SUMIFS('GSTR-2A'!$K$6:$K$10000,'GSTR-2A'!$B$6:$B$10000,$C$5:$C$4995,'GSTR-2A'!$A$6:$A$10000,$I$3)</f>
        <v>0</v>
      </c>
      <c r="K14" s="487">
        <f>SUMIFS('GSTR-2A'!$L$6:$L$10000,'GSTR-2A'!$B$6:$B$10000,$C$5:$C$4995,'GSTR-2A'!$A$6:$A$10000,$I$3)</f>
        <v>0</v>
      </c>
      <c r="L14" s="487">
        <f>SUMIFS('GSTR-2A'!$M$6:$M$10000,'GSTR-2A'!$B$6:$B$10000,$C$5:$C$4995,'GSTR-2A'!$A$6:$A$10000,$I$3)</f>
        <v>0</v>
      </c>
      <c r="M14" s="488">
        <f>SUMIFS('GSTR-2A'!$N$6:$N$10000,'GSTR-2A'!$B$6:$B$10000,$C$5:$C$4995,'GSTR-2A'!$A$6:$A$10000,$I$3)</f>
        <v>0</v>
      </c>
      <c r="N14" s="486">
        <f>SUMIFS('GSTR-2A'!$G$6:$G$10000,'GSTR-2A'!$B$6:$B$10000,$C$5:$C$4995,'GSTR-2A'!$A$6:$A$10000,$N$3)</f>
        <v>0</v>
      </c>
      <c r="O14" s="487">
        <f>SUMIFS('GSTR-2A'!$K$6:$K$10000,'GSTR-2A'!$B$6:$B$10000,$C$5:$C$4995,'GSTR-2A'!$A$6:$A$10000,$N$3)</f>
        <v>0</v>
      </c>
      <c r="P14" s="487">
        <f>SUMIFS('GSTR-2A'!$L$6:$L$10000,'GSTR-2A'!$B$6:$B$10000,$C$5:$C$4995,'GSTR-2A'!$A$6:$A$10000,$N$3)</f>
        <v>0</v>
      </c>
      <c r="Q14" s="487">
        <f>SUMIFS('GSTR-2A'!$M$6:$M$10000,'GSTR-2A'!$B$6:$B$10000,$C$5:$C$4995,'GSTR-2A'!$A$6:$A$10000,$N$3)</f>
        <v>0</v>
      </c>
      <c r="R14" s="488">
        <f>SUMIFS('GSTR-2A'!$N$6:$N$10000,'GSTR-2A'!$B$6:$B$10000,$C$5:$C$4995,'GSTR-2A'!$A$6:$A$10000,$N$3)</f>
        <v>0</v>
      </c>
      <c r="S14" s="486">
        <f>SUMIFS('GSTR-2A'!$G$6:$G$10000,'GSTR-2A'!$B$6:$B$10000,$C$5:$C$4995,'GSTR-2A'!$A$6:$A$10000,$S$3)</f>
        <v>0</v>
      </c>
      <c r="T14" s="487">
        <f>SUMIFS('GSTR-2A'!$K$6:$K$10000,'GSTR-2A'!$B$6:$B$10000,$C$5:$C$4995,'GSTR-2A'!$A$6:$A$10000,$S$3)</f>
        <v>0</v>
      </c>
      <c r="U14" s="487">
        <f>SUMIFS('GSTR-2A'!$L$6:$L$10000,'GSTR-2A'!$B$6:$B$10000,$C$5:$C$4995,'GSTR-2A'!$A$6:$A$10000,$S$3)</f>
        <v>0</v>
      </c>
      <c r="V14" s="487">
        <f>SUMIFS('GSTR-2A'!$M$6:$M$10000,'GSTR-2A'!$B$6:$B$10000,$C$5:$C$4995,'GSTR-2A'!$A$6:$A$10000,$S$3)</f>
        <v>0</v>
      </c>
      <c r="W14" s="488">
        <f>SUMIFS('GSTR-2A'!$N$6:$N$10000,'GSTR-2A'!$B$6:$B$10000,$C$5:$C$4995,'GSTR-2A'!$A$6:$A$10000,$S$3)</f>
        <v>0</v>
      </c>
      <c r="X14" s="486">
        <f>SUMIFS('GSTR-2A'!$G$6:$G$10000,'GSTR-2A'!$B$6:$B$10000,$C$5:$C$4995,'GSTR-2A'!$A$6:$A$10000,$X$3)</f>
        <v>0</v>
      </c>
      <c r="Y14" s="487">
        <f>SUMIFS('GSTR-2A'!$K$6:$K$10000,'GSTR-2A'!$B$6:$B$10000,$C$5:$C$4995,'GSTR-2A'!$A$6:$A$10000,$X$3)</f>
        <v>0</v>
      </c>
      <c r="Z14" s="487">
        <f>SUMIFS('GSTR-2A'!$L$6:$L$10000,'GSTR-2A'!$B$6:$B$10000,$C$5:$C$4995,'GSTR-2A'!$A$6:$A$10000,$X$3)</f>
        <v>0</v>
      </c>
      <c r="AA14" s="487">
        <f>SUMIFS('GSTR-2A'!$M$6:$M$10000,'GSTR-2A'!$B$6:$B$10000,$C$5:$C$4995,'GSTR-2A'!$A$6:$A$10000,$X$3)</f>
        <v>0</v>
      </c>
      <c r="AB14" s="488">
        <f>SUMIFS('GSTR-2A'!$N$6:$N$10000,'GSTR-2A'!$B$6:$B$10000,$C$5:$C$4995,'GSTR-2A'!$A$6:$A$10000,$X$3)</f>
        <v>0</v>
      </c>
      <c r="AC14" s="486">
        <f>SUMIFS('GSTR-2A'!$G$6:$G$10000,'GSTR-2A'!$B$6:$B$10000,$C$5:$C$4995,'GSTR-2A'!$A$6:$A$10000,$AC$3)</f>
        <v>0</v>
      </c>
      <c r="AD14" s="487">
        <f>SUMIFS('GSTR-2A'!$K$6:$K$10000,'GSTR-2A'!$B$6:$B$10000,$C$5:$C$4995,'GSTR-2A'!$A$6:$A$10000,$AC$3)</f>
        <v>0</v>
      </c>
      <c r="AE14" s="487">
        <f>SUMIFS('GSTR-2A'!$L$6:$L$10000,'GSTR-2A'!$B$6:$B$10000,$C$5:$C$4995,'GSTR-2A'!$A$6:$A$10000,$AC$3)</f>
        <v>0</v>
      </c>
      <c r="AF14" s="487">
        <f>SUMIFS('GSTR-2A'!$M$6:$M$10000,'GSTR-2A'!$B$6:$B$10000,$C$5:$C$4995,'GSTR-2A'!$A$6:$A$10000,$AC$3)</f>
        <v>0</v>
      </c>
      <c r="AG14" s="488">
        <f>SUMIFS('GSTR-2A'!$N$6:$N$10000,'GSTR-2A'!$B$6:$B$10000,$C$5:$C$4995,'GSTR-2A'!$A$6:$A$10000,$AC$3)</f>
        <v>0</v>
      </c>
      <c r="AH14" s="486">
        <f>SUMIFS('GSTR-2A'!$G$6:$G$10000,'GSTR-2A'!$B$6:$B$10000,$C$5:$C$4995,'GSTR-2A'!$A$6:$A$10000,$AH$3)</f>
        <v>0</v>
      </c>
      <c r="AI14" s="487">
        <f>SUMIFS('GSTR-2A'!$K$6:$K$10000,'GSTR-2A'!$B$6:$B$10000,$C$5:$C$4995,'GSTR-2A'!$A$6:$A$10000,$AH$3)</f>
        <v>0</v>
      </c>
      <c r="AJ14" s="487">
        <f>SUMIFS('GSTR-2A'!$L$6:$L$10000,'GSTR-2A'!$B$6:$B$10000,$C$5:$C$4995,'GSTR-2A'!$A$6:$A$10000,$AH$3)</f>
        <v>0</v>
      </c>
      <c r="AK14" s="487">
        <f>SUMIFS('GSTR-2A'!$M$6:$M$10000,'GSTR-2A'!$B$6:$B$10000,$C$5:$C$4995,'GSTR-2A'!$A$6:$A$10000,$AH$3)</f>
        <v>0</v>
      </c>
      <c r="AL14" s="488">
        <f>SUMIFS('GSTR-2A'!$N$6:$N$10000,'GSTR-2A'!$B$6:$B$10000,$C$5:$C$4995,'GSTR-2A'!$A$6:$A$10000,$AH$3)</f>
        <v>0</v>
      </c>
      <c r="AM14" s="486">
        <f>SUMIFS('GSTR-2A'!$G$6:$G$10000,'GSTR-2A'!$B$6:$B$10000,$C$5:$C$4995,'GSTR-2A'!$A$6:$A$10000,$AM$3)</f>
        <v>0</v>
      </c>
      <c r="AN14" s="487">
        <f>SUMIFS('GSTR-2A'!$K$6:$K$10000,'GSTR-2A'!$B$6:$B$10000,$C$5:$C$4995,'GSTR-2A'!$A$6:$A$10000,$AM$3)</f>
        <v>0</v>
      </c>
      <c r="AO14" s="487">
        <f>SUMIFS('GSTR-2A'!$L$6:$L$10000,'GSTR-2A'!$B$6:$B$10000,$C$5:$C$4995,'GSTR-2A'!$A$6:$A$10000,$AM$3)</f>
        <v>0</v>
      </c>
      <c r="AP14" s="487">
        <f>SUMIFS('GSTR-2A'!$M$6:$M$10000,'GSTR-2A'!$B$6:$B$10000,$C$5:$C$4995,'GSTR-2A'!$A$6:$A$10000,$AM$3)</f>
        <v>0</v>
      </c>
      <c r="AQ14" s="488">
        <f>SUMIFS('GSTR-2A'!$N$6:$N$10000,'GSTR-2A'!$B$6:$B$10000,$C$5:$C$4995,'GSTR-2A'!$A$6:$A$10000,$AM$3)</f>
        <v>0</v>
      </c>
      <c r="AR14" s="486">
        <f>SUMIFS('GSTR-2A'!$G$6:$G$10000,'GSTR-2A'!$B$6:$B$10000,$C$5:$C$4995,'GSTR-2A'!$A$6:$A$10000,$AR$3)</f>
        <v>0</v>
      </c>
      <c r="AS14" s="487">
        <f>SUMIFS('GSTR-2A'!$K$6:$K$10000,'GSTR-2A'!$B$6:$B$10000,$C$5:$C$4995,'GSTR-2A'!$A$6:$A$10000,$AR$3)</f>
        <v>0</v>
      </c>
      <c r="AT14" s="487">
        <f>SUMIFS('GSTR-2A'!$L$6:$L$10000,'GSTR-2A'!$B$6:$B$10000,$C$5:$C$4995,'GSTR-2A'!$A$6:$A$10000,$AR$3)</f>
        <v>0</v>
      </c>
      <c r="AU14" s="487">
        <f>SUMIFS('GSTR-2A'!$M$6:$M$10000,'GSTR-2A'!$B$6:$B$10000,$C$5:$C$4995,'GSTR-2A'!$A$6:$A$10000,$AR$3)</f>
        <v>0</v>
      </c>
      <c r="AV14" s="488">
        <f>SUMIFS('GSTR-2A'!$N$6:$N$10000,'GSTR-2A'!$B$6:$B$10000,$C$5:$C$4995,'GSTR-2A'!$A$6:$A$10000,$AR$3)</f>
        <v>0</v>
      </c>
      <c r="AW14" s="486">
        <f>SUMIFS('GSTR-2A'!$G$6:$G$10000,'GSTR-2A'!$B$6:$B$10000,$C$5:$C$4995,'GSTR-2A'!$A$6:$A$10000,$AW$3)</f>
        <v>0</v>
      </c>
      <c r="AX14" s="487">
        <f>SUMIFS('GSTR-2A'!$K$6:$K$10000,'GSTR-2A'!$B$6:$B$10000,$C$5:$C$4995,'GSTR-2A'!$A$6:$A$10000,$AW$3)</f>
        <v>0</v>
      </c>
      <c r="AY14" s="487">
        <f>SUMIFS('GSTR-2A'!$L$6:$L$10000,'GSTR-2A'!$B$6:$B$10000,$C$5:$C$4995,'GSTR-2A'!$A$6:$A$10000,$AW$3)</f>
        <v>0</v>
      </c>
      <c r="AZ14" s="487">
        <f>SUMIFS('GSTR-2A'!$M$6:$M$10000,'GSTR-2A'!$B$6:$B$10000,$C$5:$C$4995,'GSTR-2A'!$A$6:$A$10000,$AW$3)</f>
        <v>0</v>
      </c>
      <c r="BA14" s="488">
        <f>SUMIFS('GSTR-2A'!$N$6:$N$10000,'GSTR-2A'!$B$6:$B$10000,$C$5:$C$4995,'GSTR-2A'!$A$6:$A$10000,$AW$3)</f>
        <v>0</v>
      </c>
      <c r="BB14" s="486">
        <f>SUMIFS('GSTR-2A'!$G$6:$G$10000,'GSTR-2A'!$B$6:$B$10000,$C$5:$C$4995,'GSTR-2A'!$A$6:$A$10000,$BB$3)</f>
        <v>0</v>
      </c>
      <c r="BC14" s="487">
        <f>SUMIFS('GSTR-2A'!$K$6:$K$10000,'GSTR-2A'!$B$6:$B$10000,$C$5:$C$4995,'GSTR-2A'!$A$6:$A$10000,$BB$3)</f>
        <v>0</v>
      </c>
      <c r="BD14" s="487">
        <f>SUMIFS('GSTR-2A'!$L$6:$L$10000,'GSTR-2A'!$B$6:$B$10000,$C$5:$C$4995,'GSTR-2A'!$A$6:$A$10000,$BB$3)</f>
        <v>0</v>
      </c>
      <c r="BE14" s="487">
        <f>SUMIFS('GSTR-2A'!$M$6:$M$10000,'GSTR-2A'!$B$6:$B$10000,$C$5:$C$4995,'GSTR-2A'!$A$6:$A$10000,$BB$3)</f>
        <v>0</v>
      </c>
      <c r="BF14" s="488">
        <f>SUMIFS('GSTR-2A'!$N$6:$N$10000,'GSTR-2A'!$B$6:$B$10000,$C$5:$C$4995,'GSTR-2A'!$A$6:$A$10000,$BB$3)</f>
        <v>0</v>
      </c>
      <c r="BG14" s="486">
        <f>SUMIFS('GSTR-2A'!$G$6:$G$10000,'GSTR-2A'!$B$6:$B$10000,$C$5:$C$4995,'GSTR-2A'!$A$6:$A$10000,$BG$3)</f>
        <v>0</v>
      </c>
      <c r="BH14" s="487">
        <f>SUMIFS('GSTR-2A'!$K$6:$K$10000,'GSTR-2A'!$B$6:$B$10000,$C$5:$C$4995,'GSTR-2A'!$A$6:$A$10000,$BG$3)</f>
        <v>0</v>
      </c>
      <c r="BI14" s="487">
        <f>SUMIFS('GSTR-2A'!$L$6:$L$10000,'GSTR-2A'!$B$6:$B$10000,$C$5:$C$4995,'GSTR-2A'!$A$6:$A$10000,$BG$3)</f>
        <v>0</v>
      </c>
      <c r="BJ14" s="487">
        <f>SUMIFS('GSTR-2A'!$M$6:$M$10000,'GSTR-2A'!$B$6:$B$10000,$C$5:$C$4995,'GSTR-2A'!$A$6:$A$10000,$BG$3)</f>
        <v>0</v>
      </c>
      <c r="BK14" s="488">
        <f>SUMIFS('GSTR-2A'!$N$6:$N$10000,'GSTR-2A'!$B$6:$B$10000,$C$5:$C$4995,'GSTR-2A'!$A$6:$A$10000,$BG$3)</f>
        <v>0</v>
      </c>
      <c r="BL14" s="72">
        <f t="shared" si="2"/>
        <v>0</v>
      </c>
      <c r="BM14" s="72">
        <f t="shared" si="3"/>
        <v>0</v>
      </c>
      <c r="BN14" s="72">
        <f t="shared" si="4"/>
        <v>0</v>
      </c>
      <c r="BO14" s="72">
        <f t="shared" si="5"/>
        <v>0</v>
      </c>
      <c r="BP14" s="72">
        <f t="shared" si="6"/>
        <v>0</v>
      </c>
    </row>
    <row r="15" spans="1:68" x14ac:dyDescent="0.2">
      <c r="A15" s="467">
        <v>11</v>
      </c>
      <c r="B15" s="468" t="s">
        <v>482</v>
      </c>
      <c r="C15" s="469" t="s">
        <v>483</v>
      </c>
      <c r="D15" s="72">
        <f>SUMIFS('GSTR-2A'!$G$6:$G$10000,'GSTR-2A'!$B$6:$B$10000,$C$5:$C$4995,'GSTR-2A'!$A$6:$A$10000,$D$3)</f>
        <v>494309.40000000008</v>
      </c>
      <c r="E15" s="72">
        <f>SUMIFS('GSTR-2A'!$K$6:$K$10000,'GSTR-2A'!$B$6:$B$10000,$C$5:$C$4995,'GSTR-2A'!$A$6:$A$10000,$D$3)</f>
        <v>386179.2</v>
      </c>
      <c r="F15" s="72">
        <f>SUMIFS('GSTR-2A'!$L$6:$L$10000,'GSTR-2A'!$B$6:$B$10000,$C$5:$C$4995,'GSTR-2A'!$A$6:$A$10000,$D$3)</f>
        <v>0</v>
      </c>
      <c r="G15" s="72">
        <f>SUMIFS('GSTR-2A'!$M$6:$M$10000,'GSTR-2A'!$B$6:$B$10000,$C$5:$C$4995,'GSTR-2A'!$A$6:$A$10000,$D$3)</f>
        <v>54065.1</v>
      </c>
      <c r="H15" s="72">
        <f>SUMIFS('GSTR-2A'!$N$6:$N$10000,'GSTR-2A'!$B$6:$B$10000,$C$5:$C$4995,'GSTR-2A'!$A$6:$A$10000,$D$3)</f>
        <v>54065.1</v>
      </c>
      <c r="I15" s="486">
        <f>SUMIFS('GSTR-2A'!$G$6:$G$10000,'GSTR-2A'!$B$6:$B$10000,$C$5:$C$4995,'GSTR-2A'!$A$6:$A$10000,$I$3)</f>
        <v>0</v>
      </c>
      <c r="J15" s="487">
        <f>SUMIFS('GSTR-2A'!$K$6:$K$10000,'GSTR-2A'!$B$6:$B$10000,$C$5:$C$4995,'GSTR-2A'!$A$6:$A$10000,$I$3)</f>
        <v>0</v>
      </c>
      <c r="K15" s="487">
        <f>SUMIFS('GSTR-2A'!$L$6:$L$10000,'GSTR-2A'!$B$6:$B$10000,$C$5:$C$4995,'GSTR-2A'!$A$6:$A$10000,$I$3)</f>
        <v>0</v>
      </c>
      <c r="L15" s="487">
        <f>SUMIFS('GSTR-2A'!$M$6:$M$10000,'GSTR-2A'!$B$6:$B$10000,$C$5:$C$4995,'GSTR-2A'!$A$6:$A$10000,$I$3)</f>
        <v>0</v>
      </c>
      <c r="M15" s="488">
        <f>SUMIFS('GSTR-2A'!$N$6:$N$10000,'GSTR-2A'!$B$6:$B$10000,$C$5:$C$4995,'GSTR-2A'!$A$6:$A$10000,$I$3)</f>
        <v>0</v>
      </c>
      <c r="N15" s="486">
        <f>SUMIFS('GSTR-2A'!$G$6:$G$10000,'GSTR-2A'!$B$6:$B$10000,$C$5:$C$4995,'GSTR-2A'!$A$6:$A$10000,$N$3)</f>
        <v>0</v>
      </c>
      <c r="O15" s="487">
        <f>SUMIFS('GSTR-2A'!$K$6:$K$10000,'GSTR-2A'!$B$6:$B$10000,$C$5:$C$4995,'GSTR-2A'!$A$6:$A$10000,$N$3)</f>
        <v>0</v>
      </c>
      <c r="P15" s="487">
        <f>SUMIFS('GSTR-2A'!$L$6:$L$10000,'GSTR-2A'!$B$6:$B$10000,$C$5:$C$4995,'GSTR-2A'!$A$6:$A$10000,$N$3)</f>
        <v>0</v>
      </c>
      <c r="Q15" s="487">
        <f>SUMIFS('GSTR-2A'!$M$6:$M$10000,'GSTR-2A'!$B$6:$B$10000,$C$5:$C$4995,'GSTR-2A'!$A$6:$A$10000,$N$3)</f>
        <v>0</v>
      </c>
      <c r="R15" s="488">
        <f>SUMIFS('GSTR-2A'!$N$6:$N$10000,'GSTR-2A'!$B$6:$B$10000,$C$5:$C$4995,'GSTR-2A'!$A$6:$A$10000,$N$3)</f>
        <v>0</v>
      </c>
      <c r="S15" s="486">
        <f>SUMIFS('GSTR-2A'!$G$6:$G$10000,'GSTR-2A'!$B$6:$B$10000,$C$5:$C$4995,'GSTR-2A'!$A$6:$A$10000,$S$3)</f>
        <v>0</v>
      </c>
      <c r="T15" s="487">
        <f>SUMIFS('GSTR-2A'!$K$6:$K$10000,'GSTR-2A'!$B$6:$B$10000,$C$5:$C$4995,'GSTR-2A'!$A$6:$A$10000,$S$3)</f>
        <v>0</v>
      </c>
      <c r="U15" s="487">
        <f>SUMIFS('GSTR-2A'!$L$6:$L$10000,'GSTR-2A'!$B$6:$B$10000,$C$5:$C$4995,'GSTR-2A'!$A$6:$A$10000,$S$3)</f>
        <v>0</v>
      </c>
      <c r="V15" s="487">
        <f>SUMIFS('GSTR-2A'!$M$6:$M$10000,'GSTR-2A'!$B$6:$B$10000,$C$5:$C$4995,'GSTR-2A'!$A$6:$A$10000,$S$3)</f>
        <v>0</v>
      </c>
      <c r="W15" s="488">
        <f>SUMIFS('GSTR-2A'!$N$6:$N$10000,'GSTR-2A'!$B$6:$B$10000,$C$5:$C$4995,'GSTR-2A'!$A$6:$A$10000,$S$3)</f>
        <v>0</v>
      </c>
      <c r="X15" s="486">
        <f>SUMIFS('GSTR-2A'!$G$6:$G$10000,'GSTR-2A'!$B$6:$B$10000,$C$5:$C$4995,'GSTR-2A'!$A$6:$A$10000,$X$3)</f>
        <v>0</v>
      </c>
      <c r="Y15" s="487">
        <f>SUMIFS('GSTR-2A'!$K$6:$K$10000,'GSTR-2A'!$B$6:$B$10000,$C$5:$C$4995,'GSTR-2A'!$A$6:$A$10000,$X$3)</f>
        <v>0</v>
      </c>
      <c r="Z15" s="487">
        <f>SUMIFS('GSTR-2A'!$L$6:$L$10000,'GSTR-2A'!$B$6:$B$10000,$C$5:$C$4995,'GSTR-2A'!$A$6:$A$10000,$X$3)</f>
        <v>0</v>
      </c>
      <c r="AA15" s="487">
        <f>SUMIFS('GSTR-2A'!$M$6:$M$10000,'GSTR-2A'!$B$6:$B$10000,$C$5:$C$4995,'GSTR-2A'!$A$6:$A$10000,$X$3)</f>
        <v>0</v>
      </c>
      <c r="AB15" s="488">
        <f>SUMIFS('GSTR-2A'!$N$6:$N$10000,'GSTR-2A'!$B$6:$B$10000,$C$5:$C$4995,'GSTR-2A'!$A$6:$A$10000,$X$3)</f>
        <v>0</v>
      </c>
      <c r="AC15" s="486">
        <f>SUMIFS('GSTR-2A'!$G$6:$G$10000,'GSTR-2A'!$B$6:$B$10000,$C$5:$C$4995,'GSTR-2A'!$A$6:$A$10000,$AC$3)</f>
        <v>0</v>
      </c>
      <c r="AD15" s="487">
        <f>SUMIFS('GSTR-2A'!$K$6:$K$10000,'GSTR-2A'!$B$6:$B$10000,$C$5:$C$4995,'GSTR-2A'!$A$6:$A$10000,$AC$3)</f>
        <v>0</v>
      </c>
      <c r="AE15" s="487">
        <f>SUMIFS('GSTR-2A'!$L$6:$L$10000,'GSTR-2A'!$B$6:$B$10000,$C$5:$C$4995,'GSTR-2A'!$A$6:$A$10000,$AC$3)</f>
        <v>0</v>
      </c>
      <c r="AF15" s="487">
        <f>SUMIFS('GSTR-2A'!$M$6:$M$10000,'GSTR-2A'!$B$6:$B$10000,$C$5:$C$4995,'GSTR-2A'!$A$6:$A$10000,$AC$3)</f>
        <v>0</v>
      </c>
      <c r="AG15" s="488">
        <f>SUMIFS('GSTR-2A'!$N$6:$N$10000,'GSTR-2A'!$B$6:$B$10000,$C$5:$C$4995,'GSTR-2A'!$A$6:$A$10000,$AC$3)</f>
        <v>0</v>
      </c>
      <c r="AH15" s="486">
        <f>SUMIFS('GSTR-2A'!$G$6:$G$10000,'GSTR-2A'!$B$6:$B$10000,$C$5:$C$4995,'GSTR-2A'!$A$6:$A$10000,$AH$3)</f>
        <v>0</v>
      </c>
      <c r="AI15" s="487">
        <f>SUMIFS('GSTR-2A'!$K$6:$K$10000,'GSTR-2A'!$B$6:$B$10000,$C$5:$C$4995,'GSTR-2A'!$A$6:$A$10000,$AH$3)</f>
        <v>0</v>
      </c>
      <c r="AJ15" s="487">
        <f>SUMIFS('GSTR-2A'!$L$6:$L$10000,'GSTR-2A'!$B$6:$B$10000,$C$5:$C$4995,'GSTR-2A'!$A$6:$A$10000,$AH$3)</f>
        <v>0</v>
      </c>
      <c r="AK15" s="487">
        <f>SUMIFS('GSTR-2A'!$M$6:$M$10000,'GSTR-2A'!$B$6:$B$10000,$C$5:$C$4995,'GSTR-2A'!$A$6:$A$10000,$AH$3)</f>
        <v>0</v>
      </c>
      <c r="AL15" s="488">
        <f>SUMIFS('GSTR-2A'!$N$6:$N$10000,'GSTR-2A'!$B$6:$B$10000,$C$5:$C$4995,'GSTR-2A'!$A$6:$A$10000,$AH$3)</f>
        <v>0</v>
      </c>
      <c r="AM15" s="486">
        <f>SUMIFS('GSTR-2A'!$G$6:$G$10000,'GSTR-2A'!$B$6:$B$10000,$C$5:$C$4995,'GSTR-2A'!$A$6:$A$10000,$AM$3)</f>
        <v>0</v>
      </c>
      <c r="AN15" s="487">
        <f>SUMIFS('GSTR-2A'!$K$6:$K$10000,'GSTR-2A'!$B$6:$B$10000,$C$5:$C$4995,'GSTR-2A'!$A$6:$A$10000,$AM$3)</f>
        <v>0</v>
      </c>
      <c r="AO15" s="487">
        <f>SUMIFS('GSTR-2A'!$L$6:$L$10000,'GSTR-2A'!$B$6:$B$10000,$C$5:$C$4995,'GSTR-2A'!$A$6:$A$10000,$AM$3)</f>
        <v>0</v>
      </c>
      <c r="AP15" s="487">
        <f>SUMIFS('GSTR-2A'!$M$6:$M$10000,'GSTR-2A'!$B$6:$B$10000,$C$5:$C$4995,'GSTR-2A'!$A$6:$A$10000,$AM$3)</f>
        <v>0</v>
      </c>
      <c r="AQ15" s="488">
        <f>SUMIFS('GSTR-2A'!$N$6:$N$10000,'GSTR-2A'!$B$6:$B$10000,$C$5:$C$4995,'GSTR-2A'!$A$6:$A$10000,$AM$3)</f>
        <v>0</v>
      </c>
      <c r="AR15" s="486">
        <f>SUMIFS('GSTR-2A'!$G$6:$G$10000,'GSTR-2A'!$B$6:$B$10000,$C$5:$C$4995,'GSTR-2A'!$A$6:$A$10000,$AR$3)</f>
        <v>0</v>
      </c>
      <c r="AS15" s="487">
        <f>SUMIFS('GSTR-2A'!$K$6:$K$10000,'GSTR-2A'!$B$6:$B$10000,$C$5:$C$4995,'GSTR-2A'!$A$6:$A$10000,$AR$3)</f>
        <v>0</v>
      </c>
      <c r="AT15" s="487">
        <f>SUMIFS('GSTR-2A'!$L$6:$L$10000,'GSTR-2A'!$B$6:$B$10000,$C$5:$C$4995,'GSTR-2A'!$A$6:$A$10000,$AR$3)</f>
        <v>0</v>
      </c>
      <c r="AU15" s="487">
        <f>SUMIFS('GSTR-2A'!$M$6:$M$10000,'GSTR-2A'!$B$6:$B$10000,$C$5:$C$4995,'GSTR-2A'!$A$6:$A$10000,$AR$3)</f>
        <v>0</v>
      </c>
      <c r="AV15" s="488">
        <f>SUMIFS('GSTR-2A'!$N$6:$N$10000,'GSTR-2A'!$B$6:$B$10000,$C$5:$C$4995,'GSTR-2A'!$A$6:$A$10000,$AR$3)</f>
        <v>0</v>
      </c>
      <c r="AW15" s="486">
        <f>SUMIFS('GSTR-2A'!$G$6:$G$10000,'GSTR-2A'!$B$6:$B$10000,$C$5:$C$4995,'GSTR-2A'!$A$6:$A$10000,$AW$3)</f>
        <v>0</v>
      </c>
      <c r="AX15" s="487">
        <f>SUMIFS('GSTR-2A'!$K$6:$K$10000,'GSTR-2A'!$B$6:$B$10000,$C$5:$C$4995,'GSTR-2A'!$A$6:$A$10000,$AW$3)</f>
        <v>0</v>
      </c>
      <c r="AY15" s="487">
        <f>SUMIFS('GSTR-2A'!$L$6:$L$10000,'GSTR-2A'!$B$6:$B$10000,$C$5:$C$4995,'GSTR-2A'!$A$6:$A$10000,$AW$3)</f>
        <v>0</v>
      </c>
      <c r="AZ15" s="487">
        <f>SUMIFS('GSTR-2A'!$M$6:$M$10000,'GSTR-2A'!$B$6:$B$10000,$C$5:$C$4995,'GSTR-2A'!$A$6:$A$10000,$AW$3)</f>
        <v>0</v>
      </c>
      <c r="BA15" s="488">
        <f>SUMIFS('GSTR-2A'!$N$6:$N$10000,'GSTR-2A'!$B$6:$B$10000,$C$5:$C$4995,'GSTR-2A'!$A$6:$A$10000,$AW$3)</f>
        <v>0</v>
      </c>
      <c r="BB15" s="486">
        <f>SUMIFS('GSTR-2A'!$G$6:$G$10000,'GSTR-2A'!$B$6:$B$10000,$C$5:$C$4995,'GSTR-2A'!$A$6:$A$10000,$BB$3)</f>
        <v>0</v>
      </c>
      <c r="BC15" s="487">
        <f>SUMIFS('GSTR-2A'!$K$6:$K$10000,'GSTR-2A'!$B$6:$B$10000,$C$5:$C$4995,'GSTR-2A'!$A$6:$A$10000,$BB$3)</f>
        <v>0</v>
      </c>
      <c r="BD15" s="487">
        <f>SUMIFS('GSTR-2A'!$L$6:$L$10000,'GSTR-2A'!$B$6:$B$10000,$C$5:$C$4995,'GSTR-2A'!$A$6:$A$10000,$BB$3)</f>
        <v>0</v>
      </c>
      <c r="BE15" s="487">
        <f>SUMIFS('GSTR-2A'!$M$6:$M$10000,'GSTR-2A'!$B$6:$B$10000,$C$5:$C$4995,'GSTR-2A'!$A$6:$A$10000,$BB$3)</f>
        <v>0</v>
      </c>
      <c r="BF15" s="488">
        <f>SUMIFS('GSTR-2A'!$N$6:$N$10000,'GSTR-2A'!$B$6:$B$10000,$C$5:$C$4995,'GSTR-2A'!$A$6:$A$10000,$BB$3)</f>
        <v>0</v>
      </c>
      <c r="BG15" s="486">
        <f>SUMIFS('GSTR-2A'!$G$6:$G$10000,'GSTR-2A'!$B$6:$B$10000,$C$5:$C$4995,'GSTR-2A'!$A$6:$A$10000,$BG$3)</f>
        <v>0</v>
      </c>
      <c r="BH15" s="487">
        <f>SUMIFS('GSTR-2A'!$K$6:$K$10000,'GSTR-2A'!$B$6:$B$10000,$C$5:$C$4995,'GSTR-2A'!$A$6:$A$10000,$BG$3)</f>
        <v>0</v>
      </c>
      <c r="BI15" s="487">
        <f>SUMIFS('GSTR-2A'!$L$6:$L$10000,'GSTR-2A'!$B$6:$B$10000,$C$5:$C$4995,'GSTR-2A'!$A$6:$A$10000,$BG$3)</f>
        <v>0</v>
      </c>
      <c r="BJ15" s="487">
        <f>SUMIFS('GSTR-2A'!$M$6:$M$10000,'GSTR-2A'!$B$6:$B$10000,$C$5:$C$4995,'GSTR-2A'!$A$6:$A$10000,$BG$3)</f>
        <v>0</v>
      </c>
      <c r="BK15" s="488">
        <f>SUMIFS('GSTR-2A'!$N$6:$N$10000,'GSTR-2A'!$B$6:$B$10000,$C$5:$C$4995,'GSTR-2A'!$A$6:$A$10000,$BG$3)</f>
        <v>0</v>
      </c>
      <c r="BL15" s="72">
        <f t="shared" si="2"/>
        <v>494309.40000000008</v>
      </c>
      <c r="BM15" s="72">
        <f t="shared" si="3"/>
        <v>386179.2</v>
      </c>
      <c r="BN15" s="72">
        <f t="shared" si="4"/>
        <v>0</v>
      </c>
      <c r="BO15" s="72">
        <f t="shared" si="5"/>
        <v>54065.1</v>
      </c>
      <c r="BP15" s="72">
        <f t="shared" si="6"/>
        <v>54065.1</v>
      </c>
    </row>
    <row r="16" spans="1:68" x14ac:dyDescent="0.2">
      <c r="A16" s="467">
        <v>12</v>
      </c>
      <c r="B16" s="468" t="s">
        <v>1069</v>
      </c>
      <c r="C16" s="468" t="s">
        <v>238</v>
      </c>
      <c r="D16" s="72">
        <f>SUMIFS('GSTR-2A'!$G$6:$G$10000,'GSTR-2A'!$B$6:$B$10000,$C$5:$C$4995,'GSTR-2A'!$A$6:$A$10000,$D$3)</f>
        <v>0</v>
      </c>
      <c r="E16" s="72">
        <f>SUMIFS('GSTR-2A'!$K$6:$K$10000,'GSTR-2A'!$B$6:$B$10000,$C$5:$C$4995,'GSTR-2A'!$A$6:$A$10000,$D$3)</f>
        <v>0</v>
      </c>
      <c r="F16" s="72">
        <f>SUMIFS('GSTR-2A'!$L$6:$L$10000,'GSTR-2A'!$B$6:$B$10000,$C$5:$C$4995,'GSTR-2A'!$A$6:$A$10000,$D$3)</f>
        <v>0</v>
      </c>
      <c r="G16" s="72">
        <f>SUMIFS('GSTR-2A'!$M$6:$M$10000,'GSTR-2A'!$B$6:$B$10000,$C$5:$C$4995,'GSTR-2A'!$A$6:$A$10000,$D$3)</f>
        <v>0</v>
      </c>
      <c r="H16" s="72">
        <f>SUMIFS('GSTR-2A'!$N$6:$N$10000,'GSTR-2A'!$B$6:$B$10000,$C$5:$C$4995,'GSTR-2A'!$A$6:$A$10000,$D$3)</f>
        <v>0</v>
      </c>
      <c r="I16" s="486">
        <f>SUMIFS('GSTR-2A'!$G$6:$G$10000,'GSTR-2A'!$B$6:$B$10000,$C$5:$C$4995,'GSTR-2A'!$A$6:$A$10000,$I$3)</f>
        <v>0</v>
      </c>
      <c r="J16" s="487">
        <f>SUMIFS('GSTR-2A'!$K$6:$K$10000,'GSTR-2A'!$B$6:$B$10000,$C$5:$C$4995,'GSTR-2A'!$A$6:$A$10000,$I$3)</f>
        <v>0</v>
      </c>
      <c r="K16" s="487">
        <f>SUMIFS('GSTR-2A'!$L$6:$L$10000,'GSTR-2A'!$B$6:$B$10000,$C$5:$C$4995,'GSTR-2A'!$A$6:$A$10000,$I$3)</f>
        <v>0</v>
      </c>
      <c r="L16" s="487">
        <f>SUMIFS('GSTR-2A'!$M$6:$M$10000,'GSTR-2A'!$B$6:$B$10000,$C$5:$C$4995,'GSTR-2A'!$A$6:$A$10000,$I$3)</f>
        <v>0</v>
      </c>
      <c r="M16" s="488">
        <f>SUMIFS('GSTR-2A'!$N$6:$N$10000,'GSTR-2A'!$B$6:$B$10000,$C$5:$C$4995,'GSTR-2A'!$A$6:$A$10000,$I$3)</f>
        <v>0</v>
      </c>
      <c r="N16" s="486">
        <f>SUMIFS('GSTR-2A'!$G$6:$G$10000,'GSTR-2A'!$B$6:$B$10000,$C$5:$C$4995,'GSTR-2A'!$A$6:$A$10000,$N$3)</f>
        <v>0</v>
      </c>
      <c r="O16" s="487">
        <f>SUMIFS('GSTR-2A'!$K$6:$K$10000,'GSTR-2A'!$B$6:$B$10000,$C$5:$C$4995,'GSTR-2A'!$A$6:$A$10000,$N$3)</f>
        <v>0</v>
      </c>
      <c r="P16" s="487">
        <f>SUMIFS('GSTR-2A'!$L$6:$L$10000,'GSTR-2A'!$B$6:$B$10000,$C$5:$C$4995,'GSTR-2A'!$A$6:$A$10000,$N$3)</f>
        <v>0</v>
      </c>
      <c r="Q16" s="487">
        <f>SUMIFS('GSTR-2A'!$M$6:$M$10000,'GSTR-2A'!$B$6:$B$10000,$C$5:$C$4995,'GSTR-2A'!$A$6:$A$10000,$N$3)</f>
        <v>0</v>
      </c>
      <c r="R16" s="488">
        <f>SUMIFS('GSTR-2A'!$N$6:$N$10000,'GSTR-2A'!$B$6:$B$10000,$C$5:$C$4995,'GSTR-2A'!$A$6:$A$10000,$N$3)</f>
        <v>0</v>
      </c>
      <c r="S16" s="486">
        <f>SUMIFS('GSTR-2A'!$G$6:$G$10000,'GSTR-2A'!$B$6:$B$10000,$C$5:$C$4995,'GSTR-2A'!$A$6:$A$10000,$S$3)</f>
        <v>0</v>
      </c>
      <c r="T16" s="487">
        <f>SUMIFS('GSTR-2A'!$K$6:$K$10000,'GSTR-2A'!$B$6:$B$10000,$C$5:$C$4995,'GSTR-2A'!$A$6:$A$10000,$S$3)</f>
        <v>0</v>
      </c>
      <c r="U16" s="487">
        <f>SUMIFS('GSTR-2A'!$L$6:$L$10000,'GSTR-2A'!$B$6:$B$10000,$C$5:$C$4995,'GSTR-2A'!$A$6:$A$10000,$S$3)</f>
        <v>0</v>
      </c>
      <c r="V16" s="487">
        <f>SUMIFS('GSTR-2A'!$M$6:$M$10000,'GSTR-2A'!$B$6:$B$10000,$C$5:$C$4995,'GSTR-2A'!$A$6:$A$10000,$S$3)</f>
        <v>0</v>
      </c>
      <c r="W16" s="488">
        <f>SUMIFS('GSTR-2A'!$N$6:$N$10000,'GSTR-2A'!$B$6:$B$10000,$C$5:$C$4995,'GSTR-2A'!$A$6:$A$10000,$S$3)</f>
        <v>0</v>
      </c>
      <c r="X16" s="486">
        <f>SUMIFS('GSTR-2A'!$G$6:$G$10000,'GSTR-2A'!$B$6:$B$10000,$C$5:$C$4995,'GSTR-2A'!$A$6:$A$10000,$X$3)</f>
        <v>0</v>
      </c>
      <c r="Y16" s="487">
        <f>SUMIFS('GSTR-2A'!$K$6:$K$10000,'GSTR-2A'!$B$6:$B$10000,$C$5:$C$4995,'GSTR-2A'!$A$6:$A$10000,$X$3)</f>
        <v>0</v>
      </c>
      <c r="Z16" s="487">
        <f>SUMIFS('GSTR-2A'!$L$6:$L$10000,'GSTR-2A'!$B$6:$B$10000,$C$5:$C$4995,'GSTR-2A'!$A$6:$A$10000,$X$3)</f>
        <v>0</v>
      </c>
      <c r="AA16" s="487">
        <f>SUMIFS('GSTR-2A'!$M$6:$M$10000,'GSTR-2A'!$B$6:$B$10000,$C$5:$C$4995,'GSTR-2A'!$A$6:$A$10000,$X$3)</f>
        <v>0</v>
      </c>
      <c r="AB16" s="488">
        <f>SUMIFS('GSTR-2A'!$N$6:$N$10000,'GSTR-2A'!$B$6:$B$10000,$C$5:$C$4995,'GSTR-2A'!$A$6:$A$10000,$X$3)</f>
        <v>0</v>
      </c>
      <c r="AC16" s="486">
        <f>SUMIFS('GSTR-2A'!$G$6:$G$10000,'GSTR-2A'!$B$6:$B$10000,$C$5:$C$4995,'GSTR-2A'!$A$6:$A$10000,$AC$3)</f>
        <v>0</v>
      </c>
      <c r="AD16" s="487">
        <f>SUMIFS('GSTR-2A'!$K$6:$K$10000,'GSTR-2A'!$B$6:$B$10000,$C$5:$C$4995,'GSTR-2A'!$A$6:$A$10000,$AC$3)</f>
        <v>0</v>
      </c>
      <c r="AE16" s="487">
        <f>SUMIFS('GSTR-2A'!$L$6:$L$10000,'GSTR-2A'!$B$6:$B$10000,$C$5:$C$4995,'GSTR-2A'!$A$6:$A$10000,$AC$3)</f>
        <v>0</v>
      </c>
      <c r="AF16" s="487">
        <f>SUMIFS('GSTR-2A'!$M$6:$M$10000,'GSTR-2A'!$B$6:$B$10000,$C$5:$C$4995,'GSTR-2A'!$A$6:$A$10000,$AC$3)</f>
        <v>0</v>
      </c>
      <c r="AG16" s="488">
        <f>SUMIFS('GSTR-2A'!$N$6:$N$10000,'GSTR-2A'!$B$6:$B$10000,$C$5:$C$4995,'GSTR-2A'!$A$6:$A$10000,$AC$3)</f>
        <v>0</v>
      </c>
      <c r="AH16" s="486">
        <f>SUMIFS('GSTR-2A'!$G$6:$G$10000,'GSTR-2A'!$B$6:$B$10000,$C$5:$C$4995,'GSTR-2A'!$A$6:$A$10000,$AH$3)</f>
        <v>0</v>
      </c>
      <c r="AI16" s="487">
        <f>SUMIFS('GSTR-2A'!$K$6:$K$10000,'GSTR-2A'!$B$6:$B$10000,$C$5:$C$4995,'GSTR-2A'!$A$6:$A$10000,$AH$3)</f>
        <v>0</v>
      </c>
      <c r="AJ16" s="487">
        <f>SUMIFS('GSTR-2A'!$L$6:$L$10000,'GSTR-2A'!$B$6:$B$10000,$C$5:$C$4995,'GSTR-2A'!$A$6:$A$10000,$AH$3)</f>
        <v>0</v>
      </c>
      <c r="AK16" s="487">
        <f>SUMIFS('GSTR-2A'!$M$6:$M$10000,'GSTR-2A'!$B$6:$B$10000,$C$5:$C$4995,'GSTR-2A'!$A$6:$A$10000,$AH$3)</f>
        <v>0</v>
      </c>
      <c r="AL16" s="488">
        <f>SUMIFS('GSTR-2A'!$N$6:$N$10000,'GSTR-2A'!$B$6:$B$10000,$C$5:$C$4995,'GSTR-2A'!$A$6:$A$10000,$AH$3)</f>
        <v>0</v>
      </c>
      <c r="AM16" s="486">
        <f>SUMIFS('GSTR-2A'!$G$6:$G$10000,'GSTR-2A'!$B$6:$B$10000,$C$5:$C$4995,'GSTR-2A'!$A$6:$A$10000,$AM$3)</f>
        <v>0</v>
      </c>
      <c r="AN16" s="487">
        <f>SUMIFS('GSTR-2A'!$K$6:$K$10000,'GSTR-2A'!$B$6:$B$10000,$C$5:$C$4995,'GSTR-2A'!$A$6:$A$10000,$AM$3)</f>
        <v>0</v>
      </c>
      <c r="AO16" s="487">
        <f>SUMIFS('GSTR-2A'!$L$6:$L$10000,'GSTR-2A'!$B$6:$B$10000,$C$5:$C$4995,'GSTR-2A'!$A$6:$A$10000,$AM$3)</f>
        <v>0</v>
      </c>
      <c r="AP16" s="487">
        <f>SUMIFS('GSTR-2A'!$M$6:$M$10000,'GSTR-2A'!$B$6:$B$10000,$C$5:$C$4995,'GSTR-2A'!$A$6:$A$10000,$AM$3)</f>
        <v>0</v>
      </c>
      <c r="AQ16" s="488">
        <f>SUMIFS('GSTR-2A'!$N$6:$N$10000,'GSTR-2A'!$B$6:$B$10000,$C$5:$C$4995,'GSTR-2A'!$A$6:$A$10000,$AM$3)</f>
        <v>0</v>
      </c>
      <c r="AR16" s="486">
        <f>SUMIFS('GSTR-2A'!$G$6:$G$10000,'GSTR-2A'!$B$6:$B$10000,$C$5:$C$4995,'GSTR-2A'!$A$6:$A$10000,$AR$3)</f>
        <v>0</v>
      </c>
      <c r="AS16" s="487">
        <f>SUMIFS('GSTR-2A'!$K$6:$K$10000,'GSTR-2A'!$B$6:$B$10000,$C$5:$C$4995,'GSTR-2A'!$A$6:$A$10000,$AR$3)</f>
        <v>0</v>
      </c>
      <c r="AT16" s="487">
        <f>SUMIFS('GSTR-2A'!$L$6:$L$10000,'GSTR-2A'!$B$6:$B$10000,$C$5:$C$4995,'GSTR-2A'!$A$6:$A$10000,$AR$3)</f>
        <v>0</v>
      </c>
      <c r="AU16" s="487">
        <f>SUMIFS('GSTR-2A'!$M$6:$M$10000,'GSTR-2A'!$B$6:$B$10000,$C$5:$C$4995,'GSTR-2A'!$A$6:$A$10000,$AR$3)</f>
        <v>0</v>
      </c>
      <c r="AV16" s="488">
        <f>SUMIFS('GSTR-2A'!$N$6:$N$10000,'GSTR-2A'!$B$6:$B$10000,$C$5:$C$4995,'GSTR-2A'!$A$6:$A$10000,$AR$3)</f>
        <v>0</v>
      </c>
      <c r="AW16" s="486">
        <f>SUMIFS('GSTR-2A'!$G$6:$G$10000,'GSTR-2A'!$B$6:$B$10000,$C$5:$C$4995,'GSTR-2A'!$A$6:$A$10000,$AW$3)</f>
        <v>0</v>
      </c>
      <c r="AX16" s="487">
        <f>SUMIFS('GSTR-2A'!$K$6:$K$10000,'GSTR-2A'!$B$6:$B$10000,$C$5:$C$4995,'GSTR-2A'!$A$6:$A$10000,$AW$3)</f>
        <v>0</v>
      </c>
      <c r="AY16" s="487">
        <f>SUMIFS('GSTR-2A'!$L$6:$L$10000,'GSTR-2A'!$B$6:$B$10000,$C$5:$C$4995,'GSTR-2A'!$A$6:$A$10000,$AW$3)</f>
        <v>0</v>
      </c>
      <c r="AZ16" s="487">
        <f>SUMIFS('GSTR-2A'!$M$6:$M$10000,'GSTR-2A'!$B$6:$B$10000,$C$5:$C$4995,'GSTR-2A'!$A$6:$A$10000,$AW$3)</f>
        <v>0</v>
      </c>
      <c r="BA16" s="488">
        <f>SUMIFS('GSTR-2A'!$N$6:$N$10000,'GSTR-2A'!$B$6:$B$10000,$C$5:$C$4995,'GSTR-2A'!$A$6:$A$10000,$AW$3)</f>
        <v>0</v>
      </c>
      <c r="BB16" s="486">
        <f>SUMIFS('GSTR-2A'!$G$6:$G$10000,'GSTR-2A'!$B$6:$B$10000,$C$5:$C$4995,'GSTR-2A'!$A$6:$A$10000,$BB$3)</f>
        <v>0</v>
      </c>
      <c r="BC16" s="487">
        <f>SUMIFS('GSTR-2A'!$K$6:$K$10000,'GSTR-2A'!$B$6:$B$10000,$C$5:$C$4995,'GSTR-2A'!$A$6:$A$10000,$BB$3)</f>
        <v>0</v>
      </c>
      <c r="BD16" s="487">
        <f>SUMIFS('GSTR-2A'!$L$6:$L$10000,'GSTR-2A'!$B$6:$B$10000,$C$5:$C$4995,'GSTR-2A'!$A$6:$A$10000,$BB$3)</f>
        <v>0</v>
      </c>
      <c r="BE16" s="487">
        <f>SUMIFS('GSTR-2A'!$M$6:$M$10000,'GSTR-2A'!$B$6:$B$10000,$C$5:$C$4995,'GSTR-2A'!$A$6:$A$10000,$BB$3)</f>
        <v>0</v>
      </c>
      <c r="BF16" s="488">
        <f>SUMIFS('GSTR-2A'!$N$6:$N$10000,'GSTR-2A'!$B$6:$B$10000,$C$5:$C$4995,'GSTR-2A'!$A$6:$A$10000,$BB$3)</f>
        <v>0</v>
      </c>
      <c r="BG16" s="486">
        <f>SUMIFS('GSTR-2A'!$G$6:$G$10000,'GSTR-2A'!$B$6:$B$10000,$C$5:$C$4995,'GSTR-2A'!$A$6:$A$10000,$BG$3)</f>
        <v>0</v>
      </c>
      <c r="BH16" s="487">
        <f>SUMIFS('GSTR-2A'!$K$6:$K$10000,'GSTR-2A'!$B$6:$B$10000,$C$5:$C$4995,'GSTR-2A'!$A$6:$A$10000,$BG$3)</f>
        <v>0</v>
      </c>
      <c r="BI16" s="487">
        <f>SUMIFS('GSTR-2A'!$L$6:$L$10000,'GSTR-2A'!$B$6:$B$10000,$C$5:$C$4995,'GSTR-2A'!$A$6:$A$10000,$BG$3)</f>
        <v>0</v>
      </c>
      <c r="BJ16" s="487">
        <f>SUMIFS('GSTR-2A'!$M$6:$M$10000,'GSTR-2A'!$B$6:$B$10000,$C$5:$C$4995,'GSTR-2A'!$A$6:$A$10000,$BG$3)</f>
        <v>0</v>
      </c>
      <c r="BK16" s="488">
        <f>SUMIFS('GSTR-2A'!$N$6:$N$10000,'GSTR-2A'!$B$6:$B$10000,$C$5:$C$4995,'GSTR-2A'!$A$6:$A$10000,$BG$3)</f>
        <v>0</v>
      </c>
      <c r="BL16" s="72">
        <f t="shared" si="2"/>
        <v>0</v>
      </c>
      <c r="BM16" s="72">
        <f t="shared" si="3"/>
        <v>0</v>
      </c>
      <c r="BN16" s="72">
        <f t="shared" si="4"/>
        <v>0</v>
      </c>
      <c r="BO16" s="72">
        <f t="shared" si="5"/>
        <v>0</v>
      </c>
      <c r="BP16" s="72">
        <f t="shared" si="6"/>
        <v>0</v>
      </c>
    </row>
    <row r="17" spans="1:68" x14ac:dyDescent="0.2">
      <c r="A17" s="467">
        <v>13</v>
      </c>
      <c r="B17" s="476" t="s">
        <v>489</v>
      </c>
      <c r="C17" s="477" t="s">
        <v>490</v>
      </c>
      <c r="D17" s="72">
        <f>SUMIFS('GSTR-2A'!$G$6:$G$10000,'GSTR-2A'!$B$6:$B$10000,$C$5:$C$4995,'GSTR-2A'!$A$6:$A$10000,$D$3)</f>
        <v>104384</v>
      </c>
      <c r="E17" s="72">
        <f>SUMIFS('GSTR-2A'!$K$6:$K$10000,'GSTR-2A'!$B$6:$B$10000,$C$5:$C$4995,'GSTR-2A'!$A$6:$A$10000,$D$3)</f>
        <v>88461.01999999999</v>
      </c>
      <c r="F17" s="72">
        <f>SUMIFS('GSTR-2A'!$L$6:$L$10000,'GSTR-2A'!$B$6:$B$10000,$C$5:$C$4995,'GSTR-2A'!$A$6:$A$10000,$D$3)</f>
        <v>0</v>
      </c>
      <c r="G17" s="72">
        <f>SUMIFS('GSTR-2A'!$M$6:$M$10000,'GSTR-2A'!$B$6:$B$10000,$C$5:$C$4995,'GSTR-2A'!$A$6:$A$10000,$D$3)</f>
        <v>7961.5</v>
      </c>
      <c r="H17" s="72">
        <f>SUMIFS('GSTR-2A'!$N$6:$N$10000,'GSTR-2A'!$B$6:$B$10000,$C$5:$C$4995,'GSTR-2A'!$A$6:$A$10000,$D$3)</f>
        <v>7961.5</v>
      </c>
      <c r="I17" s="486">
        <f>SUMIFS('GSTR-2A'!$G$6:$G$10000,'GSTR-2A'!$B$6:$B$10000,$C$5:$C$4995,'GSTR-2A'!$A$6:$A$10000,$I$3)</f>
        <v>79899</v>
      </c>
      <c r="J17" s="487">
        <f>SUMIFS('GSTR-2A'!$K$6:$K$10000,'GSTR-2A'!$B$6:$B$10000,$C$5:$C$4995,'GSTR-2A'!$A$6:$A$10000,$I$3)</f>
        <v>67710.84</v>
      </c>
      <c r="K17" s="487">
        <f>SUMIFS('GSTR-2A'!$L$6:$L$10000,'GSTR-2A'!$B$6:$B$10000,$C$5:$C$4995,'GSTR-2A'!$A$6:$A$10000,$I$3)</f>
        <v>0</v>
      </c>
      <c r="L17" s="487">
        <f>SUMIFS('GSTR-2A'!$M$6:$M$10000,'GSTR-2A'!$B$6:$B$10000,$C$5:$C$4995,'GSTR-2A'!$A$6:$A$10000,$I$3)</f>
        <v>6093.98</v>
      </c>
      <c r="M17" s="488">
        <f>SUMIFS('GSTR-2A'!$N$6:$N$10000,'GSTR-2A'!$B$6:$B$10000,$C$5:$C$4995,'GSTR-2A'!$A$6:$A$10000,$I$3)</f>
        <v>6093.98</v>
      </c>
      <c r="N17" s="486">
        <f>SUMIFS('GSTR-2A'!$G$6:$G$10000,'GSTR-2A'!$B$6:$B$10000,$C$5:$C$4995,'GSTR-2A'!$A$6:$A$10000,$N$3)</f>
        <v>314191</v>
      </c>
      <c r="O17" s="487">
        <f>SUMIFS('GSTR-2A'!$K$6:$K$10000,'GSTR-2A'!$B$6:$B$10000,$C$5:$C$4995,'GSTR-2A'!$A$6:$A$10000,$N$3)</f>
        <v>266263.66000000003</v>
      </c>
      <c r="P17" s="487">
        <f>SUMIFS('GSTR-2A'!$L$6:$L$10000,'GSTR-2A'!$B$6:$B$10000,$C$5:$C$4995,'GSTR-2A'!$A$6:$A$10000,$N$3)</f>
        <v>0</v>
      </c>
      <c r="Q17" s="487">
        <f>SUMIFS('GSTR-2A'!$M$6:$M$10000,'GSTR-2A'!$B$6:$B$10000,$C$5:$C$4995,'GSTR-2A'!$A$6:$A$10000,$N$3)</f>
        <v>23963.73</v>
      </c>
      <c r="R17" s="488">
        <f>SUMIFS('GSTR-2A'!$N$6:$N$10000,'GSTR-2A'!$B$6:$B$10000,$C$5:$C$4995,'GSTR-2A'!$A$6:$A$10000,$N$3)</f>
        <v>23963.73</v>
      </c>
      <c r="S17" s="486">
        <f>SUMIFS('GSTR-2A'!$G$6:$G$10000,'GSTR-2A'!$B$6:$B$10000,$C$5:$C$4995,'GSTR-2A'!$A$6:$A$10000,$S$3)</f>
        <v>554723</v>
      </c>
      <c r="T17" s="487">
        <f>SUMIFS('GSTR-2A'!$K$6:$K$10000,'GSTR-2A'!$B$6:$B$10000,$C$5:$C$4995,'GSTR-2A'!$A$6:$A$10000,$S$3)</f>
        <v>470104.46000000008</v>
      </c>
      <c r="U17" s="487">
        <f>SUMIFS('GSTR-2A'!$L$6:$L$10000,'GSTR-2A'!$B$6:$B$10000,$C$5:$C$4995,'GSTR-2A'!$A$6:$A$10000,$S$3)</f>
        <v>0</v>
      </c>
      <c r="V17" s="487">
        <f>SUMIFS('GSTR-2A'!$M$6:$M$10000,'GSTR-2A'!$B$6:$B$10000,$C$5:$C$4995,'GSTR-2A'!$A$6:$A$10000,$S$3)</f>
        <v>42309.409999999996</v>
      </c>
      <c r="W17" s="488">
        <f>SUMIFS('GSTR-2A'!$N$6:$N$10000,'GSTR-2A'!$B$6:$B$10000,$C$5:$C$4995,'GSTR-2A'!$A$6:$A$10000,$S$3)</f>
        <v>42309.409999999996</v>
      </c>
      <c r="X17" s="486">
        <f>SUMIFS('GSTR-2A'!$G$6:$G$10000,'GSTR-2A'!$B$6:$B$10000,$C$5:$C$4995,'GSTR-2A'!$A$6:$A$10000,$X$3)</f>
        <v>433983</v>
      </c>
      <c r="Y17" s="487">
        <f>SUMIFS('GSTR-2A'!$K$6:$K$10000,'GSTR-2A'!$B$6:$B$10000,$C$5:$C$4995,'GSTR-2A'!$A$6:$A$10000,$X$3)</f>
        <v>367782.24</v>
      </c>
      <c r="Z17" s="487">
        <f>SUMIFS('GSTR-2A'!$L$6:$L$10000,'GSTR-2A'!$B$6:$B$10000,$C$5:$C$4995,'GSTR-2A'!$A$6:$A$10000,$X$3)</f>
        <v>0</v>
      </c>
      <c r="AA17" s="487">
        <f>SUMIFS('GSTR-2A'!$M$6:$M$10000,'GSTR-2A'!$B$6:$B$10000,$C$5:$C$4995,'GSTR-2A'!$A$6:$A$10000,$X$3)</f>
        <v>33100.400000000001</v>
      </c>
      <c r="AB17" s="488">
        <f>SUMIFS('GSTR-2A'!$N$6:$N$10000,'GSTR-2A'!$B$6:$B$10000,$C$5:$C$4995,'GSTR-2A'!$A$6:$A$10000,$X$3)</f>
        <v>33100.400000000001</v>
      </c>
      <c r="AC17" s="486">
        <f>SUMIFS('GSTR-2A'!$G$6:$G$10000,'GSTR-2A'!$B$6:$B$10000,$C$5:$C$4995,'GSTR-2A'!$A$6:$A$10000,$AC$3)</f>
        <v>497748</v>
      </c>
      <c r="AD17" s="487">
        <f>SUMIFS('GSTR-2A'!$K$6:$K$10000,'GSTR-2A'!$B$6:$B$10000,$C$5:$C$4995,'GSTR-2A'!$A$6:$A$10000,$AC$3)</f>
        <v>421820.4</v>
      </c>
      <c r="AE17" s="487">
        <f>SUMIFS('GSTR-2A'!$L$6:$L$10000,'GSTR-2A'!$B$6:$B$10000,$C$5:$C$4995,'GSTR-2A'!$A$6:$A$10000,$AC$3)</f>
        <v>0</v>
      </c>
      <c r="AF17" s="487">
        <f>SUMIFS('GSTR-2A'!$M$6:$M$10000,'GSTR-2A'!$B$6:$B$10000,$C$5:$C$4995,'GSTR-2A'!$A$6:$A$10000,$AC$3)</f>
        <v>37963.840000000004</v>
      </c>
      <c r="AG17" s="488">
        <f>SUMIFS('GSTR-2A'!$N$6:$N$10000,'GSTR-2A'!$B$6:$B$10000,$C$5:$C$4995,'GSTR-2A'!$A$6:$A$10000,$AC$3)</f>
        <v>37963.840000000004</v>
      </c>
      <c r="AH17" s="486">
        <f>SUMIFS('GSTR-2A'!$G$6:$G$10000,'GSTR-2A'!$B$6:$B$10000,$C$5:$C$4995,'GSTR-2A'!$A$6:$A$10000,$AH$3)</f>
        <v>0</v>
      </c>
      <c r="AI17" s="487">
        <f>SUMIFS('GSTR-2A'!$K$6:$K$10000,'GSTR-2A'!$B$6:$B$10000,$C$5:$C$4995,'GSTR-2A'!$A$6:$A$10000,$AH$3)</f>
        <v>0</v>
      </c>
      <c r="AJ17" s="487">
        <f>SUMIFS('GSTR-2A'!$L$6:$L$10000,'GSTR-2A'!$B$6:$B$10000,$C$5:$C$4995,'GSTR-2A'!$A$6:$A$10000,$AH$3)</f>
        <v>0</v>
      </c>
      <c r="AK17" s="487">
        <f>SUMIFS('GSTR-2A'!$M$6:$M$10000,'GSTR-2A'!$B$6:$B$10000,$C$5:$C$4995,'GSTR-2A'!$A$6:$A$10000,$AH$3)</f>
        <v>0</v>
      </c>
      <c r="AL17" s="488">
        <f>SUMIFS('GSTR-2A'!$N$6:$N$10000,'GSTR-2A'!$B$6:$B$10000,$C$5:$C$4995,'GSTR-2A'!$A$6:$A$10000,$AH$3)</f>
        <v>0</v>
      </c>
      <c r="AM17" s="486">
        <f>SUMIFS('GSTR-2A'!$G$6:$G$10000,'GSTR-2A'!$B$6:$B$10000,$C$5:$C$4995,'GSTR-2A'!$A$6:$A$10000,$AM$3)</f>
        <v>0</v>
      </c>
      <c r="AN17" s="487">
        <f>SUMIFS('GSTR-2A'!$K$6:$K$10000,'GSTR-2A'!$B$6:$B$10000,$C$5:$C$4995,'GSTR-2A'!$A$6:$A$10000,$AM$3)</f>
        <v>0</v>
      </c>
      <c r="AO17" s="487">
        <f>SUMIFS('GSTR-2A'!$L$6:$L$10000,'GSTR-2A'!$B$6:$B$10000,$C$5:$C$4995,'GSTR-2A'!$A$6:$A$10000,$AM$3)</f>
        <v>0</v>
      </c>
      <c r="AP17" s="487">
        <f>SUMIFS('GSTR-2A'!$M$6:$M$10000,'GSTR-2A'!$B$6:$B$10000,$C$5:$C$4995,'GSTR-2A'!$A$6:$A$10000,$AM$3)</f>
        <v>0</v>
      </c>
      <c r="AQ17" s="488">
        <f>SUMIFS('GSTR-2A'!$N$6:$N$10000,'GSTR-2A'!$B$6:$B$10000,$C$5:$C$4995,'GSTR-2A'!$A$6:$A$10000,$AM$3)</f>
        <v>0</v>
      </c>
      <c r="AR17" s="486">
        <f>SUMIFS('GSTR-2A'!$G$6:$G$10000,'GSTR-2A'!$B$6:$B$10000,$C$5:$C$4995,'GSTR-2A'!$A$6:$A$10000,$AR$3)</f>
        <v>0</v>
      </c>
      <c r="AS17" s="487">
        <f>SUMIFS('GSTR-2A'!$K$6:$K$10000,'GSTR-2A'!$B$6:$B$10000,$C$5:$C$4995,'GSTR-2A'!$A$6:$A$10000,$AR$3)</f>
        <v>0</v>
      </c>
      <c r="AT17" s="487">
        <f>SUMIFS('GSTR-2A'!$L$6:$L$10000,'GSTR-2A'!$B$6:$B$10000,$C$5:$C$4995,'GSTR-2A'!$A$6:$A$10000,$AR$3)</f>
        <v>0</v>
      </c>
      <c r="AU17" s="487">
        <f>SUMIFS('GSTR-2A'!$M$6:$M$10000,'GSTR-2A'!$B$6:$B$10000,$C$5:$C$4995,'GSTR-2A'!$A$6:$A$10000,$AR$3)</f>
        <v>0</v>
      </c>
      <c r="AV17" s="488">
        <f>SUMIFS('GSTR-2A'!$N$6:$N$10000,'GSTR-2A'!$B$6:$B$10000,$C$5:$C$4995,'GSTR-2A'!$A$6:$A$10000,$AR$3)</f>
        <v>0</v>
      </c>
      <c r="AW17" s="486">
        <f>SUMIFS('GSTR-2A'!$G$6:$G$10000,'GSTR-2A'!$B$6:$B$10000,$C$5:$C$4995,'GSTR-2A'!$A$6:$A$10000,$AW$3)</f>
        <v>0</v>
      </c>
      <c r="AX17" s="487">
        <f>SUMIFS('GSTR-2A'!$K$6:$K$10000,'GSTR-2A'!$B$6:$B$10000,$C$5:$C$4995,'GSTR-2A'!$A$6:$A$10000,$AW$3)</f>
        <v>0</v>
      </c>
      <c r="AY17" s="487">
        <f>SUMIFS('GSTR-2A'!$L$6:$L$10000,'GSTR-2A'!$B$6:$B$10000,$C$5:$C$4995,'GSTR-2A'!$A$6:$A$10000,$AW$3)</f>
        <v>0</v>
      </c>
      <c r="AZ17" s="487">
        <f>SUMIFS('GSTR-2A'!$M$6:$M$10000,'GSTR-2A'!$B$6:$B$10000,$C$5:$C$4995,'GSTR-2A'!$A$6:$A$10000,$AW$3)</f>
        <v>0</v>
      </c>
      <c r="BA17" s="488">
        <f>SUMIFS('GSTR-2A'!$N$6:$N$10000,'GSTR-2A'!$B$6:$B$10000,$C$5:$C$4995,'GSTR-2A'!$A$6:$A$10000,$AW$3)</f>
        <v>0</v>
      </c>
      <c r="BB17" s="486">
        <f>SUMIFS('GSTR-2A'!$G$6:$G$10000,'GSTR-2A'!$B$6:$B$10000,$C$5:$C$4995,'GSTR-2A'!$A$6:$A$10000,$BB$3)</f>
        <v>0</v>
      </c>
      <c r="BC17" s="487">
        <f>SUMIFS('GSTR-2A'!$K$6:$K$10000,'GSTR-2A'!$B$6:$B$10000,$C$5:$C$4995,'GSTR-2A'!$A$6:$A$10000,$BB$3)</f>
        <v>0</v>
      </c>
      <c r="BD17" s="487">
        <f>SUMIFS('GSTR-2A'!$L$6:$L$10000,'GSTR-2A'!$B$6:$B$10000,$C$5:$C$4995,'GSTR-2A'!$A$6:$A$10000,$BB$3)</f>
        <v>0</v>
      </c>
      <c r="BE17" s="487">
        <f>SUMIFS('GSTR-2A'!$M$6:$M$10000,'GSTR-2A'!$B$6:$B$10000,$C$5:$C$4995,'GSTR-2A'!$A$6:$A$10000,$BB$3)</f>
        <v>0</v>
      </c>
      <c r="BF17" s="488">
        <f>SUMIFS('GSTR-2A'!$N$6:$N$10000,'GSTR-2A'!$B$6:$B$10000,$C$5:$C$4995,'GSTR-2A'!$A$6:$A$10000,$BB$3)</f>
        <v>0</v>
      </c>
      <c r="BG17" s="486">
        <f>SUMIFS('GSTR-2A'!$G$6:$G$10000,'GSTR-2A'!$B$6:$B$10000,$C$5:$C$4995,'GSTR-2A'!$A$6:$A$10000,$BG$3)</f>
        <v>0</v>
      </c>
      <c r="BH17" s="487">
        <f>SUMIFS('GSTR-2A'!$K$6:$K$10000,'GSTR-2A'!$B$6:$B$10000,$C$5:$C$4995,'GSTR-2A'!$A$6:$A$10000,$BG$3)</f>
        <v>0</v>
      </c>
      <c r="BI17" s="487">
        <f>SUMIFS('GSTR-2A'!$L$6:$L$10000,'GSTR-2A'!$B$6:$B$10000,$C$5:$C$4995,'GSTR-2A'!$A$6:$A$10000,$BG$3)</f>
        <v>0</v>
      </c>
      <c r="BJ17" s="487">
        <f>SUMIFS('GSTR-2A'!$M$6:$M$10000,'GSTR-2A'!$B$6:$B$10000,$C$5:$C$4995,'GSTR-2A'!$A$6:$A$10000,$BG$3)</f>
        <v>0</v>
      </c>
      <c r="BK17" s="488">
        <f>SUMIFS('GSTR-2A'!$N$6:$N$10000,'GSTR-2A'!$B$6:$B$10000,$C$5:$C$4995,'GSTR-2A'!$A$6:$A$10000,$BG$3)</f>
        <v>0</v>
      </c>
      <c r="BL17" s="72">
        <f t="shared" si="2"/>
        <v>1984928</v>
      </c>
      <c r="BM17" s="72">
        <f t="shared" si="3"/>
        <v>1682142.62</v>
      </c>
      <c r="BN17" s="72">
        <f t="shared" si="4"/>
        <v>0</v>
      </c>
      <c r="BO17" s="72">
        <f t="shared" si="5"/>
        <v>151392.85999999999</v>
      </c>
      <c r="BP17" s="72">
        <f t="shared" si="6"/>
        <v>151392.85999999999</v>
      </c>
    </row>
    <row r="18" spans="1:68" x14ac:dyDescent="0.2">
      <c r="A18" s="467">
        <v>14</v>
      </c>
      <c r="B18" s="468" t="s">
        <v>514</v>
      </c>
      <c r="C18" s="469" t="s">
        <v>515</v>
      </c>
      <c r="D18" s="72">
        <f>SUMIFS('GSTR-2A'!$G$6:$G$10000,'GSTR-2A'!$B$6:$B$10000,$C$5:$C$4995,'GSTR-2A'!$A$6:$A$10000,$D$3)</f>
        <v>9786.25</v>
      </c>
      <c r="E18" s="72">
        <f>SUMIFS('GSTR-2A'!$K$6:$K$10000,'GSTR-2A'!$B$6:$B$10000,$C$5:$C$4995,'GSTR-2A'!$A$6:$A$10000,$D$3)</f>
        <v>8293.43</v>
      </c>
      <c r="F18" s="72">
        <f>SUMIFS('GSTR-2A'!$L$6:$L$10000,'GSTR-2A'!$B$6:$B$10000,$C$5:$C$4995,'GSTR-2A'!$A$6:$A$10000,$D$3)</f>
        <v>0</v>
      </c>
      <c r="G18" s="72">
        <f>SUMIFS('GSTR-2A'!$M$6:$M$10000,'GSTR-2A'!$B$6:$B$10000,$C$5:$C$4995,'GSTR-2A'!$A$6:$A$10000,$D$3)</f>
        <v>746.41</v>
      </c>
      <c r="H18" s="72">
        <f>SUMIFS('GSTR-2A'!$N$6:$N$10000,'GSTR-2A'!$B$6:$B$10000,$C$5:$C$4995,'GSTR-2A'!$A$6:$A$10000,$D$3)</f>
        <v>746.41</v>
      </c>
      <c r="I18" s="486">
        <f>SUMIFS('GSTR-2A'!$G$6:$G$10000,'GSTR-2A'!$B$6:$B$10000,$C$5:$C$4995,'GSTR-2A'!$A$6:$A$10000,$I$3)</f>
        <v>1195.3400000000001</v>
      </c>
      <c r="J18" s="487">
        <f>SUMIFS('GSTR-2A'!$K$6:$K$10000,'GSTR-2A'!$B$6:$B$10000,$C$5:$C$4995,'GSTR-2A'!$A$6:$A$10000,$I$3)</f>
        <v>1013</v>
      </c>
      <c r="K18" s="487">
        <f>SUMIFS('GSTR-2A'!$L$6:$L$10000,'GSTR-2A'!$B$6:$B$10000,$C$5:$C$4995,'GSTR-2A'!$A$6:$A$10000,$I$3)</f>
        <v>0</v>
      </c>
      <c r="L18" s="487">
        <f>SUMIFS('GSTR-2A'!$M$6:$M$10000,'GSTR-2A'!$B$6:$B$10000,$C$5:$C$4995,'GSTR-2A'!$A$6:$A$10000,$I$3)</f>
        <v>91.169999999999987</v>
      </c>
      <c r="M18" s="488">
        <f>SUMIFS('GSTR-2A'!$N$6:$N$10000,'GSTR-2A'!$B$6:$B$10000,$C$5:$C$4995,'GSTR-2A'!$A$6:$A$10000,$I$3)</f>
        <v>91.169999999999987</v>
      </c>
      <c r="N18" s="486">
        <f>SUMIFS('GSTR-2A'!$G$6:$G$10000,'GSTR-2A'!$B$6:$B$10000,$C$5:$C$4995,'GSTR-2A'!$A$6:$A$10000,$N$3)</f>
        <v>6026.04</v>
      </c>
      <c r="O18" s="487">
        <f>SUMIFS('GSTR-2A'!$K$6:$K$10000,'GSTR-2A'!$B$6:$B$10000,$C$5:$C$4995,'GSTR-2A'!$A$6:$A$10000,$N$3)</f>
        <v>5106.8100000000004</v>
      </c>
      <c r="P18" s="487">
        <f>SUMIFS('GSTR-2A'!$L$6:$L$10000,'GSTR-2A'!$B$6:$B$10000,$C$5:$C$4995,'GSTR-2A'!$A$6:$A$10000,$N$3)</f>
        <v>0</v>
      </c>
      <c r="Q18" s="487">
        <f>SUMIFS('GSTR-2A'!$M$6:$M$10000,'GSTR-2A'!$B$6:$B$10000,$C$5:$C$4995,'GSTR-2A'!$A$6:$A$10000,$N$3)</f>
        <v>459.61</v>
      </c>
      <c r="R18" s="488">
        <f>SUMIFS('GSTR-2A'!$N$6:$N$10000,'GSTR-2A'!$B$6:$B$10000,$C$5:$C$4995,'GSTR-2A'!$A$6:$A$10000,$N$3)</f>
        <v>459.61</v>
      </c>
      <c r="S18" s="486">
        <f>SUMIFS('GSTR-2A'!$G$6:$G$10000,'GSTR-2A'!$B$6:$B$10000,$C$5:$C$4995,'GSTR-2A'!$A$6:$A$10000,$S$3)</f>
        <v>8386.33</v>
      </c>
      <c r="T18" s="487">
        <f>SUMIFS('GSTR-2A'!$K$6:$K$10000,'GSTR-2A'!$B$6:$B$10000,$C$5:$C$4995,'GSTR-2A'!$A$6:$A$10000,$S$3)</f>
        <v>7107.0599999999995</v>
      </c>
      <c r="U18" s="487">
        <f>SUMIFS('GSTR-2A'!$L$6:$L$10000,'GSTR-2A'!$B$6:$B$10000,$C$5:$C$4995,'GSTR-2A'!$A$6:$A$10000,$S$3)</f>
        <v>0</v>
      </c>
      <c r="V18" s="487">
        <f>SUMIFS('GSTR-2A'!$M$6:$M$10000,'GSTR-2A'!$B$6:$B$10000,$C$5:$C$4995,'GSTR-2A'!$A$6:$A$10000,$S$3)</f>
        <v>639.64</v>
      </c>
      <c r="W18" s="488">
        <f>SUMIFS('GSTR-2A'!$N$6:$N$10000,'GSTR-2A'!$B$6:$B$10000,$C$5:$C$4995,'GSTR-2A'!$A$6:$A$10000,$S$3)</f>
        <v>639.64</v>
      </c>
      <c r="X18" s="486">
        <f>SUMIFS('GSTR-2A'!$G$6:$G$10000,'GSTR-2A'!$B$6:$B$10000,$C$5:$C$4995,'GSTR-2A'!$A$6:$A$10000,$X$3)</f>
        <v>120.36</v>
      </c>
      <c r="Y18" s="487">
        <f>SUMIFS('GSTR-2A'!$K$6:$K$10000,'GSTR-2A'!$B$6:$B$10000,$C$5:$C$4995,'GSTR-2A'!$A$6:$A$10000,$X$3)</f>
        <v>102</v>
      </c>
      <c r="Z18" s="487">
        <f>SUMIFS('GSTR-2A'!$L$6:$L$10000,'GSTR-2A'!$B$6:$B$10000,$C$5:$C$4995,'GSTR-2A'!$A$6:$A$10000,$X$3)</f>
        <v>0</v>
      </c>
      <c r="AA18" s="487">
        <f>SUMIFS('GSTR-2A'!$M$6:$M$10000,'GSTR-2A'!$B$6:$B$10000,$C$5:$C$4995,'GSTR-2A'!$A$6:$A$10000,$X$3)</f>
        <v>9.18</v>
      </c>
      <c r="AB18" s="488">
        <f>SUMIFS('GSTR-2A'!$N$6:$N$10000,'GSTR-2A'!$B$6:$B$10000,$C$5:$C$4995,'GSTR-2A'!$A$6:$A$10000,$X$3)</f>
        <v>9.18</v>
      </c>
      <c r="AC18" s="486">
        <f>SUMIFS('GSTR-2A'!$G$6:$G$10000,'GSTR-2A'!$B$6:$B$10000,$C$5:$C$4995,'GSTR-2A'!$A$6:$A$10000,$AC$3)</f>
        <v>13734.669999999998</v>
      </c>
      <c r="AD18" s="487">
        <f>SUMIFS('GSTR-2A'!$K$6:$K$10000,'GSTR-2A'!$B$6:$B$10000,$C$5:$C$4995,'GSTR-2A'!$A$6:$A$10000,$AC$3)</f>
        <v>11639.55</v>
      </c>
      <c r="AE18" s="487">
        <f>SUMIFS('GSTR-2A'!$L$6:$L$10000,'GSTR-2A'!$B$6:$B$10000,$C$5:$C$4995,'GSTR-2A'!$A$6:$A$10000,$AC$3)</f>
        <v>0</v>
      </c>
      <c r="AF18" s="487">
        <f>SUMIFS('GSTR-2A'!$M$6:$M$10000,'GSTR-2A'!$B$6:$B$10000,$C$5:$C$4995,'GSTR-2A'!$A$6:$A$10000,$AC$3)</f>
        <v>1047.5600000000002</v>
      </c>
      <c r="AG18" s="488">
        <f>SUMIFS('GSTR-2A'!$N$6:$N$10000,'GSTR-2A'!$B$6:$B$10000,$C$5:$C$4995,'GSTR-2A'!$A$6:$A$10000,$AC$3)</f>
        <v>1047.5600000000002</v>
      </c>
      <c r="AH18" s="486">
        <f>SUMIFS('GSTR-2A'!$G$6:$G$10000,'GSTR-2A'!$B$6:$B$10000,$C$5:$C$4995,'GSTR-2A'!$A$6:$A$10000,$AH$3)</f>
        <v>182.9</v>
      </c>
      <c r="AI18" s="487">
        <f>SUMIFS('GSTR-2A'!$K$6:$K$10000,'GSTR-2A'!$B$6:$B$10000,$C$5:$C$4995,'GSTR-2A'!$A$6:$A$10000,$AH$3)</f>
        <v>155</v>
      </c>
      <c r="AJ18" s="487">
        <f>SUMIFS('GSTR-2A'!$L$6:$L$10000,'GSTR-2A'!$B$6:$B$10000,$C$5:$C$4995,'GSTR-2A'!$A$6:$A$10000,$AH$3)</f>
        <v>0</v>
      </c>
      <c r="AK18" s="487">
        <f>SUMIFS('GSTR-2A'!$M$6:$M$10000,'GSTR-2A'!$B$6:$B$10000,$C$5:$C$4995,'GSTR-2A'!$A$6:$A$10000,$AH$3)</f>
        <v>13.95</v>
      </c>
      <c r="AL18" s="488">
        <f>SUMIFS('GSTR-2A'!$N$6:$N$10000,'GSTR-2A'!$B$6:$B$10000,$C$5:$C$4995,'GSTR-2A'!$A$6:$A$10000,$AH$3)</f>
        <v>13.95</v>
      </c>
      <c r="AM18" s="486">
        <f>SUMIFS('GSTR-2A'!$G$6:$G$10000,'GSTR-2A'!$B$6:$B$10000,$C$5:$C$4995,'GSTR-2A'!$A$6:$A$10000,$AM$3)</f>
        <v>0</v>
      </c>
      <c r="AN18" s="487">
        <f>SUMIFS('GSTR-2A'!$K$6:$K$10000,'GSTR-2A'!$B$6:$B$10000,$C$5:$C$4995,'GSTR-2A'!$A$6:$A$10000,$AM$3)</f>
        <v>0</v>
      </c>
      <c r="AO18" s="487">
        <f>SUMIFS('GSTR-2A'!$L$6:$L$10000,'GSTR-2A'!$B$6:$B$10000,$C$5:$C$4995,'GSTR-2A'!$A$6:$A$10000,$AM$3)</f>
        <v>0</v>
      </c>
      <c r="AP18" s="487">
        <f>SUMIFS('GSTR-2A'!$M$6:$M$10000,'GSTR-2A'!$B$6:$B$10000,$C$5:$C$4995,'GSTR-2A'!$A$6:$A$10000,$AM$3)</f>
        <v>0</v>
      </c>
      <c r="AQ18" s="488">
        <f>SUMIFS('GSTR-2A'!$N$6:$N$10000,'GSTR-2A'!$B$6:$B$10000,$C$5:$C$4995,'GSTR-2A'!$A$6:$A$10000,$AM$3)</f>
        <v>0</v>
      </c>
      <c r="AR18" s="486">
        <f>SUMIFS('GSTR-2A'!$G$6:$G$10000,'GSTR-2A'!$B$6:$B$10000,$C$5:$C$4995,'GSTR-2A'!$A$6:$A$10000,$AR$3)</f>
        <v>0</v>
      </c>
      <c r="AS18" s="487">
        <f>SUMIFS('GSTR-2A'!$K$6:$K$10000,'GSTR-2A'!$B$6:$B$10000,$C$5:$C$4995,'GSTR-2A'!$A$6:$A$10000,$AR$3)</f>
        <v>0</v>
      </c>
      <c r="AT18" s="487">
        <f>SUMIFS('GSTR-2A'!$L$6:$L$10000,'GSTR-2A'!$B$6:$B$10000,$C$5:$C$4995,'GSTR-2A'!$A$6:$A$10000,$AR$3)</f>
        <v>0</v>
      </c>
      <c r="AU18" s="487">
        <f>SUMIFS('GSTR-2A'!$M$6:$M$10000,'GSTR-2A'!$B$6:$B$10000,$C$5:$C$4995,'GSTR-2A'!$A$6:$A$10000,$AR$3)</f>
        <v>0</v>
      </c>
      <c r="AV18" s="488">
        <f>SUMIFS('GSTR-2A'!$N$6:$N$10000,'GSTR-2A'!$B$6:$B$10000,$C$5:$C$4995,'GSTR-2A'!$A$6:$A$10000,$AR$3)</f>
        <v>0</v>
      </c>
      <c r="AW18" s="486">
        <f>SUMIFS('GSTR-2A'!$G$6:$G$10000,'GSTR-2A'!$B$6:$B$10000,$C$5:$C$4995,'GSTR-2A'!$A$6:$A$10000,$AW$3)</f>
        <v>0</v>
      </c>
      <c r="AX18" s="487">
        <f>SUMIFS('GSTR-2A'!$K$6:$K$10000,'GSTR-2A'!$B$6:$B$10000,$C$5:$C$4995,'GSTR-2A'!$A$6:$A$10000,$AW$3)</f>
        <v>0</v>
      </c>
      <c r="AY18" s="487">
        <f>SUMIFS('GSTR-2A'!$L$6:$L$10000,'GSTR-2A'!$B$6:$B$10000,$C$5:$C$4995,'GSTR-2A'!$A$6:$A$10000,$AW$3)</f>
        <v>0</v>
      </c>
      <c r="AZ18" s="487">
        <f>SUMIFS('GSTR-2A'!$M$6:$M$10000,'GSTR-2A'!$B$6:$B$10000,$C$5:$C$4995,'GSTR-2A'!$A$6:$A$10000,$AW$3)</f>
        <v>0</v>
      </c>
      <c r="BA18" s="488">
        <f>SUMIFS('GSTR-2A'!$N$6:$N$10000,'GSTR-2A'!$B$6:$B$10000,$C$5:$C$4995,'GSTR-2A'!$A$6:$A$10000,$AW$3)</f>
        <v>0</v>
      </c>
      <c r="BB18" s="486">
        <f>SUMIFS('GSTR-2A'!$G$6:$G$10000,'GSTR-2A'!$B$6:$B$10000,$C$5:$C$4995,'GSTR-2A'!$A$6:$A$10000,$BB$3)</f>
        <v>0</v>
      </c>
      <c r="BC18" s="487">
        <f>SUMIFS('GSTR-2A'!$K$6:$K$10000,'GSTR-2A'!$B$6:$B$10000,$C$5:$C$4995,'GSTR-2A'!$A$6:$A$10000,$BB$3)</f>
        <v>0</v>
      </c>
      <c r="BD18" s="487">
        <f>SUMIFS('GSTR-2A'!$L$6:$L$10000,'GSTR-2A'!$B$6:$B$10000,$C$5:$C$4995,'GSTR-2A'!$A$6:$A$10000,$BB$3)</f>
        <v>0</v>
      </c>
      <c r="BE18" s="487">
        <f>SUMIFS('GSTR-2A'!$M$6:$M$10000,'GSTR-2A'!$B$6:$B$10000,$C$5:$C$4995,'GSTR-2A'!$A$6:$A$10000,$BB$3)</f>
        <v>0</v>
      </c>
      <c r="BF18" s="488">
        <f>SUMIFS('GSTR-2A'!$N$6:$N$10000,'GSTR-2A'!$B$6:$B$10000,$C$5:$C$4995,'GSTR-2A'!$A$6:$A$10000,$BB$3)</f>
        <v>0</v>
      </c>
      <c r="BG18" s="486">
        <f>SUMIFS('GSTR-2A'!$G$6:$G$10000,'GSTR-2A'!$B$6:$B$10000,$C$5:$C$4995,'GSTR-2A'!$A$6:$A$10000,$BG$3)</f>
        <v>0</v>
      </c>
      <c r="BH18" s="487">
        <f>SUMIFS('GSTR-2A'!$K$6:$K$10000,'GSTR-2A'!$B$6:$B$10000,$C$5:$C$4995,'GSTR-2A'!$A$6:$A$10000,$BG$3)</f>
        <v>0</v>
      </c>
      <c r="BI18" s="487">
        <f>SUMIFS('GSTR-2A'!$L$6:$L$10000,'GSTR-2A'!$B$6:$B$10000,$C$5:$C$4995,'GSTR-2A'!$A$6:$A$10000,$BG$3)</f>
        <v>0</v>
      </c>
      <c r="BJ18" s="487">
        <f>SUMIFS('GSTR-2A'!$M$6:$M$10000,'GSTR-2A'!$B$6:$B$10000,$C$5:$C$4995,'GSTR-2A'!$A$6:$A$10000,$BG$3)</f>
        <v>0</v>
      </c>
      <c r="BK18" s="488">
        <f>SUMIFS('GSTR-2A'!$N$6:$N$10000,'GSTR-2A'!$B$6:$B$10000,$C$5:$C$4995,'GSTR-2A'!$A$6:$A$10000,$BG$3)</f>
        <v>0</v>
      </c>
      <c r="BL18" s="72">
        <f t="shared" si="2"/>
        <v>39431.89</v>
      </c>
      <c r="BM18" s="72">
        <f t="shared" si="3"/>
        <v>33416.850000000006</v>
      </c>
      <c r="BN18" s="72">
        <f t="shared" si="4"/>
        <v>0</v>
      </c>
      <c r="BO18" s="72">
        <f t="shared" si="5"/>
        <v>3007.52</v>
      </c>
      <c r="BP18" s="72">
        <f t="shared" si="6"/>
        <v>3007.52</v>
      </c>
    </row>
    <row r="19" spans="1:68" x14ac:dyDescent="0.2">
      <c r="A19" s="467">
        <v>15</v>
      </c>
      <c r="B19" s="468" t="s">
        <v>659</v>
      </c>
      <c r="C19" s="469" t="s">
        <v>660</v>
      </c>
      <c r="D19" s="72">
        <f>SUMIFS('GSTR-2A'!$G$6:$G$10000,'GSTR-2A'!$B$6:$B$10000,$C$5:$C$4995,'GSTR-2A'!$A$6:$A$10000,$D$3)</f>
        <v>0</v>
      </c>
      <c r="E19" s="72">
        <f>SUMIFS('GSTR-2A'!$K$6:$K$10000,'GSTR-2A'!$B$6:$B$10000,$C$5:$C$4995,'GSTR-2A'!$A$6:$A$10000,$D$3)</f>
        <v>0</v>
      </c>
      <c r="F19" s="72">
        <f>SUMIFS('GSTR-2A'!$L$6:$L$10000,'GSTR-2A'!$B$6:$B$10000,$C$5:$C$4995,'GSTR-2A'!$A$6:$A$10000,$D$3)</f>
        <v>0</v>
      </c>
      <c r="G19" s="72">
        <f>SUMIFS('GSTR-2A'!$M$6:$M$10000,'GSTR-2A'!$B$6:$B$10000,$C$5:$C$4995,'GSTR-2A'!$A$6:$A$10000,$D$3)</f>
        <v>0</v>
      </c>
      <c r="H19" s="72">
        <f>SUMIFS('GSTR-2A'!$N$6:$N$10000,'GSTR-2A'!$B$6:$B$10000,$C$5:$C$4995,'GSTR-2A'!$A$6:$A$10000,$D$3)</f>
        <v>0</v>
      </c>
      <c r="I19" s="486">
        <f>SUMIFS('GSTR-2A'!$G$6:$G$10000,'GSTR-2A'!$B$6:$B$10000,$C$5:$C$4995,'GSTR-2A'!$A$6:$A$10000,$I$3)</f>
        <v>0</v>
      </c>
      <c r="J19" s="487">
        <f>SUMIFS('GSTR-2A'!$K$6:$K$10000,'GSTR-2A'!$B$6:$B$10000,$C$5:$C$4995,'GSTR-2A'!$A$6:$A$10000,$I$3)</f>
        <v>0</v>
      </c>
      <c r="K19" s="487">
        <f>SUMIFS('GSTR-2A'!$L$6:$L$10000,'GSTR-2A'!$B$6:$B$10000,$C$5:$C$4995,'GSTR-2A'!$A$6:$A$10000,$I$3)</f>
        <v>0</v>
      </c>
      <c r="L19" s="487">
        <f>SUMIFS('GSTR-2A'!$M$6:$M$10000,'GSTR-2A'!$B$6:$B$10000,$C$5:$C$4995,'GSTR-2A'!$A$6:$A$10000,$I$3)</f>
        <v>0</v>
      </c>
      <c r="M19" s="488">
        <f>SUMIFS('GSTR-2A'!$N$6:$N$10000,'GSTR-2A'!$B$6:$B$10000,$C$5:$C$4995,'GSTR-2A'!$A$6:$A$10000,$I$3)</f>
        <v>0</v>
      </c>
      <c r="N19" s="486">
        <f>SUMIFS('GSTR-2A'!$G$6:$G$10000,'GSTR-2A'!$B$6:$B$10000,$C$5:$C$4995,'GSTR-2A'!$A$6:$A$10000,$N$3)</f>
        <v>19258</v>
      </c>
      <c r="O19" s="487">
        <f>SUMIFS('GSTR-2A'!$K$6:$K$10000,'GSTR-2A'!$B$6:$B$10000,$C$5:$C$4995,'GSTR-2A'!$A$6:$A$10000,$N$3)</f>
        <v>16320</v>
      </c>
      <c r="P19" s="487">
        <f>SUMIFS('GSTR-2A'!$L$6:$L$10000,'GSTR-2A'!$B$6:$B$10000,$C$5:$C$4995,'GSTR-2A'!$A$6:$A$10000,$N$3)</f>
        <v>0</v>
      </c>
      <c r="Q19" s="487">
        <f>SUMIFS('GSTR-2A'!$M$6:$M$10000,'GSTR-2A'!$B$6:$B$10000,$C$5:$C$4995,'GSTR-2A'!$A$6:$A$10000,$N$3)</f>
        <v>1468.8</v>
      </c>
      <c r="R19" s="488">
        <f>SUMIFS('GSTR-2A'!$N$6:$N$10000,'GSTR-2A'!$B$6:$B$10000,$C$5:$C$4995,'GSTR-2A'!$A$6:$A$10000,$N$3)</f>
        <v>1468.8</v>
      </c>
      <c r="S19" s="486">
        <f>SUMIFS('GSTR-2A'!$G$6:$G$10000,'GSTR-2A'!$B$6:$B$10000,$C$5:$C$4995,'GSTR-2A'!$A$6:$A$10000,$S$3)</f>
        <v>0</v>
      </c>
      <c r="T19" s="487">
        <f>SUMIFS('GSTR-2A'!$K$6:$K$10000,'GSTR-2A'!$B$6:$B$10000,$C$5:$C$4995,'GSTR-2A'!$A$6:$A$10000,$S$3)</f>
        <v>0</v>
      </c>
      <c r="U19" s="487">
        <f>SUMIFS('GSTR-2A'!$L$6:$L$10000,'GSTR-2A'!$B$6:$B$10000,$C$5:$C$4995,'GSTR-2A'!$A$6:$A$10000,$S$3)</f>
        <v>0</v>
      </c>
      <c r="V19" s="487">
        <f>SUMIFS('GSTR-2A'!$M$6:$M$10000,'GSTR-2A'!$B$6:$B$10000,$C$5:$C$4995,'GSTR-2A'!$A$6:$A$10000,$S$3)</f>
        <v>0</v>
      </c>
      <c r="W19" s="488">
        <f>SUMIFS('GSTR-2A'!$N$6:$N$10000,'GSTR-2A'!$B$6:$B$10000,$C$5:$C$4995,'GSTR-2A'!$A$6:$A$10000,$S$3)</f>
        <v>0</v>
      </c>
      <c r="X19" s="486">
        <f>SUMIFS('GSTR-2A'!$G$6:$G$10000,'GSTR-2A'!$B$6:$B$10000,$C$5:$C$4995,'GSTR-2A'!$A$6:$A$10000,$X$3)</f>
        <v>0</v>
      </c>
      <c r="Y19" s="487">
        <f>SUMIFS('GSTR-2A'!$K$6:$K$10000,'GSTR-2A'!$B$6:$B$10000,$C$5:$C$4995,'GSTR-2A'!$A$6:$A$10000,$X$3)</f>
        <v>0</v>
      </c>
      <c r="Z19" s="487">
        <f>SUMIFS('GSTR-2A'!$L$6:$L$10000,'GSTR-2A'!$B$6:$B$10000,$C$5:$C$4995,'GSTR-2A'!$A$6:$A$10000,$X$3)</f>
        <v>0</v>
      </c>
      <c r="AA19" s="487">
        <f>SUMIFS('GSTR-2A'!$M$6:$M$10000,'GSTR-2A'!$B$6:$B$10000,$C$5:$C$4995,'GSTR-2A'!$A$6:$A$10000,$X$3)</f>
        <v>0</v>
      </c>
      <c r="AB19" s="488">
        <f>SUMIFS('GSTR-2A'!$N$6:$N$10000,'GSTR-2A'!$B$6:$B$10000,$C$5:$C$4995,'GSTR-2A'!$A$6:$A$10000,$X$3)</f>
        <v>0</v>
      </c>
      <c r="AC19" s="486">
        <f>SUMIFS('GSTR-2A'!$G$6:$G$10000,'GSTR-2A'!$B$6:$B$10000,$C$5:$C$4995,'GSTR-2A'!$A$6:$A$10000,$AC$3)</f>
        <v>19258</v>
      </c>
      <c r="AD19" s="487">
        <f>SUMIFS('GSTR-2A'!$K$6:$K$10000,'GSTR-2A'!$B$6:$B$10000,$C$5:$C$4995,'GSTR-2A'!$A$6:$A$10000,$AC$3)</f>
        <v>16320</v>
      </c>
      <c r="AE19" s="487">
        <f>SUMIFS('GSTR-2A'!$L$6:$L$10000,'GSTR-2A'!$B$6:$B$10000,$C$5:$C$4995,'GSTR-2A'!$A$6:$A$10000,$AC$3)</f>
        <v>0</v>
      </c>
      <c r="AF19" s="487">
        <f>SUMIFS('GSTR-2A'!$M$6:$M$10000,'GSTR-2A'!$B$6:$B$10000,$C$5:$C$4995,'GSTR-2A'!$A$6:$A$10000,$AC$3)</f>
        <v>1468.8</v>
      </c>
      <c r="AG19" s="488">
        <f>SUMIFS('GSTR-2A'!$N$6:$N$10000,'GSTR-2A'!$B$6:$B$10000,$C$5:$C$4995,'GSTR-2A'!$A$6:$A$10000,$AC$3)</f>
        <v>1468.8</v>
      </c>
      <c r="AH19" s="486">
        <f>SUMIFS('GSTR-2A'!$G$6:$G$10000,'GSTR-2A'!$B$6:$B$10000,$C$5:$C$4995,'GSTR-2A'!$A$6:$A$10000,$AH$3)</f>
        <v>0</v>
      </c>
      <c r="AI19" s="487">
        <f>SUMIFS('GSTR-2A'!$K$6:$K$10000,'GSTR-2A'!$B$6:$B$10000,$C$5:$C$4995,'GSTR-2A'!$A$6:$A$10000,$AH$3)</f>
        <v>0</v>
      </c>
      <c r="AJ19" s="487">
        <f>SUMIFS('GSTR-2A'!$L$6:$L$10000,'GSTR-2A'!$B$6:$B$10000,$C$5:$C$4995,'GSTR-2A'!$A$6:$A$10000,$AH$3)</f>
        <v>0</v>
      </c>
      <c r="AK19" s="487">
        <f>SUMIFS('GSTR-2A'!$M$6:$M$10000,'GSTR-2A'!$B$6:$B$10000,$C$5:$C$4995,'GSTR-2A'!$A$6:$A$10000,$AH$3)</f>
        <v>0</v>
      </c>
      <c r="AL19" s="488">
        <f>SUMIFS('GSTR-2A'!$N$6:$N$10000,'GSTR-2A'!$B$6:$B$10000,$C$5:$C$4995,'GSTR-2A'!$A$6:$A$10000,$AH$3)</f>
        <v>0</v>
      </c>
      <c r="AM19" s="486">
        <f>SUMIFS('GSTR-2A'!$G$6:$G$10000,'GSTR-2A'!$B$6:$B$10000,$C$5:$C$4995,'GSTR-2A'!$A$6:$A$10000,$AM$3)</f>
        <v>0</v>
      </c>
      <c r="AN19" s="487">
        <f>SUMIFS('GSTR-2A'!$K$6:$K$10000,'GSTR-2A'!$B$6:$B$10000,$C$5:$C$4995,'GSTR-2A'!$A$6:$A$10000,$AM$3)</f>
        <v>0</v>
      </c>
      <c r="AO19" s="487">
        <f>SUMIFS('GSTR-2A'!$L$6:$L$10000,'GSTR-2A'!$B$6:$B$10000,$C$5:$C$4995,'GSTR-2A'!$A$6:$A$10000,$AM$3)</f>
        <v>0</v>
      </c>
      <c r="AP19" s="487">
        <f>SUMIFS('GSTR-2A'!$M$6:$M$10000,'GSTR-2A'!$B$6:$B$10000,$C$5:$C$4995,'GSTR-2A'!$A$6:$A$10000,$AM$3)</f>
        <v>0</v>
      </c>
      <c r="AQ19" s="488">
        <f>SUMIFS('GSTR-2A'!$N$6:$N$10000,'GSTR-2A'!$B$6:$B$10000,$C$5:$C$4995,'GSTR-2A'!$A$6:$A$10000,$AM$3)</f>
        <v>0</v>
      </c>
      <c r="AR19" s="486">
        <f>SUMIFS('GSTR-2A'!$G$6:$G$10000,'GSTR-2A'!$B$6:$B$10000,$C$5:$C$4995,'GSTR-2A'!$A$6:$A$10000,$AR$3)</f>
        <v>0</v>
      </c>
      <c r="AS19" s="487">
        <f>SUMIFS('GSTR-2A'!$K$6:$K$10000,'GSTR-2A'!$B$6:$B$10000,$C$5:$C$4995,'GSTR-2A'!$A$6:$A$10000,$AR$3)</f>
        <v>0</v>
      </c>
      <c r="AT19" s="487">
        <f>SUMIFS('GSTR-2A'!$L$6:$L$10000,'GSTR-2A'!$B$6:$B$10000,$C$5:$C$4995,'GSTR-2A'!$A$6:$A$10000,$AR$3)</f>
        <v>0</v>
      </c>
      <c r="AU19" s="487">
        <f>SUMIFS('GSTR-2A'!$M$6:$M$10000,'GSTR-2A'!$B$6:$B$10000,$C$5:$C$4995,'GSTR-2A'!$A$6:$A$10000,$AR$3)</f>
        <v>0</v>
      </c>
      <c r="AV19" s="488">
        <f>SUMIFS('GSTR-2A'!$N$6:$N$10000,'GSTR-2A'!$B$6:$B$10000,$C$5:$C$4995,'GSTR-2A'!$A$6:$A$10000,$AR$3)</f>
        <v>0</v>
      </c>
      <c r="AW19" s="486">
        <f>SUMIFS('GSTR-2A'!$G$6:$G$10000,'GSTR-2A'!$B$6:$B$10000,$C$5:$C$4995,'GSTR-2A'!$A$6:$A$10000,$AW$3)</f>
        <v>0</v>
      </c>
      <c r="AX19" s="487">
        <f>SUMIFS('GSTR-2A'!$K$6:$K$10000,'GSTR-2A'!$B$6:$B$10000,$C$5:$C$4995,'GSTR-2A'!$A$6:$A$10000,$AW$3)</f>
        <v>0</v>
      </c>
      <c r="AY19" s="487">
        <f>SUMIFS('GSTR-2A'!$L$6:$L$10000,'GSTR-2A'!$B$6:$B$10000,$C$5:$C$4995,'GSTR-2A'!$A$6:$A$10000,$AW$3)</f>
        <v>0</v>
      </c>
      <c r="AZ19" s="487">
        <f>SUMIFS('GSTR-2A'!$M$6:$M$10000,'GSTR-2A'!$B$6:$B$10000,$C$5:$C$4995,'GSTR-2A'!$A$6:$A$10000,$AW$3)</f>
        <v>0</v>
      </c>
      <c r="BA19" s="488">
        <f>SUMIFS('GSTR-2A'!$N$6:$N$10000,'GSTR-2A'!$B$6:$B$10000,$C$5:$C$4995,'GSTR-2A'!$A$6:$A$10000,$AW$3)</f>
        <v>0</v>
      </c>
      <c r="BB19" s="486">
        <f>SUMIFS('GSTR-2A'!$G$6:$G$10000,'GSTR-2A'!$B$6:$B$10000,$C$5:$C$4995,'GSTR-2A'!$A$6:$A$10000,$BB$3)</f>
        <v>0</v>
      </c>
      <c r="BC19" s="487">
        <f>SUMIFS('GSTR-2A'!$K$6:$K$10000,'GSTR-2A'!$B$6:$B$10000,$C$5:$C$4995,'GSTR-2A'!$A$6:$A$10000,$BB$3)</f>
        <v>0</v>
      </c>
      <c r="BD19" s="487">
        <f>SUMIFS('GSTR-2A'!$L$6:$L$10000,'GSTR-2A'!$B$6:$B$10000,$C$5:$C$4995,'GSTR-2A'!$A$6:$A$10000,$BB$3)</f>
        <v>0</v>
      </c>
      <c r="BE19" s="487">
        <f>SUMIFS('GSTR-2A'!$M$6:$M$10000,'GSTR-2A'!$B$6:$B$10000,$C$5:$C$4995,'GSTR-2A'!$A$6:$A$10000,$BB$3)</f>
        <v>0</v>
      </c>
      <c r="BF19" s="488">
        <f>SUMIFS('GSTR-2A'!$N$6:$N$10000,'GSTR-2A'!$B$6:$B$10000,$C$5:$C$4995,'GSTR-2A'!$A$6:$A$10000,$BB$3)</f>
        <v>0</v>
      </c>
      <c r="BG19" s="486">
        <f>SUMIFS('GSTR-2A'!$G$6:$G$10000,'GSTR-2A'!$B$6:$B$10000,$C$5:$C$4995,'GSTR-2A'!$A$6:$A$10000,$BG$3)</f>
        <v>0</v>
      </c>
      <c r="BH19" s="487">
        <f>SUMIFS('GSTR-2A'!$K$6:$K$10000,'GSTR-2A'!$B$6:$B$10000,$C$5:$C$4995,'GSTR-2A'!$A$6:$A$10000,$BG$3)</f>
        <v>0</v>
      </c>
      <c r="BI19" s="487">
        <f>SUMIFS('GSTR-2A'!$L$6:$L$10000,'GSTR-2A'!$B$6:$B$10000,$C$5:$C$4995,'GSTR-2A'!$A$6:$A$10000,$BG$3)</f>
        <v>0</v>
      </c>
      <c r="BJ19" s="487">
        <f>SUMIFS('GSTR-2A'!$M$6:$M$10000,'GSTR-2A'!$B$6:$B$10000,$C$5:$C$4995,'GSTR-2A'!$A$6:$A$10000,$BG$3)</f>
        <v>0</v>
      </c>
      <c r="BK19" s="488">
        <f>SUMIFS('GSTR-2A'!$N$6:$N$10000,'GSTR-2A'!$B$6:$B$10000,$C$5:$C$4995,'GSTR-2A'!$A$6:$A$10000,$BG$3)</f>
        <v>0</v>
      </c>
      <c r="BL19" s="72">
        <f t="shared" si="2"/>
        <v>38516</v>
      </c>
      <c r="BM19" s="72">
        <f t="shared" si="3"/>
        <v>32640</v>
      </c>
      <c r="BN19" s="72">
        <f t="shared" si="4"/>
        <v>0</v>
      </c>
      <c r="BO19" s="72">
        <f t="shared" si="5"/>
        <v>2937.6</v>
      </c>
      <c r="BP19" s="72">
        <f t="shared" si="6"/>
        <v>2937.6</v>
      </c>
    </row>
    <row r="20" spans="1:68" x14ac:dyDescent="0.2">
      <c r="A20" s="467">
        <v>16</v>
      </c>
      <c r="B20" s="468" t="s">
        <v>1070</v>
      </c>
      <c r="C20" s="468" t="s">
        <v>1071</v>
      </c>
      <c r="D20" s="72">
        <f>SUMIFS('GSTR-2A'!$G$6:$G$10000,'GSTR-2A'!$B$6:$B$10000,$C$5:$C$4995,'GSTR-2A'!$A$6:$A$10000,$D$3)</f>
        <v>0</v>
      </c>
      <c r="E20" s="72">
        <f>SUMIFS('GSTR-2A'!$K$6:$K$10000,'GSTR-2A'!$B$6:$B$10000,$C$5:$C$4995,'GSTR-2A'!$A$6:$A$10000,$D$3)</f>
        <v>0</v>
      </c>
      <c r="F20" s="72">
        <f>SUMIFS('GSTR-2A'!$L$6:$L$10000,'GSTR-2A'!$B$6:$B$10000,$C$5:$C$4995,'GSTR-2A'!$A$6:$A$10000,$D$3)</f>
        <v>0</v>
      </c>
      <c r="G20" s="72">
        <f>SUMIFS('GSTR-2A'!$M$6:$M$10000,'GSTR-2A'!$B$6:$B$10000,$C$5:$C$4995,'GSTR-2A'!$A$6:$A$10000,$D$3)</f>
        <v>0</v>
      </c>
      <c r="H20" s="72">
        <f>SUMIFS('GSTR-2A'!$N$6:$N$10000,'GSTR-2A'!$B$6:$B$10000,$C$5:$C$4995,'GSTR-2A'!$A$6:$A$10000,$D$3)</f>
        <v>0</v>
      </c>
      <c r="I20" s="486">
        <f>SUMIFS('GSTR-2A'!$G$6:$G$10000,'GSTR-2A'!$B$6:$B$10000,$C$5:$C$4995,'GSTR-2A'!$A$6:$A$10000,$I$3)</f>
        <v>0</v>
      </c>
      <c r="J20" s="487">
        <f>SUMIFS('GSTR-2A'!$K$6:$K$10000,'GSTR-2A'!$B$6:$B$10000,$C$5:$C$4995,'GSTR-2A'!$A$6:$A$10000,$I$3)</f>
        <v>0</v>
      </c>
      <c r="K20" s="487">
        <f>SUMIFS('GSTR-2A'!$L$6:$L$10000,'GSTR-2A'!$B$6:$B$10000,$C$5:$C$4995,'GSTR-2A'!$A$6:$A$10000,$I$3)</f>
        <v>0</v>
      </c>
      <c r="L20" s="487">
        <f>SUMIFS('GSTR-2A'!$M$6:$M$10000,'GSTR-2A'!$B$6:$B$10000,$C$5:$C$4995,'GSTR-2A'!$A$6:$A$10000,$I$3)</f>
        <v>0</v>
      </c>
      <c r="M20" s="488">
        <f>SUMIFS('GSTR-2A'!$N$6:$N$10000,'GSTR-2A'!$B$6:$B$10000,$C$5:$C$4995,'GSTR-2A'!$A$6:$A$10000,$I$3)</f>
        <v>0</v>
      </c>
      <c r="N20" s="486">
        <f>SUMIFS('GSTR-2A'!$G$6:$G$10000,'GSTR-2A'!$B$6:$B$10000,$C$5:$C$4995,'GSTR-2A'!$A$6:$A$10000,$N$3)</f>
        <v>0</v>
      </c>
      <c r="O20" s="487">
        <f>SUMIFS('GSTR-2A'!$K$6:$K$10000,'GSTR-2A'!$B$6:$B$10000,$C$5:$C$4995,'GSTR-2A'!$A$6:$A$10000,$N$3)</f>
        <v>0</v>
      </c>
      <c r="P20" s="487">
        <f>SUMIFS('GSTR-2A'!$L$6:$L$10000,'GSTR-2A'!$B$6:$B$10000,$C$5:$C$4995,'GSTR-2A'!$A$6:$A$10000,$N$3)</f>
        <v>0</v>
      </c>
      <c r="Q20" s="487">
        <f>SUMIFS('GSTR-2A'!$M$6:$M$10000,'GSTR-2A'!$B$6:$B$10000,$C$5:$C$4995,'GSTR-2A'!$A$6:$A$10000,$N$3)</f>
        <v>0</v>
      </c>
      <c r="R20" s="488">
        <f>SUMIFS('GSTR-2A'!$N$6:$N$10000,'GSTR-2A'!$B$6:$B$10000,$C$5:$C$4995,'GSTR-2A'!$A$6:$A$10000,$N$3)</f>
        <v>0</v>
      </c>
      <c r="S20" s="486">
        <f>SUMIFS('GSTR-2A'!$G$6:$G$10000,'GSTR-2A'!$B$6:$B$10000,$C$5:$C$4995,'GSTR-2A'!$A$6:$A$10000,$S$3)</f>
        <v>0</v>
      </c>
      <c r="T20" s="487">
        <f>SUMIFS('GSTR-2A'!$K$6:$K$10000,'GSTR-2A'!$B$6:$B$10000,$C$5:$C$4995,'GSTR-2A'!$A$6:$A$10000,$S$3)</f>
        <v>0</v>
      </c>
      <c r="U20" s="487">
        <f>SUMIFS('GSTR-2A'!$L$6:$L$10000,'GSTR-2A'!$B$6:$B$10000,$C$5:$C$4995,'GSTR-2A'!$A$6:$A$10000,$S$3)</f>
        <v>0</v>
      </c>
      <c r="V20" s="487">
        <f>SUMIFS('GSTR-2A'!$M$6:$M$10000,'GSTR-2A'!$B$6:$B$10000,$C$5:$C$4995,'GSTR-2A'!$A$6:$A$10000,$S$3)</f>
        <v>0</v>
      </c>
      <c r="W20" s="488">
        <f>SUMIFS('GSTR-2A'!$N$6:$N$10000,'GSTR-2A'!$B$6:$B$10000,$C$5:$C$4995,'GSTR-2A'!$A$6:$A$10000,$S$3)</f>
        <v>0</v>
      </c>
      <c r="X20" s="486">
        <f>SUMIFS('GSTR-2A'!$G$6:$G$10000,'GSTR-2A'!$B$6:$B$10000,$C$5:$C$4995,'GSTR-2A'!$A$6:$A$10000,$X$3)</f>
        <v>0</v>
      </c>
      <c r="Y20" s="487">
        <f>SUMIFS('GSTR-2A'!$K$6:$K$10000,'GSTR-2A'!$B$6:$B$10000,$C$5:$C$4995,'GSTR-2A'!$A$6:$A$10000,$X$3)</f>
        <v>0</v>
      </c>
      <c r="Z20" s="487">
        <f>SUMIFS('GSTR-2A'!$L$6:$L$10000,'GSTR-2A'!$B$6:$B$10000,$C$5:$C$4995,'GSTR-2A'!$A$6:$A$10000,$X$3)</f>
        <v>0</v>
      </c>
      <c r="AA20" s="487">
        <f>SUMIFS('GSTR-2A'!$M$6:$M$10000,'GSTR-2A'!$B$6:$B$10000,$C$5:$C$4995,'GSTR-2A'!$A$6:$A$10000,$X$3)</f>
        <v>0</v>
      </c>
      <c r="AB20" s="488">
        <f>SUMIFS('GSTR-2A'!$N$6:$N$10000,'GSTR-2A'!$B$6:$B$10000,$C$5:$C$4995,'GSTR-2A'!$A$6:$A$10000,$X$3)</f>
        <v>0</v>
      </c>
      <c r="AC20" s="486">
        <f>SUMIFS('GSTR-2A'!$G$6:$G$10000,'GSTR-2A'!$B$6:$B$10000,$C$5:$C$4995,'GSTR-2A'!$A$6:$A$10000,$AC$3)</f>
        <v>0</v>
      </c>
      <c r="AD20" s="487">
        <f>SUMIFS('GSTR-2A'!$K$6:$K$10000,'GSTR-2A'!$B$6:$B$10000,$C$5:$C$4995,'GSTR-2A'!$A$6:$A$10000,$AC$3)</f>
        <v>0</v>
      </c>
      <c r="AE20" s="487">
        <f>SUMIFS('GSTR-2A'!$L$6:$L$10000,'GSTR-2A'!$B$6:$B$10000,$C$5:$C$4995,'GSTR-2A'!$A$6:$A$10000,$AC$3)</f>
        <v>0</v>
      </c>
      <c r="AF20" s="487">
        <f>SUMIFS('GSTR-2A'!$M$6:$M$10000,'GSTR-2A'!$B$6:$B$10000,$C$5:$C$4995,'GSTR-2A'!$A$6:$A$10000,$AC$3)</f>
        <v>0</v>
      </c>
      <c r="AG20" s="488">
        <f>SUMIFS('GSTR-2A'!$N$6:$N$10000,'GSTR-2A'!$B$6:$B$10000,$C$5:$C$4995,'GSTR-2A'!$A$6:$A$10000,$AC$3)</f>
        <v>0</v>
      </c>
      <c r="AH20" s="486">
        <f>SUMIFS('GSTR-2A'!$G$6:$G$10000,'GSTR-2A'!$B$6:$B$10000,$C$5:$C$4995,'GSTR-2A'!$A$6:$A$10000,$AH$3)</f>
        <v>0</v>
      </c>
      <c r="AI20" s="487">
        <f>SUMIFS('GSTR-2A'!$K$6:$K$10000,'GSTR-2A'!$B$6:$B$10000,$C$5:$C$4995,'GSTR-2A'!$A$6:$A$10000,$AH$3)</f>
        <v>0</v>
      </c>
      <c r="AJ20" s="487">
        <f>SUMIFS('GSTR-2A'!$L$6:$L$10000,'GSTR-2A'!$B$6:$B$10000,$C$5:$C$4995,'GSTR-2A'!$A$6:$A$10000,$AH$3)</f>
        <v>0</v>
      </c>
      <c r="AK20" s="487">
        <f>SUMIFS('GSTR-2A'!$M$6:$M$10000,'GSTR-2A'!$B$6:$B$10000,$C$5:$C$4995,'GSTR-2A'!$A$6:$A$10000,$AH$3)</f>
        <v>0</v>
      </c>
      <c r="AL20" s="488">
        <f>SUMIFS('GSTR-2A'!$N$6:$N$10000,'GSTR-2A'!$B$6:$B$10000,$C$5:$C$4995,'GSTR-2A'!$A$6:$A$10000,$AH$3)</f>
        <v>0</v>
      </c>
      <c r="AM20" s="486">
        <f>SUMIFS('GSTR-2A'!$G$6:$G$10000,'GSTR-2A'!$B$6:$B$10000,$C$5:$C$4995,'GSTR-2A'!$A$6:$A$10000,$AM$3)</f>
        <v>0</v>
      </c>
      <c r="AN20" s="487">
        <f>SUMIFS('GSTR-2A'!$K$6:$K$10000,'GSTR-2A'!$B$6:$B$10000,$C$5:$C$4995,'GSTR-2A'!$A$6:$A$10000,$AM$3)</f>
        <v>0</v>
      </c>
      <c r="AO20" s="487">
        <f>SUMIFS('GSTR-2A'!$L$6:$L$10000,'GSTR-2A'!$B$6:$B$10000,$C$5:$C$4995,'GSTR-2A'!$A$6:$A$10000,$AM$3)</f>
        <v>0</v>
      </c>
      <c r="AP20" s="487">
        <f>SUMIFS('GSTR-2A'!$M$6:$M$10000,'GSTR-2A'!$B$6:$B$10000,$C$5:$C$4995,'GSTR-2A'!$A$6:$A$10000,$AM$3)</f>
        <v>0</v>
      </c>
      <c r="AQ20" s="488">
        <f>SUMIFS('GSTR-2A'!$N$6:$N$10000,'GSTR-2A'!$B$6:$B$10000,$C$5:$C$4995,'GSTR-2A'!$A$6:$A$10000,$AM$3)</f>
        <v>0</v>
      </c>
      <c r="AR20" s="486">
        <f>SUMIFS('GSTR-2A'!$G$6:$G$10000,'GSTR-2A'!$B$6:$B$10000,$C$5:$C$4995,'GSTR-2A'!$A$6:$A$10000,$AR$3)</f>
        <v>0</v>
      </c>
      <c r="AS20" s="487">
        <f>SUMIFS('GSTR-2A'!$K$6:$K$10000,'GSTR-2A'!$B$6:$B$10000,$C$5:$C$4995,'GSTR-2A'!$A$6:$A$10000,$AR$3)</f>
        <v>0</v>
      </c>
      <c r="AT20" s="487">
        <f>SUMIFS('GSTR-2A'!$L$6:$L$10000,'GSTR-2A'!$B$6:$B$10000,$C$5:$C$4995,'GSTR-2A'!$A$6:$A$10000,$AR$3)</f>
        <v>0</v>
      </c>
      <c r="AU20" s="487">
        <f>SUMIFS('GSTR-2A'!$M$6:$M$10000,'GSTR-2A'!$B$6:$B$10000,$C$5:$C$4995,'GSTR-2A'!$A$6:$A$10000,$AR$3)</f>
        <v>0</v>
      </c>
      <c r="AV20" s="488">
        <f>SUMIFS('GSTR-2A'!$N$6:$N$10000,'GSTR-2A'!$B$6:$B$10000,$C$5:$C$4995,'GSTR-2A'!$A$6:$A$10000,$AR$3)</f>
        <v>0</v>
      </c>
      <c r="AW20" s="486">
        <f>SUMIFS('GSTR-2A'!$G$6:$G$10000,'GSTR-2A'!$B$6:$B$10000,$C$5:$C$4995,'GSTR-2A'!$A$6:$A$10000,$AW$3)</f>
        <v>0</v>
      </c>
      <c r="AX20" s="487">
        <f>SUMIFS('GSTR-2A'!$K$6:$K$10000,'GSTR-2A'!$B$6:$B$10000,$C$5:$C$4995,'GSTR-2A'!$A$6:$A$10000,$AW$3)</f>
        <v>0</v>
      </c>
      <c r="AY20" s="487">
        <f>SUMIFS('GSTR-2A'!$L$6:$L$10000,'GSTR-2A'!$B$6:$B$10000,$C$5:$C$4995,'GSTR-2A'!$A$6:$A$10000,$AW$3)</f>
        <v>0</v>
      </c>
      <c r="AZ20" s="487">
        <f>SUMIFS('GSTR-2A'!$M$6:$M$10000,'GSTR-2A'!$B$6:$B$10000,$C$5:$C$4995,'GSTR-2A'!$A$6:$A$10000,$AW$3)</f>
        <v>0</v>
      </c>
      <c r="BA20" s="488">
        <f>SUMIFS('GSTR-2A'!$N$6:$N$10000,'GSTR-2A'!$B$6:$B$10000,$C$5:$C$4995,'GSTR-2A'!$A$6:$A$10000,$AW$3)</f>
        <v>0</v>
      </c>
      <c r="BB20" s="486">
        <f>SUMIFS('GSTR-2A'!$G$6:$G$10000,'GSTR-2A'!$B$6:$B$10000,$C$5:$C$4995,'GSTR-2A'!$A$6:$A$10000,$BB$3)</f>
        <v>0</v>
      </c>
      <c r="BC20" s="487">
        <f>SUMIFS('GSTR-2A'!$K$6:$K$10000,'GSTR-2A'!$B$6:$B$10000,$C$5:$C$4995,'GSTR-2A'!$A$6:$A$10000,$BB$3)</f>
        <v>0</v>
      </c>
      <c r="BD20" s="487">
        <f>SUMIFS('GSTR-2A'!$L$6:$L$10000,'GSTR-2A'!$B$6:$B$10000,$C$5:$C$4995,'GSTR-2A'!$A$6:$A$10000,$BB$3)</f>
        <v>0</v>
      </c>
      <c r="BE20" s="487">
        <f>SUMIFS('GSTR-2A'!$M$6:$M$10000,'GSTR-2A'!$B$6:$B$10000,$C$5:$C$4995,'GSTR-2A'!$A$6:$A$10000,$BB$3)</f>
        <v>0</v>
      </c>
      <c r="BF20" s="488">
        <f>SUMIFS('GSTR-2A'!$N$6:$N$10000,'GSTR-2A'!$B$6:$B$10000,$C$5:$C$4995,'GSTR-2A'!$A$6:$A$10000,$BB$3)</f>
        <v>0</v>
      </c>
      <c r="BG20" s="486">
        <f>SUMIFS('GSTR-2A'!$G$6:$G$10000,'GSTR-2A'!$B$6:$B$10000,$C$5:$C$4995,'GSTR-2A'!$A$6:$A$10000,$BG$3)</f>
        <v>0</v>
      </c>
      <c r="BH20" s="487">
        <f>SUMIFS('GSTR-2A'!$K$6:$K$10000,'GSTR-2A'!$B$6:$B$10000,$C$5:$C$4995,'GSTR-2A'!$A$6:$A$10000,$BG$3)</f>
        <v>0</v>
      </c>
      <c r="BI20" s="487">
        <f>SUMIFS('GSTR-2A'!$L$6:$L$10000,'GSTR-2A'!$B$6:$B$10000,$C$5:$C$4995,'GSTR-2A'!$A$6:$A$10000,$BG$3)</f>
        <v>0</v>
      </c>
      <c r="BJ20" s="487">
        <f>SUMIFS('GSTR-2A'!$M$6:$M$10000,'GSTR-2A'!$B$6:$B$10000,$C$5:$C$4995,'GSTR-2A'!$A$6:$A$10000,$BG$3)</f>
        <v>0</v>
      </c>
      <c r="BK20" s="488">
        <f>SUMIFS('GSTR-2A'!$N$6:$N$10000,'GSTR-2A'!$B$6:$B$10000,$C$5:$C$4995,'GSTR-2A'!$A$6:$A$10000,$BG$3)</f>
        <v>0</v>
      </c>
      <c r="BL20" s="72">
        <f t="shared" si="2"/>
        <v>0</v>
      </c>
      <c r="BM20" s="72">
        <f t="shared" si="3"/>
        <v>0</v>
      </c>
      <c r="BN20" s="72">
        <f t="shared" si="4"/>
        <v>0</v>
      </c>
      <c r="BO20" s="72">
        <f t="shared" si="5"/>
        <v>0</v>
      </c>
      <c r="BP20" s="72">
        <f t="shared" si="6"/>
        <v>0</v>
      </c>
    </row>
    <row r="21" spans="1:68" x14ac:dyDescent="0.2">
      <c r="A21" s="467">
        <v>17</v>
      </c>
      <c r="B21" s="468" t="s">
        <v>529</v>
      </c>
      <c r="C21" s="469" t="s">
        <v>530</v>
      </c>
      <c r="D21" s="72">
        <f>SUMIFS('GSTR-2A'!$G$6:$G$10000,'GSTR-2A'!$B$6:$B$10000,$C$5:$C$4995,'GSTR-2A'!$A$6:$A$10000,$D$3)</f>
        <v>29028.94</v>
      </c>
      <c r="E21" s="72">
        <f>SUMIFS('GSTR-2A'!$K$6:$K$10000,'GSTR-2A'!$B$6:$B$10000,$C$5:$C$4995,'GSTR-2A'!$A$6:$A$10000,$D$3)</f>
        <v>24600.799999999999</v>
      </c>
      <c r="F21" s="72">
        <f>SUMIFS('GSTR-2A'!$L$6:$L$10000,'GSTR-2A'!$B$6:$B$10000,$C$5:$C$4995,'GSTR-2A'!$A$6:$A$10000,$D$3)</f>
        <v>0</v>
      </c>
      <c r="G21" s="72">
        <f>SUMIFS('GSTR-2A'!$M$6:$M$10000,'GSTR-2A'!$B$6:$B$10000,$C$5:$C$4995,'GSTR-2A'!$A$6:$A$10000,$D$3)</f>
        <v>2214.0699999999997</v>
      </c>
      <c r="H21" s="72">
        <f>SUMIFS('GSTR-2A'!$N$6:$N$10000,'GSTR-2A'!$B$6:$B$10000,$C$5:$C$4995,'GSTR-2A'!$A$6:$A$10000,$D$3)</f>
        <v>2214.0699999999997</v>
      </c>
      <c r="I21" s="486">
        <f>SUMIFS('GSTR-2A'!$G$6:$G$10000,'GSTR-2A'!$B$6:$B$10000,$C$5:$C$4995,'GSTR-2A'!$A$6:$A$10000,$I$3)</f>
        <v>33285.440000000002</v>
      </c>
      <c r="J21" s="487">
        <f>SUMIFS('GSTR-2A'!$K$6:$K$10000,'GSTR-2A'!$B$6:$B$10000,$C$5:$C$4995,'GSTR-2A'!$A$6:$A$10000,$I$3)</f>
        <v>28208</v>
      </c>
      <c r="K21" s="487">
        <f>SUMIFS('GSTR-2A'!$L$6:$L$10000,'GSTR-2A'!$B$6:$B$10000,$C$5:$C$4995,'GSTR-2A'!$A$6:$A$10000,$I$3)</f>
        <v>0</v>
      </c>
      <c r="L21" s="487">
        <f>SUMIFS('GSTR-2A'!$M$6:$M$10000,'GSTR-2A'!$B$6:$B$10000,$C$5:$C$4995,'GSTR-2A'!$A$6:$A$10000,$I$3)</f>
        <v>2538.7199999999998</v>
      </c>
      <c r="M21" s="488">
        <f>SUMIFS('GSTR-2A'!$N$6:$N$10000,'GSTR-2A'!$B$6:$B$10000,$C$5:$C$4995,'GSTR-2A'!$A$6:$A$10000,$I$3)</f>
        <v>2538.7199999999998</v>
      </c>
      <c r="N21" s="486">
        <f>SUMIFS('GSTR-2A'!$G$6:$G$10000,'GSTR-2A'!$B$6:$B$10000,$C$5:$C$4995,'GSTR-2A'!$A$6:$A$10000,$N$3)</f>
        <v>0</v>
      </c>
      <c r="O21" s="487">
        <f>SUMIFS('GSTR-2A'!$K$6:$K$10000,'GSTR-2A'!$B$6:$B$10000,$C$5:$C$4995,'GSTR-2A'!$A$6:$A$10000,$N$3)</f>
        <v>0</v>
      </c>
      <c r="P21" s="487">
        <f>SUMIFS('GSTR-2A'!$L$6:$L$10000,'GSTR-2A'!$B$6:$B$10000,$C$5:$C$4995,'GSTR-2A'!$A$6:$A$10000,$N$3)</f>
        <v>0</v>
      </c>
      <c r="Q21" s="487">
        <f>SUMIFS('GSTR-2A'!$M$6:$M$10000,'GSTR-2A'!$B$6:$B$10000,$C$5:$C$4995,'GSTR-2A'!$A$6:$A$10000,$N$3)</f>
        <v>0</v>
      </c>
      <c r="R21" s="488">
        <f>SUMIFS('GSTR-2A'!$N$6:$N$10000,'GSTR-2A'!$B$6:$B$10000,$C$5:$C$4995,'GSTR-2A'!$A$6:$A$10000,$N$3)</f>
        <v>0</v>
      </c>
      <c r="S21" s="486">
        <f>SUMIFS('GSTR-2A'!$G$6:$G$10000,'GSTR-2A'!$B$6:$B$10000,$C$5:$C$4995,'GSTR-2A'!$A$6:$A$10000,$S$3)</f>
        <v>53981.7</v>
      </c>
      <c r="T21" s="487">
        <f>SUMIFS('GSTR-2A'!$K$6:$K$10000,'GSTR-2A'!$B$6:$B$10000,$C$5:$C$4995,'GSTR-2A'!$A$6:$A$10000,$S$3)</f>
        <v>45747.199999999997</v>
      </c>
      <c r="U21" s="487">
        <f>SUMIFS('GSTR-2A'!$L$6:$L$10000,'GSTR-2A'!$B$6:$B$10000,$C$5:$C$4995,'GSTR-2A'!$A$6:$A$10000,$S$3)</f>
        <v>0</v>
      </c>
      <c r="V21" s="487">
        <f>SUMIFS('GSTR-2A'!$M$6:$M$10000,'GSTR-2A'!$B$6:$B$10000,$C$5:$C$4995,'GSTR-2A'!$A$6:$A$10000,$S$3)</f>
        <v>4117.25</v>
      </c>
      <c r="W21" s="488">
        <f>SUMIFS('GSTR-2A'!$N$6:$N$10000,'GSTR-2A'!$B$6:$B$10000,$C$5:$C$4995,'GSTR-2A'!$A$6:$A$10000,$S$3)</f>
        <v>4117.25</v>
      </c>
      <c r="X21" s="486">
        <f>SUMIFS('GSTR-2A'!$G$6:$G$10000,'GSTR-2A'!$B$6:$B$10000,$C$5:$C$4995,'GSTR-2A'!$A$6:$A$10000,$X$3)</f>
        <v>0</v>
      </c>
      <c r="Y21" s="487">
        <f>SUMIFS('GSTR-2A'!$K$6:$K$10000,'GSTR-2A'!$B$6:$B$10000,$C$5:$C$4995,'GSTR-2A'!$A$6:$A$10000,$X$3)</f>
        <v>0</v>
      </c>
      <c r="Z21" s="487">
        <f>SUMIFS('GSTR-2A'!$L$6:$L$10000,'GSTR-2A'!$B$6:$B$10000,$C$5:$C$4995,'GSTR-2A'!$A$6:$A$10000,$X$3)</f>
        <v>0</v>
      </c>
      <c r="AA21" s="487">
        <f>SUMIFS('GSTR-2A'!$M$6:$M$10000,'GSTR-2A'!$B$6:$B$10000,$C$5:$C$4995,'GSTR-2A'!$A$6:$A$10000,$X$3)</f>
        <v>0</v>
      </c>
      <c r="AB21" s="488">
        <f>SUMIFS('GSTR-2A'!$N$6:$N$10000,'GSTR-2A'!$B$6:$B$10000,$C$5:$C$4995,'GSTR-2A'!$A$6:$A$10000,$X$3)</f>
        <v>0</v>
      </c>
      <c r="AC21" s="486">
        <f>SUMIFS('GSTR-2A'!$G$6:$G$10000,'GSTR-2A'!$B$6:$B$10000,$C$5:$C$4995,'GSTR-2A'!$A$6:$A$10000,$AC$3)</f>
        <v>0</v>
      </c>
      <c r="AD21" s="487">
        <f>SUMIFS('GSTR-2A'!$K$6:$K$10000,'GSTR-2A'!$B$6:$B$10000,$C$5:$C$4995,'GSTR-2A'!$A$6:$A$10000,$AC$3)</f>
        <v>0</v>
      </c>
      <c r="AE21" s="487">
        <f>SUMIFS('GSTR-2A'!$L$6:$L$10000,'GSTR-2A'!$B$6:$B$10000,$C$5:$C$4995,'GSTR-2A'!$A$6:$A$10000,$AC$3)</f>
        <v>0</v>
      </c>
      <c r="AF21" s="487">
        <f>SUMIFS('GSTR-2A'!$M$6:$M$10000,'GSTR-2A'!$B$6:$B$10000,$C$5:$C$4995,'GSTR-2A'!$A$6:$A$10000,$AC$3)</f>
        <v>0</v>
      </c>
      <c r="AG21" s="488">
        <f>SUMIFS('GSTR-2A'!$N$6:$N$10000,'GSTR-2A'!$B$6:$B$10000,$C$5:$C$4995,'GSTR-2A'!$A$6:$A$10000,$AC$3)</f>
        <v>0</v>
      </c>
      <c r="AH21" s="486">
        <f>SUMIFS('GSTR-2A'!$G$6:$G$10000,'GSTR-2A'!$B$6:$B$10000,$C$5:$C$4995,'GSTR-2A'!$A$6:$A$10000,$AH$3)</f>
        <v>0</v>
      </c>
      <c r="AI21" s="487">
        <f>SUMIFS('GSTR-2A'!$K$6:$K$10000,'GSTR-2A'!$B$6:$B$10000,$C$5:$C$4995,'GSTR-2A'!$A$6:$A$10000,$AH$3)</f>
        <v>0</v>
      </c>
      <c r="AJ21" s="487">
        <f>SUMIFS('GSTR-2A'!$L$6:$L$10000,'GSTR-2A'!$B$6:$B$10000,$C$5:$C$4995,'GSTR-2A'!$A$6:$A$10000,$AH$3)</f>
        <v>0</v>
      </c>
      <c r="AK21" s="487">
        <f>SUMIFS('GSTR-2A'!$M$6:$M$10000,'GSTR-2A'!$B$6:$B$10000,$C$5:$C$4995,'GSTR-2A'!$A$6:$A$10000,$AH$3)</f>
        <v>0</v>
      </c>
      <c r="AL21" s="488">
        <f>SUMIFS('GSTR-2A'!$N$6:$N$10000,'GSTR-2A'!$B$6:$B$10000,$C$5:$C$4995,'GSTR-2A'!$A$6:$A$10000,$AH$3)</f>
        <v>0</v>
      </c>
      <c r="AM21" s="486">
        <f>SUMIFS('GSTR-2A'!$G$6:$G$10000,'GSTR-2A'!$B$6:$B$10000,$C$5:$C$4995,'GSTR-2A'!$A$6:$A$10000,$AM$3)</f>
        <v>0</v>
      </c>
      <c r="AN21" s="487">
        <f>SUMIFS('GSTR-2A'!$K$6:$K$10000,'GSTR-2A'!$B$6:$B$10000,$C$5:$C$4995,'GSTR-2A'!$A$6:$A$10000,$AM$3)</f>
        <v>0</v>
      </c>
      <c r="AO21" s="487">
        <f>SUMIFS('GSTR-2A'!$L$6:$L$10000,'GSTR-2A'!$B$6:$B$10000,$C$5:$C$4995,'GSTR-2A'!$A$6:$A$10000,$AM$3)</f>
        <v>0</v>
      </c>
      <c r="AP21" s="487">
        <f>SUMIFS('GSTR-2A'!$M$6:$M$10000,'GSTR-2A'!$B$6:$B$10000,$C$5:$C$4995,'GSTR-2A'!$A$6:$A$10000,$AM$3)</f>
        <v>0</v>
      </c>
      <c r="AQ21" s="488">
        <f>SUMIFS('GSTR-2A'!$N$6:$N$10000,'GSTR-2A'!$B$6:$B$10000,$C$5:$C$4995,'GSTR-2A'!$A$6:$A$10000,$AM$3)</f>
        <v>0</v>
      </c>
      <c r="AR21" s="486">
        <f>SUMIFS('GSTR-2A'!$G$6:$G$10000,'GSTR-2A'!$B$6:$B$10000,$C$5:$C$4995,'GSTR-2A'!$A$6:$A$10000,$AR$3)</f>
        <v>0</v>
      </c>
      <c r="AS21" s="487">
        <f>SUMIFS('GSTR-2A'!$K$6:$K$10000,'GSTR-2A'!$B$6:$B$10000,$C$5:$C$4995,'GSTR-2A'!$A$6:$A$10000,$AR$3)</f>
        <v>0</v>
      </c>
      <c r="AT21" s="487">
        <f>SUMIFS('GSTR-2A'!$L$6:$L$10000,'GSTR-2A'!$B$6:$B$10000,$C$5:$C$4995,'GSTR-2A'!$A$6:$A$10000,$AR$3)</f>
        <v>0</v>
      </c>
      <c r="AU21" s="487">
        <f>SUMIFS('GSTR-2A'!$M$6:$M$10000,'GSTR-2A'!$B$6:$B$10000,$C$5:$C$4995,'GSTR-2A'!$A$6:$A$10000,$AR$3)</f>
        <v>0</v>
      </c>
      <c r="AV21" s="488">
        <f>SUMIFS('GSTR-2A'!$N$6:$N$10000,'GSTR-2A'!$B$6:$B$10000,$C$5:$C$4995,'GSTR-2A'!$A$6:$A$10000,$AR$3)</f>
        <v>0</v>
      </c>
      <c r="AW21" s="486">
        <f>SUMIFS('GSTR-2A'!$G$6:$G$10000,'GSTR-2A'!$B$6:$B$10000,$C$5:$C$4995,'GSTR-2A'!$A$6:$A$10000,$AW$3)</f>
        <v>0</v>
      </c>
      <c r="AX21" s="487">
        <f>SUMIFS('GSTR-2A'!$K$6:$K$10000,'GSTR-2A'!$B$6:$B$10000,$C$5:$C$4995,'GSTR-2A'!$A$6:$A$10000,$AW$3)</f>
        <v>0</v>
      </c>
      <c r="AY21" s="487">
        <f>SUMIFS('GSTR-2A'!$L$6:$L$10000,'GSTR-2A'!$B$6:$B$10000,$C$5:$C$4995,'GSTR-2A'!$A$6:$A$10000,$AW$3)</f>
        <v>0</v>
      </c>
      <c r="AZ21" s="487">
        <f>SUMIFS('GSTR-2A'!$M$6:$M$10000,'GSTR-2A'!$B$6:$B$10000,$C$5:$C$4995,'GSTR-2A'!$A$6:$A$10000,$AW$3)</f>
        <v>0</v>
      </c>
      <c r="BA21" s="488">
        <f>SUMIFS('GSTR-2A'!$N$6:$N$10000,'GSTR-2A'!$B$6:$B$10000,$C$5:$C$4995,'GSTR-2A'!$A$6:$A$10000,$AW$3)</f>
        <v>0</v>
      </c>
      <c r="BB21" s="486">
        <f>SUMIFS('GSTR-2A'!$G$6:$G$10000,'GSTR-2A'!$B$6:$B$10000,$C$5:$C$4995,'GSTR-2A'!$A$6:$A$10000,$BB$3)</f>
        <v>0</v>
      </c>
      <c r="BC21" s="487">
        <f>SUMIFS('GSTR-2A'!$K$6:$K$10000,'GSTR-2A'!$B$6:$B$10000,$C$5:$C$4995,'GSTR-2A'!$A$6:$A$10000,$BB$3)</f>
        <v>0</v>
      </c>
      <c r="BD21" s="487">
        <f>SUMIFS('GSTR-2A'!$L$6:$L$10000,'GSTR-2A'!$B$6:$B$10000,$C$5:$C$4995,'GSTR-2A'!$A$6:$A$10000,$BB$3)</f>
        <v>0</v>
      </c>
      <c r="BE21" s="487">
        <f>SUMIFS('GSTR-2A'!$M$6:$M$10000,'GSTR-2A'!$B$6:$B$10000,$C$5:$C$4995,'GSTR-2A'!$A$6:$A$10000,$BB$3)</f>
        <v>0</v>
      </c>
      <c r="BF21" s="488">
        <f>SUMIFS('GSTR-2A'!$N$6:$N$10000,'GSTR-2A'!$B$6:$B$10000,$C$5:$C$4995,'GSTR-2A'!$A$6:$A$10000,$BB$3)</f>
        <v>0</v>
      </c>
      <c r="BG21" s="486">
        <f>SUMIFS('GSTR-2A'!$G$6:$G$10000,'GSTR-2A'!$B$6:$B$10000,$C$5:$C$4995,'GSTR-2A'!$A$6:$A$10000,$BG$3)</f>
        <v>0</v>
      </c>
      <c r="BH21" s="487">
        <f>SUMIFS('GSTR-2A'!$K$6:$K$10000,'GSTR-2A'!$B$6:$B$10000,$C$5:$C$4995,'GSTR-2A'!$A$6:$A$10000,$BG$3)</f>
        <v>0</v>
      </c>
      <c r="BI21" s="487">
        <f>SUMIFS('GSTR-2A'!$L$6:$L$10000,'GSTR-2A'!$B$6:$B$10000,$C$5:$C$4995,'GSTR-2A'!$A$6:$A$10000,$BG$3)</f>
        <v>0</v>
      </c>
      <c r="BJ21" s="487">
        <f>SUMIFS('GSTR-2A'!$M$6:$M$10000,'GSTR-2A'!$B$6:$B$10000,$C$5:$C$4995,'GSTR-2A'!$A$6:$A$10000,$BG$3)</f>
        <v>0</v>
      </c>
      <c r="BK21" s="488">
        <f>SUMIFS('GSTR-2A'!$N$6:$N$10000,'GSTR-2A'!$B$6:$B$10000,$C$5:$C$4995,'GSTR-2A'!$A$6:$A$10000,$BG$3)</f>
        <v>0</v>
      </c>
      <c r="BL21" s="72">
        <f t="shared" si="2"/>
        <v>116296.08</v>
      </c>
      <c r="BM21" s="72">
        <f t="shared" si="3"/>
        <v>98556</v>
      </c>
      <c r="BN21" s="72">
        <f t="shared" si="4"/>
        <v>0</v>
      </c>
      <c r="BO21" s="72">
        <f t="shared" si="5"/>
        <v>8870.0399999999991</v>
      </c>
      <c r="BP21" s="72">
        <f t="shared" si="6"/>
        <v>8870.0399999999991</v>
      </c>
    </row>
    <row r="22" spans="1:68" x14ac:dyDescent="0.2">
      <c r="A22" s="467">
        <v>18</v>
      </c>
      <c r="B22" s="468" t="s">
        <v>518</v>
      </c>
      <c r="C22" s="469" t="s">
        <v>519</v>
      </c>
      <c r="D22" s="72">
        <f>SUMIFS('GSTR-2A'!$G$6:$G$10000,'GSTR-2A'!$B$6:$B$10000,$C$5:$C$4995,'GSTR-2A'!$A$6:$A$10000,$D$3)</f>
        <v>5671.08</v>
      </c>
      <c r="E22" s="72">
        <f>SUMIFS('GSTR-2A'!$K$6:$K$10000,'GSTR-2A'!$B$6:$B$10000,$C$5:$C$4995,'GSTR-2A'!$A$6:$A$10000,$D$3)</f>
        <v>4806</v>
      </c>
      <c r="F22" s="72">
        <f>SUMIFS('GSTR-2A'!$L$6:$L$10000,'GSTR-2A'!$B$6:$B$10000,$C$5:$C$4995,'GSTR-2A'!$A$6:$A$10000,$D$3)</f>
        <v>0</v>
      </c>
      <c r="G22" s="72">
        <f>SUMIFS('GSTR-2A'!$M$6:$M$10000,'GSTR-2A'!$B$6:$B$10000,$C$5:$C$4995,'GSTR-2A'!$A$6:$A$10000,$D$3)</f>
        <v>432.54</v>
      </c>
      <c r="H22" s="72">
        <f>SUMIFS('GSTR-2A'!$N$6:$N$10000,'GSTR-2A'!$B$6:$B$10000,$C$5:$C$4995,'GSTR-2A'!$A$6:$A$10000,$D$3)</f>
        <v>432.54</v>
      </c>
      <c r="I22" s="486">
        <f>SUMIFS('GSTR-2A'!$G$6:$G$10000,'GSTR-2A'!$B$6:$B$10000,$C$5:$C$4995,'GSTR-2A'!$A$6:$A$10000,$I$3)</f>
        <v>5658.1</v>
      </c>
      <c r="J22" s="487">
        <f>SUMIFS('GSTR-2A'!$K$6:$K$10000,'GSTR-2A'!$B$6:$B$10000,$C$5:$C$4995,'GSTR-2A'!$A$6:$A$10000,$I$3)</f>
        <v>4795</v>
      </c>
      <c r="K22" s="487">
        <f>SUMIFS('GSTR-2A'!$L$6:$L$10000,'GSTR-2A'!$B$6:$B$10000,$C$5:$C$4995,'GSTR-2A'!$A$6:$A$10000,$I$3)</f>
        <v>0</v>
      </c>
      <c r="L22" s="487">
        <f>SUMIFS('GSTR-2A'!$M$6:$M$10000,'GSTR-2A'!$B$6:$B$10000,$C$5:$C$4995,'GSTR-2A'!$A$6:$A$10000,$I$3)</f>
        <v>431.55</v>
      </c>
      <c r="M22" s="488">
        <f>SUMIFS('GSTR-2A'!$N$6:$N$10000,'GSTR-2A'!$B$6:$B$10000,$C$5:$C$4995,'GSTR-2A'!$A$6:$A$10000,$I$3)</f>
        <v>431.55</v>
      </c>
      <c r="N22" s="486">
        <f>SUMIFS('GSTR-2A'!$G$6:$G$10000,'GSTR-2A'!$B$6:$B$10000,$C$5:$C$4995,'GSTR-2A'!$A$6:$A$10000,$N$3)</f>
        <v>5823.44</v>
      </c>
      <c r="O22" s="487">
        <f>SUMIFS('GSTR-2A'!$K$6:$K$10000,'GSTR-2A'!$B$6:$B$10000,$C$5:$C$4995,'GSTR-2A'!$A$6:$A$10000,$N$3)</f>
        <v>4935.12</v>
      </c>
      <c r="P22" s="487">
        <f>SUMIFS('GSTR-2A'!$L$6:$L$10000,'GSTR-2A'!$B$6:$B$10000,$C$5:$C$4995,'GSTR-2A'!$A$6:$A$10000,$N$3)</f>
        <v>0</v>
      </c>
      <c r="Q22" s="487">
        <f>SUMIFS('GSTR-2A'!$M$6:$M$10000,'GSTR-2A'!$B$6:$B$10000,$C$5:$C$4995,'GSTR-2A'!$A$6:$A$10000,$N$3)</f>
        <v>444.16</v>
      </c>
      <c r="R22" s="488">
        <f>SUMIFS('GSTR-2A'!$N$6:$N$10000,'GSTR-2A'!$B$6:$B$10000,$C$5:$C$4995,'GSTR-2A'!$A$6:$A$10000,$N$3)</f>
        <v>444.16</v>
      </c>
      <c r="S22" s="486">
        <f>SUMIFS('GSTR-2A'!$G$6:$G$10000,'GSTR-2A'!$B$6:$B$10000,$C$5:$C$4995,'GSTR-2A'!$A$6:$A$10000,$S$3)</f>
        <v>5747.78</v>
      </c>
      <c r="T22" s="487">
        <f>SUMIFS('GSTR-2A'!$K$6:$K$10000,'GSTR-2A'!$B$6:$B$10000,$C$5:$C$4995,'GSTR-2A'!$A$6:$A$10000,$S$3)</f>
        <v>4871</v>
      </c>
      <c r="U22" s="487">
        <f>SUMIFS('GSTR-2A'!$L$6:$L$10000,'GSTR-2A'!$B$6:$B$10000,$C$5:$C$4995,'GSTR-2A'!$A$6:$A$10000,$S$3)</f>
        <v>0</v>
      </c>
      <c r="V22" s="487">
        <f>SUMIFS('GSTR-2A'!$M$6:$M$10000,'GSTR-2A'!$B$6:$B$10000,$C$5:$C$4995,'GSTR-2A'!$A$6:$A$10000,$S$3)</f>
        <v>438.39</v>
      </c>
      <c r="W22" s="488">
        <f>SUMIFS('GSTR-2A'!$N$6:$N$10000,'GSTR-2A'!$B$6:$B$10000,$C$5:$C$4995,'GSTR-2A'!$A$6:$A$10000,$S$3)</f>
        <v>438.39</v>
      </c>
      <c r="X22" s="486">
        <f>SUMIFS('GSTR-2A'!$G$6:$G$10000,'GSTR-2A'!$B$6:$B$10000,$C$5:$C$4995,'GSTR-2A'!$A$6:$A$10000,$X$3)</f>
        <v>5689.96</v>
      </c>
      <c r="Y22" s="487">
        <f>SUMIFS('GSTR-2A'!$K$6:$K$10000,'GSTR-2A'!$B$6:$B$10000,$C$5:$C$4995,'GSTR-2A'!$A$6:$A$10000,$X$3)</f>
        <v>4822</v>
      </c>
      <c r="Z22" s="487">
        <f>SUMIFS('GSTR-2A'!$L$6:$L$10000,'GSTR-2A'!$B$6:$B$10000,$C$5:$C$4995,'GSTR-2A'!$A$6:$A$10000,$X$3)</f>
        <v>0</v>
      </c>
      <c r="AA22" s="487">
        <f>SUMIFS('GSTR-2A'!$M$6:$M$10000,'GSTR-2A'!$B$6:$B$10000,$C$5:$C$4995,'GSTR-2A'!$A$6:$A$10000,$X$3)</f>
        <v>433.98</v>
      </c>
      <c r="AB22" s="488">
        <f>SUMIFS('GSTR-2A'!$N$6:$N$10000,'GSTR-2A'!$B$6:$B$10000,$C$5:$C$4995,'GSTR-2A'!$A$6:$A$10000,$X$3)</f>
        <v>433.98</v>
      </c>
      <c r="AC22" s="486">
        <f>SUMIFS('GSTR-2A'!$G$6:$G$10000,'GSTR-2A'!$B$6:$B$10000,$C$5:$C$4995,'GSTR-2A'!$A$6:$A$10000,$AC$3)</f>
        <v>5659.28</v>
      </c>
      <c r="AD22" s="487">
        <f>SUMIFS('GSTR-2A'!$K$6:$K$10000,'GSTR-2A'!$B$6:$B$10000,$C$5:$C$4995,'GSTR-2A'!$A$6:$A$10000,$AC$3)</f>
        <v>4796</v>
      </c>
      <c r="AE22" s="487">
        <f>SUMIFS('GSTR-2A'!$L$6:$L$10000,'GSTR-2A'!$B$6:$B$10000,$C$5:$C$4995,'GSTR-2A'!$A$6:$A$10000,$AC$3)</f>
        <v>0</v>
      </c>
      <c r="AF22" s="487">
        <f>SUMIFS('GSTR-2A'!$M$6:$M$10000,'GSTR-2A'!$B$6:$B$10000,$C$5:$C$4995,'GSTR-2A'!$A$6:$A$10000,$AC$3)</f>
        <v>431.64</v>
      </c>
      <c r="AG22" s="488">
        <f>SUMIFS('GSTR-2A'!$N$6:$N$10000,'GSTR-2A'!$B$6:$B$10000,$C$5:$C$4995,'GSTR-2A'!$A$6:$A$10000,$AC$3)</f>
        <v>431.64</v>
      </c>
      <c r="AH22" s="486">
        <f>SUMIFS('GSTR-2A'!$G$6:$G$10000,'GSTR-2A'!$B$6:$B$10000,$C$5:$C$4995,'GSTR-2A'!$A$6:$A$10000,$AH$3)</f>
        <v>5660.59</v>
      </c>
      <c r="AI22" s="487">
        <f>SUMIFS('GSTR-2A'!$K$6:$K$10000,'GSTR-2A'!$B$6:$B$10000,$C$5:$C$4995,'GSTR-2A'!$A$6:$A$10000,$AH$3)</f>
        <v>4797.1099999999997</v>
      </c>
      <c r="AJ22" s="487">
        <f>SUMIFS('GSTR-2A'!$L$6:$L$10000,'GSTR-2A'!$B$6:$B$10000,$C$5:$C$4995,'GSTR-2A'!$A$6:$A$10000,$AH$3)</f>
        <v>0</v>
      </c>
      <c r="AK22" s="487">
        <f>SUMIFS('GSTR-2A'!$M$6:$M$10000,'GSTR-2A'!$B$6:$B$10000,$C$5:$C$4995,'GSTR-2A'!$A$6:$A$10000,$AH$3)</f>
        <v>431.74</v>
      </c>
      <c r="AL22" s="488">
        <f>SUMIFS('GSTR-2A'!$N$6:$N$10000,'GSTR-2A'!$B$6:$B$10000,$C$5:$C$4995,'GSTR-2A'!$A$6:$A$10000,$AH$3)</f>
        <v>431.74</v>
      </c>
      <c r="AM22" s="486">
        <f>SUMIFS('GSTR-2A'!$G$6:$G$10000,'GSTR-2A'!$B$6:$B$10000,$C$5:$C$4995,'GSTR-2A'!$A$6:$A$10000,$AM$3)</f>
        <v>0</v>
      </c>
      <c r="AN22" s="487">
        <f>SUMIFS('GSTR-2A'!$K$6:$K$10000,'GSTR-2A'!$B$6:$B$10000,$C$5:$C$4995,'GSTR-2A'!$A$6:$A$10000,$AM$3)</f>
        <v>0</v>
      </c>
      <c r="AO22" s="487">
        <f>SUMIFS('GSTR-2A'!$L$6:$L$10000,'GSTR-2A'!$B$6:$B$10000,$C$5:$C$4995,'GSTR-2A'!$A$6:$A$10000,$AM$3)</f>
        <v>0</v>
      </c>
      <c r="AP22" s="487">
        <f>SUMIFS('GSTR-2A'!$M$6:$M$10000,'GSTR-2A'!$B$6:$B$10000,$C$5:$C$4995,'GSTR-2A'!$A$6:$A$10000,$AM$3)</f>
        <v>0</v>
      </c>
      <c r="AQ22" s="488">
        <f>SUMIFS('GSTR-2A'!$N$6:$N$10000,'GSTR-2A'!$B$6:$B$10000,$C$5:$C$4995,'GSTR-2A'!$A$6:$A$10000,$AM$3)</f>
        <v>0</v>
      </c>
      <c r="AR22" s="486">
        <f>SUMIFS('GSTR-2A'!$G$6:$G$10000,'GSTR-2A'!$B$6:$B$10000,$C$5:$C$4995,'GSTR-2A'!$A$6:$A$10000,$AR$3)</f>
        <v>0</v>
      </c>
      <c r="AS22" s="487">
        <f>SUMIFS('GSTR-2A'!$K$6:$K$10000,'GSTR-2A'!$B$6:$B$10000,$C$5:$C$4995,'GSTR-2A'!$A$6:$A$10000,$AR$3)</f>
        <v>0</v>
      </c>
      <c r="AT22" s="487">
        <f>SUMIFS('GSTR-2A'!$L$6:$L$10000,'GSTR-2A'!$B$6:$B$10000,$C$5:$C$4995,'GSTR-2A'!$A$6:$A$10000,$AR$3)</f>
        <v>0</v>
      </c>
      <c r="AU22" s="487">
        <f>SUMIFS('GSTR-2A'!$M$6:$M$10000,'GSTR-2A'!$B$6:$B$10000,$C$5:$C$4995,'GSTR-2A'!$A$6:$A$10000,$AR$3)</f>
        <v>0</v>
      </c>
      <c r="AV22" s="488">
        <f>SUMIFS('GSTR-2A'!$N$6:$N$10000,'GSTR-2A'!$B$6:$B$10000,$C$5:$C$4995,'GSTR-2A'!$A$6:$A$10000,$AR$3)</f>
        <v>0</v>
      </c>
      <c r="AW22" s="486">
        <f>SUMIFS('GSTR-2A'!$G$6:$G$10000,'GSTR-2A'!$B$6:$B$10000,$C$5:$C$4995,'GSTR-2A'!$A$6:$A$10000,$AW$3)</f>
        <v>0</v>
      </c>
      <c r="AX22" s="487">
        <f>SUMIFS('GSTR-2A'!$K$6:$K$10000,'GSTR-2A'!$B$6:$B$10000,$C$5:$C$4995,'GSTR-2A'!$A$6:$A$10000,$AW$3)</f>
        <v>0</v>
      </c>
      <c r="AY22" s="487">
        <f>SUMIFS('GSTR-2A'!$L$6:$L$10000,'GSTR-2A'!$B$6:$B$10000,$C$5:$C$4995,'GSTR-2A'!$A$6:$A$10000,$AW$3)</f>
        <v>0</v>
      </c>
      <c r="AZ22" s="487">
        <f>SUMIFS('GSTR-2A'!$M$6:$M$10000,'GSTR-2A'!$B$6:$B$10000,$C$5:$C$4995,'GSTR-2A'!$A$6:$A$10000,$AW$3)</f>
        <v>0</v>
      </c>
      <c r="BA22" s="488">
        <f>SUMIFS('GSTR-2A'!$N$6:$N$10000,'GSTR-2A'!$B$6:$B$10000,$C$5:$C$4995,'GSTR-2A'!$A$6:$A$10000,$AW$3)</f>
        <v>0</v>
      </c>
      <c r="BB22" s="486">
        <f>SUMIFS('GSTR-2A'!$G$6:$G$10000,'GSTR-2A'!$B$6:$B$10000,$C$5:$C$4995,'GSTR-2A'!$A$6:$A$10000,$BB$3)</f>
        <v>0</v>
      </c>
      <c r="BC22" s="487">
        <f>SUMIFS('GSTR-2A'!$K$6:$K$10000,'GSTR-2A'!$B$6:$B$10000,$C$5:$C$4995,'GSTR-2A'!$A$6:$A$10000,$BB$3)</f>
        <v>0</v>
      </c>
      <c r="BD22" s="487">
        <f>SUMIFS('GSTR-2A'!$L$6:$L$10000,'GSTR-2A'!$B$6:$B$10000,$C$5:$C$4995,'GSTR-2A'!$A$6:$A$10000,$BB$3)</f>
        <v>0</v>
      </c>
      <c r="BE22" s="487">
        <f>SUMIFS('GSTR-2A'!$M$6:$M$10000,'GSTR-2A'!$B$6:$B$10000,$C$5:$C$4995,'GSTR-2A'!$A$6:$A$10000,$BB$3)</f>
        <v>0</v>
      </c>
      <c r="BF22" s="488">
        <f>SUMIFS('GSTR-2A'!$N$6:$N$10000,'GSTR-2A'!$B$6:$B$10000,$C$5:$C$4995,'GSTR-2A'!$A$6:$A$10000,$BB$3)</f>
        <v>0</v>
      </c>
      <c r="BG22" s="486">
        <f>SUMIFS('GSTR-2A'!$G$6:$G$10000,'GSTR-2A'!$B$6:$B$10000,$C$5:$C$4995,'GSTR-2A'!$A$6:$A$10000,$BG$3)</f>
        <v>0</v>
      </c>
      <c r="BH22" s="487">
        <f>SUMIFS('GSTR-2A'!$K$6:$K$10000,'GSTR-2A'!$B$6:$B$10000,$C$5:$C$4995,'GSTR-2A'!$A$6:$A$10000,$BG$3)</f>
        <v>0</v>
      </c>
      <c r="BI22" s="487">
        <f>SUMIFS('GSTR-2A'!$L$6:$L$10000,'GSTR-2A'!$B$6:$B$10000,$C$5:$C$4995,'GSTR-2A'!$A$6:$A$10000,$BG$3)</f>
        <v>0</v>
      </c>
      <c r="BJ22" s="487">
        <f>SUMIFS('GSTR-2A'!$M$6:$M$10000,'GSTR-2A'!$B$6:$B$10000,$C$5:$C$4995,'GSTR-2A'!$A$6:$A$10000,$BG$3)</f>
        <v>0</v>
      </c>
      <c r="BK22" s="488">
        <f>SUMIFS('GSTR-2A'!$N$6:$N$10000,'GSTR-2A'!$B$6:$B$10000,$C$5:$C$4995,'GSTR-2A'!$A$6:$A$10000,$BG$3)</f>
        <v>0</v>
      </c>
      <c r="BL22" s="72">
        <f t="shared" si="2"/>
        <v>39910.229999999996</v>
      </c>
      <c r="BM22" s="72">
        <f t="shared" si="3"/>
        <v>33822.229999999996</v>
      </c>
      <c r="BN22" s="72">
        <f t="shared" si="4"/>
        <v>0</v>
      </c>
      <c r="BO22" s="72">
        <f t="shared" si="5"/>
        <v>3044</v>
      </c>
      <c r="BP22" s="72">
        <f t="shared" si="6"/>
        <v>3044</v>
      </c>
    </row>
    <row r="23" spans="1:68" x14ac:dyDescent="0.2">
      <c r="A23" s="467">
        <v>19</v>
      </c>
      <c r="B23" s="475" t="s">
        <v>1072</v>
      </c>
      <c r="C23" s="475" t="s">
        <v>1073</v>
      </c>
      <c r="D23" s="72">
        <f>SUMIFS('GSTR-2A'!$G$6:$G$10000,'GSTR-2A'!$B$6:$B$10000,$C$5:$C$4995,'GSTR-2A'!$A$6:$A$10000,$D$3)</f>
        <v>0</v>
      </c>
      <c r="E23" s="72">
        <f>SUMIFS('GSTR-2A'!$K$6:$K$10000,'GSTR-2A'!$B$6:$B$10000,$C$5:$C$4995,'GSTR-2A'!$A$6:$A$10000,$D$3)</f>
        <v>0</v>
      </c>
      <c r="F23" s="72">
        <f>SUMIFS('GSTR-2A'!$L$6:$L$10000,'GSTR-2A'!$B$6:$B$10000,$C$5:$C$4995,'GSTR-2A'!$A$6:$A$10000,$D$3)</f>
        <v>0</v>
      </c>
      <c r="G23" s="72">
        <f>SUMIFS('GSTR-2A'!$M$6:$M$10000,'GSTR-2A'!$B$6:$B$10000,$C$5:$C$4995,'GSTR-2A'!$A$6:$A$10000,$D$3)</f>
        <v>0</v>
      </c>
      <c r="H23" s="72">
        <f>SUMIFS('GSTR-2A'!$N$6:$N$10000,'GSTR-2A'!$B$6:$B$10000,$C$5:$C$4995,'GSTR-2A'!$A$6:$A$10000,$D$3)</f>
        <v>0</v>
      </c>
      <c r="I23" s="486">
        <f>SUMIFS('GSTR-2A'!$G$6:$G$10000,'GSTR-2A'!$B$6:$B$10000,$C$5:$C$4995,'GSTR-2A'!$A$6:$A$10000,$I$3)</f>
        <v>0</v>
      </c>
      <c r="J23" s="487">
        <f>SUMIFS('GSTR-2A'!$K$6:$K$10000,'GSTR-2A'!$B$6:$B$10000,$C$5:$C$4995,'GSTR-2A'!$A$6:$A$10000,$I$3)</f>
        <v>0</v>
      </c>
      <c r="K23" s="487">
        <f>SUMIFS('GSTR-2A'!$L$6:$L$10000,'GSTR-2A'!$B$6:$B$10000,$C$5:$C$4995,'GSTR-2A'!$A$6:$A$10000,$I$3)</f>
        <v>0</v>
      </c>
      <c r="L23" s="487">
        <f>SUMIFS('GSTR-2A'!$M$6:$M$10000,'GSTR-2A'!$B$6:$B$10000,$C$5:$C$4995,'GSTR-2A'!$A$6:$A$10000,$I$3)</f>
        <v>0</v>
      </c>
      <c r="M23" s="488">
        <f>SUMIFS('GSTR-2A'!$N$6:$N$10000,'GSTR-2A'!$B$6:$B$10000,$C$5:$C$4995,'GSTR-2A'!$A$6:$A$10000,$I$3)</f>
        <v>0</v>
      </c>
      <c r="N23" s="486">
        <f>SUMIFS('GSTR-2A'!$G$6:$G$10000,'GSTR-2A'!$B$6:$B$10000,$C$5:$C$4995,'GSTR-2A'!$A$6:$A$10000,$N$3)</f>
        <v>0</v>
      </c>
      <c r="O23" s="487">
        <f>SUMIFS('GSTR-2A'!$K$6:$K$10000,'GSTR-2A'!$B$6:$B$10000,$C$5:$C$4995,'GSTR-2A'!$A$6:$A$10000,$N$3)</f>
        <v>0</v>
      </c>
      <c r="P23" s="487">
        <f>SUMIFS('GSTR-2A'!$L$6:$L$10000,'GSTR-2A'!$B$6:$B$10000,$C$5:$C$4995,'GSTR-2A'!$A$6:$A$10000,$N$3)</f>
        <v>0</v>
      </c>
      <c r="Q23" s="487">
        <f>SUMIFS('GSTR-2A'!$M$6:$M$10000,'GSTR-2A'!$B$6:$B$10000,$C$5:$C$4995,'GSTR-2A'!$A$6:$A$10000,$N$3)</f>
        <v>0</v>
      </c>
      <c r="R23" s="488">
        <f>SUMIFS('GSTR-2A'!$N$6:$N$10000,'GSTR-2A'!$B$6:$B$10000,$C$5:$C$4995,'GSTR-2A'!$A$6:$A$10000,$N$3)</f>
        <v>0</v>
      </c>
      <c r="S23" s="486">
        <f>SUMIFS('GSTR-2A'!$G$6:$G$10000,'GSTR-2A'!$B$6:$B$10000,$C$5:$C$4995,'GSTR-2A'!$A$6:$A$10000,$S$3)</f>
        <v>0</v>
      </c>
      <c r="T23" s="487">
        <f>SUMIFS('GSTR-2A'!$K$6:$K$10000,'GSTR-2A'!$B$6:$B$10000,$C$5:$C$4995,'GSTR-2A'!$A$6:$A$10000,$S$3)</f>
        <v>0</v>
      </c>
      <c r="U23" s="487">
        <f>SUMIFS('GSTR-2A'!$L$6:$L$10000,'GSTR-2A'!$B$6:$B$10000,$C$5:$C$4995,'GSTR-2A'!$A$6:$A$10000,$S$3)</f>
        <v>0</v>
      </c>
      <c r="V23" s="487">
        <f>SUMIFS('GSTR-2A'!$M$6:$M$10000,'GSTR-2A'!$B$6:$B$10000,$C$5:$C$4995,'GSTR-2A'!$A$6:$A$10000,$S$3)</f>
        <v>0</v>
      </c>
      <c r="W23" s="488">
        <f>SUMIFS('GSTR-2A'!$N$6:$N$10000,'GSTR-2A'!$B$6:$B$10000,$C$5:$C$4995,'GSTR-2A'!$A$6:$A$10000,$S$3)</f>
        <v>0</v>
      </c>
      <c r="X23" s="486">
        <f>SUMIFS('GSTR-2A'!$G$6:$G$10000,'GSTR-2A'!$B$6:$B$10000,$C$5:$C$4995,'GSTR-2A'!$A$6:$A$10000,$X$3)</f>
        <v>0</v>
      </c>
      <c r="Y23" s="487">
        <f>SUMIFS('GSTR-2A'!$K$6:$K$10000,'GSTR-2A'!$B$6:$B$10000,$C$5:$C$4995,'GSTR-2A'!$A$6:$A$10000,$X$3)</f>
        <v>0</v>
      </c>
      <c r="Z23" s="487">
        <f>SUMIFS('GSTR-2A'!$L$6:$L$10000,'GSTR-2A'!$B$6:$B$10000,$C$5:$C$4995,'GSTR-2A'!$A$6:$A$10000,$X$3)</f>
        <v>0</v>
      </c>
      <c r="AA23" s="487">
        <f>SUMIFS('GSTR-2A'!$M$6:$M$10000,'GSTR-2A'!$B$6:$B$10000,$C$5:$C$4995,'GSTR-2A'!$A$6:$A$10000,$X$3)</f>
        <v>0</v>
      </c>
      <c r="AB23" s="488">
        <f>SUMIFS('GSTR-2A'!$N$6:$N$10000,'GSTR-2A'!$B$6:$B$10000,$C$5:$C$4995,'GSTR-2A'!$A$6:$A$10000,$X$3)</f>
        <v>0</v>
      </c>
      <c r="AC23" s="486">
        <f>SUMIFS('GSTR-2A'!$G$6:$G$10000,'GSTR-2A'!$B$6:$B$10000,$C$5:$C$4995,'GSTR-2A'!$A$6:$A$10000,$AC$3)</f>
        <v>0</v>
      </c>
      <c r="AD23" s="487">
        <f>SUMIFS('GSTR-2A'!$K$6:$K$10000,'GSTR-2A'!$B$6:$B$10000,$C$5:$C$4995,'GSTR-2A'!$A$6:$A$10000,$AC$3)</f>
        <v>0</v>
      </c>
      <c r="AE23" s="487">
        <f>SUMIFS('GSTR-2A'!$L$6:$L$10000,'GSTR-2A'!$B$6:$B$10000,$C$5:$C$4995,'GSTR-2A'!$A$6:$A$10000,$AC$3)</f>
        <v>0</v>
      </c>
      <c r="AF23" s="487">
        <f>SUMIFS('GSTR-2A'!$M$6:$M$10000,'GSTR-2A'!$B$6:$B$10000,$C$5:$C$4995,'GSTR-2A'!$A$6:$A$10000,$AC$3)</f>
        <v>0</v>
      </c>
      <c r="AG23" s="488">
        <f>SUMIFS('GSTR-2A'!$N$6:$N$10000,'GSTR-2A'!$B$6:$B$10000,$C$5:$C$4995,'GSTR-2A'!$A$6:$A$10000,$AC$3)</f>
        <v>0</v>
      </c>
      <c r="AH23" s="486">
        <f>SUMIFS('GSTR-2A'!$G$6:$G$10000,'GSTR-2A'!$B$6:$B$10000,$C$5:$C$4995,'GSTR-2A'!$A$6:$A$10000,$AH$3)</f>
        <v>0</v>
      </c>
      <c r="AI23" s="487">
        <f>SUMIFS('GSTR-2A'!$K$6:$K$10000,'GSTR-2A'!$B$6:$B$10000,$C$5:$C$4995,'GSTR-2A'!$A$6:$A$10000,$AH$3)</f>
        <v>0</v>
      </c>
      <c r="AJ23" s="487">
        <f>SUMIFS('GSTR-2A'!$L$6:$L$10000,'GSTR-2A'!$B$6:$B$10000,$C$5:$C$4995,'GSTR-2A'!$A$6:$A$10000,$AH$3)</f>
        <v>0</v>
      </c>
      <c r="AK23" s="487">
        <f>SUMIFS('GSTR-2A'!$M$6:$M$10000,'GSTR-2A'!$B$6:$B$10000,$C$5:$C$4995,'GSTR-2A'!$A$6:$A$10000,$AH$3)</f>
        <v>0</v>
      </c>
      <c r="AL23" s="488">
        <f>SUMIFS('GSTR-2A'!$N$6:$N$10000,'GSTR-2A'!$B$6:$B$10000,$C$5:$C$4995,'GSTR-2A'!$A$6:$A$10000,$AH$3)</f>
        <v>0</v>
      </c>
      <c r="AM23" s="486">
        <f>SUMIFS('GSTR-2A'!$G$6:$G$10000,'GSTR-2A'!$B$6:$B$10000,$C$5:$C$4995,'GSTR-2A'!$A$6:$A$10000,$AM$3)</f>
        <v>0</v>
      </c>
      <c r="AN23" s="487">
        <f>SUMIFS('GSTR-2A'!$K$6:$K$10000,'GSTR-2A'!$B$6:$B$10000,$C$5:$C$4995,'GSTR-2A'!$A$6:$A$10000,$AM$3)</f>
        <v>0</v>
      </c>
      <c r="AO23" s="487">
        <f>SUMIFS('GSTR-2A'!$L$6:$L$10000,'GSTR-2A'!$B$6:$B$10000,$C$5:$C$4995,'GSTR-2A'!$A$6:$A$10000,$AM$3)</f>
        <v>0</v>
      </c>
      <c r="AP23" s="487">
        <f>SUMIFS('GSTR-2A'!$M$6:$M$10000,'GSTR-2A'!$B$6:$B$10000,$C$5:$C$4995,'GSTR-2A'!$A$6:$A$10000,$AM$3)</f>
        <v>0</v>
      </c>
      <c r="AQ23" s="488">
        <f>SUMIFS('GSTR-2A'!$N$6:$N$10000,'GSTR-2A'!$B$6:$B$10000,$C$5:$C$4995,'GSTR-2A'!$A$6:$A$10000,$AM$3)</f>
        <v>0</v>
      </c>
      <c r="AR23" s="486">
        <f>SUMIFS('GSTR-2A'!$G$6:$G$10000,'GSTR-2A'!$B$6:$B$10000,$C$5:$C$4995,'GSTR-2A'!$A$6:$A$10000,$AR$3)</f>
        <v>0</v>
      </c>
      <c r="AS23" s="487">
        <f>SUMIFS('GSTR-2A'!$K$6:$K$10000,'GSTR-2A'!$B$6:$B$10000,$C$5:$C$4995,'GSTR-2A'!$A$6:$A$10000,$AR$3)</f>
        <v>0</v>
      </c>
      <c r="AT23" s="487">
        <f>SUMIFS('GSTR-2A'!$L$6:$L$10000,'GSTR-2A'!$B$6:$B$10000,$C$5:$C$4995,'GSTR-2A'!$A$6:$A$10000,$AR$3)</f>
        <v>0</v>
      </c>
      <c r="AU23" s="487">
        <f>SUMIFS('GSTR-2A'!$M$6:$M$10000,'GSTR-2A'!$B$6:$B$10000,$C$5:$C$4995,'GSTR-2A'!$A$6:$A$10000,$AR$3)</f>
        <v>0</v>
      </c>
      <c r="AV23" s="488">
        <f>SUMIFS('GSTR-2A'!$N$6:$N$10000,'GSTR-2A'!$B$6:$B$10000,$C$5:$C$4995,'GSTR-2A'!$A$6:$A$10000,$AR$3)</f>
        <v>0</v>
      </c>
      <c r="AW23" s="486">
        <f>SUMIFS('GSTR-2A'!$G$6:$G$10000,'GSTR-2A'!$B$6:$B$10000,$C$5:$C$4995,'GSTR-2A'!$A$6:$A$10000,$AW$3)</f>
        <v>0</v>
      </c>
      <c r="AX23" s="487">
        <f>SUMIFS('GSTR-2A'!$K$6:$K$10000,'GSTR-2A'!$B$6:$B$10000,$C$5:$C$4995,'GSTR-2A'!$A$6:$A$10000,$AW$3)</f>
        <v>0</v>
      </c>
      <c r="AY23" s="487">
        <f>SUMIFS('GSTR-2A'!$L$6:$L$10000,'GSTR-2A'!$B$6:$B$10000,$C$5:$C$4995,'GSTR-2A'!$A$6:$A$10000,$AW$3)</f>
        <v>0</v>
      </c>
      <c r="AZ23" s="487">
        <f>SUMIFS('GSTR-2A'!$M$6:$M$10000,'GSTR-2A'!$B$6:$B$10000,$C$5:$C$4995,'GSTR-2A'!$A$6:$A$10000,$AW$3)</f>
        <v>0</v>
      </c>
      <c r="BA23" s="488">
        <f>SUMIFS('GSTR-2A'!$N$6:$N$10000,'GSTR-2A'!$B$6:$B$10000,$C$5:$C$4995,'GSTR-2A'!$A$6:$A$10000,$AW$3)</f>
        <v>0</v>
      </c>
      <c r="BB23" s="486">
        <f>SUMIFS('GSTR-2A'!$G$6:$G$10000,'GSTR-2A'!$B$6:$B$10000,$C$5:$C$4995,'GSTR-2A'!$A$6:$A$10000,$BB$3)</f>
        <v>0</v>
      </c>
      <c r="BC23" s="487">
        <f>SUMIFS('GSTR-2A'!$K$6:$K$10000,'GSTR-2A'!$B$6:$B$10000,$C$5:$C$4995,'GSTR-2A'!$A$6:$A$10000,$BB$3)</f>
        <v>0</v>
      </c>
      <c r="BD23" s="487">
        <f>SUMIFS('GSTR-2A'!$L$6:$L$10000,'GSTR-2A'!$B$6:$B$10000,$C$5:$C$4995,'GSTR-2A'!$A$6:$A$10000,$BB$3)</f>
        <v>0</v>
      </c>
      <c r="BE23" s="487">
        <f>SUMIFS('GSTR-2A'!$M$6:$M$10000,'GSTR-2A'!$B$6:$B$10000,$C$5:$C$4995,'GSTR-2A'!$A$6:$A$10000,$BB$3)</f>
        <v>0</v>
      </c>
      <c r="BF23" s="488">
        <f>SUMIFS('GSTR-2A'!$N$6:$N$10000,'GSTR-2A'!$B$6:$B$10000,$C$5:$C$4995,'GSTR-2A'!$A$6:$A$10000,$BB$3)</f>
        <v>0</v>
      </c>
      <c r="BG23" s="486">
        <f>SUMIFS('GSTR-2A'!$G$6:$G$10000,'GSTR-2A'!$B$6:$B$10000,$C$5:$C$4995,'GSTR-2A'!$A$6:$A$10000,$BG$3)</f>
        <v>0</v>
      </c>
      <c r="BH23" s="487">
        <f>SUMIFS('GSTR-2A'!$K$6:$K$10000,'GSTR-2A'!$B$6:$B$10000,$C$5:$C$4995,'GSTR-2A'!$A$6:$A$10000,$BG$3)</f>
        <v>0</v>
      </c>
      <c r="BI23" s="487">
        <f>SUMIFS('GSTR-2A'!$L$6:$L$10000,'GSTR-2A'!$B$6:$B$10000,$C$5:$C$4995,'GSTR-2A'!$A$6:$A$10000,$BG$3)</f>
        <v>0</v>
      </c>
      <c r="BJ23" s="487">
        <f>SUMIFS('GSTR-2A'!$M$6:$M$10000,'GSTR-2A'!$B$6:$B$10000,$C$5:$C$4995,'GSTR-2A'!$A$6:$A$10000,$BG$3)</f>
        <v>0</v>
      </c>
      <c r="BK23" s="488">
        <f>SUMIFS('GSTR-2A'!$N$6:$N$10000,'GSTR-2A'!$B$6:$B$10000,$C$5:$C$4995,'GSTR-2A'!$A$6:$A$10000,$BG$3)</f>
        <v>0</v>
      </c>
      <c r="BL23" s="72">
        <f t="shared" si="2"/>
        <v>0</v>
      </c>
      <c r="BM23" s="72">
        <f t="shared" si="3"/>
        <v>0</v>
      </c>
      <c r="BN23" s="72">
        <f t="shared" si="4"/>
        <v>0</v>
      </c>
      <c r="BO23" s="72">
        <f t="shared" si="5"/>
        <v>0</v>
      </c>
      <c r="BP23" s="72">
        <f t="shared" si="6"/>
        <v>0</v>
      </c>
    </row>
    <row r="24" spans="1:68" x14ac:dyDescent="0.2">
      <c r="A24" s="467">
        <v>20</v>
      </c>
      <c r="B24" s="468" t="s">
        <v>479</v>
      </c>
      <c r="C24" s="469" t="s">
        <v>480</v>
      </c>
      <c r="D24" s="72">
        <f>SUMIFS('GSTR-2A'!$G$6:$G$10000,'GSTR-2A'!$B$6:$B$10000,$C$5:$C$4995,'GSTR-2A'!$A$6:$A$10000,$D$3)</f>
        <v>25769</v>
      </c>
      <c r="E24" s="72">
        <f>SUMIFS('GSTR-2A'!$K$6:$K$10000,'GSTR-2A'!$B$6:$B$10000,$C$5:$C$4995,'GSTR-2A'!$A$6:$A$10000,$D$3)</f>
        <v>21838.400000000001</v>
      </c>
      <c r="F24" s="72">
        <f>SUMIFS('GSTR-2A'!$L$6:$L$10000,'GSTR-2A'!$B$6:$B$10000,$C$5:$C$4995,'GSTR-2A'!$A$6:$A$10000,$D$3)</f>
        <v>0</v>
      </c>
      <c r="G24" s="72">
        <f>SUMIFS('GSTR-2A'!$M$6:$M$10000,'GSTR-2A'!$B$6:$B$10000,$C$5:$C$4995,'GSTR-2A'!$A$6:$A$10000,$D$3)</f>
        <v>1965.45</v>
      </c>
      <c r="H24" s="72">
        <f>SUMIFS('GSTR-2A'!$N$6:$N$10000,'GSTR-2A'!$B$6:$B$10000,$C$5:$C$4995,'GSTR-2A'!$A$6:$A$10000,$D$3)</f>
        <v>1965.45</v>
      </c>
      <c r="I24" s="486">
        <f>SUMIFS('GSTR-2A'!$G$6:$G$10000,'GSTR-2A'!$B$6:$B$10000,$C$5:$C$4995,'GSTR-2A'!$A$6:$A$10000,$I$3)</f>
        <v>0</v>
      </c>
      <c r="J24" s="487">
        <f>SUMIFS('GSTR-2A'!$K$6:$K$10000,'GSTR-2A'!$B$6:$B$10000,$C$5:$C$4995,'GSTR-2A'!$A$6:$A$10000,$I$3)</f>
        <v>0</v>
      </c>
      <c r="K24" s="487">
        <f>SUMIFS('GSTR-2A'!$L$6:$L$10000,'GSTR-2A'!$B$6:$B$10000,$C$5:$C$4995,'GSTR-2A'!$A$6:$A$10000,$I$3)</f>
        <v>0</v>
      </c>
      <c r="L24" s="487">
        <f>SUMIFS('GSTR-2A'!$M$6:$M$10000,'GSTR-2A'!$B$6:$B$10000,$C$5:$C$4995,'GSTR-2A'!$A$6:$A$10000,$I$3)</f>
        <v>0</v>
      </c>
      <c r="M24" s="488">
        <f>SUMIFS('GSTR-2A'!$N$6:$N$10000,'GSTR-2A'!$B$6:$B$10000,$C$5:$C$4995,'GSTR-2A'!$A$6:$A$10000,$I$3)</f>
        <v>0</v>
      </c>
      <c r="N24" s="486">
        <f>SUMIFS('GSTR-2A'!$G$6:$G$10000,'GSTR-2A'!$B$6:$B$10000,$C$5:$C$4995,'GSTR-2A'!$A$6:$A$10000,$N$3)</f>
        <v>1836</v>
      </c>
      <c r="O24" s="487">
        <f>SUMIFS('GSTR-2A'!$K$6:$K$10000,'GSTR-2A'!$B$6:$B$10000,$C$5:$C$4995,'GSTR-2A'!$A$6:$A$10000,$N$3)</f>
        <v>1556.3</v>
      </c>
      <c r="P24" s="487">
        <f>SUMIFS('GSTR-2A'!$L$6:$L$10000,'GSTR-2A'!$B$6:$B$10000,$C$5:$C$4995,'GSTR-2A'!$A$6:$A$10000,$N$3)</f>
        <v>0</v>
      </c>
      <c r="Q24" s="487">
        <f>SUMIFS('GSTR-2A'!$M$6:$M$10000,'GSTR-2A'!$B$6:$B$10000,$C$5:$C$4995,'GSTR-2A'!$A$6:$A$10000,$N$3)</f>
        <v>140.07</v>
      </c>
      <c r="R24" s="488">
        <f>SUMIFS('GSTR-2A'!$N$6:$N$10000,'GSTR-2A'!$B$6:$B$10000,$C$5:$C$4995,'GSTR-2A'!$A$6:$A$10000,$N$3)</f>
        <v>140.07</v>
      </c>
      <c r="S24" s="486">
        <f>SUMIFS('GSTR-2A'!$G$6:$G$10000,'GSTR-2A'!$B$6:$B$10000,$C$5:$C$4995,'GSTR-2A'!$A$6:$A$10000,$S$3)</f>
        <v>0</v>
      </c>
      <c r="T24" s="487">
        <f>SUMIFS('GSTR-2A'!$K$6:$K$10000,'GSTR-2A'!$B$6:$B$10000,$C$5:$C$4995,'GSTR-2A'!$A$6:$A$10000,$S$3)</f>
        <v>0</v>
      </c>
      <c r="U24" s="487">
        <f>SUMIFS('GSTR-2A'!$L$6:$L$10000,'GSTR-2A'!$B$6:$B$10000,$C$5:$C$4995,'GSTR-2A'!$A$6:$A$10000,$S$3)</f>
        <v>0</v>
      </c>
      <c r="V24" s="487">
        <f>SUMIFS('GSTR-2A'!$M$6:$M$10000,'GSTR-2A'!$B$6:$B$10000,$C$5:$C$4995,'GSTR-2A'!$A$6:$A$10000,$S$3)</f>
        <v>0</v>
      </c>
      <c r="W24" s="488">
        <f>SUMIFS('GSTR-2A'!$N$6:$N$10000,'GSTR-2A'!$B$6:$B$10000,$C$5:$C$4995,'GSTR-2A'!$A$6:$A$10000,$S$3)</f>
        <v>0</v>
      </c>
      <c r="X24" s="486">
        <f>SUMIFS('GSTR-2A'!$G$6:$G$10000,'GSTR-2A'!$B$6:$B$10000,$C$5:$C$4995,'GSTR-2A'!$A$6:$A$10000,$X$3)</f>
        <v>0</v>
      </c>
      <c r="Y24" s="487">
        <f>SUMIFS('GSTR-2A'!$K$6:$K$10000,'GSTR-2A'!$B$6:$B$10000,$C$5:$C$4995,'GSTR-2A'!$A$6:$A$10000,$X$3)</f>
        <v>0</v>
      </c>
      <c r="Z24" s="487">
        <f>SUMIFS('GSTR-2A'!$L$6:$L$10000,'GSTR-2A'!$B$6:$B$10000,$C$5:$C$4995,'GSTR-2A'!$A$6:$A$10000,$X$3)</f>
        <v>0</v>
      </c>
      <c r="AA24" s="487">
        <f>SUMIFS('GSTR-2A'!$M$6:$M$10000,'GSTR-2A'!$B$6:$B$10000,$C$5:$C$4995,'GSTR-2A'!$A$6:$A$10000,$X$3)</f>
        <v>0</v>
      </c>
      <c r="AB24" s="488">
        <f>SUMIFS('GSTR-2A'!$N$6:$N$10000,'GSTR-2A'!$B$6:$B$10000,$C$5:$C$4995,'GSTR-2A'!$A$6:$A$10000,$X$3)</f>
        <v>0</v>
      </c>
      <c r="AC24" s="486">
        <f>SUMIFS('GSTR-2A'!$G$6:$G$10000,'GSTR-2A'!$B$6:$B$10000,$C$5:$C$4995,'GSTR-2A'!$A$6:$A$10000,$AC$3)</f>
        <v>0</v>
      </c>
      <c r="AD24" s="487">
        <f>SUMIFS('GSTR-2A'!$K$6:$K$10000,'GSTR-2A'!$B$6:$B$10000,$C$5:$C$4995,'GSTR-2A'!$A$6:$A$10000,$AC$3)</f>
        <v>0</v>
      </c>
      <c r="AE24" s="487">
        <f>SUMIFS('GSTR-2A'!$L$6:$L$10000,'GSTR-2A'!$B$6:$B$10000,$C$5:$C$4995,'GSTR-2A'!$A$6:$A$10000,$AC$3)</f>
        <v>0</v>
      </c>
      <c r="AF24" s="487">
        <f>SUMIFS('GSTR-2A'!$M$6:$M$10000,'GSTR-2A'!$B$6:$B$10000,$C$5:$C$4995,'GSTR-2A'!$A$6:$A$10000,$AC$3)</f>
        <v>0</v>
      </c>
      <c r="AG24" s="488">
        <f>SUMIFS('GSTR-2A'!$N$6:$N$10000,'GSTR-2A'!$B$6:$B$10000,$C$5:$C$4995,'GSTR-2A'!$A$6:$A$10000,$AC$3)</f>
        <v>0</v>
      </c>
      <c r="AH24" s="486">
        <f>SUMIFS('GSTR-2A'!$G$6:$G$10000,'GSTR-2A'!$B$6:$B$10000,$C$5:$C$4995,'GSTR-2A'!$A$6:$A$10000,$AH$3)</f>
        <v>0</v>
      </c>
      <c r="AI24" s="487">
        <f>SUMIFS('GSTR-2A'!$K$6:$K$10000,'GSTR-2A'!$B$6:$B$10000,$C$5:$C$4995,'GSTR-2A'!$A$6:$A$10000,$AH$3)</f>
        <v>0</v>
      </c>
      <c r="AJ24" s="487">
        <f>SUMIFS('GSTR-2A'!$L$6:$L$10000,'GSTR-2A'!$B$6:$B$10000,$C$5:$C$4995,'GSTR-2A'!$A$6:$A$10000,$AH$3)</f>
        <v>0</v>
      </c>
      <c r="AK24" s="487">
        <f>SUMIFS('GSTR-2A'!$M$6:$M$10000,'GSTR-2A'!$B$6:$B$10000,$C$5:$C$4995,'GSTR-2A'!$A$6:$A$10000,$AH$3)</f>
        <v>0</v>
      </c>
      <c r="AL24" s="488">
        <f>SUMIFS('GSTR-2A'!$N$6:$N$10000,'GSTR-2A'!$B$6:$B$10000,$C$5:$C$4995,'GSTR-2A'!$A$6:$A$10000,$AH$3)</f>
        <v>0</v>
      </c>
      <c r="AM24" s="486">
        <f>SUMIFS('GSTR-2A'!$G$6:$G$10000,'GSTR-2A'!$B$6:$B$10000,$C$5:$C$4995,'GSTR-2A'!$A$6:$A$10000,$AM$3)</f>
        <v>0</v>
      </c>
      <c r="AN24" s="487">
        <f>SUMIFS('GSTR-2A'!$K$6:$K$10000,'GSTR-2A'!$B$6:$B$10000,$C$5:$C$4995,'GSTR-2A'!$A$6:$A$10000,$AM$3)</f>
        <v>0</v>
      </c>
      <c r="AO24" s="487">
        <f>SUMIFS('GSTR-2A'!$L$6:$L$10000,'GSTR-2A'!$B$6:$B$10000,$C$5:$C$4995,'GSTR-2A'!$A$6:$A$10000,$AM$3)</f>
        <v>0</v>
      </c>
      <c r="AP24" s="487">
        <f>SUMIFS('GSTR-2A'!$M$6:$M$10000,'GSTR-2A'!$B$6:$B$10000,$C$5:$C$4995,'GSTR-2A'!$A$6:$A$10000,$AM$3)</f>
        <v>0</v>
      </c>
      <c r="AQ24" s="488">
        <f>SUMIFS('GSTR-2A'!$N$6:$N$10000,'GSTR-2A'!$B$6:$B$10000,$C$5:$C$4995,'GSTR-2A'!$A$6:$A$10000,$AM$3)</f>
        <v>0</v>
      </c>
      <c r="AR24" s="486">
        <f>SUMIFS('GSTR-2A'!$G$6:$G$10000,'GSTR-2A'!$B$6:$B$10000,$C$5:$C$4995,'GSTR-2A'!$A$6:$A$10000,$AR$3)</f>
        <v>0</v>
      </c>
      <c r="AS24" s="487">
        <f>SUMIFS('GSTR-2A'!$K$6:$K$10000,'GSTR-2A'!$B$6:$B$10000,$C$5:$C$4995,'GSTR-2A'!$A$6:$A$10000,$AR$3)</f>
        <v>0</v>
      </c>
      <c r="AT24" s="487">
        <f>SUMIFS('GSTR-2A'!$L$6:$L$10000,'GSTR-2A'!$B$6:$B$10000,$C$5:$C$4995,'GSTR-2A'!$A$6:$A$10000,$AR$3)</f>
        <v>0</v>
      </c>
      <c r="AU24" s="487">
        <f>SUMIFS('GSTR-2A'!$M$6:$M$10000,'GSTR-2A'!$B$6:$B$10000,$C$5:$C$4995,'GSTR-2A'!$A$6:$A$10000,$AR$3)</f>
        <v>0</v>
      </c>
      <c r="AV24" s="488">
        <f>SUMIFS('GSTR-2A'!$N$6:$N$10000,'GSTR-2A'!$B$6:$B$10000,$C$5:$C$4995,'GSTR-2A'!$A$6:$A$10000,$AR$3)</f>
        <v>0</v>
      </c>
      <c r="AW24" s="486">
        <f>SUMIFS('GSTR-2A'!$G$6:$G$10000,'GSTR-2A'!$B$6:$B$10000,$C$5:$C$4995,'GSTR-2A'!$A$6:$A$10000,$AW$3)</f>
        <v>0</v>
      </c>
      <c r="AX24" s="487">
        <f>SUMIFS('GSTR-2A'!$K$6:$K$10000,'GSTR-2A'!$B$6:$B$10000,$C$5:$C$4995,'GSTR-2A'!$A$6:$A$10000,$AW$3)</f>
        <v>0</v>
      </c>
      <c r="AY24" s="487">
        <f>SUMIFS('GSTR-2A'!$L$6:$L$10000,'GSTR-2A'!$B$6:$B$10000,$C$5:$C$4995,'GSTR-2A'!$A$6:$A$10000,$AW$3)</f>
        <v>0</v>
      </c>
      <c r="AZ24" s="487">
        <f>SUMIFS('GSTR-2A'!$M$6:$M$10000,'GSTR-2A'!$B$6:$B$10000,$C$5:$C$4995,'GSTR-2A'!$A$6:$A$10000,$AW$3)</f>
        <v>0</v>
      </c>
      <c r="BA24" s="488">
        <f>SUMIFS('GSTR-2A'!$N$6:$N$10000,'GSTR-2A'!$B$6:$B$10000,$C$5:$C$4995,'GSTR-2A'!$A$6:$A$10000,$AW$3)</f>
        <v>0</v>
      </c>
      <c r="BB24" s="486">
        <f>SUMIFS('GSTR-2A'!$G$6:$G$10000,'GSTR-2A'!$B$6:$B$10000,$C$5:$C$4995,'GSTR-2A'!$A$6:$A$10000,$BB$3)</f>
        <v>0</v>
      </c>
      <c r="BC24" s="487">
        <f>SUMIFS('GSTR-2A'!$K$6:$K$10000,'GSTR-2A'!$B$6:$B$10000,$C$5:$C$4995,'GSTR-2A'!$A$6:$A$10000,$BB$3)</f>
        <v>0</v>
      </c>
      <c r="BD24" s="487">
        <f>SUMIFS('GSTR-2A'!$L$6:$L$10000,'GSTR-2A'!$B$6:$B$10000,$C$5:$C$4995,'GSTR-2A'!$A$6:$A$10000,$BB$3)</f>
        <v>0</v>
      </c>
      <c r="BE24" s="487">
        <f>SUMIFS('GSTR-2A'!$M$6:$M$10000,'GSTR-2A'!$B$6:$B$10000,$C$5:$C$4995,'GSTR-2A'!$A$6:$A$10000,$BB$3)</f>
        <v>0</v>
      </c>
      <c r="BF24" s="488">
        <f>SUMIFS('GSTR-2A'!$N$6:$N$10000,'GSTR-2A'!$B$6:$B$10000,$C$5:$C$4995,'GSTR-2A'!$A$6:$A$10000,$BB$3)</f>
        <v>0</v>
      </c>
      <c r="BG24" s="486">
        <f>SUMIFS('GSTR-2A'!$G$6:$G$10000,'GSTR-2A'!$B$6:$B$10000,$C$5:$C$4995,'GSTR-2A'!$A$6:$A$10000,$BG$3)</f>
        <v>0</v>
      </c>
      <c r="BH24" s="487">
        <f>SUMIFS('GSTR-2A'!$K$6:$K$10000,'GSTR-2A'!$B$6:$B$10000,$C$5:$C$4995,'GSTR-2A'!$A$6:$A$10000,$BG$3)</f>
        <v>0</v>
      </c>
      <c r="BI24" s="487">
        <f>SUMIFS('GSTR-2A'!$L$6:$L$10000,'GSTR-2A'!$B$6:$B$10000,$C$5:$C$4995,'GSTR-2A'!$A$6:$A$10000,$BG$3)</f>
        <v>0</v>
      </c>
      <c r="BJ24" s="487">
        <f>SUMIFS('GSTR-2A'!$M$6:$M$10000,'GSTR-2A'!$B$6:$B$10000,$C$5:$C$4995,'GSTR-2A'!$A$6:$A$10000,$BG$3)</f>
        <v>0</v>
      </c>
      <c r="BK24" s="488">
        <f>SUMIFS('GSTR-2A'!$N$6:$N$10000,'GSTR-2A'!$B$6:$B$10000,$C$5:$C$4995,'GSTR-2A'!$A$6:$A$10000,$BG$3)</f>
        <v>0</v>
      </c>
      <c r="BL24" s="72">
        <f t="shared" si="2"/>
        <v>27605</v>
      </c>
      <c r="BM24" s="72">
        <f t="shared" si="3"/>
        <v>23394.7</v>
      </c>
      <c r="BN24" s="72">
        <f t="shared" si="4"/>
        <v>0</v>
      </c>
      <c r="BO24" s="72">
        <f t="shared" si="5"/>
        <v>2105.52</v>
      </c>
      <c r="BP24" s="72">
        <f t="shared" si="6"/>
        <v>2105.52</v>
      </c>
    </row>
    <row r="25" spans="1:68" x14ac:dyDescent="0.2">
      <c r="A25" s="467">
        <v>21</v>
      </c>
      <c r="B25" s="478" t="s">
        <v>1074</v>
      </c>
      <c r="C25" s="478" t="s">
        <v>1075</v>
      </c>
      <c r="D25" s="72">
        <f>SUMIFS('GSTR-2A'!$G$6:$G$10000,'GSTR-2A'!$B$6:$B$10000,$C$5:$C$4995,'GSTR-2A'!$A$6:$A$10000,$D$3)</f>
        <v>0</v>
      </c>
      <c r="E25" s="72">
        <f>SUMIFS('GSTR-2A'!$K$6:$K$10000,'GSTR-2A'!$B$6:$B$10000,$C$5:$C$4995,'GSTR-2A'!$A$6:$A$10000,$D$3)</f>
        <v>0</v>
      </c>
      <c r="F25" s="72">
        <f>SUMIFS('GSTR-2A'!$L$6:$L$10000,'GSTR-2A'!$B$6:$B$10000,$C$5:$C$4995,'GSTR-2A'!$A$6:$A$10000,$D$3)</f>
        <v>0</v>
      </c>
      <c r="G25" s="72">
        <f>SUMIFS('GSTR-2A'!$M$6:$M$10000,'GSTR-2A'!$B$6:$B$10000,$C$5:$C$4995,'GSTR-2A'!$A$6:$A$10000,$D$3)</f>
        <v>0</v>
      </c>
      <c r="H25" s="72">
        <f>SUMIFS('GSTR-2A'!$N$6:$N$10000,'GSTR-2A'!$B$6:$B$10000,$C$5:$C$4995,'GSTR-2A'!$A$6:$A$10000,$D$3)</f>
        <v>0</v>
      </c>
      <c r="I25" s="486">
        <f>SUMIFS('GSTR-2A'!$G$6:$G$10000,'GSTR-2A'!$B$6:$B$10000,$C$5:$C$4995,'GSTR-2A'!$A$6:$A$10000,$I$3)</f>
        <v>0</v>
      </c>
      <c r="J25" s="487">
        <f>SUMIFS('GSTR-2A'!$K$6:$K$10000,'GSTR-2A'!$B$6:$B$10000,$C$5:$C$4995,'GSTR-2A'!$A$6:$A$10000,$I$3)</f>
        <v>0</v>
      </c>
      <c r="K25" s="487">
        <f>SUMIFS('GSTR-2A'!$L$6:$L$10000,'GSTR-2A'!$B$6:$B$10000,$C$5:$C$4995,'GSTR-2A'!$A$6:$A$10000,$I$3)</f>
        <v>0</v>
      </c>
      <c r="L25" s="487">
        <f>SUMIFS('GSTR-2A'!$M$6:$M$10000,'GSTR-2A'!$B$6:$B$10000,$C$5:$C$4995,'GSTR-2A'!$A$6:$A$10000,$I$3)</f>
        <v>0</v>
      </c>
      <c r="M25" s="488">
        <f>SUMIFS('GSTR-2A'!$N$6:$N$10000,'GSTR-2A'!$B$6:$B$10000,$C$5:$C$4995,'GSTR-2A'!$A$6:$A$10000,$I$3)</f>
        <v>0</v>
      </c>
      <c r="N25" s="486">
        <f>SUMIFS('GSTR-2A'!$G$6:$G$10000,'GSTR-2A'!$B$6:$B$10000,$C$5:$C$4995,'GSTR-2A'!$A$6:$A$10000,$N$3)</f>
        <v>0</v>
      </c>
      <c r="O25" s="487">
        <f>SUMIFS('GSTR-2A'!$K$6:$K$10000,'GSTR-2A'!$B$6:$B$10000,$C$5:$C$4995,'GSTR-2A'!$A$6:$A$10000,$N$3)</f>
        <v>0</v>
      </c>
      <c r="P25" s="487">
        <f>SUMIFS('GSTR-2A'!$L$6:$L$10000,'GSTR-2A'!$B$6:$B$10000,$C$5:$C$4995,'GSTR-2A'!$A$6:$A$10000,$N$3)</f>
        <v>0</v>
      </c>
      <c r="Q25" s="487">
        <f>SUMIFS('GSTR-2A'!$M$6:$M$10000,'GSTR-2A'!$B$6:$B$10000,$C$5:$C$4995,'GSTR-2A'!$A$6:$A$10000,$N$3)</f>
        <v>0</v>
      </c>
      <c r="R25" s="488">
        <f>SUMIFS('GSTR-2A'!$N$6:$N$10000,'GSTR-2A'!$B$6:$B$10000,$C$5:$C$4995,'GSTR-2A'!$A$6:$A$10000,$N$3)</f>
        <v>0</v>
      </c>
      <c r="S25" s="486">
        <f>SUMIFS('GSTR-2A'!$G$6:$G$10000,'GSTR-2A'!$B$6:$B$10000,$C$5:$C$4995,'GSTR-2A'!$A$6:$A$10000,$S$3)</f>
        <v>0</v>
      </c>
      <c r="T25" s="487">
        <f>SUMIFS('GSTR-2A'!$K$6:$K$10000,'GSTR-2A'!$B$6:$B$10000,$C$5:$C$4995,'GSTR-2A'!$A$6:$A$10000,$S$3)</f>
        <v>0</v>
      </c>
      <c r="U25" s="487">
        <f>SUMIFS('GSTR-2A'!$L$6:$L$10000,'GSTR-2A'!$B$6:$B$10000,$C$5:$C$4995,'GSTR-2A'!$A$6:$A$10000,$S$3)</f>
        <v>0</v>
      </c>
      <c r="V25" s="487">
        <f>SUMIFS('GSTR-2A'!$M$6:$M$10000,'GSTR-2A'!$B$6:$B$10000,$C$5:$C$4995,'GSTR-2A'!$A$6:$A$10000,$S$3)</f>
        <v>0</v>
      </c>
      <c r="W25" s="488">
        <f>SUMIFS('GSTR-2A'!$N$6:$N$10000,'GSTR-2A'!$B$6:$B$10000,$C$5:$C$4995,'GSTR-2A'!$A$6:$A$10000,$S$3)</f>
        <v>0</v>
      </c>
      <c r="X25" s="486">
        <f>SUMIFS('GSTR-2A'!$G$6:$G$10000,'GSTR-2A'!$B$6:$B$10000,$C$5:$C$4995,'GSTR-2A'!$A$6:$A$10000,$X$3)</f>
        <v>0</v>
      </c>
      <c r="Y25" s="487">
        <f>SUMIFS('GSTR-2A'!$K$6:$K$10000,'GSTR-2A'!$B$6:$B$10000,$C$5:$C$4995,'GSTR-2A'!$A$6:$A$10000,$X$3)</f>
        <v>0</v>
      </c>
      <c r="Z25" s="487">
        <f>SUMIFS('GSTR-2A'!$L$6:$L$10000,'GSTR-2A'!$B$6:$B$10000,$C$5:$C$4995,'GSTR-2A'!$A$6:$A$10000,$X$3)</f>
        <v>0</v>
      </c>
      <c r="AA25" s="487">
        <f>SUMIFS('GSTR-2A'!$M$6:$M$10000,'GSTR-2A'!$B$6:$B$10000,$C$5:$C$4995,'GSTR-2A'!$A$6:$A$10000,$X$3)</f>
        <v>0</v>
      </c>
      <c r="AB25" s="488">
        <f>SUMIFS('GSTR-2A'!$N$6:$N$10000,'GSTR-2A'!$B$6:$B$10000,$C$5:$C$4995,'GSTR-2A'!$A$6:$A$10000,$X$3)</f>
        <v>0</v>
      </c>
      <c r="AC25" s="486">
        <f>SUMIFS('GSTR-2A'!$G$6:$G$10000,'GSTR-2A'!$B$6:$B$10000,$C$5:$C$4995,'GSTR-2A'!$A$6:$A$10000,$AC$3)</f>
        <v>0</v>
      </c>
      <c r="AD25" s="487">
        <f>SUMIFS('GSTR-2A'!$K$6:$K$10000,'GSTR-2A'!$B$6:$B$10000,$C$5:$C$4995,'GSTR-2A'!$A$6:$A$10000,$AC$3)</f>
        <v>0</v>
      </c>
      <c r="AE25" s="487">
        <f>SUMIFS('GSTR-2A'!$L$6:$L$10000,'GSTR-2A'!$B$6:$B$10000,$C$5:$C$4995,'GSTR-2A'!$A$6:$A$10000,$AC$3)</f>
        <v>0</v>
      </c>
      <c r="AF25" s="487">
        <f>SUMIFS('GSTR-2A'!$M$6:$M$10000,'GSTR-2A'!$B$6:$B$10000,$C$5:$C$4995,'GSTR-2A'!$A$6:$A$10000,$AC$3)</f>
        <v>0</v>
      </c>
      <c r="AG25" s="488">
        <f>SUMIFS('GSTR-2A'!$N$6:$N$10000,'GSTR-2A'!$B$6:$B$10000,$C$5:$C$4995,'GSTR-2A'!$A$6:$A$10000,$AC$3)</f>
        <v>0</v>
      </c>
      <c r="AH25" s="486">
        <f>SUMIFS('GSTR-2A'!$G$6:$G$10000,'GSTR-2A'!$B$6:$B$10000,$C$5:$C$4995,'GSTR-2A'!$A$6:$A$10000,$AH$3)</f>
        <v>0</v>
      </c>
      <c r="AI25" s="487">
        <f>SUMIFS('GSTR-2A'!$K$6:$K$10000,'GSTR-2A'!$B$6:$B$10000,$C$5:$C$4995,'GSTR-2A'!$A$6:$A$10000,$AH$3)</f>
        <v>0</v>
      </c>
      <c r="AJ25" s="487">
        <f>SUMIFS('GSTR-2A'!$L$6:$L$10000,'GSTR-2A'!$B$6:$B$10000,$C$5:$C$4995,'GSTR-2A'!$A$6:$A$10000,$AH$3)</f>
        <v>0</v>
      </c>
      <c r="AK25" s="487">
        <f>SUMIFS('GSTR-2A'!$M$6:$M$10000,'GSTR-2A'!$B$6:$B$10000,$C$5:$C$4995,'GSTR-2A'!$A$6:$A$10000,$AH$3)</f>
        <v>0</v>
      </c>
      <c r="AL25" s="488">
        <f>SUMIFS('GSTR-2A'!$N$6:$N$10000,'GSTR-2A'!$B$6:$B$10000,$C$5:$C$4995,'GSTR-2A'!$A$6:$A$10000,$AH$3)</f>
        <v>0</v>
      </c>
      <c r="AM25" s="486">
        <f>SUMIFS('GSTR-2A'!$G$6:$G$10000,'GSTR-2A'!$B$6:$B$10000,$C$5:$C$4995,'GSTR-2A'!$A$6:$A$10000,$AM$3)</f>
        <v>0</v>
      </c>
      <c r="AN25" s="487">
        <f>SUMIFS('GSTR-2A'!$K$6:$K$10000,'GSTR-2A'!$B$6:$B$10000,$C$5:$C$4995,'GSTR-2A'!$A$6:$A$10000,$AM$3)</f>
        <v>0</v>
      </c>
      <c r="AO25" s="487">
        <f>SUMIFS('GSTR-2A'!$L$6:$L$10000,'GSTR-2A'!$B$6:$B$10000,$C$5:$C$4995,'GSTR-2A'!$A$6:$A$10000,$AM$3)</f>
        <v>0</v>
      </c>
      <c r="AP25" s="487">
        <f>SUMIFS('GSTR-2A'!$M$6:$M$10000,'GSTR-2A'!$B$6:$B$10000,$C$5:$C$4995,'GSTR-2A'!$A$6:$A$10000,$AM$3)</f>
        <v>0</v>
      </c>
      <c r="AQ25" s="488">
        <f>SUMIFS('GSTR-2A'!$N$6:$N$10000,'GSTR-2A'!$B$6:$B$10000,$C$5:$C$4995,'GSTR-2A'!$A$6:$A$10000,$AM$3)</f>
        <v>0</v>
      </c>
      <c r="AR25" s="486">
        <f>SUMIFS('GSTR-2A'!$G$6:$G$10000,'GSTR-2A'!$B$6:$B$10000,$C$5:$C$4995,'GSTR-2A'!$A$6:$A$10000,$AR$3)</f>
        <v>0</v>
      </c>
      <c r="AS25" s="487">
        <f>SUMIFS('GSTR-2A'!$K$6:$K$10000,'GSTR-2A'!$B$6:$B$10000,$C$5:$C$4995,'GSTR-2A'!$A$6:$A$10000,$AR$3)</f>
        <v>0</v>
      </c>
      <c r="AT25" s="487">
        <f>SUMIFS('GSTR-2A'!$L$6:$L$10000,'GSTR-2A'!$B$6:$B$10000,$C$5:$C$4995,'GSTR-2A'!$A$6:$A$10000,$AR$3)</f>
        <v>0</v>
      </c>
      <c r="AU25" s="487">
        <f>SUMIFS('GSTR-2A'!$M$6:$M$10000,'GSTR-2A'!$B$6:$B$10000,$C$5:$C$4995,'GSTR-2A'!$A$6:$A$10000,$AR$3)</f>
        <v>0</v>
      </c>
      <c r="AV25" s="488">
        <f>SUMIFS('GSTR-2A'!$N$6:$N$10000,'GSTR-2A'!$B$6:$B$10000,$C$5:$C$4995,'GSTR-2A'!$A$6:$A$10000,$AR$3)</f>
        <v>0</v>
      </c>
      <c r="AW25" s="486">
        <f>SUMIFS('GSTR-2A'!$G$6:$G$10000,'GSTR-2A'!$B$6:$B$10000,$C$5:$C$4995,'GSTR-2A'!$A$6:$A$10000,$AW$3)</f>
        <v>0</v>
      </c>
      <c r="AX25" s="487">
        <f>SUMIFS('GSTR-2A'!$K$6:$K$10000,'GSTR-2A'!$B$6:$B$10000,$C$5:$C$4995,'GSTR-2A'!$A$6:$A$10000,$AW$3)</f>
        <v>0</v>
      </c>
      <c r="AY25" s="487">
        <f>SUMIFS('GSTR-2A'!$L$6:$L$10000,'GSTR-2A'!$B$6:$B$10000,$C$5:$C$4995,'GSTR-2A'!$A$6:$A$10000,$AW$3)</f>
        <v>0</v>
      </c>
      <c r="AZ25" s="487">
        <f>SUMIFS('GSTR-2A'!$M$6:$M$10000,'GSTR-2A'!$B$6:$B$10000,$C$5:$C$4995,'GSTR-2A'!$A$6:$A$10000,$AW$3)</f>
        <v>0</v>
      </c>
      <c r="BA25" s="488">
        <f>SUMIFS('GSTR-2A'!$N$6:$N$10000,'GSTR-2A'!$B$6:$B$10000,$C$5:$C$4995,'GSTR-2A'!$A$6:$A$10000,$AW$3)</f>
        <v>0</v>
      </c>
      <c r="BB25" s="486">
        <f>SUMIFS('GSTR-2A'!$G$6:$G$10000,'GSTR-2A'!$B$6:$B$10000,$C$5:$C$4995,'GSTR-2A'!$A$6:$A$10000,$BB$3)</f>
        <v>0</v>
      </c>
      <c r="BC25" s="487">
        <f>SUMIFS('GSTR-2A'!$K$6:$K$10000,'GSTR-2A'!$B$6:$B$10000,$C$5:$C$4995,'GSTR-2A'!$A$6:$A$10000,$BB$3)</f>
        <v>0</v>
      </c>
      <c r="BD25" s="487">
        <f>SUMIFS('GSTR-2A'!$L$6:$L$10000,'GSTR-2A'!$B$6:$B$10000,$C$5:$C$4995,'GSTR-2A'!$A$6:$A$10000,$BB$3)</f>
        <v>0</v>
      </c>
      <c r="BE25" s="487">
        <f>SUMIFS('GSTR-2A'!$M$6:$M$10000,'GSTR-2A'!$B$6:$B$10000,$C$5:$C$4995,'GSTR-2A'!$A$6:$A$10000,$BB$3)</f>
        <v>0</v>
      </c>
      <c r="BF25" s="488">
        <f>SUMIFS('GSTR-2A'!$N$6:$N$10000,'GSTR-2A'!$B$6:$B$10000,$C$5:$C$4995,'GSTR-2A'!$A$6:$A$10000,$BB$3)</f>
        <v>0</v>
      </c>
      <c r="BG25" s="486">
        <f>SUMIFS('GSTR-2A'!$G$6:$G$10000,'GSTR-2A'!$B$6:$B$10000,$C$5:$C$4995,'GSTR-2A'!$A$6:$A$10000,$BG$3)</f>
        <v>0</v>
      </c>
      <c r="BH25" s="487">
        <f>SUMIFS('GSTR-2A'!$K$6:$K$10000,'GSTR-2A'!$B$6:$B$10000,$C$5:$C$4995,'GSTR-2A'!$A$6:$A$10000,$BG$3)</f>
        <v>0</v>
      </c>
      <c r="BI25" s="487">
        <f>SUMIFS('GSTR-2A'!$L$6:$L$10000,'GSTR-2A'!$B$6:$B$10000,$C$5:$C$4995,'GSTR-2A'!$A$6:$A$10000,$BG$3)</f>
        <v>0</v>
      </c>
      <c r="BJ25" s="487">
        <f>SUMIFS('GSTR-2A'!$M$6:$M$10000,'GSTR-2A'!$B$6:$B$10000,$C$5:$C$4995,'GSTR-2A'!$A$6:$A$10000,$BG$3)</f>
        <v>0</v>
      </c>
      <c r="BK25" s="488">
        <f>SUMIFS('GSTR-2A'!$N$6:$N$10000,'GSTR-2A'!$B$6:$B$10000,$C$5:$C$4995,'GSTR-2A'!$A$6:$A$10000,$BG$3)</f>
        <v>0</v>
      </c>
      <c r="BL25" s="72">
        <f t="shared" si="2"/>
        <v>0</v>
      </c>
      <c r="BM25" s="72">
        <f t="shared" si="3"/>
        <v>0</v>
      </c>
      <c r="BN25" s="72">
        <f t="shared" si="4"/>
        <v>0</v>
      </c>
      <c r="BO25" s="72">
        <f t="shared" si="5"/>
        <v>0</v>
      </c>
      <c r="BP25" s="72">
        <f t="shared" si="6"/>
        <v>0</v>
      </c>
    </row>
    <row r="26" spans="1:68" x14ac:dyDescent="0.2">
      <c r="A26" s="467">
        <v>22</v>
      </c>
      <c r="B26" s="468" t="s">
        <v>533</v>
      </c>
      <c r="C26" s="469" t="s">
        <v>534</v>
      </c>
      <c r="D26" s="72">
        <f>SUMIFS('GSTR-2A'!$G$6:$G$10000,'GSTR-2A'!$B$6:$B$10000,$C$5:$C$4995,'GSTR-2A'!$A$6:$A$10000,$D$3)</f>
        <v>0</v>
      </c>
      <c r="E26" s="72">
        <f>SUMIFS('GSTR-2A'!$K$6:$K$10000,'GSTR-2A'!$B$6:$B$10000,$C$5:$C$4995,'GSTR-2A'!$A$6:$A$10000,$D$3)</f>
        <v>0</v>
      </c>
      <c r="F26" s="72">
        <f>SUMIFS('GSTR-2A'!$L$6:$L$10000,'GSTR-2A'!$B$6:$B$10000,$C$5:$C$4995,'GSTR-2A'!$A$6:$A$10000,$D$3)</f>
        <v>0</v>
      </c>
      <c r="G26" s="72">
        <f>SUMIFS('GSTR-2A'!$M$6:$M$10000,'GSTR-2A'!$B$6:$B$10000,$C$5:$C$4995,'GSTR-2A'!$A$6:$A$10000,$D$3)</f>
        <v>0</v>
      </c>
      <c r="H26" s="72">
        <f>SUMIFS('GSTR-2A'!$N$6:$N$10000,'GSTR-2A'!$B$6:$B$10000,$C$5:$C$4995,'GSTR-2A'!$A$6:$A$10000,$D$3)</f>
        <v>0</v>
      </c>
      <c r="I26" s="486">
        <f>SUMIFS('GSTR-2A'!$G$6:$G$10000,'GSTR-2A'!$B$6:$B$10000,$C$5:$C$4995,'GSTR-2A'!$A$6:$A$10000,$I$3)</f>
        <v>0</v>
      </c>
      <c r="J26" s="487">
        <f>SUMIFS('GSTR-2A'!$K$6:$K$10000,'GSTR-2A'!$B$6:$B$10000,$C$5:$C$4995,'GSTR-2A'!$A$6:$A$10000,$I$3)</f>
        <v>0</v>
      </c>
      <c r="K26" s="487">
        <f>SUMIFS('GSTR-2A'!$L$6:$L$10000,'GSTR-2A'!$B$6:$B$10000,$C$5:$C$4995,'GSTR-2A'!$A$6:$A$10000,$I$3)</f>
        <v>0</v>
      </c>
      <c r="L26" s="487">
        <f>SUMIFS('GSTR-2A'!$M$6:$M$10000,'GSTR-2A'!$B$6:$B$10000,$C$5:$C$4995,'GSTR-2A'!$A$6:$A$10000,$I$3)</f>
        <v>0</v>
      </c>
      <c r="M26" s="488">
        <f>SUMIFS('GSTR-2A'!$N$6:$N$10000,'GSTR-2A'!$B$6:$B$10000,$C$5:$C$4995,'GSTR-2A'!$A$6:$A$10000,$I$3)</f>
        <v>0</v>
      </c>
      <c r="N26" s="486">
        <f>SUMIFS('GSTR-2A'!$G$6:$G$10000,'GSTR-2A'!$B$6:$B$10000,$C$5:$C$4995,'GSTR-2A'!$A$6:$A$10000,$N$3)</f>
        <v>1652</v>
      </c>
      <c r="O26" s="487">
        <f>SUMIFS('GSTR-2A'!$K$6:$K$10000,'GSTR-2A'!$B$6:$B$10000,$C$5:$C$4995,'GSTR-2A'!$A$6:$A$10000,$N$3)</f>
        <v>1400</v>
      </c>
      <c r="P26" s="487">
        <f>SUMIFS('GSTR-2A'!$L$6:$L$10000,'GSTR-2A'!$B$6:$B$10000,$C$5:$C$4995,'GSTR-2A'!$A$6:$A$10000,$N$3)</f>
        <v>0</v>
      </c>
      <c r="Q26" s="487">
        <f>SUMIFS('GSTR-2A'!$M$6:$M$10000,'GSTR-2A'!$B$6:$B$10000,$C$5:$C$4995,'GSTR-2A'!$A$6:$A$10000,$N$3)</f>
        <v>126</v>
      </c>
      <c r="R26" s="488">
        <f>SUMIFS('GSTR-2A'!$N$6:$N$10000,'GSTR-2A'!$B$6:$B$10000,$C$5:$C$4995,'GSTR-2A'!$A$6:$A$10000,$N$3)</f>
        <v>126</v>
      </c>
      <c r="S26" s="486">
        <f>SUMIFS('GSTR-2A'!$G$6:$G$10000,'GSTR-2A'!$B$6:$B$10000,$C$5:$C$4995,'GSTR-2A'!$A$6:$A$10000,$S$3)</f>
        <v>0</v>
      </c>
      <c r="T26" s="487">
        <f>SUMIFS('GSTR-2A'!$K$6:$K$10000,'GSTR-2A'!$B$6:$B$10000,$C$5:$C$4995,'GSTR-2A'!$A$6:$A$10000,$S$3)</f>
        <v>0</v>
      </c>
      <c r="U26" s="487">
        <f>SUMIFS('GSTR-2A'!$L$6:$L$10000,'GSTR-2A'!$B$6:$B$10000,$C$5:$C$4995,'GSTR-2A'!$A$6:$A$10000,$S$3)</f>
        <v>0</v>
      </c>
      <c r="V26" s="487">
        <f>SUMIFS('GSTR-2A'!$M$6:$M$10000,'GSTR-2A'!$B$6:$B$10000,$C$5:$C$4995,'GSTR-2A'!$A$6:$A$10000,$S$3)</f>
        <v>0</v>
      </c>
      <c r="W26" s="488">
        <f>SUMIFS('GSTR-2A'!$N$6:$N$10000,'GSTR-2A'!$B$6:$B$10000,$C$5:$C$4995,'GSTR-2A'!$A$6:$A$10000,$S$3)</f>
        <v>0</v>
      </c>
      <c r="X26" s="486">
        <f>SUMIFS('GSTR-2A'!$G$6:$G$10000,'GSTR-2A'!$B$6:$B$10000,$C$5:$C$4995,'GSTR-2A'!$A$6:$A$10000,$X$3)</f>
        <v>0</v>
      </c>
      <c r="Y26" s="487">
        <f>SUMIFS('GSTR-2A'!$K$6:$K$10000,'GSTR-2A'!$B$6:$B$10000,$C$5:$C$4995,'GSTR-2A'!$A$6:$A$10000,$X$3)</f>
        <v>0</v>
      </c>
      <c r="Z26" s="487">
        <f>SUMIFS('GSTR-2A'!$L$6:$L$10000,'GSTR-2A'!$B$6:$B$10000,$C$5:$C$4995,'GSTR-2A'!$A$6:$A$10000,$X$3)</f>
        <v>0</v>
      </c>
      <c r="AA26" s="487">
        <f>SUMIFS('GSTR-2A'!$M$6:$M$10000,'GSTR-2A'!$B$6:$B$10000,$C$5:$C$4995,'GSTR-2A'!$A$6:$A$10000,$X$3)</f>
        <v>0</v>
      </c>
      <c r="AB26" s="488">
        <f>SUMIFS('GSTR-2A'!$N$6:$N$10000,'GSTR-2A'!$B$6:$B$10000,$C$5:$C$4995,'GSTR-2A'!$A$6:$A$10000,$X$3)</f>
        <v>0</v>
      </c>
      <c r="AC26" s="486">
        <f>SUMIFS('GSTR-2A'!$G$6:$G$10000,'GSTR-2A'!$B$6:$B$10000,$C$5:$C$4995,'GSTR-2A'!$A$6:$A$10000,$AC$3)</f>
        <v>3659</v>
      </c>
      <c r="AD26" s="487">
        <f>SUMIFS('GSTR-2A'!$K$6:$K$10000,'GSTR-2A'!$B$6:$B$10000,$C$5:$C$4995,'GSTR-2A'!$A$6:$A$10000,$AC$3)</f>
        <v>3100.5</v>
      </c>
      <c r="AE26" s="487">
        <f>SUMIFS('GSTR-2A'!$L$6:$L$10000,'GSTR-2A'!$B$6:$B$10000,$C$5:$C$4995,'GSTR-2A'!$A$6:$A$10000,$AC$3)</f>
        <v>0</v>
      </c>
      <c r="AF26" s="487">
        <f>SUMIFS('GSTR-2A'!$M$6:$M$10000,'GSTR-2A'!$B$6:$B$10000,$C$5:$C$4995,'GSTR-2A'!$A$6:$A$10000,$AC$3)</f>
        <v>279.05</v>
      </c>
      <c r="AG26" s="488">
        <f>SUMIFS('GSTR-2A'!$N$6:$N$10000,'GSTR-2A'!$B$6:$B$10000,$C$5:$C$4995,'GSTR-2A'!$A$6:$A$10000,$AC$3)</f>
        <v>279.05</v>
      </c>
      <c r="AH26" s="486">
        <f>SUMIFS('GSTR-2A'!$G$6:$G$10000,'GSTR-2A'!$B$6:$B$10000,$C$5:$C$4995,'GSTR-2A'!$A$6:$A$10000,$AH$3)</f>
        <v>0</v>
      </c>
      <c r="AI26" s="487">
        <f>SUMIFS('GSTR-2A'!$K$6:$K$10000,'GSTR-2A'!$B$6:$B$10000,$C$5:$C$4995,'GSTR-2A'!$A$6:$A$10000,$AH$3)</f>
        <v>0</v>
      </c>
      <c r="AJ26" s="487">
        <f>SUMIFS('GSTR-2A'!$L$6:$L$10000,'GSTR-2A'!$B$6:$B$10000,$C$5:$C$4995,'GSTR-2A'!$A$6:$A$10000,$AH$3)</f>
        <v>0</v>
      </c>
      <c r="AK26" s="487">
        <f>SUMIFS('GSTR-2A'!$M$6:$M$10000,'GSTR-2A'!$B$6:$B$10000,$C$5:$C$4995,'GSTR-2A'!$A$6:$A$10000,$AH$3)</f>
        <v>0</v>
      </c>
      <c r="AL26" s="488">
        <f>SUMIFS('GSTR-2A'!$N$6:$N$10000,'GSTR-2A'!$B$6:$B$10000,$C$5:$C$4995,'GSTR-2A'!$A$6:$A$10000,$AH$3)</f>
        <v>0</v>
      </c>
      <c r="AM26" s="486">
        <f>SUMIFS('GSTR-2A'!$G$6:$G$10000,'GSTR-2A'!$B$6:$B$10000,$C$5:$C$4995,'GSTR-2A'!$A$6:$A$10000,$AM$3)</f>
        <v>0</v>
      </c>
      <c r="AN26" s="487">
        <f>SUMIFS('GSTR-2A'!$K$6:$K$10000,'GSTR-2A'!$B$6:$B$10000,$C$5:$C$4995,'GSTR-2A'!$A$6:$A$10000,$AM$3)</f>
        <v>0</v>
      </c>
      <c r="AO26" s="487">
        <f>SUMIFS('GSTR-2A'!$L$6:$L$10000,'GSTR-2A'!$B$6:$B$10000,$C$5:$C$4995,'GSTR-2A'!$A$6:$A$10000,$AM$3)</f>
        <v>0</v>
      </c>
      <c r="AP26" s="487">
        <f>SUMIFS('GSTR-2A'!$M$6:$M$10000,'GSTR-2A'!$B$6:$B$10000,$C$5:$C$4995,'GSTR-2A'!$A$6:$A$10000,$AM$3)</f>
        <v>0</v>
      </c>
      <c r="AQ26" s="488">
        <f>SUMIFS('GSTR-2A'!$N$6:$N$10000,'GSTR-2A'!$B$6:$B$10000,$C$5:$C$4995,'GSTR-2A'!$A$6:$A$10000,$AM$3)</f>
        <v>0</v>
      </c>
      <c r="AR26" s="486">
        <f>SUMIFS('GSTR-2A'!$G$6:$G$10000,'GSTR-2A'!$B$6:$B$10000,$C$5:$C$4995,'GSTR-2A'!$A$6:$A$10000,$AR$3)</f>
        <v>0</v>
      </c>
      <c r="AS26" s="487">
        <f>SUMIFS('GSTR-2A'!$K$6:$K$10000,'GSTR-2A'!$B$6:$B$10000,$C$5:$C$4995,'GSTR-2A'!$A$6:$A$10000,$AR$3)</f>
        <v>0</v>
      </c>
      <c r="AT26" s="487">
        <f>SUMIFS('GSTR-2A'!$L$6:$L$10000,'GSTR-2A'!$B$6:$B$10000,$C$5:$C$4995,'GSTR-2A'!$A$6:$A$10000,$AR$3)</f>
        <v>0</v>
      </c>
      <c r="AU26" s="487">
        <f>SUMIFS('GSTR-2A'!$M$6:$M$10000,'GSTR-2A'!$B$6:$B$10000,$C$5:$C$4995,'GSTR-2A'!$A$6:$A$10000,$AR$3)</f>
        <v>0</v>
      </c>
      <c r="AV26" s="488">
        <f>SUMIFS('GSTR-2A'!$N$6:$N$10000,'GSTR-2A'!$B$6:$B$10000,$C$5:$C$4995,'GSTR-2A'!$A$6:$A$10000,$AR$3)</f>
        <v>0</v>
      </c>
      <c r="AW26" s="486">
        <f>SUMIFS('GSTR-2A'!$G$6:$G$10000,'GSTR-2A'!$B$6:$B$10000,$C$5:$C$4995,'GSTR-2A'!$A$6:$A$10000,$AW$3)</f>
        <v>0</v>
      </c>
      <c r="AX26" s="487">
        <f>SUMIFS('GSTR-2A'!$K$6:$K$10000,'GSTR-2A'!$B$6:$B$10000,$C$5:$C$4995,'GSTR-2A'!$A$6:$A$10000,$AW$3)</f>
        <v>0</v>
      </c>
      <c r="AY26" s="487">
        <f>SUMIFS('GSTR-2A'!$L$6:$L$10000,'GSTR-2A'!$B$6:$B$10000,$C$5:$C$4995,'GSTR-2A'!$A$6:$A$10000,$AW$3)</f>
        <v>0</v>
      </c>
      <c r="AZ26" s="487">
        <f>SUMIFS('GSTR-2A'!$M$6:$M$10000,'GSTR-2A'!$B$6:$B$10000,$C$5:$C$4995,'GSTR-2A'!$A$6:$A$10000,$AW$3)</f>
        <v>0</v>
      </c>
      <c r="BA26" s="488">
        <f>SUMIFS('GSTR-2A'!$N$6:$N$10000,'GSTR-2A'!$B$6:$B$10000,$C$5:$C$4995,'GSTR-2A'!$A$6:$A$10000,$AW$3)</f>
        <v>0</v>
      </c>
      <c r="BB26" s="486">
        <f>SUMIFS('GSTR-2A'!$G$6:$G$10000,'GSTR-2A'!$B$6:$B$10000,$C$5:$C$4995,'GSTR-2A'!$A$6:$A$10000,$BB$3)</f>
        <v>0</v>
      </c>
      <c r="BC26" s="487">
        <f>SUMIFS('GSTR-2A'!$K$6:$K$10000,'GSTR-2A'!$B$6:$B$10000,$C$5:$C$4995,'GSTR-2A'!$A$6:$A$10000,$BB$3)</f>
        <v>0</v>
      </c>
      <c r="BD26" s="487">
        <f>SUMIFS('GSTR-2A'!$L$6:$L$10000,'GSTR-2A'!$B$6:$B$10000,$C$5:$C$4995,'GSTR-2A'!$A$6:$A$10000,$BB$3)</f>
        <v>0</v>
      </c>
      <c r="BE26" s="487">
        <f>SUMIFS('GSTR-2A'!$M$6:$M$10000,'GSTR-2A'!$B$6:$B$10000,$C$5:$C$4995,'GSTR-2A'!$A$6:$A$10000,$BB$3)</f>
        <v>0</v>
      </c>
      <c r="BF26" s="488">
        <f>SUMIFS('GSTR-2A'!$N$6:$N$10000,'GSTR-2A'!$B$6:$B$10000,$C$5:$C$4995,'GSTR-2A'!$A$6:$A$10000,$BB$3)</f>
        <v>0</v>
      </c>
      <c r="BG26" s="486">
        <f>SUMIFS('GSTR-2A'!$G$6:$G$10000,'GSTR-2A'!$B$6:$B$10000,$C$5:$C$4995,'GSTR-2A'!$A$6:$A$10000,$BG$3)</f>
        <v>0</v>
      </c>
      <c r="BH26" s="487">
        <f>SUMIFS('GSTR-2A'!$K$6:$K$10000,'GSTR-2A'!$B$6:$B$10000,$C$5:$C$4995,'GSTR-2A'!$A$6:$A$10000,$BG$3)</f>
        <v>0</v>
      </c>
      <c r="BI26" s="487">
        <f>SUMIFS('GSTR-2A'!$L$6:$L$10000,'GSTR-2A'!$B$6:$B$10000,$C$5:$C$4995,'GSTR-2A'!$A$6:$A$10000,$BG$3)</f>
        <v>0</v>
      </c>
      <c r="BJ26" s="487">
        <f>SUMIFS('GSTR-2A'!$M$6:$M$10000,'GSTR-2A'!$B$6:$B$10000,$C$5:$C$4995,'GSTR-2A'!$A$6:$A$10000,$BG$3)</f>
        <v>0</v>
      </c>
      <c r="BK26" s="488">
        <f>SUMIFS('GSTR-2A'!$N$6:$N$10000,'GSTR-2A'!$B$6:$B$10000,$C$5:$C$4995,'GSTR-2A'!$A$6:$A$10000,$BG$3)</f>
        <v>0</v>
      </c>
      <c r="BL26" s="72">
        <f t="shared" si="2"/>
        <v>5311</v>
      </c>
      <c r="BM26" s="72">
        <f t="shared" si="3"/>
        <v>4500.5</v>
      </c>
      <c r="BN26" s="72">
        <f t="shared" si="4"/>
        <v>0</v>
      </c>
      <c r="BO26" s="72">
        <f t="shared" si="5"/>
        <v>405.05</v>
      </c>
      <c r="BP26" s="72">
        <f t="shared" si="6"/>
        <v>405.05</v>
      </c>
    </row>
    <row r="27" spans="1:68" x14ac:dyDescent="0.2">
      <c r="A27" s="467">
        <v>23</v>
      </c>
      <c r="B27" s="478" t="s">
        <v>1076</v>
      </c>
      <c r="C27" s="468" t="s">
        <v>1077</v>
      </c>
      <c r="D27" s="72">
        <f>SUMIFS('GSTR-2A'!$G$6:$G$10000,'GSTR-2A'!$B$6:$B$10000,$C$5:$C$4995,'GSTR-2A'!$A$6:$A$10000,$D$3)</f>
        <v>0</v>
      </c>
      <c r="E27" s="72">
        <f>SUMIFS('GSTR-2A'!$K$6:$K$10000,'GSTR-2A'!$B$6:$B$10000,$C$5:$C$4995,'GSTR-2A'!$A$6:$A$10000,$D$3)</f>
        <v>0</v>
      </c>
      <c r="F27" s="72">
        <f>SUMIFS('GSTR-2A'!$L$6:$L$10000,'GSTR-2A'!$B$6:$B$10000,$C$5:$C$4995,'GSTR-2A'!$A$6:$A$10000,$D$3)</f>
        <v>0</v>
      </c>
      <c r="G27" s="72">
        <f>SUMIFS('GSTR-2A'!$M$6:$M$10000,'GSTR-2A'!$B$6:$B$10000,$C$5:$C$4995,'GSTR-2A'!$A$6:$A$10000,$D$3)</f>
        <v>0</v>
      </c>
      <c r="H27" s="72">
        <f>SUMIFS('GSTR-2A'!$N$6:$N$10000,'GSTR-2A'!$B$6:$B$10000,$C$5:$C$4995,'GSTR-2A'!$A$6:$A$10000,$D$3)</f>
        <v>0</v>
      </c>
      <c r="I27" s="486">
        <f>SUMIFS('GSTR-2A'!$G$6:$G$10000,'GSTR-2A'!$B$6:$B$10000,$C$5:$C$4995,'GSTR-2A'!$A$6:$A$10000,$I$3)</f>
        <v>0</v>
      </c>
      <c r="J27" s="487">
        <f>SUMIFS('GSTR-2A'!$K$6:$K$10000,'GSTR-2A'!$B$6:$B$10000,$C$5:$C$4995,'GSTR-2A'!$A$6:$A$10000,$I$3)</f>
        <v>0</v>
      </c>
      <c r="K27" s="487">
        <f>SUMIFS('GSTR-2A'!$L$6:$L$10000,'GSTR-2A'!$B$6:$B$10000,$C$5:$C$4995,'GSTR-2A'!$A$6:$A$10000,$I$3)</f>
        <v>0</v>
      </c>
      <c r="L27" s="487">
        <f>SUMIFS('GSTR-2A'!$M$6:$M$10000,'GSTR-2A'!$B$6:$B$10000,$C$5:$C$4995,'GSTR-2A'!$A$6:$A$10000,$I$3)</f>
        <v>0</v>
      </c>
      <c r="M27" s="488">
        <f>SUMIFS('GSTR-2A'!$N$6:$N$10000,'GSTR-2A'!$B$6:$B$10000,$C$5:$C$4995,'GSTR-2A'!$A$6:$A$10000,$I$3)</f>
        <v>0</v>
      </c>
      <c r="N27" s="486">
        <f>SUMIFS('GSTR-2A'!$G$6:$G$10000,'GSTR-2A'!$B$6:$B$10000,$C$5:$C$4995,'GSTR-2A'!$A$6:$A$10000,$N$3)</f>
        <v>0</v>
      </c>
      <c r="O27" s="487">
        <f>SUMIFS('GSTR-2A'!$K$6:$K$10000,'GSTR-2A'!$B$6:$B$10000,$C$5:$C$4995,'GSTR-2A'!$A$6:$A$10000,$N$3)</f>
        <v>0</v>
      </c>
      <c r="P27" s="487">
        <f>SUMIFS('GSTR-2A'!$L$6:$L$10000,'GSTR-2A'!$B$6:$B$10000,$C$5:$C$4995,'GSTR-2A'!$A$6:$A$10000,$N$3)</f>
        <v>0</v>
      </c>
      <c r="Q27" s="487">
        <f>SUMIFS('GSTR-2A'!$M$6:$M$10000,'GSTR-2A'!$B$6:$B$10000,$C$5:$C$4995,'GSTR-2A'!$A$6:$A$10000,$N$3)</f>
        <v>0</v>
      </c>
      <c r="R27" s="488">
        <f>SUMIFS('GSTR-2A'!$N$6:$N$10000,'GSTR-2A'!$B$6:$B$10000,$C$5:$C$4995,'GSTR-2A'!$A$6:$A$10000,$N$3)</f>
        <v>0</v>
      </c>
      <c r="S27" s="486">
        <f>SUMIFS('GSTR-2A'!$G$6:$G$10000,'GSTR-2A'!$B$6:$B$10000,$C$5:$C$4995,'GSTR-2A'!$A$6:$A$10000,$S$3)</f>
        <v>0</v>
      </c>
      <c r="T27" s="487">
        <f>SUMIFS('GSTR-2A'!$K$6:$K$10000,'GSTR-2A'!$B$6:$B$10000,$C$5:$C$4995,'GSTR-2A'!$A$6:$A$10000,$S$3)</f>
        <v>0</v>
      </c>
      <c r="U27" s="487">
        <f>SUMIFS('GSTR-2A'!$L$6:$L$10000,'GSTR-2A'!$B$6:$B$10000,$C$5:$C$4995,'GSTR-2A'!$A$6:$A$10000,$S$3)</f>
        <v>0</v>
      </c>
      <c r="V27" s="487">
        <f>SUMIFS('GSTR-2A'!$M$6:$M$10000,'GSTR-2A'!$B$6:$B$10000,$C$5:$C$4995,'GSTR-2A'!$A$6:$A$10000,$S$3)</f>
        <v>0</v>
      </c>
      <c r="W27" s="488">
        <f>SUMIFS('GSTR-2A'!$N$6:$N$10000,'GSTR-2A'!$B$6:$B$10000,$C$5:$C$4995,'GSTR-2A'!$A$6:$A$10000,$S$3)</f>
        <v>0</v>
      </c>
      <c r="X27" s="486">
        <f>SUMIFS('GSTR-2A'!$G$6:$G$10000,'GSTR-2A'!$B$6:$B$10000,$C$5:$C$4995,'GSTR-2A'!$A$6:$A$10000,$X$3)</f>
        <v>0</v>
      </c>
      <c r="Y27" s="487">
        <f>SUMIFS('GSTR-2A'!$K$6:$K$10000,'GSTR-2A'!$B$6:$B$10000,$C$5:$C$4995,'GSTR-2A'!$A$6:$A$10000,$X$3)</f>
        <v>0</v>
      </c>
      <c r="Z27" s="487">
        <f>SUMIFS('GSTR-2A'!$L$6:$L$10000,'GSTR-2A'!$B$6:$B$10000,$C$5:$C$4995,'GSTR-2A'!$A$6:$A$10000,$X$3)</f>
        <v>0</v>
      </c>
      <c r="AA27" s="487">
        <f>SUMIFS('GSTR-2A'!$M$6:$M$10000,'GSTR-2A'!$B$6:$B$10000,$C$5:$C$4995,'GSTR-2A'!$A$6:$A$10000,$X$3)</f>
        <v>0</v>
      </c>
      <c r="AB27" s="488">
        <f>SUMIFS('GSTR-2A'!$N$6:$N$10000,'GSTR-2A'!$B$6:$B$10000,$C$5:$C$4995,'GSTR-2A'!$A$6:$A$10000,$X$3)</f>
        <v>0</v>
      </c>
      <c r="AC27" s="486">
        <f>SUMIFS('GSTR-2A'!$G$6:$G$10000,'GSTR-2A'!$B$6:$B$10000,$C$5:$C$4995,'GSTR-2A'!$A$6:$A$10000,$AC$3)</f>
        <v>0</v>
      </c>
      <c r="AD27" s="487">
        <f>SUMIFS('GSTR-2A'!$K$6:$K$10000,'GSTR-2A'!$B$6:$B$10000,$C$5:$C$4995,'GSTR-2A'!$A$6:$A$10000,$AC$3)</f>
        <v>0</v>
      </c>
      <c r="AE27" s="487">
        <f>SUMIFS('GSTR-2A'!$L$6:$L$10000,'GSTR-2A'!$B$6:$B$10000,$C$5:$C$4995,'GSTR-2A'!$A$6:$A$10000,$AC$3)</f>
        <v>0</v>
      </c>
      <c r="AF27" s="487">
        <f>SUMIFS('GSTR-2A'!$M$6:$M$10000,'GSTR-2A'!$B$6:$B$10000,$C$5:$C$4995,'GSTR-2A'!$A$6:$A$10000,$AC$3)</f>
        <v>0</v>
      </c>
      <c r="AG27" s="488">
        <f>SUMIFS('GSTR-2A'!$N$6:$N$10000,'GSTR-2A'!$B$6:$B$10000,$C$5:$C$4995,'GSTR-2A'!$A$6:$A$10000,$AC$3)</f>
        <v>0</v>
      </c>
      <c r="AH27" s="486">
        <f>SUMIFS('GSTR-2A'!$G$6:$G$10000,'GSTR-2A'!$B$6:$B$10000,$C$5:$C$4995,'GSTR-2A'!$A$6:$A$10000,$AH$3)</f>
        <v>0</v>
      </c>
      <c r="AI27" s="487">
        <f>SUMIFS('GSTR-2A'!$K$6:$K$10000,'GSTR-2A'!$B$6:$B$10000,$C$5:$C$4995,'GSTR-2A'!$A$6:$A$10000,$AH$3)</f>
        <v>0</v>
      </c>
      <c r="AJ27" s="487">
        <f>SUMIFS('GSTR-2A'!$L$6:$L$10000,'GSTR-2A'!$B$6:$B$10000,$C$5:$C$4995,'GSTR-2A'!$A$6:$A$10000,$AH$3)</f>
        <v>0</v>
      </c>
      <c r="AK27" s="487">
        <f>SUMIFS('GSTR-2A'!$M$6:$M$10000,'GSTR-2A'!$B$6:$B$10000,$C$5:$C$4995,'GSTR-2A'!$A$6:$A$10000,$AH$3)</f>
        <v>0</v>
      </c>
      <c r="AL27" s="488">
        <f>SUMIFS('GSTR-2A'!$N$6:$N$10000,'GSTR-2A'!$B$6:$B$10000,$C$5:$C$4995,'GSTR-2A'!$A$6:$A$10000,$AH$3)</f>
        <v>0</v>
      </c>
      <c r="AM27" s="486">
        <f>SUMIFS('GSTR-2A'!$G$6:$G$10000,'GSTR-2A'!$B$6:$B$10000,$C$5:$C$4995,'GSTR-2A'!$A$6:$A$10000,$AM$3)</f>
        <v>0</v>
      </c>
      <c r="AN27" s="487">
        <f>SUMIFS('GSTR-2A'!$K$6:$K$10000,'GSTR-2A'!$B$6:$B$10000,$C$5:$C$4995,'GSTR-2A'!$A$6:$A$10000,$AM$3)</f>
        <v>0</v>
      </c>
      <c r="AO27" s="487">
        <f>SUMIFS('GSTR-2A'!$L$6:$L$10000,'GSTR-2A'!$B$6:$B$10000,$C$5:$C$4995,'GSTR-2A'!$A$6:$A$10000,$AM$3)</f>
        <v>0</v>
      </c>
      <c r="AP27" s="487">
        <f>SUMIFS('GSTR-2A'!$M$6:$M$10000,'GSTR-2A'!$B$6:$B$10000,$C$5:$C$4995,'GSTR-2A'!$A$6:$A$10000,$AM$3)</f>
        <v>0</v>
      </c>
      <c r="AQ27" s="488">
        <f>SUMIFS('GSTR-2A'!$N$6:$N$10000,'GSTR-2A'!$B$6:$B$10000,$C$5:$C$4995,'GSTR-2A'!$A$6:$A$10000,$AM$3)</f>
        <v>0</v>
      </c>
      <c r="AR27" s="486">
        <f>SUMIFS('GSTR-2A'!$G$6:$G$10000,'GSTR-2A'!$B$6:$B$10000,$C$5:$C$4995,'GSTR-2A'!$A$6:$A$10000,$AR$3)</f>
        <v>0</v>
      </c>
      <c r="AS27" s="487">
        <f>SUMIFS('GSTR-2A'!$K$6:$K$10000,'GSTR-2A'!$B$6:$B$10000,$C$5:$C$4995,'GSTR-2A'!$A$6:$A$10000,$AR$3)</f>
        <v>0</v>
      </c>
      <c r="AT27" s="487">
        <f>SUMIFS('GSTR-2A'!$L$6:$L$10000,'GSTR-2A'!$B$6:$B$10000,$C$5:$C$4995,'GSTR-2A'!$A$6:$A$10000,$AR$3)</f>
        <v>0</v>
      </c>
      <c r="AU27" s="487">
        <f>SUMIFS('GSTR-2A'!$M$6:$M$10000,'GSTR-2A'!$B$6:$B$10000,$C$5:$C$4995,'GSTR-2A'!$A$6:$A$10000,$AR$3)</f>
        <v>0</v>
      </c>
      <c r="AV27" s="488">
        <f>SUMIFS('GSTR-2A'!$N$6:$N$10000,'GSTR-2A'!$B$6:$B$10000,$C$5:$C$4995,'GSTR-2A'!$A$6:$A$10000,$AR$3)</f>
        <v>0</v>
      </c>
      <c r="AW27" s="486">
        <f>SUMIFS('GSTR-2A'!$G$6:$G$10000,'GSTR-2A'!$B$6:$B$10000,$C$5:$C$4995,'GSTR-2A'!$A$6:$A$10000,$AW$3)</f>
        <v>0</v>
      </c>
      <c r="AX27" s="487">
        <f>SUMIFS('GSTR-2A'!$K$6:$K$10000,'GSTR-2A'!$B$6:$B$10000,$C$5:$C$4995,'GSTR-2A'!$A$6:$A$10000,$AW$3)</f>
        <v>0</v>
      </c>
      <c r="AY27" s="487">
        <f>SUMIFS('GSTR-2A'!$L$6:$L$10000,'GSTR-2A'!$B$6:$B$10000,$C$5:$C$4995,'GSTR-2A'!$A$6:$A$10000,$AW$3)</f>
        <v>0</v>
      </c>
      <c r="AZ27" s="487">
        <f>SUMIFS('GSTR-2A'!$M$6:$M$10000,'GSTR-2A'!$B$6:$B$10000,$C$5:$C$4995,'GSTR-2A'!$A$6:$A$10000,$AW$3)</f>
        <v>0</v>
      </c>
      <c r="BA27" s="488">
        <f>SUMIFS('GSTR-2A'!$N$6:$N$10000,'GSTR-2A'!$B$6:$B$10000,$C$5:$C$4995,'GSTR-2A'!$A$6:$A$10000,$AW$3)</f>
        <v>0</v>
      </c>
      <c r="BB27" s="486">
        <f>SUMIFS('GSTR-2A'!$G$6:$G$10000,'GSTR-2A'!$B$6:$B$10000,$C$5:$C$4995,'GSTR-2A'!$A$6:$A$10000,$BB$3)</f>
        <v>0</v>
      </c>
      <c r="BC27" s="487">
        <f>SUMIFS('GSTR-2A'!$K$6:$K$10000,'GSTR-2A'!$B$6:$B$10000,$C$5:$C$4995,'GSTR-2A'!$A$6:$A$10000,$BB$3)</f>
        <v>0</v>
      </c>
      <c r="BD27" s="487">
        <f>SUMIFS('GSTR-2A'!$L$6:$L$10000,'GSTR-2A'!$B$6:$B$10000,$C$5:$C$4995,'GSTR-2A'!$A$6:$A$10000,$BB$3)</f>
        <v>0</v>
      </c>
      <c r="BE27" s="487">
        <f>SUMIFS('GSTR-2A'!$M$6:$M$10000,'GSTR-2A'!$B$6:$B$10000,$C$5:$C$4995,'GSTR-2A'!$A$6:$A$10000,$BB$3)</f>
        <v>0</v>
      </c>
      <c r="BF27" s="488">
        <f>SUMIFS('GSTR-2A'!$N$6:$N$10000,'GSTR-2A'!$B$6:$B$10000,$C$5:$C$4995,'GSTR-2A'!$A$6:$A$10000,$BB$3)</f>
        <v>0</v>
      </c>
      <c r="BG27" s="486">
        <f>SUMIFS('GSTR-2A'!$G$6:$G$10000,'GSTR-2A'!$B$6:$B$10000,$C$5:$C$4995,'GSTR-2A'!$A$6:$A$10000,$BG$3)</f>
        <v>0</v>
      </c>
      <c r="BH27" s="487">
        <f>SUMIFS('GSTR-2A'!$K$6:$K$10000,'GSTR-2A'!$B$6:$B$10000,$C$5:$C$4995,'GSTR-2A'!$A$6:$A$10000,$BG$3)</f>
        <v>0</v>
      </c>
      <c r="BI27" s="487">
        <f>SUMIFS('GSTR-2A'!$L$6:$L$10000,'GSTR-2A'!$B$6:$B$10000,$C$5:$C$4995,'GSTR-2A'!$A$6:$A$10000,$BG$3)</f>
        <v>0</v>
      </c>
      <c r="BJ27" s="487">
        <f>SUMIFS('GSTR-2A'!$M$6:$M$10000,'GSTR-2A'!$B$6:$B$10000,$C$5:$C$4995,'GSTR-2A'!$A$6:$A$10000,$BG$3)</f>
        <v>0</v>
      </c>
      <c r="BK27" s="488">
        <f>SUMIFS('GSTR-2A'!$N$6:$N$10000,'GSTR-2A'!$B$6:$B$10000,$C$5:$C$4995,'GSTR-2A'!$A$6:$A$10000,$BG$3)</f>
        <v>0</v>
      </c>
      <c r="BL27" s="72">
        <f t="shared" si="2"/>
        <v>0</v>
      </c>
      <c r="BM27" s="72">
        <f t="shared" si="3"/>
        <v>0</v>
      </c>
      <c r="BN27" s="72">
        <f t="shared" si="4"/>
        <v>0</v>
      </c>
      <c r="BO27" s="72">
        <f t="shared" si="5"/>
        <v>0</v>
      </c>
      <c r="BP27" s="72">
        <f t="shared" si="6"/>
        <v>0</v>
      </c>
    </row>
    <row r="28" spans="1:68" x14ac:dyDescent="0.2">
      <c r="A28" s="467">
        <v>24</v>
      </c>
      <c r="B28" s="468" t="s">
        <v>1078</v>
      </c>
      <c r="C28" s="469" t="s">
        <v>1079</v>
      </c>
      <c r="D28" s="72">
        <f>SUMIFS('GSTR-2A'!$G$6:$G$10000,'GSTR-2A'!$B$6:$B$10000,$C$5:$C$4995,'GSTR-2A'!$A$6:$A$10000,$D$3)</f>
        <v>0</v>
      </c>
      <c r="E28" s="72">
        <f>SUMIFS('GSTR-2A'!$K$6:$K$10000,'GSTR-2A'!$B$6:$B$10000,$C$5:$C$4995,'GSTR-2A'!$A$6:$A$10000,$D$3)</f>
        <v>0</v>
      </c>
      <c r="F28" s="72">
        <f>SUMIFS('GSTR-2A'!$L$6:$L$10000,'GSTR-2A'!$B$6:$B$10000,$C$5:$C$4995,'GSTR-2A'!$A$6:$A$10000,$D$3)</f>
        <v>0</v>
      </c>
      <c r="G28" s="72">
        <f>SUMIFS('GSTR-2A'!$M$6:$M$10000,'GSTR-2A'!$B$6:$B$10000,$C$5:$C$4995,'GSTR-2A'!$A$6:$A$10000,$D$3)</f>
        <v>0</v>
      </c>
      <c r="H28" s="72">
        <f>SUMIFS('GSTR-2A'!$N$6:$N$10000,'GSTR-2A'!$B$6:$B$10000,$C$5:$C$4995,'GSTR-2A'!$A$6:$A$10000,$D$3)</f>
        <v>0</v>
      </c>
      <c r="I28" s="486">
        <f>SUMIFS('GSTR-2A'!$G$6:$G$10000,'GSTR-2A'!$B$6:$B$10000,$C$5:$C$4995,'GSTR-2A'!$A$6:$A$10000,$I$3)</f>
        <v>0</v>
      </c>
      <c r="J28" s="487">
        <f>SUMIFS('GSTR-2A'!$K$6:$K$10000,'GSTR-2A'!$B$6:$B$10000,$C$5:$C$4995,'GSTR-2A'!$A$6:$A$10000,$I$3)</f>
        <v>0</v>
      </c>
      <c r="K28" s="487">
        <f>SUMIFS('GSTR-2A'!$L$6:$L$10000,'GSTR-2A'!$B$6:$B$10000,$C$5:$C$4995,'GSTR-2A'!$A$6:$A$10000,$I$3)</f>
        <v>0</v>
      </c>
      <c r="L28" s="487">
        <f>SUMIFS('GSTR-2A'!$M$6:$M$10000,'GSTR-2A'!$B$6:$B$10000,$C$5:$C$4995,'GSTR-2A'!$A$6:$A$10000,$I$3)</f>
        <v>0</v>
      </c>
      <c r="M28" s="488">
        <f>SUMIFS('GSTR-2A'!$N$6:$N$10000,'GSTR-2A'!$B$6:$B$10000,$C$5:$C$4995,'GSTR-2A'!$A$6:$A$10000,$I$3)</f>
        <v>0</v>
      </c>
      <c r="N28" s="486">
        <f>SUMIFS('GSTR-2A'!$G$6:$G$10000,'GSTR-2A'!$B$6:$B$10000,$C$5:$C$4995,'GSTR-2A'!$A$6:$A$10000,$N$3)</f>
        <v>0</v>
      </c>
      <c r="O28" s="487">
        <f>SUMIFS('GSTR-2A'!$K$6:$K$10000,'GSTR-2A'!$B$6:$B$10000,$C$5:$C$4995,'GSTR-2A'!$A$6:$A$10000,$N$3)</f>
        <v>0</v>
      </c>
      <c r="P28" s="487">
        <f>SUMIFS('GSTR-2A'!$L$6:$L$10000,'GSTR-2A'!$B$6:$B$10000,$C$5:$C$4995,'GSTR-2A'!$A$6:$A$10000,$N$3)</f>
        <v>0</v>
      </c>
      <c r="Q28" s="487">
        <f>SUMIFS('GSTR-2A'!$M$6:$M$10000,'GSTR-2A'!$B$6:$B$10000,$C$5:$C$4995,'GSTR-2A'!$A$6:$A$10000,$N$3)</f>
        <v>0</v>
      </c>
      <c r="R28" s="488">
        <f>SUMIFS('GSTR-2A'!$N$6:$N$10000,'GSTR-2A'!$B$6:$B$10000,$C$5:$C$4995,'GSTR-2A'!$A$6:$A$10000,$N$3)</f>
        <v>0</v>
      </c>
      <c r="S28" s="486">
        <f>SUMIFS('GSTR-2A'!$G$6:$G$10000,'GSTR-2A'!$B$6:$B$10000,$C$5:$C$4995,'GSTR-2A'!$A$6:$A$10000,$S$3)</f>
        <v>0</v>
      </c>
      <c r="T28" s="487">
        <f>SUMIFS('GSTR-2A'!$K$6:$K$10000,'GSTR-2A'!$B$6:$B$10000,$C$5:$C$4995,'GSTR-2A'!$A$6:$A$10000,$S$3)</f>
        <v>0</v>
      </c>
      <c r="U28" s="487">
        <f>SUMIFS('GSTR-2A'!$L$6:$L$10000,'GSTR-2A'!$B$6:$B$10000,$C$5:$C$4995,'GSTR-2A'!$A$6:$A$10000,$S$3)</f>
        <v>0</v>
      </c>
      <c r="V28" s="487">
        <f>SUMIFS('GSTR-2A'!$M$6:$M$10000,'GSTR-2A'!$B$6:$B$10000,$C$5:$C$4995,'GSTR-2A'!$A$6:$A$10000,$S$3)</f>
        <v>0</v>
      </c>
      <c r="W28" s="488">
        <f>SUMIFS('GSTR-2A'!$N$6:$N$10000,'GSTR-2A'!$B$6:$B$10000,$C$5:$C$4995,'GSTR-2A'!$A$6:$A$10000,$S$3)</f>
        <v>0</v>
      </c>
      <c r="X28" s="486">
        <f>SUMIFS('GSTR-2A'!$G$6:$G$10000,'GSTR-2A'!$B$6:$B$10000,$C$5:$C$4995,'GSTR-2A'!$A$6:$A$10000,$X$3)</f>
        <v>0</v>
      </c>
      <c r="Y28" s="487">
        <f>SUMIFS('GSTR-2A'!$K$6:$K$10000,'GSTR-2A'!$B$6:$B$10000,$C$5:$C$4995,'GSTR-2A'!$A$6:$A$10000,$X$3)</f>
        <v>0</v>
      </c>
      <c r="Z28" s="487">
        <f>SUMIFS('GSTR-2A'!$L$6:$L$10000,'GSTR-2A'!$B$6:$B$10000,$C$5:$C$4995,'GSTR-2A'!$A$6:$A$10000,$X$3)</f>
        <v>0</v>
      </c>
      <c r="AA28" s="487">
        <f>SUMIFS('GSTR-2A'!$M$6:$M$10000,'GSTR-2A'!$B$6:$B$10000,$C$5:$C$4995,'GSTR-2A'!$A$6:$A$10000,$X$3)</f>
        <v>0</v>
      </c>
      <c r="AB28" s="488">
        <f>SUMIFS('GSTR-2A'!$N$6:$N$10000,'GSTR-2A'!$B$6:$B$10000,$C$5:$C$4995,'GSTR-2A'!$A$6:$A$10000,$X$3)</f>
        <v>0</v>
      </c>
      <c r="AC28" s="486">
        <f>SUMIFS('GSTR-2A'!$G$6:$G$10000,'GSTR-2A'!$B$6:$B$10000,$C$5:$C$4995,'GSTR-2A'!$A$6:$A$10000,$AC$3)</f>
        <v>0</v>
      </c>
      <c r="AD28" s="487">
        <f>SUMIFS('GSTR-2A'!$K$6:$K$10000,'GSTR-2A'!$B$6:$B$10000,$C$5:$C$4995,'GSTR-2A'!$A$6:$A$10000,$AC$3)</f>
        <v>0</v>
      </c>
      <c r="AE28" s="487">
        <f>SUMIFS('GSTR-2A'!$L$6:$L$10000,'GSTR-2A'!$B$6:$B$10000,$C$5:$C$4995,'GSTR-2A'!$A$6:$A$10000,$AC$3)</f>
        <v>0</v>
      </c>
      <c r="AF28" s="487">
        <f>SUMIFS('GSTR-2A'!$M$6:$M$10000,'GSTR-2A'!$B$6:$B$10000,$C$5:$C$4995,'GSTR-2A'!$A$6:$A$10000,$AC$3)</f>
        <v>0</v>
      </c>
      <c r="AG28" s="488">
        <f>SUMIFS('GSTR-2A'!$N$6:$N$10000,'GSTR-2A'!$B$6:$B$10000,$C$5:$C$4995,'GSTR-2A'!$A$6:$A$10000,$AC$3)</f>
        <v>0</v>
      </c>
      <c r="AH28" s="486">
        <f>SUMIFS('GSTR-2A'!$G$6:$G$10000,'GSTR-2A'!$B$6:$B$10000,$C$5:$C$4995,'GSTR-2A'!$A$6:$A$10000,$AH$3)</f>
        <v>0</v>
      </c>
      <c r="AI28" s="487">
        <f>SUMIFS('GSTR-2A'!$K$6:$K$10000,'GSTR-2A'!$B$6:$B$10000,$C$5:$C$4995,'GSTR-2A'!$A$6:$A$10000,$AH$3)</f>
        <v>0</v>
      </c>
      <c r="AJ28" s="487">
        <f>SUMIFS('GSTR-2A'!$L$6:$L$10000,'GSTR-2A'!$B$6:$B$10000,$C$5:$C$4995,'GSTR-2A'!$A$6:$A$10000,$AH$3)</f>
        <v>0</v>
      </c>
      <c r="AK28" s="487">
        <f>SUMIFS('GSTR-2A'!$M$6:$M$10000,'GSTR-2A'!$B$6:$B$10000,$C$5:$C$4995,'GSTR-2A'!$A$6:$A$10000,$AH$3)</f>
        <v>0</v>
      </c>
      <c r="AL28" s="488">
        <f>SUMIFS('GSTR-2A'!$N$6:$N$10000,'GSTR-2A'!$B$6:$B$10000,$C$5:$C$4995,'GSTR-2A'!$A$6:$A$10000,$AH$3)</f>
        <v>0</v>
      </c>
      <c r="AM28" s="486">
        <f>SUMIFS('GSTR-2A'!$G$6:$G$10000,'GSTR-2A'!$B$6:$B$10000,$C$5:$C$4995,'GSTR-2A'!$A$6:$A$10000,$AM$3)</f>
        <v>0</v>
      </c>
      <c r="AN28" s="487">
        <f>SUMIFS('GSTR-2A'!$K$6:$K$10000,'GSTR-2A'!$B$6:$B$10000,$C$5:$C$4995,'GSTR-2A'!$A$6:$A$10000,$AM$3)</f>
        <v>0</v>
      </c>
      <c r="AO28" s="487">
        <f>SUMIFS('GSTR-2A'!$L$6:$L$10000,'GSTR-2A'!$B$6:$B$10000,$C$5:$C$4995,'GSTR-2A'!$A$6:$A$10000,$AM$3)</f>
        <v>0</v>
      </c>
      <c r="AP28" s="487">
        <f>SUMIFS('GSTR-2A'!$M$6:$M$10000,'GSTR-2A'!$B$6:$B$10000,$C$5:$C$4995,'GSTR-2A'!$A$6:$A$10000,$AM$3)</f>
        <v>0</v>
      </c>
      <c r="AQ28" s="488">
        <f>SUMIFS('GSTR-2A'!$N$6:$N$10000,'GSTR-2A'!$B$6:$B$10000,$C$5:$C$4995,'GSTR-2A'!$A$6:$A$10000,$AM$3)</f>
        <v>0</v>
      </c>
      <c r="AR28" s="486">
        <f>SUMIFS('GSTR-2A'!$G$6:$G$10000,'GSTR-2A'!$B$6:$B$10000,$C$5:$C$4995,'GSTR-2A'!$A$6:$A$10000,$AR$3)</f>
        <v>0</v>
      </c>
      <c r="AS28" s="487">
        <f>SUMIFS('GSTR-2A'!$K$6:$K$10000,'GSTR-2A'!$B$6:$B$10000,$C$5:$C$4995,'GSTR-2A'!$A$6:$A$10000,$AR$3)</f>
        <v>0</v>
      </c>
      <c r="AT28" s="487">
        <f>SUMIFS('GSTR-2A'!$L$6:$L$10000,'GSTR-2A'!$B$6:$B$10000,$C$5:$C$4995,'GSTR-2A'!$A$6:$A$10000,$AR$3)</f>
        <v>0</v>
      </c>
      <c r="AU28" s="487">
        <f>SUMIFS('GSTR-2A'!$M$6:$M$10000,'GSTR-2A'!$B$6:$B$10000,$C$5:$C$4995,'GSTR-2A'!$A$6:$A$10000,$AR$3)</f>
        <v>0</v>
      </c>
      <c r="AV28" s="488">
        <f>SUMIFS('GSTR-2A'!$N$6:$N$10000,'GSTR-2A'!$B$6:$B$10000,$C$5:$C$4995,'GSTR-2A'!$A$6:$A$10000,$AR$3)</f>
        <v>0</v>
      </c>
      <c r="AW28" s="486">
        <f>SUMIFS('GSTR-2A'!$G$6:$G$10000,'GSTR-2A'!$B$6:$B$10000,$C$5:$C$4995,'GSTR-2A'!$A$6:$A$10000,$AW$3)</f>
        <v>0</v>
      </c>
      <c r="AX28" s="487">
        <f>SUMIFS('GSTR-2A'!$K$6:$K$10000,'GSTR-2A'!$B$6:$B$10000,$C$5:$C$4995,'GSTR-2A'!$A$6:$A$10000,$AW$3)</f>
        <v>0</v>
      </c>
      <c r="AY28" s="487">
        <f>SUMIFS('GSTR-2A'!$L$6:$L$10000,'GSTR-2A'!$B$6:$B$10000,$C$5:$C$4995,'GSTR-2A'!$A$6:$A$10000,$AW$3)</f>
        <v>0</v>
      </c>
      <c r="AZ28" s="487">
        <f>SUMIFS('GSTR-2A'!$M$6:$M$10000,'GSTR-2A'!$B$6:$B$10000,$C$5:$C$4995,'GSTR-2A'!$A$6:$A$10000,$AW$3)</f>
        <v>0</v>
      </c>
      <c r="BA28" s="488">
        <f>SUMIFS('GSTR-2A'!$N$6:$N$10000,'GSTR-2A'!$B$6:$B$10000,$C$5:$C$4995,'GSTR-2A'!$A$6:$A$10000,$AW$3)</f>
        <v>0</v>
      </c>
      <c r="BB28" s="486">
        <f>SUMIFS('GSTR-2A'!$G$6:$G$10000,'GSTR-2A'!$B$6:$B$10000,$C$5:$C$4995,'GSTR-2A'!$A$6:$A$10000,$BB$3)</f>
        <v>0</v>
      </c>
      <c r="BC28" s="487">
        <f>SUMIFS('GSTR-2A'!$K$6:$K$10000,'GSTR-2A'!$B$6:$B$10000,$C$5:$C$4995,'GSTR-2A'!$A$6:$A$10000,$BB$3)</f>
        <v>0</v>
      </c>
      <c r="BD28" s="487">
        <f>SUMIFS('GSTR-2A'!$L$6:$L$10000,'GSTR-2A'!$B$6:$B$10000,$C$5:$C$4995,'GSTR-2A'!$A$6:$A$10000,$BB$3)</f>
        <v>0</v>
      </c>
      <c r="BE28" s="487">
        <f>SUMIFS('GSTR-2A'!$M$6:$M$10000,'GSTR-2A'!$B$6:$B$10000,$C$5:$C$4995,'GSTR-2A'!$A$6:$A$10000,$BB$3)</f>
        <v>0</v>
      </c>
      <c r="BF28" s="488">
        <f>SUMIFS('GSTR-2A'!$N$6:$N$10000,'GSTR-2A'!$B$6:$B$10000,$C$5:$C$4995,'GSTR-2A'!$A$6:$A$10000,$BB$3)</f>
        <v>0</v>
      </c>
      <c r="BG28" s="486">
        <f>SUMIFS('GSTR-2A'!$G$6:$G$10000,'GSTR-2A'!$B$6:$B$10000,$C$5:$C$4995,'GSTR-2A'!$A$6:$A$10000,$BG$3)</f>
        <v>0</v>
      </c>
      <c r="BH28" s="487">
        <f>SUMIFS('GSTR-2A'!$K$6:$K$10000,'GSTR-2A'!$B$6:$B$10000,$C$5:$C$4995,'GSTR-2A'!$A$6:$A$10000,$BG$3)</f>
        <v>0</v>
      </c>
      <c r="BI28" s="487">
        <f>SUMIFS('GSTR-2A'!$L$6:$L$10000,'GSTR-2A'!$B$6:$B$10000,$C$5:$C$4995,'GSTR-2A'!$A$6:$A$10000,$BG$3)</f>
        <v>0</v>
      </c>
      <c r="BJ28" s="487">
        <f>SUMIFS('GSTR-2A'!$M$6:$M$10000,'GSTR-2A'!$B$6:$B$10000,$C$5:$C$4995,'GSTR-2A'!$A$6:$A$10000,$BG$3)</f>
        <v>0</v>
      </c>
      <c r="BK28" s="488">
        <f>SUMIFS('GSTR-2A'!$N$6:$N$10000,'GSTR-2A'!$B$6:$B$10000,$C$5:$C$4995,'GSTR-2A'!$A$6:$A$10000,$BG$3)</f>
        <v>0</v>
      </c>
      <c r="BL28" s="72">
        <f t="shared" si="2"/>
        <v>0</v>
      </c>
      <c r="BM28" s="72">
        <f t="shared" si="3"/>
        <v>0</v>
      </c>
      <c r="BN28" s="72">
        <f t="shared" si="4"/>
        <v>0</v>
      </c>
      <c r="BO28" s="72">
        <f t="shared" si="5"/>
        <v>0</v>
      </c>
      <c r="BP28" s="72">
        <f t="shared" si="6"/>
        <v>0</v>
      </c>
    </row>
    <row r="29" spans="1:68" x14ac:dyDescent="0.2">
      <c r="A29" s="467">
        <v>25</v>
      </c>
      <c r="B29" s="468" t="s">
        <v>710</v>
      </c>
      <c r="C29" s="469" t="s">
        <v>711</v>
      </c>
      <c r="D29" s="72">
        <f>SUMIFS('GSTR-2A'!$G$6:$G$10000,'GSTR-2A'!$B$6:$B$10000,$C$5:$C$4995,'GSTR-2A'!$A$6:$A$10000,$D$3)</f>
        <v>0</v>
      </c>
      <c r="E29" s="72">
        <f>SUMIFS('GSTR-2A'!$K$6:$K$10000,'GSTR-2A'!$B$6:$B$10000,$C$5:$C$4995,'GSTR-2A'!$A$6:$A$10000,$D$3)</f>
        <v>0</v>
      </c>
      <c r="F29" s="72">
        <f>SUMIFS('GSTR-2A'!$L$6:$L$10000,'GSTR-2A'!$B$6:$B$10000,$C$5:$C$4995,'GSTR-2A'!$A$6:$A$10000,$D$3)</f>
        <v>0</v>
      </c>
      <c r="G29" s="72">
        <f>SUMIFS('GSTR-2A'!$M$6:$M$10000,'GSTR-2A'!$B$6:$B$10000,$C$5:$C$4995,'GSTR-2A'!$A$6:$A$10000,$D$3)</f>
        <v>0</v>
      </c>
      <c r="H29" s="72">
        <f>SUMIFS('GSTR-2A'!$N$6:$N$10000,'GSTR-2A'!$B$6:$B$10000,$C$5:$C$4995,'GSTR-2A'!$A$6:$A$10000,$D$3)</f>
        <v>0</v>
      </c>
      <c r="I29" s="486">
        <f>SUMIFS('GSTR-2A'!$G$6:$G$10000,'GSTR-2A'!$B$6:$B$10000,$C$5:$C$4995,'GSTR-2A'!$A$6:$A$10000,$I$3)</f>
        <v>0</v>
      </c>
      <c r="J29" s="487">
        <f>SUMIFS('GSTR-2A'!$K$6:$K$10000,'GSTR-2A'!$B$6:$B$10000,$C$5:$C$4995,'GSTR-2A'!$A$6:$A$10000,$I$3)</f>
        <v>0</v>
      </c>
      <c r="K29" s="487">
        <f>SUMIFS('GSTR-2A'!$L$6:$L$10000,'GSTR-2A'!$B$6:$B$10000,$C$5:$C$4995,'GSTR-2A'!$A$6:$A$10000,$I$3)</f>
        <v>0</v>
      </c>
      <c r="L29" s="487">
        <f>SUMIFS('GSTR-2A'!$M$6:$M$10000,'GSTR-2A'!$B$6:$B$10000,$C$5:$C$4995,'GSTR-2A'!$A$6:$A$10000,$I$3)</f>
        <v>0</v>
      </c>
      <c r="M29" s="488">
        <f>SUMIFS('GSTR-2A'!$N$6:$N$10000,'GSTR-2A'!$B$6:$B$10000,$C$5:$C$4995,'GSTR-2A'!$A$6:$A$10000,$I$3)</f>
        <v>0</v>
      </c>
      <c r="N29" s="486">
        <f>SUMIFS('GSTR-2A'!$G$6:$G$10000,'GSTR-2A'!$B$6:$B$10000,$C$5:$C$4995,'GSTR-2A'!$A$6:$A$10000,$N$3)</f>
        <v>8956.2000000000007</v>
      </c>
      <c r="O29" s="487">
        <f>SUMIFS('GSTR-2A'!$K$6:$K$10000,'GSTR-2A'!$B$6:$B$10000,$C$5:$C$4995,'GSTR-2A'!$A$6:$A$10000,$N$3)</f>
        <v>7590</v>
      </c>
      <c r="P29" s="487">
        <f>SUMIFS('GSTR-2A'!$L$6:$L$10000,'GSTR-2A'!$B$6:$B$10000,$C$5:$C$4995,'GSTR-2A'!$A$6:$A$10000,$N$3)</f>
        <v>0</v>
      </c>
      <c r="Q29" s="487">
        <f>SUMIFS('GSTR-2A'!$M$6:$M$10000,'GSTR-2A'!$B$6:$B$10000,$C$5:$C$4995,'GSTR-2A'!$A$6:$A$10000,$N$3)</f>
        <v>683.1</v>
      </c>
      <c r="R29" s="488">
        <f>SUMIFS('GSTR-2A'!$N$6:$N$10000,'GSTR-2A'!$B$6:$B$10000,$C$5:$C$4995,'GSTR-2A'!$A$6:$A$10000,$N$3)</f>
        <v>683.1</v>
      </c>
      <c r="S29" s="486">
        <f>SUMIFS('GSTR-2A'!$G$6:$G$10000,'GSTR-2A'!$B$6:$B$10000,$C$5:$C$4995,'GSTR-2A'!$A$6:$A$10000,$S$3)</f>
        <v>0</v>
      </c>
      <c r="T29" s="487">
        <f>SUMIFS('GSTR-2A'!$K$6:$K$10000,'GSTR-2A'!$B$6:$B$10000,$C$5:$C$4995,'GSTR-2A'!$A$6:$A$10000,$S$3)</f>
        <v>0</v>
      </c>
      <c r="U29" s="487">
        <f>SUMIFS('GSTR-2A'!$L$6:$L$10000,'GSTR-2A'!$B$6:$B$10000,$C$5:$C$4995,'GSTR-2A'!$A$6:$A$10000,$S$3)</f>
        <v>0</v>
      </c>
      <c r="V29" s="487">
        <f>SUMIFS('GSTR-2A'!$M$6:$M$10000,'GSTR-2A'!$B$6:$B$10000,$C$5:$C$4995,'GSTR-2A'!$A$6:$A$10000,$S$3)</f>
        <v>0</v>
      </c>
      <c r="W29" s="488">
        <f>SUMIFS('GSTR-2A'!$N$6:$N$10000,'GSTR-2A'!$B$6:$B$10000,$C$5:$C$4995,'GSTR-2A'!$A$6:$A$10000,$S$3)</f>
        <v>0</v>
      </c>
      <c r="X29" s="486">
        <f>SUMIFS('GSTR-2A'!$G$6:$G$10000,'GSTR-2A'!$B$6:$B$10000,$C$5:$C$4995,'GSTR-2A'!$A$6:$A$10000,$X$3)</f>
        <v>0</v>
      </c>
      <c r="Y29" s="487">
        <f>SUMIFS('GSTR-2A'!$K$6:$K$10000,'GSTR-2A'!$B$6:$B$10000,$C$5:$C$4995,'GSTR-2A'!$A$6:$A$10000,$X$3)</f>
        <v>0</v>
      </c>
      <c r="Z29" s="487">
        <f>SUMIFS('GSTR-2A'!$L$6:$L$10000,'GSTR-2A'!$B$6:$B$10000,$C$5:$C$4995,'GSTR-2A'!$A$6:$A$10000,$X$3)</f>
        <v>0</v>
      </c>
      <c r="AA29" s="487">
        <f>SUMIFS('GSTR-2A'!$M$6:$M$10000,'GSTR-2A'!$B$6:$B$10000,$C$5:$C$4995,'GSTR-2A'!$A$6:$A$10000,$X$3)</f>
        <v>0</v>
      </c>
      <c r="AB29" s="488">
        <f>SUMIFS('GSTR-2A'!$N$6:$N$10000,'GSTR-2A'!$B$6:$B$10000,$C$5:$C$4995,'GSTR-2A'!$A$6:$A$10000,$X$3)</f>
        <v>0</v>
      </c>
      <c r="AC29" s="486">
        <f>SUMIFS('GSTR-2A'!$G$6:$G$10000,'GSTR-2A'!$B$6:$B$10000,$C$5:$C$4995,'GSTR-2A'!$A$6:$A$10000,$AC$3)</f>
        <v>0</v>
      </c>
      <c r="AD29" s="487">
        <f>SUMIFS('GSTR-2A'!$K$6:$K$10000,'GSTR-2A'!$B$6:$B$10000,$C$5:$C$4995,'GSTR-2A'!$A$6:$A$10000,$AC$3)</f>
        <v>0</v>
      </c>
      <c r="AE29" s="487">
        <f>SUMIFS('GSTR-2A'!$L$6:$L$10000,'GSTR-2A'!$B$6:$B$10000,$C$5:$C$4995,'GSTR-2A'!$A$6:$A$10000,$AC$3)</f>
        <v>0</v>
      </c>
      <c r="AF29" s="487">
        <f>SUMIFS('GSTR-2A'!$M$6:$M$10000,'GSTR-2A'!$B$6:$B$10000,$C$5:$C$4995,'GSTR-2A'!$A$6:$A$10000,$AC$3)</f>
        <v>0</v>
      </c>
      <c r="AG29" s="488">
        <f>SUMIFS('GSTR-2A'!$N$6:$N$10000,'GSTR-2A'!$B$6:$B$10000,$C$5:$C$4995,'GSTR-2A'!$A$6:$A$10000,$AC$3)</f>
        <v>0</v>
      </c>
      <c r="AH29" s="486">
        <f>SUMIFS('GSTR-2A'!$G$6:$G$10000,'GSTR-2A'!$B$6:$B$10000,$C$5:$C$4995,'GSTR-2A'!$A$6:$A$10000,$AH$3)</f>
        <v>0</v>
      </c>
      <c r="AI29" s="487">
        <f>SUMIFS('GSTR-2A'!$K$6:$K$10000,'GSTR-2A'!$B$6:$B$10000,$C$5:$C$4995,'GSTR-2A'!$A$6:$A$10000,$AH$3)</f>
        <v>0</v>
      </c>
      <c r="AJ29" s="487">
        <f>SUMIFS('GSTR-2A'!$L$6:$L$10000,'GSTR-2A'!$B$6:$B$10000,$C$5:$C$4995,'GSTR-2A'!$A$6:$A$10000,$AH$3)</f>
        <v>0</v>
      </c>
      <c r="AK29" s="487">
        <f>SUMIFS('GSTR-2A'!$M$6:$M$10000,'GSTR-2A'!$B$6:$B$10000,$C$5:$C$4995,'GSTR-2A'!$A$6:$A$10000,$AH$3)</f>
        <v>0</v>
      </c>
      <c r="AL29" s="488">
        <f>SUMIFS('GSTR-2A'!$N$6:$N$10000,'GSTR-2A'!$B$6:$B$10000,$C$5:$C$4995,'GSTR-2A'!$A$6:$A$10000,$AH$3)</f>
        <v>0</v>
      </c>
      <c r="AM29" s="486">
        <f>SUMIFS('GSTR-2A'!$G$6:$G$10000,'GSTR-2A'!$B$6:$B$10000,$C$5:$C$4995,'GSTR-2A'!$A$6:$A$10000,$AM$3)</f>
        <v>0</v>
      </c>
      <c r="AN29" s="487">
        <f>SUMIFS('GSTR-2A'!$K$6:$K$10000,'GSTR-2A'!$B$6:$B$10000,$C$5:$C$4995,'GSTR-2A'!$A$6:$A$10000,$AM$3)</f>
        <v>0</v>
      </c>
      <c r="AO29" s="487">
        <f>SUMIFS('GSTR-2A'!$L$6:$L$10000,'GSTR-2A'!$B$6:$B$10000,$C$5:$C$4995,'GSTR-2A'!$A$6:$A$10000,$AM$3)</f>
        <v>0</v>
      </c>
      <c r="AP29" s="487">
        <f>SUMIFS('GSTR-2A'!$M$6:$M$10000,'GSTR-2A'!$B$6:$B$10000,$C$5:$C$4995,'GSTR-2A'!$A$6:$A$10000,$AM$3)</f>
        <v>0</v>
      </c>
      <c r="AQ29" s="488">
        <f>SUMIFS('GSTR-2A'!$N$6:$N$10000,'GSTR-2A'!$B$6:$B$10000,$C$5:$C$4995,'GSTR-2A'!$A$6:$A$10000,$AM$3)</f>
        <v>0</v>
      </c>
      <c r="AR29" s="486">
        <f>SUMIFS('GSTR-2A'!$G$6:$G$10000,'GSTR-2A'!$B$6:$B$10000,$C$5:$C$4995,'GSTR-2A'!$A$6:$A$10000,$AR$3)</f>
        <v>0</v>
      </c>
      <c r="AS29" s="487">
        <f>SUMIFS('GSTR-2A'!$K$6:$K$10000,'GSTR-2A'!$B$6:$B$10000,$C$5:$C$4995,'GSTR-2A'!$A$6:$A$10000,$AR$3)</f>
        <v>0</v>
      </c>
      <c r="AT29" s="487">
        <f>SUMIFS('GSTR-2A'!$L$6:$L$10000,'GSTR-2A'!$B$6:$B$10000,$C$5:$C$4995,'GSTR-2A'!$A$6:$A$10000,$AR$3)</f>
        <v>0</v>
      </c>
      <c r="AU29" s="487">
        <f>SUMIFS('GSTR-2A'!$M$6:$M$10000,'GSTR-2A'!$B$6:$B$10000,$C$5:$C$4995,'GSTR-2A'!$A$6:$A$10000,$AR$3)</f>
        <v>0</v>
      </c>
      <c r="AV29" s="488">
        <f>SUMIFS('GSTR-2A'!$N$6:$N$10000,'GSTR-2A'!$B$6:$B$10000,$C$5:$C$4995,'GSTR-2A'!$A$6:$A$10000,$AR$3)</f>
        <v>0</v>
      </c>
      <c r="AW29" s="486">
        <f>SUMIFS('GSTR-2A'!$G$6:$G$10000,'GSTR-2A'!$B$6:$B$10000,$C$5:$C$4995,'GSTR-2A'!$A$6:$A$10000,$AW$3)</f>
        <v>0</v>
      </c>
      <c r="AX29" s="487">
        <f>SUMIFS('GSTR-2A'!$K$6:$K$10000,'GSTR-2A'!$B$6:$B$10000,$C$5:$C$4995,'GSTR-2A'!$A$6:$A$10000,$AW$3)</f>
        <v>0</v>
      </c>
      <c r="AY29" s="487">
        <f>SUMIFS('GSTR-2A'!$L$6:$L$10000,'GSTR-2A'!$B$6:$B$10000,$C$5:$C$4995,'GSTR-2A'!$A$6:$A$10000,$AW$3)</f>
        <v>0</v>
      </c>
      <c r="AZ29" s="487">
        <f>SUMIFS('GSTR-2A'!$M$6:$M$10000,'GSTR-2A'!$B$6:$B$10000,$C$5:$C$4995,'GSTR-2A'!$A$6:$A$10000,$AW$3)</f>
        <v>0</v>
      </c>
      <c r="BA29" s="488">
        <f>SUMIFS('GSTR-2A'!$N$6:$N$10000,'GSTR-2A'!$B$6:$B$10000,$C$5:$C$4995,'GSTR-2A'!$A$6:$A$10000,$AW$3)</f>
        <v>0</v>
      </c>
      <c r="BB29" s="486">
        <f>SUMIFS('GSTR-2A'!$G$6:$G$10000,'GSTR-2A'!$B$6:$B$10000,$C$5:$C$4995,'GSTR-2A'!$A$6:$A$10000,$BB$3)</f>
        <v>0</v>
      </c>
      <c r="BC29" s="487">
        <f>SUMIFS('GSTR-2A'!$K$6:$K$10000,'GSTR-2A'!$B$6:$B$10000,$C$5:$C$4995,'GSTR-2A'!$A$6:$A$10000,$BB$3)</f>
        <v>0</v>
      </c>
      <c r="BD29" s="487">
        <f>SUMIFS('GSTR-2A'!$L$6:$L$10000,'GSTR-2A'!$B$6:$B$10000,$C$5:$C$4995,'GSTR-2A'!$A$6:$A$10000,$BB$3)</f>
        <v>0</v>
      </c>
      <c r="BE29" s="487">
        <f>SUMIFS('GSTR-2A'!$M$6:$M$10000,'GSTR-2A'!$B$6:$B$10000,$C$5:$C$4995,'GSTR-2A'!$A$6:$A$10000,$BB$3)</f>
        <v>0</v>
      </c>
      <c r="BF29" s="488">
        <f>SUMIFS('GSTR-2A'!$N$6:$N$10000,'GSTR-2A'!$B$6:$B$10000,$C$5:$C$4995,'GSTR-2A'!$A$6:$A$10000,$BB$3)</f>
        <v>0</v>
      </c>
      <c r="BG29" s="486">
        <f>SUMIFS('GSTR-2A'!$G$6:$G$10000,'GSTR-2A'!$B$6:$B$10000,$C$5:$C$4995,'GSTR-2A'!$A$6:$A$10000,$BG$3)</f>
        <v>0</v>
      </c>
      <c r="BH29" s="487">
        <f>SUMIFS('GSTR-2A'!$K$6:$K$10000,'GSTR-2A'!$B$6:$B$10000,$C$5:$C$4995,'GSTR-2A'!$A$6:$A$10000,$BG$3)</f>
        <v>0</v>
      </c>
      <c r="BI29" s="487">
        <f>SUMIFS('GSTR-2A'!$L$6:$L$10000,'GSTR-2A'!$B$6:$B$10000,$C$5:$C$4995,'GSTR-2A'!$A$6:$A$10000,$BG$3)</f>
        <v>0</v>
      </c>
      <c r="BJ29" s="487">
        <f>SUMIFS('GSTR-2A'!$M$6:$M$10000,'GSTR-2A'!$B$6:$B$10000,$C$5:$C$4995,'GSTR-2A'!$A$6:$A$10000,$BG$3)</f>
        <v>0</v>
      </c>
      <c r="BK29" s="488">
        <f>SUMIFS('GSTR-2A'!$N$6:$N$10000,'GSTR-2A'!$B$6:$B$10000,$C$5:$C$4995,'GSTR-2A'!$A$6:$A$10000,$BG$3)</f>
        <v>0</v>
      </c>
      <c r="BL29" s="72">
        <f t="shared" si="2"/>
        <v>8956.2000000000007</v>
      </c>
      <c r="BM29" s="72">
        <f t="shared" si="3"/>
        <v>7590</v>
      </c>
      <c r="BN29" s="72">
        <f t="shared" si="4"/>
        <v>0</v>
      </c>
      <c r="BO29" s="72">
        <f t="shared" si="5"/>
        <v>683.1</v>
      </c>
      <c r="BP29" s="72">
        <f t="shared" si="6"/>
        <v>683.1</v>
      </c>
    </row>
    <row r="30" spans="1:68" x14ac:dyDescent="0.2">
      <c r="A30" s="467">
        <v>26</v>
      </c>
      <c r="B30" s="468" t="s">
        <v>845</v>
      </c>
      <c r="C30" s="469" t="s">
        <v>846</v>
      </c>
      <c r="D30" s="72">
        <f>SUMIFS('GSTR-2A'!$G$6:$G$10000,'GSTR-2A'!$B$6:$B$10000,$C$5:$C$4995,'GSTR-2A'!$A$6:$A$10000,$D$3)</f>
        <v>0</v>
      </c>
      <c r="E30" s="72">
        <f>SUMIFS('GSTR-2A'!$K$6:$K$10000,'GSTR-2A'!$B$6:$B$10000,$C$5:$C$4995,'GSTR-2A'!$A$6:$A$10000,$D$3)</f>
        <v>0</v>
      </c>
      <c r="F30" s="72">
        <f>SUMIFS('GSTR-2A'!$L$6:$L$10000,'GSTR-2A'!$B$6:$B$10000,$C$5:$C$4995,'GSTR-2A'!$A$6:$A$10000,$D$3)</f>
        <v>0</v>
      </c>
      <c r="G30" s="72">
        <f>SUMIFS('GSTR-2A'!$M$6:$M$10000,'GSTR-2A'!$B$6:$B$10000,$C$5:$C$4995,'GSTR-2A'!$A$6:$A$10000,$D$3)</f>
        <v>0</v>
      </c>
      <c r="H30" s="72">
        <f>SUMIFS('GSTR-2A'!$N$6:$N$10000,'GSTR-2A'!$B$6:$B$10000,$C$5:$C$4995,'GSTR-2A'!$A$6:$A$10000,$D$3)</f>
        <v>0</v>
      </c>
      <c r="I30" s="486">
        <f>SUMIFS('GSTR-2A'!$G$6:$G$10000,'GSTR-2A'!$B$6:$B$10000,$C$5:$C$4995,'GSTR-2A'!$A$6:$A$10000,$I$3)</f>
        <v>0</v>
      </c>
      <c r="J30" s="487">
        <f>SUMIFS('GSTR-2A'!$K$6:$K$10000,'GSTR-2A'!$B$6:$B$10000,$C$5:$C$4995,'GSTR-2A'!$A$6:$A$10000,$I$3)</f>
        <v>0</v>
      </c>
      <c r="K30" s="487">
        <f>SUMIFS('GSTR-2A'!$L$6:$L$10000,'GSTR-2A'!$B$6:$B$10000,$C$5:$C$4995,'GSTR-2A'!$A$6:$A$10000,$I$3)</f>
        <v>0</v>
      </c>
      <c r="L30" s="487">
        <f>SUMIFS('GSTR-2A'!$M$6:$M$10000,'GSTR-2A'!$B$6:$B$10000,$C$5:$C$4995,'GSTR-2A'!$A$6:$A$10000,$I$3)</f>
        <v>0</v>
      </c>
      <c r="M30" s="488">
        <f>SUMIFS('GSTR-2A'!$N$6:$N$10000,'GSTR-2A'!$B$6:$B$10000,$C$5:$C$4995,'GSTR-2A'!$A$6:$A$10000,$I$3)</f>
        <v>0</v>
      </c>
      <c r="N30" s="486">
        <f>SUMIFS('GSTR-2A'!$G$6:$G$10000,'GSTR-2A'!$B$6:$B$10000,$C$5:$C$4995,'GSTR-2A'!$A$6:$A$10000,$N$3)</f>
        <v>0</v>
      </c>
      <c r="O30" s="487">
        <f>SUMIFS('GSTR-2A'!$K$6:$K$10000,'GSTR-2A'!$B$6:$B$10000,$C$5:$C$4995,'GSTR-2A'!$A$6:$A$10000,$N$3)</f>
        <v>0</v>
      </c>
      <c r="P30" s="487">
        <f>SUMIFS('GSTR-2A'!$L$6:$L$10000,'GSTR-2A'!$B$6:$B$10000,$C$5:$C$4995,'GSTR-2A'!$A$6:$A$10000,$N$3)</f>
        <v>0</v>
      </c>
      <c r="Q30" s="487">
        <f>SUMIFS('GSTR-2A'!$M$6:$M$10000,'GSTR-2A'!$B$6:$B$10000,$C$5:$C$4995,'GSTR-2A'!$A$6:$A$10000,$N$3)</f>
        <v>0</v>
      </c>
      <c r="R30" s="488">
        <f>SUMIFS('GSTR-2A'!$N$6:$N$10000,'GSTR-2A'!$B$6:$B$10000,$C$5:$C$4995,'GSTR-2A'!$A$6:$A$10000,$N$3)</f>
        <v>0</v>
      </c>
      <c r="S30" s="486">
        <f>SUMIFS('GSTR-2A'!$G$6:$G$10000,'GSTR-2A'!$B$6:$B$10000,$C$5:$C$4995,'GSTR-2A'!$A$6:$A$10000,$S$3)</f>
        <v>1060.1199999999999</v>
      </c>
      <c r="T30" s="487">
        <f>SUMIFS('GSTR-2A'!$K$6:$K$10000,'GSTR-2A'!$B$6:$B$10000,$C$5:$C$4995,'GSTR-2A'!$A$6:$A$10000,$S$3)</f>
        <v>898.4</v>
      </c>
      <c r="U30" s="487">
        <f>SUMIFS('GSTR-2A'!$L$6:$L$10000,'GSTR-2A'!$B$6:$B$10000,$C$5:$C$4995,'GSTR-2A'!$A$6:$A$10000,$S$3)</f>
        <v>0</v>
      </c>
      <c r="V30" s="487">
        <f>SUMIFS('GSTR-2A'!$M$6:$M$10000,'GSTR-2A'!$B$6:$B$10000,$C$5:$C$4995,'GSTR-2A'!$A$6:$A$10000,$S$3)</f>
        <v>80.86</v>
      </c>
      <c r="W30" s="488">
        <f>SUMIFS('GSTR-2A'!$N$6:$N$10000,'GSTR-2A'!$B$6:$B$10000,$C$5:$C$4995,'GSTR-2A'!$A$6:$A$10000,$S$3)</f>
        <v>80.86</v>
      </c>
      <c r="X30" s="486">
        <f>SUMIFS('GSTR-2A'!$G$6:$G$10000,'GSTR-2A'!$B$6:$B$10000,$C$5:$C$4995,'GSTR-2A'!$A$6:$A$10000,$X$3)</f>
        <v>0</v>
      </c>
      <c r="Y30" s="487">
        <f>SUMIFS('GSTR-2A'!$K$6:$K$10000,'GSTR-2A'!$B$6:$B$10000,$C$5:$C$4995,'GSTR-2A'!$A$6:$A$10000,$X$3)</f>
        <v>0</v>
      </c>
      <c r="Z30" s="487">
        <f>SUMIFS('GSTR-2A'!$L$6:$L$10000,'GSTR-2A'!$B$6:$B$10000,$C$5:$C$4995,'GSTR-2A'!$A$6:$A$10000,$X$3)</f>
        <v>0</v>
      </c>
      <c r="AA30" s="487">
        <f>SUMIFS('GSTR-2A'!$M$6:$M$10000,'GSTR-2A'!$B$6:$B$10000,$C$5:$C$4995,'GSTR-2A'!$A$6:$A$10000,$X$3)</f>
        <v>0</v>
      </c>
      <c r="AB30" s="488">
        <f>SUMIFS('GSTR-2A'!$N$6:$N$10000,'GSTR-2A'!$B$6:$B$10000,$C$5:$C$4995,'GSTR-2A'!$A$6:$A$10000,$X$3)</f>
        <v>0</v>
      </c>
      <c r="AC30" s="486">
        <f>SUMIFS('GSTR-2A'!$G$6:$G$10000,'GSTR-2A'!$B$6:$B$10000,$C$5:$C$4995,'GSTR-2A'!$A$6:$A$10000,$AC$3)</f>
        <v>0</v>
      </c>
      <c r="AD30" s="487">
        <f>SUMIFS('GSTR-2A'!$K$6:$K$10000,'GSTR-2A'!$B$6:$B$10000,$C$5:$C$4995,'GSTR-2A'!$A$6:$A$10000,$AC$3)</f>
        <v>0</v>
      </c>
      <c r="AE30" s="487">
        <f>SUMIFS('GSTR-2A'!$L$6:$L$10000,'GSTR-2A'!$B$6:$B$10000,$C$5:$C$4995,'GSTR-2A'!$A$6:$A$10000,$AC$3)</f>
        <v>0</v>
      </c>
      <c r="AF30" s="487">
        <f>SUMIFS('GSTR-2A'!$M$6:$M$10000,'GSTR-2A'!$B$6:$B$10000,$C$5:$C$4995,'GSTR-2A'!$A$6:$A$10000,$AC$3)</f>
        <v>0</v>
      </c>
      <c r="AG30" s="488">
        <f>SUMIFS('GSTR-2A'!$N$6:$N$10000,'GSTR-2A'!$B$6:$B$10000,$C$5:$C$4995,'GSTR-2A'!$A$6:$A$10000,$AC$3)</f>
        <v>0</v>
      </c>
      <c r="AH30" s="486">
        <f>SUMIFS('GSTR-2A'!$G$6:$G$10000,'GSTR-2A'!$B$6:$B$10000,$C$5:$C$4995,'GSTR-2A'!$A$6:$A$10000,$AH$3)</f>
        <v>0</v>
      </c>
      <c r="AI30" s="487">
        <f>SUMIFS('GSTR-2A'!$K$6:$K$10000,'GSTR-2A'!$B$6:$B$10000,$C$5:$C$4995,'GSTR-2A'!$A$6:$A$10000,$AH$3)</f>
        <v>0</v>
      </c>
      <c r="AJ30" s="487">
        <f>SUMIFS('GSTR-2A'!$L$6:$L$10000,'GSTR-2A'!$B$6:$B$10000,$C$5:$C$4995,'GSTR-2A'!$A$6:$A$10000,$AH$3)</f>
        <v>0</v>
      </c>
      <c r="AK30" s="487">
        <f>SUMIFS('GSTR-2A'!$M$6:$M$10000,'GSTR-2A'!$B$6:$B$10000,$C$5:$C$4995,'GSTR-2A'!$A$6:$A$10000,$AH$3)</f>
        <v>0</v>
      </c>
      <c r="AL30" s="488">
        <f>SUMIFS('GSTR-2A'!$N$6:$N$10000,'GSTR-2A'!$B$6:$B$10000,$C$5:$C$4995,'GSTR-2A'!$A$6:$A$10000,$AH$3)</f>
        <v>0</v>
      </c>
      <c r="AM30" s="486">
        <f>SUMIFS('GSTR-2A'!$G$6:$G$10000,'GSTR-2A'!$B$6:$B$10000,$C$5:$C$4995,'GSTR-2A'!$A$6:$A$10000,$AM$3)</f>
        <v>0</v>
      </c>
      <c r="AN30" s="487">
        <f>SUMIFS('GSTR-2A'!$K$6:$K$10000,'GSTR-2A'!$B$6:$B$10000,$C$5:$C$4995,'GSTR-2A'!$A$6:$A$10000,$AM$3)</f>
        <v>0</v>
      </c>
      <c r="AO30" s="487">
        <f>SUMIFS('GSTR-2A'!$L$6:$L$10000,'GSTR-2A'!$B$6:$B$10000,$C$5:$C$4995,'GSTR-2A'!$A$6:$A$10000,$AM$3)</f>
        <v>0</v>
      </c>
      <c r="AP30" s="487">
        <f>SUMIFS('GSTR-2A'!$M$6:$M$10000,'GSTR-2A'!$B$6:$B$10000,$C$5:$C$4995,'GSTR-2A'!$A$6:$A$10000,$AM$3)</f>
        <v>0</v>
      </c>
      <c r="AQ30" s="488">
        <f>SUMIFS('GSTR-2A'!$N$6:$N$10000,'GSTR-2A'!$B$6:$B$10000,$C$5:$C$4995,'GSTR-2A'!$A$6:$A$10000,$AM$3)</f>
        <v>0</v>
      </c>
      <c r="AR30" s="486">
        <f>SUMIFS('GSTR-2A'!$G$6:$G$10000,'GSTR-2A'!$B$6:$B$10000,$C$5:$C$4995,'GSTR-2A'!$A$6:$A$10000,$AR$3)</f>
        <v>0</v>
      </c>
      <c r="AS30" s="487">
        <f>SUMIFS('GSTR-2A'!$K$6:$K$10000,'GSTR-2A'!$B$6:$B$10000,$C$5:$C$4995,'GSTR-2A'!$A$6:$A$10000,$AR$3)</f>
        <v>0</v>
      </c>
      <c r="AT30" s="487">
        <f>SUMIFS('GSTR-2A'!$L$6:$L$10000,'GSTR-2A'!$B$6:$B$10000,$C$5:$C$4995,'GSTR-2A'!$A$6:$A$10000,$AR$3)</f>
        <v>0</v>
      </c>
      <c r="AU30" s="487">
        <f>SUMIFS('GSTR-2A'!$M$6:$M$10000,'GSTR-2A'!$B$6:$B$10000,$C$5:$C$4995,'GSTR-2A'!$A$6:$A$10000,$AR$3)</f>
        <v>0</v>
      </c>
      <c r="AV30" s="488">
        <f>SUMIFS('GSTR-2A'!$N$6:$N$10000,'GSTR-2A'!$B$6:$B$10000,$C$5:$C$4995,'GSTR-2A'!$A$6:$A$10000,$AR$3)</f>
        <v>0</v>
      </c>
      <c r="AW30" s="486">
        <f>SUMIFS('GSTR-2A'!$G$6:$G$10000,'GSTR-2A'!$B$6:$B$10000,$C$5:$C$4995,'GSTR-2A'!$A$6:$A$10000,$AW$3)</f>
        <v>0</v>
      </c>
      <c r="AX30" s="487">
        <f>SUMIFS('GSTR-2A'!$K$6:$K$10000,'GSTR-2A'!$B$6:$B$10000,$C$5:$C$4995,'GSTR-2A'!$A$6:$A$10000,$AW$3)</f>
        <v>0</v>
      </c>
      <c r="AY30" s="487">
        <f>SUMIFS('GSTR-2A'!$L$6:$L$10000,'GSTR-2A'!$B$6:$B$10000,$C$5:$C$4995,'GSTR-2A'!$A$6:$A$10000,$AW$3)</f>
        <v>0</v>
      </c>
      <c r="AZ30" s="487">
        <f>SUMIFS('GSTR-2A'!$M$6:$M$10000,'GSTR-2A'!$B$6:$B$10000,$C$5:$C$4995,'GSTR-2A'!$A$6:$A$10000,$AW$3)</f>
        <v>0</v>
      </c>
      <c r="BA30" s="488">
        <f>SUMIFS('GSTR-2A'!$N$6:$N$10000,'GSTR-2A'!$B$6:$B$10000,$C$5:$C$4995,'GSTR-2A'!$A$6:$A$10000,$AW$3)</f>
        <v>0</v>
      </c>
      <c r="BB30" s="486">
        <f>SUMIFS('GSTR-2A'!$G$6:$G$10000,'GSTR-2A'!$B$6:$B$10000,$C$5:$C$4995,'GSTR-2A'!$A$6:$A$10000,$BB$3)</f>
        <v>0</v>
      </c>
      <c r="BC30" s="487">
        <f>SUMIFS('GSTR-2A'!$K$6:$K$10000,'GSTR-2A'!$B$6:$B$10000,$C$5:$C$4995,'GSTR-2A'!$A$6:$A$10000,$BB$3)</f>
        <v>0</v>
      </c>
      <c r="BD30" s="487">
        <f>SUMIFS('GSTR-2A'!$L$6:$L$10000,'GSTR-2A'!$B$6:$B$10000,$C$5:$C$4995,'GSTR-2A'!$A$6:$A$10000,$BB$3)</f>
        <v>0</v>
      </c>
      <c r="BE30" s="487">
        <f>SUMIFS('GSTR-2A'!$M$6:$M$10000,'GSTR-2A'!$B$6:$B$10000,$C$5:$C$4995,'GSTR-2A'!$A$6:$A$10000,$BB$3)</f>
        <v>0</v>
      </c>
      <c r="BF30" s="488">
        <f>SUMIFS('GSTR-2A'!$N$6:$N$10000,'GSTR-2A'!$B$6:$B$10000,$C$5:$C$4995,'GSTR-2A'!$A$6:$A$10000,$BB$3)</f>
        <v>0</v>
      </c>
      <c r="BG30" s="486">
        <f>SUMIFS('GSTR-2A'!$G$6:$G$10000,'GSTR-2A'!$B$6:$B$10000,$C$5:$C$4995,'GSTR-2A'!$A$6:$A$10000,$BG$3)</f>
        <v>0</v>
      </c>
      <c r="BH30" s="487">
        <f>SUMIFS('GSTR-2A'!$K$6:$K$10000,'GSTR-2A'!$B$6:$B$10000,$C$5:$C$4995,'GSTR-2A'!$A$6:$A$10000,$BG$3)</f>
        <v>0</v>
      </c>
      <c r="BI30" s="487">
        <f>SUMIFS('GSTR-2A'!$L$6:$L$10000,'GSTR-2A'!$B$6:$B$10000,$C$5:$C$4995,'GSTR-2A'!$A$6:$A$10000,$BG$3)</f>
        <v>0</v>
      </c>
      <c r="BJ30" s="487">
        <f>SUMIFS('GSTR-2A'!$M$6:$M$10000,'GSTR-2A'!$B$6:$B$10000,$C$5:$C$4995,'GSTR-2A'!$A$6:$A$10000,$BG$3)</f>
        <v>0</v>
      </c>
      <c r="BK30" s="488">
        <f>SUMIFS('GSTR-2A'!$N$6:$N$10000,'GSTR-2A'!$B$6:$B$10000,$C$5:$C$4995,'GSTR-2A'!$A$6:$A$10000,$BG$3)</f>
        <v>0</v>
      </c>
      <c r="BL30" s="72">
        <f t="shared" si="2"/>
        <v>1060.1199999999999</v>
      </c>
      <c r="BM30" s="72">
        <f t="shared" si="3"/>
        <v>898.4</v>
      </c>
      <c r="BN30" s="72">
        <f t="shared" si="4"/>
        <v>0</v>
      </c>
      <c r="BO30" s="72">
        <f t="shared" si="5"/>
        <v>80.86</v>
      </c>
      <c r="BP30" s="72">
        <f t="shared" si="6"/>
        <v>80.86</v>
      </c>
    </row>
    <row r="31" spans="1:68" x14ac:dyDescent="0.2">
      <c r="A31" s="467">
        <v>27</v>
      </c>
      <c r="B31" s="475" t="s">
        <v>1080</v>
      </c>
      <c r="C31" s="468" t="s">
        <v>1081</v>
      </c>
      <c r="D31" s="72">
        <f>SUMIFS('GSTR-2A'!$G$6:$G$10000,'GSTR-2A'!$B$6:$B$10000,$C$5:$C$4995,'GSTR-2A'!$A$6:$A$10000,$D$3)</f>
        <v>0</v>
      </c>
      <c r="E31" s="72">
        <f>SUMIFS('GSTR-2A'!$K$6:$K$10000,'GSTR-2A'!$B$6:$B$10000,$C$5:$C$4995,'GSTR-2A'!$A$6:$A$10000,$D$3)</f>
        <v>0</v>
      </c>
      <c r="F31" s="72">
        <f>SUMIFS('GSTR-2A'!$L$6:$L$10000,'GSTR-2A'!$B$6:$B$10000,$C$5:$C$4995,'GSTR-2A'!$A$6:$A$10000,$D$3)</f>
        <v>0</v>
      </c>
      <c r="G31" s="72">
        <f>SUMIFS('GSTR-2A'!$M$6:$M$10000,'GSTR-2A'!$B$6:$B$10000,$C$5:$C$4995,'GSTR-2A'!$A$6:$A$10000,$D$3)</f>
        <v>0</v>
      </c>
      <c r="H31" s="72">
        <f>SUMIFS('GSTR-2A'!$N$6:$N$10000,'GSTR-2A'!$B$6:$B$10000,$C$5:$C$4995,'GSTR-2A'!$A$6:$A$10000,$D$3)</f>
        <v>0</v>
      </c>
      <c r="I31" s="486">
        <f>SUMIFS('GSTR-2A'!$G$6:$G$10000,'GSTR-2A'!$B$6:$B$10000,$C$5:$C$4995,'GSTR-2A'!$A$6:$A$10000,$I$3)</f>
        <v>0</v>
      </c>
      <c r="J31" s="487">
        <f>SUMIFS('GSTR-2A'!$K$6:$K$10000,'GSTR-2A'!$B$6:$B$10000,$C$5:$C$4995,'GSTR-2A'!$A$6:$A$10000,$I$3)</f>
        <v>0</v>
      </c>
      <c r="K31" s="487">
        <f>SUMIFS('GSTR-2A'!$L$6:$L$10000,'GSTR-2A'!$B$6:$B$10000,$C$5:$C$4995,'GSTR-2A'!$A$6:$A$10000,$I$3)</f>
        <v>0</v>
      </c>
      <c r="L31" s="487">
        <f>SUMIFS('GSTR-2A'!$M$6:$M$10000,'GSTR-2A'!$B$6:$B$10000,$C$5:$C$4995,'GSTR-2A'!$A$6:$A$10000,$I$3)</f>
        <v>0</v>
      </c>
      <c r="M31" s="488">
        <f>SUMIFS('GSTR-2A'!$N$6:$N$10000,'GSTR-2A'!$B$6:$B$10000,$C$5:$C$4995,'GSTR-2A'!$A$6:$A$10000,$I$3)</f>
        <v>0</v>
      </c>
      <c r="N31" s="486">
        <f>SUMIFS('GSTR-2A'!$G$6:$G$10000,'GSTR-2A'!$B$6:$B$10000,$C$5:$C$4995,'GSTR-2A'!$A$6:$A$10000,$N$3)</f>
        <v>0</v>
      </c>
      <c r="O31" s="487">
        <f>SUMIFS('GSTR-2A'!$K$6:$K$10000,'GSTR-2A'!$B$6:$B$10000,$C$5:$C$4995,'GSTR-2A'!$A$6:$A$10000,$N$3)</f>
        <v>0</v>
      </c>
      <c r="P31" s="487">
        <f>SUMIFS('GSTR-2A'!$L$6:$L$10000,'GSTR-2A'!$B$6:$B$10000,$C$5:$C$4995,'GSTR-2A'!$A$6:$A$10000,$N$3)</f>
        <v>0</v>
      </c>
      <c r="Q31" s="487">
        <f>SUMIFS('GSTR-2A'!$M$6:$M$10000,'GSTR-2A'!$B$6:$B$10000,$C$5:$C$4995,'GSTR-2A'!$A$6:$A$10000,$N$3)</f>
        <v>0</v>
      </c>
      <c r="R31" s="488">
        <f>SUMIFS('GSTR-2A'!$N$6:$N$10000,'GSTR-2A'!$B$6:$B$10000,$C$5:$C$4995,'GSTR-2A'!$A$6:$A$10000,$N$3)</f>
        <v>0</v>
      </c>
      <c r="S31" s="486">
        <f>SUMIFS('GSTR-2A'!$G$6:$G$10000,'GSTR-2A'!$B$6:$B$10000,$C$5:$C$4995,'GSTR-2A'!$A$6:$A$10000,$S$3)</f>
        <v>0</v>
      </c>
      <c r="T31" s="487">
        <f>SUMIFS('GSTR-2A'!$K$6:$K$10000,'GSTR-2A'!$B$6:$B$10000,$C$5:$C$4995,'GSTR-2A'!$A$6:$A$10000,$S$3)</f>
        <v>0</v>
      </c>
      <c r="U31" s="487">
        <f>SUMIFS('GSTR-2A'!$L$6:$L$10000,'GSTR-2A'!$B$6:$B$10000,$C$5:$C$4995,'GSTR-2A'!$A$6:$A$10000,$S$3)</f>
        <v>0</v>
      </c>
      <c r="V31" s="487">
        <f>SUMIFS('GSTR-2A'!$M$6:$M$10000,'GSTR-2A'!$B$6:$B$10000,$C$5:$C$4995,'GSTR-2A'!$A$6:$A$10000,$S$3)</f>
        <v>0</v>
      </c>
      <c r="W31" s="488">
        <f>SUMIFS('GSTR-2A'!$N$6:$N$10000,'GSTR-2A'!$B$6:$B$10000,$C$5:$C$4995,'GSTR-2A'!$A$6:$A$10000,$S$3)</f>
        <v>0</v>
      </c>
      <c r="X31" s="486">
        <f>SUMIFS('GSTR-2A'!$G$6:$G$10000,'GSTR-2A'!$B$6:$B$10000,$C$5:$C$4995,'GSTR-2A'!$A$6:$A$10000,$X$3)</f>
        <v>0</v>
      </c>
      <c r="Y31" s="487">
        <f>SUMIFS('GSTR-2A'!$K$6:$K$10000,'GSTR-2A'!$B$6:$B$10000,$C$5:$C$4995,'GSTR-2A'!$A$6:$A$10000,$X$3)</f>
        <v>0</v>
      </c>
      <c r="Z31" s="487">
        <f>SUMIFS('GSTR-2A'!$L$6:$L$10000,'GSTR-2A'!$B$6:$B$10000,$C$5:$C$4995,'GSTR-2A'!$A$6:$A$10000,$X$3)</f>
        <v>0</v>
      </c>
      <c r="AA31" s="487">
        <f>SUMIFS('GSTR-2A'!$M$6:$M$10000,'GSTR-2A'!$B$6:$B$10000,$C$5:$C$4995,'GSTR-2A'!$A$6:$A$10000,$X$3)</f>
        <v>0</v>
      </c>
      <c r="AB31" s="488">
        <f>SUMIFS('GSTR-2A'!$N$6:$N$10000,'GSTR-2A'!$B$6:$B$10000,$C$5:$C$4995,'GSTR-2A'!$A$6:$A$10000,$X$3)</f>
        <v>0</v>
      </c>
      <c r="AC31" s="486">
        <f>SUMIFS('GSTR-2A'!$G$6:$G$10000,'GSTR-2A'!$B$6:$B$10000,$C$5:$C$4995,'GSTR-2A'!$A$6:$A$10000,$AC$3)</f>
        <v>0</v>
      </c>
      <c r="AD31" s="487">
        <f>SUMIFS('GSTR-2A'!$K$6:$K$10000,'GSTR-2A'!$B$6:$B$10000,$C$5:$C$4995,'GSTR-2A'!$A$6:$A$10000,$AC$3)</f>
        <v>0</v>
      </c>
      <c r="AE31" s="487">
        <f>SUMIFS('GSTR-2A'!$L$6:$L$10000,'GSTR-2A'!$B$6:$B$10000,$C$5:$C$4995,'GSTR-2A'!$A$6:$A$10000,$AC$3)</f>
        <v>0</v>
      </c>
      <c r="AF31" s="487">
        <f>SUMIFS('GSTR-2A'!$M$6:$M$10000,'GSTR-2A'!$B$6:$B$10000,$C$5:$C$4995,'GSTR-2A'!$A$6:$A$10000,$AC$3)</f>
        <v>0</v>
      </c>
      <c r="AG31" s="488">
        <f>SUMIFS('GSTR-2A'!$N$6:$N$10000,'GSTR-2A'!$B$6:$B$10000,$C$5:$C$4995,'GSTR-2A'!$A$6:$A$10000,$AC$3)</f>
        <v>0</v>
      </c>
      <c r="AH31" s="486">
        <f>SUMIFS('GSTR-2A'!$G$6:$G$10000,'GSTR-2A'!$B$6:$B$10000,$C$5:$C$4995,'GSTR-2A'!$A$6:$A$10000,$AH$3)</f>
        <v>0</v>
      </c>
      <c r="AI31" s="487">
        <f>SUMIFS('GSTR-2A'!$K$6:$K$10000,'GSTR-2A'!$B$6:$B$10000,$C$5:$C$4995,'GSTR-2A'!$A$6:$A$10000,$AH$3)</f>
        <v>0</v>
      </c>
      <c r="AJ31" s="487">
        <f>SUMIFS('GSTR-2A'!$L$6:$L$10000,'GSTR-2A'!$B$6:$B$10000,$C$5:$C$4995,'GSTR-2A'!$A$6:$A$10000,$AH$3)</f>
        <v>0</v>
      </c>
      <c r="AK31" s="487">
        <f>SUMIFS('GSTR-2A'!$M$6:$M$10000,'GSTR-2A'!$B$6:$B$10000,$C$5:$C$4995,'GSTR-2A'!$A$6:$A$10000,$AH$3)</f>
        <v>0</v>
      </c>
      <c r="AL31" s="488">
        <f>SUMIFS('GSTR-2A'!$N$6:$N$10000,'GSTR-2A'!$B$6:$B$10000,$C$5:$C$4995,'GSTR-2A'!$A$6:$A$10000,$AH$3)</f>
        <v>0</v>
      </c>
      <c r="AM31" s="486">
        <f>SUMIFS('GSTR-2A'!$G$6:$G$10000,'GSTR-2A'!$B$6:$B$10000,$C$5:$C$4995,'GSTR-2A'!$A$6:$A$10000,$AM$3)</f>
        <v>0</v>
      </c>
      <c r="AN31" s="487">
        <f>SUMIFS('GSTR-2A'!$K$6:$K$10000,'GSTR-2A'!$B$6:$B$10000,$C$5:$C$4995,'GSTR-2A'!$A$6:$A$10000,$AM$3)</f>
        <v>0</v>
      </c>
      <c r="AO31" s="487">
        <f>SUMIFS('GSTR-2A'!$L$6:$L$10000,'GSTR-2A'!$B$6:$B$10000,$C$5:$C$4995,'GSTR-2A'!$A$6:$A$10000,$AM$3)</f>
        <v>0</v>
      </c>
      <c r="AP31" s="487">
        <f>SUMIFS('GSTR-2A'!$M$6:$M$10000,'GSTR-2A'!$B$6:$B$10000,$C$5:$C$4995,'GSTR-2A'!$A$6:$A$10000,$AM$3)</f>
        <v>0</v>
      </c>
      <c r="AQ31" s="488">
        <f>SUMIFS('GSTR-2A'!$N$6:$N$10000,'GSTR-2A'!$B$6:$B$10000,$C$5:$C$4995,'GSTR-2A'!$A$6:$A$10000,$AM$3)</f>
        <v>0</v>
      </c>
      <c r="AR31" s="486">
        <f>SUMIFS('GSTR-2A'!$G$6:$G$10000,'GSTR-2A'!$B$6:$B$10000,$C$5:$C$4995,'GSTR-2A'!$A$6:$A$10000,$AR$3)</f>
        <v>0</v>
      </c>
      <c r="AS31" s="487">
        <f>SUMIFS('GSTR-2A'!$K$6:$K$10000,'GSTR-2A'!$B$6:$B$10000,$C$5:$C$4995,'GSTR-2A'!$A$6:$A$10000,$AR$3)</f>
        <v>0</v>
      </c>
      <c r="AT31" s="487">
        <f>SUMIFS('GSTR-2A'!$L$6:$L$10000,'GSTR-2A'!$B$6:$B$10000,$C$5:$C$4995,'GSTR-2A'!$A$6:$A$10000,$AR$3)</f>
        <v>0</v>
      </c>
      <c r="AU31" s="487">
        <f>SUMIFS('GSTR-2A'!$M$6:$M$10000,'GSTR-2A'!$B$6:$B$10000,$C$5:$C$4995,'GSTR-2A'!$A$6:$A$10000,$AR$3)</f>
        <v>0</v>
      </c>
      <c r="AV31" s="488">
        <f>SUMIFS('GSTR-2A'!$N$6:$N$10000,'GSTR-2A'!$B$6:$B$10000,$C$5:$C$4995,'GSTR-2A'!$A$6:$A$10000,$AR$3)</f>
        <v>0</v>
      </c>
      <c r="AW31" s="486">
        <f>SUMIFS('GSTR-2A'!$G$6:$G$10000,'GSTR-2A'!$B$6:$B$10000,$C$5:$C$4995,'GSTR-2A'!$A$6:$A$10000,$AW$3)</f>
        <v>0</v>
      </c>
      <c r="AX31" s="487">
        <f>SUMIFS('GSTR-2A'!$K$6:$K$10000,'GSTR-2A'!$B$6:$B$10000,$C$5:$C$4995,'GSTR-2A'!$A$6:$A$10000,$AW$3)</f>
        <v>0</v>
      </c>
      <c r="AY31" s="487">
        <f>SUMIFS('GSTR-2A'!$L$6:$L$10000,'GSTR-2A'!$B$6:$B$10000,$C$5:$C$4995,'GSTR-2A'!$A$6:$A$10000,$AW$3)</f>
        <v>0</v>
      </c>
      <c r="AZ31" s="487">
        <f>SUMIFS('GSTR-2A'!$M$6:$M$10000,'GSTR-2A'!$B$6:$B$10000,$C$5:$C$4995,'GSTR-2A'!$A$6:$A$10000,$AW$3)</f>
        <v>0</v>
      </c>
      <c r="BA31" s="488">
        <f>SUMIFS('GSTR-2A'!$N$6:$N$10000,'GSTR-2A'!$B$6:$B$10000,$C$5:$C$4995,'GSTR-2A'!$A$6:$A$10000,$AW$3)</f>
        <v>0</v>
      </c>
      <c r="BB31" s="486">
        <f>SUMIFS('GSTR-2A'!$G$6:$G$10000,'GSTR-2A'!$B$6:$B$10000,$C$5:$C$4995,'GSTR-2A'!$A$6:$A$10000,$BB$3)</f>
        <v>0</v>
      </c>
      <c r="BC31" s="487">
        <f>SUMIFS('GSTR-2A'!$K$6:$K$10000,'GSTR-2A'!$B$6:$B$10000,$C$5:$C$4995,'GSTR-2A'!$A$6:$A$10000,$BB$3)</f>
        <v>0</v>
      </c>
      <c r="BD31" s="487">
        <f>SUMIFS('GSTR-2A'!$L$6:$L$10000,'GSTR-2A'!$B$6:$B$10000,$C$5:$C$4995,'GSTR-2A'!$A$6:$A$10000,$BB$3)</f>
        <v>0</v>
      </c>
      <c r="BE31" s="487">
        <f>SUMIFS('GSTR-2A'!$M$6:$M$10000,'GSTR-2A'!$B$6:$B$10000,$C$5:$C$4995,'GSTR-2A'!$A$6:$A$10000,$BB$3)</f>
        <v>0</v>
      </c>
      <c r="BF31" s="488">
        <f>SUMIFS('GSTR-2A'!$N$6:$N$10000,'GSTR-2A'!$B$6:$B$10000,$C$5:$C$4995,'GSTR-2A'!$A$6:$A$10000,$BB$3)</f>
        <v>0</v>
      </c>
      <c r="BG31" s="486">
        <f>SUMIFS('GSTR-2A'!$G$6:$G$10000,'GSTR-2A'!$B$6:$B$10000,$C$5:$C$4995,'GSTR-2A'!$A$6:$A$10000,$BG$3)</f>
        <v>0</v>
      </c>
      <c r="BH31" s="487">
        <f>SUMIFS('GSTR-2A'!$K$6:$K$10000,'GSTR-2A'!$B$6:$B$10000,$C$5:$C$4995,'GSTR-2A'!$A$6:$A$10000,$BG$3)</f>
        <v>0</v>
      </c>
      <c r="BI31" s="487">
        <f>SUMIFS('GSTR-2A'!$L$6:$L$10000,'GSTR-2A'!$B$6:$B$10000,$C$5:$C$4995,'GSTR-2A'!$A$6:$A$10000,$BG$3)</f>
        <v>0</v>
      </c>
      <c r="BJ31" s="487">
        <f>SUMIFS('GSTR-2A'!$M$6:$M$10000,'GSTR-2A'!$B$6:$B$10000,$C$5:$C$4995,'GSTR-2A'!$A$6:$A$10000,$BG$3)</f>
        <v>0</v>
      </c>
      <c r="BK31" s="488">
        <f>SUMIFS('GSTR-2A'!$N$6:$N$10000,'GSTR-2A'!$B$6:$B$10000,$C$5:$C$4995,'GSTR-2A'!$A$6:$A$10000,$BG$3)</f>
        <v>0</v>
      </c>
      <c r="BL31" s="72">
        <f t="shared" si="2"/>
        <v>0</v>
      </c>
      <c r="BM31" s="72">
        <f t="shared" si="3"/>
        <v>0</v>
      </c>
      <c r="BN31" s="72">
        <f t="shared" si="4"/>
        <v>0</v>
      </c>
      <c r="BO31" s="72">
        <f t="shared" si="5"/>
        <v>0</v>
      </c>
      <c r="BP31" s="72">
        <f t="shared" si="6"/>
        <v>0</v>
      </c>
    </row>
    <row r="32" spans="1:68" x14ac:dyDescent="0.2">
      <c r="A32" s="467">
        <v>28</v>
      </c>
      <c r="B32" s="468" t="s">
        <v>1082</v>
      </c>
      <c r="C32" s="469" t="s">
        <v>1083</v>
      </c>
      <c r="D32" s="72">
        <f>SUMIFS('GSTR-2A'!$G$6:$G$10000,'GSTR-2A'!$B$6:$B$10000,$C$5:$C$4995,'GSTR-2A'!$A$6:$A$10000,$D$3)</f>
        <v>0</v>
      </c>
      <c r="E32" s="72">
        <f>SUMIFS('GSTR-2A'!$K$6:$K$10000,'GSTR-2A'!$B$6:$B$10000,$C$5:$C$4995,'GSTR-2A'!$A$6:$A$10000,$D$3)</f>
        <v>0</v>
      </c>
      <c r="F32" s="72">
        <f>SUMIFS('GSTR-2A'!$L$6:$L$10000,'GSTR-2A'!$B$6:$B$10000,$C$5:$C$4995,'GSTR-2A'!$A$6:$A$10000,$D$3)</f>
        <v>0</v>
      </c>
      <c r="G32" s="72">
        <f>SUMIFS('GSTR-2A'!$M$6:$M$10000,'GSTR-2A'!$B$6:$B$10000,$C$5:$C$4995,'GSTR-2A'!$A$6:$A$10000,$D$3)</f>
        <v>0</v>
      </c>
      <c r="H32" s="72">
        <f>SUMIFS('GSTR-2A'!$N$6:$N$10000,'GSTR-2A'!$B$6:$B$10000,$C$5:$C$4995,'GSTR-2A'!$A$6:$A$10000,$D$3)</f>
        <v>0</v>
      </c>
      <c r="I32" s="486">
        <f>SUMIFS('GSTR-2A'!$G$6:$G$10000,'GSTR-2A'!$B$6:$B$10000,$C$5:$C$4995,'GSTR-2A'!$A$6:$A$10000,$I$3)</f>
        <v>0</v>
      </c>
      <c r="J32" s="487">
        <f>SUMIFS('GSTR-2A'!$K$6:$K$10000,'GSTR-2A'!$B$6:$B$10000,$C$5:$C$4995,'GSTR-2A'!$A$6:$A$10000,$I$3)</f>
        <v>0</v>
      </c>
      <c r="K32" s="487">
        <f>SUMIFS('GSTR-2A'!$L$6:$L$10000,'GSTR-2A'!$B$6:$B$10000,$C$5:$C$4995,'GSTR-2A'!$A$6:$A$10000,$I$3)</f>
        <v>0</v>
      </c>
      <c r="L32" s="487">
        <f>SUMIFS('GSTR-2A'!$M$6:$M$10000,'GSTR-2A'!$B$6:$B$10000,$C$5:$C$4995,'GSTR-2A'!$A$6:$A$10000,$I$3)</f>
        <v>0</v>
      </c>
      <c r="M32" s="488">
        <f>SUMIFS('GSTR-2A'!$N$6:$N$10000,'GSTR-2A'!$B$6:$B$10000,$C$5:$C$4995,'GSTR-2A'!$A$6:$A$10000,$I$3)</f>
        <v>0</v>
      </c>
      <c r="N32" s="486">
        <f>SUMIFS('GSTR-2A'!$G$6:$G$10000,'GSTR-2A'!$B$6:$B$10000,$C$5:$C$4995,'GSTR-2A'!$A$6:$A$10000,$N$3)</f>
        <v>0</v>
      </c>
      <c r="O32" s="487">
        <f>SUMIFS('GSTR-2A'!$K$6:$K$10000,'GSTR-2A'!$B$6:$B$10000,$C$5:$C$4995,'GSTR-2A'!$A$6:$A$10000,$N$3)</f>
        <v>0</v>
      </c>
      <c r="P32" s="487">
        <f>SUMIFS('GSTR-2A'!$L$6:$L$10000,'GSTR-2A'!$B$6:$B$10000,$C$5:$C$4995,'GSTR-2A'!$A$6:$A$10000,$N$3)</f>
        <v>0</v>
      </c>
      <c r="Q32" s="487">
        <f>SUMIFS('GSTR-2A'!$M$6:$M$10000,'GSTR-2A'!$B$6:$B$10000,$C$5:$C$4995,'GSTR-2A'!$A$6:$A$10000,$N$3)</f>
        <v>0</v>
      </c>
      <c r="R32" s="488">
        <f>SUMIFS('GSTR-2A'!$N$6:$N$10000,'GSTR-2A'!$B$6:$B$10000,$C$5:$C$4995,'GSTR-2A'!$A$6:$A$10000,$N$3)</f>
        <v>0</v>
      </c>
      <c r="S32" s="486">
        <f>SUMIFS('GSTR-2A'!$G$6:$G$10000,'GSTR-2A'!$B$6:$B$10000,$C$5:$C$4995,'GSTR-2A'!$A$6:$A$10000,$S$3)</f>
        <v>0</v>
      </c>
      <c r="T32" s="487">
        <f>SUMIFS('GSTR-2A'!$K$6:$K$10000,'GSTR-2A'!$B$6:$B$10000,$C$5:$C$4995,'GSTR-2A'!$A$6:$A$10000,$S$3)</f>
        <v>0</v>
      </c>
      <c r="U32" s="487">
        <f>SUMIFS('GSTR-2A'!$L$6:$L$10000,'GSTR-2A'!$B$6:$B$10000,$C$5:$C$4995,'GSTR-2A'!$A$6:$A$10000,$S$3)</f>
        <v>0</v>
      </c>
      <c r="V32" s="487">
        <f>SUMIFS('GSTR-2A'!$M$6:$M$10000,'GSTR-2A'!$B$6:$B$10000,$C$5:$C$4995,'GSTR-2A'!$A$6:$A$10000,$S$3)</f>
        <v>0</v>
      </c>
      <c r="W32" s="488">
        <f>SUMIFS('GSTR-2A'!$N$6:$N$10000,'GSTR-2A'!$B$6:$B$10000,$C$5:$C$4995,'GSTR-2A'!$A$6:$A$10000,$S$3)</f>
        <v>0</v>
      </c>
      <c r="X32" s="486">
        <f>SUMIFS('GSTR-2A'!$G$6:$G$10000,'GSTR-2A'!$B$6:$B$10000,$C$5:$C$4995,'GSTR-2A'!$A$6:$A$10000,$X$3)</f>
        <v>0</v>
      </c>
      <c r="Y32" s="487">
        <f>SUMIFS('GSTR-2A'!$K$6:$K$10000,'GSTR-2A'!$B$6:$B$10000,$C$5:$C$4995,'GSTR-2A'!$A$6:$A$10000,$X$3)</f>
        <v>0</v>
      </c>
      <c r="Z32" s="487">
        <f>SUMIFS('GSTR-2A'!$L$6:$L$10000,'GSTR-2A'!$B$6:$B$10000,$C$5:$C$4995,'GSTR-2A'!$A$6:$A$10000,$X$3)</f>
        <v>0</v>
      </c>
      <c r="AA32" s="487">
        <f>SUMIFS('GSTR-2A'!$M$6:$M$10000,'GSTR-2A'!$B$6:$B$10000,$C$5:$C$4995,'GSTR-2A'!$A$6:$A$10000,$X$3)</f>
        <v>0</v>
      </c>
      <c r="AB32" s="488">
        <f>SUMIFS('GSTR-2A'!$N$6:$N$10000,'GSTR-2A'!$B$6:$B$10000,$C$5:$C$4995,'GSTR-2A'!$A$6:$A$10000,$X$3)</f>
        <v>0</v>
      </c>
      <c r="AC32" s="486">
        <f>SUMIFS('GSTR-2A'!$G$6:$G$10000,'GSTR-2A'!$B$6:$B$10000,$C$5:$C$4995,'GSTR-2A'!$A$6:$A$10000,$AC$3)</f>
        <v>0</v>
      </c>
      <c r="AD32" s="487">
        <f>SUMIFS('GSTR-2A'!$K$6:$K$10000,'GSTR-2A'!$B$6:$B$10000,$C$5:$C$4995,'GSTR-2A'!$A$6:$A$10000,$AC$3)</f>
        <v>0</v>
      </c>
      <c r="AE32" s="487">
        <f>SUMIFS('GSTR-2A'!$L$6:$L$10000,'GSTR-2A'!$B$6:$B$10000,$C$5:$C$4995,'GSTR-2A'!$A$6:$A$10000,$AC$3)</f>
        <v>0</v>
      </c>
      <c r="AF32" s="487">
        <f>SUMIFS('GSTR-2A'!$M$6:$M$10000,'GSTR-2A'!$B$6:$B$10000,$C$5:$C$4995,'GSTR-2A'!$A$6:$A$10000,$AC$3)</f>
        <v>0</v>
      </c>
      <c r="AG32" s="488">
        <f>SUMIFS('GSTR-2A'!$N$6:$N$10000,'GSTR-2A'!$B$6:$B$10000,$C$5:$C$4995,'GSTR-2A'!$A$6:$A$10000,$AC$3)</f>
        <v>0</v>
      </c>
      <c r="AH32" s="486">
        <f>SUMIFS('GSTR-2A'!$G$6:$G$10000,'GSTR-2A'!$B$6:$B$10000,$C$5:$C$4995,'GSTR-2A'!$A$6:$A$10000,$AH$3)</f>
        <v>0</v>
      </c>
      <c r="AI32" s="487">
        <f>SUMIFS('GSTR-2A'!$K$6:$K$10000,'GSTR-2A'!$B$6:$B$10000,$C$5:$C$4995,'GSTR-2A'!$A$6:$A$10000,$AH$3)</f>
        <v>0</v>
      </c>
      <c r="AJ32" s="487">
        <f>SUMIFS('GSTR-2A'!$L$6:$L$10000,'GSTR-2A'!$B$6:$B$10000,$C$5:$C$4995,'GSTR-2A'!$A$6:$A$10000,$AH$3)</f>
        <v>0</v>
      </c>
      <c r="AK32" s="487">
        <f>SUMIFS('GSTR-2A'!$M$6:$M$10000,'GSTR-2A'!$B$6:$B$10000,$C$5:$C$4995,'GSTR-2A'!$A$6:$A$10000,$AH$3)</f>
        <v>0</v>
      </c>
      <c r="AL32" s="488">
        <f>SUMIFS('GSTR-2A'!$N$6:$N$10000,'GSTR-2A'!$B$6:$B$10000,$C$5:$C$4995,'GSTR-2A'!$A$6:$A$10000,$AH$3)</f>
        <v>0</v>
      </c>
      <c r="AM32" s="486">
        <f>SUMIFS('GSTR-2A'!$G$6:$G$10000,'GSTR-2A'!$B$6:$B$10000,$C$5:$C$4995,'GSTR-2A'!$A$6:$A$10000,$AM$3)</f>
        <v>0</v>
      </c>
      <c r="AN32" s="487">
        <f>SUMIFS('GSTR-2A'!$K$6:$K$10000,'GSTR-2A'!$B$6:$B$10000,$C$5:$C$4995,'GSTR-2A'!$A$6:$A$10000,$AM$3)</f>
        <v>0</v>
      </c>
      <c r="AO32" s="487">
        <f>SUMIFS('GSTR-2A'!$L$6:$L$10000,'GSTR-2A'!$B$6:$B$10000,$C$5:$C$4995,'GSTR-2A'!$A$6:$A$10000,$AM$3)</f>
        <v>0</v>
      </c>
      <c r="AP32" s="487">
        <f>SUMIFS('GSTR-2A'!$M$6:$M$10000,'GSTR-2A'!$B$6:$B$10000,$C$5:$C$4995,'GSTR-2A'!$A$6:$A$10000,$AM$3)</f>
        <v>0</v>
      </c>
      <c r="AQ32" s="488">
        <f>SUMIFS('GSTR-2A'!$N$6:$N$10000,'GSTR-2A'!$B$6:$B$10000,$C$5:$C$4995,'GSTR-2A'!$A$6:$A$10000,$AM$3)</f>
        <v>0</v>
      </c>
      <c r="AR32" s="486">
        <f>SUMIFS('GSTR-2A'!$G$6:$G$10000,'GSTR-2A'!$B$6:$B$10000,$C$5:$C$4995,'GSTR-2A'!$A$6:$A$10000,$AR$3)</f>
        <v>0</v>
      </c>
      <c r="AS32" s="487">
        <f>SUMIFS('GSTR-2A'!$K$6:$K$10000,'GSTR-2A'!$B$6:$B$10000,$C$5:$C$4995,'GSTR-2A'!$A$6:$A$10000,$AR$3)</f>
        <v>0</v>
      </c>
      <c r="AT32" s="487">
        <f>SUMIFS('GSTR-2A'!$L$6:$L$10000,'GSTR-2A'!$B$6:$B$10000,$C$5:$C$4995,'GSTR-2A'!$A$6:$A$10000,$AR$3)</f>
        <v>0</v>
      </c>
      <c r="AU32" s="487">
        <f>SUMIFS('GSTR-2A'!$M$6:$M$10000,'GSTR-2A'!$B$6:$B$10000,$C$5:$C$4995,'GSTR-2A'!$A$6:$A$10000,$AR$3)</f>
        <v>0</v>
      </c>
      <c r="AV32" s="488">
        <f>SUMIFS('GSTR-2A'!$N$6:$N$10000,'GSTR-2A'!$B$6:$B$10000,$C$5:$C$4995,'GSTR-2A'!$A$6:$A$10000,$AR$3)</f>
        <v>0</v>
      </c>
      <c r="AW32" s="486">
        <f>SUMIFS('GSTR-2A'!$G$6:$G$10000,'GSTR-2A'!$B$6:$B$10000,$C$5:$C$4995,'GSTR-2A'!$A$6:$A$10000,$AW$3)</f>
        <v>0</v>
      </c>
      <c r="AX32" s="487">
        <f>SUMIFS('GSTR-2A'!$K$6:$K$10000,'GSTR-2A'!$B$6:$B$10000,$C$5:$C$4995,'GSTR-2A'!$A$6:$A$10000,$AW$3)</f>
        <v>0</v>
      </c>
      <c r="AY32" s="487">
        <f>SUMIFS('GSTR-2A'!$L$6:$L$10000,'GSTR-2A'!$B$6:$B$10000,$C$5:$C$4995,'GSTR-2A'!$A$6:$A$10000,$AW$3)</f>
        <v>0</v>
      </c>
      <c r="AZ32" s="487">
        <f>SUMIFS('GSTR-2A'!$M$6:$M$10000,'GSTR-2A'!$B$6:$B$10000,$C$5:$C$4995,'GSTR-2A'!$A$6:$A$10000,$AW$3)</f>
        <v>0</v>
      </c>
      <c r="BA32" s="488">
        <f>SUMIFS('GSTR-2A'!$N$6:$N$10000,'GSTR-2A'!$B$6:$B$10000,$C$5:$C$4995,'GSTR-2A'!$A$6:$A$10000,$AW$3)</f>
        <v>0</v>
      </c>
      <c r="BB32" s="486">
        <f>SUMIFS('GSTR-2A'!$G$6:$G$10000,'GSTR-2A'!$B$6:$B$10000,$C$5:$C$4995,'GSTR-2A'!$A$6:$A$10000,$BB$3)</f>
        <v>0</v>
      </c>
      <c r="BC32" s="487">
        <f>SUMIFS('GSTR-2A'!$K$6:$K$10000,'GSTR-2A'!$B$6:$B$10000,$C$5:$C$4995,'GSTR-2A'!$A$6:$A$10000,$BB$3)</f>
        <v>0</v>
      </c>
      <c r="BD32" s="487">
        <f>SUMIFS('GSTR-2A'!$L$6:$L$10000,'GSTR-2A'!$B$6:$B$10000,$C$5:$C$4995,'GSTR-2A'!$A$6:$A$10000,$BB$3)</f>
        <v>0</v>
      </c>
      <c r="BE32" s="487">
        <f>SUMIFS('GSTR-2A'!$M$6:$M$10000,'GSTR-2A'!$B$6:$B$10000,$C$5:$C$4995,'GSTR-2A'!$A$6:$A$10000,$BB$3)</f>
        <v>0</v>
      </c>
      <c r="BF32" s="488">
        <f>SUMIFS('GSTR-2A'!$N$6:$N$10000,'GSTR-2A'!$B$6:$B$10000,$C$5:$C$4995,'GSTR-2A'!$A$6:$A$10000,$BB$3)</f>
        <v>0</v>
      </c>
      <c r="BG32" s="486">
        <f>SUMIFS('GSTR-2A'!$G$6:$G$10000,'GSTR-2A'!$B$6:$B$10000,$C$5:$C$4995,'GSTR-2A'!$A$6:$A$10000,$BG$3)</f>
        <v>0</v>
      </c>
      <c r="BH32" s="487">
        <f>SUMIFS('GSTR-2A'!$K$6:$K$10000,'GSTR-2A'!$B$6:$B$10000,$C$5:$C$4995,'GSTR-2A'!$A$6:$A$10000,$BG$3)</f>
        <v>0</v>
      </c>
      <c r="BI32" s="487">
        <f>SUMIFS('GSTR-2A'!$L$6:$L$10000,'GSTR-2A'!$B$6:$B$10000,$C$5:$C$4995,'GSTR-2A'!$A$6:$A$10000,$BG$3)</f>
        <v>0</v>
      </c>
      <c r="BJ32" s="487">
        <f>SUMIFS('GSTR-2A'!$M$6:$M$10000,'GSTR-2A'!$B$6:$B$10000,$C$5:$C$4995,'GSTR-2A'!$A$6:$A$10000,$BG$3)</f>
        <v>0</v>
      </c>
      <c r="BK32" s="488">
        <f>SUMIFS('GSTR-2A'!$N$6:$N$10000,'GSTR-2A'!$B$6:$B$10000,$C$5:$C$4995,'GSTR-2A'!$A$6:$A$10000,$BG$3)</f>
        <v>0</v>
      </c>
      <c r="BL32" s="72">
        <f t="shared" si="2"/>
        <v>0</v>
      </c>
      <c r="BM32" s="72">
        <f t="shared" si="3"/>
        <v>0</v>
      </c>
      <c r="BN32" s="72">
        <f t="shared" si="4"/>
        <v>0</v>
      </c>
      <c r="BO32" s="72">
        <f t="shared" si="5"/>
        <v>0</v>
      </c>
      <c r="BP32" s="72">
        <f t="shared" si="6"/>
        <v>0</v>
      </c>
    </row>
    <row r="33" spans="1:68" x14ac:dyDescent="0.2">
      <c r="A33" s="467">
        <v>29</v>
      </c>
      <c r="B33" s="468" t="s">
        <v>1084</v>
      </c>
      <c r="C33" s="469" t="s">
        <v>1085</v>
      </c>
      <c r="D33" s="72">
        <f>SUMIFS('GSTR-2A'!$G$6:$G$10000,'GSTR-2A'!$B$6:$B$10000,$C$5:$C$4995,'GSTR-2A'!$A$6:$A$10000,$D$3)</f>
        <v>0</v>
      </c>
      <c r="E33" s="72">
        <f>SUMIFS('GSTR-2A'!$K$6:$K$10000,'GSTR-2A'!$B$6:$B$10000,$C$5:$C$4995,'GSTR-2A'!$A$6:$A$10000,$D$3)</f>
        <v>0</v>
      </c>
      <c r="F33" s="72">
        <f>SUMIFS('GSTR-2A'!$L$6:$L$10000,'GSTR-2A'!$B$6:$B$10000,$C$5:$C$4995,'GSTR-2A'!$A$6:$A$10000,$D$3)</f>
        <v>0</v>
      </c>
      <c r="G33" s="72">
        <f>SUMIFS('GSTR-2A'!$M$6:$M$10000,'GSTR-2A'!$B$6:$B$10000,$C$5:$C$4995,'GSTR-2A'!$A$6:$A$10000,$D$3)</f>
        <v>0</v>
      </c>
      <c r="H33" s="72">
        <f>SUMIFS('GSTR-2A'!$N$6:$N$10000,'GSTR-2A'!$B$6:$B$10000,$C$5:$C$4995,'GSTR-2A'!$A$6:$A$10000,$D$3)</f>
        <v>0</v>
      </c>
      <c r="I33" s="486">
        <f>SUMIFS('GSTR-2A'!$G$6:$G$10000,'GSTR-2A'!$B$6:$B$10000,$C$5:$C$4995,'GSTR-2A'!$A$6:$A$10000,$I$3)</f>
        <v>0</v>
      </c>
      <c r="J33" s="487">
        <f>SUMIFS('GSTR-2A'!$K$6:$K$10000,'GSTR-2A'!$B$6:$B$10000,$C$5:$C$4995,'GSTR-2A'!$A$6:$A$10000,$I$3)</f>
        <v>0</v>
      </c>
      <c r="K33" s="487">
        <f>SUMIFS('GSTR-2A'!$L$6:$L$10000,'GSTR-2A'!$B$6:$B$10000,$C$5:$C$4995,'GSTR-2A'!$A$6:$A$10000,$I$3)</f>
        <v>0</v>
      </c>
      <c r="L33" s="487">
        <f>SUMIFS('GSTR-2A'!$M$6:$M$10000,'GSTR-2A'!$B$6:$B$10000,$C$5:$C$4995,'GSTR-2A'!$A$6:$A$10000,$I$3)</f>
        <v>0</v>
      </c>
      <c r="M33" s="488">
        <f>SUMIFS('GSTR-2A'!$N$6:$N$10000,'GSTR-2A'!$B$6:$B$10000,$C$5:$C$4995,'GSTR-2A'!$A$6:$A$10000,$I$3)</f>
        <v>0</v>
      </c>
      <c r="N33" s="486">
        <f>SUMIFS('GSTR-2A'!$G$6:$G$10000,'GSTR-2A'!$B$6:$B$10000,$C$5:$C$4995,'GSTR-2A'!$A$6:$A$10000,$N$3)</f>
        <v>0</v>
      </c>
      <c r="O33" s="487">
        <f>SUMIFS('GSTR-2A'!$K$6:$K$10000,'GSTR-2A'!$B$6:$B$10000,$C$5:$C$4995,'GSTR-2A'!$A$6:$A$10000,$N$3)</f>
        <v>0</v>
      </c>
      <c r="P33" s="487">
        <f>SUMIFS('GSTR-2A'!$L$6:$L$10000,'GSTR-2A'!$B$6:$B$10000,$C$5:$C$4995,'GSTR-2A'!$A$6:$A$10000,$N$3)</f>
        <v>0</v>
      </c>
      <c r="Q33" s="487">
        <f>SUMIFS('GSTR-2A'!$M$6:$M$10000,'GSTR-2A'!$B$6:$B$10000,$C$5:$C$4995,'GSTR-2A'!$A$6:$A$10000,$N$3)</f>
        <v>0</v>
      </c>
      <c r="R33" s="488">
        <f>SUMIFS('GSTR-2A'!$N$6:$N$10000,'GSTR-2A'!$B$6:$B$10000,$C$5:$C$4995,'GSTR-2A'!$A$6:$A$10000,$N$3)</f>
        <v>0</v>
      </c>
      <c r="S33" s="486">
        <f>SUMIFS('GSTR-2A'!$G$6:$G$10000,'GSTR-2A'!$B$6:$B$10000,$C$5:$C$4995,'GSTR-2A'!$A$6:$A$10000,$S$3)</f>
        <v>0</v>
      </c>
      <c r="T33" s="487">
        <f>SUMIFS('GSTR-2A'!$K$6:$K$10000,'GSTR-2A'!$B$6:$B$10000,$C$5:$C$4995,'GSTR-2A'!$A$6:$A$10000,$S$3)</f>
        <v>0</v>
      </c>
      <c r="U33" s="487">
        <f>SUMIFS('GSTR-2A'!$L$6:$L$10000,'GSTR-2A'!$B$6:$B$10000,$C$5:$C$4995,'GSTR-2A'!$A$6:$A$10000,$S$3)</f>
        <v>0</v>
      </c>
      <c r="V33" s="487">
        <f>SUMIFS('GSTR-2A'!$M$6:$M$10000,'GSTR-2A'!$B$6:$B$10000,$C$5:$C$4995,'GSTR-2A'!$A$6:$A$10000,$S$3)</f>
        <v>0</v>
      </c>
      <c r="W33" s="488">
        <f>SUMIFS('GSTR-2A'!$N$6:$N$10000,'GSTR-2A'!$B$6:$B$10000,$C$5:$C$4995,'GSTR-2A'!$A$6:$A$10000,$S$3)</f>
        <v>0</v>
      </c>
      <c r="X33" s="486">
        <f>SUMIFS('GSTR-2A'!$G$6:$G$10000,'GSTR-2A'!$B$6:$B$10000,$C$5:$C$4995,'GSTR-2A'!$A$6:$A$10000,$X$3)</f>
        <v>0</v>
      </c>
      <c r="Y33" s="487">
        <f>SUMIFS('GSTR-2A'!$K$6:$K$10000,'GSTR-2A'!$B$6:$B$10000,$C$5:$C$4995,'GSTR-2A'!$A$6:$A$10000,$X$3)</f>
        <v>0</v>
      </c>
      <c r="Z33" s="487">
        <f>SUMIFS('GSTR-2A'!$L$6:$L$10000,'GSTR-2A'!$B$6:$B$10000,$C$5:$C$4995,'GSTR-2A'!$A$6:$A$10000,$X$3)</f>
        <v>0</v>
      </c>
      <c r="AA33" s="487">
        <f>SUMIFS('GSTR-2A'!$M$6:$M$10000,'GSTR-2A'!$B$6:$B$10000,$C$5:$C$4995,'GSTR-2A'!$A$6:$A$10000,$X$3)</f>
        <v>0</v>
      </c>
      <c r="AB33" s="488">
        <f>SUMIFS('GSTR-2A'!$N$6:$N$10000,'GSTR-2A'!$B$6:$B$10000,$C$5:$C$4995,'GSTR-2A'!$A$6:$A$10000,$X$3)</f>
        <v>0</v>
      </c>
      <c r="AC33" s="486">
        <f>SUMIFS('GSTR-2A'!$G$6:$G$10000,'GSTR-2A'!$B$6:$B$10000,$C$5:$C$4995,'GSTR-2A'!$A$6:$A$10000,$AC$3)</f>
        <v>0</v>
      </c>
      <c r="AD33" s="487">
        <f>SUMIFS('GSTR-2A'!$K$6:$K$10000,'GSTR-2A'!$B$6:$B$10000,$C$5:$C$4995,'GSTR-2A'!$A$6:$A$10000,$AC$3)</f>
        <v>0</v>
      </c>
      <c r="AE33" s="487">
        <f>SUMIFS('GSTR-2A'!$L$6:$L$10000,'GSTR-2A'!$B$6:$B$10000,$C$5:$C$4995,'GSTR-2A'!$A$6:$A$10000,$AC$3)</f>
        <v>0</v>
      </c>
      <c r="AF33" s="487">
        <f>SUMIFS('GSTR-2A'!$M$6:$M$10000,'GSTR-2A'!$B$6:$B$10000,$C$5:$C$4995,'GSTR-2A'!$A$6:$A$10000,$AC$3)</f>
        <v>0</v>
      </c>
      <c r="AG33" s="488">
        <f>SUMIFS('GSTR-2A'!$N$6:$N$10000,'GSTR-2A'!$B$6:$B$10000,$C$5:$C$4995,'GSTR-2A'!$A$6:$A$10000,$AC$3)</f>
        <v>0</v>
      </c>
      <c r="AH33" s="486">
        <f>SUMIFS('GSTR-2A'!$G$6:$G$10000,'GSTR-2A'!$B$6:$B$10000,$C$5:$C$4995,'GSTR-2A'!$A$6:$A$10000,$AH$3)</f>
        <v>0</v>
      </c>
      <c r="AI33" s="487">
        <f>SUMIFS('GSTR-2A'!$K$6:$K$10000,'GSTR-2A'!$B$6:$B$10000,$C$5:$C$4995,'GSTR-2A'!$A$6:$A$10000,$AH$3)</f>
        <v>0</v>
      </c>
      <c r="AJ33" s="487">
        <f>SUMIFS('GSTR-2A'!$L$6:$L$10000,'GSTR-2A'!$B$6:$B$10000,$C$5:$C$4995,'GSTR-2A'!$A$6:$A$10000,$AH$3)</f>
        <v>0</v>
      </c>
      <c r="AK33" s="487">
        <f>SUMIFS('GSTR-2A'!$M$6:$M$10000,'GSTR-2A'!$B$6:$B$10000,$C$5:$C$4995,'GSTR-2A'!$A$6:$A$10000,$AH$3)</f>
        <v>0</v>
      </c>
      <c r="AL33" s="488">
        <f>SUMIFS('GSTR-2A'!$N$6:$N$10000,'GSTR-2A'!$B$6:$B$10000,$C$5:$C$4995,'GSTR-2A'!$A$6:$A$10000,$AH$3)</f>
        <v>0</v>
      </c>
      <c r="AM33" s="486">
        <f>SUMIFS('GSTR-2A'!$G$6:$G$10000,'GSTR-2A'!$B$6:$B$10000,$C$5:$C$4995,'GSTR-2A'!$A$6:$A$10000,$AM$3)</f>
        <v>0</v>
      </c>
      <c r="AN33" s="487">
        <f>SUMIFS('GSTR-2A'!$K$6:$K$10000,'GSTR-2A'!$B$6:$B$10000,$C$5:$C$4995,'GSTR-2A'!$A$6:$A$10000,$AM$3)</f>
        <v>0</v>
      </c>
      <c r="AO33" s="487">
        <f>SUMIFS('GSTR-2A'!$L$6:$L$10000,'GSTR-2A'!$B$6:$B$10000,$C$5:$C$4995,'GSTR-2A'!$A$6:$A$10000,$AM$3)</f>
        <v>0</v>
      </c>
      <c r="AP33" s="487">
        <f>SUMIFS('GSTR-2A'!$M$6:$M$10000,'GSTR-2A'!$B$6:$B$10000,$C$5:$C$4995,'GSTR-2A'!$A$6:$A$10000,$AM$3)</f>
        <v>0</v>
      </c>
      <c r="AQ33" s="488">
        <f>SUMIFS('GSTR-2A'!$N$6:$N$10000,'GSTR-2A'!$B$6:$B$10000,$C$5:$C$4995,'GSTR-2A'!$A$6:$A$10000,$AM$3)</f>
        <v>0</v>
      </c>
      <c r="AR33" s="486">
        <f>SUMIFS('GSTR-2A'!$G$6:$G$10000,'GSTR-2A'!$B$6:$B$10000,$C$5:$C$4995,'GSTR-2A'!$A$6:$A$10000,$AR$3)</f>
        <v>0</v>
      </c>
      <c r="AS33" s="487">
        <f>SUMIFS('GSTR-2A'!$K$6:$K$10000,'GSTR-2A'!$B$6:$B$10000,$C$5:$C$4995,'GSTR-2A'!$A$6:$A$10000,$AR$3)</f>
        <v>0</v>
      </c>
      <c r="AT33" s="487">
        <f>SUMIFS('GSTR-2A'!$L$6:$L$10000,'GSTR-2A'!$B$6:$B$10000,$C$5:$C$4995,'GSTR-2A'!$A$6:$A$10000,$AR$3)</f>
        <v>0</v>
      </c>
      <c r="AU33" s="487">
        <f>SUMIFS('GSTR-2A'!$M$6:$M$10000,'GSTR-2A'!$B$6:$B$10000,$C$5:$C$4995,'GSTR-2A'!$A$6:$A$10000,$AR$3)</f>
        <v>0</v>
      </c>
      <c r="AV33" s="488">
        <f>SUMIFS('GSTR-2A'!$N$6:$N$10000,'GSTR-2A'!$B$6:$B$10000,$C$5:$C$4995,'GSTR-2A'!$A$6:$A$10000,$AR$3)</f>
        <v>0</v>
      </c>
      <c r="AW33" s="486">
        <f>SUMIFS('GSTR-2A'!$G$6:$G$10000,'GSTR-2A'!$B$6:$B$10000,$C$5:$C$4995,'GSTR-2A'!$A$6:$A$10000,$AW$3)</f>
        <v>0</v>
      </c>
      <c r="AX33" s="487">
        <f>SUMIFS('GSTR-2A'!$K$6:$K$10000,'GSTR-2A'!$B$6:$B$10000,$C$5:$C$4995,'GSTR-2A'!$A$6:$A$10000,$AW$3)</f>
        <v>0</v>
      </c>
      <c r="AY33" s="487">
        <f>SUMIFS('GSTR-2A'!$L$6:$L$10000,'GSTR-2A'!$B$6:$B$10000,$C$5:$C$4995,'GSTR-2A'!$A$6:$A$10000,$AW$3)</f>
        <v>0</v>
      </c>
      <c r="AZ33" s="487">
        <f>SUMIFS('GSTR-2A'!$M$6:$M$10000,'GSTR-2A'!$B$6:$B$10000,$C$5:$C$4995,'GSTR-2A'!$A$6:$A$10000,$AW$3)</f>
        <v>0</v>
      </c>
      <c r="BA33" s="488">
        <f>SUMIFS('GSTR-2A'!$N$6:$N$10000,'GSTR-2A'!$B$6:$B$10000,$C$5:$C$4995,'GSTR-2A'!$A$6:$A$10000,$AW$3)</f>
        <v>0</v>
      </c>
      <c r="BB33" s="486">
        <f>SUMIFS('GSTR-2A'!$G$6:$G$10000,'GSTR-2A'!$B$6:$B$10000,$C$5:$C$4995,'GSTR-2A'!$A$6:$A$10000,$BB$3)</f>
        <v>0</v>
      </c>
      <c r="BC33" s="487">
        <f>SUMIFS('GSTR-2A'!$K$6:$K$10000,'GSTR-2A'!$B$6:$B$10000,$C$5:$C$4995,'GSTR-2A'!$A$6:$A$10000,$BB$3)</f>
        <v>0</v>
      </c>
      <c r="BD33" s="487">
        <f>SUMIFS('GSTR-2A'!$L$6:$L$10000,'GSTR-2A'!$B$6:$B$10000,$C$5:$C$4995,'GSTR-2A'!$A$6:$A$10000,$BB$3)</f>
        <v>0</v>
      </c>
      <c r="BE33" s="487">
        <f>SUMIFS('GSTR-2A'!$M$6:$M$10000,'GSTR-2A'!$B$6:$B$10000,$C$5:$C$4995,'GSTR-2A'!$A$6:$A$10000,$BB$3)</f>
        <v>0</v>
      </c>
      <c r="BF33" s="488">
        <f>SUMIFS('GSTR-2A'!$N$6:$N$10000,'GSTR-2A'!$B$6:$B$10000,$C$5:$C$4995,'GSTR-2A'!$A$6:$A$10000,$BB$3)</f>
        <v>0</v>
      </c>
      <c r="BG33" s="486">
        <f>SUMIFS('GSTR-2A'!$G$6:$G$10000,'GSTR-2A'!$B$6:$B$10000,$C$5:$C$4995,'GSTR-2A'!$A$6:$A$10000,$BG$3)</f>
        <v>0</v>
      </c>
      <c r="BH33" s="487">
        <f>SUMIFS('GSTR-2A'!$K$6:$K$10000,'GSTR-2A'!$B$6:$B$10000,$C$5:$C$4995,'GSTR-2A'!$A$6:$A$10000,$BG$3)</f>
        <v>0</v>
      </c>
      <c r="BI33" s="487">
        <f>SUMIFS('GSTR-2A'!$L$6:$L$10000,'GSTR-2A'!$B$6:$B$10000,$C$5:$C$4995,'GSTR-2A'!$A$6:$A$10000,$BG$3)</f>
        <v>0</v>
      </c>
      <c r="BJ33" s="487">
        <f>SUMIFS('GSTR-2A'!$M$6:$M$10000,'GSTR-2A'!$B$6:$B$10000,$C$5:$C$4995,'GSTR-2A'!$A$6:$A$10000,$BG$3)</f>
        <v>0</v>
      </c>
      <c r="BK33" s="488">
        <f>SUMIFS('GSTR-2A'!$N$6:$N$10000,'GSTR-2A'!$B$6:$B$10000,$C$5:$C$4995,'GSTR-2A'!$A$6:$A$10000,$BG$3)</f>
        <v>0</v>
      </c>
      <c r="BL33" s="72">
        <f t="shared" si="2"/>
        <v>0</v>
      </c>
      <c r="BM33" s="72">
        <f t="shared" si="3"/>
        <v>0</v>
      </c>
      <c r="BN33" s="72">
        <f t="shared" si="4"/>
        <v>0</v>
      </c>
      <c r="BO33" s="72">
        <f t="shared" si="5"/>
        <v>0</v>
      </c>
      <c r="BP33" s="72">
        <f t="shared" si="6"/>
        <v>0</v>
      </c>
    </row>
    <row r="34" spans="1:68" x14ac:dyDescent="0.2">
      <c r="A34" s="467">
        <v>30</v>
      </c>
      <c r="B34" s="468" t="s">
        <v>1086</v>
      </c>
      <c r="C34" s="469" t="s">
        <v>1087</v>
      </c>
      <c r="D34" s="72">
        <f>SUMIFS('GSTR-2A'!$G$6:$G$10000,'GSTR-2A'!$B$6:$B$10000,$C$5:$C$4995,'GSTR-2A'!$A$6:$A$10000,$D$3)</f>
        <v>0</v>
      </c>
      <c r="E34" s="72">
        <f>SUMIFS('GSTR-2A'!$K$6:$K$10000,'GSTR-2A'!$B$6:$B$10000,$C$5:$C$4995,'GSTR-2A'!$A$6:$A$10000,$D$3)</f>
        <v>0</v>
      </c>
      <c r="F34" s="72">
        <f>SUMIFS('GSTR-2A'!$L$6:$L$10000,'GSTR-2A'!$B$6:$B$10000,$C$5:$C$4995,'GSTR-2A'!$A$6:$A$10000,$D$3)</f>
        <v>0</v>
      </c>
      <c r="G34" s="72">
        <f>SUMIFS('GSTR-2A'!$M$6:$M$10000,'GSTR-2A'!$B$6:$B$10000,$C$5:$C$4995,'GSTR-2A'!$A$6:$A$10000,$D$3)</f>
        <v>0</v>
      </c>
      <c r="H34" s="72">
        <f>SUMIFS('GSTR-2A'!$N$6:$N$10000,'GSTR-2A'!$B$6:$B$10000,$C$5:$C$4995,'GSTR-2A'!$A$6:$A$10000,$D$3)</f>
        <v>0</v>
      </c>
      <c r="I34" s="486">
        <f>SUMIFS('GSTR-2A'!$G$6:$G$10000,'GSTR-2A'!$B$6:$B$10000,$C$5:$C$4995,'GSTR-2A'!$A$6:$A$10000,$I$3)</f>
        <v>0</v>
      </c>
      <c r="J34" s="487">
        <f>SUMIFS('GSTR-2A'!$K$6:$K$10000,'GSTR-2A'!$B$6:$B$10000,$C$5:$C$4995,'GSTR-2A'!$A$6:$A$10000,$I$3)</f>
        <v>0</v>
      </c>
      <c r="K34" s="487">
        <f>SUMIFS('GSTR-2A'!$L$6:$L$10000,'GSTR-2A'!$B$6:$B$10000,$C$5:$C$4995,'GSTR-2A'!$A$6:$A$10000,$I$3)</f>
        <v>0</v>
      </c>
      <c r="L34" s="487">
        <f>SUMIFS('GSTR-2A'!$M$6:$M$10000,'GSTR-2A'!$B$6:$B$10000,$C$5:$C$4995,'GSTR-2A'!$A$6:$A$10000,$I$3)</f>
        <v>0</v>
      </c>
      <c r="M34" s="488">
        <f>SUMIFS('GSTR-2A'!$N$6:$N$10000,'GSTR-2A'!$B$6:$B$10000,$C$5:$C$4995,'GSTR-2A'!$A$6:$A$10000,$I$3)</f>
        <v>0</v>
      </c>
      <c r="N34" s="486">
        <f>SUMIFS('GSTR-2A'!$G$6:$G$10000,'GSTR-2A'!$B$6:$B$10000,$C$5:$C$4995,'GSTR-2A'!$A$6:$A$10000,$N$3)</f>
        <v>0</v>
      </c>
      <c r="O34" s="487">
        <f>SUMIFS('GSTR-2A'!$K$6:$K$10000,'GSTR-2A'!$B$6:$B$10000,$C$5:$C$4995,'GSTR-2A'!$A$6:$A$10000,$N$3)</f>
        <v>0</v>
      </c>
      <c r="P34" s="487">
        <f>SUMIFS('GSTR-2A'!$L$6:$L$10000,'GSTR-2A'!$B$6:$B$10000,$C$5:$C$4995,'GSTR-2A'!$A$6:$A$10000,$N$3)</f>
        <v>0</v>
      </c>
      <c r="Q34" s="487">
        <f>SUMIFS('GSTR-2A'!$M$6:$M$10000,'GSTR-2A'!$B$6:$B$10000,$C$5:$C$4995,'GSTR-2A'!$A$6:$A$10000,$N$3)</f>
        <v>0</v>
      </c>
      <c r="R34" s="488">
        <f>SUMIFS('GSTR-2A'!$N$6:$N$10000,'GSTR-2A'!$B$6:$B$10000,$C$5:$C$4995,'GSTR-2A'!$A$6:$A$10000,$N$3)</f>
        <v>0</v>
      </c>
      <c r="S34" s="486">
        <f>SUMIFS('GSTR-2A'!$G$6:$G$10000,'GSTR-2A'!$B$6:$B$10000,$C$5:$C$4995,'GSTR-2A'!$A$6:$A$10000,$S$3)</f>
        <v>0</v>
      </c>
      <c r="T34" s="487">
        <f>SUMIFS('GSTR-2A'!$K$6:$K$10000,'GSTR-2A'!$B$6:$B$10000,$C$5:$C$4995,'GSTR-2A'!$A$6:$A$10000,$S$3)</f>
        <v>0</v>
      </c>
      <c r="U34" s="487">
        <f>SUMIFS('GSTR-2A'!$L$6:$L$10000,'GSTR-2A'!$B$6:$B$10000,$C$5:$C$4995,'GSTR-2A'!$A$6:$A$10000,$S$3)</f>
        <v>0</v>
      </c>
      <c r="V34" s="487">
        <f>SUMIFS('GSTR-2A'!$M$6:$M$10000,'GSTR-2A'!$B$6:$B$10000,$C$5:$C$4995,'GSTR-2A'!$A$6:$A$10000,$S$3)</f>
        <v>0</v>
      </c>
      <c r="W34" s="488">
        <f>SUMIFS('GSTR-2A'!$N$6:$N$10000,'GSTR-2A'!$B$6:$B$10000,$C$5:$C$4995,'GSTR-2A'!$A$6:$A$10000,$S$3)</f>
        <v>0</v>
      </c>
      <c r="X34" s="486">
        <f>SUMIFS('GSTR-2A'!$G$6:$G$10000,'GSTR-2A'!$B$6:$B$10000,$C$5:$C$4995,'GSTR-2A'!$A$6:$A$10000,$X$3)</f>
        <v>0</v>
      </c>
      <c r="Y34" s="487">
        <f>SUMIFS('GSTR-2A'!$K$6:$K$10000,'GSTR-2A'!$B$6:$B$10000,$C$5:$C$4995,'GSTR-2A'!$A$6:$A$10000,$X$3)</f>
        <v>0</v>
      </c>
      <c r="Z34" s="487">
        <f>SUMIFS('GSTR-2A'!$L$6:$L$10000,'GSTR-2A'!$B$6:$B$10000,$C$5:$C$4995,'GSTR-2A'!$A$6:$A$10000,$X$3)</f>
        <v>0</v>
      </c>
      <c r="AA34" s="487">
        <f>SUMIFS('GSTR-2A'!$M$6:$M$10000,'GSTR-2A'!$B$6:$B$10000,$C$5:$C$4995,'GSTR-2A'!$A$6:$A$10000,$X$3)</f>
        <v>0</v>
      </c>
      <c r="AB34" s="488">
        <f>SUMIFS('GSTR-2A'!$N$6:$N$10000,'GSTR-2A'!$B$6:$B$10000,$C$5:$C$4995,'GSTR-2A'!$A$6:$A$10000,$X$3)</f>
        <v>0</v>
      </c>
      <c r="AC34" s="486">
        <f>SUMIFS('GSTR-2A'!$G$6:$G$10000,'GSTR-2A'!$B$6:$B$10000,$C$5:$C$4995,'GSTR-2A'!$A$6:$A$10000,$AC$3)</f>
        <v>0</v>
      </c>
      <c r="AD34" s="487">
        <f>SUMIFS('GSTR-2A'!$K$6:$K$10000,'GSTR-2A'!$B$6:$B$10000,$C$5:$C$4995,'GSTR-2A'!$A$6:$A$10000,$AC$3)</f>
        <v>0</v>
      </c>
      <c r="AE34" s="487">
        <f>SUMIFS('GSTR-2A'!$L$6:$L$10000,'GSTR-2A'!$B$6:$B$10000,$C$5:$C$4995,'GSTR-2A'!$A$6:$A$10000,$AC$3)</f>
        <v>0</v>
      </c>
      <c r="AF34" s="487">
        <f>SUMIFS('GSTR-2A'!$M$6:$M$10000,'GSTR-2A'!$B$6:$B$10000,$C$5:$C$4995,'GSTR-2A'!$A$6:$A$10000,$AC$3)</f>
        <v>0</v>
      </c>
      <c r="AG34" s="488">
        <f>SUMIFS('GSTR-2A'!$N$6:$N$10000,'GSTR-2A'!$B$6:$B$10000,$C$5:$C$4995,'GSTR-2A'!$A$6:$A$10000,$AC$3)</f>
        <v>0</v>
      </c>
      <c r="AH34" s="486">
        <f>SUMIFS('GSTR-2A'!$G$6:$G$10000,'GSTR-2A'!$B$6:$B$10000,$C$5:$C$4995,'GSTR-2A'!$A$6:$A$10000,$AH$3)</f>
        <v>0</v>
      </c>
      <c r="AI34" s="487">
        <f>SUMIFS('GSTR-2A'!$K$6:$K$10000,'GSTR-2A'!$B$6:$B$10000,$C$5:$C$4995,'GSTR-2A'!$A$6:$A$10000,$AH$3)</f>
        <v>0</v>
      </c>
      <c r="AJ34" s="487">
        <f>SUMIFS('GSTR-2A'!$L$6:$L$10000,'GSTR-2A'!$B$6:$B$10000,$C$5:$C$4995,'GSTR-2A'!$A$6:$A$10000,$AH$3)</f>
        <v>0</v>
      </c>
      <c r="AK34" s="487">
        <f>SUMIFS('GSTR-2A'!$M$6:$M$10000,'GSTR-2A'!$B$6:$B$10000,$C$5:$C$4995,'GSTR-2A'!$A$6:$A$10000,$AH$3)</f>
        <v>0</v>
      </c>
      <c r="AL34" s="488">
        <f>SUMIFS('GSTR-2A'!$N$6:$N$10000,'GSTR-2A'!$B$6:$B$10000,$C$5:$C$4995,'GSTR-2A'!$A$6:$A$10000,$AH$3)</f>
        <v>0</v>
      </c>
      <c r="AM34" s="486">
        <f>SUMIFS('GSTR-2A'!$G$6:$G$10000,'GSTR-2A'!$B$6:$B$10000,$C$5:$C$4995,'GSTR-2A'!$A$6:$A$10000,$AM$3)</f>
        <v>0</v>
      </c>
      <c r="AN34" s="487">
        <f>SUMIFS('GSTR-2A'!$K$6:$K$10000,'GSTR-2A'!$B$6:$B$10000,$C$5:$C$4995,'GSTR-2A'!$A$6:$A$10000,$AM$3)</f>
        <v>0</v>
      </c>
      <c r="AO34" s="487">
        <f>SUMIFS('GSTR-2A'!$L$6:$L$10000,'GSTR-2A'!$B$6:$B$10000,$C$5:$C$4995,'GSTR-2A'!$A$6:$A$10000,$AM$3)</f>
        <v>0</v>
      </c>
      <c r="AP34" s="487">
        <f>SUMIFS('GSTR-2A'!$M$6:$M$10000,'GSTR-2A'!$B$6:$B$10000,$C$5:$C$4995,'GSTR-2A'!$A$6:$A$10000,$AM$3)</f>
        <v>0</v>
      </c>
      <c r="AQ34" s="488">
        <f>SUMIFS('GSTR-2A'!$N$6:$N$10000,'GSTR-2A'!$B$6:$B$10000,$C$5:$C$4995,'GSTR-2A'!$A$6:$A$10000,$AM$3)</f>
        <v>0</v>
      </c>
      <c r="AR34" s="486">
        <f>SUMIFS('GSTR-2A'!$G$6:$G$10000,'GSTR-2A'!$B$6:$B$10000,$C$5:$C$4995,'GSTR-2A'!$A$6:$A$10000,$AR$3)</f>
        <v>0</v>
      </c>
      <c r="AS34" s="487">
        <f>SUMIFS('GSTR-2A'!$K$6:$K$10000,'GSTR-2A'!$B$6:$B$10000,$C$5:$C$4995,'GSTR-2A'!$A$6:$A$10000,$AR$3)</f>
        <v>0</v>
      </c>
      <c r="AT34" s="487">
        <f>SUMIFS('GSTR-2A'!$L$6:$L$10000,'GSTR-2A'!$B$6:$B$10000,$C$5:$C$4995,'GSTR-2A'!$A$6:$A$10000,$AR$3)</f>
        <v>0</v>
      </c>
      <c r="AU34" s="487">
        <f>SUMIFS('GSTR-2A'!$M$6:$M$10000,'GSTR-2A'!$B$6:$B$10000,$C$5:$C$4995,'GSTR-2A'!$A$6:$A$10000,$AR$3)</f>
        <v>0</v>
      </c>
      <c r="AV34" s="488">
        <f>SUMIFS('GSTR-2A'!$N$6:$N$10000,'GSTR-2A'!$B$6:$B$10000,$C$5:$C$4995,'GSTR-2A'!$A$6:$A$10000,$AR$3)</f>
        <v>0</v>
      </c>
      <c r="AW34" s="486">
        <f>SUMIFS('GSTR-2A'!$G$6:$G$10000,'GSTR-2A'!$B$6:$B$10000,$C$5:$C$4995,'GSTR-2A'!$A$6:$A$10000,$AW$3)</f>
        <v>0</v>
      </c>
      <c r="AX34" s="487">
        <f>SUMIFS('GSTR-2A'!$K$6:$K$10000,'GSTR-2A'!$B$6:$B$10000,$C$5:$C$4995,'GSTR-2A'!$A$6:$A$10000,$AW$3)</f>
        <v>0</v>
      </c>
      <c r="AY34" s="487">
        <f>SUMIFS('GSTR-2A'!$L$6:$L$10000,'GSTR-2A'!$B$6:$B$10000,$C$5:$C$4995,'GSTR-2A'!$A$6:$A$10000,$AW$3)</f>
        <v>0</v>
      </c>
      <c r="AZ34" s="487">
        <f>SUMIFS('GSTR-2A'!$M$6:$M$10000,'GSTR-2A'!$B$6:$B$10000,$C$5:$C$4995,'GSTR-2A'!$A$6:$A$10000,$AW$3)</f>
        <v>0</v>
      </c>
      <c r="BA34" s="488">
        <f>SUMIFS('GSTR-2A'!$N$6:$N$10000,'GSTR-2A'!$B$6:$B$10000,$C$5:$C$4995,'GSTR-2A'!$A$6:$A$10000,$AW$3)</f>
        <v>0</v>
      </c>
      <c r="BB34" s="486">
        <f>SUMIFS('GSTR-2A'!$G$6:$G$10000,'GSTR-2A'!$B$6:$B$10000,$C$5:$C$4995,'GSTR-2A'!$A$6:$A$10000,$BB$3)</f>
        <v>0</v>
      </c>
      <c r="BC34" s="487">
        <f>SUMIFS('GSTR-2A'!$K$6:$K$10000,'GSTR-2A'!$B$6:$B$10000,$C$5:$C$4995,'GSTR-2A'!$A$6:$A$10000,$BB$3)</f>
        <v>0</v>
      </c>
      <c r="BD34" s="487">
        <f>SUMIFS('GSTR-2A'!$L$6:$L$10000,'GSTR-2A'!$B$6:$B$10000,$C$5:$C$4995,'GSTR-2A'!$A$6:$A$10000,$BB$3)</f>
        <v>0</v>
      </c>
      <c r="BE34" s="487">
        <f>SUMIFS('GSTR-2A'!$M$6:$M$10000,'GSTR-2A'!$B$6:$B$10000,$C$5:$C$4995,'GSTR-2A'!$A$6:$A$10000,$BB$3)</f>
        <v>0</v>
      </c>
      <c r="BF34" s="488">
        <f>SUMIFS('GSTR-2A'!$N$6:$N$10000,'GSTR-2A'!$B$6:$B$10000,$C$5:$C$4995,'GSTR-2A'!$A$6:$A$10000,$BB$3)</f>
        <v>0</v>
      </c>
      <c r="BG34" s="486">
        <f>SUMIFS('GSTR-2A'!$G$6:$G$10000,'GSTR-2A'!$B$6:$B$10000,$C$5:$C$4995,'GSTR-2A'!$A$6:$A$10000,$BG$3)</f>
        <v>0</v>
      </c>
      <c r="BH34" s="487">
        <f>SUMIFS('GSTR-2A'!$K$6:$K$10000,'GSTR-2A'!$B$6:$B$10000,$C$5:$C$4995,'GSTR-2A'!$A$6:$A$10000,$BG$3)</f>
        <v>0</v>
      </c>
      <c r="BI34" s="487">
        <f>SUMIFS('GSTR-2A'!$L$6:$L$10000,'GSTR-2A'!$B$6:$B$10000,$C$5:$C$4995,'GSTR-2A'!$A$6:$A$10000,$BG$3)</f>
        <v>0</v>
      </c>
      <c r="BJ34" s="487">
        <f>SUMIFS('GSTR-2A'!$M$6:$M$10000,'GSTR-2A'!$B$6:$B$10000,$C$5:$C$4995,'GSTR-2A'!$A$6:$A$10000,$BG$3)</f>
        <v>0</v>
      </c>
      <c r="BK34" s="488">
        <f>SUMIFS('GSTR-2A'!$N$6:$N$10000,'GSTR-2A'!$B$6:$B$10000,$C$5:$C$4995,'GSTR-2A'!$A$6:$A$10000,$BG$3)</f>
        <v>0</v>
      </c>
      <c r="BL34" s="72">
        <f t="shared" si="2"/>
        <v>0</v>
      </c>
      <c r="BM34" s="72">
        <f t="shared" si="3"/>
        <v>0</v>
      </c>
      <c r="BN34" s="72">
        <f t="shared" si="4"/>
        <v>0</v>
      </c>
      <c r="BO34" s="72">
        <f t="shared" si="5"/>
        <v>0</v>
      </c>
      <c r="BP34" s="72">
        <f t="shared" si="6"/>
        <v>0</v>
      </c>
    </row>
    <row r="35" spans="1:68" x14ac:dyDescent="0.2">
      <c r="A35" s="467">
        <v>31</v>
      </c>
      <c r="B35" s="468" t="s">
        <v>1088</v>
      </c>
      <c r="C35" s="469" t="s">
        <v>1089</v>
      </c>
      <c r="D35" s="72">
        <f>SUMIFS('GSTR-2A'!$G$6:$G$10000,'GSTR-2A'!$B$6:$B$10000,$C$5:$C$4995,'GSTR-2A'!$A$6:$A$10000,$D$3)</f>
        <v>0</v>
      </c>
      <c r="E35" s="72">
        <f>SUMIFS('GSTR-2A'!$K$6:$K$10000,'GSTR-2A'!$B$6:$B$10000,$C$5:$C$4995,'GSTR-2A'!$A$6:$A$10000,$D$3)</f>
        <v>0</v>
      </c>
      <c r="F35" s="72">
        <f>SUMIFS('GSTR-2A'!$L$6:$L$10000,'GSTR-2A'!$B$6:$B$10000,$C$5:$C$4995,'GSTR-2A'!$A$6:$A$10000,$D$3)</f>
        <v>0</v>
      </c>
      <c r="G35" s="72">
        <f>SUMIFS('GSTR-2A'!$M$6:$M$10000,'GSTR-2A'!$B$6:$B$10000,$C$5:$C$4995,'GSTR-2A'!$A$6:$A$10000,$D$3)</f>
        <v>0</v>
      </c>
      <c r="H35" s="72">
        <f>SUMIFS('GSTR-2A'!$N$6:$N$10000,'GSTR-2A'!$B$6:$B$10000,$C$5:$C$4995,'GSTR-2A'!$A$6:$A$10000,$D$3)</f>
        <v>0</v>
      </c>
      <c r="I35" s="486">
        <f>SUMIFS('GSTR-2A'!$G$6:$G$10000,'GSTR-2A'!$B$6:$B$10000,$C$5:$C$4995,'GSTR-2A'!$A$6:$A$10000,$I$3)</f>
        <v>0</v>
      </c>
      <c r="J35" s="487">
        <f>SUMIFS('GSTR-2A'!$K$6:$K$10000,'GSTR-2A'!$B$6:$B$10000,$C$5:$C$4995,'GSTR-2A'!$A$6:$A$10000,$I$3)</f>
        <v>0</v>
      </c>
      <c r="K35" s="487">
        <f>SUMIFS('GSTR-2A'!$L$6:$L$10000,'GSTR-2A'!$B$6:$B$10000,$C$5:$C$4995,'GSTR-2A'!$A$6:$A$10000,$I$3)</f>
        <v>0</v>
      </c>
      <c r="L35" s="487">
        <f>SUMIFS('GSTR-2A'!$M$6:$M$10000,'GSTR-2A'!$B$6:$B$10000,$C$5:$C$4995,'GSTR-2A'!$A$6:$A$10000,$I$3)</f>
        <v>0</v>
      </c>
      <c r="M35" s="488">
        <f>SUMIFS('GSTR-2A'!$N$6:$N$10000,'GSTR-2A'!$B$6:$B$10000,$C$5:$C$4995,'GSTR-2A'!$A$6:$A$10000,$I$3)</f>
        <v>0</v>
      </c>
      <c r="N35" s="486">
        <f>SUMIFS('GSTR-2A'!$G$6:$G$10000,'GSTR-2A'!$B$6:$B$10000,$C$5:$C$4995,'GSTR-2A'!$A$6:$A$10000,$N$3)</f>
        <v>0</v>
      </c>
      <c r="O35" s="487">
        <f>SUMIFS('GSTR-2A'!$K$6:$K$10000,'GSTR-2A'!$B$6:$B$10000,$C$5:$C$4995,'GSTR-2A'!$A$6:$A$10000,$N$3)</f>
        <v>0</v>
      </c>
      <c r="P35" s="487">
        <f>SUMIFS('GSTR-2A'!$L$6:$L$10000,'GSTR-2A'!$B$6:$B$10000,$C$5:$C$4995,'GSTR-2A'!$A$6:$A$10000,$N$3)</f>
        <v>0</v>
      </c>
      <c r="Q35" s="487">
        <f>SUMIFS('GSTR-2A'!$M$6:$M$10000,'GSTR-2A'!$B$6:$B$10000,$C$5:$C$4995,'GSTR-2A'!$A$6:$A$10000,$N$3)</f>
        <v>0</v>
      </c>
      <c r="R35" s="488">
        <f>SUMIFS('GSTR-2A'!$N$6:$N$10000,'GSTR-2A'!$B$6:$B$10000,$C$5:$C$4995,'GSTR-2A'!$A$6:$A$10000,$N$3)</f>
        <v>0</v>
      </c>
      <c r="S35" s="486">
        <f>SUMIFS('GSTR-2A'!$G$6:$G$10000,'GSTR-2A'!$B$6:$B$10000,$C$5:$C$4995,'GSTR-2A'!$A$6:$A$10000,$S$3)</f>
        <v>0</v>
      </c>
      <c r="T35" s="487">
        <f>SUMIFS('GSTR-2A'!$K$6:$K$10000,'GSTR-2A'!$B$6:$B$10000,$C$5:$C$4995,'GSTR-2A'!$A$6:$A$10000,$S$3)</f>
        <v>0</v>
      </c>
      <c r="U35" s="487">
        <f>SUMIFS('GSTR-2A'!$L$6:$L$10000,'GSTR-2A'!$B$6:$B$10000,$C$5:$C$4995,'GSTR-2A'!$A$6:$A$10000,$S$3)</f>
        <v>0</v>
      </c>
      <c r="V35" s="487">
        <f>SUMIFS('GSTR-2A'!$M$6:$M$10000,'GSTR-2A'!$B$6:$B$10000,$C$5:$C$4995,'GSTR-2A'!$A$6:$A$10000,$S$3)</f>
        <v>0</v>
      </c>
      <c r="W35" s="488">
        <f>SUMIFS('GSTR-2A'!$N$6:$N$10000,'GSTR-2A'!$B$6:$B$10000,$C$5:$C$4995,'GSTR-2A'!$A$6:$A$10000,$S$3)</f>
        <v>0</v>
      </c>
      <c r="X35" s="486">
        <f>SUMIFS('GSTR-2A'!$G$6:$G$10000,'GSTR-2A'!$B$6:$B$10000,$C$5:$C$4995,'GSTR-2A'!$A$6:$A$10000,$X$3)</f>
        <v>0</v>
      </c>
      <c r="Y35" s="487">
        <f>SUMIFS('GSTR-2A'!$K$6:$K$10000,'GSTR-2A'!$B$6:$B$10000,$C$5:$C$4995,'GSTR-2A'!$A$6:$A$10000,$X$3)</f>
        <v>0</v>
      </c>
      <c r="Z35" s="487">
        <f>SUMIFS('GSTR-2A'!$L$6:$L$10000,'GSTR-2A'!$B$6:$B$10000,$C$5:$C$4995,'GSTR-2A'!$A$6:$A$10000,$X$3)</f>
        <v>0</v>
      </c>
      <c r="AA35" s="487">
        <f>SUMIFS('GSTR-2A'!$M$6:$M$10000,'GSTR-2A'!$B$6:$B$10000,$C$5:$C$4995,'GSTR-2A'!$A$6:$A$10000,$X$3)</f>
        <v>0</v>
      </c>
      <c r="AB35" s="488">
        <f>SUMIFS('GSTR-2A'!$N$6:$N$10000,'GSTR-2A'!$B$6:$B$10000,$C$5:$C$4995,'GSTR-2A'!$A$6:$A$10000,$X$3)</f>
        <v>0</v>
      </c>
      <c r="AC35" s="486">
        <f>SUMIFS('GSTR-2A'!$G$6:$G$10000,'GSTR-2A'!$B$6:$B$10000,$C$5:$C$4995,'GSTR-2A'!$A$6:$A$10000,$AC$3)</f>
        <v>0</v>
      </c>
      <c r="AD35" s="487">
        <f>SUMIFS('GSTR-2A'!$K$6:$K$10000,'GSTR-2A'!$B$6:$B$10000,$C$5:$C$4995,'GSTR-2A'!$A$6:$A$10000,$AC$3)</f>
        <v>0</v>
      </c>
      <c r="AE35" s="487">
        <f>SUMIFS('GSTR-2A'!$L$6:$L$10000,'GSTR-2A'!$B$6:$B$10000,$C$5:$C$4995,'GSTR-2A'!$A$6:$A$10000,$AC$3)</f>
        <v>0</v>
      </c>
      <c r="AF35" s="487">
        <f>SUMIFS('GSTR-2A'!$M$6:$M$10000,'GSTR-2A'!$B$6:$B$10000,$C$5:$C$4995,'GSTR-2A'!$A$6:$A$10000,$AC$3)</f>
        <v>0</v>
      </c>
      <c r="AG35" s="488">
        <f>SUMIFS('GSTR-2A'!$N$6:$N$10000,'GSTR-2A'!$B$6:$B$10000,$C$5:$C$4995,'GSTR-2A'!$A$6:$A$10000,$AC$3)</f>
        <v>0</v>
      </c>
      <c r="AH35" s="486">
        <f>SUMIFS('GSTR-2A'!$G$6:$G$10000,'GSTR-2A'!$B$6:$B$10000,$C$5:$C$4995,'GSTR-2A'!$A$6:$A$10000,$AH$3)</f>
        <v>0</v>
      </c>
      <c r="AI35" s="487">
        <f>SUMIFS('GSTR-2A'!$K$6:$K$10000,'GSTR-2A'!$B$6:$B$10000,$C$5:$C$4995,'GSTR-2A'!$A$6:$A$10000,$AH$3)</f>
        <v>0</v>
      </c>
      <c r="AJ35" s="487">
        <f>SUMIFS('GSTR-2A'!$L$6:$L$10000,'GSTR-2A'!$B$6:$B$10000,$C$5:$C$4995,'GSTR-2A'!$A$6:$A$10000,$AH$3)</f>
        <v>0</v>
      </c>
      <c r="AK35" s="487">
        <f>SUMIFS('GSTR-2A'!$M$6:$M$10000,'GSTR-2A'!$B$6:$B$10000,$C$5:$C$4995,'GSTR-2A'!$A$6:$A$10000,$AH$3)</f>
        <v>0</v>
      </c>
      <c r="AL35" s="488">
        <f>SUMIFS('GSTR-2A'!$N$6:$N$10000,'GSTR-2A'!$B$6:$B$10000,$C$5:$C$4995,'GSTR-2A'!$A$6:$A$10000,$AH$3)</f>
        <v>0</v>
      </c>
      <c r="AM35" s="486">
        <f>SUMIFS('GSTR-2A'!$G$6:$G$10000,'GSTR-2A'!$B$6:$B$10000,$C$5:$C$4995,'GSTR-2A'!$A$6:$A$10000,$AM$3)</f>
        <v>0</v>
      </c>
      <c r="AN35" s="487">
        <f>SUMIFS('GSTR-2A'!$K$6:$K$10000,'GSTR-2A'!$B$6:$B$10000,$C$5:$C$4995,'GSTR-2A'!$A$6:$A$10000,$AM$3)</f>
        <v>0</v>
      </c>
      <c r="AO35" s="487">
        <f>SUMIFS('GSTR-2A'!$L$6:$L$10000,'GSTR-2A'!$B$6:$B$10000,$C$5:$C$4995,'GSTR-2A'!$A$6:$A$10000,$AM$3)</f>
        <v>0</v>
      </c>
      <c r="AP35" s="487">
        <f>SUMIFS('GSTR-2A'!$M$6:$M$10000,'GSTR-2A'!$B$6:$B$10000,$C$5:$C$4995,'GSTR-2A'!$A$6:$A$10000,$AM$3)</f>
        <v>0</v>
      </c>
      <c r="AQ35" s="488">
        <f>SUMIFS('GSTR-2A'!$N$6:$N$10000,'GSTR-2A'!$B$6:$B$10000,$C$5:$C$4995,'GSTR-2A'!$A$6:$A$10000,$AM$3)</f>
        <v>0</v>
      </c>
      <c r="AR35" s="486">
        <f>SUMIFS('GSTR-2A'!$G$6:$G$10000,'GSTR-2A'!$B$6:$B$10000,$C$5:$C$4995,'GSTR-2A'!$A$6:$A$10000,$AR$3)</f>
        <v>0</v>
      </c>
      <c r="AS35" s="487">
        <f>SUMIFS('GSTR-2A'!$K$6:$K$10000,'GSTR-2A'!$B$6:$B$10000,$C$5:$C$4995,'GSTR-2A'!$A$6:$A$10000,$AR$3)</f>
        <v>0</v>
      </c>
      <c r="AT35" s="487">
        <f>SUMIFS('GSTR-2A'!$L$6:$L$10000,'GSTR-2A'!$B$6:$B$10000,$C$5:$C$4995,'GSTR-2A'!$A$6:$A$10000,$AR$3)</f>
        <v>0</v>
      </c>
      <c r="AU35" s="487">
        <f>SUMIFS('GSTR-2A'!$M$6:$M$10000,'GSTR-2A'!$B$6:$B$10000,$C$5:$C$4995,'GSTR-2A'!$A$6:$A$10000,$AR$3)</f>
        <v>0</v>
      </c>
      <c r="AV35" s="488">
        <f>SUMIFS('GSTR-2A'!$N$6:$N$10000,'GSTR-2A'!$B$6:$B$10000,$C$5:$C$4995,'GSTR-2A'!$A$6:$A$10000,$AR$3)</f>
        <v>0</v>
      </c>
      <c r="AW35" s="486">
        <f>SUMIFS('GSTR-2A'!$G$6:$G$10000,'GSTR-2A'!$B$6:$B$10000,$C$5:$C$4995,'GSTR-2A'!$A$6:$A$10000,$AW$3)</f>
        <v>0</v>
      </c>
      <c r="AX35" s="487">
        <f>SUMIFS('GSTR-2A'!$K$6:$K$10000,'GSTR-2A'!$B$6:$B$10000,$C$5:$C$4995,'GSTR-2A'!$A$6:$A$10000,$AW$3)</f>
        <v>0</v>
      </c>
      <c r="AY35" s="487">
        <f>SUMIFS('GSTR-2A'!$L$6:$L$10000,'GSTR-2A'!$B$6:$B$10000,$C$5:$C$4995,'GSTR-2A'!$A$6:$A$10000,$AW$3)</f>
        <v>0</v>
      </c>
      <c r="AZ35" s="487">
        <f>SUMIFS('GSTR-2A'!$M$6:$M$10000,'GSTR-2A'!$B$6:$B$10000,$C$5:$C$4995,'GSTR-2A'!$A$6:$A$10000,$AW$3)</f>
        <v>0</v>
      </c>
      <c r="BA35" s="488">
        <f>SUMIFS('GSTR-2A'!$N$6:$N$10000,'GSTR-2A'!$B$6:$B$10000,$C$5:$C$4995,'GSTR-2A'!$A$6:$A$10000,$AW$3)</f>
        <v>0</v>
      </c>
      <c r="BB35" s="486">
        <f>SUMIFS('GSTR-2A'!$G$6:$G$10000,'GSTR-2A'!$B$6:$B$10000,$C$5:$C$4995,'GSTR-2A'!$A$6:$A$10000,$BB$3)</f>
        <v>0</v>
      </c>
      <c r="BC35" s="487">
        <f>SUMIFS('GSTR-2A'!$K$6:$K$10000,'GSTR-2A'!$B$6:$B$10000,$C$5:$C$4995,'GSTR-2A'!$A$6:$A$10000,$BB$3)</f>
        <v>0</v>
      </c>
      <c r="BD35" s="487">
        <f>SUMIFS('GSTR-2A'!$L$6:$L$10000,'GSTR-2A'!$B$6:$B$10000,$C$5:$C$4995,'GSTR-2A'!$A$6:$A$10000,$BB$3)</f>
        <v>0</v>
      </c>
      <c r="BE35" s="487">
        <f>SUMIFS('GSTR-2A'!$M$6:$M$10000,'GSTR-2A'!$B$6:$B$10000,$C$5:$C$4995,'GSTR-2A'!$A$6:$A$10000,$BB$3)</f>
        <v>0</v>
      </c>
      <c r="BF35" s="488">
        <f>SUMIFS('GSTR-2A'!$N$6:$N$10000,'GSTR-2A'!$B$6:$B$10000,$C$5:$C$4995,'GSTR-2A'!$A$6:$A$10000,$BB$3)</f>
        <v>0</v>
      </c>
      <c r="BG35" s="486">
        <f>SUMIFS('GSTR-2A'!$G$6:$G$10000,'GSTR-2A'!$B$6:$B$10000,$C$5:$C$4995,'GSTR-2A'!$A$6:$A$10000,$BG$3)</f>
        <v>0</v>
      </c>
      <c r="BH35" s="487">
        <f>SUMIFS('GSTR-2A'!$K$6:$K$10000,'GSTR-2A'!$B$6:$B$10000,$C$5:$C$4995,'GSTR-2A'!$A$6:$A$10000,$BG$3)</f>
        <v>0</v>
      </c>
      <c r="BI35" s="487">
        <f>SUMIFS('GSTR-2A'!$L$6:$L$10000,'GSTR-2A'!$B$6:$B$10000,$C$5:$C$4995,'GSTR-2A'!$A$6:$A$10000,$BG$3)</f>
        <v>0</v>
      </c>
      <c r="BJ35" s="487">
        <f>SUMIFS('GSTR-2A'!$M$6:$M$10000,'GSTR-2A'!$B$6:$B$10000,$C$5:$C$4995,'GSTR-2A'!$A$6:$A$10000,$BG$3)</f>
        <v>0</v>
      </c>
      <c r="BK35" s="488">
        <f>SUMIFS('GSTR-2A'!$N$6:$N$10000,'GSTR-2A'!$B$6:$B$10000,$C$5:$C$4995,'GSTR-2A'!$A$6:$A$10000,$BG$3)</f>
        <v>0</v>
      </c>
      <c r="BL35" s="72">
        <f t="shared" si="2"/>
        <v>0</v>
      </c>
      <c r="BM35" s="72">
        <f t="shared" si="3"/>
        <v>0</v>
      </c>
      <c r="BN35" s="72">
        <f t="shared" si="4"/>
        <v>0</v>
      </c>
      <c r="BO35" s="72">
        <f t="shared" si="5"/>
        <v>0</v>
      </c>
      <c r="BP35" s="72">
        <f t="shared" si="6"/>
        <v>0</v>
      </c>
    </row>
    <row r="36" spans="1:68" x14ac:dyDescent="0.2">
      <c r="A36" s="467">
        <v>32</v>
      </c>
      <c r="B36" s="468" t="s">
        <v>1090</v>
      </c>
      <c r="C36" s="469" t="s">
        <v>1091</v>
      </c>
      <c r="D36" s="72">
        <f>SUMIFS('GSTR-2A'!$G$6:$G$10000,'GSTR-2A'!$B$6:$B$10000,$C$5:$C$4995,'GSTR-2A'!$A$6:$A$10000,$D$3)</f>
        <v>0</v>
      </c>
      <c r="E36" s="72">
        <f>SUMIFS('GSTR-2A'!$K$6:$K$10000,'GSTR-2A'!$B$6:$B$10000,$C$5:$C$4995,'GSTR-2A'!$A$6:$A$10000,$D$3)</f>
        <v>0</v>
      </c>
      <c r="F36" s="72">
        <f>SUMIFS('GSTR-2A'!$L$6:$L$10000,'GSTR-2A'!$B$6:$B$10000,$C$5:$C$4995,'GSTR-2A'!$A$6:$A$10000,$D$3)</f>
        <v>0</v>
      </c>
      <c r="G36" s="72">
        <f>SUMIFS('GSTR-2A'!$M$6:$M$10000,'GSTR-2A'!$B$6:$B$10000,$C$5:$C$4995,'GSTR-2A'!$A$6:$A$10000,$D$3)</f>
        <v>0</v>
      </c>
      <c r="H36" s="72">
        <f>SUMIFS('GSTR-2A'!$N$6:$N$10000,'GSTR-2A'!$B$6:$B$10000,$C$5:$C$4995,'GSTR-2A'!$A$6:$A$10000,$D$3)</f>
        <v>0</v>
      </c>
      <c r="I36" s="486">
        <f>SUMIFS('GSTR-2A'!$G$6:$G$10000,'GSTR-2A'!$B$6:$B$10000,$C$5:$C$4995,'GSTR-2A'!$A$6:$A$10000,$I$3)</f>
        <v>0</v>
      </c>
      <c r="J36" s="487">
        <f>SUMIFS('GSTR-2A'!$K$6:$K$10000,'GSTR-2A'!$B$6:$B$10000,$C$5:$C$4995,'GSTR-2A'!$A$6:$A$10000,$I$3)</f>
        <v>0</v>
      </c>
      <c r="K36" s="487">
        <f>SUMIFS('GSTR-2A'!$L$6:$L$10000,'GSTR-2A'!$B$6:$B$10000,$C$5:$C$4995,'GSTR-2A'!$A$6:$A$10000,$I$3)</f>
        <v>0</v>
      </c>
      <c r="L36" s="487">
        <f>SUMIFS('GSTR-2A'!$M$6:$M$10000,'GSTR-2A'!$B$6:$B$10000,$C$5:$C$4995,'GSTR-2A'!$A$6:$A$10000,$I$3)</f>
        <v>0</v>
      </c>
      <c r="M36" s="488">
        <f>SUMIFS('GSTR-2A'!$N$6:$N$10000,'GSTR-2A'!$B$6:$B$10000,$C$5:$C$4995,'GSTR-2A'!$A$6:$A$10000,$I$3)</f>
        <v>0</v>
      </c>
      <c r="N36" s="486">
        <f>SUMIFS('GSTR-2A'!$G$6:$G$10000,'GSTR-2A'!$B$6:$B$10000,$C$5:$C$4995,'GSTR-2A'!$A$6:$A$10000,$N$3)</f>
        <v>0</v>
      </c>
      <c r="O36" s="487">
        <f>SUMIFS('GSTR-2A'!$K$6:$K$10000,'GSTR-2A'!$B$6:$B$10000,$C$5:$C$4995,'GSTR-2A'!$A$6:$A$10000,$N$3)</f>
        <v>0</v>
      </c>
      <c r="P36" s="487">
        <f>SUMIFS('GSTR-2A'!$L$6:$L$10000,'GSTR-2A'!$B$6:$B$10000,$C$5:$C$4995,'GSTR-2A'!$A$6:$A$10000,$N$3)</f>
        <v>0</v>
      </c>
      <c r="Q36" s="487">
        <f>SUMIFS('GSTR-2A'!$M$6:$M$10000,'GSTR-2A'!$B$6:$B$10000,$C$5:$C$4995,'GSTR-2A'!$A$6:$A$10000,$N$3)</f>
        <v>0</v>
      </c>
      <c r="R36" s="488">
        <f>SUMIFS('GSTR-2A'!$N$6:$N$10000,'GSTR-2A'!$B$6:$B$10000,$C$5:$C$4995,'GSTR-2A'!$A$6:$A$10000,$N$3)</f>
        <v>0</v>
      </c>
      <c r="S36" s="486">
        <f>SUMIFS('GSTR-2A'!$G$6:$G$10000,'GSTR-2A'!$B$6:$B$10000,$C$5:$C$4995,'GSTR-2A'!$A$6:$A$10000,$S$3)</f>
        <v>0</v>
      </c>
      <c r="T36" s="487">
        <f>SUMIFS('GSTR-2A'!$K$6:$K$10000,'GSTR-2A'!$B$6:$B$10000,$C$5:$C$4995,'GSTR-2A'!$A$6:$A$10000,$S$3)</f>
        <v>0</v>
      </c>
      <c r="U36" s="487">
        <f>SUMIFS('GSTR-2A'!$L$6:$L$10000,'GSTR-2A'!$B$6:$B$10000,$C$5:$C$4995,'GSTR-2A'!$A$6:$A$10000,$S$3)</f>
        <v>0</v>
      </c>
      <c r="V36" s="487">
        <f>SUMIFS('GSTR-2A'!$M$6:$M$10000,'GSTR-2A'!$B$6:$B$10000,$C$5:$C$4995,'GSTR-2A'!$A$6:$A$10000,$S$3)</f>
        <v>0</v>
      </c>
      <c r="W36" s="488">
        <f>SUMIFS('GSTR-2A'!$N$6:$N$10000,'GSTR-2A'!$B$6:$B$10000,$C$5:$C$4995,'GSTR-2A'!$A$6:$A$10000,$S$3)</f>
        <v>0</v>
      </c>
      <c r="X36" s="486">
        <f>SUMIFS('GSTR-2A'!$G$6:$G$10000,'GSTR-2A'!$B$6:$B$10000,$C$5:$C$4995,'GSTR-2A'!$A$6:$A$10000,$X$3)</f>
        <v>0</v>
      </c>
      <c r="Y36" s="487">
        <f>SUMIFS('GSTR-2A'!$K$6:$K$10000,'GSTR-2A'!$B$6:$B$10000,$C$5:$C$4995,'GSTR-2A'!$A$6:$A$10000,$X$3)</f>
        <v>0</v>
      </c>
      <c r="Z36" s="487">
        <f>SUMIFS('GSTR-2A'!$L$6:$L$10000,'GSTR-2A'!$B$6:$B$10000,$C$5:$C$4995,'GSTR-2A'!$A$6:$A$10000,$X$3)</f>
        <v>0</v>
      </c>
      <c r="AA36" s="487">
        <f>SUMIFS('GSTR-2A'!$M$6:$M$10000,'GSTR-2A'!$B$6:$B$10000,$C$5:$C$4995,'GSTR-2A'!$A$6:$A$10000,$X$3)</f>
        <v>0</v>
      </c>
      <c r="AB36" s="488">
        <f>SUMIFS('GSTR-2A'!$N$6:$N$10000,'GSTR-2A'!$B$6:$B$10000,$C$5:$C$4995,'GSTR-2A'!$A$6:$A$10000,$X$3)</f>
        <v>0</v>
      </c>
      <c r="AC36" s="486">
        <f>SUMIFS('GSTR-2A'!$G$6:$G$10000,'GSTR-2A'!$B$6:$B$10000,$C$5:$C$4995,'GSTR-2A'!$A$6:$A$10000,$AC$3)</f>
        <v>0</v>
      </c>
      <c r="AD36" s="487">
        <f>SUMIFS('GSTR-2A'!$K$6:$K$10000,'GSTR-2A'!$B$6:$B$10000,$C$5:$C$4995,'GSTR-2A'!$A$6:$A$10000,$AC$3)</f>
        <v>0</v>
      </c>
      <c r="AE36" s="487">
        <f>SUMIFS('GSTR-2A'!$L$6:$L$10000,'GSTR-2A'!$B$6:$B$10000,$C$5:$C$4995,'GSTR-2A'!$A$6:$A$10000,$AC$3)</f>
        <v>0</v>
      </c>
      <c r="AF36" s="487">
        <f>SUMIFS('GSTR-2A'!$M$6:$M$10000,'GSTR-2A'!$B$6:$B$10000,$C$5:$C$4995,'GSTR-2A'!$A$6:$A$10000,$AC$3)</f>
        <v>0</v>
      </c>
      <c r="AG36" s="488">
        <f>SUMIFS('GSTR-2A'!$N$6:$N$10000,'GSTR-2A'!$B$6:$B$10000,$C$5:$C$4995,'GSTR-2A'!$A$6:$A$10000,$AC$3)</f>
        <v>0</v>
      </c>
      <c r="AH36" s="486">
        <f>SUMIFS('GSTR-2A'!$G$6:$G$10000,'GSTR-2A'!$B$6:$B$10000,$C$5:$C$4995,'GSTR-2A'!$A$6:$A$10000,$AH$3)</f>
        <v>0</v>
      </c>
      <c r="AI36" s="487">
        <f>SUMIFS('GSTR-2A'!$K$6:$K$10000,'GSTR-2A'!$B$6:$B$10000,$C$5:$C$4995,'GSTR-2A'!$A$6:$A$10000,$AH$3)</f>
        <v>0</v>
      </c>
      <c r="AJ36" s="487">
        <f>SUMIFS('GSTR-2A'!$L$6:$L$10000,'GSTR-2A'!$B$6:$B$10000,$C$5:$C$4995,'GSTR-2A'!$A$6:$A$10000,$AH$3)</f>
        <v>0</v>
      </c>
      <c r="AK36" s="487">
        <f>SUMIFS('GSTR-2A'!$M$6:$M$10000,'GSTR-2A'!$B$6:$B$10000,$C$5:$C$4995,'GSTR-2A'!$A$6:$A$10000,$AH$3)</f>
        <v>0</v>
      </c>
      <c r="AL36" s="488">
        <f>SUMIFS('GSTR-2A'!$N$6:$N$10000,'GSTR-2A'!$B$6:$B$10000,$C$5:$C$4995,'GSTR-2A'!$A$6:$A$10000,$AH$3)</f>
        <v>0</v>
      </c>
      <c r="AM36" s="486">
        <f>SUMIFS('GSTR-2A'!$G$6:$G$10000,'GSTR-2A'!$B$6:$B$10000,$C$5:$C$4995,'GSTR-2A'!$A$6:$A$10000,$AM$3)</f>
        <v>0</v>
      </c>
      <c r="AN36" s="487">
        <f>SUMIFS('GSTR-2A'!$K$6:$K$10000,'GSTR-2A'!$B$6:$B$10000,$C$5:$C$4995,'GSTR-2A'!$A$6:$A$10000,$AM$3)</f>
        <v>0</v>
      </c>
      <c r="AO36" s="487">
        <f>SUMIFS('GSTR-2A'!$L$6:$L$10000,'GSTR-2A'!$B$6:$B$10000,$C$5:$C$4995,'GSTR-2A'!$A$6:$A$10000,$AM$3)</f>
        <v>0</v>
      </c>
      <c r="AP36" s="487">
        <f>SUMIFS('GSTR-2A'!$M$6:$M$10000,'GSTR-2A'!$B$6:$B$10000,$C$5:$C$4995,'GSTR-2A'!$A$6:$A$10000,$AM$3)</f>
        <v>0</v>
      </c>
      <c r="AQ36" s="488">
        <f>SUMIFS('GSTR-2A'!$N$6:$N$10000,'GSTR-2A'!$B$6:$B$10000,$C$5:$C$4995,'GSTR-2A'!$A$6:$A$10000,$AM$3)</f>
        <v>0</v>
      </c>
      <c r="AR36" s="486">
        <f>SUMIFS('GSTR-2A'!$G$6:$G$10000,'GSTR-2A'!$B$6:$B$10000,$C$5:$C$4995,'GSTR-2A'!$A$6:$A$10000,$AR$3)</f>
        <v>0</v>
      </c>
      <c r="AS36" s="487">
        <f>SUMIFS('GSTR-2A'!$K$6:$K$10000,'GSTR-2A'!$B$6:$B$10000,$C$5:$C$4995,'GSTR-2A'!$A$6:$A$10000,$AR$3)</f>
        <v>0</v>
      </c>
      <c r="AT36" s="487">
        <f>SUMIFS('GSTR-2A'!$L$6:$L$10000,'GSTR-2A'!$B$6:$B$10000,$C$5:$C$4995,'GSTR-2A'!$A$6:$A$10000,$AR$3)</f>
        <v>0</v>
      </c>
      <c r="AU36" s="487">
        <f>SUMIFS('GSTR-2A'!$M$6:$M$10000,'GSTR-2A'!$B$6:$B$10000,$C$5:$C$4995,'GSTR-2A'!$A$6:$A$10000,$AR$3)</f>
        <v>0</v>
      </c>
      <c r="AV36" s="488">
        <f>SUMIFS('GSTR-2A'!$N$6:$N$10000,'GSTR-2A'!$B$6:$B$10000,$C$5:$C$4995,'GSTR-2A'!$A$6:$A$10000,$AR$3)</f>
        <v>0</v>
      </c>
      <c r="AW36" s="486">
        <f>SUMIFS('GSTR-2A'!$G$6:$G$10000,'GSTR-2A'!$B$6:$B$10000,$C$5:$C$4995,'GSTR-2A'!$A$6:$A$10000,$AW$3)</f>
        <v>0</v>
      </c>
      <c r="AX36" s="487">
        <f>SUMIFS('GSTR-2A'!$K$6:$K$10000,'GSTR-2A'!$B$6:$B$10000,$C$5:$C$4995,'GSTR-2A'!$A$6:$A$10000,$AW$3)</f>
        <v>0</v>
      </c>
      <c r="AY36" s="487">
        <f>SUMIFS('GSTR-2A'!$L$6:$L$10000,'GSTR-2A'!$B$6:$B$10000,$C$5:$C$4995,'GSTR-2A'!$A$6:$A$10000,$AW$3)</f>
        <v>0</v>
      </c>
      <c r="AZ36" s="487">
        <f>SUMIFS('GSTR-2A'!$M$6:$M$10000,'GSTR-2A'!$B$6:$B$10000,$C$5:$C$4995,'GSTR-2A'!$A$6:$A$10000,$AW$3)</f>
        <v>0</v>
      </c>
      <c r="BA36" s="488">
        <f>SUMIFS('GSTR-2A'!$N$6:$N$10000,'GSTR-2A'!$B$6:$B$10000,$C$5:$C$4995,'GSTR-2A'!$A$6:$A$10000,$AW$3)</f>
        <v>0</v>
      </c>
      <c r="BB36" s="486">
        <f>SUMIFS('GSTR-2A'!$G$6:$G$10000,'GSTR-2A'!$B$6:$B$10000,$C$5:$C$4995,'GSTR-2A'!$A$6:$A$10000,$BB$3)</f>
        <v>0</v>
      </c>
      <c r="BC36" s="487">
        <f>SUMIFS('GSTR-2A'!$K$6:$K$10000,'GSTR-2A'!$B$6:$B$10000,$C$5:$C$4995,'GSTR-2A'!$A$6:$A$10000,$BB$3)</f>
        <v>0</v>
      </c>
      <c r="BD36" s="487">
        <f>SUMIFS('GSTR-2A'!$L$6:$L$10000,'GSTR-2A'!$B$6:$B$10000,$C$5:$C$4995,'GSTR-2A'!$A$6:$A$10000,$BB$3)</f>
        <v>0</v>
      </c>
      <c r="BE36" s="487">
        <f>SUMIFS('GSTR-2A'!$M$6:$M$10000,'GSTR-2A'!$B$6:$B$10000,$C$5:$C$4995,'GSTR-2A'!$A$6:$A$10000,$BB$3)</f>
        <v>0</v>
      </c>
      <c r="BF36" s="488">
        <f>SUMIFS('GSTR-2A'!$N$6:$N$10000,'GSTR-2A'!$B$6:$B$10000,$C$5:$C$4995,'GSTR-2A'!$A$6:$A$10000,$BB$3)</f>
        <v>0</v>
      </c>
      <c r="BG36" s="486">
        <f>SUMIFS('GSTR-2A'!$G$6:$G$10000,'GSTR-2A'!$B$6:$B$10000,$C$5:$C$4995,'GSTR-2A'!$A$6:$A$10000,$BG$3)</f>
        <v>0</v>
      </c>
      <c r="BH36" s="487">
        <f>SUMIFS('GSTR-2A'!$K$6:$K$10000,'GSTR-2A'!$B$6:$B$10000,$C$5:$C$4995,'GSTR-2A'!$A$6:$A$10000,$BG$3)</f>
        <v>0</v>
      </c>
      <c r="BI36" s="487">
        <f>SUMIFS('GSTR-2A'!$L$6:$L$10000,'GSTR-2A'!$B$6:$B$10000,$C$5:$C$4995,'GSTR-2A'!$A$6:$A$10000,$BG$3)</f>
        <v>0</v>
      </c>
      <c r="BJ36" s="487">
        <f>SUMIFS('GSTR-2A'!$M$6:$M$10000,'GSTR-2A'!$B$6:$B$10000,$C$5:$C$4995,'GSTR-2A'!$A$6:$A$10000,$BG$3)</f>
        <v>0</v>
      </c>
      <c r="BK36" s="488">
        <f>SUMIFS('GSTR-2A'!$N$6:$N$10000,'GSTR-2A'!$B$6:$B$10000,$C$5:$C$4995,'GSTR-2A'!$A$6:$A$10000,$BG$3)</f>
        <v>0</v>
      </c>
      <c r="BL36" s="72">
        <f t="shared" si="2"/>
        <v>0</v>
      </c>
      <c r="BM36" s="72">
        <f t="shared" si="3"/>
        <v>0</v>
      </c>
      <c r="BN36" s="72">
        <f t="shared" si="4"/>
        <v>0</v>
      </c>
      <c r="BO36" s="72">
        <f t="shared" si="5"/>
        <v>0</v>
      </c>
      <c r="BP36" s="72">
        <f t="shared" si="6"/>
        <v>0</v>
      </c>
    </row>
    <row r="37" spans="1:68" x14ac:dyDescent="0.2">
      <c r="A37" s="467">
        <v>33</v>
      </c>
      <c r="B37" s="468" t="s">
        <v>1092</v>
      </c>
      <c r="C37" s="469" t="s">
        <v>1093</v>
      </c>
      <c r="D37" s="72">
        <f>SUMIFS('GSTR-2A'!$G$6:$G$10000,'GSTR-2A'!$B$6:$B$10000,$C$5:$C$4995,'GSTR-2A'!$A$6:$A$10000,$D$3)</f>
        <v>0</v>
      </c>
      <c r="E37" s="72">
        <f>SUMIFS('GSTR-2A'!$K$6:$K$10000,'GSTR-2A'!$B$6:$B$10000,$C$5:$C$4995,'GSTR-2A'!$A$6:$A$10000,$D$3)</f>
        <v>0</v>
      </c>
      <c r="F37" s="72">
        <f>SUMIFS('GSTR-2A'!$L$6:$L$10000,'GSTR-2A'!$B$6:$B$10000,$C$5:$C$4995,'GSTR-2A'!$A$6:$A$10000,$D$3)</f>
        <v>0</v>
      </c>
      <c r="G37" s="72">
        <f>SUMIFS('GSTR-2A'!$M$6:$M$10000,'GSTR-2A'!$B$6:$B$10000,$C$5:$C$4995,'GSTR-2A'!$A$6:$A$10000,$D$3)</f>
        <v>0</v>
      </c>
      <c r="H37" s="72">
        <f>SUMIFS('GSTR-2A'!$N$6:$N$10000,'GSTR-2A'!$B$6:$B$10000,$C$5:$C$4995,'GSTR-2A'!$A$6:$A$10000,$D$3)</f>
        <v>0</v>
      </c>
      <c r="I37" s="486">
        <f>SUMIFS('GSTR-2A'!$G$6:$G$10000,'GSTR-2A'!$B$6:$B$10000,$C$5:$C$4995,'GSTR-2A'!$A$6:$A$10000,$I$3)</f>
        <v>0</v>
      </c>
      <c r="J37" s="487">
        <f>SUMIFS('GSTR-2A'!$K$6:$K$10000,'GSTR-2A'!$B$6:$B$10000,$C$5:$C$4995,'GSTR-2A'!$A$6:$A$10000,$I$3)</f>
        <v>0</v>
      </c>
      <c r="K37" s="487">
        <f>SUMIFS('GSTR-2A'!$L$6:$L$10000,'GSTR-2A'!$B$6:$B$10000,$C$5:$C$4995,'GSTR-2A'!$A$6:$A$10000,$I$3)</f>
        <v>0</v>
      </c>
      <c r="L37" s="487">
        <f>SUMIFS('GSTR-2A'!$M$6:$M$10000,'GSTR-2A'!$B$6:$B$10000,$C$5:$C$4995,'GSTR-2A'!$A$6:$A$10000,$I$3)</f>
        <v>0</v>
      </c>
      <c r="M37" s="488">
        <f>SUMIFS('GSTR-2A'!$N$6:$N$10000,'GSTR-2A'!$B$6:$B$10000,$C$5:$C$4995,'GSTR-2A'!$A$6:$A$10000,$I$3)</f>
        <v>0</v>
      </c>
      <c r="N37" s="486">
        <f>SUMIFS('GSTR-2A'!$G$6:$G$10000,'GSTR-2A'!$B$6:$B$10000,$C$5:$C$4995,'GSTR-2A'!$A$6:$A$10000,$N$3)</f>
        <v>0</v>
      </c>
      <c r="O37" s="487">
        <f>SUMIFS('GSTR-2A'!$K$6:$K$10000,'GSTR-2A'!$B$6:$B$10000,$C$5:$C$4995,'GSTR-2A'!$A$6:$A$10000,$N$3)</f>
        <v>0</v>
      </c>
      <c r="P37" s="487">
        <f>SUMIFS('GSTR-2A'!$L$6:$L$10000,'GSTR-2A'!$B$6:$B$10000,$C$5:$C$4995,'GSTR-2A'!$A$6:$A$10000,$N$3)</f>
        <v>0</v>
      </c>
      <c r="Q37" s="487">
        <f>SUMIFS('GSTR-2A'!$M$6:$M$10000,'GSTR-2A'!$B$6:$B$10000,$C$5:$C$4995,'GSTR-2A'!$A$6:$A$10000,$N$3)</f>
        <v>0</v>
      </c>
      <c r="R37" s="488">
        <f>SUMIFS('GSTR-2A'!$N$6:$N$10000,'GSTR-2A'!$B$6:$B$10000,$C$5:$C$4995,'GSTR-2A'!$A$6:$A$10000,$N$3)</f>
        <v>0</v>
      </c>
      <c r="S37" s="486">
        <f>SUMIFS('GSTR-2A'!$G$6:$G$10000,'GSTR-2A'!$B$6:$B$10000,$C$5:$C$4995,'GSTR-2A'!$A$6:$A$10000,$S$3)</f>
        <v>0</v>
      </c>
      <c r="T37" s="487">
        <f>SUMIFS('GSTR-2A'!$K$6:$K$10000,'GSTR-2A'!$B$6:$B$10000,$C$5:$C$4995,'GSTR-2A'!$A$6:$A$10000,$S$3)</f>
        <v>0</v>
      </c>
      <c r="U37" s="487">
        <f>SUMIFS('GSTR-2A'!$L$6:$L$10000,'GSTR-2A'!$B$6:$B$10000,$C$5:$C$4995,'GSTR-2A'!$A$6:$A$10000,$S$3)</f>
        <v>0</v>
      </c>
      <c r="V37" s="487">
        <f>SUMIFS('GSTR-2A'!$M$6:$M$10000,'GSTR-2A'!$B$6:$B$10000,$C$5:$C$4995,'GSTR-2A'!$A$6:$A$10000,$S$3)</f>
        <v>0</v>
      </c>
      <c r="W37" s="488">
        <f>SUMIFS('GSTR-2A'!$N$6:$N$10000,'GSTR-2A'!$B$6:$B$10000,$C$5:$C$4995,'GSTR-2A'!$A$6:$A$10000,$S$3)</f>
        <v>0</v>
      </c>
      <c r="X37" s="486">
        <f>SUMIFS('GSTR-2A'!$G$6:$G$10000,'GSTR-2A'!$B$6:$B$10000,$C$5:$C$4995,'GSTR-2A'!$A$6:$A$10000,$X$3)</f>
        <v>0</v>
      </c>
      <c r="Y37" s="487">
        <f>SUMIFS('GSTR-2A'!$K$6:$K$10000,'GSTR-2A'!$B$6:$B$10000,$C$5:$C$4995,'GSTR-2A'!$A$6:$A$10000,$X$3)</f>
        <v>0</v>
      </c>
      <c r="Z37" s="487">
        <f>SUMIFS('GSTR-2A'!$L$6:$L$10000,'GSTR-2A'!$B$6:$B$10000,$C$5:$C$4995,'GSTR-2A'!$A$6:$A$10000,$X$3)</f>
        <v>0</v>
      </c>
      <c r="AA37" s="487">
        <f>SUMIFS('GSTR-2A'!$M$6:$M$10000,'GSTR-2A'!$B$6:$B$10000,$C$5:$C$4995,'GSTR-2A'!$A$6:$A$10000,$X$3)</f>
        <v>0</v>
      </c>
      <c r="AB37" s="488">
        <f>SUMIFS('GSTR-2A'!$N$6:$N$10000,'GSTR-2A'!$B$6:$B$10000,$C$5:$C$4995,'GSTR-2A'!$A$6:$A$10000,$X$3)</f>
        <v>0</v>
      </c>
      <c r="AC37" s="486">
        <f>SUMIFS('GSTR-2A'!$G$6:$G$10000,'GSTR-2A'!$B$6:$B$10000,$C$5:$C$4995,'GSTR-2A'!$A$6:$A$10000,$AC$3)</f>
        <v>0</v>
      </c>
      <c r="AD37" s="487">
        <f>SUMIFS('GSTR-2A'!$K$6:$K$10000,'GSTR-2A'!$B$6:$B$10000,$C$5:$C$4995,'GSTR-2A'!$A$6:$A$10000,$AC$3)</f>
        <v>0</v>
      </c>
      <c r="AE37" s="487">
        <f>SUMIFS('GSTR-2A'!$L$6:$L$10000,'GSTR-2A'!$B$6:$B$10000,$C$5:$C$4995,'GSTR-2A'!$A$6:$A$10000,$AC$3)</f>
        <v>0</v>
      </c>
      <c r="AF37" s="487">
        <f>SUMIFS('GSTR-2A'!$M$6:$M$10000,'GSTR-2A'!$B$6:$B$10000,$C$5:$C$4995,'GSTR-2A'!$A$6:$A$10000,$AC$3)</f>
        <v>0</v>
      </c>
      <c r="AG37" s="488">
        <f>SUMIFS('GSTR-2A'!$N$6:$N$10000,'GSTR-2A'!$B$6:$B$10000,$C$5:$C$4995,'GSTR-2A'!$A$6:$A$10000,$AC$3)</f>
        <v>0</v>
      </c>
      <c r="AH37" s="486">
        <f>SUMIFS('GSTR-2A'!$G$6:$G$10000,'GSTR-2A'!$B$6:$B$10000,$C$5:$C$4995,'GSTR-2A'!$A$6:$A$10000,$AH$3)</f>
        <v>0</v>
      </c>
      <c r="AI37" s="487">
        <f>SUMIFS('GSTR-2A'!$K$6:$K$10000,'GSTR-2A'!$B$6:$B$10000,$C$5:$C$4995,'GSTR-2A'!$A$6:$A$10000,$AH$3)</f>
        <v>0</v>
      </c>
      <c r="AJ37" s="487">
        <f>SUMIFS('GSTR-2A'!$L$6:$L$10000,'GSTR-2A'!$B$6:$B$10000,$C$5:$C$4995,'GSTR-2A'!$A$6:$A$10000,$AH$3)</f>
        <v>0</v>
      </c>
      <c r="AK37" s="487">
        <f>SUMIFS('GSTR-2A'!$M$6:$M$10000,'GSTR-2A'!$B$6:$B$10000,$C$5:$C$4995,'GSTR-2A'!$A$6:$A$10000,$AH$3)</f>
        <v>0</v>
      </c>
      <c r="AL37" s="488">
        <f>SUMIFS('GSTR-2A'!$N$6:$N$10000,'GSTR-2A'!$B$6:$B$10000,$C$5:$C$4995,'GSTR-2A'!$A$6:$A$10000,$AH$3)</f>
        <v>0</v>
      </c>
      <c r="AM37" s="486">
        <f>SUMIFS('GSTR-2A'!$G$6:$G$10000,'GSTR-2A'!$B$6:$B$10000,$C$5:$C$4995,'GSTR-2A'!$A$6:$A$10000,$AM$3)</f>
        <v>0</v>
      </c>
      <c r="AN37" s="487">
        <f>SUMIFS('GSTR-2A'!$K$6:$K$10000,'GSTR-2A'!$B$6:$B$10000,$C$5:$C$4995,'GSTR-2A'!$A$6:$A$10000,$AM$3)</f>
        <v>0</v>
      </c>
      <c r="AO37" s="487">
        <f>SUMIFS('GSTR-2A'!$L$6:$L$10000,'GSTR-2A'!$B$6:$B$10000,$C$5:$C$4995,'GSTR-2A'!$A$6:$A$10000,$AM$3)</f>
        <v>0</v>
      </c>
      <c r="AP37" s="487">
        <f>SUMIFS('GSTR-2A'!$M$6:$M$10000,'GSTR-2A'!$B$6:$B$10000,$C$5:$C$4995,'GSTR-2A'!$A$6:$A$10000,$AM$3)</f>
        <v>0</v>
      </c>
      <c r="AQ37" s="488">
        <f>SUMIFS('GSTR-2A'!$N$6:$N$10000,'GSTR-2A'!$B$6:$B$10000,$C$5:$C$4995,'GSTR-2A'!$A$6:$A$10000,$AM$3)</f>
        <v>0</v>
      </c>
      <c r="AR37" s="486">
        <f>SUMIFS('GSTR-2A'!$G$6:$G$10000,'GSTR-2A'!$B$6:$B$10000,$C$5:$C$4995,'GSTR-2A'!$A$6:$A$10000,$AR$3)</f>
        <v>0</v>
      </c>
      <c r="AS37" s="487">
        <f>SUMIFS('GSTR-2A'!$K$6:$K$10000,'GSTR-2A'!$B$6:$B$10000,$C$5:$C$4995,'GSTR-2A'!$A$6:$A$10000,$AR$3)</f>
        <v>0</v>
      </c>
      <c r="AT37" s="487">
        <f>SUMIFS('GSTR-2A'!$L$6:$L$10000,'GSTR-2A'!$B$6:$B$10000,$C$5:$C$4995,'GSTR-2A'!$A$6:$A$10000,$AR$3)</f>
        <v>0</v>
      </c>
      <c r="AU37" s="487">
        <f>SUMIFS('GSTR-2A'!$M$6:$M$10000,'GSTR-2A'!$B$6:$B$10000,$C$5:$C$4995,'GSTR-2A'!$A$6:$A$10000,$AR$3)</f>
        <v>0</v>
      </c>
      <c r="AV37" s="488">
        <f>SUMIFS('GSTR-2A'!$N$6:$N$10000,'GSTR-2A'!$B$6:$B$10000,$C$5:$C$4995,'GSTR-2A'!$A$6:$A$10000,$AR$3)</f>
        <v>0</v>
      </c>
      <c r="AW37" s="486">
        <f>SUMIFS('GSTR-2A'!$G$6:$G$10000,'GSTR-2A'!$B$6:$B$10000,$C$5:$C$4995,'GSTR-2A'!$A$6:$A$10000,$AW$3)</f>
        <v>0</v>
      </c>
      <c r="AX37" s="487">
        <f>SUMIFS('GSTR-2A'!$K$6:$K$10000,'GSTR-2A'!$B$6:$B$10000,$C$5:$C$4995,'GSTR-2A'!$A$6:$A$10000,$AW$3)</f>
        <v>0</v>
      </c>
      <c r="AY37" s="487">
        <f>SUMIFS('GSTR-2A'!$L$6:$L$10000,'GSTR-2A'!$B$6:$B$10000,$C$5:$C$4995,'GSTR-2A'!$A$6:$A$10000,$AW$3)</f>
        <v>0</v>
      </c>
      <c r="AZ37" s="487">
        <f>SUMIFS('GSTR-2A'!$M$6:$M$10000,'GSTR-2A'!$B$6:$B$10000,$C$5:$C$4995,'GSTR-2A'!$A$6:$A$10000,$AW$3)</f>
        <v>0</v>
      </c>
      <c r="BA37" s="488">
        <f>SUMIFS('GSTR-2A'!$N$6:$N$10000,'GSTR-2A'!$B$6:$B$10000,$C$5:$C$4995,'GSTR-2A'!$A$6:$A$10000,$AW$3)</f>
        <v>0</v>
      </c>
      <c r="BB37" s="486">
        <f>SUMIFS('GSTR-2A'!$G$6:$G$10000,'GSTR-2A'!$B$6:$B$10000,$C$5:$C$4995,'GSTR-2A'!$A$6:$A$10000,$BB$3)</f>
        <v>0</v>
      </c>
      <c r="BC37" s="487">
        <f>SUMIFS('GSTR-2A'!$K$6:$K$10000,'GSTR-2A'!$B$6:$B$10000,$C$5:$C$4995,'GSTR-2A'!$A$6:$A$10000,$BB$3)</f>
        <v>0</v>
      </c>
      <c r="BD37" s="487">
        <f>SUMIFS('GSTR-2A'!$L$6:$L$10000,'GSTR-2A'!$B$6:$B$10000,$C$5:$C$4995,'GSTR-2A'!$A$6:$A$10000,$BB$3)</f>
        <v>0</v>
      </c>
      <c r="BE37" s="487">
        <f>SUMIFS('GSTR-2A'!$M$6:$M$10000,'GSTR-2A'!$B$6:$B$10000,$C$5:$C$4995,'GSTR-2A'!$A$6:$A$10000,$BB$3)</f>
        <v>0</v>
      </c>
      <c r="BF37" s="488">
        <f>SUMIFS('GSTR-2A'!$N$6:$N$10000,'GSTR-2A'!$B$6:$B$10000,$C$5:$C$4995,'GSTR-2A'!$A$6:$A$10000,$BB$3)</f>
        <v>0</v>
      </c>
      <c r="BG37" s="486">
        <f>SUMIFS('GSTR-2A'!$G$6:$G$10000,'GSTR-2A'!$B$6:$B$10000,$C$5:$C$4995,'GSTR-2A'!$A$6:$A$10000,$BG$3)</f>
        <v>0</v>
      </c>
      <c r="BH37" s="487">
        <f>SUMIFS('GSTR-2A'!$K$6:$K$10000,'GSTR-2A'!$B$6:$B$10000,$C$5:$C$4995,'GSTR-2A'!$A$6:$A$10000,$BG$3)</f>
        <v>0</v>
      </c>
      <c r="BI37" s="487">
        <f>SUMIFS('GSTR-2A'!$L$6:$L$10000,'GSTR-2A'!$B$6:$B$10000,$C$5:$C$4995,'GSTR-2A'!$A$6:$A$10000,$BG$3)</f>
        <v>0</v>
      </c>
      <c r="BJ37" s="487">
        <f>SUMIFS('GSTR-2A'!$M$6:$M$10000,'GSTR-2A'!$B$6:$B$10000,$C$5:$C$4995,'GSTR-2A'!$A$6:$A$10000,$BG$3)</f>
        <v>0</v>
      </c>
      <c r="BK37" s="488">
        <f>SUMIFS('GSTR-2A'!$N$6:$N$10000,'GSTR-2A'!$B$6:$B$10000,$C$5:$C$4995,'GSTR-2A'!$A$6:$A$10000,$BG$3)</f>
        <v>0</v>
      </c>
      <c r="BL37" s="72">
        <f t="shared" si="2"/>
        <v>0</v>
      </c>
      <c r="BM37" s="72">
        <f t="shared" si="3"/>
        <v>0</v>
      </c>
      <c r="BN37" s="72">
        <f t="shared" si="4"/>
        <v>0</v>
      </c>
      <c r="BO37" s="72">
        <f t="shared" si="5"/>
        <v>0</v>
      </c>
      <c r="BP37" s="72">
        <f t="shared" si="6"/>
        <v>0</v>
      </c>
    </row>
    <row r="38" spans="1:68" x14ac:dyDescent="0.2">
      <c r="A38" s="467">
        <v>34</v>
      </c>
      <c r="B38" s="468" t="s">
        <v>1094</v>
      </c>
      <c r="C38" s="469" t="s">
        <v>1095</v>
      </c>
      <c r="D38" s="72">
        <f>SUMIFS('GSTR-2A'!$G$6:$G$10000,'GSTR-2A'!$B$6:$B$10000,$C$5:$C$4995,'GSTR-2A'!$A$6:$A$10000,$D$3)</f>
        <v>0</v>
      </c>
      <c r="E38" s="72">
        <f>SUMIFS('GSTR-2A'!$K$6:$K$10000,'GSTR-2A'!$B$6:$B$10000,$C$5:$C$4995,'GSTR-2A'!$A$6:$A$10000,$D$3)</f>
        <v>0</v>
      </c>
      <c r="F38" s="72">
        <f>SUMIFS('GSTR-2A'!$L$6:$L$10000,'GSTR-2A'!$B$6:$B$10000,$C$5:$C$4995,'GSTR-2A'!$A$6:$A$10000,$D$3)</f>
        <v>0</v>
      </c>
      <c r="G38" s="72">
        <f>SUMIFS('GSTR-2A'!$M$6:$M$10000,'GSTR-2A'!$B$6:$B$10000,$C$5:$C$4995,'GSTR-2A'!$A$6:$A$10000,$D$3)</f>
        <v>0</v>
      </c>
      <c r="H38" s="72">
        <f>SUMIFS('GSTR-2A'!$N$6:$N$10000,'GSTR-2A'!$B$6:$B$10000,$C$5:$C$4995,'GSTR-2A'!$A$6:$A$10000,$D$3)</f>
        <v>0</v>
      </c>
      <c r="I38" s="486">
        <f>SUMIFS('GSTR-2A'!$G$6:$G$10000,'GSTR-2A'!$B$6:$B$10000,$C$5:$C$4995,'GSTR-2A'!$A$6:$A$10000,$I$3)</f>
        <v>0</v>
      </c>
      <c r="J38" s="487">
        <f>SUMIFS('GSTR-2A'!$K$6:$K$10000,'GSTR-2A'!$B$6:$B$10000,$C$5:$C$4995,'GSTR-2A'!$A$6:$A$10000,$I$3)</f>
        <v>0</v>
      </c>
      <c r="K38" s="487">
        <f>SUMIFS('GSTR-2A'!$L$6:$L$10000,'GSTR-2A'!$B$6:$B$10000,$C$5:$C$4995,'GSTR-2A'!$A$6:$A$10000,$I$3)</f>
        <v>0</v>
      </c>
      <c r="L38" s="487">
        <f>SUMIFS('GSTR-2A'!$M$6:$M$10000,'GSTR-2A'!$B$6:$B$10000,$C$5:$C$4995,'GSTR-2A'!$A$6:$A$10000,$I$3)</f>
        <v>0</v>
      </c>
      <c r="M38" s="488">
        <f>SUMIFS('GSTR-2A'!$N$6:$N$10000,'GSTR-2A'!$B$6:$B$10000,$C$5:$C$4995,'GSTR-2A'!$A$6:$A$10000,$I$3)</f>
        <v>0</v>
      </c>
      <c r="N38" s="486">
        <f>SUMIFS('GSTR-2A'!$G$6:$G$10000,'GSTR-2A'!$B$6:$B$10000,$C$5:$C$4995,'GSTR-2A'!$A$6:$A$10000,$N$3)</f>
        <v>0</v>
      </c>
      <c r="O38" s="487">
        <f>SUMIFS('GSTR-2A'!$K$6:$K$10000,'GSTR-2A'!$B$6:$B$10000,$C$5:$C$4995,'GSTR-2A'!$A$6:$A$10000,$N$3)</f>
        <v>0</v>
      </c>
      <c r="P38" s="487">
        <f>SUMIFS('GSTR-2A'!$L$6:$L$10000,'GSTR-2A'!$B$6:$B$10000,$C$5:$C$4995,'GSTR-2A'!$A$6:$A$10000,$N$3)</f>
        <v>0</v>
      </c>
      <c r="Q38" s="487">
        <f>SUMIFS('GSTR-2A'!$M$6:$M$10000,'GSTR-2A'!$B$6:$B$10000,$C$5:$C$4995,'GSTR-2A'!$A$6:$A$10000,$N$3)</f>
        <v>0</v>
      </c>
      <c r="R38" s="488">
        <f>SUMIFS('GSTR-2A'!$N$6:$N$10000,'GSTR-2A'!$B$6:$B$10000,$C$5:$C$4995,'GSTR-2A'!$A$6:$A$10000,$N$3)</f>
        <v>0</v>
      </c>
      <c r="S38" s="486">
        <f>SUMIFS('GSTR-2A'!$G$6:$G$10000,'GSTR-2A'!$B$6:$B$10000,$C$5:$C$4995,'GSTR-2A'!$A$6:$A$10000,$S$3)</f>
        <v>0</v>
      </c>
      <c r="T38" s="487">
        <f>SUMIFS('GSTR-2A'!$K$6:$K$10000,'GSTR-2A'!$B$6:$B$10000,$C$5:$C$4995,'GSTR-2A'!$A$6:$A$10000,$S$3)</f>
        <v>0</v>
      </c>
      <c r="U38" s="487">
        <f>SUMIFS('GSTR-2A'!$L$6:$L$10000,'GSTR-2A'!$B$6:$B$10000,$C$5:$C$4995,'GSTR-2A'!$A$6:$A$10000,$S$3)</f>
        <v>0</v>
      </c>
      <c r="V38" s="487">
        <f>SUMIFS('GSTR-2A'!$M$6:$M$10000,'GSTR-2A'!$B$6:$B$10000,$C$5:$C$4995,'GSTR-2A'!$A$6:$A$10000,$S$3)</f>
        <v>0</v>
      </c>
      <c r="W38" s="488">
        <f>SUMIFS('GSTR-2A'!$N$6:$N$10000,'GSTR-2A'!$B$6:$B$10000,$C$5:$C$4995,'GSTR-2A'!$A$6:$A$10000,$S$3)</f>
        <v>0</v>
      </c>
      <c r="X38" s="486">
        <f>SUMIFS('GSTR-2A'!$G$6:$G$10000,'GSTR-2A'!$B$6:$B$10000,$C$5:$C$4995,'GSTR-2A'!$A$6:$A$10000,$X$3)</f>
        <v>0</v>
      </c>
      <c r="Y38" s="487">
        <f>SUMIFS('GSTR-2A'!$K$6:$K$10000,'GSTR-2A'!$B$6:$B$10000,$C$5:$C$4995,'GSTR-2A'!$A$6:$A$10000,$X$3)</f>
        <v>0</v>
      </c>
      <c r="Z38" s="487">
        <f>SUMIFS('GSTR-2A'!$L$6:$L$10000,'GSTR-2A'!$B$6:$B$10000,$C$5:$C$4995,'GSTR-2A'!$A$6:$A$10000,$X$3)</f>
        <v>0</v>
      </c>
      <c r="AA38" s="487">
        <f>SUMIFS('GSTR-2A'!$M$6:$M$10000,'GSTR-2A'!$B$6:$B$10000,$C$5:$C$4995,'GSTR-2A'!$A$6:$A$10000,$X$3)</f>
        <v>0</v>
      </c>
      <c r="AB38" s="488">
        <f>SUMIFS('GSTR-2A'!$N$6:$N$10000,'GSTR-2A'!$B$6:$B$10000,$C$5:$C$4995,'GSTR-2A'!$A$6:$A$10000,$X$3)</f>
        <v>0</v>
      </c>
      <c r="AC38" s="486">
        <f>SUMIFS('GSTR-2A'!$G$6:$G$10000,'GSTR-2A'!$B$6:$B$10000,$C$5:$C$4995,'GSTR-2A'!$A$6:$A$10000,$AC$3)</f>
        <v>0</v>
      </c>
      <c r="AD38" s="487">
        <f>SUMIFS('GSTR-2A'!$K$6:$K$10000,'GSTR-2A'!$B$6:$B$10000,$C$5:$C$4995,'GSTR-2A'!$A$6:$A$10000,$AC$3)</f>
        <v>0</v>
      </c>
      <c r="AE38" s="487">
        <f>SUMIFS('GSTR-2A'!$L$6:$L$10000,'GSTR-2A'!$B$6:$B$10000,$C$5:$C$4995,'GSTR-2A'!$A$6:$A$10000,$AC$3)</f>
        <v>0</v>
      </c>
      <c r="AF38" s="487">
        <f>SUMIFS('GSTR-2A'!$M$6:$M$10000,'GSTR-2A'!$B$6:$B$10000,$C$5:$C$4995,'GSTR-2A'!$A$6:$A$10000,$AC$3)</f>
        <v>0</v>
      </c>
      <c r="AG38" s="488">
        <f>SUMIFS('GSTR-2A'!$N$6:$N$10000,'GSTR-2A'!$B$6:$B$10000,$C$5:$C$4995,'GSTR-2A'!$A$6:$A$10000,$AC$3)</f>
        <v>0</v>
      </c>
      <c r="AH38" s="486">
        <f>SUMIFS('GSTR-2A'!$G$6:$G$10000,'GSTR-2A'!$B$6:$B$10000,$C$5:$C$4995,'GSTR-2A'!$A$6:$A$10000,$AH$3)</f>
        <v>0</v>
      </c>
      <c r="AI38" s="487">
        <f>SUMIFS('GSTR-2A'!$K$6:$K$10000,'GSTR-2A'!$B$6:$B$10000,$C$5:$C$4995,'GSTR-2A'!$A$6:$A$10000,$AH$3)</f>
        <v>0</v>
      </c>
      <c r="AJ38" s="487">
        <f>SUMIFS('GSTR-2A'!$L$6:$L$10000,'GSTR-2A'!$B$6:$B$10000,$C$5:$C$4995,'GSTR-2A'!$A$6:$A$10000,$AH$3)</f>
        <v>0</v>
      </c>
      <c r="AK38" s="487">
        <f>SUMIFS('GSTR-2A'!$M$6:$M$10000,'GSTR-2A'!$B$6:$B$10000,$C$5:$C$4995,'GSTR-2A'!$A$6:$A$10000,$AH$3)</f>
        <v>0</v>
      </c>
      <c r="AL38" s="488">
        <f>SUMIFS('GSTR-2A'!$N$6:$N$10000,'GSTR-2A'!$B$6:$B$10000,$C$5:$C$4995,'GSTR-2A'!$A$6:$A$10000,$AH$3)</f>
        <v>0</v>
      </c>
      <c r="AM38" s="486">
        <f>SUMIFS('GSTR-2A'!$G$6:$G$10000,'GSTR-2A'!$B$6:$B$10000,$C$5:$C$4995,'GSTR-2A'!$A$6:$A$10000,$AM$3)</f>
        <v>0</v>
      </c>
      <c r="AN38" s="487">
        <f>SUMIFS('GSTR-2A'!$K$6:$K$10000,'GSTR-2A'!$B$6:$B$10000,$C$5:$C$4995,'GSTR-2A'!$A$6:$A$10000,$AM$3)</f>
        <v>0</v>
      </c>
      <c r="AO38" s="487">
        <f>SUMIFS('GSTR-2A'!$L$6:$L$10000,'GSTR-2A'!$B$6:$B$10000,$C$5:$C$4995,'GSTR-2A'!$A$6:$A$10000,$AM$3)</f>
        <v>0</v>
      </c>
      <c r="AP38" s="487">
        <f>SUMIFS('GSTR-2A'!$M$6:$M$10000,'GSTR-2A'!$B$6:$B$10000,$C$5:$C$4995,'GSTR-2A'!$A$6:$A$10000,$AM$3)</f>
        <v>0</v>
      </c>
      <c r="AQ38" s="488">
        <f>SUMIFS('GSTR-2A'!$N$6:$N$10000,'GSTR-2A'!$B$6:$B$10000,$C$5:$C$4995,'GSTR-2A'!$A$6:$A$10000,$AM$3)</f>
        <v>0</v>
      </c>
      <c r="AR38" s="486">
        <f>SUMIFS('GSTR-2A'!$G$6:$G$10000,'GSTR-2A'!$B$6:$B$10000,$C$5:$C$4995,'GSTR-2A'!$A$6:$A$10000,$AR$3)</f>
        <v>0</v>
      </c>
      <c r="AS38" s="487">
        <f>SUMIFS('GSTR-2A'!$K$6:$K$10000,'GSTR-2A'!$B$6:$B$10000,$C$5:$C$4995,'GSTR-2A'!$A$6:$A$10000,$AR$3)</f>
        <v>0</v>
      </c>
      <c r="AT38" s="487">
        <f>SUMIFS('GSTR-2A'!$L$6:$L$10000,'GSTR-2A'!$B$6:$B$10000,$C$5:$C$4995,'GSTR-2A'!$A$6:$A$10000,$AR$3)</f>
        <v>0</v>
      </c>
      <c r="AU38" s="487">
        <f>SUMIFS('GSTR-2A'!$M$6:$M$10000,'GSTR-2A'!$B$6:$B$10000,$C$5:$C$4995,'GSTR-2A'!$A$6:$A$10000,$AR$3)</f>
        <v>0</v>
      </c>
      <c r="AV38" s="488">
        <f>SUMIFS('GSTR-2A'!$N$6:$N$10000,'GSTR-2A'!$B$6:$B$10000,$C$5:$C$4995,'GSTR-2A'!$A$6:$A$10000,$AR$3)</f>
        <v>0</v>
      </c>
      <c r="AW38" s="486">
        <f>SUMIFS('GSTR-2A'!$G$6:$G$10000,'GSTR-2A'!$B$6:$B$10000,$C$5:$C$4995,'GSTR-2A'!$A$6:$A$10000,$AW$3)</f>
        <v>0</v>
      </c>
      <c r="AX38" s="487">
        <f>SUMIFS('GSTR-2A'!$K$6:$K$10000,'GSTR-2A'!$B$6:$B$10000,$C$5:$C$4995,'GSTR-2A'!$A$6:$A$10000,$AW$3)</f>
        <v>0</v>
      </c>
      <c r="AY38" s="487">
        <f>SUMIFS('GSTR-2A'!$L$6:$L$10000,'GSTR-2A'!$B$6:$B$10000,$C$5:$C$4995,'GSTR-2A'!$A$6:$A$10000,$AW$3)</f>
        <v>0</v>
      </c>
      <c r="AZ38" s="487">
        <f>SUMIFS('GSTR-2A'!$M$6:$M$10000,'GSTR-2A'!$B$6:$B$10000,$C$5:$C$4995,'GSTR-2A'!$A$6:$A$10000,$AW$3)</f>
        <v>0</v>
      </c>
      <c r="BA38" s="488">
        <f>SUMIFS('GSTR-2A'!$N$6:$N$10000,'GSTR-2A'!$B$6:$B$10000,$C$5:$C$4995,'GSTR-2A'!$A$6:$A$10000,$AW$3)</f>
        <v>0</v>
      </c>
      <c r="BB38" s="486">
        <f>SUMIFS('GSTR-2A'!$G$6:$G$10000,'GSTR-2A'!$B$6:$B$10000,$C$5:$C$4995,'GSTR-2A'!$A$6:$A$10000,$BB$3)</f>
        <v>0</v>
      </c>
      <c r="BC38" s="487">
        <f>SUMIFS('GSTR-2A'!$K$6:$K$10000,'GSTR-2A'!$B$6:$B$10000,$C$5:$C$4995,'GSTR-2A'!$A$6:$A$10000,$BB$3)</f>
        <v>0</v>
      </c>
      <c r="BD38" s="487">
        <f>SUMIFS('GSTR-2A'!$L$6:$L$10000,'GSTR-2A'!$B$6:$B$10000,$C$5:$C$4995,'GSTR-2A'!$A$6:$A$10000,$BB$3)</f>
        <v>0</v>
      </c>
      <c r="BE38" s="487">
        <f>SUMIFS('GSTR-2A'!$M$6:$M$10000,'GSTR-2A'!$B$6:$B$10000,$C$5:$C$4995,'GSTR-2A'!$A$6:$A$10000,$BB$3)</f>
        <v>0</v>
      </c>
      <c r="BF38" s="488">
        <f>SUMIFS('GSTR-2A'!$N$6:$N$10000,'GSTR-2A'!$B$6:$B$10000,$C$5:$C$4995,'GSTR-2A'!$A$6:$A$10000,$BB$3)</f>
        <v>0</v>
      </c>
      <c r="BG38" s="486">
        <f>SUMIFS('GSTR-2A'!$G$6:$G$10000,'GSTR-2A'!$B$6:$B$10000,$C$5:$C$4995,'GSTR-2A'!$A$6:$A$10000,$BG$3)</f>
        <v>0</v>
      </c>
      <c r="BH38" s="487">
        <f>SUMIFS('GSTR-2A'!$K$6:$K$10000,'GSTR-2A'!$B$6:$B$10000,$C$5:$C$4995,'GSTR-2A'!$A$6:$A$10000,$BG$3)</f>
        <v>0</v>
      </c>
      <c r="BI38" s="487">
        <f>SUMIFS('GSTR-2A'!$L$6:$L$10000,'GSTR-2A'!$B$6:$B$10000,$C$5:$C$4995,'GSTR-2A'!$A$6:$A$10000,$BG$3)</f>
        <v>0</v>
      </c>
      <c r="BJ38" s="487">
        <f>SUMIFS('GSTR-2A'!$M$6:$M$10000,'GSTR-2A'!$B$6:$B$10000,$C$5:$C$4995,'GSTR-2A'!$A$6:$A$10000,$BG$3)</f>
        <v>0</v>
      </c>
      <c r="BK38" s="488">
        <f>SUMIFS('GSTR-2A'!$N$6:$N$10000,'GSTR-2A'!$B$6:$B$10000,$C$5:$C$4995,'GSTR-2A'!$A$6:$A$10000,$BG$3)</f>
        <v>0</v>
      </c>
      <c r="BL38" s="72">
        <f t="shared" si="2"/>
        <v>0</v>
      </c>
      <c r="BM38" s="72">
        <f t="shared" si="3"/>
        <v>0</v>
      </c>
      <c r="BN38" s="72">
        <f t="shared" si="4"/>
        <v>0</v>
      </c>
      <c r="BO38" s="72">
        <f t="shared" si="5"/>
        <v>0</v>
      </c>
      <c r="BP38" s="72">
        <f t="shared" si="6"/>
        <v>0</v>
      </c>
    </row>
    <row r="39" spans="1:68" x14ac:dyDescent="0.2">
      <c r="A39" s="467">
        <v>35</v>
      </c>
      <c r="B39" s="475" t="s">
        <v>1096</v>
      </c>
      <c r="C39" s="475" t="s">
        <v>1097</v>
      </c>
      <c r="D39" s="72">
        <f>SUMIFS('GSTR-2A'!$G$6:$G$10000,'GSTR-2A'!$B$6:$B$10000,$C$5:$C$4995,'GSTR-2A'!$A$6:$A$10000,$D$3)</f>
        <v>0</v>
      </c>
      <c r="E39" s="72">
        <f>SUMIFS('GSTR-2A'!$K$6:$K$10000,'GSTR-2A'!$B$6:$B$10000,$C$5:$C$4995,'GSTR-2A'!$A$6:$A$10000,$D$3)</f>
        <v>0</v>
      </c>
      <c r="F39" s="72">
        <f>SUMIFS('GSTR-2A'!$L$6:$L$10000,'GSTR-2A'!$B$6:$B$10000,$C$5:$C$4995,'GSTR-2A'!$A$6:$A$10000,$D$3)</f>
        <v>0</v>
      </c>
      <c r="G39" s="72">
        <f>SUMIFS('GSTR-2A'!$M$6:$M$10000,'GSTR-2A'!$B$6:$B$10000,$C$5:$C$4995,'GSTR-2A'!$A$6:$A$10000,$D$3)</f>
        <v>0</v>
      </c>
      <c r="H39" s="72">
        <f>SUMIFS('GSTR-2A'!$N$6:$N$10000,'GSTR-2A'!$B$6:$B$10000,$C$5:$C$4995,'GSTR-2A'!$A$6:$A$10000,$D$3)</f>
        <v>0</v>
      </c>
      <c r="I39" s="486">
        <f>SUMIFS('GSTR-2A'!$G$6:$G$10000,'GSTR-2A'!$B$6:$B$10000,$C$5:$C$4995,'GSTR-2A'!$A$6:$A$10000,$I$3)</f>
        <v>0</v>
      </c>
      <c r="J39" s="487">
        <f>SUMIFS('GSTR-2A'!$K$6:$K$10000,'GSTR-2A'!$B$6:$B$10000,$C$5:$C$4995,'GSTR-2A'!$A$6:$A$10000,$I$3)</f>
        <v>0</v>
      </c>
      <c r="K39" s="487">
        <f>SUMIFS('GSTR-2A'!$L$6:$L$10000,'GSTR-2A'!$B$6:$B$10000,$C$5:$C$4995,'GSTR-2A'!$A$6:$A$10000,$I$3)</f>
        <v>0</v>
      </c>
      <c r="L39" s="487">
        <f>SUMIFS('GSTR-2A'!$M$6:$M$10000,'GSTR-2A'!$B$6:$B$10000,$C$5:$C$4995,'GSTR-2A'!$A$6:$A$10000,$I$3)</f>
        <v>0</v>
      </c>
      <c r="M39" s="488">
        <f>SUMIFS('GSTR-2A'!$N$6:$N$10000,'GSTR-2A'!$B$6:$B$10000,$C$5:$C$4995,'GSTR-2A'!$A$6:$A$10000,$I$3)</f>
        <v>0</v>
      </c>
      <c r="N39" s="486">
        <f>SUMIFS('GSTR-2A'!$G$6:$G$10000,'GSTR-2A'!$B$6:$B$10000,$C$5:$C$4995,'GSTR-2A'!$A$6:$A$10000,$N$3)</f>
        <v>0</v>
      </c>
      <c r="O39" s="487">
        <f>SUMIFS('GSTR-2A'!$K$6:$K$10000,'GSTR-2A'!$B$6:$B$10000,$C$5:$C$4995,'GSTR-2A'!$A$6:$A$10000,$N$3)</f>
        <v>0</v>
      </c>
      <c r="P39" s="487">
        <f>SUMIFS('GSTR-2A'!$L$6:$L$10000,'GSTR-2A'!$B$6:$B$10000,$C$5:$C$4995,'GSTR-2A'!$A$6:$A$10000,$N$3)</f>
        <v>0</v>
      </c>
      <c r="Q39" s="487">
        <f>SUMIFS('GSTR-2A'!$M$6:$M$10000,'GSTR-2A'!$B$6:$B$10000,$C$5:$C$4995,'GSTR-2A'!$A$6:$A$10000,$N$3)</f>
        <v>0</v>
      </c>
      <c r="R39" s="488">
        <f>SUMIFS('GSTR-2A'!$N$6:$N$10000,'GSTR-2A'!$B$6:$B$10000,$C$5:$C$4995,'GSTR-2A'!$A$6:$A$10000,$N$3)</f>
        <v>0</v>
      </c>
      <c r="S39" s="486">
        <f>SUMIFS('GSTR-2A'!$G$6:$G$10000,'GSTR-2A'!$B$6:$B$10000,$C$5:$C$4995,'GSTR-2A'!$A$6:$A$10000,$S$3)</f>
        <v>0</v>
      </c>
      <c r="T39" s="487">
        <f>SUMIFS('GSTR-2A'!$K$6:$K$10000,'GSTR-2A'!$B$6:$B$10000,$C$5:$C$4995,'GSTR-2A'!$A$6:$A$10000,$S$3)</f>
        <v>0</v>
      </c>
      <c r="U39" s="487">
        <f>SUMIFS('GSTR-2A'!$L$6:$L$10000,'GSTR-2A'!$B$6:$B$10000,$C$5:$C$4995,'GSTR-2A'!$A$6:$A$10000,$S$3)</f>
        <v>0</v>
      </c>
      <c r="V39" s="487">
        <f>SUMIFS('GSTR-2A'!$M$6:$M$10000,'GSTR-2A'!$B$6:$B$10000,$C$5:$C$4995,'GSTR-2A'!$A$6:$A$10000,$S$3)</f>
        <v>0</v>
      </c>
      <c r="W39" s="488">
        <f>SUMIFS('GSTR-2A'!$N$6:$N$10000,'GSTR-2A'!$B$6:$B$10000,$C$5:$C$4995,'GSTR-2A'!$A$6:$A$10000,$S$3)</f>
        <v>0</v>
      </c>
      <c r="X39" s="486">
        <f>SUMIFS('GSTR-2A'!$G$6:$G$10000,'GSTR-2A'!$B$6:$B$10000,$C$5:$C$4995,'GSTR-2A'!$A$6:$A$10000,$X$3)</f>
        <v>0</v>
      </c>
      <c r="Y39" s="487">
        <f>SUMIFS('GSTR-2A'!$K$6:$K$10000,'GSTR-2A'!$B$6:$B$10000,$C$5:$C$4995,'GSTR-2A'!$A$6:$A$10000,$X$3)</f>
        <v>0</v>
      </c>
      <c r="Z39" s="487">
        <f>SUMIFS('GSTR-2A'!$L$6:$L$10000,'GSTR-2A'!$B$6:$B$10000,$C$5:$C$4995,'GSTR-2A'!$A$6:$A$10000,$X$3)</f>
        <v>0</v>
      </c>
      <c r="AA39" s="487">
        <f>SUMIFS('GSTR-2A'!$M$6:$M$10000,'GSTR-2A'!$B$6:$B$10000,$C$5:$C$4995,'GSTR-2A'!$A$6:$A$10000,$X$3)</f>
        <v>0</v>
      </c>
      <c r="AB39" s="488">
        <f>SUMIFS('GSTR-2A'!$N$6:$N$10000,'GSTR-2A'!$B$6:$B$10000,$C$5:$C$4995,'GSTR-2A'!$A$6:$A$10000,$X$3)</f>
        <v>0</v>
      </c>
      <c r="AC39" s="486">
        <f>SUMIFS('GSTR-2A'!$G$6:$G$10000,'GSTR-2A'!$B$6:$B$10000,$C$5:$C$4995,'GSTR-2A'!$A$6:$A$10000,$AC$3)</f>
        <v>0</v>
      </c>
      <c r="AD39" s="487">
        <f>SUMIFS('GSTR-2A'!$K$6:$K$10000,'GSTR-2A'!$B$6:$B$10000,$C$5:$C$4995,'GSTR-2A'!$A$6:$A$10000,$AC$3)</f>
        <v>0</v>
      </c>
      <c r="AE39" s="487">
        <f>SUMIFS('GSTR-2A'!$L$6:$L$10000,'GSTR-2A'!$B$6:$B$10000,$C$5:$C$4995,'GSTR-2A'!$A$6:$A$10000,$AC$3)</f>
        <v>0</v>
      </c>
      <c r="AF39" s="487">
        <f>SUMIFS('GSTR-2A'!$M$6:$M$10000,'GSTR-2A'!$B$6:$B$10000,$C$5:$C$4995,'GSTR-2A'!$A$6:$A$10000,$AC$3)</f>
        <v>0</v>
      </c>
      <c r="AG39" s="488">
        <f>SUMIFS('GSTR-2A'!$N$6:$N$10000,'GSTR-2A'!$B$6:$B$10000,$C$5:$C$4995,'GSTR-2A'!$A$6:$A$10000,$AC$3)</f>
        <v>0</v>
      </c>
      <c r="AH39" s="486">
        <f>SUMIFS('GSTR-2A'!$G$6:$G$10000,'GSTR-2A'!$B$6:$B$10000,$C$5:$C$4995,'GSTR-2A'!$A$6:$A$10000,$AH$3)</f>
        <v>0</v>
      </c>
      <c r="AI39" s="487">
        <f>SUMIFS('GSTR-2A'!$K$6:$K$10000,'GSTR-2A'!$B$6:$B$10000,$C$5:$C$4995,'GSTR-2A'!$A$6:$A$10000,$AH$3)</f>
        <v>0</v>
      </c>
      <c r="AJ39" s="487">
        <f>SUMIFS('GSTR-2A'!$L$6:$L$10000,'GSTR-2A'!$B$6:$B$10000,$C$5:$C$4995,'GSTR-2A'!$A$6:$A$10000,$AH$3)</f>
        <v>0</v>
      </c>
      <c r="AK39" s="487">
        <f>SUMIFS('GSTR-2A'!$M$6:$M$10000,'GSTR-2A'!$B$6:$B$10000,$C$5:$C$4995,'GSTR-2A'!$A$6:$A$10000,$AH$3)</f>
        <v>0</v>
      </c>
      <c r="AL39" s="488">
        <f>SUMIFS('GSTR-2A'!$N$6:$N$10000,'GSTR-2A'!$B$6:$B$10000,$C$5:$C$4995,'GSTR-2A'!$A$6:$A$10000,$AH$3)</f>
        <v>0</v>
      </c>
      <c r="AM39" s="486">
        <f>SUMIFS('GSTR-2A'!$G$6:$G$10000,'GSTR-2A'!$B$6:$B$10000,$C$5:$C$4995,'GSTR-2A'!$A$6:$A$10000,$AM$3)</f>
        <v>0</v>
      </c>
      <c r="AN39" s="487">
        <f>SUMIFS('GSTR-2A'!$K$6:$K$10000,'GSTR-2A'!$B$6:$B$10000,$C$5:$C$4995,'GSTR-2A'!$A$6:$A$10000,$AM$3)</f>
        <v>0</v>
      </c>
      <c r="AO39" s="487">
        <f>SUMIFS('GSTR-2A'!$L$6:$L$10000,'GSTR-2A'!$B$6:$B$10000,$C$5:$C$4995,'GSTR-2A'!$A$6:$A$10000,$AM$3)</f>
        <v>0</v>
      </c>
      <c r="AP39" s="487">
        <f>SUMIFS('GSTR-2A'!$M$6:$M$10000,'GSTR-2A'!$B$6:$B$10000,$C$5:$C$4995,'GSTR-2A'!$A$6:$A$10000,$AM$3)</f>
        <v>0</v>
      </c>
      <c r="AQ39" s="488">
        <f>SUMIFS('GSTR-2A'!$N$6:$N$10000,'GSTR-2A'!$B$6:$B$10000,$C$5:$C$4995,'GSTR-2A'!$A$6:$A$10000,$AM$3)</f>
        <v>0</v>
      </c>
      <c r="AR39" s="486">
        <f>SUMIFS('GSTR-2A'!$G$6:$G$10000,'GSTR-2A'!$B$6:$B$10000,$C$5:$C$4995,'GSTR-2A'!$A$6:$A$10000,$AR$3)</f>
        <v>0</v>
      </c>
      <c r="AS39" s="487">
        <f>SUMIFS('GSTR-2A'!$K$6:$K$10000,'GSTR-2A'!$B$6:$B$10000,$C$5:$C$4995,'GSTR-2A'!$A$6:$A$10000,$AR$3)</f>
        <v>0</v>
      </c>
      <c r="AT39" s="487">
        <f>SUMIFS('GSTR-2A'!$L$6:$L$10000,'GSTR-2A'!$B$6:$B$10000,$C$5:$C$4995,'GSTR-2A'!$A$6:$A$10000,$AR$3)</f>
        <v>0</v>
      </c>
      <c r="AU39" s="487">
        <f>SUMIFS('GSTR-2A'!$M$6:$M$10000,'GSTR-2A'!$B$6:$B$10000,$C$5:$C$4995,'GSTR-2A'!$A$6:$A$10000,$AR$3)</f>
        <v>0</v>
      </c>
      <c r="AV39" s="488">
        <f>SUMIFS('GSTR-2A'!$N$6:$N$10000,'GSTR-2A'!$B$6:$B$10000,$C$5:$C$4995,'GSTR-2A'!$A$6:$A$10000,$AR$3)</f>
        <v>0</v>
      </c>
      <c r="AW39" s="486">
        <f>SUMIFS('GSTR-2A'!$G$6:$G$10000,'GSTR-2A'!$B$6:$B$10000,$C$5:$C$4995,'GSTR-2A'!$A$6:$A$10000,$AW$3)</f>
        <v>0</v>
      </c>
      <c r="AX39" s="487">
        <f>SUMIFS('GSTR-2A'!$K$6:$K$10000,'GSTR-2A'!$B$6:$B$10000,$C$5:$C$4995,'GSTR-2A'!$A$6:$A$10000,$AW$3)</f>
        <v>0</v>
      </c>
      <c r="AY39" s="487">
        <f>SUMIFS('GSTR-2A'!$L$6:$L$10000,'GSTR-2A'!$B$6:$B$10000,$C$5:$C$4995,'GSTR-2A'!$A$6:$A$10000,$AW$3)</f>
        <v>0</v>
      </c>
      <c r="AZ39" s="487">
        <f>SUMIFS('GSTR-2A'!$M$6:$M$10000,'GSTR-2A'!$B$6:$B$10000,$C$5:$C$4995,'GSTR-2A'!$A$6:$A$10000,$AW$3)</f>
        <v>0</v>
      </c>
      <c r="BA39" s="488">
        <f>SUMIFS('GSTR-2A'!$N$6:$N$10000,'GSTR-2A'!$B$6:$B$10000,$C$5:$C$4995,'GSTR-2A'!$A$6:$A$10000,$AW$3)</f>
        <v>0</v>
      </c>
      <c r="BB39" s="486">
        <f>SUMIFS('GSTR-2A'!$G$6:$G$10000,'GSTR-2A'!$B$6:$B$10000,$C$5:$C$4995,'GSTR-2A'!$A$6:$A$10000,$BB$3)</f>
        <v>0</v>
      </c>
      <c r="BC39" s="487">
        <f>SUMIFS('GSTR-2A'!$K$6:$K$10000,'GSTR-2A'!$B$6:$B$10000,$C$5:$C$4995,'GSTR-2A'!$A$6:$A$10000,$BB$3)</f>
        <v>0</v>
      </c>
      <c r="BD39" s="487">
        <f>SUMIFS('GSTR-2A'!$L$6:$L$10000,'GSTR-2A'!$B$6:$B$10000,$C$5:$C$4995,'GSTR-2A'!$A$6:$A$10000,$BB$3)</f>
        <v>0</v>
      </c>
      <c r="BE39" s="487">
        <f>SUMIFS('GSTR-2A'!$M$6:$M$10000,'GSTR-2A'!$B$6:$B$10000,$C$5:$C$4995,'GSTR-2A'!$A$6:$A$10000,$BB$3)</f>
        <v>0</v>
      </c>
      <c r="BF39" s="488">
        <f>SUMIFS('GSTR-2A'!$N$6:$N$10000,'GSTR-2A'!$B$6:$B$10000,$C$5:$C$4995,'GSTR-2A'!$A$6:$A$10000,$BB$3)</f>
        <v>0</v>
      </c>
      <c r="BG39" s="486">
        <f>SUMIFS('GSTR-2A'!$G$6:$G$10000,'GSTR-2A'!$B$6:$B$10000,$C$5:$C$4995,'GSTR-2A'!$A$6:$A$10000,$BG$3)</f>
        <v>0</v>
      </c>
      <c r="BH39" s="487">
        <f>SUMIFS('GSTR-2A'!$K$6:$K$10000,'GSTR-2A'!$B$6:$B$10000,$C$5:$C$4995,'GSTR-2A'!$A$6:$A$10000,$BG$3)</f>
        <v>0</v>
      </c>
      <c r="BI39" s="487">
        <f>SUMIFS('GSTR-2A'!$L$6:$L$10000,'GSTR-2A'!$B$6:$B$10000,$C$5:$C$4995,'GSTR-2A'!$A$6:$A$10000,$BG$3)</f>
        <v>0</v>
      </c>
      <c r="BJ39" s="487">
        <f>SUMIFS('GSTR-2A'!$M$6:$M$10000,'GSTR-2A'!$B$6:$B$10000,$C$5:$C$4995,'GSTR-2A'!$A$6:$A$10000,$BG$3)</f>
        <v>0</v>
      </c>
      <c r="BK39" s="488">
        <f>SUMIFS('GSTR-2A'!$N$6:$N$10000,'GSTR-2A'!$B$6:$B$10000,$C$5:$C$4995,'GSTR-2A'!$A$6:$A$10000,$BG$3)</f>
        <v>0</v>
      </c>
      <c r="BL39" s="72">
        <f t="shared" si="2"/>
        <v>0</v>
      </c>
      <c r="BM39" s="72">
        <f t="shared" si="3"/>
        <v>0</v>
      </c>
      <c r="BN39" s="72">
        <f t="shared" si="4"/>
        <v>0</v>
      </c>
      <c r="BO39" s="72">
        <f t="shared" si="5"/>
        <v>0</v>
      </c>
      <c r="BP39" s="72">
        <f t="shared" si="6"/>
        <v>0</v>
      </c>
    </row>
    <row r="40" spans="1:68" x14ac:dyDescent="0.2">
      <c r="A40" s="467">
        <v>36</v>
      </c>
      <c r="B40" s="468" t="s">
        <v>1098</v>
      </c>
      <c r="C40" s="469" t="s">
        <v>1099</v>
      </c>
      <c r="D40" s="72">
        <f>SUMIFS('GSTR-2A'!$G$6:$G$10000,'GSTR-2A'!$B$6:$B$10000,$C$5:$C$4995,'GSTR-2A'!$A$6:$A$10000,$D$3)</f>
        <v>0</v>
      </c>
      <c r="E40" s="72">
        <f>SUMIFS('GSTR-2A'!$K$6:$K$10000,'GSTR-2A'!$B$6:$B$10000,$C$5:$C$4995,'GSTR-2A'!$A$6:$A$10000,$D$3)</f>
        <v>0</v>
      </c>
      <c r="F40" s="72">
        <f>SUMIFS('GSTR-2A'!$L$6:$L$10000,'GSTR-2A'!$B$6:$B$10000,$C$5:$C$4995,'GSTR-2A'!$A$6:$A$10000,$D$3)</f>
        <v>0</v>
      </c>
      <c r="G40" s="72">
        <f>SUMIFS('GSTR-2A'!$M$6:$M$10000,'GSTR-2A'!$B$6:$B$10000,$C$5:$C$4995,'GSTR-2A'!$A$6:$A$10000,$D$3)</f>
        <v>0</v>
      </c>
      <c r="H40" s="72">
        <f>SUMIFS('GSTR-2A'!$N$6:$N$10000,'GSTR-2A'!$B$6:$B$10000,$C$5:$C$4995,'GSTR-2A'!$A$6:$A$10000,$D$3)</f>
        <v>0</v>
      </c>
      <c r="I40" s="486">
        <f>SUMIFS('GSTR-2A'!$G$6:$G$10000,'GSTR-2A'!$B$6:$B$10000,$C$5:$C$4995,'GSTR-2A'!$A$6:$A$10000,$I$3)</f>
        <v>0</v>
      </c>
      <c r="J40" s="487">
        <f>SUMIFS('GSTR-2A'!$K$6:$K$10000,'GSTR-2A'!$B$6:$B$10000,$C$5:$C$4995,'GSTR-2A'!$A$6:$A$10000,$I$3)</f>
        <v>0</v>
      </c>
      <c r="K40" s="487">
        <f>SUMIFS('GSTR-2A'!$L$6:$L$10000,'GSTR-2A'!$B$6:$B$10000,$C$5:$C$4995,'GSTR-2A'!$A$6:$A$10000,$I$3)</f>
        <v>0</v>
      </c>
      <c r="L40" s="487">
        <f>SUMIFS('GSTR-2A'!$M$6:$M$10000,'GSTR-2A'!$B$6:$B$10000,$C$5:$C$4995,'GSTR-2A'!$A$6:$A$10000,$I$3)</f>
        <v>0</v>
      </c>
      <c r="M40" s="488">
        <f>SUMIFS('GSTR-2A'!$N$6:$N$10000,'GSTR-2A'!$B$6:$B$10000,$C$5:$C$4995,'GSTR-2A'!$A$6:$A$10000,$I$3)</f>
        <v>0</v>
      </c>
      <c r="N40" s="486">
        <f>SUMIFS('GSTR-2A'!$G$6:$G$10000,'GSTR-2A'!$B$6:$B$10000,$C$5:$C$4995,'GSTR-2A'!$A$6:$A$10000,$N$3)</f>
        <v>0</v>
      </c>
      <c r="O40" s="487">
        <f>SUMIFS('GSTR-2A'!$K$6:$K$10000,'GSTR-2A'!$B$6:$B$10000,$C$5:$C$4995,'GSTR-2A'!$A$6:$A$10000,$N$3)</f>
        <v>0</v>
      </c>
      <c r="P40" s="487">
        <f>SUMIFS('GSTR-2A'!$L$6:$L$10000,'GSTR-2A'!$B$6:$B$10000,$C$5:$C$4995,'GSTR-2A'!$A$6:$A$10000,$N$3)</f>
        <v>0</v>
      </c>
      <c r="Q40" s="487">
        <f>SUMIFS('GSTR-2A'!$M$6:$M$10000,'GSTR-2A'!$B$6:$B$10000,$C$5:$C$4995,'GSTR-2A'!$A$6:$A$10000,$N$3)</f>
        <v>0</v>
      </c>
      <c r="R40" s="488">
        <f>SUMIFS('GSTR-2A'!$N$6:$N$10000,'GSTR-2A'!$B$6:$B$10000,$C$5:$C$4995,'GSTR-2A'!$A$6:$A$10000,$N$3)</f>
        <v>0</v>
      </c>
      <c r="S40" s="486">
        <f>SUMIFS('GSTR-2A'!$G$6:$G$10000,'GSTR-2A'!$B$6:$B$10000,$C$5:$C$4995,'GSTR-2A'!$A$6:$A$10000,$S$3)</f>
        <v>0</v>
      </c>
      <c r="T40" s="487">
        <f>SUMIFS('GSTR-2A'!$K$6:$K$10000,'GSTR-2A'!$B$6:$B$10000,$C$5:$C$4995,'GSTR-2A'!$A$6:$A$10000,$S$3)</f>
        <v>0</v>
      </c>
      <c r="U40" s="487">
        <f>SUMIFS('GSTR-2A'!$L$6:$L$10000,'GSTR-2A'!$B$6:$B$10000,$C$5:$C$4995,'GSTR-2A'!$A$6:$A$10000,$S$3)</f>
        <v>0</v>
      </c>
      <c r="V40" s="487">
        <f>SUMIFS('GSTR-2A'!$M$6:$M$10000,'GSTR-2A'!$B$6:$B$10000,$C$5:$C$4995,'GSTR-2A'!$A$6:$A$10000,$S$3)</f>
        <v>0</v>
      </c>
      <c r="W40" s="488">
        <f>SUMIFS('GSTR-2A'!$N$6:$N$10000,'GSTR-2A'!$B$6:$B$10000,$C$5:$C$4995,'GSTR-2A'!$A$6:$A$10000,$S$3)</f>
        <v>0</v>
      </c>
      <c r="X40" s="486">
        <f>SUMIFS('GSTR-2A'!$G$6:$G$10000,'GSTR-2A'!$B$6:$B$10000,$C$5:$C$4995,'GSTR-2A'!$A$6:$A$10000,$X$3)</f>
        <v>0</v>
      </c>
      <c r="Y40" s="487">
        <f>SUMIFS('GSTR-2A'!$K$6:$K$10000,'GSTR-2A'!$B$6:$B$10000,$C$5:$C$4995,'GSTR-2A'!$A$6:$A$10000,$X$3)</f>
        <v>0</v>
      </c>
      <c r="Z40" s="487">
        <f>SUMIFS('GSTR-2A'!$L$6:$L$10000,'GSTR-2A'!$B$6:$B$10000,$C$5:$C$4995,'GSTR-2A'!$A$6:$A$10000,$X$3)</f>
        <v>0</v>
      </c>
      <c r="AA40" s="487">
        <f>SUMIFS('GSTR-2A'!$M$6:$M$10000,'GSTR-2A'!$B$6:$B$10000,$C$5:$C$4995,'GSTR-2A'!$A$6:$A$10000,$X$3)</f>
        <v>0</v>
      </c>
      <c r="AB40" s="488">
        <f>SUMIFS('GSTR-2A'!$N$6:$N$10000,'GSTR-2A'!$B$6:$B$10000,$C$5:$C$4995,'GSTR-2A'!$A$6:$A$10000,$X$3)</f>
        <v>0</v>
      </c>
      <c r="AC40" s="486">
        <f>SUMIFS('GSTR-2A'!$G$6:$G$10000,'GSTR-2A'!$B$6:$B$10000,$C$5:$C$4995,'GSTR-2A'!$A$6:$A$10000,$AC$3)</f>
        <v>0</v>
      </c>
      <c r="AD40" s="487">
        <f>SUMIFS('GSTR-2A'!$K$6:$K$10000,'GSTR-2A'!$B$6:$B$10000,$C$5:$C$4995,'GSTR-2A'!$A$6:$A$10000,$AC$3)</f>
        <v>0</v>
      </c>
      <c r="AE40" s="487">
        <f>SUMIFS('GSTR-2A'!$L$6:$L$10000,'GSTR-2A'!$B$6:$B$10000,$C$5:$C$4995,'GSTR-2A'!$A$6:$A$10000,$AC$3)</f>
        <v>0</v>
      </c>
      <c r="AF40" s="487">
        <f>SUMIFS('GSTR-2A'!$M$6:$M$10000,'GSTR-2A'!$B$6:$B$10000,$C$5:$C$4995,'GSTR-2A'!$A$6:$A$10000,$AC$3)</f>
        <v>0</v>
      </c>
      <c r="AG40" s="488">
        <f>SUMIFS('GSTR-2A'!$N$6:$N$10000,'GSTR-2A'!$B$6:$B$10000,$C$5:$C$4995,'GSTR-2A'!$A$6:$A$10000,$AC$3)</f>
        <v>0</v>
      </c>
      <c r="AH40" s="486">
        <f>SUMIFS('GSTR-2A'!$G$6:$G$10000,'GSTR-2A'!$B$6:$B$10000,$C$5:$C$4995,'GSTR-2A'!$A$6:$A$10000,$AH$3)</f>
        <v>0</v>
      </c>
      <c r="AI40" s="487">
        <f>SUMIFS('GSTR-2A'!$K$6:$K$10000,'GSTR-2A'!$B$6:$B$10000,$C$5:$C$4995,'GSTR-2A'!$A$6:$A$10000,$AH$3)</f>
        <v>0</v>
      </c>
      <c r="AJ40" s="487">
        <f>SUMIFS('GSTR-2A'!$L$6:$L$10000,'GSTR-2A'!$B$6:$B$10000,$C$5:$C$4995,'GSTR-2A'!$A$6:$A$10000,$AH$3)</f>
        <v>0</v>
      </c>
      <c r="AK40" s="487">
        <f>SUMIFS('GSTR-2A'!$M$6:$M$10000,'GSTR-2A'!$B$6:$B$10000,$C$5:$C$4995,'GSTR-2A'!$A$6:$A$10000,$AH$3)</f>
        <v>0</v>
      </c>
      <c r="AL40" s="488">
        <f>SUMIFS('GSTR-2A'!$N$6:$N$10000,'GSTR-2A'!$B$6:$B$10000,$C$5:$C$4995,'GSTR-2A'!$A$6:$A$10000,$AH$3)</f>
        <v>0</v>
      </c>
      <c r="AM40" s="486">
        <f>SUMIFS('GSTR-2A'!$G$6:$G$10000,'GSTR-2A'!$B$6:$B$10000,$C$5:$C$4995,'GSTR-2A'!$A$6:$A$10000,$AM$3)</f>
        <v>0</v>
      </c>
      <c r="AN40" s="487">
        <f>SUMIFS('GSTR-2A'!$K$6:$K$10000,'GSTR-2A'!$B$6:$B$10000,$C$5:$C$4995,'GSTR-2A'!$A$6:$A$10000,$AM$3)</f>
        <v>0</v>
      </c>
      <c r="AO40" s="487">
        <f>SUMIFS('GSTR-2A'!$L$6:$L$10000,'GSTR-2A'!$B$6:$B$10000,$C$5:$C$4995,'GSTR-2A'!$A$6:$A$10000,$AM$3)</f>
        <v>0</v>
      </c>
      <c r="AP40" s="487">
        <f>SUMIFS('GSTR-2A'!$M$6:$M$10000,'GSTR-2A'!$B$6:$B$10000,$C$5:$C$4995,'GSTR-2A'!$A$6:$A$10000,$AM$3)</f>
        <v>0</v>
      </c>
      <c r="AQ40" s="488">
        <f>SUMIFS('GSTR-2A'!$N$6:$N$10000,'GSTR-2A'!$B$6:$B$10000,$C$5:$C$4995,'GSTR-2A'!$A$6:$A$10000,$AM$3)</f>
        <v>0</v>
      </c>
      <c r="AR40" s="486">
        <f>SUMIFS('GSTR-2A'!$G$6:$G$10000,'GSTR-2A'!$B$6:$B$10000,$C$5:$C$4995,'GSTR-2A'!$A$6:$A$10000,$AR$3)</f>
        <v>0</v>
      </c>
      <c r="AS40" s="487">
        <f>SUMIFS('GSTR-2A'!$K$6:$K$10000,'GSTR-2A'!$B$6:$B$10000,$C$5:$C$4995,'GSTR-2A'!$A$6:$A$10000,$AR$3)</f>
        <v>0</v>
      </c>
      <c r="AT40" s="487">
        <f>SUMIFS('GSTR-2A'!$L$6:$L$10000,'GSTR-2A'!$B$6:$B$10000,$C$5:$C$4995,'GSTR-2A'!$A$6:$A$10000,$AR$3)</f>
        <v>0</v>
      </c>
      <c r="AU40" s="487">
        <f>SUMIFS('GSTR-2A'!$M$6:$M$10000,'GSTR-2A'!$B$6:$B$10000,$C$5:$C$4995,'GSTR-2A'!$A$6:$A$10000,$AR$3)</f>
        <v>0</v>
      </c>
      <c r="AV40" s="488">
        <f>SUMIFS('GSTR-2A'!$N$6:$N$10000,'GSTR-2A'!$B$6:$B$10000,$C$5:$C$4995,'GSTR-2A'!$A$6:$A$10000,$AR$3)</f>
        <v>0</v>
      </c>
      <c r="AW40" s="486">
        <f>SUMIFS('GSTR-2A'!$G$6:$G$10000,'GSTR-2A'!$B$6:$B$10000,$C$5:$C$4995,'GSTR-2A'!$A$6:$A$10000,$AW$3)</f>
        <v>0</v>
      </c>
      <c r="AX40" s="487">
        <f>SUMIFS('GSTR-2A'!$K$6:$K$10000,'GSTR-2A'!$B$6:$B$10000,$C$5:$C$4995,'GSTR-2A'!$A$6:$A$10000,$AW$3)</f>
        <v>0</v>
      </c>
      <c r="AY40" s="487">
        <f>SUMIFS('GSTR-2A'!$L$6:$L$10000,'GSTR-2A'!$B$6:$B$10000,$C$5:$C$4995,'GSTR-2A'!$A$6:$A$10000,$AW$3)</f>
        <v>0</v>
      </c>
      <c r="AZ40" s="487">
        <f>SUMIFS('GSTR-2A'!$M$6:$M$10000,'GSTR-2A'!$B$6:$B$10000,$C$5:$C$4995,'GSTR-2A'!$A$6:$A$10000,$AW$3)</f>
        <v>0</v>
      </c>
      <c r="BA40" s="488">
        <f>SUMIFS('GSTR-2A'!$N$6:$N$10000,'GSTR-2A'!$B$6:$B$10000,$C$5:$C$4995,'GSTR-2A'!$A$6:$A$10000,$AW$3)</f>
        <v>0</v>
      </c>
      <c r="BB40" s="486">
        <f>SUMIFS('GSTR-2A'!$G$6:$G$10000,'GSTR-2A'!$B$6:$B$10000,$C$5:$C$4995,'GSTR-2A'!$A$6:$A$10000,$BB$3)</f>
        <v>0</v>
      </c>
      <c r="BC40" s="487">
        <f>SUMIFS('GSTR-2A'!$K$6:$K$10000,'GSTR-2A'!$B$6:$B$10000,$C$5:$C$4995,'GSTR-2A'!$A$6:$A$10000,$BB$3)</f>
        <v>0</v>
      </c>
      <c r="BD40" s="487">
        <f>SUMIFS('GSTR-2A'!$L$6:$L$10000,'GSTR-2A'!$B$6:$B$10000,$C$5:$C$4995,'GSTR-2A'!$A$6:$A$10000,$BB$3)</f>
        <v>0</v>
      </c>
      <c r="BE40" s="487">
        <f>SUMIFS('GSTR-2A'!$M$6:$M$10000,'GSTR-2A'!$B$6:$B$10000,$C$5:$C$4995,'GSTR-2A'!$A$6:$A$10000,$BB$3)</f>
        <v>0</v>
      </c>
      <c r="BF40" s="488">
        <f>SUMIFS('GSTR-2A'!$N$6:$N$10000,'GSTR-2A'!$B$6:$B$10000,$C$5:$C$4995,'GSTR-2A'!$A$6:$A$10000,$BB$3)</f>
        <v>0</v>
      </c>
      <c r="BG40" s="486">
        <f>SUMIFS('GSTR-2A'!$G$6:$G$10000,'GSTR-2A'!$B$6:$B$10000,$C$5:$C$4995,'GSTR-2A'!$A$6:$A$10000,$BG$3)</f>
        <v>0</v>
      </c>
      <c r="BH40" s="487">
        <f>SUMIFS('GSTR-2A'!$K$6:$K$10000,'GSTR-2A'!$B$6:$B$10000,$C$5:$C$4995,'GSTR-2A'!$A$6:$A$10000,$BG$3)</f>
        <v>0</v>
      </c>
      <c r="BI40" s="487">
        <f>SUMIFS('GSTR-2A'!$L$6:$L$10000,'GSTR-2A'!$B$6:$B$10000,$C$5:$C$4995,'GSTR-2A'!$A$6:$A$10000,$BG$3)</f>
        <v>0</v>
      </c>
      <c r="BJ40" s="487">
        <f>SUMIFS('GSTR-2A'!$M$6:$M$10000,'GSTR-2A'!$B$6:$B$10000,$C$5:$C$4995,'GSTR-2A'!$A$6:$A$10000,$BG$3)</f>
        <v>0</v>
      </c>
      <c r="BK40" s="488">
        <f>SUMIFS('GSTR-2A'!$N$6:$N$10000,'GSTR-2A'!$B$6:$B$10000,$C$5:$C$4995,'GSTR-2A'!$A$6:$A$10000,$BG$3)</f>
        <v>0</v>
      </c>
      <c r="BL40" s="72">
        <f t="shared" si="2"/>
        <v>0</v>
      </c>
      <c r="BM40" s="72">
        <f t="shared" si="3"/>
        <v>0</v>
      </c>
      <c r="BN40" s="72">
        <f t="shared" si="4"/>
        <v>0</v>
      </c>
      <c r="BO40" s="72">
        <f t="shared" si="5"/>
        <v>0</v>
      </c>
      <c r="BP40" s="72">
        <f t="shared" si="6"/>
        <v>0</v>
      </c>
    </row>
    <row r="41" spans="1:68" x14ac:dyDescent="0.2">
      <c r="A41" s="467">
        <v>37</v>
      </c>
      <c r="B41" s="468" t="s">
        <v>538</v>
      </c>
      <c r="C41" s="469" t="s">
        <v>539</v>
      </c>
      <c r="D41" s="72">
        <f>SUMIFS('GSTR-2A'!$G$6:$G$10000,'GSTR-2A'!$B$6:$B$10000,$C$5:$C$4995,'GSTR-2A'!$A$6:$A$10000,$D$3)</f>
        <v>114286</v>
      </c>
      <c r="E41" s="72">
        <f>SUMIFS('GSTR-2A'!$K$6:$K$10000,'GSTR-2A'!$B$6:$B$10000,$C$5:$C$4995,'GSTR-2A'!$A$6:$A$10000,$D$3)</f>
        <v>96853</v>
      </c>
      <c r="F41" s="72">
        <f>SUMIFS('GSTR-2A'!$L$6:$L$10000,'GSTR-2A'!$B$6:$B$10000,$C$5:$C$4995,'GSTR-2A'!$A$6:$A$10000,$D$3)</f>
        <v>0</v>
      </c>
      <c r="G41" s="72">
        <f>SUMIFS('GSTR-2A'!$M$6:$M$10000,'GSTR-2A'!$B$6:$B$10000,$C$5:$C$4995,'GSTR-2A'!$A$6:$A$10000,$D$3)</f>
        <v>8716.77</v>
      </c>
      <c r="H41" s="72">
        <f>SUMIFS('GSTR-2A'!$N$6:$N$10000,'GSTR-2A'!$B$6:$B$10000,$C$5:$C$4995,'GSTR-2A'!$A$6:$A$10000,$D$3)</f>
        <v>8716.77</v>
      </c>
      <c r="I41" s="486">
        <f>SUMIFS('GSTR-2A'!$G$6:$G$10000,'GSTR-2A'!$B$6:$B$10000,$C$5:$C$4995,'GSTR-2A'!$A$6:$A$10000,$I$3)</f>
        <v>20538</v>
      </c>
      <c r="J41" s="487">
        <f>SUMIFS('GSTR-2A'!$K$6:$K$10000,'GSTR-2A'!$B$6:$B$10000,$C$5:$C$4995,'GSTR-2A'!$A$6:$A$10000,$I$3)</f>
        <v>17405</v>
      </c>
      <c r="K41" s="487">
        <f>SUMIFS('GSTR-2A'!$L$6:$L$10000,'GSTR-2A'!$B$6:$B$10000,$C$5:$C$4995,'GSTR-2A'!$A$6:$A$10000,$I$3)</f>
        <v>0</v>
      </c>
      <c r="L41" s="487">
        <f>SUMIFS('GSTR-2A'!$M$6:$M$10000,'GSTR-2A'!$B$6:$B$10000,$C$5:$C$4995,'GSTR-2A'!$A$6:$A$10000,$I$3)</f>
        <v>1566.45</v>
      </c>
      <c r="M41" s="488">
        <f>SUMIFS('GSTR-2A'!$N$6:$N$10000,'GSTR-2A'!$B$6:$B$10000,$C$5:$C$4995,'GSTR-2A'!$A$6:$A$10000,$I$3)</f>
        <v>1566.45</v>
      </c>
      <c r="N41" s="486">
        <f>SUMIFS('GSTR-2A'!$G$6:$G$10000,'GSTR-2A'!$B$6:$B$10000,$C$5:$C$4995,'GSTR-2A'!$A$6:$A$10000,$N$3)</f>
        <v>0</v>
      </c>
      <c r="O41" s="487">
        <f>SUMIFS('GSTR-2A'!$K$6:$K$10000,'GSTR-2A'!$B$6:$B$10000,$C$5:$C$4995,'GSTR-2A'!$A$6:$A$10000,$N$3)</f>
        <v>0</v>
      </c>
      <c r="P41" s="487">
        <f>SUMIFS('GSTR-2A'!$L$6:$L$10000,'GSTR-2A'!$B$6:$B$10000,$C$5:$C$4995,'GSTR-2A'!$A$6:$A$10000,$N$3)</f>
        <v>0</v>
      </c>
      <c r="Q41" s="487">
        <f>SUMIFS('GSTR-2A'!$M$6:$M$10000,'GSTR-2A'!$B$6:$B$10000,$C$5:$C$4995,'GSTR-2A'!$A$6:$A$10000,$N$3)</f>
        <v>0</v>
      </c>
      <c r="R41" s="488">
        <f>SUMIFS('GSTR-2A'!$N$6:$N$10000,'GSTR-2A'!$B$6:$B$10000,$C$5:$C$4995,'GSTR-2A'!$A$6:$A$10000,$N$3)</f>
        <v>0</v>
      </c>
      <c r="S41" s="486">
        <f>SUMIFS('GSTR-2A'!$G$6:$G$10000,'GSTR-2A'!$B$6:$B$10000,$C$5:$C$4995,'GSTR-2A'!$A$6:$A$10000,$S$3)</f>
        <v>0</v>
      </c>
      <c r="T41" s="487">
        <f>SUMIFS('GSTR-2A'!$K$6:$K$10000,'GSTR-2A'!$B$6:$B$10000,$C$5:$C$4995,'GSTR-2A'!$A$6:$A$10000,$S$3)</f>
        <v>0</v>
      </c>
      <c r="U41" s="487">
        <f>SUMIFS('GSTR-2A'!$L$6:$L$10000,'GSTR-2A'!$B$6:$B$10000,$C$5:$C$4995,'GSTR-2A'!$A$6:$A$10000,$S$3)</f>
        <v>0</v>
      </c>
      <c r="V41" s="487">
        <f>SUMIFS('GSTR-2A'!$M$6:$M$10000,'GSTR-2A'!$B$6:$B$10000,$C$5:$C$4995,'GSTR-2A'!$A$6:$A$10000,$S$3)</f>
        <v>0</v>
      </c>
      <c r="W41" s="488">
        <f>SUMIFS('GSTR-2A'!$N$6:$N$10000,'GSTR-2A'!$B$6:$B$10000,$C$5:$C$4995,'GSTR-2A'!$A$6:$A$10000,$S$3)</f>
        <v>0</v>
      </c>
      <c r="X41" s="486">
        <f>SUMIFS('GSTR-2A'!$G$6:$G$10000,'GSTR-2A'!$B$6:$B$10000,$C$5:$C$4995,'GSTR-2A'!$A$6:$A$10000,$X$3)</f>
        <v>0</v>
      </c>
      <c r="Y41" s="487">
        <f>SUMIFS('GSTR-2A'!$K$6:$K$10000,'GSTR-2A'!$B$6:$B$10000,$C$5:$C$4995,'GSTR-2A'!$A$6:$A$10000,$X$3)</f>
        <v>0</v>
      </c>
      <c r="Z41" s="487">
        <f>SUMIFS('GSTR-2A'!$L$6:$L$10000,'GSTR-2A'!$B$6:$B$10000,$C$5:$C$4995,'GSTR-2A'!$A$6:$A$10000,$X$3)</f>
        <v>0</v>
      </c>
      <c r="AA41" s="487">
        <f>SUMIFS('GSTR-2A'!$M$6:$M$10000,'GSTR-2A'!$B$6:$B$10000,$C$5:$C$4995,'GSTR-2A'!$A$6:$A$10000,$X$3)</f>
        <v>0</v>
      </c>
      <c r="AB41" s="488">
        <f>SUMIFS('GSTR-2A'!$N$6:$N$10000,'GSTR-2A'!$B$6:$B$10000,$C$5:$C$4995,'GSTR-2A'!$A$6:$A$10000,$X$3)</f>
        <v>0</v>
      </c>
      <c r="AC41" s="486">
        <f>SUMIFS('GSTR-2A'!$G$6:$G$10000,'GSTR-2A'!$B$6:$B$10000,$C$5:$C$4995,'GSTR-2A'!$A$6:$A$10000,$AC$3)</f>
        <v>0</v>
      </c>
      <c r="AD41" s="487">
        <f>SUMIFS('GSTR-2A'!$K$6:$K$10000,'GSTR-2A'!$B$6:$B$10000,$C$5:$C$4995,'GSTR-2A'!$A$6:$A$10000,$AC$3)</f>
        <v>0</v>
      </c>
      <c r="AE41" s="487">
        <f>SUMIFS('GSTR-2A'!$L$6:$L$10000,'GSTR-2A'!$B$6:$B$10000,$C$5:$C$4995,'GSTR-2A'!$A$6:$A$10000,$AC$3)</f>
        <v>0</v>
      </c>
      <c r="AF41" s="487">
        <f>SUMIFS('GSTR-2A'!$M$6:$M$10000,'GSTR-2A'!$B$6:$B$10000,$C$5:$C$4995,'GSTR-2A'!$A$6:$A$10000,$AC$3)</f>
        <v>0</v>
      </c>
      <c r="AG41" s="488">
        <f>SUMIFS('GSTR-2A'!$N$6:$N$10000,'GSTR-2A'!$B$6:$B$10000,$C$5:$C$4995,'GSTR-2A'!$A$6:$A$10000,$AC$3)</f>
        <v>0</v>
      </c>
      <c r="AH41" s="486">
        <f>SUMIFS('GSTR-2A'!$G$6:$G$10000,'GSTR-2A'!$B$6:$B$10000,$C$5:$C$4995,'GSTR-2A'!$A$6:$A$10000,$AH$3)</f>
        <v>0</v>
      </c>
      <c r="AI41" s="487">
        <f>SUMIFS('GSTR-2A'!$K$6:$K$10000,'GSTR-2A'!$B$6:$B$10000,$C$5:$C$4995,'GSTR-2A'!$A$6:$A$10000,$AH$3)</f>
        <v>0</v>
      </c>
      <c r="AJ41" s="487">
        <f>SUMIFS('GSTR-2A'!$L$6:$L$10000,'GSTR-2A'!$B$6:$B$10000,$C$5:$C$4995,'GSTR-2A'!$A$6:$A$10000,$AH$3)</f>
        <v>0</v>
      </c>
      <c r="AK41" s="487">
        <f>SUMIFS('GSTR-2A'!$M$6:$M$10000,'GSTR-2A'!$B$6:$B$10000,$C$5:$C$4995,'GSTR-2A'!$A$6:$A$10000,$AH$3)</f>
        <v>0</v>
      </c>
      <c r="AL41" s="488">
        <f>SUMIFS('GSTR-2A'!$N$6:$N$10000,'GSTR-2A'!$B$6:$B$10000,$C$5:$C$4995,'GSTR-2A'!$A$6:$A$10000,$AH$3)</f>
        <v>0</v>
      </c>
      <c r="AM41" s="486">
        <f>SUMIFS('GSTR-2A'!$G$6:$G$10000,'GSTR-2A'!$B$6:$B$10000,$C$5:$C$4995,'GSTR-2A'!$A$6:$A$10000,$AM$3)</f>
        <v>0</v>
      </c>
      <c r="AN41" s="487">
        <f>SUMIFS('GSTR-2A'!$K$6:$K$10000,'GSTR-2A'!$B$6:$B$10000,$C$5:$C$4995,'GSTR-2A'!$A$6:$A$10000,$AM$3)</f>
        <v>0</v>
      </c>
      <c r="AO41" s="487">
        <f>SUMIFS('GSTR-2A'!$L$6:$L$10000,'GSTR-2A'!$B$6:$B$10000,$C$5:$C$4995,'GSTR-2A'!$A$6:$A$10000,$AM$3)</f>
        <v>0</v>
      </c>
      <c r="AP41" s="487">
        <f>SUMIFS('GSTR-2A'!$M$6:$M$10000,'GSTR-2A'!$B$6:$B$10000,$C$5:$C$4995,'GSTR-2A'!$A$6:$A$10000,$AM$3)</f>
        <v>0</v>
      </c>
      <c r="AQ41" s="488">
        <f>SUMIFS('GSTR-2A'!$N$6:$N$10000,'GSTR-2A'!$B$6:$B$10000,$C$5:$C$4995,'GSTR-2A'!$A$6:$A$10000,$AM$3)</f>
        <v>0</v>
      </c>
      <c r="AR41" s="486">
        <f>SUMIFS('GSTR-2A'!$G$6:$G$10000,'GSTR-2A'!$B$6:$B$10000,$C$5:$C$4995,'GSTR-2A'!$A$6:$A$10000,$AR$3)</f>
        <v>0</v>
      </c>
      <c r="AS41" s="487">
        <f>SUMIFS('GSTR-2A'!$K$6:$K$10000,'GSTR-2A'!$B$6:$B$10000,$C$5:$C$4995,'GSTR-2A'!$A$6:$A$10000,$AR$3)</f>
        <v>0</v>
      </c>
      <c r="AT41" s="487">
        <f>SUMIFS('GSTR-2A'!$L$6:$L$10000,'GSTR-2A'!$B$6:$B$10000,$C$5:$C$4995,'GSTR-2A'!$A$6:$A$10000,$AR$3)</f>
        <v>0</v>
      </c>
      <c r="AU41" s="487">
        <f>SUMIFS('GSTR-2A'!$M$6:$M$10000,'GSTR-2A'!$B$6:$B$10000,$C$5:$C$4995,'GSTR-2A'!$A$6:$A$10000,$AR$3)</f>
        <v>0</v>
      </c>
      <c r="AV41" s="488">
        <f>SUMIFS('GSTR-2A'!$N$6:$N$10000,'GSTR-2A'!$B$6:$B$10000,$C$5:$C$4995,'GSTR-2A'!$A$6:$A$10000,$AR$3)</f>
        <v>0</v>
      </c>
      <c r="AW41" s="486">
        <f>SUMIFS('GSTR-2A'!$G$6:$G$10000,'GSTR-2A'!$B$6:$B$10000,$C$5:$C$4995,'GSTR-2A'!$A$6:$A$10000,$AW$3)</f>
        <v>0</v>
      </c>
      <c r="AX41" s="487">
        <f>SUMIFS('GSTR-2A'!$K$6:$K$10000,'GSTR-2A'!$B$6:$B$10000,$C$5:$C$4995,'GSTR-2A'!$A$6:$A$10000,$AW$3)</f>
        <v>0</v>
      </c>
      <c r="AY41" s="487">
        <f>SUMIFS('GSTR-2A'!$L$6:$L$10000,'GSTR-2A'!$B$6:$B$10000,$C$5:$C$4995,'GSTR-2A'!$A$6:$A$10000,$AW$3)</f>
        <v>0</v>
      </c>
      <c r="AZ41" s="487">
        <f>SUMIFS('GSTR-2A'!$M$6:$M$10000,'GSTR-2A'!$B$6:$B$10000,$C$5:$C$4995,'GSTR-2A'!$A$6:$A$10000,$AW$3)</f>
        <v>0</v>
      </c>
      <c r="BA41" s="488">
        <f>SUMIFS('GSTR-2A'!$N$6:$N$10000,'GSTR-2A'!$B$6:$B$10000,$C$5:$C$4995,'GSTR-2A'!$A$6:$A$10000,$AW$3)</f>
        <v>0</v>
      </c>
      <c r="BB41" s="486">
        <f>SUMIFS('GSTR-2A'!$G$6:$G$10000,'GSTR-2A'!$B$6:$B$10000,$C$5:$C$4995,'GSTR-2A'!$A$6:$A$10000,$BB$3)</f>
        <v>0</v>
      </c>
      <c r="BC41" s="487">
        <f>SUMIFS('GSTR-2A'!$K$6:$K$10000,'GSTR-2A'!$B$6:$B$10000,$C$5:$C$4995,'GSTR-2A'!$A$6:$A$10000,$BB$3)</f>
        <v>0</v>
      </c>
      <c r="BD41" s="487">
        <f>SUMIFS('GSTR-2A'!$L$6:$L$10000,'GSTR-2A'!$B$6:$B$10000,$C$5:$C$4995,'GSTR-2A'!$A$6:$A$10000,$BB$3)</f>
        <v>0</v>
      </c>
      <c r="BE41" s="487">
        <f>SUMIFS('GSTR-2A'!$M$6:$M$10000,'GSTR-2A'!$B$6:$B$10000,$C$5:$C$4995,'GSTR-2A'!$A$6:$A$10000,$BB$3)</f>
        <v>0</v>
      </c>
      <c r="BF41" s="488">
        <f>SUMIFS('GSTR-2A'!$N$6:$N$10000,'GSTR-2A'!$B$6:$B$10000,$C$5:$C$4995,'GSTR-2A'!$A$6:$A$10000,$BB$3)</f>
        <v>0</v>
      </c>
      <c r="BG41" s="486">
        <f>SUMIFS('GSTR-2A'!$G$6:$G$10000,'GSTR-2A'!$B$6:$B$10000,$C$5:$C$4995,'GSTR-2A'!$A$6:$A$10000,$BG$3)</f>
        <v>0</v>
      </c>
      <c r="BH41" s="487">
        <f>SUMIFS('GSTR-2A'!$K$6:$K$10000,'GSTR-2A'!$B$6:$B$10000,$C$5:$C$4995,'GSTR-2A'!$A$6:$A$10000,$BG$3)</f>
        <v>0</v>
      </c>
      <c r="BI41" s="487">
        <f>SUMIFS('GSTR-2A'!$L$6:$L$10000,'GSTR-2A'!$B$6:$B$10000,$C$5:$C$4995,'GSTR-2A'!$A$6:$A$10000,$BG$3)</f>
        <v>0</v>
      </c>
      <c r="BJ41" s="487">
        <f>SUMIFS('GSTR-2A'!$M$6:$M$10000,'GSTR-2A'!$B$6:$B$10000,$C$5:$C$4995,'GSTR-2A'!$A$6:$A$10000,$BG$3)</f>
        <v>0</v>
      </c>
      <c r="BK41" s="488">
        <f>SUMIFS('GSTR-2A'!$N$6:$N$10000,'GSTR-2A'!$B$6:$B$10000,$C$5:$C$4995,'GSTR-2A'!$A$6:$A$10000,$BG$3)</f>
        <v>0</v>
      </c>
      <c r="BL41" s="72">
        <f t="shared" si="2"/>
        <v>134824</v>
      </c>
      <c r="BM41" s="72">
        <f t="shared" si="3"/>
        <v>114258</v>
      </c>
      <c r="BN41" s="72">
        <f t="shared" si="4"/>
        <v>0</v>
      </c>
      <c r="BO41" s="72">
        <f t="shared" si="5"/>
        <v>10283.220000000001</v>
      </c>
      <c r="BP41" s="72">
        <f t="shared" si="6"/>
        <v>10283.220000000001</v>
      </c>
    </row>
    <row r="42" spans="1:68" x14ac:dyDescent="0.2">
      <c r="A42" s="467">
        <v>38</v>
      </c>
      <c r="B42" s="468" t="s">
        <v>1100</v>
      </c>
      <c r="C42" s="469" t="s">
        <v>1101</v>
      </c>
      <c r="D42" s="72">
        <f>SUMIFS('GSTR-2A'!$G$6:$G$10000,'GSTR-2A'!$B$6:$B$10000,$C$5:$C$4995,'GSTR-2A'!$A$6:$A$10000,$D$3)</f>
        <v>0</v>
      </c>
      <c r="E42" s="72">
        <f>SUMIFS('GSTR-2A'!$K$6:$K$10000,'GSTR-2A'!$B$6:$B$10000,$C$5:$C$4995,'GSTR-2A'!$A$6:$A$10000,$D$3)</f>
        <v>0</v>
      </c>
      <c r="F42" s="72">
        <f>SUMIFS('GSTR-2A'!$L$6:$L$10000,'GSTR-2A'!$B$6:$B$10000,$C$5:$C$4995,'GSTR-2A'!$A$6:$A$10000,$D$3)</f>
        <v>0</v>
      </c>
      <c r="G42" s="72">
        <f>SUMIFS('GSTR-2A'!$M$6:$M$10000,'GSTR-2A'!$B$6:$B$10000,$C$5:$C$4995,'GSTR-2A'!$A$6:$A$10000,$D$3)</f>
        <v>0</v>
      </c>
      <c r="H42" s="72">
        <f>SUMIFS('GSTR-2A'!$N$6:$N$10000,'GSTR-2A'!$B$6:$B$10000,$C$5:$C$4995,'GSTR-2A'!$A$6:$A$10000,$D$3)</f>
        <v>0</v>
      </c>
      <c r="I42" s="486">
        <f>SUMIFS('GSTR-2A'!$G$6:$G$10000,'GSTR-2A'!$B$6:$B$10000,$C$5:$C$4995,'GSTR-2A'!$A$6:$A$10000,$I$3)</f>
        <v>0</v>
      </c>
      <c r="J42" s="487">
        <f>SUMIFS('GSTR-2A'!$K$6:$K$10000,'GSTR-2A'!$B$6:$B$10000,$C$5:$C$4995,'GSTR-2A'!$A$6:$A$10000,$I$3)</f>
        <v>0</v>
      </c>
      <c r="K42" s="487">
        <f>SUMIFS('GSTR-2A'!$L$6:$L$10000,'GSTR-2A'!$B$6:$B$10000,$C$5:$C$4995,'GSTR-2A'!$A$6:$A$10000,$I$3)</f>
        <v>0</v>
      </c>
      <c r="L42" s="487">
        <f>SUMIFS('GSTR-2A'!$M$6:$M$10000,'GSTR-2A'!$B$6:$B$10000,$C$5:$C$4995,'GSTR-2A'!$A$6:$A$10000,$I$3)</f>
        <v>0</v>
      </c>
      <c r="M42" s="488">
        <f>SUMIFS('GSTR-2A'!$N$6:$N$10000,'GSTR-2A'!$B$6:$B$10000,$C$5:$C$4995,'GSTR-2A'!$A$6:$A$10000,$I$3)</f>
        <v>0</v>
      </c>
      <c r="N42" s="486">
        <f>SUMIFS('GSTR-2A'!$G$6:$G$10000,'GSTR-2A'!$B$6:$B$10000,$C$5:$C$4995,'GSTR-2A'!$A$6:$A$10000,$N$3)</f>
        <v>0</v>
      </c>
      <c r="O42" s="487">
        <f>SUMIFS('GSTR-2A'!$K$6:$K$10000,'GSTR-2A'!$B$6:$B$10000,$C$5:$C$4995,'GSTR-2A'!$A$6:$A$10000,$N$3)</f>
        <v>0</v>
      </c>
      <c r="P42" s="487">
        <f>SUMIFS('GSTR-2A'!$L$6:$L$10000,'GSTR-2A'!$B$6:$B$10000,$C$5:$C$4995,'GSTR-2A'!$A$6:$A$10000,$N$3)</f>
        <v>0</v>
      </c>
      <c r="Q42" s="487">
        <f>SUMIFS('GSTR-2A'!$M$6:$M$10000,'GSTR-2A'!$B$6:$B$10000,$C$5:$C$4995,'GSTR-2A'!$A$6:$A$10000,$N$3)</f>
        <v>0</v>
      </c>
      <c r="R42" s="488">
        <f>SUMIFS('GSTR-2A'!$N$6:$N$10000,'GSTR-2A'!$B$6:$B$10000,$C$5:$C$4995,'GSTR-2A'!$A$6:$A$10000,$N$3)</f>
        <v>0</v>
      </c>
      <c r="S42" s="486">
        <f>SUMIFS('GSTR-2A'!$G$6:$G$10000,'GSTR-2A'!$B$6:$B$10000,$C$5:$C$4995,'GSTR-2A'!$A$6:$A$10000,$S$3)</f>
        <v>0</v>
      </c>
      <c r="T42" s="487">
        <f>SUMIFS('GSTR-2A'!$K$6:$K$10000,'GSTR-2A'!$B$6:$B$10000,$C$5:$C$4995,'GSTR-2A'!$A$6:$A$10000,$S$3)</f>
        <v>0</v>
      </c>
      <c r="U42" s="487">
        <f>SUMIFS('GSTR-2A'!$L$6:$L$10000,'GSTR-2A'!$B$6:$B$10000,$C$5:$C$4995,'GSTR-2A'!$A$6:$A$10000,$S$3)</f>
        <v>0</v>
      </c>
      <c r="V42" s="487">
        <f>SUMIFS('GSTR-2A'!$M$6:$M$10000,'GSTR-2A'!$B$6:$B$10000,$C$5:$C$4995,'GSTR-2A'!$A$6:$A$10000,$S$3)</f>
        <v>0</v>
      </c>
      <c r="W42" s="488">
        <f>SUMIFS('GSTR-2A'!$N$6:$N$10000,'GSTR-2A'!$B$6:$B$10000,$C$5:$C$4995,'GSTR-2A'!$A$6:$A$10000,$S$3)</f>
        <v>0</v>
      </c>
      <c r="X42" s="486">
        <f>SUMIFS('GSTR-2A'!$G$6:$G$10000,'GSTR-2A'!$B$6:$B$10000,$C$5:$C$4995,'GSTR-2A'!$A$6:$A$10000,$X$3)</f>
        <v>0</v>
      </c>
      <c r="Y42" s="487">
        <f>SUMIFS('GSTR-2A'!$K$6:$K$10000,'GSTR-2A'!$B$6:$B$10000,$C$5:$C$4995,'GSTR-2A'!$A$6:$A$10000,$X$3)</f>
        <v>0</v>
      </c>
      <c r="Z42" s="487">
        <f>SUMIFS('GSTR-2A'!$L$6:$L$10000,'GSTR-2A'!$B$6:$B$10000,$C$5:$C$4995,'GSTR-2A'!$A$6:$A$10000,$X$3)</f>
        <v>0</v>
      </c>
      <c r="AA42" s="487">
        <f>SUMIFS('GSTR-2A'!$M$6:$M$10000,'GSTR-2A'!$B$6:$B$10000,$C$5:$C$4995,'GSTR-2A'!$A$6:$A$10000,$X$3)</f>
        <v>0</v>
      </c>
      <c r="AB42" s="488">
        <f>SUMIFS('GSTR-2A'!$N$6:$N$10000,'GSTR-2A'!$B$6:$B$10000,$C$5:$C$4995,'GSTR-2A'!$A$6:$A$10000,$X$3)</f>
        <v>0</v>
      </c>
      <c r="AC42" s="486">
        <f>SUMIFS('GSTR-2A'!$G$6:$G$10000,'GSTR-2A'!$B$6:$B$10000,$C$5:$C$4995,'GSTR-2A'!$A$6:$A$10000,$AC$3)</f>
        <v>0</v>
      </c>
      <c r="AD42" s="487">
        <f>SUMIFS('GSTR-2A'!$K$6:$K$10000,'GSTR-2A'!$B$6:$B$10000,$C$5:$C$4995,'GSTR-2A'!$A$6:$A$10000,$AC$3)</f>
        <v>0</v>
      </c>
      <c r="AE42" s="487">
        <f>SUMIFS('GSTR-2A'!$L$6:$L$10000,'GSTR-2A'!$B$6:$B$10000,$C$5:$C$4995,'GSTR-2A'!$A$6:$A$10000,$AC$3)</f>
        <v>0</v>
      </c>
      <c r="AF42" s="487">
        <f>SUMIFS('GSTR-2A'!$M$6:$M$10000,'GSTR-2A'!$B$6:$B$10000,$C$5:$C$4995,'GSTR-2A'!$A$6:$A$10000,$AC$3)</f>
        <v>0</v>
      </c>
      <c r="AG42" s="488">
        <f>SUMIFS('GSTR-2A'!$N$6:$N$10000,'GSTR-2A'!$B$6:$B$10000,$C$5:$C$4995,'GSTR-2A'!$A$6:$A$10000,$AC$3)</f>
        <v>0</v>
      </c>
      <c r="AH42" s="486">
        <f>SUMIFS('GSTR-2A'!$G$6:$G$10000,'GSTR-2A'!$B$6:$B$10000,$C$5:$C$4995,'GSTR-2A'!$A$6:$A$10000,$AH$3)</f>
        <v>0</v>
      </c>
      <c r="AI42" s="487">
        <f>SUMIFS('GSTR-2A'!$K$6:$K$10000,'GSTR-2A'!$B$6:$B$10000,$C$5:$C$4995,'GSTR-2A'!$A$6:$A$10000,$AH$3)</f>
        <v>0</v>
      </c>
      <c r="AJ42" s="487">
        <f>SUMIFS('GSTR-2A'!$L$6:$L$10000,'GSTR-2A'!$B$6:$B$10000,$C$5:$C$4995,'GSTR-2A'!$A$6:$A$10000,$AH$3)</f>
        <v>0</v>
      </c>
      <c r="AK42" s="487">
        <f>SUMIFS('GSTR-2A'!$M$6:$M$10000,'GSTR-2A'!$B$6:$B$10000,$C$5:$C$4995,'GSTR-2A'!$A$6:$A$10000,$AH$3)</f>
        <v>0</v>
      </c>
      <c r="AL42" s="488">
        <f>SUMIFS('GSTR-2A'!$N$6:$N$10000,'GSTR-2A'!$B$6:$B$10000,$C$5:$C$4995,'GSTR-2A'!$A$6:$A$10000,$AH$3)</f>
        <v>0</v>
      </c>
      <c r="AM42" s="486">
        <f>SUMIFS('GSTR-2A'!$G$6:$G$10000,'GSTR-2A'!$B$6:$B$10000,$C$5:$C$4995,'GSTR-2A'!$A$6:$A$10000,$AM$3)</f>
        <v>0</v>
      </c>
      <c r="AN42" s="487">
        <f>SUMIFS('GSTR-2A'!$K$6:$K$10000,'GSTR-2A'!$B$6:$B$10000,$C$5:$C$4995,'GSTR-2A'!$A$6:$A$10000,$AM$3)</f>
        <v>0</v>
      </c>
      <c r="AO42" s="487">
        <f>SUMIFS('GSTR-2A'!$L$6:$L$10000,'GSTR-2A'!$B$6:$B$10000,$C$5:$C$4995,'GSTR-2A'!$A$6:$A$10000,$AM$3)</f>
        <v>0</v>
      </c>
      <c r="AP42" s="487">
        <f>SUMIFS('GSTR-2A'!$M$6:$M$10000,'GSTR-2A'!$B$6:$B$10000,$C$5:$C$4995,'GSTR-2A'!$A$6:$A$10000,$AM$3)</f>
        <v>0</v>
      </c>
      <c r="AQ42" s="488">
        <f>SUMIFS('GSTR-2A'!$N$6:$N$10000,'GSTR-2A'!$B$6:$B$10000,$C$5:$C$4995,'GSTR-2A'!$A$6:$A$10000,$AM$3)</f>
        <v>0</v>
      </c>
      <c r="AR42" s="486">
        <f>SUMIFS('GSTR-2A'!$G$6:$G$10000,'GSTR-2A'!$B$6:$B$10000,$C$5:$C$4995,'GSTR-2A'!$A$6:$A$10000,$AR$3)</f>
        <v>0</v>
      </c>
      <c r="AS42" s="487">
        <f>SUMIFS('GSTR-2A'!$K$6:$K$10000,'GSTR-2A'!$B$6:$B$10000,$C$5:$C$4995,'GSTR-2A'!$A$6:$A$10000,$AR$3)</f>
        <v>0</v>
      </c>
      <c r="AT42" s="487">
        <f>SUMIFS('GSTR-2A'!$L$6:$L$10000,'GSTR-2A'!$B$6:$B$10000,$C$5:$C$4995,'GSTR-2A'!$A$6:$A$10000,$AR$3)</f>
        <v>0</v>
      </c>
      <c r="AU42" s="487">
        <f>SUMIFS('GSTR-2A'!$M$6:$M$10000,'GSTR-2A'!$B$6:$B$10000,$C$5:$C$4995,'GSTR-2A'!$A$6:$A$10000,$AR$3)</f>
        <v>0</v>
      </c>
      <c r="AV42" s="488">
        <f>SUMIFS('GSTR-2A'!$N$6:$N$10000,'GSTR-2A'!$B$6:$B$10000,$C$5:$C$4995,'GSTR-2A'!$A$6:$A$10000,$AR$3)</f>
        <v>0</v>
      </c>
      <c r="AW42" s="486">
        <f>SUMIFS('GSTR-2A'!$G$6:$G$10000,'GSTR-2A'!$B$6:$B$10000,$C$5:$C$4995,'GSTR-2A'!$A$6:$A$10000,$AW$3)</f>
        <v>0</v>
      </c>
      <c r="AX42" s="487">
        <f>SUMIFS('GSTR-2A'!$K$6:$K$10000,'GSTR-2A'!$B$6:$B$10000,$C$5:$C$4995,'GSTR-2A'!$A$6:$A$10000,$AW$3)</f>
        <v>0</v>
      </c>
      <c r="AY42" s="487">
        <f>SUMIFS('GSTR-2A'!$L$6:$L$10000,'GSTR-2A'!$B$6:$B$10000,$C$5:$C$4995,'GSTR-2A'!$A$6:$A$10000,$AW$3)</f>
        <v>0</v>
      </c>
      <c r="AZ42" s="487">
        <f>SUMIFS('GSTR-2A'!$M$6:$M$10000,'GSTR-2A'!$B$6:$B$10000,$C$5:$C$4995,'GSTR-2A'!$A$6:$A$10000,$AW$3)</f>
        <v>0</v>
      </c>
      <c r="BA42" s="488">
        <f>SUMIFS('GSTR-2A'!$N$6:$N$10000,'GSTR-2A'!$B$6:$B$10000,$C$5:$C$4995,'GSTR-2A'!$A$6:$A$10000,$AW$3)</f>
        <v>0</v>
      </c>
      <c r="BB42" s="486">
        <f>SUMIFS('GSTR-2A'!$G$6:$G$10000,'GSTR-2A'!$B$6:$B$10000,$C$5:$C$4995,'GSTR-2A'!$A$6:$A$10000,$BB$3)</f>
        <v>0</v>
      </c>
      <c r="BC42" s="487">
        <f>SUMIFS('GSTR-2A'!$K$6:$K$10000,'GSTR-2A'!$B$6:$B$10000,$C$5:$C$4995,'GSTR-2A'!$A$6:$A$10000,$BB$3)</f>
        <v>0</v>
      </c>
      <c r="BD42" s="487">
        <f>SUMIFS('GSTR-2A'!$L$6:$L$10000,'GSTR-2A'!$B$6:$B$10000,$C$5:$C$4995,'GSTR-2A'!$A$6:$A$10000,$BB$3)</f>
        <v>0</v>
      </c>
      <c r="BE42" s="487">
        <f>SUMIFS('GSTR-2A'!$M$6:$M$10000,'GSTR-2A'!$B$6:$B$10000,$C$5:$C$4995,'GSTR-2A'!$A$6:$A$10000,$BB$3)</f>
        <v>0</v>
      </c>
      <c r="BF42" s="488">
        <f>SUMIFS('GSTR-2A'!$N$6:$N$10000,'GSTR-2A'!$B$6:$B$10000,$C$5:$C$4995,'GSTR-2A'!$A$6:$A$10000,$BB$3)</f>
        <v>0</v>
      </c>
      <c r="BG42" s="486">
        <f>SUMIFS('GSTR-2A'!$G$6:$G$10000,'GSTR-2A'!$B$6:$B$10000,$C$5:$C$4995,'GSTR-2A'!$A$6:$A$10000,$BG$3)</f>
        <v>0</v>
      </c>
      <c r="BH42" s="487">
        <f>SUMIFS('GSTR-2A'!$K$6:$K$10000,'GSTR-2A'!$B$6:$B$10000,$C$5:$C$4995,'GSTR-2A'!$A$6:$A$10000,$BG$3)</f>
        <v>0</v>
      </c>
      <c r="BI42" s="487">
        <f>SUMIFS('GSTR-2A'!$L$6:$L$10000,'GSTR-2A'!$B$6:$B$10000,$C$5:$C$4995,'GSTR-2A'!$A$6:$A$10000,$BG$3)</f>
        <v>0</v>
      </c>
      <c r="BJ42" s="487">
        <f>SUMIFS('GSTR-2A'!$M$6:$M$10000,'GSTR-2A'!$B$6:$B$10000,$C$5:$C$4995,'GSTR-2A'!$A$6:$A$10000,$BG$3)</f>
        <v>0</v>
      </c>
      <c r="BK42" s="488">
        <f>SUMIFS('GSTR-2A'!$N$6:$N$10000,'GSTR-2A'!$B$6:$B$10000,$C$5:$C$4995,'GSTR-2A'!$A$6:$A$10000,$BG$3)</f>
        <v>0</v>
      </c>
      <c r="BL42" s="72">
        <f t="shared" si="2"/>
        <v>0</v>
      </c>
      <c r="BM42" s="72">
        <f t="shared" si="3"/>
        <v>0</v>
      </c>
      <c r="BN42" s="72">
        <f t="shared" si="4"/>
        <v>0</v>
      </c>
      <c r="BO42" s="72">
        <f t="shared" si="5"/>
        <v>0</v>
      </c>
      <c r="BP42" s="72">
        <f t="shared" si="6"/>
        <v>0</v>
      </c>
    </row>
    <row r="43" spans="1:68" x14ac:dyDescent="0.2">
      <c r="A43" s="467">
        <v>39</v>
      </c>
      <c r="B43" s="468" t="s">
        <v>1102</v>
      </c>
      <c r="C43" s="468" t="s">
        <v>1103</v>
      </c>
      <c r="D43" s="72">
        <f>SUMIFS('GSTR-2A'!$G$6:$G$10000,'GSTR-2A'!$B$6:$B$10000,$C$5:$C$4995,'GSTR-2A'!$A$6:$A$10000,$D$3)</f>
        <v>0</v>
      </c>
      <c r="E43" s="72">
        <f>SUMIFS('GSTR-2A'!$K$6:$K$10000,'GSTR-2A'!$B$6:$B$10000,$C$5:$C$4995,'GSTR-2A'!$A$6:$A$10000,$D$3)</f>
        <v>0</v>
      </c>
      <c r="F43" s="72">
        <f>SUMIFS('GSTR-2A'!$L$6:$L$10000,'GSTR-2A'!$B$6:$B$10000,$C$5:$C$4995,'GSTR-2A'!$A$6:$A$10000,$D$3)</f>
        <v>0</v>
      </c>
      <c r="G43" s="72">
        <f>SUMIFS('GSTR-2A'!$M$6:$M$10000,'GSTR-2A'!$B$6:$B$10000,$C$5:$C$4995,'GSTR-2A'!$A$6:$A$10000,$D$3)</f>
        <v>0</v>
      </c>
      <c r="H43" s="72">
        <f>SUMIFS('GSTR-2A'!$N$6:$N$10000,'GSTR-2A'!$B$6:$B$10000,$C$5:$C$4995,'GSTR-2A'!$A$6:$A$10000,$D$3)</f>
        <v>0</v>
      </c>
      <c r="I43" s="486">
        <f>SUMIFS('GSTR-2A'!$G$6:$G$10000,'GSTR-2A'!$B$6:$B$10000,$C$5:$C$4995,'GSTR-2A'!$A$6:$A$10000,$I$3)</f>
        <v>0</v>
      </c>
      <c r="J43" s="487">
        <f>SUMIFS('GSTR-2A'!$K$6:$K$10000,'GSTR-2A'!$B$6:$B$10000,$C$5:$C$4995,'GSTR-2A'!$A$6:$A$10000,$I$3)</f>
        <v>0</v>
      </c>
      <c r="K43" s="487">
        <f>SUMIFS('GSTR-2A'!$L$6:$L$10000,'GSTR-2A'!$B$6:$B$10000,$C$5:$C$4995,'GSTR-2A'!$A$6:$A$10000,$I$3)</f>
        <v>0</v>
      </c>
      <c r="L43" s="487">
        <f>SUMIFS('GSTR-2A'!$M$6:$M$10000,'GSTR-2A'!$B$6:$B$10000,$C$5:$C$4995,'GSTR-2A'!$A$6:$A$10000,$I$3)</f>
        <v>0</v>
      </c>
      <c r="M43" s="488">
        <f>SUMIFS('GSTR-2A'!$N$6:$N$10000,'GSTR-2A'!$B$6:$B$10000,$C$5:$C$4995,'GSTR-2A'!$A$6:$A$10000,$I$3)</f>
        <v>0</v>
      </c>
      <c r="N43" s="486">
        <f>SUMIFS('GSTR-2A'!$G$6:$G$10000,'GSTR-2A'!$B$6:$B$10000,$C$5:$C$4995,'GSTR-2A'!$A$6:$A$10000,$N$3)</f>
        <v>0</v>
      </c>
      <c r="O43" s="487">
        <f>SUMIFS('GSTR-2A'!$K$6:$K$10000,'GSTR-2A'!$B$6:$B$10000,$C$5:$C$4995,'GSTR-2A'!$A$6:$A$10000,$N$3)</f>
        <v>0</v>
      </c>
      <c r="P43" s="487">
        <f>SUMIFS('GSTR-2A'!$L$6:$L$10000,'GSTR-2A'!$B$6:$B$10000,$C$5:$C$4995,'GSTR-2A'!$A$6:$A$10000,$N$3)</f>
        <v>0</v>
      </c>
      <c r="Q43" s="487">
        <f>SUMIFS('GSTR-2A'!$M$6:$M$10000,'GSTR-2A'!$B$6:$B$10000,$C$5:$C$4995,'GSTR-2A'!$A$6:$A$10000,$N$3)</f>
        <v>0</v>
      </c>
      <c r="R43" s="488">
        <f>SUMIFS('GSTR-2A'!$N$6:$N$10000,'GSTR-2A'!$B$6:$B$10000,$C$5:$C$4995,'GSTR-2A'!$A$6:$A$10000,$N$3)</f>
        <v>0</v>
      </c>
      <c r="S43" s="486">
        <f>SUMIFS('GSTR-2A'!$G$6:$G$10000,'GSTR-2A'!$B$6:$B$10000,$C$5:$C$4995,'GSTR-2A'!$A$6:$A$10000,$S$3)</f>
        <v>0</v>
      </c>
      <c r="T43" s="487">
        <f>SUMIFS('GSTR-2A'!$K$6:$K$10000,'GSTR-2A'!$B$6:$B$10000,$C$5:$C$4995,'GSTR-2A'!$A$6:$A$10000,$S$3)</f>
        <v>0</v>
      </c>
      <c r="U43" s="487">
        <f>SUMIFS('GSTR-2A'!$L$6:$L$10000,'GSTR-2A'!$B$6:$B$10000,$C$5:$C$4995,'GSTR-2A'!$A$6:$A$10000,$S$3)</f>
        <v>0</v>
      </c>
      <c r="V43" s="487">
        <f>SUMIFS('GSTR-2A'!$M$6:$M$10000,'GSTR-2A'!$B$6:$B$10000,$C$5:$C$4995,'GSTR-2A'!$A$6:$A$10000,$S$3)</f>
        <v>0</v>
      </c>
      <c r="W43" s="488">
        <f>SUMIFS('GSTR-2A'!$N$6:$N$10000,'GSTR-2A'!$B$6:$B$10000,$C$5:$C$4995,'GSTR-2A'!$A$6:$A$10000,$S$3)</f>
        <v>0</v>
      </c>
      <c r="X43" s="486">
        <f>SUMIFS('GSTR-2A'!$G$6:$G$10000,'GSTR-2A'!$B$6:$B$10000,$C$5:$C$4995,'GSTR-2A'!$A$6:$A$10000,$X$3)</f>
        <v>0</v>
      </c>
      <c r="Y43" s="487">
        <f>SUMIFS('GSTR-2A'!$K$6:$K$10000,'GSTR-2A'!$B$6:$B$10000,$C$5:$C$4995,'GSTR-2A'!$A$6:$A$10000,$X$3)</f>
        <v>0</v>
      </c>
      <c r="Z43" s="487">
        <f>SUMIFS('GSTR-2A'!$L$6:$L$10000,'GSTR-2A'!$B$6:$B$10000,$C$5:$C$4995,'GSTR-2A'!$A$6:$A$10000,$X$3)</f>
        <v>0</v>
      </c>
      <c r="AA43" s="487">
        <f>SUMIFS('GSTR-2A'!$M$6:$M$10000,'GSTR-2A'!$B$6:$B$10000,$C$5:$C$4995,'GSTR-2A'!$A$6:$A$10000,$X$3)</f>
        <v>0</v>
      </c>
      <c r="AB43" s="488">
        <f>SUMIFS('GSTR-2A'!$N$6:$N$10000,'GSTR-2A'!$B$6:$B$10000,$C$5:$C$4995,'GSTR-2A'!$A$6:$A$10000,$X$3)</f>
        <v>0</v>
      </c>
      <c r="AC43" s="486">
        <f>SUMIFS('GSTR-2A'!$G$6:$G$10000,'GSTR-2A'!$B$6:$B$10000,$C$5:$C$4995,'GSTR-2A'!$A$6:$A$10000,$AC$3)</f>
        <v>0</v>
      </c>
      <c r="AD43" s="487">
        <f>SUMIFS('GSTR-2A'!$K$6:$K$10000,'GSTR-2A'!$B$6:$B$10000,$C$5:$C$4995,'GSTR-2A'!$A$6:$A$10000,$AC$3)</f>
        <v>0</v>
      </c>
      <c r="AE43" s="487">
        <f>SUMIFS('GSTR-2A'!$L$6:$L$10000,'GSTR-2A'!$B$6:$B$10000,$C$5:$C$4995,'GSTR-2A'!$A$6:$A$10000,$AC$3)</f>
        <v>0</v>
      </c>
      <c r="AF43" s="487">
        <f>SUMIFS('GSTR-2A'!$M$6:$M$10000,'GSTR-2A'!$B$6:$B$10000,$C$5:$C$4995,'GSTR-2A'!$A$6:$A$10000,$AC$3)</f>
        <v>0</v>
      </c>
      <c r="AG43" s="488">
        <f>SUMIFS('GSTR-2A'!$N$6:$N$10000,'GSTR-2A'!$B$6:$B$10000,$C$5:$C$4995,'GSTR-2A'!$A$6:$A$10000,$AC$3)</f>
        <v>0</v>
      </c>
      <c r="AH43" s="486">
        <f>SUMIFS('GSTR-2A'!$G$6:$G$10000,'GSTR-2A'!$B$6:$B$10000,$C$5:$C$4995,'GSTR-2A'!$A$6:$A$10000,$AH$3)</f>
        <v>0</v>
      </c>
      <c r="AI43" s="487">
        <f>SUMIFS('GSTR-2A'!$K$6:$K$10000,'GSTR-2A'!$B$6:$B$10000,$C$5:$C$4995,'GSTR-2A'!$A$6:$A$10000,$AH$3)</f>
        <v>0</v>
      </c>
      <c r="AJ43" s="487">
        <f>SUMIFS('GSTR-2A'!$L$6:$L$10000,'GSTR-2A'!$B$6:$B$10000,$C$5:$C$4995,'GSTR-2A'!$A$6:$A$10000,$AH$3)</f>
        <v>0</v>
      </c>
      <c r="AK43" s="487">
        <f>SUMIFS('GSTR-2A'!$M$6:$M$10000,'GSTR-2A'!$B$6:$B$10000,$C$5:$C$4995,'GSTR-2A'!$A$6:$A$10000,$AH$3)</f>
        <v>0</v>
      </c>
      <c r="AL43" s="488">
        <f>SUMIFS('GSTR-2A'!$N$6:$N$10000,'GSTR-2A'!$B$6:$B$10000,$C$5:$C$4995,'GSTR-2A'!$A$6:$A$10000,$AH$3)</f>
        <v>0</v>
      </c>
      <c r="AM43" s="486">
        <f>SUMIFS('GSTR-2A'!$G$6:$G$10000,'GSTR-2A'!$B$6:$B$10000,$C$5:$C$4995,'GSTR-2A'!$A$6:$A$10000,$AM$3)</f>
        <v>0</v>
      </c>
      <c r="AN43" s="487">
        <f>SUMIFS('GSTR-2A'!$K$6:$K$10000,'GSTR-2A'!$B$6:$B$10000,$C$5:$C$4995,'GSTR-2A'!$A$6:$A$10000,$AM$3)</f>
        <v>0</v>
      </c>
      <c r="AO43" s="487">
        <f>SUMIFS('GSTR-2A'!$L$6:$L$10000,'GSTR-2A'!$B$6:$B$10000,$C$5:$C$4995,'GSTR-2A'!$A$6:$A$10000,$AM$3)</f>
        <v>0</v>
      </c>
      <c r="AP43" s="487">
        <f>SUMIFS('GSTR-2A'!$M$6:$M$10000,'GSTR-2A'!$B$6:$B$10000,$C$5:$C$4995,'GSTR-2A'!$A$6:$A$10000,$AM$3)</f>
        <v>0</v>
      </c>
      <c r="AQ43" s="488">
        <f>SUMIFS('GSTR-2A'!$N$6:$N$10000,'GSTR-2A'!$B$6:$B$10000,$C$5:$C$4995,'GSTR-2A'!$A$6:$A$10000,$AM$3)</f>
        <v>0</v>
      </c>
      <c r="AR43" s="486">
        <f>SUMIFS('GSTR-2A'!$G$6:$G$10000,'GSTR-2A'!$B$6:$B$10000,$C$5:$C$4995,'GSTR-2A'!$A$6:$A$10000,$AR$3)</f>
        <v>0</v>
      </c>
      <c r="AS43" s="487">
        <f>SUMIFS('GSTR-2A'!$K$6:$K$10000,'GSTR-2A'!$B$6:$B$10000,$C$5:$C$4995,'GSTR-2A'!$A$6:$A$10000,$AR$3)</f>
        <v>0</v>
      </c>
      <c r="AT43" s="487">
        <f>SUMIFS('GSTR-2A'!$L$6:$L$10000,'GSTR-2A'!$B$6:$B$10000,$C$5:$C$4995,'GSTR-2A'!$A$6:$A$10000,$AR$3)</f>
        <v>0</v>
      </c>
      <c r="AU43" s="487">
        <f>SUMIFS('GSTR-2A'!$M$6:$M$10000,'GSTR-2A'!$B$6:$B$10000,$C$5:$C$4995,'GSTR-2A'!$A$6:$A$10000,$AR$3)</f>
        <v>0</v>
      </c>
      <c r="AV43" s="488">
        <f>SUMIFS('GSTR-2A'!$N$6:$N$10000,'GSTR-2A'!$B$6:$B$10000,$C$5:$C$4995,'GSTR-2A'!$A$6:$A$10000,$AR$3)</f>
        <v>0</v>
      </c>
      <c r="AW43" s="486">
        <f>SUMIFS('GSTR-2A'!$G$6:$G$10000,'GSTR-2A'!$B$6:$B$10000,$C$5:$C$4995,'GSTR-2A'!$A$6:$A$10000,$AW$3)</f>
        <v>0</v>
      </c>
      <c r="AX43" s="487">
        <f>SUMIFS('GSTR-2A'!$K$6:$K$10000,'GSTR-2A'!$B$6:$B$10000,$C$5:$C$4995,'GSTR-2A'!$A$6:$A$10000,$AW$3)</f>
        <v>0</v>
      </c>
      <c r="AY43" s="487">
        <f>SUMIFS('GSTR-2A'!$L$6:$L$10000,'GSTR-2A'!$B$6:$B$10000,$C$5:$C$4995,'GSTR-2A'!$A$6:$A$10000,$AW$3)</f>
        <v>0</v>
      </c>
      <c r="AZ43" s="487">
        <f>SUMIFS('GSTR-2A'!$M$6:$M$10000,'GSTR-2A'!$B$6:$B$10000,$C$5:$C$4995,'GSTR-2A'!$A$6:$A$10000,$AW$3)</f>
        <v>0</v>
      </c>
      <c r="BA43" s="488">
        <f>SUMIFS('GSTR-2A'!$N$6:$N$10000,'GSTR-2A'!$B$6:$B$10000,$C$5:$C$4995,'GSTR-2A'!$A$6:$A$10000,$AW$3)</f>
        <v>0</v>
      </c>
      <c r="BB43" s="486">
        <f>SUMIFS('GSTR-2A'!$G$6:$G$10000,'GSTR-2A'!$B$6:$B$10000,$C$5:$C$4995,'GSTR-2A'!$A$6:$A$10000,$BB$3)</f>
        <v>0</v>
      </c>
      <c r="BC43" s="487">
        <f>SUMIFS('GSTR-2A'!$K$6:$K$10000,'GSTR-2A'!$B$6:$B$10000,$C$5:$C$4995,'GSTR-2A'!$A$6:$A$10000,$BB$3)</f>
        <v>0</v>
      </c>
      <c r="BD43" s="487">
        <f>SUMIFS('GSTR-2A'!$L$6:$L$10000,'GSTR-2A'!$B$6:$B$10000,$C$5:$C$4995,'GSTR-2A'!$A$6:$A$10000,$BB$3)</f>
        <v>0</v>
      </c>
      <c r="BE43" s="487">
        <f>SUMIFS('GSTR-2A'!$M$6:$M$10000,'GSTR-2A'!$B$6:$B$10000,$C$5:$C$4995,'GSTR-2A'!$A$6:$A$10000,$BB$3)</f>
        <v>0</v>
      </c>
      <c r="BF43" s="488">
        <f>SUMIFS('GSTR-2A'!$N$6:$N$10000,'GSTR-2A'!$B$6:$B$10000,$C$5:$C$4995,'GSTR-2A'!$A$6:$A$10000,$BB$3)</f>
        <v>0</v>
      </c>
      <c r="BG43" s="486">
        <f>SUMIFS('GSTR-2A'!$G$6:$G$10000,'GSTR-2A'!$B$6:$B$10000,$C$5:$C$4995,'GSTR-2A'!$A$6:$A$10000,$BG$3)</f>
        <v>0</v>
      </c>
      <c r="BH43" s="487">
        <f>SUMIFS('GSTR-2A'!$K$6:$K$10000,'GSTR-2A'!$B$6:$B$10000,$C$5:$C$4995,'GSTR-2A'!$A$6:$A$10000,$BG$3)</f>
        <v>0</v>
      </c>
      <c r="BI43" s="487">
        <f>SUMIFS('GSTR-2A'!$L$6:$L$10000,'GSTR-2A'!$B$6:$B$10000,$C$5:$C$4995,'GSTR-2A'!$A$6:$A$10000,$BG$3)</f>
        <v>0</v>
      </c>
      <c r="BJ43" s="487">
        <f>SUMIFS('GSTR-2A'!$M$6:$M$10000,'GSTR-2A'!$B$6:$B$10000,$C$5:$C$4995,'GSTR-2A'!$A$6:$A$10000,$BG$3)</f>
        <v>0</v>
      </c>
      <c r="BK43" s="488">
        <f>SUMIFS('GSTR-2A'!$N$6:$N$10000,'GSTR-2A'!$B$6:$B$10000,$C$5:$C$4995,'GSTR-2A'!$A$6:$A$10000,$BG$3)</f>
        <v>0</v>
      </c>
      <c r="BL43" s="72">
        <f t="shared" si="2"/>
        <v>0</v>
      </c>
      <c r="BM43" s="72">
        <f t="shared" si="3"/>
        <v>0</v>
      </c>
      <c r="BN43" s="72">
        <f t="shared" si="4"/>
        <v>0</v>
      </c>
      <c r="BO43" s="72">
        <f t="shared" si="5"/>
        <v>0</v>
      </c>
      <c r="BP43" s="72">
        <f t="shared" si="6"/>
        <v>0</v>
      </c>
    </row>
    <row r="44" spans="1:68" x14ac:dyDescent="0.2">
      <c r="A44" s="467">
        <v>40</v>
      </c>
      <c r="B44" s="468" t="s">
        <v>506</v>
      </c>
      <c r="C44" s="469" t="s">
        <v>507</v>
      </c>
      <c r="D44" s="72">
        <f>SUMIFS('GSTR-2A'!$G$6:$G$10000,'GSTR-2A'!$B$6:$B$10000,$C$5:$C$4995,'GSTR-2A'!$A$6:$A$10000,$D$3)</f>
        <v>41064</v>
      </c>
      <c r="E44" s="72">
        <f>SUMIFS('GSTR-2A'!$K$6:$K$10000,'GSTR-2A'!$B$6:$B$10000,$C$5:$C$4995,'GSTR-2A'!$A$6:$A$10000,$D$3)</f>
        <v>34800</v>
      </c>
      <c r="F44" s="72">
        <f>SUMIFS('GSTR-2A'!$L$6:$L$10000,'GSTR-2A'!$B$6:$B$10000,$C$5:$C$4995,'GSTR-2A'!$A$6:$A$10000,$D$3)</f>
        <v>0</v>
      </c>
      <c r="G44" s="72">
        <f>SUMIFS('GSTR-2A'!$M$6:$M$10000,'GSTR-2A'!$B$6:$B$10000,$C$5:$C$4995,'GSTR-2A'!$A$6:$A$10000,$D$3)</f>
        <v>3132</v>
      </c>
      <c r="H44" s="72">
        <f>SUMIFS('GSTR-2A'!$N$6:$N$10000,'GSTR-2A'!$B$6:$B$10000,$C$5:$C$4995,'GSTR-2A'!$A$6:$A$10000,$D$3)</f>
        <v>3132</v>
      </c>
      <c r="I44" s="486">
        <f>SUMIFS('GSTR-2A'!$G$6:$G$10000,'GSTR-2A'!$B$6:$B$10000,$C$5:$C$4995,'GSTR-2A'!$A$6:$A$10000,$I$3)</f>
        <v>180960</v>
      </c>
      <c r="J44" s="487">
        <f>SUMIFS('GSTR-2A'!$K$6:$K$10000,'GSTR-2A'!$B$6:$B$10000,$C$5:$C$4995,'GSTR-2A'!$A$6:$A$10000,$I$3)</f>
        <v>153355.74</v>
      </c>
      <c r="K44" s="487">
        <f>SUMIFS('GSTR-2A'!$L$6:$L$10000,'GSTR-2A'!$B$6:$B$10000,$C$5:$C$4995,'GSTR-2A'!$A$6:$A$10000,$I$3)</f>
        <v>0</v>
      </c>
      <c r="L44" s="487">
        <f>SUMIFS('GSTR-2A'!$M$6:$M$10000,'GSTR-2A'!$B$6:$B$10000,$C$5:$C$4995,'GSTR-2A'!$A$6:$A$10000,$I$3)</f>
        <v>13802.01</v>
      </c>
      <c r="M44" s="488">
        <f>SUMIFS('GSTR-2A'!$N$6:$N$10000,'GSTR-2A'!$B$6:$B$10000,$C$5:$C$4995,'GSTR-2A'!$A$6:$A$10000,$I$3)</f>
        <v>13802.01</v>
      </c>
      <c r="N44" s="486">
        <f>SUMIFS('GSTR-2A'!$G$6:$G$10000,'GSTR-2A'!$B$6:$B$10000,$C$5:$C$4995,'GSTR-2A'!$A$6:$A$10000,$N$3)</f>
        <v>279558</v>
      </c>
      <c r="O44" s="487">
        <f>SUMIFS('GSTR-2A'!$K$6:$K$10000,'GSTR-2A'!$B$6:$B$10000,$C$5:$C$4995,'GSTR-2A'!$A$6:$A$10000,$N$3)</f>
        <v>236913.3</v>
      </c>
      <c r="P44" s="487">
        <f>SUMIFS('GSTR-2A'!$L$6:$L$10000,'GSTR-2A'!$B$6:$B$10000,$C$5:$C$4995,'GSTR-2A'!$A$6:$A$10000,$N$3)</f>
        <v>0</v>
      </c>
      <c r="Q44" s="487">
        <f>SUMIFS('GSTR-2A'!$M$6:$M$10000,'GSTR-2A'!$B$6:$B$10000,$C$5:$C$4995,'GSTR-2A'!$A$6:$A$10000,$N$3)</f>
        <v>21322.190000000002</v>
      </c>
      <c r="R44" s="488">
        <f>SUMIFS('GSTR-2A'!$N$6:$N$10000,'GSTR-2A'!$B$6:$B$10000,$C$5:$C$4995,'GSTR-2A'!$A$6:$A$10000,$N$3)</f>
        <v>21322.190000000002</v>
      </c>
      <c r="S44" s="486">
        <f>SUMIFS('GSTR-2A'!$G$6:$G$10000,'GSTR-2A'!$B$6:$B$10000,$C$5:$C$4995,'GSTR-2A'!$A$6:$A$10000,$S$3)</f>
        <v>488256</v>
      </c>
      <c r="T44" s="487">
        <f>SUMIFS('GSTR-2A'!$K$6:$K$10000,'GSTR-2A'!$B$6:$B$10000,$C$5:$C$4995,'GSTR-2A'!$A$6:$A$10000,$S$3)</f>
        <v>413775.95999999996</v>
      </c>
      <c r="U44" s="487">
        <f>SUMIFS('GSTR-2A'!$L$6:$L$10000,'GSTR-2A'!$B$6:$B$10000,$C$5:$C$4995,'GSTR-2A'!$A$6:$A$10000,$S$3)</f>
        <v>0</v>
      </c>
      <c r="V44" s="487">
        <f>SUMIFS('GSTR-2A'!$M$6:$M$10000,'GSTR-2A'!$B$6:$B$10000,$C$5:$C$4995,'GSTR-2A'!$A$6:$A$10000,$S$3)</f>
        <v>37239.82</v>
      </c>
      <c r="W44" s="488">
        <f>SUMIFS('GSTR-2A'!$N$6:$N$10000,'GSTR-2A'!$B$6:$B$10000,$C$5:$C$4995,'GSTR-2A'!$A$6:$A$10000,$S$3)</f>
        <v>37239.82</v>
      </c>
      <c r="X44" s="486">
        <f>SUMIFS('GSTR-2A'!$G$6:$G$10000,'GSTR-2A'!$B$6:$B$10000,$C$5:$C$4995,'GSTR-2A'!$A$6:$A$10000,$X$3)</f>
        <v>49938</v>
      </c>
      <c r="Y44" s="487">
        <f>SUMIFS('GSTR-2A'!$K$6:$K$10000,'GSTR-2A'!$B$6:$B$10000,$C$5:$C$4995,'GSTR-2A'!$A$6:$A$10000,$X$3)</f>
        <v>42320.4</v>
      </c>
      <c r="Z44" s="487">
        <f>SUMIFS('GSTR-2A'!$L$6:$L$10000,'GSTR-2A'!$B$6:$B$10000,$C$5:$C$4995,'GSTR-2A'!$A$6:$A$10000,$X$3)</f>
        <v>0</v>
      </c>
      <c r="AA44" s="487">
        <f>SUMIFS('GSTR-2A'!$M$6:$M$10000,'GSTR-2A'!$B$6:$B$10000,$C$5:$C$4995,'GSTR-2A'!$A$6:$A$10000,$X$3)</f>
        <v>3808.84</v>
      </c>
      <c r="AB44" s="488">
        <f>SUMIFS('GSTR-2A'!$N$6:$N$10000,'GSTR-2A'!$B$6:$B$10000,$C$5:$C$4995,'GSTR-2A'!$A$6:$A$10000,$X$3)</f>
        <v>3808.84</v>
      </c>
      <c r="AC44" s="486">
        <f>SUMIFS('GSTR-2A'!$G$6:$G$10000,'GSTR-2A'!$B$6:$B$10000,$C$5:$C$4995,'GSTR-2A'!$A$6:$A$10000,$AC$3)</f>
        <v>165293</v>
      </c>
      <c r="AD44" s="487">
        <f>SUMIFS('GSTR-2A'!$K$6:$K$10000,'GSTR-2A'!$B$6:$B$10000,$C$5:$C$4995,'GSTR-2A'!$A$6:$A$10000,$AC$3)</f>
        <v>140078.59999999998</v>
      </c>
      <c r="AE44" s="487">
        <f>SUMIFS('GSTR-2A'!$L$6:$L$10000,'GSTR-2A'!$B$6:$B$10000,$C$5:$C$4995,'GSTR-2A'!$A$6:$A$10000,$AC$3)</f>
        <v>0</v>
      </c>
      <c r="AF44" s="487">
        <f>SUMIFS('GSTR-2A'!$M$6:$M$10000,'GSTR-2A'!$B$6:$B$10000,$C$5:$C$4995,'GSTR-2A'!$A$6:$A$10000,$AC$3)</f>
        <v>12607.06</v>
      </c>
      <c r="AG44" s="488">
        <f>SUMIFS('GSTR-2A'!$N$6:$N$10000,'GSTR-2A'!$B$6:$B$10000,$C$5:$C$4995,'GSTR-2A'!$A$6:$A$10000,$AC$3)</f>
        <v>12607.06</v>
      </c>
      <c r="AH44" s="486">
        <f>SUMIFS('GSTR-2A'!$G$6:$G$10000,'GSTR-2A'!$B$6:$B$10000,$C$5:$C$4995,'GSTR-2A'!$A$6:$A$10000,$AH$3)</f>
        <v>0</v>
      </c>
      <c r="AI44" s="487">
        <f>SUMIFS('GSTR-2A'!$K$6:$K$10000,'GSTR-2A'!$B$6:$B$10000,$C$5:$C$4995,'GSTR-2A'!$A$6:$A$10000,$AH$3)</f>
        <v>0</v>
      </c>
      <c r="AJ44" s="487">
        <f>SUMIFS('GSTR-2A'!$L$6:$L$10000,'GSTR-2A'!$B$6:$B$10000,$C$5:$C$4995,'GSTR-2A'!$A$6:$A$10000,$AH$3)</f>
        <v>0</v>
      </c>
      <c r="AK44" s="487">
        <f>SUMIFS('GSTR-2A'!$M$6:$M$10000,'GSTR-2A'!$B$6:$B$10000,$C$5:$C$4995,'GSTR-2A'!$A$6:$A$10000,$AH$3)</f>
        <v>0</v>
      </c>
      <c r="AL44" s="488">
        <f>SUMIFS('GSTR-2A'!$N$6:$N$10000,'GSTR-2A'!$B$6:$B$10000,$C$5:$C$4995,'GSTR-2A'!$A$6:$A$10000,$AH$3)</f>
        <v>0</v>
      </c>
      <c r="AM44" s="486">
        <f>SUMIFS('GSTR-2A'!$G$6:$G$10000,'GSTR-2A'!$B$6:$B$10000,$C$5:$C$4995,'GSTR-2A'!$A$6:$A$10000,$AM$3)</f>
        <v>0</v>
      </c>
      <c r="AN44" s="487">
        <f>SUMIFS('GSTR-2A'!$K$6:$K$10000,'GSTR-2A'!$B$6:$B$10000,$C$5:$C$4995,'GSTR-2A'!$A$6:$A$10000,$AM$3)</f>
        <v>0</v>
      </c>
      <c r="AO44" s="487">
        <f>SUMIFS('GSTR-2A'!$L$6:$L$10000,'GSTR-2A'!$B$6:$B$10000,$C$5:$C$4995,'GSTR-2A'!$A$6:$A$10000,$AM$3)</f>
        <v>0</v>
      </c>
      <c r="AP44" s="487">
        <f>SUMIFS('GSTR-2A'!$M$6:$M$10000,'GSTR-2A'!$B$6:$B$10000,$C$5:$C$4995,'GSTR-2A'!$A$6:$A$10000,$AM$3)</f>
        <v>0</v>
      </c>
      <c r="AQ44" s="488">
        <f>SUMIFS('GSTR-2A'!$N$6:$N$10000,'GSTR-2A'!$B$6:$B$10000,$C$5:$C$4995,'GSTR-2A'!$A$6:$A$10000,$AM$3)</f>
        <v>0</v>
      </c>
      <c r="AR44" s="486">
        <f>SUMIFS('GSTR-2A'!$G$6:$G$10000,'GSTR-2A'!$B$6:$B$10000,$C$5:$C$4995,'GSTR-2A'!$A$6:$A$10000,$AR$3)</f>
        <v>0</v>
      </c>
      <c r="AS44" s="487">
        <f>SUMIFS('GSTR-2A'!$K$6:$K$10000,'GSTR-2A'!$B$6:$B$10000,$C$5:$C$4995,'GSTR-2A'!$A$6:$A$10000,$AR$3)</f>
        <v>0</v>
      </c>
      <c r="AT44" s="487">
        <f>SUMIFS('GSTR-2A'!$L$6:$L$10000,'GSTR-2A'!$B$6:$B$10000,$C$5:$C$4995,'GSTR-2A'!$A$6:$A$10000,$AR$3)</f>
        <v>0</v>
      </c>
      <c r="AU44" s="487">
        <f>SUMIFS('GSTR-2A'!$M$6:$M$10000,'GSTR-2A'!$B$6:$B$10000,$C$5:$C$4995,'GSTR-2A'!$A$6:$A$10000,$AR$3)</f>
        <v>0</v>
      </c>
      <c r="AV44" s="488">
        <f>SUMIFS('GSTR-2A'!$N$6:$N$10000,'GSTR-2A'!$B$6:$B$10000,$C$5:$C$4995,'GSTR-2A'!$A$6:$A$10000,$AR$3)</f>
        <v>0</v>
      </c>
      <c r="AW44" s="486">
        <f>SUMIFS('GSTR-2A'!$G$6:$G$10000,'GSTR-2A'!$B$6:$B$10000,$C$5:$C$4995,'GSTR-2A'!$A$6:$A$10000,$AW$3)</f>
        <v>0</v>
      </c>
      <c r="AX44" s="487">
        <f>SUMIFS('GSTR-2A'!$K$6:$K$10000,'GSTR-2A'!$B$6:$B$10000,$C$5:$C$4995,'GSTR-2A'!$A$6:$A$10000,$AW$3)</f>
        <v>0</v>
      </c>
      <c r="AY44" s="487">
        <f>SUMIFS('GSTR-2A'!$L$6:$L$10000,'GSTR-2A'!$B$6:$B$10000,$C$5:$C$4995,'GSTR-2A'!$A$6:$A$10000,$AW$3)</f>
        <v>0</v>
      </c>
      <c r="AZ44" s="487">
        <f>SUMIFS('GSTR-2A'!$M$6:$M$10000,'GSTR-2A'!$B$6:$B$10000,$C$5:$C$4995,'GSTR-2A'!$A$6:$A$10000,$AW$3)</f>
        <v>0</v>
      </c>
      <c r="BA44" s="488">
        <f>SUMIFS('GSTR-2A'!$N$6:$N$10000,'GSTR-2A'!$B$6:$B$10000,$C$5:$C$4995,'GSTR-2A'!$A$6:$A$10000,$AW$3)</f>
        <v>0</v>
      </c>
      <c r="BB44" s="486">
        <f>SUMIFS('GSTR-2A'!$G$6:$G$10000,'GSTR-2A'!$B$6:$B$10000,$C$5:$C$4995,'GSTR-2A'!$A$6:$A$10000,$BB$3)</f>
        <v>0</v>
      </c>
      <c r="BC44" s="487">
        <f>SUMIFS('GSTR-2A'!$K$6:$K$10000,'GSTR-2A'!$B$6:$B$10000,$C$5:$C$4995,'GSTR-2A'!$A$6:$A$10000,$BB$3)</f>
        <v>0</v>
      </c>
      <c r="BD44" s="487">
        <f>SUMIFS('GSTR-2A'!$L$6:$L$10000,'GSTR-2A'!$B$6:$B$10000,$C$5:$C$4995,'GSTR-2A'!$A$6:$A$10000,$BB$3)</f>
        <v>0</v>
      </c>
      <c r="BE44" s="487">
        <f>SUMIFS('GSTR-2A'!$M$6:$M$10000,'GSTR-2A'!$B$6:$B$10000,$C$5:$C$4995,'GSTR-2A'!$A$6:$A$10000,$BB$3)</f>
        <v>0</v>
      </c>
      <c r="BF44" s="488">
        <f>SUMIFS('GSTR-2A'!$N$6:$N$10000,'GSTR-2A'!$B$6:$B$10000,$C$5:$C$4995,'GSTR-2A'!$A$6:$A$10000,$BB$3)</f>
        <v>0</v>
      </c>
      <c r="BG44" s="486">
        <f>SUMIFS('GSTR-2A'!$G$6:$G$10000,'GSTR-2A'!$B$6:$B$10000,$C$5:$C$4995,'GSTR-2A'!$A$6:$A$10000,$BG$3)</f>
        <v>0</v>
      </c>
      <c r="BH44" s="487">
        <f>SUMIFS('GSTR-2A'!$K$6:$K$10000,'GSTR-2A'!$B$6:$B$10000,$C$5:$C$4995,'GSTR-2A'!$A$6:$A$10000,$BG$3)</f>
        <v>0</v>
      </c>
      <c r="BI44" s="487">
        <f>SUMIFS('GSTR-2A'!$L$6:$L$10000,'GSTR-2A'!$B$6:$B$10000,$C$5:$C$4995,'GSTR-2A'!$A$6:$A$10000,$BG$3)</f>
        <v>0</v>
      </c>
      <c r="BJ44" s="487">
        <f>SUMIFS('GSTR-2A'!$M$6:$M$10000,'GSTR-2A'!$B$6:$B$10000,$C$5:$C$4995,'GSTR-2A'!$A$6:$A$10000,$BG$3)</f>
        <v>0</v>
      </c>
      <c r="BK44" s="488">
        <f>SUMIFS('GSTR-2A'!$N$6:$N$10000,'GSTR-2A'!$B$6:$B$10000,$C$5:$C$4995,'GSTR-2A'!$A$6:$A$10000,$BG$3)</f>
        <v>0</v>
      </c>
      <c r="BL44" s="72">
        <f t="shared" si="2"/>
        <v>1205069</v>
      </c>
      <c r="BM44" s="72">
        <f t="shared" si="3"/>
        <v>1021244</v>
      </c>
      <c r="BN44" s="72">
        <f t="shared" si="4"/>
        <v>0</v>
      </c>
      <c r="BO44" s="72">
        <f t="shared" si="5"/>
        <v>91911.92</v>
      </c>
      <c r="BP44" s="72">
        <f t="shared" si="6"/>
        <v>91911.92</v>
      </c>
    </row>
    <row r="45" spans="1:68" x14ac:dyDescent="0.2">
      <c r="A45" s="467">
        <v>41</v>
      </c>
      <c r="B45" s="468" t="s">
        <v>1104</v>
      </c>
      <c r="C45" s="469" t="s">
        <v>1105</v>
      </c>
      <c r="D45" s="72">
        <f>SUMIFS('GSTR-2A'!$G$6:$G$10000,'GSTR-2A'!$B$6:$B$10000,$C$5:$C$4995,'GSTR-2A'!$A$6:$A$10000,$D$3)</f>
        <v>0</v>
      </c>
      <c r="E45" s="72">
        <f>SUMIFS('GSTR-2A'!$K$6:$K$10000,'GSTR-2A'!$B$6:$B$10000,$C$5:$C$4995,'GSTR-2A'!$A$6:$A$10000,$D$3)</f>
        <v>0</v>
      </c>
      <c r="F45" s="72">
        <f>SUMIFS('GSTR-2A'!$L$6:$L$10000,'GSTR-2A'!$B$6:$B$10000,$C$5:$C$4995,'GSTR-2A'!$A$6:$A$10000,$D$3)</f>
        <v>0</v>
      </c>
      <c r="G45" s="72">
        <f>SUMIFS('GSTR-2A'!$M$6:$M$10000,'GSTR-2A'!$B$6:$B$10000,$C$5:$C$4995,'GSTR-2A'!$A$6:$A$10000,$D$3)</f>
        <v>0</v>
      </c>
      <c r="H45" s="72">
        <f>SUMIFS('GSTR-2A'!$N$6:$N$10000,'GSTR-2A'!$B$6:$B$10000,$C$5:$C$4995,'GSTR-2A'!$A$6:$A$10000,$D$3)</f>
        <v>0</v>
      </c>
      <c r="I45" s="486">
        <f>SUMIFS('GSTR-2A'!$G$6:$G$10000,'GSTR-2A'!$B$6:$B$10000,$C$5:$C$4995,'GSTR-2A'!$A$6:$A$10000,$I$3)</f>
        <v>0</v>
      </c>
      <c r="J45" s="487">
        <f>SUMIFS('GSTR-2A'!$K$6:$K$10000,'GSTR-2A'!$B$6:$B$10000,$C$5:$C$4995,'GSTR-2A'!$A$6:$A$10000,$I$3)</f>
        <v>0</v>
      </c>
      <c r="K45" s="487">
        <f>SUMIFS('GSTR-2A'!$L$6:$L$10000,'GSTR-2A'!$B$6:$B$10000,$C$5:$C$4995,'GSTR-2A'!$A$6:$A$10000,$I$3)</f>
        <v>0</v>
      </c>
      <c r="L45" s="487">
        <f>SUMIFS('GSTR-2A'!$M$6:$M$10000,'GSTR-2A'!$B$6:$B$10000,$C$5:$C$4995,'GSTR-2A'!$A$6:$A$10000,$I$3)</f>
        <v>0</v>
      </c>
      <c r="M45" s="488">
        <f>SUMIFS('GSTR-2A'!$N$6:$N$10000,'GSTR-2A'!$B$6:$B$10000,$C$5:$C$4995,'GSTR-2A'!$A$6:$A$10000,$I$3)</f>
        <v>0</v>
      </c>
      <c r="N45" s="486">
        <f>SUMIFS('GSTR-2A'!$G$6:$G$10000,'GSTR-2A'!$B$6:$B$10000,$C$5:$C$4995,'GSTR-2A'!$A$6:$A$10000,$N$3)</f>
        <v>0</v>
      </c>
      <c r="O45" s="487">
        <f>SUMIFS('GSTR-2A'!$K$6:$K$10000,'GSTR-2A'!$B$6:$B$10000,$C$5:$C$4995,'GSTR-2A'!$A$6:$A$10000,$N$3)</f>
        <v>0</v>
      </c>
      <c r="P45" s="487">
        <f>SUMIFS('GSTR-2A'!$L$6:$L$10000,'GSTR-2A'!$B$6:$B$10000,$C$5:$C$4995,'GSTR-2A'!$A$6:$A$10000,$N$3)</f>
        <v>0</v>
      </c>
      <c r="Q45" s="487">
        <f>SUMIFS('GSTR-2A'!$M$6:$M$10000,'GSTR-2A'!$B$6:$B$10000,$C$5:$C$4995,'GSTR-2A'!$A$6:$A$10000,$N$3)</f>
        <v>0</v>
      </c>
      <c r="R45" s="488">
        <f>SUMIFS('GSTR-2A'!$N$6:$N$10000,'GSTR-2A'!$B$6:$B$10000,$C$5:$C$4995,'GSTR-2A'!$A$6:$A$10000,$N$3)</f>
        <v>0</v>
      </c>
      <c r="S45" s="486">
        <f>SUMIFS('GSTR-2A'!$G$6:$G$10000,'GSTR-2A'!$B$6:$B$10000,$C$5:$C$4995,'GSTR-2A'!$A$6:$A$10000,$S$3)</f>
        <v>0</v>
      </c>
      <c r="T45" s="487">
        <f>SUMIFS('GSTR-2A'!$K$6:$K$10000,'GSTR-2A'!$B$6:$B$10000,$C$5:$C$4995,'GSTR-2A'!$A$6:$A$10000,$S$3)</f>
        <v>0</v>
      </c>
      <c r="U45" s="487">
        <f>SUMIFS('GSTR-2A'!$L$6:$L$10000,'GSTR-2A'!$B$6:$B$10000,$C$5:$C$4995,'GSTR-2A'!$A$6:$A$10000,$S$3)</f>
        <v>0</v>
      </c>
      <c r="V45" s="487">
        <f>SUMIFS('GSTR-2A'!$M$6:$M$10000,'GSTR-2A'!$B$6:$B$10000,$C$5:$C$4995,'GSTR-2A'!$A$6:$A$10000,$S$3)</f>
        <v>0</v>
      </c>
      <c r="W45" s="488">
        <f>SUMIFS('GSTR-2A'!$N$6:$N$10000,'GSTR-2A'!$B$6:$B$10000,$C$5:$C$4995,'GSTR-2A'!$A$6:$A$10000,$S$3)</f>
        <v>0</v>
      </c>
      <c r="X45" s="486">
        <f>SUMIFS('GSTR-2A'!$G$6:$G$10000,'GSTR-2A'!$B$6:$B$10000,$C$5:$C$4995,'GSTR-2A'!$A$6:$A$10000,$X$3)</f>
        <v>0</v>
      </c>
      <c r="Y45" s="487">
        <f>SUMIFS('GSTR-2A'!$K$6:$K$10000,'GSTR-2A'!$B$6:$B$10000,$C$5:$C$4995,'GSTR-2A'!$A$6:$A$10000,$X$3)</f>
        <v>0</v>
      </c>
      <c r="Z45" s="487">
        <f>SUMIFS('GSTR-2A'!$L$6:$L$10000,'GSTR-2A'!$B$6:$B$10000,$C$5:$C$4995,'GSTR-2A'!$A$6:$A$10000,$X$3)</f>
        <v>0</v>
      </c>
      <c r="AA45" s="487">
        <f>SUMIFS('GSTR-2A'!$M$6:$M$10000,'GSTR-2A'!$B$6:$B$10000,$C$5:$C$4995,'GSTR-2A'!$A$6:$A$10000,$X$3)</f>
        <v>0</v>
      </c>
      <c r="AB45" s="488">
        <f>SUMIFS('GSTR-2A'!$N$6:$N$10000,'GSTR-2A'!$B$6:$B$10000,$C$5:$C$4995,'GSTR-2A'!$A$6:$A$10000,$X$3)</f>
        <v>0</v>
      </c>
      <c r="AC45" s="486">
        <f>SUMIFS('GSTR-2A'!$G$6:$G$10000,'GSTR-2A'!$B$6:$B$10000,$C$5:$C$4995,'GSTR-2A'!$A$6:$A$10000,$AC$3)</f>
        <v>0</v>
      </c>
      <c r="AD45" s="487">
        <f>SUMIFS('GSTR-2A'!$K$6:$K$10000,'GSTR-2A'!$B$6:$B$10000,$C$5:$C$4995,'GSTR-2A'!$A$6:$A$10000,$AC$3)</f>
        <v>0</v>
      </c>
      <c r="AE45" s="487">
        <f>SUMIFS('GSTR-2A'!$L$6:$L$10000,'GSTR-2A'!$B$6:$B$10000,$C$5:$C$4995,'GSTR-2A'!$A$6:$A$10000,$AC$3)</f>
        <v>0</v>
      </c>
      <c r="AF45" s="487">
        <f>SUMIFS('GSTR-2A'!$M$6:$M$10000,'GSTR-2A'!$B$6:$B$10000,$C$5:$C$4995,'GSTR-2A'!$A$6:$A$10000,$AC$3)</f>
        <v>0</v>
      </c>
      <c r="AG45" s="488">
        <f>SUMIFS('GSTR-2A'!$N$6:$N$10000,'GSTR-2A'!$B$6:$B$10000,$C$5:$C$4995,'GSTR-2A'!$A$6:$A$10000,$AC$3)</f>
        <v>0</v>
      </c>
      <c r="AH45" s="486">
        <f>SUMIFS('GSTR-2A'!$G$6:$G$10000,'GSTR-2A'!$B$6:$B$10000,$C$5:$C$4995,'GSTR-2A'!$A$6:$A$10000,$AH$3)</f>
        <v>0</v>
      </c>
      <c r="AI45" s="487">
        <f>SUMIFS('GSTR-2A'!$K$6:$K$10000,'GSTR-2A'!$B$6:$B$10000,$C$5:$C$4995,'GSTR-2A'!$A$6:$A$10000,$AH$3)</f>
        <v>0</v>
      </c>
      <c r="AJ45" s="487">
        <f>SUMIFS('GSTR-2A'!$L$6:$L$10000,'GSTR-2A'!$B$6:$B$10000,$C$5:$C$4995,'GSTR-2A'!$A$6:$A$10000,$AH$3)</f>
        <v>0</v>
      </c>
      <c r="AK45" s="487">
        <f>SUMIFS('GSTR-2A'!$M$6:$M$10000,'GSTR-2A'!$B$6:$B$10000,$C$5:$C$4995,'GSTR-2A'!$A$6:$A$10000,$AH$3)</f>
        <v>0</v>
      </c>
      <c r="AL45" s="488">
        <f>SUMIFS('GSTR-2A'!$N$6:$N$10000,'GSTR-2A'!$B$6:$B$10000,$C$5:$C$4995,'GSTR-2A'!$A$6:$A$10000,$AH$3)</f>
        <v>0</v>
      </c>
      <c r="AM45" s="486">
        <f>SUMIFS('GSTR-2A'!$G$6:$G$10000,'GSTR-2A'!$B$6:$B$10000,$C$5:$C$4995,'GSTR-2A'!$A$6:$A$10000,$AM$3)</f>
        <v>0</v>
      </c>
      <c r="AN45" s="487">
        <f>SUMIFS('GSTR-2A'!$K$6:$K$10000,'GSTR-2A'!$B$6:$B$10000,$C$5:$C$4995,'GSTR-2A'!$A$6:$A$10000,$AM$3)</f>
        <v>0</v>
      </c>
      <c r="AO45" s="487">
        <f>SUMIFS('GSTR-2A'!$L$6:$L$10000,'GSTR-2A'!$B$6:$B$10000,$C$5:$C$4995,'GSTR-2A'!$A$6:$A$10000,$AM$3)</f>
        <v>0</v>
      </c>
      <c r="AP45" s="487">
        <f>SUMIFS('GSTR-2A'!$M$6:$M$10000,'GSTR-2A'!$B$6:$B$10000,$C$5:$C$4995,'GSTR-2A'!$A$6:$A$10000,$AM$3)</f>
        <v>0</v>
      </c>
      <c r="AQ45" s="488">
        <f>SUMIFS('GSTR-2A'!$N$6:$N$10000,'GSTR-2A'!$B$6:$B$10000,$C$5:$C$4995,'GSTR-2A'!$A$6:$A$10000,$AM$3)</f>
        <v>0</v>
      </c>
      <c r="AR45" s="486">
        <f>SUMIFS('GSTR-2A'!$G$6:$G$10000,'GSTR-2A'!$B$6:$B$10000,$C$5:$C$4995,'GSTR-2A'!$A$6:$A$10000,$AR$3)</f>
        <v>0</v>
      </c>
      <c r="AS45" s="487">
        <f>SUMIFS('GSTR-2A'!$K$6:$K$10000,'GSTR-2A'!$B$6:$B$10000,$C$5:$C$4995,'GSTR-2A'!$A$6:$A$10000,$AR$3)</f>
        <v>0</v>
      </c>
      <c r="AT45" s="487">
        <f>SUMIFS('GSTR-2A'!$L$6:$L$10000,'GSTR-2A'!$B$6:$B$10000,$C$5:$C$4995,'GSTR-2A'!$A$6:$A$10000,$AR$3)</f>
        <v>0</v>
      </c>
      <c r="AU45" s="487">
        <f>SUMIFS('GSTR-2A'!$M$6:$M$10000,'GSTR-2A'!$B$6:$B$10000,$C$5:$C$4995,'GSTR-2A'!$A$6:$A$10000,$AR$3)</f>
        <v>0</v>
      </c>
      <c r="AV45" s="488">
        <f>SUMIFS('GSTR-2A'!$N$6:$N$10000,'GSTR-2A'!$B$6:$B$10000,$C$5:$C$4995,'GSTR-2A'!$A$6:$A$10000,$AR$3)</f>
        <v>0</v>
      </c>
      <c r="AW45" s="486">
        <f>SUMIFS('GSTR-2A'!$G$6:$G$10000,'GSTR-2A'!$B$6:$B$10000,$C$5:$C$4995,'GSTR-2A'!$A$6:$A$10000,$AW$3)</f>
        <v>0</v>
      </c>
      <c r="AX45" s="487">
        <f>SUMIFS('GSTR-2A'!$K$6:$K$10000,'GSTR-2A'!$B$6:$B$10000,$C$5:$C$4995,'GSTR-2A'!$A$6:$A$10000,$AW$3)</f>
        <v>0</v>
      </c>
      <c r="AY45" s="487">
        <f>SUMIFS('GSTR-2A'!$L$6:$L$10000,'GSTR-2A'!$B$6:$B$10000,$C$5:$C$4995,'GSTR-2A'!$A$6:$A$10000,$AW$3)</f>
        <v>0</v>
      </c>
      <c r="AZ45" s="487">
        <f>SUMIFS('GSTR-2A'!$M$6:$M$10000,'GSTR-2A'!$B$6:$B$10000,$C$5:$C$4995,'GSTR-2A'!$A$6:$A$10000,$AW$3)</f>
        <v>0</v>
      </c>
      <c r="BA45" s="488">
        <f>SUMIFS('GSTR-2A'!$N$6:$N$10000,'GSTR-2A'!$B$6:$B$10000,$C$5:$C$4995,'GSTR-2A'!$A$6:$A$10000,$AW$3)</f>
        <v>0</v>
      </c>
      <c r="BB45" s="486">
        <f>SUMIFS('GSTR-2A'!$G$6:$G$10000,'GSTR-2A'!$B$6:$B$10000,$C$5:$C$4995,'GSTR-2A'!$A$6:$A$10000,$BB$3)</f>
        <v>0</v>
      </c>
      <c r="BC45" s="487">
        <f>SUMIFS('GSTR-2A'!$K$6:$K$10000,'GSTR-2A'!$B$6:$B$10000,$C$5:$C$4995,'GSTR-2A'!$A$6:$A$10000,$BB$3)</f>
        <v>0</v>
      </c>
      <c r="BD45" s="487">
        <f>SUMIFS('GSTR-2A'!$L$6:$L$10000,'GSTR-2A'!$B$6:$B$10000,$C$5:$C$4995,'GSTR-2A'!$A$6:$A$10000,$BB$3)</f>
        <v>0</v>
      </c>
      <c r="BE45" s="487">
        <f>SUMIFS('GSTR-2A'!$M$6:$M$10000,'GSTR-2A'!$B$6:$B$10000,$C$5:$C$4995,'GSTR-2A'!$A$6:$A$10000,$BB$3)</f>
        <v>0</v>
      </c>
      <c r="BF45" s="488">
        <f>SUMIFS('GSTR-2A'!$N$6:$N$10000,'GSTR-2A'!$B$6:$B$10000,$C$5:$C$4995,'GSTR-2A'!$A$6:$A$10000,$BB$3)</f>
        <v>0</v>
      </c>
      <c r="BG45" s="486">
        <f>SUMIFS('GSTR-2A'!$G$6:$G$10000,'GSTR-2A'!$B$6:$B$10000,$C$5:$C$4995,'GSTR-2A'!$A$6:$A$10000,$BG$3)</f>
        <v>0</v>
      </c>
      <c r="BH45" s="487">
        <f>SUMIFS('GSTR-2A'!$K$6:$K$10000,'GSTR-2A'!$B$6:$B$10000,$C$5:$C$4995,'GSTR-2A'!$A$6:$A$10000,$BG$3)</f>
        <v>0</v>
      </c>
      <c r="BI45" s="487">
        <f>SUMIFS('GSTR-2A'!$L$6:$L$10000,'GSTR-2A'!$B$6:$B$10000,$C$5:$C$4995,'GSTR-2A'!$A$6:$A$10000,$BG$3)</f>
        <v>0</v>
      </c>
      <c r="BJ45" s="487">
        <f>SUMIFS('GSTR-2A'!$M$6:$M$10000,'GSTR-2A'!$B$6:$B$10000,$C$5:$C$4995,'GSTR-2A'!$A$6:$A$10000,$BG$3)</f>
        <v>0</v>
      </c>
      <c r="BK45" s="488">
        <f>SUMIFS('GSTR-2A'!$N$6:$N$10000,'GSTR-2A'!$B$6:$B$10000,$C$5:$C$4995,'GSTR-2A'!$A$6:$A$10000,$BG$3)</f>
        <v>0</v>
      </c>
      <c r="BL45" s="72">
        <f t="shared" si="2"/>
        <v>0</v>
      </c>
      <c r="BM45" s="72">
        <f t="shared" si="3"/>
        <v>0</v>
      </c>
      <c r="BN45" s="72">
        <f t="shared" si="4"/>
        <v>0</v>
      </c>
      <c r="BO45" s="72">
        <f t="shared" si="5"/>
        <v>0</v>
      </c>
      <c r="BP45" s="72">
        <f t="shared" si="6"/>
        <v>0</v>
      </c>
    </row>
    <row r="46" spans="1:68" x14ac:dyDescent="0.2">
      <c r="A46" s="467">
        <v>42</v>
      </c>
      <c r="B46" s="468" t="s">
        <v>1106</v>
      </c>
      <c r="C46" s="469" t="s">
        <v>1107</v>
      </c>
      <c r="D46" s="72">
        <f>SUMIFS('GSTR-2A'!$G$6:$G$10000,'GSTR-2A'!$B$6:$B$10000,$C$5:$C$4995,'GSTR-2A'!$A$6:$A$10000,$D$3)</f>
        <v>0</v>
      </c>
      <c r="E46" s="72">
        <f>SUMIFS('GSTR-2A'!$K$6:$K$10000,'GSTR-2A'!$B$6:$B$10000,$C$5:$C$4995,'GSTR-2A'!$A$6:$A$10000,$D$3)</f>
        <v>0</v>
      </c>
      <c r="F46" s="72">
        <f>SUMIFS('GSTR-2A'!$L$6:$L$10000,'GSTR-2A'!$B$6:$B$10000,$C$5:$C$4995,'GSTR-2A'!$A$6:$A$10000,$D$3)</f>
        <v>0</v>
      </c>
      <c r="G46" s="72">
        <f>SUMIFS('GSTR-2A'!$M$6:$M$10000,'GSTR-2A'!$B$6:$B$10000,$C$5:$C$4995,'GSTR-2A'!$A$6:$A$10000,$D$3)</f>
        <v>0</v>
      </c>
      <c r="H46" s="72">
        <f>SUMIFS('GSTR-2A'!$N$6:$N$10000,'GSTR-2A'!$B$6:$B$10000,$C$5:$C$4995,'GSTR-2A'!$A$6:$A$10000,$D$3)</f>
        <v>0</v>
      </c>
      <c r="I46" s="486">
        <f>SUMIFS('GSTR-2A'!$G$6:$G$10000,'GSTR-2A'!$B$6:$B$10000,$C$5:$C$4995,'GSTR-2A'!$A$6:$A$10000,$I$3)</f>
        <v>0</v>
      </c>
      <c r="J46" s="487">
        <f>SUMIFS('GSTR-2A'!$K$6:$K$10000,'GSTR-2A'!$B$6:$B$10000,$C$5:$C$4995,'GSTR-2A'!$A$6:$A$10000,$I$3)</f>
        <v>0</v>
      </c>
      <c r="K46" s="487">
        <f>SUMIFS('GSTR-2A'!$L$6:$L$10000,'GSTR-2A'!$B$6:$B$10000,$C$5:$C$4995,'GSTR-2A'!$A$6:$A$10000,$I$3)</f>
        <v>0</v>
      </c>
      <c r="L46" s="487">
        <f>SUMIFS('GSTR-2A'!$M$6:$M$10000,'GSTR-2A'!$B$6:$B$10000,$C$5:$C$4995,'GSTR-2A'!$A$6:$A$10000,$I$3)</f>
        <v>0</v>
      </c>
      <c r="M46" s="488">
        <f>SUMIFS('GSTR-2A'!$N$6:$N$10000,'GSTR-2A'!$B$6:$B$10000,$C$5:$C$4995,'GSTR-2A'!$A$6:$A$10000,$I$3)</f>
        <v>0</v>
      </c>
      <c r="N46" s="486">
        <f>SUMIFS('GSTR-2A'!$G$6:$G$10000,'GSTR-2A'!$B$6:$B$10000,$C$5:$C$4995,'GSTR-2A'!$A$6:$A$10000,$N$3)</f>
        <v>0</v>
      </c>
      <c r="O46" s="487">
        <f>SUMIFS('GSTR-2A'!$K$6:$K$10000,'GSTR-2A'!$B$6:$B$10000,$C$5:$C$4995,'GSTR-2A'!$A$6:$A$10000,$N$3)</f>
        <v>0</v>
      </c>
      <c r="P46" s="487">
        <f>SUMIFS('GSTR-2A'!$L$6:$L$10000,'GSTR-2A'!$B$6:$B$10000,$C$5:$C$4995,'GSTR-2A'!$A$6:$A$10000,$N$3)</f>
        <v>0</v>
      </c>
      <c r="Q46" s="487">
        <f>SUMIFS('GSTR-2A'!$M$6:$M$10000,'GSTR-2A'!$B$6:$B$10000,$C$5:$C$4995,'GSTR-2A'!$A$6:$A$10000,$N$3)</f>
        <v>0</v>
      </c>
      <c r="R46" s="488">
        <f>SUMIFS('GSTR-2A'!$N$6:$N$10000,'GSTR-2A'!$B$6:$B$10000,$C$5:$C$4995,'GSTR-2A'!$A$6:$A$10000,$N$3)</f>
        <v>0</v>
      </c>
      <c r="S46" s="486">
        <f>SUMIFS('GSTR-2A'!$G$6:$G$10000,'GSTR-2A'!$B$6:$B$10000,$C$5:$C$4995,'GSTR-2A'!$A$6:$A$10000,$S$3)</f>
        <v>0</v>
      </c>
      <c r="T46" s="487">
        <f>SUMIFS('GSTR-2A'!$K$6:$K$10000,'GSTR-2A'!$B$6:$B$10000,$C$5:$C$4995,'GSTR-2A'!$A$6:$A$10000,$S$3)</f>
        <v>0</v>
      </c>
      <c r="U46" s="487">
        <f>SUMIFS('GSTR-2A'!$L$6:$L$10000,'GSTR-2A'!$B$6:$B$10000,$C$5:$C$4995,'GSTR-2A'!$A$6:$A$10000,$S$3)</f>
        <v>0</v>
      </c>
      <c r="V46" s="487">
        <f>SUMIFS('GSTR-2A'!$M$6:$M$10000,'GSTR-2A'!$B$6:$B$10000,$C$5:$C$4995,'GSTR-2A'!$A$6:$A$10000,$S$3)</f>
        <v>0</v>
      </c>
      <c r="W46" s="488">
        <f>SUMIFS('GSTR-2A'!$N$6:$N$10000,'GSTR-2A'!$B$6:$B$10000,$C$5:$C$4995,'GSTR-2A'!$A$6:$A$10000,$S$3)</f>
        <v>0</v>
      </c>
      <c r="X46" s="486">
        <f>SUMIFS('GSTR-2A'!$G$6:$G$10000,'GSTR-2A'!$B$6:$B$10000,$C$5:$C$4995,'GSTR-2A'!$A$6:$A$10000,$X$3)</f>
        <v>0</v>
      </c>
      <c r="Y46" s="487">
        <f>SUMIFS('GSTR-2A'!$K$6:$K$10000,'GSTR-2A'!$B$6:$B$10000,$C$5:$C$4995,'GSTR-2A'!$A$6:$A$10000,$X$3)</f>
        <v>0</v>
      </c>
      <c r="Z46" s="487">
        <f>SUMIFS('GSTR-2A'!$L$6:$L$10000,'GSTR-2A'!$B$6:$B$10000,$C$5:$C$4995,'GSTR-2A'!$A$6:$A$10000,$X$3)</f>
        <v>0</v>
      </c>
      <c r="AA46" s="487">
        <f>SUMIFS('GSTR-2A'!$M$6:$M$10000,'GSTR-2A'!$B$6:$B$10000,$C$5:$C$4995,'GSTR-2A'!$A$6:$A$10000,$X$3)</f>
        <v>0</v>
      </c>
      <c r="AB46" s="488">
        <f>SUMIFS('GSTR-2A'!$N$6:$N$10000,'GSTR-2A'!$B$6:$B$10000,$C$5:$C$4995,'GSTR-2A'!$A$6:$A$10000,$X$3)</f>
        <v>0</v>
      </c>
      <c r="AC46" s="486">
        <f>SUMIFS('GSTR-2A'!$G$6:$G$10000,'GSTR-2A'!$B$6:$B$10000,$C$5:$C$4995,'GSTR-2A'!$A$6:$A$10000,$AC$3)</f>
        <v>0</v>
      </c>
      <c r="AD46" s="487">
        <f>SUMIFS('GSTR-2A'!$K$6:$K$10000,'GSTR-2A'!$B$6:$B$10000,$C$5:$C$4995,'GSTR-2A'!$A$6:$A$10000,$AC$3)</f>
        <v>0</v>
      </c>
      <c r="AE46" s="487">
        <f>SUMIFS('GSTR-2A'!$L$6:$L$10000,'GSTR-2A'!$B$6:$B$10000,$C$5:$C$4995,'GSTR-2A'!$A$6:$A$10000,$AC$3)</f>
        <v>0</v>
      </c>
      <c r="AF46" s="487">
        <f>SUMIFS('GSTR-2A'!$M$6:$M$10000,'GSTR-2A'!$B$6:$B$10000,$C$5:$C$4995,'GSTR-2A'!$A$6:$A$10000,$AC$3)</f>
        <v>0</v>
      </c>
      <c r="AG46" s="488">
        <f>SUMIFS('GSTR-2A'!$N$6:$N$10000,'GSTR-2A'!$B$6:$B$10000,$C$5:$C$4995,'GSTR-2A'!$A$6:$A$10000,$AC$3)</f>
        <v>0</v>
      </c>
      <c r="AH46" s="486">
        <f>SUMIFS('GSTR-2A'!$G$6:$G$10000,'GSTR-2A'!$B$6:$B$10000,$C$5:$C$4995,'GSTR-2A'!$A$6:$A$10000,$AH$3)</f>
        <v>0</v>
      </c>
      <c r="AI46" s="487">
        <f>SUMIFS('GSTR-2A'!$K$6:$K$10000,'GSTR-2A'!$B$6:$B$10000,$C$5:$C$4995,'GSTR-2A'!$A$6:$A$10000,$AH$3)</f>
        <v>0</v>
      </c>
      <c r="AJ46" s="487">
        <f>SUMIFS('GSTR-2A'!$L$6:$L$10000,'GSTR-2A'!$B$6:$B$10000,$C$5:$C$4995,'GSTR-2A'!$A$6:$A$10000,$AH$3)</f>
        <v>0</v>
      </c>
      <c r="AK46" s="487">
        <f>SUMIFS('GSTR-2A'!$M$6:$M$10000,'GSTR-2A'!$B$6:$B$10000,$C$5:$C$4995,'GSTR-2A'!$A$6:$A$10000,$AH$3)</f>
        <v>0</v>
      </c>
      <c r="AL46" s="488">
        <f>SUMIFS('GSTR-2A'!$N$6:$N$10000,'GSTR-2A'!$B$6:$B$10000,$C$5:$C$4995,'GSTR-2A'!$A$6:$A$10000,$AH$3)</f>
        <v>0</v>
      </c>
      <c r="AM46" s="486">
        <f>SUMIFS('GSTR-2A'!$G$6:$G$10000,'GSTR-2A'!$B$6:$B$10000,$C$5:$C$4995,'GSTR-2A'!$A$6:$A$10000,$AM$3)</f>
        <v>0</v>
      </c>
      <c r="AN46" s="487">
        <f>SUMIFS('GSTR-2A'!$K$6:$K$10000,'GSTR-2A'!$B$6:$B$10000,$C$5:$C$4995,'GSTR-2A'!$A$6:$A$10000,$AM$3)</f>
        <v>0</v>
      </c>
      <c r="AO46" s="487">
        <f>SUMIFS('GSTR-2A'!$L$6:$L$10000,'GSTR-2A'!$B$6:$B$10000,$C$5:$C$4995,'GSTR-2A'!$A$6:$A$10000,$AM$3)</f>
        <v>0</v>
      </c>
      <c r="AP46" s="487">
        <f>SUMIFS('GSTR-2A'!$M$6:$M$10000,'GSTR-2A'!$B$6:$B$10000,$C$5:$C$4995,'GSTR-2A'!$A$6:$A$10000,$AM$3)</f>
        <v>0</v>
      </c>
      <c r="AQ46" s="488">
        <f>SUMIFS('GSTR-2A'!$N$6:$N$10000,'GSTR-2A'!$B$6:$B$10000,$C$5:$C$4995,'GSTR-2A'!$A$6:$A$10000,$AM$3)</f>
        <v>0</v>
      </c>
      <c r="AR46" s="486">
        <f>SUMIFS('GSTR-2A'!$G$6:$G$10000,'GSTR-2A'!$B$6:$B$10000,$C$5:$C$4995,'GSTR-2A'!$A$6:$A$10000,$AR$3)</f>
        <v>0</v>
      </c>
      <c r="AS46" s="487">
        <f>SUMIFS('GSTR-2A'!$K$6:$K$10000,'GSTR-2A'!$B$6:$B$10000,$C$5:$C$4995,'GSTR-2A'!$A$6:$A$10000,$AR$3)</f>
        <v>0</v>
      </c>
      <c r="AT46" s="487">
        <f>SUMIFS('GSTR-2A'!$L$6:$L$10000,'GSTR-2A'!$B$6:$B$10000,$C$5:$C$4995,'GSTR-2A'!$A$6:$A$10000,$AR$3)</f>
        <v>0</v>
      </c>
      <c r="AU46" s="487">
        <f>SUMIFS('GSTR-2A'!$M$6:$M$10000,'GSTR-2A'!$B$6:$B$10000,$C$5:$C$4995,'GSTR-2A'!$A$6:$A$10000,$AR$3)</f>
        <v>0</v>
      </c>
      <c r="AV46" s="488">
        <f>SUMIFS('GSTR-2A'!$N$6:$N$10000,'GSTR-2A'!$B$6:$B$10000,$C$5:$C$4995,'GSTR-2A'!$A$6:$A$10000,$AR$3)</f>
        <v>0</v>
      </c>
      <c r="AW46" s="486">
        <f>SUMIFS('GSTR-2A'!$G$6:$G$10000,'GSTR-2A'!$B$6:$B$10000,$C$5:$C$4995,'GSTR-2A'!$A$6:$A$10000,$AW$3)</f>
        <v>0</v>
      </c>
      <c r="AX46" s="487">
        <f>SUMIFS('GSTR-2A'!$K$6:$K$10000,'GSTR-2A'!$B$6:$B$10000,$C$5:$C$4995,'GSTR-2A'!$A$6:$A$10000,$AW$3)</f>
        <v>0</v>
      </c>
      <c r="AY46" s="487">
        <f>SUMIFS('GSTR-2A'!$L$6:$L$10000,'GSTR-2A'!$B$6:$B$10000,$C$5:$C$4995,'GSTR-2A'!$A$6:$A$10000,$AW$3)</f>
        <v>0</v>
      </c>
      <c r="AZ46" s="487">
        <f>SUMIFS('GSTR-2A'!$M$6:$M$10000,'GSTR-2A'!$B$6:$B$10000,$C$5:$C$4995,'GSTR-2A'!$A$6:$A$10000,$AW$3)</f>
        <v>0</v>
      </c>
      <c r="BA46" s="488">
        <f>SUMIFS('GSTR-2A'!$N$6:$N$10000,'GSTR-2A'!$B$6:$B$10000,$C$5:$C$4995,'GSTR-2A'!$A$6:$A$10000,$AW$3)</f>
        <v>0</v>
      </c>
      <c r="BB46" s="486">
        <f>SUMIFS('GSTR-2A'!$G$6:$G$10000,'GSTR-2A'!$B$6:$B$10000,$C$5:$C$4995,'GSTR-2A'!$A$6:$A$10000,$BB$3)</f>
        <v>0</v>
      </c>
      <c r="BC46" s="487">
        <f>SUMIFS('GSTR-2A'!$K$6:$K$10000,'GSTR-2A'!$B$6:$B$10000,$C$5:$C$4995,'GSTR-2A'!$A$6:$A$10000,$BB$3)</f>
        <v>0</v>
      </c>
      <c r="BD46" s="487">
        <f>SUMIFS('GSTR-2A'!$L$6:$L$10000,'GSTR-2A'!$B$6:$B$10000,$C$5:$C$4995,'GSTR-2A'!$A$6:$A$10000,$BB$3)</f>
        <v>0</v>
      </c>
      <c r="BE46" s="487">
        <f>SUMIFS('GSTR-2A'!$M$6:$M$10000,'GSTR-2A'!$B$6:$B$10000,$C$5:$C$4995,'GSTR-2A'!$A$6:$A$10000,$BB$3)</f>
        <v>0</v>
      </c>
      <c r="BF46" s="488">
        <f>SUMIFS('GSTR-2A'!$N$6:$N$10000,'GSTR-2A'!$B$6:$B$10000,$C$5:$C$4995,'GSTR-2A'!$A$6:$A$10000,$BB$3)</f>
        <v>0</v>
      </c>
      <c r="BG46" s="486">
        <f>SUMIFS('GSTR-2A'!$G$6:$G$10000,'GSTR-2A'!$B$6:$B$10000,$C$5:$C$4995,'GSTR-2A'!$A$6:$A$10000,$BG$3)</f>
        <v>0</v>
      </c>
      <c r="BH46" s="487">
        <f>SUMIFS('GSTR-2A'!$K$6:$K$10000,'GSTR-2A'!$B$6:$B$10000,$C$5:$C$4995,'GSTR-2A'!$A$6:$A$10000,$BG$3)</f>
        <v>0</v>
      </c>
      <c r="BI46" s="487">
        <f>SUMIFS('GSTR-2A'!$L$6:$L$10000,'GSTR-2A'!$B$6:$B$10000,$C$5:$C$4995,'GSTR-2A'!$A$6:$A$10000,$BG$3)</f>
        <v>0</v>
      </c>
      <c r="BJ46" s="487">
        <f>SUMIFS('GSTR-2A'!$M$6:$M$10000,'GSTR-2A'!$B$6:$B$10000,$C$5:$C$4995,'GSTR-2A'!$A$6:$A$10000,$BG$3)</f>
        <v>0</v>
      </c>
      <c r="BK46" s="488">
        <f>SUMIFS('GSTR-2A'!$N$6:$N$10000,'GSTR-2A'!$B$6:$B$10000,$C$5:$C$4995,'GSTR-2A'!$A$6:$A$10000,$BG$3)</f>
        <v>0</v>
      </c>
      <c r="BL46" s="72">
        <f t="shared" si="2"/>
        <v>0</v>
      </c>
      <c r="BM46" s="72">
        <f t="shared" si="3"/>
        <v>0</v>
      </c>
      <c r="BN46" s="72">
        <f t="shared" si="4"/>
        <v>0</v>
      </c>
      <c r="BO46" s="72">
        <f t="shared" si="5"/>
        <v>0</v>
      </c>
      <c r="BP46" s="72">
        <f t="shared" si="6"/>
        <v>0</v>
      </c>
    </row>
    <row r="47" spans="1:68" x14ac:dyDescent="0.2">
      <c r="A47" s="467">
        <v>43</v>
      </c>
      <c r="B47" s="468" t="s">
        <v>1108</v>
      </c>
      <c r="C47" s="469" t="s">
        <v>1109</v>
      </c>
      <c r="D47" s="72">
        <f>SUMIFS('GSTR-2A'!$G$6:$G$10000,'GSTR-2A'!$B$6:$B$10000,$C$5:$C$4995,'GSTR-2A'!$A$6:$A$10000,$D$3)</f>
        <v>0</v>
      </c>
      <c r="E47" s="72">
        <f>SUMIFS('GSTR-2A'!$K$6:$K$10000,'GSTR-2A'!$B$6:$B$10000,$C$5:$C$4995,'GSTR-2A'!$A$6:$A$10000,$D$3)</f>
        <v>0</v>
      </c>
      <c r="F47" s="72">
        <f>SUMIFS('GSTR-2A'!$L$6:$L$10000,'GSTR-2A'!$B$6:$B$10000,$C$5:$C$4995,'GSTR-2A'!$A$6:$A$10000,$D$3)</f>
        <v>0</v>
      </c>
      <c r="G47" s="72">
        <f>SUMIFS('GSTR-2A'!$M$6:$M$10000,'GSTR-2A'!$B$6:$B$10000,$C$5:$C$4995,'GSTR-2A'!$A$6:$A$10000,$D$3)</f>
        <v>0</v>
      </c>
      <c r="H47" s="72">
        <f>SUMIFS('GSTR-2A'!$N$6:$N$10000,'GSTR-2A'!$B$6:$B$10000,$C$5:$C$4995,'GSTR-2A'!$A$6:$A$10000,$D$3)</f>
        <v>0</v>
      </c>
      <c r="I47" s="486">
        <f>SUMIFS('GSTR-2A'!$G$6:$G$10000,'GSTR-2A'!$B$6:$B$10000,$C$5:$C$4995,'GSTR-2A'!$A$6:$A$10000,$I$3)</f>
        <v>0</v>
      </c>
      <c r="J47" s="487">
        <f>SUMIFS('GSTR-2A'!$K$6:$K$10000,'GSTR-2A'!$B$6:$B$10000,$C$5:$C$4995,'GSTR-2A'!$A$6:$A$10000,$I$3)</f>
        <v>0</v>
      </c>
      <c r="K47" s="487">
        <f>SUMIFS('GSTR-2A'!$L$6:$L$10000,'GSTR-2A'!$B$6:$B$10000,$C$5:$C$4995,'GSTR-2A'!$A$6:$A$10000,$I$3)</f>
        <v>0</v>
      </c>
      <c r="L47" s="487">
        <f>SUMIFS('GSTR-2A'!$M$6:$M$10000,'GSTR-2A'!$B$6:$B$10000,$C$5:$C$4995,'GSTR-2A'!$A$6:$A$10000,$I$3)</f>
        <v>0</v>
      </c>
      <c r="M47" s="488">
        <f>SUMIFS('GSTR-2A'!$N$6:$N$10000,'GSTR-2A'!$B$6:$B$10000,$C$5:$C$4995,'GSTR-2A'!$A$6:$A$10000,$I$3)</f>
        <v>0</v>
      </c>
      <c r="N47" s="486">
        <f>SUMIFS('GSTR-2A'!$G$6:$G$10000,'GSTR-2A'!$B$6:$B$10000,$C$5:$C$4995,'GSTR-2A'!$A$6:$A$10000,$N$3)</f>
        <v>0</v>
      </c>
      <c r="O47" s="487">
        <f>SUMIFS('GSTR-2A'!$K$6:$K$10000,'GSTR-2A'!$B$6:$B$10000,$C$5:$C$4995,'GSTR-2A'!$A$6:$A$10000,$N$3)</f>
        <v>0</v>
      </c>
      <c r="P47" s="487">
        <f>SUMIFS('GSTR-2A'!$L$6:$L$10000,'GSTR-2A'!$B$6:$B$10000,$C$5:$C$4995,'GSTR-2A'!$A$6:$A$10000,$N$3)</f>
        <v>0</v>
      </c>
      <c r="Q47" s="487">
        <f>SUMIFS('GSTR-2A'!$M$6:$M$10000,'GSTR-2A'!$B$6:$B$10000,$C$5:$C$4995,'GSTR-2A'!$A$6:$A$10000,$N$3)</f>
        <v>0</v>
      </c>
      <c r="R47" s="488">
        <f>SUMIFS('GSTR-2A'!$N$6:$N$10000,'GSTR-2A'!$B$6:$B$10000,$C$5:$C$4995,'GSTR-2A'!$A$6:$A$10000,$N$3)</f>
        <v>0</v>
      </c>
      <c r="S47" s="486">
        <f>SUMIFS('GSTR-2A'!$G$6:$G$10000,'GSTR-2A'!$B$6:$B$10000,$C$5:$C$4995,'GSTR-2A'!$A$6:$A$10000,$S$3)</f>
        <v>0</v>
      </c>
      <c r="T47" s="487">
        <f>SUMIFS('GSTR-2A'!$K$6:$K$10000,'GSTR-2A'!$B$6:$B$10000,$C$5:$C$4995,'GSTR-2A'!$A$6:$A$10000,$S$3)</f>
        <v>0</v>
      </c>
      <c r="U47" s="487">
        <f>SUMIFS('GSTR-2A'!$L$6:$L$10000,'GSTR-2A'!$B$6:$B$10000,$C$5:$C$4995,'GSTR-2A'!$A$6:$A$10000,$S$3)</f>
        <v>0</v>
      </c>
      <c r="V47" s="487">
        <f>SUMIFS('GSTR-2A'!$M$6:$M$10000,'GSTR-2A'!$B$6:$B$10000,$C$5:$C$4995,'GSTR-2A'!$A$6:$A$10000,$S$3)</f>
        <v>0</v>
      </c>
      <c r="W47" s="488">
        <f>SUMIFS('GSTR-2A'!$N$6:$N$10000,'GSTR-2A'!$B$6:$B$10000,$C$5:$C$4995,'GSTR-2A'!$A$6:$A$10000,$S$3)</f>
        <v>0</v>
      </c>
      <c r="X47" s="486">
        <f>SUMIFS('GSTR-2A'!$G$6:$G$10000,'GSTR-2A'!$B$6:$B$10000,$C$5:$C$4995,'GSTR-2A'!$A$6:$A$10000,$X$3)</f>
        <v>0</v>
      </c>
      <c r="Y47" s="487">
        <f>SUMIFS('GSTR-2A'!$K$6:$K$10000,'GSTR-2A'!$B$6:$B$10000,$C$5:$C$4995,'GSTR-2A'!$A$6:$A$10000,$X$3)</f>
        <v>0</v>
      </c>
      <c r="Z47" s="487">
        <f>SUMIFS('GSTR-2A'!$L$6:$L$10000,'GSTR-2A'!$B$6:$B$10000,$C$5:$C$4995,'GSTR-2A'!$A$6:$A$10000,$X$3)</f>
        <v>0</v>
      </c>
      <c r="AA47" s="487">
        <f>SUMIFS('GSTR-2A'!$M$6:$M$10000,'GSTR-2A'!$B$6:$B$10000,$C$5:$C$4995,'GSTR-2A'!$A$6:$A$10000,$X$3)</f>
        <v>0</v>
      </c>
      <c r="AB47" s="488">
        <f>SUMIFS('GSTR-2A'!$N$6:$N$10000,'GSTR-2A'!$B$6:$B$10000,$C$5:$C$4995,'GSTR-2A'!$A$6:$A$10000,$X$3)</f>
        <v>0</v>
      </c>
      <c r="AC47" s="486">
        <f>SUMIFS('GSTR-2A'!$G$6:$G$10000,'GSTR-2A'!$B$6:$B$10000,$C$5:$C$4995,'GSTR-2A'!$A$6:$A$10000,$AC$3)</f>
        <v>0</v>
      </c>
      <c r="AD47" s="487">
        <f>SUMIFS('GSTR-2A'!$K$6:$K$10000,'GSTR-2A'!$B$6:$B$10000,$C$5:$C$4995,'GSTR-2A'!$A$6:$A$10000,$AC$3)</f>
        <v>0</v>
      </c>
      <c r="AE47" s="487">
        <f>SUMIFS('GSTR-2A'!$L$6:$L$10000,'GSTR-2A'!$B$6:$B$10000,$C$5:$C$4995,'GSTR-2A'!$A$6:$A$10000,$AC$3)</f>
        <v>0</v>
      </c>
      <c r="AF47" s="487">
        <f>SUMIFS('GSTR-2A'!$M$6:$M$10000,'GSTR-2A'!$B$6:$B$10000,$C$5:$C$4995,'GSTR-2A'!$A$6:$A$10000,$AC$3)</f>
        <v>0</v>
      </c>
      <c r="AG47" s="488">
        <f>SUMIFS('GSTR-2A'!$N$6:$N$10000,'GSTR-2A'!$B$6:$B$10000,$C$5:$C$4995,'GSTR-2A'!$A$6:$A$10000,$AC$3)</f>
        <v>0</v>
      </c>
      <c r="AH47" s="486">
        <f>SUMIFS('GSTR-2A'!$G$6:$G$10000,'GSTR-2A'!$B$6:$B$10000,$C$5:$C$4995,'GSTR-2A'!$A$6:$A$10000,$AH$3)</f>
        <v>0</v>
      </c>
      <c r="AI47" s="487">
        <f>SUMIFS('GSTR-2A'!$K$6:$K$10000,'GSTR-2A'!$B$6:$B$10000,$C$5:$C$4995,'GSTR-2A'!$A$6:$A$10000,$AH$3)</f>
        <v>0</v>
      </c>
      <c r="AJ47" s="487">
        <f>SUMIFS('GSTR-2A'!$L$6:$L$10000,'GSTR-2A'!$B$6:$B$10000,$C$5:$C$4995,'GSTR-2A'!$A$6:$A$10000,$AH$3)</f>
        <v>0</v>
      </c>
      <c r="AK47" s="487">
        <f>SUMIFS('GSTR-2A'!$M$6:$M$10000,'GSTR-2A'!$B$6:$B$10000,$C$5:$C$4995,'GSTR-2A'!$A$6:$A$10000,$AH$3)</f>
        <v>0</v>
      </c>
      <c r="AL47" s="488">
        <f>SUMIFS('GSTR-2A'!$N$6:$N$10000,'GSTR-2A'!$B$6:$B$10000,$C$5:$C$4995,'GSTR-2A'!$A$6:$A$10000,$AH$3)</f>
        <v>0</v>
      </c>
      <c r="AM47" s="486">
        <f>SUMIFS('GSTR-2A'!$G$6:$G$10000,'GSTR-2A'!$B$6:$B$10000,$C$5:$C$4995,'GSTR-2A'!$A$6:$A$10000,$AM$3)</f>
        <v>0</v>
      </c>
      <c r="AN47" s="487">
        <f>SUMIFS('GSTR-2A'!$K$6:$K$10000,'GSTR-2A'!$B$6:$B$10000,$C$5:$C$4995,'GSTR-2A'!$A$6:$A$10000,$AM$3)</f>
        <v>0</v>
      </c>
      <c r="AO47" s="487">
        <f>SUMIFS('GSTR-2A'!$L$6:$L$10000,'GSTR-2A'!$B$6:$B$10000,$C$5:$C$4995,'GSTR-2A'!$A$6:$A$10000,$AM$3)</f>
        <v>0</v>
      </c>
      <c r="AP47" s="487">
        <f>SUMIFS('GSTR-2A'!$M$6:$M$10000,'GSTR-2A'!$B$6:$B$10000,$C$5:$C$4995,'GSTR-2A'!$A$6:$A$10000,$AM$3)</f>
        <v>0</v>
      </c>
      <c r="AQ47" s="488">
        <f>SUMIFS('GSTR-2A'!$N$6:$N$10000,'GSTR-2A'!$B$6:$B$10000,$C$5:$C$4995,'GSTR-2A'!$A$6:$A$10000,$AM$3)</f>
        <v>0</v>
      </c>
      <c r="AR47" s="486">
        <f>SUMIFS('GSTR-2A'!$G$6:$G$10000,'GSTR-2A'!$B$6:$B$10000,$C$5:$C$4995,'GSTR-2A'!$A$6:$A$10000,$AR$3)</f>
        <v>0</v>
      </c>
      <c r="AS47" s="487">
        <f>SUMIFS('GSTR-2A'!$K$6:$K$10000,'GSTR-2A'!$B$6:$B$10000,$C$5:$C$4995,'GSTR-2A'!$A$6:$A$10000,$AR$3)</f>
        <v>0</v>
      </c>
      <c r="AT47" s="487">
        <f>SUMIFS('GSTR-2A'!$L$6:$L$10000,'GSTR-2A'!$B$6:$B$10000,$C$5:$C$4995,'GSTR-2A'!$A$6:$A$10000,$AR$3)</f>
        <v>0</v>
      </c>
      <c r="AU47" s="487">
        <f>SUMIFS('GSTR-2A'!$M$6:$M$10000,'GSTR-2A'!$B$6:$B$10000,$C$5:$C$4995,'GSTR-2A'!$A$6:$A$10000,$AR$3)</f>
        <v>0</v>
      </c>
      <c r="AV47" s="488">
        <f>SUMIFS('GSTR-2A'!$N$6:$N$10000,'GSTR-2A'!$B$6:$B$10000,$C$5:$C$4995,'GSTR-2A'!$A$6:$A$10000,$AR$3)</f>
        <v>0</v>
      </c>
      <c r="AW47" s="486">
        <f>SUMIFS('GSTR-2A'!$G$6:$G$10000,'GSTR-2A'!$B$6:$B$10000,$C$5:$C$4995,'GSTR-2A'!$A$6:$A$10000,$AW$3)</f>
        <v>0</v>
      </c>
      <c r="AX47" s="487">
        <f>SUMIFS('GSTR-2A'!$K$6:$K$10000,'GSTR-2A'!$B$6:$B$10000,$C$5:$C$4995,'GSTR-2A'!$A$6:$A$10000,$AW$3)</f>
        <v>0</v>
      </c>
      <c r="AY47" s="487">
        <f>SUMIFS('GSTR-2A'!$L$6:$L$10000,'GSTR-2A'!$B$6:$B$10000,$C$5:$C$4995,'GSTR-2A'!$A$6:$A$10000,$AW$3)</f>
        <v>0</v>
      </c>
      <c r="AZ47" s="487">
        <f>SUMIFS('GSTR-2A'!$M$6:$M$10000,'GSTR-2A'!$B$6:$B$10000,$C$5:$C$4995,'GSTR-2A'!$A$6:$A$10000,$AW$3)</f>
        <v>0</v>
      </c>
      <c r="BA47" s="488">
        <f>SUMIFS('GSTR-2A'!$N$6:$N$10000,'GSTR-2A'!$B$6:$B$10000,$C$5:$C$4995,'GSTR-2A'!$A$6:$A$10000,$AW$3)</f>
        <v>0</v>
      </c>
      <c r="BB47" s="486">
        <f>SUMIFS('GSTR-2A'!$G$6:$G$10000,'GSTR-2A'!$B$6:$B$10000,$C$5:$C$4995,'GSTR-2A'!$A$6:$A$10000,$BB$3)</f>
        <v>0</v>
      </c>
      <c r="BC47" s="487">
        <f>SUMIFS('GSTR-2A'!$K$6:$K$10000,'GSTR-2A'!$B$6:$B$10000,$C$5:$C$4995,'GSTR-2A'!$A$6:$A$10000,$BB$3)</f>
        <v>0</v>
      </c>
      <c r="BD47" s="487">
        <f>SUMIFS('GSTR-2A'!$L$6:$L$10000,'GSTR-2A'!$B$6:$B$10000,$C$5:$C$4995,'GSTR-2A'!$A$6:$A$10000,$BB$3)</f>
        <v>0</v>
      </c>
      <c r="BE47" s="487">
        <f>SUMIFS('GSTR-2A'!$M$6:$M$10000,'GSTR-2A'!$B$6:$B$10000,$C$5:$C$4995,'GSTR-2A'!$A$6:$A$10000,$BB$3)</f>
        <v>0</v>
      </c>
      <c r="BF47" s="488">
        <f>SUMIFS('GSTR-2A'!$N$6:$N$10000,'GSTR-2A'!$B$6:$B$10000,$C$5:$C$4995,'GSTR-2A'!$A$6:$A$10000,$BB$3)</f>
        <v>0</v>
      </c>
      <c r="BG47" s="486">
        <f>SUMIFS('GSTR-2A'!$G$6:$G$10000,'GSTR-2A'!$B$6:$B$10000,$C$5:$C$4995,'GSTR-2A'!$A$6:$A$10000,$BG$3)</f>
        <v>0</v>
      </c>
      <c r="BH47" s="487">
        <f>SUMIFS('GSTR-2A'!$K$6:$K$10000,'GSTR-2A'!$B$6:$B$10000,$C$5:$C$4995,'GSTR-2A'!$A$6:$A$10000,$BG$3)</f>
        <v>0</v>
      </c>
      <c r="BI47" s="487">
        <f>SUMIFS('GSTR-2A'!$L$6:$L$10000,'GSTR-2A'!$B$6:$B$10000,$C$5:$C$4995,'GSTR-2A'!$A$6:$A$10000,$BG$3)</f>
        <v>0</v>
      </c>
      <c r="BJ47" s="487">
        <f>SUMIFS('GSTR-2A'!$M$6:$M$10000,'GSTR-2A'!$B$6:$B$10000,$C$5:$C$4995,'GSTR-2A'!$A$6:$A$10000,$BG$3)</f>
        <v>0</v>
      </c>
      <c r="BK47" s="488">
        <f>SUMIFS('GSTR-2A'!$N$6:$N$10000,'GSTR-2A'!$B$6:$B$10000,$C$5:$C$4995,'GSTR-2A'!$A$6:$A$10000,$BG$3)</f>
        <v>0</v>
      </c>
      <c r="BL47" s="72">
        <f t="shared" si="2"/>
        <v>0</v>
      </c>
      <c r="BM47" s="72">
        <f t="shared" si="3"/>
        <v>0</v>
      </c>
      <c r="BN47" s="72">
        <f t="shared" si="4"/>
        <v>0</v>
      </c>
      <c r="BO47" s="72">
        <f t="shared" si="5"/>
        <v>0</v>
      </c>
      <c r="BP47" s="72">
        <f t="shared" si="6"/>
        <v>0</v>
      </c>
    </row>
    <row r="48" spans="1:68" x14ac:dyDescent="0.2">
      <c r="A48" s="467">
        <v>44</v>
      </c>
      <c r="B48" s="468" t="s">
        <v>54</v>
      </c>
      <c r="C48" s="469" t="s">
        <v>55</v>
      </c>
      <c r="D48" s="72">
        <f>SUMIFS('GSTR-2A'!$G$6:$G$10000,'GSTR-2A'!$B$6:$B$10000,$C$5:$C$4995,'GSTR-2A'!$A$6:$A$10000,$D$3)</f>
        <v>0</v>
      </c>
      <c r="E48" s="72">
        <f>SUMIFS('GSTR-2A'!$K$6:$K$10000,'GSTR-2A'!$B$6:$B$10000,$C$5:$C$4995,'GSTR-2A'!$A$6:$A$10000,$D$3)</f>
        <v>0</v>
      </c>
      <c r="F48" s="72">
        <f>SUMIFS('GSTR-2A'!$L$6:$L$10000,'GSTR-2A'!$B$6:$B$10000,$C$5:$C$4995,'GSTR-2A'!$A$6:$A$10000,$D$3)</f>
        <v>0</v>
      </c>
      <c r="G48" s="72">
        <f>SUMIFS('GSTR-2A'!$M$6:$M$10000,'GSTR-2A'!$B$6:$B$10000,$C$5:$C$4995,'GSTR-2A'!$A$6:$A$10000,$D$3)</f>
        <v>0</v>
      </c>
      <c r="H48" s="72">
        <f>SUMIFS('GSTR-2A'!$N$6:$N$10000,'GSTR-2A'!$B$6:$B$10000,$C$5:$C$4995,'GSTR-2A'!$A$6:$A$10000,$D$3)</f>
        <v>0</v>
      </c>
      <c r="I48" s="486">
        <f>SUMIFS('GSTR-2A'!$G$6:$G$10000,'GSTR-2A'!$B$6:$B$10000,$C$5:$C$4995,'GSTR-2A'!$A$6:$A$10000,$I$3)</f>
        <v>0</v>
      </c>
      <c r="J48" s="487">
        <f>SUMIFS('GSTR-2A'!$K$6:$K$10000,'GSTR-2A'!$B$6:$B$10000,$C$5:$C$4995,'GSTR-2A'!$A$6:$A$10000,$I$3)</f>
        <v>0</v>
      </c>
      <c r="K48" s="487">
        <f>SUMIFS('GSTR-2A'!$L$6:$L$10000,'GSTR-2A'!$B$6:$B$10000,$C$5:$C$4995,'GSTR-2A'!$A$6:$A$10000,$I$3)</f>
        <v>0</v>
      </c>
      <c r="L48" s="487">
        <f>SUMIFS('GSTR-2A'!$M$6:$M$10000,'GSTR-2A'!$B$6:$B$10000,$C$5:$C$4995,'GSTR-2A'!$A$6:$A$10000,$I$3)</f>
        <v>0</v>
      </c>
      <c r="M48" s="488">
        <f>SUMIFS('GSTR-2A'!$N$6:$N$10000,'GSTR-2A'!$B$6:$B$10000,$C$5:$C$4995,'GSTR-2A'!$A$6:$A$10000,$I$3)</f>
        <v>0</v>
      </c>
      <c r="N48" s="486">
        <f>SUMIFS('GSTR-2A'!$G$6:$G$10000,'GSTR-2A'!$B$6:$B$10000,$C$5:$C$4995,'GSTR-2A'!$A$6:$A$10000,$N$3)</f>
        <v>0</v>
      </c>
      <c r="O48" s="487">
        <f>SUMIFS('GSTR-2A'!$K$6:$K$10000,'GSTR-2A'!$B$6:$B$10000,$C$5:$C$4995,'GSTR-2A'!$A$6:$A$10000,$N$3)</f>
        <v>0</v>
      </c>
      <c r="P48" s="487">
        <f>SUMIFS('GSTR-2A'!$L$6:$L$10000,'GSTR-2A'!$B$6:$B$10000,$C$5:$C$4995,'GSTR-2A'!$A$6:$A$10000,$N$3)</f>
        <v>0</v>
      </c>
      <c r="Q48" s="487">
        <f>SUMIFS('GSTR-2A'!$M$6:$M$10000,'GSTR-2A'!$B$6:$B$10000,$C$5:$C$4995,'GSTR-2A'!$A$6:$A$10000,$N$3)</f>
        <v>0</v>
      </c>
      <c r="R48" s="488">
        <f>SUMIFS('GSTR-2A'!$N$6:$N$10000,'GSTR-2A'!$B$6:$B$10000,$C$5:$C$4995,'GSTR-2A'!$A$6:$A$10000,$N$3)</f>
        <v>0</v>
      </c>
      <c r="S48" s="486">
        <f>SUMIFS('GSTR-2A'!$G$6:$G$10000,'GSTR-2A'!$B$6:$B$10000,$C$5:$C$4995,'GSTR-2A'!$A$6:$A$10000,$S$3)</f>
        <v>0</v>
      </c>
      <c r="T48" s="487">
        <f>SUMIFS('GSTR-2A'!$K$6:$K$10000,'GSTR-2A'!$B$6:$B$10000,$C$5:$C$4995,'GSTR-2A'!$A$6:$A$10000,$S$3)</f>
        <v>0</v>
      </c>
      <c r="U48" s="487">
        <f>SUMIFS('GSTR-2A'!$L$6:$L$10000,'GSTR-2A'!$B$6:$B$10000,$C$5:$C$4995,'GSTR-2A'!$A$6:$A$10000,$S$3)</f>
        <v>0</v>
      </c>
      <c r="V48" s="487">
        <f>SUMIFS('GSTR-2A'!$M$6:$M$10000,'GSTR-2A'!$B$6:$B$10000,$C$5:$C$4995,'GSTR-2A'!$A$6:$A$10000,$S$3)</f>
        <v>0</v>
      </c>
      <c r="W48" s="488">
        <f>SUMIFS('GSTR-2A'!$N$6:$N$10000,'GSTR-2A'!$B$6:$B$10000,$C$5:$C$4995,'GSTR-2A'!$A$6:$A$10000,$S$3)</f>
        <v>0</v>
      </c>
      <c r="X48" s="486">
        <f>SUMIFS('GSTR-2A'!$G$6:$G$10000,'GSTR-2A'!$B$6:$B$10000,$C$5:$C$4995,'GSTR-2A'!$A$6:$A$10000,$X$3)</f>
        <v>0</v>
      </c>
      <c r="Y48" s="487">
        <f>SUMIFS('GSTR-2A'!$K$6:$K$10000,'GSTR-2A'!$B$6:$B$10000,$C$5:$C$4995,'GSTR-2A'!$A$6:$A$10000,$X$3)</f>
        <v>0</v>
      </c>
      <c r="Z48" s="487">
        <f>SUMIFS('GSTR-2A'!$L$6:$L$10000,'GSTR-2A'!$B$6:$B$10000,$C$5:$C$4995,'GSTR-2A'!$A$6:$A$10000,$X$3)</f>
        <v>0</v>
      </c>
      <c r="AA48" s="487">
        <f>SUMIFS('GSTR-2A'!$M$6:$M$10000,'GSTR-2A'!$B$6:$B$10000,$C$5:$C$4995,'GSTR-2A'!$A$6:$A$10000,$X$3)</f>
        <v>0</v>
      </c>
      <c r="AB48" s="488">
        <f>SUMIFS('GSTR-2A'!$N$6:$N$10000,'GSTR-2A'!$B$6:$B$10000,$C$5:$C$4995,'GSTR-2A'!$A$6:$A$10000,$X$3)</f>
        <v>0</v>
      </c>
      <c r="AC48" s="486">
        <f>SUMIFS('GSTR-2A'!$G$6:$G$10000,'GSTR-2A'!$B$6:$B$10000,$C$5:$C$4995,'GSTR-2A'!$A$6:$A$10000,$AC$3)</f>
        <v>0</v>
      </c>
      <c r="AD48" s="487">
        <f>SUMIFS('GSTR-2A'!$K$6:$K$10000,'GSTR-2A'!$B$6:$B$10000,$C$5:$C$4995,'GSTR-2A'!$A$6:$A$10000,$AC$3)</f>
        <v>0</v>
      </c>
      <c r="AE48" s="487">
        <f>SUMIFS('GSTR-2A'!$L$6:$L$10000,'GSTR-2A'!$B$6:$B$10000,$C$5:$C$4995,'GSTR-2A'!$A$6:$A$10000,$AC$3)</f>
        <v>0</v>
      </c>
      <c r="AF48" s="487">
        <f>SUMIFS('GSTR-2A'!$M$6:$M$10000,'GSTR-2A'!$B$6:$B$10000,$C$5:$C$4995,'GSTR-2A'!$A$6:$A$10000,$AC$3)</f>
        <v>0</v>
      </c>
      <c r="AG48" s="488">
        <f>SUMIFS('GSTR-2A'!$N$6:$N$10000,'GSTR-2A'!$B$6:$B$10000,$C$5:$C$4995,'GSTR-2A'!$A$6:$A$10000,$AC$3)</f>
        <v>0</v>
      </c>
      <c r="AH48" s="486">
        <f>SUMIFS('GSTR-2A'!$G$6:$G$10000,'GSTR-2A'!$B$6:$B$10000,$C$5:$C$4995,'GSTR-2A'!$A$6:$A$10000,$AH$3)</f>
        <v>0</v>
      </c>
      <c r="AI48" s="487">
        <f>SUMIFS('GSTR-2A'!$K$6:$K$10000,'GSTR-2A'!$B$6:$B$10000,$C$5:$C$4995,'GSTR-2A'!$A$6:$A$10000,$AH$3)</f>
        <v>0</v>
      </c>
      <c r="AJ48" s="487">
        <f>SUMIFS('GSTR-2A'!$L$6:$L$10000,'GSTR-2A'!$B$6:$B$10000,$C$5:$C$4995,'GSTR-2A'!$A$6:$A$10000,$AH$3)</f>
        <v>0</v>
      </c>
      <c r="AK48" s="487">
        <f>SUMIFS('GSTR-2A'!$M$6:$M$10000,'GSTR-2A'!$B$6:$B$10000,$C$5:$C$4995,'GSTR-2A'!$A$6:$A$10000,$AH$3)</f>
        <v>0</v>
      </c>
      <c r="AL48" s="488">
        <f>SUMIFS('GSTR-2A'!$N$6:$N$10000,'GSTR-2A'!$B$6:$B$10000,$C$5:$C$4995,'GSTR-2A'!$A$6:$A$10000,$AH$3)</f>
        <v>0</v>
      </c>
      <c r="AM48" s="486">
        <f>SUMIFS('GSTR-2A'!$G$6:$G$10000,'GSTR-2A'!$B$6:$B$10000,$C$5:$C$4995,'GSTR-2A'!$A$6:$A$10000,$AM$3)</f>
        <v>0</v>
      </c>
      <c r="AN48" s="487">
        <f>SUMIFS('GSTR-2A'!$K$6:$K$10000,'GSTR-2A'!$B$6:$B$10000,$C$5:$C$4995,'GSTR-2A'!$A$6:$A$10000,$AM$3)</f>
        <v>0</v>
      </c>
      <c r="AO48" s="487">
        <f>SUMIFS('GSTR-2A'!$L$6:$L$10000,'GSTR-2A'!$B$6:$B$10000,$C$5:$C$4995,'GSTR-2A'!$A$6:$A$10000,$AM$3)</f>
        <v>0</v>
      </c>
      <c r="AP48" s="487">
        <f>SUMIFS('GSTR-2A'!$M$6:$M$10000,'GSTR-2A'!$B$6:$B$10000,$C$5:$C$4995,'GSTR-2A'!$A$6:$A$10000,$AM$3)</f>
        <v>0</v>
      </c>
      <c r="AQ48" s="488">
        <f>SUMIFS('GSTR-2A'!$N$6:$N$10000,'GSTR-2A'!$B$6:$B$10000,$C$5:$C$4995,'GSTR-2A'!$A$6:$A$10000,$AM$3)</f>
        <v>0</v>
      </c>
      <c r="AR48" s="486">
        <f>SUMIFS('GSTR-2A'!$G$6:$G$10000,'GSTR-2A'!$B$6:$B$10000,$C$5:$C$4995,'GSTR-2A'!$A$6:$A$10000,$AR$3)</f>
        <v>0</v>
      </c>
      <c r="AS48" s="487">
        <f>SUMIFS('GSTR-2A'!$K$6:$K$10000,'GSTR-2A'!$B$6:$B$10000,$C$5:$C$4995,'GSTR-2A'!$A$6:$A$10000,$AR$3)</f>
        <v>0</v>
      </c>
      <c r="AT48" s="487">
        <f>SUMIFS('GSTR-2A'!$L$6:$L$10000,'GSTR-2A'!$B$6:$B$10000,$C$5:$C$4995,'GSTR-2A'!$A$6:$A$10000,$AR$3)</f>
        <v>0</v>
      </c>
      <c r="AU48" s="487">
        <f>SUMIFS('GSTR-2A'!$M$6:$M$10000,'GSTR-2A'!$B$6:$B$10000,$C$5:$C$4995,'GSTR-2A'!$A$6:$A$10000,$AR$3)</f>
        <v>0</v>
      </c>
      <c r="AV48" s="488">
        <f>SUMIFS('GSTR-2A'!$N$6:$N$10000,'GSTR-2A'!$B$6:$B$10000,$C$5:$C$4995,'GSTR-2A'!$A$6:$A$10000,$AR$3)</f>
        <v>0</v>
      </c>
      <c r="AW48" s="486">
        <f>SUMIFS('GSTR-2A'!$G$6:$G$10000,'GSTR-2A'!$B$6:$B$10000,$C$5:$C$4995,'GSTR-2A'!$A$6:$A$10000,$AW$3)</f>
        <v>0</v>
      </c>
      <c r="AX48" s="487">
        <f>SUMIFS('GSTR-2A'!$K$6:$K$10000,'GSTR-2A'!$B$6:$B$10000,$C$5:$C$4995,'GSTR-2A'!$A$6:$A$10000,$AW$3)</f>
        <v>0</v>
      </c>
      <c r="AY48" s="487">
        <f>SUMIFS('GSTR-2A'!$L$6:$L$10000,'GSTR-2A'!$B$6:$B$10000,$C$5:$C$4995,'GSTR-2A'!$A$6:$A$10000,$AW$3)</f>
        <v>0</v>
      </c>
      <c r="AZ48" s="487">
        <f>SUMIFS('GSTR-2A'!$M$6:$M$10000,'GSTR-2A'!$B$6:$B$10000,$C$5:$C$4995,'GSTR-2A'!$A$6:$A$10000,$AW$3)</f>
        <v>0</v>
      </c>
      <c r="BA48" s="488">
        <f>SUMIFS('GSTR-2A'!$N$6:$N$10000,'GSTR-2A'!$B$6:$B$10000,$C$5:$C$4995,'GSTR-2A'!$A$6:$A$10000,$AW$3)</f>
        <v>0</v>
      </c>
      <c r="BB48" s="486">
        <f>SUMIFS('GSTR-2A'!$G$6:$G$10000,'GSTR-2A'!$B$6:$B$10000,$C$5:$C$4995,'GSTR-2A'!$A$6:$A$10000,$BB$3)</f>
        <v>0</v>
      </c>
      <c r="BC48" s="487">
        <f>SUMIFS('GSTR-2A'!$K$6:$K$10000,'GSTR-2A'!$B$6:$B$10000,$C$5:$C$4995,'GSTR-2A'!$A$6:$A$10000,$BB$3)</f>
        <v>0</v>
      </c>
      <c r="BD48" s="487">
        <f>SUMIFS('GSTR-2A'!$L$6:$L$10000,'GSTR-2A'!$B$6:$B$10000,$C$5:$C$4995,'GSTR-2A'!$A$6:$A$10000,$BB$3)</f>
        <v>0</v>
      </c>
      <c r="BE48" s="487">
        <f>SUMIFS('GSTR-2A'!$M$6:$M$10000,'GSTR-2A'!$B$6:$B$10000,$C$5:$C$4995,'GSTR-2A'!$A$6:$A$10000,$BB$3)</f>
        <v>0</v>
      </c>
      <c r="BF48" s="488">
        <f>SUMIFS('GSTR-2A'!$N$6:$N$10000,'GSTR-2A'!$B$6:$B$10000,$C$5:$C$4995,'GSTR-2A'!$A$6:$A$10000,$BB$3)</f>
        <v>0</v>
      </c>
      <c r="BG48" s="486">
        <f>SUMIFS('GSTR-2A'!$G$6:$G$10000,'GSTR-2A'!$B$6:$B$10000,$C$5:$C$4995,'GSTR-2A'!$A$6:$A$10000,$BG$3)</f>
        <v>0</v>
      </c>
      <c r="BH48" s="487">
        <f>SUMIFS('GSTR-2A'!$K$6:$K$10000,'GSTR-2A'!$B$6:$B$10000,$C$5:$C$4995,'GSTR-2A'!$A$6:$A$10000,$BG$3)</f>
        <v>0</v>
      </c>
      <c r="BI48" s="487">
        <f>SUMIFS('GSTR-2A'!$L$6:$L$10000,'GSTR-2A'!$B$6:$B$10000,$C$5:$C$4995,'GSTR-2A'!$A$6:$A$10000,$BG$3)</f>
        <v>0</v>
      </c>
      <c r="BJ48" s="487">
        <f>SUMIFS('GSTR-2A'!$M$6:$M$10000,'GSTR-2A'!$B$6:$B$10000,$C$5:$C$4995,'GSTR-2A'!$A$6:$A$10000,$BG$3)</f>
        <v>0</v>
      </c>
      <c r="BK48" s="488">
        <f>SUMIFS('GSTR-2A'!$N$6:$N$10000,'GSTR-2A'!$B$6:$B$10000,$C$5:$C$4995,'GSTR-2A'!$A$6:$A$10000,$BG$3)</f>
        <v>0</v>
      </c>
      <c r="BL48" s="72">
        <f t="shared" si="2"/>
        <v>0</v>
      </c>
      <c r="BM48" s="72">
        <f t="shared" si="3"/>
        <v>0</v>
      </c>
      <c r="BN48" s="72">
        <f t="shared" si="4"/>
        <v>0</v>
      </c>
      <c r="BO48" s="72">
        <f t="shared" si="5"/>
        <v>0</v>
      </c>
      <c r="BP48" s="72">
        <f t="shared" si="6"/>
        <v>0</v>
      </c>
    </row>
    <row r="49" spans="1:68" x14ac:dyDescent="0.2">
      <c r="A49" s="467">
        <v>45</v>
      </c>
      <c r="B49" s="468" t="s">
        <v>45</v>
      </c>
      <c r="C49" s="469" t="s">
        <v>46</v>
      </c>
      <c r="D49" s="72">
        <f>SUMIFS('GSTR-2A'!$G$6:$G$10000,'GSTR-2A'!$B$6:$B$10000,$C$5:$C$4995,'GSTR-2A'!$A$6:$A$10000,$D$3)</f>
        <v>0</v>
      </c>
      <c r="E49" s="72">
        <f>SUMIFS('GSTR-2A'!$K$6:$K$10000,'GSTR-2A'!$B$6:$B$10000,$C$5:$C$4995,'GSTR-2A'!$A$6:$A$10000,$D$3)</f>
        <v>0</v>
      </c>
      <c r="F49" s="72">
        <f>SUMIFS('GSTR-2A'!$L$6:$L$10000,'GSTR-2A'!$B$6:$B$10000,$C$5:$C$4995,'GSTR-2A'!$A$6:$A$10000,$D$3)</f>
        <v>0</v>
      </c>
      <c r="G49" s="72">
        <f>SUMIFS('GSTR-2A'!$M$6:$M$10000,'GSTR-2A'!$B$6:$B$10000,$C$5:$C$4995,'GSTR-2A'!$A$6:$A$10000,$D$3)</f>
        <v>0</v>
      </c>
      <c r="H49" s="72">
        <f>SUMIFS('GSTR-2A'!$N$6:$N$10000,'GSTR-2A'!$B$6:$B$10000,$C$5:$C$4995,'GSTR-2A'!$A$6:$A$10000,$D$3)</f>
        <v>0</v>
      </c>
      <c r="I49" s="486">
        <f>SUMIFS('GSTR-2A'!$G$6:$G$10000,'GSTR-2A'!$B$6:$B$10000,$C$5:$C$4995,'GSTR-2A'!$A$6:$A$10000,$I$3)</f>
        <v>0</v>
      </c>
      <c r="J49" s="487">
        <f>SUMIFS('GSTR-2A'!$K$6:$K$10000,'GSTR-2A'!$B$6:$B$10000,$C$5:$C$4995,'GSTR-2A'!$A$6:$A$10000,$I$3)</f>
        <v>0</v>
      </c>
      <c r="K49" s="487">
        <f>SUMIFS('GSTR-2A'!$L$6:$L$10000,'GSTR-2A'!$B$6:$B$10000,$C$5:$C$4995,'GSTR-2A'!$A$6:$A$10000,$I$3)</f>
        <v>0</v>
      </c>
      <c r="L49" s="487">
        <f>SUMIFS('GSTR-2A'!$M$6:$M$10000,'GSTR-2A'!$B$6:$B$10000,$C$5:$C$4995,'GSTR-2A'!$A$6:$A$10000,$I$3)</f>
        <v>0</v>
      </c>
      <c r="M49" s="488">
        <f>SUMIFS('GSTR-2A'!$N$6:$N$10000,'GSTR-2A'!$B$6:$B$10000,$C$5:$C$4995,'GSTR-2A'!$A$6:$A$10000,$I$3)</f>
        <v>0</v>
      </c>
      <c r="N49" s="486">
        <f>SUMIFS('GSTR-2A'!$G$6:$G$10000,'GSTR-2A'!$B$6:$B$10000,$C$5:$C$4995,'GSTR-2A'!$A$6:$A$10000,$N$3)</f>
        <v>0</v>
      </c>
      <c r="O49" s="487">
        <f>SUMIFS('GSTR-2A'!$K$6:$K$10000,'GSTR-2A'!$B$6:$B$10000,$C$5:$C$4995,'GSTR-2A'!$A$6:$A$10000,$N$3)</f>
        <v>0</v>
      </c>
      <c r="P49" s="487">
        <f>SUMIFS('GSTR-2A'!$L$6:$L$10000,'GSTR-2A'!$B$6:$B$10000,$C$5:$C$4995,'GSTR-2A'!$A$6:$A$10000,$N$3)</f>
        <v>0</v>
      </c>
      <c r="Q49" s="487">
        <f>SUMIFS('GSTR-2A'!$M$6:$M$10000,'GSTR-2A'!$B$6:$B$10000,$C$5:$C$4995,'GSTR-2A'!$A$6:$A$10000,$N$3)</f>
        <v>0</v>
      </c>
      <c r="R49" s="488">
        <f>SUMIFS('GSTR-2A'!$N$6:$N$10000,'GSTR-2A'!$B$6:$B$10000,$C$5:$C$4995,'GSTR-2A'!$A$6:$A$10000,$N$3)</f>
        <v>0</v>
      </c>
      <c r="S49" s="486">
        <f>SUMIFS('GSTR-2A'!$G$6:$G$10000,'GSTR-2A'!$B$6:$B$10000,$C$5:$C$4995,'GSTR-2A'!$A$6:$A$10000,$S$3)</f>
        <v>0</v>
      </c>
      <c r="T49" s="487">
        <f>SUMIFS('GSTR-2A'!$K$6:$K$10000,'GSTR-2A'!$B$6:$B$10000,$C$5:$C$4995,'GSTR-2A'!$A$6:$A$10000,$S$3)</f>
        <v>0</v>
      </c>
      <c r="U49" s="487">
        <f>SUMIFS('GSTR-2A'!$L$6:$L$10000,'GSTR-2A'!$B$6:$B$10000,$C$5:$C$4995,'GSTR-2A'!$A$6:$A$10000,$S$3)</f>
        <v>0</v>
      </c>
      <c r="V49" s="487">
        <f>SUMIFS('GSTR-2A'!$M$6:$M$10000,'GSTR-2A'!$B$6:$B$10000,$C$5:$C$4995,'GSTR-2A'!$A$6:$A$10000,$S$3)</f>
        <v>0</v>
      </c>
      <c r="W49" s="488">
        <f>SUMIFS('GSTR-2A'!$N$6:$N$10000,'GSTR-2A'!$B$6:$B$10000,$C$5:$C$4995,'GSTR-2A'!$A$6:$A$10000,$S$3)</f>
        <v>0</v>
      </c>
      <c r="X49" s="486">
        <f>SUMIFS('GSTR-2A'!$G$6:$G$10000,'GSTR-2A'!$B$6:$B$10000,$C$5:$C$4995,'GSTR-2A'!$A$6:$A$10000,$X$3)</f>
        <v>0</v>
      </c>
      <c r="Y49" s="487">
        <f>SUMIFS('GSTR-2A'!$K$6:$K$10000,'GSTR-2A'!$B$6:$B$10000,$C$5:$C$4995,'GSTR-2A'!$A$6:$A$10000,$X$3)</f>
        <v>0</v>
      </c>
      <c r="Z49" s="487">
        <f>SUMIFS('GSTR-2A'!$L$6:$L$10000,'GSTR-2A'!$B$6:$B$10000,$C$5:$C$4995,'GSTR-2A'!$A$6:$A$10000,$X$3)</f>
        <v>0</v>
      </c>
      <c r="AA49" s="487">
        <f>SUMIFS('GSTR-2A'!$M$6:$M$10000,'GSTR-2A'!$B$6:$B$10000,$C$5:$C$4995,'GSTR-2A'!$A$6:$A$10000,$X$3)</f>
        <v>0</v>
      </c>
      <c r="AB49" s="488">
        <f>SUMIFS('GSTR-2A'!$N$6:$N$10000,'GSTR-2A'!$B$6:$B$10000,$C$5:$C$4995,'GSTR-2A'!$A$6:$A$10000,$X$3)</f>
        <v>0</v>
      </c>
      <c r="AC49" s="486">
        <f>SUMIFS('GSTR-2A'!$G$6:$G$10000,'GSTR-2A'!$B$6:$B$10000,$C$5:$C$4995,'GSTR-2A'!$A$6:$A$10000,$AC$3)</f>
        <v>0</v>
      </c>
      <c r="AD49" s="487">
        <f>SUMIFS('GSTR-2A'!$K$6:$K$10000,'GSTR-2A'!$B$6:$B$10000,$C$5:$C$4995,'GSTR-2A'!$A$6:$A$10000,$AC$3)</f>
        <v>0</v>
      </c>
      <c r="AE49" s="487">
        <f>SUMIFS('GSTR-2A'!$L$6:$L$10000,'GSTR-2A'!$B$6:$B$10000,$C$5:$C$4995,'GSTR-2A'!$A$6:$A$10000,$AC$3)</f>
        <v>0</v>
      </c>
      <c r="AF49" s="487">
        <f>SUMIFS('GSTR-2A'!$M$6:$M$10000,'GSTR-2A'!$B$6:$B$10000,$C$5:$C$4995,'GSTR-2A'!$A$6:$A$10000,$AC$3)</f>
        <v>0</v>
      </c>
      <c r="AG49" s="488">
        <f>SUMIFS('GSTR-2A'!$N$6:$N$10000,'GSTR-2A'!$B$6:$B$10000,$C$5:$C$4995,'GSTR-2A'!$A$6:$A$10000,$AC$3)</f>
        <v>0</v>
      </c>
      <c r="AH49" s="486">
        <f>SUMIFS('GSTR-2A'!$G$6:$G$10000,'GSTR-2A'!$B$6:$B$10000,$C$5:$C$4995,'GSTR-2A'!$A$6:$A$10000,$AH$3)</f>
        <v>0</v>
      </c>
      <c r="AI49" s="487">
        <f>SUMIFS('GSTR-2A'!$K$6:$K$10000,'GSTR-2A'!$B$6:$B$10000,$C$5:$C$4995,'GSTR-2A'!$A$6:$A$10000,$AH$3)</f>
        <v>0</v>
      </c>
      <c r="AJ49" s="487">
        <f>SUMIFS('GSTR-2A'!$L$6:$L$10000,'GSTR-2A'!$B$6:$B$10000,$C$5:$C$4995,'GSTR-2A'!$A$6:$A$10000,$AH$3)</f>
        <v>0</v>
      </c>
      <c r="AK49" s="487">
        <f>SUMIFS('GSTR-2A'!$M$6:$M$10000,'GSTR-2A'!$B$6:$B$10000,$C$5:$C$4995,'GSTR-2A'!$A$6:$A$10000,$AH$3)</f>
        <v>0</v>
      </c>
      <c r="AL49" s="488">
        <f>SUMIFS('GSTR-2A'!$N$6:$N$10000,'GSTR-2A'!$B$6:$B$10000,$C$5:$C$4995,'GSTR-2A'!$A$6:$A$10000,$AH$3)</f>
        <v>0</v>
      </c>
      <c r="AM49" s="486">
        <f>SUMIFS('GSTR-2A'!$G$6:$G$10000,'GSTR-2A'!$B$6:$B$10000,$C$5:$C$4995,'GSTR-2A'!$A$6:$A$10000,$AM$3)</f>
        <v>0</v>
      </c>
      <c r="AN49" s="487">
        <f>SUMIFS('GSTR-2A'!$K$6:$K$10000,'GSTR-2A'!$B$6:$B$10000,$C$5:$C$4995,'GSTR-2A'!$A$6:$A$10000,$AM$3)</f>
        <v>0</v>
      </c>
      <c r="AO49" s="487">
        <f>SUMIFS('GSTR-2A'!$L$6:$L$10000,'GSTR-2A'!$B$6:$B$10000,$C$5:$C$4995,'GSTR-2A'!$A$6:$A$10000,$AM$3)</f>
        <v>0</v>
      </c>
      <c r="AP49" s="487">
        <f>SUMIFS('GSTR-2A'!$M$6:$M$10000,'GSTR-2A'!$B$6:$B$10000,$C$5:$C$4995,'GSTR-2A'!$A$6:$A$10000,$AM$3)</f>
        <v>0</v>
      </c>
      <c r="AQ49" s="488">
        <f>SUMIFS('GSTR-2A'!$N$6:$N$10000,'GSTR-2A'!$B$6:$B$10000,$C$5:$C$4995,'GSTR-2A'!$A$6:$A$10000,$AM$3)</f>
        <v>0</v>
      </c>
      <c r="AR49" s="486">
        <f>SUMIFS('GSTR-2A'!$G$6:$G$10000,'GSTR-2A'!$B$6:$B$10000,$C$5:$C$4995,'GSTR-2A'!$A$6:$A$10000,$AR$3)</f>
        <v>0</v>
      </c>
      <c r="AS49" s="487">
        <f>SUMIFS('GSTR-2A'!$K$6:$K$10000,'GSTR-2A'!$B$6:$B$10000,$C$5:$C$4995,'GSTR-2A'!$A$6:$A$10000,$AR$3)</f>
        <v>0</v>
      </c>
      <c r="AT49" s="487">
        <f>SUMIFS('GSTR-2A'!$L$6:$L$10000,'GSTR-2A'!$B$6:$B$10000,$C$5:$C$4995,'GSTR-2A'!$A$6:$A$10000,$AR$3)</f>
        <v>0</v>
      </c>
      <c r="AU49" s="487">
        <f>SUMIFS('GSTR-2A'!$M$6:$M$10000,'GSTR-2A'!$B$6:$B$10000,$C$5:$C$4995,'GSTR-2A'!$A$6:$A$10000,$AR$3)</f>
        <v>0</v>
      </c>
      <c r="AV49" s="488">
        <f>SUMIFS('GSTR-2A'!$N$6:$N$10000,'GSTR-2A'!$B$6:$B$10000,$C$5:$C$4995,'GSTR-2A'!$A$6:$A$10000,$AR$3)</f>
        <v>0</v>
      </c>
      <c r="AW49" s="486">
        <f>SUMIFS('GSTR-2A'!$G$6:$G$10000,'GSTR-2A'!$B$6:$B$10000,$C$5:$C$4995,'GSTR-2A'!$A$6:$A$10000,$AW$3)</f>
        <v>0</v>
      </c>
      <c r="AX49" s="487">
        <f>SUMIFS('GSTR-2A'!$K$6:$K$10000,'GSTR-2A'!$B$6:$B$10000,$C$5:$C$4995,'GSTR-2A'!$A$6:$A$10000,$AW$3)</f>
        <v>0</v>
      </c>
      <c r="AY49" s="487">
        <f>SUMIFS('GSTR-2A'!$L$6:$L$10000,'GSTR-2A'!$B$6:$B$10000,$C$5:$C$4995,'GSTR-2A'!$A$6:$A$10000,$AW$3)</f>
        <v>0</v>
      </c>
      <c r="AZ49" s="487">
        <f>SUMIFS('GSTR-2A'!$M$6:$M$10000,'GSTR-2A'!$B$6:$B$10000,$C$5:$C$4995,'GSTR-2A'!$A$6:$A$10000,$AW$3)</f>
        <v>0</v>
      </c>
      <c r="BA49" s="488">
        <f>SUMIFS('GSTR-2A'!$N$6:$N$10000,'GSTR-2A'!$B$6:$B$10000,$C$5:$C$4995,'GSTR-2A'!$A$6:$A$10000,$AW$3)</f>
        <v>0</v>
      </c>
      <c r="BB49" s="486">
        <f>SUMIFS('GSTR-2A'!$G$6:$G$10000,'GSTR-2A'!$B$6:$B$10000,$C$5:$C$4995,'GSTR-2A'!$A$6:$A$10000,$BB$3)</f>
        <v>0</v>
      </c>
      <c r="BC49" s="487">
        <f>SUMIFS('GSTR-2A'!$K$6:$K$10000,'GSTR-2A'!$B$6:$B$10000,$C$5:$C$4995,'GSTR-2A'!$A$6:$A$10000,$BB$3)</f>
        <v>0</v>
      </c>
      <c r="BD49" s="487">
        <f>SUMIFS('GSTR-2A'!$L$6:$L$10000,'GSTR-2A'!$B$6:$B$10000,$C$5:$C$4995,'GSTR-2A'!$A$6:$A$10000,$BB$3)</f>
        <v>0</v>
      </c>
      <c r="BE49" s="487">
        <f>SUMIFS('GSTR-2A'!$M$6:$M$10000,'GSTR-2A'!$B$6:$B$10000,$C$5:$C$4995,'GSTR-2A'!$A$6:$A$10000,$BB$3)</f>
        <v>0</v>
      </c>
      <c r="BF49" s="488">
        <f>SUMIFS('GSTR-2A'!$N$6:$N$10000,'GSTR-2A'!$B$6:$B$10000,$C$5:$C$4995,'GSTR-2A'!$A$6:$A$10000,$BB$3)</f>
        <v>0</v>
      </c>
      <c r="BG49" s="486">
        <f>SUMIFS('GSTR-2A'!$G$6:$G$10000,'GSTR-2A'!$B$6:$B$10000,$C$5:$C$4995,'GSTR-2A'!$A$6:$A$10000,$BG$3)</f>
        <v>0</v>
      </c>
      <c r="BH49" s="487">
        <f>SUMIFS('GSTR-2A'!$K$6:$K$10000,'GSTR-2A'!$B$6:$B$10000,$C$5:$C$4995,'GSTR-2A'!$A$6:$A$10000,$BG$3)</f>
        <v>0</v>
      </c>
      <c r="BI49" s="487">
        <f>SUMIFS('GSTR-2A'!$L$6:$L$10000,'GSTR-2A'!$B$6:$B$10000,$C$5:$C$4995,'GSTR-2A'!$A$6:$A$10000,$BG$3)</f>
        <v>0</v>
      </c>
      <c r="BJ49" s="487">
        <f>SUMIFS('GSTR-2A'!$M$6:$M$10000,'GSTR-2A'!$B$6:$B$10000,$C$5:$C$4995,'GSTR-2A'!$A$6:$A$10000,$BG$3)</f>
        <v>0</v>
      </c>
      <c r="BK49" s="488">
        <f>SUMIFS('GSTR-2A'!$N$6:$N$10000,'GSTR-2A'!$B$6:$B$10000,$C$5:$C$4995,'GSTR-2A'!$A$6:$A$10000,$BG$3)</f>
        <v>0</v>
      </c>
      <c r="BL49" s="72">
        <f t="shared" si="2"/>
        <v>0</v>
      </c>
      <c r="BM49" s="72">
        <f t="shared" si="3"/>
        <v>0</v>
      </c>
      <c r="BN49" s="72">
        <f t="shared" si="4"/>
        <v>0</v>
      </c>
      <c r="BO49" s="72">
        <f t="shared" si="5"/>
        <v>0</v>
      </c>
      <c r="BP49" s="72">
        <f t="shared" si="6"/>
        <v>0</v>
      </c>
    </row>
    <row r="50" spans="1:68" x14ac:dyDescent="0.2">
      <c r="A50" s="467">
        <v>46</v>
      </c>
      <c r="B50" s="468" t="s">
        <v>496</v>
      </c>
      <c r="C50" s="469" t="s">
        <v>497</v>
      </c>
      <c r="D50" s="72">
        <f>SUMIFS('GSTR-2A'!$G$6:$G$10000,'GSTR-2A'!$B$6:$B$10000,$C$5:$C$4995,'GSTR-2A'!$A$6:$A$10000,$D$3)</f>
        <v>7130</v>
      </c>
      <c r="E50" s="72">
        <f>SUMIFS('GSTR-2A'!$K$6:$K$10000,'GSTR-2A'!$B$6:$B$10000,$C$5:$C$4995,'GSTR-2A'!$A$6:$A$10000,$D$3)</f>
        <v>6042</v>
      </c>
      <c r="F50" s="72">
        <f>SUMIFS('GSTR-2A'!$L$6:$L$10000,'GSTR-2A'!$B$6:$B$10000,$C$5:$C$4995,'GSTR-2A'!$A$6:$A$10000,$D$3)</f>
        <v>0</v>
      </c>
      <c r="G50" s="72">
        <f>SUMIFS('GSTR-2A'!$M$6:$M$10000,'GSTR-2A'!$B$6:$B$10000,$C$5:$C$4995,'GSTR-2A'!$A$6:$A$10000,$D$3)</f>
        <v>543.78</v>
      </c>
      <c r="H50" s="72">
        <f>SUMIFS('GSTR-2A'!$N$6:$N$10000,'GSTR-2A'!$B$6:$B$10000,$C$5:$C$4995,'GSTR-2A'!$A$6:$A$10000,$D$3)</f>
        <v>543.78</v>
      </c>
      <c r="I50" s="486">
        <f>SUMIFS('GSTR-2A'!$G$6:$G$10000,'GSTR-2A'!$B$6:$B$10000,$C$5:$C$4995,'GSTR-2A'!$A$6:$A$10000,$I$3)</f>
        <v>0</v>
      </c>
      <c r="J50" s="487">
        <f>SUMIFS('GSTR-2A'!$K$6:$K$10000,'GSTR-2A'!$B$6:$B$10000,$C$5:$C$4995,'GSTR-2A'!$A$6:$A$10000,$I$3)</f>
        <v>0</v>
      </c>
      <c r="K50" s="487">
        <f>SUMIFS('GSTR-2A'!$L$6:$L$10000,'GSTR-2A'!$B$6:$B$10000,$C$5:$C$4995,'GSTR-2A'!$A$6:$A$10000,$I$3)</f>
        <v>0</v>
      </c>
      <c r="L50" s="487">
        <f>SUMIFS('GSTR-2A'!$M$6:$M$10000,'GSTR-2A'!$B$6:$B$10000,$C$5:$C$4995,'GSTR-2A'!$A$6:$A$10000,$I$3)</f>
        <v>0</v>
      </c>
      <c r="M50" s="488">
        <f>SUMIFS('GSTR-2A'!$N$6:$N$10000,'GSTR-2A'!$B$6:$B$10000,$C$5:$C$4995,'GSTR-2A'!$A$6:$A$10000,$I$3)</f>
        <v>0</v>
      </c>
      <c r="N50" s="486">
        <f>SUMIFS('GSTR-2A'!$G$6:$G$10000,'GSTR-2A'!$B$6:$B$10000,$C$5:$C$4995,'GSTR-2A'!$A$6:$A$10000,$N$3)</f>
        <v>0</v>
      </c>
      <c r="O50" s="487">
        <f>SUMIFS('GSTR-2A'!$K$6:$K$10000,'GSTR-2A'!$B$6:$B$10000,$C$5:$C$4995,'GSTR-2A'!$A$6:$A$10000,$N$3)</f>
        <v>0</v>
      </c>
      <c r="P50" s="487">
        <f>SUMIFS('GSTR-2A'!$L$6:$L$10000,'GSTR-2A'!$B$6:$B$10000,$C$5:$C$4995,'GSTR-2A'!$A$6:$A$10000,$N$3)</f>
        <v>0</v>
      </c>
      <c r="Q50" s="487">
        <f>SUMIFS('GSTR-2A'!$M$6:$M$10000,'GSTR-2A'!$B$6:$B$10000,$C$5:$C$4995,'GSTR-2A'!$A$6:$A$10000,$N$3)</f>
        <v>0</v>
      </c>
      <c r="R50" s="488">
        <f>SUMIFS('GSTR-2A'!$N$6:$N$10000,'GSTR-2A'!$B$6:$B$10000,$C$5:$C$4995,'GSTR-2A'!$A$6:$A$10000,$N$3)</f>
        <v>0</v>
      </c>
      <c r="S50" s="486">
        <f>SUMIFS('GSTR-2A'!$G$6:$G$10000,'GSTR-2A'!$B$6:$B$10000,$C$5:$C$4995,'GSTR-2A'!$A$6:$A$10000,$S$3)</f>
        <v>0</v>
      </c>
      <c r="T50" s="487">
        <f>SUMIFS('GSTR-2A'!$K$6:$K$10000,'GSTR-2A'!$B$6:$B$10000,$C$5:$C$4995,'GSTR-2A'!$A$6:$A$10000,$S$3)</f>
        <v>0</v>
      </c>
      <c r="U50" s="487">
        <f>SUMIFS('GSTR-2A'!$L$6:$L$10000,'GSTR-2A'!$B$6:$B$10000,$C$5:$C$4995,'GSTR-2A'!$A$6:$A$10000,$S$3)</f>
        <v>0</v>
      </c>
      <c r="V50" s="487">
        <f>SUMIFS('GSTR-2A'!$M$6:$M$10000,'GSTR-2A'!$B$6:$B$10000,$C$5:$C$4995,'GSTR-2A'!$A$6:$A$10000,$S$3)</f>
        <v>0</v>
      </c>
      <c r="W50" s="488">
        <f>SUMIFS('GSTR-2A'!$N$6:$N$10000,'GSTR-2A'!$B$6:$B$10000,$C$5:$C$4995,'GSTR-2A'!$A$6:$A$10000,$S$3)</f>
        <v>0</v>
      </c>
      <c r="X50" s="486">
        <f>SUMIFS('GSTR-2A'!$G$6:$G$10000,'GSTR-2A'!$B$6:$B$10000,$C$5:$C$4995,'GSTR-2A'!$A$6:$A$10000,$X$3)</f>
        <v>0</v>
      </c>
      <c r="Y50" s="487">
        <f>SUMIFS('GSTR-2A'!$K$6:$K$10000,'GSTR-2A'!$B$6:$B$10000,$C$5:$C$4995,'GSTR-2A'!$A$6:$A$10000,$X$3)</f>
        <v>0</v>
      </c>
      <c r="Z50" s="487">
        <f>SUMIFS('GSTR-2A'!$L$6:$L$10000,'GSTR-2A'!$B$6:$B$10000,$C$5:$C$4995,'GSTR-2A'!$A$6:$A$10000,$X$3)</f>
        <v>0</v>
      </c>
      <c r="AA50" s="487">
        <f>SUMIFS('GSTR-2A'!$M$6:$M$10000,'GSTR-2A'!$B$6:$B$10000,$C$5:$C$4995,'GSTR-2A'!$A$6:$A$10000,$X$3)</f>
        <v>0</v>
      </c>
      <c r="AB50" s="488">
        <f>SUMIFS('GSTR-2A'!$N$6:$N$10000,'GSTR-2A'!$B$6:$B$10000,$C$5:$C$4995,'GSTR-2A'!$A$6:$A$10000,$X$3)</f>
        <v>0</v>
      </c>
      <c r="AC50" s="486">
        <f>SUMIFS('GSTR-2A'!$G$6:$G$10000,'GSTR-2A'!$B$6:$B$10000,$C$5:$C$4995,'GSTR-2A'!$A$6:$A$10000,$AC$3)</f>
        <v>0</v>
      </c>
      <c r="AD50" s="487">
        <f>SUMIFS('GSTR-2A'!$K$6:$K$10000,'GSTR-2A'!$B$6:$B$10000,$C$5:$C$4995,'GSTR-2A'!$A$6:$A$10000,$AC$3)</f>
        <v>0</v>
      </c>
      <c r="AE50" s="487">
        <f>SUMIFS('GSTR-2A'!$L$6:$L$10000,'GSTR-2A'!$B$6:$B$10000,$C$5:$C$4995,'GSTR-2A'!$A$6:$A$10000,$AC$3)</f>
        <v>0</v>
      </c>
      <c r="AF50" s="487">
        <f>SUMIFS('GSTR-2A'!$M$6:$M$10000,'GSTR-2A'!$B$6:$B$10000,$C$5:$C$4995,'GSTR-2A'!$A$6:$A$10000,$AC$3)</f>
        <v>0</v>
      </c>
      <c r="AG50" s="488">
        <f>SUMIFS('GSTR-2A'!$N$6:$N$10000,'GSTR-2A'!$B$6:$B$10000,$C$5:$C$4995,'GSTR-2A'!$A$6:$A$10000,$AC$3)</f>
        <v>0</v>
      </c>
      <c r="AH50" s="486">
        <f>SUMIFS('GSTR-2A'!$G$6:$G$10000,'GSTR-2A'!$B$6:$B$10000,$C$5:$C$4995,'GSTR-2A'!$A$6:$A$10000,$AH$3)</f>
        <v>0</v>
      </c>
      <c r="AI50" s="487">
        <f>SUMIFS('GSTR-2A'!$K$6:$K$10000,'GSTR-2A'!$B$6:$B$10000,$C$5:$C$4995,'GSTR-2A'!$A$6:$A$10000,$AH$3)</f>
        <v>0</v>
      </c>
      <c r="AJ50" s="487">
        <f>SUMIFS('GSTR-2A'!$L$6:$L$10000,'GSTR-2A'!$B$6:$B$10000,$C$5:$C$4995,'GSTR-2A'!$A$6:$A$10000,$AH$3)</f>
        <v>0</v>
      </c>
      <c r="AK50" s="487">
        <f>SUMIFS('GSTR-2A'!$M$6:$M$10000,'GSTR-2A'!$B$6:$B$10000,$C$5:$C$4995,'GSTR-2A'!$A$6:$A$10000,$AH$3)</f>
        <v>0</v>
      </c>
      <c r="AL50" s="488">
        <f>SUMIFS('GSTR-2A'!$N$6:$N$10000,'GSTR-2A'!$B$6:$B$10000,$C$5:$C$4995,'GSTR-2A'!$A$6:$A$10000,$AH$3)</f>
        <v>0</v>
      </c>
      <c r="AM50" s="486">
        <f>SUMIFS('GSTR-2A'!$G$6:$G$10000,'GSTR-2A'!$B$6:$B$10000,$C$5:$C$4995,'GSTR-2A'!$A$6:$A$10000,$AM$3)</f>
        <v>0</v>
      </c>
      <c r="AN50" s="487">
        <f>SUMIFS('GSTR-2A'!$K$6:$K$10000,'GSTR-2A'!$B$6:$B$10000,$C$5:$C$4995,'GSTR-2A'!$A$6:$A$10000,$AM$3)</f>
        <v>0</v>
      </c>
      <c r="AO50" s="487">
        <f>SUMIFS('GSTR-2A'!$L$6:$L$10000,'GSTR-2A'!$B$6:$B$10000,$C$5:$C$4995,'GSTR-2A'!$A$6:$A$10000,$AM$3)</f>
        <v>0</v>
      </c>
      <c r="AP50" s="487">
        <f>SUMIFS('GSTR-2A'!$M$6:$M$10000,'GSTR-2A'!$B$6:$B$10000,$C$5:$C$4995,'GSTR-2A'!$A$6:$A$10000,$AM$3)</f>
        <v>0</v>
      </c>
      <c r="AQ50" s="488">
        <f>SUMIFS('GSTR-2A'!$N$6:$N$10000,'GSTR-2A'!$B$6:$B$10000,$C$5:$C$4995,'GSTR-2A'!$A$6:$A$10000,$AM$3)</f>
        <v>0</v>
      </c>
      <c r="AR50" s="486">
        <f>SUMIFS('GSTR-2A'!$G$6:$G$10000,'GSTR-2A'!$B$6:$B$10000,$C$5:$C$4995,'GSTR-2A'!$A$6:$A$10000,$AR$3)</f>
        <v>0</v>
      </c>
      <c r="AS50" s="487">
        <f>SUMIFS('GSTR-2A'!$K$6:$K$10000,'GSTR-2A'!$B$6:$B$10000,$C$5:$C$4995,'GSTR-2A'!$A$6:$A$10000,$AR$3)</f>
        <v>0</v>
      </c>
      <c r="AT50" s="487">
        <f>SUMIFS('GSTR-2A'!$L$6:$L$10000,'GSTR-2A'!$B$6:$B$10000,$C$5:$C$4995,'GSTR-2A'!$A$6:$A$10000,$AR$3)</f>
        <v>0</v>
      </c>
      <c r="AU50" s="487">
        <f>SUMIFS('GSTR-2A'!$M$6:$M$10000,'GSTR-2A'!$B$6:$B$10000,$C$5:$C$4995,'GSTR-2A'!$A$6:$A$10000,$AR$3)</f>
        <v>0</v>
      </c>
      <c r="AV50" s="488">
        <f>SUMIFS('GSTR-2A'!$N$6:$N$10000,'GSTR-2A'!$B$6:$B$10000,$C$5:$C$4995,'GSTR-2A'!$A$6:$A$10000,$AR$3)</f>
        <v>0</v>
      </c>
      <c r="AW50" s="486">
        <f>SUMIFS('GSTR-2A'!$G$6:$G$10000,'GSTR-2A'!$B$6:$B$10000,$C$5:$C$4995,'GSTR-2A'!$A$6:$A$10000,$AW$3)</f>
        <v>0</v>
      </c>
      <c r="AX50" s="487">
        <f>SUMIFS('GSTR-2A'!$K$6:$K$10000,'GSTR-2A'!$B$6:$B$10000,$C$5:$C$4995,'GSTR-2A'!$A$6:$A$10000,$AW$3)</f>
        <v>0</v>
      </c>
      <c r="AY50" s="487">
        <f>SUMIFS('GSTR-2A'!$L$6:$L$10000,'GSTR-2A'!$B$6:$B$10000,$C$5:$C$4995,'GSTR-2A'!$A$6:$A$10000,$AW$3)</f>
        <v>0</v>
      </c>
      <c r="AZ50" s="487">
        <f>SUMIFS('GSTR-2A'!$M$6:$M$10000,'GSTR-2A'!$B$6:$B$10000,$C$5:$C$4995,'GSTR-2A'!$A$6:$A$10000,$AW$3)</f>
        <v>0</v>
      </c>
      <c r="BA50" s="488">
        <f>SUMIFS('GSTR-2A'!$N$6:$N$10000,'GSTR-2A'!$B$6:$B$10000,$C$5:$C$4995,'GSTR-2A'!$A$6:$A$10000,$AW$3)</f>
        <v>0</v>
      </c>
      <c r="BB50" s="486">
        <f>SUMIFS('GSTR-2A'!$G$6:$G$10000,'GSTR-2A'!$B$6:$B$10000,$C$5:$C$4995,'GSTR-2A'!$A$6:$A$10000,$BB$3)</f>
        <v>0</v>
      </c>
      <c r="BC50" s="487">
        <f>SUMIFS('GSTR-2A'!$K$6:$K$10000,'GSTR-2A'!$B$6:$B$10000,$C$5:$C$4995,'GSTR-2A'!$A$6:$A$10000,$BB$3)</f>
        <v>0</v>
      </c>
      <c r="BD50" s="487">
        <f>SUMIFS('GSTR-2A'!$L$6:$L$10000,'GSTR-2A'!$B$6:$B$10000,$C$5:$C$4995,'GSTR-2A'!$A$6:$A$10000,$BB$3)</f>
        <v>0</v>
      </c>
      <c r="BE50" s="487">
        <f>SUMIFS('GSTR-2A'!$M$6:$M$10000,'GSTR-2A'!$B$6:$B$10000,$C$5:$C$4995,'GSTR-2A'!$A$6:$A$10000,$BB$3)</f>
        <v>0</v>
      </c>
      <c r="BF50" s="488">
        <f>SUMIFS('GSTR-2A'!$N$6:$N$10000,'GSTR-2A'!$B$6:$B$10000,$C$5:$C$4995,'GSTR-2A'!$A$6:$A$10000,$BB$3)</f>
        <v>0</v>
      </c>
      <c r="BG50" s="486">
        <f>SUMIFS('GSTR-2A'!$G$6:$G$10000,'GSTR-2A'!$B$6:$B$10000,$C$5:$C$4995,'GSTR-2A'!$A$6:$A$10000,$BG$3)</f>
        <v>0</v>
      </c>
      <c r="BH50" s="487">
        <f>SUMIFS('GSTR-2A'!$K$6:$K$10000,'GSTR-2A'!$B$6:$B$10000,$C$5:$C$4995,'GSTR-2A'!$A$6:$A$10000,$BG$3)</f>
        <v>0</v>
      </c>
      <c r="BI50" s="487">
        <f>SUMIFS('GSTR-2A'!$L$6:$L$10000,'GSTR-2A'!$B$6:$B$10000,$C$5:$C$4995,'GSTR-2A'!$A$6:$A$10000,$BG$3)</f>
        <v>0</v>
      </c>
      <c r="BJ50" s="487">
        <f>SUMIFS('GSTR-2A'!$M$6:$M$10000,'GSTR-2A'!$B$6:$B$10000,$C$5:$C$4995,'GSTR-2A'!$A$6:$A$10000,$BG$3)</f>
        <v>0</v>
      </c>
      <c r="BK50" s="488">
        <f>SUMIFS('GSTR-2A'!$N$6:$N$10000,'GSTR-2A'!$B$6:$B$10000,$C$5:$C$4995,'GSTR-2A'!$A$6:$A$10000,$BG$3)</f>
        <v>0</v>
      </c>
      <c r="BL50" s="72">
        <f t="shared" si="2"/>
        <v>7130</v>
      </c>
      <c r="BM50" s="72">
        <f t="shared" si="3"/>
        <v>6042</v>
      </c>
      <c r="BN50" s="72">
        <f t="shared" si="4"/>
        <v>0</v>
      </c>
      <c r="BO50" s="72">
        <f t="shared" si="5"/>
        <v>543.78</v>
      </c>
      <c r="BP50" s="72">
        <f t="shared" si="6"/>
        <v>543.78</v>
      </c>
    </row>
    <row r="51" spans="1:68" x14ac:dyDescent="0.2">
      <c r="A51" s="467">
        <v>47</v>
      </c>
      <c r="B51" s="468" t="s">
        <v>677</v>
      </c>
      <c r="C51" s="469" t="s">
        <v>678</v>
      </c>
      <c r="D51" s="72">
        <f>SUMIFS('GSTR-2A'!$G$6:$G$10000,'GSTR-2A'!$B$6:$B$10000,$C$5:$C$4995,'GSTR-2A'!$A$6:$A$10000,$D$3)</f>
        <v>0</v>
      </c>
      <c r="E51" s="72">
        <f>SUMIFS('GSTR-2A'!$K$6:$K$10000,'GSTR-2A'!$B$6:$B$10000,$C$5:$C$4995,'GSTR-2A'!$A$6:$A$10000,$D$3)</f>
        <v>0</v>
      </c>
      <c r="F51" s="72">
        <f>SUMIFS('GSTR-2A'!$L$6:$L$10000,'GSTR-2A'!$B$6:$B$10000,$C$5:$C$4995,'GSTR-2A'!$A$6:$A$10000,$D$3)</f>
        <v>0</v>
      </c>
      <c r="G51" s="72">
        <f>SUMIFS('GSTR-2A'!$M$6:$M$10000,'GSTR-2A'!$B$6:$B$10000,$C$5:$C$4995,'GSTR-2A'!$A$6:$A$10000,$D$3)</f>
        <v>0</v>
      </c>
      <c r="H51" s="72">
        <f>SUMIFS('GSTR-2A'!$N$6:$N$10000,'GSTR-2A'!$B$6:$B$10000,$C$5:$C$4995,'GSTR-2A'!$A$6:$A$10000,$D$3)</f>
        <v>0</v>
      </c>
      <c r="I51" s="486">
        <f>SUMIFS('GSTR-2A'!$G$6:$G$10000,'GSTR-2A'!$B$6:$B$10000,$C$5:$C$4995,'GSTR-2A'!$A$6:$A$10000,$I$3)</f>
        <v>28947.200000000001</v>
      </c>
      <c r="J51" s="487">
        <f>SUMIFS('GSTR-2A'!$K$6:$K$10000,'GSTR-2A'!$B$6:$B$10000,$C$5:$C$4995,'GSTR-2A'!$A$6:$A$10000,$I$3)</f>
        <v>22615</v>
      </c>
      <c r="K51" s="487">
        <f>SUMIFS('GSTR-2A'!$L$6:$L$10000,'GSTR-2A'!$B$6:$B$10000,$C$5:$C$4995,'GSTR-2A'!$A$6:$A$10000,$I$3)</f>
        <v>6332.2</v>
      </c>
      <c r="L51" s="487">
        <f>SUMIFS('GSTR-2A'!$M$6:$M$10000,'GSTR-2A'!$B$6:$B$10000,$C$5:$C$4995,'GSTR-2A'!$A$6:$A$10000,$I$3)</f>
        <v>0</v>
      </c>
      <c r="M51" s="488">
        <f>SUMIFS('GSTR-2A'!$N$6:$N$10000,'GSTR-2A'!$B$6:$B$10000,$C$5:$C$4995,'GSTR-2A'!$A$6:$A$10000,$I$3)</f>
        <v>0</v>
      </c>
      <c r="N51" s="486">
        <f>SUMIFS('GSTR-2A'!$G$6:$G$10000,'GSTR-2A'!$B$6:$B$10000,$C$5:$C$4995,'GSTR-2A'!$A$6:$A$10000,$N$3)</f>
        <v>0</v>
      </c>
      <c r="O51" s="487">
        <f>SUMIFS('GSTR-2A'!$K$6:$K$10000,'GSTR-2A'!$B$6:$B$10000,$C$5:$C$4995,'GSTR-2A'!$A$6:$A$10000,$N$3)</f>
        <v>0</v>
      </c>
      <c r="P51" s="487">
        <f>SUMIFS('GSTR-2A'!$L$6:$L$10000,'GSTR-2A'!$B$6:$B$10000,$C$5:$C$4995,'GSTR-2A'!$A$6:$A$10000,$N$3)</f>
        <v>0</v>
      </c>
      <c r="Q51" s="487">
        <f>SUMIFS('GSTR-2A'!$M$6:$M$10000,'GSTR-2A'!$B$6:$B$10000,$C$5:$C$4995,'GSTR-2A'!$A$6:$A$10000,$N$3)</f>
        <v>0</v>
      </c>
      <c r="R51" s="488">
        <f>SUMIFS('GSTR-2A'!$N$6:$N$10000,'GSTR-2A'!$B$6:$B$10000,$C$5:$C$4995,'GSTR-2A'!$A$6:$A$10000,$N$3)</f>
        <v>0</v>
      </c>
      <c r="S51" s="486">
        <f>SUMIFS('GSTR-2A'!$G$6:$G$10000,'GSTR-2A'!$B$6:$B$10000,$C$5:$C$4995,'GSTR-2A'!$A$6:$A$10000,$S$3)</f>
        <v>28947.200000000001</v>
      </c>
      <c r="T51" s="487">
        <f>SUMIFS('GSTR-2A'!$K$6:$K$10000,'GSTR-2A'!$B$6:$B$10000,$C$5:$C$4995,'GSTR-2A'!$A$6:$A$10000,$S$3)</f>
        <v>22615</v>
      </c>
      <c r="U51" s="487">
        <f>SUMIFS('GSTR-2A'!$L$6:$L$10000,'GSTR-2A'!$B$6:$B$10000,$C$5:$C$4995,'GSTR-2A'!$A$6:$A$10000,$S$3)</f>
        <v>6332.2</v>
      </c>
      <c r="V51" s="487">
        <f>SUMIFS('GSTR-2A'!$M$6:$M$10000,'GSTR-2A'!$B$6:$B$10000,$C$5:$C$4995,'GSTR-2A'!$A$6:$A$10000,$S$3)</f>
        <v>0</v>
      </c>
      <c r="W51" s="488">
        <f>SUMIFS('GSTR-2A'!$N$6:$N$10000,'GSTR-2A'!$B$6:$B$10000,$C$5:$C$4995,'GSTR-2A'!$A$6:$A$10000,$S$3)</f>
        <v>0</v>
      </c>
      <c r="X51" s="486">
        <f>SUMIFS('GSTR-2A'!$G$6:$G$10000,'GSTR-2A'!$B$6:$B$10000,$C$5:$C$4995,'GSTR-2A'!$A$6:$A$10000,$X$3)</f>
        <v>0</v>
      </c>
      <c r="Y51" s="487">
        <f>SUMIFS('GSTR-2A'!$K$6:$K$10000,'GSTR-2A'!$B$6:$B$10000,$C$5:$C$4995,'GSTR-2A'!$A$6:$A$10000,$X$3)</f>
        <v>0</v>
      </c>
      <c r="Z51" s="487">
        <f>SUMIFS('GSTR-2A'!$L$6:$L$10000,'GSTR-2A'!$B$6:$B$10000,$C$5:$C$4995,'GSTR-2A'!$A$6:$A$10000,$X$3)</f>
        <v>0</v>
      </c>
      <c r="AA51" s="487">
        <f>SUMIFS('GSTR-2A'!$M$6:$M$10000,'GSTR-2A'!$B$6:$B$10000,$C$5:$C$4995,'GSTR-2A'!$A$6:$A$10000,$X$3)</f>
        <v>0</v>
      </c>
      <c r="AB51" s="488">
        <f>SUMIFS('GSTR-2A'!$N$6:$N$10000,'GSTR-2A'!$B$6:$B$10000,$C$5:$C$4995,'GSTR-2A'!$A$6:$A$10000,$X$3)</f>
        <v>0</v>
      </c>
      <c r="AC51" s="486">
        <f>SUMIFS('GSTR-2A'!$G$6:$G$10000,'GSTR-2A'!$B$6:$B$10000,$C$5:$C$4995,'GSTR-2A'!$A$6:$A$10000,$AC$3)</f>
        <v>0</v>
      </c>
      <c r="AD51" s="487">
        <f>SUMIFS('GSTR-2A'!$K$6:$K$10000,'GSTR-2A'!$B$6:$B$10000,$C$5:$C$4995,'GSTR-2A'!$A$6:$A$10000,$AC$3)</f>
        <v>0</v>
      </c>
      <c r="AE51" s="487">
        <f>SUMIFS('GSTR-2A'!$L$6:$L$10000,'GSTR-2A'!$B$6:$B$10000,$C$5:$C$4995,'GSTR-2A'!$A$6:$A$10000,$AC$3)</f>
        <v>0</v>
      </c>
      <c r="AF51" s="487">
        <f>SUMIFS('GSTR-2A'!$M$6:$M$10000,'GSTR-2A'!$B$6:$B$10000,$C$5:$C$4995,'GSTR-2A'!$A$6:$A$10000,$AC$3)</f>
        <v>0</v>
      </c>
      <c r="AG51" s="488">
        <f>SUMIFS('GSTR-2A'!$N$6:$N$10000,'GSTR-2A'!$B$6:$B$10000,$C$5:$C$4995,'GSTR-2A'!$A$6:$A$10000,$AC$3)</f>
        <v>0</v>
      </c>
      <c r="AH51" s="486">
        <f>SUMIFS('GSTR-2A'!$G$6:$G$10000,'GSTR-2A'!$B$6:$B$10000,$C$5:$C$4995,'GSTR-2A'!$A$6:$A$10000,$AH$3)</f>
        <v>0</v>
      </c>
      <c r="AI51" s="487">
        <f>SUMIFS('GSTR-2A'!$K$6:$K$10000,'GSTR-2A'!$B$6:$B$10000,$C$5:$C$4995,'GSTR-2A'!$A$6:$A$10000,$AH$3)</f>
        <v>0</v>
      </c>
      <c r="AJ51" s="487">
        <f>SUMIFS('GSTR-2A'!$L$6:$L$10000,'GSTR-2A'!$B$6:$B$10000,$C$5:$C$4995,'GSTR-2A'!$A$6:$A$10000,$AH$3)</f>
        <v>0</v>
      </c>
      <c r="AK51" s="487">
        <f>SUMIFS('GSTR-2A'!$M$6:$M$10000,'GSTR-2A'!$B$6:$B$10000,$C$5:$C$4995,'GSTR-2A'!$A$6:$A$10000,$AH$3)</f>
        <v>0</v>
      </c>
      <c r="AL51" s="488">
        <f>SUMIFS('GSTR-2A'!$N$6:$N$10000,'GSTR-2A'!$B$6:$B$10000,$C$5:$C$4995,'GSTR-2A'!$A$6:$A$10000,$AH$3)</f>
        <v>0</v>
      </c>
      <c r="AM51" s="486">
        <f>SUMIFS('GSTR-2A'!$G$6:$G$10000,'GSTR-2A'!$B$6:$B$10000,$C$5:$C$4995,'GSTR-2A'!$A$6:$A$10000,$AM$3)</f>
        <v>0</v>
      </c>
      <c r="AN51" s="487">
        <f>SUMIFS('GSTR-2A'!$K$6:$K$10000,'GSTR-2A'!$B$6:$B$10000,$C$5:$C$4995,'GSTR-2A'!$A$6:$A$10000,$AM$3)</f>
        <v>0</v>
      </c>
      <c r="AO51" s="487">
        <f>SUMIFS('GSTR-2A'!$L$6:$L$10000,'GSTR-2A'!$B$6:$B$10000,$C$5:$C$4995,'GSTR-2A'!$A$6:$A$10000,$AM$3)</f>
        <v>0</v>
      </c>
      <c r="AP51" s="487">
        <f>SUMIFS('GSTR-2A'!$M$6:$M$10000,'GSTR-2A'!$B$6:$B$10000,$C$5:$C$4995,'GSTR-2A'!$A$6:$A$10000,$AM$3)</f>
        <v>0</v>
      </c>
      <c r="AQ51" s="488">
        <f>SUMIFS('GSTR-2A'!$N$6:$N$10000,'GSTR-2A'!$B$6:$B$10000,$C$5:$C$4995,'GSTR-2A'!$A$6:$A$10000,$AM$3)</f>
        <v>0</v>
      </c>
      <c r="AR51" s="486">
        <f>SUMIFS('GSTR-2A'!$G$6:$G$10000,'GSTR-2A'!$B$6:$B$10000,$C$5:$C$4995,'GSTR-2A'!$A$6:$A$10000,$AR$3)</f>
        <v>0</v>
      </c>
      <c r="AS51" s="487">
        <f>SUMIFS('GSTR-2A'!$K$6:$K$10000,'GSTR-2A'!$B$6:$B$10000,$C$5:$C$4995,'GSTR-2A'!$A$6:$A$10000,$AR$3)</f>
        <v>0</v>
      </c>
      <c r="AT51" s="487">
        <f>SUMIFS('GSTR-2A'!$L$6:$L$10000,'GSTR-2A'!$B$6:$B$10000,$C$5:$C$4995,'GSTR-2A'!$A$6:$A$10000,$AR$3)</f>
        <v>0</v>
      </c>
      <c r="AU51" s="487">
        <f>SUMIFS('GSTR-2A'!$M$6:$M$10000,'GSTR-2A'!$B$6:$B$10000,$C$5:$C$4995,'GSTR-2A'!$A$6:$A$10000,$AR$3)</f>
        <v>0</v>
      </c>
      <c r="AV51" s="488">
        <f>SUMIFS('GSTR-2A'!$N$6:$N$10000,'GSTR-2A'!$B$6:$B$10000,$C$5:$C$4995,'GSTR-2A'!$A$6:$A$10000,$AR$3)</f>
        <v>0</v>
      </c>
      <c r="AW51" s="486">
        <f>SUMIFS('GSTR-2A'!$G$6:$G$10000,'GSTR-2A'!$B$6:$B$10000,$C$5:$C$4995,'GSTR-2A'!$A$6:$A$10000,$AW$3)</f>
        <v>0</v>
      </c>
      <c r="AX51" s="487">
        <f>SUMIFS('GSTR-2A'!$K$6:$K$10000,'GSTR-2A'!$B$6:$B$10000,$C$5:$C$4995,'GSTR-2A'!$A$6:$A$10000,$AW$3)</f>
        <v>0</v>
      </c>
      <c r="AY51" s="487">
        <f>SUMIFS('GSTR-2A'!$L$6:$L$10000,'GSTR-2A'!$B$6:$B$10000,$C$5:$C$4995,'GSTR-2A'!$A$6:$A$10000,$AW$3)</f>
        <v>0</v>
      </c>
      <c r="AZ51" s="487">
        <f>SUMIFS('GSTR-2A'!$M$6:$M$10000,'GSTR-2A'!$B$6:$B$10000,$C$5:$C$4995,'GSTR-2A'!$A$6:$A$10000,$AW$3)</f>
        <v>0</v>
      </c>
      <c r="BA51" s="488">
        <f>SUMIFS('GSTR-2A'!$N$6:$N$10000,'GSTR-2A'!$B$6:$B$10000,$C$5:$C$4995,'GSTR-2A'!$A$6:$A$10000,$AW$3)</f>
        <v>0</v>
      </c>
      <c r="BB51" s="486">
        <f>SUMIFS('GSTR-2A'!$G$6:$G$10000,'GSTR-2A'!$B$6:$B$10000,$C$5:$C$4995,'GSTR-2A'!$A$6:$A$10000,$BB$3)</f>
        <v>0</v>
      </c>
      <c r="BC51" s="487">
        <f>SUMIFS('GSTR-2A'!$K$6:$K$10000,'GSTR-2A'!$B$6:$B$10000,$C$5:$C$4995,'GSTR-2A'!$A$6:$A$10000,$BB$3)</f>
        <v>0</v>
      </c>
      <c r="BD51" s="487">
        <f>SUMIFS('GSTR-2A'!$L$6:$L$10000,'GSTR-2A'!$B$6:$B$10000,$C$5:$C$4995,'GSTR-2A'!$A$6:$A$10000,$BB$3)</f>
        <v>0</v>
      </c>
      <c r="BE51" s="487">
        <f>SUMIFS('GSTR-2A'!$M$6:$M$10000,'GSTR-2A'!$B$6:$B$10000,$C$5:$C$4995,'GSTR-2A'!$A$6:$A$10000,$BB$3)</f>
        <v>0</v>
      </c>
      <c r="BF51" s="488">
        <f>SUMIFS('GSTR-2A'!$N$6:$N$10000,'GSTR-2A'!$B$6:$B$10000,$C$5:$C$4995,'GSTR-2A'!$A$6:$A$10000,$BB$3)</f>
        <v>0</v>
      </c>
      <c r="BG51" s="486">
        <f>SUMIFS('GSTR-2A'!$G$6:$G$10000,'GSTR-2A'!$B$6:$B$10000,$C$5:$C$4995,'GSTR-2A'!$A$6:$A$10000,$BG$3)</f>
        <v>0</v>
      </c>
      <c r="BH51" s="487">
        <f>SUMIFS('GSTR-2A'!$K$6:$K$10000,'GSTR-2A'!$B$6:$B$10000,$C$5:$C$4995,'GSTR-2A'!$A$6:$A$10000,$BG$3)</f>
        <v>0</v>
      </c>
      <c r="BI51" s="487">
        <f>SUMIFS('GSTR-2A'!$L$6:$L$10000,'GSTR-2A'!$B$6:$B$10000,$C$5:$C$4995,'GSTR-2A'!$A$6:$A$10000,$BG$3)</f>
        <v>0</v>
      </c>
      <c r="BJ51" s="487">
        <f>SUMIFS('GSTR-2A'!$M$6:$M$10000,'GSTR-2A'!$B$6:$B$10000,$C$5:$C$4995,'GSTR-2A'!$A$6:$A$10000,$BG$3)</f>
        <v>0</v>
      </c>
      <c r="BK51" s="488">
        <f>SUMIFS('GSTR-2A'!$N$6:$N$10000,'GSTR-2A'!$B$6:$B$10000,$C$5:$C$4995,'GSTR-2A'!$A$6:$A$10000,$BG$3)</f>
        <v>0</v>
      </c>
      <c r="BL51" s="72">
        <f t="shared" si="2"/>
        <v>57894.400000000001</v>
      </c>
      <c r="BM51" s="72">
        <f t="shared" si="3"/>
        <v>45230</v>
      </c>
      <c r="BN51" s="72">
        <f t="shared" si="4"/>
        <v>12664.4</v>
      </c>
      <c r="BO51" s="72">
        <f t="shared" si="5"/>
        <v>0</v>
      </c>
      <c r="BP51" s="72">
        <f t="shared" si="6"/>
        <v>0</v>
      </c>
    </row>
    <row r="52" spans="1:68" x14ac:dyDescent="0.2">
      <c r="A52" s="467">
        <v>48</v>
      </c>
      <c r="B52" s="468" t="s">
        <v>739</v>
      </c>
      <c r="C52" s="469" t="s">
        <v>740</v>
      </c>
      <c r="D52" s="72">
        <f>SUMIFS('GSTR-2A'!$G$6:$G$10000,'GSTR-2A'!$B$6:$B$10000,$C$5:$C$4995,'GSTR-2A'!$A$6:$A$10000,$D$3)</f>
        <v>0</v>
      </c>
      <c r="E52" s="72">
        <f>SUMIFS('GSTR-2A'!$K$6:$K$10000,'GSTR-2A'!$B$6:$B$10000,$C$5:$C$4995,'GSTR-2A'!$A$6:$A$10000,$D$3)</f>
        <v>0</v>
      </c>
      <c r="F52" s="72">
        <f>SUMIFS('GSTR-2A'!$L$6:$L$10000,'GSTR-2A'!$B$6:$B$10000,$C$5:$C$4995,'GSTR-2A'!$A$6:$A$10000,$D$3)</f>
        <v>0</v>
      </c>
      <c r="G52" s="72">
        <f>SUMIFS('GSTR-2A'!$M$6:$M$10000,'GSTR-2A'!$B$6:$B$10000,$C$5:$C$4995,'GSTR-2A'!$A$6:$A$10000,$D$3)</f>
        <v>0</v>
      </c>
      <c r="H52" s="72">
        <f>SUMIFS('GSTR-2A'!$N$6:$N$10000,'GSTR-2A'!$B$6:$B$10000,$C$5:$C$4995,'GSTR-2A'!$A$6:$A$10000,$D$3)</f>
        <v>0</v>
      </c>
      <c r="I52" s="486">
        <f>SUMIFS('GSTR-2A'!$G$6:$G$10000,'GSTR-2A'!$B$6:$B$10000,$C$5:$C$4995,'GSTR-2A'!$A$6:$A$10000,$I$3)</f>
        <v>1180</v>
      </c>
      <c r="J52" s="487">
        <f>SUMIFS('GSTR-2A'!$K$6:$K$10000,'GSTR-2A'!$B$6:$B$10000,$C$5:$C$4995,'GSTR-2A'!$A$6:$A$10000,$I$3)</f>
        <v>1000</v>
      </c>
      <c r="K52" s="487">
        <f>SUMIFS('GSTR-2A'!$L$6:$L$10000,'GSTR-2A'!$B$6:$B$10000,$C$5:$C$4995,'GSTR-2A'!$A$6:$A$10000,$I$3)</f>
        <v>0</v>
      </c>
      <c r="L52" s="487">
        <f>SUMIFS('GSTR-2A'!$M$6:$M$10000,'GSTR-2A'!$B$6:$B$10000,$C$5:$C$4995,'GSTR-2A'!$A$6:$A$10000,$I$3)</f>
        <v>90</v>
      </c>
      <c r="M52" s="488">
        <f>SUMIFS('GSTR-2A'!$N$6:$N$10000,'GSTR-2A'!$B$6:$B$10000,$C$5:$C$4995,'GSTR-2A'!$A$6:$A$10000,$I$3)</f>
        <v>90</v>
      </c>
      <c r="N52" s="486">
        <f>SUMIFS('GSTR-2A'!$G$6:$G$10000,'GSTR-2A'!$B$6:$B$10000,$C$5:$C$4995,'GSTR-2A'!$A$6:$A$10000,$N$3)</f>
        <v>29013</v>
      </c>
      <c r="O52" s="487">
        <f>SUMIFS('GSTR-2A'!$K$6:$K$10000,'GSTR-2A'!$B$6:$B$10000,$C$5:$C$4995,'GSTR-2A'!$A$6:$A$10000,$N$3)</f>
        <v>24587.34</v>
      </c>
      <c r="P52" s="487">
        <f>SUMIFS('GSTR-2A'!$L$6:$L$10000,'GSTR-2A'!$B$6:$B$10000,$C$5:$C$4995,'GSTR-2A'!$A$6:$A$10000,$N$3)</f>
        <v>0</v>
      </c>
      <c r="Q52" s="487">
        <f>SUMIFS('GSTR-2A'!$M$6:$M$10000,'GSTR-2A'!$B$6:$B$10000,$C$5:$C$4995,'GSTR-2A'!$A$6:$A$10000,$N$3)</f>
        <v>2212.86</v>
      </c>
      <c r="R52" s="488">
        <f>SUMIFS('GSTR-2A'!$N$6:$N$10000,'GSTR-2A'!$B$6:$B$10000,$C$5:$C$4995,'GSTR-2A'!$A$6:$A$10000,$N$3)</f>
        <v>2212.86</v>
      </c>
      <c r="S52" s="486">
        <f>SUMIFS('GSTR-2A'!$G$6:$G$10000,'GSTR-2A'!$B$6:$B$10000,$C$5:$C$4995,'GSTR-2A'!$A$6:$A$10000,$S$3)</f>
        <v>0</v>
      </c>
      <c r="T52" s="487">
        <f>SUMIFS('GSTR-2A'!$K$6:$K$10000,'GSTR-2A'!$B$6:$B$10000,$C$5:$C$4995,'GSTR-2A'!$A$6:$A$10000,$S$3)</f>
        <v>0</v>
      </c>
      <c r="U52" s="487">
        <f>SUMIFS('GSTR-2A'!$L$6:$L$10000,'GSTR-2A'!$B$6:$B$10000,$C$5:$C$4995,'GSTR-2A'!$A$6:$A$10000,$S$3)</f>
        <v>0</v>
      </c>
      <c r="V52" s="487">
        <f>SUMIFS('GSTR-2A'!$M$6:$M$10000,'GSTR-2A'!$B$6:$B$10000,$C$5:$C$4995,'GSTR-2A'!$A$6:$A$10000,$S$3)</f>
        <v>0</v>
      </c>
      <c r="W52" s="488">
        <f>SUMIFS('GSTR-2A'!$N$6:$N$10000,'GSTR-2A'!$B$6:$B$10000,$C$5:$C$4995,'GSTR-2A'!$A$6:$A$10000,$S$3)</f>
        <v>0</v>
      </c>
      <c r="X52" s="486">
        <f>SUMIFS('GSTR-2A'!$G$6:$G$10000,'GSTR-2A'!$B$6:$B$10000,$C$5:$C$4995,'GSTR-2A'!$A$6:$A$10000,$X$3)</f>
        <v>0</v>
      </c>
      <c r="Y52" s="487">
        <f>SUMIFS('GSTR-2A'!$K$6:$K$10000,'GSTR-2A'!$B$6:$B$10000,$C$5:$C$4995,'GSTR-2A'!$A$6:$A$10000,$X$3)</f>
        <v>0</v>
      </c>
      <c r="Z52" s="487">
        <f>SUMIFS('GSTR-2A'!$L$6:$L$10000,'GSTR-2A'!$B$6:$B$10000,$C$5:$C$4995,'GSTR-2A'!$A$6:$A$10000,$X$3)</f>
        <v>0</v>
      </c>
      <c r="AA52" s="487">
        <f>SUMIFS('GSTR-2A'!$M$6:$M$10000,'GSTR-2A'!$B$6:$B$10000,$C$5:$C$4995,'GSTR-2A'!$A$6:$A$10000,$X$3)</f>
        <v>0</v>
      </c>
      <c r="AB52" s="488">
        <f>SUMIFS('GSTR-2A'!$N$6:$N$10000,'GSTR-2A'!$B$6:$B$10000,$C$5:$C$4995,'GSTR-2A'!$A$6:$A$10000,$X$3)</f>
        <v>0</v>
      </c>
      <c r="AC52" s="486">
        <f>SUMIFS('GSTR-2A'!$G$6:$G$10000,'GSTR-2A'!$B$6:$B$10000,$C$5:$C$4995,'GSTR-2A'!$A$6:$A$10000,$AC$3)</f>
        <v>0</v>
      </c>
      <c r="AD52" s="487">
        <f>SUMIFS('GSTR-2A'!$K$6:$K$10000,'GSTR-2A'!$B$6:$B$10000,$C$5:$C$4995,'GSTR-2A'!$A$6:$A$10000,$AC$3)</f>
        <v>0</v>
      </c>
      <c r="AE52" s="487">
        <f>SUMIFS('GSTR-2A'!$L$6:$L$10000,'GSTR-2A'!$B$6:$B$10000,$C$5:$C$4995,'GSTR-2A'!$A$6:$A$10000,$AC$3)</f>
        <v>0</v>
      </c>
      <c r="AF52" s="487">
        <f>SUMIFS('GSTR-2A'!$M$6:$M$10000,'GSTR-2A'!$B$6:$B$10000,$C$5:$C$4995,'GSTR-2A'!$A$6:$A$10000,$AC$3)</f>
        <v>0</v>
      </c>
      <c r="AG52" s="488">
        <f>SUMIFS('GSTR-2A'!$N$6:$N$10000,'GSTR-2A'!$B$6:$B$10000,$C$5:$C$4995,'GSTR-2A'!$A$6:$A$10000,$AC$3)</f>
        <v>0</v>
      </c>
      <c r="AH52" s="486">
        <f>SUMIFS('GSTR-2A'!$G$6:$G$10000,'GSTR-2A'!$B$6:$B$10000,$C$5:$C$4995,'GSTR-2A'!$A$6:$A$10000,$AH$3)</f>
        <v>0</v>
      </c>
      <c r="AI52" s="487">
        <f>SUMIFS('GSTR-2A'!$K$6:$K$10000,'GSTR-2A'!$B$6:$B$10000,$C$5:$C$4995,'GSTR-2A'!$A$6:$A$10000,$AH$3)</f>
        <v>0</v>
      </c>
      <c r="AJ52" s="487">
        <f>SUMIFS('GSTR-2A'!$L$6:$L$10000,'GSTR-2A'!$B$6:$B$10000,$C$5:$C$4995,'GSTR-2A'!$A$6:$A$10000,$AH$3)</f>
        <v>0</v>
      </c>
      <c r="AK52" s="487">
        <f>SUMIFS('GSTR-2A'!$M$6:$M$10000,'GSTR-2A'!$B$6:$B$10000,$C$5:$C$4995,'GSTR-2A'!$A$6:$A$10000,$AH$3)</f>
        <v>0</v>
      </c>
      <c r="AL52" s="488">
        <f>SUMIFS('GSTR-2A'!$N$6:$N$10000,'GSTR-2A'!$B$6:$B$10000,$C$5:$C$4995,'GSTR-2A'!$A$6:$A$10000,$AH$3)</f>
        <v>0</v>
      </c>
      <c r="AM52" s="486">
        <f>SUMIFS('GSTR-2A'!$G$6:$G$10000,'GSTR-2A'!$B$6:$B$10000,$C$5:$C$4995,'GSTR-2A'!$A$6:$A$10000,$AM$3)</f>
        <v>0</v>
      </c>
      <c r="AN52" s="487">
        <f>SUMIFS('GSTR-2A'!$K$6:$K$10000,'GSTR-2A'!$B$6:$B$10000,$C$5:$C$4995,'GSTR-2A'!$A$6:$A$10000,$AM$3)</f>
        <v>0</v>
      </c>
      <c r="AO52" s="487">
        <f>SUMIFS('GSTR-2A'!$L$6:$L$10000,'GSTR-2A'!$B$6:$B$10000,$C$5:$C$4995,'GSTR-2A'!$A$6:$A$10000,$AM$3)</f>
        <v>0</v>
      </c>
      <c r="AP52" s="487">
        <f>SUMIFS('GSTR-2A'!$M$6:$M$10000,'GSTR-2A'!$B$6:$B$10000,$C$5:$C$4995,'GSTR-2A'!$A$6:$A$10000,$AM$3)</f>
        <v>0</v>
      </c>
      <c r="AQ52" s="488">
        <f>SUMIFS('GSTR-2A'!$N$6:$N$10000,'GSTR-2A'!$B$6:$B$10000,$C$5:$C$4995,'GSTR-2A'!$A$6:$A$10000,$AM$3)</f>
        <v>0</v>
      </c>
      <c r="AR52" s="486">
        <f>SUMIFS('GSTR-2A'!$G$6:$G$10000,'GSTR-2A'!$B$6:$B$10000,$C$5:$C$4995,'GSTR-2A'!$A$6:$A$10000,$AR$3)</f>
        <v>0</v>
      </c>
      <c r="AS52" s="487">
        <f>SUMIFS('GSTR-2A'!$K$6:$K$10000,'GSTR-2A'!$B$6:$B$10000,$C$5:$C$4995,'GSTR-2A'!$A$6:$A$10000,$AR$3)</f>
        <v>0</v>
      </c>
      <c r="AT52" s="487">
        <f>SUMIFS('GSTR-2A'!$L$6:$L$10000,'GSTR-2A'!$B$6:$B$10000,$C$5:$C$4995,'GSTR-2A'!$A$6:$A$10000,$AR$3)</f>
        <v>0</v>
      </c>
      <c r="AU52" s="487">
        <f>SUMIFS('GSTR-2A'!$M$6:$M$10000,'GSTR-2A'!$B$6:$B$10000,$C$5:$C$4995,'GSTR-2A'!$A$6:$A$10000,$AR$3)</f>
        <v>0</v>
      </c>
      <c r="AV52" s="488">
        <f>SUMIFS('GSTR-2A'!$N$6:$N$10000,'GSTR-2A'!$B$6:$B$10000,$C$5:$C$4995,'GSTR-2A'!$A$6:$A$10000,$AR$3)</f>
        <v>0</v>
      </c>
      <c r="AW52" s="486">
        <f>SUMIFS('GSTR-2A'!$G$6:$G$10000,'GSTR-2A'!$B$6:$B$10000,$C$5:$C$4995,'GSTR-2A'!$A$6:$A$10000,$AW$3)</f>
        <v>0</v>
      </c>
      <c r="AX52" s="487">
        <f>SUMIFS('GSTR-2A'!$K$6:$K$10000,'GSTR-2A'!$B$6:$B$10000,$C$5:$C$4995,'GSTR-2A'!$A$6:$A$10000,$AW$3)</f>
        <v>0</v>
      </c>
      <c r="AY52" s="487">
        <f>SUMIFS('GSTR-2A'!$L$6:$L$10000,'GSTR-2A'!$B$6:$B$10000,$C$5:$C$4995,'GSTR-2A'!$A$6:$A$10000,$AW$3)</f>
        <v>0</v>
      </c>
      <c r="AZ52" s="487">
        <f>SUMIFS('GSTR-2A'!$M$6:$M$10000,'GSTR-2A'!$B$6:$B$10000,$C$5:$C$4995,'GSTR-2A'!$A$6:$A$10000,$AW$3)</f>
        <v>0</v>
      </c>
      <c r="BA52" s="488">
        <f>SUMIFS('GSTR-2A'!$N$6:$N$10000,'GSTR-2A'!$B$6:$B$10000,$C$5:$C$4995,'GSTR-2A'!$A$6:$A$10000,$AW$3)</f>
        <v>0</v>
      </c>
      <c r="BB52" s="486">
        <f>SUMIFS('GSTR-2A'!$G$6:$G$10000,'GSTR-2A'!$B$6:$B$10000,$C$5:$C$4995,'GSTR-2A'!$A$6:$A$10000,$BB$3)</f>
        <v>0</v>
      </c>
      <c r="BC52" s="487">
        <f>SUMIFS('GSTR-2A'!$K$6:$K$10000,'GSTR-2A'!$B$6:$B$10000,$C$5:$C$4995,'GSTR-2A'!$A$6:$A$10000,$BB$3)</f>
        <v>0</v>
      </c>
      <c r="BD52" s="487">
        <f>SUMIFS('GSTR-2A'!$L$6:$L$10000,'GSTR-2A'!$B$6:$B$10000,$C$5:$C$4995,'GSTR-2A'!$A$6:$A$10000,$BB$3)</f>
        <v>0</v>
      </c>
      <c r="BE52" s="487">
        <f>SUMIFS('GSTR-2A'!$M$6:$M$10000,'GSTR-2A'!$B$6:$B$10000,$C$5:$C$4995,'GSTR-2A'!$A$6:$A$10000,$BB$3)</f>
        <v>0</v>
      </c>
      <c r="BF52" s="488">
        <f>SUMIFS('GSTR-2A'!$N$6:$N$10000,'GSTR-2A'!$B$6:$B$10000,$C$5:$C$4995,'GSTR-2A'!$A$6:$A$10000,$BB$3)</f>
        <v>0</v>
      </c>
      <c r="BG52" s="486">
        <f>SUMIFS('GSTR-2A'!$G$6:$G$10000,'GSTR-2A'!$B$6:$B$10000,$C$5:$C$4995,'GSTR-2A'!$A$6:$A$10000,$BG$3)</f>
        <v>0</v>
      </c>
      <c r="BH52" s="487">
        <f>SUMIFS('GSTR-2A'!$K$6:$K$10000,'GSTR-2A'!$B$6:$B$10000,$C$5:$C$4995,'GSTR-2A'!$A$6:$A$10000,$BG$3)</f>
        <v>0</v>
      </c>
      <c r="BI52" s="487">
        <f>SUMIFS('GSTR-2A'!$L$6:$L$10000,'GSTR-2A'!$B$6:$B$10000,$C$5:$C$4995,'GSTR-2A'!$A$6:$A$10000,$BG$3)</f>
        <v>0</v>
      </c>
      <c r="BJ52" s="487">
        <f>SUMIFS('GSTR-2A'!$M$6:$M$10000,'GSTR-2A'!$B$6:$B$10000,$C$5:$C$4995,'GSTR-2A'!$A$6:$A$10000,$BG$3)</f>
        <v>0</v>
      </c>
      <c r="BK52" s="488">
        <f>SUMIFS('GSTR-2A'!$N$6:$N$10000,'GSTR-2A'!$B$6:$B$10000,$C$5:$C$4995,'GSTR-2A'!$A$6:$A$10000,$BG$3)</f>
        <v>0</v>
      </c>
      <c r="BL52" s="72">
        <f t="shared" si="2"/>
        <v>30193</v>
      </c>
      <c r="BM52" s="72">
        <f t="shared" si="3"/>
        <v>25587.34</v>
      </c>
      <c r="BN52" s="72">
        <f t="shared" si="4"/>
        <v>0</v>
      </c>
      <c r="BO52" s="72">
        <f t="shared" si="5"/>
        <v>2302.86</v>
      </c>
      <c r="BP52" s="72">
        <f t="shared" si="6"/>
        <v>2302.86</v>
      </c>
    </row>
    <row r="53" spans="1:68" x14ac:dyDescent="0.2">
      <c r="A53" s="467">
        <v>49</v>
      </c>
      <c r="B53" s="468" t="s">
        <v>1110</v>
      </c>
      <c r="C53" s="469" t="s">
        <v>1111</v>
      </c>
      <c r="D53" s="72">
        <f>SUMIFS('GSTR-2A'!$G$6:$G$10000,'GSTR-2A'!$B$6:$B$10000,$C$5:$C$4995,'GSTR-2A'!$A$6:$A$10000,$D$3)</f>
        <v>0</v>
      </c>
      <c r="E53" s="72">
        <f>SUMIFS('GSTR-2A'!$K$6:$K$10000,'GSTR-2A'!$B$6:$B$10000,$C$5:$C$4995,'GSTR-2A'!$A$6:$A$10000,$D$3)</f>
        <v>0</v>
      </c>
      <c r="F53" s="72">
        <f>SUMIFS('GSTR-2A'!$L$6:$L$10000,'GSTR-2A'!$B$6:$B$10000,$C$5:$C$4995,'GSTR-2A'!$A$6:$A$10000,$D$3)</f>
        <v>0</v>
      </c>
      <c r="G53" s="72">
        <f>SUMIFS('GSTR-2A'!$M$6:$M$10000,'GSTR-2A'!$B$6:$B$10000,$C$5:$C$4995,'GSTR-2A'!$A$6:$A$10000,$D$3)</f>
        <v>0</v>
      </c>
      <c r="H53" s="72">
        <f>SUMIFS('GSTR-2A'!$N$6:$N$10000,'GSTR-2A'!$B$6:$B$10000,$C$5:$C$4995,'GSTR-2A'!$A$6:$A$10000,$D$3)</f>
        <v>0</v>
      </c>
      <c r="I53" s="486">
        <f>SUMIFS('GSTR-2A'!$G$6:$G$10000,'GSTR-2A'!$B$6:$B$10000,$C$5:$C$4995,'GSTR-2A'!$A$6:$A$10000,$I$3)</f>
        <v>0</v>
      </c>
      <c r="J53" s="487">
        <f>SUMIFS('GSTR-2A'!$K$6:$K$10000,'GSTR-2A'!$B$6:$B$10000,$C$5:$C$4995,'GSTR-2A'!$A$6:$A$10000,$I$3)</f>
        <v>0</v>
      </c>
      <c r="K53" s="487">
        <f>SUMIFS('GSTR-2A'!$L$6:$L$10000,'GSTR-2A'!$B$6:$B$10000,$C$5:$C$4995,'GSTR-2A'!$A$6:$A$10000,$I$3)</f>
        <v>0</v>
      </c>
      <c r="L53" s="487">
        <f>SUMIFS('GSTR-2A'!$M$6:$M$10000,'GSTR-2A'!$B$6:$B$10000,$C$5:$C$4995,'GSTR-2A'!$A$6:$A$10000,$I$3)</f>
        <v>0</v>
      </c>
      <c r="M53" s="488">
        <f>SUMIFS('GSTR-2A'!$N$6:$N$10000,'GSTR-2A'!$B$6:$B$10000,$C$5:$C$4995,'GSTR-2A'!$A$6:$A$10000,$I$3)</f>
        <v>0</v>
      </c>
      <c r="N53" s="486">
        <f>SUMIFS('GSTR-2A'!$G$6:$G$10000,'GSTR-2A'!$B$6:$B$10000,$C$5:$C$4995,'GSTR-2A'!$A$6:$A$10000,$N$3)</f>
        <v>0</v>
      </c>
      <c r="O53" s="487">
        <f>SUMIFS('GSTR-2A'!$K$6:$K$10000,'GSTR-2A'!$B$6:$B$10000,$C$5:$C$4995,'GSTR-2A'!$A$6:$A$10000,$N$3)</f>
        <v>0</v>
      </c>
      <c r="P53" s="487">
        <f>SUMIFS('GSTR-2A'!$L$6:$L$10000,'GSTR-2A'!$B$6:$B$10000,$C$5:$C$4995,'GSTR-2A'!$A$6:$A$10000,$N$3)</f>
        <v>0</v>
      </c>
      <c r="Q53" s="487">
        <f>SUMIFS('GSTR-2A'!$M$6:$M$10000,'GSTR-2A'!$B$6:$B$10000,$C$5:$C$4995,'GSTR-2A'!$A$6:$A$10000,$N$3)</f>
        <v>0</v>
      </c>
      <c r="R53" s="488">
        <f>SUMIFS('GSTR-2A'!$N$6:$N$10000,'GSTR-2A'!$B$6:$B$10000,$C$5:$C$4995,'GSTR-2A'!$A$6:$A$10000,$N$3)</f>
        <v>0</v>
      </c>
      <c r="S53" s="486">
        <f>SUMIFS('GSTR-2A'!$G$6:$G$10000,'GSTR-2A'!$B$6:$B$10000,$C$5:$C$4995,'GSTR-2A'!$A$6:$A$10000,$S$3)</f>
        <v>0</v>
      </c>
      <c r="T53" s="487">
        <f>SUMIFS('GSTR-2A'!$K$6:$K$10000,'GSTR-2A'!$B$6:$B$10000,$C$5:$C$4995,'GSTR-2A'!$A$6:$A$10000,$S$3)</f>
        <v>0</v>
      </c>
      <c r="U53" s="487">
        <f>SUMIFS('GSTR-2A'!$L$6:$L$10000,'GSTR-2A'!$B$6:$B$10000,$C$5:$C$4995,'GSTR-2A'!$A$6:$A$10000,$S$3)</f>
        <v>0</v>
      </c>
      <c r="V53" s="487">
        <f>SUMIFS('GSTR-2A'!$M$6:$M$10000,'GSTR-2A'!$B$6:$B$10000,$C$5:$C$4995,'GSTR-2A'!$A$6:$A$10000,$S$3)</f>
        <v>0</v>
      </c>
      <c r="W53" s="488">
        <f>SUMIFS('GSTR-2A'!$N$6:$N$10000,'GSTR-2A'!$B$6:$B$10000,$C$5:$C$4995,'GSTR-2A'!$A$6:$A$10000,$S$3)</f>
        <v>0</v>
      </c>
      <c r="X53" s="486">
        <f>SUMIFS('GSTR-2A'!$G$6:$G$10000,'GSTR-2A'!$B$6:$B$10000,$C$5:$C$4995,'GSTR-2A'!$A$6:$A$10000,$X$3)</f>
        <v>0</v>
      </c>
      <c r="Y53" s="487">
        <f>SUMIFS('GSTR-2A'!$K$6:$K$10000,'GSTR-2A'!$B$6:$B$10000,$C$5:$C$4995,'GSTR-2A'!$A$6:$A$10000,$X$3)</f>
        <v>0</v>
      </c>
      <c r="Z53" s="487">
        <f>SUMIFS('GSTR-2A'!$L$6:$L$10000,'GSTR-2A'!$B$6:$B$10000,$C$5:$C$4995,'GSTR-2A'!$A$6:$A$10000,$X$3)</f>
        <v>0</v>
      </c>
      <c r="AA53" s="487">
        <f>SUMIFS('GSTR-2A'!$M$6:$M$10000,'GSTR-2A'!$B$6:$B$10000,$C$5:$C$4995,'GSTR-2A'!$A$6:$A$10000,$X$3)</f>
        <v>0</v>
      </c>
      <c r="AB53" s="488">
        <f>SUMIFS('GSTR-2A'!$N$6:$N$10000,'GSTR-2A'!$B$6:$B$10000,$C$5:$C$4995,'GSTR-2A'!$A$6:$A$10000,$X$3)</f>
        <v>0</v>
      </c>
      <c r="AC53" s="486">
        <f>SUMIFS('GSTR-2A'!$G$6:$G$10000,'GSTR-2A'!$B$6:$B$10000,$C$5:$C$4995,'GSTR-2A'!$A$6:$A$10000,$AC$3)</f>
        <v>0</v>
      </c>
      <c r="AD53" s="487">
        <f>SUMIFS('GSTR-2A'!$K$6:$K$10000,'GSTR-2A'!$B$6:$B$10000,$C$5:$C$4995,'GSTR-2A'!$A$6:$A$10000,$AC$3)</f>
        <v>0</v>
      </c>
      <c r="AE53" s="487">
        <f>SUMIFS('GSTR-2A'!$L$6:$L$10000,'GSTR-2A'!$B$6:$B$10000,$C$5:$C$4995,'GSTR-2A'!$A$6:$A$10000,$AC$3)</f>
        <v>0</v>
      </c>
      <c r="AF53" s="487">
        <f>SUMIFS('GSTR-2A'!$M$6:$M$10000,'GSTR-2A'!$B$6:$B$10000,$C$5:$C$4995,'GSTR-2A'!$A$6:$A$10000,$AC$3)</f>
        <v>0</v>
      </c>
      <c r="AG53" s="488">
        <f>SUMIFS('GSTR-2A'!$N$6:$N$10000,'GSTR-2A'!$B$6:$B$10000,$C$5:$C$4995,'GSTR-2A'!$A$6:$A$10000,$AC$3)</f>
        <v>0</v>
      </c>
      <c r="AH53" s="486">
        <f>SUMIFS('GSTR-2A'!$G$6:$G$10000,'GSTR-2A'!$B$6:$B$10000,$C$5:$C$4995,'GSTR-2A'!$A$6:$A$10000,$AH$3)</f>
        <v>0</v>
      </c>
      <c r="AI53" s="487">
        <f>SUMIFS('GSTR-2A'!$K$6:$K$10000,'GSTR-2A'!$B$6:$B$10000,$C$5:$C$4995,'GSTR-2A'!$A$6:$A$10000,$AH$3)</f>
        <v>0</v>
      </c>
      <c r="AJ53" s="487">
        <f>SUMIFS('GSTR-2A'!$L$6:$L$10000,'GSTR-2A'!$B$6:$B$10000,$C$5:$C$4995,'GSTR-2A'!$A$6:$A$10000,$AH$3)</f>
        <v>0</v>
      </c>
      <c r="AK53" s="487">
        <f>SUMIFS('GSTR-2A'!$M$6:$M$10000,'GSTR-2A'!$B$6:$B$10000,$C$5:$C$4995,'GSTR-2A'!$A$6:$A$10000,$AH$3)</f>
        <v>0</v>
      </c>
      <c r="AL53" s="488">
        <f>SUMIFS('GSTR-2A'!$N$6:$N$10000,'GSTR-2A'!$B$6:$B$10000,$C$5:$C$4995,'GSTR-2A'!$A$6:$A$10000,$AH$3)</f>
        <v>0</v>
      </c>
      <c r="AM53" s="486">
        <f>SUMIFS('GSTR-2A'!$G$6:$G$10000,'GSTR-2A'!$B$6:$B$10000,$C$5:$C$4995,'GSTR-2A'!$A$6:$A$10000,$AM$3)</f>
        <v>0</v>
      </c>
      <c r="AN53" s="487">
        <f>SUMIFS('GSTR-2A'!$K$6:$K$10000,'GSTR-2A'!$B$6:$B$10000,$C$5:$C$4995,'GSTR-2A'!$A$6:$A$10000,$AM$3)</f>
        <v>0</v>
      </c>
      <c r="AO53" s="487">
        <f>SUMIFS('GSTR-2A'!$L$6:$L$10000,'GSTR-2A'!$B$6:$B$10000,$C$5:$C$4995,'GSTR-2A'!$A$6:$A$10000,$AM$3)</f>
        <v>0</v>
      </c>
      <c r="AP53" s="487">
        <f>SUMIFS('GSTR-2A'!$M$6:$M$10000,'GSTR-2A'!$B$6:$B$10000,$C$5:$C$4995,'GSTR-2A'!$A$6:$A$10000,$AM$3)</f>
        <v>0</v>
      </c>
      <c r="AQ53" s="488">
        <f>SUMIFS('GSTR-2A'!$N$6:$N$10000,'GSTR-2A'!$B$6:$B$10000,$C$5:$C$4995,'GSTR-2A'!$A$6:$A$10000,$AM$3)</f>
        <v>0</v>
      </c>
      <c r="AR53" s="486">
        <f>SUMIFS('GSTR-2A'!$G$6:$G$10000,'GSTR-2A'!$B$6:$B$10000,$C$5:$C$4995,'GSTR-2A'!$A$6:$A$10000,$AR$3)</f>
        <v>0</v>
      </c>
      <c r="AS53" s="487">
        <f>SUMIFS('GSTR-2A'!$K$6:$K$10000,'GSTR-2A'!$B$6:$B$10000,$C$5:$C$4995,'GSTR-2A'!$A$6:$A$10000,$AR$3)</f>
        <v>0</v>
      </c>
      <c r="AT53" s="487">
        <f>SUMIFS('GSTR-2A'!$L$6:$L$10000,'GSTR-2A'!$B$6:$B$10000,$C$5:$C$4995,'GSTR-2A'!$A$6:$A$10000,$AR$3)</f>
        <v>0</v>
      </c>
      <c r="AU53" s="487">
        <f>SUMIFS('GSTR-2A'!$M$6:$M$10000,'GSTR-2A'!$B$6:$B$10000,$C$5:$C$4995,'GSTR-2A'!$A$6:$A$10000,$AR$3)</f>
        <v>0</v>
      </c>
      <c r="AV53" s="488">
        <f>SUMIFS('GSTR-2A'!$N$6:$N$10000,'GSTR-2A'!$B$6:$B$10000,$C$5:$C$4995,'GSTR-2A'!$A$6:$A$10000,$AR$3)</f>
        <v>0</v>
      </c>
      <c r="AW53" s="486">
        <f>SUMIFS('GSTR-2A'!$G$6:$G$10000,'GSTR-2A'!$B$6:$B$10000,$C$5:$C$4995,'GSTR-2A'!$A$6:$A$10000,$AW$3)</f>
        <v>0</v>
      </c>
      <c r="AX53" s="487">
        <f>SUMIFS('GSTR-2A'!$K$6:$K$10000,'GSTR-2A'!$B$6:$B$10000,$C$5:$C$4995,'GSTR-2A'!$A$6:$A$10000,$AW$3)</f>
        <v>0</v>
      </c>
      <c r="AY53" s="487">
        <f>SUMIFS('GSTR-2A'!$L$6:$L$10000,'GSTR-2A'!$B$6:$B$10000,$C$5:$C$4995,'GSTR-2A'!$A$6:$A$10000,$AW$3)</f>
        <v>0</v>
      </c>
      <c r="AZ53" s="487">
        <f>SUMIFS('GSTR-2A'!$M$6:$M$10000,'GSTR-2A'!$B$6:$B$10000,$C$5:$C$4995,'GSTR-2A'!$A$6:$A$10000,$AW$3)</f>
        <v>0</v>
      </c>
      <c r="BA53" s="488">
        <f>SUMIFS('GSTR-2A'!$N$6:$N$10000,'GSTR-2A'!$B$6:$B$10000,$C$5:$C$4995,'GSTR-2A'!$A$6:$A$10000,$AW$3)</f>
        <v>0</v>
      </c>
      <c r="BB53" s="486">
        <f>SUMIFS('GSTR-2A'!$G$6:$G$10000,'GSTR-2A'!$B$6:$B$10000,$C$5:$C$4995,'GSTR-2A'!$A$6:$A$10000,$BB$3)</f>
        <v>0</v>
      </c>
      <c r="BC53" s="487">
        <f>SUMIFS('GSTR-2A'!$K$6:$K$10000,'GSTR-2A'!$B$6:$B$10000,$C$5:$C$4995,'GSTR-2A'!$A$6:$A$10000,$BB$3)</f>
        <v>0</v>
      </c>
      <c r="BD53" s="487">
        <f>SUMIFS('GSTR-2A'!$L$6:$L$10000,'GSTR-2A'!$B$6:$B$10000,$C$5:$C$4995,'GSTR-2A'!$A$6:$A$10000,$BB$3)</f>
        <v>0</v>
      </c>
      <c r="BE53" s="487">
        <f>SUMIFS('GSTR-2A'!$M$6:$M$10000,'GSTR-2A'!$B$6:$B$10000,$C$5:$C$4995,'GSTR-2A'!$A$6:$A$10000,$BB$3)</f>
        <v>0</v>
      </c>
      <c r="BF53" s="488">
        <f>SUMIFS('GSTR-2A'!$N$6:$N$10000,'GSTR-2A'!$B$6:$B$10000,$C$5:$C$4995,'GSTR-2A'!$A$6:$A$10000,$BB$3)</f>
        <v>0</v>
      </c>
      <c r="BG53" s="486">
        <f>SUMIFS('GSTR-2A'!$G$6:$G$10000,'GSTR-2A'!$B$6:$B$10000,$C$5:$C$4995,'GSTR-2A'!$A$6:$A$10000,$BG$3)</f>
        <v>0</v>
      </c>
      <c r="BH53" s="487">
        <f>SUMIFS('GSTR-2A'!$K$6:$K$10000,'GSTR-2A'!$B$6:$B$10000,$C$5:$C$4995,'GSTR-2A'!$A$6:$A$10000,$BG$3)</f>
        <v>0</v>
      </c>
      <c r="BI53" s="487">
        <f>SUMIFS('GSTR-2A'!$L$6:$L$10000,'GSTR-2A'!$B$6:$B$10000,$C$5:$C$4995,'GSTR-2A'!$A$6:$A$10000,$BG$3)</f>
        <v>0</v>
      </c>
      <c r="BJ53" s="487">
        <f>SUMIFS('GSTR-2A'!$M$6:$M$10000,'GSTR-2A'!$B$6:$B$10000,$C$5:$C$4995,'GSTR-2A'!$A$6:$A$10000,$BG$3)</f>
        <v>0</v>
      </c>
      <c r="BK53" s="488">
        <f>SUMIFS('GSTR-2A'!$N$6:$N$10000,'GSTR-2A'!$B$6:$B$10000,$C$5:$C$4995,'GSTR-2A'!$A$6:$A$10000,$BG$3)</f>
        <v>0</v>
      </c>
      <c r="BL53" s="72">
        <f t="shared" si="2"/>
        <v>0</v>
      </c>
      <c r="BM53" s="72">
        <f t="shared" si="3"/>
        <v>0</v>
      </c>
      <c r="BN53" s="72">
        <f t="shared" si="4"/>
        <v>0</v>
      </c>
      <c r="BO53" s="72">
        <f t="shared" si="5"/>
        <v>0</v>
      </c>
      <c r="BP53" s="72">
        <f t="shared" si="6"/>
        <v>0</v>
      </c>
    </row>
    <row r="54" spans="1:68" x14ac:dyDescent="0.2">
      <c r="A54" s="467">
        <v>50</v>
      </c>
      <c r="B54" s="475" t="s">
        <v>1112</v>
      </c>
      <c r="C54" s="468" t="s">
        <v>1113</v>
      </c>
      <c r="D54" s="72">
        <f>SUMIFS('GSTR-2A'!$G$6:$G$10000,'GSTR-2A'!$B$6:$B$10000,$C$5:$C$4995,'GSTR-2A'!$A$6:$A$10000,$D$3)</f>
        <v>0</v>
      </c>
      <c r="E54" s="72">
        <f>SUMIFS('GSTR-2A'!$K$6:$K$10000,'GSTR-2A'!$B$6:$B$10000,$C$5:$C$4995,'GSTR-2A'!$A$6:$A$10000,$D$3)</f>
        <v>0</v>
      </c>
      <c r="F54" s="72">
        <f>SUMIFS('GSTR-2A'!$L$6:$L$10000,'GSTR-2A'!$B$6:$B$10000,$C$5:$C$4995,'GSTR-2A'!$A$6:$A$10000,$D$3)</f>
        <v>0</v>
      </c>
      <c r="G54" s="72">
        <f>SUMIFS('GSTR-2A'!$M$6:$M$10000,'GSTR-2A'!$B$6:$B$10000,$C$5:$C$4995,'GSTR-2A'!$A$6:$A$10000,$D$3)</f>
        <v>0</v>
      </c>
      <c r="H54" s="72">
        <f>SUMIFS('GSTR-2A'!$N$6:$N$10000,'GSTR-2A'!$B$6:$B$10000,$C$5:$C$4995,'GSTR-2A'!$A$6:$A$10000,$D$3)</f>
        <v>0</v>
      </c>
      <c r="I54" s="486">
        <f>SUMIFS('GSTR-2A'!$G$6:$G$10000,'GSTR-2A'!$B$6:$B$10000,$C$5:$C$4995,'GSTR-2A'!$A$6:$A$10000,$I$3)</f>
        <v>0</v>
      </c>
      <c r="J54" s="487">
        <f>SUMIFS('GSTR-2A'!$K$6:$K$10000,'GSTR-2A'!$B$6:$B$10000,$C$5:$C$4995,'GSTR-2A'!$A$6:$A$10000,$I$3)</f>
        <v>0</v>
      </c>
      <c r="K54" s="487">
        <f>SUMIFS('GSTR-2A'!$L$6:$L$10000,'GSTR-2A'!$B$6:$B$10000,$C$5:$C$4995,'GSTR-2A'!$A$6:$A$10000,$I$3)</f>
        <v>0</v>
      </c>
      <c r="L54" s="487">
        <f>SUMIFS('GSTR-2A'!$M$6:$M$10000,'GSTR-2A'!$B$6:$B$10000,$C$5:$C$4995,'GSTR-2A'!$A$6:$A$10000,$I$3)</f>
        <v>0</v>
      </c>
      <c r="M54" s="488">
        <f>SUMIFS('GSTR-2A'!$N$6:$N$10000,'GSTR-2A'!$B$6:$B$10000,$C$5:$C$4995,'GSTR-2A'!$A$6:$A$10000,$I$3)</f>
        <v>0</v>
      </c>
      <c r="N54" s="486">
        <f>SUMIFS('GSTR-2A'!$G$6:$G$10000,'GSTR-2A'!$B$6:$B$10000,$C$5:$C$4995,'GSTR-2A'!$A$6:$A$10000,$N$3)</f>
        <v>0</v>
      </c>
      <c r="O54" s="487">
        <f>SUMIFS('GSTR-2A'!$K$6:$K$10000,'GSTR-2A'!$B$6:$B$10000,$C$5:$C$4995,'GSTR-2A'!$A$6:$A$10000,$N$3)</f>
        <v>0</v>
      </c>
      <c r="P54" s="487">
        <f>SUMIFS('GSTR-2A'!$L$6:$L$10000,'GSTR-2A'!$B$6:$B$10000,$C$5:$C$4995,'GSTR-2A'!$A$6:$A$10000,$N$3)</f>
        <v>0</v>
      </c>
      <c r="Q54" s="487">
        <f>SUMIFS('GSTR-2A'!$M$6:$M$10000,'GSTR-2A'!$B$6:$B$10000,$C$5:$C$4995,'GSTR-2A'!$A$6:$A$10000,$N$3)</f>
        <v>0</v>
      </c>
      <c r="R54" s="488">
        <f>SUMIFS('GSTR-2A'!$N$6:$N$10000,'GSTR-2A'!$B$6:$B$10000,$C$5:$C$4995,'GSTR-2A'!$A$6:$A$10000,$N$3)</f>
        <v>0</v>
      </c>
      <c r="S54" s="486">
        <f>SUMIFS('GSTR-2A'!$G$6:$G$10000,'GSTR-2A'!$B$6:$B$10000,$C$5:$C$4995,'GSTR-2A'!$A$6:$A$10000,$S$3)</f>
        <v>0</v>
      </c>
      <c r="T54" s="487">
        <f>SUMIFS('GSTR-2A'!$K$6:$K$10000,'GSTR-2A'!$B$6:$B$10000,$C$5:$C$4995,'GSTR-2A'!$A$6:$A$10000,$S$3)</f>
        <v>0</v>
      </c>
      <c r="U54" s="487">
        <f>SUMIFS('GSTR-2A'!$L$6:$L$10000,'GSTR-2A'!$B$6:$B$10000,$C$5:$C$4995,'GSTR-2A'!$A$6:$A$10000,$S$3)</f>
        <v>0</v>
      </c>
      <c r="V54" s="487">
        <f>SUMIFS('GSTR-2A'!$M$6:$M$10000,'GSTR-2A'!$B$6:$B$10000,$C$5:$C$4995,'GSTR-2A'!$A$6:$A$10000,$S$3)</f>
        <v>0</v>
      </c>
      <c r="W54" s="488">
        <f>SUMIFS('GSTR-2A'!$N$6:$N$10000,'GSTR-2A'!$B$6:$B$10000,$C$5:$C$4995,'GSTR-2A'!$A$6:$A$10000,$S$3)</f>
        <v>0</v>
      </c>
      <c r="X54" s="486">
        <f>SUMIFS('GSTR-2A'!$G$6:$G$10000,'GSTR-2A'!$B$6:$B$10000,$C$5:$C$4995,'GSTR-2A'!$A$6:$A$10000,$X$3)</f>
        <v>0</v>
      </c>
      <c r="Y54" s="487">
        <f>SUMIFS('GSTR-2A'!$K$6:$K$10000,'GSTR-2A'!$B$6:$B$10000,$C$5:$C$4995,'GSTR-2A'!$A$6:$A$10000,$X$3)</f>
        <v>0</v>
      </c>
      <c r="Z54" s="487">
        <f>SUMIFS('GSTR-2A'!$L$6:$L$10000,'GSTR-2A'!$B$6:$B$10000,$C$5:$C$4995,'GSTR-2A'!$A$6:$A$10000,$X$3)</f>
        <v>0</v>
      </c>
      <c r="AA54" s="487">
        <f>SUMIFS('GSTR-2A'!$M$6:$M$10000,'GSTR-2A'!$B$6:$B$10000,$C$5:$C$4995,'GSTR-2A'!$A$6:$A$10000,$X$3)</f>
        <v>0</v>
      </c>
      <c r="AB54" s="488">
        <f>SUMIFS('GSTR-2A'!$N$6:$N$10000,'GSTR-2A'!$B$6:$B$10000,$C$5:$C$4995,'GSTR-2A'!$A$6:$A$10000,$X$3)</f>
        <v>0</v>
      </c>
      <c r="AC54" s="486">
        <f>SUMIFS('GSTR-2A'!$G$6:$G$10000,'GSTR-2A'!$B$6:$B$10000,$C$5:$C$4995,'GSTR-2A'!$A$6:$A$10000,$AC$3)</f>
        <v>0</v>
      </c>
      <c r="AD54" s="487">
        <f>SUMIFS('GSTR-2A'!$K$6:$K$10000,'GSTR-2A'!$B$6:$B$10000,$C$5:$C$4995,'GSTR-2A'!$A$6:$A$10000,$AC$3)</f>
        <v>0</v>
      </c>
      <c r="AE54" s="487">
        <f>SUMIFS('GSTR-2A'!$L$6:$L$10000,'GSTR-2A'!$B$6:$B$10000,$C$5:$C$4995,'GSTR-2A'!$A$6:$A$10000,$AC$3)</f>
        <v>0</v>
      </c>
      <c r="AF54" s="487">
        <f>SUMIFS('GSTR-2A'!$M$6:$M$10000,'GSTR-2A'!$B$6:$B$10000,$C$5:$C$4995,'GSTR-2A'!$A$6:$A$10000,$AC$3)</f>
        <v>0</v>
      </c>
      <c r="AG54" s="488">
        <f>SUMIFS('GSTR-2A'!$N$6:$N$10000,'GSTR-2A'!$B$6:$B$10000,$C$5:$C$4995,'GSTR-2A'!$A$6:$A$10000,$AC$3)</f>
        <v>0</v>
      </c>
      <c r="AH54" s="486">
        <f>SUMIFS('GSTR-2A'!$G$6:$G$10000,'GSTR-2A'!$B$6:$B$10000,$C$5:$C$4995,'GSTR-2A'!$A$6:$A$10000,$AH$3)</f>
        <v>0</v>
      </c>
      <c r="AI54" s="487">
        <f>SUMIFS('GSTR-2A'!$K$6:$K$10000,'GSTR-2A'!$B$6:$B$10000,$C$5:$C$4995,'GSTR-2A'!$A$6:$A$10000,$AH$3)</f>
        <v>0</v>
      </c>
      <c r="AJ54" s="487">
        <f>SUMIFS('GSTR-2A'!$L$6:$L$10000,'GSTR-2A'!$B$6:$B$10000,$C$5:$C$4995,'GSTR-2A'!$A$6:$A$10000,$AH$3)</f>
        <v>0</v>
      </c>
      <c r="AK54" s="487">
        <f>SUMIFS('GSTR-2A'!$M$6:$M$10000,'GSTR-2A'!$B$6:$B$10000,$C$5:$C$4995,'GSTR-2A'!$A$6:$A$10000,$AH$3)</f>
        <v>0</v>
      </c>
      <c r="AL54" s="488">
        <f>SUMIFS('GSTR-2A'!$N$6:$N$10000,'GSTR-2A'!$B$6:$B$10000,$C$5:$C$4995,'GSTR-2A'!$A$6:$A$10000,$AH$3)</f>
        <v>0</v>
      </c>
      <c r="AM54" s="486">
        <f>SUMIFS('GSTR-2A'!$G$6:$G$10000,'GSTR-2A'!$B$6:$B$10000,$C$5:$C$4995,'GSTR-2A'!$A$6:$A$10000,$AM$3)</f>
        <v>0</v>
      </c>
      <c r="AN54" s="487">
        <f>SUMIFS('GSTR-2A'!$K$6:$K$10000,'GSTR-2A'!$B$6:$B$10000,$C$5:$C$4995,'GSTR-2A'!$A$6:$A$10000,$AM$3)</f>
        <v>0</v>
      </c>
      <c r="AO54" s="487">
        <f>SUMIFS('GSTR-2A'!$L$6:$L$10000,'GSTR-2A'!$B$6:$B$10000,$C$5:$C$4995,'GSTR-2A'!$A$6:$A$10000,$AM$3)</f>
        <v>0</v>
      </c>
      <c r="AP54" s="487">
        <f>SUMIFS('GSTR-2A'!$M$6:$M$10000,'GSTR-2A'!$B$6:$B$10000,$C$5:$C$4995,'GSTR-2A'!$A$6:$A$10000,$AM$3)</f>
        <v>0</v>
      </c>
      <c r="AQ54" s="488">
        <f>SUMIFS('GSTR-2A'!$N$6:$N$10000,'GSTR-2A'!$B$6:$B$10000,$C$5:$C$4995,'GSTR-2A'!$A$6:$A$10000,$AM$3)</f>
        <v>0</v>
      </c>
      <c r="AR54" s="486">
        <f>SUMIFS('GSTR-2A'!$G$6:$G$10000,'GSTR-2A'!$B$6:$B$10000,$C$5:$C$4995,'GSTR-2A'!$A$6:$A$10000,$AR$3)</f>
        <v>0</v>
      </c>
      <c r="AS54" s="487">
        <f>SUMIFS('GSTR-2A'!$K$6:$K$10000,'GSTR-2A'!$B$6:$B$10000,$C$5:$C$4995,'GSTR-2A'!$A$6:$A$10000,$AR$3)</f>
        <v>0</v>
      </c>
      <c r="AT54" s="487">
        <f>SUMIFS('GSTR-2A'!$L$6:$L$10000,'GSTR-2A'!$B$6:$B$10000,$C$5:$C$4995,'GSTR-2A'!$A$6:$A$10000,$AR$3)</f>
        <v>0</v>
      </c>
      <c r="AU54" s="487">
        <f>SUMIFS('GSTR-2A'!$M$6:$M$10000,'GSTR-2A'!$B$6:$B$10000,$C$5:$C$4995,'GSTR-2A'!$A$6:$A$10000,$AR$3)</f>
        <v>0</v>
      </c>
      <c r="AV54" s="488">
        <f>SUMIFS('GSTR-2A'!$N$6:$N$10000,'GSTR-2A'!$B$6:$B$10000,$C$5:$C$4995,'GSTR-2A'!$A$6:$A$10000,$AR$3)</f>
        <v>0</v>
      </c>
      <c r="AW54" s="486">
        <f>SUMIFS('GSTR-2A'!$G$6:$G$10000,'GSTR-2A'!$B$6:$B$10000,$C$5:$C$4995,'GSTR-2A'!$A$6:$A$10000,$AW$3)</f>
        <v>0</v>
      </c>
      <c r="AX54" s="487">
        <f>SUMIFS('GSTR-2A'!$K$6:$K$10000,'GSTR-2A'!$B$6:$B$10000,$C$5:$C$4995,'GSTR-2A'!$A$6:$A$10000,$AW$3)</f>
        <v>0</v>
      </c>
      <c r="AY54" s="487">
        <f>SUMIFS('GSTR-2A'!$L$6:$L$10000,'GSTR-2A'!$B$6:$B$10000,$C$5:$C$4995,'GSTR-2A'!$A$6:$A$10000,$AW$3)</f>
        <v>0</v>
      </c>
      <c r="AZ54" s="487">
        <f>SUMIFS('GSTR-2A'!$M$6:$M$10000,'GSTR-2A'!$B$6:$B$10000,$C$5:$C$4995,'GSTR-2A'!$A$6:$A$10000,$AW$3)</f>
        <v>0</v>
      </c>
      <c r="BA54" s="488">
        <f>SUMIFS('GSTR-2A'!$N$6:$N$10000,'GSTR-2A'!$B$6:$B$10000,$C$5:$C$4995,'GSTR-2A'!$A$6:$A$10000,$AW$3)</f>
        <v>0</v>
      </c>
      <c r="BB54" s="486">
        <f>SUMIFS('GSTR-2A'!$G$6:$G$10000,'GSTR-2A'!$B$6:$B$10000,$C$5:$C$4995,'GSTR-2A'!$A$6:$A$10000,$BB$3)</f>
        <v>0</v>
      </c>
      <c r="BC54" s="487">
        <f>SUMIFS('GSTR-2A'!$K$6:$K$10000,'GSTR-2A'!$B$6:$B$10000,$C$5:$C$4995,'GSTR-2A'!$A$6:$A$10000,$BB$3)</f>
        <v>0</v>
      </c>
      <c r="BD54" s="487">
        <f>SUMIFS('GSTR-2A'!$L$6:$L$10000,'GSTR-2A'!$B$6:$B$10000,$C$5:$C$4995,'GSTR-2A'!$A$6:$A$10000,$BB$3)</f>
        <v>0</v>
      </c>
      <c r="BE54" s="487">
        <f>SUMIFS('GSTR-2A'!$M$6:$M$10000,'GSTR-2A'!$B$6:$B$10000,$C$5:$C$4995,'GSTR-2A'!$A$6:$A$10000,$BB$3)</f>
        <v>0</v>
      </c>
      <c r="BF54" s="488">
        <f>SUMIFS('GSTR-2A'!$N$6:$N$10000,'GSTR-2A'!$B$6:$B$10000,$C$5:$C$4995,'GSTR-2A'!$A$6:$A$10000,$BB$3)</f>
        <v>0</v>
      </c>
      <c r="BG54" s="486">
        <f>SUMIFS('GSTR-2A'!$G$6:$G$10000,'GSTR-2A'!$B$6:$B$10000,$C$5:$C$4995,'GSTR-2A'!$A$6:$A$10000,$BG$3)</f>
        <v>0</v>
      </c>
      <c r="BH54" s="487">
        <f>SUMIFS('GSTR-2A'!$K$6:$K$10000,'GSTR-2A'!$B$6:$B$10000,$C$5:$C$4995,'GSTR-2A'!$A$6:$A$10000,$BG$3)</f>
        <v>0</v>
      </c>
      <c r="BI54" s="487">
        <f>SUMIFS('GSTR-2A'!$L$6:$L$10000,'GSTR-2A'!$B$6:$B$10000,$C$5:$C$4995,'GSTR-2A'!$A$6:$A$10000,$BG$3)</f>
        <v>0</v>
      </c>
      <c r="BJ54" s="487">
        <f>SUMIFS('GSTR-2A'!$M$6:$M$10000,'GSTR-2A'!$B$6:$B$10000,$C$5:$C$4995,'GSTR-2A'!$A$6:$A$10000,$BG$3)</f>
        <v>0</v>
      </c>
      <c r="BK54" s="488">
        <f>SUMIFS('GSTR-2A'!$N$6:$N$10000,'GSTR-2A'!$B$6:$B$10000,$C$5:$C$4995,'GSTR-2A'!$A$6:$A$10000,$BG$3)</f>
        <v>0</v>
      </c>
      <c r="BL54" s="72">
        <f t="shared" si="2"/>
        <v>0</v>
      </c>
      <c r="BM54" s="72">
        <f t="shared" si="3"/>
        <v>0</v>
      </c>
      <c r="BN54" s="72">
        <f t="shared" si="4"/>
        <v>0</v>
      </c>
      <c r="BO54" s="72">
        <f t="shared" si="5"/>
        <v>0</v>
      </c>
      <c r="BP54" s="72">
        <f t="shared" si="6"/>
        <v>0</v>
      </c>
    </row>
    <row r="55" spans="1:68" x14ac:dyDescent="0.2">
      <c r="A55" s="467">
        <v>51</v>
      </c>
      <c r="B55" s="468" t="s">
        <v>705</v>
      </c>
      <c r="C55" s="469" t="s">
        <v>706</v>
      </c>
      <c r="D55" s="72">
        <f>SUMIFS('GSTR-2A'!$G$6:$G$10000,'GSTR-2A'!$B$6:$B$10000,$C$5:$C$4995,'GSTR-2A'!$A$6:$A$10000,$D$3)</f>
        <v>0</v>
      </c>
      <c r="E55" s="72">
        <f>SUMIFS('GSTR-2A'!$K$6:$K$10000,'GSTR-2A'!$B$6:$B$10000,$C$5:$C$4995,'GSTR-2A'!$A$6:$A$10000,$D$3)</f>
        <v>0</v>
      </c>
      <c r="F55" s="72">
        <f>SUMIFS('GSTR-2A'!$L$6:$L$10000,'GSTR-2A'!$B$6:$B$10000,$C$5:$C$4995,'GSTR-2A'!$A$6:$A$10000,$D$3)</f>
        <v>0</v>
      </c>
      <c r="G55" s="72">
        <f>SUMIFS('GSTR-2A'!$M$6:$M$10000,'GSTR-2A'!$B$6:$B$10000,$C$5:$C$4995,'GSTR-2A'!$A$6:$A$10000,$D$3)</f>
        <v>0</v>
      </c>
      <c r="H55" s="72">
        <f>SUMIFS('GSTR-2A'!$N$6:$N$10000,'GSTR-2A'!$B$6:$B$10000,$C$5:$C$4995,'GSTR-2A'!$A$6:$A$10000,$D$3)</f>
        <v>0</v>
      </c>
      <c r="I55" s="486">
        <f>SUMIFS('GSTR-2A'!$G$6:$G$10000,'GSTR-2A'!$B$6:$B$10000,$C$5:$C$4995,'GSTR-2A'!$A$6:$A$10000,$I$3)</f>
        <v>0</v>
      </c>
      <c r="J55" s="487">
        <f>SUMIFS('GSTR-2A'!$K$6:$K$10000,'GSTR-2A'!$B$6:$B$10000,$C$5:$C$4995,'GSTR-2A'!$A$6:$A$10000,$I$3)</f>
        <v>0</v>
      </c>
      <c r="K55" s="487">
        <f>SUMIFS('GSTR-2A'!$L$6:$L$10000,'GSTR-2A'!$B$6:$B$10000,$C$5:$C$4995,'GSTR-2A'!$A$6:$A$10000,$I$3)</f>
        <v>0</v>
      </c>
      <c r="L55" s="487">
        <f>SUMIFS('GSTR-2A'!$M$6:$M$10000,'GSTR-2A'!$B$6:$B$10000,$C$5:$C$4995,'GSTR-2A'!$A$6:$A$10000,$I$3)</f>
        <v>0</v>
      </c>
      <c r="M55" s="488">
        <f>SUMIFS('GSTR-2A'!$N$6:$N$10000,'GSTR-2A'!$B$6:$B$10000,$C$5:$C$4995,'GSTR-2A'!$A$6:$A$10000,$I$3)</f>
        <v>0</v>
      </c>
      <c r="N55" s="486">
        <f>SUMIFS('GSTR-2A'!$G$6:$G$10000,'GSTR-2A'!$B$6:$B$10000,$C$5:$C$4995,'GSTR-2A'!$A$6:$A$10000,$N$3)</f>
        <v>3329.92</v>
      </c>
      <c r="O55" s="487">
        <f>SUMIFS('GSTR-2A'!$K$6:$K$10000,'GSTR-2A'!$B$6:$B$10000,$C$5:$C$4995,'GSTR-2A'!$A$6:$A$10000,$N$3)</f>
        <v>2601.5</v>
      </c>
      <c r="P55" s="487">
        <f>SUMIFS('GSTR-2A'!$L$6:$L$10000,'GSTR-2A'!$B$6:$B$10000,$C$5:$C$4995,'GSTR-2A'!$A$6:$A$10000,$N$3)</f>
        <v>0</v>
      </c>
      <c r="Q55" s="487">
        <f>SUMIFS('GSTR-2A'!$M$6:$M$10000,'GSTR-2A'!$B$6:$B$10000,$C$5:$C$4995,'GSTR-2A'!$A$6:$A$10000,$N$3)</f>
        <v>364.21</v>
      </c>
      <c r="R55" s="488">
        <f>SUMIFS('GSTR-2A'!$N$6:$N$10000,'GSTR-2A'!$B$6:$B$10000,$C$5:$C$4995,'GSTR-2A'!$A$6:$A$10000,$N$3)</f>
        <v>364.21</v>
      </c>
      <c r="S55" s="486">
        <f>SUMIFS('GSTR-2A'!$G$6:$G$10000,'GSTR-2A'!$B$6:$B$10000,$C$5:$C$4995,'GSTR-2A'!$A$6:$A$10000,$S$3)</f>
        <v>13760</v>
      </c>
      <c r="T55" s="487">
        <f>SUMIFS('GSTR-2A'!$K$6:$K$10000,'GSTR-2A'!$B$6:$B$10000,$C$5:$C$4995,'GSTR-2A'!$A$6:$A$10000,$S$3)</f>
        <v>10750</v>
      </c>
      <c r="U55" s="487">
        <f>SUMIFS('GSTR-2A'!$L$6:$L$10000,'GSTR-2A'!$B$6:$B$10000,$C$5:$C$4995,'GSTR-2A'!$A$6:$A$10000,$S$3)</f>
        <v>0</v>
      </c>
      <c r="V55" s="487">
        <f>SUMIFS('GSTR-2A'!$M$6:$M$10000,'GSTR-2A'!$B$6:$B$10000,$C$5:$C$4995,'GSTR-2A'!$A$6:$A$10000,$S$3)</f>
        <v>1505</v>
      </c>
      <c r="W55" s="488">
        <f>SUMIFS('GSTR-2A'!$N$6:$N$10000,'GSTR-2A'!$B$6:$B$10000,$C$5:$C$4995,'GSTR-2A'!$A$6:$A$10000,$S$3)</f>
        <v>1505</v>
      </c>
      <c r="X55" s="486">
        <f>SUMIFS('GSTR-2A'!$G$6:$G$10000,'GSTR-2A'!$B$6:$B$10000,$C$5:$C$4995,'GSTR-2A'!$A$6:$A$10000,$X$3)</f>
        <v>3742.72</v>
      </c>
      <c r="Y55" s="487">
        <f>SUMIFS('GSTR-2A'!$K$6:$K$10000,'GSTR-2A'!$B$6:$B$10000,$C$5:$C$4995,'GSTR-2A'!$A$6:$A$10000,$X$3)</f>
        <v>2924</v>
      </c>
      <c r="Z55" s="487">
        <f>SUMIFS('GSTR-2A'!$L$6:$L$10000,'GSTR-2A'!$B$6:$B$10000,$C$5:$C$4995,'GSTR-2A'!$A$6:$A$10000,$X$3)</f>
        <v>0</v>
      </c>
      <c r="AA55" s="487">
        <f>SUMIFS('GSTR-2A'!$M$6:$M$10000,'GSTR-2A'!$B$6:$B$10000,$C$5:$C$4995,'GSTR-2A'!$A$6:$A$10000,$X$3)</f>
        <v>409.36</v>
      </c>
      <c r="AB55" s="488">
        <f>SUMIFS('GSTR-2A'!$N$6:$N$10000,'GSTR-2A'!$B$6:$B$10000,$C$5:$C$4995,'GSTR-2A'!$A$6:$A$10000,$X$3)</f>
        <v>409.36</v>
      </c>
      <c r="AC55" s="486">
        <f>SUMIFS('GSTR-2A'!$G$6:$G$10000,'GSTR-2A'!$B$6:$B$10000,$C$5:$C$4995,'GSTR-2A'!$A$6:$A$10000,$AC$3)</f>
        <v>0</v>
      </c>
      <c r="AD55" s="487">
        <f>SUMIFS('GSTR-2A'!$K$6:$K$10000,'GSTR-2A'!$B$6:$B$10000,$C$5:$C$4995,'GSTR-2A'!$A$6:$A$10000,$AC$3)</f>
        <v>0</v>
      </c>
      <c r="AE55" s="487">
        <f>SUMIFS('GSTR-2A'!$L$6:$L$10000,'GSTR-2A'!$B$6:$B$10000,$C$5:$C$4995,'GSTR-2A'!$A$6:$A$10000,$AC$3)</f>
        <v>0</v>
      </c>
      <c r="AF55" s="487">
        <f>SUMIFS('GSTR-2A'!$M$6:$M$10000,'GSTR-2A'!$B$6:$B$10000,$C$5:$C$4995,'GSTR-2A'!$A$6:$A$10000,$AC$3)</f>
        <v>0</v>
      </c>
      <c r="AG55" s="488">
        <f>SUMIFS('GSTR-2A'!$N$6:$N$10000,'GSTR-2A'!$B$6:$B$10000,$C$5:$C$4995,'GSTR-2A'!$A$6:$A$10000,$AC$3)</f>
        <v>0</v>
      </c>
      <c r="AH55" s="486">
        <f>SUMIFS('GSTR-2A'!$G$6:$G$10000,'GSTR-2A'!$B$6:$B$10000,$C$5:$C$4995,'GSTR-2A'!$A$6:$A$10000,$AH$3)</f>
        <v>0</v>
      </c>
      <c r="AI55" s="487">
        <f>SUMIFS('GSTR-2A'!$K$6:$K$10000,'GSTR-2A'!$B$6:$B$10000,$C$5:$C$4995,'GSTR-2A'!$A$6:$A$10000,$AH$3)</f>
        <v>0</v>
      </c>
      <c r="AJ55" s="487">
        <f>SUMIFS('GSTR-2A'!$L$6:$L$10000,'GSTR-2A'!$B$6:$B$10000,$C$5:$C$4995,'GSTR-2A'!$A$6:$A$10000,$AH$3)</f>
        <v>0</v>
      </c>
      <c r="AK55" s="487">
        <f>SUMIFS('GSTR-2A'!$M$6:$M$10000,'GSTR-2A'!$B$6:$B$10000,$C$5:$C$4995,'GSTR-2A'!$A$6:$A$10000,$AH$3)</f>
        <v>0</v>
      </c>
      <c r="AL55" s="488">
        <f>SUMIFS('GSTR-2A'!$N$6:$N$10000,'GSTR-2A'!$B$6:$B$10000,$C$5:$C$4995,'GSTR-2A'!$A$6:$A$10000,$AH$3)</f>
        <v>0</v>
      </c>
      <c r="AM55" s="486">
        <f>SUMIFS('GSTR-2A'!$G$6:$G$10000,'GSTR-2A'!$B$6:$B$10000,$C$5:$C$4995,'GSTR-2A'!$A$6:$A$10000,$AM$3)</f>
        <v>0</v>
      </c>
      <c r="AN55" s="487">
        <f>SUMIFS('GSTR-2A'!$K$6:$K$10000,'GSTR-2A'!$B$6:$B$10000,$C$5:$C$4995,'GSTR-2A'!$A$6:$A$10000,$AM$3)</f>
        <v>0</v>
      </c>
      <c r="AO55" s="487">
        <f>SUMIFS('GSTR-2A'!$L$6:$L$10000,'GSTR-2A'!$B$6:$B$10000,$C$5:$C$4995,'GSTR-2A'!$A$6:$A$10000,$AM$3)</f>
        <v>0</v>
      </c>
      <c r="AP55" s="487">
        <f>SUMIFS('GSTR-2A'!$M$6:$M$10000,'GSTR-2A'!$B$6:$B$10000,$C$5:$C$4995,'GSTR-2A'!$A$6:$A$10000,$AM$3)</f>
        <v>0</v>
      </c>
      <c r="AQ55" s="488">
        <f>SUMIFS('GSTR-2A'!$N$6:$N$10000,'GSTR-2A'!$B$6:$B$10000,$C$5:$C$4995,'GSTR-2A'!$A$6:$A$10000,$AM$3)</f>
        <v>0</v>
      </c>
      <c r="AR55" s="486">
        <f>SUMIFS('GSTR-2A'!$G$6:$G$10000,'GSTR-2A'!$B$6:$B$10000,$C$5:$C$4995,'GSTR-2A'!$A$6:$A$10000,$AR$3)</f>
        <v>0</v>
      </c>
      <c r="AS55" s="487">
        <f>SUMIFS('GSTR-2A'!$K$6:$K$10000,'GSTR-2A'!$B$6:$B$10000,$C$5:$C$4995,'GSTR-2A'!$A$6:$A$10000,$AR$3)</f>
        <v>0</v>
      </c>
      <c r="AT55" s="487">
        <f>SUMIFS('GSTR-2A'!$L$6:$L$10000,'GSTR-2A'!$B$6:$B$10000,$C$5:$C$4995,'GSTR-2A'!$A$6:$A$10000,$AR$3)</f>
        <v>0</v>
      </c>
      <c r="AU55" s="487">
        <f>SUMIFS('GSTR-2A'!$M$6:$M$10000,'GSTR-2A'!$B$6:$B$10000,$C$5:$C$4995,'GSTR-2A'!$A$6:$A$10000,$AR$3)</f>
        <v>0</v>
      </c>
      <c r="AV55" s="488">
        <f>SUMIFS('GSTR-2A'!$N$6:$N$10000,'GSTR-2A'!$B$6:$B$10000,$C$5:$C$4995,'GSTR-2A'!$A$6:$A$10000,$AR$3)</f>
        <v>0</v>
      </c>
      <c r="AW55" s="486">
        <f>SUMIFS('GSTR-2A'!$G$6:$G$10000,'GSTR-2A'!$B$6:$B$10000,$C$5:$C$4995,'GSTR-2A'!$A$6:$A$10000,$AW$3)</f>
        <v>0</v>
      </c>
      <c r="AX55" s="487">
        <f>SUMIFS('GSTR-2A'!$K$6:$K$10000,'GSTR-2A'!$B$6:$B$10000,$C$5:$C$4995,'GSTR-2A'!$A$6:$A$10000,$AW$3)</f>
        <v>0</v>
      </c>
      <c r="AY55" s="487">
        <f>SUMIFS('GSTR-2A'!$L$6:$L$10000,'GSTR-2A'!$B$6:$B$10000,$C$5:$C$4995,'GSTR-2A'!$A$6:$A$10000,$AW$3)</f>
        <v>0</v>
      </c>
      <c r="AZ55" s="487">
        <f>SUMIFS('GSTR-2A'!$M$6:$M$10000,'GSTR-2A'!$B$6:$B$10000,$C$5:$C$4995,'GSTR-2A'!$A$6:$A$10000,$AW$3)</f>
        <v>0</v>
      </c>
      <c r="BA55" s="488">
        <f>SUMIFS('GSTR-2A'!$N$6:$N$10000,'GSTR-2A'!$B$6:$B$10000,$C$5:$C$4995,'GSTR-2A'!$A$6:$A$10000,$AW$3)</f>
        <v>0</v>
      </c>
      <c r="BB55" s="486">
        <f>SUMIFS('GSTR-2A'!$G$6:$G$10000,'GSTR-2A'!$B$6:$B$10000,$C$5:$C$4995,'GSTR-2A'!$A$6:$A$10000,$BB$3)</f>
        <v>0</v>
      </c>
      <c r="BC55" s="487">
        <f>SUMIFS('GSTR-2A'!$K$6:$K$10000,'GSTR-2A'!$B$6:$B$10000,$C$5:$C$4995,'GSTR-2A'!$A$6:$A$10000,$BB$3)</f>
        <v>0</v>
      </c>
      <c r="BD55" s="487">
        <f>SUMIFS('GSTR-2A'!$L$6:$L$10000,'GSTR-2A'!$B$6:$B$10000,$C$5:$C$4995,'GSTR-2A'!$A$6:$A$10000,$BB$3)</f>
        <v>0</v>
      </c>
      <c r="BE55" s="487">
        <f>SUMIFS('GSTR-2A'!$M$6:$M$10000,'GSTR-2A'!$B$6:$B$10000,$C$5:$C$4995,'GSTR-2A'!$A$6:$A$10000,$BB$3)</f>
        <v>0</v>
      </c>
      <c r="BF55" s="488">
        <f>SUMIFS('GSTR-2A'!$N$6:$N$10000,'GSTR-2A'!$B$6:$B$10000,$C$5:$C$4995,'GSTR-2A'!$A$6:$A$10000,$BB$3)</f>
        <v>0</v>
      </c>
      <c r="BG55" s="486">
        <f>SUMIFS('GSTR-2A'!$G$6:$G$10000,'GSTR-2A'!$B$6:$B$10000,$C$5:$C$4995,'GSTR-2A'!$A$6:$A$10000,$BG$3)</f>
        <v>0</v>
      </c>
      <c r="BH55" s="487">
        <f>SUMIFS('GSTR-2A'!$K$6:$K$10000,'GSTR-2A'!$B$6:$B$10000,$C$5:$C$4995,'GSTR-2A'!$A$6:$A$10000,$BG$3)</f>
        <v>0</v>
      </c>
      <c r="BI55" s="487">
        <f>SUMIFS('GSTR-2A'!$L$6:$L$10000,'GSTR-2A'!$B$6:$B$10000,$C$5:$C$4995,'GSTR-2A'!$A$6:$A$10000,$BG$3)</f>
        <v>0</v>
      </c>
      <c r="BJ55" s="487">
        <f>SUMIFS('GSTR-2A'!$M$6:$M$10000,'GSTR-2A'!$B$6:$B$10000,$C$5:$C$4995,'GSTR-2A'!$A$6:$A$10000,$BG$3)</f>
        <v>0</v>
      </c>
      <c r="BK55" s="488">
        <f>SUMIFS('GSTR-2A'!$N$6:$N$10000,'GSTR-2A'!$B$6:$B$10000,$C$5:$C$4995,'GSTR-2A'!$A$6:$A$10000,$BG$3)</f>
        <v>0</v>
      </c>
      <c r="BL55" s="72">
        <f t="shared" si="2"/>
        <v>20832.64</v>
      </c>
      <c r="BM55" s="72">
        <f t="shared" si="3"/>
        <v>16275.5</v>
      </c>
      <c r="BN55" s="72">
        <f t="shared" si="4"/>
        <v>0</v>
      </c>
      <c r="BO55" s="72">
        <f t="shared" si="5"/>
        <v>2278.5700000000002</v>
      </c>
      <c r="BP55" s="72">
        <f t="shared" si="6"/>
        <v>2278.5700000000002</v>
      </c>
    </row>
    <row r="56" spans="1:68" x14ac:dyDescent="0.2">
      <c r="A56" s="467">
        <v>52</v>
      </c>
      <c r="B56" s="468" t="s">
        <v>1114</v>
      </c>
      <c r="C56" s="469" t="s">
        <v>1115</v>
      </c>
      <c r="D56" s="72">
        <f>SUMIFS('GSTR-2A'!$G$6:$G$10000,'GSTR-2A'!$B$6:$B$10000,$C$5:$C$4995,'GSTR-2A'!$A$6:$A$10000,$D$3)</f>
        <v>0</v>
      </c>
      <c r="E56" s="72">
        <f>SUMIFS('GSTR-2A'!$K$6:$K$10000,'GSTR-2A'!$B$6:$B$10000,$C$5:$C$4995,'GSTR-2A'!$A$6:$A$10000,$D$3)</f>
        <v>0</v>
      </c>
      <c r="F56" s="72">
        <f>SUMIFS('GSTR-2A'!$L$6:$L$10000,'GSTR-2A'!$B$6:$B$10000,$C$5:$C$4995,'GSTR-2A'!$A$6:$A$10000,$D$3)</f>
        <v>0</v>
      </c>
      <c r="G56" s="72">
        <f>SUMIFS('GSTR-2A'!$M$6:$M$10000,'GSTR-2A'!$B$6:$B$10000,$C$5:$C$4995,'GSTR-2A'!$A$6:$A$10000,$D$3)</f>
        <v>0</v>
      </c>
      <c r="H56" s="72">
        <f>SUMIFS('GSTR-2A'!$N$6:$N$10000,'GSTR-2A'!$B$6:$B$10000,$C$5:$C$4995,'GSTR-2A'!$A$6:$A$10000,$D$3)</f>
        <v>0</v>
      </c>
      <c r="I56" s="486">
        <f>SUMIFS('GSTR-2A'!$G$6:$G$10000,'GSTR-2A'!$B$6:$B$10000,$C$5:$C$4995,'GSTR-2A'!$A$6:$A$10000,$I$3)</f>
        <v>0</v>
      </c>
      <c r="J56" s="487">
        <f>SUMIFS('GSTR-2A'!$K$6:$K$10000,'GSTR-2A'!$B$6:$B$10000,$C$5:$C$4995,'GSTR-2A'!$A$6:$A$10000,$I$3)</f>
        <v>0</v>
      </c>
      <c r="K56" s="487">
        <f>SUMIFS('GSTR-2A'!$L$6:$L$10000,'GSTR-2A'!$B$6:$B$10000,$C$5:$C$4995,'GSTR-2A'!$A$6:$A$10000,$I$3)</f>
        <v>0</v>
      </c>
      <c r="L56" s="487">
        <f>SUMIFS('GSTR-2A'!$M$6:$M$10000,'GSTR-2A'!$B$6:$B$10000,$C$5:$C$4995,'GSTR-2A'!$A$6:$A$10000,$I$3)</f>
        <v>0</v>
      </c>
      <c r="M56" s="488">
        <f>SUMIFS('GSTR-2A'!$N$6:$N$10000,'GSTR-2A'!$B$6:$B$10000,$C$5:$C$4995,'GSTR-2A'!$A$6:$A$10000,$I$3)</f>
        <v>0</v>
      </c>
      <c r="N56" s="486">
        <f>SUMIFS('GSTR-2A'!$G$6:$G$10000,'GSTR-2A'!$B$6:$B$10000,$C$5:$C$4995,'GSTR-2A'!$A$6:$A$10000,$N$3)</f>
        <v>0</v>
      </c>
      <c r="O56" s="487">
        <f>SUMIFS('GSTR-2A'!$K$6:$K$10000,'GSTR-2A'!$B$6:$B$10000,$C$5:$C$4995,'GSTR-2A'!$A$6:$A$10000,$N$3)</f>
        <v>0</v>
      </c>
      <c r="P56" s="487">
        <f>SUMIFS('GSTR-2A'!$L$6:$L$10000,'GSTR-2A'!$B$6:$B$10000,$C$5:$C$4995,'GSTR-2A'!$A$6:$A$10000,$N$3)</f>
        <v>0</v>
      </c>
      <c r="Q56" s="487">
        <f>SUMIFS('GSTR-2A'!$M$6:$M$10000,'GSTR-2A'!$B$6:$B$10000,$C$5:$C$4995,'GSTR-2A'!$A$6:$A$10000,$N$3)</f>
        <v>0</v>
      </c>
      <c r="R56" s="488">
        <f>SUMIFS('GSTR-2A'!$N$6:$N$10000,'GSTR-2A'!$B$6:$B$10000,$C$5:$C$4995,'GSTR-2A'!$A$6:$A$10000,$N$3)</f>
        <v>0</v>
      </c>
      <c r="S56" s="486">
        <f>SUMIFS('GSTR-2A'!$G$6:$G$10000,'GSTR-2A'!$B$6:$B$10000,$C$5:$C$4995,'GSTR-2A'!$A$6:$A$10000,$S$3)</f>
        <v>0</v>
      </c>
      <c r="T56" s="487">
        <f>SUMIFS('GSTR-2A'!$K$6:$K$10000,'GSTR-2A'!$B$6:$B$10000,$C$5:$C$4995,'GSTR-2A'!$A$6:$A$10000,$S$3)</f>
        <v>0</v>
      </c>
      <c r="U56" s="487">
        <f>SUMIFS('GSTR-2A'!$L$6:$L$10000,'GSTR-2A'!$B$6:$B$10000,$C$5:$C$4995,'GSTR-2A'!$A$6:$A$10000,$S$3)</f>
        <v>0</v>
      </c>
      <c r="V56" s="487">
        <f>SUMIFS('GSTR-2A'!$M$6:$M$10000,'GSTR-2A'!$B$6:$B$10000,$C$5:$C$4995,'GSTR-2A'!$A$6:$A$10000,$S$3)</f>
        <v>0</v>
      </c>
      <c r="W56" s="488">
        <f>SUMIFS('GSTR-2A'!$N$6:$N$10000,'GSTR-2A'!$B$6:$B$10000,$C$5:$C$4995,'GSTR-2A'!$A$6:$A$10000,$S$3)</f>
        <v>0</v>
      </c>
      <c r="X56" s="486">
        <f>SUMIFS('GSTR-2A'!$G$6:$G$10000,'GSTR-2A'!$B$6:$B$10000,$C$5:$C$4995,'GSTR-2A'!$A$6:$A$10000,$X$3)</f>
        <v>0</v>
      </c>
      <c r="Y56" s="487">
        <f>SUMIFS('GSTR-2A'!$K$6:$K$10000,'GSTR-2A'!$B$6:$B$10000,$C$5:$C$4995,'GSTR-2A'!$A$6:$A$10000,$X$3)</f>
        <v>0</v>
      </c>
      <c r="Z56" s="487">
        <f>SUMIFS('GSTR-2A'!$L$6:$L$10000,'GSTR-2A'!$B$6:$B$10000,$C$5:$C$4995,'GSTR-2A'!$A$6:$A$10000,$X$3)</f>
        <v>0</v>
      </c>
      <c r="AA56" s="487">
        <f>SUMIFS('GSTR-2A'!$M$6:$M$10000,'GSTR-2A'!$B$6:$B$10000,$C$5:$C$4995,'GSTR-2A'!$A$6:$A$10000,$X$3)</f>
        <v>0</v>
      </c>
      <c r="AB56" s="488">
        <f>SUMIFS('GSTR-2A'!$N$6:$N$10000,'GSTR-2A'!$B$6:$B$10000,$C$5:$C$4995,'GSTR-2A'!$A$6:$A$10000,$X$3)</f>
        <v>0</v>
      </c>
      <c r="AC56" s="486">
        <f>SUMIFS('GSTR-2A'!$G$6:$G$10000,'GSTR-2A'!$B$6:$B$10000,$C$5:$C$4995,'GSTR-2A'!$A$6:$A$10000,$AC$3)</f>
        <v>0</v>
      </c>
      <c r="AD56" s="487">
        <f>SUMIFS('GSTR-2A'!$K$6:$K$10000,'GSTR-2A'!$B$6:$B$10000,$C$5:$C$4995,'GSTR-2A'!$A$6:$A$10000,$AC$3)</f>
        <v>0</v>
      </c>
      <c r="AE56" s="487">
        <f>SUMIFS('GSTR-2A'!$L$6:$L$10000,'GSTR-2A'!$B$6:$B$10000,$C$5:$C$4995,'GSTR-2A'!$A$6:$A$10000,$AC$3)</f>
        <v>0</v>
      </c>
      <c r="AF56" s="487">
        <f>SUMIFS('GSTR-2A'!$M$6:$M$10000,'GSTR-2A'!$B$6:$B$10000,$C$5:$C$4995,'GSTR-2A'!$A$6:$A$10000,$AC$3)</f>
        <v>0</v>
      </c>
      <c r="AG56" s="488">
        <f>SUMIFS('GSTR-2A'!$N$6:$N$10000,'GSTR-2A'!$B$6:$B$10000,$C$5:$C$4995,'GSTR-2A'!$A$6:$A$10000,$AC$3)</f>
        <v>0</v>
      </c>
      <c r="AH56" s="486">
        <f>SUMIFS('GSTR-2A'!$G$6:$G$10000,'GSTR-2A'!$B$6:$B$10000,$C$5:$C$4995,'GSTR-2A'!$A$6:$A$10000,$AH$3)</f>
        <v>0</v>
      </c>
      <c r="AI56" s="487">
        <f>SUMIFS('GSTR-2A'!$K$6:$K$10000,'GSTR-2A'!$B$6:$B$10000,$C$5:$C$4995,'GSTR-2A'!$A$6:$A$10000,$AH$3)</f>
        <v>0</v>
      </c>
      <c r="AJ56" s="487">
        <f>SUMIFS('GSTR-2A'!$L$6:$L$10000,'GSTR-2A'!$B$6:$B$10000,$C$5:$C$4995,'GSTR-2A'!$A$6:$A$10000,$AH$3)</f>
        <v>0</v>
      </c>
      <c r="AK56" s="487">
        <f>SUMIFS('GSTR-2A'!$M$6:$M$10000,'GSTR-2A'!$B$6:$B$10000,$C$5:$C$4995,'GSTR-2A'!$A$6:$A$10000,$AH$3)</f>
        <v>0</v>
      </c>
      <c r="AL56" s="488">
        <f>SUMIFS('GSTR-2A'!$N$6:$N$10000,'GSTR-2A'!$B$6:$B$10000,$C$5:$C$4995,'GSTR-2A'!$A$6:$A$10000,$AH$3)</f>
        <v>0</v>
      </c>
      <c r="AM56" s="486">
        <f>SUMIFS('GSTR-2A'!$G$6:$G$10000,'GSTR-2A'!$B$6:$B$10000,$C$5:$C$4995,'GSTR-2A'!$A$6:$A$10000,$AM$3)</f>
        <v>0</v>
      </c>
      <c r="AN56" s="487">
        <f>SUMIFS('GSTR-2A'!$K$6:$K$10000,'GSTR-2A'!$B$6:$B$10000,$C$5:$C$4995,'GSTR-2A'!$A$6:$A$10000,$AM$3)</f>
        <v>0</v>
      </c>
      <c r="AO56" s="487">
        <f>SUMIFS('GSTR-2A'!$L$6:$L$10000,'GSTR-2A'!$B$6:$B$10000,$C$5:$C$4995,'GSTR-2A'!$A$6:$A$10000,$AM$3)</f>
        <v>0</v>
      </c>
      <c r="AP56" s="487">
        <f>SUMIFS('GSTR-2A'!$M$6:$M$10000,'GSTR-2A'!$B$6:$B$10000,$C$5:$C$4995,'GSTR-2A'!$A$6:$A$10000,$AM$3)</f>
        <v>0</v>
      </c>
      <c r="AQ56" s="488">
        <f>SUMIFS('GSTR-2A'!$N$6:$N$10000,'GSTR-2A'!$B$6:$B$10000,$C$5:$C$4995,'GSTR-2A'!$A$6:$A$10000,$AM$3)</f>
        <v>0</v>
      </c>
      <c r="AR56" s="486">
        <f>SUMIFS('GSTR-2A'!$G$6:$G$10000,'GSTR-2A'!$B$6:$B$10000,$C$5:$C$4995,'GSTR-2A'!$A$6:$A$10000,$AR$3)</f>
        <v>0</v>
      </c>
      <c r="AS56" s="487">
        <f>SUMIFS('GSTR-2A'!$K$6:$K$10000,'GSTR-2A'!$B$6:$B$10000,$C$5:$C$4995,'GSTR-2A'!$A$6:$A$10000,$AR$3)</f>
        <v>0</v>
      </c>
      <c r="AT56" s="487">
        <f>SUMIFS('GSTR-2A'!$L$6:$L$10000,'GSTR-2A'!$B$6:$B$10000,$C$5:$C$4995,'GSTR-2A'!$A$6:$A$10000,$AR$3)</f>
        <v>0</v>
      </c>
      <c r="AU56" s="487">
        <f>SUMIFS('GSTR-2A'!$M$6:$M$10000,'GSTR-2A'!$B$6:$B$10000,$C$5:$C$4995,'GSTR-2A'!$A$6:$A$10000,$AR$3)</f>
        <v>0</v>
      </c>
      <c r="AV56" s="488">
        <f>SUMIFS('GSTR-2A'!$N$6:$N$10000,'GSTR-2A'!$B$6:$B$10000,$C$5:$C$4995,'GSTR-2A'!$A$6:$A$10000,$AR$3)</f>
        <v>0</v>
      </c>
      <c r="AW56" s="486">
        <f>SUMIFS('GSTR-2A'!$G$6:$G$10000,'GSTR-2A'!$B$6:$B$10000,$C$5:$C$4995,'GSTR-2A'!$A$6:$A$10000,$AW$3)</f>
        <v>0</v>
      </c>
      <c r="AX56" s="487">
        <f>SUMIFS('GSTR-2A'!$K$6:$K$10000,'GSTR-2A'!$B$6:$B$10000,$C$5:$C$4995,'GSTR-2A'!$A$6:$A$10000,$AW$3)</f>
        <v>0</v>
      </c>
      <c r="AY56" s="487">
        <f>SUMIFS('GSTR-2A'!$L$6:$L$10000,'GSTR-2A'!$B$6:$B$10000,$C$5:$C$4995,'GSTR-2A'!$A$6:$A$10000,$AW$3)</f>
        <v>0</v>
      </c>
      <c r="AZ56" s="487">
        <f>SUMIFS('GSTR-2A'!$M$6:$M$10000,'GSTR-2A'!$B$6:$B$10000,$C$5:$C$4995,'GSTR-2A'!$A$6:$A$10000,$AW$3)</f>
        <v>0</v>
      </c>
      <c r="BA56" s="488">
        <f>SUMIFS('GSTR-2A'!$N$6:$N$10000,'GSTR-2A'!$B$6:$B$10000,$C$5:$C$4995,'GSTR-2A'!$A$6:$A$10000,$AW$3)</f>
        <v>0</v>
      </c>
      <c r="BB56" s="486">
        <f>SUMIFS('GSTR-2A'!$G$6:$G$10000,'GSTR-2A'!$B$6:$B$10000,$C$5:$C$4995,'GSTR-2A'!$A$6:$A$10000,$BB$3)</f>
        <v>0</v>
      </c>
      <c r="BC56" s="487">
        <f>SUMIFS('GSTR-2A'!$K$6:$K$10000,'GSTR-2A'!$B$6:$B$10000,$C$5:$C$4995,'GSTR-2A'!$A$6:$A$10000,$BB$3)</f>
        <v>0</v>
      </c>
      <c r="BD56" s="487">
        <f>SUMIFS('GSTR-2A'!$L$6:$L$10000,'GSTR-2A'!$B$6:$B$10000,$C$5:$C$4995,'GSTR-2A'!$A$6:$A$10000,$BB$3)</f>
        <v>0</v>
      </c>
      <c r="BE56" s="487">
        <f>SUMIFS('GSTR-2A'!$M$6:$M$10000,'GSTR-2A'!$B$6:$B$10000,$C$5:$C$4995,'GSTR-2A'!$A$6:$A$10000,$BB$3)</f>
        <v>0</v>
      </c>
      <c r="BF56" s="488">
        <f>SUMIFS('GSTR-2A'!$N$6:$N$10000,'GSTR-2A'!$B$6:$B$10000,$C$5:$C$4995,'GSTR-2A'!$A$6:$A$10000,$BB$3)</f>
        <v>0</v>
      </c>
      <c r="BG56" s="486">
        <f>SUMIFS('GSTR-2A'!$G$6:$G$10000,'GSTR-2A'!$B$6:$B$10000,$C$5:$C$4995,'GSTR-2A'!$A$6:$A$10000,$BG$3)</f>
        <v>0</v>
      </c>
      <c r="BH56" s="487">
        <f>SUMIFS('GSTR-2A'!$K$6:$K$10000,'GSTR-2A'!$B$6:$B$10000,$C$5:$C$4995,'GSTR-2A'!$A$6:$A$10000,$BG$3)</f>
        <v>0</v>
      </c>
      <c r="BI56" s="487">
        <f>SUMIFS('GSTR-2A'!$L$6:$L$10000,'GSTR-2A'!$B$6:$B$10000,$C$5:$C$4995,'GSTR-2A'!$A$6:$A$10000,$BG$3)</f>
        <v>0</v>
      </c>
      <c r="BJ56" s="487">
        <f>SUMIFS('GSTR-2A'!$M$6:$M$10000,'GSTR-2A'!$B$6:$B$10000,$C$5:$C$4995,'GSTR-2A'!$A$6:$A$10000,$BG$3)</f>
        <v>0</v>
      </c>
      <c r="BK56" s="488">
        <f>SUMIFS('GSTR-2A'!$N$6:$N$10000,'GSTR-2A'!$B$6:$B$10000,$C$5:$C$4995,'GSTR-2A'!$A$6:$A$10000,$BG$3)</f>
        <v>0</v>
      </c>
      <c r="BL56" s="72">
        <f t="shared" si="2"/>
        <v>0</v>
      </c>
      <c r="BM56" s="72">
        <f t="shared" si="3"/>
        <v>0</v>
      </c>
      <c r="BN56" s="72">
        <f t="shared" si="4"/>
        <v>0</v>
      </c>
      <c r="BO56" s="72">
        <f t="shared" si="5"/>
        <v>0</v>
      </c>
      <c r="BP56" s="72">
        <f t="shared" si="6"/>
        <v>0</v>
      </c>
    </row>
    <row r="57" spans="1:68" x14ac:dyDescent="0.2">
      <c r="A57" s="467">
        <v>53</v>
      </c>
      <c r="B57" s="475" t="s">
        <v>1116</v>
      </c>
      <c r="C57" s="468" t="s">
        <v>1117</v>
      </c>
      <c r="D57" s="72">
        <f>SUMIFS('GSTR-2A'!$G$6:$G$10000,'GSTR-2A'!$B$6:$B$10000,$C$5:$C$4995,'GSTR-2A'!$A$6:$A$10000,$D$3)</f>
        <v>0</v>
      </c>
      <c r="E57" s="72">
        <f>SUMIFS('GSTR-2A'!$K$6:$K$10000,'GSTR-2A'!$B$6:$B$10000,$C$5:$C$4995,'GSTR-2A'!$A$6:$A$10000,$D$3)</f>
        <v>0</v>
      </c>
      <c r="F57" s="72">
        <f>SUMIFS('GSTR-2A'!$L$6:$L$10000,'GSTR-2A'!$B$6:$B$10000,$C$5:$C$4995,'GSTR-2A'!$A$6:$A$10000,$D$3)</f>
        <v>0</v>
      </c>
      <c r="G57" s="72">
        <f>SUMIFS('GSTR-2A'!$M$6:$M$10000,'GSTR-2A'!$B$6:$B$10000,$C$5:$C$4995,'GSTR-2A'!$A$6:$A$10000,$D$3)</f>
        <v>0</v>
      </c>
      <c r="H57" s="72">
        <f>SUMIFS('GSTR-2A'!$N$6:$N$10000,'GSTR-2A'!$B$6:$B$10000,$C$5:$C$4995,'GSTR-2A'!$A$6:$A$10000,$D$3)</f>
        <v>0</v>
      </c>
      <c r="I57" s="486">
        <f>SUMIFS('GSTR-2A'!$G$6:$G$10000,'GSTR-2A'!$B$6:$B$10000,$C$5:$C$4995,'GSTR-2A'!$A$6:$A$10000,$I$3)</f>
        <v>0</v>
      </c>
      <c r="J57" s="487">
        <f>SUMIFS('GSTR-2A'!$K$6:$K$10000,'GSTR-2A'!$B$6:$B$10000,$C$5:$C$4995,'GSTR-2A'!$A$6:$A$10000,$I$3)</f>
        <v>0</v>
      </c>
      <c r="K57" s="487">
        <f>SUMIFS('GSTR-2A'!$L$6:$L$10000,'GSTR-2A'!$B$6:$B$10000,$C$5:$C$4995,'GSTR-2A'!$A$6:$A$10000,$I$3)</f>
        <v>0</v>
      </c>
      <c r="L57" s="487">
        <f>SUMIFS('GSTR-2A'!$M$6:$M$10000,'GSTR-2A'!$B$6:$B$10000,$C$5:$C$4995,'GSTR-2A'!$A$6:$A$10000,$I$3)</f>
        <v>0</v>
      </c>
      <c r="M57" s="488">
        <f>SUMIFS('GSTR-2A'!$N$6:$N$10000,'GSTR-2A'!$B$6:$B$10000,$C$5:$C$4995,'GSTR-2A'!$A$6:$A$10000,$I$3)</f>
        <v>0</v>
      </c>
      <c r="N57" s="486">
        <f>SUMIFS('GSTR-2A'!$G$6:$G$10000,'GSTR-2A'!$B$6:$B$10000,$C$5:$C$4995,'GSTR-2A'!$A$6:$A$10000,$N$3)</f>
        <v>0</v>
      </c>
      <c r="O57" s="487">
        <f>SUMIFS('GSTR-2A'!$K$6:$K$10000,'GSTR-2A'!$B$6:$B$10000,$C$5:$C$4995,'GSTR-2A'!$A$6:$A$10000,$N$3)</f>
        <v>0</v>
      </c>
      <c r="P57" s="487">
        <f>SUMIFS('GSTR-2A'!$L$6:$L$10000,'GSTR-2A'!$B$6:$B$10000,$C$5:$C$4995,'GSTR-2A'!$A$6:$A$10000,$N$3)</f>
        <v>0</v>
      </c>
      <c r="Q57" s="487">
        <f>SUMIFS('GSTR-2A'!$M$6:$M$10000,'GSTR-2A'!$B$6:$B$10000,$C$5:$C$4995,'GSTR-2A'!$A$6:$A$10000,$N$3)</f>
        <v>0</v>
      </c>
      <c r="R57" s="488">
        <f>SUMIFS('GSTR-2A'!$N$6:$N$10000,'GSTR-2A'!$B$6:$B$10000,$C$5:$C$4995,'GSTR-2A'!$A$6:$A$10000,$N$3)</f>
        <v>0</v>
      </c>
      <c r="S57" s="486">
        <f>SUMIFS('GSTR-2A'!$G$6:$G$10000,'GSTR-2A'!$B$6:$B$10000,$C$5:$C$4995,'GSTR-2A'!$A$6:$A$10000,$S$3)</f>
        <v>0</v>
      </c>
      <c r="T57" s="487">
        <f>SUMIFS('GSTR-2A'!$K$6:$K$10000,'GSTR-2A'!$B$6:$B$10000,$C$5:$C$4995,'GSTR-2A'!$A$6:$A$10000,$S$3)</f>
        <v>0</v>
      </c>
      <c r="U57" s="487">
        <f>SUMIFS('GSTR-2A'!$L$6:$L$10000,'GSTR-2A'!$B$6:$B$10000,$C$5:$C$4995,'GSTR-2A'!$A$6:$A$10000,$S$3)</f>
        <v>0</v>
      </c>
      <c r="V57" s="487">
        <f>SUMIFS('GSTR-2A'!$M$6:$M$10000,'GSTR-2A'!$B$6:$B$10000,$C$5:$C$4995,'GSTR-2A'!$A$6:$A$10000,$S$3)</f>
        <v>0</v>
      </c>
      <c r="W57" s="488">
        <f>SUMIFS('GSTR-2A'!$N$6:$N$10000,'GSTR-2A'!$B$6:$B$10000,$C$5:$C$4995,'GSTR-2A'!$A$6:$A$10000,$S$3)</f>
        <v>0</v>
      </c>
      <c r="X57" s="486">
        <f>SUMIFS('GSTR-2A'!$G$6:$G$10000,'GSTR-2A'!$B$6:$B$10000,$C$5:$C$4995,'GSTR-2A'!$A$6:$A$10000,$X$3)</f>
        <v>0</v>
      </c>
      <c r="Y57" s="487">
        <f>SUMIFS('GSTR-2A'!$K$6:$K$10000,'GSTR-2A'!$B$6:$B$10000,$C$5:$C$4995,'GSTR-2A'!$A$6:$A$10000,$X$3)</f>
        <v>0</v>
      </c>
      <c r="Z57" s="487">
        <f>SUMIFS('GSTR-2A'!$L$6:$L$10000,'GSTR-2A'!$B$6:$B$10000,$C$5:$C$4995,'GSTR-2A'!$A$6:$A$10000,$X$3)</f>
        <v>0</v>
      </c>
      <c r="AA57" s="487">
        <f>SUMIFS('GSTR-2A'!$M$6:$M$10000,'GSTR-2A'!$B$6:$B$10000,$C$5:$C$4995,'GSTR-2A'!$A$6:$A$10000,$X$3)</f>
        <v>0</v>
      </c>
      <c r="AB57" s="488">
        <f>SUMIFS('GSTR-2A'!$N$6:$N$10000,'GSTR-2A'!$B$6:$B$10000,$C$5:$C$4995,'GSTR-2A'!$A$6:$A$10000,$X$3)</f>
        <v>0</v>
      </c>
      <c r="AC57" s="486">
        <f>SUMIFS('GSTR-2A'!$G$6:$G$10000,'GSTR-2A'!$B$6:$B$10000,$C$5:$C$4995,'GSTR-2A'!$A$6:$A$10000,$AC$3)</f>
        <v>0</v>
      </c>
      <c r="AD57" s="487">
        <f>SUMIFS('GSTR-2A'!$K$6:$K$10000,'GSTR-2A'!$B$6:$B$10000,$C$5:$C$4995,'GSTR-2A'!$A$6:$A$10000,$AC$3)</f>
        <v>0</v>
      </c>
      <c r="AE57" s="487">
        <f>SUMIFS('GSTR-2A'!$L$6:$L$10000,'GSTR-2A'!$B$6:$B$10000,$C$5:$C$4995,'GSTR-2A'!$A$6:$A$10000,$AC$3)</f>
        <v>0</v>
      </c>
      <c r="AF57" s="487">
        <f>SUMIFS('GSTR-2A'!$M$6:$M$10000,'GSTR-2A'!$B$6:$B$10000,$C$5:$C$4995,'GSTR-2A'!$A$6:$A$10000,$AC$3)</f>
        <v>0</v>
      </c>
      <c r="AG57" s="488">
        <f>SUMIFS('GSTR-2A'!$N$6:$N$10000,'GSTR-2A'!$B$6:$B$10000,$C$5:$C$4995,'GSTR-2A'!$A$6:$A$10000,$AC$3)</f>
        <v>0</v>
      </c>
      <c r="AH57" s="486">
        <f>SUMIFS('GSTR-2A'!$G$6:$G$10000,'GSTR-2A'!$B$6:$B$10000,$C$5:$C$4995,'GSTR-2A'!$A$6:$A$10000,$AH$3)</f>
        <v>0</v>
      </c>
      <c r="AI57" s="487">
        <f>SUMIFS('GSTR-2A'!$K$6:$K$10000,'GSTR-2A'!$B$6:$B$10000,$C$5:$C$4995,'GSTR-2A'!$A$6:$A$10000,$AH$3)</f>
        <v>0</v>
      </c>
      <c r="AJ57" s="487">
        <f>SUMIFS('GSTR-2A'!$L$6:$L$10000,'GSTR-2A'!$B$6:$B$10000,$C$5:$C$4995,'GSTR-2A'!$A$6:$A$10000,$AH$3)</f>
        <v>0</v>
      </c>
      <c r="AK57" s="487">
        <f>SUMIFS('GSTR-2A'!$M$6:$M$10000,'GSTR-2A'!$B$6:$B$10000,$C$5:$C$4995,'GSTR-2A'!$A$6:$A$10000,$AH$3)</f>
        <v>0</v>
      </c>
      <c r="AL57" s="488">
        <f>SUMIFS('GSTR-2A'!$N$6:$N$10000,'GSTR-2A'!$B$6:$B$10000,$C$5:$C$4995,'GSTR-2A'!$A$6:$A$10000,$AH$3)</f>
        <v>0</v>
      </c>
      <c r="AM57" s="486">
        <f>SUMIFS('GSTR-2A'!$G$6:$G$10000,'GSTR-2A'!$B$6:$B$10000,$C$5:$C$4995,'GSTR-2A'!$A$6:$A$10000,$AM$3)</f>
        <v>0</v>
      </c>
      <c r="AN57" s="487">
        <f>SUMIFS('GSTR-2A'!$K$6:$K$10000,'GSTR-2A'!$B$6:$B$10000,$C$5:$C$4995,'GSTR-2A'!$A$6:$A$10000,$AM$3)</f>
        <v>0</v>
      </c>
      <c r="AO57" s="487">
        <f>SUMIFS('GSTR-2A'!$L$6:$L$10000,'GSTR-2A'!$B$6:$B$10000,$C$5:$C$4995,'GSTR-2A'!$A$6:$A$10000,$AM$3)</f>
        <v>0</v>
      </c>
      <c r="AP57" s="487">
        <f>SUMIFS('GSTR-2A'!$M$6:$M$10000,'GSTR-2A'!$B$6:$B$10000,$C$5:$C$4995,'GSTR-2A'!$A$6:$A$10000,$AM$3)</f>
        <v>0</v>
      </c>
      <c r="AQ57" s="488">
        <f>SUMIFS('GSTR-2A'!$N$6:$N$10000,'GSTR-2A'!$B$6:$B$10000,$C$5:$C$4995,'GSTR-2A'!$A$6:$A$10000,$AM$3)</f>
        <v>0</v>
      </c>
      <c r="AR57" s="486">
        <f>SUMIFS('GSTR-2A'!$G$6:$G$10000,'GSTR-2A'!$B$6:$B$10000,$C$5:$C$4995,'GSTR-2A'!$A$6:$A$10000,$AR$3)</f>
        <v>0</v>
      </c>
      <c r="AS57" s="487">
        <f>SUMIFS('GSTR-2A'!$K$6:$K$10000,'GSTR-2A'!$B$6:$B$10000,$C$5:$C$4995,'GSTR-2A'!$A$6:$A$10000,$AR$3)</f>
        <v>0</v>
      </c>
      <c r="AT57" s="487">
        <f>SUMIFS('GSTR-2A'!$L$6:$L$10000,'GSTR-2A'!$B$6:$B$10000,$C$5:$C$4995,'GSTR-2A'!$A$6:$A$10000,$AR$3)</f>
        <v>0</v>
      </c>
      <c r="AU57" s="487">
        <f>SUMIFS('GSTR-2A'!$M$6:$M$10000,'GSTR-2A'!$B$6:$B$10000,$C$5:$C$4995,'GSTR-2A'!$A$6:$A$10000,$AR$3)</f>
        <v>0</v>
      </c>
      <c r="AV57" s="488">
        <f>SUMIFS('GSTR-2A'!$N$6:$N$10000,'GSTR-2A'!$B$6:$B$10000,$C$5:$C$4995,'GSTR-2A'!$A$6:$A$10000,$AR$3)</f>
        <v>0</v>
      </c>
      <c r="AW57" s="486">
        <f>SUMIFS('GSTR-2A'!$G$6:$G$10000,'GSTR-2A'!$B$6:$B$10000,$C$5:$C$4995,'GSTR-2A'!$A$6:$A$10000,$AW$3)</f>
        <v>0</v>
      </c>
      <c r="AX57" s="487">
        <f>SUMIFS('GSTR-2A'!$K$6:$K$10000,'GSTR-2A'!$B$6:$B$10000,$C$5:$C$4995,'GSTR-2A'!$A$6:$A$10000,$AW$3)</f>
        <v>0</v>
      </c>
      <c r="AY57" s="487">
        <f>SUMIFS('GSTR-2A'!$L$6:$L$10000,'GSTR-2A'!$B$6:$B$10000,$C$5:$C$4995,'GSTR-2A'!$A$6:$A$10000,$AW$3)</f>
        <v>0</v>
      </c>
      <c r="AZ57" s="487">
        <f>SUMIFS('GSTR-2A'!$M$6:$M$10000,'GSTR-2A'!$B$6:$B$10000,$C$5:$C$4995,'GSTR-2A'!$A$6:$A$10000,$AW$3)</f>
        <v>0</v>
      </c>
      <c r="BA57" s="488">
        <f>SUMIFS('GSTR-2A'!$N$6:$N$10000,'GSTR-2A'!$B$6:$B$10000,$C$5:$C$4995,'GSTR-2A'!$A$6:$A$10000,$AW$3)</f>
        <v>0</v>
      </c>
      <c r="BB57" s="486">
        <f>SUMIFS('GSTR-2A'!$G$6:$G$10000,'GSTR-2A'!$B$6:$B$10000,$C$5:$C$4995,'GSTR-2A'!$A$6:$A$10000,$BB$3)</f>
        <v>0</v>
      </c>
      <c r="BC57" s="487">
        <f>SUMIFS('GSTR-2A'!$K$6:$K$10000,'GSTR-2A'!$B$6:$B$10000,$C$5:$C$4995,'GSTR-2A'!$A$6:$A$10000,$BB$3)</f>
        <v>0</v>
      </c>
      <c r="BD57" s="487">
        <f>SUMIFS('GSTR-2A'!$L$6:$L$10000,'GSTR-2A'!$B$6:$B$10000,$C$5:$C$4995,'GSTR-2A'!$A$6:$A$10000,$BB$3)</f>
        <v>0</v>
      </c>
      <c r="BE57" s="487">
        <f>SUMIFS('GSTR-2A'!$M$6:$M$10000,'GSTR-2A'!$B$6:$B$10000,$C$5:$C$4995,'GSTR-2A'!$A$6:$A$10000,$BB$3)</f>
        <v>0</v>
      </c>
      <c r="BF57" s="488">
        <f>SUMIFS('GSTR-2A'!$N$6:$N$10000,'GSTR-2A'!$B$6:$B$10000,$C$5:$C$4995,'GSTR-2A'!$A$6:$A$10000,$BB$3)</f>
        <v>0</v>
      </c>
      <c r="BG57" s="486">
        <f>SUMIFS('GSTR-2A'!$G$6:$G$10000,'GSTR-2A'!$B$6:$B$10000,$C$5:$C$4995,'GSTR-2A'!$A$6:$A$10000,$BG$3)</f>
        <v>0</v>
      </c>
      <c r="BH57" s="487">
        <f>SUMIFS('GSTR-2A'!$K$6:$K$10000,'GSTR-2A'!$B$6:$B$10000,$C$5:$C$4995,'GSTR-2A'!$A$6:$A$10000,$BG$3)</f>
        <v>0</v>
      </c>
      <c r="BI57" s="487">
        <f>SUMIFS('GSTR-2A'!$L$6:$L$10000,'GSTR-2A'!$B$6:$B$10000,$C$5:$C$4995,'GSTR-2A'!$A$6:$A$10000,$BG$3)</f>
        <v>0</v>
      </c>
      <c r="BJ57" s="487">
        <f>SUMIFS('GSTR-2A'!$M$6:$M$10000,'GSTR-2A'!$B$6:$B$10000,$C$5:$C$4995,'GSTR-2A'!$A$6:$A$10000,$BG$3)</f>
        <v>0</v>
      </c>
      <c r="BK57" s="488">
        <f>SUMIFS('GSTR-2A'!$N$6:$N$10000,'GSTR-2A'!$B$6:$B$10000,$C$5:$C$4995,'GSTR-2A'!$A$6:$A$10000,$BG$3)</f>
        <v>0</v>
      </c>
      <c r="BL57" s="72">
        <f t="shared" si="2"/>
        <v>0</v>
      </c>
      <c r="BM57" s="72">
        <f t="shared" si="3"/>
        <v>0</v>
      </c>
      <c r="BN57" s="72">
        <f t="shared" si="4"/>
        <v>0</v>
      </c>
      <c r="BO57" s="72">
        <f t="shared" si="5"/>
        <v>0</v>
      </c>
      <c r="BP57" s="72">
        <f t="shared" si="6"/>
        <v>0</v>
      </c>
    </row>
    <row r="58" spans="1:68" x14ac:dyDescent="0.2">
      <c r="A58" s="467">
        <v>54</v>
      </c>
      <c r="B58" s="468" t="s">
        <v>1118</v>
      </c>
      <c r="C58" s="469" t="s">
        <v>1119</v>
      </c>
      <c r="D58" s="72">
        <f>SUMIFS('GSTR-2A'!$G$6:$G$10000,'GSTR-2A'!$B$6:$B$10000,$C$5:$C$4995,'GSTR-2A'!$A$6:$A$10000,$D$3)</f>
        <v>0</v>
      </c>
      <c r="E58" s="72">
        <f>SUMIFS('GSTR-2A'!$K$6:$K$10000,'GSTR-2A'!$B$6:$B$10000,$C$5:$C$4995,'GSTR-2A'!$A$6:$A$10000,$D$3)</f>
        <v>0</v>
      </c>
      <c r="F58" s="72">
        <f>SUMIFS('GSTR-2A'!$L$6:$L$10000,'GSTR-2A'!$B$6:$B$10000,$C$5:$C$4995,'GSTR-2A'!$A$6:$A$10000,$D$3)</f>
        <v>0</v>
      </c>
      <c r="G58" s="72">
        <f>SUMIFS('GSTR-2A'!$M$6:$M$10000,'GSTR-2A'!$B$6:$B$10000,$C$5:$C$4995,'GSTR-2A'!$A$6:$A$10000,$D$3)</f>
        <v>0</v>
      </c>
      <c r="H58" s="72">
        <f>SUMIFS('GSTR-2A'!$N$6:$N$10000,'GSTR-2A'!$B$6:$B$10000,$C$5:$C$4995,'GSTR-2A'!$A$6:$A$10000,$D$3)</f>
        <v>0</v>
      </c>
      <c r="I58" s="486">
        <f>SUMIFS('GSTR-2A'!$G$6:$G$10000,'GSTR-2A'!$B$6:$B$10000,$C$5:$C$4995,'GSTR-2A'!$A$6:$A$10000,$I$3)</f>
        <v>0</v>
      </c>
      <c r="J58" s="487">
        <f>SUMIFS('GSTR-2A'!$K$6:$K$10000,'GSTR-2A'!$B$6:$B$10000,$C$5:$C$4995,'GSTR-2A'!$A$6:$A$10000,$I$3)</f>
        <v>0</v>
      </c>
      <c r="K58" s="487">
        <f>SUMIFS('GSTR-2A'!$L$6:$L$10000,'GSTR-2A'!$B$6:$B$10000,$C$5:$C$4995,'GSTR-2A'!$A$6:$A$10000,$I$3)</f>
        <v>0</v>
      </c>
      <c r="L58" s="487">
        <f>SUMIFS('GSTR-2A'!$M$6:$M$10000,'GSTR-2A'!$B$6:$B$10000,$C$5:$C$4995,'GSTR-2A'!$A$6:$A$10000,$I$3)</f>
        <v>0</v>
      </c>
      <c r="M58" s="488">
        <f>SUMIFS('GSTR-2A'!$N$6:$N$10000,'GSTR-2A'!$B$6:$B$10000,$C$5:$C$4995,'GSTR-2A'!$A$6:$A$10000,$I$3)</f>
        <v>0</v>
      </c>
      <c r="N58" s="486">
        <f>SUMIFS('GSTR-2A'!$G$6:$G$10000,'GSTR-2A'!$B$6:$B$10000,$C$5:$C$4995,'GSTR-2A'!$A$6:$A$10000,$N$3)</f>
        <v>0</v>
      </c>
      <c r="O58" s="487">
        <f>SUMIFS('GSTR-2A'!$K$6:$K$10000,'GSTR-2A'!$B$6:$B$10000,$C$5:$C$4995,'GSTR-2A'!$A$6:$A$10000,$N$3)</f>
        <v>0</v>
      </c>
      <c r="P58" s="487">
        <f>SUMIFS('GSTR-2A'!$L$6:$L$10000,'GSTR-2A'!$B$6:$B$10000,$C$5:$C$4995,'GSTR-2A'!$A$6:$A$10000,$N$3)</f>
        <v>0</v>
      </c>
      <c r="Q58" s="487">
        <f>SUMIFS('GSTR-2A'!$M$6:$M$10000,'GSTR-2A'!$B$6:$B$10000,$C$5:$C$4995,'GSTR-2A'!$A$6:$A$10000,$N$3)</f>
        <v>0</v>
      </c>
      <c r="R58" s="488">
        <f>SUMIFS('GSTR-2A'!$N$6:$N$10000,'GSTR-2A'!$B$6:$B$10000,$C$5:$C$4995,'GSTR-2A'!$A$6:$A$10000,$N$3)</f>
        <v>0</v>
      </c>
      <c r="S58" s="486">
        <f>SUMIFS('GSTR-2A'!$G$6:$G$10000,'GSTR-2A'!$B$6:$B$10000,$C$5:$C$4995,'GSTR-2A'!$A$6:$A$10000,$S$3)</f>
        <v>0</v>
      </c>
      <c r="T58" s="487">
        <f>SUMIFS('GSTR-2A'!$K$6:$K$10000,'GSTR-2A'!$B$6:$B$10000,$C$5:$C$4995,'GSTR-2A'!$A$6:$A$10000,$S$3)</f>
        <v>0</v>
      </c>
      <c r="U58" s="487">
        <f>SUMIFS('GSTR-2A'!$L$6:$L$10000,'GSTR-2A'!$B$6:$B$10000,$C$5:$C$4995,'GSTR-2A'!$A$6:$A$10000,$S$3)</f>
        <v>0</v>
      </c>
      <c r="V58" s="487">
        <f>SUMIFS('GSTR-2A'!$M$6:$M$10000,'GSTR-2A'!$B$6:$B$10000,$C$5:$C$4995,'GSTR-2A'!$A$6:$A$10000,$S$3)</f>
        <v>0</v>
      </c>
      <c r="W58" s="488">
        <f>SUMIFS('GSTR-2A'!$N$6:$N$10000,'GSTR-2A'!$B$6:$B$10000,$C$5:$C$4995,'GSTR-2A'!$A$6:$A$10000,$S$3)</f>
        <v>0</v>
      </c>
      <c r="X58" s="486">
        <f>SUMIFS('GSTR-2A'!$G$6:$G$10000,'GSTR-2A'!$B$6:$B$10000,$C$5:$C$4995,'GSTR-2A'!$A$6:$A$10000,$X$3)</f>
        <v>0</v>
      </c>
      <c r="Y58" s="487">
        <f>SUMIFS('GSTR-2A'!$K$6:$K$10000,'GSTR-2A'!$B$6:$B$10000,$C$5:$C$4995,'GSTR-2A'!$A$6:$A$10000,$X$3)</f>
        <v>0</v>
      </c>
      <c r="Z58" s="487">
        <f>SUMIFS('GSTR-2A'!$L$6:$L$10000,'GSTR-2A'!$B$6:$B$10000,$C$5:$C$4995,'GSTR-2A'!$A$6:$A$10000,$X$3)</f>
        <v>0</v>
      </c>
      <c r="AA58" s="487">
        <f>SUMIFS('GSTR-2A'!$M$6:$M$10000,'GSTR-2A'!$B$6:$B$10000,$C$5:$C$4995,'GSTR-2A'!$A$6:$A$10000,$X$3)</f>
        <v>0</v>
      </c>
      <c r="AB58" s="488">
        <f>SUMIFS('GSTR-2A'!$N$6:$N$10000,'GSTR-2A'!$B$6:$B$10000,$C$5:$C$4995,'GSTR-2A'!$A$6:$A$10000,$X$3)</f>
        <v>0</v>
      </c>
      <c r="AC58" s="486">
        <f>SUMIFS('GSTR-2A'!$G$6:$G$10000,'GSTR-2A'!$B$6:$B$10000,$C$5:$C$4995,'GSTR-2A'!$A$6:$A$10000,$AC$3)</f>
        <v>0</v>
      </c>
      <c r="AD58" s="487">
        <f>SUMIFS('GSTR-2A'!$K$6:$K$10000,'GSTR-2A'!$B$6:$B$10000,$C$5:$C$4995,'GSTR-2A'!$A$6:$A$10000,$AC$3)</f>
        <v>0</v>
      </c>
      <c r="AE58" s="487">
        <f>SUMIFS('GSTR-2A'!$L$6:$L$10000,'GSTR-2A'!$B$6:$B$10000,$C$5:$C$4995,'GSTR-2A'!$A$6:$A$10000,$AC$3)</f>
        <v>0</v>
      </c>
      <c r="AF58" s="487">
        <f>SUMIFS('GSTR-2A'!$M$6:$M$10000,'GSTR-2A'!$B$6:$B$10000,$C$5:$C$4995,'GSTR-2A'!$A$6:$A$10000,$AC$3)</f>
        <v>0</v>
      </c>
      <c r="AG58" s="488">
        <f>SUMIFS('GSTR-2A'!$N$6:$N$10000,'GSTR-2A'!$B$6:$B$10000,$C$5:$C$4995,'GSTR-2A'!$A$6:$A$10000,$AC$3)</f>
        <v>0</v>
      </c>
      <c r="AH58" s="486">
        <f>SUMIFS('GSTR-2A'!$G$6:$G$10000,'GSTR-2A'!$B$6:$B$10000,$C$5:$C$4995,'GSTR-2A'!$A$6:$A$10000,$AH$3)</f>
        <v>0</v>
      </c>
      <c r="AI58" s="487">
        <f>SUMIFS('GSTR-2A'!$K$6:$K$10000,'GSTR-2A'!$B$6:$B$10000,$C$5:$C$4995,'GSTR-2A'!$A$6:$A$10000,$AH$3)</f>
        <v>0</v>
      </c>
      <c r="AJ58" s="487">
        <f>SUMIFS('GSTR-2A'!$L$6:$L$10000,'GSTR-2A'!$B$6:$B$10000,$C$5:$C$4995,'GSTR-2A'!$A$6:$A$10000,$AH$3)</f>
        <v>0</v>
      </c>
      <c r="AK58" s="487">
        <f>SUMIFS('GSTR-2A'!$M$6:$M$10000,'GSTR-2A'!$B$6:$B$10000,$C$5:$C$4995,'GSTR-2A'!$A$6:$A$10000,$AH$3)</f>
        <v>0</v>
      </c>
      <c r="AL58" s="488">
        <f>SUMIFS('GSTR-2A'!$N$6:$N$10000,'GSTR-2A'!$B$6:$B$10000,$C$5:$C$4995,'GSTR-2A'!$A$6:$A$10000,$AH$3)</f>
        <v>0</v>
      </c>
      <c r="AM58" s="486">
        <f>SUMIFS('GSTR-2A'!$G$6:$G$10000,'GSTR-2A'!$B$6:$B$10000,$C$5:$C$4995,'GSTR-2A'!$A$6:$A$10000,$AM$3)</f>
        <v>0</v>
      </c>
      <c r="AN58" s="487">
        <f>SUMIFS('GSTR-2A'!$K$6:$K$10000,'GSTR-2A'!$B$6:$B$10000,$C$5:$C$4995,'GSTR-2A'!$A$6:$A$10000,$AM$3)</f>
        <v>0</v>
      </c>
      <c r="AO58" s="487">
        <f>SUMIFS('GSTR-2A'!$L$6:$L$10000,'GSTR-2A'!$B$6:$B$10000,$C$5:$C$4995,'GSTR-2A'!$A$6:$A$10000,$AM$3)</f>
        <v>0</v>
      </c>
      <c r="AP58" s="487">
        <f>SUMIFS('GSTR-2A'!$M$6:$M$10000,'GSTR-2A'!$B$6:$B$10000,$C$5:$C$4995,'GSTR-2A'!$A$6:$A$10000,$AM$3)</f>
        <v>0</v>
      </c>
      <c r="AQ58" s="488">
        <f>SUMIFS('GSTR-2A'!$N$6:$N$10000,'GSTR-2A'!$B$6:$B$10000,$C$5:$C$4995,'GSTR-2A'!$A$6:$A$10000,$AM$3)</f>
        <v>0</v>
      </c>
      <c r="AR58" s="486">
        <f>SUMIFS('GSTR-2A'!$G$6:$G$10000,'GSTR-2A'!$B$6:$B$10000,$C$5:$C$4995,'GSTR-2A'!$A$6:$A$10000,$AR$3)</f>
        <v>0</v>
      </c>
      <c r="AS58" s="487">
        <f>SUMIFS('GSTR-2A'!$K$6:$K$10000,'GSTR-2A'!$B$6:$B$10000,$C$5:$C$4995,'GSTR-2A'!$A$6:$A$10000,$AR$3)</f>
        <v>0</v>
      </c>
      <c r="AT58" s="487">
        <f>SUMIFS('GSTR-2A'!$L$6:$L$10000,'GSTR-2A'!$B$6:$B$10000,$C$5:$C$4995,'GSTR-2A'!$A$6:$A$10000,$AR$3)</f>
        <v>0</v>
      </c>
      <c r="AU58" s="487">
        <f>SUMIFS('GSTR-2A'!$M$6:$M$10000,'GSTR-2A'!$B$6:$B$10000,$C$5:$C$4995,'GSTR-2A'!$A$6:$A$10000,$AR$3)</f>
        <v>0</v>
      </c>
      <c r="AV58" s="488">
        <f>SUMIFS('GSTR-2A'!$N$6:$N$10000,'GSTR-2A'!$B$6:$B$10000,$C$5:$C$4995,'GSTR-2A'!$A$6:$A$10000,$AR$3)</f>
        <v>0</v>
      </c>
      <c r="AW58" s="486">
        <f>SUMIFS('GSTR-2A'!$G$6:$G$10000,'GSTR-2A'!$B$6:$B$10000,$C$5:$C$4995,'GSTR-2A'!$A$6:$A$10000,$AW$3)</f>
        <v>0</v>
      </c>
      <c r="AX58" s="487">
        <f>SUMIFS('GSTR-2A'!$K$6:$K$10000,'GSTR-2A'!$B$6:$B$10000,$C$5:$C$4995,'GSTR-2A'!$A$6:$A$10000,$AW$3)</f>
        <v>0</v>
      </c>
      <c r="AY58" s="487">
        <f>SUMIFS('GSTR-2A'!$L$6:$L$10000,'GSTR-2A'!$B$6:$B$10000,$C$5:$C$4995,'GSTR-2A'!$A$6:$A$10000,$AW$3)</f>
        <v>0</v>
      </c>
      <c r="AZ58" s="487">
        <f>SUMIFS('GSTR-2A'!$M$6:$M$10000,'GSTR-2A'!$B$6:$B$10000,$C$5:$C$4995,'GSTR-2A'!$A$6:$A$10000,$AW$3)</f>
        <v>0</v>
      </c>
      <c r="BA58" s="488">
        <f>SUMIFS('GSTR-2A'!$N$6:$N$10000,'GSTR-2A'!$B$6:$B$10000,$C$5:$C$4995,'GSTR-2A'!$A$6:$A$10000,$AW$3)</f>
        <v>0</v>
      </c>
      <c r="BB58" s="486">
        <f>SUMIFS('GSTR-2A'!$G$6:$G$10000,'GSTR-2A'!$B$6:$B$10000,$C$5:$C$4995,'GSTR-2A'!$A$6:$A$10000,$BB$3)</f>
        <v>0</v>
      </c>
      <c r="BC58" s="487">
        <f>SUMIFS('GSTR-2A'!$K$6:$K$10000,'GSTR-2A'!$B$6:$B$10000,$C$5:$C$4995,'GSTR-2A'!$A$6:$A$10000,$BB$3)</f>
        <v>0</v>
      </c>
      <c r="BD58" s="487">
        <f>SUMIFS('GSTR-2A'!$L$6:$L$10000,'GSTR-2A'!$B$6:$B$10000,$C$5:$C$4995,'GSTR-2A'!$A$6:$A$10000,$BB$3)</f>
        <v>0</v>
      </c>
      <c r="BE58" s="487">
        <f>SUMIFS('GSTR-2A'!$M$6:$M$10000,'GSTR-2A'!$B$6:$B$10000,$C$5:$C$4995,'GSTR-2A'!$A$6:$A$10000,$BB$3)</f>
        <v>0</v>
      </c>
      <c r="BF58" s="488">
        <f>SUMIFS('GSTR-2A'!$N$6:$N$10000,'GSTR-2A'!$B$6:$B$10000,$C$5:$C$4995,'GSTR-2A'!$A$6:$A$10000,$BB$3)</f>
        <v>0</v>
      </c>
      <c r="BG58" s="486">
        <f>SUMIFS('GSTR-2A'!$G$6:$G$10000,'GSTR-2A'!$B$6:$B$10000,$C$5:$C$4995,'GSTR-2A'!$A$6:$A$10000,$BG$3)</f>
        <v>0</v>
      </c>
      <c r="BH58" s="487">
        <f>SUMIFS('GSTR-2A'!$K$6:$K$10000,'GSTR-2A'!$B$6:$B$10000,$C$5:$C$4995,'GSTR-2A'!$A$6:$A$10000,$BG$3)</f>
        <v>0</v>
      </c>
      <c r="BI58" s="487">
        <f>SUMIFS('GSTR-2A'!$L$6:$L$10000,'GSTR-2A'!$B$6:$B$10000,$C$5:$C$4995,'GSTR-2A'!$A$6:$A$10000,$BG$3)</f>
        <v>0</v>
      </c>
      <c r="BJ58" s="487">
        <f>SUMIFS('GSTR-2A'!$M$6:$M$10000,'GSTR-2A'!$B$6:$B$10000,$C$5:$C$4995,'GSTR-2A'!$A$6:$A$10000,$BG$3)</f>
        <v>0</v>
      </c>
      <c r="BK58" s="488">
        <f>SUMIFS('GSTR-2A'!$N$6:$N$10000,'GSTR-2A'!$B$6:$B$10000,$C$5:$C$4995,'GSTR-2A'!$A$6:$A$10000,$BG$3)</f>
        <v>0</v>
      </c>
      <c r="BL58" s="72">
        <f t="shared" si="2"/>
        <v>0</v>
      </c>
      <c r="BM58" s="72">
        <f t="shared" si="3"/>
        <v>0</v>
      </c>
      <c r="BN58" s="72">
        <f t="shared" si="4"/>
        <v>0</v>
      </c>
      <c r="BO58" s="72">
        <f t="shared" si="5"/>
        <v>0</v>
      </c>
      <c r="BP58" s="72">
        <f t="shared" si="6"/>
        <v>0</v>
      </c>
    </row>
    <row r="59" spans="1:68" x14ac:dyDescent="0.2">
      <c r="A59" s="467">
        <v>55</v>
      </c>
      <c r="B59" s="468" t="s">
        <v>601</v>
      </c>
      <c r="C59" s="469" t="s">
        <v>602</v>
      </c>
      <c r="D59" s="72">
        <f>SUMIFS('GSTR-2A'!$G$6:$G$10000,'GSTR-2A'!$B$6:$B$10000,$C$5:$C$4995,'GSTR-2A'!$A$6:$A$10000,$D$3)</f>
        <v>0</v>
      </c>
      <c r="E59" s="72">
        <f>SUMIFS('GSTR-2A'!$K$6:$K$10000,'GSTR-2A'!$B$6:$B$10000,$C$5:$C$4995,'GSTR-2A'!$A$6:$A$10000,$D$3)</f>
        <v>0</v>
      </c>
      <c r="F59" s="72">
        <f>SUMIFS('GSTR-2A'!$L$6:$L$10000,'GSTR-2A'!$B$6:$B$10000,$C$5:$C$4995,'GSTR-2A'!$A$6:$A$10000,$D$3)</f>
        <v>0</v>
      </c>
      <c r="G59" s="72">
        <f>SUMIFS('GSTR-2A'!$M$6:$M$10000,'GSTR-2A'!$B$6:$B$10000,$C$5:$C$4995,'GSTR-2A'!$A$6:$A$10000,$D$3)</f>
        <v>0</v>
      </c>
      <c r="H59" s="72">
        <f>SUMIFS('GSTR-2A'!$N$6:$N$10000,'GSTR-2A'!$B$6:$B$10000,$C$5:$C$4995,'GSTR-2A'!$A$6:$A$10000,$D$3)</f>
        <v>0</v>
      </c>
      <c r="I59" s="486">
        <f>SUMIFS('GSTR-2A'!$G$6:$G$10000,'GSTR-2A'!$B$6:$B$10000,$C$5:$C$4995,'GSTR-2A'!$A$6:$A$10000,$I$3)</f>
        <v>599017.42000000004</v>
      </c>
      <c r="J59" s="487">
        <f>SUMIFS('GSTR-2A'!$K$6:$K$10000,'GSTR-2A'!$B$6:$B$10000,$C$5:$C$4995,'GSTR-2A'!$A$6:$A$10000,$I$3)</f>
        <v>467982.3600000001</v>
      </c>
      <c r="K59" s="487">
        <f>SUMIFS('GSTR-2A'!$L$6:$L$10000,'GSTR-2A'!$B$6:$B$10000,$C$5:$C$4995,'GSTR-2A'!$A$6:$A$10000,$I$3)</f>
        <v>0</v>
      </c>
      <c r="L59" s="487">
        <f>SUMIFS('GSTR-2A'!$M$6:$M$10000,'GSTR-2A'!$B$6:$B$10000,$C$5:$C$4995,'GSTR-2A'!$A$6:$A$10000,$I$3)</f>
        <v>65517.53</v>
      </c>
      <c r="M59" s="488">
        <f>SUMIFS('GSTR-2A'!$N$6:$N$10000,'GSTR-2A'!$B$6:$B$10000,$C$5:$C$4995,'GSTR-2A'!$A$6:$A$10000,$I$3)</f>
        <v>65517.53</v>
      </c>
      <c r="N59" s="486">
        <f>SUMIFS('GSTR-2A'!$G$6:$G$10000,'GSTR-2A'!$B$6:$B$10000,$C$5:$C$4995,'GSTR-2A'!$A$6:$A$10000,$N$3)</f>
        <v>613361.66</v>
      </c>
      <c r="O59" s="487">
        <f>SUMIFS('GSTR-2A'!$K$6:$K$10000,'GSTR-2A'!$B$6:$B$10000,$C$5:$C$4995,'GSTR-2A'!$A$6:$A$10000,$N$3)</f>
        <v>479188.80000000005</v>
      </c>
      <c r="P59" s="487">
        <f>SUMIFS('GSTR-2A'!$L$6:$L$10000,'GSTR-2A'!$B$6:$B$10000,$C$5:$C$4995,'GSTR-2A'!$A$6:$A$10000,$N$3)</f>
        <v>0</v>
      </c>
      <c r="Q59" s="487">
        <f>SUMIFS('GSTR-2A'!$M$6:$M$10000,'GSTR-2A'!$B$6:$B$10000,$C$5:$C$4995,'GSTR-2A'!$A$6:$A$10000,$N$3)</f>
        <v>67086.430000000008</v>
      </c>
      <c r="R59" s="488">
        <f>SUMIFS('GSTR-2A'!$N$6:$N$10000,'GSTR-2A'!$B$6:$B$10000,$C$5:$C$4995,'GSTR-2A'!$A$6:$A$10000,$N$3)</f>
        <v>67086.430000000008</v>
      </c>
      <c r="S59" s="486">
        <f>SUMIFS('GSTR-2A'!$G$6:$G$10000,'GSTR-2A'!$B$6:$B$10000,$C$5:$C$4995,'GSTR-2A'!$A$6:$A$10000,$S$3)</f>
        <v>537587.68000000005</v>
      </c>
      <c r="T59" s="487">
        <f>SUMIFS('GSTR-2A'!$K$6:$K$10000,'GSTR-2A'!$B$6:$B$10000,$C$5:$C$4995,'GSTR-2A'!$A$6:$A$10000,$S$3)</f>
        <v>419990.39999999997</v>
      </c>
      <c r="U59" s="487">
        <f>SUMIFS('GSTR-2A'!$L$6:$L$10000,'GSTR-2A'!$B$6:$B$10000,$C$5:$C$4995,'GSTR-2A'!$A$6:$A$10000,$S$3)</f>
        <v>0</v>
      </c>
      <c r="V59" s="487">
        <f>SUMIFS('GSTR-2A'!$M$6:$M$10000,'GSTR-2A'!$B$6:$B$10000,$C$5:$C$4995,'GSTR-2A'!$A$6:$A$10000,$S$3)</f>
        <v>58798.64</v>
      </c>
      <c r="W59" s="488">
        <f>SUMIFS('GSTR-2A'!$N$6:$N$10000,'GSTR-2A'!$B$6:$B$10000,$C$5:$C$4995,'GSTR-2A'!$A$6:$A$10000,$S$3)</f>
        <v>58798.64</v>
      </c>
      <c r="X59" s="486">
        <f>SUMIFS('GSTR-2A'!$G$6:$G$10000,'GSTR-2A'!$B$6:$B$10000,$C$5:$C$4995,'GSTR-2A'!$A$6:$A$10000,$X$3)</f>
        <v>261676.79999999999</v>
      </c>
      <c r="Y59" s="487">
        <f>SUMIFS('GSTR-2A'!$K$6:$K$10000,'GSTR-2A'!$B$6:$B$10000,$C$5:$C$4995,'GSTR-2A'!$A$6:$A$10000,$X$3)</f>
        <v>204435</v>
      </c>
      <c r="Z59" s="487">
        <f>SUMIFS('GSTR-2A'!$L$6:$L$10000,'GSTR-2A'!$B$6:$B$10000,$C$5:$C$4995,'GSTR-2A'!$A$6:$A$10000,$X$3)</f>
        <v>0</v>
      </c>
      <c r="AA59" s="487">
        <f>SUMIFS('GSTR-2A'!$M$6:$M$10000,'GSTR-2A'!$B$6:$B$10000,$C$5:$C$4995,'GSTR-2A'!$A$6:$A$10000,$X$3)</f>
        <v>28620.9</v>
      </c>
      <c r="AB59" s="488">
        <f>SUMIFS('GSTR-2A'!$N$6:$N$10000,'GSTR-2A'!$B$6:$B$10000,$C$5:$C$4995,'GSTR-2A'!$A$6:$A$10000,$X$3)</f>
        <v>28620.9</v>
      </c>
      <c r="AC59" s="486">
        <f>SUMIFS('GSTR-2A'!$G$6:$G$10000,'GSTR-2A'!$B$6:$B$10000,$C$5:$C$4995,'GSTR-2A'!$A$6:$A$10000,$AC$3)</f>
        <v>439188.47999999998</v>
      </c>
      <c r="AD59" s="487">
        <f>SUMIFS('GSTR-2A'!$K$6:$K$10000,'GSTR-2A'!$B$6:$B$10000,$C$5:$C$4995,'GSTR-2A'!$A$6:$A$10000,$AC$3)</f>
        <v>343116</v>
      </c>
      <c r="AE59" s="487">
        <f>SUMIFS('GSTR-2A'!$L$6:$L$10000,'GSTR-2A'!$B$6:$B$10000,$C$5:$C$4995,'GSTR-2A'!$A$6:$A$10000,$AC$3)</f>
        <v>0</v>
      </c>
      <c r="AF59" s="487">
        <f>SUMIFS('GSTR-2A'!$M$6:$M$10000,'GSTR-2A'!$B$6:$B$10000,$C$5:$C$4995,'GSTR-2A'!$A$6:$A$10000,$AC$3)</f>
        <v>48036.24</v>
      </c>
      <c r="AG59" s="488">
        <f>SUMIFS('GSTR-2A'!$N$6:$N$10000,'GSTR-2A'!$B$6:$B$10000,$C$5:$C$4995,'GSTR-2A'!$A$6:$A$10000,$AC$3)</f>
        <v>48036.24</v>
      </c>
      <c r="AH59" s="486">
        <f>SUMIFS('GSTR-2A'!$G$6:$G$10000,'GSTR-2A'!$B$6:$B$10000,$C$5:$C$4995,'GSTR-2A'!$A$6:$A$10000,$AH$3)</f>
        <v>0</v>
      </c>
      <c r="AI59" s="487">
        <f>SUMIFS('GSTR-2A'!$K$6:$K$10000,'GSTR-2A'!$B$6:$B$10000,$C$5:$C$4995,'GSTR-2A'!$A$6:$A$10000,$AH$3)</f>
        <v>0</v>
      </c>
      <c r="AJ59" s="487">
        <f>SUMIFS('GSTR-2A'!$L$6:$L$10000,'GSTR-2A'!$B$6:$B$10000,$C$5:$C$4995,'GSTR-2A'!$A$6:$A$10000,$AH$3)</f>
        <v>0</v>
      </c>
      <c r="AK59" s="487">
        <f>SUMIFS('GSTR-2A'!$M$6:$M$10000,'GSTR-2A'!$B$6:$B$10000,$C$5:$C$4995,'GSTR-2A'!$A$6:$A$10000,$AH$3)</f>
        <v>0</v>
      </c>
      <c r="AL59" s="488">
        <f>SUMIFS('GSTR-2A'!$N$6:$N$10000,'GSTR-2A'!$B$6:$B$10000,$C$5:$C$4995,'GSTR-2A'!$A$6:$A$10000,$AH$3)</f>
        <v>0</v>
      </c>
      <c r="AM59" s="486">
        <f>SUMIFS('GSTR-2A'!$G$6:$G$10000,'GSTR-2A'!$B$6:$B$10000,$C$5:$C$4995,'GSTR-2A'!$A$6:$A$10000,$AM$3)</f>
        <v>0</v>
      </c>
      <c r="AN59" s="487">
        <f>SUMIFS('GSTR-2A'!$K$6:$K$10000,'GSTR-2A'!$B$6:$B$10000,$C$5:$C$4995,'GSTR-2A'!$A$6:$A$10000,$AM$3)</f>
        <v>0</v>
      </c>
      <c r="AO59" s="487">
        <f>SUMIFS('GSTR-2A'!$L$6:$L$10000,'GSTR-2A'!$B$6:$B$10000,$C$5:$C$4995,'GSTR-2A'!$A$6:$A$10000,$AM$3)</f>
        <v>0</v>
      </c>
      <c r="AP59" s="487">
        <f>SUMIFS('GSTR-2A'!$M$6:$M$10000,'GSTR-2A'!$B$6:$B$10000,$C$5:$C$4995,'GSTR-2A'!$A$6:$A$10000,$AM$3)</f>
        <v>0</v>
      </c>
      <c r="AQ59" s="488">
        <f>SUMIFS('GSTR-2A'!$N$6:$N$10000,'GSTR-2A'!$B$6:$B$10000,$C$5:$C$4995,'GSTR-2A'!$A$6:$A$10000,$AM$3)</f>
        <v>0</v>
      </c>
      <c r="AR59" s="486">
        <f>SUMIFS('GSTR-2A'!$G$6:$G$10000,'GSTR-2A'!$B$6:$B$10000,$C$5:$C$4995,'GSTR-2A'!$A$6:$A$10000,$AR$3)</f>
        <v>0</v>
      </c>
      <c r="AS59" s="487">
        <f>SUMIFS('GSTR-2A'!$K$6:$K$10000,'GSTR-2A'!$B$6:$B$10000,$C$5:$C$4995,'GSTR-2A'!$A$6:$A$10000,$AR$3)</f>
        <v>0</v>
      </c>
      <c r="AT59" s="487">
        <f>SUMIFS('GSTR-2A'!$L$6:$L$10000,'GSTR-2A'!$B$6:$B$10000,$C$5:$C$4995,'GSTR-2A'!$A$6:$A$10000,$AR$3)</f>
        <v>0</v>
      </c>
      <c r="AU59" s="487">
        <f>SUMIFS('GSTR-2A'!$M$6:$M$10000,'GSTR-2A'!$B$6:$B$10000,$C$5:$C$4995,'GSTR-2A'!$A$6:$A$10000,$AR$3)</f>
        <v>0</v>
      </c>
      <c r="AV59" s="488">
        <f>SUMIFS('GSTR-2A'!$N$6:$N$10000,'GSTR-2A'!$B$6:$B$10000,$C$5:$C$4995,'GSTR-2A'!$A$6:$A$10000,$AR$3)</f>
        <v>0</v>
      </c>
      <c r="AW59" s="486">
        <f>SUMIFS('GSTR-2A'!$G$6:$G$10000,'GSTR-2A'!$B$6:$B$10000,$C$5:$C$4995,'GSTR-2A'!$A$6:$A$10000,$AW$3)</f>
        <v>0</v>
      </c>
      <c r="AX59" s="487">
        <f>SUMIFS('GSTR-2A'!$K$6:$K$10000,'GSTR-2A'!$B$6:$B$10000,$C$5:$C$4995,'GSTR-2A'!$A$6:$A$10000,$AW$3)</f>
        <v>0</v>
      </c>
      <c r="AY59" s="487">
        <f>SUMIFS('GSTR-2A'!$L$6:$L$10000,'GSTR-2A'!$B$6:$B$10000,$C$5:$C$4995,'GSTR-2A'!$A$6:$A$10000,$AW$3)</f>
        <v>0</v>
      </c>
      <c r="AZ59" s="487">
        <f>SUMIFS('GSTR-2A'!$M$6:$M$10000,'GSTR-2A'!$B$6:$B$10000,$C$5:$C$4995,'GSTR-2A'!$A$6:$A$10000,$AW$3)</f>
        <v>0</v>
      </c>
      <c r="BA59" s="488">
        <f>SUMIFS('GSTR-2A'!$N$6:$N$10000,'GSTR-2A'!$B$6:$B$10000,$C$5:$C$4995,'GSTR-2A'!$A$6:$A$10000,$AW$3)</f>
        <v>0</v>
      </c>
      <c r="BB59" s="486">
        <f>SUMIFS('GSTR-2A'!$G$6:$G$10000,'GSTR-2A'!$B$6:$B$10000,$C$5:$C$4995,'GSTR-2A'!$A$6:$A$10000,$BB$3)</f>
        <v>0</v>
      </c>
      <c r="BC59" s="487">
        <f>SUMIFS('GSTR-2A'!$K$6:$K$10000,'GSTR-2A'!$B$6:$B$10000,$C$5:$C$4995,'GSTR-2A'!$A$6:$A$10000,$BB$3)</f>
        <v>0</v>
      </c>
      <c r="BD59" s="487">
        <f>SUMIFS('GSTR-2A'!$L$6:$L$10000,'GSTR-2A'!$B$6:$B$10000,$C$5:$C$4995,'GSTR-2A'!$A$6:$A$10000,$BB$3)</f>
        <v>0</v>
      </c>
      <c r="BE59" s="487">
        <f>SUMIFS('GSTR-2A'!$M$6:$M$10000,'GSTR-2A'!$B$6:$B$10000,$C$5:$C$4995,'GSTR-2A'!$A$6:$A$10000,$BB$3)</f>
        <v>0</v>
      </c>
      <c r="BF59" s="488">
        <f>SUMIFS('GSTR-2A'!$N$6:$N$10000,'GSTR-2A'!$B$6:$B$10000,$C$5:$C$4995,'GSTR-2A'!$A$6:$A$10000,$BB$3)</f>
        <v>0</v>
      </c>
      <c r="BG59" s="486">
        <f>SUMIFS('GSTR-2A'!$G$6:$G$10000,'GSTR-2A'!$B$6:$B$10000,$C$5:$C$4995,'GSTR-2A'!$A$6:$A$10000,$BG$3)</f>
        <v>0</v>
      </c>
      <c r="BH59" s="487">
        <f>SUMIFS('GSTR-2A'!$K$6:$K$10000,'GSTR-2A'!$B$6:$B$10000,$C$5:$C$4995,'GSTR-2A'!$A$6:$A$10000,$BG$3)</f>
        <v>0</v>
      </c>
      <c r="BI59" s="487">
        <f>SUMIFS('GSTR-2A'!$L$6:$L$10000,'GSTR-2A'!$B$6:$B$10000,$C$5:$C$4995,'GSTR-2A'!$A$6:$A$10000,$BG$3)</f>
        <v>0</v>
      </c>
      <c r="BJ59" s="487">
        <f>SUMIFS('GSTR-2A'!$M$6:$M$10000,'GSTR-2A'!$B$6:$B$10000,$C$5:$C$4995,'GSTR-2A'!$A$6:$A$10000,$BG$3)</f>
        <v>0</v>
      </c>
      <c r="BK59" s="488">
        <f>SUMIFS('GSTR-2A'!$N$6:$N$10000,'GSTR-2A'!$B$6:$B$10000,$C$5:$C$4995,'GSTR-2A'!$A$6:$A$10000,$BG$3)</f>
        <v>0</v>
      </c>
      <c r="BL59" s="72">
        <f t="shared" si="2"/>
        <v>2450832.04</v>
      </c>
      <c r="BM59" s="72">
        <f t="shared" si="3"/>
        <v>1914712.56</v>
      </c>
      <c r="BN59" s="72">
        <f t="shared" si="4"/>
        <v>0</v>
      </c>
      <c r="BO59" s="72">
        <f t="shared" si="5"/>
        <v>268059.74000000005</v>
      </c>
      <c r="BP59" s="72">
        <f t="shared" si="6"/>
        <v>268059.74000000005</v>
      </c>
    </row>
    <row r="60" spans="1:68" x14ac:dyDescent="0.2">
      <c r="A60" s="467">
        <v>56</v>
      </c>
      <c r="B60" s="468" t="s">
        <v>1120</v>
      </c>
      <c r="C60" s="469" t="s">
        <v>242</v>
      </c>
      <c r="D60" s="72">
        <f>SUMIFS('GSTR-2A'!$G$6:$G$10000,'GSTR-2A'!$B$6:$B$10000,$C$5:$C$4995,'GSTR-2A'!$A$6:$A$10000,$D$3)</f>
        <v>0</v>
      </c>
      <c r="E60" s="72">
        <f>SUMIFS('GSTR-2A'!$K$6:$K$10000,'GSTR-2A'!$B$6:$B$10000,$C$5:$C$4995,'GSTR-2A'!$A$6:$A$10000,$D$3)</f>
        <v>0</v>
      </c>
      <c r="F60" s="72">
        <f>SUMIFS('GSTR-2A'!$L$6:$L$10000,'GSTR-2A'!$B$6:$B$10000,$C$5:$C$4995,'GSTR-2A'!$A$6:$A$10000,$D$3)</f>
        <v>0</v>
      </c>
      <c r="G60" s="72">
        <f>SUMIFS('GSTR-2A'!$M$6:$M$10000,'GSTR-2A'!$B$6:$B$10000,$C$5:$C$4995,'GSTR-2A'!$A$6:$A$10000,$D$3)</f>
        <v>0</v>
      </c>
      <c r="H60" s="72">
        <f>SUMIFS('GSTR-2A'!$N$6:$N$10000,'GSTR-2A'!$B$6:$B$10000,$C$5:$C$4995,'GSTR-2A'!$A$6:$A$10000,$D$3)</f>
        <v>0</v>
      </c>
      <c r="I60" s="486">
        <f>SUMIFS('GSTR-2A'!$G$6:$G$10000,'GSTR-2A'!$B$6:$B$10000,$C$5:$C$4995,'GSTR-2A'!$A$6:$A$10000,$I$3)</f>
        <v>0</v>
      </c>
      <c r="J60" s="487">
        <f>SUMIFS('GSTR-2A'!$K$6:$K$10000,'GSTR-2A'!$B$6:$B$10000,$C$5:$C$4995,'GSTR-2A'!$A$6:$A$10000,$I$3)</f>
        <v>0</v>
      </c>
      <c r="K60" s="487">
        <f>SUMIFS('GSTR-2A'!$L$6:$L$10000,'GSTR-2A'!$B$6:$B$10000,$C$5:$C$4995,'GSTR-2A'!$A$6:$A$10000,$I$3)</f>
        <v>0</v>
      </c>
      <c r="L60" s="487">
        <f>SUMIFS('GSTR-2A'!$M$6:$M$10000,'GSTR-2A'!$B$6:$B$10000,$C$5:$C$4995,'GSTR-2A'!$A$6:$A$10000,$I$3)</f>
        <v>0</v>
      </c>
      <c r="M60" s="488">
        <f>SUMIFS('GSTR-2A'!$N$6:$N$10000,'GSTR-2A'!$B$6:$B$10000,$C$5:$C$4995,'GSTR-2A'!$A$6:$A$10000,$I$3)</f>
        <v>0</v>
      </c>
      <c r="N60" s="486">
        <f>SUMIFS('GSTR-2A'!$G$6:$G$10000,'GSTR-2A'!$B$6:$B$10000,$C$5:$C$4995,'GSTR-2A'!$A$6:$A$10000,$N$3)</f>
        <v>0</v>
      </c>
      <c r="O60" s="487">
        <f>SUMIFS('GSTR-2A'!$K$6:$K$10000,'GSTR-2A'!$B$6:$B$10000,$C$5:$C$4995,'GSTR-2A'!$A$6:$A$10000,$N$3)</f>
        <v>0</v>
      </c>
      <c r="P60" s="487">
        <f>SUMIFS('GSTR-2A'!$L$6:$L$10000,'GSTR-2A'!$B$6:$B$10000,$C$5:$C$4995,'GSTR-2A'!$A$6:$A$10000,$N$3)</f>
        <v>0</v>
      </c>
      <c r="Q60" s="487">
        <f>SUMIFS('GSTR-2A'!$M$6:$M$10000,'GSTR-2A'!$B$6:$B$10000,$C$5:$C$4995,'GSTR-2A'!$A$6:$A$10000,$N$3)</f>
        <v>0</v>
      </c>
      <c r="R60" s="488">
        <f>SUMIFS('GSTR-2A'!$N$6:$N$10000,'GSTR-2A'!$B$6:$B$10000,$C$5:$C$4995,'GSTR-2A'!$A$6:$A$10000,$N$3)</f>
        <v>0</v>
      </c>
      <c r="S60" s="486">
        <f>SUMIFS('GSTR-2A'!$G$6:$G$10000,'GSTR-2A'!$B$6:$B$10000,$C$5:$C$4995,'GSTR-2A'!$A$6:$A$10000,$S$3)</f>
        <v>0</v>
      </c>
      <c r="T60" s="487">
        <f>SUMIFS('GSTR-2A'!$K$6:$K$10000,'GSTR-2A'!$B$6:$B$10000,$C$5:$C$4995,'GSTR-2A'!$A$6:$A$10000,$S$3)</f>
        <v>0</v>
      </c>
      <c r="U60" s="487">
        <f>SUMIFS('GSTR-2A'!$L$6:$L$10000,'GSTR-2A'!$B$6:$B$10000,$C$5:$C$4995,'GSTR-2A'!$A$6:$A$10000,$S$3)</f>
        <v>0</v>
      </c>
      <c r="V60" s="487">
        <f>SUMIFS('GSTR-2A'!$M$6:$M$10000,'GSTR-2A'!$B$6:$B$10000,$C$5:$C$4995,'GSTR-2A'!$A$6:$A$10000,$S$3)</f>
        <v>0</v>
      </c>
      <c r="W60" s="488">
        <f>SUMIFS('GSTR-2A'!$N$6:$N$10000,'GSTR-2A'!$B$6:$B$10000,$C$5:$C$4995,'GSTR-2A'!$A$6:$A$10000,$S$3)</f>
        <v>0</v>
      </c>
      <c r="X60" s="486">
        <f>SUMIFS('GSTR-2A'!$G$6:$G$10000,'GSTR-2A'!$B$6:$B$10000,$C$5:$C$4995,'GSTR-2A'!$A$6:$A$10000,$X$3)</f>
        <v>0</v>
      </c>
      <c r="Y60" s="487">
        <f>SUMIFS('GSTR-2A'!$K$6:$K$10000,'GSTR-2A'!$B$6:$B$10000,$C$5:$C$4995,'GSTR-2A'!$A$6:$A$10000,$X$3)</f>
        <v>0</v>
      </c>
      <c r="Z60" s="487">
        <f>SUMIFS('GSTR-2A'!$L$6:$L$10000,'GSTR-2A'!$B$6:$B$10000,$C$5:$C$4995,'GSTR-2A'!$A$6:$A$10000,$X$3)</f>
        <v>0</v>
      </c>
      <c r="AA60" s="487">
        <f>SUMIFS('GSTR-2A'!$M$6:$M$10000,'GSTR-2A'!$B$6:$B$10000,$C$5:$C$4995,'GSTR-2A'!$A$6:$A$10000,$X$3)</f>
        <v>0</v>
      </c>
      <c r="AB60" s="488">
        <f>SUMIFS('GSTR-2A'!$N$6:$N$10000,'GSTR-2A'!$B$6:$B$10000,$C$5:$C$4995,'GSTR-2A'!$A$6:$A$10000,$X$3)</f>
        <v>0</v>
      </c>
      <c r="AC60" s="486">
        <f>SUMIFS('GSTR-2A'!$G$6:$G$10000,'GSTR-2A'!$B$6:$B$10000,$C$5:$C$4995,'GSTR-2A'!$A$6:$A$10000,$AC$3)</f>
        <v>0</v>
      </c>
      <c r="AD60" s="487">
        <f>SUMIFS('GSTR-2A'!$K$6:$K$10000,'GSTR-2A'!$B$6:$B$10000,$C$5:$C$4995,'GSTR-2A'!$A$6:$A$10000,$AC$3)</f>
        <v>0</v>
      </c>
      <c r="AE60" s="487">
        <f>SUMIFS('GSTR-2A'!$L$6:$L$10000,'GSTR-2A'!$B$6:$B$10000,$C$5:$C$4995,'GSTR-2A'!$A$6:$A$10000,$AC$3)</f>
        <v>0</v>
      </c>
      <c r="AF60" s="487">
        <f>SUMIFS('GSTR-2A'!$M$6:$M$10000,'GSTR-2A'!$B$6:$B$10000,$C$5:$C$4995,'GSTR-2A'!$A$6:$A$10000,$AC$3)</f>
        <v>0</v>
      </c>
      <c r="AG60" s="488">
        <f>SUMIFS('GSTR-2A'!$N$6:$N$10000,'GSTR-2A'!$B$6:$B$10000,$C$5:$C$4995,'GSTR-2A'!$A$6:$A$10000,$AC$3)</f>
        <v>0</v>
      </c>
      <c r="AH60" s="486">
        <f>SUMIFS('GSTR-2A'!$G$6:$G$10000,'GSTR-2A'!$B$6:$B$10000,$C$5:$C$4995,'GSTR-2A'!$A$6:$A$10000,$AH$3)</f>
        <v>0</v>
      </c>
      <c r="AI60" s="487">
        <f>SUMIFS('GSTR-2A'!$K$6:$K$10000,'GSTR-2A'!$B$6:$B$10000,$C$5:$C$4995,'GSTR-2A'!$A$6:$A$10000,$AH$3)</f>
        <v>0</v>
      </c>
      <c r="AJ60" s="487">
        <f>SUMIFS('GSTR-2A'!$L$6:$L$10000,'GSTR-2A'!$B$6:$B$10000,$C$5:$C$4995,'GSTR-2A'!$A$6:$A$10000,$AH$3)</f>
        <v>0</v>
      </c>
      <c r="AK60" s="487">
        <f>SUMIFS('GSTR-2A'!$M$6:$M$10000,'GSTR-2A'!$B$6:$B$10000,$C$5:$C$4995,'GSTR-2A'!$A$6:$A$10000,$AH$3)</f>
        <v>0</v>
      </c>
      <c r="AL60" s="488">
        <f>SUMIFS('GSTR-2A'!$N$6:$N$10000,'GSTR-2A'!$B$6:$B$10000,$C$5:$C$4995,'GSTR-2A'!$A$6:$A$10000,$AH$3)</f>
        <v>0</v>
      </c>
      <c r="AM60" s="486">
        <f>SUMIFS('GSTR-2A'!$G$6:$G$10000,'GSTR-2A'!$B$6:$B$10000,$C$5:$C$4995,'GSTR-2A'!$A$6:$A$10000,$AM$3)</f>
        <v>0</v>
      </c>
      <c r="AN60" s="487">
        <f>SUMIFS('GSTR-2A'!$K$6:$K$10000,'GSTR-2A'!$B$6:$B$10000,$C$5:$C$4995,'GSTR-2A'!$A$6:$A$10000,$AM$3)</f>
        <v>0</v>
      </c>
      <c r="AO60" s="487">
        <f>SUMIFS('GSTR-2A'!$L$6:$L$10000,'GSTR-2A'!$B$6:$B$10000,$C$5:$C$4995,'GSTR-2A'!$A$6:$A$10000,$AM$3)</f>
        <v>0</v>
      </c>
      <c r="AP60" s="487">
        <f>SUMIFS('GSTR-2A'!$M$6:$M$10000,'GSTR-2A'!$B$6:$B$10000,$C$5:$C$4995,'GSTR-2A'!$A$6:$A$10000,$AM$3)</f>
        <v>0</v>
      </c>
      <c r="AQ60" s="488">
        <f>SUMIFS('GSTR-2A'!$N$6:$N$10000,'GSTR-2A'!$B$6:$B$10000,$C$5:$C$4995,'GSTR-2A'!$A$6:$A$10000,$AM$3)</f>
        <v>0</v>
      </c>
      <c r="AR60" s="486">
        <f>SUMIFS('GSTR-2A'!$G$6:$G$10000,'GSTR-2A'!$B$6:$B$10000,$C$5:$C$4995,'GSTR-2A'!$A$6:$A$10000,$AR$3)</f>
        <v>0</v>
      </c>
      <c r="AS60" s="487">
        <f>SUMIFS('GSTR-2A'!$K$6:$K$10000,'GSTR-2A'!$B$6:$B$10000,$C$5:$C$4995,'GSTR-2A'!$A$6:$A$10000,$AR$3)</f>
        <v>0</v>
      </c>
      <c r="AT60" s="487">
        <f>SUMIFS('GSTR-2A'!$L$6:$L$10000,'GSTR-2A'!$B$6:$B$10000,$C$5:$C$4995,'GSTR-2A'!$A$6:$A$10000,$AR$3)</f>
        <v>0</v>
      </c>
      <c r="AU60" s="487">
        <f>SUMIFS('GSTR-2A'!$M$6:$M$10000,'GSTR-2A'!$B$6:$B$10000,$C$5:$C$4995,'GSTR-2A'!$A$6:$A$10000,$AR$3)</f>
        <v>0</v>
      </c>
      <c r="AV60" s="488">
        <f>SUMIFS('GSTR-2A'!$N$6:$N$10000,'GSTR-2A'!$B$6:$B$10000,$C$5:$C$4995,'GSTR-2A'!$A$6:$A$10000,$AR$3)</f>
        <v>0</v>
      </c>
      <c r="AW60" s="486">
        <f>SUMIFS('GSTR-2A'!$G$6:$G$10000,'GSTR-2A'!$B$6:$B$10000,$C$5:$C$4995,'GSTR-2A'!$A$6:$A$10000,$AW$3)</f>
        <v>0</v>
      </c>
      <c r="AX60" s="487">
        <f>SUMIFS('GSTR-2A'!$K$6:$K$10000,'GSTR-2A'!$B$6:$B$10000,$C$5:$C$4995,'GSTR-2A'!$A$6:$A$10000,$AW$3)</f>
        <v>0</v>
      </c>
      <c r="AY60" s="487">
        <f>SUMIFS('GSTR-2A'!$L$6:$L$10000,'GSTR-2A'!$B$6:$B$10000,$C$5:$C$4995,'GSTR-2A'!$A$6:$A$10000,$AW$3)</f>
        <v>0</v>
      </c>
      <c r="AZ60" s="487">
        <f>SUMIFS('GSTR-2A'!$M$6:$M$10000,'GSTR-2A'!$B$6:$B$10000,$C$5:$C$4995,'GSTR-2A'!$A$6:$A$10000,$AW$3)</f>
        <v>0</v>
      </c>
      <c r="BA60" s="488">
        <f>SUMIFS('GSTR-2A'!$N$6:$N$10000,'GSTR-2A'!$B$6:$B$10000,$C$5:$C$4995,'GSTR-2A'!$A$6:$A$10000,$AW$3)</f>
        <v>0</v>
      </c>
      <c r="BB60" s="486">
        <f>SUMIFS('GSTR-2A'!$G$6:$G$10000,'GSTR-2A'!$B$6:$B$10000,$C$5:$C$4995,'GSTR-2A'!$A$6:$A$10000,$BB$3)</f>
        <v>0</v>
      </c>
      <c r="BC60" s="487">
        <f>SUMIFS('GSTR-2A'!$K$6:$K$10000,'GSTR-2A'!$B$6:$B$10000,$C$5:$C$4995,'GSTR-2A'!$A$6:$A$10000,$BB$3)</f>
        <v>0</v>
      </c>
      <c r="BD60" s="487">
        <f>SUMIFS('GSTR-2A'!$L$6:$L$10000,'GSTR-2A'!$B$6:$B$10000,$C$5:$C$4995,'GSTR-2A'!$A$6:$A$10000,$BB$3)</f>
        <v>0</v>
      </c>
      <c r="BE60" s="487">
        <f>SUMIFS('GSTR-2A'!$M$6:$M$10000,'GSTR-2A'!$B$6:$B$10000,$C$5:$C$4995,'GSTR-2A'!$A$6:$A$10000,$BB$3)</f>
        <v>0</v>
      </c>
      <c r="BF60" s="488">
        <f>SUMIFS('GSTR-2A'!$N$6:$N$10000,'GSTR-2A'!$B$6:$B$10000,$C$5:$C$4995,'GSTR-2A'!$A$6:$A$10000,$BB$3)</f>
        <v>0</v>
      </c>
      <c r="BG60" s="486">
        <f>SUMIFS('GSTR-2A'!$G$6:$G$10000,'GSTR-2A'!$B$6:$B$10000,$C$5:$C$4995,'GSTR-2A'!$A$6:$A$10000,$BG$3)</f>
        <v>0</v>
      </c>
      <c r="BH60" s="487">
        <f>SUMIFS('GSTR-2A'!$K$6:$K$10000,'GSTR-2A'!$B$6:$B$10000,$C$5:$C$4995,'GSTR-2A'!$A$6:$A$10000,$BG$3)</f>
        <v>0</v>
      </c>
      <c r="BI60" s="487">
        <f>SUMIFS('GSTR-2A'!$L$6:$L$10000,'GSTR-2A'!$B$6:$B$10000,$C$5:$C$4995,'GSTR-2A'!$A$6:$A$10000,$BG$3)</f>
        <v>0</v>
      </c>
      <c r="BJ60" s="487">
        <f>SUMIFS('GSTR-2A'!$M$6:$M$10000,'GSTR-2A'!$B$6:$B$10000,$C$5:$C$4995,'GSTR-2A'!$A$6:$A$10000,$BG$3)</f>
        <v>0</v>
      </c>
      <c r="BK60" s="488">
        <f>SUMIFS('GSTR-2A'!$N$6:$N$10000,'GSTR-2A'!$B$6:$B$10000,$C$5:$C$4995,'GSTR-2A'!$A$6:$A$10000,$BG$3)</f>
        <v>0</v>
      </c>
      <c r="BL60" s="72">
        <f t="shared" si="2"/>
        <v>0</v>
      </c>
      <c r="BM60" s="72">
        <f t="shared" si="3"/>
        <v>0</v>
      </c>
      <c r="BN60" s="72">
        <f t="shared" si="4"/>
        <v>0</v>
      </c>
      <c r="BO60" s="72">
        <f t="shared" si="5"/>
        <v>0</v>
      </c>
      <c r="BP60" s="72">
        <f t="shared" si="6"/>
        <v>0</v>
      </c>
    </row>
    <row r="61" spans="1:68" x14ac:dyDescent="0.2">
      <c r="A61" s="467">
        <v>57</v>
      </c>
      <c r="B61" s="468" t="s">
        <v>471</v>
      </c>
      <c r="C61" s="468" t="s">
        <v>29</v>
      </c>
      <c r="D61" s="72">
        <f>SUMIFS('GSTR-2A'!$G$6:$G$10000,'GSTR-2A'!$B$6:$B$10000,$C$5:$C$4995,'GSTR-2A'!$A$6:$A$10000,$D$3)</f>
        <v>841073.66000000061</v>
      </c>
      <c r="E61" s="72">
        <f>SUMIFS('GSTR-2A'!$K$6:$K$10000,'GSTR-2A'!$B$6:$B$10000,$C$5:$C$4995,'GSTR-2A'!$A$6:$A$10000,$D$3)</f>
        <v>657088.96000000031</v>
      </c>
      <c r="F61" s="72">
        <f>SUMIFS('GSTR-2A'!$L$6:$L$10000,'GSTR-2A'!$B$6:$B$10000,$C$5:$C$4995,'GSTR-2A'!$A$6:$A$10000,$D$3)</f>
        <v>0</v>
      </c>
      <c r="G61" s="72">
        <f>SUMIFS('GSTR-2A'!$M$6:$M$10000,'GSTR-2A'!$B$6:$B$10000,$C$5:$C$4995,'GSTR-2A'!$A$6:$A$10000,$D$3)</f>
        <v>91992.350000000049</v>
      </c>
      <c r="H61" s="72">
        <f>SUMIFS('GSTR-2A'!$N$6:$N$10000,'GSTR-2A'!$B$6:$B$10000,$C$5:$C$4995,'GSTR-2A'!$A$6:$A$10000,$D$3)</f>
        <v>91992.350000000049</v>
      </c>
      <c r="I61" s="486">
        <f>SUMIFS('GSTR-2A'!$G$6:$G$10000,'GSTR-2A'!$B$6:$B$10000,$C$5:$C$4995,'GSTR-2A'!$A$6:$A$10000,$I$3)</f>
        <v>999590.8800000007</v>
      </c>
      <c r="J61" s="487">
        <f>SUMIFS('GSTR-2A'!$K$6:$K$10000,'GSTR-2A'!$B$6:$B$10000,$C$5:$C$4995,'GSTR-2A'!$A$6:$A$10000,$I$3)</f>
        <v>780930.56000000041</v>
      </c>
      <c r="K61" s="487">
        <f>SUMIFS('GSTR-2A'!$L$6:$L$10000,'GSTR-2A'!$B$6:$B$10000,$C$5:$C$4995,'GSTR-2A'!$A$6:$A$10000,$I$3)</f>
        <v>0</v>
      </c>
      <c r="L61" s="487">
        <f>SUMIFS('GSTR-2A'!$M$6:$M$10000,'GSTR-2A'!$B$6:$B$10000,$C$5:$C$4995,'GSTR-2A'!$A$6:$A$10000,$I$3)</f>
        <v>109330.16000000006</v>
      </c>
      <c r="M61" s="488">
        <f>SUMIFS('GSTR-2A'!$N$6:$N$10000,'GSTR-2A'!$B$6:$B$10000,$C$5:$C$4995,'GSTR-2A'!$A$6:$A$10000,$I$3)</f>
        <v>109330.16000000006</v>
      </c>
      <c r="N61" s="486">
        <f>SUMIFS('GSTR-2A'!$G$6:$G$10000,'GSTR-2A'!$B$6:$B$10000,$C$5:$C$4995,'GSTR-2A'!$A$6:$A$10000,$N$3)</f>
        <v>648988.10000000033</v>
      </c>
      <c r="O61" s="487">
        <f>SUMIFS('GSTR-2A'!$K$6:$K$10000,'GSTR-2A'!$B$6:$B$10000,$C$5:$C$4995,'GSTR-2A'!$A$6:$A$10000,$N$3)</f>
        <v>507022.08000000019</v>
      </c>
      <c r="P61" s="487">
        <f>SUMIFS('GSTR-2A'!$L$6:$L$10000,'GSTR-2A'!$B$6:$B$10000,$C$5:$C$4995,'GSTR-2A'!$A$6:$A$10000,$N$3)</f>
        <v>0</v>
      </c>
      <c r="Q61" s="487">
        <f>SUMIFS('GSTR-2A'!$M$6:$M$10000,'GSTR-2A'!$B$6:$B$10000,$C$5:$C$4995,'GSTR-2A'!$A$6:$A$10000,$N$3)</f>
        <v>70983.010000000024</v>
      </c>
      <c r="R61" s="488">
        <f>SUMIFS('GSTR-2A'!$N$6:$N$10000,'GSTR-2A'!$B$6:$B$10000,$C$5:$C$4995,'GSTR-2A'!$A$6:$A$10000,$N$3)</f>
        <v>70983.010000000024</v>
      </c>
      <c r="S61" s="486">
        <f>SUMIFS('GSTR-2A'!$G$6:$G$10000,'GSTR-2A'!$B$6:$B$10000,$C$5:$C$4995,'GSTR-2A'!$A$6:$A$10000,$S$3)</f>
        <v>876506.92000000051</v>
      </c>
      <c r="T61" s="487">
        <f>SUMIFS('GSTR-2A'!$K$6:$K$10000,'GSTR-2A'!$B$6:$B$10000,$C$5:$C$4995,'GSTR-2A'!$A$6:$A$10000,$S$3)</f>
        <v>684771.2000000003</v>
      </c>
      <c r="U61" s="487">
        <f>SUMIFS('GSTR-2A'!$L$6:$L$10000,'GSTR-2A'!$B$6:$B$10000,$C$5:$C$4995,'GSTR-2A'!$A$6:$A$10000,$S$3)</f>
        <v>0</v>
      </c>
      <c r="V61" s="487">
        <f>SUMIFS('GSTR-2A'!$M$6:$M$10000,'GSTR-2A'!$B$6:$B$10000,$C$5:$C$4995,'GSTR-2A'!$A$6:$A$10000,$S$3)</f>
        <v>95867.860000000059</v>
      </c>
      <c r="W61" s="488">
        <f>SUMIFS('GSTR-2A'!$N$6:$N$10000,'GSTR-2A'!$B$6:$B$10000,$C$5:$C$4995,'GSTR-2A'!$A$6:$A$10000,$S$3)</f>
        <v>95867.860000000059</v>
      </c>
      <c r="X61" s="486">
        <f>SUMIFS('GSTR-2A'!$G$6:$G$10000,'GSTR-2A'!$B$6:$B$10000,$C$5:$C$4995,'GSTR-2A'!$A$6:$A$10000,$X$3)</f>
        <v>632203.94000000029</v>
      </c>
      <c r="Y61" s="487">
        <f>SUMIFS('GSTR-2A'!$K$6:$K$10000,'GSTR-2A'!$B$6:$B$10000,$C$5:$C$4995,'GSTR-2A'!$A$6:$A$10000,$X$3)</f>
        <v>493909.44000000018</v>
      </c>
      <c r="Z61" s="487">
        <f>SUMIFS('GSTR-2A'!$L$6:$L$10000,'GSTR-2A'!$B$6:$B$10000,$C$5:$C$4995,'GSTR-2A'!$A$6:$A$10000,$X$3)</f>
        <v>0</v>
      </c>
      <c r="AA61" s="487">
        <f>SUMIFS('GSTR-2A'!$M$6:$M$10000,'GSTR-2A'!$B$6:$B$10000,$C$5:$C$4995,'GSTR-2A'!$A$6:$A$10000,$X$3)</f>
        <v>69147.250000000015</v>
      </c>
      <c r="AB61" s="488">
        <f>SUMIFS('GSTR-2A'!$N$6:$N$10000,'GSTR-2A'!$B$6:$B$10000,$C$5:$C$4995,'GSTR-2A'!$A$6:$A$10000,$X$3)</f>
        <v>69147.250000000015</v>
      </c>
      <c r="AC61" s="486">
        <f>SUMIFS('GSTR-2A'!$G$6:$G$10000,'GSTR-2A'!$B$6:$B$10000,$C$5:$C$4995,'GSTR-2A'!$A$6:$A$10000,$AC$3)</f>
        <v>223788.99999999997</v>
      </c>
      <c r="AD61" s="487">
        <f>SUMIFS('GSTR-2A'!$K$6:$K$10000,'GSTR-2A'!$B$6:$B$10000,$C$5:$C$4995,'GSTR-2A'!$A$6:$A$10000,$AC$3)</f>
        <v>174835.19999999998</v>
      </c>
      <c r="AE61" s="487">
        <f>SUMIFS('GSTR-2A'!$L$6:$L$10000,'GSTR-2A'!$B$6:$B$10000,$C$5:$C$4995,'GSTR-2A'!$A$6:$A$10000,$AC$3)</f>
        <v>0</v>
      </c>
      <c r="AF61" s="487">
        <f>SUMIFS('GSTR-2A'!$M$6:$M$10000,'GSTR-2A'!$B$6:$B$10000,$C$5:$C$4995,'GSTR-2A'!$A$6:$A$10000,$AC$3)</f>
        <v>24476.899999999998</v>
      </c>
      <c r="AG61" s="488">
        <f>SUMIFS('GSTR-2A'!$N$6:$N$10000,'GSTR-2A'!$B$6:$B$10000,$C$5:$C$4995,'GSTR-2A'!$A$6:$A$10000,$AC$3)</f>
        <v>24476.899999999998</v>
      </c>
      <c r="AH61" s="486">
        <f>SUMIFS('GSTR-2A'!$G$6:$G$10000,'GSTR-2A'!$B$6:$B$10000,$C$5:$C$4995,'GSTR-2A'!$A$6:$A$10000,$AH$3)</f>
        <v>0</v>
      </c>
      <c r="AI61" s="487">
        <f>SUMIFS('GSTR-2A'!$K$6:$K$10000,'GSTR-2A'!$B$6:$B$10000,$C$5:$C$4995,'GSTR-2A'!$A$6:$A$10000,$AH$3)</f>
        <v>0</v>
      </c>
      <c r="AJ61" s="487">
        <f>SUMIFS('GSTR-2A'!$L$6:$L$10000,'GSTR-2A'!$B$6:$B$10000,$C$5:$C$4995,'GSTR-2A'!$A$6:$A$10000,$AH$3)</f>
        <v>0</v>
      </c>
      <c r="AK61" s="487">
        <f>SUMIFS('GSTR-2A'!$M$6:$M$10000,'GSTR-2A'!$B$6:$B$10000,$C$5:$C$4995,'GSTR-2A'!$A$6:$A$10000,$AH$3)</f>
        <v>0</v>
      </c>
      <c r="AL61" s="488">
        <f>SUMIFS('GSTR-2A'!$N$6:$N$10000,'GSTR-2A'!$B$6:$B$10000,$C$5:$C$4995,'GSTR-2A'!$A$6:$A$10000,$AH$3)</f>
        <v>0</v>
      </c>
      <c r="AM61" s="486">
        <f>SUMIFS('GSTR-2A'!$G$6:$G$10000,'GSTR-2A'!$B$6:$B$10000,$C$5:$C$4995,'GSTR-2A'!$A$6:$A$10000,$AM$3)</f>
        <v>0</v>
      </c>
      <c r="AN61" s="487">
        <f>SUMIFS('GSTR-2A'!$K$6:$K$10000,'GSTR-2A'!$B$6:$B$10000,$C$5:$C$4995,'GSTR-2A'!$A$6:$A$10000,$AM$3)</f>
        <v>0</v>
      </c>
      <c r="AO61" s="487">
        <f>SUMIFS('GSTR-2A'!$L$6:$L$10000,'GSTR-2A'!$B$6:$B$10000,$C$5:$C$4995,'GSTR-2A'!$A$6:$A$10000,$AM$3)</f>
        <v>0</v>
      </c>
      <c r="AP61" s="487">
        <f>SUMIFS('GSTR-2A'!$M$6:$M$10000,'GSTR-2A'!$B$6:$B$10000,$C$5:$C$4995,'GSTR-2A'!$A$6:$A$10000,$AM$3)</f>
        <v>0</v>
      </c>
      <c r="AQ61" s="488">
        <f>SUMIFS('GSTR-2A'!$N$6:$N$10000,'GSTR-2A'!$B$6:$B$10000,$C$5:$C$4995,'GSTR-2A'!$A$6:$A$10000,$AM$3)</f>
        <v>0</v>
      </c>
      <c r="AR61" s="486">
        <f>SUMIFS('GSTR-2A'!$G$6:$G$10000,'GSTR-2A'!$B$6:$B$10000,$C$5:$C$4995,'GSTR-2A'!$A$6:$A$10000,$AR$3)</f>
        <v>0</v>
      </c>
      <c r="AS61" s="487">
        <f>SUMIFS('GSTR-2A'!$K$6:$K$10000,'GSTR-2A'!$B$6:$B$10000,$C$5:$C$4995,'GSTR-2A'!$A$6:$A$10000,$AR$3)</f>
        <v>0</v>
      </c>
      <c r="AT61" s="487">
        <f>SUMIFS('GSTR-2A'!$L$6:$L$10000,'GSTR-2A'!$B$6:$B$10000,$C$5:$C$4995,'GSTR-2A'!$A$6:$A$10000,$AR$3)</f>
        <v>0</v>
      </c>
      <c r="AU61" s="487">
        <f>SUMIFS('GSTR-2A'!$M$6:$M$10000,'GSTR-2A'!$B$6:$B$10000,$C$5:$C$4995,'GSTR-2A'!$A$6:$A$10000,$AR$3)</f>
        <v>0</v>
      </c>
      <c r="AV61" s="488">
        <f>SUMIFS('GSTR-2A'!$N$6:$N$10000,'GSTR-2A'!$B$6:$B$10000,$C$5:$C$4995,'GSTR-2A'!$A$6:$A$10000,$AR$3)</f>
        <v>0</v>
      </c>
      <c r="AW61" s="486">
        <f>SUMIFS('GSTR-2A'!$G$6:$G$10000,'GSTR-2A'!$B$6:$B$10000,$C$5:$C$4995,'GSTR-2A'!$A$6:$A$10000,$AW$3)</f>
        <v>0</v>
      </c>
      <c r="AX61" s="487">
        <f>SUMIFS('GSTR-2A'!$K$6:$K$10000,'GSTR-2A'!$B$6:$B$10000,$C$5:$C$4995,'GSTR-2A'!$A$6:$A$10000,$AW$3)</f>
        <v>0</v>
      </c>
      <c r="AY61" s="487">
        <f>SUMIFS('GSTR-2A'!$L$6:$L$10000,'GSTR-2A'!$B$6:$B$10000,$C$5:$C$4995,'GSTR-2A'!$A$6:$A$10000,$AW$3)</f>
        <v>0</v>
      </c>
      <c r="AZ61" s="487">
        <f>SUMIFS('GSTR-2A'!$M$6:$M$10000,'GSTR-2A'!$B$6:$B$10000,$C$5:$C$4995,'GSTR-2A'!$A$6:$A$10000,$AW$3)</f>
        <v>0</v>
      </c>
      <c r="BA61" s="488">
        <f>SUMIFS('GSTR-2A'!$N$6:$N$10000,'GSTR-2A'!$B$6:$B$10000,$C$5:$C$4995,'GSTR-2A'!$A$6:$A$10000,$AW$3)</f>
        <v>0</v>
      </c>
      <c r="BB61" s="486">
        <f>SUMIFS('GSTR-2A'!$G$6:$G$10000,'GSTR-2A'!$B$6:$B$10000,$C$5:$C$4995,'GSTR-2A'!$A$6:$A$10000,$BB$3)</f>
        <v>0</v>
      </c>
      <c r="BC61" s="487">
        <f>SUMIFS('GSTR-2A'!$K$6:$K$10000,'GSTR-2A'!$B$6:$B$10000,$C$5:$C$4995,'GSTR-2A'!$A$6:$A$10000,$BB$3)</f>
        <v>0</v>
      </c>
      <c r="BD61" s="487">
        <f>SUMIFS('GSTR-2A'!$L$6:$L$10000,'GSTR-2A'!$B$6:$B$10000,$C$5:$C$4995,'GSTR-2A'!$A$6:$A$10000,$BB$3)</f>
        <v>0</v>
      </c>
      <c r="BE61" s="487">
        <f>SUMIFS('GSTR-2A'!$M$6:$M$10000,'GSTR-2A'!$B$6:$B$10000,$C$5:$C$4995,'GSTR-2A'!$A$6:$A$10000,$BB$3)</f>
        <v>0</v>
      </c>
      <c r="BF61" s="488">
        <f>SUMIFS('GSTR-2A'!$N$6:$N$10000,'GSTR-2A'!$B$6:$B$10000,$C$5:$C$4995,'GSTR-2A'!$A$6:$A$10000,$BB$3)</f>
        <v>0</v>
      </c>
      <c r="BG61" s="486">
        <f>SUMIFS('GSTR-2A'!$G$6:$G$10000,'GSTR-2A'!$B$6:$B$10000,$C$5:$C$4995,'GSTR-2A'!$A$6:$A$10000,$BG$3)</f>
        <v>0</v>
      </c>
      <c r="BH61" s="487">
        <f>SUMIFS('GSTR-2A'!$K$6:$K$10000,'GSTR-2A'!$B$6:$B$10000,$C$5:$C$4995,'GSTR-2A'!$A$6:$A$10000,$BG$3)</f>
        <v>0</v>
      </c>
      <c r="BI61" s="487">
        <f>SUMIFS('GSTR-2A'!$L$6:$L$10000,'GSTR-2A'!$B$6:$B$10000,$C$5:$C$4995,'GSTR-2A'!$A$6:$A$10000,$BG$3)</f>
        <v>0</v>
      </c>
      <c r="BJ61" s="487">
        <f>SUMIFS('GSTR-2A'!$M$6:$M$10000,'GSTR-2A'!$B$6:$B$10000,$C$5:$C$4995,'GSTR-2A'!$A$6:$A$10000,$BG$3)</f>
        <v>0</v>
      </c>
      <c r="BK61" s="488">
        <f>SUMIFS('GSTR-2A'!$N$6:$N$10000,'GSTR-2A'!$B$6:$B$10000,$C$5:$C$4995,'GSTR-2A'!$A$6:$A$10000,$BG$3)</f>
        <v>0</v>
      </c>
      <c r="BL61" s="72">
        <f t="shared" si="2"/>
        <v>4222152.5000000019</v>
      </c>
      <c r="BM61" s="72">
        <f t="shared" si="3"/>
        <v>3298557.4400000013</v>
      </c>
      <c r="BN61" s="72">
        <f t="shared" si="4"/>
        <v>0</v>
      </c>
      <c r="BO61" s="72">
        <f t="shared" si="5"/>
        <v>461797.5300000002</v>
      </c>
      <c r="BP61" s="72">
        <f t="shared" si="6"/>
        <v>461797.5300000002</v>
      </c>
    </row>
    <row r="62" spans="1:68" x14ac:dyDescent="0.2">
      <c r="A62" s="467">
        <v>58</v>
      </c>
      <c r="B62" s="468" t="s">
        <v>527</v>
      </c>
      <c r="C62" s="469" t="s">
        <v>528</v>
      </c>
      <c r="D62" s="72">
        <f>SUMIFS('GSTR-2A'!$G$6:$G$10000,'GSTR-2A'!$B$6:$B$10000,$C$5:$C$4995,'GSTR-2A'!$A$6:$A$10000,$D$3)</f>
        <v>33755</v>
      </c>
      <c r="E62" s="72">
        <f>SUMIFS('GSTR-2A'!$K$6:$K$10000,'GSTR-2A'!$B$6:$B$10000,$C$5:$C$4995,'GSTR-2A'!$A$6:$A$10000,$D$3)</f>
        <v>28606</v>
      </c>
      <c r="F62" s="72">
        <f>SUMIFS('GSTR-2A'!$L$6:$L$10000,'GSTR-2A'!$B$6:$B$10000,$C$5:$C$4995,'GSTR-2A'!$A$6:$A$10000,$D$3)</f>
        <v>0</v>
      </c>
      <c r="G62" s="72">
        <f>SUMIFS('GSTR-2A'!$M$6:$M$10000,'GSTR-2A'!$B$6:$B$10000,$C$5:$C$4995,'GSTR-2A'!$A$6:$A$10000,$D$3)</f>
        <v>2574.54</v>
      </c>
      <c r="H62" s="72">
        <f>SUMIFS('GSTR-2A'!$N$6:$N$10000,'GSTR-2A'!$B$6:$B$10000,$C$5:$C$4995,'GSTR-2A'!$A$6:$A$10000,$D$3)</f>
        <v>2574.54</v>
      </c>
      <c r="I62" s="486">
        <f>SUMIFS('GSTR-2A'!$G$6:$G$10000,'GSTR-2A'!$B$6:$B$10000,$C$5:$C$4995,'GSTR-2A'!$A$6:$A$10000,$I$3)</f>
        <v>15674</v>
      </c>
      <c r="J62" s="487">
        <f>SUMIFS('GSTR-2A'!$K$6:$K$10000,'GSTR-2A'!$B$6:$B$10000,$C$5:$C$4995,'GSTR-2A'!$A$6:$A$10000,$I$3)</f>
        <v>13283</v>
      </c>
      <c r="K62" s="487">
        <f>SUMIFS('GSTR-2A'!$L$6:$L$10000,'GSTR-2A'!$B$6:$B$10000,$C$5:$C$4995,'GSTR-2A'!$A$6:$A$10000,$I$3)</f>
        <v>0</v>
      </c>
      <c r="L62" s="487">
        <f>SUMIFS('GSTR-2A'!$M$6:$M$10000,'GSTR-2A'!$B$6:$B$10000,$C$5:$C$4995,'GSTR-2A'!$A$6:$A$10000,$I$3)</f>
        <v>1195.47</v>
      </c>
      <c r="M62" s="488">
        <f>SUMIFS('GSTR-2A'!$N$6:$N$10000,'GSTR-2A'!$B$6:$B$10000,$C$5:$C$4995,'GSTR-2A'!$A$6:$A$10000,$I$3)</f>
        <v>1195.47</v>
      </c>
      <c r="N62" s="486">
        <f>SUMIFS('GSTR-2A'!$G$6:$G$10000,'GSTR-2A'!$B$6:$B$10000,$C$5:$C$4995,'GSTR-2A'!$A$6:$A$10000,$N$3)</f>
        <v>20334</v>
      </c>
      <c r="O62" s="487">
        <f>SUMIFS('GSTR-2A'!$K$6:$K$10000,'GSTR-2A'!$B$6:$B$10000,$C$5:$C$4995,'GSTR-2A'!$A$6:$A$10000,$N$3)</f>
        <v>17232</v>
      </c>
      <c r="P62" s="487">
        <f>SUMIFS('GSTR-2A'!$L$6:$L$10000,'GSTR-2A'!$B$6:$B$10000,$C$5:$C$4995,'GSTR-2A'!$A$6:$A$10000,$N$3)</f>
        <v>0</v>
      </c>
      <c r="Q62" s="487">
        <f>SUMIFS('GSTR-2A'!$M$6:$M$10000,'GSTR-2A'!$B$6:$B$10000,$C$5:$C$4995,'GSTR-2A'!$A$6:$A$10000,$N$3)</f>
        <v>1550.88</v>
      </c>
      <c r="R62" s="488">
        <f>SUMIFS('GSTR-2A'!$N$6:$N$10000,'GSTR-2A'!$B$6:$B$10000,$C$5:$C$4995,'GSTR-2A'!$A$6:$A$10000,$N$3)</f>
        <v>1550.88</v>
      </c>
      <c r="S62" s="486">
        <f>SUMIFS('GSTR-2A'!$G$6:$G$10000,'GSTR-2A'!$B$6:$B$10000,$C$5:$C$4995,'GSTR-2A'!$A$6:$A$10000,$S$3)</f>
        <v>101853</v>
      </c>
      <c r="T62" s="487">
        <f>SUMIFS('GSTR-2A'!$K$6:$K$10000,'GSTR-2A'!$B$6:$B$10000,$C$5:$C$4995,'GSTR-2A'!$A$6:$A$10000,$S$3)</f>
        <v>86316</v>
      </c>
      <c r="U62" s="487">
        <f>SUMIFS('GSTR-2A'!$L$6:$L$10000,'GSTR-2A'!$B$6:$B$10000,$C$5:$C$4995,'GSTR-2A'!$A$6:$A$10000,$S$3)</f>
        <v>0</v>
      </c>
      <c r="V62" s="487">
        <f>SUMIFS('GSTR-2A'!$M$6:$M$10000,'GSTR-2A'!$B$6:$B$10000,$C$5:$C$4995,'GSTR-2A'!$A$6:$A$10000,$S$3)</f>
        <v>7768.44</v>
      </c>
      <c r="W62" s="488">
        <f>SUMIFS('GSTR-2A'!$N$6:$N$10000,'GSTR-2A'!$B$6:$B$10000,$C$5:$C$4995,'GSTR-2A'!$A$6:$A$10000,$S$3)</f>
        <v>7768.44</v>
      </c>
      <c r="X62" s="486">
        <f>SUMIFS('GSTR-2A'!$G$6:$G$10000,'GSTR-2A'!$B$6:$B$10000,$C$5:$C$4995,'GSTR-2A'!$A$6:$A$10000,$X$3)</f>
        <v>0</v>
      </c>
      <c r="Y62" s="487">
        <f>SUMIFS('GSTR-2A'!$K$6:$K$10000,'GSTR-2A'!$B$6:$B$10000,$C$5:$C$4995,'GSTR-2A'!$A$6:$A$10000,$X$3)</f>
        <v>0</v>
      </c>
      <c r="Z62" s="487">
        <f>SUMIFS('GSTR-2A'!$L$6:$L$10000,'GSTR-2A'!$B$6:$B$10000,$C$5:$C$4995,'GSTR-2A'!$A$6:$A$10000,$X$3)</f>
        <v>0</v>
      </c>
      <c r="AA62" s="487">
        <f>SUMIFS('GSTR-2A'!$M$6:$M$10000,'GSTR-2A'!$B$6:$B$10000,$C$5:$C$4995,'GSTR-2A'!$A$6:$A$10000,$X$3)</f>
        <v>0</v>
      </c>
      <c r="AB62" s="488">
        <f>SUMIFS('GSTR-2A'!$N$6:$N$10000,'GSTR-2A'!$B$6:$B$10000,$C$5:$C$4995,'GSTR-2A'!$A$6:$A$10000,$X$3)</f>
        <v>0</v>
      </c>
      <c r="AC62" s="486">
        <f>SUMIFS('GSTR-2A'!$G$6:$G$10000,'GSTR-2A'!$B$6:$B$10000,$C$5:$C$4995,'GSTR-2A'!$A$6:$A$10000,$AC$3)</f>
        <v>37722</v>
      </c>
      <c r="AD62" s="487">
        <f>SUMIFS('GSTR-2A'!$K$6:$K$10000,'GSTR-2A'!$B$6:$B$10000,$C$5:$C$4995,'GSTR-2A'!$A$6:$A$10000,$AC$3)</f>
        <v>31968</v>
      </c>
      <c r="AE62" s="487">
        <f>SUMIFS('GSTR-2A'!$L$6:$L$10000,'GSTR-2A'!$B$6:$B$10000,$C$5:$C$4995,'GSTR-2A'!$A$6:$A$10000,$AC$3)</f>
        <v>0</v>
      </c>
      <c r="AF62" s="487">
        <f>SUMIFS('GSTR-2A'!$M$6:$M$10000,'GSTR-2A'!$B$6:$B$10000,$C$5:$C$4995,'GSTR-2A'!$A$6:$A$10000,$AC$3)</f>
        <v>2877.12</v>
      </c>
      <c r="AG62" s="488">
        <f>SUMIFS('GSTR-2A'!$N$6:$N$10000,'GSTR-2A'!$B$6:$B$10000,$C$5:$C$4995,'GSTR-2A'!$A$6:$A$10000,$AC$3)</f>
        <v>2877.12</v>
      </c>
      <c r="AH62" s="486">
        <f>SUMIFS('GSTR-2A'!$G$6:$G$10000,'GSTR-2A'!$B$6:$B$10000,$C$5:$C$4995,'GSTR-2A'!$A$6:$A$10000,$AH$3)</f>
        <v>0</v>
      </c>
      <c r="AI62" s="487">
        <f>SUMIFS('GSTR-2A'!$K$6:$K$10000,'GSTR-2A'!$B$6:$B$10000,$C$5:$C$4995,'GSTR-2A'!$A$6:$A$10000,$AH$3)</f>
        <v>0</v>
      </c>
      <c r="AJ62" s="487">
        <f>SUMIFS('GSTR-2A'!$L$6:$L$10000,'GSTR-2A'!$B$6:$B$10000,$C$5:$C$4995,'GSTR-2A'!$A$6:$A$10000,$AH$3)</f>
        <v>0</v>
      </c>
      <c r="AK62" s="487">
        <f>SUMIFS('GSTR-2A'!$M$6:$M$10000,'GSTR-2A'!$B$6:$B$10000,$C$5:$C$4995,'GSTR-2A'!$A$6:$A$10000,$AH$3)</f>
        <v>0</v>
      </c>
      <c r="AL62" s="488">
        <f>SUMIFS('GSTR-2A'!$N$6:$N$10000,'GSTR-2A'!$B$6:$B$10000,$C$5:$C$4995,'GSTR-2A'!$A$6:$A$10000,$AH$3)</f>
        <v>0</v>
      </c>
      <c r="AM62" s="486">
        <f>SUMIFS('GSTR-2A'!$G$6:$G$10000,'GSTR-2A'!$B$6:$B$10000,$C$5:$C$4995,'GSTR-2A'!$A$6:$A$10000,$AM$3)</f>
        <v>0</v>
      </c>
      <c r="AN62" s="487">
        <f>SUMIFS('GSTR-2A'!$K$6:$K$10000,'GSTR-2A'!$B$6:$B$10000,$C$5:$C$4995,'GSTR-2A'!$A$6:$A$10000,$AM$3)</f>
        <v>0</v>
      </c>
      <c r="AO62" s="487">
        <f>SUMIFS('GSTR-2A'!$L$6:$L$10000,'GSTR-2A'!$B$6:$B$10000,$C$5:$C$4995,'GSTR-2A'!$A$6:$A$10000,$AM$3)</f>
        <v>0</v>
      </c>
      <c r="AP62" s="487">
        <f>SUMIFS('GSTR-2A'!$M$6:$M$10000,'GSTR-2A'!$B$6:$B$10000,$C$5:$C$4995,'GSTR-2A'!$A$6:$A$10000,$AM$3)</f>
        <v>0</v>
      </c>
      <c r="AQ62" s="488">
        <f>SUMIFS('GSTR-2A'!$N$6:$N$10000,'GSTR-2A'!$B$6:$B$10000,$C$5:$C$4995,'GSTR-2A'!$A$6:$A$10000,$AM$3)</f>
        <v>0</v>
      </c>
      <c r="AR62" s="486">
        <f>SUMIFS('GSTR-2A'!$G$6:$G$10000,'GSTR-2A'!$B$6:$B$10000,$C$5:$C$4995,'GSTR-2A'!$A$6:$A$10000,$AR$3)</f>
        <v>0</v>
      </c>
      <c r="AS62" s="487">
        <f>SUMIFS('GSTR-2A'!$K$6:$K$10000,'GSTR-2A'!$B$6:$B$10000,$C$5:$C$4995,'GSTR-2A'!$A$6:$A$10000,$AR$3)</f>
        <v>0</v>
      </c>
      <c r="AT62" s="487">
        <f>SUMIFS('GSTR-2A'!$L$6:$L$10000,'GSTR-2A'!$B$6:$B$10000,$C$5:$C$4995,'GSTR-2A'!$A$6:$A$10000,$AR$3)</f>
        <v>0</v>
      </c>
      <c r="AU62" s="487">
        <f>SUMIFS('GSTR-2A'!$M$6:$M$10000,'GSTR-2A'!$B$6:$B$10000,$C$5:$C$4995,'GSTR-2A'!$A$6:$A$10000,$AR$3)</f>
        <v>0</v>
      </c>
      <c r="AV62" s="488">
        <f>SUMIFS('GSTR-2A'!$N$6:$N$10000,'GSTR-2A'!$B$6:$B$10000,$C$5:$C$4995,'GSTR-2A'!$A$6:$A$10000,$AR$3)</f>
        <v>0</v>
      </c>
      <c r="AW62" s="486">
        <f>SUMIFS('GSTR-2A'!$G$6:$G$10000,'GSTR-2A'!$B$6:$B$10000,$C$5:$C$4995,'GSTR-2A'!$A$6:$A$10000,$AW$3)</f>
        <v>0</v>
      </c>
      <c r="AX62" s="487">
        <f>SUMIFS('GSTR-2A'!$K$6:$K$10000,'GSTR-2A'!$B$6:$B$10000,$C$5:$C$4995,'GSTR-2A'!$A$6:$A$10000,$AW$3)</f>
        <v>0</v>
      </c>
      <c r="AY62" s="487">
        <f>SUMIFS('GSTR-2A'!$L$6:$L$10000,'GSTR-2A'!$B$6:$B$10000,$C$5:$C$4995,'GSTR-2A'!$A$6:$A$10000,$AW$3)</f>
        <v>0</v>
      </c>
      <c r="AZ62" s="487">
        <f>SUMIFS('GSTR-2A'!$M$6:$M$10000,'GSTR-2A'!$B$6:$B$10000,$C$5:$C$4995,'GSTR-2A'!$A$6:$A$10000,$AW$3)</f>
        <v>0</v>
      </c>
      <c r="BA62" s="488">
        <f>SUMIFS('GSTR-2A'!$N$6:$N$10000,'GSTR-2A'!$B$6:$B$10000,$C$5:$C$4995,'GSTR-2A'!$A$6:$A$10000,$AW$3)</f>
        <v>0</v>
      </c>
      <c r="BB62" s="486">
        <f>SUMIFS('GSTR-2A'!$G$6:$G$10000,'GSTR-2A'!$B$6:$B$10000,$C$5:$C$4995,'GSTR-2A'!$A$6:$A$10000,$BB$3)</f>
        <v>0</v>
      </c>
      <c r="BC62" s="487">
        <f>SUMIFS('GSTR-2A'!$K$6:$K$10000,'GSTR-2A'!$B$6:$B$10000,$C$5:$C$4995,'GSTR-2A'!$A$6:$A$10000,$BB$3)</f>
        <v>0</v>
      </c>
      <c r="BD62" s="487">
        <f>SUMIFS('GSTR-2A'!$L$6:$L$10000,'GSTR-2A'!$B$6:$B$10000,$C$5:$C$4995,'GSTR-2A'!$A$6:$A$10000,$BB$3)</f>
        <v>0</v>
      </c>
      <c r="BE62" s="487">
        <f>SUMIFS('GSTR-2A'!$M$6:$M$10000,'GSTR-2A'!$B$6:$B$10000,$C$5:$C$4995,'GSTR-2A'!$A$6:$A$10000,$BB$3)</f>
        <v>0</v>
      </c>
      <c r="BF62" s="488">
        <f>SUMIFS('GSTR-2A'!$N$6:$N$10000,'GSTR-2A'!$B$6:$B$10000,$C$5:$C$4995,'GSTR-2A'!$A$6:$A$10000,$BB$3)</f>
        <v>0</v>
      </c>
      <c r="BG62" s="486">
        <f>SUMIFS('GSTR-2A'!$G$6:$G$10000,'GSTR-2A'!$B$6:$B$10000,$C$5:$C$4995,'GSTR-2A'!$A$6:$A$10000,$BG$3)</f>
        <v>0</v>
      </c>
      <c r="BH62" s="487">
        <f>SUMIFS('GSTR-2A'!$K$6:$K$10000,'GSTR-2A'!$B$6:$B$10000,$C$5:$C$4995,'GSTR-2A'!$A$6:$A$10000,$BG$3)</f>
        <v>0</v>
      </c>
      <c r="BI62" s="487">
        <f>SUMIFS('GSTR-2A'!$L$6:$L$10000,'GSTR-2A'!$B$6:$B$10000,$C$5:$C$4995,'GSTR-2A'!$A$6:$A$10000,$BG$3)</f>
        <v>0</v>
      </c>
      <c r="BJ62" s="487">
        <f>SUMIFS('GSTR-2A'!$M$6:$M$10000,'GSTR-2A'!$B$6:$B$10000,$C$5:$C$4995,'GSTR-2A'!$A$6:$A$10000,$BG$3)</f>
        <v>0</v>
      </c>
      <c r="BK62" s="488">
        <f>SUMIFS('GSTR-2A'!$N$6:$N$10000,'GSTR-2A'!$B$6:$B$10000,$C$5:$C$4995,'GSTR-2A'!$A$6:$A$10000,$BG$3)</f>
        <v>0</v>
      </c>
      <c r="BL62" s="72">
        <f t="shared" si="2"/>
        <v>209338</v>
      </c>
      <c r="BM62" s="72">
        <f t="shared" si="3"/>
        <v>177405</v>
      </c>
      <c r="BN62" s="72">
        <f t="shared" si="4"/>
        <v>0</v>
      </c>
      <c r="BO62" s="72">
        <f t="shared" si="5"/>
        <v>15966.45</v>
      </c>
      <c r="BP62" s="72">
        <f t="shared" si="6"/>
        <v>15966.45</v>
      </c>
    </row>
    <row r="63" spans="1:68" x14ac:dyDescent="0.2">
      <c r="A63" s="467">
        <v>59</v>
      </c>
      <c r="B63" s="468" t="s">
        <v>1121</v>
      </c>
      <c r="C63" s="469" t="s">
        <v>1122</v>
      </c>
      <c r="D63" s="72">
        <f>SUMIFS('GSTR-2A'!$G$6:$G$10000,'GSTR-2A'!$B$6:$B$10000,$C$5:$C$4995,'GSTR-2A'!$A$6:$A$10000,$D$3)</f>
        <v>0</v>
      </c>
      <c r="E63" s="72">
        <f>SUMIFS('GSTR-2A'!$K$6:$K$10000,'GSTR-2A'!$B$6:$B$10000,$C$5:$C$4995,'GSTR-2A'!$A$6:$A$10000,$D$3)</f>
        <v>0</v>
      </c>
      <c r="F63" s="72">
        <f>SUMIFS('GSTR-2A'!$L$6:$L$10000,'GSTR-2A'!$B$6:$B$10000,$C$5:$C$4995,'GSTR-2A'!$A$6:$A$10000,$D$3)</f>
        <v>0</v>
      </c>
      <c r="G63" s="72">
        <f>SUMIFS('GSTR-2A'!$M$6:$M$10000,'GSTR-2A'!$B$6:$B$10000,$C$5:$C$4995,'GSTR-2A'!$A$6:$A$10000,$D$3)</f>
        <v>0</v>
      </c>
      <c r="H63" s="72">
        <f>SUMIFS('GSTR-2A'!$N$6:$N$10000,'GSTR-2A'!$B$6:$B$10000,$C$5:$C$4995,'GSTR-2A'!$A$6:$A$10000,$D$3)</f>
        <v>0</v>
      </c>
      <c r="I63" s="486">
        <f>SUMIFS('GSTR-2A'!$G$6:$G$10000,'GSTR-2A'!$B$6:$B$10000,$C$5:$C$4995,'GSTR-2A'!$A$6:$A$10000,$I$3)</f>
        <v>0</v>
      </c>
      <c r="J63" s="487">
        <f>SUMIFS('GSTR-2A'!$K$6:$K$10000,'GSTR-2A'!$B$6:$B$10000,$C$5:$C$4995,'GSTR-2A'!$A$6:$A$10000,$I$3)</f>
        <v>0</v>
      </c>
      <c r="K63" s="487">
        <f>SUMIFS('GSTR-2A'!$L$6:$L$10000,'GSTR-2A'!$B$6:$B$10000,$C$5:$C$4995,'GSTR-2A'!$A$6:$A$10000,$I$3)</f>
        <v>0</v>
      </c>
      <c r="L63" s="487">
        <f>SUMIFS('GSTR-2A'!$M$6:$M$10000,'GSTR-2A'!$B$6:$B$10000,$C$5:$C$4995,'GSTR-2A'!$A$6:$A$10000,$I$3)</f>
        <v>0</v>
      </c>
      <c r="M63" s="488">
        <f>SUMIFS('GSTR-2A'!$N$6:$N$10000,'GSTR-2A'!$B$6:$B$10000,$C$5:$C$4995,'GSTR-2A'!$A$6:$A$10000,$I$3)</f>
        <v>0</v>
      </c>
      <c r="N63" s="486">
        <f>SUMIFS('GSTR-2A'!$G$6:$G$10000,'GSTR-2A'!$B$6:$B$10000,$C$5:$C$4995,'GSTR-2A'!$A$6:$A$10000,$N$3)</f>
        <v>0</v>
      </c>
      <c r="O63" s="487">
        <f>SUMIFS('GSTR-2A'!$K$6:$K$10000,'GSTR-2A'!$B$6:$B$10000,$C$5:$C$4995,'GSTR-2A'!$A$6:$A$10000,$N$3)</f>
        <v>0</v>
      </c>
      <c r="P63" s="487">
        <f>SUMIFS('GSTR-2A'!$L$6:$L$10000,'GSTR-2A'!$B$6:$B$10000,$C$5:$C$4995,'GSTR-2A'!$A$6:$A$10000,$N$3)</f>
        <v>0</v>
      </c>
      <c r="Q63" s="487">
        <f>SUMIFS('GSTR-2A'!$M$6:$M$10000,'GSTR-2A'!$B$6:$B$10000,$C$5:$C$4995,'GSTR-2A'!$A$6:$A$10000,$N$3)</f>
        <v>0</v>
      </c>
      <c r="R63" s="488">
        <f>SUMIFS('GSTR-2A'!$N$6:$N$10000,'GSTR-2A'!$B$6:$B$10000,$C$5:$C$4995,'GSTR-2A'!$A$6:$A$10000,$N$3)</f>
        <v>0</v>
      </c>
      <c r="S63" s="486">
        <f>SUMIFS('GSTR-2A'!$G$6:$G$10000,'GSTR-2A'!$B$6:$B$10000,$C$5:$C$4995,'GSTR-2A'!$A$6:$A$10000,$S$3)</f>
        <v>0</v>
      </c>
      <c r="T63" s="487">
        <f>SUMIFS('GSTR-2A'!$K$6:$K$10000,'GSTR-2A'!$B$6:$B$10000,$C$5:$C$4995,'GSTR-2A'!$A$6:$A$10000,$S$3)</f>
        <v>0</v>
      </c>
      <c r="U63" s="487">
        <f>SUMIFS('GSTR-2A'!$L$6:$L$10000,'GSTR-2A'!$B$6:$B$10000,$C$5:$C$4995,'GSTR-2A'!$A$6:$A$10000,$S$3)</f>
        <v>0</v>
      </c>
      <c r="V63" s="487">
        <f>SUMIFS('GSTR-2A'!$M$6:$M$10000,'GSTR-2A'!$B$6:$B$10000,$C$5:$C$4995,'GSTR-2A'!$A$6:$A$10000,$S$3)</f>
        <v>0</v>
      </c>
      <c r="W63" s="488">
        <f>SUMIFS('GSTR-2A'!$N$6:$N$10000,'GSTR-2A'!$B$6:$B$10000,$C$5:$C$4995,'GSTR-2A'!$A$6:$A$10000,$S$3)</f>
        <v>0</v>
      </c>
      <c r="X63" s="486">
        <f>SUMIFS('GSTR-2A'!$G$6:$G$10000,'GSTR-2A'!$B$6:$B$10000,$C$5:$C$4995,'GSTR-2A'!$A$6:$A$10000,$X$3)</f>
        <v>0</v>
      </c>
      <c r="Y63" s="487">
        <f>SUMIFS('GSTR-2A'!$K$6:$K$10000,'GSTR-2A'!$B$6:$B$10000,$C$5:$C$4995,'GSTR-2A'!$A$6:$A$10000,$X$3)</f>
        <v>0</v>
      </c>
      <c r="Z63" s="487">
        <f>SUMIFS('GSTR-2A'!$L$6:$L$10000,'GSTR-2A'!$B$6:$B$10000,$C$5:$C$4995,'GSTR-2A'!$A$6:$A$10000,$X$3)</f>
        <v>0</v>
      </c>
      <c r="AA63" s="487">
        <f>SUMIFS('GSTR-2A'!$M$6:$M$10000,'GSTR-2A'!$B$6:$B$10000,$C$5:$C$4995,'GSTR-2A'!$A$6:$A$10000,$X$3)</f>
        <v>0</v>
      </c>
      <c r="AB63" s="488">
        <f>SUMIFS('GSTR-2A'!$N$6:$N$10000,'GSTR-2A'!$B$6:$B$10000,$C$5:$C$4995,'GSTR-2A'!$A$6:$A$10000,$X$3)</f>
        <v>0</v>
      </c>
      <c r="AC63" s="486">
        <f>SUMIFS('GSTR-2A'!$G$6:$G$10000,'GSTR-2A'!$B$6:$B$10000,$C$5:$C$4995,'GSTR-2A'!$A$6:$A$10000,$AC$3)</f>
        <v>0</v>
      </c>
      <c r="AD63" s="487">
        <f>SUMIFS('GSTR-2A'!$K$6:$K$10000,'GSTR-2A'!$B$6:$B$10000,$C$5:$C$4995,'GSTR-2A'!$A$6:$A$10000,$AC$3)</f>
        <v>0</v>
      </c>
      <c r="AE63" s="487">
        <f>SUMIFS('GSTR-2A'!$L$6:$L$10000,'GSTR-2A'!$B$6:$B$10000,$C$5:$C$4995,'GSTR-2A'!$A$6:$A$10000,$AC$3)</f>
        <v>0</v>
      </c>
      <c r="AF63" s="487">
        <f>SUMIFS('GSTR-2A'!$M$6:$M$10000,'GSTR-2A'!$B$6:$B$10000,$C$5:$C$4995,'GSTR-2A'!$A$6:$A$10000,$AC$3)</f>
        <v>0</v>
      </c>
      <c r="AG63" s="488">
        <f>SUMIFS('GSTR-2A'!$N$6:$N$10000,'GSTR-2A'!$B$6:$B$10000,$C$5:$C$4995,'GSTR-2A'!$A$6:$A$10000,$AC$3)</f>
        <v>0</v>
      </c>
      <c r="AH63" s="486">
        <f>SUMIFS('GSTR-2A'!$G$6:$G$10000,'GSTR-2A'!$B$6:$B$10000,$C$5:$C$4995,'GSTR-2A'!$A$6:$A$10000,$AH$3)</f>
        <v>0</v>
      </c>
      <c r="AI63" s="487">
        <f>SUMIFS('GSTR-2A'!$K$6:$K$10000,'GSTR-2A'!$B$6:$B$10000,$C$5:$C$4995,'GSTR-2A'!$A$6:$A$10000,$AH$3)</f>
        <v>0</v>
      </c>
      <c r="AJ63" s="487">
        <f>SUMIFS('GSTR-2A'!$L$6:$L$10000,'GSTR-2A'!$B$6:$B$10000,$C$5:$C$4995,'GSTR-2A'!$A$6:$A$10000,$AH$3)</f>
        <v>0</v>
      </c>
      <c r="AK63" s="487">
        <f>SUMIFS('GSTR-2A'!$M$6:$M$10000,'GSTR-2A'!$B$6:$B$10000,$C$5:$C$4995,'GSTR-2A'!$A$6:$A$10000,$AH$3)</f>
        <v>0</v>
      </c>
      <c r="AL63" s="488">
        <f>SUMIFS('GSTR-2A'!$N$6:$N$10000,'GSTR-2A'!$B$6:$B$10000,$C$5:$C$4995,'GSTR-2A'!$A$6:$A$10000,$AH$3)</f>
        <v>0</v>
      </c>
      <c r="AM63" s="486">
        <f>SUMIFS('GSTR-2A'!$G$6:$G$10000,'GSTR-2A'!$B$6:$B$10000,$C$5:$C$4995,'GSTR-2A'!$A$6:$A$10000,$AM$3)</f>
        <v>0</v>
      </c>
      <c r="AN63" s="487">
        <f>SUMIFS('GSTR-2A'!$K$6:$K$10000,'GSTR-2A'!$B$6:$B$10000,$C$5:$C$4995,'GSTR-2A'!$A$6:$A$10000,$AM$3)</f>
        <v>0</v>
      </c>
      <c r="AO63" s="487">
        <f>SUMIFS('GSTR-2A'!$L$6:$L$10000,'GSTR-2A'!$B$6:$B$10000,$C$5:$C$4995,'GSTR-2A'!$A$6:$A$10000,$AM$3)</f>
        <v>0</v>
      </c>
      <c r="AP63" s="487">
        <f>SUMIFS('GSTR-2A'!$M$6:$M$10000,'GSTR-2A'!$B$6:$B$10000,$C$5:$C$4995,'GSTR-2A'!$A$6:$A$10000,$AM$3)</f>
        <v>0</v>
      </c>
      <c r="AQ63" s="488">
        <f>SUMIFS('GSTR-2A'!$N$6:$N$10000,'GSTR-2A'!$B$6:$B$10000,$C$5:$C$4995,'GSTR-2A'!$A$6:$A$10000,$AM$3)</f>
        <v>0</v>
      </c>
      <c r="AR63" s="486">
        <f>SUMIFS('GSTR-2A'!$G$6:$G$10000,'GSTR-2A'!$B$6:$B$10000,$C$5:$C$4995,'GSTR-2A'!$A$6:$A$10000,$AR$3)</f>
        <v>0</v>
      </c>
      <c r="AS63" s="487">
        <f>SUMIFS('GSTR-2A'!$K$6:$K$10000,'GSTR-2A'!$B$6:$B$10000,$C$5:$C$4995,'GSTR-2A'!$A$6:$A$10000,$AR$3)</f>
        <v>0</v>
      </c>
      <c r="AT63" s="487">
        <f>SUMIFS('GSTR-2A'!$L$6:$L$10000,'GSTR-2A'!$B$6:$B$10000,$C$5:$C$4995,'GSTR-2A'!$A$6:$A$10000,$AR$3)</f>
        <v>0</v>
      </c>
      <c r="AU63" s="487">
        <f>SUMIFS('GSTR-2A'!$M$6:$M$10000,'GSTR-2A'!$B$6:$B$10000,$C$5:$C$4995,'GSTR-2A'!$A$6:$A$10000,$AR$3)</f>
        <v>0</v>
      </c>
      <c r="AV63" s="488">
        <f>SUMIFS('GSTR-2A'!$N$6:$N$10000,'GSTR-2A'!$B$6:$B$10000,$C$5:$C$4995,'GSTR-2A'!$A$6:$A$10000,$AR$3)</f>
        <v>0</v>
      </c>
      <c r="AW63" s="486">
        <f>SUMIFS('GSTR-2A'!$G$6:$G$10000,'GSTR-2A'!$B$6:$B$10000,$C$5:$C$4995,'GSTR-2A'!$A$6:$A$10000,$AW$3)</f>
        <v>0</v>
      </c>
      <c r="AX63" s="487">
        <f>SUMIFS('GSTR-2A'!$K$6:$K$10000,'GSTR-2A'!$B$6:$B$10000,$C$5:$C$4995,'GSTR-2A'!$A$6:$A$10000,$AW$3)</f>
        <v>0</v>
      </c>
      <c r="AY63" s="487">
        <f>SUMIFS('GSTR-2A'!$L$6:$L$10000,'GSTR-2A'!$B$6:$B$10000,$C$5:$C$4995,'GSTR-2A'!$A$6:$A$10000,$AW$3)</f>
        <v>0</v>
      </c>
      <c r="AZ63" s="487">
        <f>SUMIFS('GSTR-2A'!$M$6:$M$10000,'GSTR-2A'!$B$6:$B$10000,$C$5:$C$4995,'GSTR-2A'!$A$6:$A$10000,$AW$3)</f>
        <v>0</v>
      </c>
      <c r="BA63" s="488">
        <f>SUMIFS('GSTR-2A'!$N$6:$N$10000,'GSTR-2A'!$B$6:$B$10000,$C$5:$C$4995,'GSTR-2A'!$A$6:$A$10000,$AW$3)</f>
        <v>0</v>
      </c>
      <c r="BB63" s="486">
        <f>SUMIFS('GSTR-2A'!$G$6:$G$10000,'GSTR-2A'!$B$6:$B$10000,$C$5:$C$4995,'GSTR-2A'!$A$6:$A$10000,$BB$3)</f>
        <v>0</v>
      </c>
      <c r="BC63" s="487">
        <f>SUMIFS('GSTR-2A'!$K$6:$K$10000,'GSTR-2A'!$B$6:$B$10000,$C$5:$C$4995,'GSTR-2A'!$A$6:$A$10000,$BB$3)</f>
        <v>0</v>
      </c>
      <c r="BD63" s="487">
        <f>SUMIFS('GSTR-2A'!$L$6:$L$10000,'GSTR-2A'!$B$6:$B$10000,$C$5:$C$4995,'GSTR-2A'!$A$6:$A$10000,$BB$3)</f>
        <v>0</v>
      </c>
      <c r="BE63" s="487">
        <f>SUMIFS('GSTR-2A'!$M$6:$M$10000,'GSTR-2A'!$B$6:$B$10000,$C$5:$C$4995,'GSTR-2A'!$A$6:$A$10000,$BB$3)</f>
        <v>0</v>
      </c>
      <c r="BF63" s="488">
        <f>SUMIFS('GSTR-2A'!$N$6:$N$10000,'GSTR-2A'!$B$6:$B$10000,$C$5:$C$4995,'GSTR-2A'!$A$6:$A$10000,$BB$3)</f>
        <v>0</v>
      </c>
      <c r="BG63" s="486">
        <f>SUMIFS('GSTR-2A'!$G$6:$G$10000,'GSTR-2A'!$B$6:$B$10000,$C$5:$C$4995,'GSTR-2A'!$A$6:$A$10000,$BG$3)</f>
        <v>0</v>
      </c>
      <c r="BH63" s="487">
        <f>SUMIFS('GSTR-2A'!$K$6:$K$10000,'GSTR-2A'!$B$6:$B$10000,$C$5:$C$4995,'GSTR-2A'!$A$6:$A$10000,$BG$3)</f>
        <v>0</v>
      </c>
      <c r="BI63" s="487">
        <f>SUMIFS('GSTR-2A'!$L$6:$L$10000,'GSTR-2A'!$B$6:$B$10000,$C$5:$C$4995,'GSTR-2A'!$A$6:$A$10000,$BG$3)</f>
        <v>0</v>
      </c>
      <c r="BJ63" s="487">
        <f>SUMIFS('GSTR-2A'!$M$6:$M$10000,'GSTR-2A'!$B$6:$B$10000,$C$5:$C$4995,'GSTR-2A'!$A$6:$A$10000,$BG$3)</f>
        <v>0</v>
      </c>
      <c r="BK63" s="488">
        <f>SUMIFS('GSTR-2A'!$N$6:$N$10000,'GSTR-2A'!$B$6:$B$10000,$C$5:$C$4995,'GSTR-2A'!$A$6:$A$10000,$BG$3)</f>
        <v>0</v>
      </c>
      <c r="BL63" s="72">
        <f t="shared" si="2"/>
        <v>0</v>
      </c>
      <c r="BM63" s="72">
        <f t="shared" si="3"/>
        <v>0</v>
      </c>
      <c r="BN63" s="72">
        <f t="shared" si="4"/>
        <v>0</v>
      </c>
      <c r="BO63" s="72">
        <f t="shared" si="5"/>
        <v>0</v>
      </c>
      <c r="BP63" s="72">
        <f t="shared" si="6"/>
        <v>0</v>
      </c>
    </row>
    <row r="64" spans="1:68" x14ac:dyDescent="0.2">
      <c r="A64" s="467">
        <v>60</v>
      </c>
      <c r="B64" s="468" t="s">
        <v>561</v>
      </c>
      <c r="C64" s="469" t="s">
        <v>562</v>
      </c>
      <c r="D64" s="72">
        <f>SUMIFS('GSTR-2A'!$G$6:$G$10000,'GSTR-2A'!$B$6:$B$10000,$C$5:$C$4995,'GSTR-2A'!$A$6:$A$10000,$D$3)</f>
        <v>0</v>
      </c>
      <c r="E64" s="72">
        <f>SUMIFS('GSTR-2A'!$K$6:$K$10000,'GSTR-2A'!$B$6:$B$10000,$C$5:$C$4995,'GSTR-2A'!$A$6:$A$10000,$D$3)</f>
        <v>0</v>
      </c>
      <c r="F64" s="72">
        <f>SUMIFS('GSTR-2A'!$L$6:$L$10000,'GSTR-2A'!$B$6:$B$10000,$C$5:$C$4995,'GSTR-2A'!$A$6:$A$10000,$D$3)</f>
        <v>0</v>
      </c>
      <c r="G64" s="72">
        <f>SUMIFS('GSTR-2A'!$M$6:$M$10000,'GSTR-2A'!$B$6:$B$10000,$C$5:$C$4995,'GSTR-2A'!$A$6:$A$10000,$D$3)</f>
        <v>0</v>
      </c>
      <c r="H64" s="72">
        <f>SUMIFS('GSTR-2A'!$N$6:$N$10000,'GSTR-2A'!$B$6:$B$10000,$C$5:$C$4995,'GSTR-2A'!$A$6:$A$10000,$D$3)</f>
        <v>0</v>
      </c>
      <c r="I64" s="486">
        <f>SUMIFS('GSTR-2A'!$G$6:$G$10000,'GSTR-2A'!$B$6:$B$10000,$C$5:$C$4995,'GSTR-2A'!$A$6:$A$10000,$I$3)</f>
        <v>0</v>
      </c>
      <c r="J64" s="487">
        <f>SUMIFS('GSTR-2A'!$K$6:$K$10000,'GSTR-2A'!$B$6:$B$10000,$C$5:$C$4995,'GSTR-2A'!$A$6:$A$10000,$I$3)</f>
        <v>0</v>
      </c>
      <c r="K64" s="487">
        <f>SUMIFS('GSTR-2A'!$L$6:$L$10000,'GSTR-2A'!$B$6:$B$10000,$C$5:$C$4995,'GSTR-2A'!$A$6:$A$10000,$I$3)</f>
        <v>0</v>
      </c>
      <c r="L64" s="487">
        <f>SUMIFS('GSTR-2A'!$M$6:$M$10000,'GSTR-2A'!$B$6:$B$10000,$C$5:$C$4995,'GSTR-2A'!$A$6:$A$10000,$I$3)</f>
        <v>0</v>
      </c>
      <c r="M64" s="488">
        <f>SUMIFS('GSTR-2A'!$N$6:$N$10000,'GSTR-2A'!$B$6:$B$10000,$C$5:$C$4995,'GSTR-2A'!$A$6:$A$10000,$I$3)</f>
        <v>0</v>
      </c>
      <c r="N64" s="486">
        <f>SUMIFS('GSTR-2A'!$G$6:$G$10000,'GSTR-2A'!$B$6:$B$10000,$C$5:$C$4995,'GSTR-2A'!$A$6:$A$10000,$N$3)</f>
        <v>20178</v>
      </c>
      <c r="O64" s="487">
        <f>SUMIFS('GSTR-2A'!$K$6:$K$10000,'GSTR-2A'!$B$6:$B$10000,$C$5:$C$4995,'GSTR-2A'!$A$6:$A$10000,$N$3)</f>
        <v>17100</v>
      </c>
      <c r="P64" s="487">
        <f>SUMIFS('GSTR-2A'!$L$6:$L$10000,'GSTR-2A'!$B$6:$B$10000,$C$5:$C$4995,'GSTR-2A'!$A$6:$A$10000,$N$3)</f>
        <v>0</v>
      </c>
      <c r="Q64" s="487">
        <f>SUMIFS('GSTR-2A'!$M$6:$M$10000,'GSTR-2A'!$B$6:$B$10000,$C$5:$C$4995,'GSTR-2A'!$A$6:$A$10000,$N$3)</f>
        <v>1539</v>
      </c>
      <c r="R64" s="488">
        <f>SUMIFS('GSTR-2A'!$N$6:$N$10000,'GSTR-2A'!$B$6:$B$10000,$C$5:$C$4995,'GSTR-2A'!$A$6:$A$10000,$N$3)</f>
        <v>1539</v>
      </c>
      <c r="S64" s="486">
        <f>SUMIFS('GSTR-2A'!$G$6:$G$10000,'GSTR-2A'!$B$6:$B$10000,$C$5:$C$4995,'GSTR-2A'!$A$6:$A$10000,$S$3)</f>
        <v>0</v>
      </c>
      <c r="T64" s="487">
        <f>SUMIFS('GSTR-2A'!$K$6:$K$10000,'GSTR-2A'!$B$6:$B$10000,$C$5:$C$4995,'GSTR-2A'!$A$6:$A$10000,$S$3)</f>
        <v>0</v>
      </c>
      <c r="U64" s="487">
        <f>SUMIFS('GSTR-2A'!$L$6:$L$10000,'GSTR-2A'!$B$6:$B$10000,$C$5:$C$4995,'GSTR-2A'!$A$6:$A$10000,$S$3)</f>
        <v>0</v>
      </c>
      <c r="V64" s="487">
        <f>SUMIFS('GSTR-2A'!$M$6:$M$10000,'GSTR-2A'!$B$6:$B$10000,$C$5:$C$4995,'GSTR-2A'!$A$6:$A$10000,$S$3)</f>
        <v>0</v>
      </c>
      <c r="W64" s="488">
        <f>SUMIFS('GSTR-2A'!$N$6:$N$10000,'GSTR-2A'!$B$6:$B$10000,$C$5:$C$4995,'GSTR-2A'!$A$6:$A$10000,$S$3)</f>
        <v>0</v>
      </c>
      <c r="X64" s="486">
        <f>SUMIFS('GSTR-2A'!$G$6:$G$10000,'GSTR-2A'!$B$6:$B$10000,$C$5:$C$4995,'GSTR-2A'!$A$6:$A$10000,$X$3)</f>
        <v>0</v>
      </c>
      <c r="Y64" s="487">
        <f>SUMIFS('GSTR-2A'!$K$6:$K$10000,'GSTR-2A'!$B$6:$B$10000,$C$5:$C$4995,'GSTR-2A'!$A$6:$A$10000,$X$3)</f>
        <v>0</v>
      </c>
      <c r="Z64" s="487">
        <f>SUMIFS('GSTR-2A'!$L$6:$L$10000,'GSTR-2A'!$B$6:$B$10000,$C$5:$C$4995,'GSTR-2A'!$A$6:$A$10000,$X$3)</f>
        <v>0</v>
      </c>
      <c r="AA64" s="487">
        <f>SUMIFS('GSTR-2A'!$M$6:$M$10000,'GSTR-2A'!$B$6:$B$10000,$C$5:$C$4995,'GSTR-2A'!$A$6:$A$10000,$X$3)</f>
        <v>0</v>
      </c>
      <c r="AB64" s="488">
        <f>SUMIFS('GSTR-2A'!$N$6:$N$10000,'GSTR-2A'!$B$6:$B$10000,$C$5:$C$4995,'GSTR-2A'!$A$6:$A$10000,$X$3)</f>
        <v>0</v>
      </c>
      <c r="AC64" s="486">
        <f>SUMIFS('GSTR-2A'!$G$6:$G$10000,'GSTR-2A'!$B$6:$B$10000,$C$5:$C$4995,'GSTR-2A'!$A$6:$A$10000,$AC$3)</f>
        <v>11121.5</v>
      </c>
      <c r="AD64" s="487">
        <f>SUMIFS('GSTR-2A'!$K$6:$K$10000,'GSTR-2A'!$B$6:$B$10000,$C$5:$C$4995,'GSTR-2A'!$A$6:$A$10000,$AC$3)</f>
        <v>9425</v>
      </c>
      <c r="AE64" s="487">
        <f>SUMIFS('GSTR-2A'!$L$6:$L$10000,'GSTR-2A'!$B$6:$B$10000,$C$5:$C$4995,'GSTR-2A'!$A$6:$A$10000,$AC$3)</f>
        <v>0</v>
      </c>
      <c r="AF64" s="487">
        <f>SUMIFS('GSTR-2A'!$M$6:$M$10000,'GSTR-2A'!$B$6:$B$10000,$C$5:$C$4995,'GSTR-2A'!$A$6:$A$10000,$AC$3)</f>
        <v>848.25</v>
      </c>
      <c r="AG64" s="488">
        <f>SUMIFS('GSTR-2A'!$N$6:$N$10000,'GSTR-2A'!$B$6:$B$10000,$C$5:$C$4995,'GSTR-2A'!$A$6:$A$10000,$AC$3)</f>
        <v>848.25</v>
      </c>
      <c r="AH64" s="486">
        <f>SUMIFS('GSTR-2A'!$G$6:$G$10000,'GSTR-2A'!$B$6:$B$10000,$C$5:$C$4995,'GSTR-2A'!$A$6:$A$10000,$AH$3)</f>
        <v>0</v>
      </c>
      <c r="AI64" s="487">
        <f>SUMIFS('GSTR-2A'!$K$6:$K$10000,'GSTR-2A'!$B$6:$B$10000,$C$5:$C$4995,'GSTR-2A'!$A$6:$A$10000,$AH$3)</f>
        <v>0</v>
      </c>
      <c r="AJ64" s="487">
        <f>SUMIFS('GSTR-2A'!$L$6:$L$10000,'GSTR-2A'!$B$6:$B$10000,$C$5:$C$4995,'GSTR-2A'!$A$6:$A$10000,$AH$3)</f>
        <v>0</v>
      </c>
      <c r="AK64" s="487">
        <f>SUMIFS('GSTR-2A'!$M$6:$M$10000,'GSTR-2A'!$B$6:$B$10000,$C$5:$C$4995,'GSTR-2A'!$A$6:$A$10000,$AH$3)</f>
        <v>0</v>
      </c>
      <c r="AL64" s="488">
        <f>SUMIFS('GSTR-2A'!$N$6:$N$10000,'GSTR-2A'!$B$6:$B$10000,$C$5:$C$4995,'GSTR-2A'!$A$6:$A$10000,$AH$3)</f>
        <v>0</v>
      </c>
      <c r="AM64" s="486">
        <f>SUMIFS('GSTR-2A'!$G$6:$G$10000,'GSTR-2A'!$B$6:$B$10000,$C$5:$C$4995,'GSTR-2A'!$A$6:$A$10000,$AM$3)</f>
        <v>0</v>
      </c>
      <c r="AN64" s="487">
        <f>SUMIFS('GSTR-2A'!$K$6:$K$10000,'GSTR-2A'!$B$6:$B$10000,$C$5:$C$4995,'GSTR-2A'!$A$6:$A$10000,$AM$3)</f>
        <v>0</v>
      </c>
      <c r="AO64" s="487">
        <f>SUMIFS('GSTR-2A'!$L$6:$L$10000,'GSTR-2A'!$B$6:$B$10000,$C$5:$C$4995,'GSTR-2A'!$A$6:$A$10000,$AM$3)</f>
        <v>0</v>
      </c>
      <c r="AP64" s="487">
        <f>SUMIFS('GSTR-2A'!$M$6:$M$10000,'GSTR-2A'!$B$6:$B$10000,$C$5:$C$4995,'GSTR-2A'!$A$6:$A$10000,$AM$3)</f>
        <v>0</v>
      </c>
      <c r="AQ64" s="488">
        <f>SUMIFS('GSTR-2A'!$N$6:$N$10000,'GSTR-2A'!$B$6:$B$10000,$C$5:$C$4995,'GSTR-2A'!$A$6:$A$10000,$AM$3)</f>
        <v>0</v>
      </c>
      <c r="AR64" s="486">
        <f>SUMIFS('GSTR-2A'!$G$6:$G$10000,'GSTR-2A'!$B$6:$B$10000,$C$5:$C$4995,'GSTR-2A'!$A$6:$A$10000,$AR$3)</f>
        <v>0</v>
      </c>
      <c r="AS64" s="487">
        <f>SUMIFS('GSTR-2A'!$K$6:$K$10000,'GSTR-2A'!$B$6:$B$10000,$C$5:$C$4995,'GSTR-2A'!$A$6:$A$10000,$AR$3)</f>
        <v>0</v>
      </c>
      <c r="AT64" s="487">
        <f>SUMIFS('GSTR-2A'!$L$6:$L$10000,'GSTR-2A'!$B$6:$B$10000,$C$5:$C$4995,'GSTR-2A'!$A$6:$A$10000,$AR$3)</f>
        <v>0</v>
      </c>
      <c r="AU64" s="487">
        <f>SUMIFS('GSTR-2A'!$M$6:$M$10000,'GSTR-2A'!$B$6:$B$10000,$C$5:$C$4995,'GSTR-2A'!$A$6:$A$10000,$AR$3)</f>
        <v>0</v>
      </c>
      <c r="AV64" s="488">
        <f>SUMIFS('GSTR-2A'!$N$6:$N$10000,'GSTR-2A'!$B$6:$B$10000,$C$5:$C$4995,'GSTR-2A'!$A$6:$A$10000,$AR$3)</f>
        <v>0</v>
      </c>
      <c r="AW64" s="486">
        <f>SUMIFS('GSTR-2A'!$G$6:$G$10000,'GSTR-2A'!$B$6:$B$10000,$C$5:$C$4995,'GSTR-2A'!$A$6:$A$10000,$AW$3)</f>
        <v>0</v>
      </c>
      <c r="AX64" s="487">
        <f>SUMIFS('GSTR-2A'!$K$6:$K$10000,'GSTR-2A'!$B$6:$B$10000,$C$5:$C$4995,'GSTR-2A'!$A$6:$A$10000,$AW$3)</f>
        <v>0</v>
      </c>
      <c r="AY64" s="487">
        <f>SUMIFS('GSTR-2A'!$L$6:$L$10000,'GSTR-2A'!$B$6:$B$10000,$C$5:$C$4995,'GSTR-2A'!$A$6:$A$10000,$AW$3)</f>
        <v>0</v>
      </c>
      <c r="AZ64" s="487">
        <f>SUMIFS('GSTR-2A'!$M$6:$M$10000,'GSTR-2A'!$B$6:$B$10000,$C$5:$C$4995,'GSTR-2A'!$A$6:$A$10000,$AW$3)</f>
        <v>0</v>
      </c>
      <c r="BA64" s="488">
        <f>SUMIFS('GSTR-2A'!$N$6:$N$10000,'GSTR-2A'!$B$6:$B$10000,$C$5:$C$4995,'GSTR-2A'!$A$6:$A$10000,$AW$3)</f>
        <v>0</v>
      </c>
      <c r="BB64" s="486">
        <f>SUMIFS('GSTR-2A'!$G$6:$G$10000,'GSTR-2A'!$B$6:$B$10000,$C$5:$C$4995,'GSTR-2A'!$A$6:$A$10000,$BB$3)</f>
        <v>0</v>
      </c>
      <c r="BC64" s="487">
        <f>SUMIFS('GSTR-2A'!$K$6:$K$10000,'GSTR-2A'!$B$6:$B$10000,$C$5:$C$4995,'GSTR-2A'!$A$6:$A$10000,$BB$3)</f>
        <v>0</v>
      </c>
      <c r="BD64" s="487">
        <f>SUMIFS('GSTR-2A'!$L$6:$L$10000,'GSTR-2A'!$B$6:$B$10000,$C$5:$C$4995,'GSTR-2A'!$A$6:$A$10000,$BB$3)</f>
        <v>0</v>
      </c>
      <c r="BE64" s="487">
        <f>SUMIFS('GSTR-2A'!$M$6:$M$10000,'GSTR-2A'!$B$6:$B$10000,$C$5:$C$4995,'GSTR-2A'!$A$6:$A$10000,$BB$3)</f>
        <v>0</v>
      </c>
      <c r="BF64" s="488">
        <f>SUMIFS('GSTR-2A'!$N$6:$N$10000,'GSTR-2A'!$B$6:$B$10000,$C$5:$C$4995,'GSTR-2A'!$A$6:$A$10000,$BB$3)</f>
        <v>0</v>
      </c>
      <c r="BG64" s="486">
        <f>SUMIFS('GSTR-2A'!$G$6:$G$10000,'GSTR-2A'!$B$6:$B$10000,$C$5:$C$4995,'GSTR-2A'!$A$6:$A$10000,$BG$3)</f>
        <v>0</v>
      </c>
      <c r="BH64" s="487">
        <f>SUMIFS('GSTR-2A'!$K$6:$K$10000,'GSTR-2A'!$B$6:$B$10000,$C$5:$C$4995,'GSTR-2A'!$A$6:$A$10000,$BG$3)</f>
        <v>0</v>
      </c>
      <c r="BI64" s="487">
        <f>SUMIFS('GSTR-2A'!$L$6:$L$10000,'GSTR-2A'!$B$6:$B$10000,$C$5:$C$4995,'GSTR-2A'!$A$6:$A$10000,$BG$3)</f>
        <v>0</v>
      </c>
      <c r="BJ64" s="487">
        <f>SUMIFS('GSTR-2A'!$M$6:$M$10000,'GSTR-2A'!$B$6:$B$10000,$C$5:$C$4995,'GSTR-2A'!$A$6:$A$10000,$BG$3)</f>
        <v>0</v>
      </c>
      <c r="BK64" s="488">
        <f>SUMIFS('GSTR-2A'!$N$6:$N$10000,'GSTR-2A'!$B$6:$B$10000,$C$5:$C$4995,'GSTR-2A'!$A$6:$A$10000,$BG$3)</f>
        <v>0</v>
      </c>
      <c r="BL64" s="72">
        <f t="shared" si="2"/>
        <v>31299.5</v>
      </c>
      <c r="BM64" s="72">
        <f t="shared" si="3"/>
        <v>26525</v>
      </c>
      <c r="BN64" s="72">
        <f t="shared" si="4"/>
        <v>0</v>
      </c>
      <c r="BO64" s="72">
        <f t="shared" si="5"/>
        <v>2387.25</v>
      </c>
      <c r="BP64" s="72">
        <f t="shared" si="6"/>
        <v>2387.25</v>
      </c>
    </row>
    <row r="65" spans="1:68" x14ac:dyDescent="0.2">
      <c r="A65" s="467">
        <v>61</v>
      </c>
      <c r="B65" s="468" t="s">
        <v>1123</v>
      </c>
      <c r="C65" s="469" t="s">
        <v>1124</v>
      </c>
      <c r="D65" s="72">
        <f>SUMIFS('GSTR-2A'!$G$6:$G$10000,'GSTR-2A'!$B$6:$B$10000,$C$5:$C$4995,'GSTR-2A'!$A$6:$A$10000,$D$3)</f>
        <v>0</v>
      </c>
      <c r="E65" s="72">
        <f>SUMIFS('GSTR-2A'!$K$6:$K$10000,'GSTR-2A'!$B$6:$B$10000,$C$5:$C$4995,'GSTR-2A'!$A$6:$A$10000,$D$3)</f>
        <v>0</v>
      </c>
      <c r="F65" s="72">
        <f>SUMIFS('GSTR-2A'!$L$6:$L$10000,'GSTR-2A'!$B$6:$B$10000,$C$5:$C$4995,'GSTR-2A'!$A$6:$A$10000,$D$3)</f>
        <v>0</v>
      </c>
      <c r="G65" s="72">
        <f>SUMIFS('GSTR-2A'!$M$6:$M$10000,'GSTR-2A'!$B$6:$B$10000,$C$5:$C$4995,'GSTR-2A'!$A$6:$A$10000,$D$3)</f>
        <v>0</v>
      </c>
      <c r="H65" s="72">
        <f>SUMIFS('GSTR-2A'!$N$6:$N$10000,'GSTR-2A'!$B$6:$B$10000,$C$5:$C$4995,'GSTR-2A'!$A$6:$A$10000,$D$3)</f>
        <v>0</v>
      </c>
      <c r="I65" s="486">
        <f>SUMIFS('GSTR-2A'!$G$6:$G$10000,'GSTR-2A'!$B$6:$B$10000,$C$5:$C$4995,'GSTR-2A'!$A$6:$A$10000,$I$3)</f>
        <v>0</v>
      </c>
      <c r="J65" s="487">
        <f>SUMIFS('GSTR-2A'!$K$6:$K$10000,'GSTR-2A'!$B$6:$B$10000,$C$5:$C$4995,'GSTR-2A'!$A$6:$A$10000,$I$3)</f>
        <v>0</v>
      </c>
      <c r="K65" s="487">
        <f>SUMIFS('GSTR-2A'!$L$6:$L$10000,'GSTR-2A'!$B$6:$B$10000,$C$5:$C$4995,'GSTR-2A'!$A$6:$A$10000,$I$3)</f>
        <v>0</v>
      </c>
      <c r="L65" s="487">
        <f>SUMIFS('GSTR-2A'!$M$6:$M$10000,'GSTR-2A'!$B$6:$B$10000,$C$5:$C$4995,'GSTR-2A'!$A$6:$A$10000,$I$3)</f>
        <v>0</v>
      </c>
      <c r="M65" s="488">
        <f>SUMIFS('GSTR-2A'!$N$6:$N$10000,'GSTR-2A'!$B$6:$B$10000,$C$5:$C$4995,'GSTR-2A'!$A$6:$A$10000,$I$3)</f>
        <v>0</v>
      </c>
      <c r="N65" s="486">
        <f>SUMIFS('GSTR-2A'!$G$6:$G$10000,'GSTR-2A'!$B$6:$B$10000,$C$5:$C$4995,'GSTR-2A'!$A$6:$A$10000,$N$3)</f>
        <v>0</v>
      </c>
      <c r="O65" s="487">
        <f>SUMIFS('GSTR-2A'!$K$6:$K$10000,'GSTR-2A'!$B$6:$B$10000,$C$5:$C$4995,'GSTR-2A'!$A$6:$A$10000,$N$3)</f>
        <v>0</v>
      </c>
      <c r="P65" s="487">
        <f>SUMIFS('GSTR-2A'!$L$6:$L$10000,'GSTR-2A'!$B$6:$B$10000,$C$5:$C$4995,'GSTR-2A'!$A$6:$A$10000,$N$3)</f>
        <v>0</v>
      </c>
      <c r="Q65" s="487">
        <f>SUMIFS('GSTR-2A'!$M$6:$M$10000,'GSTR-2A'!$B$6:$B$10000,$C$5:$C$4995,'GSTR-2A'!$A$6:$A$10000,$N$3)</f>
        <v>0</v>
      </c>
      <c r="R65" s="488">
        <f>SUMIFS('GSTR-2A'!$N$6:$N$10000,'GSTR-2A'!$B$6:$B$10000,$C$5:$C$4995,'GSTR-2A'!$A$6:$A$10000,$N$3)</f>
        <v>0</v>
      </c>
      <c r="S65" s="486">
        <f>SUMIFS('GSTR-2A'!$G$6:$G$10000,'GSTR-2A'!$B$6:$B$10000,$C$5:$C$4995,'GSTR-2A'!$A$6:$A$10000,$S$3)</f>
        <v>0</v>
      </c>
      <c r="T65" s="487">
        <f>SUMIFS('GSTR-2A'!$K$6:$K$10000,'GSTR-2A'!$B$6:$B$10000,$C$5:$C$4995,'GSTR-2A'!$A$6:$A$10000,$S$3)</f>
        <v>0</v>
      </c>
      <c r="U65" s="487">
        <f>SUMIFS('GSTR-2A'!$L$6:$L$10000,'GSTR-2A'!$B$6:$B$10000,$C$5:$C$4995,'GSTR-2A'!$A$6:$A$10000,$S$3)</f>
        <v>0</v>
      </c>
      <c r="V65" s="487">
        <f>SUMIFS('GSTR-2A'!$M$6:$M$10000,'GSTR-2A'!$B$6:$B$10000,$C$5:$C$4995,'GSTR-2A'!$A$6:$A$10000,$S$3)</f>
        <v>0</v>
      </c>
      <c r="W65" s="488">
        <f>SUMIFS('GSTR-2A'!$N$6:$N$10000,'GSTR-2A'!$B$6:$B$10000,$C$5:$C$4995,'GSTR-2A'!$A$6:$A$10000,$S$3)</f>
        <v>0</v>
      </c>
      <c r="X65" s="486">
        <f>SUMIFS('GSTR-2A'!$G$6:$G$10000,'GSTR-2A'!$B$6:$B$10000,$C$5:$C$4995,'GSTR-2A'!$A$6:$A$10000,$X$3)</f>
        <v>0</v>
      </c>
      <c r="Y65" s="487">
        <f>SUMIFS('GSTR-2A'!$K$6:$K$10000,'GSTR-2A'!$B$6:$B$10000,$C$5:$C$4995,'GSTR-2A'!$A$6:$A$10000,$X$3)</f>
        <v>0</v>
      </c>
      <c r="Z65" s="487">
        <f>SUMIFS('GSTR-2A'!$L$6:$L$10000,'GSTR-2A'!$B$6:$B$10000,$C$5:$C$4995,'GSTR-2A'!$A$6:$A$10000,$X$3)</f>
        <v>0</v>
      </c>
      <c r="AA65" s="487">
        <f>SUMIFS('GSTR-2A'!$M$6:$M$10000,'GSTR-2A'!$B$6:$B$10000,$C$5:$C$4995,'GSTR-2A'!$A$6:$A$10000,$X$3)</f>
        <v>0</v>
      </c>
      <c r="AB65" s="488">
        <f>SUMIFS('GSTR-2A'!$N$6:$N$10000,'GSTR-2A'!$B$6:$B$10000,$C$5:$C$4995,'GSTR-2A'!$A$6:$A$10000,$X$3)</f>
        <v>0</v>
      </c>
      <c r="AC65" s="486">
        <f>SUMIFS('GSTR-2A'!$G$6:$G$10000,'GSTR-2A'!$B$6:$B$10000,$C$5:$C$4995,'GSTR-2A'!$A$6:$A$10000,$AC$3)</f>
        <v>0</v>
      </c>
      <c r="AD65" s="487">
        <f>SUMIFS('GSTR-2A'!$K$6:$K$10000,'GSTR-2A'!$B$6:$B$10000,$C$5:$C$4995,'GSTR-2A'!$A$6:$A$10000,$AC$3)</f>
        <v>0</v>
      </c>
      <c r="AE65" s="487">
        <f>SUMIFS('GSTR-2A'!$L$6:$L$10000,'GSTR-2A'!$B$6:$B$10000,$C$5:$C$4995,'GSTR-2A'!$A$6:$A$10000,$AC$3)</f>
        <v>0</v>
      </c>
      <c r="AF65" s="487">
        <f>SUMIFS('GSTR-2A'!$M$6:$M$10000,'GSTR-2A'!$B$6:$B$10000,$C$5:$C$4995,'GSTR-2A'!$A$6:$A$10000,$AC$3)</f>
        <v>0</v>
      </c>
      <c r="AG65" s="488">
        <f>SUMIFS('GSTR-2A'!$N$6:$N$10000,'GSTR-2A'!$B$6:$B$10000,$C$5:$C$4995,'GSTR-2A'!$A$6:$A$10000,$AC$3)</f>
        <v>0</v>
      </c>
      <c r="AH65" s="486">
        <f>SUMIFS('GSTR-2A'!$G$6:$G$10000,'GSTR-2A'!$B$6:$B$10000,$C$5:$C$4995,'GSTR-2A'!$A$6:$A$10000,$AH$3)</f>
        <v>0</v>
      </c>
      <c r="AI65" s="487">
        <f>SUMIFS('GSTR-2A'!$K$6:$K$10000,'GSTR-2A'!$B$6:$B$10000,$C$5:$C$4995,'GSTR-2A'!$A$6:$A$10000,$AH$3)</f>
        <v>0</v>
      </c>
      <c r="AJ65" s="487">
        <f>SUMIFS('GSTR-2A'!$L$6:$L$10000,'GSTR-2A'!$B$6:$B$10000,$C$5:$C$4995,'GSTR-2A'!$A$6:$A$10000,$AH$3)</f>
        <v>0</v>
      </c>
      <c r="AK65" s="487">
        <f>SUMIFS('GSTR-2A'!$M$6:$M$10000,'GSTR-2A'!$B$6:$B$10000,$C$5:$C$4995,'GSTR-2A'!$A$6:$A$10000,$AH$3)</f>
        <v>0</v>
      </c>
      <c r="AL65" s="488">
        <f>SUMIFS('GSTR-2A'!$N$6:$N$10000,'GSTR-2A'!$B$6:$B$10000,$C$5:$C$4995,'GSTR-2A'!$A$6:$A$10000,$AH$3)</f>
        <v>0</v>
      </c>
      <c r="AM65" s="486">
        <f>SUMIFS('GSTR-2A'!$G$6:$G$10000,'GSTR-2A'!$B$6:$B$10000,$C$5:$C$4995,'GSTR-2A'!$A$6:$A$10000,$AM$3)</f>
        <v>0</v>
      </c>
      <c r="AN65" s="487">
        <f>SUMIFS('GSTR-2A'!$K$6:$K$10000,'GSTR-2A'!$B$6:$B$10000,$C$5:$C$4995,'GSTR-2A'!$A$6:$A$10000,$AM$3)</f>
        <v>0</v>
      </c>
      <c r="AO65" s="487">
        <f>SUMIFS('GSTR-2A'!$L$6:$L$10000,'GSTR-2A'!$B$6:$B$10000,$C$5:$C$4995,'GSTR-2A'!$A$6:$A$10000,$AM$3)</f>
        <v>0</v>
      </c>
      <c r="AP65" s="487">
        <f>SUMIFS('GSTR-2A'!$M$6:$M$10000,'GSTR-2A'!$B$6:$B$10000,$C$5:$C$4995,'GSTR-2A'!$A$6:$A$10000,$AM$3)</f>
        <v>0</v>
      </c>
      <c r="AQ65" s="488">
        <f>SUMIFS('GSTR-2A'!$N$6:$N$10000,'GSTR-2A'!$B$6:$B$10000,$C$5:$C$4995,'GSTR-2A'!$A$6:$A$10000,$AM$3)</f>
        <v>0</v>
      </c>
      <c r="AR65" s="486">
        <f>SUMIFS('GSTR-2A'!$G$6:$G$10000,'GSTR-2A'!$B$6:$B$10000,$C$5:$C$4995,'GSTR-2A'!$A$6:$A$10000,$AR$3)</f>
        <v>0</v>
      </c>
      <c r="AS65" s="487">
        <f>SUMIFS('GSTR-2A'!$K$6:$K$10000,'GSTR-2A'!$B$6:$B$10000,$C$5:$C$4995,'GSTR-2A'!$A$6:$A$10000,$AR$3)</f>
        <v>0</v>
      </c>
      <c r="AT65" s="487">
        <f>SUMIFS('GSTR-2A'!$L$6:$L$10000,'GSTR-2A'!$B$6:$B$10000,$C$5:$C$4995,'GSTR-2A'!$A$6:$A$10000,$AR$3)</f>
        <v>0</v>
      </c>
      <c r="AU65" s="487">
        <f>SUMIFS('GSTR-2A'!$M$6:$M$10000,'GSTR-2A'!$B$6:$B$10000,$C$5:$C$4995,'GSTR-2A'!$A$6:$A$10000,$AR$3)</f>
        <v>0</v>
      </c>
      <c r="AV65" s="488">
        <f>SUMIFS('GSTR-2A'!$N$6:$N$10000,'GSTR-2A'!$B$6:$B$10000,$C$5:$C$4995,'GSTR-2A'!$A$6:$A$10000,$AR$3)</f>
        <v>0</v>
      </c>
      <c r="AW65" s="486">
        <f>SUMIFS('GSTR-2A'!$G$6:$G$10000,'GSTR-2A'!$B$6:$B$10000,$C$5:$C$4995,'GSTR-2A'!$A$6:$A$10000,$AW$3)</f>
        <v>0</v>
      </c>
      <c r="AX65" s="487">
        <f>SUMIFS('GSTR-2A'!$K$6:$K$10000,'GSTR-2A'!$B$6:$B$10000,$C$5:$C$4995,'GSTR-2A'!$A$6:$A$10000,$AW$3)</f>
        <v>0</v>
      </c>
      <c r="AY65" s="487">
        <f>SUMIFS('GSTR-2A'!$L$6:$L$10000,'GSTR-2A'!$B$6:$B$10000,$C$5:$C$4995,'GSTR-2A'!$A$6:$A$10000,$AW$3)</f>
        <v>0</v>
      </c>
      <c r="AZ65" s="487">
        <f>SUMIFS('GSTR-2A'!$M$6:$M$10000,'GSTR-2A'!$B$6:$B$10000,$C$5:$C$4995,'GSTR-2A'!$A$6:$A$10000,$AW$3)</f>
        <v>0</v>
      </c>
      <c r="BA65" s="488">
        <f>SUMIFS('GSTR-2A'!$N$6:$N$10000,'GSTR-2A'!$B$6:$B$10000,$C$5:$C$4995,'GSTR-2A'!$A$6:$A$10000,$AW$3)</f>
        <v>0</v>
      </c>
      <c r="BB65" s="486">
        <f>SUMIFS('GSTR-2A'!$G$6:$G$10000,'GSTR-2A'!$B$6:$B$10000,$C$5:$C$4995,'GSTR-2A'!$A$6:$A$10000,$BB$3)</f>
        <v>0</v>
      </c>
      <c r="BC65" s="487">
        <f>SUMIFS('GSTR-2A'!$K$6:$K$10000,'GSTR-2A'!$B$6:$B$10000,$C$5:$C$4995,'GSTR-2A'!$A$6:$A$10000,$BB$3)</f>
        <v>0</v>
      </c>
      <c r="BD65" s="487">
        <f>SUMIFS('GSTR-2A'!$L$6:$L$10000,'GSTR-2A'!$B$6:$B$10000,$C$5:$C$4995,'GSTR-2A'!$A$6:$A$10000,$BB$3)</f>
        <v>0</v>
      </c>
      <c r="BE65" s="487">
        <f>SUMIFS('GSTR-2A'!$M$6:$M$10000,'GSTR-2A'!$B$6:$B$10000,$C$5:$C$4995,'GSTR-2A'!$A$6:$A$10000,$BB$3)</f>
        <v>0</v>
      </c>
      <c r="BF65" s="488">
        <f>SUMIFS('GSTR-2A'!$N$6:$N$10000,'GSTR-2A'!$B$6:$B$10000,$C$5:$C$4995,'GSTR-2A'!$A$6:$A$10000,$BB$3)</f>
        <v>0</v>
      </c>
      <c r="BG65" s="486">
        <f>SUMIFS('GSTR-2A'!$G$6:$G$10000,'GSTR-2A'!$B$6:$B$10000,$C$5:$C$4995,'GSTR-2A'!$A$6:$A$10000,$BG$3)</f>
        <v>0</v>
      </c>
      <c r="BH65" s="487">
        <f>SUMIFS('GSTR-2A'!$K$6:$K$10000,'GSTR-2A'!$B$6:$B$10000,$C$5:$C$4995,'GSTR-2A'!$A$6:$A$10000,$BG$3)</f>
        <v>0</v>
      </c>
      <c r="BI65" s="487">
        <f>SUMIFS('GSTR-2A'!$L$6:$L$10000,'GSTR-2A'!$B$6:$B$10000,$C$5:$C$4995,'GSTR-2A'!$A$6:$A$10000,$BG$3)</f>
        <v>0</v>
      </c>
      <c r="BJ65" s="487">
        <f>SUMIFS('GSTR-2A'!$M$6:$M$10000,'GSTR-2A'!$B$6:$B$10000,$C$5:$C$4995,'GSTR-2A'!$A$6:$A$10000,$BG$3)</f>
        <v>0</v>
      </c>
      <c r="BK65" s="488">
        <f>SUMIFS('GSTR-2A'!$N$6:$N$10000,'GSTR-2A'!$B$6:$B$10000,$C$5:$C$4995,'GSTR-2A'!$A$6:$A$10000,$BG$3)</f>
        <v>0</v>
      </c>
      <c r="BL65" s="72">
        <f t="shared" si="2"/>
        <v>0</v>
      </c>
      <c r="BM65" s="72">
        <f t="shared" si="3"/>
        <v>0</v>
      </c>
      <c r="BN65" s="72">
        <f t="shared" si="4"/>
        <v>0</v>
      </c>
      <c r="BO65" s="72">
        <f t="shared" si="5"/>
        <v>0</v>
      </c>
      <c r="BP65" s="72">
        <f t="shared" si="6"/>
        <v>0</v>
      </c>
    </row>
    <row r="66" spans="1:68" x14ac:dyDescent="0.2">
      <c r="A66" s="467">
        <v>62</v>
      </c>
      <c r="B66" s="468" t="s">
        <v>1125</v>
      </c>
      <c r="C66" s="469" t="s">
        <v>1126</v>
      </c>
      <c r="D66" s="72">
        <f>SUMIFS('GSTR-2A'!$G$6:$G$10000,'GSTR-2A'!$B$6:$B$10000,$C$5:$C$4995,'GSTR-2A'!$A$6:$A$10000,$D$3)</f>
        <v>0</v>
      </c>
      <c r="E66" s="72">
        <f>SUMIFS('GSTR-2A'!$K$6:$K$10000,'GSTR-2A'!$B$6:$B$10000,$C$5:$C$4995,'GSTR-2A'!$A$6:$A$10000,$D$3)</f>
        <v>0</v>
      </c>
      <c r="F66" s="72">
        <f>SUMIFS('GSTR-2A'!$L$6:$L$10000,'GSTR-2A'!$B$6:$B$10000,$C$5:$C$4995,'GSTR-2A'!$A$6:$A$10000,$D$3)</f>
        <v>0</v>
      </c>
      <c r="G66" s="72">
        <f>SUMIFS('GSTR-2A'!$M$6:$M$10000,'GSTR-2A'!$B$6:$B$10000,$C$5:$C$4995,'GSTR-2A'!$A$6:$A$10000,$D$3)</f>
        <v>0</v>
      </c>
      <c r="H66" s="72">
        <f>SUMIFS('GSTR-2A'!$N$6:$N$10000,'GSTR-2A'!$B$6:$B$10000,$C$5:$C$4995,'GSTR-2A'!$A$6:$A$10000,$D$3)</f>
        <v>0</v>
      </c>
      <c r="I66" s="486">
        <f>SUMIFS('GSTR-2A'!$G$6:$G$10000,'GSTR-2A'!$B$6:$B$10000,$C$5:$C$4995,'GSTR-2A'!$A$6:$A$10000,$I$3)</f>
        <v>0</v>
      </c>
      <c r="J66" s="487">
        <f>SUMIFS('GSTR-2A'!$K$6:$K$10000,'GSTR-2A'!$B$6:$B$10000,$C$5:$C$4995,'GSTR-2A'!$A$6:$A$10000,$I$3)</f>
        <v>0</v>
      </c>
      <c r="K66" s="487">
        <f>SUMIFS('GSTR-2A'!$L$6:$L$10000,'GSTR-2A'!$B$6:$B$10000,$C$5:$C$4995,'GSTR-2A'!$A$6:$A$10000,$I$3)</f>
        <v>0</v>
      </c>
      <c r="L66" s="487">
        <f>SUMIFS('GSTR-2A'!$M$6:$M$10000,'GSTR-2A'!$B$6:$B$10000,$C$5:$C$4995,'GSTR-2A'!$A$6:$A$10000,$I$3)</f>
        <v>0</v>
      </c>
      <c r="M66" s="488">
        <f>SUMIFS('GSTR-2A'!$N$6:$N$10000,'GSTR-2A'!$B$6:$B$10000,$C$5:$C$4995,'GSTR-2A'!$A$6:$A$10000,$I$3)</f>
        <v>0</v>
      </c>
      <c r="N66" s="486">
        <f>SUMIFS('GSTR-2A'!$G$6:$G$10000,'GSTR-2A'!$B$6:$B$10000,$C$5:$C$4995,'GSTR-2A'!$A$6:$A$10000,$N$3)</f>
        <v>0</v>
      </c>
      <c r="O66" s="487">
        <f>SUMIFS('GSTR-2A'!$K$6:$K$10000,'GSTR-2A'!$B$6:$B$10000,$C$5:$C$4995,'GSTR-2A'!$A$6:$A$10000,$N$3)</f>
        <v>0</v>
      </c>
      <c r="P66" s="487">
        <f>SUMIFS('GSTR-2A'!$L$6:$L$10000,'GSTR-2A'!$B$6:$B$10000,$C$5:$C$4995,'GSTR-2A'!$A$6:$A$10000,$N$3)</f>
        <v>0</v>
      </c>
      <c r="Q66" s="487">
        <f>SUMIFS('GSTR-2A'!$M$6:$M$10000,'GSTR-2A'!$B$6:$B$10000,$C$5:$C$4995,'GSTR-2A'!$A$6:$A$10000,$N$3)</f>
        <v>0</v>
      </c>
      <c r="R66" s="488">
        <f>SUMIFS('GSTR-2A'!$N$6:$N$10000,'GSTR-2A'!$B$6:$B$10000,$C$5:$C$4995,'GSTR-2A'!$A$6:$A$10000,$N$3)</f>
        <v>0</v>
      </c>
      <c r="S66" s="486">
        <f>SUMIFS('GSTR-2A'!$G$6:$G$10000,'GSTR-2A'!$B$6:$B$10000,$C$5:$C$4995,'GSTR-2A'!$A$6:$A$10000,$S$3)</f>
        <v>0</v>
      </c>
      <c r="T66" s="487">
        <f>SUMIFS('GSTR-2A'!$K$6:$K$10000,'GSTR-2A'!$B$6:$B$10000,$C$5:$C$4995,'GSTR-2A'!$A$6:$A$10000,$S$3)</f>
        <v>0</v>
      </c>
      <c r="U66" s="487">
        <f>SUMIFS('GSTR-2A'!$L$6:$L$10000,'GSTR-2A'!$B$6:$B$10000,$C$5:$C$4995,'GSTR-2A'!$A$6:$A$10000,$S$3)</f>
        <v>0</v>
      </c>
      <c r="V66" s="487">
        <f>SUMIFS('GSTR-2A'!$M$6:$M$10000,'GSTR-2A'!$B$6:$B$10000,$C$5:$C$4995,'GSTR-2A'!$A$6:$A$10000,$S$3)</f>
        <v>0</v>
      </c>
      <c r="W66" s="488">
        <f>SUMIFS('GSTR-2A'!$N$6:$N$10000,'GSTR-2A'!$B$6:$B$10000,$C$5:$C$4995,'GSTR-2A'!$A$6:$A$10000,$S$3)</f>
        <v>0</v>
      </c>
      <c r="X66" s="486">
        <f>SUMIFS('GSTR-2A'!$G$6:$G$10000,'GSTR-2A'!$B$6:$B$10000,$C$5:$C$4995,'GSTR-2A'!$A$6:$A$10000,$X$3)</f>
        <v>0</v>
      </c>
      <c r="Y66" s="487">
        <f>SUMIFS('GSTR-2A'!$K$6:$K$10000,'GSTR-2A'!$B$6:$B$10000,$C$5:$C$4995,'GSTR-2A'!$A$6:$A$10000,$X$3)</f>
        <v>0</v>
      </c>
      <c r="Z66" s="487">
        <f>SUMIFS('GSTR-2A'!$L$6:$L$10000,'GSTR-2A'!$B$6:$B$10000,$C$5:$C$4995,'GSTR-2A'!$A$6:$A$10000,$X$3)</f>
        <v>0</v>
      </c>
      <c r="AA66" s="487">
        <f>SUMIFS('GSTR-2A'!$M$6:$M$10000,'GSTR-2A'!$B$6:$B$10000,$C$5:$C$4995,'GSTR-2A'!$A$6:$A$10000,$X$3)</f>
        <v>0</v>
      </c>
      <c r="AB66" s="488">
        <f>SUMIFS('GSTR-2A'!$N$6:$N$10000,'GSTR-2A'!$B$6:$B$10000,$C$5:$C$4995,'GSTR-2A'!$A$6:$A$10000,$X$3)</f>
        <v>0</v>
      </c>
      <c r="AC66" s="486">
        <f>SUMIFS('GSTR-2A'!$G$6:$G$10000,'GSTR-2A'!$B$6:$B$10000,$C$5:$C$4995,'GSTR-2A'!$A$6:$A$10000,$AC$3)</f>
        <v>0</v>
      </c>
      <c r="AD66" s="487">
        <f>SUMIFS('GSTR-2A'!$K$6:$K$10000,'GSTR-2A'!$B$6:$B$10000,$C$5:$C$4995,'GSTR-2A'!$A$6:$A$10000,$AC$3)</f>
        <v>0</v>
      </c>
      <c r="AE66" s="487">
        <f>SUMIFS('GSTR-2A'!$L$6:$L$10000,'GSTR-2A'!$B$6:$B$10000,$C$5:$C$4995,'GSTR-2A'!$A$6:$A$10000,$AC$3)</f>
        <v>0</v>
      </c>
      <c r="AF66" s="487">
        <f>SUMIFS('GSTR-2A'!$M$6:$M$10000,'GSTR-2A'!$B$6:$B$10000,$C$5:$C$4995,'GSTR-2A'!$A$6:$A$10000,$AC$3)</f>
        <v>0</v>
      </c>
      <c r="AG66" s="488">
        <f>SUMIFS('GSTR-2A'!$N$6:$N$10000,'GSTR-2A'!$B$6:$B$10000,$C$5:$C$4995,'GSTR-2A'!$A$6:$A$10000,$AC$3)</f>
        <v>0</v>
      </c>
      <c r="AH66" s="486">
        <f>SUMIFS('GSTR-2A'!$G$6:$G$10000,'GSTR-2A'!$B$6:$B$10000,$C$5:$C$4995,'GSTR-2A'!$A$6:$A$10000,$AH$3)</f>
        <v>0</v>
      </c>
      <c r="AI66" s="487">
        <f>SUMIFS('GSTR-2A'!$K$6:$K$10000,'GSTR-2A'!$B$6:$B$10000,$C$5:$C$4995,'GSTR-2A'!$A$6:$A$10000,$AH$3)</f>
        <v>0</v>
      </c>
      <c r="AJ66" s="487">
        <f>SUMIFS('GSTR-2A'!$L$6:$L$10000,'GSTR-2A'!$B$6:$B$10000,$C$5:$C$4995,'GSTR-2A'!$A$6:$A$10000,$AH$3)</f>
        <v>0</v>
      </c>
      <c r="AK66" s="487">
        <f>SUMIFS('GSTR-2A'!$M$6:$M$10000,'GSTR-2A'!$B$6:$B$10000,$C$5:$C$4995,'GSTR-2A'!$A$6:$A$10000,$AH$3)</f>
        <v>0</v>
      </c>
      <c r="AL66" s="488">
        <f>SUMIFS('GSTR-2A'!$N$6:$N$10000,'GSTR-2A'!$B$6:$B$10000,$C$5:$C$4995,'GSTR-2A'!$A$6:$A$10000,$AH$3)</f>
        <v>0</v>
      </c>
      <c r="AM66" s="486">
        <f>SUMIFS('GSTR-2A'!$G$6:$G$10000,'GSTR-2A'!$B$6:$B$10000,$C$5:$C$4995,'GSTR-2A'!$A$6:$A$10000,$AM$3)</f>
        <v>0</v>
      </c>
      <c r="AN66" s="487">
        <f>SUMIFS('GSTR-2A'!$K$6:$K$10000,'GSTR-2A'!$B$6:$B$10000,$C$5:$C$4995,'GSTR-2A'!$A$6:$A$10000,$AM$3)</f>
        <v>0</v>
      </c>
      <c r="AO66" s="487">
        <f>SUMIFS('GSTR-2A'!$L$6:$L$10000,'GSTR-2A'!$B$6:$B$10000,$C$5:$C$4995,'GSTR-2A'!$A$6:$A$10000,$AM$3)</f>
        <v>0</v>
      </c>
      <c r="AP66" s="487">
        <f>SUMIFS('GSTR-2A'!$M$6:$M$10000,'GSTR-2A'!$B$6:$B$10000,$C$5:$C$4995,'GSTR-2A'!$A$6:$A$10000,$AM$3)</f>
        <v>0</v>
      </c>
      <c r="AQ66" s="488">
        <f>SUMIFS('GSTR-2A'!$N$6:$N$10000,'GSTR-2A'!$B$6:$B$10000,$C$5:$C$4995,'GSTR-2A'!$A$6:$A$10000,$AM$3)</f>
        <v>0</v>
      </c>
      <c r="AR66" s="486">
        <f>SUMIFS('GSTR-2A'!$G$6:$G$10000,'GSTR-2A'!$B$6:$B$10000,$C$5:$C$4995,'GSTR-2A'!$A$6:$A$10000,$AR$3)</f>
        <v>0</v>
      </c>
      <c r="AS66" s="487">
        <f>SUMIFS('GSTR-2A'!$K$6:$K$10000,'GSTR-2A'!$B$6:$B$10000,$C$5:$C$4995,'GSTR-2A'!$A$6:$A$10000,$AR$3)</f>
        <v>0</v>
      </c>
      <c r="AT66" s="487">
        <f>SUMIFS('GSTR-2A'!$L$6:$L$10000,'GSTR-2A'!$B$6:$B$10000,$C$5:$C$4995,'GSTR-2A'!$A$6:$A$10000,$AR$3)</f>
        <v>0</v>
      </c>
      <c r="AU66" s="487">
        <f>SUMIFS('GSTR-2A'!$M$6:$M$10000,'GSTR-2A'!$B$6:$B$10000,$C$5:$C$4995,'GSTR-2A'!$A$6:$A$10000,$AR$3)</f>
        <v>0</v>
      </c>
      <c r="AV66" s="488">
        <f>SUMIFS('GSTR-2A'!$N$6:$N$10000,'GSTR-2A'!$B$6:$B$10000,$C$5:$C$4995,'GSTR-2A'!$A$6:$A$10000,$AR$3)</f>
        <v>0</v>
      </c>
      <c r="AW66" s="486">
        <f>SUMIFS('GSTR-2A'!$G$6:$G$10000,'GSTR-2A'!$B$6:$B$10000,$C$5:$C$4995,'GSTR-2A'!$A$6:$A$10000,$AW$3)</f>
        <v>0</v>
      </c>
      <c r="AX66" s="487">
        <f>SUMIFS('GSTR-2A'!$K$6:$K$10000,'GSTR-2A'!$B$6:$B$10000,$C$5:$C$4995,'GSTR-2A'!$A$6:$A$10000,$AW$3)</f>
        <v>0</v>
      </c>
      <c r="AY66" s="487">
        <f>SUMIFS('GSTR-2A'!$L$6:$L$10000,'GSTR-2A'!$B$6:$B$10000,$C$5:$C$4995,'GSTR-2A'!$A$6:$A$10000,$AW$3)</f>
        <v>0</v>
      </c>
      <c r="AZ66" s="487">
        <f>SUMIFS('GSTR-2A'!$M$6:$M$10000,'GSTR-2A'!$B$6:$B$10000,$C$5:$C$4995,'GSTR-2A'!$A$6:$A$10000,$AW$3)</f>
        <v>0</v>
      </c>
      <c r="BA66" s="488">
        <f>SUMIFS('GSTR-2A'!$N$6:$N$10000,'GSTR-2A'!$B$6:$B$10000,$C$5:$C$4995,'GSTR-2A'!$A$6:$A$10000,$AW$3)</f>
        <v>0</v>
      </c>
      <c r="BB66" s="486">
        <f>SUMIFS('GSTR-2A'!$G$6:$G$10000,'GSTR-2A'!$B$6:$B$10000,$C$5:$C$4995,'GSTR-2A'!$A$6:$A$10000,$BB$3)</f>
        <v>0</v>
      </c>
      <c r="BC66" s="487">
        <f>SUMIFS('GSTR-2A'!$K$6:$K$10000,'GSTR-2A'!$B$6:$B$10000,$C$5:$C$4995,'GSTR-2A'!$A$6:$A$10000,$BB$3)</f>
        <v>0</v>
      </c>
      <c r="BD66" s="487">
        <f>SUMIFS('GSTR-2A'!$L$6:$L$10000,'GSTR-2A'!$B$6:$B$10000,$C$5:$C$4995,'GSTR-2A'!$A$6:$A$10000,$BB$3)</f>
        <v>0</v>
      </c>
      <c r="BE66" s="487">
        <f>SUMIFS('GSTR-2A'!$M$6:$M$10000,'GSTR-2A'!$B$6:$B$10000,$C$5:$C$4995,'GSTR-2A'!$A$6:$A$10000,$BB$3)</f>
        <v>0</v>
      </c>
      <c r="BF66" s="488">
        <f>SUMIFS('GSTR-2A'!$N$6:$N$10000,'GSTR-2A'!$B$6:$B$10000,$C$5:$C$4995,'GSTR-2A'!$A$6:$A$10000,$BB$3)</f>
        <v>0</v>
      </c>
      <c r="BG66" s="486">
        <f>SUMIFS('GSTR-2A'!$G$6:$G$10000,'GSTR-2A'!$B$6:$B$10000,$C$5:$C$4995,'GSTR-2A'!$A$6:$A$10000,$BG$3)</f>
        <v>0</v>
      </c>
      <c r="BH66" s="487">
        <f>SUMIFS('GSTR-2A'!$K$6:$K$10000,'GSTR-2A'!$B$6:$B$10000,$C$5:$C$4995,'GSTR-2A'!$A$6:$A$10000,$BG$3)</f>
        <v>0</v>
      </c>
      <c r="BI66" s="487">
        <f>SUMIFS('GSTR-2A'!$L$6:$L$10000,'GSTR-2A'!$B$6:$B$10000,$C$5:$C$4995,'GSTR-2A'!$A$6:$A$10000,$BG$3)</f>
        <v>0</v>
      </c>
      <c r="BJ66" s="487">
        <f>SUMIFS('GSTR-2A'!$M$6:$M$10000,'GSTR-2A'!$B$6:$B$10000,$C$5:$C$4995,'GSTR-2A'!$A$6:$A$10000,$BG$3)</f>
        <v>0</v>
      </c>
      <c r="BK66" s="488">
        <f>SUMIFS('GSTR-2A'!$N$6:$N$10000,'GSTR-2A'!$B$6:$B$10000,$C$5:$C$4995,'GSTR-2A'!$A$6:$A$10000,$BG$3)</f>
        <v>0</v>
      </c>
      <c r="BL66" s="72">
        <f t="shared" si="2"/>
        <v>0</v>
      </c>
      <c r="BM66" s="72">
        <f t="shared" si="3"/>
        <v>0</v>
      </c>
      <c r="BN66" s="72">
        <f t="shared" si="4"/>
        <v>0</v>
      </c>
      <c r="BO66" s="72">
        <f t="shared" si="5"/>
        <v>0</v>
      </c>
      <c r="BP66" s="72">
        <f t="shared" si="6"/>
        <v>0</v>
      </c>
    </row>
    <row r="67" spans="1:68" x14ac:dyDescent="0.2">
      <c r="A67" s="467">
        <v>63</v>
      </c>
      <c r="B67" s="468" t="s">
        <v>487</v>
      </c>
      <c r="C67" s="469" t="s">
        <v>488</v>
      </c>
      <c r="D67" s="72">
        <f>SUMIFS('GSTR-2A'!$G$6:$G$10000,'GSTR-2A'!$B$6:$B$10000,$C$5:$C$4995,'GSTR-2A'!$A$6:$A$10000,$D$3)</f>
        <v>9440</v>
      </c>
      <c r="E67" s="72">
        <f>SUMIFS('GSTR-2A'!$K$6:$K$10000,'GSTR-2A'!$B$6:$B$10000,$C$5:$C$4995,'GSTR-2A'!$A$6:$A$10000,$D$3)</f>
        <v>8000</v>
      </c>
      <c r="F67" s="72">
        <f>SUMIFS('GSTR-2A'!$L$6:$L$10000,'GSTR-2A'!$B$6:$B$10000,$C$5:$C$4995,'GSTR-2A'!$A$6:$A$10000,$D$3)</f>
        <v>0</v>
      </c>
      <c r="G67" s="72">
        <f>SUMIFS('GSTR-2A'!$M$6:$M$10000,'GSTR-2A'!$B$6:$B$10000,$C$5:$C$4995,'GSTR-2A'!$A$6:$A$10000,$D$3)</f>
        <v>720</v>
      </c>
      <c r="H67" s="72">
        <f>SUMIFS('GSTR-2A'!$N$6:$N$10000,'GSTR-2A'!$B$6:$B$10000,$C$5:$C$4995,'GSTR-2A'!$A$6:$A$10000,$D$3)</f>
        <v>720</v>
      </c>
      <c r="I67" s="486">
        <f>SUMIFS('GSTR-2A'!$G$6:$G$10000,'GSTR-2A'!$B$6:$B$10000,$C$5:$C$4995,'GSTR-2A'!$A$6:$A$10000,$I$3)</f>
        <v>0</v>
      </c>
      <c r="J67" s="487">
        <f>SUMIFS('GSTR-2A'!$K$6:$K$10000,'GSTR-2A'!$B$6:$B$10000,$C$5:$C$4995,'GSTR-2A'!$A$6:$A$10000,$I$3)</f>
        <v>0</v>
      </c>
      <c r="K67" s="487">
        <f>SUMIFS('GSTR-2A'!$L$6:$L$10000,'GSTR-2A'!$B$6:$B$10000,$C$5:$C$4995,'GSTR-2A'!$A$6:$A$10000,$I$3)</f>
        <v>0</v>
      </c>
      <c r="L67" s="487">
        <f>SUMIFS('GSTR-2A'!$M$6:$M$10000,'GSTR-2A'!$B$6:$B$10000,$C$5:$C$4995,'GSTR-2A'!$A$6:$A$10000,$I$3)</f>
        <v>0</v>
      </c>
      <c r="M67" s="488">
        <f>SUMIFS('GSTR-2A'!$N$6:$N$10000,'GSTR-2A'!$B$6:$B$10000,$C$5:$C$4995,'GSTR-2A'!$A$6:$A$10000,$I$3)</f>
        <v>0</v>
      </c>
      <c r="N67" s="486">
        <f>SUMIFS('GSTR-2A'!$G$6:$G$10000,'GSTR-2A'!$B$6:$B$10000,$C$5:$C$4995,'GSTR-2A'!$A$6:$A$10000,$N$3)</f>
        <v>9440</v>
      </c>
      <c r="O67" s="487">
        <f>SUMIFS('GSTR-2A'!$K$6:$K$10000,'GSTR-2A'!$B$6:$B$10000,$C$5:$C$4995,'GSTR-2A'!$A$6:$A$10000,$N$3)</f>
        <v>8000</v>
      </c>
      <c r="P67" s="487">
        <f>SUMIFS('GSTR-2A'!$L$6:$L$10000,'GSTR-2A'!$B$6:$B$10000,$C$5:$C$4995,'GSTR-2A'!$A$6:$A$10000,$N$3)</f>
        <v>0</v>
      </c>
      <c r="Q67" s="487">
        <f>SUMIFS('GSTR-2A'!$M$6:$M$10000,'GSTR-2A'!$B$6:$B$10000,$C$5:$C$4995,'GSTR-2A'!$A$6:$A$10000,$N$3)</f>
        <v>720</v>
      </c>
      <c r="R67" s="488">
        <f>SUMIFS('GSTR-2A'!$N$6:$N$10000,'GSTR-2A'!$B$6:$B$10000,$C$5:$C$4995,'GSTR-2A'!$A$6:$A$10000,$N$3)</f>
        <v>720</v>
      </c>
      <c r="S67" s="486">
        <f>SUMIFS('GSTR-2A'!$G$6:$G$10000,'GSTR-2A'!$B$6:$B$10000,$C$5:$C$4995,'GSTR-2A'!$A$6:$A$10000,$S$3)</f>
        <v>0</v>
      </c>
      <c r="T67" s="487">
        <f>SUMIFS('GSTR-2A'!$K$6:$K$10000,'GSTR-2A'!$B$6:$B$10000,$C$5:$C$4995,'GSTR-2A'!$A$6:$A$10000,$S$3)</f>
        <v>0</v>
      </c>
      <c r="U67" s="487">
        <f>SUMIFS('GSTR-2A'!$L$6:$L$10000,'GSTR-2A'!$B$6:$B$10000,$C$5:$C$4995,'GSTR-2A'!$A$6:$A$10000,$S$3)</f>
        <v>0</v>
      </c>
      <c r="V67" s="487">
        <f>SUMIFS('GSTR-2A'!$M$6:$M$10000,'GSTR-2A'!$B$6:$B$10000,$C$5:$C$4995,'GSTR-2A'!$A$6:$A$10000,$S$3)</f>
        <v>0</v>
      </c>
      <c r="W67" s="488">
        <f>SUMIFS('GSTR-2A'!$N$6:$N$10000,'GSTR-2A'!$B$6:$B$10000,$C$5:$C$4995,'GSTR-2A'!$A$6:$A$10000,$S$3)</f>
        <v>0</v>
      </c>
      <c r="X67" s="486">
        <f>SUMIFS('GSTR-2A'!$G$6:$G$10000,'GSTR-2A'!$B$6:$B$10000,$C$5:$C$4995,'GSTR-2A'!$A$6:$A$10000,$X$3)</f>
        <v>0</v>
      </c>
      <c r="Y67" s="487">
        <f>SUMIFS('GSTR-2A'!$K$6:$K$10000,'GSTR-2A'!$B$6:$B$10000,$C$5:$C$4995,'GSTR-2A'!$A$6:$A$10000,$X$3)</f>
        <v>0</v>
      </c>
      <c r="Z67" s="487">
        <f>SUMIFS('GSTR-2A'!$L$6:$L$10000,'GSTR-2A'!$B$6:$B$10000,$C$5:$C$4995,'GSTR-2A'!$A$6:$A$10000,$X$3)</f>
        <v>0</v>
      </c>
      <c r="AA67" s="487">
        <f>SUMIFS('GSTR-2A'!$M$6:$M$10000,'GSTR-2A'!$B$6:$B$10000,$C$5:$C$4995,'GSTR-2A'!$A$6:$A$10000,$X$3)</f>
        <v>0</v>
      </c>
      <c r="AB67" s="488">
        <f>SUMIFS('GSTR-2A'!$N$6:$N$10000,'GSTR-2A'!$B$6:$B$10000,$C$5:$C$4995,'GSTR-2A'!$A$6:$A$10000,$X$3)</f>
        <v>0</v>
      </c>
      <c r="AC67" s="486">
        <f>SUMIFS('GSTR-2A'!$G$6:$G$10000,'GSTR-2A'!$B$6:$B$10000,$C$5:$C$4995,'GSTR-2A'!$A$6:$A$10000,$AC$3)</f>
        <v>0</v>
      </c>
      <c r="AD67" s="487">
        <f>SUMIFS('GSTR-2A'!$K$6:$K$10000,'GSTR-2A'!$B$6:$B$10000,$C$5:$C$4995,'GSTR-2A'!$A$6:$A$10000,$AC$3)</f>
        <v>0</v>
      </c>
      <c r="AE67" s="487">
        <f>SUMIFS('GSTR-2A'!$L$6:$L$10000,'GSTR-2A'!$B$6:$B$10000,$C$5:$C$4995,'GSTR-2A'!$A$6:$A$10000,$AC$3)</f>
        <v>0</v>
      </c>
      <c r="AF67" s="487">
        <f>SUMIFS('GSTR-2A'!$M$6:$M$10000,'GSTR-2A'!$B$6:$B$10000,$C$5:$C$4995,'GSTR-2A'!$A$6:$A$10000,$AC$3)</f>
        <v>0</v>
      </c>
      <c r="AG67" s="488">
        <f>SUMIFS('GSTR-2A'!$N$6:$N$10000,'GSTR-2A'!$B$6:$B$10000,$C$5:$C$4995,'GSTR-2A'!$A$6:$A$10000,$AC$3)</f>
        <v>0</v>
      </c>
      <c r="AH67" s="486">
        <f>SUMIFS('GSTR-2A'!$G$6:$G$10000,'GSTR-2A'!$B$6:$B$10000,$C$5:$C$4995,'GSTR-2A'!$A$6:$A$10000,$AH$3)</f>
        <v>0</v>
      </c>
      <c r="AI67" s="487">
        <f>SUMIFS('GSTR-2A'!$K$6:$K$10000,'GSTR-2A'!$B$6:$B$10000,$C$5:$C$4995,'GSTR-2A'!$A$6:$A$10000,$AH$3)</f>
        <v>0</v>
      </c>
      <c r="AJ67" s="487">
        <f>SUMIFS('GSTR-2A'!$L$6:$L$10000,'GSTR-2A'!$B$6:$B$10000,$C$5:$C$4995,'GSTR-2A'!$A$6:$A$10000,$AH$3)</f>
        <v>0</v>
      </c>
      <c r="AK67" s="487">
        <f>SUMIFS('GSTR-2A'!$M$6:$M$10000,'GSTR-2A'!$B$6:$B$10000,$C$5:$C$4995,'GSTR-2A'!$A$6:$A$10000,$AH$3)</f>
        <v>0</v>
      </c>
      <c r="AL67" s="488">
        <f>SUMIFS('GSTR-2A'!$N$6:$N$10000,'GSTR-2A'!$B$6:$B$10000,$C$5:$C$4995,'GSTR-2A'!$A$6:$A$10000,$AH$3)</f>
        <v>0</v>
      </c>
      <c r="AM67" s="486">
        <f>SUMIFS('GSTR-2A'!$G$6:$G$10000,'GSTR-2A'!$B$6:$B$10000,$C$5:$C$4995,'GSTR-2A'!$A$6:$A$10000,$AM$3)</f>
        <v>0</v>
      </c>
      <c r="AN67" s="487">
        <f>SUMIFS('GSTR-2A'!$K$6:$K$10000,'GSTR-2A'!$B$6:$B$10000,$C$5:$C$4995,'GSTR-2A'!$A$6:$A$10000,$AM$3)</f>
        <v>0</v>
      </c>
      <c r="AO67" s="487">
        <f>SUMIFS('GSTR-2A'!$L$6:$L$10000,'GSTR-2A'!$B$6:$B$10000,$C$5:$C$4995,'GSTR-2A'!$A$6:$A$10000,$AM$3)</f>
        <v>0</v>
      </c>
      <c r="AP67" s="487">
        <f>SUMIFS('GSTR-2A'!$M$6:$M$10000,'GSTR-2A'!$B$6:$B$10000,$C$5:$C$4995,'GSTR-2A'!$A$6:$A$10000,$AM$3)</f>
        <v>0</v>
      </c>
      <c r="AQ67" s="488">
        <f>SUMIFS('GSTR-2A'!$N$6:$N$10000,'GSTR-2A'!$B$6:$B$10000,$C$5:$C$4995,'GSTR-2A'!$A$6:$A$10000,$AM$3)</f>
        <v>0</v>
      </c>
      <c r="AR67" s="486">
        <f>SUMIFS('GSTR-2A'!$G$6:$G$10000,'GSTR-2A'!$B$6:$B$10000,$C$5:$C$4995,'GSTR-2A'!$A$6:$A$10000,$AR$3)</f>
        <v>0</v>
      </c>
      <c r="AS67" s="487">
        <f>SUMIFS('GSTR-2A'!$K$6:$K$10000,'GSTR-2A'!$B$6:$B$10000,$C$5:$C$4995,'GSTR-2A'!$A$6:$A$10000,$AR$3)</f>
        <v>0</v>
      </c>
      <c r="AT67" s="487">
        <f>SUMIFS('GSTR-2A'!$L$6:$L$10000,'GSTR-2A'!$B$6:$B$10000,$C$5:$C$4995,'GSTR-2A'!$A$6:$A$10000,$AR$3)</f>
        <v>0</v>
      </c>
      <c r="AU67" s="487">
        <f>SUMIFS('GSTR-2A'!$M$6:$M$10000,'GSTR-2A'!$B$6:$B$10000,$C$5:$C$4995,'GSTR-2A'!$A$6:$A$10000,$AR$3)</f>
        <v>0</v>
      </c>
      <c r="AV67" s="488">
        <f>SUMIFS('GSTR-2A'!$N$6:$N$10000,'GSTR-2A'!$B$6:$B$10000,$C$5:$C$4995,'GSTR-2A'!$A$6:$A$10000,$AR$3)</f>
        <v>0</v>
      </c>
      <c r="AW67" s="486">
        <f>SUMIFS('GSTR-2A'!$G$6:$G$10000,'GSTR-2A'!$B$6:$B$10000,$C$5:$C$4995,'GSTR-2A'!$A$6:$A$10000,$AW$3)</f>
        <v>0</v>
      </c>
      <c r="AX67" s="487">
        <f>SUMIFS('GSTR-2A'!$K$6:$K$10000,'GSTR-2A'!$B$6:$B$10000,$C$5:$C$4995,'GSTR-2A'!$A$6:$A$10000,$AW$3)</f>
        <v>0</v>
      </c>
      <c r="AY67" s="487">
        <f>SUMIFS('GSTR-2A'!$L$6:$L$10000,'GSTR-2A'!$B$6:$B$10000,$C$5:$C$4995,'GSTR-2A'!$A$6:$A$10000,$AW$3)</f>
        <v>0</v>
      </c>
      <c r="AZ67" s="487">
        <f>SUMIFS('GSTR-2A'!$M$6:$M$10000,'GSTR-2A'!$B$6:$B$10000,$C$5:$C$4995,'GSTR-2A'!$A$6:$A$10000,$AW$3)</f>
        <v>0</v>
      </c>
      <c r="BA67" s="488">
        <f>SUMIFS('GSTR-2A'!$N$6:$N$10000,'GSTR-2A'!$B$6:$B$10000,$C$5:$C$4995,'GSTR-2A'!$A$6:$A$10000,$AW$3)</f>
        <v>0</v>
      </c>
      <c r="BB67" s="486">
        <f>SUMIFS('GSTR-2A'!$G$6:$G$10000,'GSTR-2A'!$B$6:$B$10000,$C$5:$C$4995,'GSTR-2A'!$A$6:$A$10000,$BB$3)</f>
        <v>0</v>
      </c>
      <c r="BC67" s="487">
        <f>SUMIFS('GSTR-2A'!$K$6:$K$10000,'GSTR-2A'!$B$6:$B$10000,$C$5:$C$4995,'GSTR-2A'!$A$6:$A$10000,$BB$3)</f>
        <v>0</v>
      </c>
      <c r="BD67" s="487">
        <f>SUMIFS('GSTR-2A'!$L$6:$L$10000,'GSTR-2A'!$B$6:$B$10000,$C$5:$C$4995,'GSTR-2A'!$A$6:$A$10000,$BB$3)</f>
        <v>0</v>
      </c>
      <c r="BE67" s="487">
        <f>SUMIFS('GSTR-2A'!$M$6:$M$10000,'GSTR-2A'!$B$6:$B$10000,$C$5:$C$4995,'GSTR-2A'!$A$6:$A$10000,$BB$3)</f>
        <v>0</v>
      </c>
      <c r="BF67" s="488">
        <f>SUMIFS('GSTR-2A'!$N$6:$N$10000,'GSTR-2A'!$B$6:$B$10000,$C$5:$C$4995,'GSTR-2A'!$A$6:$A$10000,$BB$3)</f>
        <v>0</v>
      </c>
      <c r="BG67" s="486">
        <f>SUMIFS('GSTR-2A'!$G$6:$G$10000,'GSTR-2A'!$B$6:$B$10000,$C$5:$C$4995,'GSTR-2A'!$A$6:$A$10000,$BG$3)</f>
        <v>0</v>
      </c>
      <c r="BH67" s="487">
        <f>SUMIFS('GSTR-2A'!$K$6:$K$10000,'GSTR-2A'!$B$6:$B$10000,$C$5:$C$4995,'GSTR-2A'!$A$6:$A$10000,$BG$3)</f>
        <v>0</v>
      </c>
      <c r="BI67" s="487">
        <f>SUMIFS('GSTR-2A'!$L$6:$L$10000,'GSTR-2A'!$B$6:$B$10000,$C$5:$C$4995,'GSTR-2A'!$A$6:$A$10000,$BG$3)</f>
        <v>0</v>
      </c>
      <c r="BJ67" s="487">
        <f>SUMIFS('GSTR-2A'!$M$6:$M$10000,'GSTR-2A'!$B$6:$B$10000,$C$5:$C$4995,'GSTR-2A'!$A$6:$A$10000,$BG$3)</f>
        <v>0</v>
      </c>
      <c r="BK67" s="488">
        <f>SUMIFS('GSTR-2A'!$N$6:$N$10000,'GSTR-2A'!$B$6:$B$10000,$C$5:$C$4995,'GSTR-2A'!$A$6:$A$10000,$BG$3)</f>
        <v>0</v>
      </c>
      <c r="BL67" s="72">
        <f t="shared" si="2"/>
        <v>18880</v>
      </c>
      <c r="BM67" s="72">
        <f t="shared" si="3"/>
        <v>16000</v>
      </c>
      <c r="BN67" s="72">
        <f t="shared" si="4"/>
        <v>0</v>
      </c>
      <c r="BO67" s="72">
        <f t="shared" si="5"/>
        <v>1440</v>
      </c>
      <c r="BP67" s="72">
        <f t="shared" si="6"/>
        <v>1440</v>
      </c>
    </row>
    <row r="68" spans="1:68" x14ac:dyDescent="0.2">
      <c r="A68" s="467">
        <v>64</v>
      </c>
      <c r="B68" s="468" t="s">
        <v>613</v>
      </c>
      <c r="C68" s="469" t="s">
        <v>614</v>
      </c>
      <c r="D68" s="72">
        <f>SUMIFS('GSTR-2A'!$G$6:$G$10000,'GSTR-2A'!$B$6:$B$10000,$C$5:$C$4995,'GSTR-2A'!$A$6:$A$10000,$D$3)</f>
        <v>0</v>
      </c>
      <c r="E68" s="72">
        <f>SUMIFS('GSTR-2A'!$K$6:$K$10000,'GSTR-2A'!$B$6:$B$10000,$C$5:$C$4995,'GSTR-2A'!$A$6:$A$10000,$D$3)</f>
        <v>0</v>
      </c>
      <c r="F68" s="72">
        <f>SUMIFS('GSTR-2A'!$L$6:$L$10000,'GSTR-2A'!$B$6:$B$10000,$C$5:$C$4995,'GSTR-2A'!$A$6:$A$10000,$D$3)</f>
        <v>0</v>
      </c>
      <c r="G68" s="72">
        <f>SUMIFS('GSTR-2A'!$M$6:$M$10000,'GSTR-2A'!$B$6:$B$10000,$C$5:$C$4995,'GSTR-2A'!$A$6:$A$10000,$D$3)</f>
        <v>0</v>
      </c>
      <c r="H68" s="72">
        <f>SUMIFS('GSTR-2A'!$N$6:$N$10000,'GSTR-2A'!$B$6:$B$10000,$C$5:$C$4995,'GSTR-2A'!$A$6:$A$10000,$D$3)</f>
        <v>0</v>
      </c>
      <c r="I68" s="486">
        <f>SUMIFS('GSTR-2A'!$G$6:$G$10000,'GSTR-2A'!$B$6:$B$10000,$C$5:$C$4995,'GSTR-2A'!$A$6:$A$10000,$I$3)</f>
        <v>22302</v>
      </c>
      <c r="J68" s="487">
        <f>SUMIFS('GSTR-2A'!$K$6:$K$10000,'GSTR-2A'!$B$6:$B$10000,$C$5:$C$4995,'GSTR-2A'!$A$6:$A$10000,$I$3)</f>
        <v>18900</v>
      </c>
      <c r="K68" s="487">
        <f>SUMIFS('GSTR-2A'!$L$6:$L$10000,'GSTR-2A'!$B$6:$B$10000,$C$5:$C$4995,'GSTR-2A'!$A$6:$A$10000,$I$3)</f>
        <v>0</v>
      </c>
      <c r="L68" s="487">
        <f>SUMIFS('GSTR-2A'!$M$6:$M$10000,'GSTR-2A'!$B$6:$B$10000,$C$5:$C$4995,'GSTR-2A'!$A$6:$A$10000,$I$3)</f>
        <v>1701</v>
      </c>
      <c r="M68" s="488">
        <f>SUMIFS('GSTR-2A'!$N$6:$N$10000,'GSTR-2A'!$B$6:$B$10000,$C$5:$C$4995,'GSTR-2A'!$A$6:$A$10000,$I$3)</f>
        <v>1701</v>
      </c>
      <c r="N68" s="486">
        <f>SUMIFS('GSTR-2A'!$G$6:$G$10000,'GSTR-2A'!$B$6:$B$10000,$C$5:$C$4995,'GSTR-2A'!$A$6:$A$10000,$N$3)</f>
        <v>0</v>
      </c>
      <c r="O68" s="487">
        <f>SUMIFS('GSTR-2A'!$K$6:$K$10000,'GSTR-2A'!$B$6:$B$10000,$C$5:$C$4995,'GSTR-2A'!$A$6:$A$10000,$N$3)</f>
        <v>0</v>
      </c>
      <c r="P68" s="487">
        <f>SUMIFS('GSTR-2A'!$L$6:$L$10000,'GSTR-2A'!$B$6:$B$10000,$C$5:$C$4995,'GSTR-2A'!$A$6:$A$10000,$N$3)</f>
        <v>0</v>
      </c>
      <c r="Q68" s="487">
        <f>SUMIFS('GSTR-2A'!$M$6:$M$10000,'GSTR-2A'!$B$6:$B$10000,$C$5:$C$4995,'GSTR-2A'!$A$6:$A$10000,$N$3)</f>
        <v>0</v>
      </c>
      <c r="R68" s="488">
        <f>SUMIFS('GSTR-2A'!$N$6:$N$10000,'GSTR-2A'!$B$6:$B$10000,$C$5:$C$4995,'GSTR-2A'!$A$6:$A$10000,$N$3)</f>
        <v>0</v>
      </c>
      <c r="S68" s="486">
        <f>SUMIFS('GSTR-2A'!$G$6:$G$10000,'GSTR-2A'!$B$6:$B$10000,$C$5:$C$4995,'GSTR-2A'!$A$6:$A$10000,$S$3)</f>
        <v>37170</v>
      </c>
      <c r="T68" s="487">
        <f>SUMIFS('GSTR-2A'!$K$6:$K$10000,'GSTR-2A'!$B$6:$B$10000,$C$5:$C$4995,'GSTR-2A'!$A$6:$A$10000,$S$3)</f>
        <v>31500</v>
      </c>
      <c r="U68" s="487">
        <f>SUMIFS('GSTR-2A'!$L$6:$L$10000,'GSTR-2A'!$B$6:$B$10000,$C$5:$C$4995,'GSTR-2A'!$A$6:$A$10000,$S$3)</f>
        <v>0</v>
      </c>
      <c r="V68" s="487">
        <f>SUMIFS('GSTR-2A'!$M$6:$M$10000,'GSTR-2A'!$B$6:$B$10000,$C$5:$C$4995,'GSTR-2A'!$A$6:$A$10000,$S$3)</f>
        <v>2835</v>
      </c>
      <c r="W68" s="488">
        <f>SUMIFS('GSTR-2A'!$N$6:$N$10000,'GSTR-2A'!$B$6:$B$10000,$C$5:$C$4995,'GSTR-2A'!$A$6:$A$10000,$S$3)</f>
        <v>2835</v>
      </c>
      <c r="X68" s="486">
        <f>SUMIFS('GSTR-2A'!$G$6:$G$10000,'GSTR-2A'!$B$6:$B$10000,$C$5:$C$4995,'GSTR-2A'!$A$6:$A$10000,$X$3)</f>
        <v>0</v>
      </c>
      <c r="Y68" s="487">
        <f>SUMIFS('GSTR-2A'!$K$6:$K$10000,'GSTR-2A'!$B$6:$B$10000,$C$5:$C$4995,'GSTR-2A'!$A$6:$A$10000,$X$3)</f>
        <v>0</v>
      </c>
      <c r="Z68" s="487">
        <f>SUMIFS('GSTR-2A'!$L$6:$L$10000,'GSTR-2A'!$B$6:$B$10000,$C$5:$C$4995,'GSTR-2A'!$A$6:$A$10000,$X$3)</f>
        <v>0</v>
      </c>
      <c r="AA68" s="487">
        <f>SUMIFS('GSTR-2A'!$M$6:$M$10000,'GSTR-2A'!$B$6:$B$10000,$C$5:$C$4995,'GSTR-2A'!$A$6:$A$10000,$X$3)</f>
        <v>0</v>
      </c>
      <c r="AB68" s="488">
        <f>SUMIFS('GSTR-2A'!$N$6:$N$10000,'GSTR-2A'!$B$6:$B$10000,$C$5:$C$4995,'GSTR-2A'!$A$6:$A$10000,$X$3)</f>
        <v>0</v>
      </c>
      <c r="AC68" s="486">
        <f>SUMIFS('GSTR-2A'!$G$6:$G$10000,'GSTR-2A'!$B$6:$B$10000,$C$5:$C$4995,'GSTR-2A'!$A$6:$A$10000,$AC$3)</f>
        <v>0</v>
      </c>
      <c r="AD68" s="487">
        <f>SUMIFS('GSTR-2A'!$K$6:$K$10000,'GSTR-2A'!$B$6:$B$10000,$C$5:$C$4995,'GSTR-2A'!$A$6:$A$10000,$AC$3)</f>
        <v>0</v>
      </c>
      <c r="AE68" s="487">
        <f>SUMIFS('GSTR-2A'!$L$6:$L$10000,'GSTR-2A'!$B$6:$B$10000,$C$5:$C$4995,'GSTR-2A'!$A$6:$A$10000,$AC$3)</f>
        <v>0</v>
      </c>
      <c r="AF68" s="487">
        <f>SUMIFS('GSTR-2A'!$M$6:$M$10000,'GSTR-2A'!$B$6:$B$10000,$C$5:$C$4995,'GSTR-2A'!$A$6:$A$10000,$AC$3)</f>
        <v>0</v>
      </c>
      <c r="AG68" s="488">
        <f>SUMIFS('GSTR-2A'!$N$6:$N$10000,'GSTR-2A'!$B$6:$B$10000,$C$5:$C$4995,'GSTR-2A'!$A$6:$A$10000,$AC$3)</f>
        <v>0</v>
      </c>
      <c r="AH68" s="486">
        <f>SUMIFS('GSTR-2A'!$G$6:$G$10000,'GSTR-2A'!$B$6:$B$10000,$C$5:$C$4995,'GSTR-2A'!$A$6:$A$10000,$AH$3)</f>
        <v>0</v>
      </c>
      <c r="AI68" s="487">
        <f>SUMIFS('GSTR-2A'!$K$6:$K$10000,'GSTR-2A'!$B$6:$B$10000,$C$5:$C$4995,'GSTR-2A'!$A$6:$A$10000,$AH$3)</f>
        <v>0</v>
      </c>
      <c r="AJ68" s="487">
        <f>SUMIFS('GSTR-2A'!$L$6:$L$10000,'GSTR-2A'!$B$6:$B$10000,$C$5:$C$4995,'GSTR-2A'!$A$6:$A$10000,$AH$3)</f>
        <v>0</v>
      </c>
      <c r="AK68" s="487">
        <f>SUMIFS('GSTR-2A'!$M$6:$M$10000,'GSTR-2A'!$B$6:$B$10000,$C$5:$C$4995,'GSTR-2A'!$A$6:$A$10000,$AH$3)</f>
        <v>0</v>
      </c>
      <c r="AL68" s="488">
        <f>SUMIFS('GSTR-2A'!$N$6:$N$10000,'GSTR-2A'!$B$6:$B$10000,$C$5:$C$4995,'GSTR-2A'!$A$6:$A$10000,$AH$3)</f>
        <v>0</v>
      </c>
      <c r="AM68" s="486">
        <f>SUMIFS('GSTR-2A'!$G$6:$G$10000,'GSTR-2A'!$B$6:$B$10000,$C$5:$C$4995,'GSTR-2A'!$A$6:$A$10000,$AM$3)</f>
        <v>0</v>
      </c>
      <c r="AN68" s="487">
        <f>SUMIFS('GSTR-2A'!$K$6:$K$10000,'GSTR-2A'!$B$6:$B$10000,$C$5:$C$4995,'GSTR-2A'!$A$6:$A$10000,$AM$3)</f>
        <v>0</v>
      </c>
      <c r="AO68" s="487">
        <f>SUMIFS('GSTR-2A'!$L$6:$L$10000,'GSTR-2A'!$B$6:$B$10000,$C$5:$C$4995,'GSTR-2A'!$A$6:$A$10000,$AM$3)</f>
        <v>0</v>
      </c>
      <c r="AP68" s="487">
        <f>SUMIFS('GSTR-2A'!$M$6:$M$10000,'GSTR-2A'!$B$6:$B$10000,$C$5:$C$4995,'GSTR-2A'!$A$6:$A$10000,$AM$3)</f>
        <v>0</v>
      </c>
      <c r="AQ68" s="488">
        <f>SUMIFS('GSTR-2A'!$N$6:$N$10000,'GSTR-2A'!$B$6:$B$10000,$C$5:$C$4995,'GSTR-2A'!$A$6:$A$10000,$AM$3)</f>
        <v>0</v>
      </c>
      <c r="AR68" s="486">
        <f>SUMIFS('GSTR-2A'!$G$6:$G$10000,'GSTR-2A'!$B$6:$B$10000,$C$5:$C$4995,'GSTR-2A'!$A$6:$A$10000,$AR$3)</f>
        <v>0</v>
      </c>
      <c r="AS68" s="487">
        <f>SUMIFS('GSTR-2A'!$K$6:$K$10000,'GSTR-2A'!$B$6:$B$10000,$C$5:$C$4995,'GSTR-2A'!$A$6:$A$10000,$AR$3)</f>
        <v>0</v>
      </c>
      <c r="AT68" s="487">
        <f>SUMIFS('GSTR-2A'!$L$6:$L$10000,'GSTR-2A'!$B$6:$B$10000,$C$5:$C$4995,'GSTR-2A'!$A$6:$A$10000,$AR$3)</f>
        <v>0</v>
      </c>
      <c r="AU68" s="487">
        <f>SUMIFS('GSTR-2A'!$M$6:$M$10000,'GSTR-2A'!$B$6:$B$10000,$C$5:$C$4995,'GSTR-2A'!$A$6:$A$10000,$AR$3)</f>
        <v>0</v>
      </c>
      <c r="AV68" s="488">
        <f>SUMIFS('GSTR-2A'!$N$6:$N$10000,'GSTR-2A'!$B$6:$B$10000,$C$5:$C$4995,'GSTR-2A'!$A$6:$A$10000,$AR$3)</f>
        <v>0</v>
      </c>
      <c r="AW68" s="486">
        <f>SUMIFS('GSTR-2A'!$G$6:$G$10000,'GSTR-2A'!$B$6:$B$10000,$C$5:$C$4995,'GSTR-2A'!$A$6:$A$10000,$AW$3)</f>
        <v>0</v>
      </c>
      <c r="AX68" s="487">
        <f>SUMIFS('GSTR-2A'!$K$6:$K$10000,'GSTR-2A'!$B$6:$B$10000,$C$5:$C$4995,'GSTR-2A'!$A$6:$A$10000,$AW$3)</f>
        <v>0</v>
      </c>
      <c r="AY68" s="487">
        <f>SUMIFS('GSTR-2A'!$L$6:$L$10000,'GSTR-2A'!$B$6:$B$10000,$C$5:$C$4995,'GSTR-2A'!$A$6:$A$10000,$AW$3)</f>
        <v>0</v>
      </c>
      <c r="AZ68" s="487">
        <f>SUMIFS('GSTR-2A'!$M$6:$M$10000,'GSTR-2A'!$B$6:$B$10000,$C$5:$C$4995,'GSTR-2A'!$A$6:$A$10000,$AW$3)</f>
        <v>0</v>
      </c>
      <c r="BA68" s="488">
        <f>SUMIFS('GSTR-2A'!$N$6:$N$10000,'GSTR-2A'!$B$6:$B$10000,$C$5:$C$4995,'GSTR-2A'!$A$6:$A$10000,$AW$3)</f>
        <v>0</v>
      </c>
      <c r="BB68" s="486">
        <f>SUMIFS('GSTR-2A'!$G$6:$G$10000,'GSTR-2A'!$B$6:$B$10000,$C$5:$C$4995,'GSTR-2A'!$A$6:$A$10000,$BB$3)</f>
        <v>0</v>
      </c>
      <c r="BC68" s="487">
        <f>SUMIFS('GSTR-2A'!$K$6:$K$10000,'GSTR-2A'!$B$6:$B$10000,$C$5:$C$4995,'GSTR-2A'!$A$6:$A$10000,$BB$3)</f>
        <v>0</v>
      </c>
      <c r="BD68" s="487">
        <f>SUMIFS('GSTR-2A'!$L$6:$L$10000,'GSTR-2A'!$B$6:$B$10000,$C$5:$C$4995,'GSTR-2A'!$A$6:$A$10000,$BB$3)</f>
        <v>0</v>
      </c>
      <c r="BE68" s="487">
        <f>SUMIFS('GSTR-2A'!$M$6:$M$10000,'GSTR-2A'!$B$6:$B$10000,$C$5:$C$4995,'GSTR-2A'!$A$6:$A$10000,$BB$3)</f>
        <v>0</v>
      </c>
      <c r="BF68" s="488">
        <f>SUMIFS('GSTR-2A'!$N$6:$N$10000,'GSTR-2A'!$B$6:$B$10000,$C$5:$C$4995,'GSTR-2A'!$A$6:$A$10000,$BB$3)</f>
        <v>0</v>
      </c>
      <c r="BG68" s="486">
        <f>SUMIFS('GSTR-2A'!$G$6:$G$10000,'GSTR-2A'!$B$6:$B$10000,$C$5:$C$4995,'GSTR-2A'!$A$6:$A$10000,$BG$3)</f>
        <v>0</v>
      </c>
      <c r="BH68" s="487">
        <f>SUMIFS('GSTR-2A'!$K$6:$K$10000,'GSTR-2A'!$B$6:$B$10000,$C$5:$C$4995,'GSTR-2A'!$A$6:$A$10000,$BG$3)</f>
        <v>0</v>
      </c>
      <c r="BI68" s="487">
        <f>SUMIFS('GSTR-2A'!$L$6:$L$10000,'GSTR-2A'!$B$6:$B$10000,$C$5:$C$4995,'GSTR-2A'!$A$6:$A$10000,$BG$3)</f>
        <v>0</v>
      </c>
      <c r="BJ68" s="487">
        <f>SUMIFS('GSTR-2A'!$M$6:$M$10000,'GSTR-2A'!$B$6:$B$10000,$C$5:$C$4995,'GSTR-2A'!$A$6:$A$10000,$BG$3)</f>
        <v>0</v>
      </c>
      <c r="BK68" s="488">
        <f>SUMIFS('GSTR-2A'!$N$6:$N$10000,'GSTR-2A'!$B$6:$B$10000,$C$5:$C$4995,'GSTR-2A'!$A$6:$A$10000,$BG$3)</f>
        <v>0</v>
      </c>
      <c r="BL68" s="72">
        <f t="shared" si="2"/>
        <v>59472</v>
      </c>
      <c r="BM68" s="72">
        <f t="shared" si="3"/>
        <v>50400</v>
      </c>
      <c r="BN68" s="72">
        <f t="shared" si="4"/>
        <v>0</v>
      </c>
      <c r="BO68" s="72">
        <f t="shared" si="5"/>
        <v>4536</v>
      </c>
      <c r="BP68" s="72">
        <f t="shared" si="6"/>
        <v>4536</v>
      </c>
    </row>
    <row r="69" spans="1:68" x14ac:dyDescent="0.2">
      <c r="A69" s="467">
        <v>65</v>
      </c>
      <c r="B69" s="468" t="s">
        <v>1127</v>
      </c>
      <c r="C69" s="469" t="s">
        <v>1128</v>
      </c>
      <c r="D69" s="72">
        <f>SUMIFS('GSTR-2A'!$G$6:$G$10000,'GSTR-2A'!$B$6:$B$10000,$C$5:$C$4995,'GSTR-2A'!$A$6:$A$10000,$D$3)</f>
        <v>0</v>
      </c>
      <c r="E69" s="72">
        <f>SUMIFS('GSTR-2A'!$K$6:$K$10000,'GSTR-2A'!$B$6:$B$10000,$C$5:$C$4995,'GSTR-2A'!$A$6:$A$10000,$D$3)</f>
        <v>0</v>
      </c>
      <c r="F69" s="72">
        <f>SUMIFS('GSTR-2A'!$L$6:$L$10000,'GSTR-2A'!$B$6:$B$10000,$C$5:$C$4995,'GSTR-2A'!$A$6:$A$10000,$D$3)</f>
        <v>0</v>
      </c>
      <c r="G69" s="72">
        <f>SUMIFS('GSTR-2A'!$M$6:$M$10000,'GSTR-2A'!$B$6:$B$10000,$C$5:$C$4995,'GSTR-2A'!$A$6:$A$10000,$D$3)</f>
        <v>0</v>
      </c>
      <c r="H69" s="72">
        <f>SUMIFS('GSTR-2A'!$N$6:$N$10000,'GSTR-2A'!$B$6:$B$10000,$C$5:$C$4995,'GSTR-2A'!$A$6:$A$10000,$D$3)</f>
        <v>0</v>
      </c>
      <c r="I69" s="486">
        <f>SUMIFS('GSTR-2A'!$G$6:$G$10000,'GSTR-2A'!$B$6:$B$10000,$C$5:$C$4995,'GSTR-2A'!$A$6:$A$10000,$I$3)</f>
        <v>0</v>
      </c>
      <c r="J69" s="487">
        <f>SUMIFS('GSTR-2A'!$K$6:$K$10000,'GSTR-2A'!$B$6:$B$10000,$C$5:$C$4995,'GSTR-2A'!$A$6:$A$10000,$I$3)</f>
        <v>0</v>
      </c>
      <c r="K69" s="487">
        <f>SUMIFS('GSTR-2A'!$L$6:$L$10000,'GSTR-2A'!$B$6:$B$10000,$C$5:$C$4995,'GSTR-2A'!$A$6:$A$10000,$I$3)</f>
        <v>0</v>
      </c>
      <c r="L69" s="487">
        <f>SUMIFS('GSTR-2A'!$M$6:$M$10000,'GSTR-2A'!$B$6:$B$10000,$C$5:$C$4995,'GSTR-2A'!$A$6:$A$10000,$I$3)</f>
        <v>0</v>
      </c>
      <c r="M69" s="488">
        <f>SUMIFS('GSTR-2A'!$N$6:$N$10000,'GSTR-2A'!$B$6:$B$10000,$C$5:$C$4995,'GSTR-2A'!$A$6:$A$10000,$I$3)</f>
        <v>0</v>
      </c>
      <c r="N69" s="486">
        <f>SUMIFS('GSTR-2A'!$G$6:$G$10000,'GSTR-2A'!$B$6:$B$10000,$C$5:$C$4995,'GSTR-2A'!$A$6:$A$10000,$N$3)</f>
        <v>0</v>
      </c>
      <c r="O69" s="487">
        <f>SUMIFS('GSTR-2A'!$K$6:$K$10000,'GSTR-2A'!$B$6:$B$10000,$C$5:$C$4995,'GSTR-2A'!$A$6:$A$10000,$N$3)</f>
        <v>0</v>
      </c>
      <c r="P69" s="487">
        <f>SUMIFS('GSTR-2A'!$L$6:$L$10000,'GSTR-2A'!$B$6:$B$10000,$C$5:$C$4995,'GSTR-2A'!$A$6:$A$10000,$N$3)</f>
        <v>0</v>
      </c>
      <c r="Q69" s="487">
        <f>SUMIFS('GSTR-2A'!$M$6:$M$10000,'GSTR-2A'!$B$6:$B$10000,$C$5:$C$4995,'GSTR-2A'!$A$6:$A$10000,$N$3)</f>
        <v>0</v>
      </c>
      <c r="R69" s="488">
        <f>SUMIFS('GSTR-2A'!$N$6:$N$10000,'GSTR-2A'!$B$6:$B$10000,$C$5:$C$4995,'GSTR-2A'!$A$6:$A$10000,$N$3)</f>
        <v>0</v>
      </c>
      <c r="S69" s="486">
        <f>SUMIFS('GSTR-2A'!$G$6:$G$10000,'GSTR-2A'!$B$6:$B$10000,$C$5:$C$4995,'GSTR-2A'!$A$6:$A$10000,$S$3)</f>
        <v>0</v>
      </c>
      <c r="T69" s="487">
        <f>SUMIFS('GSTR-2A'!$K$6:$K$10000,'GSTR-2A'!$B$6:$B$10000,$C$5:$C$4995,'GSTR-2A'!$A$6:$A$10000,$S$3)</f>
        <v>0</v>
      </c>
      <c r="U69" s="487">
        <f>SUMIFS('GSTR-2A'!$L$6:$L$10000,'GSTR-2A'!$B$6:$B$10000,$C$5:$C$4995,'GSTR-2A'!$A$6:$A$10000,$S$3)</f>
        <v>0</v>
      </c>
      <c r="V69" s="487">
        <f>SUMIFS('GSTR-2A'!$M$6:$M$10000,'GSTR-2A'!$B$6:$B$10000,$C$5:$C$4995,'GSTR-2A'!$A$6:$A$10000,$S$3)</f>
        <v>0</v>
      </c>
      <c r="W69" s="488">
        <f>SUMIFS('GSTR-2A'!$N$6:$N$10000,'GSTR-2A'!$B$6:$B$10000,$C$5:$C$4995,'GSTR-2A'!$A$6:$A$10000,$S$3)</f>
        <v>0</v>
      </c>
      <c r="X69" s="486">
        <f>SUMIFS('GSTR-2A'!$G$6:$G$10000,'GSTR-2A'!$B$6:$B$10000,$C$5:$C$4995,'GSTR-2A'!$A$6:$A$10000,$X$3)</f>
        <v>0</v>
      </c>
      <c r="Y69" s="487">
        <f>SUMIFS('GSTR-2A'!$K$6:$K$10000,'GSTR-2A'!$B$6:$B$10000,$C$5:$C$4995,'GSTR-2A'!$A$6:$A$10000,$X$3)</f>
        <v>0</v>
      </c>
      <c r="Z69" s="487">
        <f>SUMIFS('GSTR-2A'!$L$6:$L$10000,'GSTR-2A'!$B$6:$B$10000,$C$5:$C$4995,'GSTR-2A'!$A$6:$A$10000,$X$3)</f>
        <v>0</v>
      </c>
      <c r="AA69" s="487">
        <f>SUMIFS('GSTR-2A'!$M$6:$M$10000,'GSTR-2A'!$B$6:$B$10000,$C$5:$C$4995,'GSTR-2A'!$A$6:$A$10000,$X$3)</f>
        <v>0</v>
      </c>
      <c r="AB69" s="488">
        <f>SUMIFS('GSTR-2A'!$N$6:$N$10000,'GSTR-2A'!$B$6:$B$10000,$C$5:$C$4995,'GSTR-2A'!$A$6:$A$10000,$X$3)</f>
        <v>0</v>
      </c>
      <c r="AC69" s="486">
        <f>SUMIFS('GSTR-2A'!$G$6:$G$10000,'GSTR-2A'!$B$6:$B$10000,$C$5:$C$4995,'GSTR-2A'!$A$6:$A$10000,$AC$3)</f>
        <v>0</v>
      </c>
      <c r="AD69" s="487">
        <f>SUMIFS('GSTR-2A'!$K$6:$K$10000,'GSTR-2A'!$B$6:$B$10000,$C$5:$C$4995,'GSTR-2A'!$A$6:$A$10000,$AC$3)</f>
        <v>0</v>
      </c>
      <c r="AE69" s="487">
        <f>SUMIFS('GSTR-2A'!$L$6:$L$10000,'GSTR-2A'!$B$6:$B$10000,$C$5:$C$4995,'GSTR-2A'!$A$6:$A$10000,$AC$3)</f>
        <v>0</v>
      </c>
      <c r="AF69" s="487">
        <f>SUMIFS('GSTR-2A'!$M$6:$M$10000,'GSTR-2A'!$B$6:$B$10000,$C$5:$C$4995,'GSTR-2A'!$A$6:$A$10000,$AC$3)</f>
        <v>0</v>
      </c>
      <c r="AG69" s="488">
        <f>SUMIFS('GSTR-2A'!$N$6:$N$10000,'GSTR-2A'!$B$6:$B$10000,$C$5:$C$4995,'GSTR-2A'!$A$6:$A$10000,$AC$3)</f>
        <v>0</v>
      </c>
      <c r="AH69" s="486">
        <f>SUMIFS('GSTR-2A'!$G$6:$G$10000,'GSTR-2A'!$B$6:$B$10000,$C$5:$C$4995,'GSTR-2A'!$A$6:$A$10000,$AH$3)</f>
        <v>0</v>
      </c>
      <c r="AI69" s="487">
        <f>SUMIFS('GSTR-2A'!$K$6:$K$10000,'GSTR-2A'!$B$6:$B$10000,$C$5:$C$4995,'GSTR-2A'!$A$6:$A$10000,$AH$3)</f>
        <v>0</v>
      </c>
      <c r="AJ69" s="487">
        <f>SUMIFS('GSTR-2A'!$L$6:$L$10000,'GSTR-2A'!$B$6:$B$10000,$C$5:$C$4995,'GSTR-2A'!$A$6:$A$10000,$AH$3)</f>
        <v>0</v>
      </c>
      <c r="AK69" s="487">
        <f>SUMIFS('GSTR-2A'!$M$6:$M$10000,'GSTR-2A'!$B$6:$B$10000,$C$5:$C$4995,'GSTR-2A'!$A$6:$A$10000,$AH$3)</f>
        <v>0</v>
      </c>
      <c r="AL69" s="488">
        <f>SUMIFS('GSTR-2A'!$N$6:$N$10000,'GSTR-2A'!$B$6:$B$10000,$C$5:$C$4995,'GSTR-2A'!$A$6:$A$10000,$AH$3)</f>
        <v>0</v>
      </c>
      <c r="AM69" s="486">
        <f>SUMIFS('GSTR-2A'!$G$6:$G$10000,'GSTR-2A'!$B$6:$B$10000,$C$5:$C$4995,'GSTR-2A'!$A$6:$A$10000,$AM$3)</f>
        <v>0</v>
      </c>
      <c r="AN69" s="487">
        <f>SUMIFS('GSTR-2A'!$K$6:$K$10000,'GSTR-2A'!$B$6:$B$10000,$C$5:$C$4995,'GSTR-2A'!$A$6:$A$10000,$AM$3)</f>
        <v>0</v>
      </c>
      <c r="AO69" s="487">
        <f>SUMIFS('GSTR-2A'!$L$6:$L$10000,'GSTR-2A'!$B$6:$B$10000,$C$5:$C$4995,'GSTR-2A'!$A$6:$A$10000,$AM$3)</f>
        <v>0</v>
      </c>
      <c r="AP69" s="487">
        <f>SUMIFS('GSTR-2A'!$M$6:$M$10000,'GSTR-2A'!$B$6:$B$10000,$C$5:$C$4995,'GSTR-2A'!$A$6:$A$10000,$AM$3)</f>
        <v>0</v>
      </c>
      <c r="AQ69" s="488">
        <f>SUMIFS('GSTR-2A'!$N$6:$N$10000,'GSTR-2A'!$B$6:$B$10000,$C$5:$C$4995,'GSTR-2A'!$A$6:$A$10000,$AM$3)</f>
        <v>0</v>
      </c>
      <c r="AR69" s="486">
        <f>SUMIFS('GSTR-2A'!$G$6:$G$10000,'GSTR-2A'!$B$6:$B$10000,$C$5:$C$4995,'GSTR-2A'!$A$6:$A$10000,$AR$3)</f>
        <v>0</v>
      </c>
      <c r="AS69" s="487">
        <f>SUMIFS('GSTR-2A'!$K$6:$K$10000,'GSTR-2A'!$B$6:$B$10000,$C$5:$C$4995,'GSTR-2A'!$A$6:$A$10000,$AR$3)</f>
        <v>0</v>
      </c>
      <c r="AT69" s="487">
        <f>SUMIFS('GSTR-2A'!$L$6:$L$10000,'GSTR-2A'!$B$6:$B$10000,$C$5:$C$4995,'GSTR-2A'!$A$6:$A$10000,$AR$3)</f>
        <v>0</v>
      </c>
      <c r="AU69" s="487">
        <f>SUMIFS('GSTR-2A'!$M$6:$M$10000,'GSTR-2A'!$B$6:$B$10000,$C$5:$C$4995,'GSTR-2A'!$A$6:$A$10000,$AR$3)</f>
        <v>0</v>
      </c>
      <c r="AV69" s="488">
        <f>SUMIFS('GSTR-2A'!$N$6:$N$10000,'GSTR-2A'!$B$6:$B$10000,$C$5:$C$4995,'GSTR-2A'!$A$6:$A$10000,$AR$3)</f>
        <v>0</v>
      </c>
      <c r="AW69" s="486">
        <f>SUMIFS('GSTR-2A'!$G$6:$G$10000,'GSTR-2A'!$B$6:$B$10000,$C$5:$C$4995,'GSTR-2A'!$A$6:$A$10000,$AW$3)</f>
        <v>0</v>
      </c>
      <c r="AX69" s="487">
        <f>SUMIFS('GSTR-2A'!$K$6:$K$10000,'GSTR-2A'!$B$6:$B$10000,$C$5:$C$4995,'GSTR-2A'!$A$6:$A$10000,$AW$3)</f>
        <v>0</v>
      </c>
      <c r="AY69" s="487">
        <f>SUMIFS('GSTR-2A'!$L$6:$L$10000,'GSTR-2A'!$B$6:$B$10000,$C$5:$C$4995,'GSTR-2A'!$A$6:$A$10000,$AW$3)</f>
        <v>0</v>
      </c>
      <c r="AZ69" s="487">
        <f>SUMIFS('GSTR-2A'!$M$6:$M$10000,'GSTR-2A'!$B$6:$B$10000,$C$5:$C$4995,'GSTR-2A'!$A$6:$A$10000,$AW$3)</f>
        <v>0</v>
      </c>
      <c r="BA69" s="488">
        <f>SUMIFS('GSTR-2A'!$N$6:$N$10000,'GSTR-2A'!$B$6:$B$10000,$C$5:$C$4995,'GSTR-2A'!$A$6:$A$10000,$AW$3)</f>
        <v>0</v>
      </c>
      <c r="BB69" s="486">
        <f>SUMIFS('GSTR-2A'!$G$6:$G$10000,'GSTR-2A'!$B$6:$B$10000,$C$5:$C$4995,'GSTR-2A'!$A$6:$A$10000,$BB$3)</f>
        <v>0</v>
      </c>
      <c r="BC69" s="487">
        <f>SUMIFS('GSTR-2A'!$K$6:$K$10000,'GSTR-2A'!$B$6:$B$10000,$C$5:$C$4995,'GSTR-2A'!$A$6:$A$10000,$BB$3)</f>
        <v>0</v>
      </c>
      <c r="BD69" s="487">
        <f>SUMIFS('GSTR-2A'!$L$6:$L$10000,'GSTR-2A'!$B$6:$B$10000,$C$5:$C$4995,'GSTR-2A'!$A$6:$A$10000,$BB$3)</f>
        <v>0</v>
      </c>
      <c r="BE69" s="487">
        <f>SUMIFS('GSTR-2A'!$M$6:$M$10000,'GSTR-2A'!$B$6:$B$10000,$C$5:$C$4995,'GSTR-2A'!$A$6:$A$10000,$BB$3)</f>
        <v>0</v>
      </c>
      <c r="BF69" s="488">
        <f>SUMIFS('GSTR-2A'!$N$6:$N$10000,'GSTR-2A'!$B$6:$B$10000,$C$5:$C$4995,'GSTR-2A'!$A$6:$A$10000,$BB$3)</f>
        <v>0</v>
      </c>
      <c r="BG69" s="486">
        <f>SUMIFS('GSTR-2A'!$G$6:$G$10000,'GSTR-2A'!$B$6:$B$10000,$C$5:$C$4995,'GSTR-2A'!$A$6:$A$10000,$BG$3)</f>
        <v>0</v>
      </c>
      <c r="BH69" s="487">
        <f>SUMIFS('GSTR-2A'!$K$6:$K$10000,'GSTR-2A'!$B$6:$B$10000,$C$5:$C$4995,'GSTR-2A'!$A$6:$A$10000,$BG$3)</f>
        <v>0</v>
      </c>
      <c r="BI69" s="487">
        <f>SUMIFS('GSTR-2A'!$L$6:$L$10000,'GSTR-2A'!$B$6:$B$10000,$C$5:$C$4995,'GSTR-2A'!$A$6:$A$10000,$BG$3)</f>
        <v>0</v>
      </c>
      <c r="BJ69" s="487">
        <f>SUMIFS('GSTR-2A'!$M$6:$M$10000,'GSTR-2A'!$B$6:$B$10000,$C$5:$C$4995,'GSTR-2A'!$A$6:$A$10000,$BG$3)</f>
        <v>0</v>
      </c>
      <c r="BK69" s="488">
        <f>SUMIFS('GSTR-2A'!$N$6:$N$10000,'GSTR-2A'!$B$6:$B$10000,$C$5:$C$4995,'GSTR-2A'!$A$6:$A$10000,$BG$3)</f>
        <v>0</v>
      </c>
      <c r="BL69" s="72">
        <f t="shared" si="2"/>
        <v>0</v>
      </c>
      <c r="BM69" s="72">
        <f t="shared" si="3"/>
        <v>0</v>
      </c>
      <c r="BN69" s="72">
        <f t="shared" si="4"/>
        <v>0</v>
      </c>
      <c r="BO69" s="72">
        <f t="shared" si="5"/>
        <v>0</v>
      </c>
      <c r="BP69" s="72">
        <f t="shared" si="6"/>
        <v>0</v>
      </c>
    </row>
    <row r="70" spans="1:68" x14ac:dyDescent="0.2">
      <c r="A70" s="467">
        <v>66</v>
      </c>
      <c r="B70" s="468" t="s">
        <v>554</v>
      </c>
      <c r="C70" s="469" t="s">
        <v>555</v>
      </c>
      <c r="D70" s="72">
        <f>SUMIFS('GSTR-2A'!$G$6:$G$10000,'GSTR-2A'!$B$6:$B$10000,$C$5:$C$4995,'GSTR-2A'!$A$6:$A$10000,$D$3)</f>
        <v>13065.29</v>
      </c>
      <c r="E70" s="72">
        <f>SUMIFS('GSTR-2A'!$K$6:$K$10000,'GSTR-2A'!$B$6:$B$10000,$C$5:$C$4995,'GSTR-2A'!$A$6:$A$10000,$D$3)</f>
        <v>10207.25</v>
      </c>
      <c r="F70" s="72">
        <f>SUMIFS('GSTR-2A'!$L$6:$L$10000,'GSTR-2A'!$B$6:$B$10000,$C$5:$C$4995,'GSTR-2A'!$A$6:$A$10000,$D$3)</f>
        <v>0</v>
      </c>
      <c r="G70" s="72">
        <f>SUMIFS('GSTR-2A'!$M$6:$M$10000,'GSTR-2A'!$B$6:$B$10000,$C$5:$C$4995,'GSTR-2A'!$A$6:$A$10000,$D$3)</f>
        <v>1429.02</v>
      </c>
      <c r="H70" s="72">
        <f>SUMIFS('GSTR-2A'!$N$6:$N$10000,'GSTR-2A'!$B$6:$B$10000,$C$5:$C$4995,'GSTR-2A'!$A$6:$A$10000,$D$3)</f>
        <v>1429.02</v>
      </c>
      <c r="I70" s="486">
        <f>SUMIFS('GSTR-2A'!$G$6:$G$10000,'GSTR-2A'!$B$6:$B$10000,$C$5:$C$4995,'GSTR-2A'!$A$6:$A$10000,$I$3)</f>
        <v>30526.200000000004</v>
      </c>
      <c r="J70" s="487">
        <f>SUMIFS('GSTR-2A'!$K$6:$K$10000,'GSTR-2A'!$B$6:$B$10000,$C$5:$C$4995,'GSTR-2A'!$A$6:$A$10000,$I$3)</f>
        <v>23848.6</v>
      </c>
      <c r="K70" s="487">
        <f>SUMIFS('GSTR-2A'!$L$6:$L$10000,'GSTR-2A'!$B$6:$B$10000,$C$5:$C$4995,'GSTR-2A'!$A$6:$A$10000,$I$3)</f>
        <v>0</v>
      </c>
      <c r="L70" s="487">
        <f>SUMIFS('GSTR-2A'!$M$6:$M$10000,'GSTR-2A'!$B$6:$B$10000,$C$5:$C$4995,'GSTR-2A'!$A$6:$A$10000,$I$3)</f>
        <v>3338.8</v>
      </c>
      <c r="M70" s="488">
        <f>SUMIFS('GSTR-2A'!$N$6:$N$10000,'GSTR-2A'!$B$6:$B$10000,$C$5:$C$4995,'GSTR-2A'!$A$6:$A$10000,$I$3)</f>
        <v>3338.8</v>
      </c>
      <c r="N70" s="486">
        <f>SUMIFS('GSTR-2A'!$G$6:$G$10000,'GSTR-2A'!$B$6:$B$10000,$C$5:$C$4995,'GSTR-2A'!$A$6:$A$10000,$N$3)</f>
        <v>213860.69000000003</v>
      </c>
      <c r="O70" s="487">
        <f>SUMIFS('GSTR-2A'!$K$6:$K$10000,'GSTR-2A'!$B$6:$B$10000,$C$5:$C$4995,'GSTR-2A'!$A$6:$A$10000,$N$3)</f>
        <v>167078.65</v>
      </c>
      <c r="P70" s="487">
        <f>SUMIFS('GSTR-2A'!$L$6:$L$10000,'GSTR-2A'!$B$6:$B$10000,$C$5:$C$4995,'GSTR-2A'!$A$6:$A$10000,$N$3)</f>
        <v>0</v>
      </c>
      <c r="Q70" s="487">
        <f>SUMIFS('GSTR-2A'!$M$6:$M$10000,'GSTR-2A'!$B$6:$B$10000,$C$5:$C$4995,'GSTR-2A'!$A$6:$A$10000,$N$3)</f>
        <v>23391.010000000006</v>
      </c>
      <c r="R70" s="488">
        <f>SUMIFS('GSTR-2A'!$N$6:$N$10000,'GSTR-2A'!$B$6:$B$10000,$C$5:$C$4995,'GSTR-2A'!$A$6:$A$10000,$N$3)</f>
        <v>23391.010000000006</v>
      </c>
      <c r="S70" s="486">
        <f>SUMIFS('GSTR-2A'!$G$6:$G$10000,'GSTR-2A'!$B$6:$B$10000,$C$5:$C$4995,'GSTR-2A'!$A$6:$A$10000,$S$3)</f>
        <v>391194.83000000007</v>
      </c>
      <c r="T70" s="487">
        <f>SUMIFS('GSTR-2A'!$K$6:$K$10000,'GSTR-2A'!$B$6:$B$10000,$C$5:$C$4995,'GSTR-2A'!$A$6:$A$10000,$S$3)</f>
        <v>305620.93</v>
      </c>
      <c r="U70" s="487">
        <f>SUMIFS('GSTR-2A'!$L$6:$L$10000,'GSTR-2A'!$B$6:$B$10000,$C$5:$C$4995,'GSTR-2A'!$A$6:$A$10000,$S$3)</f>
        <v>0</v>
      </c>
      <c r="V70" s="487">
        <f>SUMIFS('GSTR-2A'!$M$6:$M$10000,'GSTR-2A'!$B$6:$B$10000,$C$5:$C$4995,'GSTR-2A'!$A$6:$A$10000,$S$3)</f>
        <v>42786.94999999999</v>
      </c>
      <c r="W70" s="488">
        <f>SUMIFS('GSTR-2A'!$N$6:$N$10000,'GSTR-2A'!$B$6:$B$10000,$C$5:$C$4995,'GSTR-2A'!$A$6:$A$10000,$S$3)</f>
        <v>42786.94999999999</v>
      </c>
      <c r="X70" s="486">
        <f>SUMIFS('GSTR-2A'!$G$6:$G$10000,'GSTR-2A'!$B$6:$B$10000,$C$5:$C$4995,'GSTR-2A'!$A$6:$A$10000,$X$3)</f>
        <v>292716.09999999992</v>
      </c>
      <c r="Y70" s="487">
        <f>SUMIFS('GSTR-2A'!$K$6:$K$10000,'GSTR-2A'!$B$6:$B$10000,$C$5:$C$4995,'GSTR-2A'!$A$6:$A$10000,$X$3)</f>
        <v>228684.44</v>
      </c>
      <c r="Z70" s="487">
        <f>SUMIFS('GSTR-2A'!$L$6:$L$10000,'GSTR-2A'!$B$6:$B$10000,$C$5:$C$4995,'GSTR-2A'!$A$6:$A$10000,$X$3)</f>
        <v>0</v>
      </c>
      <c r="AA70" s="487">
        <f>SUMIFS('GSTR-2A'!$M$6:$M$10000,'GSTR-2A'!$B$6:$B$10000,$C$5:$C$4995,'GSTR-2A'!$A$6:$A$10000,$X$3)</f>
        <v>32015.829999999998</v>
      </c>
      <c r="AB70" s="488">
        <f>SUMIFS('GSTR-2A'!$N$6:$N$10000,'GSTR-2A'!$B$6:$B$10000,$C$5:$C$4995,'GSTR-2A'!$A$6:$A$10000,$X$3)</f>
        <v>32015.829999999998</v>
      </c>
      <c r="AC70" s="486">
        <f>SUMIFS('GSTR-2A'!$G$6:$G$10000,'GSTR-2A'!$B$6:$B$10000,$C$5:$C$4995,'GSTR-2A'!$A$6:$A$10000,$AC$3)</f>
        <v>162840.32000000004</v>
      </c>
      <c r="AD70" s="487">
        <f>SUMIFS('GSTR-2A'!$K$6:$K$10000,'GSTR-2A'!$B$6:$B$10000,$C$5:$C$4995,'GSTR-2A'!$A$6:$A$10000,$AC$3)</f>
        <v>127219</v>
      </c>
      <c r="AE70" s="487">
        <f>SUMIFS('GSTR-2A'!$L$6:$L$10000,'GSTR-2A'!$B$6:$B$10000,$C$5:$C$4995,'GSTR-2A'!$A$6:$A$10000,$AC$3)</f>
        <v>0</v>
      </c>
      <c r="AF70" s="487">
        <f>SUMIFS('GSTR-2A'!$M$6:$M$10000,'GSTR-2A'!$B$6:$B$10000,$C$5:$C$4995,'GSTR-2A'!$A$6:$A$10000,$AC$3)</f>
        <v>17810.66</v>
      </c>
      <c r="AG70" s="488">
        <f>SUMIFS('GSTR-2A'!$N$6:$N$10000,'GSTR-2A'!$B$6:$B$10000,$C$5:$C$4995,'GSTR-2A'!$A$6:$A$10000,$AC$3)</f>
        <v>17810.66</v>
      </c>
      <c r="AH70" s="486">
        <f>SUMIFS('GSTR-2A'!$G$6:$G$10000,'GSTR-2A'!$B$6:$B$10000,$C$5:$C$4995,'GSTR-2A'!$A$6:$A$10000,$AH$3)</f>
        <v>0</v>
      </c>
      <c r="AI70" s="487">
        <f>SUMIFS('GSTR-2A'!$K$6:$K$10000,'GSTR-2A'!$B$6:$B$10000,$C$5:$C$4995,'GSTR-2A'!$A$6:$A$10000,$AH$3)</f>
        <v>0</v>
      </c>
      <c r="AJ70" s="487">
        <f>SUMIFS('GSTR-2A'!$L$6:$L$10000,'GSTR-2A'!$B$6:$B$10000,$C$5:$C$4995,'GSTR-2A'!$A$6:$A$10000,$AH$3)</f>
        <v>0</v>
      </c>
      <c r="AK70" s="487">
        <f>SUMIFS('GSTR-2A'!$M$6:$M$10000,'GSTR-2A'!$B$6:$B$10000,$C$5:$C$4995,'GSTR-2A'!$A$6:$A$10000,$AH$3)</f>
        <v>0</v>
      </c>
      <c r="AL70" s="488">
        <f>SUMIFS('GSTR-2A'!$N$6:$N$10000,'GSTR-2A'!$B$6:$B$10000,$C$5:$C$4995,'GSTR-2A'!$A$6:$A$10000,$AH$3)</f>
        <v>0</v>
      </c>
      <c r="AM70" s="486">
        <f>SUMIFS('GSTR-2A'!$G$6:$G$10000,'GSTR-2A'!$B$6:$B$10000,$C$5:$C$4995,'GSTR-2A'!$A$6:$A$10000,$AM$3)</f>
        <v>0</v>
      </c>
      <c r="AN70" s="487">
        <f>SUMIFS('GSTR-2A'!$K$6:$K$10000,'GSTR-2A'!$B$6:$B$10000,$C$5:$C$4995,'GSTR-2A'!$A$6:$A$10000,$AM$3)</f>
        <v>0</v>
      </c>
      <c r="AO70" s="487">
        <f>SUMIFS('GSTR-2A'!$L$6:$L$10000,'GSTR-2A'!$B$6:$B$10000,$C$5:$C$4995,'GSTR-2A'!$A$6:$A$10000,$AM$3)</f>
        <v>0</v>
      </c>
      <c r="AP70" s="487">
        <f>SUMIFS('GSTR-2A'!$M$6:$M$10000,'GSTR-2A'!$B$6:$B$10000,$C$5:$C$4995,'GSTR-2A'!$A$6:$A$10000,$AM$3)</f>
        <v>0</v>
      </c>
      <c r="AQ70" s="488">
        <f>SUMIFS('GSTR-2A'!$N$6:$N$10000,'GSTR-2A'!$B$6:$B$10000,$C$5:$C$4995,'GSTR-2A'!$A$6:$A$10000,$AM$3)</f>
        <v>0</v>
      </c>
      <c r="AR70" s="486">
        <f>SUMIFS('GSTR-2A'!$G$6:$G$10000,'GSTR-2A'!$B$6:$B$10000,$C$5:$C$4995,'GSTR-2A'!$A$6:$A$10000,$AR$3)</f>
        <v>0</v>
      </c>
      <c r="AS70" s="487">
        <f>SUMIFS('GSTR-2A'!$K$6:$K$10000,'GSTR-2A'!$B$6:$B$10000,$C$5:$C$4995,'GSTR-2A'!$A$6:$A$10000,$AR$3)</f>
        <v>0</v>
      </c>
      <c r="AT70" s="487">
        <f>SUMIFS('GSTR-2A'!$L$6:$L$10000,'GSTR-2A'!$B$6:$B$10000,$C$5:$C$4995,'GSTR-2A'!$A$6:$A$10000,$AR$3)</f>
        <v>0</v>
      </c>
      <c r="AU70" s="487">
        <f>SUMIFS('GSTR-2A'!$M$6:$M$10000,'GSTR-2A'!$B$6:$B$10000,$C$5:$C$4995,'GSTR-2A'!$A$6:$A$10000,$AR$3)</f>
        <v>0</v>
      </c>
      <c r="AV70" s="488">
        <f>SUMIFS('GSTR-2A'!$N$6:$N$10000,'GSTR-2A'!$B$6:$B$10000,$C$5:$C$4995,'GSTR-2A'!$A$6:$A$10000,$AR$3)</f>
        <v>0</v>
      </c>
      <c r="AW70" s="486">
        <f>SUMIFS('GSTR-2A'!$G$6:$G$10000,'GSTR-2A'!$B$6:$B$10000,$C$5:$C$4995,'GSTR-2A'!$A$6:$A$10000,$AW$3)</f>
        <v>0</v>
      </c>
      <c r="AX70" s="487">
        <f>SUMIFS('GSTR-2A'!$K$6:$K$10000,'GSTR-2A'!$B$6:$B$10000,$C$5:$C$4995,'GSTR-2A'!$A$6:$A$10000,$AW$3)</f>
        <v>0</v>
      </c>
      <c r="AY70" s="487">
        <f>SUMIFS('GSTR-2A'!$L$6:$L$10000,'GSTR-2A'!$B$6:$B$10000,$C$5:$C$4995,'GSTR-2A'!$A$6:$A$10000,$AW$3)</f>
        <v>0</v>
      </c>
      <c r="AZ70" s="487">
        <f>SUMIFS('GSTR-2A'!$M$6:$M$10000,'GSTR-2A'!$B$6:$B$10000,$C$5:$C$4995,'GSTR-2A'!$A$6:$A$10000,$AW$3)</f>
        <v>0</v>
      </c>
      <c r="BA70" s="488">
        <f>SUMIFS('GSTR-2A'!$N$6:$N$10000,'GSTR-2A'!$B$6:$B$10000,$C$5:$C$4995,'GSTR-2A'!$A$6:$A$10000,$AW$3)</f>
        <v>0</v>
      </c>
      <c r="BB70" s="486">
        <f>SUMIFS('GSTR-2A'!$G$6:$G$10000,'GSTR-2A'!$B$6:$B$10000,$C$5:$C$4995,'GSTR-2A'!$A$6:$A$10000,$BB$3)</f>
        <v>0</v>
      </c>
      <c r="BC70" s="487">
        <f>SUMIFS('GSTR-2A'!$K$6:$K$10000,'GSTR-2A'!$B$6:$B$10000,$C$5:$C$4995,'GSTR-2A'!$A$6:$A$10000,$BB$3)</f>
        <v>0</v>
      </c>
      <c r="BD70" s="487">
        <f>SUMIFS('GSTR-2A'!$L$6:$L$10000,'GSTR-2A'!$B$6:$B$10000,$C$5:$C$4995,'GSTR-2A'!$A$6:$A$10000,$BB$3)</f>
        <v>0</v>
      </c>
      <c r="BE70" s="487">
        <f>SUMIFS('GSTR-2A'!$M$6:$M$10000,'GSTR-2A'!$B$6:$B$10000,$C$5:$C$4995,'GSTR-2A'!$A$6:$A$10000,$BB$3)</f>
        <v>0</v>
      </c>
      <c r="BF70" s="488">
        <f>SUMIFS('GSTR-2A'!$N$6:$N$10000,'GSTR-2A'!$B$6:$B$10000,$C$5:$C$4995,'GSTR-2A'!$A$6:$A$10000,$BB$3)</f>
        <v>0</v>
      </c>
      <c r="BG70" s="486">
        <f>SUMIFS('GSTR-2A'!$G$6:$G$10000,'GSTR-2A'!$B$6:$B$10000,$C$5:$C$4995,'GSTR-2A'!$A$6:$A$10000,$BG$3)</f>
        <v>0</v>
      </c>
      <c r="BH70" s="487">
        <f>SUMIFS('GSTR-2A'!$K$6:$K$10000,'GSTR-2A'!$B$6:$B$10000,$C$5:$C$4995,'GSTR-2A'!$A$6:$A$10000,$BG$3)</f>
        <v>0</v>
      </c>
      <c r="BI70" s="487">
        <f>SUMIFS('GSTR-2A'!$L$6:$L$10000,'GSTR-2A'!$B$6:$B$10000,$C$5:$C$4995,'GSTR-2A'!$A$6:$A$10000,$BG$3)</f>
        <v>0</v>
      </c>
      <c r="BJ70" s="487">
        <f>SUMIFS('GSTR-2A'!$M$6:$M$10000,'GSTR-2A'!$B$6:$B$10000,$C$5:$C$4995,'GSTR-2A'!$A$6:$A$10000,$BG$3)</f>
        <v>0</v>
      </c>
      <c r="BK70" s="488">
        <f>SUMIFS('GSTR-2A'!$N$6:$N$10000,'GSTR-2A'!$B$6:$B$10000,$C$5:$C$4995,'GSTR-2A'!$A$6:$A$10000,$BG$3)</f>
        <v>0</v>
      </c>
      <c r="BL70" s="72">
        <f t="shared" ref="BL70:BL133" si="7">+D70+I70+N70+S70+X70+AC70+AH70+AM70+AR70+AW70+BB70+BG70</f>
        <v>1104203.4300000002</v>
      </c>
      <c r="BM70" s="72">
        <f t="shared" ref="BM70:BM133" si="8">+E70+J70+O70+T70+Y70+AD70+AI70+AN70+AS70+AX70+BC70+BH70</f>
        <v>862658.87</v>
      </c>
      <c r="BN70" s="72">
        <f t="shared" ref="BN70:BN133" si="9">+F70+K70+P70+U70+Z70+AE70+AJ70+AO70+AT70+AY70+BD70+BI70</f>
        <v>0</v>
      </c>
      <c r="BO70" s="72">
        <f t="shared" ref="BO70:BO133" si="10">+G70+L70+Q70+V70+AA70+AF70+AK70+AP70+AU70+AZ70+BE70+BJ70</f>
        <v>120772.27</v>
      </c>
      <c r="BP70" s="72">
        <f t="shared" ref="BP70:BP133" si="11">+H70+M70+R70+W70+AB70+AG70+AL70+AQ70+AV70+BA70+BF70+BK70</f>
        <v>120772.27</v>
      </c>
    </row>
    <row r="71" spans="1:68" x14ac:dyDescent="0.2">
      <c r="A71" s="467">
        <v>67</v>
      </c>
      <c r="B71" s="475" t="s">
        <v>686</v>
      </c>
      <c r="C71" s="468" t="s">
        <v>687</v>
      </c>
      <c r="D71" s="72">
        <f>SUMIFS('GSTR-2A'!$G$6:$G$10000,'GSTR-2A'!$B$6:$B$10000,$C$5:$C$4995,'GSTR-2A'!$A$6:$A$10000,$D$3)</f>
        <v>0</v>
      </c>
      <c r="E71" s="72">
        <f>SUMIFS('GSTR-2A'!$K$6:$K$10000,'GSTR-2A'!$B$6:$B$10000,$C$5:$C$4995,'GSTR-2A'!$A$6:$A$10000,$D$3)</f>
        <v>0</v>
      </c>
      <c r="F71" s="72">
        <f>SUMIFS('GSTR-2A'!$L$6:$L$10000,'GSTR-2A'!$B$6:$B$10000,$C$5:$C$4995,'GSTR-2A'!$A$6:$A$10000,$D$3)</f>
        <v>0</v>
      </c>
      <c r="G71" s="72">
        <f>SUMIFS('GSTR-2A'!$M$6:$M$10000,'GSTR-2A'!$B$6:$B$10000,$C$5:$C$4995,'GSTR-2A'!$A$6:$A$10000,$D$3)</f>
        <v>0</v>
      </c>
      <c r="H71" s="72">
        <f>SUMIFS('GSTR-2A'!$N$6:$N$10000,'GSTR-2A'!$B$6:$B$10000,$C$5:$C$4995,'GSTR-2A'!$A$6:$A$10000,$D$3)</f>
        <v>0</v>
      </c>
      <c r="I71" s="486">
        <f>SUMIFS('GSTR-2A'!$G$6:$G$10000,'GSTR-2A'!$B$6:$B$10000,$C$5:$C$4995,'GSTR-2A'!$A$6:$A$10000,$I$3)</f>
        <v>0</v>
      </c>
      <c r="J71" s="487">
        <f>SUMIFS('GSTR-2A'!$K$6:$K$10000,'GSTR-2A'!$B$6:$B$10000,$C$5:$C$4995,'GSTR-2A'!$A$6:$A$10000,$I$3)</f>
        <v>0</v>
      </c>
      <c r="K71" s="487">
        <f>SUMIFS('GSTR-2A'!$L$6:$L$10000,'GSTR-2A'!$B$6:$B$10000,$C$5:$C$4995,'GSTR-2A'!$A$6:$A$10000,$I$3)</f>
        <v>0</v>
      </c>
      <c r="L71" s="487">
        <f>SUMIFS('GSTR-2A'!$M$6:$M$10000,'GSTR-2A'!$B$6:$B$10000,$C$5:$C$4995,'GSTR-2A'!$A$6:$A$10000,$I$3)</f>
        <v>0</v>
      </c>
      <c r="M71" s="488">
        <f>SUMIFS('GSTR-2A'!$N$6:$N$10000,'GSTR-2A'!$B$6:$B$10000,$C$5:$C$4995,'GSTR-2A'!$A$6:$A$10000,$I$3)</f>
        <v>0</v>
      </c>
      <c r="N71" s="486">
        <f>SUMIFS('GSTR-2A'!$G$6:$G$10000,'GSTR-2A'!$B$6:$B$10000,$C$5:$C$4995,'GSTR-2A'!$A$6:$A$10000,$N$3)</f>
        <v>0</v>
      </c>
      <c r="O71" s="487">
        <f>SUMIFS('GSTR-2A'!$K$6:$K$10000,'GSTR-2A'!$B$6:$B$10000,$C$5:$C$4995,'GSTR-2A'!$A$6:$A$10000,$N$3)</f>
        <v>0</v>
      </c>
      <c r="P71" s="487">
        <f>SUMIFS('GSTR-2A'!$L$6:$L$10000,'GSTR-2A'!$B$6:$B$10000,$C$5:$C$4995,'GSTR-2A'!$A$6:$A$10000,$N$3)</f>
        <v>0</v>
      </c>
      <c r="Q71" s="487">
        <f>SUMIFS('GSTR-2A'!$M$6:$M$10000,'GSTR-2A'!$B$6:$B$10000,$C$5:$C$4995,'GSTR-2A'!$A$6:$A$10000,$N$3)</f>
        <v>0</v>
      </c>
      <c r="R71" s="488">
        <f>SUMIFS('GSTR-2A'!$N$6:$N$10000,'GSTR-2A'!$B$6:$B$10000,$C$5:$C$4995,'GSTR-2A'!$A$6:$A$10000,$N$3)</f>
        <v>0</v>
      </c>
      <c r="S71" s="486">
        <f>SUMIFS('GSTR-2A'!$G$6:$G$10000,'GSTR-2A'!$B$6:$B$10000,$C$5:$C$4995,'GSTR-2A'!$A$6:$A$10000,$S$3)</f>
        <v>0</v>
      </c>
      <c r="T71" s="487">
        <f>SUMIFS('GSTR-2A'!$K$6:$K$10000,'GSTR-2A'!$B$6:$B$10000,$C$5:$C$4995,'GSTR-2A'!$A$6:$A$10000,$S$3)</f>
        <v>0</v>
      </c>
      <c r="U71" s="487">
        <f>SUMIFS('GSTR-2A'!$L$6:$L$10000,'GSTR-2A'!$B$6:$B$10000,$C$5:$C$4995,'GSTR-2A'!$A$6:$A$10000,$S$3)</f>
        <v>0</v>
      </c>
      <c r="V71" s="487">
        <f>SUMIFS('GSTR-2A'!$M$6:$M$10000,'GSTR-2A'!$B$6:$B$10000,$C$5:$C$4995,'GSTR-2A'!$A$6:$A$10000,$S$3)</f>
        <v>0</v>
      </c>
      <c r="W71" s="488">
        <f>SUMIFS('GSTR-2A'!$N$6:$N$10000,'GSTR-2A'!$B$6:$B$10000,$C$5:$C$4995,'GSTR-2A'!$A$6:$A$10000,$S$3)</f>
        <v>0</v>
      </c>
      <c r="X71" s="486">
        <f>SUMIFS('GSTR-2A'!$G$6:$G$10000,'GSTR-2A'!$B$6:$B$10000,$C$5:$C$4995,'GSTR-2A'!$A$6:$A$10000,$X$3)</f>
        <v>0</v>
      </c>
      <c r="Y71" s="487">
        <f>SUMIFS('GSTR-2A'!$K$6:$K$10000,'GSTR-2A'!$B$6:$B$10000,$C$5:$C$4995,'GSTR-2A'!$A$6:$A$10000,$X$3)</f>
        <v>0</v>
      </c>
      <c r="Z71" s="487">
        <f>SUMIFS('GSTR-2A'!$L$6:$L$10000,'GSTR-2A'!$B$6:$B$10000,$C$5:$C$4995,'GSTR-2A'!$A$6:$A$10000,$X$3)</f>
        <v>0</v>
      </c>
      <c r="AA71" s="487">
        <f>SUMIFS('GSTR-2A'!$M$6:$M$10000,'GSTR-2A'!$B$6:$B$10000,$C$5:$C$4995,'GSTR-2A'!$A$6:$A$10000,$X$3)</f>
        <v>0</v>
      </c>
      <c r="AB71" s="488">
        <f>SUMIFS('GSTR-2A'!$N$6:$N$10000,'GSTR-2A'!$B$6:$B$10000,$C$5:$C$4995,'GSTR-2A'!$A$6:$A$10000,$X$3)</f>
        <v>0</v>
      </c>
      <c r="AC71" s="486">
        <f>SUMIFS('GSTR-2A'!$G$6:$G$10000,'GSTR-2A'!$B$6:$B$10000,$C$5:$C$4995,'GSTR-2A'!$A$6:$A$10000,$AC$3)</f>
        <v>0</v>
      </c>
      <c r="AD71" s="487">
        <f>SUMIFS('GSTR-2A'!$K$6:$K$10000,'GSTR-2A'!$B$6:$B$10000,$C$5:$C$4995,'GSTR-2A'!$A$6:$A$10000,$AC$3)</f>
        <v>0</v>
      </c>
      <c r="AE71" s="487">
        <f>SUMIFS('GSTR-2A'!$L$6:$L$10000,'GSTR-2A'!$B$6:$B$10000,$C$5:$C$4995,'GSTR-2A'!$A$6:$A$10000,$AC$3)</f>
        <v>0</v>
      </c>
      <c r="AF71" s="487">
        <f>SUMIFS('GSTR-2A'!$M$6:$M$10000,'GSTR-2A'!$B$6:$B$10000,$C$5:$C$4995,'GSTR-2A'!$A$6:$A$10000,$AC$3)</f>
        <v>0</v>
      </c>
      <c r="AG71" s="488">
        <f>SUMIFS('GSTR-2A'!$N$6:$N$10000,'GSTR-2A'!$B$6:$B$10000,$C$5:$C$4995,'GSTR-2A'!$A$6:$A$10000,$AC$3)</f>
        <v>0</v>
      </c>
      <c r="AH71" s="486">
        <f>SUMIFS('GSTR-2A'!$G$6:$G$10000,'GSTR-2A'!$B$6:$B$10000,$C$5:$C$4995,'GSTR-2A'!$A$6:$A$10000,$AH$3)</f>
        <v>0</v>
      </c>
      <c r="AI71" s="487">
        <f>SUMIFS('GSTR-2A'!$K$6:$K$10000,'GSTR-2A'!$B$6:$B$10000,$C$5:$C$4995,'GSTR-2A'!$A$6:$A$10000,$AH$3)</f>
        <v>0</v>
      </c>
      <c r="AJ71" s="487">
        <f>SUMIFS('GSTR-2A'!$L$6:$L$10000,'GSTR-2A'!$B$6:$B$10000,$C$5:$C$4995,'GSTR-2A'!$A$6:$A$10000,$AH$3)</f>
        <v>0</v>
      </c>
      <c r="AK71" s="487">
        <f>SUMIFS('GSTR-2A'!$M$6:$M$10000,'GSTR-2A'!$B$6:$B$10000,$C$5:$C$4995,'GSTR-2A'!$A$6:$A$10000,$AH$3)</f>
        <v>0</v>
      </c>
      <c r="AL71" s="488">
        <f>SUMIFS('GSTR-2A'!$N$6:$N$10000,'GSTR-2A'!$B$6:$B$10000,$C$5:$C$4995,'GSTR-2A'!$A$6:$A$10000,$AH$3)</f>
        <v>0</v>
      </c>
      <c r="AM71" s="486">
        <f>SUMIFS('GSTR-2A'!$G$6:$G$10000,'GSTR-2A'!$B$6:$B$10000,$C$5:$C$4995,'GSTR-2A'!$A$6:$A$10000,$AM$3)</f>
        <v>0</v>
      </c>
      <c r="AN71" s="487">
        <f>SUMIFS('GSTR-2A'!$K$6:$K$10000,'GSTR-2A'!$B$6:$B$10000,$C$5:$C$4995,'GSTR-2A'!$A$6:$A$10000,$AM$3)</f>
        <v>0</v>
      </c>
      <c r="AO71" s="487">
        <f>SUMIFS('GSTR-2A'!$L$6:$L$10000,'GSTR-2A'!$B$6:$B$10000,$C$5:$C$4995,'GSTR-2A'!$A$6:$A$10000,$AM$3)</f>
        <v>0</v>
      </c>
      <c r="AP71" s="487">
        <f>SUMIFS('GSTR-2A'!$M$6:$M$10000,'GSTR-2A'!$B$6:$B$10000,$C$5:$C$4995,'GSTR-2A'!$A$6:$A$10000,$AM$3)</f>
        <v>0</v>
      </c>
      <c r="AQ71" s="488">
        <f>SUMIFS('GSTR-2A'!$N$6:$N$10000,'GSTR-2A'!$B$6:$B$10000,$C$5:$C$4995,'GSTR-2A'!$A$6:$A$10000,$AM$3)</f>
        <v>0</v>
      </c>
      <c r="AR71" s="486">
        <f>SUMIFS('GSTR-2A'!$G$6:$G$10000,'GSTR-2A'!$B$6:$B$10000,$C$5:$C$4995,'GSTR-2A'!$A$6:$A$10000,$AR$3)</f>
        <v>0</v>
      </c>
      <c r="AS71" s="487">
        <f>SUMIFS('GSTR-2A'!$K$6:$K$10000,'GSTR-2A'!$B$6:$B$10000,$C$5:$C$4995,'GSTR-2A'!$A$6:$A$10000,$AR$3)</f>
        <v>0</v>
      </c>
      <c r="AT71" s="487">
        <f>SUMIFS('GSTR-2A'!$L$6:$L$10000,'GSTR-2A'!$B$6:$B$10000,$C$5:$C$4995,'GSTR-2A'!$A$6:$A$10000,$AR$3)</f>
        <v>0</v>
      </c>
      <c r="AU71" s="487">
        <f>SUMIFS('GSTR-2A'!$M$6:$M$10000,'GSTR-2A'!$B$6:$B$10000,$C$5:$C$4995,'GSTR-2A'!$A$6:$A$10000,$AR$3)</f>
        <v>0</v>
      </c>
      <c r="AV71" s="488">
        <f>SUMIFS('GSTR-2A'!$N$6:$N$10000,'GSTR-2A'!$B$6:$B$10000,$C$5:$C$4995,'GSTR-2A'!$A$6:$A$10000,$AR$3)</f>
        <v>0</v>
      </c>
      <c r="AW71" s="486">
        <f>SUMIFS('GSTR-2A'!$G$6:$G$10000,'GSTR-2A'!$B$6:$B$10000,$C$5:$C$4995,'GSTR-2A'!$A$6:$A$10000,$AW$3)</f>
        <v>0</v>
      </c>
      <c r="AX71" s="487">
        <f>SUMIFS('GSTR-2A'!$K$6:$K$10000,'GSTR-2A'!$B$6:$B$10000,$C$5:$C$4995,'GSTR-2A'!$A$6:$A$10000,$AW$3)</f>
        <v>0</v>
      </c>
      <c r="AY71" s="487">
        <f>SUMIFS('GSTR-2A'!$L$6:$L$10000,'GSTR-2A'!$B$6:$B$10000,$C$5:$C$4995,'GSTR-2A'!$A$6:$A$10000,$AW$3)</f>
        <v>0</v>
      </c>
      <c r="AZ71" s="487">
        <f>SUMIFS('GSTR-2A'!$M$6:$M$10000,'GSTR-2A'!$B$6:$B$10000,$C$5:$C$4995,'GSTR-2A'!$A$6:$A$10000,$AW$3)</f>
        <v>0</v>
      </c>
      <c r="BA71" s="488">
        <f>SUMIFS('GSTR-2A'!$N$6:$N$10000,'GSTR-2A'!$B$6:$B$10000,$C$5:$C$4995,'GSTR-2A'!$A$6:$A$10000,$AW$3)</f>
        <v>0</v>
      </c>
      <c r="BB71" s="486">
        <f>SUMIFS('GSTR-2A'!$G$6:$G$10000,'GSTR-2A'!$B$6:$B$10000,$C$5:$C$4995,'GSTR-2A'!$A$6:$A$10000,$BB$3)</f>
        <v>0</v>
      </c>
      <c r="BC71" s="487">
        <f>SUMIFS('GSTR-2A'!$K$6:$K$10000,'GSTR-2A'!$B$6:$B$10000,$C$5:$C$4995,'GSTR-2A'!$A$6:$A$10000,$BB$3)</f>
        <v>0</v>
      </c>
      <c r="BD71" s="487">
        <f>SUMIFS('GSTR-2A'!$L$6:$L$10000,'GSTR-2A'!$B$6:$B$10000,$C$5:$C$4995,'GSTR-2A'!$A$6:$A$10000,$BB$3)</f>
        <v>0</v>
      </c>
      <c r="BE71" s="487">
        <f>SUMIFS('GSTR-2A'!$M$6:$M$10000,'GSTR-2A'!$B$6:$B$10000,$C$5:$C$4995,'GSTR-2A'!$A$6:$A$10000,$BB$3)</f>
        <v>0</v>
      </c>
      <c r="BF71" s="488">
        <f>SUMIFS('GSTR-2A'!$N$6:$N$10000,'GSTR-2A'!$B$6:$B$10000,$C$5:$C$4995,'GSTR-2A'!$A$6:$A$10000,$BB$3)</f>
        <v>0</v>
      </c>
      <c r="BG71" s="486">
        <f>SUMIFS('GSTR-2A'!$G$6:$G$10000,'GSTR-2A'!$B$6:$B$10000,$C$5:$C$4995,'GSTR-2A'!$A$6:$A$10000,$BG$3)</f>
        <v>0</v>
      </c>
      <c r="BH71" s="487">
        <f>SUMIFS('GSTR-2A'!$K$6:$K$10000,'GSTR-2A'!$B$6:$B$10000,$C$5:$C$4995,'GSTR-2A'!$A$6:$A$10000,$BG$3)</f>
        <v>0</v>
      </c>
      <c r="BI71" s="487">
        <f>SUMIFS('GSTR-2A'!$L$6:$L$10000,'GSTR-2A'!$B$6:$B$10000,$C$5:$C$4995,'GSTR-2A'!$A$6:$A$10000,$BG$3)</f>
        <v>0</v>
      </c>
      <c r="BJ71" s="487">
        <f>SUMIFS('GSTR-2A'!$M$6:$M$10000,'GSTR-2A'!$B$6:$B$10000,$C$5:$C$4995,'GSTR-2A'!$A$6:$A$10000,$BG$3)</f>
        <v>0</v>
      </c>
      <c r="BK71" s="488">
        <f>SUMIFS('GSTR-2A'!$N$6:$N$10000,'GSTR-2A'!$B$6:$B$10000,$C$5:$C$4995,'GSTR-2A'!$A$6:$A$10000,$BG$3)</f>
        <v>0</v>
      </c>
      <c r="BL71" s="72">
        <f t="shared" si="7"/>
        <v>0</v>
      </c>
      <c r="BM71" s="72">
        <f t="shared" si="8"/>
        <v>0</v>
      </c>
      <c r="BN71" s="72">
        <f t="shared" si="9"/>
        <v>0</v>
      </c>
      <c r="BO71" s="72">
        <f t="shared" si="10"/>
        <v>0</v>
      </c>
      <c r="BP71" s="72">
        <f t="shared" si="11"/>
        <v>0</v>
      </c>
    </row>
    <row r="72" spans="1:68" x14ac:dyDescent="0.2">
      <c r="A72" s="467">
        <v>68</v>
      </c>
      <c r="B72" s="468" t="s">
        <v>476</v>
      </c>
      <c r="C72" s="469" t="s">
        <v>477</v>
      </c>
      <c r="D72" s="72">
        <f>SUMIFS('GSTR-2A'!$G$6:$G$10000,'GSTR-2A'!$B$6:$B$10000,$C$5:$C$4995,'GSTR-2A'!$A$6:$A$10000,$D$3)</f>
        <v>530457</v>
      </c>
      <c r="E72" s="72">
        <f>SUMIFS('GSTR-2A'!$K$6:$K$10000,'GSTR-2A'!$B$6:$B$10000,$C$5:$C$4995,'GSTR-2A'!$A$6:$A$10000,$D$3)</f>
        <v>417595</v>
      </c>
      <c r="F72" s="72">
        <f>SUMIFS('GSTR-2A'!$L$6:$L$10000,'GSTR-2A'!$B$6:$B$10000,$C$5:$C$4995,'GSTR-2A'!$A$6:$A$10000,$D$3)</f>
        <v>0</v>
      </c>
      <c r="G72" s="72">
        <f>SUMIFS('GSTR-2A'!$M$6:$M$10000,'GSTR-2A'!$B$6:$B$10000,$C$5:$C$4995,'GSTR-2A'!$A$6:$A$10000,$D$3)</f>
        <v>56430.8</v>
      </c>
      <c r="H72" s="72">
        <f>SUMIFS('GSTR-2A'!$N$6:$N$10000,'GSTR-2A'!$B$6:$B$10000,$C$5:$C$4995,'GSTR-2A'!$A$6:$A$10000,$D$3)</f>
        <v>56430.8</v>
      </c>
      <c r="I72" s="486">
        <f>SUMIFS('GSTR-2A'!$G$6:$G$10000,'GSTR-2A'!$B$6:$B$10000,$C$5:$C$4995,'GSTR-2A'!$A$6:$A$10000,$I$3)</f>
        <v>530457</v>
      </c>
      <c r="J72" s="487">
        <f>SUMIFS('GSTR-2A'!$K$6:$K$10000,'GSTR-2A'!$B$6:$B$10000,$C$5:$C$4995,'GSTR-2A'!$A$6:$A$10000,$I$3)</f>
        <v>417595</v>
      </c>
      <c r="K72" s="487">
        <f>SUMIFS('GSTR-2A'!$L$6:$L$10000,'GSTR-2A'!$B$6:$B$10000,$C$5:$C$4995,'GSTR-2A'!$A$6:$A$10000,$I$3)</f>
        <v>0</v>
      </c>
      <c r="L72" s="487">
        <f>SUMIFS('GSTR-2A'!$M$6:$M$10000,'GSTR-2A'!$B$6:$B$10000,$C$5:$C$4995,'GSTR-2A'!$A$6:$A$10000,$I$3)</f>
        <v>56430.8</v>
      </c>
      <c r="M72" s="488">
        <f>SUMIFS('GSTR-2A'!$N$6:$N$10000,'GSTR-2A'!$B$6:$B$10000,$C$5:$C$4995,'GSTR-2A'!$A$6:$A$10000,$I$3)</f>
        <v>56430.8</v>
      </c>
      <c r="N72" s="486">
        <f>SUMIFS('GSTR-2A'!$G$6:$G$10000,'GSTR-2A'!$B$6:$B$10000,$C$5:$C$4995,'GSTR-2A'!$A$6:$A$10000,$N$3)</f>
        <v>530457</v>
      </c>
      <c r="O72" s="487">
        <f>SUMIFS('GSTR-2A'!$K$6:$K$10000,'GSTR-2A'!$B$6:$B$10000,$C$5:$C$4995,'GSTR-2A'!$A$6:$A$10000,$N$3)</f>
        <v>417595</v>
      </c>
      <c r="P72" s="487">
        <f>SUMIFS('GSTR-2A'!$L$6:$L$10000,'GSTR-2A'!$B$6:$B$10000,$C$5:$C$4995,'GSTR-2A'!$A$6:$A$10000,$N$3)</f>
        <v>0</v>
      </c>
      <c r="Q72" s="487">
        <f>SUMIFS('GSTR-2A'!$M$6:$M$10000,'GSTR-2A'!$B$6:$B$10000,$C$5:$C$4995,'GSTR-2A'!$A$6:$A$10000,$N$3)</f>
        <v>56430.8</v>
      </c>
      <c r="R72" s="488">
        <f>SUMIFS('GSTR-2A'!$N$6:$N$10000,'GSTR-2A'!$B$6:$B$10000,$C$5:$C$4995,'GSTR-2A'!$A$6:$A$10000,$N$3)</f>
        <v>56430.8</v>
      </c>
      <c r="S72" s="486">
        <f>SUMIFS('GSTR-2A'!$G$6:$G$10000,'GSTR-2A'!$B$6:$B$10000,$C$5:$C$4995,'GSTR-2A'!$A$6:$A$10000,$S$3)</f>
        <v>530457</v>
      </c>
      <c r="T72" s="487">
        <f>SUMIFS('GSTR-2A'!$K$6:$K$10000,'GSTR-2A'!$B$6:$B$10000,$C$5:$C$4995,'GSTR-2A'!$A$6:$A$10000,$S$3)</f>
        <v>417595</v>
      </c>
      <c r="U72" s="487">
        <f>SUMIFS('GSTR-2A'!$L$6:$L$10000,'GSTR-2A'!$B$6:$B$10000,$C$5:$C$4995,'GSTR-2A'!$A$6:$A$10000,$S$3)</f>
        <v>0</v>
      </c>
      <c r="V72" s="487">
        <f>SUMIFS('GSTR-2A'!$M$6:$M$10000,'GSTR-2A'!$B$6:$B$10000,$C$5:$C$4995,'GSTR-2A'!$A$6:$A$10000,$S$3)</f>
        <v>56430.8</v>
      </c>
      <c r="W72" s="488">
        <f>SUMIFS('GSTR-2A'!$N$6:$N$10000,'GSTR-2A'!$B$6:$B$10000,$C$5:$C$4995,'GSTR-2A'!$A$6:$A$10000,$S$3)</f>
        <v>56430.8</v>
      </c>
      <c r="X72" s="486">
        <f>SUMIFS('GSTR-2A'!$G$6:$G$10000,'GSTR-2A'!$B$6:$B$10000,$C$5:$C$4995,'GSTR-2A'!$A$6:$A$10000,$X$3)</f>
        <v>530457</v>
      </c>
      <c r="Y72" s="487">
        <f>SUMIFS('GSTR-2A'!$K$6:$K$10000,'GSTR-2A'!$B$6:$B$10000,$C$5:$C$4995,'GSTR-2A'!$A$6:$A$10000,$X$3)</f>
        <v>417595</v>
      </c>
      <c r="Z72" s="487">
        <f>SUMIFS('GSTR-2A'!$L$6:$L$10000,'GSTR-2A'!$B$6:$B$10000,$C$5:$C$4995,'GSTR-2A'!$A$6:$A$10000,$X$3)</f>
        <v>0</v>
      </c>
      <c r="AA72" s="487">
        <f>SUMIFS('GSTR-2A'!$M$6:$M$10000,'GSTR-2A'!$B$6:$B$10000,$C$5:$C$4995,'GSTR-2A'!$A$6:$A$10000,$X$3)</f>
        <v>56430.8</v>
      </c>
      <c r="AB72" s="488">
        <f>SUMIFS('GSTR-2A'!$N$6:$N$10000,'GSTR-2A'!$B$6:$B$10000,$C$5:$C$4995,'GSTR-2A'!$A$6:$A$10000,$X$3)</f>
        <v>56430.8</v>
      </c>
      <c r="AC72" s="486">
        <f>SUMIFS('GSTR-2A'!$G$6:$G$10000,'GSTR-2A'!$B$6:$B$10000,$C$5:$C$4995,'GSTR-2A'!$A$6:$A$10000,$AC$3)</f>
        <v>530457</v>
      </c>
      <c r="AD72" s="487">
        <f>SUMIFS('GSTR-2A'!$K$6:$K$10000,'GSTR-2A'!$B$6:$B$10000,$C$5:$C$4995,'GSTR-2A'!$A$6:$A$10000,$AC$3)</f>
        <v>417595</v>
      </c>
      <c r="AE72" s="487">
        <f>SUMIFS('GSTR-2A'!$L$6:$L$10000,'GSTR-2A'!$B$6:$B$10000,$C$5:$C$4995,'GSTR-2A'!$A$6:$A$10000,$AC$3)</f>
        <v>0</v>
      </c>
      <c r="AF72" s="487">
        <f>SUMIFS('GSTR-2A'!$M$6:$M$10000,'GSTR-2A'!$B$6:$B$10000,$C$5:$C$4995,'GSTR-2A'!$A$6:$A$10000,$AC$3)</f>
        <v>56430.8</v>
      </c>
      <c r="AG72" s="488">
        <f>SUMIFS('GSTR-2A'!$N$6:$N$10000,'GSTR-2A'!$B$6:$B$10000,$C$5:$C$4995,'GSTR-2A'!$A$6:$A$10000,$AC$3)</f>
        <v>56430.8</v>
      </c>
      <c r="AH72" s="486">
        <f>SUMIFS('GSTR-2A'!$G$6:$G$10000,'GSTR-2A'!$B$6:$B$10000,$C$5:$C$4995,'GSTR-2A'!$A$6:$A$10000,$AH$3)</f>
        <v>0</v>
      </c>
      <c r="AI72" s="487">
        <f>SUMIFS('GSTR-2A'!$K$6:$K$10000,'GSTR-2A'!$B$6:$B$10000,$C$5:$C$4995,'GSTR-2A'!$A$6:$A$10000,$AH$3)</f>
        <v>0</v>
      </c>
      <c r="AJ72" s="487">
        <f>SUMIFS('GSTR-2A'!$L$6:$L$10000,'GSTR-2A'!$B$6:$B$10000,$C$5:$C$4995,'GSTR-2A'!$A$6:$A$10000,$AH$3)</f>
        <v>0</v>
      </c>
      <c r="AK72" s="487">
        <f>SUMIFS('GSTR-2A'!$M$6:$M$10000,'GSTR-2A'!$B$6:$B$10000,$C$5:$C$4995,'GSTR-2A'!$A$6:$A$10000,$AH$3)</f>
        <v>0</v>
      </c>
      <c r="AL72" s="488">
        <f>SUMIFS('GSTR-2A'!$N$6:$N$10000,'GSTR-2A'!$B$6:$B$10000,$C$5:$C$4995,'GSTR-2A'!$A$6:$A$10000,$AH$3)</f>
        <v>0</v>
      </c>
      <c r="AM72" s="486">
        <f>SUMIFS('GSTR-2A'!$G$6:$G$10000,'GSTR-2A'!$B$6:$B$10000,$C$5:$C$4995,'GSTR-2A'!$A$6:$A$10000,$AM$3)</f>
        <v>0</v>
      </c>
      <c r="AN72" s="487">
        <f>SUMIFS('GSTR-2A'!$K$6:$K$10000,'GSTR-2A'!$B$6:$B$10000,$C$5:$C$4995,'GSTR-2A'!$A$6:$A$10000,$AM$3)</f>
        <v>0</v>
      </c>
      <c r="AO72" s="487">
        <f>SUMIFS('GSTR-2A'!$L$6:$L$10000,'GSTR-2A'!$B$6:$B$10000,$C$5:$C$4995,'GSTR-2A'!$A$6:$A$10000,$AM$3)</f>
        <v>0</v>
      </c>
      <c r="AP72" s="487">
        <f>SUMIFS('GSTR-2A'!$M$6:$M$10000,'GSTR-2A'!$B$6:$B$10000,$C$5:$C$4995,'GSTR-2A'!$A$6:$A$10000,$AM$3)</f>
        <v>0</v>
      </c>
      <c r="AQ72" s="488">
        <f>SUMIFS('GSTR-2A'!$N$6:$N$10000,'GSTR-2A'!$B$6:$B$10000,$C$5:$C$4995,'GSTR-2A'!$A$6:$A$10000,$AM$3)</f>
        <v>0</v>
      </c>
      <c r="AR72" s="486">
        <f>SUMIFS('GSTR-2A'!$G$6:$G$10000,'GSTR-2A'!$B$6:$B$10000,$C$5:$C$4995,'GSTR-2A'!$A$6:$A$10000,$AR$3)</f>
        <v>0</v>
      </c>
      <c r="AS72" s="487">
        <f>SUMIFS('GSTR-2A'!$K$6:$K$10000,'GSTR-2A'!$B$6:$B$10000,$C$5:$C$4995,'GSTR-2A'!$A$6:$A$10000,$AR$3)</f>
        <v>0</v>
      </c>
      <c r="AT72" s="487">
        <f>SUMIFS('GSTR-2A'!$L$6:$L$10000,'GSTR-2A'!$B$6:$B$10000,$C$5:$C$4995,'GSTR-2A'!$A$6:$A$10000,$AR$3)</f>
        <v>0</v>
      </c>
      <c r="AU72" s="487">
        <f>SUMIFS('GSTR-2A'!$M$6:$M$10000,'GSTR-2A'!$B$6:$B$10000,$C$5:$C$4995,'GSTR-2A'!$A$6:$A$10000,$AR$3)</f>
        <v>0</v>
      </c>
      <c r="AV72" s="488">
        <f>SUMIFS('GSTR-2A'!$N$6:$N$10000,'GSTR-2A'!$B$6:$B$10000,$C$5:$C$4995,'GSTR-2A'!$A$6:$A$10000,$AR$3)</f>
        <v>0</v>
      </c>
      <c r="AW72" s="486">
        <f>SUMIFS('GSTR-2A'!$G$6:$G$10000,'GSTR-2A'!$B$6:$B$10000,$C$5:$C$4995,'GSTR-2A'!$A$6:$A$10000,$AW$3)</f>
        <v>0</v>
      </c>
      <c r="AX72" s="487">
        <f>SUMIFS('GSTR-2A'!$K$6:$K$10000,'GSTR-2A'!$B$6:$B$10000,$C$5:$C$4995,'GSTR-2A'!$A$6:$A$10000,$AW$3)</f>
        <v>0</v>
      </c>
      <c r="AY72" s="487">
        <f>SUMIFS('GSTR-2A'!$L$6:$L$10000,'GSTR-2A'!$B$6:$B$10000,$C$5:$C$4995,'GSTR-2A'!$A$6:$A$10000,$AW$3)</f>
        <v>0</v>
      </c>
      <c r="AZ72" s="487">
        <f>SUMIFS('GSTR-2A'!$M$6:$M$10000,'GSTR-2A'!$B$6:$B$10000,$C$5:$C$4995,'GSTR-2A'!$A$6:$A$10000,$AW$3)</f>
        <v>0</v>
      </c>
      <c r="BA72" s="488">
        <f>SUMIFS('GSTR-2A'!$N$6:$N$10000,'GSTR-2A'!$B$6:$B$10000,$C$5:$C$4995,'GSTR-2A'!$A$6:$A$10000,$AW$3)</f>
        <v>0</v>
      </c>
      <c r="BB72" s="486">
        <f>SUMIFS('GSTR-2A'!$G$6:$G$10000,'GSTR-2A'!$B$6:$B$10000,$C$5:$C$4995,'GSTR-2A'!$A$6:$A$10000,$BB$3)</f>
        <v>0</v>
      </c>
      <c r="BC72" s="487">
        <f>SUMIFS('GSTR-2A'!$K$6:$K$10000,'GSTR-2A'!$B$6:$B$10000,$C$5:$C$4995,'GSTR-2A'!$A$6:$A$10000,$BB$3)</f>
        <v>0</v>
      </c>
      <c r="BD72" s="487">
        <f>SUMIFS('GSTR-2A'!$L$6:$L$10000,'GSTR-2A'!$B$6:$B$10000,$C$5:$C$4995,'GSTR-2A'!$A$6:$A$10000,$BB$3)</f>
        <v>0</v>
      </c>
      <c r="BE72" s="487">
        <f>SUMIFS('GSTR-2A'!$M$6:$M$10000,'GSTR-2A'!$B$6:$B$10000,$C$5:$C$4995,'GSTR-2A'!$A$6:$A$10000,$BB$3)</f>
        <v>0</v>
      </c>
      <c r="BF72" s="488">
        <f>SUMIFS('GSTR-2A'!$N$6:$N$10000,'GSTR-2A'!$B$6:$B$10000,$C$5:$C$4995,'GSTR-2A'!$A$6:$A$10000,$BB$3)</f>
        <v>0</v>
      </c>
      <c r="BG72" s="486">
        <f>SUMIFS('GSTR-2A'!$G$6:$G$10000,'GSTR-2A'!$B$6:$B$10000,$C$5:$C$4995,'GSTR-2A'!$A$6:$A$10000,$BG$3)</f>
        <v>0</v>
      </c>
      <c r="BH72" s="487">
        <f>SUMIFS('GSTR-2A'!$K$6:$K$10000,'GSTR-2A'!$B$6:$B$10000,$C$5:$C$4995,'GSTR-2A'!$A$6:$A$10000,$BG$3)</f>
        <v>0</v>
      </c>
      <c r="BI72" s="487">
        <f>SUMIFS('GSTR-2A'!$L$6:$L$10000,'GSTR-2A'!$B$6:$B$10000,$C$5:$C$4995,'GSTR-2A'!$A$6:$A$10000,$BG$3)</f>
        <v>0</v>
      </c>
      <c r="BJ72" s="487">
        <f>SUMIFS('GSTR-2A'!$M$6:$M$10000,'GSTR-2A'!$B$6:$B$10000,$C$5:$C$4995,'GSTR-2A'!$A$6:$A$10000,$BG$3)</f>
        <v>0</v>
      </c>
      <c r="BK72" s="488">
        <f>SUMIFS('GSTR-2A'!$N$6:$N$10000,'GSTR-2A'!$B$6:$B$10000,$C$5:$C$4995,'GSTR-2A'!$A$6:$A$10000,$BG$3)</f>
        <v>0</v>
      </c>
      <c r="BL72" s="72">
        <f t="shared" si="7"/>
        <v>3182742</v>
      </c>
      <c r="BM72" s="72">
        <f t="shared" si="8"/>
        <v>2505570</v>
      </c>
      <c r="BN72" s="72">
        <f t="shared" si="9"/>
        <v>0</v>
      </c>
      <c r="BO72" s="72">
        <f t="shared" si="10"/>
        <v>338584.8</v>
      </c>
      <c r="BP72" s="72">
        <f t="shared" si="11"/>
        <v>338584.8</v>
      </c>
    </row>
    <row r="73" spans="1:68" x14ac:dyDescent="0.2">
      <c r="A73" s="467">
        <v>69</v>
      </c>
      <c r="B73" s="468" t="s">
        <v>666</v>
      </c>
      <c r="C73" s="469" t="s">
        <v>667</v>
      </c>
      <c r="D73" s="72">
        <f>SUMIFS('GSTR-2A'!$G$6:$G$10000,'GSTR-2A'!$B$6:$B$10000,$C$5:$C$4995,'GSTR-2A'!$A$6:$A$10000,$D$3)</f>
        <v>0</v>
      </c>
      <c r="E73" s="72">
        <f>SUMIFS('GSTR-2A'!$K$6:$K$10000,'GSTR-2A'!$B$6:$B$10000,$C$5:$C$4995,'GSTR-2A'!$A$6:$A$10000,$D$3)</f>
        <v>0</v>
      </c>
      <c r="F73" s="72">
        <f>SUMIFS('GSTR-2A'!$L$6:$L$10000,'GSTR-2A'!$B$6:$B$10000,$C$5:$C$4995,'GSTR-2A'!$A$6:$A$10000,$D$3)</f>
        <v>0</v>
      </c>
      <c r="G73" s="72">
        <f>SUMIFS('GSTR-2A'!$M$6:$M$10000,'GSTR-2A'!$B$6:$B$10000,$C$5:$C$4995,'GSTR-2A'!$A$6:$A$10000,$D$3)</f>
        <v>0</v>
      </c>
      <c r="H73" s="72">
        <f>SUMIFS('GSTR-2A'!$N$6:$N$10000,'GSTR-2A'!$B$6:$B$10000,$C$5:$C$4995,'GSTR-2A'!$A$6:$A$10000,$D$3)</f>
        <v>0</v>
      </c>
      <c r="I73" s="486">
        <f>SUMIFS('GSTR-2A'!$G$6:$G$10000,'GSTR-2A'!$B$6:$B$10000,$C$5:$C$4995,'GSTR-2A'!$A$6:$A$10000,$I$3)</f>
        <v>120862</v>
      </c>
      <c r="J73" s="487">
        <f>SUMIFS('GSTR-2A'!$K$6:$K$10000,'GSTR-2A'!$B$6:$B$10000,$C$5:$C$4995,'GSTR-2A'!$A$6:$A$10000,$I$3)</f>
        <v>94421</v>
      </c>
      <c r="K73" s="487">
        <f>SUMIFS('GSTR-2A'!$L$6:$L$10000,'GSTR-2A'!$B$6:$B$10000,$C$5:$C$4995,'GSTR-2A'!$A$6:$A$10000,$I$3)</f>
        <v>0</v>
      </c>
      <c r="L73" s="487">
        <f>SUMIFS('GSTR-2A'!$M$6:$M$10000,'GSTR-2A'!$B$6:$B$10000,$C$5:$C$4995,'GSTR-2A'!$A$6:$A$10000,$I$3)</f>
        <v>13218.94</v>
      </c>
      <c r="M73" s="488">
        <f>SUMIFS('GSTR-2A'!$N$6:$N$10000,'GSTR-2A'!$B$6:$B$10000,$C$5:$C$4995,'GSTR-2A'!$A$6:$A$10000,$I$3)</f>
        <v>13218.94</v>
      </c>
      <c r="N73" s="486">
        <f>SUMIFS('GSTR-2A'!$G$6:$G$10000,'GSTR-2A'!$B$6:$B$10000,$C$5:$C$4995,'GSTR-2A'!$A$6:$A$10000,$N$3)</f>
        <v>142256</v>
      </c>
      <c r="O73" s="487">
        <f>SUMIFS('GSTR-2A'!$K$6:$K$10000,'GSTR-2A'!$B$6:$B$10000,$C$5:$C$4995,'GSTR-2A'!$A$6:$A$10000,$N$3)</f>
        <v>111135.71</v>
      </c>
      <c r="P73" s="487">
        <f>SUMIFS('GSTR-2A'!$L$6:$L$10000,'GSTR-2A'!$B$6:$B$10000,$C$5:$C$4995,'GSTR-2A'!$A$6:$A$10000,$N$3)</f>
        <v>0</v>
      </c>
      <c r="Q73" s="487">
        <f>SUMIFS('GSTR-2A'!$M$6:$M$10000,'GSTR-2A'!$B$6:$B$10000,$C$5:$C$4995,'GSTR-2A'!$A$6:$A$10000,$N$3)</f>
        <v>15559</v>
      </c>
      <c r="R73" s="488">
        <f>SUMIFS('GSTR-2A'!$N$6:$N$10000,'GSTR-2A'!$B$6:$B$10000,$C$5:$C$4995,'GSTR-2A'!$A$6:$A$10000,$N$3)</f>
        <v>15559</v>
      </c>
      <c r="S73" s="486">
        <f>SUMIFS('GSTR-2A'!$G$6:$G$10000,'GSTR-2A'!$B$6:$B$10000,$C$5:$C$4995,'GSTR-2A'!$A$6:$A$10000,$S$3)</f>
        <v>235032</v>
      </c>
      <c r="T73" s="487">
        <f>SUMIFS('GSTR-2A'!$K$6:$K$10000,'GSTR-2A'!$B$6:$B$10000,$C$5:$C$4995,'GSTR-2A'!$A$6:$A$10000,$S$3)</f>
        <v>183614.28999999998</v>
      </c>
      <c r="U73" s="487">
        <f>SUMIFS('GSTR-2A'!$L$6:$L$10000,'GSTR-2A'!$B$6:$B$10000,$C$5:$C$4995,'GSTR-2A'!$A$6:$A$10000,$S$3)</f>
        <v>0</v>
      </c>
      <c r="V73" s="487">
        <f>SUMIFS('GSTR-2A'!$M$6:$M$10000,'GSTR-2A'!$B$6:$B$10000,$C$5:$C$4995,'GSTR-2A'!$A$6:$A$10000,$S$3)</f>
        <v>25706</v>
      </c>
      <c r="W73" s="488">
        <f>SUMIFS('GSTR-2A'!$N$6:$N$10000,'GSTR-2A'!$B$6:$B$10000,$C$5:$C$4995,'GSTR-2A'!$A$6:$A$10000,$S$3)</f>
        <v>25706</v>
      </c>
      <c r="X73" s="486">
        <f>SUMIFS('GSTR-2A'!$G$6:$G$10000,'GSTR-2A'!$B$6:$B$10000,$C$5:$C$4995,'GSTR-2A'!$A$6:$A$10000,$X$3)</f>
        <v>0</v>
      </c>
      <c r="Y73" s="487">
        <f>SUMIFS('GSTR-2A'!$K$6:$K$10000,'GSTR-2A'!$B$6:$B$10000,$C$5:$C$4995,'GSTR-2A'!$A$6:$A$10000,$X$3)</f>
        <v>0</v>
      </c>
      <c r="Z73" s="487">
        <f>SUMIFS('GSTR-2A'!$L$6:$L$10000,'GSTR-2A'!$B$6:$B$10000,$C$5:$C$4995,'GSTR-2A'!$A$6:$A$10000,$X$3)</f>
        <v>0</v>
      </c>
      <c r="AA73" s="487">
        <f>SUMIFS('GSTR-2A'!$M$6:$M$10000,'GSTR-2A'!$B$6:$B$10000,$C$5:$C$4995,'GSTR-2A'!$A$6:$A$10000,$X$3)</f>
        <v>0</v>
      </c>
      <c r="AB73" s="488">
        <f>SUMIFS('GSTR-2A'!$N$6:$N$10000,'GSTR-2A'!$B$6:$B$10000,$C$5:$C$4995,'GSTR-2A'!$A$6:$A$10000,$X$3)</f>
        <v>0</v>
      </c>
      <c r="AC73" s="486">
        <f>SUMIFS('GSTR-2A'!$G$6:$G$10000,'GSTR-2A'!$B$6:$B$10000,$C$5:$C$4995,'GSTR-2A'!$A$6:$A$10000,$AC$3)</f>
        <v>0</v>
      </c>
      <c r="AD73" s="487">
        <f>SUMIFS('GSTR-2A'!$K$6:$K$10000,'GSTR-2A'!$B$6:$B$10000,$C$5:$C$4995,'GSTR-2A'!$A$6:$A$10000,$AC$3)</f>
        <v>0</v>
      </c>
      <c r="AE73" s="487">
        <f>SUMIFS('GSTR-2A'!$L$6:$L$10000,'GSTR-2A'!$B$6:$B$10000,$C$5:$C$4995,'GSTR-2A'!$A$6:$A$10000,$AC$3)</f>
        <v>0</v>
      </c>
      <c r="AF73" s="487">
        <f>SUMIFS('GSTR-2A'!$M$6:$M$10000,'GSTR-2A'!$B$6:$B$10000,$C$5:$C$4995,'GSTR-2A'!$A$6:$A$10000,$AC$3)</f>
        <v>0</v>
      </c>
      <c r="AG73" s="488">
        <f>SUMIFS('GSTR-2A'!$N$6:$N$10000,'GSTR-2A'!$B$6:$B$10000,$C$5:$C$4995,'GSTR-2A'!$A$6:$A$10000,$AC$3)</f>
        <v>0</v>
      </c>
      <c r="AH73" s="486">
        <f>SUMIFS('GSTR-2A'!$G$6:$G$10000,'GSTR-2A'!$B$6:$B$10000,$C$5:$C$4995,'GSTR-2A'!$A$6:$A$10000,$AH$3)</f>
        <v>0</v>
      </c>
      <c r="AI73" s="487">
        <f>SUMIFS('GSTR-2A'!$K$6:$K$10000,'GSTR-2A'!$B$6:$B$10000,$C$5:$C$4995,'GSTR-2A'!$A$6:$A$10000,$AH$3)</f>
        <v>0</v>
      </c>
      <c r="AJ73" s="487">
        <f>SUMIFS('GSTR-2A'!$L$6:$L$10000,'GSTR-2A'!$B$6:$B$10000,$C$5:$C$4995,'GSTR-2A'!$A$6:$A$10000,$AH$3)</f>
        <v>0</v>
      </c>
      <c r="AK73" s="487">
        <f>SUMIFS('GSTR-2A'!$M$6:$M$10000,'GSTR-2A'!$B$6:$B$10000,$C$5:$C$4995,'GSTR-2A'!$A$6:$A$10000,$AH$3)</f>
        <v>0</v>
      </c>
      <c r="AL73" s="488">
        <f>SUMIFS('GSTR-2A'!$N$6:$N$10000,'GSTR-2A'!$B$6:$B$10000,$C$5:$C$4995,'GSTR-2A'!$A$6:$A$10000,$AH$3)</f>
        <v>0</v>
      </c>
      <c r="AM73" s="486">
        <f>SUMIFS('GSTR-2A'!$G$6:$G$10000,'GSTR-2A'!$B$6:$B$10000,$C$5:$C$4995,'GSTR-2A'!$A$6:$A$10000,$AM$3)</f>
        <v>0</v>
      </c>
      <c r="AN73" s="487">
        <f>SUMIFS('GSTR-2A'!$K$6:$K$10000,'GSTR-2A'!$B$6:$B$10000,$C$5:$C$4995,'GSTR-2A'!$A$6:$A$10000,$AM$3)</f>
        <v>0</v>
      </c>
      <c r="AO73" s="487">
        <f>SUMIFS('GSTR-2A'!$L$6:$L$10000,'GSTR-2A'!$B$6:$B$10000,$C$5:$C$4995,'GSTR-2A'!$A$6:$A$10000,$AM$3)</f>
        <v>0</v>
      </c>
      <c r="AP73" s="487">
        <f>SUMIFS('GSTR-2A'!$M$6:$M$10000,'GSTR-2A'!$B$6:$B$10000,$C$5:$C$4995,'GSTR-2A'!$A$6:$A$10000,$AM$3)</f>
        <v>0</v>
      </c>
      <c r="AQ73" s="488">
        <f>SUMIFS('GSTR-2A'!$N$6:$N$10000,'GSTR-2A'!$B$6:$B$10000,$C$5:$C$4995,'GSTR-2A'!$A$6:$A$10000,$AM$3)</f>
        <v>0</v>
      </c>
      <c r="AR73" s="486">
        <f>SUMIFS('GSTR-2A'!$G$6:$G$10000,'GSTR-2A'!$B$6:$B$10000,$C$5:$C$4995,'GSTR-2A'!$A$6:$A$10000,$AR$3)</f>
        <v>0</v>
      </c>
      <c r="AS73" s="487">
        <f>SUMIFS('GSTR-2A'!$K$6:$K$10000,'GSTR-2A'!$B$6:$B$10000,$C$5:$C$4995,'GSTR-2A'!$A$6:$A$10000,$AR$3)</f>
        <v>0</v>
      </c>
      <c r="AT73" s="487">
        <f>SUMIFS('GSTR-2A'!$L$6:$L$10000,'GSTR-2A'!$B$6:$B$10000,$C$5:$C$4995,'GSTR-2A'!$A$6:$A$10000,$AR$3)</f>
        <v>0</v>
      </c>
      <c r="AU73" s="487">
        <f>SUMIFS('GSTR-2A'!$M$6:$M$10000,'GSTR-2A'!$B$6:$B$10000,$C$5:$C$4995,'GSTR-2A'!$A$6:$A$10000,$AR$3)</f>
        <v>0</v>
      </c>
      <c r="AV73" s="488">
        <f>SUMIFS('GSTR-2A'!$N$6:$N$10000,'GSTR-2A'!$B$6:$B$10000,$C$5:$C$4995,'GSTR-2A'!$A$6:$A$10000,$AR$3)</f>
        <v>0</v>
      </c>
      <c r="AW73" s="486">
        <f>SUMIFS('GSTR-2A'!$G$6:$G$10000,'GSTR-2A'!$B$6:$B$10000,$C$5:$C$4995,'GSTR-2A'!$A$6:$A$10000,$AW$3)</f>
        <v>0</v>
      </c>
      <c r="AX73" s="487">
        <f>SUMIFS('GSTR-2A'!$K$6:$K$10000,'GSTR-2A'!$B$6:$B$10000,$C$5:$C$4995,'GSTR-2A'!$A$6:$A$10000,$AW$3)</f>
        <v>0</v>
      </c>
      <c r="AY73" s="487">
        <f>SUMIFS('GSTR-2A'!$L$6:$L$10000,'GSTR-2A'!$B$6:$B$10000,$C$5:$C$4995,'GSTR-2A'!$A$6:$A$10000,$AW$3)</f>
        <v>0</v>
      </c>
      <c r="AZ73" s="487">
        <f>SUMIFS('GSTR-2A'!$M$6:$M$10000,'GSTR-2A'!$B$6:$B$10000,$C$5:$C$4995,'GSTR-2A'!$A$6:$A$10000,$AW$3)</f>
        <v>0</v>
      </c>
      <c r="BA73" s="488">
        <f>SUMIFS('GSTR-2A'!$N$6:$N$10000,'GSTR-2A'!$B$6:$B$10000,$C$5:$C$4995,'GSTR-2A'!$A$6:$A$10000,$AW$3)</f>
        <v>0</v>
      </c>
      <c r="BB73" s="486">
        <f>SUMIFS('GSTR-2A'!$G$6:$G$10000,'GSTR-2A'!$B$6:$B$10000,$C$5:$C$4995,'GSTR-2A'!$A$6:$A$10000,$BB$3)</f>
        <v>0</v>
      </c>
      <c r="BC73" s="487">
        <f>SUMIFS('GSTR-2A'!$K$6:$K$10000,'GSTR-2A'!$B$6:$B$10000,$C$5:$C$4995,'GSTR-2A'!$A$6:$A$10000,$BB$3)</f>
        <v>0</v>
      </c>
      <c r="BD73" s="487">
        <f>SUMIFS('GSTR-2A'!$L$6:$L$10000,'GSTR-2A'!$B$6:$B$10000,$C$5:$C$4995,'GSTR-2A'!$A$6:$A$10000,$BB$3)</f>
        <v>0</v>
      </c>
      <c r="BE73" s="487">
        <f>SUMIFS('GSTR-2A'!$M$6:$M$10000,'GSTR-2A'!$B$6:$B$10000,$C$5:$C$4995,'GSTR-2A'!$A$6:$A$10000,$BB$3)</f>
        <v>0</v>
      </c>
      <c r="BF73" s="488">
        <f>SUMIFS('GSTR-2A'!$N$6:$N$10000,'GSTR-2A'!$B$6:$B$10000,$C$5:$C$4995,'GSTR-2A'!$A$6:$A$10000,$BB$3)</f>
        <v>0</v>
      </c>
      <c r="BG73" s="486">
        <f>SUMIFS('GSTR-2A'!$G$6:$G$10000,'GSTR-2A'!$B$6:$B$10000,$C$5:$C$4995,'GSTR-2A'!$A$6:$A$10000,$BG$3)</f>
        <v>0</v>
      </c>
      <c r="BH73" s="487">
        <f>SUMIFS('GSTR-2A'!$K$6:$K$10000,'GSTR-2A'!$B$6:$B$10000,$C$5:$C$4995,'GSTR-2A'!$A$6:$A$10000,$BG$3)</f>
        <v>0</v>
      </c>
      <c r="BI73" s="487">
        <f>SUMIFS('GSTR-2A'!$L$6:$L$10000,'GSTR-2A'!$B$6:$B$10000,$C$5:$C$4995,'GSTR-2A'!$A$6:$A$10000,$BG$3)</f>
        <v>0</v>
      </c>
      <c r="BJ73" s="487">
        <f>SUMIFS('GSTR-2A'!$M$6:$M$10000,'GSTR-2A'!$B$6:$B$10000,$C$5:$C$4995,'GSTR-2A'!$A$6:$A$10000,$BG$3)</f>
        <v>0</v>
      </c>
      <c r="BK73" s="488">
        <f>SUMIFS('GSTR-2A'!$N$6:$N$10000,'GSTR-2A'!$B$6:$B$10000,$C$5:$C$4995,'GSTR-2A'!$A$6:$A$10000,$BG$3)</f>
        <v>0</v>
      </c>
      <c r="BL73" s="72">
        <f t="shared" si="7"/>
        <v>498150</v>
      </c>
      <c r="BM73" s="72">
        <f t="shared" si="8"/>
        <v>389171</v>
      </c>
      <c r="BN73" s="72">
        <f t="shared" si="9"/>
        <v>0</v>
      </c>
      <c r="BO73" s="72">
        <f t="shared" si="10"/>
        <v>54483.94</v>
      </c>
      <c r="BP73" s="72">
        <f t="shared" si="11"/>
        <v>54483.94</v>
      </c>
    </row>
    <row r="74" spans="1:68" x14ac:dyDescent="0.2">
      <c r="A74" s="467">
        <v>70</v>
      </c>
      <c r="B74" s="468" t="s">
        <v>589</v>
      </c>
      <c r="C74" s="469" t="s">
        <v>590</v>
      </c>
      <c r="D74" s="72">
        <f>SUMIFS('GSTR-2A'!$G$6:$G$10000,'GSTR-2A'!$B$6:$B$10000,$C$5:$C$4995,'GSTR-2A'!$A$6:$A$10000,$D$3)</f>
        <v>0</v>
      </c>
      <c r="E74" s="72">
        <f>SUMIFS('GSTR-2A'!$K$6:$K$10000,'GSTR-2A'!$B$6:$B$10000,$C$5:$C$4995,'GSTR-2A'!$A$6:$A$10000,$D$3)</f>
        <v>0</v>
      </c>
      <c r="F74" s="72">
        <f>SUMIFS('GSTR-2A'!$L$6:$L$10000,'GSTR-2A'!$B$6:$B$10000,$C$5:$C$4995,'GSTR-2A'!$A$6:$A$10000,$D$3)</f>
        <v>0</v>
      </c>
      <c r="G74" s="72">
        <f>SUMIFS('GSTR-2A'!$M$6:$M$10000,'GSTR-2A'!$B$6:$B$10000,$C$5:$C$4995,'GSTR-2A'!$A$6:$A$10000,$D$3)</f>
        <v>0</v>
      </c>
      <c r="H74" s="72">
        <f>SUMIFS('GSTR-2A'!$N$6:$N$10000,'GSTR-2A'!$B$6:$B$10000,$C$5:$C$4995,'GSTR-2A'!$A$6:$A$10000,$D$3)</f>
        <v>0</v>
      </c>
      <c r="I74" s="486">
        <f>SUMIFS('GSTR-2A'!$G$6:$G$10000,'GSTR-2A'!$B$6:$B$10000,$C$5:$C$4995,'GSTR-2A'!$A$6:$A$10000,$I$3)</f>
        <v>0</v>
      </c>
      <c r="J74" s="487">
        <f>SUMIFS('GSTR-2A'!$K$6:$K$10000,'GSTR-2A'!$B$6:$B$10000,$C$5:$C$4995,'GSTR-2A'!$A$6:$A$10000,$I$3)</f>
        <v>0</v>
      </c>
      <c r="K74" s="487">
        <f>SUMIFS('GSTR-2A'!$L$6:$L$10000,'GSTR-2A'!$B$6:$B$10000,$C$5:$C$4995,'GSTR-2A'!$A$6:$A$10000,$I$3)</f>
        <v>0</v>
      </c>
      <c r="L74" s="487">
        <f>SUMIFS('GSTR-2A'!$M$6:$M$10000,'GSTR-2A'!$B$6:$B$10000,$C$5:$C$4995,'GSTR-2A'!$A$6:$A$10000,$I$3)</f>
        <v>0</v>
      </c>
      <c r="M74" s="488">
        <f>SUMIFS('GSTR-2A'!$N$6:$N$10000,'GSTR-2A'!$B$6:$B$10000,$C$5:$C$4995,'GSTR-2A'!$A$6:$A$10000,$I$3)</f>
        <v>0</v>
      </c>
      <c r="N74" s="486">
        <f>SUMIFS('GSTR-2A'!$G$6:$G$10000,'GSTR-2A'!$B$6:$B$10000,$C$5:$C$4995,'GSTR-2A'!$A$6:$A$10000,$N$3)</f>
        <v>423343</v>
      </c>
      <c r="O74" s="487">
        <f>SUMIFS('GSTR-2A'!$K$6:$K$10000,'GSTR-2A'!$B$6:$B$10000,$C$5:$C$4995,'GSTR-2A'!$A$6:$A$10000,$N$3)</f>
        <v>358765.35</v>
      </c>
      <c r="P74" s="487">
        <f>SUMIFS('GSTR-2A'!$L$6:$L$10000,'GSTR-2A'!$B$6:$B$10000,$C$5:$C$4995,'GSTR-2A'!$A$6:$A$10000,$N$3)</f>
        <v>0</v>
      </c>
      <c r="Q74" s="487">
        <f>SUMIFS('GSTR-2A'!$M$6:$M$10000,'GSTR-2A'!$B$6:$B$10000,$C$5:$C$4995,'GSTR-2A'!$A$6:$A$10000,$N$3)</f>
        <v>32288.89</v>
      </c>
      <c r="R74" s="488">
        <f>SUMIFS('GSTR-2A'!$N$6:$N$10000,'GSTR-2A'!$B$6:$B$10000,$C$5:$C$4995,'GSTR-2A'!$A$6:$A$10000,$N$3)</f>
        <v>32288.89</v>
      </c>
      <c r="S74" s="486">
        <f>SUMIFS('GSTR-2A'!$G$6:$G$10000,'GSTR-2A'!$B$6:$B$10000,$C$5:$C$4995,'GSTR-2A'!$A$6:$A$10000,$S$3)</f>
        <v>0</v>
      </c>
      <c r="T74" s="487">
        <f>SUMIFS('GSTR-2A'!$K$6:$K$10000,'GSTR-2A'!$B$6:$B$10000,$C$5:$C$4995,'GSTR-2A'!$A$6:$A$10000,$S$3)</f>
        <v>0</v>
      </c>
      <c r="U74" s="487">
        <f>SUMIFS('GSTR-2A'!$L$6:$L$10000,'GSTR-2A'!$B$6:$B$10000,$C$5:$C$4995,'GSTR-2A'!$A$6:$A$10000,$S$3)</f>
        <v>0</v>
      </c>
      <c r="V74" s="487">
        <f>SUMIFS('GSTR-2A'!$M$6:$M$10000,'GSTR-2A'!$B$6:$B$10000,$C$5:$C$4995,'GSTR-2A'!$A$6:$A$10000,$S$3)</f>
        <v>0</v>
      </c>
      <c r="W74" s="488">
        <f>SUMIFS('GSTR-2A'!$N$6:$N$10000,'GSTR-2A'!$B$6:$B$10000,$C$5:$C$4995,'GSTR-2A'!$A$6:$A$10000,$S$3)</f>
        <v>0</v>
      </c>
      <c r="X74" s="486">
        <f>SUMIFS('GSTR-2A'!$G$6:$G$10000,'GSTR-2A'!$B$6:$B$10000,$C$5:$C$4995,'GSTR-2A'!$A$6:$A$10000,$X$3)</f>
        <v>0</v>
      </c>
      <c r="Y74" s="487">
        <f>SUMIFS('GSTR-2A'!$K$6:$K$10000,'GSTR-2A'!$B$6:$B$10000,$C$5:$C$4995,'GSTR-2A'!$A$6:$A$10000,$X$3)</f>
        <v>0</v>
      </c>
      <c r="Z74" s="487">
        <f>SUMIFS('GSTR-2A'!$L$6:$L$10000,'GSTR-2A'!$B$6:$B$10000,$C$5:$C$4995,'GSTR-2A'!$A$6:$A$10000,$X$3)</f>
        <v>0</v>
      </c>
      <c r="AA74" s="487">
        <f>SUMIFS('GSTR-2A'!$M$6:$M$10000,'GSTR-2A'!$B$6:$B$10000,$C$5:$C$4995,'GSTR-2A'!$A$6:$A$10000,$X$3)</f>
        <v>0</v>
      </c>
      <c r="AB74" s="488">
        <f>SUMIFS('GSTR-2A'!$N$6:$N$10000,'GSTR-2A'!$B$6:$B$10000,$C$5:$C$4995,'GSTR-2A'!$A$6:$A$10000,$X$3)</f>
        <v>0</v>
      </c>
      <c r="AC74" s="486">
        <f>SUMIFS('GSTR-2A'!$G$6:$G$10000,'GSTR-2A'!$B$6:$B$10000,$C$5:$C$4995,'GSTR-2A'!$A$6:$A$10000,$AC$3)</f>
        <v>0</v>
      </c>
      <c r="AD74" s="487">
        <f>SUMIFS('GSTR-2A'!$K$6:$K$10000,'GSTR-2A'!$B$6:$B$10000,$C$5:$C$4995,'GSTR-2A'!$A$6:$A$10000,$AC$3)</f>
        <v>0</v>
      </c>
      <c r="AE74" s="487">
        <f>SUMIFS('GSTR-2A'!$L$6:$L$10000,'GSTR-2A'!$B$6:$B$10000,$C$5:$C$4995,'GSTR-2A'!$A$6:$A$10000,$AC$3)</f>
        <v>0</v>
      </c>
      <c r="AF74" s="487">
        <f>SUMIFS('GSTR-2A'!$M$6:$M$10000,'GSTR-2A'!$B$6:$B$10000,$C$5:$C$4995,'GSTR-2A'!$A$6:$A$10000,$AC$3)</f>
        <v>0</v>
      </c>
      <c r="AG74" s="488">
        <f>SUMIFS('GSTR-2A'!$N$6:$N$10000,'GSTR-2A'!$B$6:$B$10000,$C$5:$C$4995,'GSTR-2A'!$A$6:$A$10000,$AC$3)</f>
        <v>0</v>
      </c>
      <c r="AH74" s="486">
        <f>SUMIFS('GSTR-2A'!$G$6:$G$10000,'GSTR-2A'!$B$6:$B$10000,$C$5:$C$4995,'GSTR-2A'!$A$6:$A$10000,$AH$3)</f>
        <v>0</v>
      </c>
      <c r="AI74" s="487">
        <f>SUMIFS('GSTR-2A'!$K$6:$K$10000,'GSTR-2A'!$B$6:$B$10000,$C$5:$C$4995,'GSTR-2A'!$A$6:$A$10000,$AH$3)</f>
        <v>0</v>
      </c>
      <c r="AJ74" s="487">
        <f>SUMIFS('GSTR-2A'!$L$6:$L$10000,'GSTR-2A'!$B$6:$B$10000,$C$5:$C$4995,'GSTR-2A'!$A$6:$A$10000,$AH$3)</f>
        <v>0</v>
      </c>
      <c r="AK74" s="487">
        <f>SUMIFS('GSTR-2A'!$M$6:$M$10000,'GSTR-2A'!$B$6:$B$10000,$C$5:$C$4995,'GSTR-2A'!$A$6:$A$10000,$AH$3)</f>
        <v>0</v>
      </c>
      <c r="AL74" s="488">
        <f>SUMIFS('GSTR-2A'!$N$6:$N$10000,'GSTR-2A'!$B$6:$B$10000,$C$5:$C$4995,'GSTR-2A'!$A$6:$A$10000,$AH$3)</f>
        <v>0</v>
      </c>
      <c r="AM74" s="486">
        <f>SUMIFS('GSTR-2A'!$G$6:$G$10000,'GSTR-2A'!$B$6:$B$10000,$C$5:$C$4995,'GSTR-2A'!$A$6:$A$10000,$AM$3)</f>
        <v>0</v>
      </c>
      <c r="AN74" s="487">
        <f>SUMIFS('GSTR-2A'!$K$6:$K$10000,'GSTR-2A'!$B$6:$B$10000,$C$5:$C$4995,'GSTR-2A'!$A$6:$A$10000,$AM$3)</f>
        <v>0</v>
      </c>
      <c r="AO74" s="487">
        <f>SUMIFS('GSTR-2A'!$L$6:$L$10000,'GSTR-2A'!$B$6:$B$10000,$C$5:$C$4995,'GSTR-2A'!$A$6:$A$10000,$AM$3)</f>
        <v>0</v>
      </c>
      <c r="AP74" s="487">
        <f>SUMIFS('GSTR-2A'!$M$6:$M$10000,'GSTR-2A'!$B$6:$B$10000,$C$5:$C$4995,'GSTR-2A'!$A$6:$A$10000,$AM$3)</f>
        <v>0</v>
      </c>
      <c r="AQ74" s="488">
        <f>SUMIFS('GSTR-2A'!$N$6:$N$10000,'GSTR-2A'!$B$6:$B$10000,$C$5:$C$4995,'GSTR-2A'!$A$6:$A$10000,$AM$3)</f>
        <v>0</v>
      </c>
      <c r="AR74" s="486">
        <f>SUMIFS('GSTR-2A'!$G$6:$G$10000,'GSTR-2A'!$B$6:$B$10000,$C$5:$C$4995,'GSTR-2A'!$A$6:$A$10000,$AR$3)</f>
        <v>0</v>
      </c>
      <c r="AS74" s="487">
        <f>SUMIFS('GSTR-2A'!$K$6:$K$10000,'GSTR-2A'!$B$6:$B$10000,$C$5:$C$4995,'GSTR-2A'!$A$6:$A$10000,$AR$3)</f>
        <v>0</v>
      </c>
      <c r="AT74" s="487">
        <f>SUMIFS('GSTR-2A'!$L$6:$L$10000,'GSTR-2A'!$B$6:$B$10000,$C$5:$C$4995,'GSTR-2A'!$A$6:$A$10000,$AR$3)</f>
        <v>0</v>
      </c>
      <c r="AU74" s="487">
        <f>SUMIFS('GSTR-2A'!$M$6:$M$10000,'GSTR-2A'!$B$6:$B$10000,$C$5:$C$4995,'GSTR-2A'!$A$6:$A$10000,$AR$3)</f>
        <v>0</v>
      </c>
      <c r="AV74" s="488">
        <f>SUMIFS('GSTR-2A'!$N$6:$N$10000,'GSTR-2A'!$B$6:$B$10000,$C$5:$C$4995,'GSTR-2A'!$A$6:$A$10000,$AR$3)</f>
        <v>0</v>
      </c>
      <c r="AW74" s="486">
        <f>SUMIFS('GSTR-2A'!$G$6:$G$10000,'GSTR-2A'!$B$6:$B$10000,$C$5:$C$4995,'GSTR-2A'!$A$6:$A$10000,$AW$3)</f>
        <v>0</v>
      </c>
      <c r="AX74" s="487">
        <f>SUMIFS('GSTR-2A'!$K$6:$K$10000,'GSTR-2A'!$B$6:$B$10000,$C$5:$C$4995,'GSTR-2A'!$A$6:$A$10000,$AW$3)</f>
        <v>0</v>
      </c>
      <c r="AY74" s="487">
        <f>SUMIFS('GSTR-2A'!$L$6:$L$10000,'GSTR-2A'!$B$6:$B$10000,$C$5:$C$4995,'GSTR-2A'!$A$6:$A$10000,$AW$3)</f>
        <v>0</v>
      </c>
      <c r="AZ74" s="487">
        <f>SUMIFS('GSTR-2A'!$M$6:$M$10000,'GSTR-2A'!$B$6:$B$10000,$C$5:$C$4995,'GSTR-2A'!$A$6:$A$10000,$AW$3)</f>
        <v>0</v>
      </c>
      <c r="BA74" s="488">
        <f>SUMIFS('GSTR-2A'!$N$6:$N$10000,'GSTR-2A'!$B$6:$B$10000,$C$5:$C$4995,'GSTR-2A'!$A$6:$A$10000,$AW$3)</f>
        <v>0</v>
      </c>
      <c r="BB74" s="486">
        <f>SUMIFS('GSTR-2A'!$G$6:$G$10000,'GSTR-2A'!$B$6:$B$10000,$C$5:$C$4995,'GSTR-2A'!$A$6:$A$10000,$BB$3)</f>
        <v>0</v>
      </c>
      <c r="BC74" s="487">
        <f>SUMIFS('GSTR-2A'!$K$6:$K$10000,'GSTR-2A'!$B$6:$B$10000,$C$5:$C$4995,'GSTR-2A'!$A$6:$A$10000,$BB$3)</f>
        <v>0</v>
      </c>
      <c r="BD74" s="487">
        <f>SUMIFS('GSTR-2A'!$L$6:$L$10000,'GSTR-2A'!$B$6:$B$10000,$C$5:$C$4995,'GSTR-2A'!$A$6:$A$10000,$BB$3)</f>
        <v>0</v>
      </c>
      <c r="BE74" s="487">
        <f>SUMIFS('GSTR-2A'!$M$6:$M$10000,'GSTR-2A'!$B$6:$B$10000,$C$5:$C$4995,'GSTR-2A'!$A$6:$A$10000,$BB$3)</f>
        <v>0</v>
      </c>
      <c r="BF74" s="488">
        <f>SUMIFS('GSTR-2A'!$N$6:$N$10000,'GSTR-2A'!$B$6:$B$10000,$C$5:$C$4995,'GSTR-2A'!$A$6:$A$10000,$BB$3)</f>
        <v>0</v>
      </c>
      <c r="BG74" s="486">
        <f>SUMIFS('GSTR-2A'!$G$6:$G$10000,'GSTR-2A'!$B$6:$B$10000,$C$5:$C$4995,'GSTR-2A'!$A$6:$A$10000,$BG$3)</f>
        <v>0</v>
      </c>
      <c r="BH74" s="487">
        <f>SUMIFS('GSTR-2A'!$K$6:$K$10000,'GSTR-2A'!$B$6:$B$10000,$C$5:$C$4995,'GSTR-2A'!$A$6:$A$10000,$BG$3)</f>
        <v>0</v>
      </c>
      <c r="BI74" s="487">
        <f>SUMIFS('GSTR-2A'!$L$6:$L$10000,'GSTR-2A'!$B$6:$B$10000,$C$5:$C$4995,'GSTR-2A'!$A$6:$A$10000,$BG$3)</f>
        <v>0</v>
      </c>
      <c r="BJ74" s="487">
        <f>SUMIFS('GSTR-2A'!$M$6:$M$10000,'GSTR-2A'!$B$6:$B$10000,$C$5:$C$4995,'GSTR-2A'!$A$6:$A$10000,$BG$3)</f>
        <v>0</v>
      </c>
      <c r="BK74" s="488">
        <f>SUMIFS('GSTR-2A'!$N$6:$N$10000,'GSTR-2A'!$B$6:$B$10000,$C$5:$C$4995,'GSTR-2A'!$A$6:$A$10000,$BG$3)</f>
        <v>0</v>
      </c>
      <c r="BL74" s="72">
        <f t="shared" si="7"/>
        <v>423343</v>
      </c>
      <c r="BM74" s="72">
        <f t="shared" si="8"/>
        <v>358765.35</v>
      </c>
      <c r="BN74" s="72">
        <f t="shared" si="9"/>
        <v>0</v>
      </c>
      <c r="BO74" s="72">
        <f t="shared" si="10"/>
        <v>32288.89</v>
      </c>
      <c r="BP74" s="72">
        <f t="shared" si="11"/>
        <v>32288.89</v>
      </c>
    </row>
    <row r="75" spans="1:68" x14ac:dyDescent="0.2">
      <c r="A75" s="467">
        <v>71</v>
      </c>
      <c r="B75" s="468" t="s">
        <v>919</v>
      </c>
      <c r="C75" s="469" t="s">
        <v>920</v>
      </c>
      <c r="D75" s="72">
        <f>SUMIFS('GSTR-2A'!$G$6:$G$10000,'GSTR-2A'!$B$6:$B$10000,$C$5:$C$4995,'GSTR-2A'!$A$6:$A$10000,$D$3)</f>
        <v>0</v>
      </c>
      <c r="E75" s="72">
        <f>SUMIFS('GSTR-2A'!$K$6:$K$10000,'GSTR-2A'!$B$6:$B$10000,$C$5:$C$4995,'GSTR-2A'!$A$6:$A$10000,$D$3)</f>
        <v>0</v>
      </c>
      <c r="F75" s="72">
        <f>SUMIFS('GSTR-2A'!$L$6:$L$10000,'GSTR-2A'!$B$6:$B$10000,$C$5:$C$4995,'GSTR-2A'!$A$6:$A$10000,$D$3)</f>
        <v>0</v>
      </c>
      <c r="G75" s="72">
        <f>SUMIFS('GSTR-2A'!$M$6:$M$10000,'GSTR-2A'!$B$6:$B$10000,$C$5:$C$4995,'GSTR-2A'!$A$6:$A$10000,$D$3)</f>
        <v>0</v>
      </c>
      <c r="H75" s="72">
        <f>SUMIFS('GSTR-2A'!$N$6:$N$10000,'GSTR-2A'!$B$6:$B$10000,$C$5:$C$4995,'GSTR-2A'!$A$6:$A$10000,$D$3)</f>
        <v>0</v>
      </c>
      <c r="I75" s="486">
        <f>SUMIFS('GSTR-2A'!$G$6:$G$10000,'GSTR-2A'!$B$6:$B$10000,$C$5:$C$4995,'GSTR-2A'!$A$6:$A$10000,$I$3)</f>
        <v>0</v>
      </c>
      <c r="J75" s="487">
        <f>SUMIFS('GSTR-2A'!$K$6:$K$10000,'GSTR-2A'!$B$6:$B$10000,$C$5:$C$4995,'GSTR-2A'!$A$6:$A$10000,$I$3)</f>
        <v>0</v>
      </c>
      <c r="K75" s="487">
        <f>SUMIFS('GSTR-2A'!$L$6:$L$10000,'GSTR-2A'!$B$6:$B$10000,$C$5:$C$4995,'GSTR-2A'!$A$6:$A$10000,$I$3)</f>
        <v>0</v>
      </c>
      <c r="L75" s="487">
        <f>SUMIFS('GSTR-2A'!$M$6:$M$10000,'GSTR-2A'!$B$6:$B$10000,$C$5:$C$4995,'GSTR-2A'!$A$6:$A$10000,$I$3)</f>
        <v>0</v>
      </c>
      <c r="M75" s="488">
        <f>SUMIFS('GSTR-2A'!$N$6:$N$10000,'GSTR-2A'!$B$6:$B$10000,$C$5:$C$4995,'GSTR-2A'!$A$6:$A$10000,$I$3)</f>
        <v>0</v>
      </c>
      <c r="N75" s="486">
        <f>SUMIFS('GSTR-2A'!$G$6:$G$10000,'GSTR-2A'!$B$6:$B$10000,$C$5:$C$4995,'GSTR-2A'!$A$6:$A$10000,$N$3)</f>
        <v>0</v>
      </c>
      <c r="O75" s="487">
        <f>SUMIFS('GSTR-2A'!$K$6:$K$10000,'GSTR-2A'!$B$6:$B$10000,$C$5:$C$4995,'GSTR-2A'!$A$6:$A$10000,$N$3)</f>
        <v>0</v>
      </c>
      <c r="P75" s="487">
        <f>SUMIFS('GSTR-2A'!$L$6:$L$10000,'GSTR-2A'!$B$6:$B$10000,$C$5:$C$4995,'GSTR-2A'!$A$6:$A$10000,$N$3)</f>
        <v>0</v>
      </c>
      <c r="Q75" s="487">
        <f>SUMIFS('GSTR-2A'!$M$6:$M$10000,'GSTR-2A'!$B$6:$B$10000,$C$5:$C$4995,'GSTR-2A'!$A$6:$A$10000,$N$3)</f>
        <v>0</v>
      </c>
      <c r="R75" s="488">
        <f>SUMIFS('GSTR-2A'!$N$6:$N$10000,'GSTR-2A'!$B$6:$B$10000,$C$5:$C$4995,'GSTR-2A'!$A$6:$A$10000,$N$3)</f>
        <v>0</v>
      </c>
      <c r="S75" s="486">
        <f>SUMIFS('GSTR-2A'!$G$6:$G$10000,'GSTR-2A'!$B$6:$B$10000,$C$5:$C$4995,'GSTR-2A'!$A$6:$A$10000,$S$3)</f>
        <v>0</v>
      </c>
      <c r="T75" s="487">
        <f>SUMIFS('GSTR-2A'!$K$6:$K$10000,'GSTR-2A'!$B$6:$B$10000,$C$5:$C$4995,'GSTR-2A'!$A$6:$A$10000,$S$3)</f>
        <v>0</v>
      </c>
      <c r="U75" s="487">
        <f>SUMIFS('GSTR-2A'!$L$6:$L$10000,'GSTR-2A'!$B$6:$B$10000,$C$5:$C$4995,'GSTR-2A'!$A$6:$A$10000,$S$3)</f>
        <v>0</v>
      </c>
      <c r="V75" s="487">
        <f>SUMIFS('GSTR-2A'!$M$6:$M$10000,'GSTR-2A'!$B$6:$B$10000,$C$5:$C$4995,'GSTR-2A'!$A$6:$A$10000,$S$3)</f>
        <v>0</v>
      </c>
      <c r="W75" s="488">
        <f>SUMIFS('GSTR-2A'!$N$6:$N$10000,'GSTR-2A'!$B$6:$B$10000,$C$5:$C$4995,'GSTR-2A'!$A$6:$A$10000,$S$3)</f>
        <v>0</v>
      </c>
      <c r="X75" s="486">
        <f>SUMIFS('GSTR-2A'!$G$6:$G$10000,'GSTR-2A'!$B$6:$B$10000,$C$5:$C$4995,'GSTR-2A'!$A$6:$A$10000,$X$3)</f>
        <v>1841</v>
      </c>
      <c r="Y75" s="487">
        <f>SUMIFS('GSTR-2A'!$K$6:$K$10000,'GSTR-2A'!$B$6:$B$10000,$C$5:$C$4995,'GSTR-2A'!$A$6:$A$10000,$X$3)</f>
        <v>1560</v>
      </c>
      <c r="Z75" s="487">
        <f>SUMIFS('GSTR-2A'!$L$6:$L$10000,'GSTR-2A'!$B$6:$B$10000,$C$5:$C$4995,'GSTR-2A'!$A$6:$A$10000,$X$3)</f>
        <v>0</v>
      </c>
      <c r="AA75" s="487">
        <f>SUMIFS('GSTR-2A'!$M$6:$M$10000,'GSTR-2A'!$B$6:$B$10000,$C$5:$C$4995,'GSTR-2A'!$A$6:$A$10000,$X$3)</f>
        <v>140.4</v>
      </c>
      <c r="AB75" s="488">
        <f>SUMIFS('GSTR-2A'!$N$6:$N$10000,'GSTR-2A'!$B$6:$B$10000,$C$5:$C$4995,'GSTR-2A'!$A$6:$A$10000,$X$3)</f>
        <v>140.4</v>
      </c>
      <c r="AC75" s="486">
        <f>SUMIFS('GSTR-2A'!$G$6:$G$10000,'GSTR-2A'!$B$6:$B$10000,$C$5:$C$4995,'GSTR-2A'!$A$6:$A$10000,$AC$3)</f>
        <v>0</v>
      </c>
      <c r="AD75" s="487">
        <f>SUMIFS('GSTR-2A'!$K$6:$K$10000,'GSTR-2A'!$B$6:$B$10000,$C$5:$C$4995,'GSTR-2A'!$A$6:$A$10000,$AC$3)</f>
        <v>0</v>
      </c>
      <c r="AE75" s="487">
        <f>SUMIFS('GSTR-2A'!$L$6:$L$10000,'GSTR-2A'!$B$6:$B$10000,$C$5:$C$4995,'GSTR-2A'!$A$6:$A$10000,$AC$3)</f>
        <v>0</v>
      </c>
      <c r="AF75" s="487">
        <f>SUMIFS('GSTR-2A'!$M$6:$M$10000,'GSTR-2A'!$B$6:$B$10000,$C$5:$C$4995,'GSTR-2A'!$A$6:$A$10000,$AC$3)</f>
        <v>0</v>
      </c>
      <c r="AG75" s="488">
        <f>SUMIFS('GSTR-2A'!$N$6:$N$10000,'GSTR-2A'!$B$6:$B$10000,$C$5:$C$4995,'GSTR-2A'!$A$6:$A$10000,$AC$3)</f>
        <v>0</v>
      </c>
      <c r="AH75" s="486">
        <f>SUMIFS('GSTR-2A'!$G$6:$G$10000,'GSTR-2A'!$B$6:$B$10000,$C$5:$C$4995,'GSTR-2A'!$A$6:$A$10000,$AH$3)</f>
        <v>0</v>
      </c>
      <c r="AI75" s="487">
        <f>SUMIFS('GSTR-2A'!$K$6:$K$10000,'GSTR-2A'!$B$6:$B$10000,$C$5:$C$4995,'GSTR-2A'!$A$6:$A$10000,$AH$3)</f>
        <v>0</v>
      </c>
      <c r="AJ75" s="487">
        <f>SUMIFS('GSTR-2A'!$L$6:$L$10000,'GSTR-2A'!$B$6:$B$10000,$C$5:$C$4995,'GSTR-2A'!$A$6:$A$10000,$AH$3)</f>
        <v>0</v>
      </c>
      <c r="AK75" s="487">
        <f>SUMIFS('GSTR-2A'!$M$6:$M$10000,'GSTR-2A'!$B$6:$B$10000,$C$5:$C$4995,'GSTR-2A'!$A$6:$A$10000,$AH$3)</f>
        <v>0</v>
      </c>
      <c r="AL75" s="488">
        <f>SUMIFS('GSTR-2A'!$N$6:$N$10000,'GSTR-2A'!$B$6:$B$10000,$C$5:$C$4995,'GSTR-2A'!$A$6:$A$10000,$AH$3)</f>
        <v>0</v>
      </c>
      <c r="AM75" s="486">
        <f>SUMIFS('GSTR-2A'!$G$6:$G$10000,'GSTR-2A'!$B$6:$B$10000,$C$5:$C$4995,'GSTR-2A'!$A$6:$A$10000,$AM$3)</f>
        <v>0</v>
      </c>
      <c r="AN75" s="487">
        <f>SUMIFS('GSTR-2A'!$K$6:$K$10000,'GSTR-2A'!$B$6:$B$10000,$C$5:$C$4995,'GSTR-2A'!$A$6:$A$10000,$AM$3)</f>
        <v>0</v>
      </c>
      <c r="AO75" s="487">
        <f>SUMIFS('GSTR-2A'!$L$6:$L$10000,'GSTR-2A'!$B$6:$B$10000,$C$5:$C$4995,'GSTR-2A'!$A$6:$A$10000,$AM$3)</f>
        <v>0</v>
      </c>
      <c r="AP75" s="487">
        <f>SUMIFS('GSTR-2A'!$M$6:$M$10000,'GSTR-2A'!$B$6:$B$10000,$C$5:$C$4995,'GSTR-2A'!$A$6:$A$10000,$AM$3)</f>
        <v>0</v>
      </c>
      <c r="AQ75" s="488">
        <f>SUMIFS('GSTR-2A'!$N$6:$N$10000,'GSTR-2A'!$B$6:$B$10000,$C$5:$C$4995,'GSTR-2A'!$A$6:$A$10000,$AM$3)</f>
        <v>0</v>
      </c>
      <c r="AR75" s="486">
        <f>SUMIFS('GSTR-2A'!$G$6:$G$10000,'GSTR-2A'!$B$6:$B$10000,$C$5:$C$4995,'GSTR-2A'!$A$6:$A$10000,$AR$3)</f>
        <v>0</v>
      </c>
      <c r="AS75" s="487">
        <f>SUMIFS('GSTR-2A'!$K$6:$K$10000,'GSTR-2A'!$B$6:$B$10000,$C$5:$C$4995,'GSTR-2A'!$A$6:$A$10000,$AR$3)</f>
        <v>0</v>
      </c>
      <c r="AT75" s="487">
        <f>SUMIFS('GSTR-2A'!$L$6:$L$10000,'GSTR-2A'!$B$6:$B$10000,$C$5:$C$4995,'GSTR-2A'!$A$6:$A$10000,$AR$3)</f>
        <v>0</v>
      </c>
      <c r="AU75" s="487">
        <f>SUMIFS('GSTR-2A'!$M$6:$M$10000,'GSTR-2A'!$B$6:$B$10000,$C$5:$C$4995,'GSTR-2A'!$A$6:$A$10000,$AR$3)</f>
        <v>0</v>
      </c>
      <c r="AV75" s="488">
        <f>SUMIFS('GSTR-2A'!$N$6:$N$10000,'GSTR-2A'!$B$6:$B$10000,$C$5:$C$4995,'GSTR-2A'!$A$6:$A$10000,$AR$3)</f>
        <v>0</v>
      </c>
      <c r="AW75" s="486">
        <f>SUMIFS('GSTR-2A'!$G$6:$G$10000,'GSTR-2A'!$B$6:$B$10000,$C$5:$C$4995,'GSTR-2A'!$A$6:$A$10000,$AW$3)</f>
        <v>0</v>
      </c>
      <c r="AX75" s="487">
        <f>SUMIFS('GSTR-2A'!$K$6:$K$10000,'GSTR-2A'!$B$6:$B$10000,$C$5:$C$4995,'GSTR-2A'!$A$6:$A$10000,$AW$3)</f>
        <v>0</v>
      </c>
      <c r="AY75" s="487">
        <f>SUMIFS('GSTR-2A'!$L$6:$L$10000,'GSTR-2A'!$B$6:$B$10000,$C$5:$C$4995,'GSTR-2A'!$A$6:$A$10000,$AW$3)</f>
        <v>0</v>
      </c>
      <c r="AZ75" s="487">
        <f>SUMIFS('GSTR-2A'!$M$6:$M$10000,'GSTR-2A'!$B$6:$B$10000,$C$5:$C$4995,'GSTR-2A'!$A$6:$A$10000,$AW$3)</f>
        <v>0</v>
      </c>
      <c r="BA75" s="488">
        <f>SUMIFS('GSTR-2A'!$N$6:$N$10000,'GSTR-2A'!$B$6:$B$10000,$C$5:$C$4995,'GSTR-2A'!$A$6:$A$10000,$AW$3)</f>
        <v>0</v>
      </c>
      <c r="BB75" s="486">
        <f>SUMIFS('GSTR-2A'!$G$6:$G$10000,'GSTR-2A'!$B$6:$B$10000,$C$5:$C$4995,'GSTR-2A'!$A$6:$A$10000,$BB$3)</f>
        <v>0</v>
      </c>
      <c r="BC75" s="487">
        <f>SUMIFS('GSTR-2A'!$K$6:$K$10000,'GSTR-2A'!$B$6:$B$10000,$C$5:$C$4995,'GSTR-2A'!$A$6:$A$10000,$BB$3)</f>
        <v>0</v>
      </c>
      <c r="BD75" s="487">
        <f>SUMIFS('GSTR-2A'!$L$6:$L$10000,'GSTR-2A'!$B$6:$B$10000,$C$5:$C$4995,'GSTR-2A'!$A$6:$A$10000,$BB$3)</f>
        <v>0</v>
      </c>
      <c r="BE75" s="487">
        <f>SUMIFS('GSTR-2A'!$M$6:$M$10000,'GSTR-2A'!$B$6:$B$10000,$C$5:$C$4995,'GSTR-2A'!$A$6:$A$10000,$BB$3)</f>
        <v>0</v>
      </c>
      <c r="BF75" s="488">
        <f>SUMIFS('GSTR-2A'!$N$6:$N$10000,'GSTR-2A'!$B$6:$B$10000,$C$5:$C$4995,'GSTR-2A'!$A$6:$A$10000,$BB$3)</f>
        <v>0</v>
      </c>
      <c r="BG75" s="486">
        <f>SUMIFS('GSTR-2A'!$G$6:$G$10000,'GSTR-2A'!$B$6:$B$10000,$C$5:$C$4995,'GSTR-2A'!$A$6:$A$10000,$BG$3)</f>
        <v>0</v>
      </c>
      <c r="BH75" s="487">
        <f>SUMIFS('GSTR-2A'!$K$6:$K$10000,'GSTR-2A'!$B$6:$B$10000,$C$5:$C$4995,'GSTR-2A'!$A$6:$A$10000,$BG$3)</f>
        <v>0</v>
      </c>
      <c r="BI75" s="487">
        <f>SUMIFS('GSTR-2A'!$L$6:$L$10000,'GSTR-2A'!$B$6:$B$10000,$C$5:$C$4995,'GSTR-2A'!$A$6:$A$10000,$BG$3)</f>
        <v>0</v>
      </c>
      <c r="BJ75" s="487">
        <f>SUMIFS('GSTR-2A'!$M$6:$M$10000,'GSTR-2A'!$B$6:$B$10000,$C$5:$C$4995,'GSTR-2A'!$A$6:$A$10000,$BG$3)</f>
        <v>0</v>
      </c>
      <c r="BK75" s="488">
        <f>SUMIFS('GSTR-2A'!$N$6:$N$10000,'GSTR-2A'!$B$6:$B$10000,$C$5:$C$4995,'GSTR-2A'!$A$6:$A$10000,$BG$3)</f>
        <v>0</v>
      </c>
      <c r="BL75" s="72">
        <f t="shared" si="7"/>
        <v>1841</v>
      </c>
      <c r="BM75" s="72">
        <f t="shared" si="8"/>
        <v>1560</v>
      </c>
      <c r="BN75" s="72">
        <f t="shared" si="9"/>
        <v>0</v>
      </c>
      <c r="BO75" s="72">
        <f t="shared" si="10"/>
        <v>140.4</v>
      </c>
      <c r="BP75" s="72">
        <f t="shared" si="11"/>
        <v>140.4</v>
      </c>
    </row>
    <row r="76" spans="1:68" x14ac:dyDescent="0.2">
      <c r="A76" s="467">
        <v>72</v>
      </c>
      <c r="B76" s="468" t="s">
        <v>625</v>
      </c>
      <c r="C76" s="469" t="s">
        <v>626</v>
      </c>
      <c r="D76" s="72">
        <f>SUMIFS('GSTR-2A'!$G$6:$G$10000,'GSTR-2A'!$B$6:$B$10000,$C$5:$C$4995,'GSTR-2A'!$A$6:$A$10000,$D$3)</f>
        <v>0</v>
      </c>
      <c r="E76" s="72">
        <f>SUMIFS('GSTR-2A'!$K$6:$K$10000,'GSTR-2A'!$B$6:$B$10000,$C$5:$C$4995,'GSTR-2A'!$A$6:$A$10000,$D$3)</f>
        <v>0</v>
      </c>
      <c r="F76" s="72">
        <f>SUMIFS('GSTR-2A'!$L$6:$L$10000,'GSTR-2A'!$B$6:$B$10000,$C$5:$C$4995,'GSTR-2A'!$A$6:$A$10000,$D$3)</f>
        <v>0</v>
      </c>
      <c r="G76" s="72">
        <f>SUMIFS('GSTR-2A'!$M$6:$M$10000,'GSTR-2A'!$B$6:$B$10000,$C$5:$C$4995,'GSTR-2A'!$A$6:$A$10000,$D$3)</f>
        <v>0</v>
      </c>
      <c r="H76" s="72">
        <f>SUMIFS('GSTR-2A'!$N$6:$N$10000,'GSTR-2A'!$B$6:$B$10000,$C$5:$C$4995,'GSTR-2A'!$A$6:$A$10000,$D$3)</f>
        <v>0</v>
      </c>
      <c r="I76" s="486">
        <f>SUMIFS('GSTR-2A'!$G$6:$G$10000,'GSTR-2A'!$B$6:$B$10000,$C$5:$C$4995,'GSTR-2A'!$A$6:$A$10000,$I$3)</f>
        <v>12172</v>
      </c>
      <c r="J76" s="487">
        <f>SUMIFS('GSTR-2A'!$K$6:$K$10000,'GSTR-2A'!$B$6:$B$10000,$C$5:$C$4995,'GSTR-2A'!$A$6:$A$10000,$I$3)</f>
        <v>10315</v>
      </c>
      <c r="K76" s="487">
        <f>SUMIFS('GSTR-2A'!$L$6:$L$10000,'GSTR-2A'!$B$6:$B$10000,$C$5:$C$4995,'GSTR-2A'!$A$6:$A$10000,$I$3)</f>
        <v>0</v>
      </c>
      <c r="L76" s="487">
        <f>SUMIFS('GSTR-2A'!$M$6:$M$10000,'GSTR-2A'!$B$6:$B$10000,$C$5:$C$4995,'GSTR-2A'!$A$6:$A$10000,$I$3)</f>
        <v>928.35</v>
      </c>
      <c r="M76" s="488">
        <f>SUMIFS('GSTR-2A'!$N$6:$N$10000,'GSTR-2A'!$B$6:$B$10000,$C$5:$C$4995,'GSTR-2A'!$A$6:$A$10000,$I$3)</f>
        <v>928.35</v>
      </c>
      <c r="N76" s="486">
        <f>SUMIFS('GSTR-2A'!$G$6:$G$10000,'GSTR-2A'!$B$6:$B$10000,$C$5:$C$4995,'GSTR-2A'!$A$6:$A$10000,$N$3)</f>
        <v>0</v>
      </c>
      <c r="O76" s="487">
        <f>SUMIFS('GSTR-2A'!$K$6:$K$10000,'GSTR-2A'!$B$6:$B$10000,$C$5:$C$4995,'GSTR-2A'!$A$6:$A$10000,$N$3)</f>
        <v>0</v>
      </c>
      <c r="P76" s="487">
        <f>SUMIFS('GSTR-2A'!$L$6:$L$10000,'GSTR-2A'!$B$6:$B$10000,$C$5:$C$4995,'GSTR-2A'!$A$6:$A$10000,$N$3)</f>
        <v>0</v>
      </c>
      <c r="Q76" s="487">
        <f>SUMIFS('GSTR-2A'!$M$6:$M$10000,'GSTR-2A'!$B$6:$B$10000,$C$5:$C$4995,'GSTR-2A'!$A$6:$A$10000,$N$3)</f>
        <v>0</v>
      </c>
      <c r="R76" s="488">
        <f>SUMIFS('GSTR-2A'!$N$6:$N$10000,'GSTR-2A'!$B$6:$B$10000,$C$5:$C$4995,'GSTR-2A'!$A$6:$A$10000,$N$3)</f>
        <v>0</v>
      </c>
      <c r="S76" s="486">
        <f>SUMIFS('GSTR-2A'!$G$6:$G$10000,'GSTR-2A'!$B$6:$B$10000,$C$5:$C$4995,'GSTR-2A'!$A$6:$A$10000,$S$3)</f>
        <v>0</v>
      </c>
      <c r="T76" s="487">
        <f>SUMIFS('GSTR-2A'!$K$6:$K$10000,'GSTR-2A'!$B$6:$B$10000,$C$5:$C$4995,'GSTR-2A'!$A$6:$A$10000,$S$3)</f>
        <v>0</v>
      </c>
      <c r="U76" s="487">
        <f>SUMIFS('GSTR-2A'!$L$6:$L$10000,'GSTR-2A'!$B$6:$B$10000,$C$5:$C$4995,'GSTR-2A'!$A$6:$A$10000,$S$3)</f>
        <v>0</v>
      </c>
      <c r="V76" s="487">
        <f>SUMIFS('GSTR-2A'!$M$6:$M$10000,'GSTR-2A'!$B$6:$B$10000,$C$5:$C$4995,'GSTR-2A'!$A$6:$A$10000,$S$3)</f>
        <v>0</v>
      </c>
      <c r="W76" s="488">
        <f>SUMIFS('GSTR-2A'!$N$6:$N$10000,'GSTR-2A'!$B$6:$B$10000,$C$5:$C$4995,'GSTR-2A'!$A$6:$A$10000,$S$3)</f>
        <v>0</v>
      </c>
      <c r="X76" s="486">
        <f>SUMIFS('GSTR-2A'!$G$6:$G$10000,'GSTR-2A'!$B$6:$B$10000,$C$5:$C$4995,'GSTR-2A'!$A$6:$A$10000,$X$3)</f>
        <v>0</v>
      </c>
      <c r="Y76" s="487">
        <f>SUMIFS('GSTR-2A'!$K$6:$K$10000,'GSTR-2A'!$B$6:$B$10000,$C$5:$C$4995,'GSTR-2A'!$A$6:$A$10000,$X$3)</f>
        <v>0</v>
      </c>
      <c r="Z76" s="487">
        <f>SUMIFS('GSTR-2A'!$L$6:$L$10000,'GSTR-2A'!$B$6:$B$10000,$C$5:$C$4995,'GSTR-2A'!$A$6:$A$10000,$X$3)</f>
        <v>0</v>
      </c>
      <c r="AA76" s="487">
        <f>SUMIFS('GSTR-2A'!$M$6:$M$10000,'GSTR-2A'!$B$6:$B$10000,$C$5:$C$4995,'GSTR-2A'!$A$6:$A$10000,$X$3)</f>
        <v>0</v>
      </c>
      <c r="AB76" s="488">
        <f>SUMIFS('GSTR-2A'!$N$6:$N$10000,'GSTR-2A'!$B$6:$B$10000,$C$5:$C$4995,'GSTR-2A'!$A$6:$A$10000,$X$3)</f>
        <v>0</v>
      </c>
      <c r="AC76" s="486">
        <f>SUMIFS('GSTR-2A'!$G$6:$G$10000,'GSTR-2A'!$B$6:$B$10000,$C$5:$C$4995,'GSTR-2A'!$A$6:$A$10000,$AC$3)</f>
        <v>0</v>
      </c>
      <c r="AD76" s="487">
        <f>SUMIFS('GSTR-2A'!$K$6:$K$10000,'GSTR-2A'!$B$6:$B$10000,$C$5:$C$4995,'GSTR-2A'!$A$6:$A$10000,$AC$3)</f>
        <v>0</v>
      </c>
      <c r="AE76" s="487">
        <f>SUMIFS('GSTR-2A'!$L$6:$L$10000,'GSTR-2A'!$B$6:$B$10000,$C$5:$C$4995,'GSTR-2A'!$A$6:$A$10000,$AC$3)</f>
        <v>0</v>
      </c>
      <c r="AF76" s="487">
        <f>SUMIFS('GSTR-2A'!$M$6:$M$10000,'GSTR-2A'!$B$6:$B$10000,$C$5:$C$4995,'GSTR-2A'!$A$6:$A$10000,$AC$3)</f>
        <v>0</v>
      </c>
      <c r="AG76" s="488">
        <f>SUMIFS('GSTR-2A'!$N$6:$N$10000,'GSTR-2A'!$B$6:$B$10000,$C$5:$C$4995,'GSTR-2A'!$A$6:$A$10000,$AC$3)</f>
        <v>0</v>
      </c>
      <c r="AH76" s="486">
        <f>SUMIFS('GSTR-2A'!$G$6:$G$10000,'GSTR-2A'!$B$6:$B$10000,$C$5:$C$4995,'GSTR-2A'!$A$6:$A$10000,$AH$3)</f>
        <v>0</v>
      </c>
      <c r="AI76" s="487">
        <f>SUMIFS('GSTR-2A'!$K$6:$K$10000,'GSTR-2A'!$B$6:$B$10000,$C$5:$C$4995,'GSTR-2A'!$A$6:$A$10000,$AH$3)</f>
        <v>0</v>
      </c>
      <c r="AJ76" s="487">
        <f>SUMIFS('GSTR-2A'!$L$6:$L$10000,'GSTR-2A'!$B$6:$B$10000,$C$5:$C$4995,'GSTR-2A'!$A$6:$A$10000,$AH$3)</f>
        <v>0</v>
      </c>
      <c r="AK76" s="487">
        <f>SUMIFS('GSTR-2A'!$M$6:$M$10000,'GSTR-2A'!$B$6:$B$10000,$C$5:$C$4995,'GSTR-2A'!$A$6:$A$10000,$AH$3)</f>
        <v>0</v>
      </c>
      <c r="AL76" s="488">
        <f>SUMIFS('GSTR-2A'!$N$6:$N$10000,'GSTR-2A'!$B$6:$B$10000,$C$5:$C$4995,'GSTR-2A'!$A$6:$A$10000,$AH$3)</f>
        <v>0</v>
      </c>
      <c r="AM76" s="486">
        <f>SUMIFS('GSTR-2A'!$G$6:$G$10000,'GSTR-2A'!$B$6:$B$10000,$C$5:$C$4995,'GSTR-2A'!$A$6:$A$10000,$AM$3)</f>
        <v>0</v>
      </c>
      <c r="AN76" s="487">
        <f>SUMIFS('GSTR-2A'!$K$6:$K$10000,'GSTR-2A'!$B$6:$B$10000,$C$5:$C$4995,'GSTR-2A'!$A$6:$A$10000,$AM$3)</f>
        <v>0</v>
      </c>
      <c r="AO76" s="487">
        <f>SUMIFS('GSTR-2A'!$L$6:$L$10000,'GSTR-2A'!$B$6:$B$10000,$C$5:$C$4995,'GSTR-2A'!$A$6:$A$10000,$AM$3)</f>
        <v>0</v>
      </c>
      <c r="AP76" s="487">
        <f>SUMIFS('GSTR-2A'!$M$6:$M$10000,'GSTR-2A'!$B$6:$B$10000,$C$5:$C$4995,'GSTR-2A'!$A$6:$A$10000,$AM$3)</f>
        <v>0</v>
      </c>
      <c r="AQ76" s="488">
        <f>SUMIFS('GSTR-2A'!$N$6:$N$10000,'GSTR-2A'!$B$6:$B$10000,$C$5:$C$4995,'GSTR-2A'!$A$6:$A$10000,$AM$3)</f>
        <v>0</v>
      </c>
      <c r="AR76" s="486">
        <f>SUMIFS('GSTR-2A'!$G$6:$G$10000,'GSTR-2A'!$B$6:$B$10000,$C$5:$C$4995,'GSTR-2A'!$A$6:$A$10000,$AR$3)</f>
        <v>0</v>
      </c>
      <c r="AS76" s="487">
        <f>SUMIFS('GSTR-2A'!$K$6:$K$10000,'GSTR-2A'!$B$6:$B$10000,$C$5:$C$4995,'GSTR-2A'!$A$6:$A$10000,$AR$3)</f>
        <v>0</v>
      </c>
      <c r="AT76" s="487">
        <f>SUMIFS('GSTR-2A'!$L$6:$L$10000,'GSTR-2A'!$B$6:$B$10000,$C$5:$C$4995,'GSTR-2A'!$A$6:$A$10000,$AR$3)</f>
        <v>0</v>
      </c>
      <c r="AU76" s="487">
        <f>SUMIFS('GSTR-2A'!$M$6:$M$10000,'GSTR-2A'!$B$6:$B$10000,$C$5:$C$4995,'GSTR-2A'!$A$6:$A$10000,$AR$3)</f>
        <v>0</v>
      </c>
      <c r="AV76" s="488">
        <f>SUMIFS('GSTR-2A'!$N$6:$N$10000,'GSTR-2A'!$B$6:$B$10000,$C$5:$C$4995,'GSTR-2A'!$A$6:$A$10000,$AR$3)</f>
        <v>0</v>
      </c>
      <c r="AW76" s="486">
        <f>SUMIFS('GSTR-2A'!$G$6:$G$10000,'GSTR-2A'!$B$6:$B$10000,$C$5:$C$4995,'GSTR-2A'!$A$6:$A$10000,$AW$3)</f>
        <v>0</v>
      </c>
      <c r="AX76" s="487">
        <f>SUMIFS('GSTR-2A'!$K$6:$K$10000,'GSTR-2A'!$B$6:$B$10000,$C$5:$C$4995,'GSTR-2A'!$A$6:$A$10000,$AW$3)</f>
        <v>0</v>
      </c>
      <c r="AY76" s="487">
        <f>SUMIFS('GSTR-2A'!$L$6:$L$10000,'GSTR-2A'!$B$6:$B$10000,$C$5:$C$4995,'GSTR-2A'!$A$6:$A$10000,$AW$3)</f>
        <v>0</v>
      </c>
      <c r="AZ76" s="487">
        <f>SUMIFS('GSTR-2A'!$M$6:$M$10000,'GSTR-2A'!$B$6:$B$10000,$C$5:$C$4995,'GSTR-2A'!$A$6:$A$10000,$AW$3)</f>
        <v>0</v>
      </c>
      <c r="BA76" s="488">
        <f>SUMIFS('GSTR-2A'!$N$6:$N$10000,'GSTR-2A'!$B$6:$B$10000,$C$5:$C$4995,'GSTR-2A'!$A$6:$A$10000,$AW$3)</f>
        <v>0</v>
      </c>
      <c r="BB76" s="486">
        <f>SUMIFS('GSTR-2A'!$G$6:$G$10000,'GSTR-2A'!$B$6:$B$10000,$C$5:$C$4995,'GSTR-2A'!$A$6:$A$10000,$BB$3)</f>
        <v>0</v>
      </c>
      <c r="BC76" s="487">
        <f>SUMIFS('GSTR-2A'!$K$6:$K$10000,'GSTR-2A'!$B$6:$B$10000,$C$5:$C$4995,'GSTR-2A'!$A$6:$A$10000,$BB$3)</f>
        <v>0</v>
      </c>
      <c r="BD76" s="487">
        <f>SUMIFS('GSTR-2A'!$L$6:$L$10000,'GSTR-2A'!$B$6:$B$10000,$C$5:$C$4995,'GSTR-2A'!$A$6:$A$10000,$BB$3)</f>
        <v>0</v>
      </c>
      <c r="BE76" s="487">
        <f>SUMIFS('GSTR-2A'!$M$6:$M$10000,'GSTR-2A'!$B$6:$B$10000,$C$5:$C$4995,'GSTR-2A'!$A$6:$A$10000,$BB$3)</f>
        <v>0</v>
      </c>
      <c r="BF76" s="488">
        <f>SUMIFS('GSTR-2A'!$N$6:$N$10000,'GSTR-2A'!$B$6:$B$10000,$C$5:$C$4995,'GSTR-2A'!$A$6:$A$10000,$BB$3)</f>
        <v>0</v>
      </c>
      <c r="BG76" s="486">
        <f>SUMIFS('GSTR-2A'!$G$6:$G$10000,'GSTR-2A'!$B$6:$B$10000,$C$5:$C$4995,'GSTR-2A'!$A$6:$A$10000,$BG$3)</f>
        <v>0</v>
      </c>
      <c r="BH76" s="487">
        <f>SUMIFS('GSTR-2A'!$K$6:$K$10000,'GSTR-2A'!$B$6:$B$10000,$C$5:$C$4995,'GSTR-2A'!$A$6:$A$10000,$BG$3)</f>
        <v>0</v>
      </c>
      <c r="BI76" s="487">
        <f>SUMIFS('GSTR-2A'!$L$6:$L$10000,'GSTR-2A'!$B$6:$B$10000,$C$5:$C$4995,'GSTR-2A'!$A$6:$A$10000,$BG$3)</f>
        <v>0</v>
      </c>
      <c r="BJ76" s="487">
        <f>SUMIFS('GSTR-2A'!$M$6:$M$10000,'GSTR-2A'!$B$6:$B$10000,$C$5:$C$4995,'GSTR-2A'!$A$6:$A$10000,$BG$3)</f>
        <v>0</v>
      </c>
      <c r="BK76" s="488">
        <f>SUMIFS('GSTR-2A'!$N$6:$N$10000,'GSTR-2A'!$B$6:$B$10000,$C$5:$C$4995,'GSTR-2A'!$A$6:$A$10000,$BG$3)</f>
        <v>0</v>
      </c>
      <c r="BL76" s="72">
        <f t="shared" si="7"/>
        <v>12172</v>
      </c>
      <c r="BM76" s="72">
        <f t="shared" si="8"/>
        <v>10315</v>
      </c>
      <c r="BN76" s="72">
        <f t="shared" si="9"/>
        <v>0</v>
      </c>
      <c r="BO76" s="72">
        <f t="shared" si="10"/>
        <v>928.35</v>
      </c>
      <c r="BP76" s="72">
        <f t="shared" si="11"/>
        <v>928.35</v>
      </c>
    </row>
    <row r="77" spans="1:68" x14ac:dyDescent="0.2">
      <c r="A77" s="467">
        <v>73</v>
      </c>
      <c r="B77" s="468" t="s">
        <v>1129</v>
      </c>
      <c r="C77" s="469" t="s">
        <v>1130</v>
      </c>
      <c r="D77" s="72">
        <f>SUMIFS('GSTR-2A'!$G$6:$G$10000,'GSTR-2A'!$B$6:$B$10000,$C$5:$C$4995,'GSTR-2A'!$A$6:$A$10000,$D$3)</f>
        <v>0</v>
      </c>
      <c r="E77" s="72">
        <f>SUMIFS('GSTR-2A'!$K$6:$K$10000,'GSTR-2A'!$B$6:$B$10000,$C$5:$C$4995,'GSTR-2A'!$A$6:$A$10000,$D$3)</f>
        <v>0</v>
      </c>
      <c r="F77" s="72">
        <f>SUMIFS('GSTR-2A'!$L$6:$L$10000,'GSTR-2A'!$B$6:$B$10000,$C$5:$C$4995,'GSTR-2A'!$A$6:$A$10000,$D$3)</f>
        <v>0</v>
      </c>
      <c r="G77" s="72">
        <f>SUMIFS('GSTR-2A'!$M$6:$M$10000,'GSTR-2A'!$B$6:$B$10000,$C$5:$C$4995,'GSTR-2A'!$A$6:$A$10000,$D$3)</f>
        <v>0</v>
      </c>
      <c r="H77" s="72">
        <f>SUMIFS('GSTR-2A'!$N$6:$N$10000,'GSTR-2A'!$B$6:$B$10000,$C$5:$C$4995,'GSTR-2A'!$A$6:$A$10000,$D$3)</f>
        <v>0</v>
      </c>
      <c r="I77" s="486">
        <f>SUMIFS('GSTR-2A'!$G$6:$G$10000,'GSTR-2A'!$B$6:$B$10000,$C$5:$C$4995,'GSTR-2A'!$A$6:$A$10000,$I$3)</f>
        <v>0</v>
      </c>
      <c r="J77" s="487">
        <f>SUMIFS('GSTR-2A'!$K$6:$K$10000,'GSTR-2A'!$B$6:$B$10000,$C$5:$C$4995,'GSTR-2A'!$A$6:$A$10000,$I$3)</f>
        <v>0</v>
      </c>
      <c r="K77" s="487">
        <f>SUMIFS('GSTR-2A'!$L$6:$L$10000,'GSTR-2A'!$B$6:$B$10000,$C$5:$C$4995,'GSTR-2A'!$A$6:$A$10000,$I$3)</f>
        <v>0</v>
      </c>
      <c r="L77" s="487">
        <f>SUMIFS('GSTR-2A'!$M$6:$M$10000,'GSTR-2A'!$B$6:$B$10000,$C$5:$C$4995,'GSTR-2A'!$A$6:$A$10000,$I$3)</f>
        <v>0</v>
      </c>
      <c r="M77" s="488">
        <f>SUMIFS('GSTR-2A'!$N$6:$N$10000,'GSTR-2A'!$B$6:$B$10000,$C$5:$C$4995,'GSTR-2A'!$A$6:$A$10000,$I$3)</f>
        <v>0</v>
      </c>
      <c r="N77" s="486">
        <f>SUMIFS('GSTR-2A'!$G$6:$G$10000,'GSTR-2A'!$B$6:$B$10000,$C$5:$C$4995,'GSTR-2A'!$A$6:$A$10000,$N$3)</f>
        <v>0</v>
      </c>
      <c r="O77" s="487">
        <f>SUMIFS('GSTR-2A'!$K$6:$K$10000,'GSTR-2A'!$B$6:$B$10000,$C$5:$C$4995,'GSTR-2A'!$A$6:$A$10000,$N$3)</f>
        <v>0</v>
      </c>
      <c r="P77" s="487">
        <f>SUMIFS('GSTR-2A'!$L$6:$L$10000,'GSTR-2A'!$B$6:$B$10000,$C$5:$C$4995,'GSTR-2A'!$A$6:$A$10000,$N$3)</f>
        <v>0</v>
      </c>
      <c r="Q77" s="487">
        <f>SUMIFS('GSTR-2A'!$M$6:$M$10000,'GSTR-2A'!$B$6:$B$10000,$C$5:$C$4995,'GSTR-2A'!$A$6:$A$10000,$N$3)</f>
        <v>0</v>
      </c>
      <c r="R77" s="488">
        <f>SUMIFS('GSTR-2A'!$N$6:$N$10000,'GSTR-2A'!$B$6:$B$10000,$C$5:$C$4995,'GSTR-2A'!$A$6:$A$10000,$N$3)</f>
        <v>0</v>
      </c>
      <c r="S77" s="486">
        <f>SUMIFS('GSTR-2A'!$G$6:$G$10000,'GSTR-2A'!$B$6:$B$10000,$C$5:$C$4995,'GSTR-2A'!$A$6:$A$10000,$S$3)</f>
        <v>0</v>
      </c>
      <c r="T77" s="487">
        <f>SUMIFS('GSTR-2A'!$K$6:$K$10000,'GSTR-2A'!$B$6:$B$10000,$C$5:$C$4995,'GSTR-2A'!$A$6:$A$10000,$S$3)</f>
        <v>0</v>
      </c>
      <c r="U77" s="487">
        <f>SUMIFS('GSTR-2A'!$L$6:$L$10000,'GSTR-2A'!$B$6:$B$10000,$C$5:$C$4995,'GSTR-2A'!$A$6:$A$10000,$S$3)</f>
        <v>0</v>
      </c>
      <c r="V77" s="487">
        <f>SUMIFS('GSTR-2A'!$M$6:$M$10000,'GSTR-2A'!$B$6:$B$10000,$C$5:$C$4995,'GSTR-2A'!$A$6:$A$10000,$S$3)</f>
        <v>0</v>
      </c>
      <c r="W77" s="488">
        <f>SUMIFS('GSTR-2A'!$N$6:$N$10000,'GSTR-2A'!$B$6:$B$10000,$C$5:$C$4995,'GSTR-2A'!$A$6:$A$10000,$S$3)</f>
        <v>0</v>
      </c>
      <c r="X77" s="486">
        <f>SUMIFS('GSTR-2A'!$G$6:$G$10000,'GSTR-2A'!$B$6:$B$10000,$C$5:$C$4995,'GSTR-2A'!$A$6:$A$10000,$X$3)</f>
        <v>0</v>
      </c>
      <c r="Y77" s="487">
        <f>SUMIFS('GSTR-2A'!$K$6:$K$10000,'GSTR-2A'!$B$6:$B$10000,$C$5:$C$4995,'GSTR-2A'!$A$6:$A$10000,$X$3)</f>
        <v>0</v>
      </c>
      <c r="Z77" s="487">
        <f>SUMIFS('GSTR-2A'!$L$6:$L$10000,'GSTR-2A'!$B$6:$B$10000,$C$5:$C$4995,'GSTR-2A'!$A$6:$A$10000,$X$3)</f>
        <v>0</v>
      </c>
      <c r="AA77" s="487">
        <f>SUMIFS('GSTR-2A'!$M$6:$M$10000,'GSTR-2A'!$B$6:$B$10000,$C$5:$C$4995,'GSTR-2A'!$A$6:$A$10000,$X$3)</f>
        <v>0</v>
      </c>
      <c r="AB77" s="488">
        <f>SUMIFS('GSTR-2A'!$N$6:$N$10000,'GSTR-2A'!$B$6:$B$10000,$C$5:$C$4995,'GSTR-2A'!$A$6:$A$10000,$X$3)</f>
        <v>0</v>
      </c>
      <c r="AC77" s="486">
        <f>SUMIFS('GSTR-2A'!$G$6:$G$10000,'GSTR-2A'!$B$6:$B$10000,$C$5:$C$4995,'GSTR-2A'!$A$6:$A$10000,$AC$3)</f>
        <v>0</v>
      </c>
      <c r="AD77" s="487">
        <f>SUMIFS('GSTR-2A'!$K$6:$K$10000,'GSTR-2A'!$B$6:$B$10000,$C$5:$C$4995,'GSTR-2A'!$A$6:$A$10000,$AC$3)</f>
        <v>0</v>
      </c>
      <c r="AE77" s="487">
        <f>SUMIFS('GSTR-2A'!$L$6:$L$10000,'GSTR-2A'!$B$6:$B$10000,$C$5:$C$4995,'GSTR-2A'!$A$6:$A$10000,$AC$3)</f>
        <v>0</v>
      </c>
      <c r="AF77" s="487">
        <f>SUMIFS('GSTR-2A'!$M$6:$M$10000,'GSTR-2A'!$B$6:$B$10000,$C$5:$C$4995,'GSTR-2A'!$A$6:$A$10000,$AC$3)</f>
        <v>0</v>
      </c>
      <c r="AG77" s="488">
        <f>SUMIFS('GSTR-2A'!$N$6:$N$10000,'GSTR-2A'!$B$6:$B$10000,$C$5:$C$4995,'GSTR-2A'!$A$6:$A$10000,$AC$3)</f>
        <v>0</v>
      </c>
      <c r="AH77" s="486">
        <f>SUMIFS('GSTR-2A'!$G$6:$G$10000,'GSTR-2A'!$B$6:$B$10000,$C$5:$C$4995,'GSTR-2A'!$A$6:$A$10000,$AH$3)</f>
        <v>0</v>
      </c>
      <c r="AI77" s="487">
        <f>SUMIFS('GSTR-2A'!$K$6:$K$10000,'GSTR-2A'!$B$6:$B$10000,$C$5:$C$4995,'GSTR-2A'!$A$6:$A$10000,$AH$3)</f>
        <v>0</v>
      </c>
      <c r="AJ77" s="487">
        <f>SUMIFS('GSTR-2A'!$L$6:$L$10000,'GSTR-2A'!$B$6:$B$10000,$C$5:$C$4995,'GSTR-2A'!$A$6:$A$10000,$AH$3)</f>
        <v>0</v>
      </c>
      <c r="AK77" s="487">
        <f>SUMIFS('GSTR-2A'!$M$6:$M$10000,'GSTR-2A'!$B$6:$B$10000,$C$5:$C$4995,'GSTR-2A'!$A$6:$A$10000,$AH$3)</f>
        <v>0</v>
      </c>
      <c r="AL77" s="488">
        <f>SUMIFS('GSTR-2A'!$N$6:$N$10000,'GSTR-2A'!$B$6:$B$10000,$C$5:$C$4995,'GSTR-2A'!$A$6:$A$10000,$AH$3)</f>
        <v>0</v>
      </c>
      <c r="AM77" s="486">
        <f>SUMIFS('GSTR-2A'!$G$6:$G$10000,'GSTR-2A'!$B$6:$B$10000,$C$5:$C$4995,'GSTR-2A'!$A$6:$A$10000,$AM$3)</f>
        <v>0</v>
      </c>
      <c r="AN77" s="487">
        <f>SUMIFS('GSTR-2A'!$K$6:$K$10000,'GSTR-2A'!$B$6:$B$10000,$C$5:$C$4995,'GSTR-2A'!$A$6:$A$10000,$AM$3)</f>
        <v>0</v>
      </c>
      <c r="AO77" s="487">
        <f>SUMIFS('GSTR-2A'!$L$6:$L$10000,'GSTR-2A'!$B$6:$B$10000,$C$5:$C$4995,'GSTR-2A'!$A$6:$A$10000,$AM$3)</f>
        <v>0</v>
      </c>
      <c r="AP77" s="487">
        <f>SUMIFS('GSTR-2A'!$M$6:$M$10000,'GSTR-2A'!$B$6:$B$10000,$C$5:$C$4995,'GSTR-2A'!$A$6:$A$10000,$AM$3)</f>
        <v>0</v>
      </c>
      <c r="AQ77" s="488">
        <f>SUMIFS('GSTR-2A'!$N$6:$N$10000,'GSTR-2A'!$B$6:$B$10000,$C$5:$C$4995,'GSTR-2A'!$A$6:$A$10000,$AM$3)</f>
        <v>0</v>
      </c>
      <c r="AR77" s="486">
        <f>SUMIFS('GSTR-2A'!$G$6:$G$10000,'GSTR-2A'!$B$6:$B$10000,$C$5:$C$4995,'GSTR-2A'!$A$6:$A$10000,$AR$3)</f>
        <v>0</v>
      </c>
      <c r="AS77" s="487">
        <f>SUMIFS('GSTR-2A'!$K$6:$K$10000,'GSTR-2A'!$B$6:$B$10000,$C$5:$C$4995,'GSTR-2A'!$A$6:$A$10000,$AR$3)</f>
        <v>0</v>
      </c>
      <c r="AT77" s="487">
        <f>SUMIFS('GSTR-2A'!$L$6:$L$10000,'GSTR-2A'!$B$6:$B$10000,$C$5:$C$4995,'GSTR-2A'!$A$6:$A$10000,$AR$3)</f>
        <v>0</v>
      </c>
      <c r="AU77" s="487">
        <f>SUMIFS('GSTR-2A'!$M$6:$M$10000,'GSTR-2A'!$B$6:$B$10000,$C$5:$C$4995,'GSTR-2A'!$A$6:$A$10000,$AR$3)</f>
        <v>0</v>
      </c>
      <c r="AV77" s="488">
        <f>SUMIFS('GSTR-2A'!$N$6:$N$10000,'GSTR-2A'!$B$6:$B$10000,$C$5:$C$4995,'GSTR-2A'!$A$6:$A$10000,$AR$3)</f>
        <v>0</v>
      </c>
      <c r="AW77" s="486">
        <f>SUMIFS('GSTR-2A'!$G$6:$G$10000,'GSTR-2A'!$B$6:$B$10000,$C$5:$C$4995,'GSTR-2A'!$A$6:$A$10000,$AW$3)</f>
        <v>0</v>
      </c>
      <c r="AX77" s="487">
        <f>SUMIFS('GSTR-2A'!$K$6:$K$10000,'GSTR-2A'!$B$6:$B$10000,$C$5:$C$4995,'GSTR-2A'!$A$6:$A$10000,$AW$3)</f>
        <v>0</v>
      </c>
      <c r="AY77" s="487">
        <f>SUMIFS('GSTR-2A'!$L$6:$L$10000,'GSTR-2A'!$B$6:$B$10000,$C$5:$C$4995,'GSTR-2A'!$A$6:$A$10000,$AW$3)</f>
        <v>0</v>
      </c>
      <c r="AZ77" s="487">
        <f>SUMIFS('GSTR-2A'!$M$6:$M$10000,'GSTR-2A'!$B$6:$B$10000,$C$5:$C$4995,'GSTR-2A'!$A$6:$A$10000,$AW$3)</f>
        <v>0</v>
      </c>
      <c r="BA77" s="488">
        <f>SUMIFS('GSTR-2A'!$N$6:$N$10000,'GSTR-2A'!$B$6:$B$10000,$C$5:$C$4995,'GSTR-2A'!$A$6:$A$10000,$AW$3)</f>
        <v>0</v>
      </c>
      <c r="BB77" s="486">
        <f>SUMIFS('GSTR-2A'!$G$6:$G$10000,'GSTR-2A'!$B$6:$B$10000,$C$5:$C$4995,'GSTR-2A'!$A$6:$A$10000,$BB$3)</f>
        <v>0</v>
      </c>
      <c r="BC77" s="487">
        <f>SUMIFS('GSTR-2A'!$K$6:$K$10000,'GSTR-2A'!$B$6:$B$10000,$C$5:$C$4995,'GSTR-2A'!$A$6:$A$10000,$BB$3)</f>
        <v>0</v>
      </c>
      <c r="BD77" s="487">
        <f>SUMIFS('GSTR-2A'!$L$6:$L$10000,'GSTR-2A'!$B$6:$B$10000,$C$5:$C$4995,'GSTR-2A'!$A$6:$A$10000,$BB$3)</f>
        <v>0</v>
      </c>
      <c r="BE77" s="487">
        <f>SUMIFS('GSTR-2A'!$M$6:$M$10000,'GSTR-2A'!$B$6:$B$10000,$C$5:$C$4995,'GSTR-2A'!$A$6:$A$10000,$BB$3)</f>
        <v>0</v>
      </c>
      <c r="BF77" s="488">
        <f>SUMIFS('GSTR-2A'!$N$6:$N$10000,'GSTR-2A'!$B$6:$B$10000,$C$5:$C$4995,'GSTR-2A'!$A$6:$A$10000,$BB$3)</f>
        <v>0</v>
      </c>
      <c r="BG77" s="486">
        <f>SUMIFS('GSTR-2A'!$G$6:$G$10000,'GSTR-2A'!$B$6:$B$10000,$C$5:$C$4995,'GSTR-2A'!$A$6:$A$10000,$BG$3)</f>
        <v>0</v>
      </c>
      <c r="BH77" s="487">
        <f>SUMIFS('GSTR-2A'!$K$6:$K$10000,'GSTR-2A'!$B$6:$B$10000,$C$5:$C$4995,'GSTR-2A'!$A$6:$A$10000,$BG$3)</f>
        <v>0</v>
      </c>
      <c r="BI77" s="487">
        <f>SUMIFS('GSTR-2A'!$L$6:$L$10000,'GSTR-2A'!$B$6:$B$10000,$C$5:$C$4995,'GSTR-2A'!$A$6:$A$10000,$BG$3)</f>
        <v>0</v>
      </c>
      <c r="BJ77" s="487">
        <f>SUMIFS('GSTR-2A'!$M$6:$M$10000,'GSTR-2A'!$B$6:$B$10000,$C$5:$C$4995,'GSTR-2A'!$A$6:$A$10000,$BG$3)</f>
        <v>0</v>
      </c>
      <c r="BK77" s="488">
        <f>SUMIFS('GSTR-2A'!$N$6:$N$10000,'GSTR-2A'!$B$6:$B$10000,$C$5:$C$4995,'GSTR-2A'!$A$6:$A$10000,$BG$3)</f>
        <v>0</v>
      </c>
      <c r="BL77" s="72">
        <f t="shared" si="7"/>
        <v>0</v>
      </c>
      <c r="BM77" s="72">
        <f t="shared" si="8"/>
        <v>0</v>
      </c>
      <c r="BN77" s="72">
        <f t="shared" si="9"/>
        <v>0</v>
      </c>
      <c r="BO77" s="72">
        <f t="shared" si="10"/>
        <v>0</v>
      </c>
      <c r="BP77" s="72">
        <f t="shared" si="11"/>
        <v>0</v>
      </c>
    </row>
    <row r="78" spans="1:68" x14ac:dyDescent="0.2">
      <c r="A78" s="467">
        <v>75</v>
      </c>
      <c r="B78" s="468" t="s">
        <v>499</v>
      </c>
      <c r="C78" s="469" t="s">
        <v>500</v>
      </c>
      <c r="D78" s="72">
        <f>SUMIFS('GSTR-2A'!$G$6:$G$10000,'GSTR-2A'!$B$6:$B$10000,$C$5:$C$4995,'GSTR-2A'!$A$6:$A$10000,$D$3)</f>
        <v>68011.679999999993</v>
      </c>
      <c r="E78" s="72">
        <f>SUMIFS('GSTR-2A'!$K$6:$K$10000,'GSTR-2A'!$B$6:$B$10000,$C$5:$C$4995,'GSTR-2A'!$A$6:$A$10000,$D$3)</f>
        <v>39821.1</v>
      </c>
      <c r="F78" s="72">
        <f>SUMIFS('GSTR-2A'!$L$6:$L$10000,'GSTR-2A'!$B$6:$B$10000,$C$5:$C$4995,'GSTR-2A'!$A$6:$A$10000,$D$3)</f>
        <v>0</v>
      </c>
      <c r="G78" s="72">
        <f>SUMIFS('GSTR-2A'!$M$6:$M$10000,'GSTR-2A'!$B$6:$B$10000,$C$5:$C$4995,'GSTR-2A'!$A$6:$A$10000,$D$3)</f>
        <v>2430.7600000000002</v>
      </c>
      <c r="H78" s="72">
        <f>SUMIFS('GSTR-2A'!$N$6:$N$10000,'GSTR-2A'!$B$6:$B$10000,$C$5:$C$4995,'GSTR-2A'!$A$6:$A$10000,$D$3)</f>
        <v>2430.7600000000002</v>
      </c>
      <c r="I78" s="486">
        <f>SUMIFS('GSTR-2A'!$G$6:$G$10000,'GSTR-2A'!$B$6:$B$10000,$C$5:$C$4995,'GSTR-2A'!$A$6:$A$10000,$I$3)</f>
        <v>45720</v>
      </c>
      <c r="J78" s="487">
        <f>SUMIFS('GSTR-2A'!$K$6:$K$10000,'GSTR-2A'!$B$6:$B$10000,$C$5:$C$4995,'GSTR-2A'!$A$6:$A$10000,$I$3)</f>
        <v>21582</v>
      </c>
      <c r="K78" s="487">
        <f>SUMIFS('GSTR-2A'!$L$6:$L$10000,'GSTR-2A'!$B$6:$B$10000,$C$5:$C$4995,'GSTR-2A'!$A$6:$A$10000,$I$3)</f>
        <v>0</v>
      </c>
      <c r="L78" s="487">
        <f>SUMIFS('GSTR-2A'!$M$6:$M$10000,'GSTR-2A'!$B$6:$B$10000,$C$5:$C$4995,'GSTR-2A'!$A$6:$A$10000,$I$3)</f>
        <v>638.67000000000007</v>
      </c>
      <c r="M78" s="488">
        <f>SUMIFS('GSTR-2A'!$N$6:$N$10000,'GSTR-2A'!$B$6:$B$10000,$C$5:$C$4995,'GSTR-2A'!$A$6:$A$10000,$I$3)</f>
        <v>638.67000000000007</v>
      </c>
      <c r="N78" s="486">
        <f>SUMIFS('GSTR-2A'!$G$6:$G$10000,'GSTR-2A'!$B$6:$B$10000,$C$5:$C$4995,'GSTR-2A'!$A$6:$A$10000,$N$3)</f>
        <v>64900</v>
      </c>
      <c r="O78" s="487">
        <f>SUMIFS('GSTR-2A'!$K$6:$K$10000,'GSTR-2A'!$B$6:$B$10000,$C$5:$C$4995,'GSTR-2A'!$A$6:$A$10000,$N$3)</f>
        <v>41564.199999999997</v>
      </c>
      <c r="P78" s="487">
        <f>SUMIFS('GSTR-2A'!$L$6:$L$10000,'GSTR-2A'!$B$6:$B$10000,$C$5:$C$4995,'GSTR-2A'!$A$6:$A$10000,$N$3)</f>
        <v>0</v>
      </c>
      <c r="Q78" s="487">
        <f>SUMIFS('GSTR-2A'!$M$6:$M$10000,'GSTR-2A'!$B$6:$B$10000,$C$5:$C$4995,'GSTR-2A'!$A$6:$A$10000,$N$3)</f>
        <v>1597.9599999999998</v>
      </c>
      <c r="R78" s="488">
        <f>SUMIFS('GSTR-2A'!$N$6:$N$10000,'GSTR-2A'!$B$6:$B$10000,$C$5:$C$4995,'GSTR-2A'!$A$6:$A$10000,$N$3)</f>
        <v>1597.9599999999998</v>
      </c>
      <c r="S78" s="486">
        <f>SUMIFS('GSTR-2A'!$G$6:$G$10000,'GSTR-2A'!$B$6:$B$10000,$C$5:$C$4995,'GSTR-2A'!$A$6:$A$10000,$S$3)</f>
        <v>0</v>
      </c>
      <c r="T78" s="487">
        <f>SUMIFS('GSTR-2A'!$K$6:$K$10000,'GSTR-2A'!$B$6:$B$10000,$C$5:$C$4995,'GSTR-2A'!$A$6:$A$10000,$S$3)</f>
        <v>0</v>
      </c>
      <c r="U78" s="487">
        <f>SUMIFS('GSTR-2A'!$L$6:$L$10000,'GSTR-2A'!$B$6:$B$10000,$C$5:$C$4995,'GSTR-2A'!$A$6:$A$10000,$S$3)</f>
        <v>0</v>
      </c>
      <c r="V78" s="487">
        <f>SUMIFS('GSTR-2A'!$M$6:$M$10000,'GSTR-2A'!$B$6:$B$10000,$C$5:$C$4995,'GSTR-2A'!$A$6:$A$10000,$S$3)</f>
        <v>0</v>
      </c>
      <c r="W78" s="488">
        <f>SUMIFS('GSTR-2A'!$N$6:$N$10000,'GSTR-2A'!$B$6:$B$10000,$C$5:$C$4995,'GSTR-2A'!$A$6:$A$10000,$S$3)</f>
        <v>0</v>
      </c>
      <c r="X78" s="486">
        <f>SUMIFS('GSTR-2A'!$G$6:$G$10000,'GSTR-2A'!$B$6:$B$10000,$C$5:$C$4995,'GSTR-2A'!$A$6:$A$10000,$X$3)</f>
        <v>0</v>
      </c>
      <c r="Y78" s="487">
        <f>SUMIFS('GSTR-2A'!$K$6:$K$10000,'GSTR-2A'!$B$6:$B$10000,$C$5:$C$4995,'GSTR-2A'!$A$6:$A$10000,$X$3)</f>
        <v>0</v>
      </c>
      <c r="Z78" s="487">
        <f>SUMIFS('GSTR-2A'!$L$6:$L$10000,'GSTR-2A'!$B$6:$B$10000,$C$5:$C$4995,'GSTR-2A'!$A$6:$A$10000,$X$3)</f>
        <v>0</v>
      </c>
      <c r="AA78" s="487">
        <f>SUMIFS('GSTR-2A'!$M$6:$M$10000,'GSTR-2A'!$B$6:$B$10000,$C$5:$C$4995,'GSTR-2A'!$A$6:$A$10000,$X$3)</f>
        <v>0</v>
      </c>
      <c r="AB78" s="488">
        <f>SUMIFS('GSTR-2A'!$N$6:$N$10000,'GSTR-2A'!$B$6:$B$10000,$C$5:$C$4995,'GSTR-2A'!$A$6:$A$10000,$X$3)</f>
        <v>0</v>
      </c>
      <c r="AC78" s="486">
        <f>SUMIFS('GSTR-2A'!$G$6:$G$10000,'GSTR-2A'!$B$6:$B$10000,$C$5:$C$4995,'GSTR-2A'!$A$6:$A$10000,$AC$3)</f>
        <v>0</v>
      </c>
      <c r="AD78" s="487">
        <f>SUMIFS('GSTR-2A'!$K$6:$K$10000,'GSTR-2A'!$B$6:$B$10000,$C$5:$C$4995,'GSTR-2A'!$A$6:$A$10000,$AC$3)</f>
        <v>0</v>
      </c>
      <c r="AE78" s="487">
        <f>SUMIFS('GSTR-2A'!$L$6:$L$10000,'GSTR-2A'!$B$6:$B$10000,$C$5:$C$4995,'GSTR-2A'!$A$6:$A$10000,$AC$3)</f>
        <v>0</v>
      </c>
      <c r="AF78" s="487">
        <f>SUMIFS('GSTR-2A'!$M$6:$M$10000,'GSTR-2A'!$B$6:$B$10000,$C$5:$C$4995,'GSTR-2A'!$A$6:$A$10000,$AC$3)</f>
        <v>0</v>
      </c>
      <c r="AG78" s="488">
        <f>SUMIFS('GSTR-2A'!$N$6:$N$10000,'GSTR-2A'!$B$6:$B$10000,$C$5:$C$4995,'GSTR-2A'!$A$6:$A$10000,$AC$3)</f>
        <v>0</v>
      </c>
      <c r="AH78" s="486">
        <f>SUMIFS('GSTR-2A'!$G$6:$G$10000,'GSTR-2A'!$B$6:$B$10000,$C$5:$C$4995,'GSTR-2A'!$A$6:$A$10000,$AH$3)</f>
        <v>0</v>
      </c>
      <c r="AI78" s="487">
        <f>SUMIFS('GSTR-2A'!$K$6:$K$10000,'GSTR-2A'!$B$6:$B$10000,$C$5:$C$4995,'GSTR-2A'!$A$6:$A$10000,$AH$3)</f>
        <v>0</v>
      </c>
      <c r="AJ78" s="487">
        <f>SUMIFS('GSTR-2A'!$L$6:$L$10000,'GSTR-2A'!$B$6:$B$10000,$C$5:$C$4995,'GSTR-2A'!$A$6:$A$10000,$AH$3)</f>
        <v>0</v>
      </c>
      <c r="AK78" s="487">
        <f>SUMIFS('GSTR-2A'!$M$6:$M$10000,'GSTR-2A'!$B$6:$B$10000,$C$5:$C$4995,'GSTR-2A'!$A$6:$A$10000,$AH$3)</f>
        <v>0</v>
      </c>
      <c r="AL78" s="488">
        <f>SUMIFS('GSTR-2A'!$N$6:$N$10000,'GSTR-2A'!$B$6:$B$10000,$C$5:$C$4995,'GSTR-2A'!$A$6:$A$10000,$AH$3)</f>
        <v>0</v>
      </c>
      <c r="AM78" s="486">
        <f>SUMIFS('GSTR-2A'!$G$6:$G$10000,'GSTR-2A'!$B$6:$B$10000,$C$5:$C$4995,'GSTR-2A'!$A$6:$A$10000,$AM$3)</f>
        <v>0</v>
      </c>
      <c r="AN78" s="487">
        <f>SUMIFS('GSTR-2A'!$K$6:$K$10000,'GSTR-2A'!$B$6:$B$10000,$C$5:$C$4995,'GSTR-2A'!$A$6:$A$10000,$AM$3)</f>
        <v>0</v>
      </c>
      <c r="AO78" s="487">
        <f>SUMIFS('GSTR-2A'!$L$6:$L$10000,'GSTR-2A'!$B$6:$B$10000,$C$5:$C$4995,'GSTR-2A'!$A$6:$A$10000,$AM$3)</f>
        <v>0</v>
      </c>
      <c r="AP78" s="487">
        <f>SUMIFS('GSTR-2A'!$M$6:$M$10000,'GSTR-2A'!$B$6:$B$10000,$C$5:$C$4995,'GSTR-2A'!$A$6:$A$10000,$AM$3)</f>
        <v>0</v>
      </c>
      <c r="AQ78" s="488">
        <f>SUMIFS('GSTR-2A'!$N$6:$N$10000,'GSTR-2A'!$B$6:$B$10000,$C$5:$C$4995,'GSTR-2A'!$A$6:$A$10000,$AM$3)</f>
        <v>0</v>
      </c>
      <c r="AR78" s="486">
        <f>SUMIFS('GSTR-2A'!$G$6:$G$10000,'GSTR-2A'!$B$6:$B$10000,$C$5:$C$4995,'GSTR-2A'!$A$6:$A$10000,$AR$3)</f>
        <v>0</v>
      </c>
      <c r="AS78" s="487">
        <f>SUMIFS('GSTR-2A'!$K$6:$K$10000,'GSTR-2A'!$B$6:$B$10000,$C$5:$C$4995,'GSTR-2A'!$A$6:$A$10000,$AR$3)</f>
        <v>0</v>
      </c>
      <c r="AT78" s="487">
        <f>SUMIFS('GSTR-2A'!$L$6:$L$10000,'GSTR-2A'!$B$6:$B$10000,$C$5:$C$4995,'GSTR-2A'!$A$6:$A$10000,$AR$3)</f>
        <v>0</v>
      </c>
      <c r="AU78" s="487">
        <f>SUMIFS('GSTR-2A'!$M$6:$M$10000,'GSTR-2A'!$B$6:$B$10000,$C$5:$C$4995,'GSTR-2A'!$A$6:$A$10000,$AR$3)</f>
        <v>0</v>
      </c>
      <c r="AV78" s="488">
        <f>SUMIFS('GSTR-2A'!$N$6:$N$10000,'GSTR-2A'!$B$6:$B$10000,$C$5:$C$4995,'GSTR-2A'!$A$6:$A$10000,$AR$3)</f>
        <v>0</v>
      </c>
      <c r="AW78" s="486">
        <f>SUMIFS('GSTR-2A'!$G$6:$G$10000,'GSTR-2A'!$B$6:$B$10000,$C$5:$C$4995,'GSTR-2A'!$A$6:$A$10000,$AW$3)</f>
        <v>0</v>
      </c>
      <c r="AX78" s="487">
        <f>SUMIFS('GSTR-2A'!$K$6:$K$10000,'GSTR-2A'!$B$6:$B$10000,$C$5:$C$4995,'GSTR-2A'!$A$6:$A$10000,$AW$3)</f>
        <v>0</v>
      </c>
      <c r="AY78" s="487">
        <f>SUMIFS('GSTR-2A'!$L$6:$L$10000,'GSTR-2A'!$B$6:$B$10000,$C$5:$C$4995,'GSTR-2A'!$A$6:$A$10000,$AW$3)</f>
        <v>0</v>
      </c>
      <c r="AZ78" s="487">
        <f>SUMIFS('GSTR-2A'!$M$6:$M$10000,'GSTR-2A'!$B$6:$B$10000,$C$5:$C$4995,'GSTR-2A'!$A$6:$A$10000,$AW$3)</f>
        <v>0</v>
      </c>
      <c r="BA78" s="488">
        <f>SUMIFS('GSTR-2A'!$N$6:$N$10000,'GSTR-2A'!$B$6:$B$10000,$C$5:$C$4995,'GSTR-2A'!$A$6:$A$10000,$AW$3)</f>
        <v>0</v>
      </c>
      <c r="BB78" s="486">
        <f>SUMIFS('GSTR-2A'!$G$6:$G$10000,'GSTR-2A'!$B$6:$B$10000,$C$5:$C$4995,'GSTR-2A'!$A$6:$A$10000,$BB$3)</f>
        <v>0</v>
      </c>
      <c r="BC78" s="487">
        <f>SUMIFS('GSTR-2A'!$K$6:$K$10000,'GSTR-2A'!$B$6:$B$10000,$C$5:$C$4995,'GSTR-2A'!$A$6:$A$10000,$BB$3)</f>
        <v>0</v>
      </c>
      <c r="BD78" s="487">
        <f>SUMIFS('GSTR-2A'!$L$6:$L$10000,'GSTR-2A'!$B$6:$B$10000,$C$5:$C$4995,'GSTR-2A'!$A$6:$A$10000,$BB$3)</f>
        <v>0</v>
      </c>
      <c r="BE78" s="487">
        <f>SUMIFS('GSTR-2A'!$M$6:$M$10000,'GSTR-2A'!$B$6:$B$10000,$C$5:$C$4995,'GSTR-2A'!$A$6:$A$10000,$BB$3)</f>
        <v>0</v>
      </c>
      <c r="BF78" s="488">
        <f>SUMIFS('GSTR-2A'!$N$6:$N$10000,'GSTR-2A'!$B$6:$B$10000,$C$5:$C$4995,'GSTR-2A'!$A$6:$A$10000,$BB$3)</f>
        <v>0</v>
      </c>
      <c r="BG78" s="486">
        <f>SUMIFS('GSTR-2A'!$G$6:$G$10000,'GSTR-2A'!$B$6:$B$10000,$C$5:$C$4995,'GSTR-2A'!$A$6:$A$10000,$BG$3)</f>
        <v>0</v>
      </c>
      <c r="BH78" s="487">
        <f>SUMIFS('GSTR-2A'!$K$6:$K$10000,'GSTR-2A'!$B$6:$B$10000,$C$5:$C$4995,'GSTR-2A'!$A$6:$A$10000,$BG$3)</f>
        <v>0</v>
      </c>
      <c r="BI78" s="487">
        <f>SUMIFS('GSTR-2A'!$L$6:$L$10000,'GSTR-2A'!$B$6:$B$10000,$C$5:$C$4995,'GSTR-2A'!$A$6:$A$10000,$BG$3)</f>
        <v>0</v>
      </c>
      <c r="BJ78" s="487">
        <f>SUMIFS('GSTR-2A'!$M$6:$M$10000,'GSTR-2A'!$B$6:$B$10000,$C$5:$C$4995,'GSTR-2A'!$A$6:$A$10000,$BG$3)</f>
        <v>0</v>
      </c>
      <c r="BK78" s="488">
        <f>SUMIFS('GSTR-2A'!$N$6:$N$10000,'GSTR-2A'!$B$6:$B$10000,$C$5:$C$4995,'GSTR-2A'!$A$6:$A$10000,$BG$3)</f>
        <v>0</v>
      </c>
      <c r="BL78" s="72">
        <f t="shared" si="7"/>
        <v>178631.67999999999</v>
      </c>
      <c r="BM78" s="72">
        <f t="shared" si="8"/>
        <v>102967.29999999999</v>
      </c>
      <c r="BN78" s="72">
        <f t="shared" si="9"/>
        <v>0</v>
      </c>
      <c r="BO78" s="72">
        <f t="shared" si="10"/>
        <v>4667.3900000000003</v>
      </c>
      <c r="BP78" s="72">
        <f t="shared" si="11"/>
        <v>4667.3900000000003</v>
      </c>
    </row>
    <row r="79" spans="1:68" x14ac:dyDescent="0.2">
      <c r="A79" s="467">
        <v>76</v>
      </c>
      <c r="B79" s="468" t="s">
        <v>640</v>
      </c>
      <c r="C79" s="469" t="s">
        <v>641</v>
      </c>
      <c r="D79" s="72">
        <f>SUMIFS('GSTR-2A'!$G$6:$G$10000,'GSTR-2A'!$B$6:$B$10000,$C$5:$C$4995,'GSTR-2A'!$A$6:$A$10000,$D$3)</f>
        <v>0</v>
      </c>
      <c r="E79" s="72">
        <f>SUMIFS('GSTR-2A'!$K$6:$K$10000,'GSTR-2A'!$B$6:$B$10000,$C$5:$C$4995,'GSTR-2A'!$A$6:$A$10000,$D$3)</f>
        <v>0</v>
      </c>
      <c r="F79" s="72">
        <f>SUMIFS('GSTR-2A'!$L$6:$L$10000,'GSTR-2A'!$B$6:$B$10000,$C$5:$C$4995,'GSTR-2A'!$A$6:$A$10000,$D$3)</f>
        <v>0</v>
      </c>
      <c r="G79" s="72">
        <f>SUMIFS('GSTR-2A'!$M$6:$M$10000,'GSTR-2A'!$B$6:$B$10000,$C$5:$C$4995,'GSTR-2A'!$A$6:$A$10000,$D$3)</f>
        <v>0</v>
      </c>
      <c r="H79" s="72">
        <f>SUMIFS('GSTR-2A'!$N$6:$N$10000,'GSTR-2A'!$B$6:$B$10000,$C$5:$C$4995,'GSTR-2A'!$A$6:$A$10000,$D$3)</f>
        <v>0</v>
      </c>
      <c r="I79" s="486">
        <f>SUMIFS('GSTR-2A'!$G$6:$G$10000,'GSTR-2A'!$B$6:$B$10000,$C$5:$C$4995,'GSTR-2A'!$A$6:$A$10000,$I$3)</f>
        <v>0</v>
      </c>
      <c r="J79" s="487">
        <f>SUMIFS('GSTR-2A'!$K$6:$K$10000,'GSTR-2A'!$B$6:$B$10000,$C$5:$C$4995,'GSTR-2A'!$A$6:$A$10000,$I$3)</f>
        <v>0</v>
      </c>
      <c r="K79" s="487">
        <f>SUMIFS('GSTR-2A'!$L$6:$L$10000,'GSTR-2A'!$B$6:$B$10000,$C$5:$C$4995,'GSTR-2A'!$A$6:$A$10000,$I$3)</f>
        <v>0</v>
      </c>
      <c r="L79" s="487">
        <f>SUMIFS('GSTR-2A'!$M$6:$M$10000,'GSTR-2A'!$B$6:$B$10000,$C$5:$C$4995,'GSTR-2A'!$A$6:$A$10000,$I$3)</f>
        <v>0</v>
      </c>
      <c r="M79" s="488">
        <f>SUMIFS('GSTR-2A'!$N$6:$N$10000,'GSTR-2A'!$B$6:$B$10000,$C$5:$C$4995,'GSTR-2A'!$A$6:$A$10000,$I$3)</f>
        <v>0</v>
      </c>
      <c r="N79" s="486">
        <f>SUMIFS('GSTR-2A'!$G$6:$G$10000,'GSTR-2A'!$B$6:$B$10000,$C$5:$C$4995,'GSTR-2A'!$A$6:$A$10000,$N$3)</f>
        <v>0</v>
      </c>
      <c r="O79" s="487">
        <f>SUMIFS('GSTR-2A'!$K$6:$K$10000,'GSTR-2A'!$B$6:$B$10000,$C$5:$C$4995,'GSTR-2A'!$A$6:$A$10000,$N$3)</f>
        <v>0</v>
      </c>
      <c r="P79" s="487">
        <f>SUMIFS('GSTR-2A'!$L$6:$L$10000,'GSTR-2A'!$B$6:$B$10000,$C$5:$C$4995,'GSTR-2A'!$A$6:$A$10000,$N$3)</f>
        <v>0</v>
      </c>
      <c r="Q79" s="487">
        <f>SUMIFS('GSTR-2A'!$M$6:$M$10000,'GSTR-2A'!$B$6:$B$10000,$C$5:$C$4995,'GSTR-2A'!$A$6:$A$10000,$N$3)</f>
        <v>0</v>
      </c>
      <c r="R79" s="488">
        <f>SUMIFS('GSTR-2A'!$N$6:$N$10000,'GSTR-2A'!$B$6:$B$10000,$C$5:$C$4995,'GSTR-2A'!$A$6:$A$10000,$N$3)</f>
        <v>0</v>
      </c>
      <c r="S79" s="486">
        <f>SUMIFS('GSTR-2A'!$G$6:$G$10000,'GSTR-2A'!$B$6:$B$10000,$C$5:$C$4995,'GSTR-2A'!$A$6:$A$10000,$S$3)</f>
        <v>0</v>
      </c>
      <c r="T79" s="487">
        <f>SUMIFS('GSTR-2A'!$K$6:$K$10000,'GSTR-2A'!$B$6:$B$10000,$C$5:$C$4995,'GSTR-2A'!$A$6:$A$10000,$S$3)</f>
        <v>0</v>
      </c>
      <c r="U79" s="487">
        <f>SUMIFS('GSTR-2A'!$L$6:$L$10000,'GSTR-2A'!$B$6:$B$10000,$C$5:$C$4995,'GSTR-2A'!$A$6:$A$10000,$S$3)</f>
        <v>0</v>
      </c>
      <c r="V79" s="487">
        <f>SUMIFS('GSTR-2A'!$M$6:$M$10000,'GSTR-2A'!$B$6:$B$10000,$C$5:$C$4995,'GSTR-2A'!$A$6:$A$10000,$S$3)</f>
        <v>0</v>
      </c>
      <c r="W79" s="488">
        <f>SUMIFS('GSTR-2A'!$N$6:$N$10000,'GSTR-2A'!$B$6:$B$10000,$C$5:$C$4995,'GSTR-2A'!$A$6:$A$10000,$S$3)</f>
        <v>0</v>
      </c>
      <c r="X79" s="486">
        <f>SUMIFS('GSTR-2A'!$G$6:$G$10000,'GSTR-2A'!$B$6:$B$10000,$C$5:$C$4995,'GSTR-2A'!$A$6:$A$10000,$X$3)</f>
        <v>0</v>
      </c>
      <c r="Y79" s="487">
        <f>SUMIFS('GSTR-2A'!$K$6:$K$10000,'GSTR-2A'!$B$6:$B$10000,$C$5:$C$4995,'GSTR-2A'!$A$6:$A$10000,$X$3)</f>
        <v>0</v>
      </c>
      <c r="Z79" s="487">
        <f>SUMIFS('GSTR-2A'!$L$6:$L$10000,'GSTR-2A'!$B$6:$B$10000,$C$5:$C$4995,'GSTR-2A'!$A$6:$A$10000,$X$3)</f>
        <v>0</v>
      </c>
      <c r="AA79" s="487">
        <f>SUMIFS('GSTR-2A'!$M$6:$M$10000,'GSTR-2A'!$B$6:$B$10000,$C$5:$C$4995,'GSTR-2A'!$A$6:$A$10000,$X$3)</f>
        <v>0</v>
      </c>
      <c r="AB79" s="488">
        <f>SUMIFS('GSTR-2A'!$N$6:$N$10000,'GSTR-2A'!$B$6:$B$10000,$C$5:$C$4995,'GSTR-2A'!$A$6:$A$10000,$X$3)</f>
        <v>0</v>
      </c>
      <c r="AC79" s="486">
        <f>SUMIFS('GSTR-2A'!$G$6:$G$10000,'GSTR-2A'!$B$6:$B$10000,$C$5:$C$4995,'GSTR-2A'!$A$6:$A$10000,$AC$3)</f>
        <v>0</v>
      </c>
      <c r="AD79" s="487">
        <f>SUMIFS('GSTR-2A'!$K$6:$K$10000,'GSTR-2A'!$B$6:$B$10000,$C$5:$C$4995,'GSTR-2A'!$A$6:$A$10000,$AC$3)</f>
        <v>0</v>
      </c>
      <c r="AE79" s="487">
        <f>SUMIFS('GSTR-2A'!$L$6:$L$10000,'GSTR-2A'!$B$6:$B$10000,$C$5:$C$4995,'GSTR-2A'!$A$6:$A$10000,$AC$3)</f>
        <v>0</v>
      </c>
      <c r="AF79" s="487">
        <f>SUMIFS('GSTR-2A'!$M$6:$M$10000,'GSTR-2A'!$B$6:$B$10000,$C$5:$C$4995,'GSTR-2A'!$A$6:$A$10000,$AC$3)</f>
        <v>0</v>
      </c>
      <c r="AG79" s="488">
        <f>SUMIFS('GSTR-2A'!$N$6:$N$10000,'GSTR-2A'!$B$6:$B$10000,$C$5:$C$4995,'GSTR-2A'!$A$6:$A$10000,$AC$3)</f>
        <v>0</v>
      </c>
      <c r="AH79" s="486">
        <f>SUMIFS('GSTR-2A'!$G$6:$G$10000,'GSTR-2A'!$B$6:$B$10000,$C$5:$C$4995,'GSTR-2A'!$A$6:$A$10000,$AH$3)</f>
        <v>0</v>
      </c>
      <c r="AI79" s="487">
        <f>SUMIFS('GSTR-2A'!$K$6:$K$10000,'GSTR-2A'!$B$6:$B$10000,$C$5:$C$4995,'GSTR-2A'!$A$6:$A$10000,$AH$3)</f>
        <v>0</v>
      </c>
      <c r="AJ79" s="487">
        <f>SUMIFS('GSTR-2A'!$L$6:$L$10000,'GSTR-2A'!$B$6:$B$10000,$C$5:$C$4995,'GSTR-2A'!$A$6:$A$10000,$AH$3)</f>
        <v>0</v>
      </c>
      <c r="AK79" s="487">
        <f>SUMIFS('GSTR-2A'!$M$6:$M$10000,'GSTR-2A'!$B$6:$B$10000,$C$5:$C$4995,'GSTR-2A'!$A$6:$A$10000,$AH$3)</f>
        <v>0</v>
      </c>
      <c r="AL79" s="488">
        <f>SUMIFS('GSTR-2A'!$N$6:$N$10000,'GSTR-2A'!$B$6:$B$10000,$C$5:$C$4995,'GSTR-2A'!$A$6:$A$10000,$AH$3)</f>
        <v>0</v>
      </c>
      <c r="AM79" s="486">
        <f>SUMIFS('GSTR-2A'!$G$6:$G$10000,'GSTR-2A'!$B$6:$B$10000,$C$5:$C$4995,'GSTR-2A'!$A$6:$A$10000,$AM$3)</f>
        <v>0</v>
      </c>
      <c r="AN79" s="487">
        <f>SUMIFS('GSTR-2A'!$K$6:$K$10000,'GSTR-2A'!$B$6:$B$10000,$C$5:$C$4995,'GSTR-2A'!$A$6:$A$10000,$AM$3)</f>
        <v>0</v>
      </c>
      <c r="AO79" s="487">
        <f>SUMIFS('GSTR-2A'!$L$6:$L$10000,'GSTR-2A'!$B$6:$B$10000,$C$5:$C$4995,'GSTR-2A'!$A$6:$A$10000,$AM$3)</f>
        <v>0</v>
      </c>
      <c r="AP79" s="487">
        <f>SUMIFS('GSTR-2A'!$M$6:$M$10000,'GSTR-2A'!$B$6:$B$10000,$C$5:$C$4995,'GSTR-2A'!$A$6:$A$10000,$AM$3)</f>
        <v>0</v>
      </c>
      <c r="AQ79" s="488">
        <f>SUMIFS('GSTR-2A'!$N$6:$N$10000,'GSTR-2A'!$B$6:$B$10000,$C$5:$C$4995,'GSTR-2A'!$A$6:$A$10000,$AM$3)</f>
        <v>0</v>
      </c>
      <c r="AR79" s="486">
        <f>SUMIFS('GSTR-2A'!$G$6:$G$10000,'GSTR-2A'!$B$6:$B$10000,$C$5:$C$4995,'GSTR-2A'!$A$6:$A$10000,$AR$3)</f>
        <v>0</v>
      </c>
      <c r="AS79" s="487">
        <f>SUMIFS('GSTR-2A'!$K$6:$K$10000,'GSTR-2A'!$B$6:$B$10000,$C$5:$C$4995,'GSTR-2A'!$A$6:$A$10000,$AR$3)</f>
        <v>0</v>
      </c>
      <c r="AT79" s="487">
        <f>SUMIFS('GSTR-2A'!$L$6:$L$10000,'GSTR-2A'!$B$6:$B$10000,$C$5:$C$4995,'GSTR-2A'!$A$6:$A$10000,$AR$3)</f>
        <v>0</v>
      </c>
      <c r="AU79" s="487">
        <f>SUMIFS('GSTR-2A'!$M$6:$M$10000,'GSTR-2A'!$B$6:$B$10000,$C$5:$C$4995,'GSTR-2A'!$A$6:$A$10000,$AR$3)</f>
        <v>0</v>
      </c>
      <c r="AV79" s="488">
        <f>SUMIFS('GSTR-2A'!$N$6:$N$10000,'GSTR-2A'!$B$6:$B$10000,$C$5:$C$4995,'GSTR-2A'!$A$6:$A$10000,$AR$3)</f>
        <v>0</v>
      </c>
      <c r="AW79" s="486">
        <f>SUMIFS('GSTR-2A'!$G$6:$G$10000,'GSTR-2A'!$B$6:$B$10000,$C$5:$C$4995,'GSTR-2A'!$A$6:$A$10000,$AW$3)</f>
        <v>0</v>
      </c>
      <c r="AX79" s="487">
        <f>SUMIFS('GSTR-2A'!$K$6:$K$10000,'GSTR-2A'!$B$6:$B$10000,$C$5:$C$4995,'GSTR-2A'!$A$6:$A$10000,$AW$3)</f>
        <v>0</v>
      </c>
      <c r="AY79" s="487">
        <f>SUMIFS('GSTR-2A'!$L$6:$L$10000,'GSTR-2A'!$B$6:$B$10000,$C$5:$C$4995,'GSTR-2A'!$A$6:$A$10000,$AW$3)</f>
        <v>0</v>
      </c>
      <c r="AZ79" s="487">
        <f>SUMIFS('GSTR-2A'!$M$6:$M$10000,'GSTR-2A'!$B$6:$B$10000,$C$5:$C$4995,'GSTR-2A'!$A$6:$A$10000,$AW$3)</f>
        <v>0</v>
      </c>
      <c r="BA79" s="488">
        <f>SUMIFS('GSTR-2A'!$N$6:$N$10000,'GSTR-2A'!$B$6:$B$10000,$C$5:$C$4995,'GSTR-2A'!$A$6:$A$10000,$AW$3)</f>
        <v>0</v>
      </c>
      <c r="BB79" s="486">
        <f>SUMIFS('GSTR-2A'!$G$6:$G$10000,'GSTR-2A'!$B$6:$B$10000,$C$5:$C$4995,'GSTR-2A'!$A$6:$A$10000,$BB$3)</f>
        <v>0</v>
      </c>
      <c r="BC79" s="487">
        <f>SUMIFS('GSTR-2A'!$K$6:$K$10000,'GSTR-2A'!$B$6:$B$10000,$C$5:$C$4995,'GSTR-2A'!$A$6:$A$10000,$BB$3)</f>
        <v>0</v>
      </c>
      <c r="BD79" s="487">
        <f>SUMIFS('GSTR-2A'!$L$6:$L$10000,'GSTR-2A'!$B$6:$B$10000,$C$5:$C$4995,'GSTR-2A'!$A$6:$A$10000,$BB$3)</f>
        <v>0</v>
      </c>
      <c r="BE79" s="487">
        <f>SUMIFS('GSTR-2A'!$M$6:$M$10000,'GSTR-2A'!$B$6:$B$10000,$C$5:$C$4995,'GSTR-2A'!$A$6:$A$10000,$BB$3)</f>
        <v>0</v>
      </c>
      <c r="BF79" s="488">
        <f>SUMIFS('GSTR-2A'!$N$6:$N$10000,'GSTR-2A'!$B$6:$B$10000,$C$5:$C$4995,'GSTR-2A'!$A$6:$A$10000,$BB$3)</f>
        <v>0</v>
      </c>
      <c r="BG79" s="486">
        <f>SUMIFS('GSTR-2A'!$G$6:$G$10000,'GSTR-2A'!$B$6:$B$10000,$C$5:$C$4995,'GSTR-2A'!$A$6:$A$10000,$BG$3)</f>
        <v>0</v>
      </c>
      <c r="BH79" s="487">
        <f>SUMIFS('GSTR-2A'!$K$6:$K$10000,'GSTR-2A'!$B$6:$B$10000,$C$5:$C$4995,'GSTR-2A'!$A$6:$A$10000,$BG$3)</f>
        <v>0</v>
      </c>
      <c r="BI79" s="487">
        <f>SUMIFS('GSTR-2A'!$L$6:$L$10000,'GSTR-2A'!$B$6:$B$10000,$C$5:$C$4995,'GSTR-2A'!$A$6:$A$10000,$BG$3)</f>
        <v>0</v>
      </c>
      <c r="BJ79" s="487">
        <f>SUMIFS('GSTR-2A'!$M$6:$M$10000,'GSTR-2A'!$B$6:$B$10000,$C$5:$C$4995,'GSTR-2A'!$A$6:$A$10000,$BG$3)</f>
        <v>0</v>
      </c>
      <c r="BK79" s="488">
        <f>SUMIFS('GSTR-2A'!$N$6:$N$10000,'GSTR-2A'!$B$6:$B$10000,$C$5:$C$4995,'GSTR-2A'!$A$6:$A$10000,$BG$3)</f>
        <v>0</v>
      </c>
      <c r="BL79" s="72">
        <f t="shared" si="7"/>
        <v>0</v>
      </c>
      <c r="BM79" s="72">
        <f t="shared" si="8"/>
        <v>0</v>
      </c>
      <c r="BN79" s="72">
        <f t="shared" si="9"/>
        <v>0</v>
      </c>
      <c r="BO79" s="72">
        <f t="shared" si="10"/>
        <v>0</v>
      </c>
      <c r="BP79" s="72">
        <f t="shared" si="11"/>
        <v>0</v>
      </c>
    </row>
    <row r="80" spans="1:68" x14ac:dyDescent="0.2">
      <c r="A80" s="467">
        <v>77</v>
      </c>
      <c r="B80" s="468" t="s">
        <v>1131</v>
      </c>
      <c r="C80" s="469" t="s">
        <v>1132</v>
      </c>
      <c r="D80" s="72">
        <f>SUMIFS('GSTR-2A'!$G$6:$G$10000,'GSTR-2A'!$B$6:$B$10000,$C$5:$C$4995,'GSTR-2A'!$A$6:$A$10000,$D$3)</f>
        <v>0</v>
      </c>
      <c r="E80" s="72">
        <f>SUMIFS('GSTR-2A'!$K$6:$K$10000,'GSTR-2A'!$B$6:$B$10000,$C$5:$C$4995,'GSTR-2A'!$A$6:$A$10000,$D$3)</f>
        <v>0</v>
      </c>
      <c r="F80" s="72">
        <f>SUMIFS('GSTR-2A'!$L$6:$L$10000,'GSTR-2A'!$B$6:$B$10000,$C$5:$C$4995,'GSTR-2A'!$A$6:$A$10000,$D$3)</f>
        <v>0</v>
      </c>
      <c r="G80" s="72">
        <f>SUMIFS('GSTR-2A'!$M$6:$M$10000,'GSTR-2A'!$B$6:$B$10000,$C$5:$C$4995,'GSTR-2A'!$A$6:$A$10000,$D$3)</f>
        <v>0</v>
      </c>
      <c r="H80" s="72">
        <f>SUMIFS('GSTR-2A'!$N$6:$N$10000,'GSTR-2A'!$B$6:$B$10000,$C$5:$C$4995,'GSTR-2A'!$A$6:$A$10000,$D$3)</f>
        <v>0</v>
      </c>
      <c r="I80" s="486">
        <f>SUMIFS('GSTR-2A'!$G$6:$G$10000,'GSTR-2A'!$B$6:$B$10000,$C$5:$C$4995,'GSTR-2A'!$A$6:$A$10000,$I$3)</f>
        <v>0</v>
      </c>
      <c r="J80" s="487">
        <f>SUMIFS('GSTR-2A'!$K$6:$K$10000,'GSTR-2A'!$B$6:$B$10000,$C$5:$C$4995,'GSTR-2A'!$A$6:$A$10000,$I$3)</f>
        <v>0</v>
      </c>
      <c r="K80" s="487">
        <f>SUMIFS('GSTR-2A'!$L$6:$L$10000,'GSTR-2A'!$B$6:$B$10000,$C$5:$C$4995,'GSTR-2A'!$A$6:$A$10000,$I$3)</f>
        <v>0</v>
      </c>
      <c r="L80" s="487">
        <f>SUMIFS('GSTR-2A'!$M$6:$M$10000,'GSTR-2A'!$B$6:$B$10000,$C$5:$C$4995,'GSTR-2A'!$A$6:$A$10000,$I$3)</f>
        <v>0</v>
      </c>
      <c r="M80" s="488">
        <f>SUMIFS('GSTR-2A'!$N$6:$N$10000,'GSTR-2A'!$B$6:$B$10000,$C$5:$C$4995,'GSTR-2A'!$A$6:$A$10000,$I$3)</f>
        <v>0</v>
      </c>
      <c r="N80" s="486">
        <f>SUMIFS('GSTR-2A'!$G$6:$G$10000,'GSTR-2A'!$B$6:$B$10000,$C$5:$C$4995,'GSTR-2A'!$A$6:$A$10000,$N$3)</f>
        <v>0</v>
      </c>
      <c r="O80" s="487">
        <f>SUMIFS('GSTR-2A'!$K$6:$K$10000,'GSTR-2A'!$B$6:$B$10000,$C$5:$C$4995,'GSTR-2A'!$A$6:$A$10000,$N$3)</f>
        <v>0</v>
      </c>
      <c r="P80" s="487">
        <f>SUMIFS('GSTR-2A'!$L$6:$L$10000,'GSTR-2A'!$B$6:$B$10000,$C$5:$C$4995,'GSTR-2A'!$A$6:$A$10000,$N$3)</f>
        <v>0</v>
      </c>
      <c r="Q80" s="487">
        <f>SUMIFS('GSTR-2A'!$M$6:$M$10000,'GSTR-2A'!$B$6:$B$10000,$C$5:$C$4995,'GSTR-2A'!$A$6:$A$10000,$N$3)</f>
        <v>0</v>
      </c>
      <c r="R80" s="488">
        <f>SUMIFS('GSTR-2A'!$N$6:$N$10000,'GSTR-2A'!$B$6:$B$10000,$C$5:$C$4995,'GSTR-2A'!$A$6:$A$10000,$N$3)</f>
        <v>0</v>
      </c>
      <c r="S80" s="486">
        <f>SUMIFS('GSTR-2A'!$G$6:$G$10000,'GSTR-2A'!$B$6:$B$10000,$C$5:$C$4995,'GSTR-2A'!$A$6:$A$10000,$S$3)</f>
        <v>0</v>
      </c>
      <c r="T80" s="487">
        <f>SUMIFS('GSTR-2A'!$K$6:$K$10000,'GSTR-2A'!$B$6:$B$10000,$C$5:$C$4995,'GSTR-2A'!$A$6:$A$10000,$S$3)</f>
        <v>0</v>
      </c>
      <c r="U80" s="487">
        <f>SUMIFS('GSTR-2A'!$L$6:$L$10000,'GSTR-2A'!$B$6:$B$10000,$C$5:$C$4995,'GSTR-2A'!$A$6:$A$10000,$S$3)</f>
        <v>0</v>
      </c>
      <c r="V80" s="487">
        <f>SUMIFS('GSTR-2A'!$M$6:$M$10000,'GSTR-2A'!$B$6:$B$10000,$C$5:$C$4995,'GSTR-2A'!$A$6:$A$10000,$S$3)</f>
        <v>0</v>
      </c>
      <c r="W80" s="488">
        <f>SUMIFS('GSTR-2A'!$N$6:$N$10000,'GSTR-2A'!$B$6:$B$10000,$C$5:$C$4995,'GSTR-2A'!$A$6:$A$10000,$S$3)</f>
        <v>0</v>
      </c>
      <c r="X80" s="486">
        <f>SUMIFS('GSTR-2A'!$G$6:$G$10000,'GSTR-2A'!$B$6:$B$10000,$C$5:$C$4995,'GSTR-2A'!$A$6:$A$10000,$X$3)</f>
        <v>0</v>
      </c>
      <c r="Y80" s="487">
        <f>SUMIFS('GSTR-2A'!$K$6:$K$10000,'GSTR-2A'!$B$6:$B$10000,$C$5:$C$4995,'GSTR-2A'!$A$6:$A$10000,$X$3)</f>
        <v>0</v>
      </c>
      <c r="Z80" s="487">
        <f>SUMIFS('GSTR-2A'!$L$6:$L$10000,'GSTR-2A'!$B$6:$B$10000,$C$5:$C$4995,'GSTR-2A'!$A$6:$A$10000,$X$3)</f>
        <v>0</v>
      </c>
      <c r="AA80" s="487">
        <f>SUMIFS('GSTR-2A'!$M$6:$M$10000,'GSTR-2A'!$B$6:$B$10000,$C$5:$C$4995,'GSTR-2A'!$A$6:$A$10000,$X$3)</f>
        <v>0</v>
      </c>
      <c r="AB80" s="488">
        <f>SUMIFS('GSTR-2A'!$N$6:$N$10000,'GSTR-2A'!$B$6:$B$10000,$C$5:$C$4995,'GSTR-2A'!$A$6:$A$10000,$X$3)</f>
        <v>0</v>
      </c>
      <c r="AC80" s="486">
        <f>SUMIFS('GSTR-2A'!$G$6:$G$10000,'GSTR-2A'!$B$6:$B$10000,$C$5:$C$4995,'GSTR-2A'!$A$6:$A$10000,$AC$3)</f>
        <v>0</v>
      </c>
      <c r="AD80" s="487">
        <f>SUMIFS('GSTR-2A'!$K$6:$K$10000,'GSTR-2A'!$B$6:$B$10000,$C$5:$C$4995,'GSTR-2A'!$A$6:$A$10000,$AC$3)</f>
        <v>0</v>
      </c>
      <c r="AE80" s="487">
        <f>SUMIFS('GSTR-2A'!$L$6:$L$10000,'GSTR-2A'!$B$6:$B$10000,$C$5:$C$4995,'GSTR-2A'!$A$6:$A$10000,$AC$3)</f>
        <v>0</v>
      </c>
      <c r="AF80" s="487">
        <f>SUMIFS('GSTR-2A'!$M$6:$M$10000,'GSTR-2A'!$B$6:$B$10000,$C$5:$C$4995,'GSTR-2A'!$A$6:$A$10000,$AC$3)</f>
        <v>0</v>
      </c>
      <c r="AG80" s="488">
        <f>SUMIFS('GSTR-2A'!$N$6:$N$10000,'GSTR-2A'!$B$6:$B$10000,$C$5:$C$4995,'GSTR-2A'!$A$6:$A$10000,$AC$3)</f>
        <v>0</v>
      </c>
      <c r="AH80" s="486">
        <f>SUMIFS('GSTR-2A'!$G$6:$G$10000,'GSTR-2A'!$B$6:$B$10000,$C$5:$C$4995,'GSTR-2A'!$A$6:$A$10000,$AH$3)</f>
        <v>0</v>
      </c>
      <c r="AI80" s="487">
        <f>SUMIFS('GSTR-2A'!$K$6:$K$10000,'GSTR-2A'!$B$6:$B$10000,$C$5:$C$4995,'GSTR-2A'!$A$6:$A$10000,$AH$3)</f>
        <v>0</v>
      </c>
      <c r="AJ80" s="487">
        <f>SUMIFS('GSTR-2A'!$L$6:$L$10000,'GSTR-2A'!$B$6:$B$10000,$C$5:$C$4995,'GSTR-2A'!$A$6:$A$10000,$AH$3)</f>
        <v>0</v>
      </c>
      <c r="AK80" s="487">
        <f>SUMIFS('GSTR-2A'!$M$6:$M$10000,'GSTR-2A'!$B$6:$B$10000,$C$5:$C$4995,'GSTR-2A'!$A$6:$A$10000,$AH$3)</f>
        <v>0</v>
      </c>
      <c r="AL80" s="488">
        <f>SUMIFS('GSTR-2A'!$N$6:$N$10000,'GSTR-2A'!$B$6:$B$10000,$C$5:$C$4995,'GSTR-2A'!$A$6:$A$10000,$AH$3)</f>
        <v>0</v>
      </c>
      <c r="AM80" s="486">
        <f>SUMIFS('GSTR-2A'!$G$6:$G$10000,'GSTR-2A'!$B$6:$B$10000,$C$5:$C$4995,'GSTR-2A'!$A$6:$A$10000,$AM$3)</f>
        <v>0</v>
      </c>
      <c r="AN80" s="487">
        <f>SUMIFS('GSTR-2A'!$K$6:$K$10000,'GSTR-2A'!$B$6:$B$10000,$C$5:$C$4995,'GSTR-2A'!$A$6:$A$10000,$AM$3)</f>
        <v>0</v>
      </c>
      <c r="AO80" s="487">
        <f>SUMIFS('GSTR-2A'!$L$6:$L$10000,'GSTR-2A'!$B$6:$B$10000,$C$5:$C$4995,'GSTR-2A'!$A$6:$A$10000,$AM$3)</f>
        <v>0</v>
      </c>
      <c r="AP80" s="487">
        <f>SUMIFS('GSTR-2A'!$M$6:$M$10000,'GSTR-2A'!$B$6:$B$10000,$C$5:$C$4995,'GSTR-2A'!$A$6:$A$10000,$AM$3)</f>
        <v>0</v>
      </c>
      <c r="AQ80" s="488">
        <f>SUMIFS('GSTR-2A'!$N$6:$N$10000,'GSTR-2A'!$B$6:$B$10000,$C$5:$C$4995,'GSTR-2A'!$A$6:$A$10000,$AM$3)</f>
        <v>0</v>
      </c>
      <c r="AR80" s="486">
        <f>SUMIFS('GSTR-2A'!$G$6:$G$10000,'GSTR-2A'!$B$6:$B$10000,$C$5:$C$4995,'GSTR-2A'!$A$6:$A$10000,$AR$3)</f>
        <v>0</v>
      </c>
      <c r="AS80" s="487">
        <f>SUMIFS('GSTR-2A'!$K$6:$K$10000,'GSTR-2A'!$B$6:$B$10000,$C$5:$C$4995,'GSTR-2A'!$A$6:$A$10000,$AR$3)</f>
        <v>0</v>
      </c>
      <c r="AT80" s="487">
        <f>SUMIFS('GSTR-2A'!$L$6:$L$10000,'GSTR-2A'!$B$6:$B$10000,$C$5:$C$4995,'GSTR-2A'!$A$6:$A$10000,$AR$3)</f>
        <v>0</v>
      </c>
      <c r="AU80" s="487">
        <f>SUMIFS('GSTR-2A'!$M$6:$M$10000,'GSTR-2A'!$B$6:$B$10000,$C$5:$C$4995,'GSTR-2A'!$A$6:$A$10000,$AR$3)</f>
        <v>0</v>
      </c>
      <c r="AV80" s="488">
        <f>SUMIFS('GSTR-2A'!$N$6:$N$10000,'GSTR-2A'!$B$6:$B$10000,$C$5:$C$4995,'GSTR-2A'!$A$6:$A$10000,$AR$3)</f>
        <v>0</v>
      </c>
      <c r="AW80" s="486">
        <f>SUMIFS('GSTR-2A'!$G$6:$G$10000,'GSTR-2A'!$B$6:$B$10000,$C$5:$C$4995,'GSTR-2A'!$A$6:$A$10000,$AW$3)</f>
        <v>0</v>
      </c>
      <c r="AX80" s="487">
        <f>SUMIFS('GSTR-2A'!$K$6:$K$10000,'GSTR-2A'!$B$6:$B$10000,$C$5:$C$4995,'GSTR-2A'!$A$6:$A$10000,$AW$3)</f>
        <v>0</v>
      </c>
      <c r="AY80" s="487">
        <f>SUMIFS('GSTR-2A'!$L$6:$L$10000,'GSTR-2A'!$B$6:$B$10000,$C$5:$C$4995,'GSTR-2A'!$A$6:$A$10000,$AW$3)</f>
        <v>0</v>
      </c>
      <c r="AZ80" s="487">
        <f>SUMIFS('GSTR-2A'!$M$6:$M$10000,'GSTR-2A'!$B$6:$B$10000,$C$5:$C$4995,'GSTR-2A'!$A$6:$A$10000,$AW$3)</f>
        <v>0</v>
      </c>
      <c r="BA80" s="488">
        <f>SUMIFS('GSTR-2A'!$N$6:$N$10000,'GSTR-2A'!$B$6:$B$10000,$C$5:$C$4995,'GSTR-2A'!$A$6:$A$10000,$AW$3)</f>
        <v>0</v>
      </c>
      <c r="BB80" s="486">
        <f>SUMIFS('GSTR-2A'!$G$6:$G$10000,'GSTR-2A'!$B$6:$B$10000,$C$5:$C$4995,'GSTR-2A'!$A$6:$A$10000,$BB$3)</f>
        <v>0</v>
      </c>
      <c r="BC80" s="487">
        <f>SUMIFS('GSTR-2A'!$K$6:$K$10000,'GSTR-2A'!$B$6:$B$10000,$C$5:$C$4995,'GSTR-2A'!$A$6:$A$10000,$BB$3)</f>
        <v>0</v>
      </c>
      <c r="BD80" s="487">
        <f>SUMIFS('GSTR-2A'!$L$6:$L$10000,'GSTR-2A'!$B$6:$B$10000,$C$5:$C$4995,'GSTR-2A'!$A$6:$A$10000,$BB$3)</f>
        <v>0</v>
      </c>
      <c r="BE80" s="487">
        <f>SUMIFS('GSTR-2A'!$M$6:$M$10000,'GSTR-2A'!$B$6:$B$10000,$C$5:$C$4995,'GSTR-2A'!$A$6:$A$10000,$BB$3)</f>
        <v>0</v>
      </c>
      <c r="BF80" s="488">
        <f>SUMIFS('GSTR-2A'!$N$6:$N$10000,'GSTR-2A'!$B$6:$B$10000,$C$5:$C$4995,'GSTR-2A'!$A$6:$A$10000,$BB$3)</f>
        <v>0</v>
      </c>
      <c r="BG80" s="486">
        <f>SUMIFS('GSTR-2A'!$G$6:$G$10000,'GSTR-2A'!$B$6:$B$10000,$C$5:$C$4995,'GSTR-2A'!$A$6:$A$10000,$BG$3)</f>
        <v>0</v>
      </c>
      <c r="BH80" s="487">
        <f>SUMIFS('GSTR-2A'!$K$6:$K$10000,'GSTR-2A'!$B$6:$B$10000,$C$5:$C$4995,'GSTR-2A'!$A$6:$A$10000,$BG$3)</f>
        <v>0</v>
      </c>
      <c r="BI80" s="487">
        <f>SUMIFS('GSTR-2A'!$L$6:$L$10000,'GSTR-2A'!$B$6:$B$10000,$C$5:$C$4995,'GSTR-2A'!$A$6:$A$10000,$BG$3)</f>
        <v>0</v>
      </c>
      <c r="BJ80" s="487">
        <f>SUMIFS('GSTR-2A'!$M$6:$M$10000,'GSTR-2A'!$B$6:$B$10000,$C$5:$C$4995,'GSTR-2A'!$A$6:$A$10000,$BG$3)</f>
        <v>0</v>
      </c>
      <c r="BK80" s="488">
        <f>SUMIFS('GSTR-2A'!$N$6:$N$10000,'GSTR-2A'!$B$6:$B$10000,$C$5:$C$4995,'GSTR-2A'!$A$6:$A$10000,$BG$3)</f>
        <v>0</v>
      </c>
      <c r="BL80" s="72">
        <f t="shared" si="7"/>
        <v>0</v>
      </c>
      <c r="BM80" s="72">
        <f t="shared" si="8"/>
        <v>0</v>
      </c>
      <c r="BN80" s="72">
        <f t="shared" si="9"/>
        <v>0</v>
      </c>
      <c r="BO80" s="72">
        <f t="shared" si="10"/>
        <v>0</v>
      </c>
      <c r="BP80" s="72">
        <f t="shared" si="11"/>
        <v>0</v>
      </c>
    </row>
    <row r="81" spans="1:68" x14ac:dyDescent="0.2">
      <c r="A81" s="467">
        <v>78</v>
      </c>
      <c r="B81" s="468" t="s">
        <v>720</v>
      </c>
      <c r="C81" s="479" t="s">
        <v>671</v>
      </c>
      <c r="D81" s="72">
        <f>SUMIFS('GSTR-2A'!$G$6:$G$10000,'GSTR-2A'!$B$6:$B$10000,$C$5:$C$4995,'GSTR-2A'!$A$6:$A$10000,$D$3)</f>
        <v>0</v>
      </c>
      <c r="E81" s="72">
        <f>SUMIFS('GSTR-2A'!$K$6:$K$10000,'GSTR-2A'!$B$6:$B$10000,$C$5:$C$4995,'GSTR-2A'!$A$6:$A$10000,$D$3)</f>
        <v>0</v>
      </c>
      <c r="F81" s="72">
        <f>SUMIFS('GSTR-2A'!$L$6:$L$10000,'GSTR-2A'!$B$6:$B$10000,$C$5:$C$4995,'GSTR-2A'!$A$6:$A$10000,$D$3)</f>
        <v>0</v>
      </c>
      <c r="G81" s="72">
        <f>SUMIFS('GSTR-2A'!$M$6:$M$10000,'GSTR-2A'!$B$6:$B$10000,$C$5:$C$4995,'GSTR-2A'!$A$6:$A$10000,$D$3)</f>
        <v>0</v>
      </c>
      <c r="H81" s="72">
        <f>SUMIFS('GSTR-2A'!$N$6:$N$10000,'GSTR-2A'!$B$6:$B$10000,$C$5:$C$4995,'GSTR-2A'!$A$6:$A$10000,$D$3)</f>
        <v>0</v>
      </c>
      <c r="I81" s="486">
        <f>SUMIFS('GSTR-2A'!$G$6:$G$10000,'GSTR-2A'!$B$6:$B$10000,$C$5:$C$4995,'GSTR-2A'!$A$6:$A$10000,$I$3)</f>
        <v>779</v>
      </c>
      <c r="J81" s="487">
        <f>SUMIFS('GSTR-2A'!$K$6:$K$10000,'GSTR-2A'!$B$6:$B$10000,$C$5:$C$4995,'GSTR-2A'!$A$6:$A$10000,$I$3)</f>
        <v>660</v>
      </c>
      <c r="K81" s="487">
        <f>SUMIFS('GSTR-2A'!$L$6:$L$10000,'GSTR-2A'!$B$6:$B$10000,$C$5:$C$4995,'GSTR-2A'!$A$6:$A$10000,$I$3)</f>
        <v>0</v>
      </c>
      <c r="L81" s="487">
        <f>SUMIFS('GSTR-2A'!$M$6:$M$10000,'GSTR-2A'!$B$6:$B$10000,$C$5:$C$4995,'GSTR-2A'!$A$6:$A$10000,$I$3)</f>
        <v>59.4</v>
      </c>
      <c r="M81" s="488">
        <f>SUMIFS('GSTR-2A'!$N$6:$N$10000,'GSTR-2A'!$B$6:$B$10000,$C$5:$C$4995,'GSTR-2A'!$A$6:$A$10000,$I$3)</f>
        <v>59.4</v>
      </c>
      <c r="N81" s="486">
        <f>SUMIFS('GSTR-2A'!$G$6:$G$10000,'GSTR-2A'!$B$6:$B$10000,$C$5:$C$4995,'GSTR-2A'!$A$6:$A$10000,$N$3)</f>
        <v>935</v>
      </c>
      <c r="O81" s="487">
        <f>SUMIFS('GSTR-2A'!$K$6:$K$10000,'GSTR-2A'!$B$6:$B$10000,$C$5:$C$4995,'GSTR-2A'!$A$6:$A$10000,$N$3)</f>
        <v>792</v>
      </c>
      <c r="P81" s="487">
        <f>SUMIFS('GSTR-2A'!$L$6:$L$10000,'GSTR-2A'!$B$6:$B$10000,$C$5:$C$4995,'GSTR-2A'!$A$6:$A$10000,$N$3)</f>
        <v>0</v>
      </c>
      <c r="Q81" s="487">
        <f>SUMIFS('GSTR-2A'!$M$6:$M$10000,'GSTR-2A'!$B$6:$B$10000,$C$5:$C$4995,'GSTR-2A'!$A$6:$A$10000,$N$3)</f>
        <v>71.28</v>
      </c>
      <c r="R81" s="488">
        <f>SUMIFS('GSTR-2A'!$N$6:$N$10000,'GSTR-2A'!$B$6:$B$10000,$C$5:$C$4995,'GSTR-2A'!$A$6:$A$10000,$N$3)</f>
        <v>71.28</v>
      </c>
      <c r="S81" s="486">
        <f>SUMIFS('GSTR-2A'!$G$6:$G$10000,'GSTR-2A'!$B$6:$B$10000,$C$5:$C$4995,'GSTR-2A'!$A$6:$A$10000,$S$3)</f>
        <v>0</v>
      </c>
      <c r="T81" s="487">
        <f>SUMIFS('GSTR-2A'!$K$6:$K$10000,'GSTR-2A'!$B$6:$B$10000,$C$5:$C$4995,'GSTR-2A'!$A$6:$A$10000,$S$3)</f>
        <v>0</v>
      </c>
      <c r="U81" s="487">
        <f>SUMIFS('GSTR-2A'!$L$6:$L$10000,'GSTR-2A'!$B$6:$B$10000,$C$5:$C$4995,'GSTR-2A'!$A$6:$A$10000,$S$3)</f>
        <v>0</v>
      </c>
      <c r="V81" s="487">
        <f>SUMIFS('GSTR-2A'!$M$6:$M$10000,'GSTR-2A'!$B$6:$B$10000,$C$5:$C$4995,'GSTR-2A'!$A$6:$A$10000,$S$3)</f>
        <v>0</v>
      </c>
      <c r="W81" s="488">
        <f>SUMIFS('GSTR-2A'!$N$6:$N$10000,'GSTR-2A'!$B$6:$B$10000,$C$5:$C$4995,'GSTR-2A'!$A$6:$A$10000,$S$3)</f>
        <v>0</v>
      </c>
      <c r="X81" s="486">
        <f>SUMIFS('GSTR-2A'!$G$6:$G$10000,'GSTR-2A'!$B$6:$B$10000,$C$5:$C$4995,'GSTR-2A'!$A$6:$A$10000,$X$3)</f>
        <v>0</v>
      </c>
      <c r="Y81" s="487">
        <f>SUMIFS('GSTR-2A'!$K$6:$K$10000,'GSTR-2A'!$B$6:$B$10000,$C$5:$C$4995,'GSTR-2A'!$A$6:$A$10000,$X$3)</f>
        <v>0</v>
      </c>
      <c r="Z81" s="487">
        <f>SUMIFS('GSTR-2A'!$L$6:$L$10000,'GSTR-2A'!$B$6:$B$10000,$C$5:$C$4995,'GSTR-2A'!$A$6:$A$10000,$X$3)</f>
        <v>0</v>
      </c>
      <c r="AA81" s="487">
        <f>SUMIFS('GSTR-2A'!$M$6:$M$10000,'GSTR-2A'!$B$6:$B$10000,$C$5:$C$4995,'GSTR-2A'!$A$6:$A$10000,$X$3)</f>
        <v>0</v>
      </c>
      <c r="AB81" s="488">
        <f>SUMIFS('GSTR-2A'!$N$6:$N$10000,'GSTR-2A'!$B$6:$B$10000,$C$5:$C$4995,'GSTR-2A'!$A$6:$A$10000,$X$3)</f>
        <v>0</v>
      </c>
      <c r="AC81" s="486">
        <f>SUMIFS('GSTR-2A'!$G$6:$G$10000,'GSTR-2A'!$B$6:$B$10000,$C$5:$C$4995,'GSTR-2A'!$A$6:$A$10000,$AC$3)</f>
        <v>0</v>
      </c>
      <c r="AD81" s="487">
        <f>SUMIFS('GSTR-2A'!$K$6:$K$10000,'GSTR-2A'!$B$6:$B$10000,$C$5:$C$4995,'GSTR-2A'!$A$6:$A$10000,$AC$3)</f>
        <v>0</v>
      </c>
      <c r="AE81" s="487">
        <f>SUMIFS('GSTR-2A'!$L$6:$L$10000,'GSTR-2A'!$B$6:$B$10000,$C$5:$C$4995,'GSTR-2A'!$A$6:$A$10000,$AC$3)</f>
        <v>0</v>
      </c>
      <c r="AF81" s="487">
        <f>SUMIFS('GSTR-2A'!$M$6:$M$10000,'GSTR-2A'!$B$6:$B$10000,$C$5:$C$4995,'GSTR-2A'!$A$6:$A$10000,$AC$3)</f>
        <v>0</v>
      </c>
      <c r="AG81" s="488">
        <f>SUMIFS('GSTR-2A'!$N$6:$N$10000,'GSTR-2A'!$B$6:$B$10000,$C$5:$C$4995,'GSTR-2A'!$A$6:$A$10000,$AC$3)</f>
        <v>0</v>
      </c>
      <c r="AH81" s="486">
        <f>SUMIFS('GSTR-2A'!$G$6:$G$10000,'GSTR-2A'!$B$6:$B$10000,$C$5:$C$4995,'GSTR-2A'!$A$6:$A$10000,$AH$3)</f>
        <v>0</v>
      </c>
      <c r="AI81" s="487">
        <f>SUMIFS('GSTR-2A'!$K$6:$K$10000,'GSTR-2A'!$B$6:$B$10000,$C$5:$C$4995,'GSTR-2A'!$A$6:$A$10000,$AH$3)</f>
        <v>0</v>
      </c>
      <c r="AJ81" s="487">
        <f>SUMIFS('GSTR-2A'!$L$6:$L$10000,'GSTR-2A'!$B$6:$B$10000,$C$5:$C$4995,'GSTR-2A'!$A$6:$A$10000,$AH$3)</f>
        <v>0</v>
      </c>
      <c r="AK81" s="487">
        <f>SUMIFS('GSTR-2A'!$M$6:$M$10000,'GSTR-2A'!$B$6:$B$10000,$C$5:$C$4995,'GSTR-2A'!$A$6:$A$10000,$AH$3)</f>
        <v>0</v>
      </c>
      <c r="AL81" s="488">
        <f>SUMIFS('GSTR-2A'!$N$6:$N$10000,'GSTR-2A'!$B$6:$B$10000,$C$5:$C$4995,'GSTR-2A'!$A$6:$A$10000,$AH$3)</f>
        <v>0</v>
      </c>
      <c r="AM81" s="486">
        <f>SUMIFS('GSTR-2A'!$G$6:$G$10000,'GSTR-2A'!$B$6:$B$10000,$C$5:$C$4995,'GSTR-2A'!$A$6:$A$10000,$AM$3)</f>
        <v>0</v>
      </c>
      <c r="AN81" s="487">
        <f>SUMIFS('GSTR-2A'!$K$6:$K$10000,'GSTR-2A'!$B$6:$B$10000,$C$5:$C$4995,'GSTR-2A'!$A$6:$A$10000,$AM$3)</f>
        <v>0</v>
      </c>
      <c r="AO81" s="487">
        <f>SUMIFS('GSTR-2A'!$L$6:$L$10000,'GSTR-2A'!$B$6:$B$10000,$C$5:$C$4995,'GSTR-2A'!$A$6:$A$10000,$AM$3)</f>
        <v>0</v>
      </c>
      <c r="AP81" s="487">
        <f>SUMIFS('GSTR-2A'!$M$6:$M$10000,'GSTR-2A'!$B$6:$B$10000,$C$5:$C$4995,'GSTR-2A'!$A$6:$A$10000,$AM$3)</f>
        <v>0</v>
      </c>
      <c r="AQ81" s="488">
        <f>SUMIFS('GSTR-2A'!$N$6:$N$10000,'GSTR-2A'!$B$6:$B$10000,$C$5:$C$4995,'GSTR-2A'!$A$6:$A$10000,$AM$3)</f>
        <v>0</v>
      </c>
      <c r="AR81" s="486">
        <f>SUMIFS('GSTR-2A'!$G$6:$G$10000,'GSTR-2A'!$B$6:$B$10000,$C$5:$C$4995,'GSTR-2A'!$A$6:$A$10000,$AR$3)</f>
        <v>0</v>
      </c>
      <c r="AS81" s="487">
        <f>SUMIFS('GSTR-2A'!$K$6:$K$10000,'GSTR-2A'!$B$6:$B$10000,$C$5:$C$4995,'GSTR-2A'!$A$6:$A$10000,$AR$3)</f>
        <v>0</v>
      </c>
      <c r="AT81" s="487">
        <f>SUMIFS('GSTR-2A'!$L$6:$L$10000,'GSTR-2A'!$B$6:$B$10000,$C$5:$C$4995,'GSTR-2A'!$A$6:$A$10000,$AR$3)</f>
        <v>0</v>
      </c>
      <c r="AU81" s="487">
        <f>SUMIFS('GSTR-2A'!$M$6:$M$10000,'GSTR-2A'!$B$6:$B$10000,$C$5:$C$4995,'GSTR-2A'!$A$6:$A$10000,$AR$3)</f>
        <v>0</v>
      </c>
      <c r="AV81" s="488">
        <f>SUMIFS('GSTR-2A'!$N$6:$N$10000,'GSTR-2A'!$B$6:$B$10000,$C$5:$C$4995,'GSTR-2A'!$A$6:$A$10000,$AR$3)</f>
        <v>0</v>
      </c>
      <c r="AW81" s="486">
        <f>SUMIFS('GSTR-2A'!$G$6:$G$10000,'GSTR-2A'!$B$6:$B$10000,$C$5:$C$4995,'GSTR-2A'!$A$6:$A$10000,$AW$3)</f>
        <v>0</v>
      </c>
      <c r="AX81" s="487">
        <f>SUMIFS('GSTR-2A'!$K$6:$K$10000,'GSTR-2A'!$B$6:$B$10000,$C$5:$C$4995,'GSTR-2A'!$A$6:$A$10000,$AW$3)</f>
        <v>0</v>
      </c>
      <c r="AY81" s="487">
        <f>SUMIFS('GSTR-2A'!$L$6:$L$10000,'GSTR-2A'!$B$6:$B$10000,$C$5:$C$4995,'GSTR-2A'!$A$6:$A$10000,$AW$3)</f>
        <v>0</v>
      </c>
      <c r="AZ81" s="487">
        <f>SUMIFS('GSTR-2A'!$M$6:$M$10000,'GSTR-2A'!$B$6:$B$10000,$C$5:$C$4995,'GSTR-2A'!$A$6:$A$10000,$AW$3)</f>
        <v>0</v>
      </c>
      <c r="BA81" s="488">
        <f>SUMIFS('GSTR-2A'!$N$6:$N$10000,'GSTR-2A'!$B$6:$B$10000,$C$5:$C$4995,'GSTR-2A'!$A$6:$A$10000,$AW$3)</f>
        <v>0</v>
      </c>
      <c r="BB81" s="486">
        <f>SUMIFS('GSTR-2A'!$G$6:$G$10000,'GSTR-2A'!$B$6:$B$10000,$C$5:$C$4995,'GSTR-2A'!$A$6:$A$10000,$BB$3)</f>
        <v>0</v>
      </c>
      <c r="BC81" s="487">
        <f>SUMIFS('GSTR-2A'!$K$6:$K$10000,'GSTR-2A'!$B$6:$B$10000,$C$5:$C$4995,'GSTR-2A'!$A$6:$A$10000,$BB$3)</f>
        <v>0</v>
      </c>
      <c r="BD81" s="487">
        <f>SUMIFS('GSTR-2A'!$L$6:$L$10000,'GSTR-2A'!$B$6:$B$10000,$C$5:$C$4995,'GSTR-2A'!$A$6:$A$10000,$BB$3)</f>
        <v>0</v>
      </c>
      <c r="BE81" s="487">
        <f>SUMIFS('GSTR-2A'!$M$6:$M$10000,'GSTR-2A'!$B$6:$B$10000,$C$5:$C$4995,'GSTR-2A'!$A$6:$A$10000,$BB$3)</f>
        <v>0</v>
      </c>
      <c r="BF81" s="488">
        <f>SUMIFS('GSTR-2A'!$N$6:$N$10000,'GSTR-2A'!$B$6:$B$10000,$C$5:$C$4995,'GSTR-2A'!$A$6:$A$10000,$BB$3)</f>
        <v>0</v>
      </c>
      <c r="BG81" s="486">
        <f>SUMIFS('GSTR-2A'!$G$6:$G$10000,'GSTR-2A'!$B$6:$B$10000,$C$5:$C$4995,'GSTR-2A'!$A$6:$A$10000,$BG$3)</f>
        <v>0</v>
      </c>
      <c r="BH81" s="487">
        <f>SUMIFS('GSTR-2A'!$K$6:$K$10000,'GSTR-2A'!$B$6:$B$10000,$C$5:$C$4995,'GSTR-2A'!$A$6:$A$10000,$BG$3)</f>
        <v>0</v>
      </c>
      <c r="BI81" s="487">
        <f>SUMIFS('GSTR-2A'!$L$6:$L$10000,'GSTR-2A'!$B$6:$B$10000,$C$5:$C$4995,'GSTR-2A'!$A$6:$A$10000,$BG$3)</f>
        <v>0</v>
      </c>
      <c r="BJ81" s="487">
        <f>SUMIFS('GSTR-2A'!$M$6:$M$10000,'GSTR-2A'!$B$6:$B$10000,$C$5:$C$4995,'GSTR-2A'!$A$6:$A$10000,$BG$3)</f>
        <v>0</v>
      </c>
      <c r="BK81" s="488">
        <f>SUMIFS('GSTR-2A'!$N$6:$N$10000,'GSTR-2A'!$B$6:$B$10000,$C$5:$C$4995,'GSTR-2A'!$A$6:$A$10000,$BG$3)</f>
        <v>0</v>
      </c>
      <c r="BL81" s="72">
        <f t="shared" si="7"/>
        <v>1714</v>
      </c>
      <c r="BM81" s="72">
        <f t="shared" si="8"/>
        <v>1452</v>
      </c>
      <c r="BN81" s="72">
        <f t="shared" si="9"/>
        <v>0</v>
      </c>
      <c r="BO81" s="72">
        <f t="shared" si="10"/>
        <v>130.68</v>
      </c>
      <c r="BP81" s="72">
        <f t="shared" si="11"/>
        <v>130.68</v>
      </c>
    </row>
    <row r="82" spans="1:68" x14ac:dyDescent="0.2">
      <c r="A82" s="467">
        <v>79</v>
      </c>
      <c r="B82" s="468" t="s">
        <v>1133</v>
      </c>
      <c r="C82" s="469" t="s">
        <v>156</v>
      </c>
      <c r="D82" s="72">
        <f>SUMIFS('GSTR-2A'!$G$6:$G$10000,'GSTR-2A'!$B$6:$B$10000,$C$5:$C$4995,'GSTR-2A'!$A$6:$A$10000,$D$3)</f>
        <v>0</v>
      </c>
      <c r="E82" s="72">
        <f>SUMIFS('GSTR-2A'!$K$6:$K$10000,'GSTR-2A'!$B$6:$B$10000,$C$5:$C$4995,'GSTR-2A'!$A$6:$A$10000,$D$3)</f>
        <v>0</v>
      </c>
      <c r="F82" s="72">
        <f>SUMIFS('GSTR-2A'!$L$6:$L$10000,'GSTR-2A'!$B$6:$B$10000,$C$5:$C$4995,'GSTR-2A'!$A$6:$A$10000,$D$3)</f>
        <v>0</v>
      </c>
      <c r="G82" s="72">
        <f>SUMIFS('GSTR-2A'!$M$6:$M$10000,'GSTR-2A'!$B$6:$B$10000,$C$5:$C$4995,'GSTR-2A'!$A$6:$A$10000,$D$3)</f>
        <v>0</v>
      </c>
      <c r="H82" s="72">
        <f>SUMIFS('GSTR-2A'!$N$6:$N$10000,'GSTR-2A'!$B$6:$B$10000,$C$5:$C$4995,'GSTR-2A'!$A$6:$A$10000,$D$3)</f>
        <v>0</v>
      </c>
      <c r="I82" s="486">
        <f>SUMIFS('GSTR-2A'!$G$6:$G$10000,'GSTR-2A'!$B$6:$B$10000,$C$5:$C$4995,'GSTR-2A'!$A$6:$A$10000,$I$3)</f>
        <v>0</v>
      </c>
      <c r="J82" s="487">
        <f>SUMIFS('GSTR-2A'!$K$6:$K$10000,'GSTR-2A'!$B$6:$B$10000,$C$5:$C$4995,'GSTR-2A'!$A$6:$A$10000,$I$3)</f>
        <v>0</v>
      </c>
      <c r="K82" s="487">
        <f>SUMIFS('GSTR-2A'!$L$6:$L$10000,'GSTR-2A'!$B$6:$B$10000,$C$5:$C$4995,'GSTR-2A'!$A$6:$A$10000,$I$3)</f>
        <v>0</v>
      </c>
      <c r="L82" s="487">
        <f>SUMIFS('GSTR-2A'!$M$6:$M$10000,'GSTR-2A'!$B$6:$B$10000,$C$5:$C$4995,'GSTR-2A'!$A$6:$A$10000,$I$3)</f>
        <v>0</v>
      </c>
      <c r="M82" s="488">
        <f>SUMIFS('GSTR-2A'!$N$6:$N$10000,'GSTR-2A'!$B$6:$B$10000,$C$5:$C$4995,'GSTR-2A'!$A$6:$A$10000,$I$3)</f>
        <v>0</v>
      </c>
      <c r="N82" s="486">
        <f>SUMIFS('GSTR-2A'!$G$6:$G$10000,'GSTR-2A'!$B$6:$B$10000,$C$5:$C$4995,'GSTR-2A'!$A$6:$A$10000,$N$3)</f>
        <v>4500.18</v>
      </c>
      <c r="O82" s="487">
        <f>SUMIFS('GSTR-2A'!$K$6:$K$10000,'GSTR-2A'!$B$6:$B$10000,$C$5:$C$4995,'GSTR-2A'!$A$6:$A$10000,$N$3)</f>
        <v>3813.7200000000003</v>
      </c>
      <c r="P82" s="487">
        <f>SUMIFS('GSTR-2A'!$L$6:$L$10000,'GSTR-2A'!$B$6:$B$10000,$C$5:$C$4995,'GSTR-2A'!$A$6:$A$10000,$N$3)</f>
        <v>0</v>
      </c>
      <c r="Q82" s="487">
        <f>SUMIFS('GSTR-2A'!$M$6:$M$10000,'GSTR-2A'!$B$6:$B$10000,$C$5:$C$4995,'GSTR-2A'!$A$6:$A$10000,$N$3)</f>
        <v>343.23</v>
      </c>
      <c r="R82" s="488">
        <f>SUMIFS('GSTR-2A'!$N$6:$N$10000,'GSTR-2A'!$B$6:$B$10000,$C$5:$C$4995,'GSTR-2A'!$A$6:$A$10000,$N$3)</f>
        <v>343.23</v>
      </c>
      <c r="S82" s="486">
        <f>SUMIFS('GSTR-2A'!$G$6:$G$10000,'GSTR-2A'!$B$6:$B$10000,$C$5:$C$4995,'GSTR-2A'!$A$6:$A$10000,$S$3)</f>
        <v>453.58000000000004</v>
      </c>
      <c r="T82" s="487">
        <f>SUMIFS('GSTR-2A'!$K$6:$K$10000,'GSTR-2A'!$B$6:$B$10000,$C$5:$C$4995,'GSTR-2A'!$A$6:$A$10000,$S$3)</f>
        <v>384.38</v>
      </c>
      <c r="U82" s="487">
        <f>SUMIFS('GSTR-2A'!$L$6:$L$10000,'GSTR-2A'!$B$6:$B$10000,$C$5:$C$4995,'GSTR-2A'!$A$6:$A$10000,$S$3)</f>
        <v>0</v>
      </c>
      <c r="V82" s="487">
        <f>SUMIFS('GSTR-2A'!$M$6:$M$10000,'GSTR-2A'!$B$6:$B$10000,$C$5:$C$4995,'GSTR-2A'!$A$6:$A$10000,$S$3)</f>
        <v>34.6</v>
      </c>
      <c r="W82" s="488">
        <f>SUMIFS('GSTR-2A'!$N$6:$N$10000,'GSTR-2A'!$B$6:$B$10000,$C$5:$C$4995,'GSTR-2A'!$A$6:$A$10000,$S$3)</f>
        <v>34.6</v>
      </c>
      <c r="X82" s="486">
        <f>SUMIFS('GSTR-2A'!$G$6:$G$10000,'GSTR-2A'!$B$6:$B$10000,$C$5:$C$4995,'GSTR-2A'!$A$6:$A$10000,$X$3)</f>
        <v>998.92</v>
      </c>
      <c r="Y82" s="487">
        <f>SUMIFS('GSTR-2A'!$K$6:$K$10000,'GSTR-2A'!$B$6:$B$10000,$C$5:$C$4995,'GSTR-2A'!$A$6:$A$10000,$X$3)</f>
        <v>846.54</v>
      </c>
      <c r="Z82" s="487">
        <f>SUMIFS('GSTR-2A'!$L$6:$L$10000,'GSTR-2A'!$B$6:$B$10000,$C$5:$C$4995,'GSTR-2A'!$A$6:$A$10000,$X$3)</f>
        <v>0</v>
      </c>
      <c r="AA82" s="487">
        <f>SUMIFS('GSTR-2A'!$M$6:$M$10000,'GSTR-2A'!$B$6:$B$10000,$C$5:$C$4995,'GSTR-2A'!$A$6:$A$10000,$X$3)</f>
        <v>76.19</v>
      </c>
      <c r="AB82" s="488">
        <f>SUMIFS('GSTR-2A'!$N$6:$N$10000,'GSTR-2A'!$B$6:$B$10000,$C$5:$C$4995,'GSTR-2A'!$A$6:$A$10000,$X$3)</f>
        <v>76.19</v>
      </c>
      <c r="AC82" s="486">
        <f>SUMIFS('GSTR-2A'!$G$6:$G$10000,'GSTR-2A'!$B$6:$B$10000,$C$5:$C$4995,'GSTR-2A'!$A$6:$A$10000,$AC$3)</f>
        <v>0</v>
      </c>
      <c r="AD82" s="487">
        <f>SUMIFS('GSTR-2A'!$K$6:$K$10000,'GSTR-2A'!$B$6:$B$10000,$C$5:$C$4995,'GSTR-2A'!$A$6:$A$10000,$AC$3)</f>
        <v>0</v>
      </c>
      <c r="AE82" s="487">
        <f>SUMIFS('GSTR-2A'!$L$6:$L$10000,'GSTR-2A'!$B$6:$B$10000,$C$5:$C$4995,'GSTR-2A'!$A$6:$A$10000,$AC$3)</f>
        <v>0</v>
      </c>
      <c r="AF82" s="487">
        <f>SUMIFS('GSTR-2A'!$M$6:$M$10000,'GSTR-2A'!$B$6:$B$10000,$C$5:$C$4995,'GSTR-2A'!$A$6:$A$10000,$AC$3)</f>
        <v>0</v>
      </c>
      <c r="AG82" s="488">
        <f>SUMIFS('GSTR-2A'!$N$6:$N$10000,'GSTR-2A'!$B$6:$B$10000,$C$5:$C$4995,'GSTR-2A'!$A$6:$A$10000,$AC$3)</f>
        <v>0</v>
      </c>
      <c r="AH82" s="486">
        <f>SUMIFS('GSTR-2A'!$G$6:$G$10000,'GSTR-2A'!$B$6:$B$10000,$C$5:$C$4995,'GSTR-2A'!$A$6:$A$10000,$AH$3)</f>
        <v>0</v>
      </c>
      <c r="AI82" s="487">
        <f>SUMIFS('GSTR-2A'!$K$6:$K$10000,'GSTR-2A'!$B$6:$B$10000,$C$5:$C$4995,'GSTR-2A'!$A$6:$A$10000,$AH$3)</f>
        <v>0</v>
      </c>
      <c r="AJ82" s="487">
        <f>SUMIFS('GSTR-2A'!$L$6:$L$10000,'GSTR-2A'!$B$6:$B$10000,$C$5:$C$4995,'GSTR-2A'!$A$6:$A$10000,$AH$3)</f>
        <v>0</v>
      </c>
      <c r="AK82" s="487">
        <f>SUMIFS('GSTR-2A'!$M$6:$M$10000,'GSTR-2A'!$B$6:$B$10000,$C$5:$C$4995,'GSTR-2A'!$A$6:$A$10000,$AH$3)</f>
        <v>0</v>
      </c>
      <c r="AL82" s="488">
        <f>SUMIFS('GSTR-2A'!$N$6:$N$10000,'GSTR-2A'!$B$6:$B$10000,$C$5:$C$4995,'GSTR-2A'!$A$6:$A$10000,$AH$3)</f>
        <v>0</v>
      </c>
      <c r="AM82" s="486">
        <f>SUMIFS('GSTR-2A'!$G$6:$G$10000,'GSTR-2A'!$B$6:$B$10000,$C$5:$C$4995,'GSTR-2A'!$A$6:$A$10000,$AM$3)</f>
        <v>0</v>
      </c>
      <c r="AN82" s="487">
        <f>SUMIFS('GSTR-2A'!$K$6:$K$10000,'GSTR-2A'!$B$6:$B$10000,$C$5:$C$4995,'GSTR-2A'!$A$6:$A$10000,$AM$3)</f>
        <v>0</v>
      </c>
      <c r="AO82" s="487">
        <f>SUMIFS('GSTR-2A'!$L$6:$L$10000,'GSTR-2A'!$B$6:$B$10000,$C$5:$C$4995,'GSTR-2A'!$A$6:$A$10000,$AM$3)</f>
        <v>0</v>
      </c>
      <c r="AP82" s="487">
        <f>SUMIFS('GSTR-2A'!$M$6:$M$10000,'GSTR-2A'!$B$6:$B$10000,$C$5:$C$4995,'GSTR-2A'!$A$6:$A$10000,$AM$3)</f>
        <v>0</v>
      </c>
      <c r="AQ82" s="488">
        <f>SUMIFS('GSTR-2A'!$N$6:$N$10000,'GSTR-2A'!$B$6:$B$10000,$C$5:$C$4995,'GSTR-2A'!$A$6:$A$10000,$AM$3)</f>
        <v>0</v>
      </c>
      <c r="AR82" s="486">
        <f>SUMIFS('GSTR-2A'!$G$6:$G$10000,'GSTR-2A'!$B$6:$B$10000,$C$5:$C$4995,'GSTR-2A'!$A$6:$A$10000,$AR$3)</f>
        <v>0</v>
      </c>
      <c r="AS82" s="487">
        <f>SUMIFS('GSTR-2A'!$K$6:$K$10000,'GSTR-2A'!$B$6:$B$10000,$C$5:$C$4995,'GSTR-2A'!$A$6:$A$10000,$AR$3)</f>
        <v>0</v>
      </c>
      <c r="AT82" s="487">
        <f>SUMIFS('GSTR-2A'!$L$6:$L$10000,'GSTR-2A'!$B$6:$B$10000,$C$5:$C$4995,'GSTR-2A'!$A$6:$A$10000,$AR$3)</f>
        <v>0</v>
      </c>
      <c r="AU82" s="487">
        <f>SUMIFS('GSTR-2A'!$M$6:$M$10000,'GSTR-2A'!$B$6:$B$10000,$C$5:$C$4995,'GSTR-2A'!$A$6:$A$10000,$AR$3)</f>
        <v>0</v>
      </c>
      <c r="AV82" s="488">
        <f>SUMIFS('GSTR-2A'!$N$6:$N$10000,'GSTR-2A'!$B$6:$B$10000,$C$5:$C$4995,'GSTR-2A'!$A$6:$A$10000,$AR$3)</f>
        <v>0</v>
      </c>
      <c r="AW82" s="486">
        <f>SUMIFS('GSTR-2A'!$G$6:$G$10000,'GSTR-2A'!$B$6:$B$10000,$C$5:$C$4995,'GSTR-2A'!$A$6:$A$10000,$AW$3)</f>
        <v>0</v>
      </c>
      <c r="AX82" s="487">
        <f>SUMIFS('GSTR-2A'!$K$6:$K$10000,'GSTR-2A'!$B$6:$B$10000,$C$5:$C$4995,'GSTR-2A'!$A$6:$A$10000,$AW$3)</f>
        <v>0</v>
      </c>
      <c r="AY82" s="487">
        <f>SUMIFS('GSTR-2A'!$L$6:$L$10000,'GSTR-2A'!$B$6:$B$10000,$C$5:$C$4995,'GSTR-2A'!$A$6:$A$10000,$AW$3)</f>
        <v>0</v>
      </c>
      <c r="AZ82" s="487">
        <f>SUMIFS('GSTR-2A'!$M$6:$M$10000,'GSTR-2A'!$B$6:$B$10000,$C$5:$C$4995,'GSTR-2A'!$A$6:$A$10000,$AW$3)</f>
        <v>0</v>
      </c>
      <c r="BA82" s="488">
        <f>SUMIFS('GSTR-2A'!$N$6:$N$10000,'GSTR-2A'!$B$6:$B$10000,$C$5:$C$4995,'GSTR-2A'!$A$6:$A$10000,$AW$3)</f>
        <v>0</v>
      </c>
      <c r="BB82" s="486">
        <f>SUMIFS('GSTR-2A'!$G$6:$G$10000,'GSTR-2A'!$B$6:$B$10000,$C$5:$C$4995,'GSTR-2A'!$A$6:$A$10000,$BB$3)</f>
        <v>0</v>
      </c>
      <c r="BC82" s="487">
        <f>SUMIFS('GSTR-2A'!$K$6:$K$10000,'GSTR-2A'!$B$6:$B$10000,$C$5:$C$4995,'GSTR-2A'!$A$6:$A$10000,$BB$3)</f>
        <v>0</v>
      </c>
      <c r="BD82" s="487">
        <f>SUMIFS('GSTR-2A'!$L$6:$L$10000,'GSTR-2A'!$B$6:$B$10000,$C$5:$C$4995,'GSTR-2A'!$A$6:$A$10000,$BB$3)</f>
        <v>0</v>
      </c>
      <c r="BE82" s="487">
        <f>SUMIFS('GSTR-2A'!$M$6:$M$10000,'GSTR-2A'!$B$6:$B$10000,$C$5:$C$4995,'GSTR-2A'!$A$6:$A$10000,$BB$3)</f>
        <v>0</v>
      </c>
      <c r="BF82" s="488">
        <f>SUMIFS('GSTR-2A'!$N$6:$N$10000,'GSTR-2A'!$B$6:$B$10000,$C$5:$C$4995,'GSTR-2A'!$A$6:$A$10000,$BB$3)</f>
        <v>0</v>
      </c>
      <c r="BG82" s="486">
        <f>SUMIFS('GSTR-2A'!$G$6:$G$10000,'GSTR-2A'!$B$6:$B$10000,$C$5:$C$4995,'GSTR-2A'!$A$6:$A$10000,$BG$3)</f>
        <v>0</v>
      </c>
      <c r="BH82" s="487">
        <f>SUMIFS('GSTR-2A'!$K$6:$K$10000,'GSTR-2A'!$B$6:$B$10000,$C$5:$C$4995,'GSTR-2A'!$A$6:$A$10000,$BG$3)</f>
        <v>0</v>
      </c>
      <c r="BI82" s="487">
        <f>SUMIFS('GSTR-2A'!$L$6:$L$10000,'GSTR-2A'!$B$6:$B$10000,$C$5:$C$4995,'GSTR-2A'!$A$6:$A$10000,$BG$3)</f>
        <v>0</v>
      </c>
      <c r="BJ82" s="487">
        <f>SUMIFS('GSTR-2A'!$M$6:$M$10000,'GSTR-2A'!$B$6:$B$10000,$C$5:$C$4995,'GSTR-2A'!$A$6:$A$10000,$BG$3)</f>
        <v>0</v>
      </c>
      <c r="BK82" s="488">
        <f>SUMIFS('GSTR-2A'!$N$6:$N$10000,'GSTR-2A'!$B$6:$B$10000,$C$5:$C$4995,'GSTR-2A'!$A$6:$A$10000,$BG$3)</f>
        <v>0</v>
      </c>
      <c r="BL82" s="72">
        <f t="shared" si="7"/>
        <v>5952.68</v>
      </c>
      <c r="BM82" s="72">
        <f t="shared" si="8"/>
        <v>5044.6400000000003</v>
      </c>
      <c r="BN82" s="72">
        <f t="shared" si="9"/>
        <v>0</v>
      </c>
      <c r="BO82" s="72">
        <f t="shared" si="10"/>
        <v>454.02000000000004</v>
      </c>
      <c r="BP82" s="72">
        <f t="shared" si="11"/>
        <v>454.02000000000004</v>
      </c>
    </row>
    <row r="83" spans="1:68" x14ac:dyDescent="0.2">
      <c r="A83" s="467">
        <v>80</v>
      </c>
      <c r="B83" s="468" t="s">
        <v>673</v>
      </c>
      <c r="C83" s="479" t="s">
        <v>674</v>
      </c>
      <c r="D83" s="72">
        <f>SUMIFS('GSTR-2A'!$G$6:$G$10000,'GSTR-2A'!$B$6:$B$10000,$C$5:$C$4995,'GSTR-2A'!$A$6:$A$10000,$D$3)</f>
        <v>0</v>
      </c>
      <c r="E83" s="72">
        <f>SUMIFS('GSTR-2A'!$K$6:$K$10000,'GSTR-2A'!$B$6:$B$10000,$C$5:$C$4995,'GSTR-2A'!$A$6:$A$10000,$D$3)</f>
        <v>0</v>
      </c>
      <c r="F83" s="72">
        <f>SUMIFS('GSTR-2A'!$L$6:$L$10000,'GSTR-2A'!$B$6:$B$10000,$C$5:$C$4995,'GSTR-2A'!$A$6:$A$10000,$D$3)</f>
        <v>0</v>
      </c>
      <c r="G83" s="72">
        <f>SUMIFS('GSTR-2A'!$M$6:$M$10000,'GSTR-2A'!$B$6:$B$10000,$C$5:$C$4995,'GSTR-2A'!$A$6:$A$10000,$D$3)</f>
        <v>0</v>
      </c>
      <c r="H83" s="72">
        <f>SUMIFS('GSTR-2A'!$N$6:$N$10000,'GSTR-2A'!$B$6:$B$10000,$C$5:$C$4995,'GSTR-2A'!$A$6:$A$10000,$D$3)</f>
        <v>0</v>
      </c>
      <c r="I83" s="486">
        <f>SUMIFS('GSTR-2A'!$G$6:$G$10000,'GSTR-2A'!$B$6:$B$10000,$C$5:$C$4995,'GSTR-2A'!$A$6:$A$10000,$I$3)</f>
        <v>118206</v>
      </c>
      <c r="J83" s="487">
        <f>SUMIFS('GSTR-2A'!$K$6:$K$10000,'GSTR-2A'!$B$6:$B$10000,$C$5:$C$4995,'GSTR-2A'!$A$6:$A$10000,$I$3)</f>
        <v>57160</v>
      </c>
      <c r="K83" s="487">
        <f>SUMIFS('GSTR-2A'!$L$6:$L$10000,'GSTR-2A'!$B$6:$B$10000,$C$5:$C$4995,'GSTR-2A'!$A$6:$A$10000,$I$3)</f>
        <v>0</v>
      </c>
      <c r="L83" s="487">
        <f>SUMIFS('GSTR-2A'!$M$6:$M$10000,'GSTR-2A'!$B$6:$B$10000,$C$5:$C$4995,'GSTR-2A'!$A$6:$A$10000,$I$3)</f>
        <v>2209.14</v>
      </c>
      <c r="M83" s="488">
        <f>SUMIFS('GSTR-2A'!$N$6:$N$10000,'GSTR-2A'!$B$6:$B$10000,$C$5:$C$4995,'GSTR-2A'!$A$6:$A$10000,$I$3)</f>
        <v>2209.14</v>
      </c>
      <c r="N83" s="486">
        <f>SUMIFS('GSTR-2A'!$G$6:$G$10000,'GSTR-2A'!$B$6:$B$10000,$C$5:$C$4995,'GSTR-2A'!$A$6:$A$10000,$N$3)</f>
        <v>0</v>
      </c>
      <c r="O83" s="487">
        <f>SUMIFS('GSTR-2A'!$K$6:$K$10000,'GSTR-2A'!$B$6:$B$10000,$C$5:$C$4995,'GSTR-2A'!$A$6:$A$10000,$N$3)</f>
        <v>0</v>
      </c>
      <c r="P83" s="487">
        <f>SUMIFS('GSTR-2A'!$L$6:$L$10000,'GSTR-2A'!$B$6:$B$10000,$C$5:$C$4995,'GSTR-2A'!$A$6:$A$10000,$N$3)</f>
        <v>0</v>
      </c>
      <c r="Q83" s="487">
        <f>SUMIFS('GSTR-2A'!$M$6:$M$10000,'GSTR-2A'!$B$6:$B$10000,$C$5:$C$4995,'GSTR-2A'!$A$6:$A$10000,$N$3)</f>
        <v>0</v>
      </c>
      <c r="R83" s="488">
        <f>SUMIFS('GSTR-2A'!$N$6:$N$10000,'GSTR-2A'!$B$6:$B$10000,$C$5:$C$4995,'GSTR-2A'!$A$6:$A$10000,$N$3)</f>
        <v>0</v>
      </c>
      <c r="S83" s="486">
        <f>SUMIFS('GSTR-2A'!$G$6:$G$10000,'GSTR-2A'!$B$6:$B$10000,$C$5:$C$4995,'GSTR-2A'!$A$6:$A$10000,$S$3)</f>
        <v>0</v>
      </c>
      <c r="T83" s="487">
        <f>SUMIFS('GSTR-2A'!$K$6:$K$10000,'GSTR-2A'!$B$6:$B$10000,$C$5:$C$4995,'GSTR-2A'!$A$6:$A$10000,$S$3)</f>
        <v>0</v>
      </c>
      <c r="U83" s="487">
        <f>SUMIFS('GSTR-2A'!$L$6:$L$10000,'GSTR-2A'!$B$6:$B$10000,$C$5:$C$4995,'GSTR-2A'!$A$6:$A$10000,$S$3)</f>
        <v>0</v>
      </c>
      <c r="V83" s="487">
        <f>SUMIFS('GSTR-2A'!$M$6:$M$10000,'GSTR-2A'!$B$6:$B$10000,$C$5:$C$4995,'GSTR-2A'!$A$6:$A$10000,$S$3)</f>
        <v>0</v>
      </c>
      <c r="W83" s="488">
        <f>SUMIFS('GSTR-2A'!$N$6:$N$10000,'GSTR-2A'!$B$6:$B$10000,$C$5:$C$4995,'GSTR-2A'!$A$6:$A$10000,$S$3)</f>
        <v>0</v>
      </c>
      <c r="X83" s="486">
        <f>SUMIFS('GSTR-2A'!$G$6:$G$10000,'GSTR-2A'!$B$6:$B$10000,$C$5:$C$4995,'GSTR-2A'!$A$6:$A$10000,$X$3)</f>
        <v>0</v>
      </c>
      <c r="Y83" s="487">
        <f>SUMIFS('GSTR-2A'!$K$6:$K$10000,'GSTR-2A'!$B$6:$B$10000,$C$5:$C$4995,'GSTR-2A'!$A$6:$A$10000,$X$3)</f>
        <v>0</v>
      </c>
      <c r="Z83" s="487">
        <f>SUMIFS('GSTR-2A'!$L$6:$L$10000,'GSTR-2A'!$B$6:$B$10000,$C$5:$C$4995,'GSTR-2A'!$A$6:$A$10000,$X$3)</f>
        <v>0</v>
      </c>
      <c r="AA83" s="487">
        <f>SUMIFS('GSTR-2A'!$M$6:$M$10000,'GSTR-2A'!$B$6:$B$10000,$C$5:$C$4995,'GSTR-2A'!$A$6:$A$10000,$X$3)</f>
        <v>0</v>
      </c>
      <c r="AB83" s="488">
        <f>SUMIFS('GSTR-2A'!$N$6:$N$10000,'GSTR-2A'!$B$6:$B$10000,$C$5:$C$4995,'GSTR-2A'!$A$6:$A$10000,$X$3)</f>
        <v>0</v>
      </c>
      <c r="AC83" s="486">
        <f>SUMIFS('GSTR-2A'!$G$6:$G$10000,'GSTR-2A'!$B$6:$B$10000,$C$5:$C$4995,'GSTR-2A'!$A$6:$A$10000,$AC$3)</f>
        <v>184880</v>
      </c>
      <c r="AD83" s="487">
        <f>SUMIFS('GSTR-2A'!$K$6:$K$10000,'GSTR-2A'!$B$6:$B$10000,$C$5:$C$4995,'GSTR-2A'!$A$6:$A$10000,$AC$3)</f>
        <v>85189</v>
      </c>
      <c r="AE83" s="487">
        <f>SUMIFS('GSTR-2A'!$L$6:$L$10000,'GSTR-2A'!$B$6:$B$10000,$C$5:$C$4995,'GSTR-2A'!$A$6:$A$10000,$AC$3)</f>
        <v>0</v>
      </c>
      <c r="AF83" s="487">
        <f>SUMIFS('GSTR-2A'!$M$6:$M$10000,'GSTR-2A'!$B$6:$B$10000,$C$5:$C$4995,'GSTR-2A'!$A$6:$A$10000,$AC$3)</f>
        <v>3625.6499999999996</v>
      </c>
      <c r="AG83" s="488">
        <f>SUMIFS('GSTR-2A'!$N$6:$N$10000,'GSTR-2A'!$B$6:$B$10000,$C$5:$C$4995,'GSTR-2A'!$A$6:$A$10000,$AC$3)</f>
        <v>3625.6499999999996</v>
      </c>
      <c r="AH83" s="486">
        <f>SUMIFS('GSTR-2A'!$G$6:$G$10000,'GSTR-2A'!$B$6:$B$10000,$C$5:$C$4995,'GSTR-2A'!$A$6:$A$10000,$AH$3)</f>
        <v>0</v>
      </c>
      <c r="AI83" s="487">
        <f>SUMIFS('GSTR-2A'!$K$6:$K$10000,'GSTR-2A'!$B$6:$B$10000,$C$5:$C$4995,'GSTR-2A'!$A$6:$A$10000,$AH$3)</f>
        <v>0</v>
      </c>
      <c r="AJ83" s="487">
        <f>SUMIFS('GSTR-2A'!$L$6:$L$10000,'GSTR-2A'!$B$6:$B$10000,$C$5:$C$4995,'GSTR-2A'!$A$6:$A$10000,$AH$3)</f>
        <v>0</v>
      </c>
      <c r="AK83" s="487">
        <f>SUMIFS('GSTR-2A'!$M$6:$M$10000,'GSTR-2A'!$B$6:$B$10000,$C$5:$C$4995,'GSTR-2A'!$A$6:$A$10000,$AH$3)</f>
        <v>0</v>
      </c>
      <c r="AL83" s="488">
        <f>SUMIFS('GSTR-2A'!$N$6:$N$10000,'GSTR-2A'!$B$6:$B$10000,$C$5:$C$4995,'GSTR-2A'!$A$6:$A$10000,$AH$3)</f>
        <v>0</v>
      </c>
      <c r="AM83" s="486">
        <f>SUMIFS('GSTR-2A'!$G$6:$G$10000,'GSTR-2A'!$B$6:$B$10000,$C$5:$C$4995,'GSTR-2A'!$A$6:$A$10000,$AM$3)</f>
        <v>0</v>
      </c>
      <c r="AN83" s="487">
        <f>SUMIFS('GSTR-2A'!$K$6:$K$10000,'GSTR-2A'!$B$6:$B$10000,$C$5:$C$4995,'GSTR-2A'!$A$6:$A$10000,$AM$3)</f>
        <v>0</v>
      </c>
      <c r="AO83" s="487">
        <f>SUMIFS('GSTR-2A'!$L$6:$L$10000,'GSTR-2A'!$B$6:$B$10000,$C$5:$C$4995,'GSTR-2A'!$A$6:$A$10000,$AM$3)</f>
        <v>0</v>
      </c>
      <c r="AP83" s="487">
        <f>SUMIFS('GSTR-2A'!$M$6:$M$10000,'GSTR-2A'!$B$6:$B$10000,$C$5:$C$4995,'GSTR-2A'!$A$6:$A$10000,$AM$3)</f>
        <v>0</v>
      </c>
      <c r="AQ83" s="488">
        <f>SUMIFS('GSTR-2A'!$N$6:$N$10000,'GSTR-2A'!$B$6:$B$10000,$C$5:$C$4995,'GSTR-2A'!$A$6:$A$10000,$AM$3)</f>
        <v>0</v>
      </c>
      <c r="AR83" s="486">
        <f>SUMIFS('GSTR-2A'!$G$6:$G$10000,'GSTR-2A'!$B$6:$B$10000,$C$5:$C$4995,'GSTR-2A'!$A$6:$A$10000,$AR$3)</f>
        <v>0</v>
      </c>
      <c r="AS83" s="487">
        <f>SUMIFS('GSTR-2A'!$K$6:$K$10000,'GSTR-2A'!$B$6:$B$10000,$C$5:$C$4995,'GSTR-2A'!$A$6:$A$10000,$AR$3)</f>
        <v>0</v>
      </c>
      <c r="AT83" s="487">
        <f>SUMIFS('GSTR-2A'!$L$6:$L$10000,'GSTR-2A'!$B$6:$B$10000,$C$5:$C$4995,'GSTR-2A'!$A$6:$A$10000,$AR$3)</f>
        <v>0</v>
      </c>
      <c r="AU83" s="487">
        <f>SUMIFS('GSTR-2A'!$M$6:$M$10000,'GSTR-2A'!$B$6:$B$10000,$C$5:$C$4995,'GSTR-2A'!$A$6:$A$10000,$AR$3)</f>
        <v>0</v>
      </c>
      <c r="AV83" s="488">
        <f>SUMIFS('GSTR-2A'!$N$6:$N$10000,'GSTR-2A'!$B$6:$B$10000,$C$5:$C$4995,'GSTR-2A'!$A$6:$A$10000,$AR$3)</f>
        <v>0</v>
      </c>
      <c r="AW83" s="486">
        <f>SUMIFS('GSTR-2A'!$G$6:$G$10000,'GSTR-2A'!$B$6:$B$10000,$C$5:$C$4995,'GSTR-2A'!$A$6:$A$10000,$AW$3)</f>
        <v>0</v>
      </c>
      <c r="AX83" s="487">
        <f>SUMIFS('GSTR-2A'!$K$6:$K$10000,'GSTR-2A'!$B$6:$B$10000,$C$5:$C$4995,'GSTR-2A'!$A$6:$A$10000,$AW$3)</f>
        <v>0</v>
      </c>
      <c r="AY83" s="487">
        <f>SUMIFS('GSTR-2A'!$L$6:$L$10000,'GSTR-2A'!$B$6:$B$10000,$C$5:$C$4995,'GSTR-2A'!$A$6:$A$10000,$AW$3)</f>
        <v>0</v>
      </c>
      <c r="AZ83" s="487">
        <f>SUMIFS('GSTR-2A'!$M$6:$M$10000,'GSTR-2A'!$B$6:$B$10000,$C$5:$C$4995,'GSTR-2A'!$A$6:$A$10000,$AW$3)</f>
        <v>0</v>
      </c>
      <c r="BA83" s="488">
        <f>SUMIFS('GSTR-2A'!$N$6:$N$10000,'GSTR-2A'!$B$6:$B$10000,$C$5:$C$4995,'GSTR-2A'!$A$6:$A$10000,$AW$3)</f>
        <v>0</v>
      </c>
      <c r="BB83" s="486">
        <f>SUMIFS('GSTR-2A'!$G$6:$G$10000,'GSTR-2A'!$B$6:$B$10000,$C$5:$C$4995,'GSTR-2A'!$A$6:$A$10000,$BB$3)</f>
        <v>0</v>
      </c>
      <c r="BC83" s="487">
        <f>SUMIFS('GSTR-2A'!$K$6:$K$10000,'GSTR-2A'!$B$6:$B$10000,$C$5:$C$4995,'GSTR-2A'!$A$6:$A$10000,$BB$3)</f>
        <v>0</v>
      </c>
      <c r="BD83" s="487">
        <f>SUMIFS('GSTR-2A'!$L$6:$L$10000,'GSTR-2A'!$B$6:$B$10000,$C$5:$C$4995,'GSTR-2A'!$A$6:$A$10000,$BB$3)</f>
        <v>0</v>
      </c>
      <c r="BE83" s="487">
        <f>SUMIFS('GSTR-2A'!$M$6:$M$10000,'GSTR-2A'!$B$6:$B$10000,$C$5:$C$4995,'GSTR-2A'!$A$6:$A$10000,$BB$3)</f>
        <v>0</v>
      </c>
      <c r="BF83" s="488">
        <f>SUMIFS('GSTR-2A'!$N$6:$N$10000,'GSTR-2A'!$B$6:$B$10000,$C$5:$C$4995,'GSTR-2A'!$A$6:$A$10000,$BB$3)</f>
        <v>0</v>
      </c>
      <c r="BG83" s="486">
        <f>SUMIFS('GSTR-2A'!$G$6:$G$10000,'GSTR-2A'!$B$6:$B$10000,$C$5:$C$4995,'GSTR-2A'!$A$6:$A$10000,$BG$3)</f>
        <v>0</v>
      </c>
      <c r="BH83" s="487">
        <f>SUMIFS('GSTR-2A'!$K$6:$K$10000,'GSTR-2A'!$B$6:$B$10000,$C$5:$C$4995,'GSTR-2A'!$A$6:$A$10000,$BG$3)</f>
        <v>0</v>
      </c>
      <c r="BI83" s="487">
        <f>SUMIFS('GSTR-2A'!$L$6:$L$10000,'GSTR-2A'!$B$6:$B$10000,$C$5:$C$4995,'GSTR-2A'!$A$6:$A$10000,$BG$3)</f>
        <v>0</v>
      </c>
      <c r="BJ83" s="487">
        <f>SUMIFS('GSTR-2A'!$M$6:$M$10000,'GSTR-2A'!$B$6:$B$10000,$C$5:$C$4995,'GSTR-2A'!$A$6:$A$10000,$BG$3)</f>
        <v>0</v>
      </c>
      <c r="BK83" s="488">
        <f>SUMIFS('GSTR-2A'!$N$6:$N$10000,'GSTR-2A'!$B$6:$B$10000,$C$5:$C$4995,'GSTR-2A'!$A$6:$A$10000,$BG$3)</f>
        <v>0</v>
      </c>
      <c r="BL83" s="72">
        <f t="shared" si="7"/>
        <v>303086</v>
      </c>
      <c r="BM83" s="72">
        <f t="shared" si="8"/>
        <v>142349</v>
      </c>
      <c r="BN83" s="72">
        <f t="shared" si="9"/>
        <v>0</v>
      </c>
      <c r="BO83" s="72">
        <f t="shared" si="10"/>
        <v>5834.7899999999991</v>
      </c>
      <c r="BP83" s="72">
        <f t="shared" si="11"/>
        <v>5834.7899999999991</v>
      </c>
    </row>
    <row r="84" spans="1:68" x14ac:dyDescent="0.2">
      <c r="A84" s="467">
        <v>81</v>
      </c>
      <c r="B84" s="468" t="s">
        <v>629</v>
      </c>
      <c r="C84" s="469" t="s">
        <v>630</v>
      </c>
      <c r="D84" s="72">
        <f>SUMIFS('GSTR-2A'!$G$6:$G$10000,'GSTR-2A'!$B$6:$B$10000,$C$5:$C$4995,'GSTR-2A'!$A$6:$A$10000,$D$3)</f>
        <v>0</v>
      </c>
      <c r="E84" s="72">
        <f>SUMIFS('GSTR-2A'!$K$6:$K$10000,'GSTR-2A'!$B$6:$B$10000,$C$5:$C$4995,'GSTR-2A'!$A$6:$A$10000,$D$3)</f>
        <v>0</v>
      </c>
      <c r="F84" s="72">
        <f>SUMIFS('GSTR-2A'!$L$6:$L$10000,'GSTR-2A'!$B$6:$B$10000,$C$5:$C$4995,'GSTR-2A'!$A$6:$A$10000,$D$3)</f>
        <v>0</v>
      </c>
      <c r="G84" s="72">
        <f>SUMIFS('GSTR-2A'!$M$6:$M$10000,'GSTR-2A'!$B$6:$B$10000,$C$5:$C$4995,'GSTR-2A'!$A$6:$A$10000,$D$3)</f>
        <v>0</v>
      </c>
      <c r="H84" s="72">
        <f>SUMIFS('GSTR-2A'!$N$6:$N$10000,'GSTR-2A'!$B$6:$B$10000,$C$5:$C$4995,'GSTR-2A'!$A$6:$A$10000,$D$3)</f>
        <v>0</v>
      </c>
      <c r="I84" s="486">
        <f>SUMIFS('GSTR-2A'!$G$6:$G$10000,'GSTR-2A'!$B$6:$B$10000,$C$5:$C$4995,'GSTR-2A'!$A$6:$A$10000,$I$3)</f>
        <v>0</v>
      </c>
      <c r="J84" s="487">
        <f>SUMIFS('GSTR-2A'!$K$6:$K$10000,'GSTR-2A'!$B$6:$B$10000,$C$5:$C$4995,'GSTR-2A'!$A$6:$A$10000,$I$3)</f>
        <v>0</v>
      </c>
      <c r="K84" s="487">
        <f>SUMIFS('GSTR-2A'!$L$6:$L$10000,'GSTR-2A'!$B$6:$B$10000,$C$5:$C$4995,'GSTR-2A'!$A$6:$A$10000,$I$3)</f>
        <v>0</v>
      </c>
      <c r="L84" s="487">
        <f>SUMIFS('GSTR-2A'!$M$6:$M$10000,'GSTR-2A'!$B$6:$B$10000,$C$5:$C$4995,'GSTR-2A'!$A$6:$A$10000,$I$3)</f>
        <v>0</v>
      </c>
      <c r="M84" s="488">
        <f>SUMIFS('GSTR-2A'!$N$6:$N$10000,'GSTR-2A'!$B$6:$B$10000,$C$5:$C$4995,'GSTR-2A'!$A$6:$A$10000,$I$3)</f>
        <v>0</v>
      </c>
      <c r="N84" s="486">
        <f>SUMIFS('GSTR-2A'!$G$6:$G$10000,'GSTR-2A'!$B$6:$B$10000,$C$5:$C$4995,'GSTR-2A'!$A$6:$A$10000,$N$3)</f>
        <v>2360</v>
      </c>
      <c r="O84" s="487">
        <f>SUMIFS('GSTR-2A'!$K$6:$K$10000,'GSTR-2A'!$B$6:$B$10000,$C$5:$C$4995,'GSTR-2A'!$A$6:$A$10000,$N$3)</f>
        <v>2000</v>
      </c>
      <c r="P84" s="487">
        <f>SUMIFS('GSTR-2A'!$L$6:$L$10000,'GSTR-2A'!$B$6:$B$10000,$C$5:$C$4995,'GSTR-2A'!$A$6:$A$10000,$N$3)</f>
        <v>0</v>
      </c>
      <c r="Q84" s="487">
        <f>SUMIFS('GSTR-2A'!$M$6:$M$10000,'GSTR-2A'!$B$6:$B$10000,$C$5:$C$4995,'GSTR-2A'!$A$6:$A$10000,$N$3)</f>
        <v>180</v>
      </c>
      <c r="R84" s="488">
        <f>SUMIFS('GSTR-2A'!$N$6:$N$10000,'GSTR-2A'!$B$6:$B$10000,$C$5:$C$4995,'GSTR-2A'!$A$6:$A$10000,$N$3)</f>
        <v>180</v>
      </c>
      <c r="S84" s="486">
        <f>SUMIFS('GSTR-2A'!$G$6:$G$10000,'GSTR-2A'!$B$6:$B$10000,$C$5:$C$4995,'GSTR-2A'!$A$6:$A$10000,$S$3)</f>
        <v>0</v>
      </c>
      <c r="T84" s="487">
        <f>SUMIFS('GSTR-2A'!$K$6:$K$10000,'GSTR-2A'!$B$6:$B$10000,$C$5:$C$4995,'GSTR-2A'!$A$6:$A$10000,$S$3)</f>
        <v>0</v>
      </c>
      <c r="U84" s="487">
        <f>SUMIFS('GSTR-2A'!$L$6:$L$10000,'GSTR-2A'!$B$6:$B$10000,$C$5:$C$4995,'GSTR-2A'!$A$6:$A$10000,$S$3)</f>
        <v>0</v>
      </c>
      <c r="V84" s="487">
        <f>SUMIFS('GSTR-2A'!$M$6:$M$10000,'GSTR-2A'!$B$6:$B$10000,$C$5:$C$4995,'GSTR-2A'!$A$6:$A$10000,$S$3)</f>
        <v>0</v>
      </c>
      <c r="W84" s="488">
        <f>SUMIFS('GSTR-2A'!$N$6:$N$10000,'GSTR-2A'!$B$6:$B$10000,$C$5:$C$4995,'GSTR-2A'!$A$6:$A$10000,$S$3)</f>
        <v>0</v>
      </c>
      <c r="X84" s="486">
        <f>SUMIFS('GSTR-2A'!$G$6:$G$10000,'GSTR-2A'!$B$6:$B$10000,$C$5:$C$4995,'GSTR-2A'!$A$6:$A$10000,$X$3)</f>
        <v>0</v>
      </c>
      <c r="Y84" s="487">
        <f>SUMIFS('GSTR-2A'!$K$6:$K$10000,'GSTR-2A'!$B$6:$B$10000,$C$5:$C$4995,'GSTR-2A'!$A$6:$A$10000,$X$3)</f>
        <v>0</v>
      </c>
      <c r="Z84" s="487">
        <f>SUMIFS('GSTR-2A'!$L$6:$L$10000,'GSTR-2A'!$B$6:$B$10000,$C$5:$C$4995,'GSTR-2A'!$A$6:$A$10000,$X$3)</f>
        <v>0</v>
      </c>
      <c r="AA84" s="487">
        <f>SUMIFS('GSTR-2A'!$M$6:$M$10000,'GSTR-2A'!$B$6:$B$10000,$C$5:$C$4995,'GSTR-2A'!$A$6:$A$10000,$X$3)</f>
        <v>0</v>
      </c>
      <c r="AB84" s="488">
        <f>SUMIFS('GSTR-2A'!$N$6:$N$10000,'GSTR-2A'!$B$6:$B$10000,$C$5:$C$4995,'GSTR-2A'!$A$6:$A$10000,$X$3)</f>
        <v>0</v>
      </c>
      <c r="AC84" s="486">
        <f>SUMIFS('GSTR-2A'!$G$6:$G$10000,'GSTR-2A'!$B$6:$B$10000,$C$5:$C$4995,'GSTR-2A'!$A$6:$A$10000,$AC$3)</f>
        <v>708</v>
      </c>
      <c r="AD84" s="487">
        <f>SUMIFS('GSTR-2A'!$K$6:$K$10000,'GSTR-2A'!$B$6:$B$10000,$C$5:$C$4995,'GSTR-2A'!$A$6:$A$10000,$AC$3)</f>
        <v>600</v>
      </c>
      <c r="AE84" s="487">
        <f>SUMIFS('GSTR-2A'!$L$6:$L$10000,'GSTR-2A'!$B$6:$B$10000,$C$5:$C$4995,'GSTR-2A'!$A$6:$A$10000,$AC$3)</f>
        <v>0</v>
      </c>
      <c r="AF84" s="487">
        <f>SUMIFS('GSTR-2A'!$M$6:$M$10000,'GSTR-2A'!$B$6:$B$10000,$C$5:$C$4995,'GSTR-2A'!$A$6:$A$10000,$AC$3)</f>
        <v>54</v>
      </c>
      <c r="AG84" s="488">
        <f>SUMIFS('GSTR-2A'!$N$6:$N$10000,'GSTR-2A'!$B$6:$B$10000,$C$5:$C$4995,'GSTR-2A'!$A$6:$A$10000,$AC$3)</f>
        <v>54</v>
      </c>
      <c r="AH84" s="486">
        <f>SUMIFS('GSTR-2A'!$G$6:$G$10000,'GSTR-2A'!$B$6:$B$10000,$C$5:$C$4995,'GSTR-2A'!$A$6:$A$10000,$AH$3)</f>
        <v>0</v>
      </c>
      <c r="AI84" s="487">
        <f>SUMIFS('GSTR-2A'!$K$6:$K$10000,'GSTR-2A'!$B$6:$B$10000,$C$5:$C$4995,'GSTR-2A'!$A$6:$A$10000,$AH$3)</f>
        <v>0</v>
      </c>
      <c r="AJ84" s="487">
        <f>SUMIFS('GSTR-2A'!$L$6:$L$10000,'GSTR-2A'!$B$6:$B$10000,$C$5:$C$4995,'GSTR-2A'!$A$6:$A$10000,$AH$3)</f>
        <v>0</v>
      </c>
      <c r="AK84" s="487">
        <f>SUMIFS('GSTR-2A'!$M$6:$M$10000,'GSTR-2A'!$B$6:$B$10000,$C$5:$C$4995,'GSTR-2A'!$A$6:$A$10000,$AH$3)</f>
        <v>0</v>
      </c>
      <c r="AL84" s="488">
        <f>SUMIFS('GSTR-2A'!$N$6:$N$10000,'GSTR-2A'!$B$6:$B$10000,$C$5:$C$4995,'GSTR-2A'!$A$6:$A$10000,$AH$3)</f>
        <v>0</v>
      </c>
      <c r="AM84" s="486">
        <f>SUMIFS('GSTR-2A'!$G$6:$G$10000,'GSTR-2A'!$B$6:$B$10000,$C$5:$C$4995,'GSTR-2A'!$A$6:$A$10000,$AM$3)</f>
        <v>0</v>
      </c>
      <c r="AN84" s="487">
        <f>SUMIFS('GSTR-2A'!$K$6:$K$10000,'GSTR-2A'!$B$6:$B$10000,$C$5:$C$4995,'GSTR-2A'!$A$6:$A$10000,$AM$3)</f>
        <v>0</v>
      </c>
      <c r="AO84" s="487">
        <f>SUMIFS('GSTR-2A'!$L$6:$L$10000,'GSTR-2A'!$B$6:$B$10000,$C$5:$C$4995,'GSTR-2A'!$A$6:$A$10000,$AM$3)</f>
        <v>0</v>
      </c>
      <c r="AP84" s="487">
        <f>SUMIFS('GSTR-2A'!$M$6:$M$10000,'GSTR-2A'!$B$6:$B$10000,$C$5:$C$4995,'GSTR-2A'!$A$6:$A$10000,$AM$3)</f>
        <v>0</v>
      </c>
      <c r="AQ84" s="488">
        <f>SUMIFS('GSTR-2A'!$N$6:$N$10000,'GSTR-2A'!$B$6:$B$10000,$C$5:$C$4995,'GSTR-2A'!$A$6:$A$10000,$AM$3)</f>
        <v>0</v>
      </c>
      <c r="AR84" s="486">
        <f>SUMIFS('GSTR-2A'!$G$6:$G$10000,'GSTR-2A'!$B$6:$B$10000,$C$5:$C$4995,'GSTR-2A'!$A$6:$A$10000,$AR$3)</f>
        <v>0</v>
      </c>
      <c r="AS84" s="487">
        <f>SUMIFS('GSTR-2A'!$K$6:$K$10000,'GSTR-2A'!$B$6:$B$10000,$C$5:$C$4995,'GSTR-2A'!$A$6:$A$10000,$AR$3)</f>
        <v>0</v>
      </c>
      <c r="AT84" s="487">
        <f>SUMIFS('GSTR-2A'!$L$6:$L$10000,'GSTR-2A'!$B$6:$B$10000,$C$5:$C$4995,'GSTR-2A'!$A$6:$A$10000,$AR$3)</f>
        <v>0</v>
      </c>
      <c r="AU84" s="487">
        <f>SUMIFS('GSTR-2A'!$M$6:$M$10000,'GSTR-2A'!$B$6:$B$10000,$C$5:$C$4995,'GSTR-2A'!$A$6:$A$10000,$AR$3)</f>
        <v>0</v>
      </c>
      <c r="AV84" s="488">
        <f>SUMIFS('GSTR-2A'!$N$6:$N$10000,'GSTR-2A'!$B$6:$B$10000,$C$5:$C$4995,'GSTR-2A'!$A$6:$A$10000,$AR$3)</f>
        <v>0</v>
      </c>
      <c r="AW84" s="486">
        <f>SUMIFS('GSTR-2A'!$G$6:$G$10000,'GSTR-2A'!$B$6:$B$10000,$C$5:$C$4995,'GSTR-2A'!$A$6:$A$10000,$AW$3)</f>
        <v>0</v>
      </c>
      <c r="AX84" s="487">
        <f>SUMIFS('GSTR-2A'!$K$6:$K$10000,'GSTR-2A'!$B$6:$B$10000,$C$5:$C$4995,'GSTR-2A'!$A$6:$A$10000,$AW$3)</f>
        <v>0</v>
      </c>
      <c r="AY84" s="487">
        <f>SUMIFS('GSTR-2A'!$L$6:$L$10000,'GSTR-2A'!$B$6:$B$10000,$C$5:$C$4995,'GSTR-2A'!$A$6:$A$10000,$AW$3)</f>
        <v>0</v>
      </c>
      <c r="AZ84" s="487">
        <f>SUMIFS('GSTR-2A'!$M$6:$M$10000,'GSTR-2A'!$B$6:$B$10000,$C$5:$C$4995,'GSTR-2A'!$A$6:$A$10000,$AW$3)</f>
        <v>0</v>
      </c>
      <c r="BA84" s="488">
        <f>SUMIFS('GSTR-2A'!$N$6:$N$10000,'GSTR-2A'!$B$6:$B$10000,$C$5:$C$4995,'GSTR-2A'!$A$6:$A$10000,$AW$3)</f>
        <v>0</v>
      </c>
      <c r="BB84" s="486">
        <f>SUMIFS('GSTR-2A'!$G$6:$G$10000,'GSTR-2A'!$B$6:$B$10000,$C$5:$C$4995,'GSTR-2A'!$A$6:$A$10000,$BB$3)</f>
        <v>0</v>
      </c>
      <c r="BC84" s="487">
        <f>SUMIFS('GSTR-2A'!$K$6:$K$10000,'GSTR-2A'!$B$6:$B$10000,$C$5:$C$4995,'GSTR-2A'!$A$6:$A$10000,$BB$3)</f>
        <v>0</v>
      </c>
      <c r="BD84" s="487">
        <f>SUMIFS('GSTR-2A'!$L$6:$L$10000,'GSTR-2A'!$B$6:$B$10000,$C$5:$C$4995,'GSTR-2A'!$A$6:$A$10000,$BB$3)</f>
        <v>0</v>
      </c>
      <c r="BE84" s="487">
        <f>SUMIFS('GSTR-2A'!$M$6:$M$10000,'GSTR-2A'!$B$6:$B$10000,$C$5:$C$4995,'GSTR-2A'!$A$6:$A$10000,$BB$3)</f>
        <v>0</v>
      </c>
      <c r="BF84" s="488">
        <f>SUMIFS('GSTR-2A'!$N$6:$N$10000,'GSTR-2A'!$B$6:$B$10000,$C$5:$C$4995,'GSTR-2A'!$A$6:$A$10000,$BB$3)</f>
        <v>0</v>
      </c>
      <c r="BG84" s="486">
        <f>SUMIFS('GSTR-2A'!$G$6:$G$10000,'GSTR-2A'!$B$6:$B$10000,$C$5:$C$4995,'GSTR-2A'!$A$6:$A$10000,$BG$3)</f>
        <v>0</v>
      </c>
      <c r="BH84" s="487">
        <f>SUMIFS('GSTR-2A'!$K$6:$K$10000,'GSTR-2A'!$B$6:$B$10000,$C$5:$C$4995,'GSTR-2A'!$A$6:$A$10000,$BG$3)</f>
        <v>0</v>
      </c>
      <c r="BI84" s="487">
        <f>SUMIFS('GSTR-2A'!$L$6:$L$10000,'GSTR-2A'!$B$6:$B$10000,$C$5:$C$4995,'GSTR-2A'!$A$6:$A$10000,$BG$3)</f>
        <v>0</v>
      </c>
      <c r="BJ84" s="487">
        <f>SUMIFS('GSTR-2A'!$M$6:$M$10000,'GSTR-2A'!$B$6:$B$10000,$C$5:$C$4995,'GSTR-2A'!$A$6:$A$10000,$BG$3)</f>
        <v>0</v>
      </c>
      <c r="BK84" s="488">
        <f>SUMIFS('GSTR-2A'!$N$6:$N$10000,'GSTR-2A'!$B$6:$B$10000,$C$5:$C$4995,'GSTR-2A'!$A$6:$A$10000,$BG$3)</f>
        <v>0</v>
      </c>
      <c r="BL84" s="72">
        <f t="shared" si="7"/>
        <v>3068</v>
      </c>
      <c r="BM84" s="72">
        <f t="shared" si="8"/>
        <v>2600</v>
      </c>
      <c r="BN84" s="72">
        <f t="shared" si="9"/>
        <v>0</v>
      </c>
      <c r="BO84" s="72">
        <f t="shared" si="10"/>
        <v>234</v>
      </c>
      <c r="BP84" s="72">
        <f t="shared" si="11"/>
        <v>234</v>
      </c>
    </row>
    <row r="85" spans="1:68" x14ac:dyDescent="0.2">
      <c r="A85" s="467">
        <v>82</v>
      </c>
      <c r="B85" s="479" t="s">
        <v>695</v>
      </c>
      <c r="C85" s="479" t="s">
        <v>696</v>
      </c>
      <c r="D85" s="72">
        <f>SUMIFS('GSTR-2A'!$G$6:$G$10000,'GSTR-2A'!$B$6:$B$10000,$C$5:$C$4995,'GSTR-2A'!$A$6:$A$10000,$D$3)</f>
        <v>0</v>
      </c>
      <c r="E85" s="72">
        <f>SUMIFS('GSTR-2A'!$K$6:$K$10000,'GSTR-2A'!$B$6:$B$10000,$C$5:$C$4995,'GSTR-2A'!$A$6:$A$10000,$D$3)</f>
        <v>0</v>
      </c>
      <c r="F85" s="72">
        <f>SUMIFS('GSTR-2A'!$L$6:$L$10000,'GSTR-2A'!$B$6:$B$10000,$C$5:$C$4995,'GSTR-2A'!$A$6:$A$10000,$D$3)</f>
        <v>0</v>
      </c>
      <c r="G85" s="72">
        <f>SUMIFS('GSTR-2A'!$M$6:$M$10000,'GSTR-2A'!$B$6:$B$10000,$C$5:$C$4995,'GSTR-2A'!$A$6:$A$10000,$D$3)</f>
        <v>0</v>
      </c>
      <c r="H85" s="72">
        <f>SUMIFS('GSTR-2A'!$N$6:$N$10000,'GSTR-2A'!$B$6:$B$10000,$C$5:$C$4995,'GSTR-2A'!$A$6:$A$10000,$D$3)</f>
        <v>0</v>
      </c>
      <c r="I85" s="486">
        <f>SUMIFS('GSTR-2A'!$G$6:$G$10000,'GSTR-2A'!$B$6:$B$10000,$C$5:$C$4995,'GSTR-2A'!$A$6:$A$10000,$I$3)</f>
        <v>0</v>
      </c>
      <c r="J85" s="487">
        <f>SUMIFS('GSTR-2A'!$K$6:$K$10000,'GSTR-2A'!$B$6:$B$10000,$C$5:$C$4995,'GSTR-2A'!$A$6:$A$10000,$I$3)</f>
        <v>0</v>
      </c>
      <c r="K85" s="487">
        <f>SUMIFS('GSTR-2A'!$L$6:$L$10000,'GSTR-2A'!$B$6:$B$10000,$C$5:$C$4995,'GSTR-2A'!$A$6:$A$10000,$I$3)</f>
        <v>0</v>
      </c>
      <c r="L85" s="487">
        <f>SUMIFS('GSTR-2A'!$M$6:$M$10000,'GSTR-2A'!$B$6:$B$10000,$C$5:$C$4995,'GSTR-2A'!$A$6:$A$10000,$I$3)</f>
        <v>0</v>
      </c>
      <c r="M85" s="488">
        <f>SUMIFS('GSTR-2A'!$N$6:$N$10000,'GSTR-2A'!$B$6:$B$10000,$C$5:$C$4995,'GSTR-2A'!$A$6:$A$10000,$I$3)</f>
        <v>0</v>
      </c>
      <c r="N85" s="486">
        <f>SUMIFS('GSTR-2A'!$G$6:$G$10000,'GSTR-2A'!$B$6:$B$10000,$C$5:$C$4995,'GSTR-2A'!$A$6:$A$10000,$N$3)</f>
        <v>0</v>
      </c>
      <c r="O85" s="487">
        <f>SUMIFS('GSTR-2A'!$K$6:$K$10000,'GSTR-2A'!$B$6:$B$10000,$C$5:$C$4995,'GSTR-2A'!$A$6:$A$10000,$N$3)</f>
        <v>0</v>
      </c>
      <c r="P85" s="487">
        <f>SUMIFS('GSTR-2A'!$L$6:$L$10000,'GSTR-2A'!$B$6:$B$10000,$C$5:$C$4995,'GSTR-2A'!$A$6:$A$10000,$N$3)</f>
        <v>0</v>
      </c>
      <c r="Q85" s="487">
        <f>SUMIFS('GSTR-2A'!$M$6:$M$10000,'GSTR-2A'!$B$6:$B$10000,$C$5:$C$4995,'GSTR-2A'!$A$6:$A$10000,$N$3)</f>
        <v>0</v>
      </c>
      <c r="R85" s="488">
        <f>SUMIFS('GSTR-2A'!$N$6:$N$10000,'GSTR-2A'!$B$6:$B$10000,$C$5:$C$4995,'GSTR-2A'!$A$6:$A$10000,$N$3)</f>
        <v>0</v>
      </c>
      <c r="S85" s="486">
        <f>SUMIFS('GSTR-2A'!$G$6:$G$10000,'GSTR-2A'!$B$6:$B$10000,$C$5:$C$4995,'GSTR-2A'!$A$6:$A$10000,$S$3)</f>
        <v>0</v>
      </c>
      <c r="T85" s="487">
        <f>SUMIFS('GSTR-2A'!$K$6:$K$10000,'GSTR-2A'!$B$6:$B$10000,$C$5:$C$4995,'GSTR-2A'!$A$6:$A$10000,$S$3)</f>
        <v>0</v>
      </c>
      <c r="U85" s="487">
        <f>SUMIFS('GSTR-2A'!$L$6:$L$10000,'GSTR-2A'!$B$6:$B$10000,$C$5:$C$4995,'GSTR-2A'!$A$6:$A$10000,$S$3)</f>
        <v>0</v>
      </c>
      <c r="V85" s="487">
        <f>SUMIFS('GSTR-2A'!$M$6:$M$10000,'GSTR-2A'!$B$6:$B$10000,$C$5:$C$4995,'GSTR-2A'!$A$6:$A$10000,$S$3)</f>
        <v>0</v>
      </c>
      <c r="W85" s="488">
        <f>SUMIFS('GSTR-2A'!$N$6:$N$10000,'GSTR-2A'!$B$6:$B$10000,$C$5:$C$4995,'GSTR-2A'!$A$6:$A$10000,$S$3)</f>
        <v>0</v>
      </c>
      <c r="X85" s="486">
        <f>SUMIFS('GSTR-2A'!$G$6:$G$10000,'GSTR-2A'!$B$6:$B$10000,$C$5:$C$4995,'GSTR-2A'!$A$6:$A$10000,$X$3)</f>
        <v>0</v>
      </c>
      <c r="Y85" s="487">
        <f>SUMIFS('GSTR-2A'!$K$6:$K$10000,'GSTR-2A'!$B$6:$B$10000,$C$5:$C$4995,'GSTR-2A'!$A$6:$A$10000,$X$3)</f>
        <v>0</v>
      </c>
      <c r="Z85" s="487">
        <f>SUMIFS('GSTR-2A'!$L$6:$L$10000,'GSTR-2A'!$B$6:$B$10000,$C$5:$C$4995,'GSTR-2A'!$A$6:$A$10000,$X$3)</f>
        <v>0</v>
      </c>
      <c r="AA85" s="487">
        <f>SUMIFS('GSTR-2A'!$M$6:$M$10000,'GSTR-2A'!$B$6:$B$10000,$C$5:$C$4995,'GSTR-2A'!$A$6:$A$10000,$X$3)</f>
        <v>0</v>
      </c>
      <c r="AB85" s="488">
        <f>SUMIFS('GSTR-2A'!$N$6:$N$10000,'GSTR-2A'!$B$6:$B$10000,$C$5:$C$4995,'GSTR-2A'!$A$6:$A$10000,$X$3)</f>
        <v>0</v>
      </c>
      <c r="AC85" s="486">
        <f>SUMIFS('GSTR-2A'!$G$6:$G$10000,'GSTR-2A'!$B$6:$B$10000,$C$5:$C$4995,'GSTR-2A'!$A$6:$A$10000,$AC$3)</f>
        <v>0</v>
      </c>
      <c r="AD85" s="487">
        <f>SUMIFS('GSTR-2A'!$K$6:$K$10000,'GSTR-2A'!$B$6:$B$10000,$C$5:$C$4995,'GSTR-2A'!$A$6:$A$10000,$AC$3)</f>
        <v>0</v>
      </c>
      <c r="AE85" s="487">
        <f>SUMIFS('GSTR-2A'!$L$6:$L$10000,'GSTR-2A'!$B$6:$B$10000,$C$5:$C$4995,'GSTR-2A'!$A$6:$A$10000,$AC$3)</f>
        <v>0</v>
      </c>
      <c r="AF85" s="487">
        <f>SUMIFS('GSTR-2A'!$M$6:$M$10000,'GSTR-2A'!$B$6:$B$10000,$C$5:$C$4995,'GSTR-2A'!$A$6:$A$10000,$AC$3)</f>
        <v>0</v>
      </c>
      <c r="AG85" s="488">
        <f>SUMIFS('GSTR-2A'!$N$6:$N$10000,'GSTR-2A'!$B$6:$B$10000,$C$5:$C$4995,'GSTR-2A'!$A$6:$A$10000,$AC$3)</f>
        <v>0</v>
      </c>
      <c r="AH85" s="486">
        <f>SUMIFS('GSTR-2A'!$G$6:$G$10000,'GSTR-2A'!$B$6:$B$10000,$C$5:$C$4995,'GSTR-2A'!$A$6:$A$10000,$AH$3)</f>
        <v>0</v>
      </c>
      <c r="AI85" s="487">
        <f>SUMIFS('GSTR-2A'!$K$6:$K$10000,'GSTR-2A'!$B$6:$B$10000,$C$5:$C$4995,'GSTR-2A'!$A$6:$A$10000,$AH$3)</f>
        <v>0</v>
      </c>
      <c r="AJ85" s="487">
        <f>SUMIFS('GSTR-2A'!$L$6:$L$10000,'GSTR-2A'!$B$6:$B$10000,$C$5:$C$4995,'GSTR-2A'!$A$6:$A$10000,$AH$3)</f>
        <v>0</v>
      </c>
      <c r="AK85" s="487">
        <f>SUMIFS('GSTR-2A'!$M$6:$M$10000,'GSTR-2A'!$B$6:$B$10000,$C$5:$C$4995,'GSTR-2A'!$A$6:$A$10000,$AH$3)</f>
        <v>0</v>
      </c>
      <c r="AL85" s="488">
        <f>SUMIFS('GSTR-2A'!$N$6:$N$10000,'GSTR-2A'!$B$6:$B$10000,$C$5:$C$4995,'GSTR-2A'!$A$6:$A$10000,$AH$3)</f>
        <v>0</v>
      </c>
      <c r="AM85" s="486">
        <f>SUMIFS('GSTR-2A'!$G$6:$G$10000,'GSTR-2A'!$B$6:$B$10000,$C$5:$C$4995,'GSTR-2A'!$A$6:$A$10000,$AM$3)</f>
        <v>0</v>
      </c>
      <c r="AN85" s="487">
        <f>SUMIFS('GSTR-2A'!$K$6:$K$10000,'GSTR-2A'!$B$6:$B$10000,$C$5:$C$4995,'GSTR-2A'!$A$6:$A$10000,$AM$3)</f>
        <v>0</v>
      </c>
      <c r="AO85" s="487">
        <f>SUMIFS('GSTR-2A'!$L$6:$L$10000,'GSTR-2A'!$B$6:$B$10000,$C$5:$C$4995,'GSTR-2A'!$A$6:$A$10000,$AM$3)</f>
        <v>0</v>
      </c>
      <c r="AP85" s="487">
        <f>SUMIFS('GSTR-2A'!$M$6:$M$10000,'GSTR-2A'!$B$6:$B$10000,$C$5:$C$4995,'GSTR-2A'!$A$6:$A$10000,$AM$3)</f>
        <v>0</v>
      </c>
      <c r="AQ85" s="488">
        <f>SUMIFS('GSTR-2A'!$N$6:$N$10000,'GSTR-2A'!$B$6:$B$10000,$C$5:$C$4995,'GSTR-2A'!$A$6:$A$10000,$AM$3)</f>
        <v>0</v>
      </c>
      <c r="AR85" s="486">
        <f>SUMIFS('GSTR-2A'!$G$6:$G$10000,'GSTR-2A'!$B$6:$B$10000,$C$5:$C$4995,'GSTR-2A'!$A$6:$A$10000,$AR$3)</f>
        <v>0</v>
      </c>
      <c r="AS85" s="487">
        <f>SUMIFS('GSTR-2A'!$K$6:$K$10000,'GSTR-2A'!$B$6:$B$10000,$C$5:$C$4995,'GSTR-2A'!$A$6:$A$10000,$AR$3)</f>
        <v>0</v>
      </c>
      <c r="AT85" s="487">
        <f>SUMIFS('GSTR-2A'!$L$6:$L$10000,'GSTR-2A'!$B$6:$B$10000,$C$5:$C$4995,'GSTR-2A'!$A$6:$A$10000,$AR$3)</f>
        <v>0</v>
      </c>
      <c r="AU85" s="487">
        <f>SUMIFS('GSTR-2A'!$M$6:$M$10000,'GSTR-2A'!$B$6:$B$10000,$C$5:$C$4995,'GSTR-2A'!$A$6:$A$10000,$AR$3)</f>
        <v>0</v>
      </c>
      <c r="AV85" s="488">
        <f>SUMIFS('GSTR-2A'!$N$6:$N$10000,'GSTR-2A'!$B$6:$B$10000,$C$5:$C$4995,'GSTR-2A'!$A$6:$A$10000,$AR$3)</f>
        <v>0</v>
      </c>
      <c r="AW85" s="486">
        <f>SUMIFS('GSTR-2A'!$G$6:$G$10000,'GSTR-2A'!$B$6:$B$10000,$C$5:$C$4995,'GSTR-2A'!$A$6:$A$10000,$AW$3)</f>
        <v>0</v>
      </c>
      <c r="AX85" s="487">
        <f>SUMIFS('GSTR-2A'!$K$6:$K$10000,'GSTR-2A'!$B$6:$B$10000,$C$5:$C$4995,'GSTR-2A'!$A$6:$A$10000,$AW$3)</f>
        <v>0</v>
      </c>
      <c r="AY85" s="487">
        <f>SUMIFS('GSTR-2A'!$L$6:$L$10000,'GSTR-2A'!$B$6:$B$10000,$C$5:$C$4995,'GSTR-2A'!$A$6:$A$10000,$AW$3)</f>
        <v>0</v>
      </c>
      <c r="AZ85" s="487">
        <f>SUMIFS('GSTR-2A'!$M$6:$M$10000,'GSTR-2A'!$B$6:$B$10000,$C$5:$C$4995,'GSTR-2A'!$A$6:$A$10000,$AW$3)</f>
        <v>0</v>
      </c>
      <c r="BA85" s="488">
        <f>SUMIFS('GSTR-2A'!$N$6:$N$10000,'GSTR-2A'!$B$6:$B$10000,$C$5:$C$4995,'GSTR-2A'!$A$6:$A$10000,$AW$3)</f>
        <v>0</v>
      </c>
      <c r="BB85" s="486">
        <f>SUMIFS('GSTR-2A'!$G$6:$G$10000,'GSTR-2A'!$B$6:$B$10000,$C$5:$C$4995,'GSTR-2A'!$A$6:$A$10000,$BB$3)</f>
        <v>0</v>
      </c>
      <c r="BC85" s="487">
        <f>SUMIFS('GSTR-2A'!$K$6:$K$10000,'GSTR-2A'!$B$6:$B$10000,$C$5:$C$4995,'GSTR-2A'!$A$6:$A$10000,$BB$3)</f>
        <v>0</v>
      </c>
      <c r="BD85" s="487">
        <f>SUMIFS('GSTR-2A'!$L$6:$L$10000,'GSTR-2A'!$B$6:$B$10000,$C$5:$C$4995,'GSTR-2A'!$A$6:$A$10000,$BB$3)</f>
        <v>0</v>
      </c>
      <c r="BE85" s="487">
        <f>SUMIFS('GSTR-2A'!$M$6:$M$10000,'GSTR-2A'!$B$6:$B$10000,$C$5:$C$4995,'GSTR-2A'!$A$6:$A$10000,$BB$3)</f>
        <v>0</v>
      </c>
      <c r="BF85" s="488">
        <f>SUMIFS('GSTR-2A'!$N$6:$N$10000,'GSTR-2A'!$B$6:$B$10000,$C$5:$C$4995,'GSTR-2A'!$A$6:$A$10000,$BB$3)</f>
        <v>0</v>
      </c>
      <c r="BG85" s="486">
        <f>SUMIFS('GSTR-2A'!$G$6:$G$10000,'GSTR-2A'!$B$6:$B$10000,$C$5:$C$4995,'GSTR-2A'!$A$6:$A$10000,$BG$3)</f>
        <v>0</v>
      </c>
      <c r="BH85" s="487">
        <f>SUMIFS('GSTR-2A'!$K$6:$K$10000,'GSTR-2A'!$B$6:$B$10000,$C$5:$C$4995,'GSTR-2A'!$A$6:$A$10000,$BG$3)</f>
        <v>0</v>
      </c>
      <c r="BI85" s="487">
        <f>SUMIFS('GSTR-2A'!$L$6:$L$10000,'GSTR-2A'!$B$6:$B$10000,$C$5:$C$4995,'GSTR-2A'!$A$6:$A$10000,$BG$3)</f>
        <v>0</v>
      </c>
      <c r="BJ85" s="487">
        <f>SUMIFS('GSTR-2A'!$M$6:$M$10000,'GSTR-2A'!$B$6:$B$10000,$C$5:$C$4995,'GSTR-2A'!$A$6:$A$10000,$BG$3)</f>
        <v>0</v>
      </c>
      <c r="BK85" s="488">
        <f>SUMIFS('GSTR-2A'!$N$6:$N$10000,'GSTR-2A'!$B$6:$B$10000,$C$5:$C$4995,'GSTR-2A'!$A$6:$A$10000,$BG$3)</f>
        <v>0</v>
      </c>
      <c r="BL85" s="72">
        <f t="shared" si="7"/>
        <v>0</v>
      </c>
      <c r="BM85" s="72">
        <f t="shared" si="8"/>
        <v>0</v>
      </c>
      <c r="BN85" s="72">
        <f t="shared" si="9"/>
        <v>0</v>
      </c>
      <c r="BO85" s="72">
        <f t="shared" si="10"/>
        <v>0</v>
      </c>
      <c r="BP85" s="72">
        <f t="shared" si="11"/>
        <v>0</v>
      </c>
    </row>
    <row r="86" spans="1:68" x14ac:dyDescent="0.2">
      <c r="A86" s="467">
        <v>83</v>
      </c>
      <c r="B86" s="468" t="s">
        <v>1134</v>
      </c>
      <c r="C86" s="469" t="s">
        <v>1135</v>
      </c>
      <c r="D86" s="72">
        <f>SUMIFS('GSTR-2A'!$G$6:$G$10000,'GSTR-2A'!$B$6:$B$10000,$C$5:$C$4995,'GSTR-2A'!$A$6:$A$10000,$D$3)</f>
        <v>0</v>
      </c>
      <c r="E86" s="72">
        <f>SUMIFS('GSTR-2A'!$K$6:$K$10000,'GSTR-2A'!$B$6:$B$10000,$C$5:$C$4995,'GSTR-2A'!$A$6:$A$10000,$D$3)</f>
        <v>0</v>
      </c>
      <c r="F86" s="72">
        <f>SUMIFS('GSTR-2A'!$L$6:$L$10000,'GSTR-2A'!$B$6:$B$10000,$C$5:$C$4995,'GSTR-2A'!$A$6:$A$10000,$D$3)</f>
        <v>0</v>
      </c>
      <c r="G86" s="72">
        <f>SUMIFS('GSTR-2A'!$M$6:$M$10000,'GSTR-2A'!$B$6:$B$10000,$C$5:$C$4995,'GSTR-2A'!$A$6:$A$10000,$D$3)</f>
        <v>0</v>
      </c>
      <c r="H86" s="72">
        <f>SUMIFS('GSTR-2A'!$N$6:$N$10000,'GSTR-2A'!$B$6:$B$10000,$C$5:$C$4995,'GSTR-2A'!$A$6:$A$10000,$D$3)</f>
        <v>0</v>
      </c>
      <c r="I86" s="486">
        <f>SUMIFS('GSTR-2A'!$G$6:$G$10000,'GSTR-2A'!$B$6:$B$10000,$C$5:$C$4995,'GSTR-2A'!$A$6:$A$10000,$I$3)</f>
        <v>0</v>
      </c>
      <c r="J86" s="487">
        <f>SUMIFS('GSTR-2A'!$K$6:$K$10000,'GSTR-2A'!$B$6:$B$10000,$C$5:$C$4995,'GSTR-2A'!$A$6:$A$10000,$I$3)</f>
        <v>0</v>
      </c>
      <c r="K86" s="487">
        <f>SUMIFS('GSTR-2A'!$L$6:$L$10000,'GSTR-2A'!$B$6:$B$10000,$C$5:$C$4995,'GSTR-2A'!$A$6:$A$10000,$I$3)</f>
        <v>0</v>
      </c>
      <c r="L86" s="487">
        <f>SUMIFS('GSTR-2A'!$M$6:$M$10000,'GSTR-2A'!$B$6:$B$10000,$C$5:$C$4995,'GSTR-2A'!$A$6:$A$10000,$I$3)</f>
        <v>0</v>
      </c>
      <c r="M86" s="488">
        <f>SUMIFS('GSTR-2A'!$N$6:$N$10000,'GSTR-2A'!$B$6:$B$10000,$C$5:$C$4995,'GSTR-2A'!$A$6:$A$10000,$I$3)</f>
        <v>0</v>
      </c>
      <c r="N86" s="486">
        <f>SUMIFS('GSTR-2A'!$G$6:$G$10000,'GSTR-2A'!$B$6:$B$10000,$C$5:$C$4995,'GSTR-2A'!$A$6:$A$10000,$N$3)</f>
        <v>0</v>
      </c>
      <c r="O86" s="487">
        <f>SUMIFS('GSTR-2A'!$K$6:$K$10000,'GSTR-2A'!$B$6:$B$10000,$C$5:$C$4995,'GSTR-2A'!$A$6:$A$10000,$N$3)</f>
        <v>0</v>
      </c>
      <c r="P86" s="487">
        <f>SUMIFS('GSTR-2A'!$L$6:$L$10000,'GSTR-2A'!$B$6:$B$10000,$C$5:$C$4995,'GSTR-2A'!$A$6:$A$10000,$N$3)</f>
        <v>0</v>
      </c>
      <c r="Q86" s="487">
        <f>SUMIFS('GSTR-2A'!$M$6:$M$10000,'GSTR-2A'!$B$6:$B$10000,$C$5:$C$4995,'GSTR-2A'!$A$6:$A$10000,$N$3)</f>
        <v>0</v>
      </c>
      <c r="R86" s="488">
        <f>SUMIFS('GSTR-2A'!$N$6:$N$10000,'GSTR-2A'!$B$6:$B$10000,$C$5:$C$4995,'GSTR-2A'!$A$6:$A$10000,$N$3)</f>
        <v>0</v>
      </c>
      <c r="S86" s="486">
        <f>SUMIFS('GSTR-2A'!$G$6:$G$10000,'GSTR-2A'!$B$6:$B$10000,$C$5:$C$4995,'GSTR-2A'!$A$6:$A$10000,$S$3)</f>
        <v>0</v>
      </c>
      <c r="T86" s="487">
        <f>SUMIFS('GSTR-2A'!$K$6:$K$10000,'GSTR-2A'!$B$6:$B$10000,$C$5:$C$4995,'GSTR-2A'!$A$6:$A$10000,$S$3)</f>
        <v>0</v>
      </c>
      <c r="U86" s="487">
        <f>SUMIFS('GSTR-2A'!$L$6:$L$10000,'GSTR-2A'!$B$6:$B$10000,$C$5:$C$4995,'GSTR-2A'!$A$6:$A$10000,$S$3)</f>
        <v>0</v>
      </c>
      <c r="V86" s="487">
        <f>SUMIFS('GSTR-2A'!$M$6:$M$10000,'GSTR-2A'!$B$6:$B$10000,$C$5:$C$4995,'GSTR-2A'!$A$6:$A$10000,$S$3)</f>
        <v>0</v>
      </c>
      <c r="W86" s="488">
        <f>SUMIFS('GSTR-2A'!$N$6:$N$10000,'GSTR-2A'!$B$6:$B$10000,$C$5:$C$4995,'GSTR-2A'!$A$6:$A$10000,$S$3)</f>
        <v>0</v>
      </c>
      <c r="X86" s="486">
        <f>SUMIFS('GSTR-2A'!$G$6:$G$10000,'GSTR-2A'!$B$6:$B$10000,$C$5:$C$4995,'GSTR-2A'!$A$6:$A$10000,$X$3)</f>
        <v>0</v>
      </c>
      <c r="Y86" s="487">
        <f>SUMIFS('GSTR-2A'!$K$6:$K$10000,'GSTR-2A'!$B$6:$B$10000,$C$5:$C$4995,'GSTR-2A'!$A$6:$A$10000,$X$3)</f>
        <v>0</v>
      </c>
      <c r="Z86" s="487">
        <f>SUMIFS('GSTR-2A'!$L$6:$L$10000,'GSTR-2A'!$B$6:$B$10000,$C$5:$C$4995,'GSTR-2A'!$A$6:$A$10000,$X$3)</f>
        <v>0</v>
      </c>
      <c r="AA86" s="487">
        <f>SUMIFS('GSTR-2A'!$M$6:$M$10000,'GSTR-2A'!$B$6:$B$10000,$C$5:$C$4995,'GSTR-2A'!$A$6:$A$10000,$X$3)</f>
        <v>0</v>
      </c>
      <c r="AB86" s="488">
        <f>SUMIFS('GSTR-2A'!$N$6:$N$10000,'GSTR-2A'!$B$6:$B$10000,$C$5:$C$4995,'GSTR-2A'!$A$6:$A$10000,$X$3)</f>
        <v>0</v>
      </c>
      <c r="AC86" s="486">
        <f>SUMIFS('GSTR-2A'!$G$6:$G$10000,'GSTR-2A'!$B$6:$B$10000,$C$5:$C$4995,'GSTR-2A'!$A$6:$A$10000,$AC$3)</f>
        <v>0</v>
      </c>
      <c r="AD86" s="487">
        <f>SUMIFS('GSTR-2A'!$K$6:$K$10000,'GSTR-2A'!$B$6:$B$10000,$C$5:$C$4995,'GSTR-2A'!$A$6:$A$10000,$AC$3)</f>
        <v>0</v>
      </c>
      <c r="AE86" s="487">
        <f>SUMIFS('GSTR-2A'!$L$6:$L$10000,'GSTR-2A'!$B$6:$B$10000,$C$5:$C$4995,'GSTR-2A'!$A$6:$A$10000,$AC$3)</f>
        <v>0</v>
      </c>
      <c r="AF86" s="487">
        <f>SUMIFS('GSTR-2A'!$M$6:$M$10000,'GSTR-2A'!$B$6:$B$10000,$C$5:$C$4995,'GSTR-2A'!$A$6:$A$10000,$AC$3)</f>
        <v>0</v>
      </c>
      <c r="AG86" s="488">
        <f>SUMIFS('GSTR-2A'!$N$6:$N$10000,'GSTR-2A'!$B$6:$B$10000,$C$5:$C$4995,'GSTR-2A'!$A$6:$A$10000,$AC$3)</f>
        <v>0</v>
      </c>
      <c r="AH86" s="486">
        <f>SUMIFS('GSTR-2A'!$G$6:$G$10000,'GSTR-2A'!$B$6:$B$10000,$C$5:$C$4995,'GSTR-2A'!$A$6:$A$10000,$AH$3)</f>
        <v>0</v>
      </c>
      <c r="AI86" s="487">
        <f>SUMIFS('GSTR-2A'!$K$6:$K$10000,'GSTR-2A'!$B$6:$B$10000,$C$5:$C$4995,'GSTR-2A'!$A$6:$A$10000,$AH$3)</f>
        <v>0</v>
      </c>
      <c r="AJ86" s="487">
        <f>SUMIFS('GSTR-2A'!$L$6:$L$10000,'GSTR-2A'!$B$6:$B$10000,$C$5:$C$4995,'GSTR-2A'!$A$6:$A$10000,$AH$3)</f>
        <v>0</v>
      </c>
      <c r="AK86" s="487">
        <f>SUMIFS('GSTR-2A'!$M$6:$M$10000,'GSTR-2A'!$B$6:$B$10000,$C$5:$C$4995,'GSTR-2A'!$A$6:$A$10000,$AH$3)</f>
        <v>0</v>
      </c>
      <c r="AL86" s="488">
        <f>SUMIFS('GSTR-2A'!$N$6:$N$10000,'GSTR-2A'!$B$6:$B$10000,$C$5:$C$4995,'GSTR-2A'!$A$6:$A$10000,$AH$3)</f>
        <v>0</v>
      </c>
      <c r="AM86" s="486">
        <f>SUMIFS('GSTR-2A'!$G$6:$G$10000,'GSTR-2A'!$B$6:$B$10000,$C$5:$C$4995,'GSTR-2A'!$A$6:$A$10000,$AM$3)</f>
        <v>0</v>
      </c>
      <c r="AN86" s="487">
        <f>SUMIFS('GSTR-2A'!$K$6:$K$10000,'GSTR-2A'!$B$6:$B$10000,$C$5:$C$4995,'GSTR-2A'!$A$6:$A$10000,$AM$3)</f>
        <v>0</v>
      </c>
      <c r="AO86" s="487">
        <f>SUMIFS('GSTR-2A'!$L$6:$L$10000,'GSTR-2A'!$B$6:$B$10000,$C$5:$C$4995,'GSTR-2A'!$A$6:$A$10000,$AM$3)</f>
        <v>0</v>
      </c>
      <c r="AP86" s="487">
        <f>SUMIFS('GSTR-2A'!$M$6:$M$10000,'GSTR-2A'!$B$6:$B$10000,$C$5:$C$4995,'GSTR-2A'!$A$6:$A$10000,$AM$3)</f>
        <v>0</v>
      </c>
      <c r="AQ86" s="488">
        <f>SUMIFS('GSTR-2A'!$N$6:$N$10000,'GSTR-2A'!$B$6:$B$10000,$C$5:$C$4995,'GSTR-2A'!$A$6:$A$10000,$AM$3)</f>
        <v>0</v>
      </c>
      <c r="AR86" s="486">
        <f>SUMIFS('GSTR-2A'!$G$6:$G$10000,'GSTR-2A'!$B$6:$B$10000,$C$5:$C$4995,'GSTR-2A'!$A$6:$A$10000,$AR$3)</f>
        <v>0</v>
      </c>
      <c r="AS86" s="487">
        <f>SUMIFS('GSTR-2A'!$K$6:$K$10000,'GSTR-2A'!$B$6:$B$10000,$C$5:$C$4995,'GSTR-2A'!$A$6:$A$10000,$AR$3)</f>
        <v>0</v>
      </c>
      <c r="AT86" s="487">
        <f>SUMIFS('GSTR-2A'!$L$6:$L$10000,'GSTR-2A'!$B$6:$B$10000,$C$5:$C$4995,'GSTR-2A'!$A$6:$A$10000,$AR$3)</f>
        <v>0</v>
      </c>
      <c r="AU86" s="487">
        <f>SUMIFS('GSTR-2A'!$M$6:$M$10000,'GSTR-2A'!$B$6:$B$10000,$C$5:$C$4995,'GSTR-2A'!$A$6:$A$10000,$AR$3)</f>
        <v>0</v>
      </c>
      <c r="AV86" s="488">
        <f>SUMIFS('GSTR-2A'!$N$6:$N$10000,'GSTR-2A'!$B$6:$B$10000,$C$5:$C$4995,'GSTR-2A'!$A$6:$A$10000,$AR$3)</f>
        <v>0</v>
      </c>
      <c r="AW86" s="486">
        <f>SUMIFS('GSTR-2A'!$G$6:$G$10000,'GSTR-2A'!$B$6:$B$10000,$C$5:$C$4995,'GSTR-2A'!$A$6:$A$10000,$AW$3)</f>
        <v>0</v>
      </c>
      <c r="AX86" s="487">
        <f>SUMIFS('GSTR-2A'!$K$6:$K$10000,'GSTR-2A'!$B$6:$B$10000,$C$5:$C$4995,'GSTR-2A'!$A$6:$A$10000,$AW$3)</f>
        <v>0</v>
      </c>
      <c r="AY86" s="487">
        <f>SUMIFS('GSTR-2A'!$L$6:$L$10000,'GSTR-2A'!$B$6:$B$10000,$C$5:$C$4995,'GSTR-2A'!$A$6:$A$10000,$AW$3)</f>
        <v>0</v>
      </c>
      <c r="AZ86" s="487">
        <f>SUMIFS('GSTR-2A'!$M$6:$M$10000,'GSTR-2A'!$B$6:$B$10000,$C$5:$C$4995,'GSTR-2A'!$A$6:$A$10000,$AW$3)</f>
        <v>0</v>
      </c>
      <c r="BA86" s="488">
        <f>SUMIFS('GSTR-2A'!$N$6:$N$10000,'GSTR-2A'!$B$6:$B$10000,$C$5:$C$4995,'GSTR-2A'!$A$6:$A$10000,$AW$3)</f>
        <v>0</v>
      </c>
      <c r="BB86" s="486">
        <f>SUMIFS('GSTR-2A'!$G$6:$G$10000,'GSTR-2A'!$B$6:$B$10000,$C$5:$C$4995,'GSTR-2A'!$A$6:$A$10000,$BB$3)</f>
        <v>0</v>
      </c>
      <c r="BC86" s="487">
        <f>SUMIFS('GSTR-2A'!$K$6:$K$10000,'GSTR-2A'!$B$6:$B$10000,$C$5:$C$4995,'GSTR-2A'!$A$6:$A$10000,$BB$3)</f>
        <v>0</v>
      </c>
      <c r="BD86" s="487">
        <f>SUMIFS('GSTR-2A'!$L$6:$L$10000,'GSTR-2A'!$B$6:$B$10000,$C$5:$C$4995,'GSTR-2A'!$A$6:$A$10000,$BB$3)</f>
        <v>0</v>
      </c>
      <c r="BE86" s="487">
        <f>SUMIFS('GSTR-2A'!$M$6:$M$10000,'GSTR-2A'!$B$6:$B$10000,$C$5:$C$4995,'GSTR-2A'!$A$6:$A$10000,$BB$3)</f>
        <v>0</v>
      </c>
      <c r="BF86" s="488">
        <f>SUMIFS('GSTR-2A'!$N$6:$N$10000,'GSTR-2A'!$B$6:$B$10000,$C$5:$C$4995,'GSTR-2A'!$A$6:$A$10000,$BB$3)</f>
        <v>0</v>
      </c>
      <c r="BG86" s="486">
        <f>SUMIFS('GSTR-2A'!$G$6:$G$10000,'GSTR-2A'!$B$6:$B$10000,$C$5:$C$4995,'GSTR-2A'!$A$6:$A$10000,$BG$3)</f>
        <v>0</v>
      </c>
      <c r="BH86" s="487">
        <f>SUMIFS('GSTR-2A'!$K$6:$K$10000,'GSTR-2A'!$B$6:$B$10000,$C$5:$C$4995,'GSTR-2A'!$A$6:$A$10000,$BG$3)</f>
        <v>0</v>
      </c>
      <c r="BI86" s="487">
        <f>SUMIFS('GSTR-2A'!$L$6:$L$10000,'GSTR-2A'!$B$6:$B$10000,$C$5:$C$4995,'GSTR-2A'!$A$6:$A$10000,$BG$3)</f>
        <v>0</v>
      </c>
      <c r="BJ86" s="487">
        <f>SUMIFS('GSTR-2A'!$M$6:$M$10000,'GSTR-2A'!$B$6:$B$10000,$C$5:$C$4995,'GSTR-2A'!$A$6:$A$10000,$BG$3)</f>
        <v>0</v>
      </c>
      <c r="BK86" s="488">
        <f>SUMIFS('GSTR-2A'!$N$6:$N$10000,'GSTR-2A'!$B$6:$B$10000,$C$5:$C$4995,'GSTR-2A'!$A$6:$A$10000,$BG$3)</f>
        <v>0</v>
      </c>
      <c r="BL86" s="72">
        <f t="shared" si="7"/>
        <v>0</v>
      </c>
      <c r="BM86" s="72">
        <f t="shared" si="8"/>
        <v>0</v>
      </c>
      <c r="BN86" s="72">
        <f t="shared" si="9"/>
        <v>0</v>
      </c>
      <c r="BO86" s="72">
        <f t="shared" si="10"/>
        <v>0</v>
      </c>
      <c r="BP86" s="72">
        <f t="shared" si="11"/>
        <v>0</v>
      </c>
    </row>
    <row r="87" spans="1:68" x14ac:dyDescent="0.2">
      <c r="A87" s="467">
        <v>84</v>
      </c>
      <c r="B87" s="479" t="s">
        <v>712</v>
      </c>
      <c r="C87" s="479" t="s">
        <v>713</v>
      </c>
      <c r="D87" s="72">
        <f>SUMIFS('GSTR-2A'!$G$6:$G$10000,'GSTR-2A'!$B$6:$B$10000,$C$5:$C$4995,'GSTR-2A'!$A$6:$A$10000,$D$3)</f>
        <v>0</v>
      </c>
      <c r="E87" s="72">
        <f>SUMIFS('GSTR-2A'!$K$6:$K$10000,'GSTR-2A'!$B$6:$B$10000,$C$5:$C$4995,'GSTR-2A'!$A$6:$A$10000,$D$3)</f>
        <v>0</v>
      </c>
      <c r="F87" s="72">
        <f>SUMIFS('GSTR-2A'!$L$6:$L$10000,'GSTR-2A'!$B$6:$B$10000,$C$5:$C$4995,'GSTR-2A'!$A$6:$A$10000,$D$3)</f>
        <v>0</v>
      </c>
      <c r="G87" s="72">
        <f>SUMIFS('GSTR-2A'!$M$6:$M$10000,'GSTR-2A'!$B$6:$B$10000,$C$5:$C$4995,'GSTR-2A'!$A$6:$A$10000,$D$3)</f>
        <v>0</v>
      </c>
      <c r="H87" s="72">
        <f>SUMIFS('GSTR-2A'!$N$6:$N$10000,'GSTR-2A'!$B$6:$B$10000,$C$5:$C$4995,'GSTR-2A'!$A$6:$A$10000,$D$3)</f>
        <v>0</v>
      </c>
      <c r="I87" s="486">
        <f>SUMIFS('GSTR-2A'!$G$6:$G$10000,'GSTR-2A'!$B$6:$B$10000,$C$5:$C$4995,'GSTR-2A'!$A$6:$A$10000,$I$3)</f>
        <v>0</v>
      </c>
      <c r="J87" s="487">
        <f>SUMIFS('GSTR-2A'!$K$6:$K$10000,'GSTR-2A'!$B$6:$B$10000,$C$5:$C$4995,'GSTR-2A'!$A$6:$A$10000,$I$3)</f>
        <v>0</v>
      </c>
      <c r="K87" s="487">
        <f>SUMIFS('GSTR-2A'!$L$6:$L$10000,'GSTR-2A'!$B$6:$B$10000,$C$5:$C$4995,'GSTR-2A'!$A$6:$A$10000,$I$3)</f>
        <v>0</v>
      </c>
      <c r="L87" s="487">
        <f>SUMIFS('GSTR-2A'!$M$6:$M$10000,'GSTR-2A'!$B$6:$B$10000,$C$5:$C$4995,'GSTR-2A'!$A$6:$A$10000,$I$3)</f>
        <v>0</v>
      </c>
      <c r="M87" s="488">
        <f>SUMIFS('GSTR-2A'!$N$6:$N$10000,'GSTR-2A'!$B$6:$B$10000,$C$5:$C$4995,'GSTR-2A'!$A$6:$A$10000,$I$3)</f>
        <v>0</v>
      </c>
      <c r="N87" s="486">
        <f>SUMIFS('GSTR-2A'!$G$6:$G$10000,'GSTR-2A'!$B$6:$B$10000,$C$5:$C$4995,'GSTR-2A'!$A$6:$A$10000,$N$3)</f>
        <v>8156</v>
      </c>
      <c r="O87" s="487">
        <f>SUMIFS('GSTR-2A'!$K$6:$K$10000,'GSTR-2A'!$B$6:$B$10000,$C$5:$C$4995,'GSTR-2A'!$A$6:$A$10000,$N$3)</f>
        <v>6912</v>
      </c>
      <c r="P87" s="487">
        <f>SUMIFS('GSTR-2A'!$L$6:$L$10000,'GSTR-2A'!$B$6:$B$10000,$C$5:$C$4995,'GSTR-2A'!$A$6:$A$10000,$N$3)</f>
        <v>0</v>
      </c>
      <c r="Q87" s="487">
        <f>SUMIFS('GSTR-2A'!$M$6:$M$10000,'GSTR-2A'!$B$6:$B$10000,$C$5:$C$4995,'GSTR-2A'!$A$6:$A$10000,$N$3)</f>
        <v>622</v>
      </c>
      <c r="R87" s="488">
        <f>SUMIFS('GSTR-2A'!$N$6:$N$10000,'GSTR-2A'!$B$6:$B$10000,$C$5:$C$4995,'GSTR-2A'!$A$6:$A$10000,$N$3)</f>
        <v>622</v>
      </c>
      <c r="S87" s="486">
        <f>SUMIFS('GSTR-2A'!$G$6:$G$10000,'GSTR-2A'!$B$6:$B$10000,$C$5:$C$4995,'GSTR-2A'!$A$6:$A$10000,$S$3)</f>
        <v>0</v>
      </c>
      <c r="T87" s="487">
        <f>SUMIFS('GSTR-2A'!$K$6:$K$10000,'GSTR-2A'!$B$6:$B$10000,$C$5:$C$4995,'GSTR-2A'!$A$6:$A$10000,$S$3)</f>
        <v>0</v>
      </c>
      <c r="U87" s="487">
        <f>SUMIFS('GSTR-2A'!$L$6:$L$10000,'GSTR-2A'!$B$6:$B$10000,$C$5:$C$4995,'GSTR-2A'!$A$6:$A$10000,$S$3)</f>
        <v>0</v>
      </c>
      <c r="V87" s="487">
        <f>SUMIFS('GSTR-2A'!$M$6:$M$10000,'GSTR-2A'!$B$6:$B$10000,$C$5:$C$4995,'GSTR-2A'!$A$6:$A$10000,$S$3)</f>
        <v>0</v>
      </c>
      <c r="W87" s="488">
        <f>SUMIFS('GSTR-2A'!$N$6:$N$10000,'GSTR-2A'!$B$6:$B$10000,$C$5:$C$4995,'GSTR-2A'!$A$6:$A$10000,$S$3)</f>
        <v>0</v>
      </c>
      <c r="X87" s="486">
        <f>SUMIFS('GSTR-2A'!$G$6:$G$10000,'GSTR-2A'!$B$6:$B$10000,$C$5:$C$4995,'GSTR-2A'!$A$6:$A$10000,$X$3)</f>
        <v>0</v>
      </c>
      <c r="Y87" s="487">
        <f>SUMIFS('GSTR-2A'!$K$6:$K$10000,'GSTR-2A'!$B$6:$B$10000,$C$5:$C$4995,'GSTR-2A'!$A$6:$A$10000,$X$3)</f>
        <v>0</v>
      </c>
      <c r="Z87" s="487">
        <f>SUMIFS('GSTR-2A'!$L$6:$L$10000,'GSTR-2A'!$B$6:$B$10000,$C$5:$C$4995,'GSTR-2A'!$A$6:$A$10000,$X$3)</f>
        <v>0</v>
      </c>
      <c r="AA87" s="487">
        <f>SUMIFS('GSTR-2A'!$M$6:$M$10000,'GSTR-2A'!$B$6:$B$10000,$C$5:$C$4995,'GSTR-2A'!$A$6:$A$10000,$X$3)</f>
        <v>0</v>
      </c>
      <c r="AB87" s="488">
        <f>SUMIFS('GSTR-2A'!$N$6:$N$10000,'GSTR-2A'!$B$6:$B$10000,$C$5:$C$4995,'GSTR-2A'!$A$6:$A$10000,$X$3)</f>
        <v>0</v>
      </c>
      <c r="AC87" s="486">
        <f>SUMIFS('GSTR-2A'!$G$6:$G$10000,'GSTR-2A'!$B$6:$B$10000,$C$5:$C$4995,'GSTR-2A'!$A$6:$A$10000,$AC$3)</f>
        <v>0</v>
      </c>
      <c r="AD87" s="487">
        <f>SUMIFS('GSTR-2A'!$K$6:$K$10000,'GSTR-2A'!$B$6:$B$10000,$C$5:$C$4995,'GSTR-2A'!$A$6:$A$10000,$AC$3)</f>
        <v>0</v>
      </c>
      <c r="AE87" s="487">
        <f>SUMIFS('GSTR-2A'!$L$6:$L$10000,'GSTR-2A'!$B$6:$B$10000,$C$5:$C$4995,'GSTR-2A'!$A$6:$A$10000,$AC$3)</f>
        <v>0</v>
      </c>
      <c r="AF87" s="487">
        <f>SUMIFS('GSTR-2A'!$M$6:$M$10000,'GSTR-2A'!$B$6:$B$10000,$C$5:$C$4995,'GSTR-2A'!$A$6:$A$10000,$AC$3)</f>
        <v>0</v>
      </c>
      <c r="AG87" s="488">
        <f>SUMIFS('GSTR-2A'!$N$6:$N$10000,'GSTR-2A'!$B$6:$B$10000,$C$5:$C$4995,'GSTR-2A'!$A$6:$A$10000,$AC$3)</f>
        <v>0</v>
      </c>
      <c r="AH87" s="486">
        <f>SUMIFS('GSTR-2A'!$G$6:$G$10000,'GSTR-2A'!$B$6:$B$10000,$C$5:$C$4995,'GSTR-2A'!$A$6:$A$10000,$AH$3)</f>
        <v>0</v>
      </c>
      <c r="AI87" s="487">
        <f>SUMIFS('GSTR-2A'!$K$6:$K$10000,'GSTR-2A'!$B$6:$B$10000,$C$5:$C$4995,'GSTR-2A'!$A$6:$A$10000,$AH$3)</f>
        <v>0</v>
      </c>
      <c r="AJ87" s="487">
        <f>SUMIFS('GSTR-2A'!$L$6:$L$10000,'GSTR-2A'!$B$6:$B$10000,$C$5:$C$4995,'GSTR-2A'!$A$6:$A$10000,$AH$3)</f>
        <v>0</v>
      </c>
      <c r="AK87" s="487">
        <f>SUMIFS('GSTR-2A'!$M$6:$M$10000,'GSTR-2A'!$B$6:$B$10000,$C$5:$C$4995,'GSTR-2A'!$A$6:$A$10000,$AH$3)</f>
        <v>0</v>
      </c>
      <c r="AL87" s="488">
        <f>SUMIFS('GSTR-2A'!$N$6:$N$10000,'GSTR-2A'!$B$6:$B$10000,$C$5:$C$4995,'GSTR-2A'!$A$6:$A$10000,$AH$3)</f>
        <v>0</v>
      </c>
      <c r="AM87" s="486">
        <f>SUMIFS('GSTR-2A'!$G$6:$G$10000,'GSTR-2A'!$B$6:$B$10000,$C$5:$C$4995,'GSTR-2A'!$A$6:$A$10000,$AM$3)</f>
        <v>0</v>
      </c>
      <c r="AN87" s="487">
        <f>SUMIFS('GSTR-2A'!$K$6:$K$10000,'GSTR-2A'!$B$6:$B$10000,$C$5:$C$4995,'GSTR-2A'!$A$6:$A$10000,$AM$3)</f>
        <v>0</v>
      </c>
      <c r="AO87" s="487">
        <f>SUMIFS('GSTR-2A'!$L$6:$L$10000,'GSTR-2A'!$B$6:$B$10000,$C$5:$C$4995,'GSTR-2A'!$A$6:$A$10000,$AM$3)</f>
        <v>0</v>
      </c>
      <c r="AP87" s="487">
        <f>SUMIFS('GSTR-2A'!$M$6:$M$10000,'GSTR-2A'!$B$6:$B$10000,$C$5:$C$4995,'GSTR-2A'!$A$6:$A$10000,$AM$3)</f>
        <v>0</v>
      </c>
      <c r="AQ87" s="488">
        <f>SUMIFS('GSTR-2A'!$N$6:$N$10000,'GSTR-2A'!$B$6:$B$10000,$C$5:$C$4995,'GSTR-2A'!$A$6:$A$10000,$AM$3)</f>
        <v>0</v>
      </c>
      <c r="AR87" s="486">
        <f>SUMIFS('GSTR-2A'!$G$6:$G$10000,'GSTR-2A'!$B$6:$B$10000,$C$5:$C$4995,'GSTR-2A'!$A$6:$A$10000,$AR$3)</f>
        <v>0</v>
      </c>
      <c r="AS87" s="487">
        <f>SUMIFS('GSTR-2A'!$K$6:$K$10000,'GSTR-2A'!$B$6:$B$10000,$C$5:$C$4995,'GSTR-2A'!$A$6:$A$10000,$AR$3)</f>
        <v>0</v>
      </c>
      <c r="AT87" s="487">
        <f>SUMIFS('GSTR-2A'!$L$6:$L$10000,'GSTR-2A'!$B$6:$B$10000,$C$5:$C$4995,'GSTR-2A'!$A$6:$A$10000,$AR$3)</f>
        <v>0</v>
      </c>
      <c r="AU87" s="487">
        <f>SUMIFS('GSTR-2A'!$M$6:$M$10000,'GSTR-2A'!$B$6:$B$10000,$C$5:$C$4995,'GSTR-2A'!$A$6:$A$10000,$AR$3)</f>
        <v>0</v>
      </c>
      <c r="AV87" s="488">
        <f>SUMIFS('GSTR-2A'!$N$6:$N$10000,'GSTR-2A'!$B$6:$B$10000,$C$5:$C$4995,'GSTR-2A'!$A$6:$A$10000,$AR$3)</f>
        <v>0</v>
      </c>
      <c r="AW87" s="486">
        <f>SUMIFS('GSTR-2A'!$G$6:$G$10000,'GSTR-2A'!$B$6:$B$10000,$C$5:$C$4995,'GSTR-2A'!$A$6:$A$10000,$AW$3)</f>
        <v>0</v>
      </c>
      <c r="AX87" s="487">
        <f>SUMIFS('GSTR-2A'!$K$6:$K$10000,'GSTR-2A'!$B$6:$B$10000,$C$5:$C$4995,'GSTR-2A'!$A$6:$A$10000,$AW$3)</f>
        <v>0</v>
      </c>
      <c r="AY87" s="487">
        <f>SUMIFS('GSTR-2A'!$L$6:$L$10000,'GSTR-2A'!$B$6:$B$10000,$C$5:$C$4995,'GSTR-2A'!$A$6:$A$10000,$AW$3)</f>
        <v>0</v>
      </c>
      <c r="AZ87" s="487">
        <f>SUMIFS('GSTR-2A'!$M$6:$M$10000,'GSTR-2A'!$B$6:$B$10000,$C$5:$C$4995,'GSTR-2A'!$A$6:$A$10000,$AW$3)</f>
        <v>0</v>
      </c>
      <c r="BA87" s="488">
        <f>SUMIFS('GSTR-2A'!$N$6:$N$10000,'GSTR-2A'!$B$6:$B$10000,$C$5:$C$4995,'GSTR-2A'!$A$6:$A$10000,$AW$3)</f>
        <v>0</v>
      </c>
      <c r="BB87" s="486">
        <f>SUMIFS('GSTR-2A'!$G$6:$G$10000,'GSTR-2A'!$B$6:$B$10000,$C$5:$C$4995,'GSTR-2A'!$A$6:$A$10000,$BB$3)</f>
        <v>0</v>
      </c>
      <c r="BC87" s="487">
        <f>SUMIFS('GSTR-2A'!$K$6:$K$10000,'GSTR-2A'!$B$6:$B$10000,$C$5:$C$4995,'GSTR-2A'!$A$6:$A$10000,$BB$3)</f>
        <v>0</v>
      </c>
      <c r="BD87" s="487">
        <f>SUMIFS('GSTR-2A'!$L$6:$L$10000,'GSTR-2A'!$B$6:$B$10000,$C$5:$C$4995,'GSTR-2A'!$A$6:$A$10000,$BB$3)</f>
        <v>0</v>
      </c>
      <c r="BE87" s="487">
        <f>SUMIFS('GSTR-2A'!$M$6:$M$10000,'GSTR-2A'!$B$6:$B$10000,$C$5:$C$4995,'GSTR-2A'!$A$6:$A$10000,$BB$3)</f>
        <v>0</v>
      </c>
      <c r="BF87" s="488">
        <f>SUMIFS('GSTR-2A'!$N$6:$N$10000,'GSTR-2A'!$B$6:$B$10000,$C$5:$C$4995,'GSTR-2A'!$A$6:$A$10000,$BB$3)</f>
        <v>0</v>
      </c>
      <c r="BG87" s="486">
        <f>SUMIFS('GSTR-2A'!$G$6:$G$10000,'GSTR-2A'!$B$6:$B$10000,$C$5:$C$4995,'GSTR-2A'!$A$6:$A$10000,$BG$3)</f>
        <v>0</v>
      </c>
      <c r="BH87" s="487">
        <f>SUMIFS('GSTR-2A'!$K$6:$K$10000,'GSTR-2A'!$B$6:$B$10000,$C$5:$C$4995,'GSTR-2A'!$A$6:$A$10000,$BG$3)</f>
        <v>0</v>
      </c>
      <c r="BI87" s="487">
        <f>SUMIFS('GSTR-2A'!$L$6:$L$10000,'GSTR-2A'!$B$6:$B$10000,$C$5:$C$4995,'GSTR-2A'!$A$6:$A$10000,$BG$3)</f>
        <v>0</v>
      </c>
      <c r="BJ87" s="487">
        <f>SUMIFS('GSTR-2A'!$M$6:$M$10000,'GSTR-2A'!$B$6:$B$10000,$C$5:$C$4995,'GSTR-2A'!$A$6:$A$10000,$BG$3)</f>
        <v>0</v>
      </c>
      <c r="BK87" s="488">
        <f>SUMIFS('GSTR-2A'!$N$6:$N$10000,'GSTR-2A'!$B$6:$B$10000,$C$5:$C$4995,'GSTR-2A'!$A$6:$A$10000,$BG$3)</f>
        <v>0</v>
      </c>
      <c r="BL87" s="72">
        <f t="shared" si="7"/>
        <v>8156</v>
      </c>
      <c r="BM87" s="72">
        <f t="shared" si="8"/>
        <v>6912</v>
      </c>
      <c r="BN87" s="72">
        <f t="shared" si="9"/>
        <v>0</v>
      </c>
      <c r="BO87" s="72">
        <f t="shared" si="10"/>
        <v>622</v>
      </c>
      <c r="BP87" s="72">
        <f t="shared" si="11"/>
        <v>622</v>
      </c>
    </row>
    <row r="88" spans="1:68" x14ac:dyDescent="0.2">
      <c r="A88" s="467">
        <v>85</v>
      </c>
      <c r="B88" s="475" t="s">
        <v>1136</v>
      </c>
      <c r="C88" s="475" t="s">
        <v>1137</v>
      </c>
      <c r="D88" s="72">
        <f>SUMIFS('GSTR-2A'!$G$6:$G$10000,'GSTR-2A'!$B$6:$B$10000,$C$5:$C$4995,'GSTR-2A'!$A$6:$A$10000,$D$3)</f>
        <v>0</v>
      </c>
      <c r="E88" s="72">
        <f>SUMIFS('GSTR-2A'!$K$6:$K$10000,'GSTR-2A'!$B$6:$B$10000,$C$5:$C$4995,'GSTR-2A'!$A$6:$A$10000,$D$3)</f>
        <v>0</v>
      </c>
      <c r="F88" s="72">
        <f>SUMIFS('GSTR-2A'!$L$6:$L$10000,'GSTR-2A'!$B$6:$B$10000,$C$5:$C$4995,'GSTR-2A'!$A$6:$A$10000,$D$3)</f>
        <v>0</v>
      </c>
      <c r="G88" s="72">
        <f>SUMIFS('GSTR-2A'!$M$6:$M$10000,'GSTR-2A'!$B$6:$B$10000,$C$5:$C$4995,'GSTR-2A'!$A$6:$A$10000,$D$3)</f>
        <v>0</v>
      </c>
      <c r="H88" s="72">
        <f>SUMIFS('GSTR-2A'!$N$6:$N$10000,'GSTR-2A'!$B$6:$B$10000,$C$5:$C$4995,'GSTR-2A'!$A$6:$A$10000,$D$3)</f>
        <v>0</v>
      </c>
      <c r="I88" s="486">
        <f>SUMIFS('GSTR-2A'!$G$6:$G$10000,'GSTR-2A'!$B$6:$B$10000,$C$5:$C$4995,'GSTR-2A'!$A$6:$A$10000,$I$3)</f>
        <v>0</v>
      </c>
      <c r="J88" s="487">
        <f>SUMIFS('GSTR-2A'!$K$6:$K$10000,'GSTR-2A'!$B$6:$B$10000,$C$5:$C$4995,'GSTR-2A'!$A$6:$A$10000,$I$3)</f>
        <v>0</v>
      </c>
      <c r="K88" s="487">
        <f>SUMIFS('GSTR-2A'!$L$6:$L$10000,'GSTR-2A'!$B$6:$B$10000,$C$5:$C$4995,'GSTR-2A'!$A$6:$A$10000,$I$3)</f>
        <v>0</v>
      </c>
      <c r="L88" s="487">
        <f>SUMIFS('GSTR-2A'!$M$6:$M$10000,'GSTR-2A'!$B$6:$B$10000,$C$5:$C$4995,'GSTR-2A'!$A$6:$A$10000,$I$3)</f>
        <v>0</v>
      </c>
      <c r="M88" s="488">
        <f>SUMIFS('GSTR-2A'!$N$6:$N$10000,'GSTR-2A'!$B$6:$B$10000,$C$5:$C$4995,'GSTR-2A'!$A$6:$A$10000,$I$3)</f>
        <v>0</v>
      </c>
      <c r="N88" s="486">
        <f>SUMIFS('GSTR-2A'!$G$6:$G$10000,'GSTR-2A'!$B$6:$B$10000,$C$5:$C$4995,'GSTR-2A'!$A$6:$A$10000,$N$3)</f>
        <v>0</v>
      </c>
      <c r="O88" s="487">
        <f>SUMIFS('GSTR-2A'!$K$6:$K$10000,'GSTR-2A'!$B$6:$B$10000,$C$5:$C$4995,'GSTR-2A'!$A$6:$A$10000,$N$3)</f>
        <v>0</v>
      </c>
      <c r="P88" s="487">
        <f>SUMIFS('GSTR-2A'!$L$6:$L$10000,'GSTR-2A'!$B$6:$B$10000,$C$5:$C$4995,'GSTR-2A'!$A$6:$A$10000,$N$3)</f>
        <v>0</v>
      </c>
      <c r="Q88" s="487">
        <f>SUMIFS('GSTR-2A'!$M$6:$M$10000,'GSTR-2A'!$B$6:$B$10000,$C$5:$C$4995,'GSTR-2A'!$A$6:$A$10000,$N$3)</f>
        <v>0</v>
      </c>
      <c r="R88" s="488">
        <f>SUMIFS('GSTR-2A'!$N$6:$N$10000,'GSTR-2A'!$B$6:$B$10000,$C$5:$C$4995,'GSTR-2A'!$A$6:$A$10000,$N$3)</f>
        <v>0</v>
      </c>
      <c r="S88" s="486">
        <f>SUMIFS('GSTR-2A'!$G$6:$G$10000,'GSTR-2A'!$B$6:$B$10000,$C$5:$C$4995,'GSTR-2A'!$A$6:$A$10000,$S$3)</f>
        <v>0</v>
      </c>
      <c r="T88" s="487">
        <f>SUMIFS('GSTR-2A'!$K$6:$K$10000,'GSTR-2A'!$B$6:$B$10000,$C$5:$C$4995,'GSTR-2A'!$A$6:$A$10000,$S$3)</f>
        <v>0</v>
      </c>
      <c r="U88" s="487">
        <f>SUMIFS('GSTR-2A'!$L$6:$L$10000,'GSTR-2A'!$B$6:$B$10000,$C$5:$C$4995,'GSTR-2A'!$A$6:$A$10000,$S$3)</f>
        <v>0</v>
      </c>
      <c r="V88" s="487">
        <f>SUMIFS('GSTR-2A'!$M$6:$M$10000,'GSTR-2A'!$B$6:$B$10000,$C$5:$C$4995,'GSTR-2A'!$A$6:$A$10000,$S$3)</f>
        <v>0</v>
      </c>
      <c r="W88" s="488">
        <f>SUMIFS('GSTR-2A'!$N$6:$N$10000,'GSTR-2A'!$B$6:$B$10000,$C$5:$C$4995,'GSTR-2A'!$A$6:$A$10000,$S$3)</f>
        <v>0</v>
      </c>
      <c r="X88" s="486">
        <f>SUMIFS('GSTR-2A'!$G$6:$G$10000,'GSTR-2A'!$B$6:$B$10000,$C$5:$C$4995,'GSTR-2A'!$A$6:$A$10000,$X$3)</f>
        <v>0</v>
      </c>
      <c r="Y88" s="487">
        <f>SUMIFS('GSTR-2A'!$K$6:$K$10000,'GSTR-2A'!$B$6:$B$10000,$C$5:$C$4995,'GSTR-2A'!$A$6:$A$10000,$X$3)</f>
        <v>0</v>
      </c>
      <c r="Z88" s="487">
        <f>SUMIFS('GSTR-2A'!$L$6:$L$10000,'GSTR-2A'!$B$6:$B$10000,$C$5:$C$4995,'GSTR-2A'!$A$6:$A$10000,$X$3)</f>
        <v>0</v>
      </c>
      <c r="AA88" s="487">
        <f>SUMIFS('GSTR-2A'!$M$6:$M$10000,'GSTR-2A'!$B$6:$B$10000,$C$5:$C$4995,'GSTR-2A'!$A$6:$A$10000,$X$3)</f>
        <v>0</v>
      </c>
      <c r="AB88" s="488">
        <f>SUMIFS('GSTR-2A'!$N$6:$N$10000,'GSTR-2A'!$B$6:$B$10000,$C$5:$C$4995,'GSTR-2A'!$A$6:$A$10000,$X$3)</f>
        <v>0</v>
      </c>
      <c r="AC88" s="486">
        <f>SUMIFS('GSTR-2A'!$G$6:$G$10000,'GSTR-2A'!$B$6:$B$10000,$C$5:$C$4995,'GSTR-2A'!$A$6:$A$10000,$AC$3)</f>
        <v>0</v>
      </c>
      <c r="AD88" s="487">
        <f>SUMIFS('GSTR-2A'!$K$6:$K$10000,'GSTR-2A'!$B$6:$B$10000,$C$5:$C$4995,'GSTR-2A'!$A$6:$A$10000,$AC$3)</f>
        <v>0</v>
      </c>
      <c r="AE88" s="487">
        <f>SUMIFS('GSTR-2A'!$L$6:$L$10000,'GSTR-2A'!$B$6:$B$10000,$C$5:$C$4995,'GSTR-2A'!$A$6:$A$10000,$AC$3)</f>
        <v>0</v>
      </c>
      <c r="AF88" s="487">
        <f>SUMIFS('GSTR-2A'!$M$6:$M$10000,'GSTR-2A'!$B$6:$B$10000,$C$5:$C$4995,'GSTR-2A'!$A$6:$A$10000,$AC$3)</f>
        <v>0</v>
      </c>
      <c r="AG88" s="488">
        <f>SUMIFS('GSTR-2A'!$N$6:$N$10000,'GSTR-2A'!$B$6:$B$10000,$C$5:$C$4995,'GSTR-2A'!$A$6:$A$10000,$AC$3)</f>
        <v>0</v>
      </c>
      <c r="AH88" s="486">
        <f>SUMIFS('GSTR-2A'!$G$6:$G$10000,'GSTR-2A'!$B$6:$B$10000,$C$5:$C$4995,'GSTR-2A'!$A$6:$A$10000,$AH$3)</f>
        <v>0</v>
      </c>
      <c r="AI88" s="487">
        <f>SUMIFS('GSTR-2A'!$K$6:$K$10000,'GSTR-2A'!$B$6:$B$10000,$C$5:$C$4995,'GSTR-2A'!$A$6:$A$10000,$AH$3)</f>
        <v>0</v>
      </c>
      <c r="AJ88" s="487">
        <f>SUMIFS('GSTR-2A'!$L$6:$L$10000,'GSTR-2A'!$B$6:$B$10000,$C$5:$C$4995,'GSTR-2A'!$A$6:$A$10000,$AH$3)</f>
        <v>0</v>
      </c>
      <c r="AK88" s="487">
        <f>SUMIFS('GSTR-2A'!$M$6:$M$10000,'GSTR-2A'!$B$6:$B$10000,$C$5:$C$4995,'GSTR-2A'!$A$6:$A$10000,$AH$3)</f>
        <v>0</v>
      </c>
      <c r="AL88" s="488">
        <f>SUMIFS('GSTR-2A'!$N$6:$N$10000,'GSTR-2A'!$B$6:$B$10000,$C$5:$C$4995,'GSTR-2A'!$A$6:$A$10000,$AH$3)</f>
        <v>0</v>
      </c>
      <c r="AM88" s="486">
        <f>SUMIFS('GSTR-2A'!$G$6:$G$10000,'GSTR-2A'!$B$6:$B$10000,$C$5:$C$4995,'GSTR-2A'!$A$6:$A$10000,$AM$3)</f>
        <v>0</v>
      </c>
      <c r="AN88" s="487">
        <f>SUMIFS('GSTR-2A'!$K$6:$K$10000,'GSTR-2A'!$B$6:$B$10000,$C$5:$C$4995,'GSTR-2A'!$A$6:$A$10000,$AM$3)</f>
        <v>0</v>
      </c>
      <c r="AO88" s="487">
        <f>SUMIFS('GSTR-2A'!$L$6:$L$10000,'GSTR-2A'!$B$6:$B$10000,$C$5:$C$4995,'GSTR-2A'!$A$6:$A$10000,$AM$3)</f>
        <v>0</v>
      </c>
      <c r="AP88" s="487">
        <f>SUMIFS('GSTR-2A'!$M$6:$M$10000,'GSTR-2A'!$B$6:$B$10000,$C$5:$C$4995,'GSTR-2A'!$A$6:$A$10000,$AM$3)</f>
        <v>0</v>
      </c>
      <c r="AQ88" s="488">
        <f>SUMIFS('GSTR-2A'!$N$6:$N$10000,'GSTR-2A'!$B$6:$B$10000,$C$5:$C$4995,'GSTR-2A'!$A$6:$A$10000,$AM$3)</f>
        <v>0</v>
      </c>
      <c r="AR88" s="486">
        <f>SUMIFS('GSTR-2A'!$G$6:$G$10000,'GSTR-2A'!$B$6:$B$10000,$C$5:$C$4995,'GSTR-2A'!$A$6:$A$10000,$AR$3)</f>
        <v>0</v>
      </c>
      <c r="AS88" s="487">
        <f>SUMIFS('GSTR-2A'!$K$6:$K$10000,'GSTR-2A'!$B$6:$B$10000,$C$5:$C$4995,'GSTR-2A'!$A$6:$A$10000,$AR$3)</f>
        <v>0</v>
      </c>
      <c r="AT88" s="487">
        <f>SUMIFS('GSTR-2A'!$L$6:$L$10000,'GSTR-2A'!$B$6:$B$10000,$C$5:$C$4995,'GSTR-2A'!$A$6:$A$10000,$AR$3)</f>
        <v>0</v>
      </c>
      <c r="AU88" s="487">
        <f>SUMIFS('GSTR-2A'!$M$6:$M$10000,'GSTR-2A'!$B$6:$B$10000,$C$5:$C$4995,'GSTR-2A'!$A$6:$A$10000,$AR$3)</f>
        <v>0</v>
      </c>
      <c r="AV88" s="488">
        <f>SUMIFS('GSTR-2A'!$N$6:$N$10000,'GSTR-2A'!$B$6:$B$10000,$C$5:$C$4995,'GSTR-2A'!$A$6:$A$10000,$AR$3)</f>
        <v>0</v>
      </c>
      <c r="AW88" s="486">
        <f>SUMIFS('GSTR-2A'!$G$6:$G$10000,'GSTR-2A'!$B$6:$B$10000,$C$5:$C$4995,'GSTR-2A'!$A$6:$A$10000,$AW$3)</f>
        <v>0</v>
      </c>
      <c r="AX88" s="487">
        <f>SUMIFS('GSTR-2A'!$K$6:$K$10000,'GSTR-2A'!$B$6:$B$10000,$C$5:$C$4995,'GSTR-2A'!$A$6:$A$10000,$AW$3)</f>
        <v>0</v>
      </c>
      <c r="AY88" s="487">
        <f>SUMIFS('GSTR-2A'!$L$6:$L$10000,'GSTR-2A'!$B$6:$B$10000,$C$5:$C$4995,'GSTR-2A'!$A$6:$A$10000,$AW$3)</f>
        <v>0</v>
      </c>
      <c r="AZ88" s="487">
        <f>SUMIFS('GSTR-2A'!$M$6:$M$10000,'GSTR-2A'!$B$6:$B$10000,$C$5:$C$4995,'GSTR-2A'!$A$6:$A$10000,$AW$3)</f>
        <v>0</v>
      </c>
      <c r="BA88" s="488">
        <f>SUMIFS('GSTR-2A'!$N$6:$N$10000,'GSTR-2A'!$B$6:$B$10000,$C$5:$C$4995,'GSTR-2A'!$A$6:$A$10000,$AW$3)</f>
        <v>0</v>
      </c>
      <c r="BB88" s="486">
        <f>SUMIFS('GSTR-2A'!$G$6:$G$10000,'GSTR-2A'!$B$6:$B$10000,$C$5:$C$4995,'GSTR-2A'!$A$6:$A$10000,$BB$3)</f>
        <v>0</v>
      </c>
      <c r="BC88" s="487">
        <f>SUMIFS('GSTR-2A'!$K$6:$K$10000,'GSTR-2A'!$B$6:$B$10000,$C$5:$C$4995,'GSTR-2A'!$A$6:$A$10000,$BB$3)</f>
        <v>0</v>
      </c>
      <c r="BD88" s="487">
        <f>SUMIFS('GSTR-2A'!$L$6:$L$10000,'GSTR-2A'!$B$6:$B$10000,$C$5:$C$4995,'GSTR-2A'!$A$6:$A$10000,$BB$3)</f>
        <v>0</v>
      </c>
      <c r="BE88" s="487">
        <f>SUMIFS('GSTR-2A'!$M$6:$M$10000,'GSTR-2A'!$B$6:$B$10000,$C$5:$C$4995,'GSTR-2A'!$A$6:$A$10000,$BB$3)</f>
        <v>0</v>
      </c>
      <c r="BF88" s="488">
        <f>SUMIFS('GSTR-2A'!$N$6:$N$10000,'GSTR-2A'!$B$6:$B$10000,$C$5:$C$4995,'GSTR-2A'!$A$6:$A$10000,$BB$3)</f>
        <v>0</v>
      </c>
      <c r="BG88" s="486">
        <f>SUMIFS('GSTR-2A'!$G$6:$G$10000,'GSTR-2A'!$B$6:$B$10000,$C$5:$C$4995,'GSTR-2A'!$A$6:$A$10000,$BG$3)</f>
        <v>0</v>
      </c>
      <c r="BH88" s="487">
        <f>SUMIFS('GSTR-2A'!$K$6:$K$10000,'GSTR-2A'!$B$6:$B$10000,$C$5:$C$4995,'GSTR-2A'!$A$6:$A$10000,$BG$3)</f>
        <v>0</v>
      </c>
      <c r="BI88" s="487">
        <f>SUMIFS('GSTR-2A'!$L$6:$L$10000,'GSTR-2A'!$B$6:$B$10000,$C$5:$C$4995,'GSTR-2A'!$A$6:$A$10000,$BG$3)</f>
        <v>0</v>
      </c>
      <c r="BJ88" s="487">
        <f>SUMIFS('GSTR-2A'!$M$6:$M$10000,'GSTR-2A'!$B$6:$B$10000,$C$5:$C$4995,'GSTR-2A'!$A$6:$A$10000,$BG$3)</f>
        <v>0</v>
      </c>
      <c r="BK88" s="488">
        <f>SUMIFS('GSTR-2A'!$N$6:$N$10000,'GSTR-2A'!$B$6:$B$10000,$C$5:$C$4995,'GSTR-2A'!$A$6:$A$10000,$BG$3)</f>
        <v>0</v>
      </c>
      <c r="BL88" s="72">
        <f t="shared" si="7"/>
        <v>0</v>
      </c>
      <c r="BM88" s="72">
        <f t="shared" si="8"/>
        <v>0</v>
      </c>
      <c r="BN88" s="72">
        <f t="shared" si="9"/>
        <v>0</v>
      </c>
      <c r="BO88" s="72">
        <f t="shared" si="10"/>
        <v>0</v>
      </c>
      <c r="BP88" s="72">
        <f t="shared" si="11"/>
        <v>0</v>
      </c>
    </row>
    <row r="89" spans="1:68" x14ac:dyDescent="0.2">
      <c r="A89" s="467">
        <v>86</v>
      </c>
      <c r="B89" s="476" t="s">
        <v>708</v>
      </c>
      <c r="C89" s="477" t="s">
        <v>709</v>
      </c>
      <c r="D89" s="72">
        <f>SUMIFS('GSTR-2A'!$G$6:$G$10000,'GSTR-2A'!$B$6:$B$10000,$C$5:$C$4995,'GSTR-2A'!$A$6:$A$10000,$D$3)</f>
        <v>0</v>
      </c>
      <c r="E89" s="72">
        <f>SUMIFS('GSTR-2A'!$K$6:$K$10000,'GSTR-2A'!$B$6:$B$10000,$C$5:$C$4995,'GSTR-2A'!$A$6:$A$10000,$D$3)</f>
        <v>0</v>
      </c>
      <c r="F89" s="72">
        <f>SUMIFS('GSTR-2A'!$L$6:$L$10000,'GSTR-2A'!$B$6:$B$10000,$C$5:$C$4995,'GSTR-2A'!$A$6:$A$10000,$D$3)</f>
        <v>0</v>
      </c>
      <c r="G89" s="72">
        <f>SUMIFS('GSTR-2A'!$M$6:$M$10000,'GSTR-2A'!$B$6:$B$10000,$C$5:$C$4995,'GSTR-2A'!$A$6:$A$10000,$D$3)</f>
        <v>0</v>
      </c>
      <c r="H89" s="72">
        <f>SUMIFS('GSTR-2A'!$N$6:$N$10000,'GSTR-2A'!$B$6:$B$10000,$C$5:$C$4995,'GSTR-2A'!$A$6:$A$10000,$D$3)</f>
        <v>0</v>
      </c>
      <c r="I89" s="486">
        <f>SUMIFS('GSTR-2A'!$G$6:$G$10000,'GSTR-2A'!$B$6:$B$10000,$C$5:$C$4995,'GSTR-2A'!$A$6:$A$10000,$I$3)</f>
        <v>0</v>
      </c>
      <c r="J89" s="487">
        <f>SUMIFS('GSTR-2A'!$K$6:$K$10000,'GSTR-2A'!$B$6:$B$10000,$C$5:$C$4995,'GSTR-2A'!$A$6:$A$10000,$I$3)</f>
        <v>0</v>
      </c>
      <c r="K89" s="487">
        <f>SUMIFS('GSTR-2A'!$L$6:$L$10000,'GSTR-2A'!$B$6:$B$10000,$C$5:$C$4995,'GSTR-2A'!$A$6:$A$10000,$I$3)</f>
        <v>0</v>
      </c>
      <c r="L89" s="487">
        <f>SUMIFS('GSTR-2A'!$M$6:$M$10000,'GSTR-2A'!$B$6:$B$10000,$C$5:$C$4995,'GSTR-2A'!$A$6:$A$10000,$I$3)</f>
        <v>0</v>
      </c>
      <c r="M89" s="488">
        <f>SUMIFS('GSTR-2A'!$N$6:$N$10000,'GSTR-2A'!$B$6:$B$10000,$C$5:$C$4995,'GSTR-2A'!$A$6:$A$10000,$I$3)</f>
        <v>0</v>
      </c>
      <c r="N89" s="486">
        <f>SUMIFS('GSTR-2A'!$G$6:$G$10000,'GSTR-2A'!$B$6:$B$10000,$C$5:$C$4995,'GSTR-2A'!$A$6:$A$10000,$N$3)</f>
        <v>433582</v>
      </c>
      <c r="O89" s="487">
        <f>SUMIFS('GSTR-2A'!$K$6:$K$10000,'GSTR-2A'!$B$6:$B$10000,$C$5:$C$4995,'GSTR-2A'!$A$6:$A$10000,$N$3)</f>
        <v>367442.44</v>
      </c>
      <c r="P89" s="487">
        <f>SUMIFS('GSTR-2A'!$L$6:$L$10000,'GSTR-2A'!$B$6:$B$10000,$C$5:$C$4995,'GSTR-2A'!$A$6:$A$10000,$N$3)</f>
        <v>66139.64</v>
      </c>
      <c r="Q89" s="487">
        <f>SUMIFS('GSTR-2A'!$M$6:$M$10000,'GSTR-2A'!$B$6:$B$10000,$C$5:$C$4995,'GSTR-2A'!$A$6:$A$10000,$N$3)</f>
        <v>0</v>
      </c>
      <c r="R89" s="488">
        <f>SUMIFS('GSTR-2A'!$N$6:$N$10000,'GSTR-2A'!$B$6:$B$10000,$C$5:$C$4995,'GSTR-2A'!$A$6:$A$10000,$N$3)</f>
        <v>0</v>
      </c>
      <c r="S89" s="486">
        <f>SUMIFS('GSTR-2A'!$G$6:$G$10000,'GSTR-2A'!$B$6:$B$10000,$C$5:$C$4995,'GSTR-2A'!$A$6:$A$10000,$S$3)</f>
        <v>0</v>
      </c>
      <c r="T89" s="487">
        <f>SUMIFS('GSTR-2A'!$K$6:$K$10000,'GSTR-2A'!$B$6:$B$10000,$C$5:$C$4995,'GSTR-2A'!$A$6:$A$10000,$S$3)</f>
        <v>0</v>
      </c>
      <c r="U89" s="487">
        <f>SUMIFS('GSTR-2A'!$L$6:$L$10000,'GSTR-2A'!$B$6:$B$10000,$C$5:$C$4995,'GSTR-2A'!$A$6:$A$10000,$S$3)</f>
        <v>0</v>
      </c>
      <c r="V89" s="487">
        <f>SUMIFS('GSTR-2A'!$M$6:$M$10000,'GSTR-2A'!$B$6:$B$10000,$C$5:$C$4995,'GSTR-2A'!$A$6:$A$10000,$S$3)</f>
        <v>0</v>
      </c>
      <c r="W89" s="488">
        <f>SUMIFS('GSTR-2A'!$N$6:$N$10000,'GSTR-2A'!$B$6:$B$10000,$C$5:$C$4995,'GSTR-2A'!$A$6:$A$10000,$S$3)</f>
        <v>0</v>
      </c>
      <c r="X89" s="486">
        <f>SUMIFS('GSTR-2A'!$G$6:$G$10000,'GSTR-2A'!$B$6:$B$10000,$C$5:$C$4995,'GSTR-2A'!$A$6:$A$10000,$X$3)</f>
        <v>0</v>
      </c>
      <c r="Y89" s="487">
        <f>SUMIFS('GSTR-2A'!$K$6:$K$10000,'GSTR-2A'!$B$6:$B$10000,$C$5:$C$4995,'GSTR-2A'!$A$6:$A$10000,$X$3)</f>
        <v>0</v>
      </c>
      <c r="Z89" s="487">
        <f>SUMIFS('GSTR-2A'!$L$6:$L$10000,'GSTR-2A'!$B$6:$B$10000,$C$5:$C$4995,'GSTR-2A'!$A$6:$A$10000,$X$3)</f>
        <v>0</v>
      </c>
      <c r="AA89" s="487">
        <f>SUMIFS('GSTR-2A'!$M$6:$M$10000,'GSTR-2A'!$B$6:$B$10000,$C$5:$C$4995,'GSTR-2A'!$A$6:$A$10000,$X$3)</f>
        <v>0</v>
      </c>
      <c r="AB89" s="488">
        <f>SUMIFS('GSTR-2A'!$N$6:$N$10000,'GSTR-2A'!$B$6:$B$10000,$C$5:$C$4995,'GSTR-2A'!$A$6:$A$10000,$X$3)</f>
        <v>0</v>
      </c>
      <c r="AC89" s="486">
        <f>SUMIFS('GSTR-2A'!$G$6:$G$10000,'GSTR-2A'!$B$6:$B$10000,$C$5:$C$4995,'GSTR-2A'!$A$6:$A$10000,$AC$3)</f>
        <v>0</v>
      </c>
      <c r="AD89" s="487">
        <f>SUMIFS('GSTR-2A'!$K$6:$K$10000,'GSTR-2A'!$B$6:$B$10000,$C$5:$C$4995,'GSTR-2A'!$A$6:$A$10000,$AC$3)</f>
        <v>0</v>
      </c>
      <c r="AE89" s="487">
        <f>SUMIFS('GSTR-2A'!$L$6:$L$10000,'GSTR-2A'!$B$6:$B$10000,$C$5:$C$4995,'GSTR-2A'!$A$6:$A$10000,$AC$3)</f>
        <v>0</v>
      </c>
      <c r="AF89" s="487">
        <f>SUMIFS('GSTR-2A'!$M$6:$M$10000,'GSTR-2A'!$B$6:$B$10000,$C$5:$C$4995,'GSTR-2A'!$A$6:$A$10000,$AC$3)</f>
        <v>0</v>
      </c>
      <c r="AG89" s="488">
        <f>SUMIFS('GSTR-2A'!$N$6:$N$10000,'GSTR-2A'!$B$6:$B$10000,$C$5:$C$4995,'GSTR-2A'!$A$6:$A$10000,$AC$3)</f>
        <v>0</v>
      </c>
      <c r="AH89" s="486">
        <f>SUMIFS('GSTR-2A'!$G$6:$G$10000,'GSTR-2A'!$B$6:$B$10000,$C$5:$C$4995,'GSTR-2A'!$A$6:$A$10000,$AH$3)</f>
        <v>0</v>
      </c>
      <c r="AI89" s="487">
        <f>SUMIFS('GSTR-2A'!$K$6:$K$10000,'GSTR-2A'!$B$6:$B$10000,$C$5:$C$4995,'GSTR-2A'!$A$6:$A$10000,$AH$3)</f>
        <v>0</v>
      </c>
      <c r="AJ89" s="487">
        <f>SUMIFS('GSTR-2A'!$L$6:$L$10000,'GSTR-2A'!$B$6:$B$10000,$C$5:$C$4995,'GSTR-2A'!$A$6:$A$10000,$AH$3)</f>
        <v>0</v>
      </c>
      <c r="AK89" s="487">
        <f>SUMIFS('GSTR-2A'!$M$6:$M$10000,'GSTR-2A'!$B$6:$B$10000,$C$5:$C$4995,'GSTR-2A'!$A$6:$A$10000,$AH$3)</f>
        <v>0</v>
      </c>
      <c r="AL89" s="488">
        <f>SUMIFS('GSTR-2A'!$N$6:$N$10000,'GSTR-2A'!$B$6:$B$10000,$C$5:$C$4995,'GSTR-2A'!$A$6:$A$10000,$AH$3)</f>
        <v>0</v>
      </c>
      <c r="AM89" s="486">
        <f>SUMIFS('GSTR-2A'!$G$6:$G$10000,'GSTR-2A'!$B$6:$B$10000,$C$5:$C$4995,'GSTR-2A'!$A$6:$A$10000,$AM$3)</f>
        <v>0</v>
      </c>
      <c r="AN89" s="487">
        <f>SUMIFS('GSTR-2A'!$K$6:$K$10000,'GSTR-2A'!$B$6:$B$10000,$C$5:$C$4995,'GSTR-2A'!$A$6:$A$10000,$AM$3)</f>
        <v>0</v>
      </c>
      <c r="AO89" s="487">
        <f>SUMIFS('GSTR-2A'!$L$6:$L$10000,'GSTR-2A'!$B$6:$B$10000,$C$5:$C$4995,'GSTR-2A'!$A$6:$A$10000,$AM$3)</f>
        <v>0</v>
      </c>
      <c r="AP89" s="487">
        <f>SUMIFS('GSTR-2A'!$M$6:$M$10000,'GSTR-2A'!$B$6:$B$10000,$C$5:$C$4995,'GSTR-2A'!$A$6:$A$10000,$AM$3)</f>
        <v>0</v>
      </c>
      <c r="AQ89" s="488">
        <f>SUMIFS('GSTR-2A'!$N$6:$N$10000,'GSTR-2A'!$B$6:$B$10000,$C$5:$C$4995,'GSTR-2A'!$A$6:$A$10000,$AM$3)</f>
        <v>0</v>
      </c>
      <c r="AR89" s="486">
        <f>SUMIFS('GSTR-2A'!$G$6:$G$10000,'GSTR-2A'!$B$6:$B$10000,$C$5:$C$4995,'GSTR-2A'!$A$6:$A$10000,$AR$3)</f>
        <v>0</v>
      </c>
      <c r="AS89" s="487">
        <f>SUMIFS('GSTR-2A'!$K$6:$K$10000,'GSTR-2A'!$B$6:$B$10000,$C$5:$C$4995,'GSTR-2A'!$A$6:$A$10000,$AR$3)</f>
        <v>0</v>
      </c>
      <c r="AT89" s="487">
        <f>SUMIFS('GSTR-2A'!$L$6:$L$10000,'GSTR-2A'!$B$6:$B$10000,$C$5:$C$4995,'GSTR-2A'!$A$6:$A$10000,$AR$3)</f>
        <v>0</v>
      </c>
      <c r="AU89" s="487">
        <f>SUMIFS('GSTR-2A'!$M$6:$M$10000,'GSTR-2A'!$B$6:$B$10000,$C$5:$C$4995,'GSTR-2A'!$A$6:$A$10000,$AR$3)</f>
        <v>0</v>
      </c>
      <c r="AV89" s="488">
        <f>SUMIFS('GSTR-2A'!$N$6:$N$10000,'GSTR-2A'!$B$6:$B$10000,$C$5:$C$4995,'GSTR-2A'!$A$6:$A$10000,$AR$3)</f>
        <v>0</v>
      </c>
      <c r="AW89" s="486">
        <f>SUMIFS('GSTR-2A'!$G$6:$G$10000,'GSTR-2A'!$B$6:$B$10000,$C$5:$C$4995,'GSTR-2A'!$A$6:$A$10000,$AW$3)</f>
        <v>0</v>
      </c>
      <c r="AX89" s="487">
        <f>SUMIFS('GSTR-2A'!$K$6:$K$10000,'GSTR-2A'!$B$6:$B$10000,$C$5:$C$4995,'GSTR-2A'!$A$6:$A$10000,$AW$3)</f>
        <v>0</v>
      </c>
      <c r="AY89" s="487">
        <f>SUMIFS('GSTR-2A'!$L$6:$L$10000,'GSTR-2A'!$B$6:$B$10000,$C$5:$C$4995,'GSTR-2A'!$A$6:$A$10000,$AW$3)</f>
        <v>0</v>
      </c>
      <c r="AZ89" s="487">
        <f>SUMIFS('GSTR-2A'!$M$6:$M$10000,'GSTR-2A'!$B$6:$B$10000,$C$5:$C$4995,'GSTR-2A'!$A$6:$A$10000,$AW$3)</f>
        <v>0</v>
      </c>
      <c r="BA89" s="488">
        <f>SUMIFS('GSTR-2A'!$N$6:$N$10000,'GSTR-2A'!$B$6:$B$10000,$C$5:$C$4995,'GSTR-2A'!$A$6:$A$10000,$AW$3)</f>
        <v>0</v>
      </c>
      <c r="BB89" s="486">
        <f>SUMIFS('GSTR-2A'!$G$6:$G$10000,'GSTR-2A'!$B$6:$B$10000,$C$5:$C$4995,'GSTR-2A'!$A$6:$A$10000,$BB$3)</f>
        <v>0</v>
      </c>
      <c r="BC89" s="487">
        <f>SUMIFS('GSTR-2A'!$K$6:$K$10000,'GSTR-2A'!$B$6:$B$10000,$C$5:$C$4995,'GSTR-2A'!$A$6:$A$10000,$BB$3)</f>
        <v>0</v>
      </c>
      <c r="BD89" s="487">
        <f>SUMIFS('GSTR-2A'!$L$6:$L$10000,'GSTR-2A'!$B$6:$B$10000,$C$5:$C$4995,'GSTR-2A'!$A$6:$A$10000,$BB$3)</f>
        <v>0</v>
      </c>
      <c r="BE89" s="487">
        <f>SUMIFS('GSTR-2A'!$M$6:$M$10000,'GSTR-2A'!$B$6:$B$10000,$C$5:$C$4995,'GSTR-2A'!$A$6:$A$10000,$BB$3)</f>
        <v>0</v>
      </c>
      <c r="BF89" s="488">
        <f>SUMIFS('GSTR-2A'!$N$6:$N$10000,'GSTR-2A'!$B$6:$B$10000,$C$5:$C$4995,'GSTR-2A'!$A$6:$A$10000,$BB$3)</f>
        <v>0</v>
      </c>
      <c r="BG89" s="486">
        <f>SUMIFS('GSTR-2A'!$G$6:$G$10000,'GSTR-2A'!$B$6:$B$10000,$C$5:$C$4995,'GSTR-2A'!$A$6:$A$10000,$BG$3)</f>
        <v>0</v>
      </c>
      <c r="BH89" s="487">
        <f>SUMIFS('GSTR-2A'!$K$6:$K$10000,'GSTR-2A'!$B$6:$B$10000,$C$5:$C$4995,'GSTR-2A'!$A$6:$A$10000,$BG$3)</f>
        <v>0</v>
      </c>
      <c r="BI89" s="487">
        <f>SUMIFS('GSTR-2A'!$L$6:$L$10000,'GSTR-2A'!$B$6:$B$10000,$C$5:$C$4995,'GSTR-2A'!$A$6:$A$10000,$BG$3)</f>
        <v>0</v>
      </c>
      <c r="BJ89" s="487">
        <f>SUMIFS('GSTR-2A'!$M$6:$M$10000,'GSTR-2A'!$B$6:$B$10000,$C$5:$C$4995,'GSTR-2A'!$A$6:$A$10000,$BG$3)</f>
        <v>0</v>
      </c>
      <c r="BK89" s="488">
        <f>SUMIFS('GSTR-2A'!$N$6:$N$10000,'GSTR-2A'!$B$6:$B$10000,$C$5:$C$4995,'GSTR-2A'!$A$6:$A$10000,$BG$3)</f>
        <v>0</v>
      </c>
      <c r="BL89" s="72">
        <f t="shared" si="7"/>
        <v>433582</v>
      </c>
      <c r="BM89" s="72">
        <f t="shared" si="8"/>
        <v>367442.44</v>
      </c>
      <c r="BN89" s="72">
        <f t="shared" si="9"/>
        <v>66139.64</v>
      </c>
      <c r="BO89" s="72">
        <f t="shared" si="10"/>
        <v>0</v>
      </c>
      <c r="BP89" s="72">
        <f t="shared" si="11"/>
        <v>0</v>
      </c>
    </row>
    <row r="90" spans="1:68" x14ac:dyDescent="0.2">
      <c r="A90" s="467">
        <v>87</v>
      </c>
      <c r="B90" s="468" t="s">
        <v>829</v>
      </c>
      <c r="C90" s="469" t="s">
        <v>830</v>
      </c>
      <c r="D90" s="72">
        <f>SUMIFS('GSTR-2A'!$G$6:$G$10000,'GSTR-2A'!$B$6:$B$10000,$C$5:$C$4995,'GSTR-2A'!$A$6:$A$10000,$D$3)</f>
        <v>0</v>
      </c>
      <c r="E90" s="72">
        <f>SUMIFS('GSTR-2A'!$K$6:$K$10000,'GSTR-2A'!$B$6:$B$10000,$C$5:$C$4995,'GSTR-2A'!$A$6:$A$10000,$D$3)</f>
        <v>0</v>
      </c>
      <c r="F90" s="72">
        <f>SUMIFS('GSTR-2A'!$L$6:$L$10000,'GSTR-2A'!$B$6:$B$10000,$C$5:$C$4995,'GSTR-2A'!$A$6:$A$10000,$D$3)</f>
        <v>0</v>
      </c>
      <c r="G90" s="72">
        <f>SUMIFS('GSTR-2A'!$M$6:$M$10000,'GSTR-2A'!$B$6:$B$10000,$C$5:$C$4995,'GSTR-2A'!$A$6:$A$10000,$D$3)</f>
        <v>0</v>
      </c>
      <c r="H90" s="72">
        <f>SUMIFS('GSTR-2A'!$N$6:$N$10000,'GSTR-2A'!$B$6:$B$10000,$C$5:$C$4995,'GSTR-2A'!$A$6:$A$10000,$D$3)</f>
        <v>0</v>
      </c>
      <c r="I90" s="486">
        <f>SUMIFS('GSTR-2A'!$G$6:$G$10000,'GSTR-2A'!$B$6:$B$10000,$C$5:$C$4995,'GSTR-2A'!$A$6:$A$10000,$I$3)</f>
        <v>0</v>
      </c>
      <c r="J90" s="487">
        <f>SUMIFS('GSTR-2A'!$K$6:$K$10000,'GSTR-2A'!$B$6:$B$10000,$C$5:$C$4995,'GSTR-2A'!$A$6:$A$10000,$I$3)</f>
        <v>0</v>
      </c>
      <c r="K90" s="487">
        <f>SUMIFS('GSTR-2A'!$L$6:$L$10000,'GSTR-2A'!$B$6:$B$10000,$C$5:$C$4995,'GSTR-2A'!$A$6:$A$10000,$I$3)</f>
        <v>0</v>
      </c>
      <c r="L90" s="487">
        <f>SUMIFS('GSTR-2A'!$M$6:$M$10000,'GSTR-2A'!$B$6:$B$10000,$C$5:$C$4995,'GSTR-2A'!$A$6:$A$10000,$I$3)</f>
        <v>0</v>
      </c>
      <c r="M90" s="488">
        <f>SUMIFS('GSTR-2A'!$N$6:$N$10000,'GSTR-2A'!$B$6:$B$10000,$C$5:$C$4995,'GSTR-2A'!$A$6:$A$10000,$I$3)</f>
        <v>0</v>
      </c>
      <c r="N90" s="486">
        <f>SUMIFS('GSTR-2A'!$G$6:$G$10000,'GSTR-2A'!$B$6:$B$10000,$C$5:$C$4995,'GSTR-2A'!$A$6:$A$10000,$N$3)</f>
        <v>0</v>
      </c>
      <c r="O90" s="487">
        <f>SUMIFS('GSTR-2A'!$K$6:$K$10000,'GSTR-2A'!$B$6:$B$10000,$C$5:$C$4995,'GSTR-2A'!$A$6:$A$10000,$N$3)</f>
        <v>0</v>
      </c>
      <c r="P90" s="487">
        <f>SUMIFS('GSTR-2A'!$L$6:$L$10000,'GSTR-2A'!$B$6:$B$10000,$C$5:$C$4995,'GSTR-2A'!$A$6:$A$10000,$N$3)</f>
        <v>0</v>
      </c>
      <c r="Q90" s="487">
        <f>SUMIFS('GSTR-2A'!$M$6:$M$10000,'GSTR-2A'!$B$6:$B$10000,$C$5:$C$4995,'GSTR-2A'!$A$6:$A$10000,$N$3)</f>
        <v>0</v>
      </c>
      <c r="R90" s="488">
        <f>SUMIFS('GSTR-2A'!$N$6:$N$10000,'GSTR-2A'!$B$6:$B$10000,$C$5:$C$4995,'GSTR-2A'!$A$6:$A$10000,$N$3)</f>
        <v>0</v>
      </c>
      <c r="S90" s="486">
        <f>SUMIFS('GSTR-2A'!$G$6:$G$10000,'GSTR-2A'!$B$6:$B$10000,$C$5:$C$4995,'GSTR-2A'!$A$6:$A$10000,$S$3)</f>
        <v>0</v>
      </c>
      <c r="T90" s="487">
        <f>SUMIFS('GSTR-2A'!$K$6:$K$10000,'GSTR-2A'!$B$6:$B$10000,$C$5:$C$4995,'GSTR-2A'!$A$6:$A$10000,$S$3)</f>
        <v>0</v>
      </c>
      <c r="U90" s="487">
        <f>SUMIFS('GSTR-2A'!$L$6:$L$10000,'GSTR-2A'!$B$6:$B$10000,$C$5:$C$4995,'GSTR-2A'!$A$6:$A$10000,$S$3)</f>
        <v>0</v>
      </c>
      <c r="V90" s="487">
        <f>SUMIFS('GSTR-2A'!$M$6:$M$10000,'GSTR-2A'!$B$6:$B$10000,$C$5:$C$4995,'GSTR-2A'!$A$6:$A$10000,$S$3)</f>
        <v>0</v>
      </c>
      <c r="W90" s="488">
        <f>SUMIFS('GSTR-2A'!$N$6:$N$10000,'GSTR-2A'!$B$6:$B$10000,$C$5:$C$4995,'GSTR-2A'!$A$6:$A$10000,$S$3)</f>
        <v>0</v>
      </c>
      <c r="X90" s="486">
        <f>SUMIFS('GSTR-2A'!$G$6:$G$10000,'GSTR-2A'!$B$6:$B$10000,$C$5:$C$4995,'GSTR-2A'!$A$6:$A$10000,$X$3)</f>
        <v>0</v>
      </c>
      <c r="Y90" s="487">
        <f>SUMIFS('GSTR-2A'!$K$6:$K$10000,'GSTR-2A'!$B$6:$B$10000,$C$5:$C$4995,'GSTR-2A'!$A$6:$A$10000,$X$3)</f>
        <v>0</v>
      </c>
      <c r="Z90" s="487">
        <f>SUMIFS('GSTR-2A'!$L$6:$L$10000,'GSTR-2A'!$B$6:$B$10000,$C$5:$C$4995,'GSTR-2A'!$A$6:$A$10000,$X$3)</f>
        <v>0</v>
      </c>
      <c r="AA90" s="487">
        <f>SUMIFS('GSTR-2A'!$M$6:$M$10000,'GSTR-2A'!$B$6:$B$10000,$C$5:$C$4995,'GSTR-2A'!$A$6:$A$10000,$X$3)</f>
        <v>0</v>
      </c>
      <c r="AB90" s="488">
        <f>SUMIFS('GSTR-2A'!$N$6:$N$10000,'GSTR-2A'!$B$6:$B$10000,$C$5:$C$4995,'GSTR-2A'!$A$6:$A$10000,$X$3)</f>
        <v>0</v>
      </c>
      <c r="AC90" s="486">
        <f>SUMIFS('GSTR-2A'!$G$6:$G$10000,'GSTR-2A'!$B$6:$B$10000,$C$5:$C$4995,'GSTR-2A'!$A$6:$A$10000,$AC$3)</f>
        <v>0</v>
      </c>
      <c r="AD90" s="487">
        <f>SUMIFS('GSTR-2A'!$K$6:$K$10000,'GSTR-2A'!$B$6:$B$10000,$C$5:$C$4995,'GSTR-2A'!$A$6:$A$10000,$AC$3)</f>
        <v>0</v>
      </c>
      <c r="AE90" s="487">
        <f>SUMIFS('GSTR-2A'!$L$6:$L$10000,'GSTR-2A'!$B$6:$B$10000,$C$5:$C$4995,'GSTR-2A'!$A$6:$A$10000,$AC$3)</f>
        <v>0</v>
      </c>
      <c r="AF90" s="487">
        <f>SUMIFS('GSTR-2A'!$M$6:$M$10000,'GSTR-2A'!$B$6:$B$10000,$C$5:$C$4995,'GSTR-2A'!$A$6:$A$10000,$AC$3)</f>
        <v>0</v>
      </c>
      <c r="AG90" s="488">
        <f>SUMIFS('GSTR-2A'!$N$6:$N$10000,'GSTR-2A'!$B$6:$B$10000,$C$5:$C$4995,'GSTR-2A'!$A$6:$A$10000,$AC$3)</f>
        <v>0</v>
      </c>
      <c r="AH90" s="486">
        <f>SUMIFS('GSTR-2A'!$G$6:$G$10000,'GSTR-2A'!$B$6:$B$10000,$C$5:$C$4995,'GSTR-2A'!$A$6:$A$10000,$AH$3)</f>
        <v>0</v>
      </c>
      <c r="AI90" s="487">
        <f>SUMIFS('GSTR-2A'!$K$6:$K$10000,'GSTR-2A'!$B$6:$B$10000,$C$5:$C$4995,'GSTR-2A'!$A$6:$A$10000,$AH$3)</f>
        <v>0</v>
      </c>
      <c r="AJ90" s="487">
        <f>SUMIFS('GSTR-2A'!$L$6:$L$10000,'GSTR-2A'!$B$6:$B$10000,$C$5:$C$4995,'GSTR-2A'!$A$6:$A$10000,$AH$3)</f>
        <v>0</v>
      </c>
      <c r="AK90" s="487">
        <f>SUMIFS('GSTR-2A'!$M$6:$M$10000,'GSTR-2A'!$B$6:$B$10000,$C$5:$C$4995,'GSTR-2A'!$A$6:$A$10000,$AH$3)</f>
        <v>0</v>
      </c>
      <c r="AL90" s="488">
        <f>SUMIFS('GSTR-2A'!$N$6:$N$10000,'GSTR-2A'!$B$6:$B$10000,$C$5:$C$4995,'GSTR-2A'!$A$6:$A$10000,$AH$3)</f>
        <v>0</v>
      </c>
      <c r="AM90" s="486">
        <f>SUMIFS('GSTR-2A'!$G$6:$G$10000,'GSTR-2A'!$B$6:$B$10000,$C$5:$C$4995,'GSTR-2A'!$A$6:$A$10000,$AM$3)</f>
        <v>0</v>
      </c>
      <c r="AN90" s="487">
        <f>SUMIFS('GSTR-2A'!$K$6:$K$10000,'GSTR-2A'!$B$6:$B$10000,$C$5:$C$4995,'GSTR-2A'!$A$6:$A$10000,$AM$3)</f>
        <v>0</v>
      </c>
      <c r="AO90" s="487">
        <f>SUMIFS('GSTR-2A'!$L$6:$L$10000,'GSTR-2A'!$B$6:$B$10000,$C$5:$C$4995,'GSTR-2A'!$A$6:$A$10000,$AM$3)</f>
        <v>0</v>
      </c>
      <c r="AP90" s="487">
        <f>SUMIFS('GSTR-2A'!$M$6:$M$10000,'GSTR-2A'!$B$6:$B$10000,$C$5:$C$4995,'GSTR-2A'!$A$6:$A$10000,$AM$3)</f>
        <v>0</v>
      </c>
      <c r="AQ90" s="488">
        <f>SUMIFS('GSTR-2A'!$N$6:$N$10000,'GSTR-2A'!$B$6:$B$10000,$C$5:$C$4995,'GSTR-2A'!$A$6:$A$10000,$AM$3)</f>
        <v>0</v>
      </c>
      <c r="AR90" s="486">
        <f>SUMIFS('GSTR-2A'!$G$6:$G$10000,'GSTR-2A'!$B$6:$B$10000,$C$5:$C$4995,'GSTR-2A'!$A$6:$A$10000,$AR$3)</f>
        <v>0</v>
      </c>
      <c r="AS90" s="487">
        <f>SUMIFS('GSTR-2A'!$K$6:$K$10000,'GSTR-2A'!$B$6:$B$10000,$C$5:$C$4995,'GSTR-2A'!$A$6:$A$10000,$AR$3)</f>
        <v>0</v>
      </c>
      <c r="AT90" s="487">
        <f>SUMIFS('GSTR-2A'!$L$6:$L$10000,'GSTR-2A'!$B$6:$B$10000,$C$5:$C$4995,'GSTR-2A'!$A$6:$A$10000,$AR$3)</f>
        <v>0</v>
      </c>
      <c r="AU90" s="487">
        <f>SUMIFS('GSTR-2A'!$M$6:$M$10000,'GSTR-2A'!$B$6:$B$10000,$C$5:$C$4995,'GSTR-2A'!$A$6:$A$10000,$AR$3)</f>
        <v>0</v>
      </c>
      <c r="AV90" s="488">
        <f>SUMIFS('GSTR-2A'!$N$6:$N$10000,'GSTR-2A'!$B$6:$B$10000,$C$5:$C$4995,'GSTR-2A'!$A$6:$A$10000,$AR$3)</f>
        <v>0</v>
      </c>
      <c r="AW90" s="486">
        <f>SUMIFS('GSTR-2A'!$G$6:$G$10000,'GSTR-2A'!$B$6:$B$10000,$C$5:$C$4995,'GSTR-2A'!$A$6:$A$10000,$AW$3)</f>
        <v>0</v>
      </c>
      <c r="AX90" s="487">
        <f>SUMIFS('GSTR-2A'!$K$6:$K$10000,'GSTR-2A'!$B$6:$B$10000,$C$5:$C$4995,'GSTR-2A'!$A$6:$A$10000,$AW$3)</f>
        <v>0</v>
      </c>
      <c r="AY90" s="487">
        <f>SUMIFS('GSTR-2A'!$L$6:$L$10000,'GSTR-2A'!$B$6:$B$10000,$C$5:$C$4995,'GSTR-2A'!$A$6:$A$10000,$AW$3)</f>
        <v>0</v>
      </c>
      <c r="AZ90" s="487">
        <f>SUMIFS('GSTR-2A'!$M$6:$M$10000,'GSTR-2A'!$B$6:$B$10000,$C$5:$C$4995,'GSTR-2A'!$A$6:$A$10000,$AW$3)</f>
        <v>0</v>
      </c>
      <c r="BA90" s="488">
        <f>SUMIFS('GSTR-2A'!$N$6:$N$10000,'GSTR-2A'!$B$6:$B$10000,$C$5:$C$4995,'GSTR-2A'!$A$6:$A$10000,$AW$3)</f>
        <v>0</v>
      </c>
      <c r="BB90" s="486">
        <f>SUMIFS('GSTR-2A'!$G$6:$G$10000,'GSTR-2A'!$B$6:$B$10000,$C$5:$C$4995,'GSTR-2A'!$A$6:$A$10000,$BB$3)</f>
        <v>0</v>
      </c>
      <c r="BC90" s="487">
        <f>SUMIFS('GSTR-2A'!$K$6:$K$10000,'GSTR-2A'!$B$6:$B$10000,$C$5:$C$4995,'GSTR-2A'!$A$6:$A$10000,$BB$3)</f>
        <v>0</v>
      </c>
      <c r="BD90" s="487">
        <f>SUMIFS('GSTR-2A'!$L$6:$L$10000,'GSTR-2A'!$B$6:$B$10000,$C$5:$C$4995,'GSTR-2A'!$A$6:$A$10000,$BB$3)</f>
        <v>0</v>
      </c>
      <c r="BE90" s="487">
        <f>SUMIFS('GSTR-2A'!$M$6:$M$10000,'GSTR-2A'!$B$6:$B$10000,$C$5:$C$4995,'GSTR-2A'!$A$6:$A$10000,$BB$3)</f>
        <v>0</v>
      </c>
      <c r="BF90" s="488">
        <f>SUMIFS('GSTR-2A'!$N$6:$N$10000,'GSTR-2A'!$B$6:$B$10000,$C$5:$C$4995,'GSTR-2A'!$A$6:$A$10000,$BB$3)</f>
        <v>0</v>
      </c>
      <c r="BG90" s="486">
        <f>SUMIFS('GSTR-2A'!$G$6:$G$10000,'GSTR-2A'!$B$6:$B$10000,$C$5:$C$4995,'GSTR-2A'!$A$6:$A$10000,$BG$3)</f>
        <v>0</v>
      </c>
      <c r="BH90" s="487">
        <f>SUMIFS('GSTR-2A'!$K$6:$K$10000,'GSTR-2A'!$B$6:$B$10000,$C$5:$C$4995,'GSTR-2A'!$A$6:$A$10000,$BG$3)</f>
        <v>0</v>
      </c>
      <c r="BI90" s="487">
        <f>SUMIFS('GSTR-2A'!$L$6:$L$10000,'GSTR-2A'!$B$6:$B$10000,$C$5:$C$4995,'GSTR-2A'!$A$6:$A$10000,$BG$3)</f>
        <v>0</v>
      </c>
      <c r="BJ90" s="487">
        <f>SUMIFS('GSTR-2A'!$M$6:$M$10000,'GSTR-2A'!$B$6:$B$10000,$C$5:$C$4995,'GSTR-2A'!$A$6:$A$10000,$BG$3)</f>
        <v>0</v>
      </c>
      <c r="BK90" s="488">
        <f>SUMIFS('GSTR-2A'!$N$6:$N$10000,'GSTR-2A'!$B$6:$B$10000,$C$5:$C$4995,'GSTR-2A'!$A$6:$A$10000,$BG$3)</f>
        <v>0</v>
      </c>
      <c r="BL90" s="72">
        <f t="shared" si="7"/>
        <v>0</v>
      </c>
      <c r="BM90" s="72">
        <f t="shared" si="8"/>
        <v>0</v>
      </c>
      <c r="BN90" s="72">
        <f t="shared" si="9"/>
        <v>0</v>
      </c>
      <c r="BO90" s="72">
        <f t="shared" si="10"/>
        <v>0</v>
      </c>
      <c r="BP90" s="72">
        <f t="shared" si="11"/>
        <v>0</v>
      </c>
    </row>
    <row r="91" spans="1:68" x14ac:dyDescent="0.2">
      <c r="A91" s="467">
        <v>88</v>
      </c>
      <c r="B91" s="479" t="s">
        <v>722</v>
      </c>
      <c r="C91" s="479" t="s">
        <v>723</v>
      </c>
      <c r="D91" s="72">
        <f>SUMIFS('GSTR-2A'!$G$6:$G$10000,'GSTR-2A'!$B$6:$B$10000,$C$5:$C$4995,'GSTR-2A'!$A$6:$A$10000,$D$3)</f>
        <v>0</v>
      </c>
      <c r="E91" s="72">
        <f>SUMIFS('GSTR-2A'!$K$6:$K$10000,'GSTR-2A'!$B$6:$B$10000,$C$5:$C$4995,'GSTR-2A'!$A$6:$A$10000,$D$3)</f>
        <v>0</v>
      </c>
      <c r="F91" s="72">
        <f>SUMIFS('GSTR-2A'!$L$6:$L$10000,'GSTR-2A'!$B$6:$B$10000,$C$5:$C$4995,'GSTR-2A'!$A$6:$A$10000,$D$3)</f>
        <v>0</v>
      </c>
      <c r="G91" s="72">
        <f>SUMIFS('GSTR-2A'!$M$6:$M$10000,'GSTR-2A'!$B$6:$B$10000,$C$5:$C$4995,'GSTR-2A'!$A$6:$A$10000,$D$3)</f>
        <v>0</v>
      </c>
      <c r="H91" s="72">
        <f>SUMIFS('GSTR-2A'!$N$6:$N$10000,'GSTR-2A'!$B$6:$B$10000,$C$5:$C$4995,'GSTR-2A'!$A$6:$A$10000,$D$3)</f>
        <v>0</v>
      </c>
      <c r="I91" s="486">
        <f>SUMIFS('GSTR-2A'!$G$6:$G$10000,'GSTR-2A'!$B$6:$B$10000,$C$5:$C$4995,'GSTR-2A'!$A$6:$A$10000,$I$3)</f>
        <v>0</v>
      </c>
      <c r="J91" s="487">
        <f>SUMIFS('GSTR-2A'!$K$6:$K$10000,'GSTR-2A'!$B$6:$B$10000,$C$5:$C$4995,'GSTR-2A'!$A$6:$A$10000,$I$3)</f>
        <v>0</v>
      </c>
      <c r="K91" s="487">
        <f>SUMIFS('GSTR-2A'!$L$6:$L$10000,'GSTR-2A'!$B$6:$B$10000,$C$5:$C$4995,'GSTR-2A'!$A$6:$A$10000,$I$3)</f>
        <v>0</v>
      </c>
      <c r="L91" s="487">
        <f>SUMIFS('GSTR-2A'!$M$6:$M$10000,'GSTR-2A'!$B$6:$B$10000,$C$5:$C$4995,'GSTR-2A'!$A$6:$A$10000,$I$3)</f>
        <v>0</v>
      </c>
      <c r="M91" s="488">
        <f>SUMIFS('GSTR-2A'!$N$6:$N$10000,'GSTR-2A'!$B$6:$B$10000,$C$5:$C$4995,'GSTR-2A'!$A$6:$A$10000,$I$3)</f>
        <v>0</v>
      </c>
      <c r="N91" s="486">
        <f>SUMIFS('GSTR-2A'!$G$6:$G$10000,'GSTR-2A'!$B$6:$B$10000,$C$5:$C$4995,'GSTR-2A'!$A$6:$A$10000,$N$3)</f>
        <v>7906</v>
      </c>
      <c r="O91" s="487">
        <f>SUMIFS('GSTR-2A'!$K$6:$K$10000,'GSTR-2A'!$B$6:$B$10000,$C$5:$C$4995,'GSTR-2A'!$A$6:$A$10000,$N$3)</f>
        <v>6700</v>
      </c>
      <c r="P91" s="487">
        <f>SUMIFS('GSTR-2A'!$L$6:$L$10000,'GSTR-2A'!$B$6:$B$10000,$C$5:$C$4995,'GSTR-2A'!$A$6:$A$10000,$N$3)</f>
        <v>0</v>
      </c>
      <c r="Q91" s="487">
        <f>SUMIFS('GSTR-2A'!$M$6:$M$10000,'GSTR-2A'!$B$6:$B$10000,$C$5:$C$4995,'GSTR-2A'!$A$6:$A$10000,$N$3)</f>
        <v>603</v>
      </c>
      <c r="R91" s="488">
        <f>SUMIFS('GSTR-2A'!$N$6:$N$10000,'GSTR-2A'!$B$6:$B$10000,$C$5:$C$4995,'GSTR-2A'!$A$6:$A$10000,$N$3)</f>
        <v>603</v>
      </c>
      <c r="S91" s="486">
        <f>SUMIFS('GSTR-2A'!$G$6:$G$10000,'GSTR-2A'!$B$6:$B$10000,$C$5:$C$4995,'GSTR-2A'!$A$6:$A$10000,$S$3)</f>
        <v>43655</v>
      </c>
      <c r="T91" s="487">
        <f>SUMIFS('GSTR-2A'!$K$6:$K$10000,'GSTR-2A'!$B$6:$B$10000,$C$5:$C$4995,'GSTR-2A'!$A$6:$A$10000,$S$3)</f>
        <v>23800</v>
      </c>
      <c r="U91" s="487">
        <f>SUMIFS('GSTR-2A'!$L$6:$L$10000,'GSTR-2A'!$B$6:$B$10000,$C$5:$C$4995,'GSTR-2A'!$A$6:$A$10000,$S$3)</f>
        <v>0</v>
      </c>
      <c r="V91" s="487">
        <f>SUMIFS('GSTR-2A'!$M$6:$M$10000,'GSTR-2A'!$B$6:$B$10000,$C$5:$C$4995,'GSTR-2A'!$A$6:$A$10000,$S$3)</f>
        <v>2142</v>
      </c>
      <c r="W91" s="488">
        <f>SUMIFS('GSTR-2A'!$N$6:$N$10000,'GSTR-2A'!$B$6:$B$10000,$C$5:$C$4995,'GSTR-2A'!$A$6:$A$10000,$S$3)</f>
        <v>2142</v>
      </c>
      <c r="X91" s="486">
        <f>SUMIFS('GSTR-2A'!$G$6:$G$10000,'GSTR-2A'!$B$6:$B$10000,$C$5:$C$4995,'GSTR-2A'!$A$6:$A$10000,$X$3)</f>
        <v>0</v>
      </c>
      <c r="Y91" s="487">
        <f>SUMIFS('GSTR-2A'!$K$6:$K$10000,'GSTR-2A'!$B$6:$B$10000,$C$5:$C$4995,'GSTR-2A'!$A$6:$A$10000,$X$3)</f>
        <v>0</v>
      </c>
      <c r="Z91" s="487">
        <f>SUMIFS('GSTR-2A'!$L$6:$L$10000,'GSTR-2A'!$B$6:$B$10000,$C$5:$C$4995,'GSTR-2A'!$A$6:$A$10000,$X$3)</f>
        <v>0</v>
      </c>
      <c r="AA91" s="487">
        <f>SUMIFS('GSTR-2A'!$M$6:$M$10000,'GSTR-2A'!$B$6:$B$10000,$C$5:$C$4995,'GSTR-2A'!$A$6:$A$10000,$X$3)</f>
        <v>0</v>
      </c>
      <c r="AB91" s="488">
        <f>SUMIFS('GSTR-2A'!$N$6:$N$10000,'GSTR-2A'!$B$6:$B$10000,$C$5:$C$4995,'GSTR-2A'!$A$6:$A$10000,$X$3)</f>
        <v>0</v>
      </c>
      <c r="AC91" s="486">
        <f>SUMIFS('GSTR-2A'!$G$6:$G$10000,'GSTR-2A'!$B$6:$B$10000,$C$5:$C$4995,'GSTR-2A'!$A$6:$A$10000,$AC$3)</f>
        <v>0</v>
      </c>
      <c r="AD91" s="487">
        <f>SUMIFS('GSTR-2A'!$K$6:$K$10000,'GSTR-2A'!$B$6:$B$10000,$C$5:$C$4995,'GSTR-2A'!$A$6:$A$10000,$AC$3)</f>
        <v>0</v>
      </c>
      <c r="AE91" s="487">
        <f>SUMIFS('GSTR-2A'!$L$6:$L$10000,'GSTR-2A'!$B$6:$B$10000,$C$5:$C$4995,'GSTR-2A'!$A$6:$A$10000,$AC$3)</f>
        <v>0</v>
      </c>
      <c r="AF91" s="487">
        <f>SUMIFS('GSTR-2A'!$M$6:$M$10000,'GSTR-2A'!$B$6:$B$10000,$C$5:$C$4995,'GSTR-2A'!$A$6:$A$10000,$AC$3)</f>
        <v>0</v>
      </c>
      <c r="AG91" s="488">
        <f>SUMIFS('GSTR-2A'!$N$6:$N$10000,'GSTR-2A'!$B$6:$B$10000,$C$5:$C$4995,'GSTR-2A'!$A$6:$A$10000,$AC$3)</f>
        <v>0</v>
      </c>
      <c r="AH91" s="486">
        <f>SUMIFS('GSTR-2A'!$G$6:$G$10000,'GSTR-2A'!$B$6:$B$10000,$C$5:$C$4995,'GSTR-2A'!$A$6:$A$10000,$AH$3)</f>
        <v>0</v>
      </c>
      <c r="AI91" s="487">
        <f>SUMIFS('GSTR-2A'!$K$6:$K$10000,'GSTR-2A'!$B$6:$B$10000,$C$5:$C$4995,'GSTR-2A'!$A$6:$A$10000,$AH$3)</f>
        <v>0</v>
      </c>
      <c r="AJ91" s="487">
        <f>SUMIFS('GSTR-2A'!$L$6:$L$10000,'GSTR-2A'!$B$6:$B$10000,$C$5:$C$4995,'GSTR-2A'!$A$6:$A$10000,$AH$3)</f>
        <v>0</v>
      </c>
      <c r="AK91" s="487">
        <f>SUMIFS('GSTR-2A'!$M$6:$M$10000,'GSTR-2A'!$B$6:$B$10000,$C$5:$C$4995,'GSTR-2A'!$A$6:$A$10000,$AH$3)</f>
        <v>0</v>
      </c>
      <c r="AL91" s="488">
        <f>SUMIFS('GSTR-2A'!$N$6:$N$10000,'GSTR-2A'!$B$6:$B$10000,$C$5:$C$4995,'GSTR-2A'!$A$6:$A$10000,$AH$3)</f>
        <v>0</v>
      </c>
      <c r="AM91" s="486">
        <f>SUMIFS('GSTR-2A'!$G$6:$G$10000,'GSTR-2A'!$B$6:$B$10000,$C$5:$C$4995,'GSTR-2A'!$A$6:$A$10000,$AM$3)</f>
        <v>0</v>
      </c>
      <c r="AN91" s="487">
        <f>SUMIFS('GSTR-2A'!$K$6:$K$10000,'GSTR-2A'!$B$6:$B$10000,$C$5:$C$4995,'GSTR-2A'!$A$6:$A$10000,$AM$3)</f>
        <v>0</v>
      </c>
      <c r="AO91" s="487">
        <f>SUMIFS('GSTR-2A'!$L$6:$L$10000,'GSTR-2A'!$B$6:$B$10000,$C$5:$C$4995,'GSTR-2A'!$A$6:$A$10000,$AM$3)</f>
        <v>0</v>
      </c>
      <c r="AP91" s="487">
        <f>SUMIFS('GSTR-2A'!$M$6:$M$10000,'GSTR-2A'!$B$6:$B$10000,$C$5:$C$4995,'GSTR-2A'!$A$6:$A$10000,$AM$3)</f>
        <v>0</v>
      </c>
      <c r="AQ91" s="488">
        <f>SUMIFS('GSTR-2A'!$N$6:$N$10000,'GSTR-2A'!$B$6:$B$10000,$C$5:$C$4995,'GSTR-2A'!$A$6:$A$10000,$AM$3)</f>
        <v>0</v>
      </c>
      <c r="AR91" s="486">
        <f>SUMIFS('GSTR-2A'!$G$6:$G$10000,'GSTR-2A'!$B$6:$B$10000,$C$5:$C$4995,'GSTR-2A'!$A$6:$A$10000,$AR$3)</f>
        <v>0</v>
      </c>
      <c r="AS91" s="487">
        <f>SUMIFS('GSTR-2A'!$K$6:$K$10000,'GSTR-2A'!$B$6:$B$10000,$C$5:$C$4995,'GSTR-2A'!$A$6:$A$10000,$AR$3)</f>
        <v>0</v>
      </c>
      <c r="AT91" s="487">
        <f>SUMIFS('GSTR-2A'!$L$6:$L$10000,'GSTR-2A'!$B$6:$B$10000,$C$5:$C$4995,'GSTR-2A'!$A$6:$A$10000,$AR$3)</f>
        <v>0</v>
      </c>
      <c r="AU91" s="487">
        <f>SUMIFS('GSTR-2A'!$M$6:$M$10000,'GSTR-2A'!$B$6:$B$10000,$C$5:$C$4995,'GSTR-2A'!$A$6:$A$10000,$AR$3)</f>
        <v>0</v>
      </c>
      <c r="AV91" s="488">
        <f>SUMIFS('GSTR-2A'!$N$6:$N$10000,'GSTR-2A'!$B$6:$B$10000,$C$5:$C$4995,'GSTR-2A'!$A$6:$A$10000,$AR$3)</f>
        <v>0</v>
      </c>
      <c r="AW91" s="486">
        <f>SUMIFS('GSTR-2A'!$G$6:$G$10000,'GSTR-2A'!$B$6:$B$10000,$C$5:$C$4995,'GSTR-2A'!$A$6:$A$10000,$AW$3)</f>
        <v>0</v>
      </c>
      <c r="AX91" s="487">
        <f>SUMIFS('GSTR-2A'!$K$6:$K$10000,'GSTR-2A'!$B$6:$B$10000,$C$5:$C$4995,'GSTR-2A'!$A$6:$A$10000,$AW$3)</f>
        <v>0</v>
      </c>
      <c r="AY91" s="487">
        <f>SUMIFS('GSTR-2A'!$L$6:$L$10000,'GSTR-2A'!$B$6:$B$10000,$C$5:$C$4995,'GSTR-2A'!$A$6:$A$10000,$AW$3)</f>
        <v>0</v>
      </c>
      <c r="AZ91" s="487">
        <f>SUMIFS('GSTR-2A'!$M$6:$M$10000,'GSTR-2A'!$B$6:$B$10000,$C$5:$C$4995,'GSTR-2A'!$A$6:$A$10000,$AW$3)</f>
        <v>0</v>
      </c>
      <c r="BA91" s="488">
        <f>SUMIFS('GSTR-2A'!$N$6:$N$10000,'GSTR-2A'!$B$6:$B$10000,$C$5:$C$4995,'GSTR-2A'!$A$6:$A$10000,$AW$3)</f>
        <v>0</v>
      </c>
      <c r="BB91" s="486">
        <f>SUMIFS('GSTR-2A'!$G$6:$G$10000,'GSTR-2A'!$B$6:$B$10000,$C$5:$C$4995,'GSTR-2A'!$A$6:$A$10000,$BB$3)</f>
        <v>0</v>
      </c>
      <c r="BC91" s="487">
        <f>SUMIFS('GSTR-2A'!$K$6:$K$10000,'GSTR-2A'!$B$6:$B$10000,$C$5:$C$4995,'GSTR-2A'!$A$6:$A$10000,$BB$3)</f>
        <v>0</v>
      </c>
      <c r="BD91" s="487">
        <f>SUMIFS('GSTR-2A'!$L$6:$L$10000,'GSTR-2A'!$B$6:$B$10000,$C$5:$C$4995,'GSTR-2A'!$A$6:$A$10000,$BB$3)</f>
        <v>0</v>
      </c>
      <c r="BE91" s="487">
        <f>SUMIFS('GSTR-2A'!$M$6:$M$10000,'GSTR-2A'!$B$6:$B$10000,$C$5:$C$4995,'GSTR-2A'!$A$6:$A$10000,$BB$3)</f>
        <v>0</v>
      </c>
      <c r="BF91" s="488">
        <f>SUMIFS('GSTR-2A'!$N$6:$N$10000,'GSTR-2A'!$B$6:$B$10000,$C$5:$C$4995,'GSTR-2A'!$A$6:$A$10000,$BB$3)</f>
        <v>0</v>
      </c>
      <c r="BG91" s="486">
        <f>SUMIFS('GSTR-2A'!$G$6:$G$10000,'GSTR-2A'!$B$6:$B$10000,$C$5:$C$4995,'GSTR-2A'!$A$6:$A$10000,$BG$3)</f>
        <v>0</v>
      </c>
      <c r="BH91" s="487">
        <f>SUMIFS('GSTR-2A'!$K$6:$K$10000,'GSTR-2A'!$B$6:$B$10000,$C$5:$C$4995,'GSTR-2A'!$A$6:$A$10000,$BG$3)</f>
        <v>0</v>
      </c>
      <c r="BI91" s="487">
        <f>SUMIFS('GSTR-2A'!$L$6:$L$10000,'GSTR-2A'!$B$6:$B$10000,$C$5:$C$4995,'GSTR-2A'!$A$6:$A$10000,$BG$3)</f>
        <v>0</v>
      </c>
      <c r="BJ91" s="487">
        <f>SUMIFS('GSTR-2A'!$M$6:$M$10000,'GSTR-2A'!$B$6:$B$10000,$C$5:$C$4995,'GSTR-2A'!$A$6:$A$10000,$BG$3)</f>
        <v>0</v>
      </c>
      <c r="BK91" s="488">
        <f>SUMIFS('GSTR-2A'!$N$6:$N$10000,'GSTR-2A'!$B$6:$B$10000,$C$5:$C$4995,'GSTR-2A'!$A$6:$A$10000,$BG$3)</f>
        <v>0</v>
      </c>
      <c r="BL91" s="72">
        <f t="shared" si="7"/>
        <v>51561</v>
      </c>
      <c r="BM91" s="72">
        <f t="shared" si="8"/>
        <v>30500</v>
      </c>
      <c r="BN91" s="72">
        <f t="shared" si="9"/>
        <v>0</v>
      </c>
      <c r="BO91" s="72">
        <f t="shared" si="10"/>
        <v>2745</v>
      </c>
      <c r="BP91" s="72">
        <f t="shared" si="11"/>
        <v>2745</v>
      </c>
    </row>
    <row r="92" spans="1:68" x14ac:dyDescent="0.2">
      <c r="A92" s="467">
        <v>89</v>
      </c>
      <c r="B92" s="468" t="s">
        <v>1138</v>
      </c>
      <c r="C92" s="469" t="s">
        <v>1139</v>
      </c>
      <c r="D92" s="72">
        <f>SUMIFS('GSTR-2A'!$G$6:$G$10000,'GSTR-2A'!$B$6:$B$10000,$C$5:$C$4995,'GSTR-2A'!$A$6:$A$10000,$D$3)</f>
        <v>0</v>
      </c>
      <c r="E92" s="72">
        <f>SUMIFS('GSTR-2A'!$K$6:$K$10000,'GSTR-2A'!$B$6:$B$10000,$C$5:$C$4995,'GSTR-2A'!$A$6:$A$10000,$D$3)</f>
        <v>0</v>
      </c>
      <c r="F92" s="72">
        <f>SUMIFS('GSTR-2A'!$L$6:$L$10000,'GSTR-2A'!$B$6:$B$10000,$C$5:$C$4995,'GSTR-2A'!$A$6:$A$10000,$D$3)</f>
        <v>0</v>
      </c>
      <c r="G92" s="72">
        <f>SUMIFS('GSTR-2A'!$M$6:$M$10000,'GSTR-2A'!$B$6:$B$10000,$C$5:$C$4995,'GSTR-2A'!$A$6:$A$10000,$D$3)</f>
        <v>0</v>
      </c>
      <c r="H92" s="72">
        <f>SUMIFS('GSTR-2A'!$N$6:$N$10000,'GSTR-2A'!$B$6:$B$10000,$C$5:$C$4995,'GSTR-2A'!$A$6:$A$10000,$D$3)</f>
        <v>0</v>
      </c>
      <c r="I92" s="486">
        <f>SUMIFS('GSTR-2A'!$G$6:$G$10000,'GSTR-2A'!$B$6:$B$10000,$C$5:$C$4995,'GSTR-2A'!$A$6:$A$10000,$I$3)</f>
        <v>0</v>
      </c>
      <c r="J92" s="487">
        <f>SUMIFS('GSTR-2A'!$K$6:$K$10000,'GSTR-2A'!$B$6:$B$10000,$C$5:$C$4995,'GSTR-2A'!$A$6:$A$10000,$I$3)</f>
        <v>0</v>
      </c>
      <c r="K92" s="487">
        <f>SUMIFS('GSTR-2A'!$L$6:$L$10000,'GSTR-2A'!$B$6:$B$10000,$C$5:$C$4995,'GSTR-2A'!$A$6:$A$10000,$I$3)</f>
        <v>0</v>
      </c>
      <c r="L92" s="487">
        <f>SUMIFS('GSTR-2A'!$M$6:$M$10000,'GSTR-2A'!$B$6:$B$10000,$C$5:$C$4995,'GSTR-2A'!$A$6:$A$10000,$I$3)</f>
        <v>0</v>
      </c>
      <c r="M92" s="488">
        <f>SUMIFS('GSTR-2A'!$N$6:$N$10000,'GSTR-2A'!$B$6:$B$10000,$C$5:$C$4995,'GSTR-2A'!$A$6:$A$10000,$I$3)</f>
        <v>0</v>
      </c>
      <c r="N92" s="486">
        <f>SUMIFS('GSTR-2A'!$G$6:$G$10000,'GSTR-2A'!$B$6:$B$10000,$C$5:$C$4995,'GSTR-2A'!$A$6:$A$10000,$N$3)</f>
        <v>0</v>
      </c>
      <c r="O92" s="487">
        <f>SUMIFS('GSTR-2A'!$K$6:$K$10000,'GSTR-2A'!$B$6:$B$10000,$C$5:$C$4995,'GSTR-2A'!$A$6:$A$10000,$N$3)</f>
        <v>0</v>
      </c>
      <c r="P92" s="487">
        <f>SUMIFS('GSTR-2A'!$L$6:$L$10000,'GSTR-2A'!$B$6:$B$10000,$C$5:$C$4995,'GSTR-2A'!$A$6:$A$10000,$N$3)</f>
        <v>0</v>
      </c>
      <c r="Q92" s="487">
        <f>SUMIFS('GSTR-2A'!$M$6:$M$10000,'GSTR-2A'!$B$6:$B$10000,$C$5:$C$4995,'GSTR-2A'!$A$6:$A$10000,$N$3)</f>
        <v>0</v>
      </c>
      <c r="R92" s="488">
        <f>SUMIFS('GSTR-2A'!$N$6:$N$10000,'GSTR-2A'!$B$6:$B$10000,$C$5:$C$4995,'GSTR-2A'!$A$6:$A$10000,$N$3)</f>
        <v>0</v>
      </c>
      <c r="S92" s="486">
        <f>SUMIFS('GSTR-2A'!$G$6:$G$10000,'GSTR-2A'!$B$6:$B$10000,$C$5:$C$4995,'GSTR-2A'!$A$6:$A$10000,$S$3)</f>
        <v>0</v>
      </c>
      <c r="T92" s="487">
        <f>SUMIFS('GSTR-2A'!$K$6:$K$10000,'GSTR-2A'!$B$6:$B$10000,$C$5:$C$4995,'GSTR-2A'!$A$6:$A$10000,$S$3)</f>
        <v>0</v>
      </c>
      <c r="U92" s="487">
        <f>SUMIFS('GSTR-2A'!$L$6:$L$10000,'GSTR-2A'!$B$6:$B$10000,$C$5:$C$4995,'GSTR-2A'!$A$6:$A$10000,$S$3)</f>
        <v>0</v>
      </c>
      <c r="V92" s="487">
        <f>SUMIFS('GSTR-2A'!$M$6:$M$10000,'GSTR-2A'!$B$6:$B$10000,$C$5:$C$4995,'GSTR-2A'!$A$6:$A$10000,$S$3)</f>
        <v>0</v>
      </c>
      <c r="W92" s="488">
        <f>SUMIFS('GSTR-2A'!$N$6:$N$10000,'GSTR-2A'!$B$6:$B$10000,$C$5:$C$4995,'GSTR-2A'!$A$6:$A$10000,$S$3)</f>
        <v>0</v>
      </c>
      <c r="X92" s="486">
        <f>SUMIFS('GSTR-2A'!$G$6:$G$10000,'GSTR-2A'!$B$6:$B$10000,$C$5:$C$4995,'GSTR-2A'!$A$6:$A$10000,$X$3)</f>
        <v>0</v>
      </c>
      <c r="Y92" s="487">
        <f>SUMIFS('GSTR-2A'!$K$6:$K$10000,'GSTR-2A'!$B$6:$B$10000,$C$5:$C$4995,'GSTR-2A'!$A$6:$A$10000,$X$3)</f>
        <v>0</v>
      </c>
      <c r="Z92" s="487">
        <f>SUMIFS('GSTR-2A'!$L$6:$L$10000,'GSTR-2A'!$B$6:$B$10000,$C$5:$C$4995,'GSTR-2A'!$A$6:$A$10000,$X$3)</f>
        <v>0</v>
      </c>
      <c r="AA92" s="487">
        <f>SUMIFS('GSTR-2A'!$M$6:$M$10000,'GSTR-2A'!$B$6:$B$10000,$C$5:$C$4995,'GSTR-2A'!$A$6:$A$10000,$X$3)</f>
        <v>0</v>
      </c>
      <c r="AB92" s="488">
        <f>SUMIFS('GSTR-2A'!$N$6:$N$10000,'GSTR-2A'!$B$6:$B$10000,$C$5:$C$4995,'GSTR-2A'!$A$6:$A$10000,$X$3)</f>
        <v>0</v>
      </c>
      <c r="AC92" s="486">
        <f>SUMIFS('GSTR-2A'!$G$6:$G$10000,'GSTR-2A'!$B$6:$B$10000,$C$5:$C$4995,'GSTR-2A'!$A$6:$A$10000,$AC$3)</f>
        <v>0</v>
      </c>
      <c r="AD92" s="487">
        <f>SUMIFS('GSTR-2A'!$K$6:$K$10000,'GSTR-2A'!$B$6:$B$10000,$C$5:$C$4995,'GSTR-2A'!$A$6:$A$10000,$AC$3)</f>
        <v>0</v>
      </c>
      <c r="AE92" s="487">
        <f>SUMIFS('GSTR-2A'!$L$6:$L$10000,'GSTR-2A'!$B$6:$B$10000,$C$5:$C$4995,'GSTR-2A'!$A$6:$A$10000,$AC$3)</f>
        <v>0</v>
      </c>
      <c r="AF92" s="487">
        <f>SUMIFS('GSTR-2A'!$M$6:$M$10000,'GSTR-2A'!$B$6:$B$10000,$C$5:$C$4995,'GSTR-2A'!$A$6:$A$10000,$AC$3)</f>
        <v>0</v>
      </c>
      <c r="AG92" s="488">
        <f>SUMIFS('GSTR-2A'!$N$6:$N$10000,'GSTR-2A'!$B$6:$B$10000,$C$5:$C$4995,'GSTR-2A'!$A$6:$A$10000,$AC$3)</f>
        <v>0</v>
      </c>
      <c r="AH92" s="486">
        <f>SUMIFS('GSTR-2A'!$G$6:$G$10000,'GSTR-2A'!$B$6:$B$10000,$C$5:$C$4995,'GSTR-2A'!$A$6:$A$10000,$AH$3)</f>
        <v>0</v>
      </c>
      <c r="AI92" s="487">
        <f>SUMIFS('GSTR-2A'!$K$6:$K$10000,'GSTR-2A'!$B$6:$B$10000,$C$5:$C$4995,'GSTR-2A'!$A$6:$A$10000,$AH$3)</f>
        <v>0</v>
      </c>
      <c r="AJ92" s="487">
        <f>SUMIFS('GSTR-2A'!$L$6:$L$10000,'GSTR-2A'!$B$6:$B$10000,$C$5:$C$4995,'GSTR-2A'!$A$6:$A$10000,$AH$3)</f>
        <v>0</v>
      </c>
      <c r="AK92" s="487">
        <f>SUMIFS('GSTR-2A'!$M$6:$M$10000,'GSTR-2A'!$B$6:$B$10000,$C$5:$C$4995,'GSTR-2A'!$A$6:$A$10000,$AH$3)</f>
        <v>0</v>
      </c>
      <c r="AL92" s="488">
        <f>SUMIFS('GSTR-2A'!$N$6:$N$10000,'GSTR-2A'!$B$6:$B$10000,$C$5:$C$4995,'GSTR-2A'!$A$6:$A$10000,$AH$3)</f>
        <v>0</v>
      </c>
      <c r="AM92" s="486">
        <f>SUMIFS('GSTR-2A'!$G$6:$G$10000,'GSTR-2A'!$B$6:$B$10000,$C$5:$C$4995,'GSTR-2A'!$A$6:$A$10000,$AM$3)</f>
        <v>0</v>
      </c>
      <c r="AN92" s="487">
        <f>SUMIFS('GSTR-2A'!$K$6:$K$10000,'GSTR-2A'!$B$6:$B$10000,$C$5:$C$4995,'GSTR-2A'!$A$6:$A$10000,$AM$3)</f>
        <v>0</v>
      </c>
      <c r="AO92" s="487">
        <f>SUMIFS('GSTR-2A'!$L$6:$L$10000,'GSTR-2A'!$B$6:$B$10000,$C$5:$C$4995,'GSTR-2A'!$A$6:$A$10000,$AM$3)</f>
        <v>0</v>
      </c>
      <c r="AP92" s="487">
        <f>SUMIFS('GSTR-2A'!$M$6:$M$10000,'GSTR-2A'!$B$6:$B$10000,$C$5:$C$4995,'GSTR-2A'!$A$6:$A$10000,$AM$3)</f>
        <v>0</v>
      </c>
      <c r="AQ92" s="488">
        <f>SUMIFS('GSTR-2A'!$N$6:$N$10000,'GSTR-2A'!$B$6:$B$10000,$C$5:$C$4995,'GSTR-2A'!$A$6:$A$10000,$AM$3)</f>
        <v>0</v>
      </c>
      <c r="AR92" s="486">
        <f>SUMIFS('GSTR-2A'!$G$6:$G$10000,'GSTR-2A'!$B$6:$B$10000,$C$5:$C$4995,'GSTR-2A'!$A$6:$A$10000,$AR$3)</f>
        <v>0</v>
      </c>
      <c r="AS92" s="487">
        <f>SUMIFS('GSTR-2A'!$K$6:$K$10000,'GSTR-2A'!$B$6:$B$10000,$C$5:$C$4995,'GSTR-2A'!$A$6:$A$10000,$AR$3)</f>
        <v>0</v>
      </c>
      <c r="AT92" s="487">
        <f>SUMIFS('GSTR-2A'!$L$6:$L$10000,'GSTR-2A'!$B$6:$B$10000,$C$5:$C$4995,'GSTR-2A'!$A$6:$A$10000,$AR$3)</f>
        <v>0</v>
      </c>
      <c r="AU92" s="487">
        <f>SUMIFS('GSTR-2A'!$M$6:$M$10000,'GSTR-2A'!$B$6:$B$10000,$C$5:$C$4995,'GSTR-2A'!$A$6:$A$10000,$AR$3)</f>
        <v>0</v>
      </c>
      <c r="AV92" s="488">
        <f>SUMIFS('GSTR-2A'!$N$6:$N$10000,'GSTR-2A'!$B$6:$B$10000,$C$5:$C$4995,'GSTR-2A'!$A$6:$A$10000,$AR$3)</f>
        <v>0</v>
      </c>
      <c r="AW92" s="486">
        <f>SUMIFS('GSTR-2A'!$G$6:$G$10000,'GSTR-2A'!$B$6:$B$10000,$C$5:$C$4995,'GSTR-2A'!$A$6:$A$10000,$AW$3)</f>
        <v>0</v>
      </c>
      <c r="AX92" s="487">
        <f>SUMIFS('GSTR-2A'!$K$6:$K$10000,'GSTR-2A'!$B$6:$B$10000,$C$5:$C$4995,'GSTR-2A'!$A$6:$A$10000,$AW$3)</f>
        <v>0</v>
      </c>
      <c r="AY92" s="487">
        <f>SUMIFS('GSTR-2A'!$L$6:$L$10000,'GSTR-2A'!$B$6:$B$10000,$C$5:$C$4995,'GSTR-2A'!$A$6:$A$10000,$AW$3)</f>
        <v>0</v>
      </c>
      <c r="AZ92" s="487">
        <f>SUMIFS('GSTR-2A'!$M$6:$M$10000,'GSTR-2A'!$B$6:$B$10000,$C$5:$C$4995,'GSTR-2A'!$A$6:$A$10000,$AW$3)</f>
        <v>0</v>
      </c>
      <c r="BA92" s="488">
        <f>SUMIFS('GSTR-2A'!$N$6:$N$10000,'GSTR-2A'!$B$6:$B$10000,$C$5:$C$4995,'GSTR-2A'!$A$6:$A$10000,$AW$3)</f>
        <v>0</v>
      </c>
      <c r="BB92" s="486">
        <f>SUMIFS('GSTR-2A'!$G$6:$G$10000,'GSTR-2A'!$B$6:$B$10000,$C$5:$C$4995,'GSTR-2A'!$A$6:$A$10000,$BB$3)</f>
        <v>0</v>
      </c>
      <c r="BC92" s="487">
        <f>SUMIFS('GSTR-2A'!$K$6:$K$10000,'GSTR-2A'!$B$6:$B$10000,$C$5:$C$4995,'GSTR-2A'!$A$6:$A$10000,$BB$3)</f>
        <v>0</v>
      </c>
      <c r="BD92" s="487">
        <f>SUMIFS('GSTR-2A'!$L$6:$L$10000,'GSTR-2A'!$B$6:$B$10000,$C$5:$C$4995,'GSTR-2A'!$A$6:$A$10000,$BB$3)</f>
        <v>0</v>
      </c>
      <c r="BE92" s="487">
        <f>SUMIFS('GSTR-2A'!$M$6:$M$10000,'GSTR-2A'!$B$6:$B$10000,$C$5:$C$4995,'GSTR-2A'!$A$6:$A$10000,$BB$3)</f>
        <v>0</v>
      </c>
      <c r="BF92" s="488">
        <f>SUMIFS('GSTR-2A'!$N$6:$N$10000,'GSTR-2A'!$B$6:$B$10000,$C$5:$C$4995,'GSTR-2A'!$A$6:$A$10000,$BB$3)</f>
        <v>0</v>
      </c>
      <c r="BG92" s="486">
        <f>SUMIFS('GSTR-2A'!$G$6:$G$10000,'GSTR-2A'!$B$6:$B$10000,$C$5:$C$4995,'GSTR-2A'!$A$6:$A$10000,$BG$3)</f>
        <v>0</v>
      </c>
      <c r="BH92" s="487">
        <f>SUMIFS('GSTR-2A'!$K$6:$K$10000,'GSTR-2A'!$B$6:$B$10000,$C$5:$C$4995,'GSTR-2A'!$A$6:$A$10000,$BG$3)</f>
        <v>0</v>
      </c>
      <c r="BI92" s="487">
        <f>SUMIFS('GSTR-2A'!$L$6:$L$10000,'GSTR-2A'!$B$6:$B$10000,$C$5:$C$4995,'GSTR-2A'!$A$6:$A$10000,$BG$3)</f>
        <v>0</v>
      </c>
      <c r="BJ92" s="487">
        <f>SUMIFS('GSTR-2A'!$M$6:$M$10000,'GSTR-2A'!$B$6:$B$10000,$C$5:$C$4995,'GSTR-2A'!$A$6:$A$10000,$BG$3)</f>
        <v>0</v>
      </c>
      <c r="BK92" s="488">
        <f>SUMIFS('GSTR-2A'!$N$6:$N$10000,'GSTR-2A'!$B$6:$B$10000,$C$5:$C$4995,'GSTR-2A'!$A$6:$A$10000,$BG$3)</f>
        <v>0</v>
      </c>
      <c r="BL92" s="72">
        <f t="shared" si="7"/>
        <v>0</v>
      </c>
      <c r="BM92" s="72">
        <f t="shared" si="8"/>
        <v>0</v>
      </c>
      <c r="BN92" s="72">
        <f t="shared" si="9"/>
        <v>0</v>
      </c>
      <c r="BO92" s="72">
        <f t="shared" si="10"/>
        <v>0</v>
      </c>
      <c r="BP92" s="72">
        <f t="shared" si="11"/>
        <v>0</v>
      </c>
    </row>
    <row r="93" spans="1:68" x14ac:dyDescent="0.2">
      <c r="A93" s="467">
        <v>90</v>
      </c>
      <c r="B93" s="479" t="s">
        <v>747</v>
      </c>
      <c r="C93" s="479" t="s">
        <v>748</v>
      </c>
      <c r="D93" s="72">
        <f>SUMIFS('GSTR-2A'!$G$6:$G$10000,'GSTR-2A'!$B$6:$B$10000,$C$5:$C$4995,'GSTR-2A'!$A$6:$A$10000,$D$3)</f>
        <v>0</v>
      </c>
      <c r="E93" s="72">
        <f>SUMIFS('GSTR-2A'!$K$6:$K$10000,'GSTR-2A'!$B$6:$B$10000,$C$5:$C$4995,'GSTR-2A'!$A$6:$A$10000,$D$3)</f>
        <v>0</v>
      </c>
      <c r="F93" s="72">
        <f>SUMIFS('GSTR-2A'!$L$6:$L$10000,'GSTR-2A'!$B$6:$B$10000,$C$5:$C$4995,'GSTR-2A'!$A$6:$A$10000,$D$3)</f>
        <v>0</v>
      </c>
      <c r="G93" s="72">
        <f>SUMIFS('GSTR-2A'!$M$6:$M$10000,'GSTR-2A'!$B$6:$B$10000,$C$5:$C$4995,'GSTR-2A'!$A$6:$A$10000,$D$3)</f>
        <v>0</v>
      </c>
      <c r="H93" s="72">
        <f>SUMIFS('GSTR-2A'!$N$6:$N$10000,'GSTR-2A'!$B$6:$B$10000,$C$5:$C$4995,'GSTR-2A'!$A$6:$A$10000,$D$3)</f>
        <v>0</v>
      </c>
      <c r="I93" s="486">
        <f>SUMIFS('GSTR-2A'!$G$6:$G$10000,'GSTR-2A'!$B$6:$B$10000,$C$5:$C$4995,'GSTR-2A'!$A$6:$A$10000,$I$3)</f>
        <v>0</v>
      </c>
      <c r="J93" s="487">
        <f>SUMIFS('GSTR-2A'!$K$6:$K$10000,'GSTR-2A'!$B$6:$B$10000,$C$5:$C$4995,'GSTR-2A'!$A$6:$A$10000,$I$3)</f>
        <v>0</v>
      </c>
      <c r="K93" s="487">
        <f>SUMIFS('GSTR-2A'!$L$6:$L$10000,'GSTR-2A'!$B$6:$B$10000,$C$5:$C$4995,'GSTR-2A'!$A$6:$A$10000,$I$3)</f>
        <v>0</v>
      </c>
      <c r="L93" s="487">
        <f>SUMIFS('GSTR-2A'!$M$6:$M$10000,'GSTR-2A'!$B$6:$B$10000,$C$5:$C$4995,'GSTR-2A'!$A$6:$A$10000,$I$3)</f>
        <v>0</v>
      </c>
      <c r="M93" s="488">
        <f>SUMIFS('GSTR-2A'!$N$6:$N$10000,'GSTR-2A'!$B$6:$B$10000,$C$5:$C$4995,'GSTR-2A'!$A$6:$A$10000,$I$3)</f>
        <v>0</v>
      </c>
      <c r="N93" s="486">
        <f>SUMIFS('GSTR-2A'!$G$6:$G$10000,'GSTR-2A'!$B$6:$B$10000,$C$5:$C$4995,'GSTR-2A'!$A$6:$A$10000,$N$3)</f>
        <v>54870</v>
      </c>
      <c r="O93" s="487">
        <f>SUMIFS('GSTR-2A'!$K$6:$K$10000,'GSTR-2A'!$B$6:$B$10000,$C$5:$C$4995,'GSTR-2A'!$A$6:$A$10000,$N$3)</f>
        <v>46500</v>
      </c>
      <c r="P93" s="487">
        <f>SUMIFS('GSTR-2A'!$L$6:$L$10000,'GSTR-2A'!$B$6:$B$10000,$C$5:$C$4995,'GSTR-2A'!$A$6:$A$10000,$N$3)</f>
        <v>0</v>
      </c>
      <c r="Q93" s="487">
        <f>SUMIFS('GSTR-2A'!$M$6:$M$10000,'GSTR-2A'!$B$6:$B$10000,$C$5:$C$4995,'GSTR-2A'!$A$6:$A$10000,$N$3)</f>
        <v>4185</v>
      </c>
      <c r="R93" s="488">
        <f>SUMIFS('GSTR-2A'!$N$6:$N$10000,'GSTR-2A'!$B$6:$B$10000,$C$5:$C$4995,'GSTR-2A'!$A$6:$A$10000,$N$3)</f>
        <v>4185</v>
      </c>
      <c r="S93" s="486">
        <f>SUMIFS('GSTR-2A'!$G$6:$G$10000,'GSTR-2A'!$B$6:$B$10000,$C$5:$C$4995,'GSTR-2A'!$A$6:$A$10000,$S$3)</f>
        <v>0</v>
      </c>
      <c r="T93" s="487">
        <f>SUMIFS('GSTR-2A'!$K$6:$K$10000,'GSTR-2A'!$B$6:$B$10000,$C$5:$C$4995,'GSTR-2A'!$A$6:$A$10000,$S$3)</f>
        <v>0</v>
      </c>
      <c r="U93" s="487">
        <f>SUMIFS('GSTR-2A'!$L$6:$L$10000,'GSTR-2A'!$B$6:$B$10000,$C$5:$C$4995,'GSTR-2A'!$A$6:$A$10000,$S$3)</f>
        <v>0</v>
      </c>
      <c r="V93" s="487">
        <f>SUMIFS('GSTR-2A'!$M$6:$M$10000,'GSTR-2A'!$B$6:$B$10000,$C$5:$C$4995,'GSTR-2A'!$A$6:$A$10000,$S$3)</f>
        <v>0</v>
      </c>
      <c r="W93" s="488">
        <f>SUMIFS('GSTR-2A'!$N$6:$N$10000,'GSTR-2A'!$B$6:$B$10000,$C$5:$C$4995,'GSTR-2A'!$A$6:$A$10000,$S$3)</f>
        <v>0</v>
      </c>
      <c r="X93" s="486">
        <f>SUMIFS('GSTR-2A'!$G$6:$G$10000,'GSTR-2A'!$B$6:$B$10000,$C$5:$C$4995,'GSTR-2A'!$A$6:$A$10000,$X$3)</f>
        <v>0</v>
      </c>
      <c r="Y93" s="487">
        <f>SUMIFS('GSTR-2A'!$K$6:$K$10000,'GSTR-2A'!$B$6:$B$10000,$C$5:$C$4995,'GSTR-2A'!$A$6:$A$10000,$X$3)</f>
        <v>0</v>
      </c>
      <c r="Z93" s="487">
        <f>SUMIFS('GSTR-2A'!$L$6:$L$10000,'GSTR-2A'!$B$6:$B$10000,$C$5:$C$4995,'GSTR-2A'!$A$6:$A$10000,$X$3)</f>
        <v>0</v>
      </c>
      <c r="AA93" s="487">
        <f>SUMIFS('GSTR-2A'!$M$6:$M$10000,'GSTR-2A'!$B$6:$B$10000,$C$5:$C$4995,'GSTR-2A'!$A$6:$A$10000,$X$3)</f>
        <v>0</v>
      </c>
      <c r="AB93" s="488">
        <f>SUMIFS('GSTR-2A'!$N$6:$N$10000,'GSTR-2A'!$B$6:$B$10000,$C$5:$C$4995,'GSTR-2A'!$A$6:$A$10000,$X$3)</f>
        <v>0</v>
      </c>
      <c r="AC93" s="486">
        <f>SUMIFS('GSTR-2A'!$G$6:$G$10000,'GSTR-2A'!$B$6:$B$10000,$C$5:$C$4995,'GSTR-2A'!$A$6:$A$10000,$AC$3)</f>
        <v>0</v>
      </c>
      <c r="AD93" s="487">
        <f>SUMIFS('GSTR-2A'!$K$6:$K$10000,'GSTR-2A'!$B$6:$B$10000,$C$5:$C$4995,'GSTR-2A'!$A$6:$A$10000,$AC$3)</f>
        <v>0</v>
      </c>
      <c r="AE93" s="487">
        <f>SUMIFS('GSTR-2A'!$L$6:$L$10000,'GSTR-2A'!$B$6:$B$10000,$C$5:$C$4995,'GSTR-2A'!$A$6:$A$10000,$AC$3)</f>
        <v>0</v>
      </c>
      <c r="AF93" s="487">
        <f>SUMIFS('GSTR-2A'!$M$6:$M$10000,'GSTR-2A'!$B$6:$B$10000,$C$5:$C$4995,'GSTR-2A'!$A$6:$A$10000,$AC$3)</f>
        <v>0</v>
      </c>
      <c r="AG93" s="488">
        <f>SUMIFS('GSTR-2A'!$N$6:$N$10000,'GSTR-2A'!$B$6:$B$10000,$C$5:$C$4995,'GSTR-2A'!$A$6:$A$10000,$AC$3)</f>
        <v>0</v>
      </c>
      <c r="AH93" s="486">
        <f>SUMIFS('GSTR-2A'!$G$6:$G$10000,'GSTR-2A'!$B$6:$B$10000,$C$5:$C$4995,'GSTR-2A'!$A$6:$A$10000,$AH$3)</f>
        <v>0</v>
      </c>
      <c r="AI93" s="487">
        <f>SUMIFS('GSTR-2A'!$K$6:$K$10000,'GSTR-2A'!$B$6:$B$10000,$C$5:$C$4995,'GSTR-2A'!$A$6:$A$10000,$AH$3)</f>
        <v>0</v>
      </c>
      <c r="AJ93" s="487">
        <f>SUMIFS('GSTR-2A'!$L$6:$L$10000,'GSTR-2A'!$B$6:$B$10000,$C$5:$C$4995,'GSTR-2A'!$A$6:$A$10000,$AH$3)</f>
        <v>0</v>
      </c>
      <c r="AK93" s="487">
        <f>SUMIFS('GSTR-2A'!$M$6:$M$10000,'GSTR-2A'!$B$6:$B$10000,$C$5:$C$4995,'GSTR-2A'!$A$6:$A$10000,$AH$3)</f>
        <v>0</v>
      </c>
      <c r="AL93" s="488">
        <f>SUMIFS('GSTR-2A'!$N$6:$N$10000,'GSTR-2A'!$B$6:$B$10000,$C$5:$C$4995,'GSTR-2A'!$A$6:$A$10000,$AH$3)</f>
        <v>0</v>
      </c>
      <c r="AM93" s="486">
        <f>SUMIFS('GSTR-2A'!$G$6:$G$10000,'GSTR-2A'!$B$6:$B$10000,$C$5:$C$4995,'GSTR-2A'!$A$6:$A$10000,$AM$3)</f>
        <v>0</v>
      </c>
      <c r="AN93" s="487">
        <f>SUMIFS('GSTR-2A'!$K$6:$K$10000,'GSTR-2A'!$B$6:$B$10000,$C$5:$C$4995,'GSTR-2A'!$A$6:$A$10000,$AM$3)</f>
        <v>0</v>
      </c>
      <c r="AO93" s="487">
        <f>SUMIFS('GSTR-2A'!$L$6:$L$10000,'GSTR-2A'!$B$6:$B$10000,$C$5:$C$4995,'GSTR-2A'!$A$6:$A$10000,$AM$3)</f>
        <v>0</v>
      </c>
      <c r="AP93" s="487">
        <f>SUMIFS('GSTR-2A'!$M$6:$M$10000,'GSTR-2A'!$B$6:$B$10000,$C$5:$C$4995,'GSTR-2A'!$A$6:$A$10000,$AM$3)</f>
        <v>0</v>
      </c>
      <c r="AQ93" s="488">
        <f>SUMIFS('GSTR-2A'!$N$6:$N$10000,'GSTR-2A'!$B$6:$B$10000,$C$5:$C$4995,'GSTR-2A'!$A$6:$A$10000,$AM$3)</f>
        <v>0</v>
      </c>
      <c r="AR93" s="486">
        <f>SUMIFS('GSTR-2A'!$G$6:$G$10000,'GSTR-2A'!$B$6:$B$10000,$C$5:$C$4995,'GSTR-2A'!$A$6:$A$10000,$AR$3)</f>
        <v>0</v>
      </c>
      <c r="AS93" s="487">
        <f>SUMIFS('GSTR-2A'!$K$6:$K$10000,'GSTR-2A'!$B$6:$B$10000,$C$5:$C$4995,'GSTR-2A'!$A$6:$A$10000,$AR$3)</f>
        <v>0</v>
      </c>
      <c r="AT93" s="487">
        <f>SUMIFS('GSTR-2A'!$L$6:$L$10000,'GSTR-2A'!$B$6:$B$10000,$C$5:$C$4995,'GSTR-2A'!$A$6:$A$10000,$AR$3)</f>
        <v>0</v>
      </c>
      <c r="AU93" s="487">
        <f>SUMIFS('GSTR-2A'!$M$6:$M$10000,'GSTR-2A'!$B$6:$B$10000,$C$5:$C$4995,'GSTR-2A'!$A$6:$A$10000,$AR$3)</f>
        <v>0</v>
      </c>
      <c r="AV93" s="488">
        <f>SUMIFS('GSTR-2A'!$N$6:$N$10000,'GSTR-2A'!$B$6:$B$10000,$C$5:$C$4995,'GSTR-2A'!$A$6:$A$10000,$AR$3)</f>
        <v>0</v>
      </c>
      <c r="AW93" s="486">
        <f>SUMIFS('GSTR-2A'!$G$6:$G$10000,'GSTR-2A'!$B$6:$B$10000,$C$5:$C$4995,'GSTR-2A'!$A$6:$A$10000,$AW$3)</f>
        <v>0</v>
      </c>
      <c r="AX93" s="487">
        <f>SUMIFS('GSTR-2A'!$K$6:$K$10000,'GSTR-2A'!$B$6:$B$10000,$C$5:$C$4995,'GSTR-2A'!$A$6:$A$10000,$AW$3)</f>
        <v>0</v>
      </c>
      <c r="AY93" s="487">
        <f>SUMIFS('GSTR-2A'!$L$6:$L$10000,'GSTR-2A'!$B$6:$B$10000,$C$5:$C$4995,'GSTR-2A'!$A$6:$A$10000,$AW$3)</f>
        <v>0</v>
      </c>
      <c r="AZ93" s="487">
        <f>SUMIFS('GSTR-2A'!$M$6:$M$10000,'GSTR-2A'!$B$6:$B$10000,$C$5:$C$4995,'GSTR-2A'!$A$6:$A$10000,$AW$3)</f>
        <v>0</v>
      </c>
      <c r="BA93" s="488">
        <f>SUMIFS('GSTR-2A'!$N$6:$N$10000,'GSTR-2A'!$B$6:$B$10000,$C$5:$C$4995,'GSTR-2A'!$A$6:$A$10000,$AW$3)</f>
        <v>0</v>
      </c>
      <c r="BB93" s="486">
        <f>SUMIFS('GSTR-2A'!$G$6:$G$10000,'GSTR-2A'!$B$6:$B$10000,$C$5:$C$4995,'GSTR-2A'!$A$6:$A$10000,$BB$3)</f>
        <v>0</v>
      </c>
      <c r="BC93" s="487">
        <f>SUMIFS('GSTR-2A'!$K$6:$K$10000,'GSTR-2A'!$B$6:$B$10000,$C$5:$C$4995,'GSTR-2A'!$A$6:$A$10000,$BB$3)</f>
        <v>0</v>
      </c>
      <c r="BD93" s="487">
        <f>SUMIFS('GSTR-2A'!$L$6:$L$10000,'GSTR-2A'!$B$6:$B$10000,$C$5:$C$4995,'GSTR-2A'!$A$6:$A$10000,$BB$3)</f>
        <v>0</v>
      </c>
      <c r="BE93" s="487">
        <f>SUMIFS('GSTR-2A'!$M$6:$M$10000,'GSTR-2A'!$B$6:$B$10000,$C$5:$C$4995,'GSTR-2A'!$A$6:$A$10000,$BB$3)</f>
        <v>0</v>
      </c>
      <c r="BF93" s="488">
        <f>SUMIFS('GSTR-2A'!$N$6:$N$10000,'GSTR-2A'!$B$6:$B$10000,$C$5:$C$4995,'GSTR-2A'!$A$6:$A$10000,$BB$3)</f>
        <v>0</v>
      </c>
      <c r="BG93" s="486">
        <f>SUMIFS('GSTR-2A'!$G$6:$G$10000,'GSTR-2A'!$B$6:$B$10000,$C$5:$C$4995,'GSTR-2A'!$A$6:$A$10000,$BG$3)</f>
        <v>0</v>
      </c>
      <c r="BH93" s="487">
        <f>SUMIFS('GSTR-2A'!$K$6:$K$10000,'GSTR-2A'!$B$6:$B$10000,$C$5:$C$4995,'GSTR-2A'!$A$6:$A$10000,$BG$3)</f>
        <v>0</v>
      </c>
      <c r="BI93" s="487">
        <f>SUMIFS('GSTR-2A'!$L$6:$L$10000,'GSTR-2A'!$B$6:$B$10000,$C$5:$C$4995,'GSTR-2A'!$A$6:$A$10000,$BG$3)</f>
        <v>0</v>
      </c>
      <c r="BJ93" s="487">
        <f>SUMIFS('GSTR-2A'!$M$6:$M$10000,'GSTR-2A'!$B$6:$B$10000,$C$5:$C$4995,'GSTR-2A'!$A$6:$A$10000,$BG$3)</f>
        <v>0</v>
      </c>
      <c r="BK93" s="488">
        <f>SUMIFS('GSTR-2A'!$N$6:$N$10000,'GSTR-2A'!$B$6:$B$10000,$C$5:$C$4995,'GSTR-2A'!$A$6:$A$10000,$BG$3)</f>
        <v>0</v>
      </c>
      <c r="BL93" s="72">
        <f t="shared" si="7"/>
        <v>54870</v>
      </c>
      <c r="BM93" s="72">
        <f t="shared" si="8"/>
        <v>46500</v>
      </c>
      <c r="BN93" s="72">
        <f t="shared" si="9"/>
        <v>0</v>
      </c>
      <c r="BO93" s="72">
        <f t="shared" si="10"/>
        <v>4185</v>
      </c>
      <c r="BP93" s="72">
        <f t="shared" si="11"/>
        <v>4185</v>
      </c>
    </row>
    <row r="94" spans="1:68" x14ac:dyDescent="0.2">
      <c r="A94" s="467">
        <v>91</v>
      </c>
      <c r="B94" s="468" t="s">
        <v>634</v>
      </c>
      <c r="C94" s="469" t="s">
        <v>635</v>
      </c>
      <c r="D94" s="72">
        <f>SUMIFS('GSTR-2A'!$G$6:$G$10000,'GSTR-2A'!$B$6:$B$10000,$C$5:$C$4995,'GSTR-2A'!$A$6:$A$10000,$D$3)</f>
        <v>0</v>
      </c>
      <c r="E94" s="72">
        <f>SUMIFS('GSTR-2A'!$K$6:$K$10000,'GSTR-2A'!$B$6:$B$10000,$C$5:$C$4995,'GSTR-2A'!$A$6:$A$10000,$D$3)</f>
        <v>0</v>
      </c>
      <c r="F94" s="72">
        <f>SUMIFS('GSTR-2A'!$L$6:$L$10000,'GSTR-2A'!$B$6:$B$10000,$C$5:$C$4995,'GSTR-2A'!$A$6:$A$10000,$D$3)</f>
        <v>0</v>
      </c>
      <c r="G94" s="72">
        <f>SUMIFS('GSTR-2A'!$M$6:$M$10000,'GSTR-2A'!$B$6:$B$10000,$C$5:$C$4995,'GSTR-2A'!$A$6:$A$10000,$D$3)</f>
        <v>0</v>
      </c>
      <c r="H94" s="72">
        <f>SUMIFS('GSTR-2A'!$N$6:$N$10000,'GSTR-2A'!$B$6:$B$10000,$C$5:$C$4995,'GSTR-2A'!$A$6:$A$10000,$D$3)</f>
        <v>0</v>
      </c>
      <c r="I94" s="486">
        <f>SUMIFS('GSTR-2A'!$G$6:$G$10000,'GSTR-2A'!$B$6:$B$10000,$C$5:$C$4995,'GSTR-2A'!$A$6:$A$10000,$I$3)</f>
        <v>1227</v>
      </c>
      <c r="J94" s="487">
        <f>SUMIFS('GSTR-2A'!$K$6:$K$10000,'GSTR-2A'!$B$6:$B$10000,$C$5:$C$4995,'GSTR-2A'!$A$6:$A$10000,$I$3)</f>
        <v>1040</v>
      </c>
      <c r="K94" s="487">
        <f>SUMIFS('GSTR-2A'!$L$6:$L$10000,'GSTR-2A'!$B$6:$B$10000,$C$5:$C$4995,'GSTR-2A'!$A$6:$A$10000,$I$3)</f>
        <v>0</v>
      </c>
      <c r="L94" s="487">
        <f>SUMIFS('GSTR-2A'!$M$6:$M$10000,'GSTR-2A'!$B$6:$B$10000,$C$5:$C$4995,'GSTR-2A'!$A$6:$A$10000,$I$3)</f>
        <v>93.6</v>
      </c>
      <c r="M94" s="488">
        <f>SUMIFS('GSTR-2A'!$N$6:$N$10000,'GSTR-2A'!$B$6:$B$10000,$C$5:$C$4995,'GSTR-2A'!$A$6:$A$10000,$I$3)</f>
        <v>93.6</v>
      </c>
      <c r="N94" s="486">
        <f>SUMIFS('GSTR-2A'!$G$6:$G$10000,'GSTR-2A'!$B$6:$B$10000,$C$5:$C$4995,'GSTR-2A'!$A$6:$A$10000,$N$3)</f>
        <v>6549</v>
      </c>
      <c r="O94" s="487">
        <f>SUMIFS('GSTR-2A'!$K$6:$K$10000,'GSTR-2A'!$B$6:$B$10000,$C$5:$C$4995,'GSTR-2A'!$A$6:$A$10000,$N$3)</f>
        <v>5550</v>
      </c>
      <c r="P94" s="487">
        <f>SUMIFS('GSTR-2A'!$L$6:$L$10000,'GSTR-2A'!$B$6:$B$10000,$C$5:$C$4995,'GSTR-2A'!$A$6:$A$10000,$N$3)</f>
        <v>0</v>
      </c>
      <c r="Q94" s="487">
        <f>SUMIFS('GSTR-2A'!$M$6:$M$10000,'GSTR-2A'!$B$6:$B$10000,$C$5:$C$4995,'GSTR-2A'!$A$6:$A$10000,$N$3)</f>
        <v>499.5</v>
      </c>
      <c r="R94" s="488">
        <f>SUMIFS('GSTR-2A'!$N$6:$N$10000,'GSTR-2A'!$B$6:$B$10000,$C$5:$C$4995,'GSTR-2A'!$A$6:$A$10000,$N$3)</f>
        <v>499.5</v>
      </c>
      <c r="S94" s="486">
        <f>SUMIFS('GSTR-2A'!$G$6:$G$10000,'GSTR-2A'!$B$6:$B$10000,$C$5:$C$4995,'GSTR-2A'!$A$6:$A$10000,$S$3)</f>
        <v>7918</v>
      </c>
      <c r="T94" s="487">
        <f>SUMIFS('GSTR-2A'!$K$6:$K$10000,'GSTR-2A'!$B$6:$B$10000,$C$5:$C$4995,'GSTR-2A'!$A$6:$A$10000,$S$3)</f>
        <v>6710</v>
      </c>
      <c r="U94" s="487">
        <f>SUMIFS('GSTR-2A'!$L$6:$L$10000,'GSTR-2A'!$B$6:$B$10000,$C$5:$C$4995,'GSTR-2A'!$A$6:$A$10000,$S$3)</f>
        <v>0</v>
      </c>
      <c r="V94" s="487">
        <f>SUMIFS('GSTR-2A'!$M$6:$M$10000,'GSTR-2A'!$B$6:$B$10000,$C$5:$C$4995,'GSTR-2A'!$A$6:$A$10000,$S$3)</f>
        <v>603.9</v>
      </c>
      <c r="W94" s="488">
        <f>SUMIFS('GSTR-2A'!$N$6:$N$10000,'GSTR-2A'!$B$6:$B$10000,$C$5:$C$4995,'GSTR-2A'!$A$6:$A$10000,$S$3)</f>
        <v>603.9</v>
      </c>
      <c r="X94" s="486">
        <f>SUMIFS('GSTR-2A'!$G$6:$G$10000,'GSTR-2A'!$B$6:$B$10000,$C$5:$C$4995,'GSTR-2A'!$A$6:$A$10000,$X$3)</f>
        <v>56686</v>
      </c>
      <c r="Y94" s="487">
        <f>SUMIFS('GSTR-2A'!$K$6:$K$10000,'GSTR-2A'!$B$6:$B$10000,$C$5:$C$4995,'GSTR-2A'!$A$6:$A$10000,$X$3)</f>
        <v>48039</v>
      </c>
      <c r="Z94" s="487">
        <f>SUMIFS('GSTR-2A'!$L$6:$L$10000,'GSTR-2A'!$B$6:$B$10000,$C$5:$C$4995,'GSTR-2A'!$A$6:$A$10000,$X$3)</f>
        <v>0</v>
      </c>
      <c r="AA94" s="487">
        <f>SUMIFS('GSTR-2A'!$M$6:$M$10000,'GSTR-2A'!$B$6:$B$10000,$C$5:$C$4995,'GSTR-2A'!$A$6:$A$10000,$X$3)</f>
        <v>4323.51</v>
      </c>
      <c r="AB94" s="488">
        <f>SUMIFS('GSTR-2A'!$N$6:$N$10000,'GSTR-2A'!$B$6:$B$10000,$C$5:$C$4995,'GSTR-2A'!$A$6:$A$10000,$X$3)</f>
        <v>4323.51</v>
      </c>
      <c r="AC94" s="486">
        <f>SUMIFS('GSTR-2A'!$G$6:$G$10000,'GSTR-2A'!$B$6:$B$10000,$C$5:$C$4995,'GSTR-2A'!$A$6:$A$10000,$AC$3)</f>
        <v>0</v>
      </c>
      <c r="AD94" s="487">
        <f>SUMIFS('GSTR-2A'!$K$6:$K$10000,'GSTR-2A'!$B$6:$B$10000,$C$5:$C$4995,'GSTR-2A'!$A$6:$A$10000,$AC$3)</f>
        <v>0</v>
      </c>
      <c r="AE94" s="487">
        <f>SUMIFS('GSTR-2A'!$L$6:$L$10000,'GSTR-2A'!$B$6:$B$10000,$C$5:$C$4995,'GSTR-2A'!$A$6:$A$10000,$AC$3)</f>
        <v>0</v>
      </c>
      <c r="AF94" s="487">
        <f>SUMIFS('GSTR-2A'!$M$6:$M$10000,'GSTR-2A'!$B$6:$B$10000,$C$5:$C$4995,'GSTR-2A'!$A$6:$A$10000,$AC$3)</f>
        <v>0</v>
      </c>
      <c r="AG94" s="488">
        <f>SUMIFS('GSTR-2A'!$N$6:$N$10000,'GSTR-2A'!$B$6:$B$10000,$C$5:$C$4995,'GSTR-2A'!$A$6:$A$10000,$AC$3)</f>
        <v>0</v>
      </c>
      <c r="AH94" s="486">
        <f>SUMIFS('GSTR-2A'!$G$6:$G$10000,'GSTR-2A'!$B$6:$B$10000,$C$5:$C$4995,'GSTR-2A'!$A$6:$A$10000,$AH$3)</f>
        <v>0</v>
      </c>
      <c r="AI94" s="487">
        <f>SUMIFS('GSTR-2A'!$K$6:$K$10000,'GSTR-2A'!$B$6:$B$10000,$C$5:$C$4995,'GSTR-2A'!$A$6:$A$10000,$AH$3)</f>
        <v>0</v>
      </c>
      <c r="AJ94" s="487">
        <f>SUMIFS('GSTR-2A'!$L$6:$L$10000,'GSTR-2A'!$B$6:$B$10000,$C$5:$C$4995,'GSTR-2A'!$A$6:$A$10000,$AH$3)</f>
        <v>0</v>
      </c>
      <c r="AK94" s="487">
        <f>SUMIFS('GSTR-2A'!$M$6:$M$10000,'GSTR-2A'!$B$6:$B$10000,$C$5:$C$4995,'GSTR-2A'!$A$6:$A$10000,$AH$3)</f>
        <v>0</v>
      </c>
      <c r="AL94" s="488">
        <f>SUMIFS('GSTR-2A'!$N$6:$N$10000,'GSTR-2A'!$B$6:$B$10000,$C$5:$C$4995,'GSTR-2A'!$A$6:$A$10000,$AH$3)</f>
        <v>0</v>
      </c>
      <c r="AM94" s="486">
        <f>SUMIFS('GSTR-2A'!$G$6:$G$10000,'GSTR-2A'!$B$6:$B$10000,$C$5:$C$4995,'GSTR-2A'!$A$6:$A$10000,$AM$3)</f>
        <v>0</v>
      </c>
      <c r="AN94" s="487">
        <f>SUMIFS('GSTR-2A'!$K$6:$K$10000,'GSTR-2A'!$B$6:$B$10000,$C$5:$C$4995,'GSTR-2A'!$A$6:$A$10000,$AM$3)</f>
        <v>0</v>
      </c>
      <c r="AO94" s="487">
        <f>SUMIFS('GSTR-2A'!$L$6:$L$10000,'GSTR-2A'!$B$6:$B$10000,$C$5:$C$4995,'GSTR-2A'!$A$6:$A$10000,$AM$3)</f>
        <v>0</v>
      </c>
      <c r="AP94" s="487">
        <f>SUMIFS('GSTR-2A'!$M$6:$M$10000,'GSTR-2A'!$B$6:$B$10000,$C$5:$C$4995,'GSTR-2A'!$A$6:$A$10000,$AM$3)</f>
        <v>0</v>
      </c>
      <c r="AQ94" s="488">
        <f>SUMIFS('GSTR-2A'!$N$6:$N$10000,'GSTR-2A'!$B$6:$B$10000,$C$5:$C$4995,'GSTR-2A'!$A$6:$A$10000,$AM$3)</f>
        <v>0</v>
      </c>
      <c r="AR94" s="486">
        <f>SUMIFS('GSTR-2A'!$G$6:$G$10000,'GSTR-2A'!$B$6:$B$10000,$C$5:$C$4995,'GSTR-2A'!$A$6:$A$10000,$AR$3)</f>
        <v>0</v>
      </c>
      <c r="AS94" s="487">
        <f>SUMIFS('GSTR-2A'!$K$6:$K$10000,'GSTR-2A'!$B$6:$B$10000,$C$5:$C$4995,'GSTR-2A'!$A$6:$A$10000,$AR$3)</f>
        <v>0</v>
      </c>
      <c r="AT94" s="487">
        <f>SUMIFS('GSTR-2A'!$L$6:$L$10000,'GSTR-2A'!$B$6:$B$10000,$C$5:$C$4995,'GSTR-2A'!$A$6:$A$10000,$AR$3)</f>
        <v>0</v>
      </c>
      <c r="AU94" s="487">
        <f>SUMIFS('GSTR-2A'!$M$6:$M$10000,'GSTR-2A'!$B$6:$B$10000,$C$5:$C$4995,'GSTR-2A'!$A$6:$A$10000,$AR$3)</f>
        <v>0</v>
      </c>
      <c r="AV94" s="488">
        <f>SUMIFS('GSTR-2A'!$N$6:$N$10000,'GSTR-2A'!$B$6:$B$10000,$C$5:$C$4995,'GSTR-2A'!$A$6:$A$10000,$AR$3)</f>
        <v>0</v>
      </c>
      <c r="AW94" s="486">
        <f>SUMIFS('GSTR-2A'!$G$6:$G$10000,'GSTR-2A'!$B$6:$B$10000,$C$5:$C$4995,'GSTR-2A'!$A$6:$A$10000,$AW$3)</f>
        <v>0</v>
      </c>
      <c r="AX94" s="487">
        <f>SUMIFS('GSTR-2A'!$K$6:$K$10000,'GSTR-2A'!$B$6:$B$10000,$C$5:$C$4995,'GSTR-2A'!$A$6:$A$10000,$AW$3)</f>
        <v>0</v>
      </c>
      <c r="AY94" s="487">
        <f>SUMIFS('GSTR-2A'!$L$6:$L$10000,'GSTR-2A'!$B$6:$B$10000,$C$5:$C$4995,'GSTR-2A'!$A$6:$A$10000,$AW$3)</f>
        <v>0</v>
      </c>
      <c r="AZ94" s="487">
        <f>SUMIFS('GSTR-2A'!$M$6:$M$10000,'GSTR-2A'!$B$6:$B$10000,$C$5:$C$4995,'GSTR-2A'!$A$6:$A$10000,$AW$3)</f>
        <v>0</v>
      </c>
      <c r="BA94" s="488">
        <f>SUMIFS('GSTR-2A'!$N$6:$N$10000,'GSTR-2A'!$B$6:$B$10000,$C$5:$C$4995,'GSTR-2A'!$A$6:$A$10000,$AW$3)</f>
        <v>0</v>
      </c>
      <c r="BB94" s="486">
        <f>SUMIFS('GSTR-2A'!$G$6:$G$10000,'GSTR-2A'!$B$6:$B$10000,$C$5:$C$4995,'GSTR-2A'!$A$6:$A$10000,$BB$3)</f>
        <v>0</v>
      </c>
      <c r="BC94" s="487">
        <f>SUMIFS('GSTR-2A'!$K$6:$K$10000,'GSTR-2A'!$B$6:$B$10000,$C$5:$C$4995,'GSTR-2A'!$A$6:$A$10000,$BB$3)</f>
        <v>0</v>
      </c>
      <c r="BD94" s="487">
        <f>SUMIFS('GSTR-2A'!$L$6:$L$10000,'GSTR-2A'!$B$6:$B$10000,$C$5:$C$4995,'GSTR-2A'!$A$6:$A$10000,$BB$3)</f>
        <v>0</v>
      </c>
      <c r="BE94" s="487">
        <f>SUMIFS('GSTR-2A'!$M$6:$M$10000,'GSTR-2A'!$B$6:$B$10000,$C$5:$C$4995,'GSTR-2A'!$A$6:$A$10000,$BB$3)</f>
        <v>0</v>
      </c>
      <c r="BF94" s="488">
        <f>SUMIFS('GSTR-2A'!$N$6:$N$10000,'GSTR-2A'!$B$6:$B$10000,$C$5:$C$4995,'GSTR-2A'!$A$6:$A$10000,$BB$3)</f>
        <v>0</v>
      </c>
      <c r="BG94" s="486">
        <f>SUMIFS('GSTR-2A'!$G$6:$G$10000,'GSTR-2A'!$B$6:$B$10000,$C$5:$C$4995,'GSTR-2A'!$A$6:$A$10000,$BG$3)</f>
        <v>0</v>
      </c>
      <c r="BH94" s="487">
        <f>SUMIFS('GSTR-2A'!$K$6:$K$10000,'GSTR-2A'!$B$6:$B$10000,$C$5:$C$4995,'GSTR-2A'!$A$6:$A$10000,$BG$3)</f>
        <v>0</v>
      </c>
      <c r="BI94" s="487">
        <f>SUMIFS('GSTR-2A'!$L$6:$L$10000,'GSTR-2A'!$B$6:$B$10000,$C$5:$C$4995,'GSTR-2A'!$A$6:$A$10000,$BG$3)</f>
        <v>0</v>
      </c>
      <c r="BJ94" s="487">
        <f>SUMIFS('GSTR-2A'!$M$6:$M$10000,'GSTR-2A'!$B$6:$B$10000,$C$5:$C$4995,'GSTR-2A'!$A$6:$A$10000,$BG$3)</f>
        <v>0</v>
      </c>
      <c r="BK94" s="488">
        <f>SUMIFS('GSTR-2A'!$N$6:$N$10000,'GSTR-2A'!$B$6:$B$10000,$C$5:$C$4995,'GSTR-2A'!$A$6:$A$10000,$BG$3)</f>
        <v>0</v>
      </c>
      <c r="BL94" s="72">
        <f t="shared" si="7"/>
        <v>72380</v>
      </c>
      <c r="BM94" s="72">
        <f t="shared" si="8"/>
        <v>61339</v>
      </c>
      <c r="BN94" s="72">
        <f t="shared" si="9"/>
        <v>0</v>
      </c>
      <c r="BO94" s="72">
        <f t="shared" si="10"/>
        <v>5520.51</v>
      </c>
      <c r="BP94" s="72">
        <f t="shared" si="11"/>
        <v>5520.51</v>
      </c>
    </row>
    <row r="95" spans="1:68" x14ac:dyDescent="0.2">
      <c r="A95" s="467">
        <v>92</v>
      </c>
      <c r="B95" s="468" t="s">
        <v>1140</v>
      </c>
      <c r="C95" s="469" t="s">
        <v>1141</v>
      </c>
      <c r="D95" s="72">
        <f>SUMIFS('GSTR-2A'!$G$6:$G$10000,'GSTR-2A'!$B$6:$B$10000,$C$5:$C$4995,'GSTR-2A'!$A$6:$A$10000,$D$3)</f>
        <v>0</v>
      </c>
      <c r="E95" s="72">
        <f>SUMIFS('GSTR-2A'!$K$6:$K$10000,'GSTR-2A'!$B$6:$B$10000,$C$5:$C$4995,'GSTR-2A'!$A$6:$A$10000,$D$3)</f>
        <v>0</v>
      </c>
      <c r="F95" s="72">
        <f>SUMIFS('GSTR-2A'!$L$6:$L$10000,'GSTR-2A'!$B$6:$B$10000,$C$5:$C$4995,'GSTR-2A'!$A$6:$A$10000,$D$3)</f>
        <v>0</v>
      </c>
      <c r="G95" s="72">
        <f>SUMIFS('GSTR-2A'!$M$6:$M$10000,'GSTR-2A'!$B$6:$B$10000,$C$5:$C$4995,'GSTR-2A'!$A$6:$A$10000,$D$3)</f>
        <v>0</v>
      </c>
      <c r="H95" s="72">
        <f>SUMIFS('GSTR-2A'!$N$6:$N$10000,'GSTR-2A'!$B$6:$B$10000,$C$5:$C$4995,'GSTR-2A'!$A$6:$A$10000,$D$3)</f>
        <v>0</v>
      </c>
      <c r="I95" s="486">
        <f>SUMIFS('GSTR-2A'!$G$6:$G$10000,'GSTR-2A'!$B$6:$B$10000,$C$5:$C$4995,'GSTR-2A'!$A$6:$A$10000,$I$3)</f>
        <v>0</v>
      </c>
      <c r="J95" s="487">
        <f>SUMIFS('GSTR-2A'!$K$6:$K$10000,'GSTR-2A'!$B$6:$B$10000,$C$5:$C$4995,'GSTR-2A'!$A$6:$A$10000,$I$3)</f>
        <v>0</v>
      </c>
      <c r="K95" s="487">
        <f>SUMIFS('GSTR-2A'!$L$6:$L$10000,'GSTR-2A'!$B$6:$B$10000,$C$5:$C$4995,'GSTR-2A'!$A$6:$A$10000,$I$3)</f>
        <v>0</v>
      </c>
      <c r="L95" s="487">
        <f>SUMIFS('GSTR-2A'!$M$6:$M$10000,'GSTR-2A'!$B$6:$B$10000,$C$5:$C$4995,'GSTR-2A'!$A$6:$A$10000,$I$3)</f>
        <v>0</v>
      </c>
      <c r="M95" s="488">
        <f>SUMIFS('GSTR-2A'!$N$6:$N$10000,'GSTR-2A'!$B$6:$B$10000,$C$5:$C$4995,'GSTR-2A'!$A$6:$A$10000,$I$3)</f>
        <v>0</v>
      </c>
      <c r="N95" s="486">
        <f>SUMIFS('GSTR-2A'!$G$6:$G$10000,'GSTR-2A'!$B$6:$B$10000,$C$5:$C$4995,'GSTR-2A'!$A$6:$A$10000,$N$3)</f>
        <v>0</v>
      </c>
      <c r="O95" s="487">
        <f>SUMIFS('GSTR-2A'!$K$6:$K$10000,'GSTR-2A'!$B$6:$B$10000,$C$5:$C$4995,'GSTR-2A'!$A$6:$A$10000,$N$3)</f>
        <v>0</v>
      </c>
      <c r="P95" s="487">
        <f>SUMIFS('GSTR-2A'!$L$6:$L$10000,'GSTR-2A'!$B$6:$B$10000,$C$5:$C$4995,'GSTR-2A'!$A$6:$A$10000,$N$3)</f>
        <v>0</v>
      </c>
      <c r="Q95" s="487">
        <f>SUMIFS('GSTR-2A'!$M$6:$M$10000,'GSTR-2A'!$B$6:$B$10000,$C$5:$C$4995,'GSTR-2A'!$A$6:$A$10000,$N$3)</f>
        <v>0</v>
      </c>
      <c r="R95" s="488">
        <f>SUMIFS('GSTR-2A'!$N$6:$N$10000,'GSTR-2A'!$B$6:$B$10000,$C$5:$C$4995,'GSTR-2A'!$A$6:$A$10000,$N$3)</f>
        <v>0</v>
      </c>
      <c r="S95" s="486">
        <f>SUMIFS('GSTR-2A'!$G$6:$G$10000,'GSTR-2A'!$B$6:$B$10000,$C$5:$C$4995,'GSTR-2A'!$A$6:$A$10000,$S$3)</f>
        <v>0</v>
      </c>
      <c r="T95" s="487">
        <f>SUMIFS('GSTR-2A'!$K$6:$K$10000,'GSTR-2A'!$B$6:$B$10000,$C$5:$C$4995,'GSTR-2A'!$A$6:$A$10000,$S$3)</f>
        <v>0</v>
      </c>
      <c r="U95" s="487">
        <f>SUMIFS('GSTR-2A'!$L$6:$L$10000,'GSTR-2A'!$B$6:$B$10000,$C$5:$C$4995,'GSTR-2A'!$A$6:$A$10000,$S$3)</f>
        <v>0</v>
      </c>
      <c r="V95" s="487">
        <f>SUMIFS('GSTR-2A'!$M$6:$M$10000,'GSTR-2A'!$B$6:$B$10000,$C$5:$C$4995,'GSTR-2A'!$A$6:$A$10000,$S$3)</f>
        <v>0</v>
      </c>
      <c r="W95" s="488">
        <f>SUMIFS('GSTR-2A'!$N$6:$N$10000,'GSTR-2A'!$B$6:$B$10000,$C$5:$C$4995,'GSTR-2A'!$A$6:$A$10000,$S$3)</f>
        <v>0</v>
      </c>
      <c r="X95" s="486">
        <f>SUMIFS('GSTR-2A'!$G$6:$G$10000,'GSTR-2A'!$B$6:$B$10000,$C$5:$C$4995,'GSTR-2A'!$A$6:$A$10000,$X$3)</f>
        <v>0</v>
      </c>
      <c r="Y95" s="487">
        <f>SUMIFS('GSTR-2A'!$K$6:$K$10000,'GSTR-2A'!$B$6:$B$10000,$C$5:$C$4995,'GSTR-2A'!$A$6:$A$10000,$X$3)</f>
        <v>0</v>
      </c>
      <c r="Z95" s="487">
        <f>SUMIFS('GSTR-2A'!$L$6:$L$10000,'GSTR-2A'!$B$6:$B$10000,$C$5:$C$4995,'GSTR-2A'!$A$6:$A$10000,$X$3)</f>
        <v>0</v>
      </c>
      <c r="AA95" s="487">
        <f>SUMIFS('GSTR-2A'!$M$6:$M$10000,'GSTR-2A'!$B$6:$B$10000,$C$5:$C$4995,'GSTR-2A'!$A$6:$A$10000,$X$3)</f>
        <v>0</v>
      </c>
      <c r="AB95" s="488">
        <f>SUMIFS('GSTR-2A'!$N$6:$N$10000,'GSTR-2A'!$B$6:$B$10000,$C$5:$C$4995,'GSTR-2A'!$A$6:$A$10000,$X$3)</f>
        <v>0</v>
      </c>
      <c r="AC95" s="486">
        <f>SUMIFS('GSTR-2A'!$G$6:$G$10000,'GSTR-2A'!$B$6:$B$10000,$C$5:$C$4995,'GSTR-2A'!$A$6:$A$10000,$AC$3)</f>
        <v>0</v>
      </c>
      <c r="AD95" s="487">
        <f>SUMIFS('GSTR-2A'!$K$6:$K$10000,'GSTR-2A'!$B$6:$B$10000,$C$5:$C$4995,'GSTR-2A'!$A$6:$A$10000,$AC$3)</f>
        <v>0</v>
      </c>
      <c r="AE95" s="487">
        <f>SUMIFS('GSTR-2A'!$L$6:$L$10000,'GSTR-2A'!$B$6:$B$10000,$C$5:$C$4995,'GSTR-2A'!$A$6:$A$10000,$AC$3)</f>
        <v>0</v>
      </c>
      <c r="AF95" s="487">
        <f>SUMIFS('GSTR-2A'!$M$6:$M$10000,'GSTR-2A'!$B$6:$B$10000,$C$5:$C$4995,'GSTR-2A'!$A$6:$A$10000,$AC$3)</f>
        <v>0</v>
      </c>
      <c r="AG95" s="488">
        <f>SUMIFS('GSTR-2A'!$N$6:$N$10000,'GSTR-2A'!$B$6:$B$10000,$C$5:$C$4995,'GSTR-2A'!$A$6:$A$10000,$AC$3)</f>
        <v>0</v>
      </c>
      <c r="AH95" s="486">
        <f>SUMIFS('GSTR-2A'!$G$6:$G$10000,'GSTR-2A'!$B$6:$B$10000,$C$5:$C$4995,'GSTR-2A'!$A$6:$A$10000,$AH$3)</f>
        <v>0</v>
      </c>
      <c r="AI95" s="487">
        <f>SUMIFS('GSTR-2A'!$K$6:$K$10000,'GSTR-2A'!$B$6:$B$10000,$C$5:$C$4995,'GSTR-2A'!$A$6:$A$10000,$AH$3)</f>
        <v>0</v>
      </c>
      <c r="AJ95" s="487">
        <f>SUMIFS('GSTR-2A'!$L$6:$L$10000,'GSTR-2A'!$B$6:$B$10000,$C$5:$C$4995,'GSTR-2A'!$A$6:$A$10000,$AH$3)</f>
        <v>0</v>
      </c>
      <c r="AK95" s="487">
        <f>SUMIFS('GSTR-2A'!$M$6:$M$10000,'GSTR-2A'!$B$6:$B$10000,$C$5:$C$4995,'GSTR-2A'!$A$6:$A$10000,$AH$3)</f>
        <v>0</v>
      </c>
      <c r="AL95" s="488">
        <f>SUMIFS('GSTR-2A'!$N$6:$N$10000,'GSTR-2A'!$B$6:$B$10000,$C$5:$C$4995,'GSTR-2A'!$A$6:$A$10000,$AH$3)</f>
        <v>0</v>
      </c>
      <c r="AM95" s="486">
        <f>SUMIFS('GSTR-2A'!$G$6:$G$10000,'GSTR-2A'!$B$6:$B$10000,$C$5:$C$4995,'GSTR-2A'!$A$6:$A$10000,$AM$3)</f>
        <v>0</v>
      </c>
      <c r="AN95" s="487">
        <f>SUMIFS('GSTR-2A'!$K$6:$K$10000,'GSTR-2A'!$B$6:$B$10000,$C$5:$C$4995,'GSTR-2A'!$A$6:$A$10000,$AM$3)</f>
        <v>0</v>
      </c>
      <c r="AO95" s="487">
        <f>SUMIFS('GSTR-2A'!$L$6:$L$10000,'GSTR-2A'!$B$6:$B$10000,$C$5:$C$4995,'GSTR-2A'!$A$6:$A$10000,$AM$3)</f>
        <v>0</v>
      </c>
      <c r="AP95" s="487">
        <f>SUMIFS('GSTR-2A'!$M$6:$M$10000,'GSTR-2A'!$B$6:$B$10000,$C$5:$C$4995,'GSTR-2A'!$A$6:$A$10000,$AM$3)</f>
        <v>0</v>
      </c>
      <c r="AQ95" s="488">
        <f>SUMIFS('GSTR-2A'!$N$6:$N$10000,'GSTR-2A'!$B$6:$B$10000,$C$5:$C$4995,'GSTR-2A'!$A$6:$A$10000,$AM$3)</f>
        <v>0</v>
      </c>
      <c r="AR95" s="486">
        <f>SUMIFS('GSTR-2A'!$G$6:$G$10000,'GSTR-2A'!$B$6:$B$10000,$C$5:$C$4995,'GSTR-2A'!$A$6:$A$10000,$AR$3)</f>
        <v>0</v>
      </c>
      <c r="AS95" s="487">
        <f>SUMIFS('GSTR-2A'!$K$6:$K$10000,'GSTR-2A'!$B$6:$B$10000,$C$5:$C$4995,'GSTR-2A'!$A$6:$A$10000,$AR$3)</f>
        <v>0</v>
      </c>
      <c r="AT95" s="487">
        <f>SUMIFS('GSTR-2A'!$L$6:$L$10000,'GSTR-2A'!$B$6:$B$10000,$C$5:$C$4995,'GSTR-2A'!$A$6:$A$10000,$AR$3)</f>
        <v>0</v>
      </c>
      <c r="AU95" s="487">
        <f>SUMIFS('GSTR-2A'!$M$6:$M$10000,'GSTR-2A'!$B$6:$B$10000,$C$5:$C$4995,'GSTR-2A'!$A$6:$A$10000,$AR$3)</f>
        <v>0</v>
      </c>
      <c r="AV95" s="488">
        <f>SUMIFS('GSTR-2A'!$N$6:$N$10000,'GSTR-2A'!$B$6:$B$10000,$C$5:$C$4995,'GSTR-2A'!$A$6:$A$10000,$AR$3)</f>
        <v>0</v>
      </c>
      <c r="AW95" s="486">
        <f>SUMIFS('GSTR-2A'!$G$6:$G$10000,'GSTR-2A'!$B$6:$B$10000,$C$5:$C$4995,'GSTR-2A'!$A$6:$A$10000,$AW$3)</f>
        <v>0</v>
      </c>
      <c r="AX95" s="487">
        <f>SUMIFS('GSTR-2A'!$K$6:$K$10000,'GSTR-2A'!$B$6:$B$10000,$C$5:$C$4995,'GSTR-2A'!$A$6:$A$10000,$AW$3)</f>
        <v>0</v>
      </c>
      <c r="AY95" s="487">
        <f>SUMIFS('GSTR-2A'!$L$6:$L$10000,'GSTR-2A'!$B$6:$B$10000,$C$5:$C$4995,'GSTR-2A'!$A$6:$A$10000,$AW$3)</f>
        <v>0</v>
      </c>
      <c r="AZ95" s="487">
        <f>SUMIFS('GSTR-2A'!$M$6:$M$10000,'GSTR-2A'!$B$6:$B$10000,$C$5:$C$4995,'GSTR-2A'!$A$6:$A$10000,$AW$3)</f>
        <v>0</v>
      </c>
      <c r="BA95" s="488">
        <f>SUMIFS('GSTR-2A'!$N$6:$N$10000,'GSTR-2A'!$B$6:$B$10000,$C$5:$C$4995,'GSTR-2A'!$A$6:$A$10000,$AW$3)</f>
        <v>0</v>
      </c>
      <c r="BB95" s="486">
        <f>SUMIFS('GSTR-2A'!$G$6:$G$10000,'GSTR-2A'!$B$6:$B$10000,$C$5:$C$4995,'GSTR-2A'!$A$6:$A$10000,$BB$3)</f>
        <v>0</v>
      </c>
      <c r="BC95" s="487">
        <f>SUMIFS('GSTR-2A'!$K$6:$K$10000,'GSTR-2A'!$B$6:$B$10000,$C$5:$C$4995,'GSTR-2A'!$A$6:$A$10000,$BB$3)</f>
        <v>0</v>
      </c>
      <c r="BD95" s="487">
        <f>SUMIFS('GSTR-2A'!$L$6:$L$10000,'GSTR-2A'!$B$6:$B$10000,$C$5:$C$4995,'GSTR-2A'!$A$6:$A$10000,$BB$3)</f>
        <v>0</v>
      </c>
      <c r="BE95" s="487">
        <f>SUMIFS('GSTR-2A'!$M$6:$M$10000,'GSTR-2A'!$B$6:$B$10000,$C$5:$C$4995,'GSTR-2A'!$A$6:$A$10000,$BB$3)</f>
        <v>0</v>
      </c>
      <c r="BF95" s="488">
        <f>SUMIFS('GSTR-2A'!$N$6:$N$10000,'GSTR-2A'!$B$6:$B$10000,$C$5:$C$4995,'GSTR-2A'!$A$6:$A$10000,$BB$3)</f>
        <v>0</v>
      </c>
      <c r="BG95" s="486">
        <f>SUMIFS('GSTR-2A'!$G$6:$G$10000,'GSTR-2A'!$B$6:$B$10000,$C$5:$C$4995,'GSTR-2A'!$A$6:$A$10000,$BG$3)</f>
        <v>0</v>
      </c>
      <c r="BH95" s="487">
        <f>SUMIFS('GSTR-2A'!$K$6:$K$10000,'GSTR-2A'!$B$6:$B$10000,$C$5:$C$4995,'GSTR-2A'!$A$6:$A$10000,$BG$3)</f>
        <v>0</v>
      </c>
      <c r="BI95" s="487">
        <f>SUMIFS('GSTR-2A'!$L$6:$L$10000,'GSTR-2A'!$B$6:$B$10000,$C$5:$C$4995,'GSTR-2A'!$A$6:$A$10000,$BG$3)</f>
        <v>0</v>
      </c>
      <c r="BJ95" s="487">
        <f>SUMIFS('GSTR-2A'!$M$6:$M$10000,'GSTR-2A'!$B$6:$B$10000,$C$5:$C$4995,'GSTR-2A'!$A$6:$A$10000,$BG$3)</f>
        <v>0</v>
      </c>
      <c r="BK95" s="488">
        <f>SUMIFS('GSTR-2A'!$N$6:$N$10000,'GSTR-2A'!$B$6:$B$10000,$C$5:$C$4995,'GSTR-2A'!$A$6:$A$10000,$BG$3)</f>
        <v>0</v>
      </c>
      <c r="BL95" s="72">
        <f t="shared" si="7"/>
        <v>0</v>
      </c>
      <c r="BM95" s="72">
        <f t="shared" si="8"/>
        <v>0</v>
      </c>
      <c r="BN95" s="72">
        <f t="shared" si="9"/>
        <v>0</v>
      </c>
      <c r="BO95" s="72">
        <f t="shared" si="10"/>
        <v>0</v>
      </c>
      <c r="BP95" s="72">
        <f t="shared" si="11"/>
        <v>0</v>
      </c>
    </row>
    <row r="96" spans="1:68" x14ac:dyDescent="0.2">
      <c r="A96" s="467">
        <v>93</v>
      </c>
      <c r="B96" s="468" t="s">
        <v>495</v>
      </c>
      <c r="C96" s="469" t="s">
        <v>74</v>
      </c>
      <c r="D96" s="72">
        <f>SUMIFS('GSTR-2A'!$G$6:$G$10000,'GSTR-2A'!$B$6:$B$10000,$C$5:$C$4995,'GSTR-2A'!$A$6:$A$10000,$D$3)</f>
        <v>112758.92</v>
      </c>
      <c r="E96" s="72">
        <f>SUMIFS('GSTR-2A'!$K$6:$K$10000,'GSTR-2A'!$B$6:$B$10000,$C$5:$C$4995,'GSTR-2A'!$A$6:$A$10000,$D$3)</f>
        <v>95558.399999999994</v>
      </c>
      <c r="F96" s="72">
        <f>SUMIFS('GSTR-2A'!$L$6:$L$10000,'GSTR-2A'!$B$6:$B$10000,$C$5:$C$4995,'GSTR-2A'!$A$6:$A$10000,$D$3)</f>
        <v>0</v>
      </c>
      <c r="G96" s="72">
        <f>SUMIFS('GSTR-2A'!$M$6:$M$10000,'GSTR-2A'!$B$6:$B$10000,$C$5:$C$4995,'GSTR-2A'!$A$6:$A$10000,$D$3)</f>
        <v>8600.26</v>
      </c>
      <c r="H96" s="72">
        <f>SUMIFS('GSTR-2A'!$N$6:$N$10000,'GSTR-2A'!$B$6:$B$10000,$C$5:$C$4995,'GSTR-2A'!$A$6:$A$10000,$D$3)</f>
        <v>8600.26</v>
      </c>
      <c r="I96" s="486">
        <f>SUMIFS('GSTR-2A'!$G$6:$G$10000,'GSTR-2A'!$B$6:$B$10000,$C$5:$C$4995,'GSTR-2A'!$A$6:$A$10000,$I$3)</f>
        <v>281897.31999999995</v>
      </c>
      <c r="J96" s="487">
        <f>SUMIFS('GSTR-2A'!$K$6:$K$10000,'GSTR-2A'!$B$6:$B$10000,$C$5:$C$4995,'GSTR-2A'!$A$6:$A$10000,$I$3)</f>
        <v>238895.99999999997</v>
      </c>
      <c r="K96" s="487">
        <f>SUMIFS('GSTR-2A'!$L$6:$L$10000,'GSTR-2A'!$B$6:$B$10000,$C$5:$C$4995,'GSTR-2A'!$A$6:$A$10000,$I$3)</f>
        <v>0</v>
      </c>
      <c r="L96" s="487">
        <f>SUMIFS('GSTR-2A'!$M$6:$M$10000,'GSTR-2A'!$B$6:$B$10000,$C$5:$C$4995,'GSTR-2A'!$A$6:$A$10000,$I$3)</f>
        <v>21500.63</v>
      </c>
      <c r="M96" s="488">
        <f>SUMIFS('GSTR-2A'!$N$6:$N$10000,'GSTR-2A'!$B$6:$B$10000,$C$5:$C$4995,'GSTR-2A'!$A$6:$A$10000,$I$3)</f>
        <v>21500.63</v>
      </c>
      <c r="N96" s="486">
        <f>SUMIFS('GSTR-2A'!$G$6:$G$10000,'GSTR-2A'!$B$6:$B$10000,$C$5:$C$4995,'GSTR-2A'!$A$6:$A$10000,$N$3)</f>
        <v>319483.59999999998</v>
      </c>
      <c r="O96" s="487">
        <f>SUMIFS('GSTR-2A'!$K$6:$K$10000,'GSTR-2A'!$B$6:$B$10000,$C$5:$C$4995,'GSTR-2A'!$A$6:$A$10000,$N$3)</f>
        <v>270748.79999999999</v>
      </c>
      <c r="P96" s="487">
        <f>SUMIFS('GSTR-2A'!$L$6:$L$10000,'GSTR-2A'!$B$6:$B$10000,$C$5:$C$4995,'GSTR-2A'!$A$6:$A$10000,$N$3)</f>
        <v>0</v>
      </c>
      <c r="Q96" s="487">
        <f>SUMIFS('GSTR-2A'!$M$6:$M$10000,'GSTR-2A'!$B$6:$B$10000,$C$5:$C$4995,'GSTR-2A'!$A$6:$A$10000,$N$3)</f>
        <v>24367.39</v>
      </c>
      <c r="R96" s="488">
        <f>SUMIFS('GSTR-2A'!$N$6:$N$10000,'GSTR-2A'!$B$6:$B$10000,$C$5:$C$4995,'GSTR-2A'!$A$6:$A$10000,$N$3)</f>
        <v>24367.39</v>
      </c>
      <c r="S96" s="486">
        <f>SUMIFS('GSTR-2A'!$G$6:$G$10000,'GSTR-2A'!$B$6:$B$10000,$C$5:$C$4995,'GSTR-2A'!$A$6:$A$10000,$S$3)</f>
        <v>513679.51999999996</v>
      </c>
      <c r="T96" s="487">
        <f>SUMIFS('GSTR-2A'!$K$6:$K$10000,'GSTR-2A'!$B$6:$B$10000,$C$5:$C$4995,'GSTR-2A'!$A$6:$A$10000,$S$3)</f>
        <v>435321.59999999998</v>
      </c>
      <c r="U96" s="487">
        <f>SUMIFS('GSTR-2A'!$L$6:$L$10000,'GSTR-2A'!$B$6:$B$10000,$C$5:$C$4995,'GSTR-2A'!$A$6:$A$10000,$S$3)</f>
        <v>0</v>
      </c>
      <c r="V96" s="487">
        <f>SUMIFS('GSTR-2A'!$M$6:$M$10000,'GSTR-2A'!$B$6:$B$10000,$C$5:$C$4995,'GSTR-2A'!$A$6:$A$10000,$S$3)</f>
        <v>39178.939999999995</v>
      </c>
      <c r="W96" s="488">
        <f>SUMIFS('GSTR-2A'!$N$6:$N$10000,'GSTR-2A'!$B$6:$B$10000,$C$5:$C$4995,'GSTR-2A'!$A$6:$A$10000,$S$3)</f>
        <v>39178.939999999995</v>
      </c>
      <c r="X96" s="486">
        <f>SUMIFS('GSTR-2A'!$G$6:$G$10000,'GSTR-2A'!$B$6:$B$10000,$C$5:$C$4995,'GSTR-2A'!$A$6:$A$10000,$X$3)</f>
        <v>291293.83999999997</v>
      </c>
      <c r="Y96" s="487">
        <f>SUMIFS('GSTR-2A'!$K$6:$K$10000,'GSTR-2A'!$B$6:$B$10000,$C$5:$C$4995,'GSTR-2A'!$A$6:$A$10000,$X$3)</f>
        <v>246859.2</v>
      </c>
      <c r="Z96" s="487">
        <f>SUMIFS('GSTR-2A'!$L$6:$L$10000,'GSTR-2A'!$B$6:$B$10000,$C$5:$C$4995,'GSTR-2A'!$A$6:$A$10000,$X$3)</f>
        <v>0</v>
      </c>
      <c r="AA96" s="487">
        <f>SUMIFS('GSTR-2A'!$M$6:$M$10000,'GSTR-2A'!$B$6:$B$10000,$C$5:$C$4995,'GSTR-2A'!$A$6:$A$10000,$X$3)</f>
        <v>22217.33</v>
      </c>
      <c r="AB96" s="488">
        <f>SUMIFS('GSTR-2A'!$N$6:$N$10000,'GSTR-2A'!$B$6:$B$10000,$C$5:$C$4995,'GSTR-2A'!$A$6:$A$10000,$X$3)</f>
        <v>22217.33</v>
      </c>
      <c r="AC96" s="486">
        <f>SUMIFS('GSTR-2A'!$G$6:$G$10000,'GSTR-2A'!$B$6:$B$10000,$C$5:$C$4995,'GSTR-2A'!$A$6:$A$10000,$AC$3)</f>
        <v>189309.28</v>
      </c>
      <c r="AD96" s="487">
        <f>SUMIFS('GSTR-2A'!$K$6:$K$10000,'GSTR-2A'!$B$6:$B$10000,$C$5:$C$4995,'GSTR-2A'!$A$6:$A$10000,$AC$3)</f>
        <v>160431.6</v>
      </c>
      <c r="AE96" s="487">
        <f>SUMIFS('GSTR-2A'!$L$6:$L$10000,'GSTR-2A'!$B$6:$B$10000,$C$5:$C$4995,'GSTR-2A'!$A$6:$A$10000,$AC$3)</f>
        <v>0</v>
      </c>
      <c r="AF96" s="487">
        <f>SUMIFS('GSTR-2A'!$M$6:$M$10000,'GSTR-2A'!$B$6:$B$10000,$C$5:$C$4995,'GSTR-2A'!$A$6:$A$10000,$AC$3)</f>
        <v>14438.85</v>
      </c>
      <c r="AG96" s="488">
        <f>SUMIFS('GSTR-2A'!$N$6:$N$10000,'GSTR-2A'!$B$6:$B$10000,$C$5:$C$4995,'GSTR-2A'!$A$6:$A$10000,$AC$3)</f>
        <v>14438.85</v>
      </c>
      <c r="AH96" s="486">
        <f>SUMIFS('GSTR-2A'!$G$6:$G$10000,'GSTR-2A'!$B$6:$B$10000,$C$5:$C$4995,'GSTR-2A'!$A$6:$A$10000,$AH$3)</f>
        <v>182382.69999999998</v>
      </c>
      <c r="AI96" s="487">
        <f>SUMIFS('GSTR-2A'!$K$6:$K$10000,'GSTR-2A'!$B$6:$B$10000,$C$5:$C$4995,'GSTR-2A'!$A$6:$A$10000,$AH$3)</f>
        <v>154561.62000000002</v>
      </c>
      <c r="AJ96" s="487">
        <f>SUMIFS('GSTR-2A'!$L$6:$L$10000,'GSTR-2A'!$B$6:$B$10000,$C$5:$C$4995,'GSTR-2A'!$A$6:$A$10000,$AH$3)</f>
        <v>0</v>
      </c>
      <c r="AK96" s="487">
        <f>SUMIFS('GSTR-2A'!$M$6:$M$10000,'GSTR-2A'!$B$6:$B$10000,$C$5:$C$4995,'GSTR-2A'!$A$6:$A$10000,$AH$3)</f>
        <v>13910.550000000001</v>
      </c>
      <c r="AL96" s="488">
        <f>SUMIFS('GSTR-2A'!$N$6:$N$10000,'GSTR-2A'!$B$6:$B$10000,$C$5:$C$4995,'GSTR-2A'!$A$6:$A$10000,$AH$3)</f>
        <v>13910.550000000001</v>
      </c>
      <c r="AM96" s="486">
        <f>SUMIFS('GSTR-2A'!$G$6:$G$10000,'GSTR-2A'!$B$6:$B$10000,$C$5:$C$4995,'GSTR-2A'!$A$6:$A$10000,$AM$3)</f>
        <v>0</v>
      </c>
      <c r="AN96" s="487">
        <f>SUMIFS('GSTR-2A'!$K$6:$K$10000,'GSTR-2A'!$B$6:$B$10000,$C$5:$C$4995,'GSTR-2A'!$A$6:$A$10000,$AM$3)</f>
        <v>0</v>
      </c>
      <c r="AO96" s="487">
        <f>SUMIFS('GSTR-2A'!$L$6:$L$10000,'GSTR-2A'!$B$6:$B$10000,$C$5:$C$4995,'GSTR-2A'!$A$6:$A$10000,$AM$3)</f>
        <v>0</v>
      </c>
      <c r="AP96" s="487">
        <f>SUMIFS('GSTR-2A'!$M$6:$M$10000,'GSTR-2A'!$B$6:$B$10000,$C$5:$C$4995,'GSTR-2A'!$A$6:$A$10000,$AM$3)</f>
        <v>0</v>
      </c>
      <c r="AQ96" s="488">
        <f>SUMIFS('GSTR-2A'!$N$6:$N$10000,'GSTR-2A'!$B$6:$B$10000,$C$5:$C$4995,'GSTR-2A'!$A$6:$A$10000,$AM$3)</f>
        <v>0</v>
      </c>
      <c r="AR96" s="486">
        <f>SUMIFS('GSTR-2A'!$G$6:$G$10000,'GSTR-2A'!$B$6:$B$10000,$C$5:$C$4995,'GSTR-2A'!$A$6:$A$10000,$AR$3)</f>
        <v>0</v>
      </c>
      <c r="AS96" s="487">
        <f>SUMIFS('GSTR-2A'!$K$6:$K$10000,'GSTR-2A'!$B$6:$B$10000,$C$5:$C$4995,'GSTR-2A'!$A$6:$A$10000,$AR$3)</f>
        <v>0</v>
      </c>
      <c r="AT96" s="487">
        <f>SUMIFS('GSTR-2A'!$L$6:$L$10000,'GSTR-2A'!$B$6:$B$10000,$C$5:$C$4995,'GSTR-2A'!$A$6:$A$10000,$AR$3)</f>
        <v>0</v>
      </c>
      <c r="AU96" s="487">
        <f>SUMIFS('GSTR-2A'!$M$6:$M$10000,'GSTR-2A'!$B$6:$B$10000,$C$5:$C$4995,'GSTR-2A'!$A$6:$A$10000,$AR$3)</f>
        <v>0</v>
      </c>
      <c r="AV96" s="488">
        <f>SUMIFS('GSTR-2A'!$N$6:$N$10000,'GSTR-2A'!$B$6:$B$10000,$C$5:$C$4995,'GSTR-2A'!$A$6:$A$10000,$AR$3)</f>
        <v>0</v>
      </c>
      <c r="AW96" s="486">
        <f>SUMIFS('GSTR-2A'!$G$6:$G$10000,'GSTR-2A'!$B$6:$B$10000,$C$5:$C$4995,'GSTR-2A'!$A$6:$A$10000,$AW$3)</f>
        <v>0</v>
      </c>
      <c r="AX96" s="487">
        <f>SUMIFS('GSTR-2A'!$K$6:$K$10000,'GSTR-2A'!$B$6:$B$10000,$C$5:$C$4995,'GSTR-2A'!$A$6:$A$10000,$AW$3)</f>
        <v>0</v>
      </c>
      <c r="AY96" s="487">
        <f>SUMIFS('GSTR-2A'!$L$6:$L$10000,'GSTR-2A'!$B$6:$B$10000,$C$5:$C$4995,'GSTR-2A'!$A$6:$A$10000,$AW$3)</f>
        <v>0</v>
      </c>
      <c r="AZ96" s="487">
        <f>SUMIFS('GSTR-2A'!$M$6:$M$10000,'GSTR-2A'!$B$6:$B$10000,$C$5:$C$4995,'GSTR-2A'!$A$6:$A$10000,$AW$3)</f>
        <v>0</v>
      </c>
      <c r="BA96" s="488">
        <f>SUMIFS('GSTR-2A'!$N$6:$N$10000,'GSTR-2A'!$B$6:$B$10000,$C$5:$C$4995,'GSTR-2A'!$A$6:$A$10000,$AW$3)</f>
        <v>0</v>
      </c>
      <c r="BB96" s="486">
        <f>SUMIFS('GSTR-2A'!$G$6:$G$10000,'GSTR-2A'!$B$6:$B$10000,$C$5:$C$4995,'GSTR-2A'!$A$6:$A$10000,$BB$3)</f>
        <v>0</v>
      </c>
      <c r="BC96" s="487">
        <f>SUMIFS('GSTR-2A'!$K$6:$K$10000,'GSTR-2A'!$B$6:$B$10000,$C$5:$C$4995,'GSTR-2A'!$A$6:$A$10000,$BB$3)</f>
        <v>0</v>
      </c>
      <c r="BD96" s="487">
        <f>SUMIFS('GSTR-2A'!$L$6:$L$10000,'GSTR-2A'!$B$6:$B$10000,$C$5:$C$4995,'GSTR-2A'!$A$6:$A$10000,$BB$3)</f>
        <v>0</v>
      </c>
      <c r="BE96" s="487">
        <f>SUMIFS('GSTR-2A'!$M$6:$M$10000,'GSTR-2A'!$B$6:$B$10000,$C$5:$C$4995,'GSTR-2A'!$A$6:$A$10000,$BB$3)</f>
        <v>0</v>
      </c>
      <c r="BF96" s="488">
        <f>SUMIFS('GSTR-2A'!$N$6:$N$10000,'GSTR-2A'!$B$6:$B$10000,$C$5:$C$4995,'GSTR-2A'!$A$6:$A$10000,$BB$3)</f>
        <v>0</v>
      </c>
      <c r="BG96" s="486">
        <f>SUMIFS('GSTR-2A'!$G$6:$G$10000,'GSTR-2A'!$B$6:$B$10000,$C$5:$C$4995,'GSTR-2A'!$A$6:$A$10000,$BG$3)</f>
        <v>0</v>
      </c>
      <c r="BH96" s="487">
        <f>SUMIFS('GSTR-2A'!$K$6:$K$10000,'GSTR-2A'!$B$6:$B$10000,$C$5:$C$4995,'GSTR-2A'!$A$6:$A$10000,$BG$3)</f>
        <v>0</v>
      </c>
      <c r="BI96" s="487">
        <f>SUMIFS('GSTR-2A'!$L$6:$L$10000,'GSTR-2A'!$B$6:$B$10000,$C$5:$C$4995,'GSTR-2A'!$A$6:$A$10000,$BG$3)</f>
        <v>0</v>
      </c>
      <c r="BJ96" s="487">
        <f>SUMIFS('GSTR-2A'!$M$6:$M$10000,'GSTR-2A'!$B$6:$B$10000,$C$5:$C$4995,'GSTR-2A'!$A$6:$A$10000,$BG$3)</f>
        <v>0</v>
      </c>
      <c r="BK96" s="488">
        <f>SUMIFS('GSTR-2A'!$N$6:$N$10000,'GSTR-2A'!$B$6:$B$10000,$C$5:$C$4995,'GSTR-2A'!$A$6:$A$10000,$BG$3)</f>
        <v>0</v>
      </c>
      <c r="BL96" s="72">
        <f t="shared" si="7"/>
        <v>1890805.1799999997</v>
      </c>
      <c r="BM96" s="72">
        <f t="shared" si="8"/>
        <v>1602377.2200000002</v>
      </c>
      <c r="BN96" s="72">
        <f t="shared" si="9"/>
        <v>0</v>
      </c>
      <c r="BO96" s="72">
        <f t="shared" si="10"/>
        <v>144213.95000000001</v>
      </c>
      <c r="BP96" s="72">
        <f t="shared" si="11"/>
        <v>144213.95000000001</v>
      </c>
    </row>
    <row r="97" spans="1:68" x14ac:dyDescent="0.2">
      <c r="A97" s="467">
        <v>94</v>
      </c>
      <c r="B97" s="468" t="s">
        <v>1142</v>
      </c>
      <c r="C97" s="469" t="s">
        <v>1143</v>
      </c>
      <c r="D97" s="72">
        <f>SUMIFS('GSTR-2A'!$G$6:$G$10000,'GSTR-2A'!$B$6:$B$10000,$C$5:$C$4995,'GSTR-2A'!$A$6:$A$10000,$D$3)</f>
        <v>0</v>
      </c>
      <c r="E97" s="72">
        <f>SUMIFS('GSTR-2A'!$K$6:$K$10000,'GSTR-2A'!$B$6:$B$10000,$C$5:$C$4995,'GSTR-2A'!$A$6:$A$10000,$D$3)</f>
        <v>0</v>
      </c>
      <c r="F97" s="72">
        <f>SUMIFS('GSTR-2A'!$L$6:$L$10000,'GSTR-2A'!$B$6:$B$10000,$C$5:$C$4995,'GSTR-2A'!$A$6:$A$10000,$D$3)</f>
        <v>0</v>
      </c>
      <c r="G97" s="72">
        <f>SUMIFS('GSTR-2A'!$M$6:$M$10000,'GSTR-2A'!$B$6:$B$10000,$C$5:$C$4995,'GSTR-2A'!$A$6:$A$10000,$D$3)</f>
        <v>0</v>
      </c>
      <c r="H97" s="72">
        <f>SUMIFS('GSTR-2A'!$N$6:$N$10000,'GSTR-2A'!$B$6:$B$10000,$C$5:$C$4995,'GSTR-2A'!$A$6:$A$10000,$D$3)</f>
        <v>0</v>
      </c>
      <c r="I97" s="486">
        <f>SUMIFS('GSTR-2A'!$G$6:$G$10000,'GSTR-2A'!$B$6:$B$10000,$C$5:$C$4995,'GSTR-2A'!$A$6:$A$10000,$I$3)</f>
        <v>0</v>
      </c>
      <c r="J97" s="487">
        <f>SUMIFS('GSTR-2A'!$K$6:$K$10000,'GSTR-2A'!$B$6:$B$10000,$C$5:$C$4995,'GSTR-2A'!$A$6:$A$10000,$I$3)</f>
        <v>0</v>
      </c>
      <c r="K97" s="487">
        <f>SUMIFS('GSTR-2A'!$L$6:$L$10000,'GSTR-2A'!$B$6:$B$10000,$C$5:$C$4995,'GSTR-2A'!$A$6:$A$10000,$I$3)</f>
        <v>0</v>
      </c>
      <c r="L97" s="487">
        <f>SUMIFS('GSTR-2A'!$M$6:$M$10000,'GSTR-2A'!$B$6:$B$10000,$C$5:$C$4995,'GSTR-2A'!$A$6:$A$10000,$I$3)</f>
        <v>0</v>
      </c>
      <c r="M97" s="488">
        <f>SUMIFS('GSTR-2A'!$N$6:$N$10000,'GSTR-2A'!$B$6:$B$10000,$C$5:$C$4995,'GSTR-2A'!$A$6:$A$10000,$I$3)</f>
        <v>0</v>
      </c>
      <c r="N97" s="486">
        <f>SUMIFS('GSTR-2A'!$G$6:$G$10000,'GSTR-2A'!$B$6:$B$10000,$C$5:$C$4995,'GSTR-2A'!$A$6:$A$10000,$N$3)</f>
        <v>0</v>
      </c>
      <c r="O97" s="487">
        <f>SUMIFS('GSTR-2A'!$K$6:$K$10000,'GSTR-2A'!$B$6:$B$10000,$C$5:$C$4995,'GSTR-2A'!$A$6:$A$10000,$N$3)</f>
        <v>0</v>
      </c>
      <c r="P97" s="487">
        <f>SUMIFS('GSTR-2A'!$L$6:$L$10000,'GSTR-2A'!$B$6:$B$10000,$C$5:$C$4995,'GSTR-2A'!$A$6:$A$10000,$N$3)</f>
        <v>0</v>
      </c>
      <c r="Q97" s="487">
        <f>SUMIFS('GSTR-2A'!$M$6:$M$10000,'GSTR-2A'!$B$6:$B$10000,$C$5:$C$4995,'GSTR-2A'!$A$6:$A$10000,$N$3)</f>
        <v>0</v>
      </c>
      <c r="R97" s="488">
        <f>SUMIFS('GSTR-2A'!$N$6:$N$10000,'GSTR-2A'!$B$6:$B$10000,$C$5:$C$4995,'GSTR-2A'!$A$6:$A$10000,$N$3)</f>
        <v>0</v>
      </c>
      <c r="S97" s="486">
        <f>SUMIFS('GSTR-2A'!$G$6:$G$10000,'GSTR-2A'!$B$6:$B$10000,$C$5:$C$4995,'GSTR-2A'!$A$6:$A$10000,$S$3)</f>
        <v>0</v>
      </c>
      <c r="T97" s="487">
        <f>SUMIFS('GSTR-2A'!$K$6:$K$10000,'GSTR-2A'!$B$6:$B$10000,$C$5:$C$4995,'GSTR-2A'!$A$6:$A$10000,$S$3)</f>
        <v>0</v>
      </c>
      <c r="U97" s="487">
        <f>SUMIFS('GSTR-2A'!$L$6:$L$10000,'GSTR-2A'!$B$6:$B$10000,$C$5:$C$4995,'GSTR-2A'!$A$6:$A$10000,$S$3)</f>
        <v>0</v>
      </c>
      <c r="V97" s="487">
        <f>SUMIFS('GSTR-2A'!$M$6:$M$10000,'GSTR-2A'!$B$6:$B$10000,$C$5:$C$4995,'GSTR-2A'!$A$6:$A$10000,$S$3)</f>
        <v>0</v>
      </c>
      <c r="W97" s="488">
        <f>SUMIFS('GSTR-2A'!$N$6:$N$10000,'GSTR-2A'!$B$6:$B$10000,$C$5:$C$4995,'GSTR-2A'!$A$6:$A$10000,$S$3)</f>
        <v>0</v>
      </c>
      <c r="X97" s="486">
        <f>SUMIFS('GSTR-2A'!$G$6:$G$10000,'GSTR-2A'!$B$6:$B$10000,$C$5:$C$4995,'GSTR-2A'!$A$6:$A$10000,$X$3)</f>
        <v>0</v>
      </c>
      <c r="Y97" s="487">
        <f>SUMIFS('GSTR-2A'!$K$6:$K$10000,'GSTR-2A'!$B$6:$B$10000,$C$5:$C$4995,'GSTR-2A'!$A$6:$A$10000,$X$3)</f>
        <v>0</v>
      </c>
      <c r="Z97" s="487">
        <f>SUMIFS('GSTR-2A'!$L$6:$L$10000,'GSTR-2A'!$B$6:$B$10000,$C$5:$C$4995,'GSTR-2A'!$A$6:$A$10000,$X$3)</f>
        <v>0</v>
      </c>
      <c r="AA97" s="487">
        <f>SUMIFS('GSTR-2A'!$M$6:$M$10000,'GSTR-2A'!$B$6:$B$10000,$C$5:$C$4995,'GSTR-2A'!$A$6:$A$10000,$X$3)</f>
        <v>0</v>
      </c>
      <c r="AB97" s="488">
        <f>SUMIFS('GSTR-2A'!$N$6:$N$10000,'GSTR-2A'!$B$6:$B$10000,$C$5:$C$4995,'GSTR-2A'!$A$6:$A$10000,$X$3)</f>
        <v>0</v>
      </c>
      <c r="AC97" s="486">
        <f>SUMIFS('GSTR-2A'!$G$6:$G$10000,'GSTR-2A'!$B$6:$B$10000,$C$5:$C$4995,'GSTR-2A'!$A$6:$A$10000,$AC$3)</f>
        <v>0</v>
      </c>
      <c r="AD97" s="487">
        <f>SUMIFS('GSTR-2A'!$K$6:$K$10000,'GSTR-2A'!$B$6:$B$10000,$C$5:$C$4995,'GSTR-2A'!$A$6:$A$10000,$AC$3)</f>
        <v>0</v>
      </c>
      <c r="AE97" s="487">
        <f>SUMIFS('GSTR-2A'!$L$6:$L$10000,'GSTR-2A'!$B$6:$B$10000,$C$5:$C$4995,'GSTR-2A'!$A$6:$A$10000,$AC$3)</f>
        <v>0</v>
      </c>
      <c r="AF97" s="487">
        <f>SUMIFS('GSTR-2A'!$M$6:$M$10000,'GSTR-2A'!$B$6:$B$10000,$C$5:$C$4995,'GSTR-2A'!$A$6:$A$10000,$AC$3)</f>
        <v>0</v>
      </c>
      <c r="AG97" s="488">
        <f>SUMIFS('GSTR-2A'!$N$6:$N$10000,'GSTR-2A'!$B$6:$B$10000,$C$5:$C$4995,'GSTR-2A'!$A$6:$A$10000,$AC$3)</f>
        <v>0</v>
      </c>
      <c r="AH97" s="486">
        <f>SUMIFS('GSTR-2A'!$G$6:$G$10000,'GSTR-2A'!$B$6:$B$10000,$C$5:$C$4995,'GSTR-2A'!$A$6:$A$10000,$AH$3)</f>
        <v>0</v>
      </c>
      <c r="AI97" s="487">
        <f>SUMIFS('GSTR-2A'!$K$6:$K$10000,'GSTR-2A'!$B$6:$B$10000,$C$5:$C$4995,'GSTR-2A'!$A$6:$A$10000,$AH$3)</f>
        <v>0</v>
      </c>
      <c r="AJ97" s="487">
        <f>SUMIFS('GSTR-2A'!$L$6:$L$10000,'GSTR-2A'!$B$6:$B$10000,$C$5:$C$4995,'GSTR-2A'!$A$6:$A$10000,$AH$3)</f>
        <v>0</v>
      </c>
      <c r="AK97" s="487">
        <f>SUMIFS('GSTR-2A'!$M$6:$M$10000,'GSTR-2A'!$B$6:$B$10000,$C$5:$C$4995,'GSTR-2A'!$A$6:$A$10000,$AH$3)</f>
        <v>0</v>
      </c>
      <c r="AL97" s="488">
        <f>SUMIFS('GSTR-2A'!$N$6:$N$10000,'GSTR-2A'!$B$6:$B$10000,$C$5:$C$4995,'GSTR-2A'!$A$6:$A$10000,$AH$3)</f>
        <v>0</v>
      </c>
      <c r="AM97" s="486">
        <f>SUMIFS('GSTR-2A'!$G$6:$G$10000,'GSTR-2A'!$B$6:$B$10000,$C$5:$C$4995,'GSTR-2A'!$A$6:$A$10000,$AM$3)</f>
        <v>0</v>
      </c>
      <c r="AN97" s="487">
        <f>SUMIFS('GSTR-2A'!$K$6:$K$10000,'GSTR-2A'!$B$6:$B$10000,$C$5:$C$4995,'GSTR-2A'!$A$6:$A$10000,$AM$3)</f>
        <v>0</v>
      </c>
      <c r="AO97" s="487">
        <f>SUMIFS('GSTR-2A'!$L$6:$L$10000,'GSTR-2A'!$B$6:$B$10000,$C$5:$C$4995,'GSTR-2A'!$A$6:$A$10000,$AM$3)</f>
        <v>0</v>
      </c>
      <c r="AP97" s="487">
        <f>SUMIFS('GSTR-2A'!$M$6:$M$10000,'GSTR-2A'!$B$6:$B$10000,$C$5:$C$4995,'GSTR-2A'!$A$6:$A$10000,$AM$3)</f>
        <v>0</v>
      </c>
      <c r="AQ97" s="488">
        <f>SUMIFS('GSTR-2A'!$N$6:$N$10000,'GSTR-2A'!$B$6:$B$10000,$C$5:$C$4995,'GSTR-2A'!$A$6:$A$10000,$AM$3)</f>
        <v>0</v>
      </c>
      <c r="AR97" s="486">
        <f>SUMIFS('GSTR-2A'!$G$6:$G$10000,'GSTR-2A'!$B$6:$B$10000,$C$5:$C$4995,'GSTR-2A'!$A$6:$A$10000,$AR$3)</f>
        <v>0</v>
      </c>
      <c r="AS97" s="487">
        <f>SUMIFS('GSTR-2A'!$K$6:$K$10000,'GSTR-2A'!$B$6:$B$10000,$C$5:$C$4995,'GSTR-2A'!$A$6:$A$10000,$AR$3)</f>
        <v>0</v>
      </c>
      <c r="AT97" s="487">
        <f>SUMIFS('GSTR-2A'!$L$6:$L$10000,'GSTR-2A'!$B$6:$B$10000,$C$5:$C$4995,'GSTR-2A'!$A$6:$A$10000,$AR$3)</f>
        <v>0</v>
      </c>
      <c r="AU97" s="487">
        <f>SUMIFS('GSTR-2A'!$M$6:$M$10000,'GSTR-2A'!$B$6:$B$10000,$C$5:$C$4995,'GSTR-2A'!$A$6:$A$10000,$AR$3)</f>
        <v>0</v>
      </c>
      <c r="AV97" s="488">
        <f>SUMIFS('GSTR-2A'!$N$6:$N$10000,'GSTR-2A'!$B$6:$B$10000,$C$5:$C$4995,'GSTR-2A'!$A$6:$A$10000,$AR$3)</f>
        <v>0</v>
      </c>
      <c r="AW97" s="486">
        <f>SUMIFS('GSTR-2A'!$G$6:$G$10000,'GSTR-2A'!$B$6:$B$10000,$C$5:$C$4995,'GSTR-2A'!$A$6:$A$10000,$AW$3)</f>
        <v>0</v>
      </c>
      <c r="AX97" s="487">
        <f>SUMIFS('GSTR-2A'!$K$6:$K$10000,'GSTR-2A'!$B$6:$B$10000,$C$5:$C$4995,'GSTR-2A'!$A$6:$A$10000,$AW$3)</f>
        <v>0</v>
      </c>
      <c r="AY97" s="487">
        <f>SUMIFS('GSTR-2A'!$L$6:$L$10000,'GSTR-2A'!$B$6:$B$10000,$C$5:$C$4995,'GSTR-2A'!$A$6:$A$10000,$AW$3)</f>
        <v>0</v>
      </c>
      <c r="AZ97" s="487">
        <f>SUMIFS('GSTR-2A'!$M$6:$M$10000,'GSTR-2A'!$B$6:$B$10000,$C$5:$C$4995,'GSTR-2A'!$A$6:$A$10000,$AW$3)</f>
        <v>0</v>
      </c>
      <c r="BA97" s="488">
        <f>SUMIFS('GSTR-2A'!$N$6:$N$10000,'GSTR-2A'!$B$6:$B$10000,$C$5:$C$4995,'GSTR-2A'!$A$6:$A$10000,$AW$3)</f>
        <v>0</v>
      </c>
      <c r="BB97" s="486">
        <f>SUMIFS('GSTR-2A'!$G$6:$G$10000,'GSTR-2A'!$B$6:$B$10000,$C$5:$C$4995,'GSTR-2A'!$A$6:$A$10000,$BB$3)</f>
        <v>0</v>
      </c>
      <c r="BC97" s="487">
        <f>SUMIFS('GSTR-2A'!$K$6:$K$10000,'GSTR-2A'!$B$6:$B$10000,$C$5:$C$4995,'GSTR-2A'!$A$6:$A$10000,$BB$3)</f>
        <v>0</v>
      </c>
      <c r="BD97" s="487">
        <f>SUMIFS('GSTR-2A'!$L$6:$L$10000,'GSTR-2A'!$B$6:$B$10000,$C$5:$C$4995,'GSTR-2A'!$A$6:$A$10000,$BB$3)</f>
        <v>0</v>
      </c>
      <c r="BE97" s="487">
        <f>SUMIFS('GSTR-2A'!$M$6:$M$10000,'GSTR-2A'!$B$6:$B$10000,$C$5:$C$4995,'GSTR-2A'!$A$6:$A$10000,$BB$3)</f>
        <v>0</v>
      </c>
      <c r="BF97" s="488">
        <f>SUMIFS('GSTR-2A'!$N$6:$N$10000,'GSTR-2A'!$B$6:$B$10000,$C$5:$C$4995,'GSTR-2A'!$A$6:$A$10000,$BB$3)</f>
        <v>0</v>
      </c>
      <c r="BG97" s="486">
        <f>SUMIFS('GSTR-2A'!$G$6:$G$10000,'GSTR-2A'!$B$6:$B$10000,$C$5:$C$4995,'GSTR-2A'!$A$6:$A$10000,$BG$3)</f>
        <v>0</v>
      </c>
      <c r="BH97" s="487">
        <f>SUMIFS('GSTR-2A'!$K$6:$K$10000,'GSTR-2A'!$B$6:$B$10000,$C$5:$C$4995,'GSTR-2A'!$A$6:$A$10000,$BG$3)</f>
        <v>0</v>
      </c>
      <c r="BI97" s="487">
        <f>SUMIFS('GSTR-2A'!$L$6:$L$10000,'GSTR-2A'!$B$6:$B$10000,$C$5:$C$4995,'GSTR-2A'!$A$6:$A$10000,$BG$3)</f>
        <v>0</v>
      </c>
      <c r="BJ97" s="487">
        <f>SUMIFS('GSTR-2A'!$M$6:$M$10000,'GSTR-2A'!$B$6:$B$10000,$C$5:$C$4995,'GSTR-2A'!$A$6:$A$10000,$BG$3)</f>
        <v>0</v>
      </c>
      <c r="BK97" s="488">
        <f>SUMIFS('GSTR-2A'!$N$6:$N$10000,'GSTR-2A'!$B$6:$B$10000,$C$5:$C$4995,'GSTR-2A'!$A$6:$A$10000,$BG$3)</f>
        <v>0</v>
      </c>
      <c r="BL97" s="72">
        <f t="shared" si="7"/>
        <v>0</v>
      </c>
      <c r="BM97" s="72">
        <f t="shared" si="8"/>
        <v>0</v>
      </c>
      <c r="BN97" s="72">
        <f t="shared" si="9"/>
        <v>0</v>
      </c>
      <c r="BO97" s="72">
        <f t="shared" si="10"/>
        <v>0</v>
      </c>
      <c r="BP97" s="72">
        <f t="shared" si="11"/>
        <v>0</v>
      </c>
    </row>
    <row r="98" spans="1:68" x14ac:dyDescent="0.2">
      <c r="A98" s="467">
        <v>95</v>
      </c>
      <c r="B98" s="468" t="s">
        <v>1022</v>
      </c>
      <c r="C98" s="479" t="s">
        <v>1023</v>
      </c>
      <c r="D98" s="72">
        <f>SUMIFS('GSTR-2A'!$G$6:$G$10000,'GSTR-2A'!$B$6:$B$10000,$C$5:$C$4995,'GSTR-2A'!$A$6:$A$10000,$D$3)</f>
        <v>0</v>
      </c>
      <c r="E98" s="72">
        <f>SUMIFS('GSTR-2A'!$K$6:$K$10000,'GSTR-2A'!$B$6:$B$10000,$C$5:$C$4995,'GSTR-2A'!$A$6:$A$10000,$D$3)</f>
        <v>0</v>
      </c>
      <c r="F98" s="72">
        <f>SUMIFS('GSTR-2A'!$L$6:$L$10000,'GSTR-2A'!$B$6:$B$10000,$C$5:$C$4995,'GSTR-2A'!$A$6:$A$10000,$D$3)</f>
        <v>0</v>
      </c>
      <c r="G98" s="72">
        <f>SUMIFS('GSTR-2A'!$M$6:$M$10000,'GSTR-2A'!$B$6:$B$10000,$C$5:$C$4995,'GSTR-2A'!$A$6:$A$10000,$D$3)</f>
        <v>0</v>
      </c>
      <c r="H98" s="72">
        <f>SUMIFS('GSTR-2A'!$N$6:$N$10000,'GSTR-2A'!$B$6:$B$10000,$C$5:$C$4995,'GSTR-2A'!$A$6:$A$10000,$D$3)</f>
        <v>0</v>
      </c>
      <c r="I98" s="486">
        <f>SUMIFS('GSTR-2A'!$G$6:$G$10000,'GSTR-2A'!$B$6:$B$10000,$C$5:$C$4995,'GSTR-2A'!$A$6:$A$10000,$I$3)</f>
        <v>0</v>
      </c>
      <c r="J98" s="487">
        <f>SUMIFS('GSTR-2A'!$K$6:$K$10000,'GSTR-2A'!$B$6:$B$10000,$C$5:$C$4995,'GSTR-2A'!$A$6:$A$10000,$I$3)</f>
        <v>0</v>
      </c>
      <c r="K98" s="487">
        <f>SUMIFS('GSTR-2A'!$L$6:$L$10000,'GSTR-2A'!$B$6:$B$10000,$C$5:$C$4995,'GSTR-2A'!$A$6:$A$10000,$I$3)</f>
        <v>0</v>
      </c>
      <c r="L98" s="487">
        <f>SUMIFS('GSTR-2A'!$M$6:$M$10000,'GSTR-2A'!$B$6:$B$10000,$C$5:$C$4995,'GSTR-2A'!$A$6:$A$10000,$I$3)</f>
        <v>0</v>
      </c>
      <c r="M98" s="488">
        <f>SUMIFS('GSTR-2A'!$N$6:$N$10000,'GSTR-2A'!$B$6:$B$10000,$C$5:$C$4995,'GSTR-2A'!$A$6:$A$10000,$I$3)</f>
        <v>0</v>
      </c>
      <c r="N98" s="486">
        <f>SUMIFS('GSTR-2A'!$G$6:$G$10000,'GSTR-2A'!$B$6:$B$10000,$C$5:$C$4995,'GSTR-2A'!$A$6:$A$10000,$N$3)</f>
        <v>97344</v>
      </c>
      <c r="O98" s="487">
        <f>SUMIFS('GSTR-2A'!$K$6:$K$10000,'GSTR-2A'!$B$6:$B$10000,$C$5:$C$4995,'GSTR-2A'!$A$6:$A$10000,$N$3)</f>
        <v>76050</v>
      </c>
      <c r="P98" s="487">
        <f>SUMIFS('GSTR-2A'!$L$6:$L$10000,'GSTR-2A'!$B$6:$B$10000,$C$5:$C$4995,'GSTR-2A'!$A$6:$A$10000,$N$3)</f>
        <v>0</v>
      </c>
      <c r="Q98" s="487">
        <f>SUMIFS('GSTR-2A'!$M$6:$M$10000,'GSTR-2A'!$B$6:$B$10000,$C$5:$C$4995,'GSTR-2A'!$A$6:$A$10000,$N$3)</f>
        <v>10647</v>
      </c>
      <c r="R98" s="488">
        <f>SUMIFS('GSTR-2A'!$N$6:$N$10000,'GSTR-2A'!$B$6:$B$10000,$C$5:$C$4995,'GSTR-2A'!$A$6:$A$10000,$N$3)</f>
        <v>10647</v>
      </c>
      <c r="S98" s="486">
        <f>SUMIFS('GSTR-2A'!$G$6:$G$10000,'GSTR-2A'!$B$6:$B$10000,$C$5:$C$4995,'GSTR-2A'!$A$6:$A$10000,$S$3)</f>
        <v>0</v>
      </c>
      <c r="T98" s="487">
        <f>SUMIFS('GSTR-2A'!$K$6:$K$10000,'GSTR-2A'!$B$6:$B$10000,$C$5:$C$4995,'GSTR-2A'!$A$6:$A$10000,$S$3)</f>
        <v>0</v>
      </c>
      <c r="U98" s="487">
        <f>SUMIFS('GSTR-2A'!$L$6:$L$10000,'GSTR-2A'!$B$6:$B$10000,$C$5:$C$4995,'GSTR-2A'!$A$6:$A$10000,$S$3)</f>
        <v>0</v>
      </c>
      <c r="V98" s="487">
        <f>SUMIFS('GSTR-2A'!$M$6:$M$10000,'GSTR-2A'!$B$6:$B$10000,$C$5:$C$4995,'GSTR-2A'!$A$6:$A$10000,$S$3)</f>
        <v>0</v>
      </c>
      <c r="W98" s="488">
        <f>SUMIFS('GSTR-2A'!$N$6:$N$10000,'GSTR-2A'!$B$6:$B$10000,$C$5:$C$4995,'GSTR-2A'!$A$6:$A$10000,$S$3)</f>
        <v>0</v>
      </c>
      <c r="X98" s="486">
        <f>SUMIFS('GSTR-2A'!$G$6:$G$10000,'GSTR-2A'!$B$6:$B$10000,$C$5:$C$4995,'GSTR-2A'!$A$6:$A$10000,$X$3)</f>
        <v>0</v>
      </c>
      <c r="Y98" s="487">
        <f>SUMIFS('GSTR-2A'!$K$6:$K$10000,'GSTR-2A'!$B$6:$B$10000,$C$5:$C$4995,'GSTR-2A'!$A$6:$A$10000,$X$3)</f>
        <v>0</v>
      </c>
      <c r="Z98" s="487">
        <f>SUMIFS('GSTR-2A'!$L$6:$L$10000,'GSTR-2A'!$B$6:$B$10000,$C$5:$C$4995,'GSTR-2A'!$A$6:$A$10000,$X$3)</f>
        <v>0</v>
      </c>
      <c r="AA98" s="487">
        <f>SUMIFS('GSTR-2A'!$M$6:$M$10000,'GSTR-2A'!$B$6:$B$10000,$C$5:$C$4995,'GSTR-2A'!$A$6:$A$10000,$X$3)</f>
        <v>0</v>
      </c>
      <c r="AB98" s="488">
        <f>SUMIFS('GSTR-2A'!$N$6:$N$10000,'GSTR-2A'!$B$6:$B$10000,$C$5:$C$4995,'GSTR-2A'!$A$6:$A$10000,$X$3)</f>
        <v>0</v>
      </c>
      <c r="AC98" s="486">
        <f>SUMIFS('GSTR-2A'!$G$6:$G$10000,'GSTR-2A'!$B$6:$B$10000,$C$5:$C$4995,'GSTR-2A'!$A$6:$A$10000,$AC$3)</f>
        <v>0</v>
      </c>
      <c r="AD98" s="487">
        <f>SUMIFS('GSTR-2A'!$K$6:$K$10000,'GSTR-2A'!$B$6:$B$10000,$C$5:$C$4995,'GSTR-2A'!$A$6:$A$10000,$AC$3)</f>
        <v>0</v>
      </c>
      <c r="AE98" s="487">
        <f>SUMIFS('GSTR-2A'!$L$6:$L$10000,'GSTR-2A'!$B$6:$B$10000,$C$5:$C$4995,'GSTR-2A'!$A$6:$A$10000,$AC$3)</f>
        <v>0</v>
      </c>
      <c r="AF98" s="487">
        <f>SUMIFS('GSTR-2A'!$M$6:$M$10000,'GSTR-2A'!$B$6:$B$10000,$C$5:$C$4995,'GSTR-2A'!$A$6:$A$10000,$AC$3)</f>
        <v>0</v>
      </c>
      <c r="AG98" s="488">
        <f>SUMIFS('GSTR-2A'!$N$6:$N$10000,'GSTR-2A'!$B$6:$B$10000,$C$5:$C$4995,'GSTR-2A'!$A$6:$A$10000,$AC$3)</f>
        <v>0</v>
      </c>
      <c r="AH98" s="486">
        <f>SUMIFS('GSTR-2A'!$G$6:$G$10000,'GSTR-2A'!$B$6:$B$10000,$C$5:$C$4995,'GSTR-2A'!$A$6:$A$10000,$AH$3)</f>
        <v>0</v>
      </c>
      <c r="AI98" s="487">
        <f>SUMIFS('GSTR-2A'!$K$6:$K$10000,'GSTR-2A'!$B$6:$B$10000,$C$5:$C$4995,'GSTR-2A'!$A$6:$A$10000,$AH$3)</f>
        <v>0</v>
      </c>
      <c r="AJ98" s="487">
        <f>SUMIFS('GSTR-2A'!$L$6:$L$10000,'GSTR-2A'!$B$6:$B$10000,$C$5:$C$4995,'GSTR-2A'!$A$6:$A$10000,$AH$3)</f>
        <v>0</v>
      </c>
      <c r="AK98" s="487">
        <f>SUMIFS('GSTR-2A'!$M$6:$M$10000,'GSTR-2A'!$B$6:$B$10000,$C$5:$C$4995,'GSTR-2A'!$A$6:$A$10000,$AH$3)</f>
        <v>0</v>
      </c>
      <c r="AL98" s="488">
        <f>SUMIFS('GSTR-2A'!$N$6:$N$10000,'GSTR-2A'!$B$6:$B$10000,$C$5:$C$4995,'GSTR-2A'!$A$6:$A$10000,$AH$3)</f>
        <v>0</v>
      </c>
      <c r="AM98" s="486">
        <f>SUMIFS('GSTR-2A'!$G$6:$G$10000,'GSTR-2A'!$B$6:$B$10000,$C$5:$C$4995,'GSTR-2A'!$A$6:$A$10000,$AM$3)</f>
        <v>0</v>
      </c>
      <c r="AN98" s="487">
        <f>SUMIFS('GSTR-2A'!$K$6:$K$10000,'GSTR-2A'!$B$6:$B$10000,$C$5:$C$4995,'GSTR-2A'!$A$6:$A$10000,$AM$3)</f>
        <v>0</v>
      </c>
      <c r="AO98" s="487">
        <f>SUMIFS('GSTR-2A'!$L$6:$L$10000,'GSTR-2A'!$B$6:$B$10000,$C$5:$C$4995,'GSTR-2A'!$A$6:$A$10000,$AM$3)</f>
        <v>0</v>
      </c>
      <c r="AP98" s="487">
        <f>SUMIFS('GSTR-2A'!$M$6:$M$10000,'GSTR-2A'!$B$6:$B$10000,$C$5:$C$4995,'GSTR-2A'!$A$6:$A$10000,$AM$3)</f>
        <v>0</v>
      </c>
      <c r="AQ98" s="488">
        <f>SUMIFS('GSTR-2A'!$N$6:$N$10000,'GSTR-2A'!$B$6:$B$10000,$C$5:$C$4995,'GSTR-2A'!$A$6:$A$10000,$AM$3)</f>
        <v>0</v>
      </c>
      <c r="AR98" s="486">
        <f>SUMIFS('GSTR-2A'!$G$6:$G$10000,'GSTR-2A'!$B$6:$B$10000,$C$5:$C$4995,'GSTR-2A'!$A$6:$A$10000,$AR$3)</f>
        <v>0</v>
      </c>
      <c r="AS98" s="487">
        <f>SUMIFS('GSTR-2A'!$K$6:$K$10000,'GSTR-2A'!$B$6:$B$10000,$C$5:$C$4995,'GSTR-2A'!$A$6:$A$10000,$AR$3)</f>
        <v>0</v>
      </c>
      <c r="AT98" s="487">
        <f>SUMIFS('GSTR-2A'!$L$6:$L$10000,'GSTR-2A'!$B$6:$B$10000,$C$5:$C$4995,'GSTR-2A'!$A$6:$A$10000,$AR$3)</f>
        <v>0</v>
      </c>
      <c r="AU98" s="487">
        <f>SUMIFS('GSTR-2A'!$M$6:$M$10000,'GSTR-2A'!$B$6:$B$10000,$C$5:$C$4995,'GSTR-2A'!$A$6:$A$10000,$AR$3)</f>
        <v>0</v>
      </c>
      <c r="AV98" s="488">
        <f>SUMIFS('GSTR-2A'!$N$6:$N$10000,'GSTR-2A'!$B$6:$B$10000,$C$5:$C$4995,'GSTR-2A'!$A$6:$A$10000,$AR$3)</f>
        <v>0</v>
      </c>
      <c r="AW98" s="486">
        <f>SUMIFS('GSTR-2A'!$G$6:$G$10000,'GSTR-2A'!$B$6:$B$10000,$C$5:$C$4995,'GSTR-2A'!$A$6:$A$10000,$AW$3)</f>
        <v>0</v>
      </c>
      <c r="AX98" s="487">
        <f>SUMIFS('GSTR-2A'!$K$6:$K$10000,'GSTR-2A'!$B$6:$B$10000,$C$5:$C$4995,'GSTR-2A'!$A$6:$A$10000,$AW$3)</f>
        <v>0</v>
      </c>
      <c r="AY98" s="487">
        <f>SUMIFS('GSTR-2A'!$L$6:$L$10000,'GSTR-2A'!$B$6:$B$10000,$C$5:$C$4995,'GSTR-2A'!$A$6:$A$10000,$AW$3)</f>
        <v>0</v>
      </c>
      <c r="AZ98" s="487">
        <f>SUMIFS('GSTR-2A'!$M$6:$M$10000,'GSTR-2A'!$B$6:$B$10000,$C$5:$C$4995,'GSTR-2A'!$A$6:$A$10000,$AW$3)</f>
        <v>0</v>
      </c>
      <c r="BA98" s="488">
        <f>SUMIFS('GSTR-2A'!$N$6:$N$10000,'GSTR-2A'!$B$6:$B$10000,$C$5:$C$4995,'GSTR-2A'!$A$6:$A$10000,$AW$3)</f>
        <v>0</v>
      </c>
      <c r="BB98" s="486">
        <f>SUMIFS('GSTR-2A'!$G$6:$G$10000,'GSTR-2A'!$B$6:$B$10000,$C$5:$C$4995,'GSTR-2A'!$A$6:$A$10000,$BB$3)</f>
        <v>0</v>
      </c>
      <c r="BC98" s="487">
        <f>SUMIFS('GSTR-2A'!$K$6:$K$10000,'GSTR-2A'!$B$6:$B$10000,$C$5:$C$4995,'GSTR-2A'!$A$6:$A$10000,$BB$3)</f>
        <v>0</v>
      </c>
      <c r="BD98" s="487">
        <f>SUMIFS('GSTR-2A'!$L$6:$L$10000,'GSTR-2A'!$B$6:$B$10000,$C$5:$C$4995,'GSTR-2A'!$A$6:$A$10000,$BB$3)</f>
        <v>0</v>
      </c>
      <c r="BE98" s="487">
        <f>SUMIFS('GSTR-2A'!$M$6:$M$10000,'GSTR-2A'!$B$6:$B$10000,$C$5:$C$4995,'GSTR-2A'!$A$6:$A$10000,$BB$3)</f>
        <v>0</v>
      </c>
      <c r="BF98" s="488">
        <f>SUMIFS('GSTR-2A'!$N$6:$N$10000,'GSTR-2A'!$B$6:$B$10000,$C$5:$C$4995,'GSTR-2A'!$A$6:$A$10000,$BB$3)</f>
        <v>0</v>
      </c>
      <c r="BG98" s="486">
        <f>SUMIFS('GSTR-2A'!$G$6:$G$10000,'GSTR-2A'!$B$6:$B$10000,$C$5:$C$4995,'GSTR-2A'!$A$6:$A$10000,$BG$3)</f>
        <v>0</v>
      </c>
      <c r="BH98" s="487">
        <f>SUMIFS('GSTR-2A'!$K$6:$K$10000,'GSTR-2A'!$B$6:$B$10000,$C$5:$C$4995,'GSTR-2A'!$A$6:$A$10000,$BG$3)</f>
        <v>0</v>
      </c>
      <c r="BI98" s="487">
        <f>SUMIFS('GSTR-2A'!$L$6:$L$10000,'GSTR-2A'!$B$6:$B$10000,$C$5:$C$4995,'GSTR-2A'!$A$6:$A$10000,$BG$3)</f>
        <v>0</v>
      </c>
      <c r="BJ98" s="487">
        <f>SUMIFS('GSTR-2A'!$M$6:$M$10000,'GSTR-2A'!$B$6:$B$10000,$C$5:$C$4995,'GSTR-2A'!$A$6:$A$10000,$BG$3)</f>
        <v>0</v>
      </c>
      <c r="BK98" s="488">
        <f>SUMIFS('GSTR-2A'!$N$6:$N$10000,'GSTR-2A'!$B$6:$B$10000,$C$5:$C$4995,'GSTR-2A'!$A$6:$A$10000,$BG$3)</f>
        <v>0</v>
      </c>
      <c r="BL98" s="72">
        <f t="shared" si="7"/>
        <v>97344</v>
      </c>
      <c r="BM98" s="72">
        <f t="shared" si="8"/>
        <v>76050</v>
      </c>
      <c r="BN98" s="72">
        <f t="shared" si="9"/>
        <v>0</v>
      </c>
      <c r="BO98" s="72">
        <f t="shared" si="10"/>
        <v>10647</v>
      </c>
      <c r="BP98" s="72">
        <f t="shared" si="11"/>
        <v>10647</v>
      </c>
    </row>
    <row r="99" spans="1:68" x14ac:dyDescent="0.2">
      <c r="A99" s="467">
        <v>96</v>
      </c>
      <c r="B99" s="468" t="s">
        <v>881</v>
      </c>
      <c r="C99" s="469" t="s">
        <v>882</v>
      </c>
      <c r="D99" s="72">
        <f>SUMIFS('GSTR-2A'!$G$6:$G$10000,'GSTR-2A'!$B$6:$B$10000,$C$5:$C$4995,'GSTR-2A'!$A$6:$A$10000,$D$3)</f>
        <v>0</v>
      </c>
      <c r="E99" s="72">
        <f>SUMIFS('GSTR-2A'!$K$6:$K$10000,'GSTR-2A'!$B$6:$B$10000,$C$5:$C$4995,'GSTR-2A'!$A$6:$A$10000,$D$3)</f>
        <v>0</v>
      </c>
      <c r="F99" s="72">
        <f>SUMIFS('GSTR-2A'!$L$6:$L$10000,'GSTR-2A'!$B$6:$B$10000,$C$5:$C$4995,'GSTR-2A'!$A$6:$A$10000,$D$3)</f>
        <v>0</v>
      </c>
      <c r="G99" s="72">
        <f>SUMIFS('GSTR-2A'!$M$6:$M$10000,'GSTR-2A'!$B$6:$B$10000,$C$5:$C$4995,'GSTR-2A'!$A$6:$A$10000,$D$3)</f>
        <v>0</v>
      </c>
      <c r="H99" s="72">
        <f>SUMIFS('GSTR-2A'!$N$6:$N$10000,'GSTR-2A'!$B$6:$B$10000,$C$5:$C$4995,'GSTR-2A'!$A$6:$A$10000,$D$3)</f>
        <v>0</v>
      </c>
      <c r="I99" s="486">
        <f>SUMIFS('GSTR-2A'!$G$6:$G$10000,'GSTR-2A'!$B$6:$B$10000,$C$5:$C$4995,'GSTR-2A'!$A$6:$A$10000,$I$3)</f>
        <v>0</v>
      </c>
      <c r="J99" s="487">
        <f>SUMIFS('GSTR-2A'!$K$6:$K$10000,'GSTR-2A'!$B$6:$B$10000,$C$5:$C$4995,'GSTR-2A'!$A$6:$A$10000,$I$3)</f>
        <v>0</v>
      </c>
      <c r="K99" s="487">
        <f>SUMIFS('GSTR-2A'!$L$6:$L$10000,'GSTR-2A'!$B$6:$B$10000,$C$5:$C$4995,'GSTR-2A'!$A$6:$A$10000,$I$3)</f>
        <v>0</v>
      </c>
      <c r="L99" s="487">
        <f>SUMIFS('GSTR-2A'!$M$6:$M$10000,'GSTR-2A'!$B$6:$B$10000,$C$5:$C$4995,'GSTR-2A'!$A$6:$A$10000,$I$3)</f>
        <v>0</v>
      </c>
      <c r="M99" s="488">
        <f>SUMIFS('GSTR-2A'!$N$6:$N$10000,'GSTR-2A'!$B$6:$B$10000,$C$5:$C$4995,'GSTR-2A'!$A$6:$A$10000,$I$3)</f>
        <v>0</v>
      </c>
      <c r="N99" s="486">
        <f>SUMIFS('GSTR-2A'!$G$6:$G$10000,'GSTR-2A'!$B$6:$B$10000,$C$5:$C$4995,'GSTR-2A'!$A$6:$A$10000,$N$3)</f>
        <v>0</v>
      </c>
      <c r="O99" s="487">
        <f>SUMIFS('GSTR-2A'!$K$6:$K$10000,'GSTR-2A'!$B$6:$B$10000,$C$5:$C$4995,'GSTR-2A'!$A$6:$A$10000,$N$3)</f>
        <v>0</v>
      </c>
      <c r="P99" s="487">
        <f>SUMIFS('GSTR-2A'!$L$6:$L$10000,'GSTR-2A'!$B$6:$B$10000,$C$5:$C$4995,'GSTR-2A'!$A$6:$A$10000,$N$3)</f>
        <v>0</v>
      </c>
      <c r="Q99" s="487">
        <f>SUMIFS('GSTR-2A'!$M$6:$M$10000,'GSTR-2A'!$B$6:$B$10000,$C$5:$C$4995,'GSTR-2A'!$A$6:$A$10000,$N$3)</f>
        <v>0</v>
      </c>
      <c r="R99" s="488">
        <f>SUMIFS('GSTR-2A'!$N$6:$N$10000,'GSTR-2A'!$B$6:$B$10000,$C$5:$C$4995,'GSTR-2A'!$A$6:$A$10000,$N$3)</f>
        <v>0</v>
      </c>
      <c r="S99" s="486">
        <f>SUMIFS('GSTR-2A'!$G$6:$G$10000,'GSTR-2A'!$B$6:$B$10000,$C$5:$C$4995,'GSTR-2A'!$A$6:$A$10000,$S$3)</f>
        <v>0</v>
      </c>
      <c r="T99" s="487">
        <f>SUMIFS('GSTR-2A'!$K$6:$K$10000,'GSTR-2A'!$B$6:$B$10000,$C$5:$C$4995,'GSTR-2A'!$A$6:$A$10000,$S$3)</f>
        <v>0</v>
      </c>
      <c r="U99" s="487">
        <f>SUMIFS('GSTR-2A'!$L$6:$L$10000,'GSTR-2A'!$B$6:$B$10000,$C$5:$C$4995,'GSTR-2A'!$A$6:$A$10000,$S$3)</f>
        <v>0</v>
      </c>
      <c r="V99" s="487">
        <f>SUMIFS('GSTR-2A'!$M$6:$M$10000,'GSTR-2A'!$B$6:$B$10000,$C$5:$C$4995,'GSTR-2A'!$A$6:$A$10000,$S$3)</f>
        <v>0</v>
      </c>
      <c r="W99" s="488">
        <f>SUMIFS('GSTR-2A'!$N$6:$N$10000,'GSTR-2A'!$B$6:$B$10000,$C$5:$C$4995,'GSTR-2A'!$A$6:$A$10000,$S$3)</f>
        <v>0</v>
      </c>
      <c r="X99" s="486">
        <f>SUMIFS('GSTR-2A'!$G$6:$G$10000,'GSTR-2A'!$B$6:$B$10000,$C$5:$C$4995,'GSTR-2A'!$A$6:$A$10000,$X$3)</f>
        <v>0</v>
      </c>
      <c r="Y99" s="487">
        <f>SUMIFS('GSTR-2A'!$K$6:$K$10000,'GSTR-2A'!$B$6:$B$10000,$C$5:$C$4995,'GSTR-2A'!$A$6:$A$10000,$X$3)</f>
        <v>0</v>
      </c>
      <c r="Z99" s="487">
        <f>SUMIFS('GSTR-2A'!$L$6:$L$10000,'GSTR-2A'!$B$6:$B$10000,$C$5:$C$4995,'GSTR-2A'!$A$6:$A$10000,$X$3)</f>
        <v>0</v>
      </c>
      <c r="AA99" s="487">
        <f>SUMIFS('GSTR-2A'!$M$6:$M$10000,'GSTR-2A'!$B$6:$B$10000,$C$5:$C$4995,'GSTR-2A'!$A$6:$A$10000,$X$3)</f>
        <v>0</v>
      </c>
      <c r="AB99" s="488">
        <f>SUMIFS('GSTR-2A'!$N$6:$N$10000,'GSTR-2A'!$B$6:$B$10000,$C$5:$C$4995,'GSTR-2A'!$A$6:$A$10000,$X$3)</f>
        <v>0</v>
      </c>
      <c r="AC99" s="486">
        <f>SUMIFS('GSTR-2A'!$G$6:$G$10000,'GSTR-2A'!$B$6:$B$10000,$C$5:$C$4995,'GSTR-2A'!$A$6:$A$10000,$AC$3)</f>
        <v>17700</v>
      </c>
      <c r="AD99" s="487">
        <f>SUMIFS('GSTR-2A'!$K$6:$K$10000,'GSTR-2A'!$B$6:$B$10000,$C$5:$C$4995,'GSTR-2A'!$A$6:$A$10000,$AC$3)</f>
        <v>15000</v>
      </c>
      <c r="AE99" s="487">
        <f>SUMIFS('GSTR-2A'!$L$6:$L$10000,'GSTR-2A'!$B$6:$B$10000,$C$5:$C$4995,'GSTR-2A'!$A$6:$A$10000,$AC$3)</f>
        <v>0</v>
      </c>
      <c r="AF99" s="487">
        <f>SUMIFS('GSTR-2A'!$M$6:$M$10000,'GSTR-2A'!$B$6:$B$10000,$C$5:$C$4995,'GSTR-2A'!$A$6:$A$10000,$AC$3)</f>
        <v>1350</v>
      </c>
      <c r="AG99" s="488">
        <f>SUMIFS('GSTR-2A'!$N$6:$N$10000,'GSTR-2A'!$B$6:$B$10000,$C$5:$C$4995,'GSTR-2A'!$A$6:$A$10000,$AC$3)</f>
        <v>1350</v>
      </c>
      <c r="AH99" s="486">
        <f>SUMIFS('GSTR-2A'!$G$6:$G$10000,'GSTR-2A'!$B$6:$B$10000,$C$5:$C$4995,'GSTR-2A'!$A$6:$A$10000,$AH$3)</f>
        <v>0</v>
      </c>
      <c r="AI99" s="487">
        <f>SUMIFS('GSTR-2A'!$K$6:$K$10000,'GSTR-2A'!$B$6:$B$10000,$C$5:$C$4995,'GSTR-2A'!$A$6:$A$10000,$AH$3)</f>
        <v>0</v>
      </c>
      <c r="AJ99" s="487">
        <f>SUMIFS('GSTR-2A'!$L$6:$L$10000,'GSTR-2A'!$B$6:$B$10000,$C$5:$C$4995,'GSTR-2A'!$A$6:$A$10000,$AH$3)</f>
        <v>0</v>
      </c>
      <c r="AK99" s="487">
        <f>SUMIFS('GSTR-2A'!$M$6:$M$10000,'GSTR-2A'!$B$6:$B$10000,$C$5:$C$4995,'GSTR-2A'!$A$6:$A$10000,$AH$3)</f>
        <v>0</v>
      </c>
      <c r="AL99" s="488">
        <f>SUMIFS('GSTR-2A'!$N$6:$N$10000,'GSTR-2A'!$B$6:$B$10000,$C$5:$C$4995,'GSTR-2A'!$A$6:$A$10000,$AH$3)</f>
        <v>0</v>
      </c>
      <c r="AM99" s="486">
        <f>SUMIFS('GSTR-2A'!$G$6:$G$10000,'GSTR-2A'!$B$6:$B$10000,$C$5:$C$4995,'GSTR-2A'!$A$6:$A$10000,$AM$3)</f>
        <v>0</v>
      </c>
      <c r="AN99" s="487">
        <f>SUMIFS('GSTR-2A'!$K$6:$K$10000,'GSTR-2A'!$B$6:$B$10000,$C$5:$C$4995,'GSTR-2A'!$A$6:$A$10000,$AM$3)</f>
        <v>0</v>
      </c>
      <c r="AO99" s="487">
        <f>SUMIFS('GSTR-2A'!$L$6:$L$10000,'GSTR-2A'!$B$6:$B$10000,$C$5:$C$4995,'GSTR-2A'!$A$6:$A$10000,$AM$3)</f>
        <v>0</v>
      </c>
      <c r="AP99" s="487">
        <f>SUMIFS('GSTR-2A'!$M$6:$M$10000,'GSTR-2A'!$B$6:$B$10000,$C$5:$C$4995,'GSTR-2A'!$A$6:$A$10000,$AM$3)</f>
        <v>0</v>
      </c>
      <c r="AQ99" s="488">
        <f>SUMIFS('GSTR-2A'!$N$6:$N$10000,'GSTR-2A'!$B$6:$B$10000,$C$5:$C$4995,'GSTR-2A'!$A$6:$A$10000,$AM$3)</f>
        <v>0</v>
      </c>
      <c r="AR99" s="486">
        <f>SUMIFS('GSTR-2A'!$G$6:$G$10000,'GSTR-2A'!$B$6:$B$10000,$C$5:$C$4995,'GSTR-2A'!$A$6:$A$10000,$AR$3)</f>
        <v>0</v>
      </c>
      <c r="AS99" s="487">
        <f>SUMIFS('GSTR-2A'!$K$6:$K$10000,'GSTR-2A'!$B$6:$B$10000,$C$5:$C$4995,'GSTR-2A'!$A$6:$A$10000,$AR$3)</f>
        <v>0</v>
      </c>
      <c r="AT99" s="487">
        <f>SUMIFS('GSTR-2A'!$L$6:$L$10000,'GSTR-2A'!$B$6:$B$10000,$C$5:$C$4995,'GSTR-2A'!$A$6:$A$10000,$AR$3)</f>
        <v>0</v>
      </c>
      <c r="AU99" s="487">
        <f>SUMIFS('GSTR-2A'!$M$6:$M$10000,'GSTR-2A'!$B$6:$B$10000,$C$5:$C$4995,'GSTR-2A'!$A$6:$A$10000,$AR$3)</f>
        <v>0</v>
      </c>
      <c r="AV99" s="488">
        <f>SUMIFS('GSTR-2A'!$N$6:$N$10000,'GSTR-2A'!$B$6:$B$10000,$C$5:$C$4995,'GSTR-2A'!$A$6:$A$10000,$AR$3)</f>
        <v>0</v>
      </c>
      <c r="AW99" s="486">
        <f>SUMIFS('GSTR-2A'!$G$6:$G$10000,'GSTR-2A'!$B$6:$B$10000,$C$5:$C$4995,'GSTR-2A'!$A$6:$A$10000,$AW$3)</f>
        <v>0</v>
      </c>
      <c r="AX99" s="487">
        <f>SUMIFS('GSTR-2A'!$K$6:$K$10000,'GSTR-2A'!$B$6:$B$10000,$C$5:$C$4995,'GSTR-2A'!$A$6:$A$10000,$AW$3)</f>
        <v>0</v>
      </c>
      <c r="AY99" s="487">
        <f>SUMIFS('GSTR-2A'!$L$6:$L$10000,'GSTR-2A'!$B$6:$B$10000,$C$5:$C$4995,'GSTR-2A'!$A$6:$A$10000,$AW$3)</f>
        <v>0</v>
      </c>
      <c r="AZ99" s="487">
        <f>SUMIFS('GSTR-2A'!$M$6:$M$10000,'GSTR-2A'!$B$6:$B$10000,$C$5:$C$4995,'GSTR-2A'!$A$6:$A$10000,$AW$3)</f>
        <v>0</v>
      </c>
      <c r="BA99" s="488">
        <f>SUMIFS('GSTR-2A'!$N$6:$N$10000,'GSTR-2A'!$B$6:$B$10000,$C$5:$C$4995,'GSTR-2A'!$A$6:$A$10000,$AW$3)</f>
        <v>0</v>
      </c>
      <c r="BB99" s="486">
        <f>SUMIFS('GSTR-2A'!$G$6:$G$10000,'GSTR-2A'!$B$6:$B$10000,$C$5:$C$4995,'GSTR-2A'!$A$6:$A$10000,$BB$3)</f>
        <v>0</v>
      </c>
      <c r="BC99" s="487">
        <f>SUMIFS('GSTR-2A'!$K$6:$K$10000,'GSTR-2A'!$B$6:$B$10000,$C$5:$C$4995,'GSTR-2A'!$A$6:$A$10000,$BB$3)</f>
        <v>0</v>
      </c>
      <c r="BD99" s="487">
        <f>SUMIFS('GSTR-2A'!$L$6:$L$10000,'GSTR-2A'!$B$6:$B$10000,$C$5:$C$4995,'GSTR-2A'!$A$6:$A$10000,$BB$3)</f>
        <v>0</v>
      </c>
      <c r="BE99" s="487">
        <f>SUMIFS('GSTR-2A'!$M$6:$M$10000,'GSTR-2A'!$B$6:$B$10000,$C$5:$C$4995,'GSTR-2A'!$A$6:$A$10000,$BB$3)</f>
        <v>0</v>
      </c>
      <c r="BF99" s="488">
        <f>SUMIFS('GSTR-2A'!$N$6:$N$10000,'GSTR-2A'!$B$6:$B$10000,$C$5:$C$4995,'GSTR-2A'!$A$6:$A$10000,$BB$3)</f>
        <v>0</v>
      </c>
      <c r="BG99" s="486">
        <f>SUMIFS('GSTR-2A'!$G$6:$G$10000,'GSTR-2A'!$B$6:$B$10000,$C$5:$C$4995,'GSTR-2A'!$A$6:$A$10000,$BG$3)</f>
        <v>0</v>
      </c>
      <c r="BH99" s="487">
        <f>SUMIFS('GSTR-2A'!$K$6:$K$10000,'GSTR-2A'!$B$6:$B$10000,$C$5:$C$4995,'GSTR-2A'!$A$6:$A$10000,$BG$3)</f>
        <v>0</v>
      </c>
      <c r="BI99" s="487">
        <f>SUMIFS('GSTR-2A'!$L$6:$L$10000,'GSTR-2A'!$B$6:$B$10000,$C$5:$C$4995,'GSTR-2A'!$A$6:$A$10000,$BG$3)</f>
        <v>0</v>
      </c>
      <c r="BJ99" s="487">
        <f>SUMIFS('GSTR-2A'!$M$6:$M$10000,'GSTR-2A'!$B$6:$B$10000,$C$5:$C$4995,'GSTR-2A'!$A$6:$A$10000,$BG$3)</f>
        <v>0</v>
      </c>
      <c r="BK99" s="488">
        <f>SUMIFS('GSTR-2A'!$N$6:$N$10000,'GSTR-2A'!$B$6:$B$10000,$C$5:$C$4995,'GSTR-2A'!$A$6:$A$10000,$BG$3)</f>
        <v>0</v>
      </c>
      <c r="BL99" s="72">
        <f t="shared" si="7"/>
        <v>17700</v>
      </c>
      <c r="BM99" s="72">
        <f t="shared" si="8"/>
        <v>15000</v>
      </c>
      <c r="BN99" s="72">
        <f t="shared" si="9"/>
        <v>0</v>
      </c>
      <c r="BO99" s="72">
        <f t="shared" si="10"/>
        <v>1350</v>
      </c>
      <c r="BP99" s="72">
        <f t="shared" si="11"/>
        <v>1350</v>
      </c>
    </row>
    <row r="100" spans="1:68" x14ac:dyDescent="0.2">
      <c r="A100" s="467">
        <v>97</v>
      </c>
      <c r="B100" s="475" t="s">
        <v>1144</v>
      </c>
      <c r="C100" s="469" t="s">
        <v>1145</v>
      </c>
      <c r="D100" s="72">
        <f>SUMIFS('GSTR-2A'!$G$6:$G$10000,'GSTR-2A'!$B$6:$B$10000,$C$5:$C$4995,'GSTR-2A'!$A$6:$A$10000,$D$3)</f>
        <v>0</v>
      </c>
      <c r="E100" s="72">
        <f>SUMIFS('GSTR-2A'!$K$6:$K$10000,'GSTR-2A'!$B$6:$B$10000,$C$5:$C$4995,'GSTR-2A'!$A$6:$A$10000,$D$3)</f>
        <v>0</v>
      </c>
      <c r="F100" s="72">
        <f>SUMIFS('GSTR-2A'!$L$6:$L$10000,'GSTR-2A'!$B$6:$B$10000,$C$5:$C$4995,'GSTR-2A'!$A$6:$A$10000,$D$3)</f>
        <v>0</v>
      </c>
      <c r="G100" s="72">
        <f>SUMIFS('GSTR-2A'!$M$6:$M$10000,'GSTR-2A'!$B$6:$B$10000,$C$5:$C$4995,'GSTR-2A'!$A$6:$A$10000,$D$3)</f>
        <v>0</v>
      </c>
      <c r="H100" s="72">
        <f>SUMIFS('GSTR-2A'!$N$6:$N$10000,'GSTR-2A'!$B$6:$B$10000,$C$5:$C$4995,'GSTR-2A'!$A$6:$A$10000,$D$3)</f>
        <v>0</v>
      </c>
      <c r="I100" s="486">
        <f>SUMIFS('GSTR-2A'!$G$6:$G$10000,'GSTR-2A'!$B$6:$B$10000,$C$5:$C$4995,'GSTR-2A'!$A$6:$A$10000,$I$3)</f>
        <v>0</v>
      </c>
      <c r="J100" s="487">
        <f>SUMIFS('GSTR-2A'!$K$6:$K$10000,'GSTR-2A'!$B$6:$B$10000,$C$5:$C$4995,'GSTR-2A'!$A$6:$A$10000,$I$3)</f>
        <v>0</v>
      </c>
      <c r="K100" s="487">
        <f>SUMIFS('GSTR-2A'!$L$6:$L$10000,'GSTR-2A'!$B$6:$B$10000,$C$5:$C$4995,'GSTR-2A'!$A$6:$A$10000,$I$3)</f>
        <v>0</v>
      </c>
      <c r="L100" s="487">
        <f>SUMIFS('GSTR-2A'!$M$6:$M$10000,'GSTR-2A'!$B$6:$B$10000,$C$5:$C$4995,'GSTR-2A'!$A$6:$A$10000,$I$3)</f>
        <v>0</v>
      </c>
      <c r="M100" s="488">
        <f>SUMIFS('GSTR-2A'!$N$6:$N$10000,'GSTR-2A'!$B$6:$B$10000,$C$5:$C$4995,'GSTR-2A'!$A$6:$A$10000,$I$3)</f>
        <v>0</v>
      </c>
      <c r="N100" s="486">
        <f>SUMIFS('GSTR-2A'!$G$6:$G$10000,'GSTR-2A'!$B$6:$B$10000,$C$5:$C$4995,'GSTR-2A'!$A$6:$A$10000,$N$3)</f>
        <v>0</v>
      </c>
      <c r="O100" s="487">
        <f>SUMIFS('GSTR-2A'!$K$6:$K$10000,'GSTR-2A'!$B$6:$B$10000,$C$5:$C$4995,'GSTR-2A'!$A$6:$A$10000,$N$3)</f>
        <v>0</v>
      </c>
      <c r="P100" s="487">
        <f>SUMIFS('GSTR-2A'!$L$6:$L$10000,'GSTR-2A'!$B$6:$B$10000,$C$5:$C$4995,'GSTR-2A'!$A$6:$A$10000,$N$3)</f>
        <v>0</v>
      </c>
      <c r="Q100" s="487">
        <f>SUMIFS('GSTR-2A'!$M$6:$M$10000,'GSTR-2A'!$B$6:$B$10000,$C$5:$C$4995,'GSTR-2A'!$A$6:$A$10000,$N$3)</f>
        <v>0</v>
      </c>
      <c r="R100" s="488">
        <f>SUMIFS('GSTR-2A'!$N$6:$N$10000,'GSTR-2A'!$B$6:$B$10000,$C$5:$C$4995,'GSTR-2A'!$A$6:$A$10000,$N$3)</f>
        <v>0</v>
      </c>
      <c r="S100" s="486">
        <f>SUMIFS('GSTR-2A'!$G$6:$G$10000,'GSTR-2A'!$B$6:$B$10000,$C$5:$C$4995,'GSTR-2A'!$A$6:$A$10000,$S$3)</f>
        <v>0</v>
      </c>
      <c r="T100" s="487">
        <f>SUMIFS('GSTR-2A'!$K$6:$K$10000,'GSTR-2A'!$B$6:$B$10000,$C$5:$C$4995,'GSTR-2A'!$A$6:$A$10000,$S$3)</f>
        <v>0</v>
      </c>
      <c r="U100" s="487">
        <f>SUMIFS('GSTR-2A'!$L$6:$L$10000,'GSTR-2A'!$B$6:$B$10000,$C$5:$C$4995,'GSTR-2A'!$A$6:$A$10000,$S$3)</f>
        <v>0</v>
      </c>
      <c r="V100" s="487">
        <f>SUMIFS('GSTR-2A'!$M$6:$M$10000,'GSTR-2A'!$B$6:$B$10000,$C$5:$C$4995,'GSTR-2A'!$A$6:$A$10000,$S$3)</f>
        <v>0</v>
      </c>
      <c r="W100" s="488">
        <f>SUMIFS('GSTR-2A'!$N$6:$N$10000,'GSTR-2A'!$B$6:$B$10000,$C$5:$C$4995,'GSTR-2A'!$A$6:$A$10000,$S$3)</f>
        <v>0</v>
      </c>
      <c r="X100" s="486">
        <f>SUMIFS('GSTR-2A'!$G$6:$G$10000,'GSTR-2A'!$B$6:$B$10000,$C$5:$C$4995,'GSTR-2A'!$A$6:$A$10000,$X$3)</f>
        <v>0</v>
      </c>
      <c r="Y100" s="487">
        <f>SUMIFS('GSTR-2A'!$K$6:$K$10000,'GSTR-2A'!$B$6:$B$10000,$C$5:$C$4995,'GSTR-2A'!$A$6:$A$10000,$X$3)</f>
        <v>0</v>
      </c>
      <c r="Z100" s="487">
        <f>SUMIFS('GSTR-2A'!$L$6:$L$10000,'GSTR-2A'!$B$6:$B$10000,$C$5:$C$4995,'GSTR-2A'!$A$6:$A$10000,$X$3)</f>
        <v>0</v>
      </c>
      <c r="AA100" s="487">
        <f>SUMIFS('GSTR-2A'!$M$6:$M$10000,'GSTR-2A'!$B$6:$B$10000,$C$5:$C$4995,'GSTR-2A'!$A$6:$A$10000,$X$3)</f>
        <v>0</v>
      </c>
      <c r="AB100" s="488">
        <f>SUMIFS('GSTR-2A'!$N$6:$N$10000,'GSTR-2A'!$B$6:$B$10000,$C$5:$C$4995,'GSTR-2A'!$A$6:$A$10000,$X$3)</f>
        <v>0</v>
      </c>
      <c r="AC100" s="486">
        <f>SUMIFS('GSTR-2A'!$G$6:$G$10000,'GSTR-2A'!$B$6:$B$10000,$C$5:$C$4995,'GSTR-2A'!$A$6:$A$10000,$AC$3)</f>
        <v>0</v>
      </c>
      <c r="AD100" s="487">
        <f>SUMIFS('GSTR-2A'!$K$6:$K$10000,'GSTR-2A'!$B$6:$B$10000,$C$5:$C$4995,'GSTR-2A'!$A$6:$A$10000,$AC$3)</f>
        <v>0</v>
      </c>
      <c r="AE100" s="487">
        <f>SUMIFS('GSTR-2A'!$L$6:$L$10000,'GSTR-2A'!$B$6:$B$10000,$C$5:$C$4995,'GSTR-2A'!$A$6:$A$10000,$AC$3)</f>
        <v>0</v>
      </c>
      <c r="AF100" s="487">
        <f>SUMIFS('GSTR-2A'!$M$6:$M$10000,'GSTR-2A'!$B$6:$B$10000,$C$5:$C$4995,'GSTR-2A'!$A$6:$A$10000,$AC$3)</f>
        <v>0</v>
      </c>
      <c r="AG100" s="488">
        <f>SUMIFS('GSTR-2A'!$N$6:$N$10000,'GSTR-2A'!$B$6:$B$10000,$C$5:$C$4995,'GSTR-2A'!$A$6:$A$10000,$AC$3)</f>
        <v>0</v>
      </c>
      <c r="AH100" s="486">
        <f>SUMIFS('GSTR-2A'!$G$6:$G$10000,'GSTR-2A'!$B$6:$B$10000,$C$5:$C$4995,'GSTR-2A'!$A$6:$A$10000,$AH$3)</f>
        <v>0</v>
      </c>
      <c r="AI100" s="487">
        <f>SUMIFS('GSTR-2A'!$K$6:$K$10000,'GSTR-2A'!$B$6:$B$10000,$C$5:$C$4995,'GSTR-2A'!$A$6:$A$10000,$AH$3)</f>
        <v>0</v>
      </c>
      <c r="AJ100" s="487">
        <f>SUMIFS('GSTR-2A'!$L$6:$L$10000,'GSTR-2A'!$B$6:$B$10000,$C$5:$C$4995,'GSTR-2A'!$A$6:$A$10000,$AH$3)</f>
        <v>0</v>
      </c>
      <c r="AK100" s="487">
        <f>SUMIFS('GSTR-2A'!$M$6:$M$10000,'GSTR-2A'!$B$6:$B$10000,$C$5:$C$4995,'GSTR-2A'!$A$6:$A$10000,$AH$3)</f>
        <v>0</v>
      </c>
      <c r="AL100" s="488">
        <f>SUMIFS('GSTR-2A'!$N$6:$N$10000,'GSTR-2A'!$B$6:$B$10000,$C$5:$C$4995,'GSTR-2A'!$A$6:$A$10000,$AH$3)</f>
        <v>0</v>
      </c>
      <c r="AM100" s="486">
        <f>SUMIFS('GSTR-2A'!$G$6:$G$10000,'GSTR-2A'!$B$6:$B$10000,$C$5:$C$4995,'GSTR-2A'!$A$6:$A$10000,$AM$3)</f>
        <v>0</v>
      </c>
      <c r="AN100" s="487">
        <f>SUMIFS('GSTR-2A'!$K$6:$K$10000,'GSTR-2A'!$B$6:$B$10000,$C$5:$C$4995,'GSTR-2A'!$A$6:$A$10000,$AM$3)</f>
        <v>0</v>
      </c>
      <c r="AO100" s="487">
        <f>SUMIFS('GSTR-2A'!$L$6:$L$10000,'GSTR-2A'!$B$6:$B$10000,$C$5:$C$4995,'GSTR-2A'!$A$6:$A$10000,$AM$3)</f>
        <v>0</v>
      </c>
      <c r="AP100" s="487">
        <f>SUMIFS('GSTR-2A'!$M$6:$M$10000,'GSTR-2A'!$B$6:$B$10000,$C$5:$C$4995,'GSTR-2A'!$A$6:$A$10000,$AM$3)</f>
        <v>0</v>
      </c>
      <c r="AQ100" s="488">
        <f>SUMIFS('GSTR-2A'!$N$6:$N$10000,'GSTR-2A'!$B$6:$B$10000,$C$5:$C$4995,'GSTR-2A'!$A$6:$A$10000,$AM$3)</f>
        <v>0</v>
      </c>
      <c r="AR100" s="486">
        <f>SUMIFS('GSTR-2A'!$G$6:$G$10000,'GSTR-2A'!$B$6:$B$10000,$C$5:$C$4995,'GSTR-2A'!$A$6:$A$10000,$AR$3)</f>
        <v>0</v>
      </c>
      <c r="AS100" s="487">
        <f>SUMIFS('GSTR-2A'!$K$6:$K$10000,'GSTR-2A'!$B$6:$B$10000,$C$5:$C$4995,'GSTR-2A'!$A$6:$A$10000,$AR$3)</f>
        <v>0</v>
      </c>
      <c r="AT100" s="487">
        <f>SUMIFS('GSTR-2A'!$L$6:$L$10000,'GSTR-2A'!$B$6:$B$10000,$C$5:$C$4995,'GSTR-2A'!$A$6:$A$10000,$AR$3)</f>
        <v>0</v>
      </c>
      <c r="AU100" s="487">
        <f>SUMIFS('GSTR-2A'!$M$6:$M$10000,'GSTR-2A'!$B$6:$B$10000,$C$5:$C$4995,'GSTR-2A'!$A$6:$A$10000,$AR$3)</f>
        <v>0</v>
      </c>
      <c r="AV100" s="488">
        <f>SUMIFS('GSTR-2A'!$N$6:$N$10000,'GSTR-2A'!$B$6:$B$10000,$C$5:$C$4995,'GSTR-2A'!$A$6:$A$10000,$AR$3)</f>
        <v>0</v>
      </c>
      <c r="AW100" s="486">
        <f>SUMIFS('GSTR-2A'!$G$6:$G$10000,'GSTR-2A'!$B$6:$B$10000,$C$5:$C$4995,'GSTR-2A'!$A$6:$A$10000,$AW$3)</f>
        <v>0</v>
      </c>
      <c r="AX100" s="487">
        <f>SUMIFS('GSTR-2A'!$K$6:$K$10000,'GSTR-2A'!$B$6:$B$10000,$C$5:$C$4995,'GSTR-2A'!$A$6:$A$10000,$AW$3)</f>
        <v>0</v>
      </c>
      <c r="AY100" s="487">
        <f>SUMIFS('GSTR-2A'!$L$6:$L$10000,'GSTR-2A'!$B$6:$B$10000,$C$5:$C$4995,'GSTR-2A'!$A$6:$A$10000,$AW$3)</f>
        <v>0</v>
      </c>
      <c r="AZ100" s="487">
        <f>SUMIFS('GSTR-2A'!$M$6:$M$10000,'GSTR-2A'!$B$6:$B$10000,$C$5:$C$4995,'GSTR-2A'!$A$6:$A$10000,$AW$3)</f>
        <v>0</v>
      </c>
      <c r="BA100" s="488">
        <f>SUMIFS('GSTR-2A'!$N$6:$N$10000,'GSTR-2A'!$B$6:$B$10000,$C$5:$C$4995,'GSTR-2A'!$A$6:$A$10000,$AW$3)</f>
        <v>0</v>
      </c>
      <c r="BB100" s="486">
        <f>SUMIFS('GSTR-2A'!$G$6:$G$10000,'GSTR-2A'!$B$6:$B$10000,$C$5:$C$4995,'GSTR-2A'!$A$6:$A$10000,$BB$3)</f>
        <v>0</v>
      </c>
      <c r="BC100" s="487">
        <f>SUMIFS('GSTR-2A'!$K$6:$K$10000,'GSTR-2A'!$B$6:$B$10000,$C$5:$C$4995,'GSTR-2A'!$A$6:$A$10000,$BB$3)</f>
        <v>0</v>
      </c>
      <c r="BD100" s="487">
        <f>SUMIFS('GSTR-2A'!$L$6:$L$10000,'GSTR-2A'!$B$6:$B$10000,$C$5:$C$4995,'GSTR-2A'!$A$6:$A$10000,$BB$3)</f>
        <v>0</v>
      </c>
      <c r="BE100" s="487">
        <f>SUMIFS('GSTR-2A'!$M$6:$M$10000,'GSTR-2A'!$B$6:$B$10000,$C$5:$C$4995,'GSTR-2A'!$A$6:$A$10000,$BB$3)</f>
        <v>0</v>
      </c>
      <c r="BF100" s="488">
        <f>SUMIFS('GSTR-2A'!$N$6:$N$10000,'GSTR-2A'!$B$6:$B$10000,$C$5:$C$4995,'GSTR-2A'!$A$6:$A$10000,$BB$3)</f>
        <v>0</v>
      </c>
      <c r="BG100" s="486">
        <f>SUMIFS('GSTR-2A'!$G$6:$G$10000,'GSTR-2A'!$B$6:$B$10000,$C$5:$C$4995,'GSTR-2A'!$A$6:$A$10000,$BG$3)</f>
        <v>0</v>
      </c>
      <c r="BH100" s="487">
        <f>SUMIFS('GSTR-2A'!$K$6:$K$10000,'GSTR-2A'!$B$6:$B$10000,$C$5:$C$4995,'GSTR-2A'!$A$6:$A$10000,$BG$3)</f>
        <v>0</v>
      </c>
      <c r="BI100" s="487">
        <f>SUMIFS('GSTR-2A'!$L$6:$L$10000,'GSTR-2A'!$B$6:$B$10000,$C$5:$C$4995,'GSTR-2A'!$A$6:$A$10000,$BG$3)</f>
        <v>0</v>
      </c>
      <c r="BJ100" s="487">
        <f>SUMIFS('GSTR-2A'!$M$6:$M$10000,'GSTR-2A'!$B$6:$B$10000,$C$5:$C$4995,'GSTR-2A'!$A$6:$A$10000,$BG$3)</f>
        <v>0</v>
      </c>
      <c r="BK100" s="488">
        <f>SUMIFS('GSTR-2A'!$N$6:$N$10000,'GSTR-2A'!$B$6:$B$10000,$C$5:$C$4995,'GSTR-2A'!$A$6:$A$10000,$BG$3)</f>
        <v>0</v>
      </c>
      <c r="BL100" s="72">
        <f t="shared" si="7"/>
        <v>0</v>
      </c>
      <c r="BM100" s="72">
        <f t="shared" si="8"/>
        <v>0</v>
      </c>
      <c r="BN100" s="72">
        <f t="shared" si="9"/>
        <v>0</v>
      </c>
      <c r="BO100" s="72">
        <f t="shared" si="10"/>
        <v>0</v>
      </c>
      <c r="BP100" s="72">
        <f t="shared" si="11"/>
        <v>0</v>
      </c>
    </row>
    <row r="101" spans="1:68" x14ac:dyDescent="0.2">
      <c r="A101" s="467">
        <v>98</v>
      </c>
      <c r="B101" s="468" t="s">
        <v>1146</v>
      </c>
      <c r="C101" s="469" t="s">
        <v>1147</v>
      </c>
      <c r="D101" s="72">
        <f>SUMIFS('GSTR-2A'!$G$6:$G$10000,'GSTR-2A'!$B$6:$B$10000,$C$5:$C$4995,'GSTR-2A'!$A$6:$A$10000,$D$3)</f>
        <v>0</v>
      </c>
      <c r="E101" s="72">
        <f>SUMIFS('GSTR-2A'!$K$6:$K$10000,'GSTR-2A'!$B$6:$B$10000,$C$5:$C$4995,'GSTR-2A'!$A$6:$A$10000,$D$3)</f>
        <v>0</v>
      </c>
      <c r="F101" s="72">
        <f>SUMIFS('GSTR-2A'!$L$6:$L$10000,'GSTR-2A'!$B$6:$B$10000,$C$5:$C$4995,'GSTR-2A'!$A$6:$A$10000,$D$3)</f>
        <v>0</v>
      </c>
      <c r="G101" s="72">
        <f>SUMIFS('GSTR-2A'!$M$6:$M$10000,'GSTR-2A'!$B$6:$B$10000,$C$5:$C$4995,'GSTR-2A'!$A$6:$A$10000,$D$3)</f>
        <v>0</v>
      </c>
      <c r="H101" s="72">
        <f>SUMIFS('GSTR-2A'!$N$6:$N$10000,'GSTR-2A'!$B$6:$B$10000,$C$5:$C$4995,'GSTR-2A'!$A$6:$A$10000,$D$3)</f>
        <v>0</v>
      </c>
      <c r="I101" s="486">
        <f>SUMIFS('GSTR-2A'!$G$6:$G$10000,'GSTR-2A'!$B$6:$B$10000,$C$5:$C$4995,'GSTR-2A'!$A$6:$A$10000,$I$3)</f>
        <v>0</v>
      </c>
      <c r="J101" s="487">
        <f>SUMIFS('GSTR-2A'!$K$6:$K$10000,'GSTR-2A'!$B$6:$B$10000,$C$5:$C$4995,'GSTR-2A'!$A$6:$A$10000,$I$3)</f>
        <v>0</v>
      </c>
      <c r="K101" s="487">
        <f>SUMIFS('GSTR-2A'!$L$6:$L$10000,'GSTR-2A'!$B$6:$B$10000,$C$5:$C$4995,'GSTR-2A'!$A$6:$A$10000,$I$3)</f>
        <v>0</v>
      </c>
      <c r="L101" s="487">
        <f>SUMIFS('GSTR-2A'!$M$6:$M$10000,'GSTR-2A'!$B$6:$B$10000,$C$5:$C$4995,'GSTR-2A'!$A$6:$A$10000,$I$3)</f>
        <v>0</v>
      </c>
      <c r="M101" s="488">
        <f>SUMIFS('GSTR-2A'!$N$6:$N$10000,'GSTR-2A'!$B$6:$B$10000,$C$5:$C$4995,'GSTR-2A'!$A$6:$A$10000,$I$3)</f>
        <v>0</v>
      </c>
      <c r="N101" s="486">
        <f>SUMIFS('GSTR-2A'!$G$6:$G$10000,'GSTR-2A'!$B$6:$B$10000,$C$5:$C$4995,'GSTR-2A'!$A$6:$A$10000,$N$3)</f>
        <v>0</v>
      </c>
      <c r="O101" s="487">
        <f>SUMIFS('GSTR-2A'!$K$6:$K$10000,'GSTR-2A'!$B$6:$B$10000,$C$5:$C$4995,'GSTR-2A'!$A$6:$A$10000,$N$3)</f>
        <v>0</v>
      </c>
      <c r="P101" s="487">
        <f>SUMIFS('GSTR-2A'!$L$6:$L$10000,'GSTR-2A'!$B$6:$B$10000,$C$5:$C$4995,'GSTR-2A'!$A$6:$A$10000,$N$3)</f>
        <v>0</v>
      </c>
      <c r="Q101" s="487">
        <f>SUMIFS('GSTR-2A'!$M$6:$M$10000,'GSTR-2A'!$B$6:$B$10000,$C$5:$C$4995,'GSTR-2A'!$A$6:$A$10000,$N$3)</f>
        <v>0</v>
      </c>
      <c r="R101" s="488">
        <f>SUMIFS('GSTR-2A'!$N$6:$N$10000,'GSTR-2A'!$B$6:$B$10000,$C$5:$C$4995,'GSTR-2A'!$A$6:$A$10000,$N$3)</f>
        <v>0</v>
      </c>
      <c r="S101" s="486">
        <f>SUMIFS('GSTR-2A'!$G$6:$G$10000,'GSTR-2A'!$B$6:$B$10000,$C$5:$C$4995,'GSTR-2A'!$A$6:$A$10000,$S$3)</f>
        <v>0</v>
      </c>
      <c r="T101" s="487">
        <f>SUMIFS('GSTR-2A'!$K$6:$K$10000,'GSTR-2A'!$B$6:$B$10000,$C$5:$C$4995,'GSTR-2A'!$A$6:$A$10000,$S$3)</f>
        <v>0</v>
      </c>
      <c r="U101" s="487">
        <f>SUMIFS('GSTR-2A'!$L$6:$L$10000,'GSTR-2A'!$B$6:$B$10000,$C$5:$C$4995,'GSTR-2A'!$A$6:$A$10000,$S$3)</f>
        <v>0</v>
      </c>
      <c r="V101" s="487">
        <f>SUMIFS('GSTR-2A'!$M$6:$M$10000,'GSTR-2A'!$B$6:$B$10000,$C$5:$C$4995,'GSTR-2A'!$A$6:$A$10000,$S$3)</f>
        <v>0</v>
      </c>
      <c r="W101" s="488">
        <f>SUMIFS('GSTR-2A'!$N$6:$N$10000,'GSTR-2A'!$B$6:$B$10000,$C$5:$C$4995,'GSTR-2A'!$A$6:$A$10000,$S$3)</f>
        <v>0</v>
      </c>
      <c r="X101" s="486">
        <f>SUMIFS('GSTR-2A'!$G$6:$G$10000,'GSTR-2A'!$B$6:$B$10000,$C$5:$C$4995,'GSTR-2A'!$A$6:$A$10000,$X$3)</f>
        <v>0</v>
      </c>
      <c r="Y101" s="487">
        <f>SUMIFS('GSTR-2A'!$K$6:$K$10000,'GSTR-2A'!$B$6:$B$10000,$C$5:$C$4995,'GSTR-2A'!$A$6:$A$10000,$X$3)</f>
        <v>0</v>
      </c>
      <c r="Z101" s="487">
        <f>SUMIFS('GSTR-2A'!$L$6:$L$10000,'GSTR-2A'!$B$6:$B$10000,$C$5:$C$4995,'GSTR-2A'!$A$6:$A$10000,$X$3)</f>
        <v>0</v>
      </c>
      <c r="AA101" s="487">
        <f>SUMIFS('GSTR-2A'!$M$6:$M$10000,'GSTR-2A'!$B$6:$B$10000,$C$5:$C$4995,'GSTR-2A'!$A$6:$A$10000,$X$3)</f>
        <v>0</v>
      </c>
      <c r="AB101" s="488">
        <f>SUMIFS('GSTR-2A'!$N$6:$N$10000,'GSTR-2A'!$B$6:$B$10000,$C$5:$C$4995,'GSTR-2A'!$A$6:$A$10000,$X$3)</f>
        <v>0</v>
      </c>
      <c r="AC101" s="486">
        <f>SUMIFS('GSTR-2A'!$G$6:$G$10000,'GSTR-2A'!$B$6:$B$10000,$C$5:$C$4995,'GSTR-2A'!$A$6:$A$10000,$AC$3)</f>
        <v>0</v>
      </c>
      <c r="AD101" s="487">
        <f>SUMIFS('GSTR-2A'!$K$6:$K$10000,'GSTR-2A'!$B$6:$B$10000,$C$5:$C$4995,'GSTR-2A'!$A$6:$A$10000,$AC$3)</f>
        <v>0</v>
      </c>
      <c r="AE101" s="487">
        <f>SUMIFS('GSTR-2A'!$L$6:$L$10000,'GSTR-2A'!$B$6:$B$10000,$C$5:$C$4995,'GSTR-2A'!$A$6:$A$10000,$AC$3)</f>
        <v>0</v>
      </c>
      <c r="AF101" s="487">
        <f>SUMIFS('GSTR-2A'!$M$6:$M$10000,'GSTR-2A'!$B$6:$B$10000,$C$5:$C$4995,'GSTR-2A'!$A$6:$A$10000,$AC$3)</f>
        <v>0</v>
      </c>
      <c r="AG101" s="488">
        <f>SUMIFS('GSTR-2A'!$N$6:$N$10000,'GSTR-2A'!$B$6:$B$10000,$C$5:$C$4995,'GSTR-2A'!$A$6:$A$10000,$AC$3)</f>
        <v>0</v>
      </c>
      <c r="AH101" s="486">
        <f>SUMIFS('GSTR-2A'!$G$6:$G$10000,'GSTR-2A'!$B$6:$B$10000,$C$5:$C$4995,'GSTR-2A'!$A$6:$A$10000,$AH$3)</f>
        <v>0</v>
      </c>
      <c r="AI101" s="487">
        <f>SUMIFS('GSTR-2A'!$K$6:$K$10000,'GSTR-2A'!$B$6:$B$10000,$C$5:$C$4995,'GSTR-2A'!$A$6:$A$10000,$AH$3)</f>
        <v>0</v>
      </c>
      <c r="AJ101" s="487">
        <f>SUMIFS('GSTR-2A'!$L$6:$L$10000,'GSTR-2A'!$B$6:$B$10000,$C$5:$C$4995,'GSTR-2A'!$A$6:$A$10000,$AH$3)</f>
        <v>0</v>
      </c>
      <c r="AK101" s="487">
        <f>SUMIFS('GSTR-2A'!$M$6:$M$10000,'GSTR-2A'!$B$6:$B$10000,$C$5:$C$4995,'GSTR-2A'!$A$6:$A$10000,$AH$3)</f>
        <v>0</v>
      </c>
      <c r="AL101" s="488">
        <f>SUMIFS('GSTR-2A'!$N$6:$N$10000,'GSTR-2A'!$B$6:$B$10000,$C$5:$C$4995,'GSTR-2A'!$A$6:$A$10000,$AH$3)</f>
        <v>0</v>
      </c>
      <c r="AM101" s="486">
        <f>SUMIFS('GSTR-2A'!$G$6:$G$10000,'GSTR-2A'!$B$6:$B$10000,$C$5:$C$4995,'GSTR-2A'!$A$6:$A$10000,$AM$3)</f>
        <v>0</v>
      </c>
      <c r="AN101" s="487">
        <f>SUMIFS('GSTR-2A'!$K$6:$K$10000,'GSTR-2A'!$B$6:$B$10000,$C$5:$C$4995,'GSTR-2A'!$A$6:$A$10000,$AM$3)</f>
        <v>0</v>
      </c>
      <c r="AO101" s="487">
        <f>SUMIFS('GSTR-2A'!$L$6:$L$10000,'GSTR-2A'!$B$6:$B$10000,$C$5:$C$4995,'GSTR-2A'!$A$6:$A$10000,$AM$3)</f>
        <v>0</v>
      </c>
      <c r="AP101" s="487">
        <f>SUMIFS('GSTR-2A'!$M$6:$M$10000,'GSTR-2A'!$B$6:$B$10000,$C$5:$C$4995,'GSTR-2A'!$A$6:$A$10000,$AM$3)</f>
        <v>0</v>
      </c>
      <c r="AQ101" s="488">
        <f>SUMIFS('GSTR-2A'!$N$6:$N$10000,'GSTR-2A'!$B$6:$B$10000,$C$5:$C$4995,'GSTR-2A'!$A$6:$A$10000,$AM$3)</f>
        <v>0</v>
      </c>
      <c r="AR101" s="486">
        <f>SUMIFS('GSTR-2A'!$G$6:$G$10000,'GSTR-2A'!$B$6:$B$10000,$C$5:$C$4995,'GSTR-2A'!$A$6:$A$10000,$AR$3)</f>
        <v>0</v>
      </c>
      <c r="AS101" s="487">
        <f>SUMIFS('GSTR-2A'!$K$6:$K$10000,'GSTR-2A'!$B$6:$B$10000,$C$5:$C$4995,'GSTR-2A'!$A$6:$A$10000,$AR$3)</f>
        <v>0</v>
      </c>
      <c r="AT101" s="487">
        <f>SUMIFS('GSTR-2A'!$L$6:$L$10000,'GSTR-2A'!$B$6:$B$10000,$C$5:$C$4995,'GSTR-2A'!$A$6:$A$10000,$AR$3)</f>
        <v>0</v>
      </c>
      <c r="AU101" s="487">
        <f>SUMIFS('GSTR-2A'!$M$6:$M$10000,'GSTR-2A'!$B$6:$B$10000,$C$5:$C$4995,'GSTR-2A'!$A$6:$A$10000,$AR$3)</f>
        <v>0</v>
      </c>
      <c r="AV101" s="488">
        <f>SUMIFS('GSTR-2A'!$N$6:$N$10000,'GSTR-2A'!$B$6:$B$10000,$C$5:$C$4995,'GSTR-2A'!$A$6:$A$10000,$AR$3)</f>
        <v>0</v>
      </c>
      <c r="AW101" s="486">
        <f>SUMIFS('GSTR-2A'!$G$6:$G$10000,'GSTR-2A'!$B$6:$B$10000,$C$5:$C$4995,'GSTR-2A'!$A$6:$A$10000,$AW$3)</f>
        <v>0</v>
      </c>
      <c r="AX101" s="487">
        <f>SUMIFS('GSTR-2A'!$K$6:$K$10000,'GSTR-2A'!$B$6:$B$10000,$C$5:$C$4995,'GSTR-2A'!$A$6:$A$10000,$AW$3)</f>
        <v>0</v>
      </c>
      <c r="AY101" s="487">
        <f>SUMIFS('GSTR-2A'!$L$6:$L$10000,'GSTR-2A'!$B$6:$B$10000,$C$5:$C$4995,'GSTR-2A'!$A$6:$A$10000,$AW$3)</f>
        <v>0</v>
      </c>
      <c r="AZ101" s="487">
        <f>SUMIFS('GSTR-2A'!$M$6:$M$10000,'GSTR-2A'!$B$6:$B$10000,$C$5:$C$4995,'GSTR-2A'!$A$6:$A$10000,$AW$3)</f>
        <v>0</v>
      </c>
      <c r="BA101" s="488">
        <f>SUMIFS('GSTR-2A'!$N$6:$N$10000,'GSTR-2A'!$B$6:$B$10000,$C$5:$C$4995,'GSTR-2A'!$A$6:$A$10000,$AW$3)</f>
        <v>0</v>
      </c>
      <c r="BB101" s="486">
        <f>SUMIFS('GSTR-2A'!$G$6:$G$10000,'GSTR-2A'!$B$6:$B$10000,$C$5:$C$4995,'GSTR-2A'!$A$6:$A$10000,$BB$3)</f>
        <v>0</v>
      </c>
      <c r="BC101" s="487">
        <f>SUMIFS('GSTR-2A'!$K$6:$K$10000,'GSTR-2A'!$B$6:$B$10000,$C$5:$C$4995,'GSTR-2A'!$A$6:$A$10000,$BB$3)</f>
        <v>0</v>
      </c>
      <c r="BD101" s="487">
        <f>SUMIFS('GSTR-2A'!$L$6:$L$10000,'GSTR-2A'!$B$6:$B$10000,$C$5:$C$4995,'GSTR-2A'!$A$6:$A$10000,$BB$3)</f>
        <v>0</v>
      </c>
      <c r="BE101" s="487">
        <f>SUMIFS('GSTR-2A'!$M$6:$M$10000,'GSTR-2A'!$B$6:$B$10000,$C$5:$C$4995,'GSTR-2A'!$A$6:$A$10000,$BB$3)</f>
        <v>0</v>
      </c>
      <c r="BF101" s="488">
        <f>SUMIFS('GSTR-2A'!$N$6:$N$10000,'GSTR-2A'!$B$6:$B$10000,$C$5:$C$4995,'GSTR-2A'!$A$6:$A$10000,$BB$3)</f>
        <v>0</v>
      </c>
      <c r="BG101" s="486">
        <f>SUMIFS('GSTR-2A'!$G$6:$G$10000,'GSTR-2A'!$B$6:$B$10000,$C$5:$C$4995,'GSTR-2A'!$A$6:$A$10000,$BG$3)</f>
        <v>0</v>
      </c>
      <c r="BH101" s="487">
        <f>SUMIFS('GSTR-2A'!$K$6:$K$10000,'GSTR-2A'!$B$6:$B$10000,$C$5:$C$4995,'GSTR-2A'!$A$6:$A$10000,$BG$3)</f>
        <v>0</v>
      </c>
      <c r="BI101" s="487">
        <f>SUMIFS('GSTR-2A'!$L$6:$L$10000,'GSTR-2A'!$B$6:$B$10000,$C$5:$C$4995,'GSTR-2A'!$A$6:$A$10000,$BG$3)</f>
        <v>0</v>
      </c>
      <c r="BJ101" s="487">
        <f>SUMIFS('GSTR-2A'!$M$6:$M$10000,'GSTR-2A'!$B$6:$B$10000,$C$5:$C$4995,'GSTR-2A'!$A$6:$A$10000,$BG$3)</f>
        <v>0</v>
      </c>
      <c r="BK101" s="488">
        <f>SUMIFS('GSTR-2A'!$N$6:$N$10000,'GSTR-2A'!$B$6:$B$10000,$C$5:$C$4995,'GSTR-2A'!$A$6:$A$10000,$BG$3)</f>
        <v>0</v>
      </c>
      <c r="BL101" s="72">
        <f t="shared" si="7"/>
        <v>0</v>
      </c>
      <c r="BM101" s="72">
        <f t="shared" si="8"/>
        <v>0</v>
      </c>
      <c r="BN101" s="72">
        <f t="shared" si="9"/>
        <v>0</v>
      </c>
      <c r="BO101" s="72">
        <f t="shared" si="10"/>
        <v>0</v>
      </c>
      <c r="BP101" s="72">
        <f t="shared" si="11"/>
        <v>0</v>
      </c>
    </row>
    <row r="102" spans="1:68" x14ac:dyDescent="0.2">
      <c r="A102" s="467">
        <v>99</v>
      </c>
      <c r="B102" s="468" t="s">
        <v>1148</v>
      </c>
      <c r="C102" s="469" t="s">
        <v>1149</v>
      </c>
      <c r="D102" s="72">
        <f>SUMIFS('GSTR-2A'!$G$6:$G$10000,'GSTR-2A'!$B$6:$B$10000,$C$5:$C$4995,'GSTR-2A'!$A$6:$A$10000,$D$3)</f>
        <v>0</v>
      </c>
      <c r="E102" s="72">
        <f>SUMIFS('GSTR-2A'!$K$6:$K$10000,'GSTR-2A'!$B$6:$B$10000,$C$5:$C$4995,'GSTR-2A'!$A$6:$A$10000,$D$3)</f>
        <v>0</v>
      </c>
      <c r="F102" s="72">
        <f>SUMIFS('GSTR-2A'!$L$6:$L$10000,'GSTR-2A'!$B$6:$B$10000,$C$5:$C$4995,'GSTR-2A'!$A$6:$A$10000,$D$3)</f>
        <v>0</v>
      </c>
      <c r="G102" s="72">
        <f>SUMIFS('GSTR-2A'!$M$6:$M$10000,'GSTR-2A'!$B$6:$B$10000,$C$5:$C$4995,'GSTR-2A'!$A$6:$A$10000,$D$3)</f>
        <v>0</v>
      </c>
      <c r="H102" s="72">
        <f>SUMIFS('GSTR-2A'!$N$6:$N$10000,'GSTR-2A'!$B$6:$B$10000,$C$5:$C$4995,'GSTR-2A'!$A$6:$A$10000,$D$3)</f>
        <v>0</v>
      </c>
      <c r="I102" s="486">
        <f>SUMIFS('GSTR-2A'!$G$6:$G$10000,'GSTR-2A'!$B$6:$B$10000,$C$5:$C$4995,'GSTR-2A'!$A$6:$A$10000,$I$3)</f>
        <v>0</v>
      </c>
      <c r="J102" s="487">
        <f>SUMIFS('GSTR-2A'!$K$6:$K$10000,'GSTR-2A'!$B$6:$B$10000,$C$5:$C$4995,'GSTR-2A'!$A$6:$A$10000,$I$3)</f>
        <v>0</v>
      </c>
      <c r="K102" s="487">
        <f>SUMIFS('GSTR-2A'!$L$6:$L$10000,'GSTR-2A'!$B$6:$B$10000,$C$5:$C$4995,'GSTR-2A'!$A$6:$A$10000,$I$3)</f>
        <v>0</v>
      </c>
      <c r="L102" s="487">
        <f>SUMIFS('GSTR-2A'!$M$6:$M$10000,'GSTR-2A'!$B$6:$B$10000,$C$5:$C$4995,'GSTR-2A'!$A$6:$A$10000,$I$3)</f>
        <v>0</v>
      </c>
      <c r="M102" s="488">
        <f>SUMIFS('GSTR-2A'!$N$6:$N$10000,'GSTR-2A'!$B$6:$B$10000,$C$5:$C$4995,'GSTR-2A'!$A$6:$A$10000,$I$3)</f>
        <v>0</v>
      </c>
      <c r="N102" s="486">
        <f>SUMIFS('GSTR-2A'!$G$6:$G$10000,'GSTR-2A'!$B$6:$B$10000,$C$5:$C$4995,'GSTR-2A'!$A$6:$A$10000,$N$3)</f>
        <v>0</v>
      </c>
      <c r="O102" s="487">
        <f>SUMIFS('GSTR-2A'!$K$6:$K$10000,'GSTR-2A'!$B$6:$B$10000,$C$5:$C$4995,'GSTR-2A'!$A$6:$A$10000,$N$3)</f>
        <v>0</v>
      </c>
      <c r="P102" s="487">
        <f>SUMIFS('GSTR-2A'!$L$6:$L$10000,'GSTR-2A'!$B$6:$B$10000,$C$5:$C$4995,'GSTR-2A'!$A$6:$A$10000,$N$3)</f>
        <v>0</v>
      </c>
      <c r="Q102" s="487">
        <f>SUMIFS('GSTR-2A'!$M$6:$M$10000,'GSTR-2A'!$B$6:$B$10000,$C$5:$C$4995,'GSTR-2A'!$A$6:$A$10000,$N$3)</f>
        <v>0</v>
      </c>
      <c r="R102" s="488">
        <f>SUMIFS('GSTR-2A'!$N$6:$N$10000,'GSTR-2A'!$B$6:$B$10000,$C$5:$C$4995,'GSTR-2A'!$A$6:$A$10000,$N$3)</f>
        <v>0</v>
      </c>
      <c r="S102" s="486">
        <f>SUMIFS('GSTR-2A'!$G$6:$G$10000,'GSTR-2A'!$B$6:$B$10000,$C$5:$C$4995,'GSTR-2A'!$A$6:$A$10000,$S$3)</f>
        <v>0</v>
      </c>
      <c r="T102" s="487">
        <f>SUMIFS('GSTR-2A'!$K$6:$K$10000,'GSTR-2A'!$B$6:$B$10000,$C$5:$C$4995,'GSTR-2A'!$A$6:$A$10000,$S$3)</f>
        <v>0</v>
      </c>
      <c r="U102" s="487">
        <f>SUMIFS('GSTR-2A'!$L$6:$L$10000,'GSTR-2A'!$B$6:$B$10000,$C$5:$C$4995,'GSTR-2A'!$A$6:$A$10000,$S$3)</f>
        <v>0</v>
      </c>
      <c r="V102" s="487">
        <f>SUMIFS('GSTR-2A'!$M$6:$M$10000,'GSTR-2A'!$B$6:$B$10000,$C$5:$C$4995,'GSTR-2A'!$A$6:$A$10000,$S$3)</f>
        <v>0</v>
      </c>
      <c r="W102" s="488">
        <f>SUMIFS('GSTR-2A'!$N$6:$N$10000,'GSTR-2A'!$B$6:$B$10000,$C$5:$C$4995,'GSTR-2A'!$A$6:$A$10000,$S$3)</f>
        <v>0</v>
      </c>
      <c r="X102" s="486">
        <f>SUMIFS('GSTR-2A'!$G$6:$G$10000,'GSTR-2A'!$B$6:$B$10000,$C$5:$C$4995,'GSTR-2A'!$A$6:$A$10000,$X$3)</f>
        <v>0</v>
      </c>
      <c r="Y102" s="487">
        <f>SUMIFS('GSTR-2A'!$K$6:$K$10000,'GSTR-2A'!$B$6:$B$10000,$C$5:$C$4995,'GSTR-2A'!$A$6:$A$10000,$X$3)</f>
        <v>0</v>
      </c>
      <c r="Z102" s="487">
        <f>SUMIFS('GSTR-2A'!$L$6:$L$10000,'GSTR-2A'!$B$6:$B$10000,$C$5:$C$4995,'GSTR-2A'!$A$6:$A$10000,$X$3)</f>
        <v>0</v>
      </c>
      <c r="AA102" s="487">
        <f>SUMIFS('GSTR-2A'!$M$6:$M$10000,'GSTR-2A'!$B$6:$B$10000,$C$5:$C$4995,'GSTR-2A'!$A$6:$A$10000,$X$3)</f>
        <v>0</v>
      </c>
      <c r="AB102" s="488">
        <f>SUMIFS('GSTR-2A'!$N$6:$N$10000,'GSTR-2A'!$B$6:$B$10000,$C$5:$C$4995,'GSTR-2A'!$A$6:$A$10000,$X$3)</f>
        <v>0</v>
      </c>
      <c r="AC102" s="486">
        <f>SUMIFS('GSTR-2A'!$G$6:$G$10000,'GSTR-2A'!$B$6:$B$10000,$C$5:$C$4995,'GSTR-2A'!$A$6:$A$10000,$AC$3)</f>
        <v>0</v>
      </c>
      <c r="AD102" s="487">
        <f>SUMIFS('GSTR-2A'!$K$6:$K$10000,'GSTR-2A'!$B$6:$B$10000,$C$5:$C$4995,'GSTR-2A'!$A$6:$A$10000,$AC$3)</f>
        <v>0</v>
      </c>
      <c r="AE102" s="487">
        <f>SUMIFS('GSTR-2A'!$L$6:$L$10000,'GSTR-2A'!$B$6:$B$10000,$C$5:$C$4995,'GSTR-2A'!$A$6:$A$10000,$AC$3)</f>
        <v>0</v>
      </c>
      <c r="AF102" s="487">
        <f>SUMIFS('GSTR-2A'!$M$6:$M$10000,'GSTR-2A'!$B$6:$B$10000,$C$5:$C$4995,'GSTR-2A'!$A$6:$A$10000,$AC$3)</f>
        <v>0</v>
      </c>
      <c r="AG102" s="488">
        <f>SUMIFS('GSTR-2A'!$N$6:$N$10000,'GSTR-2A'!$B$6:$B$10000,$C$5:$C$4995,'GSTR-2A'!$A$6:$A$10000,$AC$3)</f>
        <v>0</v>
      </c>
      <c r="AH102" s="486">
        <f>SUMIFS('GSTR-2A'!$G$6:$G$10000,'GSTR-2A'!$B$6:$B$10000,$C$5:$C$4995,'GSTR-2A'!$A$6:$A$10000,$AH$3)</f>
        <v>0</v>
      </c>
      <c r="AI102" s="487">
        <f>SUMIFS('GSTR-2A'!$K$6:$K$10000,'GSTR-2A'!$B$6:$B$10000,$C$5:$C$4995,'GSTR-2A'!$A$6:$A$10000,$AH$3)</f>
        <v>0</v>
      </c>
      <c r="AJ102" s="487">
        <f>SUMIFS('GSTR-2A'!$L$6:$L$10000,'GSTR-2A'!$B$6:$B$10000,$C$5:$C$4995,'GSTR-2A'!$A$6:$A$10000,$AH$3)</f>
        <v>0</v>
      </c>
      <c r="AK102" s="487">
        <f>SUMIFS('GSTR-2A'!$M$6:$M$10000,'GSTR-2A'!$B$6:$B$10000,$C$5:$C$4995,'GSTR-2A'!$A$6:$A$10000,$AH$3)</f>
        <v>0</v>
      </c>
      <c r="AL102" s="488">
        <f>SUMIFS('GSTR-2A'!$N$6:$N$10000,'GSTR-2A'!$B$6:$B$10000,$C$5:$C$4995,'GSTR-2A'!$A$6:$A$10000,$AH$3)</f>
        <v>0</v>
      </c>
      <c r="AM102" s="486">
        <f>SUMIFS('GSTR-2A'!$G$6:$G$10000,'GSTR-2A'!$B$6:$B$10000,$C$5:$C$4995,'GSTR-2A'!$A$6:$A$10000,$AM$3)</f>
        <v>0</v>
      </c>
      <c r="AN102" s="487">
        <f>SUMIFS('GSTR-2A'!$K$6:$K$10000,'GSTR-2A'!$B$6:$B$10000,$C$5:$C$4995,'GSTR-2A'!$A$6:$A$10000,$AM$3)</f>
        <v>0</v>
      </c>
      <c r="AO102" s="487">
        <f>SUMIFS('GSTR-2A'!$L$6:$L$10000,'GSTR-2A'!$B$6:$B$10000,$C$5:$C$4995,'GSTR-2A'!$A$6:$A$10000,$AM$3)</f>
        <v>0</v>
      </c>
      <c r="AP102" s="487">
        <f>SUMIFS('GSTR-2A'!$M$6:$M$10000,'GSTR-2A'!$B$6:$B$10000,$C$5:$C$4995,'GSTR-2A'!$A$6:$A$10000,$AM$3)</f>
        <v>0</v>
      </c>
      <c r="AQ102" s="488">
        <f>SUMIFS('GSTR-2A'!$N$6:$N$10000,'GSTR-2A'!$B$6:$B$10000,$C$5:$C$4995,'GSTR-2A'!$A$6:$A$10000,$AM$3)</f>
        <v>0</v>
      </c>
      <c r="AR102" s="486">
        <f>SUMIFS('GSTR-2A'!$G$6:$G$10000,'GSTR-2A'!$B$6:$B$10000,$C$5:$C$4995,'GSTR-2A'!$A$6:$A$10000,$AR$3)</f>
        <v>0</v>
      </c>
      <c r="AS102" s="487">
        <f>SUMIFS('GSTR-2A'!$K$6:$K$10000,'GSTR-2A'!$B$6:$B$10000,$C$5:$C$4995,'GSTR-2A'!$A$6:$A$10000,$AR$3)</f>
        <v>0</v>
      </c>
      <c r="AT102" s="487">
        <f>SUMIFS('GSTR-2A'!$L$6:$L$10000,'GSTR-2A'!$B$6:$B$10000,$C$5:$C$4995,'GSTR-2A'!$A$6:$A$10000,$AR$3)</f>
        <v>0</v>
      </c>
      <c r="AU102" s="487">
        <f>SUMIFS('GSTR-2A'!$M$6:$M$10000,'GSTR-2A'!$B$6:$B$10000,$C$5:$C$4995,'GSTR-2A'!$A$6:$A$10000,$AR$3)</f>
        <v>0</v>
      </c>
      <c r="AV102" s="488">
        <f>SUMIFS('GSTR-2A'!$N$6:$N$10000,'GSTR-2A'!$B$6:$B$10000,$C$5:$C$4995,'GSTR-2A'!$A$6:$A$10000,$AR$3)</f>
        <v>0</v>
      </c>
      <c r="AW102" s="486">
        <f>SUMIFS('GSTR-2A'!$G$6:$G$10000,'GSTR-2A'!$B$6:$B$10000,$C$5:$C$4995,'GSTR-2A'!$A$6:$A$10000,$AW$3)</f>
        <v>0</v>
      </c>
      <c r="AX102" s="487">
        <f>SUMIFS('GSTR-2A'!$K$6:$K$10000,'GSTR-2A'!$B$6:$B$10000,$C$5:$C$4995,'GSTR-2A'!$A$6:$A$10000,$AW$3)</f>
        <v>0</v>
      </c>
      <c r="AY102" s="487">
        <f>SUMIFS('GSTR-2A'!$L$6:$L$10000,'GSTR-2A'!$B$6:$B$10000,$C$5:$C$4995,'GSTR-2A'!$A$6:$A$10000,$AW$3)</f>
        <v>0</v>
      </c>
      <c r="AZ102" s="487">
        <f>SUMIFS('GSTR-2A'!$M$6:$M$10000,'GSTR-2A'!$B$6:$B$10000,$C$5:$C$4995,'GSTR-2A'!$A$6:$A$10000,$AW$3)</f>
        <v>0</v>
      </c>
      <c r="BA102" s="488">
        <f>SUMIFS('GSTR-2A'!$N$6:$N$10000,'GSTR-2A'!$B$6:$B$10000,$C$5:$C$4995,'GSTR-2A'!$A$6:$A$10000,$AW$3)</f>
        <v>0</v>
      </c>
      <c r="BB102" s="486">
        <f>SUMIFS('GSTR-2A'!$G$6:$G$10000,'GSTR-2A'!$B$6:$B$10000,$C$5:$C$4995,'GSTR-2A'!$A$6:$A$10000,$BB$3)</f>
        <v>0</v>
      </c>
      <c r="BC102" s="487">
        <f>SUMIFS('GSTR-2A'!$K$6:$K$10000,'GSTR-2A'!$B$6:$B$10000,$C$5:$C$4995,'GSTR-2A'!$A$6:$A$10000,$BB$3)</f>
        <v>0</v>
      </c>
      <c r="BD102" s="487">
        <f>SUMIFS('GSTR-2A'!$L$6:$L$10000,'GSTR-2A'!$B$6:$B$10000,$C$5:$C$4995,'GSTR-2A'!$A$6:$A$10000,$BB$3)</f>
        <v>0</v>
      </c>
      <c r="BE102" s="487">
        <f>SUMIFS('GSTR-2A'!$M$6:$M$10000,'GSTR-2A'!$B$6:$B$10000,$C$5:$C$4995,'GSTR-2A'!$A$6:$A$10000,$BB$3)</f>
        <v>0</v>
      </c>
      <c r="BF102" s="488">
        <f>SUMIFS('GSTR-2A'!$N$6:$N$10000,'GSTR-2A'!$B$6:$B$10000,$C$5:$C$4995,'GSTR-2A'!$A$6:$A$10000,$BB$3)</f>
        <v>0</v>
      </c>
      <c r="BG102" s="486">
        <f>SUMIFS('GSTR-2A'!$G$6:$G$10000,'GSTR-2A'!$B$6:$B$10000,$C$5:$C$4995,'GSTR-2A'!$A$6:$A$10000,$BG$3)</f>
        <v>0</v>
      </c>
      <c r="BH102" s="487">
        <f>SUMIFS('GSTR-2A'!$K$6:$K$10000,'GSTR-2A'!$B$6:$B$10000,$C$5:$C$4995,'GSTR-2A'!$A$6:$A$10000,$BG$3)</f>
        <v>0</v>
      </c>
      <c r="BI102" s="487">
        <f>SUMIFS('GSTR-2A'!$L$6:$L$10000,'GSTR-2A'!$B$6:$B$10000,$C$5:$C$4995,'GSTR-2A'!$A$6:$A$10000,$BG$3)</f>
        <v>0</v>
      </c>
      <c r="BJ102" s="487">
        <f>SUMIFS('GSTR-2A'!$M$6:$M$10000,'GSTR-2A'!$B$6:$B$10000,$C$5:$C$4995,'GSTR-2A'!$A$6:$A$10000,$BG$3)</f>
        <v>0</v>
      </c>
      <c r="BK102" s="488">
        <f>SUMIFS('GSTR-2A'!$N$6:$N$10000,'GSTR-2A'!$B$6:$B$10000,$C$5:$C$4995,'GSTR-2A'!$A$6:$A$10000,$BG$3)</f>
        <v>0</v>
      </c>
      <c r="BL102" s="72">
        <f t="shared" si="7"/>
        <v>0</v>
      </c>
      <c r="BM102" s="72">
        <f t="shared" si="8"/>
        <v>0</v>
      </c>
      <c r="BN102" s="72">
        <f t="shared" si="9"/>
        <v>0</v>
      </c>
      <c r="BO102" s="72">
        <f t="shared" si="10"/>
        <v>0</v>
      </c>
      <c r="BP102" s="72">
        <f t="shared" si="11"/>
        <v>0</v>
      </c>
    </row>
    <row r="103" spans="1:68" x14ac:dyDescent="0.2">
      <c r="A103" s="467">
        <v>100</v>
      </c>
      <c r="B103" s="468" t="s">
        <v>1150</v>
      </c>
      <c r="C103" s="469" t="s">
        <v>1151</v>
      </c>
      <c r="D103" s="72">
        <f>SUMIFS('GSTR-2A'!$G$6:$G$10000,'GSTR-2A'!$B$6:$B$10000,$C$5:$C$4995,'GSTR-2A'!$A$6:$A$10000,$D$3)</f>
        <v>0</v>
      </c>
      <c r="E103" s="72">
        <f>SUMIFS('GSTR-2A'!$K$6:$K$10000,'GSTR-2A'!$B$6:$B$10000,$C$5:$C$4995,'GSTR-2A'!$A$6:$A$10000,$D$3)</f>
        <v>0</v>
      </c>
      <c r="F103" s="72">
        <f>SUMIFS('GSTR-2A'!$L$6:$L$10000,'GSTR-2A'!$B$6:$B$10000,$C$5:$C$4995,'GSTR-2A'!$A$6:$A$10000,$D$3)</f>
        <v>0</v>
      </c>
      <c r="G103" s="72">
        <f>SUMIFS('GSTR-2A'!$M$6:$M$10000,'GSTR-2A'!$B$6:$B$10000,$C$5:$C$4995,'GSTR-2A'!$A$6:$A$10000,$D$3)</f>
        <v>0</v>
      </c>
      <c r="H103" s="72">
        <f>SUMIFS('GSTR-2A'!$N$6:$N$10000,'GSTR-2A'!$B$6:$B$10000,$C$5:$C$4995,'GSTR-2A'!$A$6:$A$10000,$D$3)</f>
        <v>0</v>
      </c>
      <c r="I103" s="486">
        <f>SUMIFS('GSTR-2A'!$G$6:$G$10000,'GSTR-2A'!$B$6:$B$10000,$C$5:$C$4995,'GSTR-2A'!$A$6:$A$10000,$I$3)</f>
        <v>0</v>
      </c>
      <c r="J103" s="487">
        <f>SUMIFS('GSTR-2A'!$K$6:$K$10000,'GSTR-2A'!$B$6:$B$10000,$C$5:$C$4995,'GSTR-2A'!$A$6:$A$10000,$I$3)</f>
        <v>0</v>
      </c>
      <c r="K103" s="487">
        <f>SUMIFS('GSTR-2A'!$L$6:$L$10000,'GSTR-2A'!$B$6:$B$10000,$C$5:$C$4995,'GSTR-2A'!$A$6:$A$10000,$I$3)</f>
        <v>0</v>
      </c>
      <c r="L103" s="487">
        <f>SUMIFS('GSTR-2A'!$M$6:$M$10000,'GSTR-2A'!$B$6:$B$10000,$C$5:$C$4995,'GSTR-2A'!$A$6:$A$10000,$I$3)</f>
        <v>0</v>
      </c>
      <c r="M103" s="488">
        <f>SUMIFS('GSTR-2A'!$N$6:$N$10000,'GSTR-2A'!$B$6:$B$10000,$C$5:$C$4995,'GSTR-2A'!$A$6:$A$10000,$I$3)</f>
        <v>0</v>
      </c>
      <c r="N103" s="486">
        <f>SUMIFS('GSTR-2A'!$G$6:$G$10000,'GSTR-2A'!$B$6:$B$10000,$C$5:$C$4995,'GSTR-2A'!$A$6:$A$10000,$N$3)</f>
        <v>0</v>
      </c>
      <c r="O103" s="487">
        <f>SUMIFS('GSTR-2A'!$K$6:$K$10000,'GSTR-2A'!$B$6:$B$10000,$C$5:$C$4995,'GSTR-2A'!$A$6:$A$10000,$N$3)</f>
        <v>0</v>
      </c>
      <c r="P103" s="487">
        <f>SUMIFS('GSTR-2A'!$L$6:$L$10000,'GSTR-2A'!$B$6:$B$10000,$C$5:$C$4995,'GSTR-2A'!$A$6:$A$10000,$N$3)</f>
        <v>0</v>
      </c>
      <c r="Q103" s="487">
        <f>SUMIFS('GSTR-2A'!$M$6:$M$10000,'GSTR-2A'!$B$6:$B$10000,$C$5:$C$4995,'GSTR-2A'!$A$6:$A$10000,$N$3)</f>
        <v>0</v>
      </c>
      <c r="R103" s="488">
        <f>SUMIFS('GSTR-2A'!$N$6:$N$10000,'GSTR-2A'!$B$6:$B$10000,$C$5:$C$4995,'GSTR-2A'!$A$6:$A$10000,$N$3)</f>
        <v>0</v>
      </c>
      <c r="S103" s="486">
        <f>SUMIFS('GSTR-2A'!$G$6:$G$10000,'GSTR-2A'!$B$6:$B$10000,$C$5:$C$4995,'GSTR-2A'!$A$6:$A$10000,$S$3)</f>
        <v>0</v>
      </c>
      <c r="T103" s="487">
        <f>SUMIFS('GSTR-2A'!$K$6:$K$10000,'GSTR-2A'!$B$6:$B$10000,$C$5:$C$4995,'GSTR-2A'!$A$6:$A$10000,$S$3)</f>
        <v>0</v>
      </c>
      <c r="U103" s="487">
        <f>SUMIFS('GSTR-2A'!$L$6:$L$10000,'GSTR-2A'!$B$6:$B$10000,$C$5:$C$4995,'GSTR-2A'!$A$6:$A$10000,$S$3)</f>
        <v>0</v>
      </c>
      <c r="V103" s="487">
        <f>SUMIFS('GSTR-2A'!$M$6:$M$10000,'GSTR-2A'!$B$6:$B$10000,$C$5:$C$4995,'GSTR-2A'!$A$6:$A$10000,$S$3)</f>
        <v>0</v>
      </c>
      <c r="W103" s="488">
        <f>SUMIFS('GSTR-2A'!$N$6:$N$10000,'GSTR-2A'!$B$6:$B$10000,$C$5:$C$4995,'GSTR-2A'!$A$6:$A$10000,$S$3)</f>
        <v>0</v>
      </c>
      <c r="X103" s="486">
        <f>SUMIFS('GSTR-2A'!$G$6:$G$10000,'GSTR-2A'!$B$6:$B$10000,$C$5:$C$4995,'GSTR-2A'!$A$6:$A$10000,$X$3)</f>
        <v>0</v>
      </c>
      <c r="Y103" s="487">
        <f>SUMIFS('GSTR-2A'!$K$6:$K$10000,'GSTR-2A'!$B$6:$B$10000,$C$5:$C$4995,'GSTR-2A'!$A$6:$A$10000,$X$3)</f>
        <v>0</v>
      </c>
      <c r="Z103" s="487">
        <f>SUMIFS('GSTR-2A'!$L$6:$L$10000,'GSTR-2A'!$B$6:$B$10000,$C$5:$C$4995,'GSTR-2A'!$A$6:$A$10000,$X$3)</f>
        <v>0</v>
      </c>
      <c r="AA103" s="487">
        <f>SUMIFS('GSTR-2A'!$M$6:$M$10000,'GSTR-2A'!$B$6:$B$10000,$C$5:$C$4995,'GSTR-2A'!$A$6:$A$10000,$X$3)</f>
        <v>0</v>
      </c>
      <c r="AB103" s="488">
        <f>SUMIFS('GSTR-2A'!$N$6:$N$10000,'GSTR-2A'!$B$6:$B$10000,$C$5:$C$4995,'GSTR-2A'!$A$6:$A$10000,$X$3)</f>
        <v>0</v>
      </c>
      <c r="AC103" s="486">
        <f>SUMIFS('GSTR-2A'!$G$6:$G$10000,'GSTR-2A'!$B$6:$B$10000,$C$5:$C$4995,'GSTR-2A'!$A$6:$A$10000,$AC$3)</f>
        <v>0</v>
      </c>
      <c r="AD103" s="487">
        <f>SUMIFS('GSTR-2A'!$K$6:$K$10000,'GSTR-2A'!$B$6:$B$10000,$C$5:$C$4995,'GSTR-2A'!$A$6:$A$10000,$AC$3)</f>
        <v>0</v>
      </c>
      <c r="AE103" s="487">
        <f>SUMIFS('GSTR-2A'!$L$6:$L$10000,'GSTR-2A'!$B$6:$B$10000,$C$5:$C$4995,'GSTR-2A'!$A$6:$A$10000,$AC$3)</f>
        <v>0</v>
      </c>
      <c r="AF103" s="487">
        <f>SUMIFS('GSTR-2A'!$M$6:$M$10000,'GSTR-2A'!$B$6:$B$10000,$C$5:$C$4995,'GSTR-2A'!$A$6:$A$10000,$AC$3)</f>
        <v>0</v>
      </c>
      <c r="AG103" s="488">
        <f>SUMIFS('GSTR-2A'!$N$6:$N$10000,'GSTR-2A'!$B$6:$B$10000,$C$5:$C$4995,'GSTR-2A'!$A$6:$A$10000,$AC$3)</f>
        <v>0</v>
      </c>
      <c r="AH103" s="486">
        <f>SUMIFS('GSTR-2A'!$G$6:$G$10000,'GSTR-2A'!$B$6:$B$10000,$C$5:$C$4995,'GSTR-2A'!$A$6:$A$10000,$AH$3)</f>
        <v>0</v>
      </c>
      <c r="AI103" s="487">
        <f>SUMIFS('GSTR-2A'!$K$6:$K$10000,'GSTR-2A'!$B$6:$B$10000,$C$5:$C$4995,'GSTR-2A'!$A$6:$A$10000,$AH$3)</f>
        <v>0</v>
      </c>
      <c r="AJ103" s="487">
        <f>SUMIFS('GSTR-2A'!$L$6:$L$10000,'GSTR-2A'!$B$6:$B$10000,$C$5:$C$4995,'GSTR-2A'!$A$6:$A$10000,$AH$3)</f>
        <v>0</v>
      </c>
      <c r="AK103" s="487">
        <f>SUMIFS('GSTR-2A'!$M$6:$M$10000,'GSTR-2A'!$B$6:$B$10000,$C$5:$C$4995,'GSTR-2A'!$A$6:$A$10000,$AH$3)</f>
        <v>0</v>
      </c>
      <c r="AL103" s="488">
        <f>SUMIFS('GSTR-2A'!$N$6:$N$10000,'GSTR-2A'!$B$6:$B$10000,$C$5:$C$4995,'GSTR-2A'!$A$6:$A$10000,$AH$3)</f>
        <v>0</v>
      </c>
      <c r="AM103" s="486">
        <f>SUMIFS('GSTR-2A'!$G$6:$G$10000,'GSTR-2A'!$B$6:$B$10000,$C$5:$C$4995,'GSTR-2A'!$A$6:$A$10000,$AM$3)</f>
        <v>0</v>
      </c>
      <c r="AN103" s="487">
        <f>SUMIFS('GSTR-2A'!$K$6:$K$10000,'GSTR-2A'!$B$6:$B$10000,$C$5:$C$4995,'GSTR-2A'!$A$6:$A$10000,$AM$3)</f>
        <v>0</v>
      </c>
      <c r="AO103" s="487">
        <f>SUMIFS('GSTR-2A'!$L$6:$L$10000,'GSTR-2A'!$B$6:$B$10000,$C$5:$C$4995,'GSTR-2A'!$A$6:$A$10000,$AM$3)</f>
        <v>0</v>
      </c>
      <c r="AP103" s="487">
        <f>SUMIFS('GSTR-2A'!$M$6:$M$10000,'GSTR-2A'!$B$6:$B$10000,$C$5:$C$4995,'GSTR-2A'!$A$6:$A$10000,$AM$3)</f>
        <v>0</v>
      </c>
      <c r="AQ103" s="488">
        <f>SUMIFS('GSTR-2A'!$N$6:$N$10000,'GSTR-2A'!$B$6:$B$10000,$C$5:$C$4995,'GSTR-2A'!$A$6:$A$10000,$AM$3)</f>
        <v>0</v>
      </c>
      <c r="AR103" s="486">
        <f>SUMIFS('GSTR-2A'!$G$6:$G$10000,'GSTR-2A'!$B$6:$B$10000,$C$5:$C$4995,'GSTR-2A'!$A$6:$A$10000,$AR$3)</f>
        <v>0</v>
      </c>
      <c r="AS103" s="487">
        <f>SUMIFS('GSTR-2A'!$K$6:$K$10000,'GSTR-2A'!$B$6:$B$10000,$C$5:$C$4995,'GSTR-2A'!$A$6:$A$10000,$AR$3)</f>
        <v>0</v>
      </c>
      <c r="AT103" s="487">
        <f>SUMIFS('GSTR-2A'!$L$6:$L$10000,'GSTR-2A'!$B$6:$B$10000,$C$5:$C$4995,'GSTR-2A'!$A$6:$A$10000,$AR$3)</f>
        <v>0</v>
      </c>
      <c r="AU103" s="487">
        <f>SUMIFS('GSTR-2A'!$M$6:$M$10000,'GSTR-2A'!$B$6:$B$10000,$C$5:$C$4995,'GSTR-2A'!$A$6:$A$10000,$AR$3)</f>
        <v>0</v>
      </c>
      <c r="AV103" s="488">
        <f>SUMIFS('GSTR-2A'!$N$6:$N$10000,'GSTR-2A'!$B$6:$B$10000,$C$5:$C$4995,'GSTR-2A'!$A$6:$A$10000,$AR$3)</f>
        <v>0</v>
      </c>
      <c r="AW103" s="486">
        <f>SUMIFS('GSTR-2A'!$G$6:$G$10000,'GSTR-2A'!$B$6:$B$10000,$C$5:$C$4995,'GSTR-2A'!$A$6:$A$10000,$AW$3)</f>
        <v>0</v>
      </c>
      <c r="AX103" s="487">
        <f>SUMIFS('GSTR-2A'!$K$6:$K$10000,'GSTR-2A'!$B$6:$B$10000,$C$5:$C$4995,'GSTR-2A'!$A$6:$A$10000,$AW$3)</f>
        <v>0</v>
      </c>
      <c r="AY103" s="487">
        <f>SUMIFS('GSTR-2A'!$L$6:$L$10000,'GSTR-2A'!$B$6:$B$10000,$C$5:$C$4995,'GSTR-2A'!$A$6:$A$10000,$AW$3)</f>
        <v>0</v>
      </c>
      <c r="AZ103" s="487">
        <f>SUMIFS('GSTR-2A'!$M$6:$M$10000,'GSTR-2A'!$B$6:$B$10000,$C$5:$C$4995,'GSTR-2A'!$A$6:$A$10000,$AW$3)</f>
        <v>0</v>
      </c>
      <c r="BA103" s="488">
        <f>SUMIFS('GSTR-2A'!$N$6:$N$10000,'GSTR-2A'!$B$6:$B$10000,$C$5:$C$4995,'GSTR-2A'!$A$6:$A$10000,$AW$3)</f>
        <v>0</v>
      </c>
      <c r="BB103" s="486">
        <f>SUMIFS('GSTR-2A'!$G$6:$G$10000,'GSTR-2A'!$B$6:$B$10000,$C$5:$C$4995,'GSTR-2A'!$A$6:$A$10000,$BB$3)</f>
        <v>0</v>
      </c>
      <c r="BC103" s="487">
        <f>SUMIFS('GSTR-2A'!$K$6:$K$10000,'GSTR-2A'!$B$6:$B$10000,$C$5:$C$4995,'GSTR-2A'!$A$6:$A$10000,$BB$3)</f>
        <v>0</v>
      </c>
      <c r="BD103" s="487">
        <f>SUMIFS('GSTR-2A'!$L$6:$L$10000,'GSTR-2A'!$B$6:$B$10000,$C$5:$C$4995,'GSTR-2A'!$A$6:$A$10000,$BB$3)</f>
        <v>0</v>
      </c>
      <c r="BE103" s="487">
        <f>SUMIFS('GSTR-2A'!$M$6:$M$10000,'GSTR-2A'!$B$6:$B$10000,$C$5:$C$4995,'GSTR-2A'!$A$6:$A$10000,$BB$3)</f>
        <v>0</v>
      </c>
      <c r="BF103" s="488">
        <f>SUMIFS('GSTR-2A'!$N$6:$N$10000,'GSTR-2A'!$B$6:$B$10000,$C$5:$C$4995,'GSTR-2A'!$A$6:$A$10000,$BB$3)</f>
        <v>0</v>
      </c>
      <c r="BG103" s="486">
        <f>SUMIFS('GSTR-2A'!$G$6:$G$10000,'GSTR-2A'!$B$6:$B$10000,$C$5:$C$4995,'GSTR-2A'!$A$6:$A$10000,$BG$3)</f>
        <v>0</v>
      </c>
      <c r="BH103" s="487">
        <f>SUMIFS('GSTR-2A'!$K$6:$K$10000,'GSTR-2A'!$B$6:$B$10000,$C$5:$C$4995,'GSTR-2A'!$A$6:$A$10000,$BG$3)</f>
        <v>0</v>
      </c>
      <c r="BI103" s="487">
        <f>SUMIFS('GSTR-2A'!$L$6:$L$10000,'GSTR-2A'!$B$6:$B$10000,$C$5:$C$4995,'GSTR-2A'!$A$6:$A$10000,$BG$3)</f>
        <v>0</v>
      </c>
      <c r="BJ103" s="487">
        <f>SUMIFS('GSTR-2A'!$M$6:$M$10000,'GSTR-2A'!$B$6:$B$10000,$C$5:$C$4995,'GSTR-2A'!$A$6:$A$10000,$BG$3)</f>
        <v>0</v>
      </c>
      <c r="BK103" s="488">
        <f>SUMIFS('GSTR-2A'!$N$6:$N$10000,'GSTR-2A'!$B$6:$B$10000,$C$5:$C$4995,'GSTR-2A'!$A$6:$A$10000,$BG$3)</f>
        <v>0</v>
      </c>
      <c r="BL103" s="72">
        <f t="shared" si="7"/>
        <v>0</v>
      </c>
      <c r="BM103" s="72">
        <f t="shared" si="8"/>
        <v>0</v>
      </c>
      <c r="BN103" s="72">
        <f t="shared" si="9"/>
        <v>0</v>
      </c>
      <c r="BO103" s="72">
        <f t="shared" si="10"/>
        <v>0</v>
      </c>
      <c r="BP103" s="72">
        <f t="shared" si="11"/>
        <v>0</v>
      </c>
    </row>
    <row r="104" spans="1:68" x14ac:dyDescent="0.2">
      <c r="A104" s="467">
        <v>101</v>
      </c>
      <c r="B104" s="468" t="s">
        <v>1152</v>
      </c>
      <c r="C104" s="469" t="s">
        <v>1153</v>
      </c>
      <c r="D104" s="72">
        <f>SUMIFS('GSTR-2A'!$G$6:$G$10000,'GSTR-2A'!$B$6:$B$10000,$C$5:$C$4995,'GSTR-2A'!$A$6:$A$10000,$D$3)</f>
        <v>0</v>
      </c>
      <c r="E104" s="72">
        <f>SUMIFS('GSTR-2A'!$K$6:$K$10000,'GSTR-2A'!$B$6:$B$10000,$C$5:$C$4995,'GSTR-2A'!$A$6:$A$10000,$D$3)</f>
        <v>0</v>
      </c>
      <c r="F104" s="72">
        <f>SUMIFS('GSTR-2A'!$L$6:$L$10000,'GSTR-2A'!$B$6:$B$10000,$C$5:$C$4995,'GSTR-2A'!$A$6:$A$10000,$D$3)</f>
        <v>0</v>
      </c>
      <c r="G104" s="72">
        <f>SUMIFS('GSTR-2A'!$M$6:$M$10000,'GSTR-2A'!$B$6:$B$10000,$C$5:$C$4995,'GSTR-2A'!$A$6:$A$10000,$D$3)</f>
        <v>0</v>
      </c>
      <c r="H104" s="72">
        <f>SUMIFS('GSTR-2A'!$N$6:$N$10000,'GSTR-2A'!$B$6:$B$10000,$C$5:$C$4995,'GSTR-2A'!$A$6:$A$10000,$D$3)</f>
        <v>0</v>
      </c>
      <c r="I104" s="486">
        <f>SUMIFS('GSTR-2A'!$G$6:$G$10000,'GSTR-2A'!$B$6:$B$10000,$C$5:$C$4995,'GSTR-2A'!$A$6:$A$10000,$I$3)</f>
        <v>0</v>
      </c>
      <c r="J104" s="487">
        <f>SUMIFS('GSTR-2A'!$K$6:$K$10000,'GSTR-2A'!$B$6:$B$10000,$C$5:$C$4995,'GSTR-2A'!$A$6:$A$10000,$I$3)</f>
        <v>0</v>
      </c>
      <c r="K104" s="487">
        <f>SUMIFS('GSTR-2A'!$L$6:$L$10000,'GSTR-2A'!$B$6:$B$10000,$C$5:$C$4995,'GSTR-2A'!$A$6:$A$10000,$I$3)</f>
        <v>0</v>
      </c>
      <c r="L104" s="487">
        <f>SUMIFS('GSTR-2A'!$M$6:$M$10000,'GSTR-2A'!$B$6:$B$10000,$C$5:$C$4995,'GSTR-2A'!$A$6:$A$10000,$I$3)</f>
        <v>0</v>
      </c>
      <c r="M104" s="488">
        <f>SUMIFS('GSTR-2A'!$N$6:$N$10000,'GSTR-2A'!$B$6:$B$10000,$C$5:$C$4995,'GSTR-2A'!$A$6:$A$10000,$I$3)</f>
        <v>0</v>
      </c>
      <c r="N104" s="486">
        <f>SUMIFS('GSTR-2A'!$G$6:$G$10000,'GSTR-2A'!$B$6:$B$10000,$C$5:$C$4995,'GSTR-2A'!$A$6:$A$10000,$N$3)</f>
        <v>0</v>
      </c>
      <c r="O104" s="487">
        <f>SUMIFS('GSTR-2A'!$K$6:$K$10000,'GSTR-2A'!$B$6:$B$10000,$C$5:$C$4995,'GSTR-2A'!$A$6:$A$10000,$N$3)</f>
        <v>0</v>
      </c>
      <c r="P104" s="487">
        <f>SUMIFS('GSTR-2A'!$L$6:$L$10000,'GSTR-2A'!$B$6:$B$10000,$C$5:$C$4995,'GSTR-2A'!$A$6:$A$10000,$N$3)</f>
        <v>0</v>
      </c>
      <c r="Q104" s="487">
        <f>SUMIFS('GSTR-2A'!$M$6:$M$10000,'GSTR-2A'!$B$6:$B$10000,$C$5:$C$4995,'GSTR-2A'!$A$6:$A$10000,$N$3)</f>
        <v>0</v>
      </c>
      <c r="R104" s="488">
        <f>SUMIFS('GSTR-2A'!$N$6:$N$10000,'GSTR-2A'!$B$6:$B$10000,$C$5:$C$4995,'GSTR-2A'!$A$6:$A$10000,$N$3)</f>
        <v>0</v>
      </c>
      <c r="S104" s="486">
        <f>SUMIFS('GSTR-2A'!$G$6:$G$10000,'GSTR-2A'!$B$6:$B$10000,$C$5:$C$4995,'GSTR-2A'!$A$6:$A$10000,$S$3)</f>
        <v>0</v>
      </c>
      <c r="T104" s="487">
        <f>SUMIFS('GSTR-2A'!$K$6:$K$10000,'GSTR-2A'!$B$6:$B$10000,$C$5:$C$4995,'GSTR-2A'!$A$6:$A$10000,$S$3)</f>
        <v>0</v>
      </c>
      <c r="U104" s="487">
        <f>SUMIFS('GSTR-2A'!$L$6:$L$10000,'GSTR-2A'!$B$6:$B$10000,$C$5:$C$4995,'GSTR-2A'!$A$6:$A$10000,$S$3)</f>
        <v>0</v>
      </c>
      <c r="V104" s="487">
        <f>SUMIFS('GSTR-2A'!$M$6:$M$10000,'GSTR-2A'!$B$6:$B$10000,$C$5:$C$4995,'GSTR-2A'!$A$6:$A$10000,$S$3)</f>
        <v>0</v>
      </c>
      <c r="W104" s="488">
        <f>SUMIFS('GSTR-2A'!$N$6:$N$10000,'GSTR-2A'!$B$6:$B$10000,$C$5:$C$4995,'GSTR-2A'!$A$6:$A$10000,$S$3)</f>
        <v>0</v>
      </c>
      <c r="X104" s="486">
        <f>SUMIFS('GSTR-2A'!$G$6:$G$10000,'GSTR-2A'!$B$6:$B$10000,$C$5:$C$4995,'GSTR-2A'!$A$6:$A$10000,$X$3)</f>
        <v>0</v>
      </c>
      <c r="Y104" s="487">
        <f>SUMIFS('GSTR-2A'!$K$6:$K$10000,'GSTR-2A'!$B$6:$B$10000,$C$5:$C$4995,'GSTR-2A'!$A$6:$A$10000,$X$3)</f>
        <v>0</v>
      </c>
      <c r="Z104" s="487">
        <f>SUMIFS('GSTR-2A'!$L$6:$L$10000,'GSTR-2A'!$B$6:$B$10000,$C$5:$C$4995,'GSTR-2A'!$A$6:$A$10000,$X$3)</f>
        <v>0</v>
      </c>
      <c r="AA104" s="487">
        <f>SUMIFS('GSTR-2A'!$M$6:$M$10000,'GSTR-2A'!$B$6:$B$10000,$C$5:$C$4995,'GSTR-2A'!$A$6:$A$10000,$X$3)</f>
        <v>0</v>
      </c>
      <c r="AB104" s="488">
        <f>SUMIFS('GSTR-2A'!$N$6:$N$10000,'GSTR-2A'!$B$6:$B$10000,$C$5:$C$4995,'GSTR-2A'!$A$6:$A$10000,$X$3)</f>
        <v>0</v>
      </c>
      <c r="AC104" s="486">
        <f>SUMIFS('GSTR-2A'!$G$6:$G$10000,'GSTR-2A'!$B$6:$B$10000,$C$5:$C$4995,'GSTR-2A'!$A$6:$A$10000,$AC$3)</f>
        <v>0</v>
      </c>
      <c r="AD104" s="487">
        <f>SUMIFS('GSTR-2A'!$K$6:$K$10000,'GSTR-2A'!$B$6:$B$10000,$C$5:$C$4995,'GSTR-2A'!$A$6:$A$10000,$AC$3)</f>
        <v>0</v>
      </c>
      <c r="AE104" s="487">
        <f>SUMIFS('GSTR-2A'!$L$6:$L$10000,'GSTR-2A'!$B$6:$B$10000,$C$5:$C$4995,'GSTR-2A'!$A$6:$A$10000,$AC$3)</f>
        <v>0</v>
      </c>
      <c r="AF104" s="487">
        <f>SUMIFS('GSTR-2A'!$M$6:$M$10000,'GSTR-2A'!$B$6:$B$10000,$C$5:$C$4995,'GSTR-2A'!$A$6:$A$10000,$AC$3)</f>
        <v>0</v>
      </c>
      <c r="AG104" s="488">
        <f>SUMIFS('GSTR-2A'!$N$6:$N$10000,'GSTR-2A'!$B$6:$B$10000,$C$5:$C$4995,'GSTR-2A'!$A$6:$A$10000,$AC$3)</f>
        <v>0</v>
      </c>
      <c r="AH104" s="486">
        <f>SUMIFS('GSTR-2A'!$G$6:$G$10000,'GSTR-2A'!$B$6:$B$10000,$C$5:$C$4995,'GSTR-2A'!$A$6:$A$10000,$AH$3)</f>
        <v>0</v>
      </c>
      <c r="AI104" s="487">
        <f>SUMIFS('GSTR-2A'!$K$6:$K$10000,'GSTR-2A'!$B$6:$B$10000,$C$5:$C$4995,'GSTR-2A'!$A$6:$A$10000,$AH$3)</f>
        <v>0</v>
      </c>
      <c r="AJ104" s="487">
        <f>SUMIFS('GSTR-2A'!$L$6:$L$10000,'GSTR-2A'!$B$6:$B$10000,$C$5:$C$4995,'GSTR-2A'!$A$6:$A$10000,$AH$3)</f>
        <v>0</v>
      </c>
      <c r="AK104" s="487">
        <f>SUMIFS('GSTR-2A'!$M$6:$M$10000,'GSTR-2A'!$B$6:$B$10000,$C$5:$C$4995,'GSTR-2A'!$A$6:$A$10000,$AH$3)</f>
        <v>0</v>
      </c>
      <c r="AL104" s="488">
        <f>SUMIFS('GSTR-2A'!$N$6:$N$10000,'GSTR-2A'!$B$6:$B$10000,$C$5:$C$4995,'GSTR-2A'!$A$6:$A$10000,$AH$3)</f>
        <v>0</v>
      </c>
      <c r="AM104" s="486">
        <f>SUMIFS('GSTR-2A'!$G$6:$G$10000,'GSTR-2A'!$B$6:$B$10000,$C$5:$C$4995,'GSTR-2A'!$A$6:$A$10000,$AM$3)</f>
        <v>0</v>
      </c>
      <c r="AN104" s="487">
        <f>SUMIFS('GSTR-2A'!$K$6:$K$10000,'GSTR-2A'!$B$6:$B$10000,$C$5:$C$4995,'GSTR-2A'!$A$6:$A$10000,$AM$3)</f>
        <v>0</v>
      </c>
      <c r="AO104" s="487">
        <f>SUMIFS('GSTR-2A'!$L$6:$L$10000,'GSTR-2A'!$B$6:$B$10000,$C$5:$C$4995,'GSTR-2A'!$A$6:$A$10000,$AM$3)</f>
        <v>0</v>
      </c>
      <c r="AP104" s="487">
        <f>SUMIFS('GSTR-2A'!$M$6:$M$10000,'GSTR-2A'!$B$6:$B$10000,$C$5:$C$4995,'GSTR-2A'!$A$6:$A$10000,$AM$3)</f>
        <v>0</v>
      </c>
      <c r="AQ104" s="488">
        <f>SUMIFS('GSTR-2A'!$N$6:$N$10000,'GSTR-2A'!$B$6:$B$10000,$C$5:$C$4995,'GSTR-2A'!$A$6:$A$10000,$AM$3)</f>
        <v>0</v>
      </c>
      <c r="AR104" s="486">
        <f>SUMIFS('GSTR-2A'!$G$6:$G$10000,'GSTR-2A'!$B$6:$B$10000,$C$5:$C$4995,'GSTR-2A'!$A$6:$A$10000,$AR$3)</f>
        <v>0</v>
      </c>
      <c r="AS104" s="487">
        <f>SUMIFS('GSTR-2A'!$K$6:$K$10000,'GSTR-2A'!$B$6:$B$10000,$C$5:$C$4995,'GSTR-2A'!$A$6:$A$10000,$AR$3)</f>
        <v>0</v>
      </c>
      <c r="AT104" s="487">
        <f>SUMIFS('GSTR-2A'!$L$6:$L$10000,'GSTR-2A'!$B$6:$B$10000,$C$5:$C$4995,'GSTR-2A'!$A$6:$A$10000,$AR$3)</f>
        <v>0</v>
      </c>
      <c r="AU104" s="487">
        <f>SUMIFS('GSTR-2A'!$M$6:$M$10000,'GSTR-2A'!$B$6:$B$10000,$C$5:$C$4995,'GSTR-2A'!$A$6:$A$10000,$AR$3)</f>
        <v>0</v>
      </c>
      <c r="AV104" s="488">
        <f>SUMIFS('GSTR-2A'!$N$6:$N$10000,'GSTR-2A'!$B$6:$B$10000,$C$5:$C$4995,'GSTR-2A'!$A$6:$A$10000,$AR$3)</f>
        <v>0</v>
      </c>
      <c r="AW104" s="486">
        <f>SUMIFS('GSTR-2A'!$G$6:$G$10000,'GSTR-2A'!$B$6:$B$10000,$C$5:$C$4995,'GSTR-2A'!$A$6:$A$10000,$AW$3)</f>
        <v>0</v>
      </c>
      <c r="AX104" s="487">
        <f>SUMIFS('GSTR-2A'!$K$6:$K$10000,'GSTR-2A'!$B$6:$B$10000,$C$5:$C$4995,'GSTR-2A'!$A$6:$A$10000,$AW$3)</f>
        <v>0</v>
      </c>
      <c r="AY104" s="487">
        <f>SUMIFS('GSTR-2A'!$L$6:$L$10000,'GSTR-2A'!$B$6:$B$10000,$C$5:$C$4995,'GSTR-2A'!$A$6:$A$10000,$AW$3)</f>
        <v>0</v>
      </c>
      <c r="AZ104" s="487">
        <f>SUMIFS('GSTR-2A'!$M$6:$M$10000,'GSTR-2A'!$B$6:$B$10000,$C$5:$C$4995,'GSTR-2A'!$A$6:$A$10000,$AW$3)</f>
        <v>0</v>
      </c>
      <c r="BA104" s="488">
        <f>SUMIFS('GSTR-2A'!$N$6:$N$10000,'GSTR-2A'!$B$6:$B$10000,$C$5:$C$4995,'GSTR-2A'!$A$6:$A$10000,$AW$3)</f>
        <v>0</v>
      </c>
      <c r="BB104" s="486">
        <f>SUMIFS('GSTR-2A'!$G$6:$G$10000,'GSTR-2A'!$B$6:$B$10000,$C$5:$C$4995,'GSTR-2A'!$A$6:$A$10000,$BB$3)</f>
        <v>0</v>
      </c>
      <c r="BC104" s="487">
        <f>SUMIFS('GSTR-2A'!$K$6:$K$10000,'GSTR-2A'!$B$6:$B$10000,$C$5:$C$4995,'GSTR-2A'!$A$6:$A$10000,$BB$3)</f>
        <v>0</v>
      </c>
      <c r="BD104" s="487">
        <f>SUMIFS('GSTR-2A'!$L$6:$L$10000,'GSTR-2A'!$B$6:$B$10000,$C$5:$C$4995,'GSTR-2A'!$A$6:$A$10000,$BB$3)</f>
        <v>0</v>
      </c>
      <c r="BE104" s="487">
        <f>SUMIFS('GSTR-2A'!$M$6:$M$10000,'GSTR-2A'!$B$6:$B$10000,$C$5:$C$4995,'GSTR-2A'!$A$6:$A$10000,$BB$3)</f>
        <v>0</v>
      </c>
      <c r="BF104" s="488">
        <f>SUMIFS('GSTR-2A'!$N$6:$N$10000,'GSTR-2A'!$B$6:$B$10000,$C$5:$C$4995,'GSTR-2A'!$A$6:$A$10000,$BB$3)</f>
        <v>0</v>
      </c>
      <c r="BG104" s="486">
        <f>SUMIFS('GSTR-2A'!$G$6:$G$10000,'GSTR-2A'!$B$6:$B$10000,$C$5:$C$4995,'GSTR-2A'!$A$6:$A$10000,$BG$3)</f>
        <v>0</v>
      </c>
      <c r="BH104" s="487">
        <f>SUMIFS('GSTR-2A'!$K$6:$K$10000,'GSTR-2A'!$B$6:$B$10000,$C$5:$C$4995,'GSTR-2A'!$A$6:$A$10000,$BG$3)</f>
        <v>0</v>
      </c>
      <c r="BI104" s="487">
        <f>SUMIFS('GSTR-2A'!$L$6:$L$10000,'GSTR-2A'!$B$6:$B$10000,$C$5:$C$4995,'GSTR-2A'!$A$6:$A$10000,$BG$3)</f>
        <v>0</v>
      </c>
      <c r="BJ104" s="487">
        <f>SUMIFS('GSTR-2A'!$M$6:$M$10000,'GSTR-2A'!$B$6:$B$10000,$C$5:$C$4995,'GSTR-2A'!$A$6:$A$10000,$BG$3)</f>
        <v>0</v>
      </c>
      <c r="BK104" s="488">
        <f>SUMIFS('GSTR-2A'!$N$6:$N$10000,'GSTR-2A'!$B$6:$B$10000,$C$5:$C$4995,'GSTR-2A'!$A$6:$A$10000,$BG$3)</f>
        <v>0</v>
      </c>
      <c r="BL104" s="72">
        <f t="shared" si="7"/>
        <v>0</v>
      </c>
      <c r="BM104" s="72">
        <f t="shared" si="8"/>
        <v>0</v>
      </c>
      <c r="BN104" s="72">
        <f t="shared" si="9"/>
        <v>0</v>
      </c>
      <c r="BO104" s="72">
        <f t="shared" si="10"/>
        <v>0</v>
      </c>
      <c r="BP104" s="72">
        <f t="shared" si="11"/>
        <v>0</v>
      </c>
    </row>
    <row r="105" spans="1:68" x14ac:dyDescent="0.2">
      <c r="A105" s="467">
        <v>102</v>
      </c>
      <c r="B105" s="468" t="s">
        <v>606</v>
      </c>
      <c r="C105" s="469" t="s">
        <v>607</v>
      </c>
      <c r="D105" s="72">
        <f>SUMIFS('GSTR-2A'!$G$6:$G$10000,'GSTR-2A'!$B$6:$B$10000,$C$5:$C$4995,'GSTR-2A'!$A$6:$A$10000,$D$3)</f>
        <v>0</v>
      </c>
      <c r="E105" s="72">
        <f>SUMIFS('GSTR-2A'!$K$6:$K$10000,'GSTR-2A'!$B$6:$B$10000,$C$5:$C$4995,'GSTR-2A'!$A$6:$A$10000,$D$3)</f>
        <v>0</v>
      </c>
      <c r="F105" s="72">
        <f>SUMIFS('GSTR-2A'!$L$6:$L$10000,'GSTR-2A'!$B$6:$B$10000,$C$5:$C$4995,'GSTR-2A'!$A$6:$A$10000,$D$3)</f>
        <v>0</v>
      </c>
      <c r="G105" s="72">
        <f>SUMIFS('GSTR-2A'!$M$6:$M$10000,'GSTR-2A'!$B$6:$B$10000,$C$5:$C$4995,'GSTR-2A'!$A$6:$A$10000,$D$3)</f>
        <v>0</v>
      </c>
      <c r="H105" s="72">
        <f>SUMIFS('GSTR-2A'!$N$6:$N$10000,'GSTR-2A'!$B$6:$B$10000,$C$5:$C$4995,'GSTR-2A'!$A$6:$A$10000,$D$3)</f>
        <v>0</v>
      </c>
      <c r="I105" s="486">
        <f>SUMIFS('GSTR-2A'!$G$6:$G$10000,'GSTR-2A'!$B$6:$B$10000,$C$5:$C$4995,'GSTR-2A'!$A$6:$A$10000,$I$3)</f>
        <v>29500</v>
      </c>
      <c r="J105" s="487">
        <f>SUMIFS('GSTR-2A'!$K$6:$K$10000,'GSTR-2A'!$B$6:$B$10000,$C$5:$C$4995,'GSTR-2A'!$A$6:$A$10000,$I$3)</f>
        <v>25000</v>
      </c>
      <c r="K105" s="487">
        <f>SUMIFS('GSTR-2A'!$L$6:$L$10000,'GSTR-2A'!$B$6:$B$10000,$C$5:$C$4995,'GSTR-2A'!$A$6:$A$10000,$I$3)</f>
        <v>0</v>
      </c>
      <c r="L105" s="487">
        <f>SUMIFS('GSTR-2A'!$M$6:$M$10000,'GSTR-2A'!$B$6:$B$10000,$C$5:$C$4995,'GSTR-2A'!$A$6:$A$10000,$I$3)</f>
        <v>2250</v>
      </c>
      <c r="M105" s="488">
        <f>SUMIFS('GSTR-2A'!$N$6:$N$10000,'GSTR-2A'!$B$6:$B$10000,$C$5:$C$4995,'GSTR-2A'!$A$6:$A$10000,$I$3)</f>
        <v>2250</v>
      </c>
      <c r="N105" s="486">
        <f>SUMIFS('GSTR-2A'!$G$6:$G$10000,'GSTR-2A'!$B$6:$B$10000,$C$5:$C$4995,'GSTR-2A'!$A$6:$A$10000,$N$3)</f>
        <v>0</v>
      </c>
      <c r="O105" s="487">
        <f>SUMIFS('GSTR-2A'!$K$6:$K$10000,'GSTR-2A'!$B$6:$B$10000,$C$5:$C$4995,'GSTR-2A'!$A$6:$A$10000,$N$3)</f>
        <v>0</v>
      </c>
      <c r="P105" s="487">
        <f>SUMIFS('GSTR-2A'!$L$6:$L$10000,'GSTR-2A'!$B$6:$B$10000,$C$5:$C$4995,'GSTR-2A'!$A$6:$A$10000,$N$3)</f>
        <v>0</v>
      </c>
      <c r="Q105" s="487">
        <f>SUMIFS('GSTR-2A'!$M$6:$M$10000,'GSTR-2A'!$B$6:$B$10000,$C$5:$C$4995,'GSTR-2A'!$A$6:$A$10000,$N$3)</f>
        <v>0</v>
      </c>
      <c r="R105" s="488">
        <f>SUMIFS('GSTR-2A'!$N$6:$N$10000,'GSTR-2A'!$B$6:$B$10000,$C$5:$C$4995,'GSTR-2A'!$A$6:$A$10000,$N$3)</f>
        <v>0</v>
      </c>
      <c r="S105" s="486">
        <f>SUMIFS('GSTR-2A'!$G$6:$G$10000,'GSTR-2A'!$B$6:$B$10000,$C$5:$C$4995,'GSTR-2A'!$A$6:$A$10000,$S$3)</f>
        <v>11800</v>
      </c>
      <c r="T105" s="487">
        <f>SUMIFS('GSTR-2A'!$K$6:$K$10000,'GSTR-2A'!$B$6:$B$10000,$C$5:$C$4995,'GSTR-2A'!$A$6:$A$10000,$S$3)</f>
        <v>10000</v>
      </c>
      <c r="U105" s="487">
        <f>SUMIFS('GSTR-2A'!$L$6:$L$10000,'GSTR-2A'!$B$6:$B$10000,$C$5:$C$4995,'GSTR-2A'!$A$6:$A$10000,$S$3)</f>
        <v>0</v>
      </c>
      <c r="V105" s="487">
        <f>SUMIFS('GSTR-2A'!$M$6:$M$10000,'GSTR-2A'!$B$6:$B$10000,$C$5:$C$4995,'GSTR-2A'!$A$6:$A$10000,$S$3)</f>
        <v>900</v>
      </c>
      <c r="W105" s="488">
        <f>SUMIFS('GSTR-2A'!$N$6:$N$10000,'GSTR-2A'!$B$6:$B$10000,$C$5:$C$4995,'GSTR-2A'!$A$6:$A$10000,$S$3)</f>
        <v>900</v>
      </c>
      <c r="X105" s="486">
        <f>SUMIFS('GSTR-2A'!$G$6:$G$10000,'GSTR-2A'!$B$6:$B$10000,$C$5:$C$4995,'GSTR-2A'!$A$6:$A$10000,$X$3)</f>
        <v>12805</v>
      </c>
      <c r="Y105" s="487">
        <f>SUMIFS('GSTR-2A'!$K$6:$K$10000,'GSTR-2A'!$B$6:$B$10000,$C$5:$C$4995,'GSTR-2A'!$A$6:$A$10000,$X$3)</f>
        <v>10852</v>
      </c>
      <c r="Z105" s="487">
        <f>SUMIFS('GSTR-2A'!$L$6:$L$10000,'GSTR-2A'!$B$6:$B$10000,$C$5:$C$4995,'GSTR-2A'!$A$6:$A$10000,$X$3)</f>
        <v>0</v>
      </c>
      <c r="AA105" s="487">
        <f>SUMIFS('GSTR-2A'!$M$6:$M$10000,'GSTR-2A'!$B$6:$B$10000,$C$5:$C$4995,'GSTR-2A'!$A$6:$A$10000,$X$3)</f>
        <v>976.68</v>
      </c>
      <c r="AB105" s="488">
        <f>SUMIFS('GSTR-2A'!$N$6:$N$10000,'GSTR-2A'!$B$6:$B$10000,$C$5:$C$4995,'GSTR-2A'!$A$6:$A$10000,$X$3)</f>
        <v>976.68</v>
      </c>
      <c r="AC105" s="486">
        <f>SUMIFS('GSTR-2A'!$G$6:$G$10000,'GSTR-2A'!$B$6:$B$10000,$C$5:$C$4995,'GSTR-2A'!$A$6:$A$10000,$AC$3)</f>
        <v>0</v>
      </c>
      <c r="AD105" s="487">
        <f>SUMIFS('GSTR-2A'!$K$6:$K$10000,'GSTR-2A'!$B$6:$B$10000,$C$5:$C$4995,'GSTR-2A'!$A$6:$A$10000,$AC$3)</f>
        <v>0</v>
      </c>
      <c r="AE105" s="487">
        <f>SUMIFS('GSTR-2A'!$L$6:$L$10000,'GSTR-2A'!$B$6:$B$10000,$C$5:$C$4995,'GSTR-2A'!$A$6:$A$10000,$AC$3)</f>
        <v>0</v>
      </c>
      <c r="AF105" s="487">
        <f>SUMIFS('GSTR-2A'!$M$6:$M$10000,'GSTR-2A'!$B$6:$B$10000,$C$5:$C$4995,'GSTR-2A'!$A$6:$A$10000,$AC$3)</f>
        <v>0</v>
      </c>
      <c r="AG105" s="488">
        <f>SUMIFS('GSTR-2A'!$N$6:$N$10000,'GSTR-2A'!$B$6:$B$10000,$C$5:$C$4995,'GSTR-2A'!$A$6:$A$10000,$AC$3)</f>
        <v>0</v>
      </c>
      <c r="AH105" s="486">
        <f>SUMIFS('GSTR-2A'!$G$6:$G$10000,'GSTR-2A'!$B$6:$B$10000,$C$5:$C$4995,'GSTR-2A'!$A$6:$A$10000,$AH$3)</f>
        <v>0</v>
      </c>
      <c r="AI105" s="487">
        <f>SUMIFS('GSTR-2A'!$K$6:$K$10000,'GSTR-2A'!$B$6:$B$10000,$C$5:$C$4995,'GSTR-2A'!$A$6:$A$10000,$AH$3)</f>
        <v>0</v>
      </c>
      <c r="AJ105" s="487">
        <f>SUMIFS('GSTR-2A'!$L$6:$L$10000,'GSTR-2A'!$B$6:$B$10000,$C$5:$C$4995,'GSTR-2A'!$A$6:$A$10000,$AH$3)</f>
        <v>0</v>
      </c>
      <c r="AK105" s="487">
        <f>SUMIFS('GSTR-2A'!$M$6:$M$10000,'GSTR-2A'!$B$6:$B$10000,$C$5:$C$4995,'GSTR-2A'!$A$6:$A$10000,$AH$3)</f>
        <v>0</v>
      </c>
      <c r="AL105" s="488">
        <f>SUMIFS('GSTR-2A'!$N$6:$N$10000,'GSTR-2A'!$B$6:$B$10000,$C$5:$C$4995,'GSTR-2A'!$A$6:$A$10000,$AH$3)</f>
        <v>0</v>
      </c>
      <c r="AM105" s="486">
        <f>SUMIFS('GSTR-2A'!$G$6:$G$10000,'GSTR-2A'!$B$6:$B$10000,$C$5:$C$4995,'GSTR-2A'!$A$6:$A$10000,$AM$3)</f>
        <v>0</v>
      </c>
      <c r="AN105" s="487">
        <f>SUMIFS('GSTR-2A'!$K$6:$K$10000,'GSTR-2A'!$B$6:$B$10000,$C$5:$C$4995,'GSTR-2A'!$A$6:$A$10000,$AM$3)</f>
        <v>0</v>
      </c>
      <c r="AO105" s="487">
        <f>SUMIFS('GSTR-2A'!$L$6:$L$10000,'GSTR-2A'!$B$6:$B$10000,$C$5:$C$4995,'GSTR-2A'!$A$6:$A$10000,$AM$3)</f>
        <v>0</v>
      </c>
      <c r="AP105" s="487">
        <f>SUMIFS('GSTR-2A'!$M$6:$M$10000,'GSTR-2A'!$B$6:$B$10000,$C$5:$C$4995,'GSTR-2A'!$A$6:$A$10000,$AM$3)</f>
        <v>0</v>
      </c>
      <c r="AQ105" s="488">
        <f>SUMIFS('GSTR-2A'!$N$6:$N$10000,'GSTR-2A'!$B$6:$B$10000,$C$5:$C$4995,'GSTR-2A'!$A$6:$A$10000,$AM$3)</f>
        <v>0</v>
      </c>
      <c r="AR105" s="486">
        <f>SUMIFS('GSTR-2A'!$G$6:$G$10000,'GSTR-2A'!$B$6:$B$10000,$C$5:$C$4995,'GSTR-2A'!$A$6:$A$10000,$AR$3)</f>
        <v>0</v>
      </c>
      <c r="AS105" s="487">
        <f>SUMIFS('GSTR-2A'!$K$6:$K$10000,'GSTR-2A'!$B$6:$B$10000,$C$5:$C$4995,'GSTR-2A'!$A$6:$A$10000,$AR$3)</f>
        <v>0</v>
      </c>
      <c r="AT105" s="487">
        <f>SUMIFS('GSTR-2A'!$L$6:$L$10000,'GSTR-2A'!$B$6:$B$10000,$C$5:$C$4995,'GSTR-2A'!$A$6:$A$10000,$AR$3)</f>
        <v>0</v>
      </c>
      <c r="AU105" s="487">
        <f>SUMIFS('GSTR-2A'!$M$6:$M$10000,'GSTR-2A'!$B$6:$B$10000,$C$5:$C$4995,'GSTR-2A'!$A$6:$A$10000,$AR$3)</f>
        <v>0</v>
      </c>
      <c r="AV105" s="488">
        <f>SUMIFS('GSTR-2A'!$N$6:$N$10000,'GSTR-2A'!$B$6:$B$10000,$C$5:$C$4995,'GSTR-2A'!$A$6:$A$10000,$AR$3)</f>
        <v>0</v>
      </c>
      <c r="AW105" s="486">
        <f>SUMIFS('GSTR-2A'!$G$6:$G$10000,'GSTR-2A'!$B$6:$B$10000,$C$5:$C$4995,'GSTR-2A'!$A$6:$A$10000,$AW$3)</f>
        <v>0</v>
      </c>
      <c r="AX105" s="487">
        <f>SUMIFS('GSTR-2A'!$K$6:$K$10000,'GSTR-2A'!$B$6:$B$10000,$C$5:$C$4995,'GSTR-2A'!$A$6:$A$10000,$AW$3)</f>
        <v>0</v>
      </c>
      <c r="AY105" s="487">
        <f>SUMIFS('GSTR-2A'!$L$6:$L$10000,'GSTR-2A'!$B$6:$B$10000,$C$5:$C$4995,'GSTR-2A'!$A$6:$A$10000,$AW$3)</f>
        <v>0</v>
      </c>
      <c r="AZ105" s="487">
        <f>SUMIFS('GSTR-2A'!$M$6:$M$10000,'GSTR-2A'!$B$6:$B$10000,$C$5:$C$4995,'GSTR-2A'!$A$6:$A$10000,$AW$3)</f>
        <v>0</v>
      </c>
      <c r="BA105" s="488">
        <f>SUMIFS('GSTR-2A'!$N$6:$N$10000,'GSTR-2A'!$B$6:$B$10000,$C$5:$C$4995,'GSTR-2A'!$A$6:$A$10000,$AW$3)</f>
        <v>0</v>
      </c>
      <c r="BB105" s="486">
        <f>SUMIFS('GSTR-2A'!$G$6:$G$10000,'GSTR-2A'!$B$6:$B$10000,$C$5:$C$4995,'GSTR-2A'!$A$6:$A$10000,$BB$3)</f>
        <v>0</v>
      </c>
      <c r="BC105" s="487">
        <f>SUMIFS('GSTR-2A'!$K$6:$K$10000,'GSTR-2A'!$B$6:$B$10000,$C$5:$C$4995,'GSTR-2A'!$A$6:$A$10000,$BB$3)</f>
        <v>0</v>
      </c>
      <c r="BD105" s="487">
        <f>SUMIFS('GSTR-2A'!$L$6:$L$10000,'GSTR-2A'!$B$6:$B$10000,$C$5:$C$4995,'GSTR-2A'!$A$6:$A$10000,$BB$3)</f>
        <v>0</v>
      </c>
      <c r="BE105" s="487">
        <f>SUMIFS('GSTR-2A'!$M$6:$M$10000,'GSTR-2A'!$B$6:$B$10000,$C$5:$C$4995,'GSTR-2A'!$A$6:$A$10000,$BB$3)</f>
        <v>0</v>
      </c>
      <c r="BF105" s="488">
        <f>SUMIFS('GSTR-2A'!$N$6:$N$10000,'GSTR-2A'!$B$6:$B$10000,$C$5:$C$4995,'GSTR-2A'!$A$6:$A$10000,$BB$3)</f>
        <v>0</v>
      </c>
      <c r="BG105" s="486">
        <f>SUMIFS('GSTR-2A'!$G$6:$G$10000,'GSTR-2A'!$B$6:$B$10000,$C$5:$C$4995,'GSTR-2A'!$A$6:$A$10000,$BG$3)</f>
        <v>0</v>
      </c>
      <c r="BH105" s="487">
        <f>SUMIFS('GSTR-2A'!$K$6:$K$10000,'GSTR-2A'!$B$6:$B$10000,$C$5:$C$4995,'GSTR-2A'!$A$6:$A$10000,$BG$3)</f>
        <v>0</v>
      </c>
      <c r="BI105" s="487">
        <f>SUMIFS('GSTR-2A'!$L$6:$L$10000,'GSTR-2A'!$B$6:$B$10000,$C$5:$C$4995,'GSTR-2A'!$A$6:$A$10000,$BG$3)</f>
        <v>0</v>
      </c>
      <c r="BJ105" s="487">
        <f>SUMIFS('GSTR-2A'!$M$6:$M$10000,'GSTR-2A'!$B$6:$B$10000,$C$5:$C$4995,'GSTR-2A'!$A$6:$A$10000,$BG$3)</f>
        <v>0</v>
      </c>
      <c r="BK105" s="488">
        <f>SUMIFS('GSTR-2A'!$N$6:$N$10000,'GSTR-2A'!$B$6:$B$10000,$C$5:$C$4995,'GSTR-2A'!$A$6:$A$10000,$BG$3)</f>
        <v>0</v>
      </c>
      <c r="BL105" s="72">
        <f t="shared" si="7"/>
        <v>54105</v>
      </c>
      <c r="BM105" s="72">
        <f t="shared" si="8"/>
        <v>45852</v>
      </c>
      <c r="BN105" s="72">
        <f t="shared" si="9"/>
        <v>0</v>
      </c>
      <c r="BO105" s="72">
        <f t="shared" si="10"/>
        <v>4126.68</v>
      </c>
      <c r="BP105" s="72">
        <f t="shared" si="11"/>
        <v>4126.68</v>
      </c>
    </row>
    <row r="106" spans="1:68" x14ac:dyDescent="0.2">
      <c r="A106" s="467">
        <v>103</v>
      </c>
      <c r="B106" s="468" t="s">
        <v>551</v>
      </c>
      <c r="C106" s="469" t="s">
        <v>552</v>
      </c>
      <c r="D106" s="72">
        <f>SUMIFS('GSTR-2A'!$G$6:$G$10000,'GSTR-2A'!$B$6:$B$10000,$C$5:$C$4995,'GSTR-2A'!$A$6:$A$10000,$D$3)</f>
        <v>0</v>
      </c>
      <c r="E106" s="72">
        <f>SUMIFS('GSTR-2A'!$K$6:$K$10000,'GSTR-2A'!$B$6:$B$10000,$C$5:$C$4995,'GSTR-2A'!$A$6:$A$10000,$D$3)</f>
        <v>0</v>
      </c>
      <c r="F106" s="72">
        <f>SUMIFS('GSTR-2A'!$L$6:$L$10000,'GSTR-2A'!$B$6:$B$10000,$C$5:$C$4995,'GSTR-2A'!$A$6:$A$10000,$D$3)</f>
        <v>0</v>
      </c>
      <c r="G106" s="72">
        <f>SUMIFS('GSTR-2A'!$M$6:$M$10000,'GSTR-2A'!$B$6:$B$10000,$C$5:$C$4995,'GSTR-2A'!$A$6:$A$10000,$D$3)</f>
        <v>0</v>
      </c>
      <c r="H106" s="72">
        <f>SUMIFS('GSTR-2A'!$N$6:$N$10000,'GSTR-2A'!$B$6:$B$10000,$C$5:$C$4995,'GSTR-2A'!$A$6:$A$10000,$D$3)</f>
        <v>0</v>
      </c>
      <c r="I106" s="486">
        <f>SUMIFS('GSTR-2A'!$G$6:$G$10000,'GSTR-2A'!$B$6:$B$10000,$C$5:$C$4995,'GSTR-2A'!$A$6:$A$10000,$I$3)</f>
        <v>0</v>
      </c>
      <c r="J106" s="487">
        <f>SUMIFS('GSTR-2A'!$K$6:$K$10000,'GSTR-2A'!$B$6:$B$10000,$C$5:$C$4995,'GSTR-2A'!$A$6:$A$10000,$I$3)</f>
        <v>0</v>
      </c>
      <c r="K106" s="487">
        <f>SUMIFS('GSTR-2A'!$L$6:$L$10000,'GSTR-2A'!$B$6:$B$10000,$C$5:$C$4995,'GSTR-2A'!$A$6:$A$10000,$I$3)</f>
        <v>0</v>
      </c>
      <c r="L106" s="487">
        <f>SUMIFS('GSTR-2A'!$M$6:$M$10000,'GSTR-2A'!$B$6:$B$10000,$C$5:$C$4995,'GSTR-2A'!$A$6:$A$10000,$I$3)</f>
        <v>0</v>
      </c>
      <c r="M106" s="488">
        <f>SUMIFS('GSTR-2A'!$N$6:$N$10000,'GSTR-2A'!$B$6:$B$10000,$C$5:$C$4995,'GSTR-2A'!$A$6:$A$10000,$I$3)</f>
        <v>0</v>
      </c>
      <c r="N106" s="486">
        <f>SUMIFS('GSTR-2A'!$G$6:$G$10000,'GSTR-2A'!$B$6:$B$10000,$C$5:$C$4995,'GSTR-2A'!$A$6:$A$10000,$N$3)</f>
        <v>4874</v>
      </c>
      <c r="O106" s="487">
        <f>SUMIFS('GSTR-2A'!$K$6:$K$10000,'GSTR-2A'!$B$6:$B$10000,$C$5:$C$4995,'GSTR-2A'!$A$6:$A$10000,$N$3)</f>
        <v>4130</v>
      </c>
      <c r="P106" s="487">
        <f>SUMIFS('GSTR-2A'!$L$6:$L$10000,'GSTR-2A'!$B$6:$B$10000,$C$5:$C$4995,'GSTR-2A'!$A$6:$A$10000,$N$3)</f>
        <v>0</v>
      </c>
      <c r="Q106" s="487">
        <f>SUMIFS('GSTR-2A'!$M$6:$M$10000,'GSTR-2A'!$B$6:$B$10000,$C$5:$C$4995,'GSTR-2A'!$A$6:$A$10000,$N$3)</f>
        <v>371.7</v>
      </c>
      <c r="R106" s="488">
        <f>SUMIFS('GSTR-2A'!$N$6:$N$10000,'GSTR-2A'!$B$6:$B$10000,$C$5:$C$4995,'GSTR-2A'!$A$6:$A$10000,$N$3)</f>
        <v>371.7</v>
      </c>
      <c r="S106" s="486">
        <f>SUMIFS('GSTR-2A'!$G$6:$G$10000,'GSTR-2A'!$B$6:$B$10000,$C$5:$C$4995,'GSTR-2A'!$A$6:$A$10000,$S$3)</f>
        <v>0</v>
      </c>
      <c r="T106" s="487">
        <f>SUMIFS('GSTR-2A'!$K$6:$K$10000,'GSTR-2A'!$B$6:$B$10000,$C$5:$C$4995,'GSTR-2A'!$A$6:$A$10000,$S$3)</f>
        <v>0</v>
      </c>
      <c r="U106" s="487">
        <f>SUMIFS('GSTR-2A'!$L$6:$L$10000,'GSTR-2A'!$B$6:$B$10000,$C$5:$C$4995,'GSTR-2A'!$A$6:$A$10000,$S$3)</f>
        <v>0</v>
      </c>
      <c r="V106" s="487">
        <f>SUMIFS('GSTR-2A'!$M$6:$M$10000,'GSTR-2A'!$B$6:$B$10000,$C$5:$C$4995,'GSTR-2A'!$A$6:$A$10000,$S$3)</f>
        <v>0</v>
      </c>
      <c r="W106" s="488">
        <f>SUMIFS('GSTR-2A'!$N$6:$N$10000,'GSTR-2A'!$B$6:$B$10000,$C$5:$C$4995,'GSTR-2A'!$A$6:$A$10000,$S$3)</f>
        <v>0</v>
      </c>
      <c r="X106" s="486">
        <f>SUMIFS('GSTR-2A'!$G$6:$G$10000,'GSTR-2A'!$B$6:$B$10000,$C$5:$C$4995,'GSTR-2A'!$A$6:$A$10000,$X$3)</f>
        <v>0</v>
      </c>
      <c r="Y106" s="487">
        <f>SUMIFS('GSTR-2A'!$K$6:$K$10000,'GSTR-2A'!$B$6:$B$10000,$C$5:$C$4995,'GSTR-2A'!$A$6:$A$10000,$X$3)</f>
        <v>0</v>
      </c>
      <c r="Z106" s="487">
        <f>SUMIFS('GSTR-2A'!$L$6:$L$10000,'GSTR-2A'!$B$6:$B$10000,$C$5:$C$4995,'GSTR-2A'!$A$6:$A$10000,$X$3)</f>
        <v>0</v>
      </c>
      <c r="AA106" s="487">
        <f>SUMIFS('GSTR-2A'!$M$6:$M$10000,'GSTR-2A'!$B$6:$B$10000,$C$5:$C$4995,'GSTR-2A'!$A$6:$A$10000,$X$3)</f>
        <v>0</v>
      </c>
      <c r="AB106" s="488">
        <f>SUMIFS('GSTR-2A'!$N$6:$N$10000,'GSTR-2A'!$B$6:$B$10000,$C$5:$C$4995,'GSTR-2A'!$A$6:$A$10000,$X$3)</f>
        <v>0</v>
      </c>
      <c r="AC106" s="486">
        <f>SUMIFS('GSTR-2A'!$G$6:$G$10000,'GSTR-2A'!$B$6:$B$10000,$C$5:$C$4995,'GSTR-2A'!$A$6:$A$10000,$AC$3)</f>
        <v>25866</v>
      </c>
      <c r="AD106" s="487">
        <f>SUMIFS('GSTR-2A'!$K$6:$K$10000,'GSTR-2A'!$B$6:$B$10000,$C$5:$C$4995,'GSTR-2A'!$A$6:$A$10000,$AC$3)</f>
        <v>21920</v>
      </c>
      <c r="AE106" s="487">
        <f>SUMIFS('GSTR-2A'!$L$6:$L$10000,'GSTR-2A'!$B$6:$B$10000,$C$5:$C$4995,'GSTR-2A'!$A$6:$A$10000,$AC$3)</f>
        <v>0</v>
      </c>
      <c r="AF106" s="487">
        <f>SUMIFS('GSTR-2A'!$M$6:$M$10000,'GSTR-2A'!$B$6:$B$10000,$C$5:$C$4995,'GSTR-2A'!$A$6:$A$10000,$AC$3)</f>
        <v>1972.8</v>
      </c>
      <c r="AG106" s="488">
        <f>SUMIFS('GSTR-2A'!$N$6:$N$10000,'GSTR-2A'!$B$6:$B$10000,$C$5:$C$4995,'GSTR-2A'!$A$6:$A$10000,$AC$3)</f>
        <v>1972.8</v>
      </c>
      <c r="AH106" s="486">
        <f>SUMIFS('GSTR-2A'!$G$6:$G$10000,'GSTR-2A'!$B$6:$B$10000,$C$5:$C$4995,'GSTR-2A'!$A$6:$A$10000,$AH$3)</f>
        <v>0</v>
      </c>
      <c r="AI106" s="487">
        <f>SUMIFS('GSTR-2A'!$K$6:$K$10000,'GSTR-2A'!$B$6:$B$10000,$C$5:$C$4995,'GSTR-2A'!$A$6:$A$10000,$AH$3)</f>
        <v>0</v>
      </c>
      <c r="AJ106" s="487">
        <f>SUMIFS('GSTR-2A'!$L$6:$L$10000,'GSTR-2A'!$B$6:$B$10000,$C$5:$C$4995,'GSTR-2A'!$A$6:$A$10000,$AH$3)</f>
        <v>0</v>
      </c>
      <c r="AK106" s="487">
        <f>SUMIFS('GSTR-2A'!$M$6:$M$10000,'GSTR-2A'!$B$6:$B$10000,$C$5:$C$4995,'GSTR-2A'!$A$6:$A$10000,$AH$3)</f>
        <v>0</v>
      </c>
      <c r="AL106" s="488">
        <f>SUMIFS('GSTR-2A'!$N$6:$N$10000,'GSTR-2A'!$B$6:$B$10000,$C$5:$C$4995,'GSTR-2A'!$A$6:$A$10000,$AH$3)</f>
        <v>0</v>
      </c>
      <c r="AM106" s="486">
        <f>SUMIFS('GSTR-2A'!$G$6:$G$10000,'GSTR-2A'!$B$6:$B$10000,$C$5:$C$4995,'GSTR-2A'!$A$6:$A$10000,$AM$3)</f>
        <v>0</v>
      </c>
      <c r="AN106" s="487">
        <f>SUMIFS('GSTR-2A'!$K$6:$K$10000,'GSTR-2A'!$B$6:$B$10000,$C$5:$C$4995,'GSTR-2A'!$A$6:$A$10000,$AM$3)</f>
        <v>0</v>
      </c>
      <c r="AO106" s="487">
        <f>SUMIFS('GSTR-2A'!$L$6:$L$10000,'GSTR-2A'!$B$6:$B$10000,$C$5:$C$4995,'GSTR-2A'!$A$6:$A$10000,$AM$3)</f>
        <v>0</v>
      </c>
      <c r="AP106" s="487">
        <f>SUMIFS('GSTR-2A'!$M$6:$M$10000,'GSTR-2A'!$B$6:$B$10000,$C$5:$C$4995,'GSTR-2A'!$A$6:$A$10000,$AM$3)</f>
        <v>0</v>
      </c>
      <c r="AQ106" s="488">
        <f>SUMIFS('GSTR-2A'!$N$6:$N$10000,'GSTR-2A'!$B$6:$B$10000,$C$5:$C$4995,'GSTR-2A'!$A$6:$A$10000,$AM$3)</f>
        <v>0</v>
      </c>
      <c r="AR106" s="486">
        <f>SUMIFS('GSTR-2A'!$G$6:$G$10000,'GSTR-2A'!$B$6:$B$10000,$C$5:$C$4995,'GSTR-2A'!$A$6:$A$10000,$AR$3)</f>
        <v>0</v>
      </c>
      <c r="AS106" s="487">
        <f>SUMIFS('GSTR-2A'!$K$6:$K$10000,'GSTR-2A'!$B$6:$B$10000,$C$5:$C$4995,'GSTR-2A'!$A$6:$A$10000,$AR$3)</f>
        <v>0</v>
      </c>
      <c r="AT106" s="487">
        <f>SUMIFS('GSTR-2A'!$L$6:$L$10000,'GSTR-2A'!$B$6:$B$10000,$C$5:$C$4995,'GSTR-2A'!$A$6:$A$10000,$AR$3)</f>
        <v>0</v>
      </c>
      <c r="AU106" s="487">
        <f>SUMIFS('GSTR-2A'!$M$6:$M$10000,'GSTR-2A'!$B$6:$B$10000,$C$5:$C$4995,'GSTR-2A'!$A$6:$A$10000,$AR$3)</f>
        <v>0</v>
      </c>
      <c r="AV106" s="488">
        <f>SUMIFS('GSTR-2A'!$N$6:$N$10000,'GSTR-2A'!$B$6:$B$10000,$C$5:$C$4995,'GSTR-2A'!$A$6:$A$10000,$AR$3)</f>
        <v>0</v>
      </c>
      <c r="AW106" s="486">
        <f>SUMIFS('GSTR-2A'!$G$6:$G$10000,'GSTR-2A'!$B$6:$B$10000,$C$5:$C$4995,'GSTR-2A'!$A$6:$A$10000,$AW$3)</f>
        <v>0</v>
      </c>
      <c r="AX106" s="487">
        <f>SUMIFS('GSTR-2A'!$K$6:$K$10000,'GSTR-2A'!$B$6:$B$10000,$C$5:$C$4995,'GSTR-2A'!$A$6:$A$10000,$AW$3)</f>
        <v>0</v>
      </c>
      <c r="AY106" s="487">
        <f>SUMIFS('GSTR-2A'!$L$6:$L$10000,'GSTR-2A'!$B$6:$B$10000,$C$5:$C$4995,'GSTR-2A'!$A$6:$A$10000,$AW$3)</f>
        <v>0</v>
      </c>
      <c r="AZ106" s="487">
        <f>SUMIFS('GSTR-2A'!$M$6:$M$10000,'GSTR-2A'!$B$6:$B$10000,$C$5:$C$4995,'GSTR-2A'!$A$6:$A$10000,$AW$3)</f>
        <v>0</v>
      </c>
      <c r="BA106" s="488">
        <f>SUMIFS('GSTR-2A'!$N$6:$N$10000,'GSTR-2A'!$B$6:$B$10000,$C$5:$C$4995,'GSTR-2A'!$A$6:$A$10000,$AW$3)</f>
        <v>0</v>
      </c>
      <c r="BB106" s="486">
        <f>SUMIFS('GSTR-2A'!$G$6:$G$10000,'GSTR-2A'!$B$6:$B$10000,$C$5:$C$4995,'GSTR-2A'!$A$6:$A$10000,$BB$3)</f>
        <v>0</v>
      </c>
      <c r="BC106" s="487">
        <f>SUMIFS('GSTR-2A'!$K$6:$K$10000,'GSTR-2A'!$B$6:$B$10000,$C$5:$C$4995,'GSTR-2A'!$A$6:$A$10000,$BB$3)</f>
        <v>0</v>
      </c>
      <c r="BD106" s="487">
        <f>SUMIFS('GSTR-2A'!$L$6:$L$10000,'GSTR-2A'!$B$6:$B$10000,$C$5:$C$4995,'GSTR-2A'!$A$6:$A$10000,$BB$3)</f>
        <v>0</v>
      </c>
      <c r="BE106" s="487">
        <f>SUMIFS('GSTR-2A'!$M$6:$M$10000,'GSTR-2A'!$B$6:$B$10000,$C$5:$C$4995,'GSTR-2A'!$A$6:$A$10000,$BB$3)</f>
        <v>0</v>
      </c>
      <c r="BF106" s="488">
        <f>SUMIFS('GSTR-2A'!$N$6:$N$10000,'GSTR-2A'!$B$6:$B$10000,$C$5:$C$4995,'GSTR-2A'!$A$6:$A$10000,$BB$3)</f>
        <v>0</v>
      </c>
      <c r="BG106" s="486">
        <f>SUMIFS('GSTR-2A'!$G$6:$G$10000,'GSTR-2A'!$B$6:$B$10000,$C$5:$C$4995,'GSTR-2A'!$A$6:$A$10000,$BG$3)</f>
        <v>0</v>
      </c>
      <c r="BH106" s="487">
        <f>SUMIFS('GSTR-2A'!$K$6:$K$10000,'GSTR-2A'!$B$6:$B$10000,$C$5:$C$4995,'GSTR-2A'!$A$6:$A$10000,$BG$3)</f>
        <v>0</v>
      </c>
      <c r="BI106" s="487">
        <f>SUMIFS('GSTR-2A'!$L$6:$L$10000,'GSTR-2A'!$B$6:$B$10000,$C$5:$C$4995,'GSTR-2A'!$A$6:$A$10000,$BG$3)</f>
        <v>0</v>
      </c>
      <c r="BJ106" s="487">
        <f>SUMIFS('GSTR-2A'!$M$6:$M$10000,'GSTR-2A'!$B$6:$B$10000,$C$5:$C$4995,'GSTR-2A'!$A$6:$A$10000,$BG$3)</f>
        <v>0</v>
      </c>
      <c r="BK106" s="488">
        <f>SUMIFS('GSTR-2A'!$N$6:$N$10000,'GSTR-2A'!$B$6:$B$10000,$C$5:$C$4995,'GSTR-2A'!$A$6:$A$10000,$BG$3)</f>
        <v>0</v>
      </c>
      <c r="BL106" s="72">
        <f t="shared" si="7"/>
        <v>30740</v>
      </c>
      <c r="BM106" s="72">
        <f t="shared" si="8"/>
        <v>26050</v>
      </c>
      <c r="BN106" s="72">
        <f t="shared" si="9"/>
        <v>0</v>
      </c>
      <c r="BO106" s="72">
        <f t="shared" si="10"/>
        <v>2344.5</v>
      </c>
      <c r="BP106" s="72">
        <f t="shared" si="11"/>
        <v>2344.5</v>
      </c>
    </row>
    <row r="107" spans="1:68" x14ac:dyDescent="0.2">
      <c r="A107" s="467">
        <v>104</v>
      </c>
      <c r="B107" s="468" t="s">
        <v>1154</v>
      </c>
      <c r="C107" s="469" t="s">
        <v>1155</v>
      </c>
      <c r="D107" s="72">
        <f>SUMIFS('GSTR-2A'!$G$6:$G$10000,'GSTR-2A'!$B$6:$B$10000,$C$5:$C$4995,'GSTR-2A'!$A$6:$A$10000,$D$3)</f>
        <v>0</v>
      </c>
      <c r="E107" s="72">
        <f>SUMIFS('GSTR-2A'!$K$6:$K$10000,'GSTR-2A'!$B$6:$B$10000,$C$5:$C$4995,'GSTR-2A'!$A$6:$A$10000,$D$3)</f>
        <v>0</v>
      </c>
      <c r="F107" s="72">
        <f>SUMIFS('GSTR-2A'!$L$6:$L$10000,'GSTR-2A'!$B$6:$B$10000,$C$5:$C$4995,'GSTR-2A'!$A$6:$A$10000,$D$3)</f>
        <v>0</v>
      </c>
      <c r="G107" s="72">
        <f>SUMIFS('GSTR-2A'!$M$6:$M$10000,'GSTR-2A'!$B$6:$B$10000,$C$5:$C$4995,'GSTR-2A'!$A$6:$A$10000,$D$3)</f>
        <v>0</v>
      </c>
      <c r="H107" s="72">
        <f>SUMIFS('GSTR-2A'!$N$6:$N$10000,'GSTR-2A'!$B$6:$B$10000,$C$5:$C$4995,'GSTR-2A'!$A$6:$A$10000,$D$3)</f>
        <v>0</v>
      </c>
      <c r="I107" s="486">
        <f>SUMIFS('GSTR-2A'!$G$6:$G$10000,'GSTR-2A'!$B$6:$B$10000,$C$5:$C$4995,'GSTR-2A'!$A$6:$A$10000,$I$3)</f>
        <v>0</v>
      </c>
      <c r="J107" s="487">
        <f>SUMIFS('GSTR-2A'!$K$6:$K$10000,'GSTR-2A'!$B$6:$B$10000,$C$5:$C$4995,'GSTR-2A'!$A$6:$A$10000,$I$3)</f>
        <v>0</v>
      </c>
      <c r="K107" s="487">
        <f>SUMIFS('GSTR-2A'!$L$6:$L$10000,'GSTR-2A'!$B$6:$B$10000,$C$5:$C$4995,'GSTR-2A'!$A$6:$A$10000,$I$3)</f>
        <v>0</v>
      </c>
      <c r="L107" s="487">
        <f>SUMIFS('GSTR-2A'!$M$6:$M$10000,'GSTR-2A'!$B$6:$B$10000,$C$5:$C$4995,'GSTR-2A'!$A$6:$A$10000,$I$3)</f>
        <v>0</v>
      </c>
      <c r="M107" s="488">
        <f>SUMIFS('GSTR-2A'!$N$6:$N$10000,'GSTR-2A'!$B$6:$B$10000,$C$5:$C$4995,'GSTR-2A'!$A$6:$A$10000,$I$3)</f>
        <v>0</v>
      </c>
      <c r="N107" s="486">
        <f>SUMIFS('GSTR-2A'!$G$6:$G$10000,'GSTR-2A'!$B$6:$B$10000,$C$5:$C$4995,'GSTR-2A'!$A$6:$A$10000,$N$3)</f>
        <v>0</v>
      </c>
      <c r="O107" s="487">
        <f>SUMIFS('GSTR-2A'!$K$6:$K$10000,'GSTR-2A'!$B$6:$B$10000,$C$5:$C$4995,'GSTR-2A'!$A$6:$A$10000,$N$3)</f>
        <v>0</v>
      </c>
      <c r="P107" s="487">
        <f>SUMIFS('GSTR-2A'!$L$6:$L$10000,'GSTR-2A'!$B$6:$B$10000,$C$5:$C$4995,'GSTR-2A'!$A$6:$A$10000,$N$3)</f>
        <v>0</v>
      </c>
      <c r="Q107" s="487">
        <f>SUMIFS('GSTR-2A'!$M$6:$M$10000,'GSTR-2A'!$B$6:$B$10000,$C$5:$C$4995,'GSTR-2A'!$A$6:$A$10000,$N$3)</f>
        <v>0</v>
      </c>
      <c r="R107" s="488">
        <f>SUMIFS('GSTR-2A'!$N$6:$N$10000,'GSTR-2A'!$B$6:$B$10000,$C$5:$C$4995,'GSTR-2A'!$A$6:$A$10000,$N$3)</f>
        <v>0</v>
      </c>
      <c r="S107" s="486">
        <f>SUMIFS('GSTR-2A'!$G$6:$G$10000,'GSTR-2A'!$B$6:$B$10000,$C$5:$C$4995,'GSTR-2A'!$A$6:$A$10000,$S$3)</f>
        <v>0</v>
      </c>
      <c r="T107" s="487">
        <f>SUMIFS('GSTR-2A'!$K$6:$K$10000,'GSTR-2A'!$B$6:$B$10000,$C$5:$C$4995,'GSTR-2A'!$A$6:$A$10000,$S$3)</f>
        <v>0</v>
      </c>
      <c r="U107" s="487">
        <f>SUMIFS('GSTR-2A'!$L$6:$L$10000,'GSTR-2A'!$B$6:$B$10000,$C$5:$C$4995,'GSTR-2A'!$A$6:$A$10000,$S$3)</f>
        <v>0</v>
      </c>
      <c r="V107" s="487">
        <f>SUMIFS('GSTR-2A'!$M$6:$M$10000,'GSTR-2A'!$B$6:$B$10000,$C$5:$C$4995,'GSTR-2A'!$A$6:$A$10000,$S$3)</f>
        <v>0</v>
      </c>
      <c r="W107" s="488">
        <f>SUMIFS('GSTR-2A'!$N$6:$N$10000,'GSTR-2A'!$B$6:$B$10000,$C$5:$C$4995,'GSTR-2A'!$A$6:$A$10000,$S$3)</f>
        <v>0</v>
      </c>
      <c r="X107" s="486">
        <f>SUMIFS('GSTR-2A'!$G$6:$G$10000,'GSTR-2A'!$B$6:$B$10000,$C$5:$C$4995,'GSTR-2A'!$A$6:$A$10000,$X$3)</f>
        <v>0</v>
      </c>
      <c r="Y107" s="487">
        <f>SUMIFS('GSTR-2A'!$K$6:$K$10000,'GSTR-2A'!$B$6:$B$10000,$C$5:$C$4995,'GSTR-2A'!$A$6:$A$10000,$X$3)</f>
        <v>0</v>
      </c>
      <c r="Z107" s="487">
        <f>SUMIFS('GSTR-2A'!$L$6:$L$10000,'GSTR-2A'!$B$6:$B$10000,$C$5:$C$4995,'GSTR-2A'!$A$6:$A$10000,$X$3)</f>
        <v>0</v>
      </c>
      <c r="AA107" s="487">
        <f>SUMIFS('GSTR-2A'!$M$6:$M$10000,'GSTR-2A'!$B$6:$B$10000,$C$5:$C$4995,'GSTR-2A'!$A$6:$A$10000,$X$3)</f>
        <v>0</v>
      </c>
      <c r="AB107" s="488">
        <f>SUMIFS('GSTR-2A'!$N$6:$N$10000,'GSTR-2A'!$B$6:$B$10000,$C$5:$C$4995,'GSTR-2A'!$A$6:$A$10000,$X$3)</f>
        <v>0</v>
      </c>
      <c r="AC107" s="486">
        <f>SUMIFS('GSTR-2A'!$G$6:$G$10000,'GSTR-2A'!$B$6:$B$10000,$C$5:$C$4995,'GSTR-2A'!$A$6:$A$10000,$AC$3)</f>
        <v>0</v>
      </c>
      <c r="AD107" s="487">
        <f>SUMIFS('GSTR-2A'!$K$6:$K$10000,'GSTR-2A'!$B$6:$B$10000,$C$5:$C$4995,'GSTR-2A'!$A$6:$A$10000,$AC$3)</f>
        <v>0</v>
      </c>
      <c r="AE107" s="487">
        <f>SUMIFS('GSTR-2A'!$L$6:$L$10000,'GSTR-2A'!$B$6:$B$10000,$C$5:$C$4995,'GSTR-2A'!$A$6:$A$10000,$AC$3)</f>
        <v>0</v>
      </c>
      <c r="AF107" s="487">
        <f>SUMIFS('GSTR-2A'!$M$6:$M$10000,'GSTR-2A'!$B$6:$B$10000,$C$5:$C$4995,'GSTR-2A'!$A$6:$A$10000,$AC$3)</f>
        <v>0</v>
      </c>
      <c r="AG107" s="488">
        <f>SUMIFS('GSTR-2A'!$N$6:$N$10000,'GSTR-2A'!$B$6:$B$10000,$C$5:$C$4995,'GSTR-2A'!$A$6:$A$10000,$AC$3)</f>
        <v>0</v>
      </c>
      <c r="AH107" s="486">
        <f>SUMIFS('GSTR-2A'!$G$6:$G$10000,'GSTR-2A'!$B$6:$B$10000,$C$5:$C$4995,'GSTR-2A'!$A$6:$A$10000,$AH$3)</f>
        <v>0</v>
      </c>
      <c r="AI107" s="487">
        <f>SUMIFS('GSTR-2A'!$K$6:$K$10000,'GSTR-2A'!$B$6:$B$10000,$C$5:$C$4995,'GSTR-2A'!$A$6:$A$10000,$AH$3)</f>
        <v>0</v>
      </c>
      <c r="AJ107" s="487">
        <f>SUMIFS('GSTR-2A'!$L$6:$L$10000,'GSTR-2A'!$B$6:$B$10000,$C$5:$C$4995,'GSTR-2A'!$A$6:$A$10000,$AH$3)</f>
        <v>0</v>
      </c>
      <c r="AK107" s="487">
        <f>SUMIFS('GSTR-2A'!$M$6:$M$10000,'GSTR-2A'!$B$6:$B$10000,$C$5:$C$4995,'GSTR-2A'!$A$6:$A$10000,$AH$3)</f>
        <v>0</v>
      </c>
      <c r="AL107" s="488">
        <f>SUMIFS('GSTR-2A'!$N$6:$N$10000,'GSTR-2A'!$B$6:$B$10000,$C$5:$C$4995,'GSTR-2A'!$A$6:$A$10000,$AH$3)</f>
        <v>0</v>
      </c>
      <c r="AM107" s="486">
        <f>SUMIFS('GSTR-2A'!$G$6:$G$10000,'GSTR-2A'!$B$6:$B$10000,$C$5:$C$4995,'GSTR-2A'!$A$6:$A$10000,$AM$3)</f>
        <v>0</v>
      </c>
      <c r="AN107" s="487">
        <f>SUMIFS('GSTR-2A'!$K$6:$K$10000,'GSTR-2A'!$B$6:$B$10000,$C$5:$C$4995,'GSTR-2A'!$A$6:$A$10000,$AM$3)</f>
        <v>0</v>
      </c>
      <c r="AO107" s="487">
        <f>SUMIFS('GSTR-2A'!$L$6:$L$10000,'GSTR-2A'!$B$6:$B$10000,$C$5:$C$4995,'GSTR-2A'!$A$6:$A$10000,$AM$3)</f>
        <v>0</v>
      </c>
      <c r="AP107" s="487">
        <f>SUMIFS('GSTR-2A'!$M$6:$M$10000,'GSTR-2A'!$B$6:$B$10000,$C$5:$C$4995,'GSTR-2A'!$A$6:$A$10000,$AM$3)</f>
        <v>0</v>
      </c>
      <c r="AQ107" s="488">
        <f>SUMIFS('GSTR-2A'!$N$6:$N$10000,'GSTR-2A'!$B$6:$B$10000,$C$5:$C$4995,'GSTR-2A'!$A$6:$A$10000,$AM$3)</f>
        <v>0</v>
      </c>
      <c r="AR107" s="486">
        <f>SUMIFS('GSTR-2A'!$G$6:$G$10000,'GSTR-2A'!$B$6:$B$10000,$C$5:$C$4995,'GSTR-2A'!$A$6:$A$10000,$AR$3)</f>
        <v>0</v>
      </c>
      <c r="AS107" s="487">
        <f>SUMIFS('GSTR-2A'!$K$6:$K$10000,'GSTR-2A'!$B$6:$B$10000,$C$5:$C$4995,'GSTR-2A'!$A$6:$A$10000,$AR$3)</f>
        <v>0</v>
      </c>
      <c r="AT107" s="487">
        <f>SUMIFS('GSTR-2A'!$L$6:$L$10000,'GSTR-2A'!$B$6:$B$10000,$C$5:$C$4995,'GSTR-2A'!$A$6:$A$10000,$AR$3)</f>
        <v>0</v>
      </c>
      <c r="AU107" s="487">
        <f>SUMIFS('GSTR-2A'!$M$6:$M$10000,'GSTR-2A'!$B$6:$B$10000,$C$5:$C$4995,'GSTR-2A'!$A$6:$A$10000,$AR$3)</f>
        <v>0</v>
      </c>
      <c r="AV107" s="488">
        <f>SUMIFS('GSTR-2A'!$N$6:$N$10000,'GSTR-2A'!$B$6:$B$10000,$C$5:$C$4995,'GSTR-2A'!$A$6:$A$10000,$AR$3)</f>
        <v>0</v>
      </c>
      <c r="AW107" s="486">
        <f>SUMIFS('GSTR-2A'!$G$6:$G$10000,'GSTR-2A'!$B$6:$B$10000,$C$5:$C$4995,'GSTR-2A'!$A$6:$A$10000,$AW$3)</f>
        <v>0</v>
      </c>
      <c r="AX107" s="487">
        <f>SUMIFS('GSTR-2A'!$K$6:$K$10000,'GSTR-2A'!$B$6:$B$10000,$C$5:$C$4995,'GSTR-2A'!$A$6:$A$10000,$AW$3)</f>
        <v>0</v>
      </c>
      <c r="AY107" s="487">
        <f>SUMIFS('GSTR-2A'!$L$6:$L$10000,'GSTR-2A'!$B$6:$B$10000,$C$5:$C$4995,'GSTR-2A'!$A$6:$A$10000,$AW$3)</f>
        <v>0</v>
      </c>
      <c r="AZ107" s="487">
        <f>SUMIFS('GSTR-2A'!$M$6:$M$10000,'GSTR-2A'!$B$6:$B$10000,$C$5:$C$4995,'GSTR-2A'!$A$6:$A$10000,$AW$3)</f>
        <v>0</v>
      </c>
      <c r="BA107" s="488">
        <f>SUMIFS('GSTR-2A'!$N$6:$N$10000,'GSTR-2A'!$B$6:$B$10000,$C$5:$C$4995,'GSTR-2A'!$A$6:$A$10000,$AW$3)</f>
        <v>0</v>
      </c>
      <c r="BB107" s="486">
        <f>SUMIFS('GSTR-2A'!$G$6:$G$10000,'GSTR-2A'!$B$6:$B$10000,$C$5:$C$4995,'GSTR-2A'!$A$6:$A$10000,$BB$3)</f>
        <v>0</v>
      </c>
      <c r="BC107" s="487">
        <f>SUMIFS('GSTR-2A'!$K$6:$K$10000,'GSTR-2A'!$B$6:$B$10000,$C$5:$C$4995,'GSTR-2A'!$A$6:$A$10000,$BB$3)</f>
        <v>0</v>
      </c>
      <c r="BD107" s="487">
        <f>SUMIFS('GSTR-2A'!$L$6:$L$10000,'GSTR-2A'!$B$6:$B$10000,$C$5:$C$4995,'GSTR-2A'!$A$6:$A$10000,$BB$3)</f>
        <v>0</v>
      </c>
      <c r="BE107" s="487">
        <f>SUMIFS('GSTR-2A'!$M$6:$M$10000,'GSTR-2A'!$B$6:$B$10000,$C$5:$C$4995,'GSTR-2A'!$A$6:$A$10000,$BB$3)</f>
        <v>0</v>
      </c>
      <c r="BF107" s="488">
        <f>SUMIFS('GSTR-2A'!$N$6:$N$10000,'GSTR-2A'!$B$6:$B$10000,$C$5:$C$4995,'GSTR-2A'!$A$6:$A$10000,$BB$3)</f>
        <v>0</v>
      </c>
      <c r="BG107" s="486">
        <f>SUMIFS('GSTR-2A'!$G$6:$G$10000,'GSTR-2A'!$B$6:$B$10000,$C$5:$C$4995,'GSTR-2A'!$A$6:$A$10000,$BG$3)</f>
        <v>0</v>
      </c>
      <c r="BH107" s="487">
        <f>SUMIFS('GSTR-2A'!$K$6:$K$10000,'GSTR-2A'!$B$6:$B$10000,$C$5:$C$4995,'GSTR-2A'!$A$6:$A$10000,$BG$3)</f>
        <v>0</v>
      </c>
      <c r="BI107" s="487">
        <f>SUMIFS('GSTR-2A'!$L$6:$L$10000,'GSTR-2A'!$B$6:$B$10000,$C$5:$C$4995,'GSTR-2A'!$A$6:$A$10000,$BG$3)</f>
        <v>0</v>
      </c>
      <c r="BJ107" s="487">
        <f>SUMIFS('GSTR-2A'!$M$6:$M$10000,'GSTR-2A'!$B$6:$B$10000,$C$5:$C$4995,'GSTR-2A'!$A$6:$A$10000,$BG$3)</f>
        <v>0</v>
      </c>
      <c r="BK107" s="488">
        <f>SUMIFS('GSTR-2A'!$N$6:$N$10000,'GSTR-2A'!$B$6:$B$10000,$C$5:$C$4995,'GSTR-2A'!$A$6:$A$10000,$BG$3)</f>
        <v>0</v>
      </c>
      <c r="BL107" s="72">
        <f t="shared" si="7"/>
        <v>0</v>
      </c>
      <c r="BM107" s="72">
        <f t="shared" si="8"/>
        <v>0</v>
      </c>
      <c r="BN107" s="72">
        <f t="shared" si="9"/>
        <v>0</v>
      </c>
      <c r="BO107" s="72">
        <f t="shared" si="10"/>
        <v>0</v>
      </c>
      <c r="BP107" s="72">
        <f t="shared" si="11"/>
        <v>0</v>
      </c>
    </row>
    <row r="108" spans="1:68" x14ac:dyDescent="0.2">
      <c r="A108" s="467">
        <v>105</v>
      </c>
      <c r="B108" s="468" t="s">
        <v>594</v>
      </c>
      <c r="C108" s="469" t="s">
        <v>595</v>
      </c>
      <c r="D108" s="72">
        <f>SUMIFS('GSTR-2A'!$G$6:$G$10000,'GSTR-2A'!$B$6:$B$10000,$C$5:$C$4995,'GSTR-2A'!$A$6:$A$10000,$D$3)</f>
        <v>21240</v>
      </c>
      <c r="E108" s="72">
        <f>SUMIFS('GSTR-2A'!$K$6:$K$10000,'GSTR-2A'!$B$6:$B$10000,$C$5:$C$4995,'GSTR-2A'!$A$6:$A$10000,$D$3)</f>
        <v>18000</v>
      </c>
      <c r="F108" s="72">
        <f>SUMIFS('GSTR-2A'!$L$6:$L$10000,'GSTR-2A'!$B$6:$B$10000,$C$5:$C$4995,'GSTR-2A'!$A$6:$A$10000,$D$3)</f>
        <v>0</v>
      </c>
      <c r="G108" s="72">
        <f>SUMIFS('GSTR-2A'!$M$6:$M$10000,'GSTR-2A'!$B$6:$B$10000,$C$5:$C$4995,'GSTR-2A'!$A$6:$A$10000,$D$3)</f>
        <v>1620</v>
      </c>
      <c r="H108" s="72">
        <f>SUMIFS('GSTR-2A'!$N$6:$N$10000,'GSTR-2A'!$B$6:$B$10000,$C$5:$C$4995,'GSTR-2A'!$A$6:$A$10000,$D$3)</f>
        <v>1620</v>
      </c>
      <c r="I108" s="486">
        <f>SUMIFS('GSTR-2A'!$G$6:$G$10000,'GSTR-2A'!$B$6:$B$10000,$C$5:$C$4995,'GSTR-2A'!$A$6:$A$10000,$I$3)</f>
        <v>0</v>
      </c>
      <c r="J108" s="487">
        <f>SUMIFS('GSTR-2A'!$K$6:$K$10000,'GSTR-2A'!$B$6:$B$10000,$C$5:$C$4995,'GSTR-2A'!$A$6:$A$10000,$I$3)</f>
        <v>0</v>
      </c>
      <c r="K108" s="487">
        <f>SUMIFS('GSTR-2A'!$L$6:$L$10000,'GSTR-2A'!$B$6:$B$10000,$C$5:$C$4995,'GSTR-2A'!$A$6:$A$10000,$I$3)</f>
        <v>0</v>
      </c>
      <c r="L108" s="487">
        <f>SUMIFS('GSTR-2A'!$M$6:$M$10000,'GSTR-2A'!$B$6:$B$10000,$C$5:$C$4995,'GSTR-2A'!$A$6:$A$10000,$I$3)</f>
        <v>0</v>
      </c>
      <c r="M108" s="488">
        <f>SUMIFS('GSTR-2A'!$N$6:$N$10000,'GSTR-2A'!$B$6:$B$10000,$C$5:$C$4995,'GSTR-2A'!$A$6:$A$10000,$I$3)</f>
        <v>0</v>
      </c>
      <c r="N108" s="486">
        <f>SUMIFS('GSTR-2A'!$G$6:$G$10000,'GSTR-2A'!$B$6:$B$10000,$C$5:$C$4995,'GSTR-2A'!$A$6:$A$10000,$N$3)</f>
        <v>0</v>
      </c>
      <c r="O108" s="487">
        <f>SUMIFS('GSTR-2A'!$K$6:$K$10000,'GSTR-2A'!$B$6:$B$10000,$C$5:$C$4995,'GSTR-2A'!$A$6:$A$10000,$N$3)</f>
        <v>0</v>
      </c>
      <c r="P108" s="487">
        <f>SUMIFS('GSTR-2A'!$L$6:$L$10000,'GSTR-2A'!$B$6:$B$10000,$C$5:$C$4995,'GSTR-2A'!$A$6:$A$10000,$N$3)</f>
        <v>0</v>
      </c>
      <c r="Q108" s="487">
        <f>SUMIFS('GSTR-2A'!$M$6:$M$10000,'GSTR-2A'!$B$6:$B$10000,$C$5:$C$4995,'GSTR-2A'!$A$6:$A$10000,$N$3)</f>
        <v>0</v>
      </c>
      <c r="R108" s="488">
        <f>SUMIFS('GSTR-2A'!$N$6:$N$10000,'GSTR-2A'!$B$6:$B$10000,$C$5:$C$4995,'GSTR-2A'!$A$6:$A$10000,$N$3)</f>
        <v>0</v>
      </c>
      <c r="S108" s="486">
        <f>SUMIFS('GSTR-2A'!$G$6:$G$10000,'GSTR-2A'!$B$6:$B$10000,$C$5:$C$4995,'GSTR-2A'!$A$6:$A$10000,$S$3)</f>
        <v>0</v>
      </c>
      <c r="T108" s="487">
        <f>SUMIFS('GSTR-2A'!$K$6:$K$10000,'GSTR-2A'!$B$6:$B$10000,$C$5:$C$4995,'GSTR-2A'!$A$6:$A$10000,$S$3)</f>
        <v>0</v>
      </c>
      <c r="U108" s="487">
        <f>SUMIFS('GSTR-2A'!$L$6:$L$10000,'GSTR-2A'!$B$6:$B$10000,$C$5:$C$4995,'GSTR-2A'!$A$6:$A$10000,$S$3)</f>
        <v>0</v>
      </c>
      <c r="V108" s="487">
        <f>SUMIFS('GSTR-2A'!$M$6:$M$10000,'GSTR-2A'!$B$6:$B$10000,$C$5:$C$4995,'GSTR-2A'!$A$6:$A$10000,$S$3)</f>
        <v>0</v>
      </c>
      <c r="W108" s="488">
        <f>SUMIFS('GSTR-2A'!$N$6:$N$10000,'GSTR-2A'!$B$6:$B$10000,$C$5:$C$4995,'GSTR-2A'!$A$6:$A$10000,$S$3)</f>
        <v>0</v>
      </c>
      <c r="X108" s="486">
        <f>SUMIFS('GSTR-2A'!$G$6:$G$10000,'GSTR-2A'!$B$6:$B$10000,$C$5:$C$4995,'GSTR-2A'!$A$6:$A$10000,$X$3)</f>
        <v>0</v>
      </c>
      <c r="Y108" s="487">
        <f>SUMIFS('GSTR-2A'!$K$6:$K$10000,'GSTR-2A'!$B$6:$B$10000,$C$5:$C$4995,'GSTR-2A'!$A$6:$A$10000,$X$3)</f>
        <v>0</v>
      </c>
      <c r="Z108" s="487">
        <f>SUMIFS('GSTR-2A'!$L$6:$L$10000,'GSTR-2A'!$B$6:$B$10000,$C$5:$C$4995,'GSTR-2A'!$A$6:$A$10000,$X$3)</f>
        <v>0</v>
      </c>
      <c r="AA108" s="487">
        <f>SUMIFS('GSTR-2A'!$M$6:$M$10000,'GSTR-2A'!$B$6:$B$10000,$C$5:$C$4995,'GSTR-2A'!$A$6:$A$10000,$X$3)</f>
        <v>0</v>
      </c>
      <c r="AB108" s="488">
        <f>SUMIFS('GSTR-2A'!$N$6:$N$10000,'GSTR-2A'!$B$6:$B$10000,$C$5:$C$4995,'GSTR-2A'!$A$6:$A$10000,$X$3)</f>
        <v>0</v>
      </c>
      <c r="AC108" s="486">
        <f>SUMIFS('GSTR-2A'!$G$6:$G$10000,'GSTR-2A'!$B$6:$B$10000,$C$5:$C$4995,'GSTR-2A'!$A$6:$A$10000,$AC$3)</f>
        <v>0</v>
      </c>
      <c r="AD108" s="487">
        <f>SUMIFS('GSTR-2A'!$K$6:$K$10000,'GSTR-2A'!$B$6:$B$10000,$C$5:$C$4995,'GSTR-2A'!$A$6:$A$10000,$AC$3)</f>
        <v>0</v>
      </c>
      <c r="AE108" s="487">
        <f>SUMIFS('GSTR-2A'!$L$6:$L$10000,'GSTR-2A'!$B$6:$B$10000,$C$5:$C$4995,'GSTR-2A'!$A$6:$A$10000,$AC$3)</f>
        <v>0</v>
      </c>
      <c r="AF108" s="487">
        <f>SUMIFS('GSTR-2A'!$M$6:$M$10000,'GSTR-2A'!$B$6:$B$10000,$C$5:$C$4995,'GSTR-2A'!$A$6:$A$10000,$AC$3)</f>
        <v>0</v>
      </c>
      <c r="AG108" s="488">
        <f>SUMIFS('GSTR-2A'!$N$6:$N$10000,'GSTR-2A'!$B$6:$B$10000,$C$5:$C$4995,'GSTR-2A'!$A$6:$A$10000,$AC$3)</f>
        <v>0</v>
      </c>
      <c r="AH108" s="486">
        <f>SUMIFS('GSTR-2A'!$G$6:$G$10000,'GSTR-2A'!$B$6:$B$10000,$C$5:$C$4995,'GSTR-2A'!$A$6:$A$10000,$AH$3)</f>
        <v>0</v>
      </c>
      <c r="AI108" s="487">
        <f>SUMIFS('GSTR-2A'!$K$6:$K$10000,'GSTR-2A'!$B$6:$B$10000,$C$5:$C$4995,'GSTR-2A'!$A$6:$A$10000,$AH$3)</f>
        <v>0</v>
      </c>
      <c r="AJ108" s="487">
        <f>SUMIFS('GSTR-2A'!$L$6:$L$10000,'GSTR-2A'!$B$6:$B$10000,$C$5:$C$4995,'GSTR-2A'!$A$6:$A$10000,$AH$3)</f>
        <v>0</v>
      </c>
      <c r="AK108" s="487">
        <f>SUMIFS('GSTR-2A'!$M$6:$M$10000,'GSTR-2A'!$B$6:$B$10000,$C$5:$C$4995,'GSTR-2A'!$A$6:$A$10000,$AH$3)</f>
        <v>0</v>
      </c>
      <c r="AL108" s="488">
        <f>SUMIFS('GSTR-2A'!$N$6:$N$10000,'GSTR-2A'!$B$6:$B$10000,$C$5:$C$4995,'GSTR-2A'!$A$6:$A$10000,$AH$3)</f>
        <v>0</v>
      </c>
      <c r="AM108" s="486">
        <f>SUMIFS('GSTR-2A'!$G$6:$G$10000,'GSTR-2A'!$B$6:$B$10000,$C$5:$C$4995,'GSTR-2A'!$A$6:$A$10000,$AM$3)</f>
        <v>0</v>
      </c>
      <c r="AN108" s="487">
        <f>SUMIFS('GSTR-2A'!$K$6:$K$10000,'GSTR-2A'!$B$6:$B$10000,$C$5:$C$4995,'GSTR-2A'!$A$6:$A$10000,$AM$3)</f>
        <v>0</v>
      </c>
      <c r="AO108" s="487">
        <f>SUMIFS('GSTR-2A'!$L$6:$L$10000,'GSTR-2A'!$B$6:$B$10000,$C$5:$C$4995,'GSTR-2A'!$A$6:$A$10000,$AM$3)</f>
        <v>0</v>
      </c>
      <c r="AP108" s="487">
        <f>SUMIFS('GSTR-2A'!$M$6:$M$10000,'GSTR-2A'!$B$6:$B$10000,$C$5:$C$4995,'GSTR-2A'!$A$6:$A$10000,$AM$3)</f>
        <v>0</v>
      </c>
      <c r="AQ108" s="488">
        <f>SUMIFS('GSTR-2A'!$N$6:$N$10000,'GSTR-2A'!$B$6:$B$10000,$C$5:$C$4995,'GSTR-2A'!$A$6:$A$10000,$AM$3)</f>
        <v>0</v>
      </c>
      <c r="AR108" s="486">
        <f>SUMIFS('GSTR-2A'!$G$6:$G$10000,'GSTR-2A'!$B$6:$B$10000,$C$5:$C$4995,'GSTR-2A'!$A$6:$A$10000,$AR$3)</f>
        <v>0</v>
      </c>
      <c r="AS108" s="487">
        <f>SUMIFS('GSTR-2A'!$K$6:$K$10000,'GSTR-2A'!$B$6:$B$10000,$C$5:$C$4995,'GSTR-2A'!$A$6:$A$10000,$AR$3)</f>
        <v>0</v>
      </c>
      <c r="AT108" s="487">
        <f>SUMIFS('GSTR-2A'!$L$6:$L$10000,'GSTR-2A'!$B$6:$B$10000,$C$5:$C$4995,'GSTR-2A'!$A$6:$A$10000,$AR$3)</f>
        <v>0</v>
      </c>
      <c r="AU108" s="487">
        <f>SUMIFS('GSTR-2A'!$M$6:$M$10000,'GSTR-2A'!$B$6:$B$10000,$C$5:$C$4995,'GSTR-2A'!$A$6:$A$10000,$AR$3)</f>
        <v>0</v>
      </c>
      <c r="AV108" s="488">
        <f>SUMIFS('GSTR-2A'!$N$6:$N$10000,'GSTR-2A'!$B$6:$B$10000,$C$5:$C$4995,'GSTR-2A'!$A$6:$A$10000,$AR$3)</f>
        <v>0</v>
      </c>
      <c r="AW108" s="486">
        <f>SUMIFS('GSTR-2A'!$G$6:$G$10000,'GSTR-2A'!$B$6:$B$10000,$C$5:$C$4995,'GSTR-2A'!$A$6:$A$10000,$AW$3)</f>
        <v>0</v>
      </c>
      <c r="AX108" s="487">
        <f>SUMIFS('GSTR-2A'!$K$6:$K$10000,'GSTR-2A'!$B$6:$B$10000,$C$5:$C$4995,'GSTR-2A'!$A$6:$A$10000,$AW$3)</f>
        <v>0</v>
      </c>
      <c r="AY108" s="487">
        <f>SUMIFS('GSTR-2A'!$L$6:$L$10000,'GSTR-2A'!$B$6:$B$10000,$C$5:$C$4995,'GSTR-2A'!$A$6:$A$10000,$AW$3)</f>
        <v>0</v>
      </c>
      <c r="AZ108" s="487">
        <f>SUMIFS('GSTR-2A'!$M$6:$M$10000,'GSTR-2A'!$B$6:$B$10000,$C$5:$C$4995,'GSTR-2A'!$A$6:$A$10000,$AW$3)</f>
        <v>0</v>
      </c>
      <c r="BA108" s="488">
        <f>SUMIFS('GSTR-2A'!$N$6:$N$10000,'GSTR-2A'!$B$6:$B$10000,$C$5:$C$4995,'GSTR-2A'!$A$6:$A$10000,$AW$3)</f>
        <v>0</v>
      </c>
      <c r="BB108" s="486">
        <f>SUMIFS('GSTR-2A'!$G$6:$G$10000,'GSTR-2A'!$B$6:$B$10000,$C$5:$C$4995,'GSTR-2A'!$A$6:$A$10000,$BB$3)</f>
        <v>0</v>
      </c>
      <c r="BC108" s="487">
        <f>SUMIFS('GSTR-2A'!$K$6:$K$10000,'GSTR-2A'!$B$6:$B$10000,$C$5:$C$4995,'GSTR-2A'!$A$6:$A$10000,$BB$3)</f>
        <v>0</v>
      </c>
      <c r="BD108" s="487">
        <f>SUMIFS('GSTR-2A'!$L$6:$L$10000,'GSTR-2A'!$B$6:$B$10000,$C$5:$C$4995,'GSTR-2A'!$A$6:$A$10000,$BB$3)</f>
        <v>0</v>
      </c>
      <c r="BE108" s="487">
        <f>SUMIFS('GSTR-2A'!$M$6:$M$10000,'GSTR-2A'!$B$6:$B$10000,$C$5:$C$4995,'GSTR-2A'!$A$6:$A$10000,$BB$3)</f>
        <v>0</v>
      </c>
      <c r="BF108" s="488">
        <f>SUMIFS('GSTR-2A'!$N$6:$N$10000,'GSTR-2A'!$B$6:$B$10000,$C$5:$C$4995,'GSTR-2A'!$A$6:$A$10000,$BB$3)</f>
        <v>0</v>
      </c>
      <c r="BG108" s="486">
        <f>SUMIFS('GSTR-2A'!$G$6:$G$10000,'GSTR-2A'!$B$6:$B$10000,$C$5:$C$4995,'GSTR-2A'!$A$6:$A$10000,$BG$3)</f>
        <v>0</v>
      </c>
      <c r="BH108" s="487">
        <f>SUMIFS('GSTR-2A'!$K$6:$K$10000,'GSTR-2A'!$B$6:$B$10000,$C$5:$C$4995,'GSTR-2A'!$A$6:$A$10000,$BG$3)</f>
        <v>0</v>
      </c>
      <c r="BI108" s="487">
        <f>SUMIFS('GSTR-2A'!$L$6:$L$10000,'GSTR-2A'!$B$6:$B$10000,$C$5:$C$4995,'GSTR-2A'!$A$6:$A$10000,$BG$3)</f>
        <v>0</v>
      </c>
      <c r="BJ108" s="487">
        <f>SUMIFS('GSTR-2A'!$M$6:$M$10000,'GSTR-2A'!$B$6:$B$10000,$C$5:$C$4995,'GSTR-2A'!$A$6:$A$10000,$BG$3)</f>
        <v>0</v>
      </c>
      <c r="BK108" s="488">
        <f>SUMIFS('GSTR-2A'!$N$6:$N$10000,'GSTR-2A'!$B$6:$B$10000,$C$5:$C$4995,'GSTR-2A'!$A$6:$A$10000,$BG$3)</f>
        <v>0</v>
      </c>
      <c r="BL108" s="72">
        <f t="shared" si="7"/>
        <v>21240</v>
      </c>
      <c r="BM108" s="72">
        <f t="shared" si="8"/>
        <v>18000</v>
      </c>
      <c r="BN108" s="72">
        <f t="shared" si="9"/>
        <v>0</v>
      </c>
      <c r="BO108" s="72">
        <f t="shared" si="10"/>
        <v>1620</v>
      </c>
      <c r="BP108" s="72">
        <f t="shared" si="11"/>
        <v>1620</v>
      </c>
    </row>
    <row r="109" spans="1:68" x14ac:dyDescent="0.2">
      <c r="A109" s="467">
        <v>106</v>
      </c>
      <c r="B109" s="468" t="s">
        <v>1156</v>
      </c>
      <c r="C109" s="469" t="s">
        <v>1157</v>
      </c>
      <c r="D109" s="72">
        <f>SUMIFS('GSTR-2A'!$G$6:$G$10000,'GSTR-2A'!$B$6:$B$10000,$C$5:$C$4995,'GSTR-2A'!$A$6:$A$10000,$D$3)</f>
        <v>0</v>
      </c>
      <c r="E109" s="72">
        <f>SUMIFS('GSTR-2A'!$K$6:$K$10000,'GSTR-2A'!$B$6:$B$10000,$C$5:$C$4995,'GSTR-2A'!$A$6:$A$10000,$D$3)</f>
        <v>0</v>
      </c>
      <c r="F109" s="72">
        <f>SUMIFS('GSTR-2A'!$L$6:$L$10000,'GSTR-2A'!$B$6:$B$10000,$C$5:$C$4995,'GSTR-2A'!$A$6:$A$10000,$D$3)</f>
        <v>0</v>
      </c>
      <c r="G109" s="72">
        <f>SUMIFS('GSTR-2A'!$M$6:$M$10000,'GSTR-2A'!$B$6:$B$10000,$C$5:$C$4995,'GSTR-2A'!$A$6:$A$10000,$D$3)</f>
        <v>0</v>
      </c>
      <c r="H109" s="72">
        <f>SUMIFS('GSTR-2A'!$N$6:$N$10000,'GSTR-2A'!$B$6:$B$10000,$C$5:$C$4995,'GSTR-2A'!$A$6:$A$10000,$D$3)</f>
        <v>0</v>
      </c>
      <c r="I109" s="486">
        <f>SUMIFS('GSTR-2A'!$G$6:$G$10000,'GSTR-2A'!$B$6:$B$10000,$C$5:$C$4995,'GSTR-2A'!$A$6:$A$10000,$I$3)</f>
        <v>0</v>
      </c>
      <c r="J109" s="487">
        <f>SUMIFS('GSTR-2A'!$K$6:$K$10000,'GSTR-2A'!$B$6:$B$10000,$C$5:$C$4995,'GSTR-2A'!$A$6:$A$10000,$I$3)</f>
        <v>0</v>
      </c>
      <c r="K109" s="487">
        <f>SUMIFS('GSTR-2A'!$L$6:$L$10000,'GSTR-2A'!$B$6:$B$10000,$C$5:$C$4995,'GSTR-2A'!$A$6:$A$10000,$I$3)</f>
        <v>0</v>
      </c>
      <c r="L109" s="487">
        <f>SUMIFS('GSTR-2A'!$M$6:$M$10000,'GSTR-2A'!$B$6:$B$10000,$C$5:$C$4995,'GSTR-2A'!$A$6:$A$10000,$I$3)</f>
        <v>0</v>
      </c>
      <c r="M109" s="488">
        <f>SUMIFS('GSTR-2A'!$N$6:$N$10000,'GSTR-2A'!$B$6:$B$10000,$C$5:$C$4995,'GSTR-2A'!$A$6:$A$10000,$I$3)</f>
        <v>0</v>
      </c>
      <c r="N109" s="486">
        <f>SUMIFS('GSTR-2A'!$G$6:$G$10000,'GSTR-2A'!$B$6:$B$10000,$C$5:$C$4995,'GSTR-2A'!$A$6:$A$10000,$N$3)</f>
        <v>0</v>
      </c>
      <c r="O109" s="487">
        <f>SUMIFS('GSTR-2A'!$K$6:$K$10000,'GSTR-2A'!$B$6:$B$10000,$C$5:$C$4995,'GSTR-2A'!$A$6:$A$10000,$N$3)</f>
        <v>0</v>
      </c>
      <c r="P109" s="487">
        <f>SUMIFS('GSTR-2A'!$L$6:$L$10000,'GSTR-2A'!$B$6:$B$10000,$C$5:$C$4995,'GSTR-2A'!$A$6:$A$10000,$N$3)</f>
        <v>0</v>
      </c>
      <c r="Q109" s="487">
        <f>SUMIFS('GSTR-2A'!$M$6:$M$10000,'GSTR-2A'!$B$6:$B$10000,$C$5:$C$4995,'GSTR-2A'!$A$6:$A$10000,$N$3)</f>
        <v>0</v>
      </c>
      <c r="R109" s="488">
        <f>SUMIFS('GSTR-2A'!$N$6:$N$10000,'GSTR-2A'!$B$6:$B$10000,$C$5:$C$4995,'GSTR-2A'!$A$6:$A$10000,$N$3)</f>
        <v>0</v>
      </c>
      <c r="S109" s="486">
        <f>SUMIFS('GSTR-2A'!$G$6:$G$10000,'GSTR-2A'!$B$6:$B$10000,$C$5:$C$4995,'GSTR-2A'!$A$6:$A$10000,$S$3)</f>
        <v>0</v>
      </c>
      <c r="T109" s="487">
        <f>SUMIFS('GSTR-2A'!$K$6:$K$10000,'GSTR-2A'!$B$6:$B$10000,$C$5:$C$4995,'GSTR-2A'!$A$6:$A$10000,$S$3)</f>
        <v>0</v>
      </c>
      <c r="U109" s="487">
        <f>SUMIFS('GSTR-2A'!$L$6:$L$10000,'GSTR-2A'!$B$6:$B$10000,$C$5:$C$4995,'GSTR-2A'!$A$6:$A$10000,$S$3)</f>
        <v>0</v>
      </c>
      <c r="V109" s="487">
        <f>SUMIFS('GSTR-2A'!$M$6:$M$10000,'GSTR-2A'!$B$6:$B$10000,$C$5:$C$4995,'GSTR-2A'!$A$6:$A$10000,$S$3)</f>
        <v>0</v>
      </c>
      <c r="W109" s="488">
        <f>SUMIFS('GSTR-2A'!$N$6:$N$10000,'GSTR-2A'!$B$6:$B$10000,$C$5:$C$4995,'GSTR-2A'!$A$6:$A$10000,$S$3)</f>
        <v>0</v>
      </c>
      <c r="X109" s="486">
        <f>SUMIFS('GSTR-2A'!$G$6:$G$10000,'GSTR-2A'!$B$6:$B$10000,$C$5:$C$4995,'GSTR-2A'!$A$6:$A$10000,$X$3)</f>
        <v>0</v>
      </c>
      <c r="Y109" s="487">
        <f>SUMIFS('GSTR-2A'!$K$6:$K$10000,'GSTR-2A'!$B$6:$B$10000,$C$5:$C$4995,'GSTR-2A'!$A$6:$A$10000,$X$3)</f>
        <v>0</v>
      </c>
      <c r="Z109" s="487">
        <f>SUMIFS('GSTR-2A'!$L$6:$L$10000,'GSTR-2A'!$B$6:$B$10000,$C$5:$C$4995,'GSTR-2A'!$A$6:$A$10000,$X$3)</f>
        <v>0</v>
      </c>
      <c r="AA109" s="487">
        <f>SUMIFS('GSTR-2A'!$M$6:$M$10000,'GSTR-2A'!$B$6:$B$10000,$C$5:$C$4995,'GSTR-2A'!$A$6:$A$10000,$X$3)</f>
        <v>0</v>
      </c>
      <c r="AB109" s="488">
        <f>SUMIFS('GSTR-2A'!$N$6:$N$10000,'GSTR-2A'!$B$6:$B$10000,$C$5:$C$4995,'GSTR-2A'!$A$6:$A$10000,$X$3)</f>
        <v>0</v>
      </c>
      <c r="AC109" s="486">
        <f>SUMIFS('GSTR-2A'!$G$6:$G$10000,'GSTR-2A'!$B$6:$B$10000,$C$5:$C$4995,'GSTR-2A'!$A$6:$A$10000,$AC$3)</f>
        <v>0</v>
      </c>
      <c r="AD109" s="487">
        <f>SUMIFS('GSTR-2A'!$K$6:$K$10000,'GSTR-2A'!$B$6:$B$10000,$C$5:$C$4995,'GSTR-2A'!$A$6:$A$10000,$AC$3)</f>
        <v>0</v>
      </c>
      <c r="AE109" s="487">
        <f>SUMIFS('GSTR-2A'!$L$6:$L$10000,'GSTR-2A'!$B$6:$B$10000,$C$5:$C$4995,'GSTR-2A'!$A$6:$A$10000,$AC$3)</f>
        <v>0</v>
      </c>
      <c r="AF109" s="487">
        <f>SUMIFS('GSTR-2A'!$M$6:$M$10000,'GSTR-2A'!$B$6:$B$10000,$C$5:$C$4995,'GSTR-2A'!$A$6:$A$10000,$AC$3)</f>
        <v>0</v>
      </c>
      <c r="AG109" s="488">
        <f>SUMIFS('GSTR-2A'!$N$6:$N$10000,'GSTR-2A'!$B$6:$B$10000,$C$5:$C$4995,'GSTR-2A'!$A$6:$A$10000,$AC$3)</f>
        <v>0</v>
      </c>
      <c r="AH109" s="486">
        <f>SUMIFS('GSTR-2A'!$G$6:$G$10000,'GSTR-2A'!$B$6:$B$10000,$C$5:$C$4995,'GSTR-2A'!$A$6:$A$10000,$AH$3)</f>
        <v>0</v>
      </c>
      <c r="AI109" s="487">
        <f>SUMIFS('GSTR-2A'!$K$6:$K$10000,'GSTR-2A'!$B$6:$B$10000,$C$5:$C$4995,'GSTR-2A'!$A$6:$A$10000,$AH$3)</f>
        <v>0</v>
      </c>
      <c r="AJ109" s="487">
        <f>SUMIFS('GSTR-2A'!$L$6:$L$10000,'GSTR-2A'!$B$6:$B$10000,$C$5:$C$4995,'GSTR-2A'!$A$6:$A$10000,$AH$3)</f>
        <v>0</v>
      </c>
      <c r="AK109" s="487">
        <f>SUMIFS('GSTR-2A'!$M$6:$M$10000,'GSTR-2A'!$B$6:$B$10000,$C$5:$C$4995,'GSTR-2A'!$A$6:$A$10000,$AH$3)</f>
        <v>0</v>
      </c>
      <c r="AL109" s="488">
        <f>SUMIFS('GSTR-2A'!$N$6:$N$10000,'GSTR-2A'!$B$6:$B$10000,$C$5:$C$4995,'GSTR-2A'!$A$6:$A$10000,$AH$3)</f>
        <v>0</v>
      </c>
      <c r="AM109" s="486">
        <f>SUMIFS('GSTR-2A'!$G$6:$G$10000,'GSTR-2A'!$B$6:$B$10000,$C$5:$C$4995,'GSTR-2A'!$A$6:$A$10000,$AM$3)</f>
        <v>0</v>
      </c>
      <c r="AN109" s="487">
        <f>SUMIFS('GSTR-2A'!$K$6:$K$10000,'GSTR-2A'!$B$6:$B$10000,$C$5:$C$4995,'GSTR-2A'!$A$6:$A$10000,$AM$3)</f>
        <v>0</v>
      </c>
      <c r="AO109" s="487">
        <f>SUMIFS('GSTR-2A'!$L$6:$L$10000,'GSTR-2A'!$B$6:$B$10000,$C$5:$C$4995,'GSTR-2A'!$A$6:$A$10000,$AM$3)</f>
        <v>0</v>
      </c>
      <c r="AP109" s="487">
        <f>SUMIFS('GSTR-2A'!$M$6:$M$10000,'GSTR-2A'!$B$6:$B$10000,$C$5:$C$4995,'GSTR-2A'!$A$6:$A$10000,$AM$3)</f>
        <v>0</v>
      </c>
      <c r="AQ109" s="488">
        <f>SUMIFS('GSTR-2A'!$N$6:$N$10000,'GSTR-2A'!$B$6:$B$10000,$C$5:$C$4995,'GSTR-2A'!$A$6:$A$10000,$AM$3)</f>
        <v>0</v>
      </c>
      <c r="AR109" s="486">
        <f>SUMIFS('GSTR-2A'!$G$6:$G$10000,'GSTR-2A'!$B$6:$B$10000,$C$5:$C$4995,'GSTR-2A'!$A$6:$A$10000,$AR$3)</f>
        <v>0</v>
      </c>
      <c r="AS109" s="487">
        <f>SUMIFS('GSTR-2A'!$K$6:$K$10000,'GSTR-2A'!$B$6:$B$10000,$C$5:$C$4995,'GSTR-2A'!$A$6:$A$10000,$AR$3)</f>
        <v>0</v>
      </c>
      <c r="AT109" s="487">
        <f>SUMIFS('GSTR-2A'!$L$6:$L$10000,'GSTR-2A'!$B$6:$B$10000,$C$5:$C$4995,'GSTR-2A'!$A$6:$A$10000,$AR$3)</f>
        <v>0</v>
      </c>
      <c r="AU109" s="487">
        <f>SUMIFS('GSTR-2A'!$M$6:$M$10000,'GSTR-2A'!$B$6:$B$10000,$C$5:$C$4995,'GSTR-2A'!$A$6:$A$10000,$AR$3)</f>
        <v>0</v>
      </c>
      <c r="AV109" s="488">
        <f>SUMIFS('GSTR-2A'!$N$6:$N$10000,'GSTR-2A'!$B$6:$B$10000,$C$5:$C$4995,'GSTR-2A'!$A$6:$A$10000,$AR$3)</f>
        <v>0</v>
      </c>
      <c r="AW109" s="486">
        <f>SUMIFS('GSTR-2A'!$G$6:$G$10000,'GSTR-2A'!$B$6:$B$10000,$C$5:$C$4995,'GSTR-2A'!$A$6:$A$10000,$AW$3)</f>
        <v>0</v>
      </c>
      <c r="AX109" s="487">
        <f>SUMIFS('GSTR-2A'!$K$6:$K$10000,'GSTR-2A'!$B$6:$B$10000,$C$5:$C$4995,'GSTR-2A'!$A$6:$A$10000,$AW$3)</f>
        <v>0</v>
      </c>
      <c r="AY109" s="487">
        <f>SUMIFS('GSTR-2A'!$L$6:$L$10000,'GSTR-2A'!$B$6:$B$10000,$C$5:$C$4995,'GSTR-2A'!$A$6:$A$10000,$AW$3)</f>
        <v>0</v>
      </c>
      <c r="AZ109" s="487">
        <f>SUMIFS('GSTR-2A'!$M$6:$M$10000,'GSTR-2A'!$B$6:$B$10000,$C$5:$C$4995,'GSTR-2A'!$A$6:$A$10000,$AW$3)</f>
        <v>0</v>
      </c>
      <c r="BA109" s="488">
        <f>SUMIFS('GSTR-2A'!$N$6:$N$10000,'GSTR-2A'!$B$6:$B$10000,$C$5:$C$4995,'GSTR-2A'!$A$6:$A$10000,$AW$3)</f>
        <v>0</v>
      </c>
      <c r="BB109" s="486">
        <f>SUMIFS('GSTR-2A'!$G$6:$G$10000,'GSTR-2A'!$B$6:$B$10000,$C$5:$C$4995,'GSTR-2A'!$A$6:$A$10000,$BB$3)</f>
        <v>0</v>
      </c>
      <c r="BC109" s="487">
        <f>SUMIFS('GSTR-2A'!$K$6:$K$10000,'GSTR-2A'!$B$6:$B$10000,$C$5:$C$4995,'GSTR-2A'!$A$6:$A$10000,$BB$3)</f>
        <v>0</v>
      </c>
      <c r="BD109" s="487">
        <f>SUMIFS('GSTR-2A'!$L$6:$L$10000,'GSTR-2A'!$B$6:$B$10000,$C$5:$C$4995,'GSTR-2A'!$A$6:$A$10000,$BB$3)</f>
        <v>0</v>
      </c>
      <c r="BE109" s="487">
        <f>SUMIFS('GSTR-2A'!$M$6:$M$10000,'GSTR-2A'!$B$6:$B$10000,$C$5:$C$4995,'GSTR-2A'!$A$6:$A$10000,$BB$3)</f>
        <v>0</v>
      </c>
      <c r="BF109" s="488">
        <f>SUMIFS('GSTR-2A'!$N$6:$N$10000,'GSTR-2A'!$B$6:$B$10000,$C$5:$C$4995,'GSTR-2A'!$A$6:$A$10000,$BB$3)</f>
        <v>0</v>
      </c>
      <c r="BG109" s="486">
        <f>SUMIFS('GSTR-2A'!$G$6:$G$10000,'GSTR-2A'!$B$6:$B$10000,$C$5:$C$4995,'GSTR-2A'!$A$6:$A$10000,$BG$3)</f>
        <v>0</v>
      </c>
      <c r="BH109" s="487">
        <f>SUMIFS('GSTR-2A'!$K$6:$K$10000,'GSTR-2A'!$B$6:$B$10000,$C$5:$C$4995,'GSTR-2A'!$A$6:$A$10000,$BG$3)</f>
        <v>0</v>
      </c>
      <c r="BI109" s="487">
        <f>SUMIFS('GSTR-2A'!$L$6:$L$10000,'GSTR-2A'!$B$6:$B$10000,$C$5:$C$4995,'GSTR-2A'!$A$6:$A$10000,$BG$3)</f>
        <v>0</v>
      </c>
      <c r="BJ109" s="487">
        <f>SUMIFS('GSTR-2A'!$M$6:$M$10000,'GSTR-2A'!$B$6:$B$10000,$C$5:$C$4995,'GSTR-2A'!$A$6:$A$10000,$BG$3)</f>
        <v>0</v>
      </c>
      <c r="BK109" s="488">
        <f>SUMIFS('GSTR-2A'!$N$6:$N$10000,'GSTR-2A'!$B$6:$B$10000,$C$5:$C$4995,'GSTR-2A'!$A$6:$A$10000,$BG$3)</f>
        <v>0</v>
      </c>
      <c r="BL109" s="72">
        <f t="shared" si="7"/>
        <v>0</v>
      </c>
      <c r="BM109" s="72">
        <f t="shared" si="8"/>
        <v>0</v>
      </c>
      <c r="BN109" s="72">
        <f t="shared" si="9"/>
        <v>0</v>
      </c>
      <c r="BO109" s="72">
        <f t="shared" si="10"/>
        <v>0</v>
      </c>
      <c r="BP109" s="72">
        <f t="shared" si="11"/>
        <v>0</v>
      </c>
    </row>
    <row r="110" spans="1:68" x14ac:dyDescent="0.2">
      <c r="A110" s="467">
        <v>107</v>
      </c>
      <c r="B110" s="468" t="s">
        <v>1158</v>
      </c>
      <c r="C110" s="469" t="s">
        <v>1159</v>
      </c>
      <c r="D110" s="72">
        <f>SUMIFS('GSTR-2A'!$G$6:$G$10000,'GSTR-2A'!$B$6:$B$10000,$C$5:$C$4995,'GSTR-2A'!$A$6:$A$10000,$D$3)</f>
        <v>0</v>
      </c>
      <c r="E110" s="72">
        <f>SUMIFS('GSTR-2A'!$K$6:$K$10000,'GSTR-2A'!$B$6:$B$10000,$C$5:$C$4995,'GSTR-2A'!$A$6:$A$10000,$D$3)</f>
        <v>0</v>
      </c>
      <c r="F110" s="72">
        <f>SUMIFS('GSTR-2A'!$L$6:$L$10000,'GSTR-2A'!$B$6:$B$10000,$C$5:$C$4995,'GSTR-2A'!$A$6:$A$10000,$D$3)</f>
        <v>0</v>
      </c>
      <c r="G110" s="72">
        <f>SUMIFS('GSTR-2A'!$M$6:$M$10000,'GSTR-2A'!$B$6:$B$10000,$C$5:$C$4995,'GSTR-2A'!$A$6:$A$10000,$D$3)</f>
        <v>0</v>
      </c>
      <c r="H110" s="72">
        <f>SUMIFS('GSTR-2A'!$N$6:$N$10000,'GSTR-2A'!$B$6:$B$10000,$C$5:$C$4995,'GSTR-2A'!$A$6:$A$10000,$D$3)</f>
        <v>0</v>
      </c>
      <c r="I110" s="486">
        <f>SUMIFS('GSTR-2A'!$G$6:$G$10000,'GSTR-2A'!$B$6:$B$10000,$C$5:$C$4995,'GSTR-2A'!$A$6:$A$10000,$I$3)</f>
        <v>0</v>
      </c>
      <c r="J110" s="487">
        <f>SUMIFS('GSTR-2A'!$K$6:$K$10000,'GSTR-2A'!$B$6:$B$10000,$C$5:$C$4995,'GSTR-2A'!$A$6:$A$10000,$I$3)</f>
        <v>0</v>
      </c>
      <c r="K110" s="487">
        <f>SUMIFS('GSTR-2A'!$L$6:$L$10000,'GSTR-2A'!$B$6:$B$10000,$C$5:$C$4995,'GSTR-2A'!$A$6:$A$10000,$I$3)</f>
        <v>0</v>
      </c>
      <c r="L110" s="487">
        <f>SUMIFS('GSTR-2A'!$M$6:$M$10000,'GSTR-2A'!$B$6:$B$10000,$C$5:$C$4995,'GSTR-2A'!$A$6:$A$10000,$I$3)</f>
        <v>0</v>
      </c>
      <c r="M110" s="488">
        <f>SUMIFS('GSTR-2A'!$N$6:$N$10000,'GSTR-2A'!$B$6:$B$10000,$C$5:$C$4995,'GSTR-2A'!$A$6:$A$10000,$I$3)</f>
        <v>0</v>
      </c>
      <c r="N110" s="486">
        <f>SUMIFS('GSTR-2A'!$G$6:$G$10000,'GSTR-2A'!$B$6:$B$10000,$C$5:$C$4995,'GSTR-2A'!$A$6:$A$10000,$N$3)</f>
        <v>0</v>
      </c>
      <c r="O110" s="487">
        <f>SUMIFS('GSTR-2A'!$K$6:$K$10000,'GSTR-2A'!$B$6:$B$10000,$C$5:$C$4995,'GSTR-2A'!$A$6:$A$10000,$N$3)</f>
        <v>0</v>
      </c>
      <c r="P110" s="487">
        <f>SUMIFS('GSTR-2A'!$L$6:$L$10000,'GSTR-2A'!$B$6:$B$10000,$C$5:$C$4995,'GSTR-2A'!$A$6:$A$10000,$N$3)</f>
        <v>0</v>
      </c>
      <c r="Q110" s="487">
        <f>SUMIFS('GSTR-2A'!$M$6:$M$10000,'GSTR-2A'!$B$6:$B$10000,$C$5:$C$4995,'GSTR-2A'!$A$6:$A$10000,$N$3)</f>
        <v>0</v>
      </c>
      <c r="R110" s="488">
        <f>SUMIFS('GSTR-2A'!$N$6:$N$10000,'GSTR-2A'!$B$6:$B$10000,$C$5:$C$4995,'GSTR-2A'!$A$6:$A$10000,$N$3)</f>
        <v>0</v>
      </c>
      <c r="S110" s="486">
        <f>SUMIFS('GSTR-2A'!$G$6:$G$10000,'GSTR-2A'!$B$6:$B$10000,$C$5:$C$4995,'GSTR-2A'!$A$6:$A$10000,$S$3)</f>
        <v>0</v>
      </c>
      <c r="T110" s="487">
        <f>SUMIFS('GSTR-2A'!$K$6:$K$10000,'GSTR-2A'!$B$6:$B$10000,$C$5:$C$4995,'GSTR-2A'!$A$6:$A$10000,$S$3)</f>
        <v>0</v>
      </c>
      <c r="U110" s="487">
        <f>SUMIFS('GSTR-2A'!$L$6:$L$10000,'GSTR-2A'!$B$6:$B$10000,$C$5:$C$4995,'GSTR-2A'!$A$6:$A$10000,$S$3)</f>
        <v>0</v>
      </c>
      <c r="V110" s="487">
        <f>SUMIFS('GSTR-2A'!$M$6:$M$10000,'GSTR-2A'!$B$6:$B$10000,$C$5:$C$4995,'GSTR-2A'!$A$6:$A$10000,$S$3)</f>
        <v>0</v>
      </c>
      <c r="W110" s="488">
        <f>SUMIFS('GSTR-2A'!$N$6:$N$10000,'GSTR-2A'!$B$6:$B$10000,$C$5:$C$4995,'GSTR-2A'!$A$6:$A$10000,$S$3)</f>
        <v>0</v>
      </c>
      <c r="X110" s="486">
        <f>SUMIFS('GSTR-2A'!$G$6:$G$10000,'GSTR-2A'!$B$6:$B$10000,$C$5:$C$4995,'GSTR-2A'!$A$6:$A$10000,$X$3)</f>
        <v>0</v>
      </c>
      <c r="Y110" s="487">
        <f>SUMIFS('GSTR-2A'!$K$6:$K$10000,'GSTR-2A'!$B$6:$B$10000,$C$5:$C$4995,'GSTR-2A'!$A$6:$A$10000,$X$3)</f>
        <v>0</v>
      </c>
      <c r="Z110" s="487">
        <f>SUMIFS('GSTR-2A'!$L$6:$L$10000,'GSTR-2A'!$B$6:$B$10000,$C$5:$C$4995,'GSTR-2A'!$A$6:$A$10000,$X$3)</f>
        <v>0</v>
      </c>
      <c r="AA110" s="487">
        <f>SUMIFS('GSTR-2A'!$M$6:$M$10000,'GSTR-2A'!$B$6:$B$10000,$C$5:$C$4995,'GSTR-2A'!$A$6:$A$10000,$X$3)</f>
        <v>0</v>
      </c>
      <c r="AB110" s="488">
        <f>SUMIFS('GSTR-2A'!$N$6:$N$10000,'GSTR-2A'!$B$6:$B$10000,$C$5:$C$4995,'GSTR-2A'!$A$6:$A$10000,$X$3)</f>
        <v>0</v>
      </c>
      <c r="AC110" s="486">
        <f>SUMIFS('GSTR-2A'!$G$6:$G$10000,'GSTR-2A'!$B$6:$B$10000,$C$5:$C$4995,'GSTR-2A'!$A$6:$A$10000,$AC$3)</f>
        <v>0</v>
      </c>
      <c r="AD110" s="487">
        <f>SUMIFS('GSTR-2A'!$K$6:$K$10000,'GSTR-2A'!$B$6:$B$10000,$C$5:$C$4995,'GSTR-2A'!$A$6:$A$10000,$AC$3)</f>
        <v>0</v>
      </c>
      <c r="AE110" s="487">
        <f>SUMIFS('GSTR-2A'!$L$6:$L$10000,'GSTR-2A'!$B$6:$B$10000,$C$5:$C$4995,'GSTR-2A'!$A$6:$A$10000,$AC$3)</f>
        <v>0</v>
      </c>
      <c r="AF110" s="487">
        <f>SUMIFS('GSTR-2A'!$M$6:$M$10000,'GSTR-2A'!$B$6:$B$10000,$C$5:$C$4995,'GSTR-2A'!$A$6:$A$10000,$AC$3)</f>
        <v>0</v>
      </c>
      <c r="AG110" s="488">
        <f>SUMIFS('GSTR-2A'!$N$6:$N$10000,'GSTR-2A'!$B$6:$B$10000,$C$5:$C$4995,'GSTR-2A'!$A$6:$A$10000,$AC$3)</f>
        <v>0</v>
      </c>
      <c r="AH110" s="486">
        <f>SUMIFS('GSTR-2A'!$G$6:$G$10000,'GSTR-2A'!$B$6:$B$10000,$C$5:$C$4995,'GSTR-2A'!$A$6:$A$10000,$AH$3)</f>
        <v>0</v>
      </c>
      <c r="AI110" s="487">
        <f>SUMIFS('GSTR-2A'!$K$6:$K$10000,'GSTR-2A'!$B$6:$B$10000,$C$5:$C$4995,'GSTR-2A'!$A$6:$A$10000,$AH$3)</f>
        <v>0</v>
      </c>
      <c r="AJ110" s="487">
        <f>SUMIFS('GSTR-2A'!$L$6:$L$10000,'GSTR-2A'!$B$6:$B$10000,$C$5:$C$4995,'GSTR-2A'!$A$6:$A$10000,$AH$3)</f>
        <v>0</v>
      </c>
      <c r="AK110" s="487">
        <f>SUMIFS('GSTR-2A'!$M$6:$M$10000,'GSTR-2A'!$B$6:$B$10000,$C$5:$C$4995,'GSTR-2A'!$A$6:$A$10000,$AH$3)</f>
        <v>0</v>
      </c>
      <c r="AL110" s="488">
        <f>SUMIFS('GSTR-2A'!$N$6:$N$10000,'GSTR-2A'!$B$6:$B$10000,$C$5:$C$4995,'GSTR-2A'!$A$6:$A$10000,$AH$3)</f>
        <v>0</v>
      </c>
      <c r="AM110" s="486">
        <f>SUMIFS('GSTR-2A'!$G$6:$G$10000,'GSTR-2A'!$B$6:$B$10000,$C$5:$C$4995,'GSTR-2A'!$A$6:$A$10000,$AM$3)</f>
        <v>0</v>
      </c>
      <c r="AN110" s="487">
        <f>SUMIFS('GSTR-2A'!$K$6:$K$10000,'GSTR-2A'!$B$6:$B$10000,$C$5:$C$4995,'GSTR-2A'!$A$6:$A$10000,$AM$3)</f>
        <v>0</v>
      </c>
      <c r="AO110" s="487">
        <f>SUMIFS('GSTR-2A'!$L$6:$L$10000,'GSTR-2A'!$B$6:$B$10000,$C$5:$C$4995,'GSTR-2A'!$A$6:$A$10000,$AM$3)</f>
        <v>0</v>
      </c>
      <c r="AP110" s="487">
        <f>SUMIFS('GSTR-2A'!$M$6:$M$10000,'GSTR-2A'!$B$6:$B$10000,$C$5:$C$4995,'GSTR-2A'!$A$6:$A$10000,$AM$3)</f>
        <v>0</v>
      </c>
      <c r="AQ110" s="488">
        <f>SUMIFS('GSTR-2A'!$N$6:$N$10000,'GSTR-2A'!$B$6:$B$10000,$C$5:$C$4995,'GSTR-2A'!$A$6:$A$10000,$AM$3)</f>
        <v>0</v>
      </c>
      <c r="AR110" s="486">
        <f>SUMIFS('GSTR-2A'!$G$6:$G$10000,'GSTR-2A'!$B$6:$B$10000,$C$5:$C$4995,'GSTR-2A'!$A$6:$A$10000,$AR$3)</f>
        <v>0</v>
      </c>
      <c r="AS110" s="487">
        <f>SUMIFS('GSTR-2A'!$K$6:$K$10000,'GSTR-2A'!$B$6:$B$10000,$C$5:$C$4995,'GSTR-2A'!$A$6:$A$10000,$AR$3)</f>
        <v>0</v>
      </c>
      <c r="AT110" s="487">
        <f>SUMIFS('GSTR-2A'!$L$6:$L$10000,'GSTR-2A'!$B$6:$B$10000,$C$5:$C$4995,'GSTR-2A'!$A$6:$A$10000,$AR$3)</f>
        <v>0</v>
      </c>
      <c r="AU110" s="487">
        <f>SUMIFS('GSTR-2A'!$M$6:$M$10000,'GSTR-2A'!$B$6:$B$10000,$C$5:$C$4995,'GSTR-2A'!$A$6:$A$10000,$AR$3)</f>
        <v>0</v>
      </c>
      <c r="AV110" s="488">
        <f>SUMIFS('GSTR-2A'!$N$6:$N$10000,'GSTR-2A'!$B$6:$B$10000,$C$5:$C$4995,'GSTR-2A'!$A$6:$A$10000,$AR$3)</f>
        <v>0</v>
      </c>
      <c r="AW110" s="486">
        <f>SUMIFS('GSTR-2A'!$G$6:$G$10000,'GSTR-2A'!$B$6:$B$10000,$C$5:$C$4995,'GSTR-2A'!$A$6:$A$10000,$AW$3)</f>
        <v>0</v>
      </c>
      <c r="AX110" s="487">
        <f>SUMIFS('GSTR-2A'!$K$6:$K$10000,'GSTR-2A'!$B$6:$B$10000,$C$5:$C$4995,'GSTR-2A'!$A$6:$A$10000,$AW$3)</f>
        <v>0</v>
      </c>
      <c r="AY110" s="487">
        <f>SUMIFS('GSTR-2A'!$L$6:$L$10000,'GSTR-2A'!$B$6:$B$10000,$C$5:$C$4995,'GSTR-2A'!$A$6:$A$10000,$AW$3)</f>
        <v>0</v>
      </c>
      <c r="AZ110" s="487">
        <f>SUMIFS('GSTR-2A'!$M$6:$M$10000,'GSTR-2A'!$B$6:$B$10000,$C$5:$C$4995,'GSTR-2A'!$A$6:$A$10000,$AW$3)</f>
        <v>0</v>
      </c>
      <c r="BA110" s="488">
        <f>SUMIFS('GSTR-2A'!$N$6:$N$10000,'GSTR-2A'!$B$6:$B$10000,$C$5:$C$4995,'GSTR-2A'!$A$6:$A$10000,$AW$3)</f>
        <v>0</v>
      </c>
      <c r="BB110" s="486">
        <f>SUMIFS('GSTR-2A'!$G$6:$G$10000,'GSTR-2A'!$B$6:$B$10000,$C$5:$C$4995,'GSTR-2A'!$A$6:$A$10000,$BB$3)</f>
        <v>0</v>
      </c>
      <c r="BC110" s="487">
        <f>SUMIFS('GSTR-2A'!$K$6:$K$10000,'GSTR-2A'!$B$6:$B$10000,$C$5:$C$4995,'GSTR-2A'!$A$6:$A$10000,$BB$3)</f>
        <v>0</v>
      </c>
      <c r="BD110" s="487">
        <f>SUMIFS('GSTR-2A'!$L$6:$L$10000,'GSTR-2A'!$B$6:$B$10000,$C$5:$C$4995,'GSTR-2A'!$A$6:$A$10000,$BB$3)</f>
        <v>0</v>
      </c>
      <c r="BE110" s="487">
        <f>SUMIFS('GSTR-2A'!$M$6:$M$10000,'GSTR-2A'!$B$6:$B$10000,$C$5:$C$4995,'GSTR-2A'!$A$6:$A$10000,$BB$3)</f>
        <v>0</v>
      </c>
      <c r="BF110" s="488">
        <f>SUMIFS('GSTR-2A'!$N$6:$N$10000,'GSTR-2A'!$B$6:$B$10000,$C$5:$C$4995,'GSTR-2A'!$A$6:$A$10000,$BB$3)</f>
        <v>0</v>
      </c>
      <c r="BG110" s="486">
        <f>SUMIFS('GSTR-2A'!$G$6:$G$10000,'GSTR-2A'!$B$6:$B$10000,$C$5:$C$4995,'GSTR-2A'!$A$6:$A$10000,$BG$3)</f>
        <v>0</v>
      </c>
      <c r="BH110" s="487">
        <f>SUMIFS('GSTR-2A'!$K$6:$K$10000,'GSTR-2A'!$B$6:$B$10000,$C$5:$C$4995,'GSTR-2A'!$A$6:$A$10000,$BG$3)</f>
        <v>0</v>
      </c>
      <c r="BI110" s="487">
        <f>SUMIFS('GSTR-2A'!$L$6:$L$10000,'GSTR-2A'!$B$6:$B$10000,$C$5:$C$4995,'GSTR-2A'!$A$6:$A$10000,$BG$3)</f>
        <v>0</v>
      </c>
      <c r="BJ110" s="487">
        <f>SUMIFS('GSTR-2A'!$M$6:$M$10000,'GSTR-2A'!$B$6:$B$10000,$C$5:$C$4995,'GSTR-2A'!$A$6:$A$10000,$BG$3)</f>
        <v>0</v>
      </c>
      <c r="BK110" s="488">
        <f>SUMIFS('GSTR-2A'!$N$6:$N$10000,'GSTR-2A'!$B$6:$B$10000,$C$5:$C$4995,'GSTR-2A'!$A$6:$A$10000,$BG$3)</f>
        <v>0</v>
      </c>
      <c r="BL110" s="72">
        <f t="shared" si="7"/>
        <v>0</v>
      </c>
      <c r="BM110" s="72">
        <f t="shared" si="8"/>
        <v>0</v>
      </c>
      <c r="BN110" s="72">
        <f t="shared" si="9"/>
        <v>0</v>
      </c>
      <c r="BO110" s="72">
        <f t="shared" si="10"/>
        <v>0</v>
      </c>
      <c r="BP110" s="72">
        <f t="shared" si="11"/>
        <v>0</v>
      </c>
    </row>
    <row r="111" spans="1:68" x14ac:dyDescent="0.2">
      <c r="A111" s="467">
        <v>108</v>
      </c>
      <c r="B111" s="468" t="s">
        <v>1160</v>
      </c>
      <c r="C111" s="469" t="s">
        <v>1161</v>
      </c>
      <c r="D111" s="72">
        <f>SUMIFS('GSTR-2A'!$G$6:$G$10000,'GSTR-2A'!$B$6:$B$10000,$C$5:$C$4995,'GSTR-2A'!$A$6:$A$10000,$D$3)</f>
        <v>0</v>
      </c>
      <c r="E111" s="72">
        <f>SUMIFS('GSTR-2A'!$K$6:$K$10000,'GSTR-2A'!$B$6:$B$10000,$C$5:$C$4995,'GSTR-2A'!$A$6:$A$10000,$D$3)</f>
        <v>0</v>
      </c>
      <c r="F111" s="72">
        <f>SUMIFS('GSTR-2A'!$L$6:$L$10000,'GSTR-2A'!$B$6:$B$10000,$C$5:$C$4995,'GSTR-2A'!$A$6:$A$10000,$D$3)</f>
        <v>0</v>
      </c>
      <c r="G111" s="72">
        <f>SUMIFS('GSTR-2A'!$M$6:$M$10000,'GSTR-2A'!$B$6:$B$10000,$C$5:$C$4995,'GSTR-2A'!$A$6:$A$10000,$D$3)</f>
        <v>0</v>
      </c>
      <c r="H111" s="72">
        <f>SUMIFS('GSTR-2A'!$N$6:$N$10000,'GSTR-2A'!$B$6:$B$10000,$C$5:$C$4995,'GSTR-2A'!$A$6:$A$10000,$D$3)</f>
        <v>0</v>
      </c>
      <c r="I111" s="486">
        <f>SUMIFS('GSTR-2A'!$G$6:$G$10000,'GSTR-2A'!$B$6:$B$10000,$C$5:$C$4995,'GSTR-2A'!$A$6:$A$10000,$I$3)</f>
        <v>0</v>
      </c>
      <c r="J111" s="487">
        <f>SUMIFS('GSTR-2A'!$K$6:$K$10000,'GSTR-2A'!$B$6:$B$10000,$C$5:$C$4995,'GSTR-2A'!$A$6:$A$10000,$I$3)</f>
        <v>0</v>
      </c>
      <c r="K111" s="487">
        <f>SUMIFS('GSTR-2A'!$L$6:$L$10000,'GSTR-2A'!$B$6:$B$10000,$C$5:$C$4995,'GSTR-2A'!$A$6:$A$10000,$I$3)</f>
        <v>0</v>
      </c>
      <c r="L111" s="487">
        <f>SUMIFS('GSTR-2A'!$M$6:$M$10000,'GSTR-2A'!$B$6:$B$10000,$C$5:$C$4995,'GSTR-2A'!$A$6:$A$10000,$I$3)</f>
        <v>0</v>
      </c>
      <c r="M111" s="488">
        <f>SUMIFS('GSTR-2A'!$N$6:$N$10000,'GSTR-2A'!$B$6:$B$10000,$C$5:$C$4995,'GSTR-2A'!$A$6:$A$10000,$I$3)</f>
        <v>0</v>
      </c>
      <c r="N111" s="486">
        <f>SUMIFS('GSTR-2A'!$G$6:$G$10000,'GSTR-2A'!$B$6:$B$10000,$C$5:$C$4995,'GSTR-2A'!$A$6:$A$10000,$N$3)</f>
        <v>0</v>
      </c>
      <c r="O111" s="487">
        <f>SUMIFS('GSTR-2A'!$K$6:$K$10000,'GSTR-2A'!$B$6:$B$10000,$C$5:$C$4995,'GSTR-2A'!$A$6:$A$10000,$N$3)</f>
        <v>0</v>
      </c>
      <c r="P111" s="487">
        <f>SUMIFS('GSTR-2A'!$L$6:$L$10000,'GSTR-2A'!$B$6:$B$10000,$C$5:$C$4995,'GSTR-2A'!$A$6:$A$10000,$N$3)</f>
        <v>0</v>
      </c>
      <c r="Q111" s="487">
        <f>SUMIFS('GSTR-2A'!$M$6:$M$10000,'GSTR-2A'!$B$6:$B$10000,$C$5:$C$4995,'GSTR-2A'!$A$6:$A$10000,$N$3)</f>
        <v>0</v>
      </c>
      <c r="R111" s="488">
        <f>SUMIFS('GSTR-2A'!$N$6:$N$10000,'GSTR-2A'!$B$6:$B$10000,$C$5:$C$4995,'GSTR-2A'!$A$6:$A$10000,$N$3)</f>
        <v>0</v>
      </c>
      <c r="S111" s="486">
        <f>SUMIFS('GSTR-2A'!$G$6:$G$10000,'GSTR-2A'!$B$6:$B$10000,$C$5:$C$4995,'GSTR-2A'!$A$6:$A$10000,$S$3)</f>
        <v>0</v>
      </c>
      <c r="T111" s="487">
        <f>SUMIFS('GSTR-2A'!$K$6:$K$10000,'GSTR-2A'!$B$6:$B$10000,$C$5:$C$4995,'GSTR-2A'!$A$6:$A$10000,$S$3)</f>
        <v>0</v>
      </c>
      <c r="U111" s="487">
        <f>SUMIFS('GSTR-2A'!$L$6:$L$10000,'GSTR-2A'!$B$6:$B$10000,$C$5:$C$4995,'GSTR-2A'!$A$6:$A$10000,$S$3)</f>
        <v>0</v>
      </c>
      <c r="V111" s="487">
        <f>SUMIFS('GSTR-2A'!$M$6:$M$10000,'GSTR-2A'!$B$6:$B$10000,$C$5:$C$4995,'GSTR-2A'!$A$6:$A$10000,$S$3)</f>
        <v>0</v>
      </c>
      <c r="W111" s="488">
        <f>SUMIFS('GSTR-2A'!$N$6:$N$10000,'GSTR-2A'!$B$6:$B$10000,$C$5:$C$4995,'GSTR-2A'!$A$6:$A$10000,$S$3)</f>
        <v>0</v>
      </c>
      <c r="X111" s="486">
        <f>SUMIFS('GSTR-2A'!$G$6:$G$10000,'GSTR-2A'!$B$6:$B$10000,$C$5:$C$4995,'GSTR-2A'!$A$6:$A$10000,$X$3)</f>
        <v>0</v>
      </c>
      <c r="Y111" s="487">
        <f>SUMIFS('GSTR-2A'!$K$6:$K$10000,'GSTR-2A'!$B$6:$B$10000,$C$5:$C$4995,'GSTR-2A'!$A$6:$A$10000,$X$3)</f>
        <v>0</v>
      </c>
      <c r="Z111" s="487">
        <f>SUMIFS('GSTR-2A'!$L$6:$L$10000,'GSTR-2A'!$B$6:$B$10000,$C$5:$C$4995,'GSTR-2A'!$A$6:$A$10000,$X$3)</f>
        <v>0</v>
      </c>
      <c r="AA111" s="487">
        <f>SUMIFS('GSTR-2A'!$M$6:$M$10000,'GSTR-2A'!$B$6:$B$10000,$C$5:$C$4995,'GSTR-2A'!$A$6:$A$10000,$X$3)</f>
        <v>0</v>
      </c>
      <c r="AB111" s="488">
        <f>SUMIFS('GSTR-2A'!$N$6:$N$10000,'GSTR-2A'!$B$6:$B$10000,$C$5:$C$4995,'GSTR-2A'!$A$6:$A$10000,$X$3)</f>
        <v>0</v>
      </c>
      <c r="AC111" s="486">
        <f>SUMIFS('GSTR-2A'!$G$6:$G$10000,'GSTR-2A'!$B$6:$B$10000,$C$5:$C$4995,'GSTR-2A'!$A$6:$A$10000,$AC$3)</f>
        <v>0</v>
      </c>
      <c r="AD111" s="487">
        <f>SUMIFS('GSTR-2A'!$K$6:$K$10000,'GSTR-2A'!$B$6:$B$10000,$C$5:$C$4995,'GSTR-2A'!$A$6:$A$10000,$AC$3)</f>
        <v>0</v>
      </c>
      <c r="AE111" s="487">
        <f>SUMIFS('GSTR-2A'!$L$6:$L$10000,'GSTR-2A'!$B$6:$B$10000,$C$5:$C$4995,'GSTR-2A'!$A$6:$A$10000,$AC$3)</f>
        <v>0</v>
      </c>
      <c r="AF111" s="487">
        <f>SUMIFS('GSTR-2A'!$M$6:$M$10000,'GSTR-2A'!$B$6:$B$10000,$C$5:$C$4995,'GSTR-2A'!$A$6:$A$10000,$AC$3)</f>
        <v>0</v>
      </c>
      <c r="AG111" s="488">
        <f>SUMIFS('GSTR-2A'!$N$6:$N$10000,'GSTR-2A'!$B$6:$B$10000,$C$5:$C$4995,'GSTR-2A'!$A$6:$A$10000,$AC$3)</f>
        <v>0</v>
      </c>
      <c r="AH111" s="486">
        <f>SUMIFS('GSTR-2A'!$G$6:$G$10000,'GSTR-2A'!$B$6:$B$10000,$C$5:$C$4995,'GSTR-2A'!$A$6:$A$10000,$AH$3)</f>
        <v>0</v>
      </c>
      <c r="AI111" s="487">
        <f>SUMIFS('GSTR-2A'!$K$6:$K$10000,'GSTR-2A'!$B$6:$B$10000,$C$5:$C$4995,'GSTR-2A'!$A$6:$A$10000,$AH$3)</f>
        <v>0</v>
      </c>
      <c r="AJ111" s="487">
        <f>SUMIFS('GSTR-2A'!$L$6:$L$10000,'GSTR-2A'!$B$6:$B$10000,$C$5:$C$4995,'GSTR-2A'!$A$6:$A$10000,$AH$3)</f>
        <v>0</v>
      </c>
      <c r="AK111" s="487">
        <f>SUMIFS('GSTR-2A'!$M$6:$M$10000,'GSTR-2A'!$B$6:$B$10000,$C$5:$C$4995,'GSTR-2A'!$A$6:$A$10000,$AH$3)</f>
        <v>0</v>
      </c>
      <c r="AL111" s="488">
        <f>SUMIFS('GSTR-2A'!$N$6:$N$10000,'GSTR-2A'!$B$6:$B$10000,$C$5:$C$4995,'GSTR-2A'!$A$6:$A$10000,$AH$3)</f>
        <v>0</v>
      </c>
      <c r="AM111" s="486">
        <f>SUMIFS('GSTR-2A'!$G$6:$G$10000,'GSTR-2A'!$B$6:$B$10000,$C$5:$C$4995,'GSTR-2A'!$A$6:$A$10000,$AM$3)</f>
        <v>0</v>
      </c>
      <c r="AN111" s="487">
        <f>SUMIFS('GSTR-2A'!$K$6:$K$10000,'GSTR-2A'!$B$6:$B$10000,$C$5:$C$4995,'GSTR-2A'!$A$6:$A$10000,$AM$3)</f>
        <v>0</v>
      </c>
      <c r="AO111" s="487">
        <f>SUMIFS('GSTR-2A'!$L$6:$L$10000,'GSTR-2A'!$B$6:$B$10000,$C$5:$C$4995,'GSTR-2A'!$A$6:$A$10000,$AM$3)</f>
        <v>0</v>
      </c>
      <c r="AP111" s="487">
        <f>SUMIFS('GSTR-2A'!$M$6:$M$10000,'GSTR-2A'!$B$6:$B$10000,$C$5:$C$4995,'GSTR-2A'!$A$6:$A$10000,$AM$3)</f>
        <v>0</v>
      </c>
      <c r="AQ111" s="488">
        <f>SUMIFS('GSTR-2A'!$N$6:$N$10000,'GSTR-2A'!$B$6:$B$10000,$C$5:$C$4995,'GSTR-2A'!$A$6:$A$10000,$AM$3)</f>
        <v>0</v>
      </c>
      <c r="AR111" s="486">
        <f>SUMIFS('GSTR-2A'!$G$6:$G$10000,'GSTR-2A'!$B$6:$B$10000,$C$5:$C$4995,'GSTR-2A'!$A$6:$A$10000,$AR$3)</f>
        <v>0</v>
      </c>
      <c r="AS111" s="487">
        <f>SUMIFS('GSTR-2A'!$K$6:$K$10000,'GSTR-2A'!$B$6:$B$10000,$C$5:$C$4995,'GSTR-2A'!$A$6:$A$10000,$AR$3)</f>
        <v>0</v>
      </c>
      <c r="AT111" s="487">
        <f>SUMIFS('GSTR-2A'!$L$6:$L$10000,'GSTR-2A'!$B$6:$B$10000,$C$5:$C$4995,'GSTR-2A'!$A$6:$A$10000,$AR$3)</f>
        <v>0</v>
      </c>
      <c r="AU111" s="487">
        <f>SUMIFS('GSTR-2A'!$M$6:$M$10000,'GSTR-2A'!$B$6:$B$10000,$C$5:$C$4995,'GSTR-2A'!$A$6:$A$10000,$AR$3)</f>
        <v>0</v>
      </c>
      <c r="AV111" s="488">
        <f>SUMIFS('GSTR-2A'!$N$6:$N$10000,'GSTR-2A'!$B$6:$B$10000,$C$5:$C$4995,'GSTR-2A'!$A$6:$A$10000,$AR$3)</f>
        <v>0</v>
      </c>
      <c r="AW111" s="486">
        <f>SUMIFS('GSTR-2A'!$G$6:$G$10000,'GSTR-2A'!$B$6:$B$10000,$C$5:$C$4995,'GSTR-2A'!$A$6:$A$10000,$AW$3)</f>
        <v>0</v>
      </c>
      <c r="AX111" s="487">
        <f>SUMIFS('GSTR-2A'!$K$6:$K$10000,'GSTR-2A'!$B$6:$B$10000,$C$5:$C$4995,'GSTR-2A'!$A$6:$A$10000,$AW$3)</f>
        <v>0</v>
      </c>
      <c r="AY111" s="487">
        <f>SUMIFS('GSTR-2A'!$L$6:$L$10000,'GSTR-2A'!$B$6:$B$10000,$C$5:$C$4995,'GSTR-2A'!$A$6:$A$10000,$AW$3)</f>
        <v>0</v>
      </c>
      <c r="AZ111" s="487">
        <f>SUMIFS('GSTR-2A'!$M$6:$M$10000,'GSTR-2A'!$B$6:$B$10000,$C$5:$C$4995,'GSTR-2A'!$A$6:$A$10000,$AW$3)</f>
        <v>0</v>
      </c>
      <c r="BA111" s="488">
        <f>SUMIFS('GSTR-2A'!$N$6:$N$10000,'GSTR-2A'!$B$6:$B$10000,$C$5:$C$4995,'GSTR-2A'!$A$6:$A$10000,$AW$3)</f>
        <v>0</v>
      </c>
      <c r="BB111" s="486">
        <f>SUMIFS('GSTR-2A'!$G$6:$G$10000,'GSTR-2A'!$B$6:$B$10000,$C$5:$C$4995,'GSTR-2A'!$A$6:$A$10000,$BB$3)</f>
        <v>0</v>
      </c>
      <c r="BC111" s="487">
        <f>SUMIFS('GSTR-2A'!$K$6:$K$10000,'GSTR-2A'!$B$6:$B$10000,$C$5:$C$4995,'GSTR-2A'!$A$6:$A$10000,$BB$3)</f>
        <v>0</v>
      </c>
      <c r="BD111" s="487">
        <f>SUMIFS('GSTR-2A'!$L$6:$L$10000,'GSTR-2A'!$B$6:$B$10000,$C$5:$C$4995,'GSTR-2A'!$A$6:$A$10000,$BB$3)</f>
        <v>0</v>
      </c>
      <c r="BE111" s="487">
        <f>SUMIFS('GSTR-2A'!$M$6:$M$10000,'GSTR-2A'!$B$6:$B$10000,$C$5:$C$4995,'GSTR-2A'!$A$6:$A$10000,$BB$3)</f>
        <v>0</v>
      </c>
      <c r="BF111" s="488">
        <f>SUMIFS('GSTR-2A'!$N$6:$N$10000,'GSTR-2A'!$B$6:$B$10000,$C$5:$C$4995,'GSTR-2A'!$A$6:$A$10000,$BB$3)</f>
        <v>0</v>
      </c>
      <c r="BG111" s="486">
        <f>SUMIFS('GSTR-2A'!$G$6:$G$10000,'GSTR-2A'!$B$6:$B$10000,$C$5:$C$4995,'GSTR-2A'!$A$6:$A$10000,$BG$3)</f>
        <v>0</v>
      </c>
      <c r="BH111" s="487">
        <f>SUMIFS('GSTR-2A'!$K$6:$K$10000,'GSTR-2A'!$B$6:$B$10000,$C$5:$C$4995,'GSTR-2A'!$A$6:$A$10000,$BG$3)</f>
        <v>0</v>
      </c>
      <c r="BI111" s="487">
        <f>SUMIFS('GSTR-2A'!$L$6:$L$10000,'GSTR-2A'!$B$6:$B$10000,$C$5:$C$4995,'GSTR-2A'!$A$6:$A$10000,$BG$3)</f>
        <v>0</v>
      </c>
      <c r="BJ111" s="487">
        <f>SUMIFS('GSTR-2A'!$M$6:$M$10000,'GSTR-2A'!$B$6:$B$10000,$C$5:$C$4995,'GSTR-2A'!$A$6:$A$10000,$BG$3)</f>
        <v>0</v>
      </c>
      <c r="BK111" s="488">
        <f>SUMIFS('GSTR-2A'!$N$6:$N$10000,'GSTR-2A'!$B$6:$B$10000,$C$5:$C$4995,'GSTR-2A'!$A$6:$A$10000,$BG$3)</f>
        <v>0</v>
      </c>
      <c r="BL111" s="72">
        <f t="shared" si="7"/>
        <v>0</v>
      </c>
      <c r="BM111" s="72">
        <f t="shared" si="8"/>
        <v>0</v>
      </c>
      <c r="BN111" s="72">
        <f t="shared" si="9"/>
        <v>0</v>
      </c>
      <c r="BO111" s="72">
        <f t="shared" si="10"/>
        <v>0</v>
      </c>
      <c r="BP111" s="72">
        <f t="shared" si="11"/>
        <v>0</v>
      </c>
    </row>
    <row r="112" spans="1:68" x14ac:dyDescent="0.2">
      <c r="A112" s="467">
        <v>109</v>
      </c>
      <c r="B112" s="468" t="s">
        <v>1162</v>
      </c>
      <c r="C112" s="469" t="s">
        <v>250</v>
      </c>
      <c r="D112" s="72">
        <f>SUMIFS('GSTR-2A'!$G$6:$G$10000,'GSTR-2A'!$B$6:$B$10000,$C$5:$C$4995,'GSTR-2A'!$A$6:$A$10000,$D$3)</f>
        <v>0</v>
      </c>
      <c r="E112" s="72">
        <f>SUMIFS('GSTR-2A'!$K$6:$K$10000,'GSTR-2A'!$B$6:$B$10000,$C$5:$C$4995,'GSTR-2A'!$A$6:$A$10000,$D$3)</f>
        <v>0</v>
      </c>
      <c r="F112" s="72">
        <f>SUMIFS('GSTR-2A'!$L$6:$L$10000,'GSTR-2A'!$B$6:$B$10000,$C$5:$C$4995,'GSTR-2A'!$A$6:$A$10000,$D$3)</f>
        <v>0</v>
      </c>
      <c r="G112" s="72">
        <f>SUMIFS('GSTR-2A'!$M$6:$M$10000,'GSTR-2A'!$B$6:$B$10000,$C$5:$C$4995,'GSTR-2A'!$A$6:$A$10000,$D$3)</f>
        <v>0</v>
      </c>
      <c r="H112" s="72">
        <f>SUMIFS('GSTR-2A'!$N$6:$N$10000,'GSTR-2A'!$B$6:$B$10000,$C$5:$C$4995,'GSTR-2A'!$A$6:$A$10000,$D$3)</f>
        <v>0</v>
      </c>
      <c r="I112" s="486">
        <f>SUMIFS('GSTR-2A'!$G$6:$G$10000,'GSTR-2A'!$B$6:$B$10000,$C$5:$C$4995,'GSTR-2A'!$A$6:$A$10000,$I$3)</f>
        <v>0</v>
      </c>
      <c r="J112" s="487">
        <f>SUMIFS('GSTR-2A'!$K$6:$K$10000,'GSTR-2A'!$B$6:$B$10000,$C$5:$C$4995,'GSTR-2A'!$A$6:$A$10000,$I$3)</f>
        <v>0</v>
      </c>
      <c r="K112" s="487">
        <f>SUMIFS('GSTR-2A'!$L$6:$L$10000,'GSTR-2A'!$B$6:$B$10000,$C$5:$C$4995,'GSTR-2A'!$A$6:$A$10000,$I$3)</f>
        <v>0</v>
      </c>
      <c r="L112" s="487">
        <f>SUMIFS('GSTR-2A'!$M$6:$M$10000,'GSTR-2A'!$B$6:$B$10000,$C$5:$C$4995,'GSTR-2A'!$A$6:$A$10000,$I$3)</f>
        <v>0</v>
      </c>
      <c r="M112" s="488">
        <f>SUMIFS('GSTR-2A'!$N$6:$N$10000,'GSTR-2A'!$B$6:$B$10000,$C$5:$C$4995,'GSTR-2A'!$A$6:$A$10000,$I$3)</f>
        <v>0</v>
      </c>
      <c r="N112" s="486">
        <f>SUMIFS('GSTR-2A'!$G$6:$G$10000,'GSTR-2A'!$B$6:$B$10000,$C$5:$C$4995,'GSTR-2A'!$A$6:$A$10000,$N$3)</f>
        <v>0</v>
      </c>
      <c r="O112" s="487">
        <f>SUMIFS('GSTR-2A'!$K$6:$K$10000,'GSTR-2A'!$B$6:$B$10000,$C$5:$C$4995,'GSTR-2A'!$A$6:$A$10000,$N$3)</f>
        <v>0</v>
      </c>
      <c r="P112" s="487">
        <f>SUMIFS('GSTR-2A'!$L$6:$L$10000,'GSTR-2A'!$B$6:$B$10000,$C$5:$C$4995,'GSTR-2A'!$A$6:$A$10000,$N$3)</f>
        <v>0</v>
      </c>
      <c r="Q112" s="487">
        <f>SUMIFS('GSTR-2A'!$M$6:$M$10000,'GSTR-2A'!$B$6:$B$10000,$C$5:$C$4995,'GSTR-2A'!$A$6:$A$10000,$N$3)</f>
        <v>0</v>
      </c>
      <c r="R112" s="488">
        <f>SUMIFS('GSTR-2A'!$N$6:$N$10000,'GSTR-2A'!$B$6:$B$10000,$C$5:$C$4995,'GSTR-2A'!$A$6:$A$10000,$N$3)</f>
        <v>0</v>
      </c>
      <c r="S112" s="486">
        <f>SUMIFS('GSTR-2A'!$G$6:$G$10000,'GSTR-2A'!$B$6:$B$10000,$C$5:$C$4995,'GSTR-2A'!$A$6:$A$10000,$S$3)</f>
        <v>0</v>
      </c>
      <c r="T112" s="487">
        <f>SUMIFS('GSTR-2A'!$K$6:$K$10000,'GSTR-2A'!$B$6:$B$10000,$C$5:$C$4995,'GSTR-2A'!$A$6:$A$10000,$S$3)</f>
        <v>0</v>
      </c>
      <c r="U112" s="487">
        <f>SUMIFS('GSTR-2A'!$L$6:$L$10000,'GSTR-2A'!$B$6:$B$10000,$C$5:$C$4995,'GSTR-2A'!$A$6:$A$10000,$S$3)</f>
        <v>0</v>
      </c>
      <c r="V112" s="487">
        <f>SUMIFS('GSTR-2A'!$M$6:$M$10000,'GSTR-2A'!$B$6:$B$10000,$C$5:$C$4995,'GSTR-2A'!$A$6:$A$10000,$S$3)</f>
        <v>0</v>
      </c>
      <c r="W112" s="488">
        <f>SUMIFS('GSTR-2A'!$N$6:$N$10000,'GSTR-2A'!$B$6:$B$10000,$C$5:$C$4995,'GSTR-2A'!$A$6:$A$10000,$S$3)</f>
        <v>0</v>
      </c>
      <c r="X112" s="486">
        <f>SUMIFS('GSTR-2A'!$G$6:$G$10000,'GSTR-2A'!$B$6:$B$10000,$C$5:$C$4995,'GSTR-2A'!$A$6:$A$10000,$X$3)</f>
        <v>0</v>
      </c>
      <c r="Y112" s="487">
        <f>SUMIFS('GSTR-2A'!$K$6:$K$10000,'GSTR-2A'!$B$6:$B$10000,$C$5:$C$4995,'GSTR-2A'!$A$6:$A$10000,$X$3)</f>
        <v>0</v>
      </c>
      <c r="Z112" s="487">
        <f>SUMIFS('GSTR-2A'!$L$6:$L$10000,'GSTR-2A'!$B$6:$B$10000,$C$5:$C$4995,'GSTR-2A'!$A$6:$A$10000,$X$3)</f>
        <v>0</v>
      </c>
      <c r="AA112" s="487">
        <f>SUMIFS('GSTR-2A'!$M$6:$M$10000,'GSTR-2A'!$B$6:$B$10000,$C$5:$C$4995,'GSTR-2A'!$A$6:$A$10000,$X$3)</f>
        <v>0</v>
      </c>
      <c r="AB112" s="488">
        <f>SUMIFS('GSTR-2A'!$N$6:$N$10000,'GSTR-2A'!$B$6:$B$10000,$C$5:$C$4995,'GSTR-2A'!$A$6:$A$10000,$X$3)</f>
        <v>0</v>
      </c>
      <c r="AC112" s="486">
        <f>SUMIFS('GSTR-2A'!$G$6:$G$10000,'GSTR-2A'!$B$6:$B$10000,$C$5:$C$4995,'GSTR-2A'!$A$6:$A$10000,$AC$3)</f>
        <v>0</v>
      </c>
      <c r="AD112" s="487">
        <f>SUMIFS('GSTR-2A'!$K$6:$K$10000,'GSTR-2A'!$B$6:$B$10000,$C$5:$C$4995,'GSTR-2A'!$A$6:$A$10000,$AC$3)</f>
        <v>0</v>
      </c>
      <c r="AE112" s="487">
        <f>SUMIFS('GSTR-2A'!$L$6:$L$10000,'GSTR-2A'!$B$6:$B$10000,$C$5:$C$4995,'GSTR-2A'!$A$6:$A$10000,$AC$3)</f>
        <v>0</v>
      </c>
      <c r="AF112" s="487">
        <f>SUMIFS('GSTR-2A'!$M$6:$M$10000,'GSTR-2A'!$B$6:$B$10000,$C$5:$C$4995,'GSTR-2A'!$A$6:$A$10000,$AC$3)</f>
        <v>0</v>
      </c>
      <c r="AG112" s="488">
        <f>SUMIFS('GSTR-2A'!$N$6:$N$10000,'GSTR-2A'!$B$6:$B$10000,$C$5:$C$4995,'GSTR-2A'!$A$6:$A$10000,$AC$3)</f>
        <v>0</v>
      </c>
      <c r="AH112" s="486">
        <f>SUMIFS('GSTR-2A'!$G$6:$G$10000,'GSTR-2A'!$B$6:$B$10000,$C$5:$C$4995,'GSTR-2A'!$A$6:$A$10000,$AH$3)</f>
        <v>0</v>
      </c>
      <c r="AI112" s="487">
        <f>SUMIFS('GSTR-2A'!$K$6:$K$10000,'GSTR-2A'!$B$6:$B$10000,$C$5:$C$4995,'GSTR-2A'!$A$6:$A$10000,$AH$3)</f>
        <v>0</v>
      </c>
      <c r="AJ112" s="487">
        <f>SUMIFS('GSTR-2A'!$L$6:$L$10000,'GSTR-2A'!$B$6:$B$10000,$C$5:$C$4995,'GSTR-2A'!$A$6:$A$10000,$AH$3)</f>
        <v>0</v>
      </c>
      <c r="AK112" s="487">
        <f>SUMIFS('GSTR-2A'!$M$6:$M$10000,'GSTR-2A'!$B$6:$B$10000,$C$5:$C$4995,'GSTR-2A'!$A$6:$A$10000,$AH$3)</f>
        <v>0</v>
      </c>
      <c r="AL112" s="488">
        <f>SUMIFS('GSTR-2A'!$N$6:$N$10000,'GSTR-2A'!$B$6:$B$10000,$C$5:$C$4995,'GSTR-2A'!$A$6:$A$10000,$AH$3)</f>
        <v>0</v>
      </c>
      <c r="AM112" s="486">
        <f>SUMIFS('GSTR-2A'!$G$6:$G$10000,'GSTR-2A'!$B$6:$B$10000,$C$5:$C$4995,'GSTR-2A'!$A$6:$A$10000,$AM$3)</f>
        <v>0</v>
      </c>
      <c r="AN112" s="487">
        <f>SUMIFS('GSTR-2A'!$K$6:$K$10000,'GSTR-2A'!$B$6:$B$10000,$C$5:$C$4995,'GSTR-2A'!$A$6:$A$10000,$AM$3)</f>
        <v>0</v>
      </c>
      <c r="AO112" s="487">
        <f>SUMIFS('GSTR-2A'!$L$6:$L$10000,'GSTR-2A'!$B$6:$B$10000,$C$5:$C$4995,'GSTR-2A'!$A$6:$A$10000,$AM$3)</f>
        <v>0</v>
      </c>
      <c r="AP112" s="487">
        <f>SUMIFS('GSTR-2A'!$M$6:$M$10000,'GSTR-2A'!$B$6:$B$10000,$C$5:$C$4995,'GSTR-2A'!$A$6:$A$10000,$AM$3)</f>
        <v>0</v>
      </c>
      <c r="AQ112" s="488">
        <f>SUMIFS('GSTR-2A'!$N$6:$N$10000,'GSTR-2A'!$B$6:$B$10000,$C$5:$C$4995,'GSTR-2A'!$A$6:$A$10000,$AM$3)</f>
        <v>0</v>
      </c>
      <c r="AR112" s="486">
        <f>SUMIFS('GSTR-2A'!$G$6:$G$10000,'GSTR-2A'!$B$6:$B$10000,$C$5:$C$4995,'GSTR-2A'!$A$6:$A$10000,$AR$3)</f>
        <v>0</v>
      </c>
      <c r="AS112" s="487">
        <f>SUMIFS('GSTR-2A'!$K$6:$K$10000,'GSTR-2A'!$B$6:$B$10000,$C$5:$C$4995,'GSTR-2A'!$A$6:$A$10000,$AR$3)</f>
        <v>0</v>
      </c>
      <c r="AT112" s="487">
        <f>SUMIFS('GSTR-2A'!$L$6:$L$10000,'GSTR-2A'!$B$6:$B$10000,$C$5:$C$4995,'GSTR-2A'!$A$6:$A$10000,$AR$3)</f>
        <v>0</v>
      </c>
      <c r="AU112" s="487">
        <f>SUMIFS('GSTR-2A'!$M$6:$M$10000,'GSTR-2A'!$B$6:$B$10000,$C$5:$C$4995,'GSTR-2A'!$A$6:$A$10000,$AR$3)</f>
        <v>0</v>
      </c>
      <c r="AV112" s="488">
        <f>SUMIFS('GSTR-2A'!$N$6:$N$10000,'GSTR-2A'!$B$6:$B$10000,$C$5:$C$4995,'GSTR-2A'!$A$6:$A$10000,$AR$3)</f>
        <v>0</v>
      </c>
      <c r="AW112" s="486">
        <f>SUMIFS('GSTR-2A'!$G$6:$G$10000,'GSTR-2A'!$B$6:$B$10000,$C$5:$C$4995,'GSTR-2A'!$A$6:$A$10000,$AW$3)</f>
        <v>0</v>
      </c>
      <c r="AX112" s="487">
        <f>SUMIFS('GSTR-2A'!$K$6:$K$10000,'GSTR-2A'!$B$6:$B$10000,$C$5:$C$4995,'GSTR-2A'!$A$6:$A$10000,$AW$3)</f>
        <v>0</v>
      </c>
      <c r="AY112" s="487">
        <f>SUMIFS('GSTR-2A'!$L$6:$L$10000,'GSTR-2A'!$B$6:$B$10000,$C$5:$C$4995,'GSTR-2A'!$A$6:$A$10000,$AW$3)</f>
        <v>0</v>
      </c>
      <c r="AZ112" s="487">
        <f>SUMIFS('GSTR-2A'!$M$6:$M$10000,'GSTR-2A'!$B$6:$B$10000,$C$5:$C$4995,'GSTR-2A'!$A$6:$A$10000,$AW$3)</f>
        <v>0</v>
      </c>
      <c r="BA112" s="488">
        <f>SUMIFS('GSTR-2A'!$N$6:$N$10000,'GSTR-2A'!$B$6:$B$10000,$C$5:$C$4995,'GSTR-2A'!$A$6:$A$10000,$AW$3)</f>
        <v>0</v>
      </c>
      <c r="BB112" s="486">
        <f>SUMIFS('GSTR-2A'!$G$6:$G$10000,'GSTR-2A'!$B$6:$B$10000,$C$5:$C$4995,'GSTR-2A'!$A$6:$A$10000,$BB$3)</f>
        <v>0</v>
      </c>
      <c r="BC112" s="487">
        <f>SUMIFS('GSTR-2A'!$K$6:$K$10000,'GSTR-2A'!$B$6:$B$10000,$C$5:$C$4995,'GSTR-2A'!$A$6:$A$10000,$BB$3)</f>
        <v>0</v>
      </c>
      <c r="BD112" s="487">
        <f>SUMIFS('GSTR-2A'!$L$6:$L$10000,'GSTR-2A'!$B$6:$B$10000,$C$5:$C$4995,'GSTR-2A'!$A$6:$A$10000,$BB$3)</f>
        <v>0</v>
      </c>
      <c r="BE112" s="487">
        <f>SUMIFS('GSTR-2A'!$M$6:$M$10000,'GSTR-2A'!$B$6:$B$10000,$C$5:$C$4995,'GSTR-2A'!$A$6:$A$10000,$BB$3)</f>
        <v>0</v>
      </c>
      <c r="BF112" s="488">
        <f>SUMIFS('GSTR-2A'!$N$6:$N$10000,'GSTR-2A'!$B$6:$B$10000,$C$5:$C$4995,'GSTR-2A'!$A$6:$A$10000,$BB$3)</f>
        <v>0</v>
      </c>
      <c r="BG112" s="486">
        <f>SUMIFS('GSTR-2A'!$G$6:$G$10000,'GSTR-2A'!$B$6:$B$10000,$C$5:$C$4995,'GSTR-2A'!$A$6:$A$10000,$BG$3)</f>
        <v>0</v>
      </c>
      <c r="BH112" s="487">
        <f>SUMIFS('GSTR-2A'!$K$6:$K$10000,'GSTR-2A'!$B$6:$B$10000,$C$5:$C$4995,'GSTR-2A'!$A$6:$A$10000,$BG$3)</f>
        <v>0</v>
      </c>
      <c r="BI112" s="487">
        <f>SUMIFS('GSTR-2A'!$L$6:$L$10000,'GSTR-2A'!$B$6:$B$10000,$C$5:$C$4995,'GSTR-2A'!$A$6:$A$10000,$BG$3)</f>
        <v>0</v>
      </c>
      <c r="BJ112" s="487">
        <f>SUMIFS('GSTR-2A'!$M$6:$M$10000,'GSTR-2A'!$B$6:$B$10000,$C$5:$C$4995,'GSTR-2A'!$A$6:$A$10000,$BG$3)</f>
        <v>0</v>
      </c>
      <c r="BK112" s="488">
        <f>SUMIFS('GSTR-2A'!$N$6:$N$10000,'GSTR-2A'!$B$6:$B$10000,$C$5:$C$4995,'GSTR-2A'!$A$6:$A$10000,$BG$3)</f>
        <v>0</v>
      </c>
      <c r="BL112" s="72">
        <f t="shared" si="7"/>
        <v>0</v>
      </c>
      <c r="BM112" s="72">
        <f t="shared" si="8"/>
        <v>0</v>
      </c>
      <c r="BN112" s="72">
        <f t="shared" si="9"/>
        <v>0</v>
      </c>
      <c r="BO112" s="72">
        <f t="shared" si="10"/>
        <v>0</v>
      </c>
      <c r="BP112" s="72">
        <f t="shared" si="11"/>
        <v>0</v>
      </c>
    </row>
    <row r="113" spans="1:68" x14ac:dyDescent="0.2">
      <c r="A113" s="467">
        <v>110</v>
      </c>
      <c r="B113" s="468" t="s">
        <v>556</v>
      </c>
      <c r="C113" s="469" t="s">
        <v>557</v>
      </c>
      <c r="D113" s="72">
        <f>SUMIFS('GSTR-2A'!$G$6:$G$10000,'GSTR-2A'!$B$6:$B$10000,$C$5:$C$4995,'GSTR-2A'!$A$6:$A$10000,$D$3)</f>
        <v>80736</v>
      </c>
      <c r="E113" s="72">
        <f>SUMIFS('GSTR-2A'!$K$6:$K$10000,'GSTR-2A'!$B$6:$B$10000,$C$5:$C$4995,'GSTR-2A'!$A$6:$A$10000,$D$3)</f>
        <v>68420</v>
      </c>
      <c r="F113" s="72">
        <f>SUMIFS('GSTR-2A'!$L$6:$L$10000,'GSTR-2A'!$B$6:$B$10000,$C$5:$C$4995,'GSTR-2A'!$A$6:$A$10000,$D$3)</f>
        <v>0</v>
      </c>
      <c r="G113" s="72">
        <f>SUMIFS('GSTR-2A'!$M$6:$M$10000,'GSTR-2A'!$B$6:$B$10000,$C$5:$C$4995,'GSTR-2A'!$A$6:$A$10000,$D$3)</f>
        <v>6158</v>
      </c>
      <c r="H113" s="72">
        <f>SUMIFS('GSTR-2A'!$N$6:$N$10000,'GSTR-2A'!$B$6:$B$10000,$C$5:$C$4995,'GSTR-2A'!$A$6:$A$10000,$D$3)</f>
        <v>6158</v>
      </c>
      <c r="I113" s="486">
        <f>SUMIFS('GSTR-2A'!$G$6:$G$10000,'GSTR-2A'!$B$6:$B$10000,$C$5:$C$4995,'GSTR-2A'!$A$6:$A$10000,$I$3)</f>
        <v>166440</v>
      </c>
      <c r="J113" s="487">
        <f>SUMIFS('GSTR-2A'!$K$6:$K$10000,'GSTR-2A'!$B$6:$B$10000,$C$5:$C$4995,'GSTR-2A'!$A$6:$A$10000,$I$3)</f>
        <v>141050</v>
      </c>
      <c r="K113" s="487">
        <f>SUMIFS('GSTR-2A'!$L$6:$L$10000,'GSTR-2A'!$B$6:$B$10000,$C$5:$C$4995,'GSTR-2A'!$A$6:$A$10000,$I$3)</f>
        <v>0</v>
      </c>
      <c r="L113" s="487">
        <f>SUMIFS('GSTR-2A'!$M$6:$M$10000,'GSTR-2A'!$B$6:$B$10000,$C$5:$C$4995,'GSTR-2A'!$A$6:$A$10000,$I$3)</f>
        <v>12695</v>
      </c>
      <c r="M113" s="488">
        <f>SUMIFS('GSTR-2A'!$N$6:$N$10000,'GSTR-2A'!$B$6:$B$10000,$C$5:$C$4995,'GSTR-2A'!$A$6:$A$10000,$I$3)</f>
        <v>12695</v>
      </c>
      <c r="N113" s="486">
        <f>SUMIFS('GSTR-2A'!$G$6:$G$10000,'GSTR-2A'!$B$6:$B$10000,$C$5:$C$4995,'GSTR-2A'!$A$6:$A$10000,$N$3)</f>
        <v>113458</v>
      </c>
      <c r="O113" s="487">
        <f>SUMIFS('GSTR-2A'!$K$6:$K$10000,'GSTR-2A'!$B$6:$B$10000,$C$5:$C$4995,'GSTR-2A'!$A$6:$A$10000,$N$3)</f>
        <v>96150</v>
      </c>
      <c r="P113" s="487">
        <f>SUMIFS('GSTR-2A'!$L$6:$L$10000,'GSTR-2A'!$B$6:$B$10000,$C$5:$C$4995,'GSTR-2A'!$A$6:$A$10000,$N$3)</f>
        <v>0</v>
      </c>
      <c r="Q113" s="487">
        <f>SUMIFS('GSTR-2A'!$M$6:$M$10000,'GSTR-2A'!$B$6:$B$10000,$C$5:$C$4995,'GSTR-2A'!$A$6:$A$10000,$N$3)</f>
        <v>8654</v>
      </c>
      <c r="R113" s="488">
        <f>SUMIFS('GSTR-2A'!$N$6:$N$10000,'GSTR-2A'!$B$6:$B$10000,$C$5:$C$4995,'GSTR-2A'!$A$6:$A$10000,$N$3)</f>
        <v>8654</v>
      </c>
      <c r="S113" s="486">
        <f>SUMIFS('GSTR-2A'!$G$6:$G$10000,'GSTR-2A'!$B$6:$B$10000,$C$5:$C$4995,'GSTR-2A'!$A$6:$A$10000,$S$3)</f>
        <v>0</v>
      </c>
      <c r="T113" s="487">
        <f>SUMIFS('GSTR-2A'!$K$6:$K$10000,'GSTR-2A'!$B$6:$B$10000,$C$5:$C$4995,'GSTR-2A'!$A$6:$A$10000,$S$3)</f>
        <v>0</v>
      </c>
      <c r="U113" s="487">
        <f>SUMIFS('GSTR-2A'!$L$6:$L$10000,'GSTR-2A'!$B$6:$B$10000,$C$5:$C$4995,'GSTR-2A'!$A$6:$A$10000,$S$3)</f>
        <v>0</v>
      </c>
      <c r="V113" s="487">
        <f>SUMIFS('GSTR-2A'!$M$6:$M$10000,'GSTR-2A'!$B$6:$B$10000,$C$5:$C$4995,'GSTR-2A'!$A$6:$A$10000,$S$3)</f>
        <v>0</v>
      </c>
      <c r="W113" s="488">
        <f>SUMIFS('GSTR-2A'!$N$6:$N$10000,'GSTR-2A'!$B$6:$B$10000,$C$5:$C$4995,'GSTR-2A'!$A$6:$A$10000,$S$3)</f>
        <v>0</v>
      </c>
      <c r="X113" s="486">
        <f>SUMIFS('GSTR-2A'!$G$6:$G$10000,'GSTR-2A'!$B$6:$B$10000,$C$5:$C$4995,'GSTR-2A'!$A$6:$A$10000,$X$3)</f>
        <v>0</v>
      </c>
      <c r="Y113" s="487">
        <f>SUMIFS('GSTR-2A'!$K$6:$K$10000,'GSTR-2A'!$B$6:$B$10000,$C$5:$C$4995,'GSTR-2A'!$A$6:$A$10000,$X$3)</f>
        <v>0</v>
      </c>
      <c r="Z113" s="487">
        <f>SUMIFS('GSTR-2A'!$L$6:$L$10000,'GSTR-2A'!$B$6:$B$10000,$C$5:$C$4995,'GSTR-2A'!$A$6:$A$10000,$X$3)</f>
        <v>0</v>
      </c>
      <c r="AA113" s="487">
        <f>SUMIFS('GSTR-2A'!$M$6:$M$10000,'GSTR-2A'!$B$6:$B$10000,$C$5:$C$4995,'GSTR-2A'!$A$6:$A$10000,$X$3)</f>
        <v>0</v>
      </c>
      <c r="AB113" s="488">
        <f>SUMIFS('GSTR-2A'!$N$6:$N$10000,'GSTR-2A'!$B$6:$B$10000,$C$5:$C$4995,'GSTR-2A'!$A$6:$A$10000,$X$3)</f>
        <v>0</v>
      </c>
      <c r="AC113" s="486">
        <f>SUMIFS('GSTR-2A'!$G$6:$G$10000,'GSTR-2A'!$B$6:$B$10000,$C$5:$C$4995,'GSTR-2A'!$A$6:$A$10000,$AC$3)</f>
        <v>0</v>
      </c>
      <c r="AD113" s="487">
        <f>SUMIFS('GSTR-2A'!$K$6:$K$10000,'GSTR-2A'!$B$6:$B$10000,$C$5:$C$4995,'GSTR-2A'!$A$6:$A$10000,$AC$3)</f>
        <v>0</v>
      </c>
      <c r="AE113" s="487">
        <f>SUMIFS('GSTR-2A'!$L$6:$L$10000,'GSTR-2A'!$B$6:$B$10000,$C$5:$C$4995,'GSTR-2A'!$A$6:$A$10000,$AC$3)</f>
        <v>0</v>
      </c>
      <c r="AF113" s="487">
        <f>SUMIFS('GSTR-2A'!$M$6:$M$10000,'GSTR-2A'!$B$6:$B$10000,$C$5:$C$4995,'GSTR-2A'!$A$6:$A$10000,$AC$3)</f>
        <v>0</v>
      </c>
      <c r="AG113" s="488">
        <f>SUMIFS('GSTR-2A'!$N$6:$N$10000,'GSTR-2A'!$B$6:$B$10000,$C$5:$C$4995,'GSTR-2A'!$A$6:$A$10000,$AC$3)</f>
        <v>0</v>
      </c>
      <c r="AH113" s="486">
        <f>SUMIFS('GSTR-2A'!$G$6:$G$10000,'GSTR-2A'!$B$6:$B$10000,$C$5:$C$4995,'GSTR-2A'!$A$6:$A$10000,$AH$3)</f>
        <v>0</v>
      </c>
      <c r="AI113" s="487">
        <f>SUMIFS('GSTR-2A'!$K$6:$K$10000,'GSTR-2A'!$B$6:$B$10000,$C$5:$C$4995,'GSTR-2A'!$A$6:$A$10000,$AH$3)</f>
        <v>0</v>
      </c>
      <c r="AJ113" s="487">
        <f>SUMIFS('GSTR-2A'!$L$6:$L$10000,'GSTR-2A'!$B$6:$B$10000,$C$5:$C$4995,'GSTR-2A'!$A$6:$A$10000,$AH$3)</f>
        <v>0</v>
      </c>
      <c r="AK113" s="487">
        <f>SUMIFS('GSTR-2A'!$M$6:$M$10000,'GSTR-2A'!$B$6:$B$10000,$C$5:$C$4995,'GSTR-2A'!$A$6:$A$10000,$AH$3)</f>
        <v>0</v>
      </c>
      <c r="AL113" s="488">
        <f>SUMIFS('GSTR-2A'!$N$6:$N$10000,'GSTR-2A'!$B$6:$B$10000,$C$5:$C$4995,'GSTR-2A'!$A$6:$A$10000,$AH$3)</f>
        <v>0</v>
      </c>
      <c r="AM113" s="486">
        <f>SUMIFS('GSTR-2A'!$G$6:$G$10000,'GSTR-2A'!$B$6:$B$10000,$C$5:$C$4995,'GSTR-2A'!$A$6:$A$10000,$AM$3)</f>
        <v>0</v>
      </c>
      <c r="AN113" s="487">
        <f>SUMIFS('GSTR-2A'!$K$6:$K$10000,'GSTR-2A'!$B$6:$B$10000,$C$5:$C$4995,'GSTR-2A'!$A$6:$A$10000,$AM$3)</f>
        <v>0</v>
      </c>
      <c r="AO113" s="487">
        <f>SUMIFS('GSTR-2A'!$L$6:$L$10000,'GSTR-2A'!$B$6:$B$10000,$C$5:$C$4995,'GSTR-2A'!$A$6:$A$10000,$AM$3)</f>
        <v>0</v>
      </c>
      <c r="AP113" s="487">
        <f>SUMIFS('GSTR-2A'!$M$6:$M$10000,'GSTR-2A'!$B$6:$B$10000,$C$5:$C$4995,'GSTR-2A'!$A$6:$A$10000,$AM$3)</f>
        <v>0</v>
      </c>
      <c r="AQ113" s="488">
        <f>SUMIFS('GSTR-2A'!$N$6:$N$10000,'GSTR-2A'!$B$6:$B$10000,$C$5:$C$4995,'GSTR-2A'!$A$6:$A$10000,$AM$3)</f>
        <v>0</v>
      </c>
      <c r="AR113" s="486">
        <f>SUMIFS('GSTR-2A'!$G$6:$G$10000,'GSTR-2A'!$B$6:$B$10000,$C$5:$C$4995,'GSTR-2A'!$A$6:$A$10000,$AR$3)</f>
        <v>0</v>
      </c>
      <c r="AS113" s="487">
        <f>SUMIFS('GSTR-2A'!$K$6:$K$10000,'GSTR-2A'!$B$6:$B$10000,$C$5:$C$4995,'GSTR-2A'!$A$6:$A$10000,$AR$3)</f>
        <v>0</v>
      </c>
      <c r="AT113" s="487">
        <f>SUMIFS('GSTR-2A'!$L$6:$L$10000,'GSTR-2A'!$B$6:$B$10000,$C$5:$C$4995,'GSTR-2A'!$A$6:$A$10000,$AR$3)</f>
        <v>0</v>
      </c>
      <c r="AU113" s="487">
        <f>SUMIFS('GSTR-2A'!$M$6:$M$10000,'GSTR-2A'!$B$6:$B$10000,$C$5:$C$4995,'GSTR-2A'!$A$6:$A$10000,$AR$3)</f>
        <v>0</v>
      </c>
      <c r="AV113" s="488">
        <f>SUMIFS('GSTR-2A'!$N$6:$N$10000,'GSTR-2A'!$B$6:$B$10000,$C$5:$C$4995,'GSTR-2A'!$A$6:$A$10000,$AR$3)</f>
        <v>0</v>
      </c>
      <c r="AW113" s="486">
        <f>SUMIFS('GSTR-2A'!$G$6:$G$10000,'GSTR-2A'!$B$6:$B$10000,$C$5:$C$4995,'GSTR-2A'!$A$6:$A$10000,$AW$3)</f>
        <v>0</v>
      </c>
      <c r="AX113" s="487">
        <f>SUMIFS('GSTR-2A'!$K$6:$K$10000,'GSTR-2A'!$B$6:$B$10000,$C$5:$C$4995,'GSTR-2A'!$A$6:$A$10000,$AW$3)</f>
        <v>0</v>
      </c>
      <c r="AY113" s="487">
        <f>SUMIFS('GSTR-2A'!$L$6:$L$10000,'GSTR-2A'!$B$6:$B$10000,$C$5:$C$4995,'GSTR-2A'!$A$6:$A$10000,$AW$3)</f>
        <v>0</v>
      </c>
      <c r="AZ113" s="487">
        <f>SUMIFS('GSTR-2A'!$M$6:$M$10000,'GSTR-2A'!$B$6:$B$10000,$C$5:$C$4995,'GSTR-2A'!$A$6:$A$10000,$AW$3)</f>
        <v>0</v>
      </c>
      <c r="BA113" s="488">
        <f>SUMIFS('GSTR-2A'!$N$6:$N$10000,'GSTR-2A'!$B$6:$B$10000,$C$5:$C$4995,'GSTR-2A'!$A$6:$A$10000,$AW$3)</f>
        <v>0</v>
      </c>
      <c r="BB113" s="486">
        <f>SUMIFS('GSTR-2A'!$G$6:$G$10000,'GSTR-2A'!$B$6:$B$10000,$C$5:$C$4995,'GSTR-2A'!$A$6:$A$10000,$BB$3)</f>
        <v>0</v>
      </c>
      <c r="BC113" s="487">
        <f>SUMIFS('GSTR-2A'!$K$6:$K$10000,'GSTR-2A'!$B$6:$B$10000,$C$5:$C$4995,'GSTR-2A'!$A$6:$A$10000,$BB$3)</f>
        <v>0</v>
      </c>
      <c r="BD113" s="487">
        <f>SUMIFS('GSTR-2A'!$L$6:$L$10000,'GSTR-2A'!$B$6:$B$10000,$C$5:$C$4995,'GSTR-2A'!$A$6:$A$10000,$BB$3)</f>
        <v>0</v>
      </c>
      <c r="BE113" s="487">
        <f>SUMIFS('GSTR-2A'!$M$6:$M$10000,'GSTR-2A'!$B$6:$B$10000,$C$5:$C$4995,'GSTR-2A'!$A$6:$A$10000,$BB$3)</f>
        <v>0</v>
      </c>
      <c r="BF113" s="488">
        <f>SUMIFS('GSTR-2A'!$N$6:$N$10000,'GSTR-2A'!$B$6:$B$10000,$C$5:$C$4995,'GSTR-2A'!$A$6:$A$10000,$BB$3)</f>
        <v>0</v>
      </c>
      <c r="BG113" s="486">
        <f>SUMIFS('GSTR-2A'!$G$6:$G$10000,'GSTR-2A'!$B$6:$B$10000,$C$5:$C$4995,'GSTR-2A'!$A$6:$A$10000,$BG$3)</f>
        <v>0</v>
      </c>
      <c r="BH113" s="487">
        <f>SUMIFS('GSTR-2A'!$K$6:$K$10000,'GSTR-2A'!$B$6:$B$10000,$C$5:$C$4995,'GSTR-2A'!$A$6:$A$10000,$BG$3)</f>
        <v>0</v>
      </c>
      <c r="BI113" s="487">
        <f>SUMIFS('GSTR-2A'!$L$6:$L$10000,'GSTR-2A'!$B$6:$B$10000,$C$5:$C$4995,'GSTR-2A'!$A$6:$A$10000,$BG$3)</f>
        <v>0</v>
      </c>
      <c r="BJ113" s="487">
        <f>SUMIFS('GSTR-2A'!$M$6:$M$10000,'GSTR-2A'!$B$6:$B$10000,$C$5:$C$4995,'GSTR-2A'!$A$6:$A$10000,$BG$3)</f>
        <v>0</v>
      </c>
      <c r="BK113" s="488">
        <f>SUMIFS('GSTR-2A'!$N$6:$N$10000,'GSTR-2A'!$B$6:$B$10000,$C$5:$C$4995,'GSTR-2A'!$A$6:$A$10000,$BG$3)</f>
        <v>0</v>
      </c>
      <c r="BL113" s="72">
        <f t="shared" si="7"/>
        <v>360634</v>
      </c>
      <c r="BM113" s="72">
        <f t="shared" si="8"/>
        <v>305620</v>
      </c>
      <c r="BN113" s="72">
        <f t="shared" si="9"/>
        <v>0</v>
      </c>
      <c r="BO113" s="72">
        <f t="shared" si="10"/>
        <v>27507</v>
      </c>
      <c r="BP113" s="72">
        <f t="shared" si="11"/>
        <v>27507</v>
      </c>
    </row>
    <row r="114" spans="1:68" x14ac:dyDescent="0.2">
      <c r="A114" s="467">
        <v>111</v>
      </c>
      <c r="B114" s="468" t="s">
        <v>609</v>
      </c>
      <c r="C114" s="469" t="s">
        <v>610</v>
      </c>
      <c r="D114" s="72">
        <f>SUMIFS('GSTR-2A'!$G$6:$G$10000,'GSTR-2A'!$B$6:$B$10000,$C$5:$C$4995,'GSTR-2A'!$A$6:$A$10000,$D$3)</f>
        <v>0</v>
      </c>
      <c r="E114" s="72">
        <f>SUMIFS('GSTR-2A'!$K$6:$K$10000,'GSTR-2A'!$B$6:$B$10000,$C$5:$C$4995,'GSTR-2A'!$A$6:$A$10000,$D$3)</f>
        <v>0</v>
      </c>
      <c r="F114" s="72">
        <f>SUMIFS('GSTR-2A'!$L$6:$L$10000,'GSTR-2A'!$B$6:$B$10000,$C$5:$C$4995,'GSTR-2A'!$A$6:$A$10000,$D$3)</f>
        <v>0</v>
      </c>
      <c r="G114" s="72">
        <f>SUMIFS('GSTR-2A'!$M$6:$M$10000,'GSTR-2A'!$B$6:$B$10000,$C$5:$C$4995,'GSTR-2A'!$A$6:$A$10000,$D$3)</f>
        <v>0</v>
      </c>
      <c r="H114" s="72">
        <f>SUMIFS('GSTR-2A'!$N$6:$N$10000,'GSTR-2A'!$B$6:$B$10000,$C$5:$C$4995,'GSTR-2A'!$A$6:$A$10000,$D$3)</f>
        <v>0</v>
      </c>
      <c r="I114" s="486">
        <f>SUMIFS('GSTR-2A'!$G$6:$G$10000,'GSTR-2A'!$B$6:$B$10000,$C$5:$C$4995,'GSTR-2A'!$A$6:$A$10000,$I$3)</f>
        <v>797410</v>
      </c>
      <c r="J114" s="487">
        <f>SUMIFS('GSTR-2A'!$K$6:$K$10000,'GSTR-2A'!$B$6:$B$10000,$C$5:$C$4995,'GSTR-2A'!$A$6:$A$10000,$I$3)</f>
        <v>675771</v>
      </c>
      <c r="K114" s="487">
        <f>SUMIFS('GSTR-2A'!$L$6:$L$10000,'GSTR-2A'!$B$6:$B$10000,$C$5:$C$4995,'GSTR-2A'!$A$6:$A$10000,$I$3)</f>
        <v>0</v>
      </c>
      <c r="L114" s="487">
        <f>SUMIFS('GSTR-2A'!$M$6:$M$10000,'GSTR-2A'!$B$6:$B$10000,$C$5:$C$4995,'GSTR-2A'!$A$6:$A$10000,$I$3)</f>
        <v>60819.39</v>
      </c>
      <c r="M114" s="488">
        <f>SUMIFS('GSTR-2A'!$N$6:$N$10000,'GSTR-2A'!$B$6:$B$10000,$C$5:$C$4995,'GSTR-2A'!$A$6:$A$10000,$I$3)</f>
        <v>60819.39</v>
      </c>
      <c r="N114" s="486">
        <f>SUMIFS('GSTR-2A'!$G$6:$G$10000,'GSTR-2A'!$B$6:$B$10000,$C$5:$C$4995,'GSTR-2A'!$A$6:$A$10000,$N$3)</f>
        <v>923971</v>
      </c>
      <c r="O114" s="487">
        <f>SUMIFS('GSTR-2A'!$K$6:$K$10000,'GSTR-2A'!$B$6:$B$10000,$C$5:$C$4995,'GSTR-2A'!$A$6:$A$10000,$N$3)</f>
        <v>783026</v>
      </c>
      <c r="P114" s="487">
        <f>SUMIFS('GSTR-2A'!$L$6:$L$10000,'GSTR-2A'!$B$6:$B$10000,$C$5:$C$4995,'GSTR-2A'!$A$6:$A$10000,$N$3)</f>
        <v>0</v>
      </c>
      <c r="Q114" s="487">
        <f>SUMIFS('GSTR-2A'!$M$6:$M$10000,'GSTR-2A'!$B$6:$B$10000,$C$5:$C$4995,'GSTR-2A'!$A$6:$A$10000,$N$3)</f>
        <v>70472.34</v>
      </c>
      <c r="R114" s="488">
        <f>SUMIFS('GSTR-2A'!$N$6:$N$10000,'GSTR-2A'!$B$6:$B$10000,$C$5:$C$4995,'GSTR-2A'!$A$6:$A$10000,$N$3)</f>
        <v>70472.34</v>
      </c>
      <c r="S114" s="486">
        <f>SUMIFS('GSTR-2A'!$G$6:$G$10000,'GSTR-2A'!$B$6:$B$10000,$C$5:$C$4995,'GSTR-2A'!$A$6:$A$10000,$S$3)</f>
        <v>970489</v>
      </c>
      <c r="T114" s="487">
        <f>SUMIFS('GSTR-2A'!$K$6:$K$10000,'GSTR-2A'!$B$6:$B$10000,$C$5:$C$4995,'GSTR-2A'!$A$6:$A$10000,$S$3)</f>
        <v>822448</v>
      </c>
      <c r="U114" s="487">
        <f>SUMIFS('GSTR-2A'!$L$6:$L$10000,'GSTR-2A'!$B$6:$B$10000,$C$5:$C$4995,'GSTR-2A'!$A$6:$A$10000,$S$3)</f>
        <v>0</v>
      </c>
      <c r="V114" s="487">
        <f>SUMIFS('GSTR-2A'!$M$6:$M$10000,'GSTR-2A'!$B$6:$B$10000,$C$5:$C$4995,'GSTR-2A'!$A$6:$A$10000,$S$3)</f>
        <v>74020.320000000007</v>
      </c>
      <c r="W114" s="488">
        <f>SUMIFS('GSTR-2A'!$N$6:$N$10000,'GSTR-2A'!$B$6:$B$10000,$C$5:$C$4995,'GSTR-2A'!$A$6:$A$10000,$S$3)</f>
        <v>74020.320000000007</v>
      </c>
      <c r="X114" s="486">
        <f>SUMIFS('GSTR-2A'!$G$6:$G$10000,'GSTR-2A'!$B$6:$B$10000,$C$5:$C$4995,'GSTR-2A'!$A$6:$A$10000,$X$3)</f>
        <v>1114052</v>
      </c>
      <c r="Y114" s="487">
        <f>SUMIFS('GSTR-2A'!$K$6:$K$10000,'GSTR-2A'!$B$6:$B$10000,$C$5:$C$4995,'GSTR-2A'!$A$6:$A$10000,$X$3)</f>
        <v>944112</v>
      </c>
      <c r="Z114" s="487">
        <f>SUMIFS('GSTR-2A'!$L$6:$L$10000,'GSTR-2A'!$B$6:$B$10000,$C$5:$C$4995,'GSTR-2A'!$A$6:$A$10000,$X$3)</f>
        <v>0</v>
      </c>
      <c r="AA114" s="487">
        <f>SUMIFS('GSTR-2A'!$M$6:$M$10000,'GSTR-2A'!$B$6:$B$10000,$C$5:$C$4995,'GSTR-2A'!$A$6:$A$10000,$X$3)</f>
        <v>84970.08</v>
      </c>
      <c r="AB114" s="488">
        <f>SUMIFS('GSTR-2A'!$N$6:$N$10000,'GSTR-2A'!$B$6:$B$10000,$C$5:$C$4995,'GSTR-2A'!$A$6:$A$10000,$X$3)</f>
        <v>84970.08</v>
      </c>
      <c r="AC114" s="486">
        <f>SUMIFS('GSTR-2A'!$G$6:$G$10000,'GSTR-2A'!$B$6:$B$10000,$C$5:$C$4995,'GSTR-2A'!$A$6:$A$10000,$AC$3)</f>
        <v>1004727</v>
      </c>
      <c r="AD114" s="487">
        <f>SUMIFS('GSTR-2A'!$K$6:$K$10000,'GSTR-2A'!$B$6:$B$10000,$C$5:$C$4995,'GSTR-2A'!$A$6:$A$10000,$AC$3)</f>
        <v>851464</v>
      </c>
      <c r="AE114" s="487">
        <f>SUMIFS('GSTR-2A'!$L$6:$L$10000,'GSTR-2A'!$B$6:$B$10000,$C$5:$C$4995,'GSTR-2A'!$A$6:$A$10000,$AC$3)</f>
        <v>0</v>
      </c>
      <c r="AF114" s="487">
        <f>SUMIFS('GSTR-2A'!$M$6:$M$10000,'GSTR-2A'!$B$6:$B$10000,$C$5:$C$4995,'GSTR-2A'!$A$6:$A$10000,$AC$3)</f>
        <v>76631.759999999995</v>
      </c>
      <c r="AG114" s="488">
        <f>SUMIFS('GSTR-2A'!$N$6:$N$10000,'GSTR-2A'!$B$6:$B$10000,$C$5:$C$4995,'GSTR-2A'!$A$6:$A$10000,$AC$3)</f>
        <v>76631.759999999995</v>
      </c>
      <c r="AH114" s="486">
        <f>SUMIFS('GSTR-2A'!$G$6:$G$10000,'GSTR-2A'!$B$6:$B$10000,$C$5:$C$4995,'GSTR-2A'!$A$6:$A$10000,$AH$3)</f>
        <v>0</v>
      </c>
      <c r="AI114" s="487">
        <f>SUMIFS('GSTR-2A'!$K$6:$K$10000,'GSTR-2A'!$B$6:$B$10000,$C$5:$C$4995,'GSTR-2A'!$A$6:$A$10000,$AH$3)</f>
        <v>0</v>
      </c>
      <c r="AJ114" s="487">
        <f>SUMIFS('GSTR-2A'!$L$6:$L$10000,'GSTR-2A'!$B$6:$B$10000,$C$5:$C$4995,'GSTR-2A'!$A$6:$A$10000,$AH$3)</f>
        <v>0</v>
      </c>
      <c r="AK114" s="487">
        <f>SUMIFS('GSTR-2A'!$M$6:$M$10000,'GSTR-2A'!$B$6:$B$10000,$C$5:$C$4995,'GSTR-2A'!$A$6:$A$10000,$AH$3)</f>
        <v>0</v>
      </c>
      <c r="AL114" s="488">
        <f>SUMIFS('GSTR-2A'!$N$6:$N$10000,'GSTR-2A'!$B$6:$B$10000,$C$5:$C$4995,'GSTR-2A'!$A$6:$A$10000,$AH$3)</f>
        <v>0</v>
      </c>
      <c r="AM114" s="486">
        <f>SUMIFS('GSTR-2A'!$G$6:$G$10000,'GSTR-2A'!$B$6:$B$10000,$C$5:$C$4995,'GSTR-2A'!$A$6:$A$10000,$AM$3)</f>
        <v>0</v>
      </c>
      <c r="AN114" s="487">
        <f>SUMIFS('GSTR-2A'!$K$6:$K$10000,'GSTR-2A'!$B$6:$B$10000,$C$5:$C$4995,'GSTR-2A'!$A$6:$A$10000,$AM$3)</f>
        <v>0</v>
      </c>
      <c r="AO114" s="487">
        <f>SUMIFS('GSTR-2A'!$L$6:$L$10000,'GSTR-2A'!$B$6:$B$10000,$C$5:$C$4995,'GSTR-2A'!$A$6:$A$10000,$AM$3)</f>
        <v>0</v>
      </c>
      <c r="AP114" s="487">
        <f>SUMIFS('GSTR-2A'!$M$6:$M$10000,'GSTR-2A'!$B$6:$B$10000,$C$5:$C$4995,'GSTR-2A'!$A$6:$A$10000,$AM$3)</f>
        <v>0</v>
      </c>
      <c r="AQ114" s="488">
        <f>SUMIFS('GSTR-2A'!$N$6:$N$10000,'GSTR-2A'!$B$6:$B$10000,$C$5:$C$4995,'GSTR-2A'!$A$6:$A$10000,$AM$3)</f>
        <v>0</v>
      </c>
      <c r="AR114" s="486">
        <f>SUMIFS('GSTR-2A'!$G$6:$G$10000,'GSTR-2A'!$B$6:$B$10000,$C$5:$C$4995,'GSTR-2A'!$A$6:$A$10000,$AR$3)</f>
        <v>0</v>
      </c>
      <c r="AS114" s="487">
        <f>SUMIFS('GSTR-2A'!$K$6:$K$10000,'GSTR-2A'!$B$6:$B$10000,$C$5:$C$4995,'GSTR-2A'!$A$6:$A$10000,$AR$3)</f>
        <v>0</v>
      </c>
      <c r="AT114" s="487">
        <f>SUMIFS('GSTR-2A'!$L$6:$L$10000,'GSTR-2A'!$B$6:$B$10000,$C$5:$C$4995,'GSTR-2A'!$A$6:$A$10000,$AR$3)</f>
        <v>0</v>
      </c>
      <c r="AU114" s="487">
        <f>SUMIFS('GSTR-2A'!$M$6:$M$10000,'GSTR-2A'!$B$6:$B$10000,$C$5:$C$4995,'GSTR-2A'!$A$6:$A$10000,$AR$3)</f>
        <v>0</v>
      </c>
      <c r="AV114" s="488">
        <f>SUMIFS('GSTR-2A'!$N$6:$N$10000,'GSTR-2A'!$B$6:$B$10000,$C$5:$C$4995,'GSTR-2A'!$A$6:$A$10000,$AR$3)</f>
        <v>0</v>
      </c>
      <c r="AW114" s="486">
        <f>SUMIFS('GSTR-2A'!$G$6:$G$10000,'GSTR-2A'!$B$6:$B$10000,$C$5:$C$4995,'GSTR-2A'!$A$6:$A$10000,$AW$3)</f>
        <v>0</v>
      </c>
      <c r="AX114" s="487">
        <f>SUMIFS('GSTR-2A'!$K$6:$K$10000,'GSTR-2A'!$B$6:$B$10000,$C$5:$C$4995,'GSTR-2A'!$A$6:$A$10000,$AW$3)</f>
        <v>0</v>
      </c>
      <c r="AY114" s="487">
        <f>SUMIFS('GSTR-2A'!$L$6:$L$10000,'GSTR-2A'!$B$6:$B$10000,$C$5:$C$4995,'GSTR-2A'!$A$6:$A$10000,$AW$3)</f>
        <v>0</v>
      </c>
      <c r="AZ114" s="487">
        <f>SUMIFS('GSTR-2A'!$M$6:$M$10000,'GSTR-2A'!$B$6:$B$10000,$C$5:$C$4995,'GSTR-2A'!$A$6:$A$10000,$AW$3)</f>
        <v>0</v>
      </c>
      <c r="BA114" s="488">
        <f>SUMIFS('GSTR-2A'!$N$6:$N$10000,'GSTR-2A'!$B$6:$B$10000,$C$5:$C$4995,'GSTR-2A'!$A$6:$A$10000,$AW$3)</f>
        <v>0</v>
      </c>
      <c r="BB114" s="486">
        <f>SUMIFS('GSTR-2A'!$G$6:$G$10000,'GSTR-2A'!$B$6:$B$10000,$C$5:$C$4995,'GSTR-2A'!$A$6:$A$10000,$BB$3)</f>
        <v>0</v>
      </c>
      <c r="BC114" s="487">
        <f>SUMIFS('GSTR-2A'!$K$6:$K$10000,'GSTR-2A'!$B$6:$B$10000,$C$5:$C$4995,'GSTR-2A'!$A$6:$A$10000,$BB$3)</f>
        <v>0</v>
      </c>
      <c r="BD114" s="487">
        <f>SUMIFS('GSTR-2A'!$L$6:$L$10000,'GSTR-2A'!$B$6:$B$10000,$C$5:$C$4995,'GSTR-2A'!$A$6:$A$10000,$BB$3)</f>
        <v>0</v>
      </c>
      <c r="BE114" s="487">
        <f>SUMIFS('GSTR-2A'!$M$6:$M$10000,'GSTR-2A'!$B$6:$B$10000,$C$5:$C$4995,'GSTR-2A'!$A$6:$A$10000,$BB$3)</f>
        <v>0</v>
      </c>
      <c r="BF114" s="488">
        <f>SUMIFS('GSTR-2A'!$N$6:$N$10000,'GSTR-2A'!$B$6:$B$10000,$C$5:$C$4995,'GSTR-2A'!$A$6:$A$10000,$BB$3)</f>
        <v>0</v>
      </c>
      <c r="BG114" s="486">
        <f>SUMIFS('GSTR-2A'!$G$6:$G$10000,'GSTR-2A'!$B$6:$B$10000,$C$5:$C$4995,'GSTR-2A'!$A$6:$A$10000,$BG$3)</f>
        <v>0</v>
      </c>
      <c r="BH114" s="487">
        <f>SUMIFS('GSTR-2A'!$K$6:$K$10000,'GSTR-2A'!$B$6:$B$10000,$C$5:$C$4995,'GSTR-2A'!$A$6:$A$10000,$BG$3)</f>
        <v>0</v>
      </c>
      <c r="BI114" s="487">
        <f>SUMIFS('GSTR-2A'!$L$6:$L$10000,'GSTR-2A'!$B$6:$B$10000,$C$5:$C$4995,'GSTR-2A'!$A$6:$A$10000,$BG$3)</f>
        <v>0</v>
      </c>
      <c r="BJ114" s="487">
        <f>SUMIFS('GSTR-2A'!$M$6:$M$10000,'GSTR-2A'!$B$6:$B$10000,$C$5:$C$4995,'GSTR-2A'!$A$6:$A$10000,$BG$3)</f>
        <v>0</v>
      </c>
      <c r="BK114" s="488">
        <f>SUMIFS('GSTR-2A'!$N$6:$N$10000,'GSTR-2A'!$B$6:$B$10000,$C$5:$C$4995,'GSTR-2A'!$A$6:$A$10000,$BG$3)</f>
        <v>0</v>
      </c>
      <c r="BL114" s="72">
        <f t="shared" si="7"/>
        <v>4810649</v>
      </c>
      <c r="BM114" s="72">
        <f t="shared" si="8"/>
        <v>4076821</v>
      </c>
      <c r="BN114" s="72">
        <f t="shared" si="9"/>
        <v>0</v>
      </c>
      <c r="BO114" s="72">
        <f t="shared" si="10"/>
        <v>366913.89</v>
      </c>
      <c r="BP114" s="72">
        <f t="shared" si="11"/>
        <v>366913.89</v>
      </c>
    </row>
    <row r="115" spans="1:68" x14ac:dyDescent="0.2">
      <c r="A115" s="467">
        <v>112</v>
      </c>
      <c r="B115" s="468" t="s">
        <v>975</v>
      </c>
      <c r="C115" s="469" t="s">
        <v>976</v>
      </c>
      <c r="D115" s="72">
        <f>SUMIFS('GSTR-2A'!$G$6:$G$10000,'GSTR-2A'!$B$6:$B$10000,$C$5:$C$4995,'GSTR-2A'!$A$6:$A$10000,$D$3)</f>
        <v>0</v>
      </c>
      <c r="E115" s="72">
        <f>SUMIFS('GSTR-2A'!$K$6:$K$10000,'GSTR-2A'!$B$6:$B$10000,$C$5:$C$4995,'GSTR-2A'!$A$6:$A$10000,$D$3)</f>
        <v>0</v>
      </c>
      <c r="F115" s="72">
        <f>SUMIFS('GSTR-2A'!$L$6:$L$10000,'GSTR-2A'!$B$6:$B$10000,$C$5:$C$4995,'GSTR-2A'!$A$6:$A$10000,$D$3)</f>
        <v>0</v>
      </c>
      <c r="G115" s="72">
        <f>SUMIFS('GSTR-2A'!$M$6:$M$10000,'GSTR-2A'!$B$6:$B$10000,$C$5:$C$4995,'GSTR-2A'!$A$6:$A$10000,$D$3)</f>
        <v>0</v>
      </c>
      <c r="H115" s="72">
        <f>SUMIFS('GSTR-2A'!$N$6:$N$10000,'GSTR-2A'!$B$6:$B$10000,$C$5:$C$4995,'GSTR-2A'!$A$6:$A$10000,$D$3)</f>
        <v>0</v>
      </c>
      <c r="I115" s="486">
        <f>SUMIFS('GSTR-2A'!$G$6:$G$10000,'GSTR-2A'!$B$6:$B$10000,$C$5:$C$4995,'GSTR-2A'!$A$6:$A$10000,$I$3)</f>
        <v>0</v>
      </c>
      <c r="J115" s="487">
        <f>SUMIFS('GSTR-2A'!$K$6:$K$10000,'GSTR-2A'!$B$6:$B$10000,$C$5:$C$4995,'GSTR-2A'!$A$6:$A$10000,$I$3)</f>
        <v>0</v>
      </c>
      <c r="K115" s="487">
        <f>SUMIFS('GSTR-2A'!$L$6:$L$10000,'GSTR-2A'!$B$6:$B$10000,$C$5:$C$4995,'GSTR-2A'!$A$6:$A$10000,$I$3)</f>
        <v>0</v>
      </c>
      <c r="L115" s="487">
        <f>SUMIFS('GSTR-2A'!$M$6:$M$10000,'GSTR-2A'!$B$6:$B$10000,$C$5:$C$4995,'GSTR-2A'!$A$6:$A$10000,$I$3)</f>
        <v>0</v>
      </c>
      <c r="M115" s="488">
        <f>SUMIFS('GSTR-2A'!$N$6:$N$10000,'GSTR-2A'!$B$6:$B$10000,$C$5:$C$4995,'GSTR-2A'!$A$6:$A$10000,$I$3)</f>
        <v>0</v>
      </c>
      <c r="N115" s="486">
        <f>SUMIFS('GSTR-2A'!$G$6:$G$10000,'GSTR-2A'!$B$6:$B$10000,$C$5:$C$4995,'GSTR-2A'!$A$6:$A$10000,$N$3)</f>
        <v>0</v>
      </c>
      <c r="O115" s="487">
        <f>SUMIFS('GSTR-2A'!$K$6:$K$10000,'GSTR-2A'!$B$6:$B$10000,$C$5:$C$4995,'GSTR-2A'!$A$6:$A$10000,$N$3)</f>
        <v>0</v>
      </c>
      <c r="P115" s="487">
        <f>SUMIFS('GSTR-2A'!$L$6:$L$10000,'GSTR-2A'!$B$6:$B$10000,$C$5:$C$4995,'GSTR-2A'!$A$6:$A$10000,$N$3)</f>
        <v>0</v>
      </c>
      <c r="Q115" s="487">
        <f>SUMIFS('GSTR-2A'!$M$6:$M$10000,'GSTR-2A'!$B$6:$B$10000,$C$5:$C$4995,'GSTR-2A'!$A$6:$A$10000,$N$3)</f>
        <v>0</v>
      </c>
      <c r="R115" s="488">
        <f>SUMIFS('GSTR-2A'!$N$6:$N$10000,'GSTR-2A'!$B$6:$B$10000,$C$5:$C$4995,'GSTR-2A'!$A$6:$A$10000,$N$3)</f>
        <v>0</v>
      </c>
      <c r="S115" s="486">
        <f>SUMIFS('GSTR-2A'!$G$6:$G$10000,'GSTR-2A'!$B$6:$B$10000,$C$5:$C$4995,'GSTR-2A'!$A$6:$A$10000,$S$3)</f>
        <v>0</v>
      </c>
      <c r="T115" s="487">
        <f>SUMIFS('GSTR-2A'!$K$6:$K$10000,'GSTR-2A'!$B$6:$B$10000,$C$5:$C$4995,'GSTR-2A'!$A$6:$A$10000,$S$3)</f>
        <v>0</v>
      </c>
      <c r="U115" s="487">
        <f>SUMIFS('GSTR-2A'!$L$6:$L$10000,'GSTR-2A'!$B$6:$B$10000,$C$5:$C$4995,'GSTR-2A'!$A$6:$A$10000,$S$3)</f>
        <v>0</v>
      </c>
      <c r="V115" s="487">
        <f>SUMIFS('GSTR-2A'!$M$6:$M$10000,'GSTR-2A'!$B$6:$B$10000,$C$5:$C$4995,'GSTR-2A'!$A$6:$A$10000,$S$3)</f>
        <v>0</v>
      </c>
      <c r="W115" s="488">
        <f>SUMIFS('GSTR-2A'!$N$6:$N$10000,'GSTR-2A'!$B$6:$B$10000,$C$5:$C$4995,'GSTR-2A'!$A$6:$A$10000,$S$3)</f>
        <v>0</v>
      </c>
      <c r="X115" s="486">
        <f>SUMIFS('GSTR-2A'!$G$6:$G$10000,'GSTR-2A'!$B$6:$B$10000,$C$5:$C$4995,'GSTR-2A'!$A$6:$A$10000,$X$3)</f>
        <v>0</v>
      </c>
      <c r="Y115" s="487">
        <f>SUMIFS('GSTR-2A'!$K$6:$K$10000,'GSTR-2A'!$B$6:$B$10000,$C$5:$C$4995,'GSTR-2A'!$A$6:$A$10000,$X$3)</f>
        <v>0</v>
      </c>
      <c r="Z115" s="487">
        <f>SUMIFS('GSTR-2A'!$L$6:$L$10000,'GSTR-2A'!$B$6:$B$10000,$C$5:$C$4995,'GSTR-2A'!$A$6:$A$10000,$X$3)</f>
        <v>0</v>
      </c>
      <c r="AA115" s="487">
        <f>SUMIFS('GSTR-2A'!$M$6:$M$10000,'GSTR-2A'!$B$6:$B$10000,$C$5:$C$4995,'GSTR-2A'!$A$6:$A$10000,$X$3)</f>
        <v>0</v>
      </c>
      <c r="AB115" s="488">
        <f>SUMIFS('GSTR-2A'!$N$6:$N$10000,'GSTR-2A'!$B$6:$B$10000,$C$5:$C$4995,'GSTR-2A'!$A$6:$A$10000,$X$3)</f>
        <v>0</v>
      </c>
      <c r="AC115" s="486">
        <f>SUMIFS('GSTR-2A'!$G$6:$G$10000,'GSTR-2A'!$B$6:$B$10000,$C$5:$C$4995,'GSTR-2A'!$A$6:$A$10000,$AC$3)</f>
        <v>44368</v>
      </c>
      <c r="AD115" s="487">
        <f>SUMIFS('GSTR-2A'!$K$6:$K$10000,'GSTR-2A'!$B$6:$B$10000,$C$5:$C$4995,'GSTR-2A'!$A$6:$A$10000,$AC$3)</f>
        <v>37600</v>
      </c>
      <c r="AE115" s="487">
        <f>SUMIFS('GSTR-2A'!$L$6:$L$10000,'GSTR-2A'!$B$6:$B$10000,$C$5:$C$4995,'GSTR-2A'!$A$6:$A$10000,$AC$3)</f>
        <v>0</v>
      </c>
      <c r="AF115" s="487">
        <f>SUMIFS('GSTR-2A'!$M$6:$M$10000,'GSTR-2A'!$B$6:$B$10000,$C$5:$C$4995,'GSTR-2A'!$A$6:$A$10000,$AC$3)</f>
        <v>3384</v>
      </c>
      <c r="AG115" s="488">
        <f>SUMIFS('GSTR-2A'!$N$6:$N$10000,'GSTR-2A'!$B$6:$B$10000,$C$5:$C$4995,'GSTR-2A'!$A$6:$A$10000,$AC$3)</f>
        <v>3384</v>
      </c>
      <c r="AH115" s="486">
        <f>SUMIFS('GSTR-2A'!$G$6:$G$10000,'GSTR-2A'!$B$6:$B$10000,$C$5:$C$4995,'GSTR-2A'!$A$6:$A$10000,$AH$3)</f>
        <v>0</v>
      </c>
      <c r="AI115" s="487">
        <f>SUMIFS('GSTR-2A'!$K$6:$K$10000,'GSTR-2A'!$B$6:$B$10000,$C$5:$C$4995,'GSTR-2A'!$A$6:$A$10000,$AH$3)</f>
        <v>0</v>
      </c>
      <c r="AJ115" s="487">
        <f>SUMIFS('GSTR-2A'!$L$6:$L$10000,'GSTR-2A'!$B$6:$B$10000,$C$5:$C$4995,'GSTR-2A'!$A$6:$A$10000,$AH$3)</f>
        <v>0</v>
      </c>
      <c r="AK115" s="487">
        <f>SUMIFS('GSTR-2A'!$M$6:$M$10000,'GSTR-2A'!$B$6:$B$10000,$C$5:$C$4995,'GSTR-2A'!$A$6:$A$10000,$AH$3)</f>
        <v>0</v>
      </c>
      <c r="AL115" s="488">
        <f>SUMIFS('GSTR-2A'!$N$6:$N$10000,'GSTR-2A'!$B$6:$B$10000,$C$5:$C$4995,'GSTR-2A'!$A$6:$A$10000,$AH$3)</f>
        <v>0</v>
      </c>
      <c r="AM115" s="486">
        <f>SUMIFS('GSTR-2A'!$G$6:$G$10000,'GSTR-2A'!$B$6:$B$10000,$C$5:$C$4995,'GSTR-2A'!$A$6:$A$10000,$AM$3)</f>
        <v>0</v>
      </c>
      <c r="AN115" s="487">
        <f>SUMIFS('GSTR-2A'!$K$6:$K$10000,'GSTR-2A'!$B$6:$B$10000,$C$5:$C$4995,'GSTR-2A'!$A$6:$A$10000,$AM$3)</f>
        <v>0</v>
      </c>
      <c r="AO115" s="487">
        <f>SUMIFS('GSTR-2A'!$L$6:$L$10000,'GSTR-2A'!$B$6:$B$10000,$C$5:$C$4995,'GSTR-2A'!$A$6:$A$10000,$AM$3)</f>
        <v>0</v>
      </c>
      <c r="AP115" s="487">
        <f>SUMIFS('GSTR-2A'!$M$6:$M$10000,'GSTR-2A'!$B$6:$B$10000,$C$5:$C$4995,'GSTR-2A'!$A$6:$A$10000,$AM$3)</f>
        <v>0</v>
      </c>
      <c r="AQ115" s="488">
        <f>SUMIFS('GSTR-2A'!$N$6:$N$10000,'GSTR-2A'!$B$6:$B$10000,$C$5:$C$4995,'GSTR-2A'!$A$6:$A$10000,$AM$3)</f>
        <v>0</v>
      </c>
      <c r="AR115" s="486">
        <f>SUMIFS('GSTR-2A'!$G$6:$G$10000,'GSTR-2A'!$B$6:$B$10000,$C$5:$C$4995,'GSTR-2A'!$A$6:$A$10000,$AR$3)</f>
        <v>0</v>
      </c>
      <c r="AS115" s="487">
        <f>SUMIFS('GSTR-2A'!$K$6:$K$10000,'GSTR-2A'!$B$6:$B$10000,$C$5:$C$4995,'GSTR-2A'!$A$6:$A$10000,$AR$3)</f>
        <v>0</v>
      </c>
      <c r="AT115" s="487">
        <f>SUMIFS('GSTR-2A'!$L$6:$L$10000,'GSTR-2A'!$B$6:$B$10000,$C$5:$C$4995,'GSTR-2A'!$A$6:$A$10000,$AR$3)</f>
        <v>0</v>
      </c>
      <c r="AU115" s="487">
        <f>SUMIFS('GSTR-2A'!$M$6:$M$10000,'GSTR-2A'!$B$6:$B$10000,$C$5:$C$4995,'GSTR-2A'!$A$6:$A$10000,$AR$3)</f>
        <v>0</v>
      </c>
      <c r="AV115" s="488">
        <f>SUMIFS('GSTR-2A'!$N$6:$N$10000,'GSTR-2A'!$B$6:$B$10000,$C$5:$C$4995,'GSTR-2A'!$A$6:$A$10000,$AR$3)</f>
        <v>0</v>
      </c>
      <c r="AW115" s="486">
        <f>SUMIFS('GSTR-2A'!$G$6:$G$10000,'GSTR-2A'!$B$6:$B$10000,$C$5:$C$4995,'GSTR-2A'!$A$6:$A$10000,$AW$3)</f>
        <v>0</v>
      </c>
      <c r="AX115" s="487">
        <f>SUMIFS('GSTR-2A'!$K$6:$K$10000,'GSTR-2A'!$B$6:$B$10000,$C$5:$C$4995,'GSTR-2A'!$A$6:$A$10000,$AW$3)</f>
        <v>0</v>
      </c>
      <c r="AY115" s="487">
        <f>SUMIFS('GSTR-2A'!$L$6:$L$10000,'GSTR-2A'!$B$6:$B$10000,$C$5:$C$4995,'GSTR-2A'!$A$6:$A$10000,$AW$3)</f>
        <v>0</v>
      </c>
      <c r="AZ115" s="487">
        <f>SUMIFS('GSTR-2A'!$M$6:$M$10000,'GSTR-2A'!$B$6:$B$10000,$C$5:$C$4995,'GSTR-2A'!$A$6:$A$10000,$AW$3)</f>
        <v>0</v>
      </c>
      <c r="BA115" s="488">
        <f>SUMIFS('GSTR-2A'!$N$6:$N$10000,'GSTR-2A'!$B$6:$B$10000,$C$5:$C$4995,'GSTR-2A'!$A$6:$A$10000,$AW$3)</f>
        <v>0</v>
      </c>
      <c r="BB115" s="486">
        <f>SUMIFS('GSTR-2A'!$G$6:$G$10000,'GSTR-2A'!$B$6:$B$10000,$C$5:$C$4995,'GSTR-2A'!$A$6:$A$10000,$BB$3)</f>
        <v>0</v>
      </c>
      <c r="BC115" s="487">
        <f>SUMIFS('GSTR-2A'!$K$6:$K$10000,'GSTR-2A'!$B$6:$B$10000,$C$5:$C$4995,'GSTR-2A'!$A$6:$A$10000,$BB$3)</f>
        <v>0</v>
      </c>
      <c r="BD115" s="487">
        <f>SUMIFS('GSTR-2A'!$L$6:$L$10000,'GSTR-2A'!$B$6:$B$10000,$C$5:$C$4995,'GSTR-2A'!$A$6:$A$10000,$BB$3)</f>
        <v>0</v>
      </c>
      <c r="BE115" s="487">
        <f>SUMIFS('GSTR-2A'!$M$6:$M$10000,'GSTR-2A'!$B$6:$B$10000,$C$5:$C$4995,'GSTR-2A'!$A$6:$A$10000,$BB$3)</f>
        <v>0</v>
      </c>
      <c r="BF115" s="488">
        <f>SUMIFS('GSTR-2A'!$N$6:$N$10000,'GSTR-2A'!$B$6:$B$10000,$C$5:$C$4995,'GSTR-2A'!$A$6:$A$10000,$BB$3)</f>
        <v>0</v>
      </c>
      <c r="BG115" s="486">
        <f>SUMIFS('GSTR-2A'!$G$6:$G$10000,'GSTR-2A'!$B$6:$B$10000,$C$5:$C$4995,'GSTR-2A'!$A$6:$A$10000,$BG$3)</f>
        <v>0</v>
      </c>
      <c r="BH115" s="487">
        <f>SUMIFS('GSTR-2A'!$K$6:$K$10000,'GSTR-2A'!$B$6:$B$10000,$C$5:$C$4995,'GSTR-2A'!$A$6:$A$10000,$BG$3)</f>
        <v>0</v>
      </c>
      <c r="BI115" s="487">
        <f>SUMIFS('GSTR-2A'!$L$6:$L$10000,'GSTR-2A'!$B$6:$B$10000,$C$5:$C$4995,'GSTR-2A'!$A$6:$A$10000,$BG$3)</f>
        <v>0</v>
      </c>
      <c r="BJ115" s="487">
        <f>SUMIFS('GSTR-2A'!$M$6:$M$10000,'GSTR-2A'!$B$6:$B$10000,$C$5:$C$4995,'GSTR-2A'!$A$6:$A$10000,$BG$3)</f>
        <v>0</v>
      </c>
      <c r="BK115" s="488">
        <f>SUMIFS('GSTR-2A'!$N$6:$N$10000,'GSTR-2A'!$B$6:$B$10000,$C$5:$C$4995,'GSTR-2A'!$A$6:$A$10000,$BG$3)</f>
        <v>0</v>
      </c>
      <c r="BL115" s="72">
        <f t="shared" si="7"/>
        <v>44368</v>
      </c>
      <c r="BM115" s="72">
        <f t="shared" si="8"/>
        <v>37600</v>
      </c>
      <c r="BN115" s="72">
        <f t="shared" si="9"/>
        <v>0</v>
      </c>
      <c r="BO115" s="72">
        <f t="shared" si="10"/>
        <v>3384</v>
      </c>
      <c r="BP115" s="72">
        <f t="shared" si="11"/>
        <v>3384</v>
      </c>
    </row>
    <row r="116" spans="1:68" x14ac:dyDescent="0.2">
      <c r="A116" s="467">
        <v>113</v>
      </c>
      <c r="B116" s="468" t="s">
        <v>761</v>
      </c>
      <c r="C116" s="469" t="s">
        <v>762</v>
      </c>
      <c r="D116" s="72">
        <f>SUMIFS('GSTR-2A'!$G$6:$G$10000,'GSTR-2A'!$B$6:$B$10000,$C$5:$C$4995,'GSTR-2A'!$A$6:$A$10000,$D$3)</f>
        <v>0</v>
      </c>
      <c r="E116" s="72">
        <f>SUMIFS('GSTR-2A'!$K$6:$K$10000,'GSTR-2A'!$B$6:$B$10000,$C$5:$C$4995,'GSTR-2A'!$A$6:$A$10000,$D$3)</f>
        <v>0</v>
      </c>
      <c r="F116" s="72">
        <f>SUMIFS('GSTR-2A'!$L$6:$L$10000,'GSTR-2A'!$B$6:$B$10000,$C$5:$C$4995,'GSTR-2A'!$A$6:$A$10000,$D$3)</f>
        <v>0</v>
      </c>
      <c r="G116" s="72">
        <f>SUMIFS('GSTR-2A'!$M$6:$M$10000,'GSTR-2A'!$B$6:$B$10000,$C$5:$C$4995,'GSTR-2A'!$A$6:$A$10000,$D$3)</f>
        <v>0</v>
      </c>
      <c r="H116" s="72">
        <f>SUMIFS('GSTR-2A'!$N$6:$N$10000,'GSTR-2A'!$B$6:$B$10000,$C$5:$C$4995,'GSTR-2A'!$A$6:$A$10000,$D$3)</f>
        <v>0</v>
      </c>
      <c r="I116" s="486">
        <f>SUMIFS('GSTR-2A'!$G$6:$G$10000,'GSTR-2A'!$B$6:$B$10000,$C$5:$C$4995,'GSTR-2A'!$A$6:$A$10000,$I$3)</f>
        <v>0</v>
      </c>
      <c r="J116" s="487">
        <f>SUMIFS('GSTR-2A'!$K$6:$K$10000,'GSTR-2A'!$B$6:$B$10000,$C$5:$C$4995,'GSTR-2A'!$A$6:$A$10000,$I$3)</f>
        <v>0</v>
      </c>
      <c r="K116" s="487">
        <f>SUMIFS('GSTR-2A'!$L$6:$L$10000,'GSTR-2A'!$B$6:$B$10000,$C$5:$C$4995,'GSTR-2A'!$A$6:$A$10000,$I$3)</f>
        <v>0</v>
      </c>
      <c r="L116" s="487">
        <f>SUMIFS('GSTR-2A'!$M$6:$M$10000,'GSTR-2A'!$B$6:$B$10000,$C$5:$C$4995,'GSTR-2A'!$A$6:$A$10000,$I$3)</f>
        <v>0</v>
      </c>
      <c r="M116" s="488">
        <f>SUMIFS('GSTR-2A'!$N$6:$N$10000,'GSTR-2A'!$B$6:$B$10000,$C$5:$C$4995,'GSTR-2A'!$A$6:$A$10000,$I$3)</f>
        <v>0</v>
      </c>
      <c r="N116" s="486">
        <f>SUMIFS('GSTR-2A'!$G$6:$G$10000,'GSTR-2A'!$B$6:$B$10000,$C$5:$C$4995,'GSTR-2A'!$A$6:$A$10000,$N$3)</f>
        <v>4956</v>
      </c>
      <c r="O116" s="487">
        <f>SUMIFS('GSTR-2A'!$K$6:$K$10000,'GSTR-2A'!$B$6:$B$10000,$C$5:$C$4995,'GSTR-2A'!$A$6:$A$10000,$N$3)</f>
        <v>4200</v>
      </c>
      <c r="P116" s="487">
        <f>SUMIFS('GSTR-2A'!$L$6:$L$10000,'GSTR-2A'!$B$6:$B$10000,$C$5:$C$4995,'GSTR-2A'!$A$6:$A$10000,$N$3)</f>
        <v>0</v>
      </c>
      <c r="Q116" s="487">
        <f>SUMIFS('GSTR-2A'!$M$6:$M$10000,'GSTR-2A'!$B$6:$B$10000,$C$5:$C$4995,'GSTR-2A'!$A$6:$A$10000,$N$3)</f>
        <v>378</v>
      </c>
      <c r="R116" s="488">
        <f>SUMIFS('GSTR-2A'!$N$6:$N$10000,'GSTR-2A'!$B$6:$B$10000,$C$5:$C$4995,'GSTR-2A'!$A$6:$A$10000,$N$3)</f>
        <v>378</v>
      </c>
      <c r="S116" s="486">
        <f>SUMIFS('GSTR-2A'!$G$6:$G$10000,'GSTR-2A'!$B$6:$B$10000,$C$5:$C$4995,'GSTR-2A'!$A$6:$A$10000,$S$3)</f>
        <v>0</v>
      </c>
      <c r="T116" s="487">
        <f>SUMIFS('GSTR-2A'!$K$6:$K$10000,'GSTR-2A'!$B$6:$B$10000,$C$5:$C$4995,'GSTR-2A'!$A$6:$A$10000,$S$3)</f>
        <v>0</v>
      </c>
      <c r="U116" s="487">
        <f>SUMIFS('GSTR-2A'!$L$6:$L$10000,'GSTR-2A'!$B$6:$B$10000,$C$5:$C$4995,'GSTR-2A'!$A$6:$A$10000,$S$3)</f>
        <v>0</v>
      </c>
      <c r="V116" s="487">
        <f>SUMIFS('GSTR-2A'!$M$6:$M$10000,'GSTR-2A'!$B$6:$B$10000,$C$5:$C$4995,'GSTR-2A'!$A$6:$A$10000,$S$3)</f>
        <v>0</v>
      </c>
      <c r="W116" s="488">
        <f>SUMIFS('GSTR-2A'!$N$6:$N$10000,'GSTR-2A'!$B$6:$B$10000,$C$5:$C$4995,'GSTR-2A'!$A$6:$A$10000,$S$3)</f>
        <v>0</v>
      </c>
      <c r="X116" s="486">
        <f>SUMIFS('GSTR-2A'!$G$6:$G$10000,'GSTR-2A'!$B$6:$B$10000,$C$5:$C$4995,'GSTR-2A'!$A$6:$A$10000,$X$3)</f>
        <v>0</v>
      </c>
      <c r="Y116" s="487">
        <f>SUMIFS('GSTR-2A'!$K$6:$K$10000,'GSTR-2A'!$B$6:$B$10000,$C$5:$C$4995,'GSTR-2A'!$A$6:$A$10000,$X$3)</f>
        <v>0</v>
      </c>
      <c r="Z116" s="487">
        <f>SUMIFS('GSTR-2A'!$L$6:$L$10000,'GSTR-2A'!$B$6:$B$10000,$C$5:$C$4995,'GSTR-2A'!$A$6:$A$10000,$X$3)</f>
        <v>0</v>
      </c>
      <c r="AA116" s="487">
        <f>SUMIFS('GSTR-2A'!$M$6:$M$10000,'GSTR-2A'!$B$6:$B$10000,$C$5:$C$4995,'GSTR-2A'!$A$6:$A$10000,$X$3)</f>
        <v>0</v>
      </c>
      <c r="AB116" s="488">
        <f>SUMIFS('GSTR-2A'!$N$6:$N$10000,'GSTR-2A'!$B$6:$B$10000,$C$5:$C$4995,'GSTR-2A'!$A$6:$A$10000,$X$3)</f>
        <v>0</v>
      </c>
      <c r="AC116" s="486">
        <f>SUMIFS('GSTR-2A'!$G$6:$G$10000,'GSTR-2A'!$B$6:$B$10000,$C$5:$C$4995,'GSTR-2A'!$A$6:$A$10000,$AC$3)</f>
        <v>0</v>
      </c>
      <c r="AD116" s="487">
        <f>SUMIFS('GSTR-2A'!$K$6:$K$10000,'GSTR-2A'!$B$6:$B$10000,$C$5:$C$4995,'GSTR-2A'!$A$6:$A$10000,$AC$3)</f>
        <v>0</v>
      </c>
      <c r="AE116" s="487">
        <f>SUMIFS('GSTR-2A'!$L$6:$L$10000,'GSTR-2A'!$B$6:$B$10000,$C$5:$C$4995,'GSTR-2A'!$A$6:$A$10000,$AC$3)</f>
        <v>0</v>
      </c>
      <c r="AF116" s="487">
        <f>SUMIFS('GSTR-2A'!$M$6:$M$10000,'GSTR-2A'!$B$6:$B$10000,$C$5:$C$4995,'GSTR-2A'!$A$6:$A$10000,$AC$3)</f>
        <v>0</v>
      </c>
      <c r="AG116" s="488">
        <f>SUMIFS('GSTR-2A'!$N$6:$N$10000,'GSTR-2A'!$B$6:$B$10000,$C$5:$C$4995,'GSTR-2A'!$A$6:$A$10000,$AC$3)</f>
        <v>0</v>
      </c>
      <c r="AH116" s="486">
        <f>SUMIFS('GSTR-2A'!$G$6:$G$10000,'GSTR-2A'!$B$6:$B$10000,$C$5:$C$4995,'GSTR-2A'!$A$6:$A$10000,$AH$3)</f>
        <v>0</v>
      </c>
      <c r="AI116" s="487">
        <f>SUMIFS('GSTR-2A'!$K$6:$K$10000,'GSTR-2A'!$B$6:$B$10000,$C$5:$C$4995,'GSTR-2A'!$A$6:$A$10000,$AH$3)</f>
        <v>0</v>
      </c>
      <c r="AJ116" s="487">
        <f>SUMIFS('GSTR-2A'!$L$6:$L$10000,'GSTR-2A'!$B$6:$B$10000,$C$5:$C$4995,'GSTR-2A'!$A$6:$A$10000,$AH$3)</f>
        <v>0</v>
      </c>
      <c r="AK116" s="487">
        <f>SUMIFS('GSTR-2A'!$M$6:$M$10000,'GSTR-2A'!$B$6:$B$10000,$C$5:$C$4995,'GSTR-2A'!$A$6:$A$10000,$AH$3)</f>
        <v>0</v>
      </c>
      <c r="AL116" s="488">
        <f>SUMIFS('GSTR-2A'!$N$6:$N$10000,'GSTR-2A'!$B$6:$B$10000,$C$5:$C$4995,'GSTR-2A'!$A$6:$A$10000,$AH$3)</f>
        <v>0</v>
      </c>
      <c r="AM116" s="486">
        <f>SUMIFS('GSTR-2A'!$G$6:$G$10000,'GSTR-2A'!$B$6:$B$10000,$C$5:$C$4995,'GSTR-2A'!$A$6:$A$10000,$AM$3)</f>
        <v>0</v>
      </c>
      <c r="AN116" s="487">
        <f>SUMIFS('GSTR-2A'!$K$6:$K$10000,'GSTR-2A'!$B$6:$B$10000,$C$5:$C$4995,'GSTR-2A'!$A$6:$A$10000,$AM$3)</f>
        <v>0</v>
      </c>
      <c r="AO116" s="487">
        <f>SUMIFS('GSTR-2A'!$L$6:$L$10000,'GSTR-2A'!$B$6:$B$10000,$C$5:$C$4995,'GSTR-2A'!$A$6:$A$10000,$AM$3)</f>
        <v>0</v>
      </c>
      <c r="AP116" s="487">
        <f>SUMIFS('GSTR-2A'!$M$6:$M$10000,'GSTR-2A'!$B$6:$B$10000,$C$5:$C$4995,'GSTR-2A'!$A$6:$A$10000,$AM$3)</f>
        <v>0</v>
      </c>
      <c r="AQ116" s="488">
        <f>SUMIFS('GSTR-2A'!$N$6:$N$10000,'GSTR-2A'!$B$6:$B$10000,$C$5:$C$4995,'GSTR-2A'!$A$6:$A$10000,$AM$3)</f>
        <v>0</v>
      </c>
      <c r="AR116" s="486">
        <f>SUMIFS('GSTR-2A'!$G$6:$G$10000,'GSTR-2A'!$B$6:$B$10000,$C$5:$C$4995,'GSTR-2A'!$A$6:$A$10000,$AR$3)</f>
        <v>0</v>
      </c>
      <c r="AS116" s="487">
        <f>SUMIFS('GSTR-2A'!$K$6:$K$10000,'GSTR-2A'!$B$6:$B$10000,$C$5:$C$4995,'GSTR-2A'!$A$6:$A$10000,$AR$3)</f>
        <v>0</v>
      </c>
      <c r="AT116" s="487">
        <f>SUMIFS('GSTR-2A'!$L$6:$L$10000,'GSTR-2A'!$B$6:$B$10000,$C$5:$C$4995,'GSTR-2A'!$A$6:$A$10000,$AR$3)</f>
        <v>0</v>
      </c>
      <c r="AU116" s="487">
        <f>SUMIFS('GSTR-2A'!$M$6:$M$10000,'GSTR-2A'!$B$6:$B$10000,$C$5:$C$4995,'GSTR-2A'!$A$6:$A$10000,$AR$3)</f>
        <v>0</v>
      </c>
      <c r="AV116" s="488">
        <f>SUMIFS('GSTR-2A'!$N$6:$N$10000,'GSTR-2A'!$B$6:$B$10000,$C$5:$C$4995,'GSTR-2A'!$A$6:$A$10000,$AR$3)</f>
        <v>0</v>
      </c>
      <c r="AW116" s="486">
        <f>SUMIFS('GSTR-2A'!$G$6:$G$10000,'GSTR-2A'!$B$6:$B$10000,$C$5:$C$4995,'GSTR-2A'!$A$6:$A$10000,$AW$3)</f>
        <v>0</v>
      </c>
      <c r="AX116" s="487">
        <f>SUMIFS('GSTR-2A'!$K$6:$K$10000,'GSTR-2A'!$B$6:$B$10000,$C$5:$C$4995,'GSTR-2A'!$A$6:$A$10000,$AW$3)</f>
        <v>0</v>
      </c>
      <c r="AY116" s="487">
        <f>SUMIFS('GSTR-2A'!$L$6:$L$10000,'GSTR-2A'!$B$6:$B$10000,$C$5:$C$4995,'GSTR-2A'!$A$6:$A$10000,$AW$3)</f>
        <v>0</v>
      </c>
      <c r="AZ116" s="487">
        <f>SUMIFS('GSTR-2A'!$M$6:$M$10000,'GSTR-2A'!$B$6:$B$10000,$C$5:$C$4995,'GSTR-2A'!$A$6:$A$10000,$AW$3)</f>
        <v>0</v>
      </c>
      <c r="BA116" s="488">
        <f>SUMIFS('GSTR-2A'!$N$6:$N$10000,'GSTR-2A'!$B$6:$B$10000,$C$5:$C$4995,'GSTR-2A'!$A$6:$A$10000,$AW$3)</f>
        <v>0</v>
      </c>
      <c r="BB116" s="486">
        <f>SUMIFS('GSTR-2A'!$G$6:$G$10000,'GSTR-2A'!$B$6:$B$10000,$C$5:$C$4995,'GSTR-2A'!$A$6:$A$10000,$BB$3)</f>
        <v>0</v>
      </c>
      <c r="BC116" s="487">
        <f>SUMIFS('GSTR-2A'!$K$6:$K$10000,'GSTR-2A'!$B$6:$B$10000,$C$5:$C$4995,'GSTR-2A'!$A$6:$A$10000,$BB$3)</f>
        <v>0</v>
      </c>
      <c r="BD116" s="487">
        <f>SUMIFS('GSTR-2A'!$L$6:$L$10000,'GSTR-2A'!$B$6:$B$10000,$C$5:$C$4995,'GSTR-2A'!$A$6:$A$10000,$BB$3)</f>
        <v>0</v>
      </c>
      <c r="BE116" s="487">
        <f>SUMIFS('GSTR-2A'!$M$6:$M$10000,'GSTR-2A'!$B$6:$B$10000,$C$5:$C$4995,'GSTR-2A'!$A$6:$A$10000,$BB$3)</f>
        <v>0</v>
      </c>
      <c r="BF116" s="488">
        <f>SUMIFS('GSTR-2A'!$N$6:$N$10000,'GSTR-2A'!$B$6:$B$10000,$C$5:$C$4995,'GSTR-2A'!$A$6:$A$10000,$BB$3)</f>
        <v>0</v>
      </c>
      <c r="BG116" s="486">
        <f>SUMIFS('GSTR-2A'!$G$6:$G$10000,'GSTR-2A'!$B$6:$B$10000,$C$5:$C$4995,'GSTR-2A'!$A$6:$A$10000,$BG$3)</f>
        <v>0</v>
      </c>
      <c r="BH116" s="487">
        <f>SUMIFS('GSTR-2A'!$K$6:$K$10000,'GSTR-2A'!$B$6:$B$10000,$C$5:$C$4995,'GSTR-2A'!$A$6:$A$10000,$BG$3)</f>
        <v>0</v>
      </c>
      <c r="BI116" s="487">
        <f>SUMIFS('GSTR-2A'!$L$6:$L$10000,'GSTR-2A'!$B$6:$B$10000,$C$5:$C$4995,'GSTR-2A'!$A$6:$A$10000,$BG$3)</f>
        <v>0</v>
      </c>
      <c r="BJ116" s="487">
        <f>SUMIFS('GSTR-2A'!$M$6:$M$10000,'GSTR-2A'!$B$6:$B$10000,$C$5:$C$4995,'GSTR-2A'!$A$6:$A$10000,$BG$3)</f>
        <v>0</v>
      </c>
      <c r="BK116" s="488">
        <f>SUMIFS('GSTR-2A'!$N$6:$N$10000,'GSTR-2A'!$B$6:$B$10000,$C$5:$C$4995,'GSTR-2A'!$A$6:$A$10000,$BG$3)</f>
        <v>0</v>
      </c>
      <c r="BL116" s="72">
        <f t="shared" si="7"/>
        <v>4956</v>
      </c>
      <c r="BM116" s="72">
        <f t="shared" si="8"/>
        <v>4200</v>
      </c>
      <c r="BN116" s="72">
        <f t="shared" si="9"/>
        <v>0</v>
      </c>
      <c r="BO116" s="72">
        <f t="shared" si="10"/>
        <v>378</v>
      </c>
      <c r="BP116" s="72">
        <f t="shared" si="11"/>
        <v>378</v>
      </c>
    </row>
    <row r="117" spans="1:68" x14ac:dyDescent="0.2">
      <c r="A117" s="467">
        <v>114</v>
      </c>
      <c r="B117" s="468" t="s">
        <v>1163</v>
      </c>
      <c r="C117" s="469" t="s">
        <v>1164</v>
      </c>
      <c r="D117" s="72">
        <f>SUMIFS('GSTR-2A'!$G$6:$G$10000,'GSTR-2A'!$B$6:$B$10000,$C$5:$C$4995,'GSTR-2A'!$A$6:$A$10000,$D$3)</f>
        <v>0</v>
      </c>
      <c r="E117" s="72">
        <f>SUMIFS('GSTR-2A'!$K$6:$K$10000,'GSTR-2A'!$B$6:$B$10000,$C$5:$C$4995,'GSTR-2A'!$A$6:$A$10000,$D$3)</f>
        <v>0</v>
      </c>
      <c r="F117" s="72">
        <f>SUMIFS('GSTR-2A'!$L$6:$L$10000,'GSTR-2A'!$B$6:$B$10000,$C$5:$C$4995,'GSTR-2A'!$A$6:$A$10000,$D$3)</f>
        <v>0</v>
      </c>
      <c r="G117" s="72">
        <f>SUMIFS('GSTR-2A'!$M$6:$M$10000,'GSTR-2A'!$B$6:$B$10000,$C$5:$C$4995,'GSTR-2A'!$A$6:$A$10000,$D$3)</f>
        <v>0</v>
      </c>
      <c r="H117" s="72">
        <f>SUMIFS('GSTR-2A'!$N$6:$N$10000,'GSTR-2A'!$B$6:$B$10000,$C$5:$C$4995,'GSTR-2A'!$A$6:$A$10000,$D$3)</f>
        <v>0</v>
      </c>
      <c r="I117" s="486">
        <f>SUMIFS('GSTR-2A'!$G$6:$G$10000,'GSTR-2A'!$B$6:$B$10000,$C$5:$C$4995,'GSTR-2A'!$A$6:$A$10000,$I$3)</f>
        <v>0</v>
      </c>
      <c r="J117" s="487">
        <f>SUMIFS('GSTR-2A'!$K$6:$K$10000,'GSTR-2A'!$B$6:$B$10000,$C$5:$C$4995,'GSTR-2A'!$A$6:$A$10000,$I$3)</f>
        <v>0</v>
      </c>
      <c r="K117" s="487">
        <f>SUMIFS('GSTR-2A'!$L$6:$L$10000,'GSTR-2A'!$B$6:$B$10000,$C$5:$C$4995,'GSTR-2A'!$A$6:$A$10000,$I$3)</f>
        <v>0</v>
      </c>
      <c r="L117" s="487">
        <f>SUMIFS('GSTR-2A'!$M$6:$M$10000,'GSTR-2A'!$B$6:$B$10000,$C$5:$C$4995,'GSTR-2A'!$A$6:$A$10000,$I$3)</f>
        <v>0</v>
      </c>
      <c r="M117" s="488">
        <f>SUMIFS('GSTR-2A'!$N$6:$N$10000,'GSTR-2A'!$B$6:$B$10000,$C$5:$C$4995,'GSTR-2A'!$A$6:$A$10000,$I$3)</f>
        <v>0</v>
      </c>
      <c r="N117" s="486">
        <f>SUMIFS('GSTR-2A'!$G$6:$G$10000,'GSTR-2A'!$B$6:$B$10000,$C$5:$C$4995,'GSTR-2A'!$A$6:$A$10000,$N$3)</f>
        <v>0</v>
      </c>
      <c r="O117" s="487">
        <f>SUMIFS('GSTR-2A'!$K$6:$K$10000,'GSTR-2A'!$B$6:$B$10000,$C$5:$C$4995,'GSTR-2A'!$A$6:$A$10000,$N$3)</f>
        <v>0</v>
      </c>
      <c r="P117" s="487">
        <f>SUMIFS('GSTR-2A'!$L$6:$L$10000,'GSTR-2A'!$B$6:$B$10000,$C$5:$C$4995,'GSTR-2A'!$A$6:$A$10000,$N$3)</f>
        <v>0</v>
      </c>
      <c r="Q117" s="487">
        <f>SUMIFS('GSTR-2A'!$M$6:$M$10000,'GSTR-2A'!$B$6:$B$10000,$C$5:$C$4995,'GSTR-2A'!$A$6:$A$10000,$N$3)</f>
        <v>0</v>
      </c>
      <c r="R117" s="488">
        <f>SUMIFS('GSTR-2A'!$N$6:$N$10000,'GSTR-2A'!$B$6:$B$10000,$C$5:$C$4995,'GSTR-2A'!$A$6:$A$10000,$N$3)</f>
        <v>0</v>
      </c>
      <c r="S117" s="486">
        <f>SUMIFS('GSTR-2A'!$G$6:$G$10000,'GSTR-2A'!$B$6:$B$10000,$C$5:$C$4995,'GSTR-2A'!$A$6:$A$10000,$S$3)</f>
        <v>0</v>
      </c>
      <c r="T117" s="487">
        <f>SUMIFS('GSTR-2A'!$K$6:$K$10000,'GSTR-2A'!$B$6:$B$10000,$C$5:$C$4995,'GSTR-2A'!$A$6:$A$10000,$S$3)</f>
        <v>0</v>
      </c>
      <c r="U117" s="487">
        <f>SUMIFS('GSTR-2A'!$L$6:$L$10000,'GSTR-2A'!$B$6:$B$10000,$C$5:$C$4995,'GSTR-2A'!$A$6:$A$10000,$S$3)</f>
        <v>0</v>
      </c>
      <c r="V117" s="487">
        <f>SUMIFS('GSTR-2A'!$M$6:$M$10000,'GSTR-2A'!$B$6:$B$10000,$C$5:$C$4995,'GSTR-2A'!$A$6:$A$10000,$S$3)</f>
        <v>0</v>
      </c>
      <c r="W117" s="488">
        <f>SUMIFS('GSTR-2A'!$N$6:$N$10000,'GSTR-2A'!$B$6:$B$10000,$C$5:$C$4995,'GSTR-2A'!$A$6:$A$10000,$S$3)</f>
        <v>0</v>
      </c>
      <c r="X117" s="486">
        <f>SUMIFS('GSTR-2A'!$G$6:$G$10000,'GSTR-2A'!$B$6:$B$10000,$C$5:$C$4995,'GSTR-2A'!$A$6:$A$10000,$X$3)</f>
        <v>0</v>
      </c>
      <c r="Y117" s="487">
        <f>SUMIFS('GSTR-2A'!$K$6:$K$10000,'GSTR-2A'!$B$6:$B$10000,$C$5:$C$4995,'GSTR-2A'!$A$6:$A$10000,$X$3)</f>
        <v>0</v>
      </c>
      <c r="Z117" s="487">
        <f>SUMIFS('GSTR-2A'!$L$6:$L$10000,'GSTR-2A'!$B$6:$B$10000,$C$5:$C$4995,'GSTR-2A'!$A$6:$A$10000,$X$3)</f>
        <v>0</v>
      </c>
      <c r="AA117" s="487">
        <f>SUMIFS('GSTR-2A'!$M$6:$M$10000,'GSTR-2A'!$B$6:$B$10000,$C$5:$C$4995,'GSTR-2A'!$A$6:$A$10000,$X$3)</f>
        <v>0</v>
      </c>
      <c r="AB117" s="488">
        <f>SUMIFS('GSTR-2A'!$N$6:$N$10000,'GSTR-2A'!$B$6:$B$10000,$C$5:$C$4995,'GSTR-2A'!$A$6:$A$10000,$X$3)</f>
        <v>0</v>
      </c>
      <c r="AC117" s="486">
        <f>SUMIFS('GSTR-2A'!$G$6:$G$10000,'GSTR-2A'!$B$6:$B$10000,$C$5:$C$4995,'GSTR-2A'!$A$6:$A$10000,$AC$3)</f>
        <v>0</v>
      </c>
      <c r="AD117" s="487">
        <f>SUMIFS('GSTR-2A'!$K$6:$K$10000,'GSTR-2A'!$B$6:$B$10000,$C$5:$C$4995,'GSTR-2A'!$A$6:$A$10000,$AC$3)</f>
        <v>0</v>
      </c>
      <c r="AE117" s="487">
        <f>SUMIFS('GSTR-2A'!$L$6:$L$10000,'GSTR-2A'!$B$6:$B$10000,$C$5:$C$4995,'GSTR-2A'!$A$6:$A$10000,$AC$3)</f>
        <v>0</v>
      </c>
      <c r="AF117" s="487">
        <f>SUMIFS('GSTR-2A'!$M$6:$M$10000,'GSTR-2A'!$B$6:$B$10000,$C$5:$C$4995,'GSTR-2A'!$A$6:$A$10000,$AC$3)</f>
        <v>0</v>
      </c>
      <c r="AG117" s="488">
        <f>SUMIFS('GSTR-2A'!$N$6:$N$10000,'GSTR-2A'!$B$6:$B$10000,$C$5:$C$4995,'GSTR-2A'!$A$6:$A$10000,$AC$3)</f>
        <v>0</v>
      </c>
      <c r="AH117" s="486">
        <f>SUMIFS('GSTR-2A'!$G$6:$G$10000,'GSTR-2A'!$B$6:$B$10000,$C$5:$C$4995,'GSTR-2A'!$A$6:$A$10000,$AH$3)</f>
        <v>0</v>
      </c>
      <c r="AI117" s="487">
        <f>SUMIFS('GSTR-2A'!$K$6:$K$10000,'GSTR-2A'!$B$6:$B$10000,$C$5:$C$4995,'GSTR-2A'!$A$6:$A$10000,$AH$3)</f>
        <v>0</v>
      </c>
      <c r="AJ117" s="487">
        <f>SUMIFS('GSTR-2A'!$L$6:$L$10000,'GSTR-2A'!$B$6:$B$10000,$C$5:$C$4995,'GSTR-2A'!$A$6:$A$10000,$AH$3)</f>
        <v>0</v>
      </c>
      <c r="AK117" s="487">
        <f>SUMIFS('GSTR-2A'!$M$6:$M$10000,'GSTR-2A'!$B$6:$B$10000,$C$5:$C$4995,'GSTR-2A'!$A$6:$A$10000,$AH$3)</f>
        <v>0</v>
      </c>
      <c r="AL117" s="488">
        <f>SUMIFS('GSTR-2A'!$N$6:$N$10000,'GSTR-2A'!$B$6:$B$10000,$C$5:$C$4995,'GSTR-2A'!$A$6:$A$10000,$AH$3)</f>
        <v>0</v>
      </c>
      <c r="AM117" s="486">
        <f>SUMIFS('GSTR-2A'!$G$6:$G$10000,'GSTR-2A'!$B$6:$B$10000,$C$5:$C$4995,'GSTR-2A'!$A$6:$A$10000,$AM$3)</f>
        <v>0</v>
      </c>
      <c r="AN117" s="487">
        <f>SUMIFS('GSTR-2A'!$K$6:$K$10000,'GSTR-2A'!$B$6:$B$10000,$C$5:$C$4995,'GSTR-2A'!$A$6:$A$10000,$AM$3)</f>
        <v>0</v>
      </c>
      <c r="AO117" s="487">
        <f>SUMIFS('GSTR-2A'!$L$6:$L$10000,'GSTR-2A'!$B$6:$B$10000,$C$5:$C$4995,'GSTR-2A'!$A$6:$A$10000,$AM$3)</f>
        <v>0</v>
      </c>
      <c r="AP117" s="487">
        <f>SUMIFS('GSTR-2A'!$M$6:$M$10000,'GSTR-2A'!$B$6:$B$10000,$C$5:$C$4995,'GSTR-2A'!$A$6:$A$10000,$AM$3)</f>
        <v>0</v>
      </c>
      <c r="AQ117" s="488">
        <f>SUMIFS('GSTR-2A'!$N$6:$N$10000,'GSTR-2A'!$B$6:$B$10000,$C$5:$C$4995,'GSTR-2A'!$A$6:$A$10000,$AM$3)</f>
        <v>0</v>
      </c>
      <c r="AR117" s="486">
        <f>SUMIFS('GSTR-2A'!$G$6:$G$10000,'GSTR-2A'!$B$6:$B$10000,$C$5:$C$4995,'GSTR-2A'!$A$6:$A$10000,$AR$3)</f>
        <v>0</v>
      </c>
      <c r="AS117" s="487">
        <f>SUMIFS('GSTR-2A'!$K$6:$K$10000,'GSTR-2A'!$B$6:$B$10000,$C$5:$C$4995,'GSTR-2A'!$A$6:$A$10000,$AR$3)</f>
        <v>0</v>
      </c>
      <c r="AT117" s="487">
        <f>SUMIFS('GSTR-2A'!$L$6:$L$10000,'GSTR-2A'!$B$6:$B$10000,$C$5:$C$4995,'GSTR-2A'!$A$6:$A$10000,$AR$3)</f>
        <v>0</v>
      </c>
      <c r="AU117" s="487">
        <f>SUMIFS('GSTR-2A'!$M$6:$M$10000,'GSTR-2A'!$B$6:$B$10000,$C$5:$C$4995,'GSTR-2A'!$A$6:$A$10000,$AR$3)</f>
        <v>0</v>
      </c>
      <c r="AV117" s="488">
        <f>SUMIFS('GSTR-2A'!$N$6:$N$10000,'GSTR-2A'!$B$6:$B$10000,$C$5:$C$4995,'GSTR-2A'!$A$6:$A$10000,$AR$3)</f>
        <v>0</v>
      </c>
      <c r="AW117" s="486">
        <f>SUMIFS('GSTR-2A'!$G$6:$G$10000,'GSTR-2A'!$B$6:$B$10000,$C$5:$C$4995,'GSTR-2A'!$A$6:$A$10000,$AW$3)</f>
        <v>0</v>
      </c>
      <c r="AX117" s="487">
        <f>SUMIFS('GSTR-2A'!$K$6:$K$10000,'GSTR-2A'!$B$6:$B$10000,$C$5:$C$4995,'GSTR-2A'!$A$6:$A$10000,$AW$3)</f>
        <v>0</v>
      </c>
      <c r="AY117" s="487">
        <f>SUMIFS('GSTR-2A'!$L$6:$L$10000,'GSTR-2A'!$B$6:$B$10000,$C$5:$C$4995,'GSTR-2A'!$A$6:$A$10000,$AW$3)</f>
        <v>0</v>
      </c>
      <c r="AZ117" s="487">
        <f>SUMIFS('GSTR-2A'!$M$6:$M$10000,'GSTR-2A'!$B$6:$B$10000,$C$5:$C$4995,'GSTR-2A'!$A$6:$A$10000,$AW$3)</f>
        <v>0</v>
      </c>
      <c r="BA117" s="488">
        <f>SUMIFS('GSTR-2A'!$N$6:$N$10000,'GSTR-2A'!$B$6:$B$10000,$C$5:$C$4995,'GSTR-2A'!$A$6:$A$10000,$AW$3)</f>
        <v>0</v>
      </c>
      <c r="BB117" s="486">
        <f>SUMIFS('GSTR-2A'!$G$6:$G$10000,'GSTR-2A'!$B$6:$B$10000,$C$5:$C$4995,'GSTR-2A'!$A$6:$A$10000,$BB$3)</f>
        <v>0</v>
      </c>
      <c r="BC117" s="487">
        <f>SUMIFS('GSTR-2A'!$K$6:$K$10000,'GSTR-2A'!$B$6:$B$10000,$C$5:$C$4995,'GSTR-2A'!$A$6:$A$10000,$BB$3)</f>
        <v>0</v>
      </c>
      <c r="BD117" s="487">
        <f>SUMIFS('GSTR-2A'!$L$6:$L$10000,'GSTR-2A'!$B$6:$B$10000,$C$5:$C$4995,'GSTR-2A'!$A$6:$A$10000,$BB$3)</f>
        <v>0</v>
      </c>
      <c r="BE117" s="487">
        <f>SUMIFS('GSTR-2A'!$M$6:$M$10000,'GSTR-2A'!$B$6:$B$10000,$C$5:$C$4995,'GSTR-2A'!$A$6:$A$10000,$BB$3)</f>
        <v>0</v>
      </c>
      <c r="BF117" s="488">
        <f>SUMIFS('GSTR-2A'!$N$6:$N$10000,'GSTR-2A'!$B$6:$B$10000,$C$5:$C$4995,'GSTR-2A'!$A$6:$A$10000,$BB$3)</f>
        <v>0</v>
      </c>
      <c r="BG117" s="486">
        <f>SUMIFS('GSTR-2A'!$G$6:$G$10000,'GSTR-2A'!$B$6:$B$10000,$C$5:$C$4995,'GSTR-2A'!$A$6:$A$10000,$BG$3)</f>
        <v>0</v>
      </c>
      <c r="BH117" s="487">
        <f>SUMIFS('GSTR-2A'!$K$6:$K$10000,'GSTR-2A'!$B$6:$B$10000,$C$5:$C$4995,'GSTR-2A'!$A$6:$A$10000,$BG$3)</f>
        <v>0</v>
      </c>
      <c r="BI117" s="487">
        <f>SUMIFS('GSTR-2A'!$L$6:$L$10000,'GSTR-2A'!$B$6:$B$10000,$C$5:$C$4995,'GSTR-2A'!$A$6:$A$10000,$BG$3)</f>
        <v>0</v>
      </c>
      <c r="BJ117" s="487">
        <f>SUMIFS('GSTR-2A'!$M$6:$M$10000,'GSTR-2A'!$B$6:$B$10000,$C$5:$C$4995,'GSTR-2A'!$A$6:$A$10000,$BG$3)</f>
        <v>0</v>
      </c>
      <c r="BK117" s="488">
        <f>SUMIFS('GSTR-2A'!$N$6:$N$10000,'GSTR-2A'!$B$6:$B$10000,$C$5:$C$4995,'GSTR-2A'!$A$6:$A$10000,$BG$3)</f>
        <v>0</v>
      </c>
      <c r="BL117" s="72">
        <f t="shared" si="7"/>
        <v>0</v>
      </c>
      <c r="BM117" s="72">
        <f t="shared" si="8"/>
        <v>0</v>
      </c>
      <c r="BN117" s="72">
        <f t="shared" si="9"/>
        <v>0</v>
      </c>
      <c r="BO117" s="72">
        <f t="shared" si="10"/>
        <v>0</v>
      </c>
      <c r="BP117" s="72">
        <f t="shared" si="11"/>
        <v>0</v>
      </c>
    </row>
    <row r="118" spans="1:68" x14ac:dyDescent="0.2">
      <c r="A118" s="467">
        <v>115</v>
      </c>
      <c r="B118" s="468" t="s">
        <v>570</v>
      </c>
      <c r="C118" s="469" t="s">
        <v>571</v>
      </c>
      <c r="D118" s="72">
        <f>SUMIFS('GSTR-2A'!$G$6:$G$10000,'GSTR-2A'!$B$6:$B$10000,$C$5:$C$4995,'GSTR-2A'!$A$6:$A$10000,$D$3)</f>
        <v>0</v>
      </c>
      <c r="E118" s="72">
        <f>SUMIFS('GSTR-2A'!$K$6:$K$10000,'GSTR-2A'!$B$6:$B$10000,$C$5:$C$4995,'GSTR-2A'!$A$6:$A$10000,$D$3)</f>
        <v>0</v>
      </c>
      <c r="F118" s="72">
        <f>SUMIFS('GSTR-2A'!$L$6:$L$10000,'GSTR-2A'!$B$6:$B$10000,$C$5:$C$4995,'GSTR-2A'!$A$6:$A$10000,$D$3)</f>
        <v>0</v>
      </c>
      <c r="G118" s="72">
        <f>SUMIFS('GSTR-2A'!$M$6:$M$10000,'GSTR-2A'!$B$6:$B$10000,$C$5:$C$4995,'GSTR-2A'!$A$6:$A$10000,$D$3)</f>
        <v>0</v>
      </c>
      <c r="H118" s="72">
        <f>SUMIFS('GSTR-2A'!$N$6:$N$10000,'GSTR-2A'!$B$6:$B$10000,$C$5:$C$4995,'GSTR-2A'!$A$6:$A$10000,$D$3)</f>
        <v>0</v>
      </c>
      <c r="I118" s="486">
        <f>SUMIFS('GSTR-2A'!$G$6:$G$10000,'GSTR-2A'!$B$6:$B$10000,$C$5:$C$4995,'GSTR-2A'!$A$6:$A$10000,$I$3)</f>
        <v>0</v>
      </c>
      <c r="J118" s="487">
        <f>SUMIFS('GSTR-2A'!$K$6:$K$10000,'GSTR-2A'!$B$6:$B$10000,$C$5:$C$4995,'GSTR-2A'!$A$6:$A$10000,$I$3)</f>
        <v>0</v>
      </c>
      <c r="K118" s="487">
        <f>SUMIFS('GSTR-2A'!$L$6:$L$10000,'GSTR-2A'!$B$6:$B$10000,$C$5:$C$4995,'GSTR-2A'!$A$6:$A$10000,$I$3)</f>
        <v>0</v>
      </c>
      <c r="L118" s="487">
        <f>SUMIFS('GSTR-2A'!$M$6:$M$10000,'GSTR-2A'!$B$6:$B$10000,$C$5:$C$4995,'GSTR-2A'!$A$6:$A$10000,$I$3)</f>
        <v>0</v>
      </c>
      <c r="M118" s="488">
        <f>SUMIFS('GSTR-2A'!$N$6:$N$10000,'GSTR-2A'!$B$6:$B$10000,$C$5:$C$4995,'GSTR-2A'!$A$6:$A$10000,$I$3)</f>
        <v>0</v>
      </c>
      <c r="N118" s="486">
        <f>SUMIFS('GSTR-2A'!$G$6:$G$10000,'GSTR-2A'!$B$6:$B$10000,$C$5:$C$4995,'GSTR-2A'!$A$6:$A$10000,$N$3)</f>
        <v>37620</v>
      </c>
      <c r="O118" s="487">
        <f>SUMIFS('GSTR-2A'!$K$6:$K$10000,'GSTR-2A'!$B$6:$B$10000,$C$5:$C$4995,'GSTR-2A'!$A$6:$A$10000,$N$3)</f>
        <v>31881.25</v>
      </c>
      <c r="P118" s="487">
        <f>SUMIFS('GSTR-2A'!$L$6:$L$10000,'GSTR-2A'!$B$6:$B$10000,$C$5:$C$4995,'GSTR-2A'!$A$6:$A$10000,$N$3)</f>
        <v>0</v>
      </c>
      <c r="Q118" s="487">
        <f>SUMIFS('GSTR-2A'!$M$6:$M$10000,'GSTR-2A'!$B$6:$B$10000,$C$5:$C$4995,'GSTR-2A'!$A$6:$A$10000,$N$3)</f>
        <v>2869.31</v>
      </c>
      <c r="R118" s="488">
        <f>SUMIFS('GSTR-2A'!$N$6:$N$10000,'GSTR-2A'!$B$6:$B$10000,$C$5:$C$4995,'GSTR-2A'!$A$6:$A$10000,$N$3)</f>
        <v>2869.31</v>
      </c>
      <c r="S118" s="486">
        <f>SUMIFS('GSTR-2A'!$G$6:$G$10000,'GSTR-2A'!$B$6:$B$10000,$C$5:$C$4995,'GSTR-2A'!$A$6:$A$10000,$S$3)</f>
        <v>0</v>
      </c>
      <c r="T118" s="487">
        <f>SUMIFS('GSTR-2A'!$K$6:$K$10000,'GSTR-2A'!$B$6:$B$10000,$C$5:$C$4995,'GSTR-2A'!$A$6:$A$10000,$S$3)</f>
        <v>0</v>
      </c>
      <c r="U118" s="487">
        <f>SUMIFS('GSTR-2A'!$L$6:$L$10000,'GSTR-2A'!$B$6:$B$10000,$C$5:$C$4995,'GSTR-2A'!$A$6:$A$10000,$S$3)</f>
        <v>0</v>
      </c>
      <c r="V118" s="487">
        <f>SUMIFS('GSTR-2A'!$M$6:$M$10000,'GSTR-2A'!$B$6:$B$10000,$C$5:$C$4995,'GSTR-2A'!$A$6:$A$10000,$S$3)</f>
        <v>0</v>
      </c>
      <c r="W118" s="488">
        <f>SUMIFS('GSTR-2A'!$N$6:$N$10000,'GSTR-2A'!$B$6:$B$10000,$C$5:$C$4995,'GSTR-2A'!$A$6:$A$10000,$S$3)</f>
        <v>0</v>
      </c>
      <c r="X118" s="486">
        <f>SUMIFS('GSTR-2A'!$G$6:$G$10000,'GSTR-2A'!$B$6:$B$10000,$C$5:$C$4995,'GSTR-2A'!$A$6:$A$10000,$X$3)</f>
        <v>0</v>
      </c>
      <c r="Y118" s="487">
        <f>SUMIFS('GSTR-2A'!$K$6:$K$10000,'GSTR-2A'!$B$6:$B$10000,$C$5:$C$4995,'GSTR-2A'!$A$6:$A$10000,$X$3)</f>
        <v>0</v>
      </c>
      <c r="Z118" s="487">
        <f>SUMIFS('GSTR-2A'!$L$6:$L$10000,'GSTR-2A'!$B$6:$B$10000,$C$5:$C$4995,'GSTR-2A'!$A$6:$A$10000,$X$3)</f>
        <v>0</v>
      </c>
      <c r="AA118" s="487">
        <f>SUMIFS('GSTR-2A'!$M$6:$M$10000,'GSTR-2A'!$B$6:$B$10000,$C$5:$C$4995,'GSTR-2A'!$A$6:$A$10000,$X$3)</f>
        <v>0</v>
      </c>
      <c r="AB118" s="488">
        <f>SUMIFS('GSTR-2A'!$N$6:$N$10000,'GSTR-2A'!$B$6:$B$10000,$C$5:$C$4995,'GSTR-2A'!$A$6:$A$10000,$X$3)</f>
        <v>0</v>
      </c>
      <c r="AC118" s="486">
        <f>SUMIFS('GSTR-2A'!$G$6:$G$10000,'GSTR-2A'!$B$6:$B$10000,$C$5:$C$4995,'GSTR-2A'!$A$6:$A$10000,$AC$3)</f>
        <v>0</v>
      </c>
      <c r="AD118" s="487">
        <f>SUMIFS('GSTR-2A'!$K$6:$K$10000,'GSTR-2A'!$B$6:$B$10000,$C$5:$C$4995,'GSTR-2A'!$A$6:$A$10000,$AC$3)</f>
        <v>0</v>
      </c>
      <c r="AE118" s="487">
        <f>SUMIFS('GSTR-2A'!$L$6:$L$10000,'GSTR-2A'!$B$6:$B$10000,$C$5:$C$4995,'GSTR-2A'!$A$6:$A$10000,$AC$3)</f>
        <v>0</v>
      </c>
      <c r="AF118" s="487">
        <f>SUMIFS('GSTR-2A'!$M$6:$M$10000,'GSTR-2A'!$B$6:$B$10000,$C$5:$C$4995,'GSTR-2A'!$A$6:$A$10000,$AC$3)</f>
        <v>0</v>
      </c>
      <c r="AG118" s="488">
        <f>SUMIFS('GSTR-2A'!$N$6:$N$10000,'GSTR-2A'!$B$6:$B$10000,$C$5:$C$4995,'GSTR-2A'!$A$6:$A$10000,$AC$3)</f>
        <v>0</v>
      </c>
      <c r="AH118" s="486">
        <f>SUMIFS('GSTR-2A'!$G$6:$G$10000,'GSTR-2A'!$B$6:$B$10000,$C$5:$C$4995,'GSTR-2A'!$A$6:$A$10000,$AH$3)</f>
        <v>0</v>
      </c>
      <c r="AI118" s="487">
        <f>SUMIFS('GSTR-2A'!$K$6:$K$10000,'GSTR-2A'!$B$6:$B$10000,$C$5:$C$4995,'GSTR-2A'!$A$6:$A$10000,$AH$3)</f>
        <v>0</v>
      </c>
      <c r="AJ118" s="487">
        <f>SUMIFS('GSTR-2A'!$L$6:$L$10000,'GSTR-2A'!$B$6:$B$10000,$C$5:$C$4995,'GSTR-2A'!$A$6:$A$10000,$AH$3)</f>
        <v>0</v>
      </c>
      <c r="AK118" s="487">
        <f>SUMIFS('GSTR-2A'!$M$6:$M$10000,'GSTR-2A'!$B$6:$B$10000,$C$5:$C$4995,'GSTR-2A'!$A$6:$A$10000,$AH$3)</f>
        <v>0</v>
      </c>
      <c r="AL118" s="488">
        <f>SUMIFS('GSTR-2A'!$N$6:$N$10000,'GSTR-2A'!$B$6:$B$10000,$C$5:$C$4995,'GSTR-2A'!$A$6:$A$10000,$AH$3)</f>
        <v>0</v>
      </c>
      <c r="AM118" s="486">
        <f>SUMIFS('GSTR-2A'!$G$6:$G$10000,'GSTR-2A'!$B$6:$B$10000,$C$5:$C$4995,'GSTR-2A'!$A$6:$A$10000,$AM$3)</f>
        <v>0</v>
      </c>
      <c r="AN118" s="487">
        <f>SUMIFS('GSTR-2A'!$K$6:$K$10000,'GSTR-2A'!$B$6:$B$10000,$C$5:$C$4995,'GSTR-2A'!$A$6:$A$10000,$AM$3)</f>
        <v>0</v>
      </c>
      <c r="AO118" s="487">
        <f>SUMIFS('GSTR-2A'!$L$6:$L$10000,'GSTR-2A'!$B$6:$B$10000,$C$5:$C$4995,'GSTR-2A'!$A$6:$A$10000,$AM$3)</f>
        <v>0</v>
      </c>
      <c r="AP118" s="487">
        <f>SUMIFS('GSTR-2A'!$M$6:$M$10000,'GSTR-2A'!$B$6:$B$10000,$C$5:$C$4995,'GSTR-2A'!$A$6:$A$10000,$AM$3)</f>
        <v>0</v>
      </c>
      <c r="AQ118" s="488">
        <f>SUMIFS('GSTR-2A'!$N$6:$N$10000,'GSTR-2A'!$B$6:$B$10000,$C$5:$C$4995,'GSTR-2A'!$A$6:$A$10000,$AM$3)</f>
        <v>0</v>
      </c>
      <c r="AR118" s="486">
        <f>SUMIFS('GSTR-2A'!$G$6:$G$10000,'GSTR-2A'!$B$6:$B$10000,$C$5:$C$4995,'GSTR-2A'!$A$6:$A$10000,$AR$3)</f>
        <v>0</v>
      </c>
      <c r="AS118" s="487">
        <f>SUMIFS('GSTR-2A'!$K$6:$K$10000,'GSTR-2A'!$B$6:$B$10000,$C$5:$C$4995,'GSTR-2A'!$A$6:$A$10000,$AR$3)</f>
        <v>0</v>
      </c>
      <c r="AT118" s="487">
        <f>SUMIFS('GSTR-2A'!$L$6:$L$10000,'GSTR-2A'!$B$6:$B$10000,$C$5:$C$4995,'GSTR-2A'!$A$6:$A$10000,$AR$3)</f>
        <v>0</v>
      </c>
      <c r="AU118" s="487">
        <f>SUMIFS('GSTR-2A'!$M$6:$M$10000,'GSTR-2A'!$B$6:$B$10000,$C$5:$C$4995,'GSTR-2A'!$A$6:$A$10000,$AR$3)</f>
        <v>0</v>
      </c>
      <c r="AV118" s="488">
        <f>SUMIFS('GSTR-2A'!$N$6:$N$10000,'GSTR-2A'!$B$6:$B$10000,$C$5:$C$4995,'GSTR-2A'!$A$6:$A$10000,$AR$3)</f>
        <v>0</v>
      </c>
      <c r="AW118" s="486">
        <f>SUMIFS('GSTR-2A'!$G$6:$G$10000,'GSTR-2A'!$B$6:$B$10000,$C$5:$C$4995,'GSTR-2A'!$A$6:$A$10000,$AW$3)</f>
        <v>0</v>
      </c>
      <c r="AX118" s="487">
        <f>SUMIFS('GSTR-2A'!$K$6:$K$10000,'GSTR-2A'!$B$6:$B$10000,$C$5:$C$4995,'GSTR-2A'!$A$6:$A$10000,$AW$3)</f>
        <v>0</v>
      </c>
      <c r="AY118" s="487">
        <f>SUMIFS('GSTR-2A'!$L$6:$L$10000,'GSTR-2A'!$B$6:$B$10000,$C$5:$C$4995,'GSTR-2A'!$A$6:$A$10000,$AW$3)</f>
        <v>0</v>
      </c>
      <c r="AZ118" s="487">
        <f>SUMIFS('GSTR-2A'!$M$6:$M$10000,'GSTR-2A'!$B$6:$B$10000,$C$5:$C$4995,'GSTR-2A'!$A$6:$A$10000,$AW$3)</f>
        <v>0</v>
      </c>
      <c r="BA118" s="488">
        <f>SUMIFS('GSTR-2A'!$N$6:$N$10000,'GSTR-2A'!$B$6:$B$10000,$C$5:$C$4995,'GSTR-2A'!$A$6:$A$10000,$AW$3)</f>
        <v>0</v>
      </c>
      <c r="BB118" s="486">
        <f>SUMIFS('GSTR-2A'!$G$6:$G$10000,'GSTR-2A'!$B$6:$B$10000,$C$5:$C$4995,'GSTR-2A'!$A$6:$A$10000,$BB$3)</f>
        <v>0</v>
      </c>
      <c r="BC118" s="487">
        <f>SUMIFS('GSTR-2A'!$K$6:$K$10000,'GSTR-2A'!$B$6:$B$10000,$C$5:$C$4995,'GSTR-2A'!$A$6:$A$10000,$BB$3)</f>
        <v>0</v>
      </c>
      <c r="BD118" s="487">
        <f>SUMIFS('GSTR-2A'!$L$6:$L$10000,'GSTR-2A'!$B$6:$B$10000,$C$5:$C$4995,'GSTR-2A'!$A$6:$A$10000,$BB$3)</f>
        <v>0</v>
      </c>
      <c r="BE118" s="487">
        <f>SUMIFS('GSTR-2A'!$M$6:$M$10000,'GSTR-2A'!$B$6:$B$10000,$C$5:$C$4995,'GSTR-2A'!$A$6:$A$10000,$BB$3)</f>
        <v>0</v>
      </c>
      <c r="BF118" s="488">
        <f>SUMIFS('GSTR-2A'!$N$6:$N$10000,'GSTR-2A'!$B$6:$B$10000,$C$5:$C$4995,'GSTR-2A'!$A$6:$A$10000,$BB$3)</f>
        <v>0</v>
      </c>
      <c r="BG118" s="486">
        <f>SUMIFS('GSTR-2A'!$G$6:$G$10000,'GSTR-2A'!$B$6:$B$10000,$C$5:$C$4995,'GSTR-2A'!$A$6:$A$10000,$BG$3)</f>
        <v>0</v>
      </c>
      <c r="BH118" s="487">
        <f>SUMIFS('GSTR-2A'!$K$6:$K$10000,'GSTR-2A'!$B$6:$B$10000,$C$5:$C$4995,'GSTR-2A'!$A$6:$A$10000,$BG$3)</f>
        <v>0</v>
      </c>
      <c r="BI118" s="487">
        <f>SUMIFS('GSTR-2A'!$L$6:$L$10000,'GSTR-2A'!$B$6:$B$10000,$C$5:$C$4995,'GSTR-2A'!$A$6:$A$10000,$BG$3)</f>
        <v>0</v>
      </c>
      <c r="BJ118" s="487">
        <f>SUMIFS('GSTR-2A'!$M$6:$M$10000,'GSTR-2A'!$B$6:$B$10000,$C$5:$C$4995,'GSTR-2A'!$A$6:$A$10000,$BG$3)</f>
        <v>0</v>
      </c>
      <c r="BK118" s="488">
        <f>SUMIFS('GSTR-2A'!$N$6:$N$10000,'GSTR-2A'!$B$6:$B$10000,$C$5:$C$4995,'GSTR-2A'!$A$6:$A$10000,$BG$3)</f>
        <v>0</v>
      </c>
      <c r="BL118" s="72">
        <f t="shared" si="7"/>
        <v>37620</v>
      </c>
      <c r="BM118" s="72">
        <f t="shared" si="8"/>
        <v>31881.25</v>
      </c>
      <c r="BN118" s="72">
        <f t="shared" si="9"/>
        <v>0</v>
      </c>
      <c r="BO118" s="72">
        <f t="shared" si="10"/>
        <v>2869.31</v>
      </c>
      <c r="BP118" s="72">
        <f t="shared" si="11"/>
        <v>2869.31</v>
      </c>
    </row>
    <row r="119" spans="1:68" x14ac:dyDescent="0.2">
      <c r="A119" s="467">
        <v>116</v>
      </c>
      <c r="B119" s="468" t="s">
        <v>473</v>
      </c>
      <c r="C119" s="469" t="s">
        <v>41</v>
      </c>
      <c r="D119" s="72">
        <f>SUMIFS('GSTR-2A'!$G$6:$G$10000,'GSTR-2A'!$B$6:$B$10000,$C$5:$C$4995,'GSTR-2A'!$A$6:$A$10000,$D$3)</f>
        <v>94290.26999999999</v>
      </c>
      <c r="E119" s="72">
        <f>SUMIFS('GSTR-2A'!$K$6:$K$10000,'GSTR-2A'!$B$6:$B$10000,$C$5:$C$4995,'GSTR-2A'!$A$6:$A$10000,$D$3)</f>
        <v>73664.28</v>
      </c>
      <c r="F119" s="72">
        <f>SUMIFS('GSTR-2A'!$L$6:$L$10000,'GSTR-2A'!$B$6:$B$10000,$C$5:$C$4995,'GSTR-2A'!$A$6:$A$10000,$D$3)</f>
        <v>0</v>
      </c>
      <c r="G119" s="72">
        <f>SUMIFS('GSTR-2A'!$M$6:$M$10000,'GSTR-2A'!$B$6:$B$10000,$C$5:$C$4995,'GSTR-2A'!$A$6:$A$10000,$D$3)</f>
        <v>10313</v>
      </c>
      <c r="H119" s="72">
        <f>SUMIFS('GSTR-2A'!$N$6:$N$10000,'GSTR-2A'!$B$6:$B$10000,$C$5:$C$4995,'GSTR-2A'!$A$6:$A$10000,$D$3)</f>
        <v>10313</v>
      </c>
      <c r="I119" s="486">
        <f>SUMIFS('GSTR-2A'!$G$6:$G$10000,'GSTR-2A'!$B$6:$B$10000,$C$5:$C$4995,'GSTR-2A'!$A$6:$A$10000,$I$3)</f>
        <v>30667.329999999998</v>
      </c>
      <c r="J119" s="487">
        <f>SUMIFS('GSTR-2A'!$K$6:$K$10000,'GSTR-2A'!$B$6:$B$10000,$C$5:$C$4995,'GSTR-2A'!$A$6:$A$10000,$I$3)</f>
        <v>23958.85</v>
      </c>
      <c r="K119" s="487">
        <f>SUMIFS('GSTR-2A'!$L$6:$L$10000,'GSTR-2A'!$B$6:$B$10000,$C$5:$C$4995,'GSTR-2A'!$A$6:$A$10000,$I$3)</f>
        <v>0</v>
      </c>
      <c r="L119" s="487">
        <f>SUMIFS('GSTR-2A'!$M$6:$M$10000,'GSTR-2A'!$B$6:$B$10000,$C$5:$C$4995,'GSTR-2A'!$A$6:$A$10000,$I$3)</f>
        <v>3354.24</v>
      </c>
      <c r="M119" s="488">
        <f>SUMIFS('GSTR-2A'!$N$6:$N$10000,'GSTR-2A'!$B$6:$B$10000,$C$5:$C$4995,'GSTR-2A'!$A$6:$A$10000,$I$3)</f>
        <v>3354.24</v>
      </c>
      <c r="N119" s="486">
        <f>SUMIFS('GSTR-2A'!$G$6:$G$10000,'GSTR-2A'!$B$6:$B$10000,$C$5:$C$4995,'GSTR-2A'!$A$6:$A$10000,$N$3)</f>
        <v>47007.28</v>
      </c>
      <c r="O119" s="487">
        <f>SUMIFS('GSTR-2A'!$K$6:$K$10000,'GSTR-2A'!$B$6:$B$10000,$C$5:$C$4995,'GSTR-2A'!$A$6:$A$10000,$N$3)</f>
        <v>36724.42</v>
      </c>
      <c r="P119" s="487">
        <f>SUMIFS('GSTR-2A'!$L$6:$L$10000,'GSTR-2A'!$B$6:$B$10000,$C$5:$C$4995,'GSTR-2A'!$A$6:$A$10000,$N$3)</f>
        <v>0</v>
      </c>
      <c r="Q119" s="487">
        <f>SUMIFS('GSTR-2A'!$M$6:$M$10000,'GSTR-2A'!$B$6:$B$10000,$C$5:$C$4995,'GSTR-2A'!$A$6:$A$10000,$N$3)</f>
        <v>5142</v>
      </c>
      <c r="R119" s="488">
        <f>SUMIFS('GSTR-2A'!$N$6:$N$10000,'GSTR-2A'!$B$6:$B$10000,$C$5:$C$4995,'GSTR-2A'!$A$6:$A$10000,$N$3)</f>
        <v>5142</v>
      </c>
      <c r="S119" s="486">
        <f>SUMIFS('GSTR-2A'!$G$6:$G$10000,'GSTR-2A'!$B$6:$B$10000,$C$5:$C$4995,'GSTR-2A'!$A$6:$A$10000,$S$3)</f>
        <v>170610.32</v>
      </c>
      <c r="T119" s="487">
        <f>SUMIFS('GSTR-2A'!$K$6:$K$10000,'GSTR-2A'!$B$6:$B$10000,$C$5:$C$4995,'GSTR-2A'!$A$6:$A$10000,$S$3)</f>
        <v>133289.30000000002</v>
      </c>
      <c r="U119" s="487">
        <f>SUMIFS('GSTR-2A'!$L$6:$L$10000,'GSTR-2A'!$B$6:$B$10000,$C$5:$C$4995,'GSTR-2A'!$A$6:$A$10000,$S$3)</f>
        <v>0</v>
      </c>
      <c r="V119" s="487">
        <f>SUMIFS('GSTR-2A'!$M$6:$M$10000,'GSTR-2A'!$B$6:$B$10000,$C$5:$C$4995,'GSTR-2A'!$A$6:$A$10000,$S$3)</f>
        <v>18663</v>
      </c>
      <c r="W119" s="488">
        <f>SUMIFS('GSTR-2A'!$N$6:$N$10000,'GSTR-2A'!$B$6:$B$10000,$C$5:$C$4995,'GSTR-2A'!$A$6:$A$10000,$S$3)</f>
        <v>18663</v>
      </c>
      <c r="X119" s="486">
        <f>SUMIFS('GSTR-2A'!$G$6:$G$10000,'GSTR-2A'!$B$6:$B$10000,$C$5:$C$4995,'GSTR-2A'!$A$6:$A$10000,$X$3)</f>
        <v>100172.31999999999</v>
      </c>
      <c r="Y119" s="487">
        <f>SUMIFS('GSTR-2A'!$K$6:$K$10000,'GSTR-2A'!$B$6:$B$10000,$C$5:$C$4995,'GSTR-2A'!$A$6:$A$10000,$X$3)</f>
        <v>78259.62</v>
      </c>
      <c r="Z119" s="487">
        <f>SUMIFS('GSTR-2A'!$L$6:$L$10000,'GSTR-2A'!$B$6:$B$10000,$C$5:$C$4995,'GSTR-2A'!$A$6:$A$10000,$X$3)</f>
        <v>0</v>
      </c>
      <c r="AA119" s="487">
        <f>SUMIFS('GSTR-2A'!$M$6:$M$10000,'GSTR-2A'!$B$6:$B$10000,$C$5:$C$4995,'GSTR-2A'!$A$6:$A$10000,$X$3)</f>
        <v>10958</v>
      </c>
      <c r="AB119" s="488">
        <f>SUMIFS('GSTR-2A'!$N$6:$N$10000,'GSTR-2A'!$B$6:$B$10000,$C$5:$C$4995,'GSTR-2A'!$A$6:$A$10000,$X$3)</f>
        <v>10958</v>
      </c>
      <c r="AC119" s="486">
        <f>SUMIFS('GSTR-2A'!$G$6:$G$10000,'GSTR-2A'!$B$6:$B$10000,$C$5:$C$4995,'GSTR-2A'!$A$6:$A$10000,$AC$3)</f>
        <v>87344.170000000013</v>
      </c>
      <c r="AD119" s="487">
        <f>SUMIFS('GSTR-2A'!$K$6:$K$10000,'GSTR-2A'!$B$6:$B$10000,$C$5:$C$4995,'GSTR-2A'!$A$6:$A$10000,$AC$3)</f>
        <v>68237.649999999994</v>
      </c>
      <c r="AE119" s="487">
        <f>SUMIFS('GSTR-2A'!$L$6:$L$10000,'GSTR-2A'!$B$6:$B$10000,$C$5:$C$4995,'GSTR-2A'!$A$6:$A$10000,$AC$3)</f>
        <v>0</v>
      </c>
      <c r="AF119" s="487">
        <f>SUMIFS('GSTR-2A'!$M$6:$M$10000,'GSTR-2A'!$B$6:$B$10000,$C$5:$C$4995,'GSTR-2A'!$A$6:$A$10000,$AC$3)</f>
        <v>9556</v>
      </c>
      <c r="AG119" s="488">
        <f>SUMIFS('GSTR-2A'!$N$6:$N$10000,'GSTR-2A'!$B$6:$B$10000,$C$5:$C$4995,'GSTR-2A'!$A$6:$A$10000,$AC$3)</f>
        <v>9556</v>
      </c>
      <c r="AH119" s="486">
        <f>SUMIFS('GSTR-2A'!$G$6:$G$10000,'GSTR-2A'!$B$6:$B$10000,$C$5:$C$4995,'GSTR-2A'!$A$6:$A$10000,$AH$3)</f>
        <v>108739.34000000003</v>
      </c>
      <c r="AI119" s="487">
        <f>SUMIFS('GSTR-2A'!$K$6:$K$10000,'GSTR-2A'!$B$6:$B$10000,$C$5:$C$4995,'GSTR-2A'!$A$6:$A$10000,$AH$3)</f>
        <v>84951.34</v>
      </c>
      <c r="AJ119" s="487">
        <f>SUMIFS('GSTR-2A'!$L$6:$L$10000,'GSTR-2A'!$B$6:$B$10000,$C$5:$C$4995,'GSTR-2A'!$A$6:$A$10000,$AH$3)</f>
        <v>0</v>
      </c>
      <c r="AK119" s="487">
        <f>SUMIFS('GSTR-2A'!$M$6:$M$10000,'GSTR-2A'!$B$6:$B$10000,$C$5:$C$4995,'GSTR-2A'!$A$6:$A$10000,$AH$3)</f>
        <v>11894</v>
      </c>
      <c r="AL119" s="488">
        <f>SUMIFS('GSTR-2A'!$N$6:$N$10000,'GSTR-2A'!$B$6:$B$10000,$C$5:$C$4995,'GSTR-2A'!$A$6:$A$10000,$AH$3)</f>
        <v>11894</v>
      </c>
      <c r="AM119" s="486">
        <f>SUMIFS('GSTR-2A'!$G$6:$G$10000,'GSTR-2A'!$B$6:$B$10000,$C$5:$C$4995,'GSTR-2A'!$A$6:$A$10000,$AM$3)</f>
        <v>0</v>
      </c>
      <c r="AN119" s="487">
        <f>SUMIFS('GSTR-2A'!$K$6:$K$10000,'GSTR-2A'!$B$6:$B$10000,$C$5:$C$4995,'GSTR-2A'!$A$6:$A$10000,$AM$3)</f>
        <v>0</v>
      </c>
      <c r="AO119" s="487">
        <f>SUMIFS('GSTR-2A'!$L$6:$L$10000,'GSTR-2A'!$B$6:$B$10000,$C$5:$C$4995,'GSTR-2A'!$A$6:$A$10000,$AM$3)</f>
        <v>0</v>
      </c>
      <c r="AP119" s="487">
        <f>SUMIFS('GSTR-2A'!$M$6:$M$10000,'GSTR-2A'!$B$6:$B$10000,$C$5:$C$4995,'GSTR-2A'!$A$6:$A$10000,$AM$3)</f>
        <v>0</v>
      </c>
      <c r="AQ119" s="488">
        <f>SUMIFS('GSTR-2A'!$N$6:$N$10000,'GSTR-2A'!$B$6:$B$10000,$C$5:$C$4995,'GSTR-2A'!$A$6:$A$10000,$AM$3)</f>
        <v>0</v>
      </c>
      <c r="AR119" s="486">
        <f>SUMIFS('GSTR-2A'!$G$6:$G$10000,'GSTR-2A'!$B$6:$B$10000,$C$5:$C$4995,'GSTR-2A'!$A$6:$A$10000,$AR$3)</f>
        <v>0</v>
      </c>
      <c r="AS119" s="487">
        <f>SUMIFS('GSTR-2A'!$K$6:$K$10000,'GSTR-2A'!$B$6:$B$10000,$C$5:$C$4995,'GSTR-2A'!$A$6:$A$10000,$AR$3)</f>
        <v>0</v>
      </c>
      <c r="AT119" s="487">
        <f>SUMIFS('GSTR-2A'!$L$6:$L$10000,'GSTR-2A'!$B$6:$B$10000,$C$5:$C$4995,'GSTR-2A'!$A$6:$A$10000,$AR$3)</f>
        <v>0</v>
      </c>
      <c r="AU119" s="487">
        <f>SUMIFS('GSTR-2A'!$M$6:$M$10000,'GSTR-2A'!$B$6:$B$10000,$C$5:$C$4995,'GSTR-2A'!$A$6:$A$10000,$AR$3)</f>
        <v>0</v>
      </c>
      <c r="AV119" s="488">
        <f>SUMIFS('GSTR-2A'!$N$6:$N$10000,'GSTR-2A'!$B$6:$B$10000,$C$5:$C$4995,'GSTR-2A'!$A$6:$A$10000,$AR$3)</f>
        <v>0</v>
      </c>
      <c r="AW119" s="486">
        <f>SUMIFS('GSTR-2A'!$G$6:$G$10000,'GSTR-2A'!$B$6:$B$10000,$C$5:$C$4995,'GSTR-2A'!$A$6:$A$10000,$AW$3)</f>
        <v>0</v>
      </c>
      <c r="AX119" s="487">
        <f>SUMIFS('GSTR-2A'!$K$6:$K$10000,'GSTR-2A'!$B$6:$B$10000,$C$5:$C$4995,'GSTR-2A'!$A$6:$A$10000,$AW$3)</f>
        <v>0</v>
      </c>
      <c r="AY119" s="487">
        <f>SUMIFS('GSTR-2A'!$L$6:$L$10000,'GSTR-2A'!$B$6:$B$10000,$C$5:$C$4995,'GSTR-2A'!$A$6:$A$10000,$AW$3)</f>
        <v>0</v>
      </c>
      <c r="AZ119" s="487">
        <f>SUMIFS('GSTR-2A'!$M$6:$M$10000,'GSTR-2A'!$B$6:$B$10000,$C$5:$C$4995,'GSTR-2A'!$A$6:$A$10000,$AW$3)</f>
        <v>0</v>
      </c>
      <c r="BA119" s="488">
        <f>SUMIFS('GSTR-2A'!$N$6:$N$10000,'GSTR-2A'!$B$6:$B$10000,$C$5:$C$4995,'GSTR-2A'!$A$6:$A$10000,$AW$3)</f>
        <v>0</v>
      </c>
      <c r="BB119" s="486">
        <f>SUMIFS('GSTR-2A'!$G$6:$G$10000,'GSTR-2A'!$B$6:$B$10000,$C$5:$C$4995,'GSTR-2A'!$A$6:$A$10000,$BB$3)</f>
        <v>0</v>
      </c>
      <c r="BC119" s="487">
        <f>SUMIFS('GSTR-2A'!$K$6:$K$10000,'GSTR-2A'!$B$6:$B$10000,$C$5:$C$4995,'GSTR-2A'!$A$6:$A$10000,$BB$3)</f>
        <v>0</v>
      </c>
      <c r="BD119" s="487">
        <f>SUMIFS('GSTR-2A'!$L$6:$L$10000,'GSTR-2A'!$B$6:$B$10000,$C$5:$C$4995,'GSTR-2A'!$A$6:$A$10000,$BB$3)</f>
        <v>0</v>
      </c>
      <c r="BE119" s="487">
        <f>SUMIFS('GSTR-2A'!$M$6:$M$10000,'GSTR-2A'!$B$6:$B$10000,$C$5:$C$4995,'GSTR-2A'!$A$6:$A$10000,$BB$3)</f>
        <v>0</v>
      </c>
      <c r="BF119" s="488">
        <f>SUMIFS('GSTR-2A'!$N$6:$N$10000,'GSTR-2A'!$B$6:$B$10000,$C$5:$C$4995,'GSTR-2A'!$A$6:$A$10000,$BB$3)</f>
        <v>0</v>
      </c>
      <c r="BG119" s="486">
        <f>SUMIFS('GSTR-2A'!$G$6:$G$10000,'GSTR-2A'!$B$6:$B$10000,$C$5:$C$4995,'GSTR-2A'!$A$6:$A$10000,$BG$3)</f>
        <v>0</v>
      </c>
      <c r="BH119" s="487">
        <f>SUMIFS('GSTR-2A'!$K$6:$K$10000,'GSTR-2A'!$B$6:$B$10000,$C$5:$C$4995,'GSTR-2A'!$A$6:$A$10000,$BG$3)</f>
        <v>0</v>
      </c>
      <c r="BI119" s="487">
        <f>SUMIFS('GSTR-2A'!$L$6:$L$10000,'GSTR-2A'!$B$6:$B$10000,$C$5:$C$4995,'GSTR-2A'!$A$6:$A$10000,$BG$3)</f>
        <v>0</v>
      </c>
      <c r="BJ119" s="487">
        <f>SUMIFS('GSTR-2A'!$M$6:$M$10000,'GSTR-2A'!$B$6:$B$10000,$C$5:$C$4995,'GSTR-2A'!$A$6:$A$10000,$BG$3)</f>
        <v>0</v>
      </c>
      <c r="BK119" s="488">
        <f>SUMIFS('GSTR-2A'!$N$6:$N$10000,'GSTR-2A'!$B$6:$B$10000,$C$5:$C$4995,'GSTR-2A'!$A$6:$A$10000,$BG$3)</f>
        <v>0</v>
      </c>
      <c r="BL119" s="72">
        <f t="shared" si="7"/>
        <v>638831.03</v>
      </c>
      <c r="BM119" s="72">
        <f t="shared" si="8"/>
        <v>499085.45999999996</v>
      </c>
      <c r="BN119" s="72">
        <f t="shared" si="9"/>
        <v>0</v>
      </c>
      <c r="BO119" s="72">
        <f t="shared" si="10"/>
        <v>69880.239999999991</v>
      </c>
      <c r="BP119" s="72">
        <f t="shared" si="11"/>
        <v>69880.239999999991</v>
      </c>
    </row>
    <row r="120" spans="1:68" x14ac:dyDescent="0.2">
      <c r="A120" s="467">
        <v>117</v>
      </c>
      <c r="B120" s="468" t="s">
        <v>1165</v>
      </c>
      <c r="C120" s="468" t="s">
        <v>254</v>
      </c>
      <c r="D120" s="72">
        <f>SUMIFS('GSTR-2A'!$G$6:$G$10000,'GSTR-2A'!$B$6:$B$10000,$C$5:$C$4995,'GSTR-2A'!$A$6:$A$10000,$D$3)</f>
        <v>0</v>
      </c>
      <c r="E120" s="72">
        <f>SUMIFS('GSTR-2A'!$K$6:$K$10000,'GSTR-2A'!$B$6:$B$10000,$C$5:$C$4995,'GSTR-2A'!$A$6:$A$10000,$D$3)</f>
        <v>0</v>
      </c>
      <c r="F120" s="72">
        <f>SUMIFS('GSTR-2A'!$L$6:$L$10000,'GSTR-2A'!$B$6:$B$10000,$C$5:$C$4995,'GSTR-2A'!$A$6:$A$10000,$D$3)</f>
        <v>0</v>
      </c>
      <c r="G120" s="72">
        <f>SUMIFS('GSTR-2A'!$M$6:$M$10000,'GSTR-2A'!$B$6:$B$10000,$C$5:$C$4995,'GSTR-2A'!$A$6:$A$10000,$D$3)</f>
        <v>0</v>
      </c>
      <c r="H120" s="72">
        <f>SUMIFS('GSTR-2A'!$N$6:$N$10000,'GSTR-2A'!$B$6:$B$10000,$C$5:$C$4995,'GSTR-2A'!$A$6:$A$10000,$D$3)</f>
        <v>0</v>
      </c>
      <c r="I120" s="486">
        <f>SUMIFS('GSTR-2A'!$G$6:$G$10000,'GSTR-2A'!$B$6:$B$10000,$C$5:$C$4995,'GSTR-2A'!$A$6:$A$10000,$I$3)</f>
        <v>0</v>
      </c>
      <c r="J120" s="487">
        <f>SUMIFS('GSTR-2A'!$K$6:$K$10000,'GSTR-2A'!$B$6:$B$10000,$C$5:$C$4995,'GSTR-2A'!$A$6:$A$10000,$I$3)</f>
        <v>0</v>
      </c>
      <c r="K120" s="487">
        <f>SUMIFS('GSTR-2A'!$L$6:$L$10000,'GSTR-2A'!$B$6:$B$10000,$C$5:$C$4995,'GSTR-2A'!$A$6:$A$10000,$I$3)</f>
        <v>0</v>
      </c>
      <c r="L120" s="487">
        <f>SUMIFS('GSTR-2A'!$M$6:$M$10000,'GSTR-2A'!$B$6:$B$10000,$C$5:$C$4995,'GSTR-2A'!$A$6:$A$10000,$I$3)</f>
        <v>0</v>
      </c>
      <c r="M120" s="488">
        <f>SUMIFS('GSTR-2A'!$N$6:$N$10000,'GSTR-2A'!$B$6:$B$10000,$C$5:$C$4995,'GSTR-2A'!$A$6:$A$10000,$I$3)</f>
        <v>0</v>
      </c>
      <c r="N120" s="486">
        <f>SUMIFS('GSTR-2A'!$G$6:$G$10000,'GSTR-2A'!$B$6:$B$10000,$C$5:$C$4995,'GSTR-2A'!$A$6:$A$10000,$N$3)</f>
        <v>0</v>
      </c>
      <c r="O120" s="487">
        <f>SUMIFS('GSTR-2A'!$K$6:$K$10000,'GSTR-2A'!$B$6:$B$10000,$C$5:$C$4995,'GSTR-2A'!$A$6:$A$10000,$N$3)</f>
        <v>0</v>
      </c>
      <c r="P120" s="487">
        <f>SUMIFS('GSTR-2A'!$L$6:$L$10000,'GSTR-2A'!$B$6:$B$10000,$C$5:$C$4995,'GSTR-2A'!$A$6:$A$10000,$N$3)</f>
        <v>0</v>
      </c>
      <c r="Q120" s="487">
        <f>SUMIFS('GSTR-2A'!$M$6:$M$10000,'GSTR-2A'!$B$6:$B$10000,$C$5:$C$4995,'GSTR-2A'!$A$6:$A$10000,$N$3)</f>
        <v>0</v>
      </c>
      <c r="R120" s="488">
        <f>SUMIFS('GSTR-2A'!$N$6:$N$10000,'GSTR-2A'!$B$6:$B$10000,$C$5:$C$4995,'GSTR-2A'!$A$6:$A$10000,$N$3)</f>
        <v>0</v>
      </c>
      <c r="S120" s="486">
        <f>SUMIFS('GSTR-2A'!$G$6:$G$10000,'GSTR-2A'!$B$6:$B$10000,$C$5:$C$4995,'GSTR-2A'!$A$6:$A$10000,$S$3)</f>
        <v>0</v>
      </c>
      <c r="T120" s="487">
        <f>SUMIFS('GSTR-2A'!$K$6:$K$10000,'GSTR-2A'!$B$6:$B$10000,$C$5:$C$4995,'GSTR-2A'!$A$6:$A$10000,$S$3)</f>
        <v>0</v>
      </c>
      <c r="U120" s="487">
        <f>SUMIFS('GSTR-2A'!$L$6:$L$10000,'GSTR-2A'!$B$6:$B$10000,$C$5:$C$4995,'GSTR-2A'!$A$6:$A$10000,$S$3)</f>
        <v>0</v>
      </c>
      <c r="V120" s="487">
        <f>SUMIFS('GSTR-2A'!$M$6:$M$10000,'GSTR-2A'!$B$6:$B$10000,$C$5:$C$4995,'GSTR-2A'!$A$6:$A$10000,$S$3)</f>
        <v>0</v>
      </c>
      <c r="W120" s="488">
        <f>SUMIFS('GSTR-2A'!$N$6:$N$10000,'GSTR-2A'!$B$6:$B$10000,$C$5:$C$4995,'GSTR-2A'!$A$6:$A$10000,$S$3)</f>
        <v>0</v>
      </c>
      <c r="X120" s="486">
        <f>SUMIFS('GSTR-2A'!$G$6:$G$10000,'GSTR-2A'!$B$6:$B$10000,$C$5:$C$4995,'GSTR-2A'!$A$6:$A$10000,$X$3)</f>
        <v>0</v>
      </c>
      <c r="Y120" s="487">
        <f>SUMIFS('GSTR-2A'!$K$6:$K$10000,'GSTR-2A'!$B$6:$B$10000,$C$5:$C$4995,'GSTR-2A'!$A$6:$A$10000,$X$3)</f>
        <v>0</v>
      </c>
      <c r="Z120" s="487">
        <f>SUMIFS('GSTR-2A'!$L$6:$L$10000,'GSTR-2A'!$B$6:$B$10000,$C$5:$C$4995,'GSTR-2A'!$A$6:$A$10000,$X$3)</f>
        <v>0</v>
      </c>
      <c r="AA120" s="487">
        <f>SUMIFS('GSTR-2A'!$M$6:$M$10000,'GSTR-2A'!$B$6:$B$10000,$C$5:$C$4995,'GSTR-2A'!$A$6:$A$10000,$X$3)</f>
        <v>0</v>
      </c>
      <c r="AB120" s="488">
        <f>SUMIFS('GSTR-2A'!$N$6:$N$10000,'GSTR-2A'!$B$6:$B$10000,$C$5:$C$4995,'GSTR-2A'!$A$6:$A$10000,$X$3)</f>
        <v>0</v>
      </c>
      <c r="AC120" s="486">
        <f>SUMIFS('GSTR-2A'!$G$6:$G$10000,'GSTR-2A'!$B$6:$B$10000,$C$5:$C$4995,'GSTR-2A'!$A$6:$A$10000,$AC$3)</f>
        <v>0</v>
      </c>
      <c r="AD120" s="487">
        <f>SUMIFS('GSTR-2A'!$K$6:$K$10000,'GSTR-2A'!$B$6:$B$10000,$C$5:$C$4995,'GSTR-2A'!$A$6:$A$10000,$AC$3)</f>
        <v>0</v>
      </c>
      <c r="AE120" s="487">
        <f>SUMIFS('GSTR-2A'!$L$6:$L$10000,'GSTR-2A'!$B$6:$B$10000,$C$5:$C$4995,'GSTR-2A'!$A$6:$A$10000,$AC$3)</f>
        <v>0</v>
      </c>
      <c r="AF120" s="487">
        <f>SUMIFS('GSTR-2A'!$M$6:$M$10000,'GSTR-2A'!$B$6:$B$10000,$C$5:$C$4995,'GSTR-2A'!$A$6:$A$10000,$AC$3)</f>
        <v>0</v>
      </c>
      <c r="AG120" s="488">
        <f>SUMIFS('GSTR-2A'!$N$6:$N$10000,'GSTR-2A'!$B$6:$B$10000,$C$5:$C$4995,'GSTR-2A'!$A$6:$A$10000,$AC$3)</f>
        <v>0</v>
      </c>
      <c r="AH120" s="486">
        <f>SUMIFS('GSTR-2A'!$G$6:$G$10000,'GSTR-2A'!$B$6:$B$10000,$C$5:$C$4995,'GSTR-2A'!$A$6:$A$10000,$AH$3)</f>
        <v>0</v>
      </c>
      <c r="AI120" s="487">
        <f>SUMIFS('GSTR-2A'!$K$6:$K$10000,'GSTR-2A'!$B$6:$B$10000,$C$5:$C$4995,'GSTR-2A'!$A$6:$A$10000,$AH$3)</f>
        <v>0</v>
      </c>
      <c r="AJ120" s="487">
        <f>SUMIFS('GSTR-2A'!$L$6:$L$10000,'GSTR-2A'!$B$6:$B$10000,$C$5:$C$4995,'GSTR-2A'!$A$6:$A$10000,$AH$3)</f>
        <v>0</v>
      </c>
      <c r="AK120" s="487">
        <f>SUMIFS('GSTR-2A'!$M$6:$M$10000,'GSTR-2A'!$B$6:$B$10000,$C$5:$C$4995,'GSTR-2A'!$A$6:$A$10000,$AH$3)</f>
        <v>0</v>
      </c>
      <c r="AL120" s="488">
        <f>SUMIFS('GSTR-2A'!$N$6:$N$10000,'GSTR-2A'!$B$6:$B$10000,$C$5:$C$4995,'GSTR-2A'!$A$6:$A$10000,$AH$3)</f>
        <v>0</v>
      </c>
      <c r="AM120" s="486">
        <f>SUMIFS('GSTR-2A'!$G$6:$G$10000,'GSTR-2A'!$B$6:$B$10000,$C$5:$C$4995,'GSTR-2A'!$A$6:$A$10000,$AM$3)</f>
        <v>0</v>
      </c>
      <c r="AN120" s="487">
        <f>SUMIFS('GSTR-2A'!$K$6:$K$10000,'GSTR-2A'!$B$6:$B$10000,$C$5:$C$4995,'GSTR-2A'!$A$6:$A$10000,$AM$3)</f>
        <v>0</v>
      </c>
      <c r="AO120" s="487">
        <f>SUMIFS('GSTR-2A'!$L$6:$L$10000,'GSTR-2A'!$B$6:$B$10000,$C$5:$C$4995,'GSTR-2A'!$A$6:$A$10000,$AM$3)</f>
        <v>0</v>
      </c>
      <c r="AP120" s="487">
        <f>SUMIFS('GSTR-2A'!$M$6:$M$10000,'GSTR-2A'!$B$6:$B$10000,$C$5:$C$4995,'GSTR-2A'!$A$6:$A$10000,$AM$3)</f>
        <v>0</v>
      </c>
      <c r="AQ120" s="488">
        <f>SUMIFS('GSTR-2A'!$N$6:$N$10000,'GSTR-2A'!$B$6:$B$10000,$C$5:$C$4995,'GSTR-2A'!$A$6:$A$10000,$AM$3)</f>
        <v>0</v>
      </c>
      <c r="AR120" s="486">
        <f>SUMIFS('GSTR-2A'!$G$6:$G$10000,'GSTR-2A'!$B$6:$B$10000,$C$5:$C$4995,'GSTR-2A'!$A$6:$A$10000,$AR$3)</f>
        <v>0</v>
      </c>
      <c r="AS120" s="487">
        <f>SUMIFS('GSTR-2A'!$K$6:$K$10000,'GSTR-2A'!$B$6:$B$10000,$C$5:$C$4995,'GSTR-2A'!$A$6:$A$10000,$AR$3)</f>
        <v>0</v>
      </c>
      <c r="AT120" s="487">
        <f>SUMIFS('GSTR-2A'!$L$6:$L$10000,'GSTR-2A'!$B$6:$B$10000,$C$5:$C$4995,'GSTR-2A'!$A$6:$A$10000,$AR$3)</f>
        <v>0</v>
      </c>
      <c r="AU120" s="487">
        <f>SUMIFS('GSTR-2A'!$M$6:$M$10000,'GSTR-2A'!$B$6:$B$10000,$C$5:$C$4995,'GSTR-2A'!$A$6:$A$10000,$AR$3)</f>
        <v>0</v>
      </c>
      <c r="AV120" s="488">
        <f>SUMIFS('GSTR-2A'!$N$6:$N$10000,'GSTR-2A'!$B$6:$B$10000,$C$5:$C$4995,'GSTR-2A'!$A$6:$A$10000,$AR$3)</f>
        <v>0</v>
      </c>
      <c r="AW120" s="486">
        <f>SUMIFS('GSTR-2A'!$G$6:$G$10000,'GSTR-2A'!$B$6:$B$10000,$C$5:$C$4995,'GSTR-2A'!$A$6:$A$10000,$AW$3)</f>
        <v>0</v>
      </c>
      <c r="AX120" s="487">
        <f>SUMIFS('GSTR-2A'!$K$6:$K$10000,'GSTR-2A'!$B$6:$B$10000,$C$5:$C$4995,'GSTR-2A'!$A$6:$A$10000,$AW$3)</f>
        <v>0</v>
      </c>
      <c r="AY120" s="487">
        <f>SUMIFS('GSTR-2A'!$L$6:$L$10000,'GSTR-2A'!$B$6:$B$10000,$C$5:$C$4995,'GSTR-2A'!$A$6:$A$10000,$AW$3)</f>
        <v>0</v>
      </c>
      <c r="AZ120" s="487">
        <f>SUMIFS('GSTR-2A'!$M$6:$M$10000,'GSTR-2A'!$B$6:$B$10000,$C$5:$C$4995,'GSTR-2A'!$A$6:$A$10000,$AW$3)</f>
        <v>0</v>
      </c>
      <c r="BA120" s="488">
        <f>SUMIFS('GSTR-2A'!$N$6:$N$10000,'GSTR-2A'!$B$6:$B$10000,$C$5:$C$4995,'GSTR-2A'!$A$6:$A$10000,$AW$3)</f>
        <v>0</v>
      </c>
      <c r="BB120" s="486">
        <f>SUMIFS('GSTR-2A'!$G$6:$G$10000,'GSTR-2A'!$B$6:$B$10000,$C$5:$C$4995,'GSTR-2A'!$A$6:$A$10000,$BB$3)</f>
        <v>0</v>
      </c>
      <c r="BC120" s="487">
        <f>SUMIFS('GSTR-2A'!$K$6:$K$10000,'GSTR-2A'!$B$6:$B$10000,$C$5:$C$4995,'GSTR-2A'!$A$6:$A$10000,$BB$3)</f>
        <v>0</v>
      </c>
      <c r="BD120" s="487">
        <f>SUMIFS('GSTR-2A'!$L$6:$L$10000,'GSTR-2A'!$B$6:$B$10000,$C$5:$C$4995,'GSTR-2A'!$A$6:$A$10000,$BB$3)</f>
        <v>0</v>
      </c>
      <c r="BE120" s="487">
        <f>SUMIFS('GSTR-2A'!$M$6:$M$10000,'GSTR-2A'!$B$6:$B$10000,$C$5:$C$4995,'GSTR-2A'!$A$6:$A$10000,$BB$3)</f>
        <v>0</v>
      </c>
      <c r="BF120" s="488">
        <f>SUMIFS('GSTR-2A'!$N$6:$N$10000,'GSTR-2A'!$B$6:$B$10000,$C$5:$C$4995,'GSTR-2A'!$A$6:$A$10000,$BB$3)</f>
        <v>0</v>
      </c>
      <c r="BG120" s="486">
        <f>SUMIFS('GSTR-2A'!$G$6:$G$10000,'GSTR-2A'!$B$6:$B$10000,$C$5:$C$4995,'GSTR-2A'!$A$6:$A$10000,$BG$3)</f>
        <v>0</v>
      </c>
      <c r="BH120" s="487">
        <f>SUMIFS('GSTR-2A'!$K$6:$K$10000,'GSTR-2A'!$B$6:$B$10000,$C$5:$C$4995,'GSTR-2A'!$A$6:$A$10000,$BG$3)</f>
        <v>0</v>
      </c>
      <c r="BI120" s="487">
        <f>SUMIFS('GSTR-2A'!$L$6:$L$10000,'GSTR-2A'!$B$6:$B$10000,$C$5:$C$4995,'GSTR-2A'!$A$6:$A$10000,$BG$3)</f>
        <v>0</v>
      </c>
      <c r="BJ120" s="487">
        <f>SUMIFS('GSTR-2A'!$M$6:$M$10000,'GSTR-2A'!$B$6:$B$10000,$C$5:$C$4995,'GSTR-2A'!$A$6:$A$10000,$BG$3)</f>
        <v>0</v>
      </c>
      <c r="BK120" s="488">
        <f>SUMIFS('GSTR-2A'!$N$6:$N$10000,'GSTR-2A'!$B$6:$B$10000,$C$5:$C$4995,'GSTR-2A'!$A$6:$A$10000,$BG$3)</f>
        <v>0</v>
      </c>
      <c r="BL120" s="72">
        <f t="shared" si="7"/>
        <v>0</v>
      </c>
      <c r="BM120" s="72">
        <f t="shared" si="8"/>
        <v>0</v>
      </c>
      <c r="BN120" s="72">
        <f t="shared" si="9"/>
        <v>0</v>
      </c>
      <c r="BO120" s="72">
        <f t="shared" si="10"/>
        <v>0</v>
      </c>
      <c r="BP120" s="72">
        <f t="shared" si="11"/>
        <v>0</v>
      </c>
    </row>
    <row r="121" spans="1:68" x14ac:dyDescent="0.2">
      <c r="A121" s="467">
        <v>118</v>
      </c>
      <c r="B121" s="468" t="s">
        <v>517</v>
      </c>
      <c r="C121" s="469" t="s">
        <v>256</v>
      </c>
      <c r="D121" s="72">
        <f>SUMIFS('GSTR-2A'!$G$6:$G$10000,'GSTR-2A'!$B$6:$B$10000,$C$5:$C$4995,'GSTR-2A'!$A$6:$A$10000,$D$3)</f>
        <v>9508.2800000000007</v>
      </c>
      <c r="E121" s="72">
        <f>SUMIFS('GSTR-2A'!$K$6:$K$10000,'GSTR-2A'!$B$6:$B$10000,$C$5:$C$4995,'GSTR-2A'!$A$6:$A$10000,$D$3)</f>
        <v>7428.34</v>
      </c>
      <c r="F121" s="72">
        <f>SUMIFS('GSTR-2A'!$L$6:$L$10000,'GSTR-2A'!$B$6:$B$10000,$C$5:$C$4995,'GSTR-2A'!$A$6:$A$10000,$D$3)</f>
        <v>2079.94</v>
      </c>
      <c r="G121" s="72">
        <f>SUMIFS('GSTR-2A'!$M$6:$M$10000,'GSTR-2A'!$B$6:$B$10000,$C$5:$C$4995,'GSTR-2A'!$A$6:$A$10000,$D$3)</f>
        <v>0</v>
      </c>
      <c r="H121" s="72">
        <f>SUMIFS('GSTR-2A'!$N$6:$N$10000,'GSTR-2A'!$B$6:$B$10000,$C$5:$C$4995,'GSTR-2A'!$A$6:$A$10000,$D$3)</f>
        <v>0</v>
      </c>
      <c r="I121" s="486">
        <f>SUMIFS('GSTR-2A'!$G$6:$G$10000,'GSTR-2A'!$B$6:$B$10000,$C$5:$C$4995,'GSTR-2A'!$A$6:$A$10000,$I$3)</f>
        <v>139890.81</v>
      </c>
      <c r="J121" s="487">
        <f>SUMIFS('GSTR-2A'!$K$6:$K$10000,'GSTR-2A'!$B$6:$B$10000,$C$5:$C$4995,'GSTR-2A'!$A$6:$A$10000,$I$3)</f>
        <v>109289.70000000001</v>
      </c>
      <c r="K121" s="487">
        <f>SUMIFS('GSTR-2A'!$L$6:$L$10000,'GSTR-2A'!$B$6:$B$10000,$C$5:$C$4995,'GSTR-2A'!$A$6:$A$10000,$I$3)</f>
        <v>30601.11</v>
      </c>
      <c r="L121" s="487">
        <f>SUMIFS('GSTR-2A'!$M$6:$M$10000,'GSTR-2A'!$B$6:$B$10000,$C$5:$C$4995,'GSTR-2A'!$A$6:$A$10000,$I$3)</f>
        <v>0</v>
      </c>
      <c r="M121" s="488">
        <f>SUMIFS('GSTR-2A'!$N$6:$N$10000,'GSTR-2A'!$B$6:$B$10000,$C$5:$C$4995,'GSTR-2A'!$A$6:$A$10000,$I$3)</f>
        <v>0</v>
      </c>
      <c r="N121" s="486">
        <f>SUMIFS('GSTR-2A'!$G$6:$G$10000,'GSTR-2A'!$B$6:$B$10000,$C$5:$C$4995,'GSTR-2A'!$A$6:$A$10000,$N$3)</f>
        <v>107180.87000000001</v>
      </c>
      <c r="O121" s="487">
        <f>SUMIFS('GSTR-2A'!$K$6:$K$10000,'GSTR-2A'!$B$6:$B$10000,$C$5:$C$4995,'GSTR-2A'!$A$6:$A$10000,$N$3)</f>
        <v>83735.06</v>
      </c>
      <c r="P121" s="487">
        <f>SUMIFS('GSTR-2A'!$L$6:$L$10000,'GSTR-2A'!$B$6:$B$10000,$C$5:$C$4995,'GSTR-2A'!$A$6:$A$10000,$N$3)</f>
        <v>23445.820000000003</v>
      </c>
      <c r="Q121" s="487">
        <f>SUMIFS('GSTR-2A'!$M$6:$M$10000,'GSTR-2A'!$B$6:$B$10000,$C$5:$C$4995,'GSTR-2A'!$A$6:$A$10000,$N$3)</f>
        <v>0</v>
      </c>
      <c r="R121" s="488">
        <f>SUMIFS('GSTR-2A'!$N$6:$N$10000,'GSTR-2A'!$B$6:$B$10000,$C$5:$C$4995,'GSTR-2A'!$A$6:$A$10000,$N$3)</f>
        <v>0</v>
      </c>
      <c r="S121" s="486">
        <f>SUMIFS('GSTR-2A'!$G$6:$G$10000,'GSTR-2A'!$B$6:$B$10000,$C$5:$C$4995,'GSTR-2A'!$A$6:$A$10000,$S$3)</f>
        <v>71421.429999999993</v>
      </c>
      <c r="T121" s="487">
        <f>SUMIFS('GSTR-2A'!$K$6:$K$10000,'GSTR-2A'!$B$6:$B$10000,$C$5:$C$4995,'GSTR-2A'!$A$6:$A$10000,$S$3)</f>
        <v>55798</v>
      </c>
      <c r="U121" s="487">
        <f>SUMIFS('GSTR-2A'!$L$6:$L$10000,'GSTR-2A'!$B$6:$B$10000,$C$5:$C$4995,'GSTR-2A'!$A$6:$A$10000,$S$3)</f>
        <v>15623.439999999999</v>
      </c>
      <c r="V121" s="487">
        <f>SUMIFS('GSTR-2A'!$M$6:$M$10000,'GSTR-2A'!$B$6:$B$10000,$C$5:$C$4995,'GSTR-2A'!$A$6:$A$10000,$S$3)</f>
        <v>0</v>
      </c>
      <c r="W121" s="488">
        <f>SUMIFS('GSTR-2A'!$N$6:$N$10000,'GSTR-2A'!$B$6:$B$10000,$C$5:$C$4995,'GSTR-2A'!$A$6:$A$10000,$S$3)</f>
        <v>0</v>
      </c>
      <c r="X121" s="486">
        <f>SUMIFS('GSTR-2A'!$G$6:$G$10000,'GSTR-2A'!$B$6:$B$10000,$C$5:$C$4995,'GSTR-2A'!$A$6:$A$10000,$X$3)</f>
        <v>20079.55</v>
      </c>
      <c r="Y121" s="487">
        <f>SUMIFS('GSTR-2A'!$K$6:$K$10000,'GSTR-2A'!$B$6:$B$10000,$C$5:$C$4995,'GSTR-2A'!$A$6:$A$10000,$X$3)</f>
        <v>15687.15</v>
      </c>
      <c r="Z121" s="487">
        <f>SUMIFS('GSTR-2A'!$L$6:$L$10000,'GSTR-2A'!$B$6:$B$10000,$C$5:$C$4995,'GSTR-2A'!$A$6:$A$10000,$X$3)</f>
        <v>4392.3999999999996</v>
      </c>
      <c r="AA121" s="487">
        <f>SUMIFS('GSTR-2A'!$M$6:$M$10000,'GSTR-2A'!$B$6:$B$10000,$C$5:$C$4995,'GSTR-2A'!$A$6:$A$10000,$X$3)</f>
        <v>0</v>
      </c>
      <c r="AB121" s="488">
        <f>SUMIFS('GSTR-2A'!$N$6:$N$10000,'GSTR-2A'!$B$6:$B$10000,$C$5:$C$4995,'GSTR-2A'!$A$6:$A$10000,$X$3)</f>
        <v>0</v>
      </c>
      <c r="AC121" s="486">
        <f>SUMIFS('GSTR-2A'!$G$6:$G$10000,'GSTR-2A'!$B$6:$B$10000,$C$5:$C$4995,'GSTR-2A'!$A$6:$A$10000,$AC$3)</f>
        <v>233346.21000000002</v>
      </c>
      <c r="AD121" s="487">
        <f>SUMIFS('GSTR-2A'!$K$6:$K$10000,'GSTR-2A'!$B$6:$B$10000,$C$5:$C$4995,'GSTR-2A'!$A$6:$A$10000,$AC$3)</f>
        <v>182301.72</v>
      </c>
      <c r="AE121" s="487">
        <f>SUMIFS('GSTR-2A'!$L$6:$L$10000,'GSTR-2A'!$B$6:$B$10000,$C$5:$C$4995,'GSTR-2A'!$A$6:$A$10000,$AC$3)</f>
        <v>51044.479999999996</v>
      </c>
      <c r="AF121" s="487">
        <f>SUMIFS('GSTR-2A'!$M$6:$M$10000,'GSTR-2A'!$B$6:$B$10000,$C$5:$C$4995,'GSTR-2A'!$A$6:$A$10000,$AC$3)</f>
        <v>0</v>
      </c>
      <c r="AG121" s="488">
        <f>SUMIFS('GSTR-2A'!$N$6:$N$10000,'GSTR-2A'!$B$6:$B$10000,$C$5:$C$4995,'GSTR-2A'!$A$6:$A$10000,$AC$3)</f>
        <v>0</v>
      </c>
      <c r="AH121" s="486">
        <f>SUMIFS('GSTR-2A'!$G$6:$G$10000,'GSTR-2A'!$B$6:$B$10000,$C$5:$C$4995,'GSTR-2A'!$A$6:$A$10000,$AH$3)</f>
        <v>0</v>
      </c>
      <c r="AI121" s="487">
        <f>SUMIFS('GSTR-2A'!$K$6:$K$10000,'GSTR-2A'!$B$6:$B$10000,$C$5:$C$4995,'GSTR-2A'!$A$6:$A$10000,$AH$3)</f>
        <v>0</v>
      </c>
      <c r="AJ121" s="487">
        <f>SUMIFS('GSTR-2A'!$L$6:$L$10000,'GSTR-2A'!$B$6:$B$10000,$C$5:$C$4995,'GSTR-2A'!$A$6:$A$10000,$AH$3)</f>
        <v>0</v>
      </c>
      <c r="AK121" s="487">
        <f>SUMIFS('GSTR-2A'!$M$6:$M$10000,'GSTR-2A'!$B$6:$B$10000,$C$5:$C$4995,'GSTR-2A'!$A$6:$A$10000,$AH$3)</f>
        <v>0</v>
      </c>
      <c r="AL121" s="488">
        <f>SUMIFS('GSTR-2A'!$N$6:$N$10000,'GSTR-2A'!$B$6:$B$10000,$C$5:$C$4995,'GSTR-2A'!$A$6:$A$10000,$AH$3)</f>
        <v>0</v>
      </c>
      <c r="AM121" s="486">
        <f>SUMIFS('GSTR-2A'!$G$6:$G$10000,'GSTR-2A'!$B$6:$B$10000,$C$5:$C$4995,'GSTR-2A'!$A$6:$A$10000,$AM$3)</f>
        <v>0</v>
      </c>
      <c r="AN121" s="487">
        <f>SUMIFS('GSTR-2A'!$K$6:$K$10000,'GSTR-2A'!$B$6:$B$10000,$C$5:$C$4995,'GSTR-2A'!$A$6:$A$10000,$AM$3)</f>
        <v>0</v>
      </c>
      <c r="AO121" s="487">
        <f>SUMIFS('GSTR-2A'!$L$6:$L$10000,'GSTR-2A'!$B$6:$B$10000,$C$5:$C$4995,'GSTR-2A'!$A$6:$A$10000,$AM$3)</f>
        <v>0</v>
      </c>
      <c r="AP121" s="487">
        <f>SUMIFS('GSTR-2A'!$M$6:$M$10000,'GSTR-2A'!$B$6:$B$10000,$C$5:$C$4995,'GSTR-2A'!$A$6:$A$10000,$AM$3)</f>
        <v>0</v>
      </c>
      <c r="AQ121" s="488">
        <f>SUMIFS('GSTR-2A'!$N$6:$N$10000,'GSTR-2A'!$B$6:$B$10000,$C$5:$C$4995,'GSTR-2A'!$A$6:$A$10000,$AM$3)</f>
        <v>0</v>
      </c>
      <c r="AR121" s="486">
        <f>SUMIFS('GSTR-2A'!$G$6:$G$10000,'GSTR-2A'!$B$6:$B$10000,$C$5:$C$4995,'GSTR-2A'!$A$6:$A$10000,$AR$3)</f>
        <v>0</v>
      </c>
      <c r="AS121" s="487">
        <f>SUMIFS('GSTR-2A'!$K$6:$K$10000,'GSTR-2A'!$B$6:$B$10000,$C$5:$C$4995,'GSTR-2A'!$A$6:$A$10000,$AR$3)</f>
        <v>0</v>
      </c>
      <c r="AT121" s="487">
        <f>SUMIFS('GSTR-2A'!$L$6:$L$10000,'GSTR-2A'!$B$6:$B$10000,$C$5:$C$4995,'GSTR-2A'!$A$6:$A$10000,$AR$3)</f>
        <v>0</v>
      </c>
      <c r="AU121" s="487">
        <f>SUMIFS('GSTR-2A'!$M$6:$M$10000,'GSTR-2A'!$B$6:$B$10000,$C$5:$C$4995,'GSTR-2A'!$A$6:$A$10000,$AR$3)</f>
        <v>0</v>
      </c>
      <c r="AV121" s="488">
        <f>SUMIFS('GSTR-2A'!$N$6:$N$10000,'GSTR-2A'!$B$6:$B$10000,$C$5:$C$4995,'GSTR-2A'!$A$6:$A$10000,$AR$3)</f>
        <v>0</v>
      </c>
      <c r="AW121" s="486">
        <f>SUMIFS('GSTR-2A'!$G$6:$G$10000,'GSTR-2A'!$B$6:$B$10000,$C$5:$C$4995,'GSTR-2A'!$A$6:$A$10000,$AW$3)</f>
        <v>0</v>
      </c>
      <c r="AX121" s="487">
        <f>SUMIFS('GSTR-2A'!$K$6:$K$10000,'GSTR-2A'!$B$6:$B$10000,$C$5:$C$4995,'GSTR-2A'!$A$6:$A$10000,$AW$3)</f>
        <v>0</v>
      </c>
      <c r="AY121" s="487">
        <f>SUMIFS('GSTR-2A'!$L$6:$L$10000,'GSTR-2A'!$B$6:$B$10000,$C$5:$C$4995,'GSTR-2A'!$A$6:$A$10000,$AW$3)</f>
        <v>0</v>
      </c>
      <c r="AZ121" s="487">
        <f>SUMIFS('GSTR-2A'!$M$6:$M$10000,'GSTR-2A'!$B$6:$B$10000,$C$5:$C$4995,'GSTR-2A'!$A$6:$A$10000,$AW$3)</f>
        <v>0</v>
      </c>
      <c r="BA121" s="488">
        <f>SUMIFS('GSTR-2A'!$N$6:$N$10000,'GSTR-2A'!$B$6:$B$10000,$C$5:$C$4995,'GSTR-2A'!$A$6:$A$10000,$AW$3)</f>
        <v>0</v>
      </c>
      <c r="BB121" s="486">
        <f>SUMIFS('GSTR-2A'!$G$6:$G$10000,'GSTR-2A'!$B$6:$B$10000,$C$5:$C$4995,'GSTR-2A'!$A$6:$A$10000,$BB$3)</f>
        <v>0</v>
      </c>
      <c r="BC121" s="487">
        <f>SUMIFS('GSTR-2A'!$K$6:$K$10000,'GSTR-2A'!$B$6:$B$10000,$C$5:$C$4995,'GSTR-2A'!$A$6:$A$10000,$BB$3)</f>
        <v>0</v>
      </c>
      <c r="BD121" s="487">
        <f>SUMIFS('GSTR-2A'!$L$6:$L$10000,'GSTR-2A'!$B$6:$B$10000,$C$5:$C$4995,'GSTR-2A'!$A$6:$A$10000,$BB$3)</f>
        <v>0</v>
      </c>
      <c r="BE121" s="487">
        <f>SUMIFS('GSTR-2A'!$M$6:$M$10000,'GSTR-2A'!$B$6:$B$10000,$C$5:$C$4995,'GSTR-2A'!$A$6:$A$10000,$BB$3)</f>
        <v>0</v>
      </c>
      <c r="BF121" s="488">
        <f>SUMIFS('GSTR-2A'!$N$6:$N$10000,'GSTR-2A'!$B$6:$B$10000,$C$5:$C$4995,'GSTR-2A'!$A$6:$A$10000,$BB$3)</f>
        <v>0</v>
      </c>
      <c r="BG121" s="486">
        <f>SUMIFS('GSTR-2A'!$G$6:$G$10000,'GSTR-2A'!$B$6:$B$10000,$C$5:$C$4995,'GSTR-2A'!$A$6:$A$10000,$BG$3)</f>
        <v>0</v>
      </c>
      <c r="BH121" s="487">
        <f>SUMIFS('GSTR-2A'!$K$6:$K$10000,'GSTR-2A'!$B$6:$B$10000,$C$5:$C$4995,'GSTR-2A'!$A$6:$A$10000,$BG$3)</f>
        <v>0</v>
      </c>
      <c r="BI121" s="487">
        <f>SUMIFS('GSTR-2A'!$L$6:$L$10000,'GSTR-2A'!$B$6:$B$10000,$C$5:$C$4995,'GSTR-2A'!$A$6:$A$10000,$BG$3)</f>
        <v>0</v>
      </c>
      <c r="BJ121" s="487">
        <f>SUMIFS('GSTR-2A'!$M$6:$M$10000,'GSTR-2A'!$B$6:$B$10000,$C$5:$C$4995,'GSTR-2A'!$A$6:$A$10000,$BG$3)</f>
        <v>0</v>
      </c>
      <c r="BK121" s="488">
        <f>SUMIFS('GSTR-2A'!$N$6:$N$10000,'GSTR-2A'!$B$6:$B$10000,$C$5:$C$4995,'GSTR-2A'!$A$6:$A$10000,$BG$3)</f>
        <v>0</v>
      </c>
      <c r="BL121" s="72">
        <f t="shared" si="7"/>
        <v>581427.15</v>
      </c>
      <c r="BM121" s="72">
        <f t="shared" si="8"/>
        <v>454239.97</v>
      </c>
      <c r="BN121" s="72">
        <f t="shared" si="9"/>
        <v>127187.18999999999</v>
      </c>
      <c r="BO121" s="72">
        <f t="shared" si="10"/>
        <v>0</v>
      </c>
      <c r="BP121" s="72">
        <f t="shared" si="11"/>
        <v>0</v>
      </c>
    </row>
    <row r="122" spans="1:68" x14ac:dyDescent="0.2">
      <c r="A122" s="467">
        <v>119</v>
      </c>
      <c r="B122" s="468" t="s">
        <v>1166</v>
      </c>
      <c r="C122" s="469" t="s">
        <v>1167</v>
      </c>
      <c r="D122" s="72">
        <f>SUMIFS('GSTR-2A'!$G$6:$G$10000,'GSTR-2A'!$B$6:$B$10000,$C$5:$C$4995,'GSTR-2A'!$A$6:$A$10000,$D$3)</f>
        <v>0</v>
      </c>
      <c r="E122" s="72">
        <f>SUMIFS('GSTR-2A'!$K$6:$K$10000,'GSTR-2A'!$B$6:$B$10000,$C$5:$C$4995,'GSTR-2A'!$A$6:$A$10000,$D$3)</f>
        <v>0</v>
      </c>
      <c r="F122" s="72">
        <f>SUMIFS('GSTR-2A'!$L$6:$L$10000,'GSTR-2A'!$B$6:$B$10000,$C$5:$C$4995,'GSTR-2A'!$A$6:$A$10000,$D$3)</f>
        <v>0</v>
      </c>
      <c r="G122" s="72">
        <f>SUMIFS('GSTR-2A'!$M$6:$M$10000,'GSTR-2A'!$B$6:$B$10000,$C$5:$C$4995,'GSTR-2A'!$A$6:$A$10000,$D$3)</f>
        <v>0</v>
      </c>
      <c r="H122" s="72">
        <f>SUMIFS('GSTR-2A'!$N$6:$N$10000,'GSTR-2A'!$B$6:$B$10000,$C$5:$C$4995,'GSTR-2A'!$A$6:$A$10000,$D$3)</f>
        <v>0</v>
      </c>
      <c r="I122" s="486">
        <f>SUMIFS('GSTR-2A'!$G$6:$G$10000,'GSTR-2A'!$B$6:$B$10000,$C$5:$C$4995,'GSTR-2A'!$A$6:$A$10000,$I$3)</f>
        <v>0</v>
      </c>
      <c r="J122" s="487">
        <f>SUMIFS('GSTR-2A'!$K$6:$K$10000,'GSTR-2A'!$B$6:$B$10000,$C$5:$C$4995,'GSTR-2A'!$A$6:$A$10000,$I$3)</f>
        <v>0</v>
      </c>
      <c r="K122" s="487">
        <f>SUMIFS('GSTR-2A'!$L$6:$L$10000,'GSTR-2A'!$B$6:$B$10000,$C$5:$C$4995,'GSTR-2A'!$A$6:$A$10000,$I$3)</f>
        <v>0</v>
      </c>
      <c r="L122" s="487">
        <f>SUMIFS('GSTR-2A'!$M$6:$M$10000,'GSTR-2A'!$B$6:$B$10000,$C$5:$C$4995,'GSTR-2A'!$A$6:$A$10000,$I$3)</f>
        <v>0</v>
      </c>
      <c r="M122" s="488">
        <f>SUMIFS('GSTR-2A'!$N$6:$N$10000,'GSTR-2A'!$B$6:$B$10000,$C$5:$C$4995,'GSTR-2A'!$A$6:$A$10000,$I$3)</f>
        <v>0</v>
      </c>
      <c r="N122" s="486">
        <f>SUMIFS('GSTR-2A'!$G$6:$G$10000,'GSTR-2A'!$B$6:$B$10000,$C$5:$C$4995,'GSTR-2A'!$A$6:$A$10000,$N$3)</f>
        <v>0</v>
      </c>
      <c r="O122" s="487">
        <f>SUMIFS('GSTR-2A'!$K$6:$K$10000,'GSTR-2A'!$B$6:$B$10000,$C$5:$C$4995,'GSTR-2A'!$A$6:$A$10000,$N$3)</f>
        <v>0</v>
      </c>
      <c r="P122" s="487">
        <f>SUMIFS('GSTR-2A'!$L$6:$L$10000,'GSTR-2A'!$B$6:$B$10000,$C$5:$C$4995,'GSTR-2A'!$A$6:$A$10000,$N$3)</f>
        <v>0</v>
      </c>
      <c r="Q122" s="487">
        <f>SUMIFS('GSTR-2A'!$M$6:$M$10000,'GSTR-2A'!$B$6:$B$10000,$C$5:$C$4995,'GSTR-2A'!$A$6:$A$10000,$N$3)</f>
        <v>0</v>
      </c>
      <c r="R122" s="488">
        <f>SUMIFS('GSTR-2A'!$N$6:$N$10000,'GSTR-2A'!$B$6:$B$10000,$C$5:$C$4995,'GSTR-2A'!$A$6:$A$10000,$N$3)</f>
        <v>0</v>
      </c>
      <c r="S122" s="486">
        <f>SUMIFS('GSTR-2A'!$G$6:$G$10000,'GSTR-2A'!$B$6:$B$10000,$C$5:$C$4995,'GSTR-2A'!$A$6:$A$10000,$S$3)</f>
        <v>0</v>
      </c>
      <c r="T122" s="487">
        <f>SUMIFS('GSTR-2A'!$K$6:$K$10000,'GSTR-2A'!$B$6:$B$10000,$C$5:$C$4995,'GSTR-2A'!$A$6:$A$10000,$S$3)</f>
        <v>0</v>
      </c>
      <c r="U122" s="487">
        <f>SUMIFS('GSTR-2A'!$L$6:$L$10000,'GSTR-2A'!$B$6:$B$10000,$C$5:$C$4995,'GSTR-2A'!$A$6:$A$10000,$S$3)</f>
        <v>0</v>
      </c>
      <c r="V122" s="487">
        <f>SUMIFS('GSTR-2A'!$M$6:$M$10000,'GSTR-2A'!$B$6:$B$10000,$C$5:$C$4995,'GSTR-2A'!$A$6:$A$10000,$S$3)</f>
        <v>0</v>
      </c>
      <c r="W122" s="488">
        <f>SUMIFS('GSTR-2A'!$N$6:$N$10000,'GSTR-2A'!$B$6:$B$10000,$C$5:$C$4995,'GSTR-2A'!$A$6:$A$10000,$S$3)</f>
        <v>0</v>
      </c>
      <c r="X122" s="486">
        <f>SUMIFS('GSTR-2A'!$G$6:$G$10000,'GSTR-2A'!$B$6:$B$10000,$C$5:$C$4995,'GSTR-2A'!$A$6:$A$10000,$X$3)</f>
        <v>0</v>
      </c>
      <c r="Y122" s="487">
        <f>SUMIFS('GSTR-2A'!$K$6:$K$10000,'GSTR-2A'!$B$6:$B$10000,$C$5:$C$4995,'GSTR-2A'!$A$6:$A$10000,$X$3)</f>
        <v>0</v>
      </c>
      <c r="Z122" s="487">
        <f>SUMIFS('GSTR-2A'!$L$6:$L$10000,'GSTR-2A'!$B$6:$B$10000,$C$5:$C$4995,'GSTR-2A'!$A$6:$A$10000,$X$3)</f>
        <v>0</v>
      </c>
      <c r="AA122" s="487">
        <f>SUMIFS('GSTR-2A'!$M$6:$M$10000,'GSTR-2A'!$B$6:$B$10000,$C$5:$C$4995,'GSTR-2A'!$A$6:$A$10000,$X$3)</f>
        <v>0</v>
      </c>
      <c r="AB122" s="488">
        <f>SUMIFS('GSTR-2A'!$N$6:$N$10000,'GSTR-2A'!$B$6:$B$10000,$C$5:$C$4995,'GSTR-2A'!$A$6:$A$10000,$X$3)</f>
        <v>0</v>
      </c>
      <c r="AC122" s="486">
        <f>SUMIFS('GSTR-2A'!$G$6:$G$10000,'GSTR-2A'!$B$6:$B$10000,$C$5:$C$4995,'GSTR-2A'!$A$6:$A$10000,$AC$3)</f>
        <v>0</v>
      </c>
      <c r="AD122" s="487">
        <f>SUMIFS('GSTR-2A'!$K$6:$K$10000,'GSTR-2A'!$B$6:$B$10000,$C$5:$C$4995,'GSTR-2A'!$A$6:$A$10000,$AC$3)</f>
        <v>0</v>
      </c>
      <c r="AE122" s="487">
        <f>SUMIFS('GSTR-2A'!$L$6:$L$10000,'GSTR-2A'!$B$6:$B$10000,$C$5:$C$4995,'GSTR-2A'!$A$6:$A$10000,$AC$3)</f>
        <v>0</v>
      </c>
      <c r="AF122" s="487">
        <f>SUMIFS('GSTR-2A'!$M$6:$M$10000,'GSTR-2A'!$B$6:$B$10000,$C$5:$C$4995,'GSTR-2A'!$A$6:$A$10000,$AC$3)</f>
        <v>0</v>
      </c>
      <c r="AG122" s="488">
        <f>SUMIFS('GSTR-2A'!$N$6:$N$10000,'GSTR-2A'!$B$6:$B$10000,$C$5:$C$4995,'GSTR-2A'!$A$6:$A$10000,$AC$3)</f>
        <v>0</v>
      </c>
      <c r="AH122" s="486">
        <f>SUMIFS('GSTR-2A'!$G$6:$G$10000,'GSTR-2A'!$B$6:$B$10000,$C$5:$C$4995,'GSTR-2A'!$A$6:$A$10000,$AH$3)</f>
        <v>0</v>
      </c>
      <c r="AI122" s="487">
        <f>SUMIFS('GSTR-2A'!$K$6:$K$10000,'GSTR-2A'!$B$6:$B$10000,$C$5:$C$4995,'GSTR-2A'!$A$6:$A$10000,$AH$3)</f>
        <v>0</v>
      </c>
      <c r="AJ122" s="487">
        <f>SUMIFS('GSTR-2A'!$L$6:$L$10000,'GSTR-2A'!$B$6:$B$10000,$C$5:$C$4995,'GSTR-2A'!$A$6:$A$10000,$AH$3)</f>
        <v>0</v>
      </c>
      <c r="AK122" s="487">
        <f>SUMIFS('GSTR-2A'!$M$6:$M$10000,'GSTR-2A'!$B$6:$B$10000,$C$5:$C$4995,'GSTR-2A'!$A$6:$A$10000,$AH$3)</f>
        <v>0</v>
      </c>
      <c r="AL122" s="488">
        <f>SUMIFS('GSTR-2A'!$N$6:$N$10000,'GSTR-2A'!$B$6:$B$10000,$C$5:$C$4995,'GSTR-2A'!$A$6:$A$10000,$AH$3)</f>
        <v>0</v>
      </c>
      <c r="AM122" s="486">
        <f>SUMIFS('GSTR-2A'!$G$6:$G$10000,'GSTR-2A'!$B$6:$B$10000,$C$5:$C$4995,'GSTR-2A'!$A$6:$A$10000,$AM$3)</f>
        <v>0</v>
      </c>
      <c r="AN122" s="487">
        <f>SUMIFS('GSTR-2A'!$K$6:$K$10000,'GSTR-2A'!$B$6:$B$10000,$C$5:$C$4995,'GSTR-2A'!$A$6:$A$10000,$AM$3)</f>
        <v>0</v>
      </c>
      <c r="AO122" s="487">
        <f>SUMIFS('GSTR-2A'!$L$6:$L$10000,'GSTR-2A'!$B$6:$B$10000,$C$5:$C$4995,'GSTR-2A'!$A$6:$A$10000,$AM$3)</f>
        <v>0</v>
      </c>
      <c r="AP122" s="487">
        <f>SUMIFS('GSTR-2A'!$M$6:$M$10000,'GSTR-2A'!$B$6:$B$10000,$C$5:$C$4995,'GSTR-2A'!$A$6:$A$10000,$AM$3)</f>
        <v>0</v>
      </c>
      <c r="AQ122" s="488">
        <f>SUMIFS('GSTR-2A'!$N$6:$N$10000,'GSTR-2A'!$B$6:$B$10000,$C$5:$C$4995,'GSTR-2A'!$A$6:$A$10000,$AM$3)</f>
        <v>0</v>
      </c>
      <c r="AR122" s="486">
        <f>SUMIFS('GSTR-2A'!$G$6:$G$10000,'GSTR-2A'!$B$6:$B$10000,$C$5:$C$4995,'GSTR-2A'!$A$6:$A$10000,$AR$3)</f>
        <v>0</v>
      </c>
      <c r="AS122" s="487">
        <f>SUMIFS('GSTR-2A'!$K$6:$K$10000,'GSTR-2A'!$B$6:$B$10000,$C$5:$C$4995,'GSTR-2A'!$A$6:$A$10000,$AR$3)</f>
        <v>0</v>
      </c>
      <c r="AT122" s="487">
        <f>SUMIFS('GSTR-2A'!$L$6:$L$10000,'GSTR-2A'!$B$6:$B$10000,$C$5:$C$4995,'GSTR-2A'!$A$6:$A$10000,$AR$3)</f>
        <v>0</v>
      </c>
      <c r="AU122" s="487">
        <f>SUMIFS('GSTR-2A'!$M$6:$M$10000,'GSTR-2A'!$B$6:$B$10000,$C$5:$C$4995,'GSTR-2A'!$A$6:$A$10000,$AR$3)</f>
        <v>0</v>
      </c>
      <c r="AV122" s="488">
        <f>SUMIFS('GSTR-2A'!$N$6:$N$10000,'GSTR-2A'!$B$6:$B$10000,$C$5:$C$4995,'GSTR-2A'!$A$6:$A$10000,$AR$3)</f>
        <v>0</v>
      </c>
      <c r="AW122" s="486">
        <f>SUMIFS('GSTR-2A'!$G$6:$G$10000,'GSTR-2A'!$B$6:$B$10000,$C$5:$C$4995,'GSTR-2A'!$A$6:$A$10000,$AW$3)</f>
        <v>0</v>
      </c>
      <c r="AX122" s="487">
        <f>SUMIFS('GSTR-2A'!$K$6:$K$10000,'GSTR-2A'!$B$6:$B$10000,$C$5:$C$4995,'GSTR-2A'!$A$6:$A$10000,$AW$3)</f>
        <v>0</v>
      </c>
      <c r="AY122" s="487">
        <f>SUMIFS('GSTR-2A'!$L$6:$L$10000,'GSTR-2A'!$B$6:$B$10000,$C$5:$C$4995,'GSTR-2A'!$A$6:$A$10000,$AW$3)</f>
        <v>0</v>
      </c>
      <c r="AZ122" s="487">
        <f>SUMIFS('GSTR-2A'!$M$6:$M$10000,'GSTR-2A'!$B$6:$B$10000,$C$5:$C$4995,'GSTR-2A'!$A$6:$A$10000,$AW$3)</f>
        <v>0</v>
      </c>
      <c r="BA122" s="488">
        <f>SUMIFS('GSTR-2A'!$N$6:$N$10000,'GSTR-2A'!$B$6:$B$10000,$C$5:$C$4995,'GSTR-2A'!$A$6:$A$10000,$AW$3)</f>
        <v>0</v>
      </c>
      <c r="BB122" s="486">
        <f>SUMIFS('GSTR-2A'!$G$6:$G$10000,'GSTR-2A'!$B$6:$B$10000,$C$5:$C$4995,'GSTR-2A'!$A$6:$A$10000,$BB$3)</f>
        <v>0</v>
      </c>
      <c r="BC122" s="487">
        <f>SUMIFS('GSTR-2A'!$K$6:$K$10000,'GSTR-2A'!$B$6:$B$10000,$C$5:$C$4995,'GSTR-2A'!$A$6:$A$10000,$BB$3)</f>
        <v>0</v>
      </c>
      <c r="BD122" s="487">
        <f>SUMIFS('GSTR-2A'!$L$6:$L$10000,'GSTR-2A'!$B$6:$B$10000,$C$5:$C$4995,'GSTR-2A'!$A$6:$A$10000,$BB$3)</f>
        <v>0</v>
      </c>
      <c r="BE122" s="487">
        <f>SUMIFS('GSTR-2A'!$M$6:$M$10000,'GSTR-2A'!$B$6:$B$10000,$C$5:$C$4995,'GSTR-2A'!$A$6:$A$10000,$BB$3)</f>
        <v>0</v>
      </c>
      <c r="BF122" s="488">
        <f>SUMIFS('GSTR-2A'!$N$6:$N$10000,'GSTR-2A'!$B$6:$B$10000,$C$5:$C$4995,'GSTR-2A'!$A$6:$A$10000,$BB$3)</f>
        <v>0</v>
      </c>
      <c r="BG122" s="486">
        <f>SUMIFS('GSTR-2A'!$G$6:$G$10000,'GSTR-2A'!$B$6:$B$10000,$C$5:$C$4995,'GSTR-2A'!$A$6:$A$10000,$BG$3)</f>
        <v>0</v>
      </c>
      <c r="BH122" s="487">
        <f>SUMIFS('GSTR-2A'!$K$6:$K$10000,'GSTR-2A'!$B$6:$B$10000,$C$5:$C$4995,'GSTR-2A'!$A$6:$A$10000,$BG$3)</f>
        <v>0</v>
      </c>
      <c r="BI122" s="487">
        <f>SUMIFS('GSTR-2A'!$L$6:$L$10000,'GSTR-2A'!$B$6:$B$10000,$C$5:$C$4995,'GSTR-2A'!$A$6:$A$10000,$BG$3)</f>
        <v>0</v>
      </c>
      <c r="BJ122" s="487">
        <f>SUMIFS('GSTR-2A'!$M$6:$M$10000,'GSTR-2A'!$B$6:$B$10000,$C$5:$C$4995,'GSTR-2A'!$A$6:$A$10000,$BG$3)</f>
        <v>0</v>
      </c>
      <c r="BK122" s="488">
        <f>SUMIFS('GSTR-2A'!$N$6:$N$10000,'GSTR-2A'!$B$6:$B$10000,$C$5:$C$4995,'GSTR-2A'!$A$6:$A$10000,$BG$3)</f>
        <v>0</v>
      </c>
      <c r="BL122" s="72">
        <f t="shared" si="7"/>
        <v>0</v>
      </c>
      <c r="BM122" s="72">
        <f t="shared" si="8"/>
        <v>0</v>
      </c>
      <c r="BN122" s="72">
        <f t="shared" si="9"/>
        <v>0</v>
      </c>
      <c r="BO122" s="72">
        <f t="shared" si="10"/>
        <v>0</v>
      </c>
      <c r="BP122" s="72">
        <f t="shared" si="11"/>
        <v>0</v>
      </c>
    </row>
    <row r="123" spans="1:68" x14ac:dyDescent="0.2">
      <c r="A123" s="467">
        <v>120</v>
      </c>
      <c r="B123" s="468" t="s">
        <v>892</v>
      </c>
      <c r="C123" s="469" t="s">
        <v>893</v>
      </c>
      <c r="D123" s="72">
        <f>SUMIFS('GSTR-2A'!$G$6:$G$10000,'GSTR-2A'!$B$6:$B$10000,$C$5:$C$4995,'GSTR-2A'!$A$6:$A$10000,$D$3)</f>
        <v>0</v>
      </c>
      <c r="E123" s="72">
        <f>SUMIFS('GSTR-2A'!$K$6:$K$10000,'GSTR-2A'!$B$6:$B$10000,$C$5:$C$4995,'GSTR-2A'!$A$6:$A$10000,$D$3)</f>
        <v>0</v>
      </c>
      <c r="F123" s="72">
        <f>SUMIFS('GSTR-2A'!$L$6:$L$10000,'GSTR-2A'!$B$6:$B$10000,$C$5:$C$4995,'GSTR-2A'!$A$6:$A$10000,$D$3)</f>
        <v>0</v>
      </c>
      <c r="G123" s="72">
        <f>SUMIFS('GSTR-2A'!$M$6:$M$10000,'GSTR-2A'!$B$6:$B$10000,$C$5:$C$4995,'GSTR-2A'!$A$6:$A$10000,$D$3)</f>
        <v>0</v>
      </c>
      <c r="H123" s="72">
        <f>SUMIFS('GSTR-2A'!$N$6:$N$10000,'GSTR-2A'!$B$6:$B$10000,$C$5:$C$4995,'GSTR-2A'!$A$6:$A$10000,$D$3)</f>
        <v>0</v>
      </c>
      <c r="I123" s="486">
        <f>SUMIFS('GSTR-2A'!$G$6:$G$10000,'GSTR-2A'!$B$6:$B$10000,$C$5:$C$4995,'GSTR-2A'!$A$6:$A$10000,$I$3)</f>
        <v>0</v>
      </c>
      <c r="J123" s="487">
        <f>SUMIFS('GSTR-2A'!$K$6:$K$10000,'GSTR-2A'!$B$6:$B$10000,$C$5:$C$4995,'GSTR-2A'!$A$6:$A$10000,$I$3)</f>
        <v>0</v>
      </c>
      <c r="K123" s="487">
        <f>SUMIFS('GSTR-2A'!$L$6:$L$10000,'GSTR-2A'!$B$6:$B$10000,$C$5:$C$4995,'GSTR-2A'!$A$6:$A$10000,$I$3)</f>
        <v>0</v>
      </c>
      <c r="L123" s="487">
        <f>SUMIFS('GSTR-2A'!$M$6:$M$10000,'GSTR-2A'!$B$6:$B$10000,$C$5:$C$4995,'GSTR-2A'!$A$6:$A$10000,$I$3)</f>
        <v>0</v>
      </c>
      <c r="M123" s="488">
        <f>SUMIFS('GSTR-2A'!$N$6:$N$10000,'GSTR-2A'!$B$6:$B$10000,$C$5:$C$4995,'GSTR-2A'!$A$6:$A$10000,$I$3)</f>
        <v>0</v>
      </c>
      <c r="N123" s="486">
        <f>SUMIFS('GSTR-2A'!$G$6:$G$10000,'GSTR-2A'!$B$6:$B$10000,$C$5:$C$4995,'GSTR-2A'!$A$6:$A$10000,$N$3)</f>
        <v>0</v>
      </c>
      <c r="O123" s="487">
        <f>SUMIFS('GSTR-2A'!$K$6:$K$10000,'GSTR-2A'!$B$6:$B$10000,$C$5:$C$4995,'GSTR-2A'!$A$6:$A$10000,$N$3)</f>
        <v>0</v>
      </c>
      <c r="P123" s="487">
        <f>SUMIFS('GSTR-2A'!$L$6:$L$10000,'GSTR-2A'!$B$6:$B$10000,$C$5:$C$4995,'GSTR-2A'!$A$6:$A$10000,$N$3)</f>
        <v>0</v>
      </c>
      <c r="Q123" s="487">
        <f>SUMIFS('GSTR-2A'!$M$6:$M$10000,'GSTR-2A'!$B$6:$B$10000,$C$5:$C$4995,'GSTR-2A'!$A$6:$A$10000,$N$3)</f>
        <v>0</v>
      </c>
      <c r="R123" s="488">
        <f>SUMIFS('GSTR-2A'!$N$6:$N$10000,'GSTR-2A'!$B$6:$B$10000,$C$5:$C$4995,'GSTR-2A'!$A$6:$A$10000,$N$3)</f>
        <v>0</v>
      </c>
      <c r="S123" s="486">
        <f>SUMIFS('GSTR-2A'!$G$6:$G$10000,'GSTR-2A'!$B$6:$B$10000,$C$5:$C$4995,'GSTR-2A'!$A$6:$A$10000,$S$3)</f>
        <v>0</v>
      </c>
      <c r="T123" s="487">
        <f>SUMIFS('GSTR-2A'!$K$6:$K$10000,'GSTR-2A'!$B$6:$B$10000,$C$5:$C$4995,'GSTR-2A'!$A$6:$A$10000,$S$3)</f>
        <v>0</v>
      </c>
      <c r="U123" s="487">
        <f>SUMIFS('GSTR-2A'!$L$6:$L$10000,'GSTR-2A'!$B$6:$B$10000,$C$5:$C$4995,'GSTR-2A'!$A$6:$A$10000,$S$3)</f>
        <v>0</v>
      </c>
      <c r="V123" s="487">
        <f>SUMIFS('GSTR-2A'!$M$6:$M$10000,'GSTR-2A'!$B$6:$B$10000,$C$5:$C$4995,'GSTR-2A'!$A$6:$A$10000,$S$3)</f>
        <v>0</v>
      </c>
      <c r="W123" s="488">
        <f>SUMIFS('GSTR-2A'!$N$6:$N$10000,'GSTR-2A'!$B$6:$B$10000,$C$5:$C$4995,'GSTR-2A'!$A$6:$A$10000,$S$3)</f>
        <v>0</v>
      </c>
      <c r="X123" s="486">
        <f>SUMIFS('GSTR-2A'!$G$6:$G$10000,'GSTR-2A'!$B$6:$B$10000,$C$5:$C$4995,'GSTR-2A'!$A$6:$A$10000,$X$3)</f>
        <v>11800</v>
      </c>
      <c r="Y123" s="487">
        <f>SUMIFS('GSTR-2A'!$K$6:$K$10000,'GSTR-2A'!$B$6:$B$10000,$C$5:$C$4995,'GSTR-2A'!$A$6:$A$10000,$X$3)</f>
        <v>10000</v>
      </c>
      <c r="Z123" s="487">
        <f>SUMIFS('GSTR-2A'!$L$6:$L$10000,'GSTR-2A'!$B$6:$B$10000,$C$5:$C$4995,'GSTR-2A'!$A$6:$A$10000,$X$3)</f>
        <v>0</v>
      </c>
      <c r="AA123" s="487">
        <f>SUMIFS('GSTR-2A'!$M$6:$M$10000,'GSTR-2A'!$B$6:$B$10000,$C$5:$C$4995,'GSTR-2A'!$A$6:$A$10000,$X$3)</f>
        <v>900</v>
      </c>
      <c r="AB123" s="488">
        <f>SUMIFS('GSTR-2A'!$N$6:$N$10000,'GSTR-2A'!$B$6:$B$10000,$C$5:$C$4995,'GSTR-2A'!$A$6:$A$10000,$X$3)</f>
        <v>900</v>
      </c>
      <c r="AC123" s="486">
        <f>SUMIFS('GSTR-2A'!$G$6:$G$10000,'GSTR-2A'!$B$6:$B$10000,$C$5:$C$4995,'GSTR-2A'!$A$6:$A$10000,$AC$3)</f>
        <v>0</v>
      </c>
      <c r="AD123" s="487">
        <f>SUMIFS('GSTR-2A'!$K$6:$K$10000,'GSTR-2A'!$B$6:$B$10000,$C$5:$C$4995,'GSTR-2A'!$A$6:$A$10000,$AC$3)</f>
        <v>0</v>
      </c>
      <c r="AE123" s="487">
        <f>SUMIFS('GSTR-2A'!$L$6:$L$10000,'GSTR-2A'!$B$6:$B$10000,$C$5:$C$4995,'GSTR-2A'!$A$6:$A$10000,$AC$3)</f>
        <v>0</v>
      </c>
      <c r="AF123" s="487">
        <f>SUMIFS('GSTR-2A'!$M$6:$M$10000,'GSTR-2A'!$B$6:$B$10000,$C$5:$C$4995,'GSTR-2A'!$A$6:$A$10000,$AC$3)</f>
        <v>0</v>
      </c>
      <c r="AG123" s="488">
        <f>SUMIFS('GSTR-2A'!$N$6:$N$10000,'GSTR-2A'!$B$6:$B$10000,$C$5:$C$4995,'GSTR-2A'!$A$6:$A$10000,$AC$3)</f>
        <v>0</v>
      </c>
      <c r="AH123" s="486">
        <f>SUMIFS('GSTR-2A'!$G$6:$G$10000,'GSTR-2A'!$B$6:$B$10000,$C$5:$C$4995,'GSTR-2A'!$A$6:$A$10000,$AH$3)</f>
        <v>0</v>
      </c>
      <c r="AI123" s="487">
        <f>SUMIFS('GSTR-2A'!$K$6:$K$10000,'GSTR-2A'!$B$6:$B$10000,$C$5:$C$4995,'GSTR-2A'!$A$6:$A$10000,$AH$3)</f>
        <v>0</v>
      </c>
      <c r="AJ123" s="487">
        <f>SUMIFS('GSTR-2A'!$L$6:$L$10000,'GSTR-2A'!$B$6:$B$10000,$C$5:$C$4995,'GSTR-2A'!$A$6:$A$10000,$AH$3)</f>
        <v>0</v>
      </c>
      <c r="AK123" s="487">
        <f>SUMIFS('GSTR-2A'!$M$6:$M$10000,'GSTR-2A'!$B$6:$B$10000,$C$5:$C$4995,'GSTR-2A'!$A$6:$A$10000,$AH$3)</f>
        <v>0</v>
      </c>
      <c r="AL123" s="488">
        <f>SUMIFS('GSTR-2A'!$N$6:$N$10000,'GSTR-2A'!$B$6:$B$10000,$C$5:$C$4995,'GSTR-2A'!$A$6:$A$10000,$AH$3)</f>
        <v>0</v>
      </c>
      <c r="AM123" s="486">
        <f>SUMIFS('GSTR-2A'!$G$6:$G$10000,'GSTR-2A'!$B$6:$B$10000,$C$5:$C$4995,'GSTR-2A'!$A$6:$A$10000,$AM$3)</f>
        <v>0</v>
      </c>
      <c r="AN123" s="487">
        <f>SUMIFS('GSTR-2A'!$K$6:$K$10000,'GSTR-2A'!$B$6:$B$10000,$C$5:$C$4995,'GSTR-2A'!$A$6:$A$10000,$AM$3)</f>
        <v>0</v>
      </c>
      <c r="AO123" s="487">
        <f>SUMIFS('GSTR-2A'!$L$6:$L$10000,'GSTR-2A'!$B$6:$B$10000,$C$5:$C$4995,'GSTR-2A'!$A$6:$A$10000,$AM$3)</f>
        <v>0</v>
      </c>
      <c r="AP123" s="487">
        <f>SUMIFS('GSTR-2A'!$M$6:$M$10000,'GSTR-2A'!$B$6:$B$10000,$C$5:$C$4995,'GSTR-2A'!$A$6:$A$10000,$AM$3)</f>
        <v>0</v>
      </c>
      <c r="AQ123" s="488">
        <f>SUMIFS('GSTR-2A'!$N$6:$N$10000,'GSTR-2A'!$B$6:$B$10000,$C$5:$C$4995,'GSTR-2A'!$A$6:$A$10000,$AM$3)</f>
        <v>0</v>
      </c>
      <c r="AR123" s="486">
        <f>SUMIFS('GSTR-2A'!$G$6:$G$10000,'GSTR-2A'!$B$6:$B$10000,$C$5:$C$4995,'GSTR-2A'!$A$6:$A$10000,$AR$3)</f>
        <v>0</v>
      </c>
      <c r="AS123" s="487">
        <f>SUMIFS('GSTR-2A'!$K$6:$K$10000,'GSTR-2A'!$B$6:$B$10000,$C$5:$C$4995,'GSTR-2A'!$A$6:$A$10000,$AR$3)</f>
        <v>0</v>
      </c>
      <c r="AT123" s="487">
        <f>SUMIFS('GSTR-2A'!$L$6:$L$10000,'GSTR-2A'!$B$6:$B$10000,$C$5:$C$4995,'GSTR-2A'!$A$6:$A$10000,$AR$3)</f>
        <v>0</v>
      </c>
      <c r="AU123" s="487">
        <f>SUMIFS('GSTR-2A'!$M$6:$M$10000,'GSTR-2A'!$B$6:$B$10000,$C$5:$C$4995,'GSTR-2A'!$A$6:$A$10000,$AR$3)</f>
        <v>0</v>
      </c>
      <c r="AV123" s="488">
        <f>SUMIFS('GSTR-2A'!$N$6:$N$10000,'GSTR-2A'!$B$6:$B$10000,$C$5:$C$4995,'GSTR-2A'!$A$6:$A$10000,$AR$3)</f>
        <v>0</v>
      </c>
      <c r="AW123" s="486">
        <f>SUMIFS('GSTR-2A'!$G$6:$G$10000,'GSTR-2A'!$B$6:$B$10000,$C$5:$C$4995,'GSTR-2A'!$A$6:$A$10000,$AW$3)</f>
        <v>0</v>
      </c>
      <c r="AX123" s="487">
        <f>SUMIFS('GSTR-2A'!$K$6:$K$10000,'GSTR-2A'!$B$6:$B$10000,$C$5:$C$4995,'GSTR-2A'!$A$6:$A$10000,$AW$3)</f>
        <v>0</v>
      </c>
      <c r="AY123" s="487">
        <f>SUMIFS('GSTR-2A'!$L$6:$L$10000,'GSTR-2A'!$B$6:$B$10000,$C$5:$C$4995,'GSTR-2A'!$A$6:$A$10000,$AW$3)</f>
        <v>0</v>
      </c>
      <c r="AZ123" s="487">
        <f>SUMIFS('GSTR-2A'!$M$6:$M$10000,'GSTR-2A'!$B$6:$B$10000,$C$5:$C$4995,'GSTR-2A'!$A$6:$A$10000,$AW$3)</f>
        <v>0</v>
      </c>
      <c r="BA123" s="488">
        <f>SUMIFS('GSTR-2A'!$N$6:$N$10000,'GSTR-2A'!$B$6:$B$10000,$C$5:$C$4995,'GSTR-2A'!$A$6:$A$10000,$AW$3)</f>
        <v>0</v>
      </c>
      <c r="BB123" s="486">
        <f>SUMIFS('GSTR-2A'!$G$6:$G$10000,'GSTR-2A'!$B$6:$B$10000,$C$5:$C$4995,'GSTR-2A'!$A$6:$A$10000,$BB$3)</f>
        <v>0</v>
      </c>
      <c r="BC123" s="487">
        <f>SUMIFS('GSTR-2A'!$K$6:$K$10000,'GSTR-2A'!$B$6:$B$10000,$C$5:$C$4995,'GSTR-2A'!$A$6:$A$10000,$BB$3)</f>
        <v>0</v>
      </c>
      <c r="BD123" s="487">
        <f>SUMIFS('GSTR-2A'!$L$6:$L$10000,'GSTR-2A'!$B$6:$B$10000,$C$5:$C$4995,'GSTR-2A'!$A$6:$A$10000,$BB$3)</f>
        <v>0</v>
      </c>
      <c r="BE123" s="487">
        <f>SUMIFS('GSTR-2A'!$M$6:$M$10000,'GSTR-2A'!$B$6:$B$10000,$C$5:$C$4995,'GSTR-2A'!$A$6:$A$10000,$BB$3)</f>
        <v>0</v>
      </c>
      <c r="BF123" s="488">
        <f>SUMIFS('GSTR-2A'!$N$6:$N$10000,'GSTR-2A'!$B$6:$B$10000,$C$5:$C$4995,'GSTR-2A'!$A$6:$A$10000,$BB$3)</f>
        <v>0</v>
      </c>
      <c r="BG123" s="486">
        <f>SUMIFS('GSTR-2A'!$G$6:$G$10000,'GSTR-2A'!$B$6:$B$10000,$C$5:$C$4995,'GSTR-2A'!$A$6:$A$10000,$BG$3)</f>
        <v>0</v>
      </c>
      <c r="BH123" s="487">
        <f>SUMIFS('GSTR-2A'!$K$6:$K$10000,'GSTR-2A'!$B$6:$B$10000,$C$5:$C$4995,'GSTR-2A'!$A$6:$A$10000,$BG$3)</f>
        <v>0</v>
      </c>
      <c r="BI123" s="487">
        <f>SUMIFS('GSTR-2A'!$L$6:$L$10000,'GSTR-2A'!$B$6:$B$10000,$C$5:$C$4995,'GSTR-2A'!$A$6:$A$10000,$BG$3)</f>
        <v>0</v>
      </c>
      <c r="BJ123" s="487">
        <f>SUMIFS('GSTR-2A'!$M$6:$M$10000,'GSTR-2A'!$B$6:$B$10000,$C$5:$C$4995,'GSTR-2A'!$A$6:$A$10000,$BG$3)</f>
        <v>0</v>
      </c>
      <c r="BK123" s="488">
        <f>SUMIFS('GSTR-2A'!$N$6:$N$10000,'GSTR-2A'!$B$6:$B$10000,$C$5:$C$4995,'GSTR-2A'!$A$6:$A$10000,$BG$3)</f>
        <v>0</v>
      </c>
      <c r="BL123" s="72">
        <f t="shared" si="7"/>
        <v>11800</v>
      </c>
      <c r="BM123" s="72">
        <f t="shared" si="8"/>
        <v>10000</v>
      </c>
      <c r="BN123" s="72">
        <f t="shared" si="9"/>
        <v>0</v>
      </c>
      <c r="BO123" s="72">
        <f t="shared" si="10"/>
        <v>900</v>
      </c>
      <c r="BP123" s="72">
        <f t="shared" si="11"/>
        <v>900</v>
      </c>
    </row>
    <row r="124" spans="1:68" x14ac:dyDescent="0.2">
      <c r="A124" s="467">
        <v>121</v>
      </c>
      <c r="B124" s="468" t="s">
        <v>1168</v>
      </c>
      <c r="C124" s="468" t="s">
        <v>1169</v>
      </c>
      <c r="D124" s="72">
        <f>SUMIFS('GSTR-2A'!$G$6:$G$10000,'GSTR-2A'!$B$6:$B$10000,$C$5:$C$4995,'GSTR-2A'!$A$6:$A$10000,$D$3)</f>
        <v>0</v>
      </c>
      <c r="E124" s="72">
        <f>SUMIFS('GSTR-2A'!$K$6:$K$10000,'GSTR-2A'!$B$6:$B$10000,$C$5:$C$4995,'GSTR-2A'!$A$6:$A$10000,$D$3)</f>
        <v>0</v>
      </c>
      <c r="F124" s="72">
        <f>SUMIFS('GSTR-2A'!$L$6:$L$10000,'GSTR-2A'!$B$6:$B$10000,$C$5:$C$4995,'GSTR-2A'!$A$6:$A$10000,$D$3)</f>
        <v>0</v>
      </c>
      <c r="G124" s="72">
        <f>SUMIFS('GSTR-2A'!$M$6:$M$10000,'GSTR-2A'!$B$6:$B$10000,$C$5:$C$4995,'GSTR-2A'!$A$6:$A$10000,$D$3)</f>
        <v>0</v>
      </c>
      <c r="H124" s="72">
        <f>SUMIFS('GSTR-2A'!$N$6:$N$10000,'GSTR-2A'!$B$6:$B$10000,$C$5:$C$4995,'GSTR-2A'!$A$6:$A$10000,$D$3)</f>
        <v>0</v>
      </c>
      <c r="I124" s="486">
        <f>SUMIFS('GSTR-2A'!$G$6:$G$10000,'GSTR-2A'!$B$6:$B$10000,$C$5:$C$4995,'GSTR-2A'!$A$6:$A$10000,$I$3)</f>
        <v>0</v>
      </c>
      <c r="J124" s="487">
        <f>SUMIFS('GSTR-2A'!$K$6:$K$10000,'GSTR-2A'!$B$6:$B$10000,$C$5:$C$4995,'GSTR-2A'!$A$6:$A$10000,$I$3)</f>
        <v>0</v>
      </c>
      <c r="K124" s="487">
        <f>SUMIFS('GSTR-2A'!$L$6:$L$10000,'GSTR-2A'!$B$6:$B$10000,$C$5:$C$4995,'GSTR-2A'!$A$6:$A$10000,$I$3)</f>
        <v>0</v>
      </c>
      <c r="L124" s="487">
        <f>SUMIFS('GSTR-2A'!$M$6:$M$10000,'GSTR-2A'!$B$6:$B$10000,$C$5:$C$4995,'GSTR-2A'!$A$6:$A$10000,$I$3)</f>
        <v>0</v>
      </c>
      <c r="M124" s="488">
        <f>SUMIFS('GSTR-2A'!$N$6:$N$10000,'GSTR-2A'!$B$6:$B$10000,$C$5:$C$4995,'GSTR-2A'!$A$6:$A$10000,$I$3)</f>
        <v>0</v>
      </c>
      <c r="N124" s="486">
        <f>SUMIFS('GSTR-2A'!$G$6:$G$10000,'GSTR-2A'!$B$6:$B$10000,$C$5:$C$4995,'GSTR-2A'!$A$6:$A$10000,$N$3)</f>
        <v>0</v>
      </c>
      <c r="O124" s="487">
        <f>SUMIFS('GSTR-2A'!$K$6:$K$10000,'GSTR-2A'!$B$6:$B$10000,$C$5:$C$4995,'GSTR-2A'!$A$6:$A$10000,$N$3)</f>
        <v>0</v>
      </c>
      <c r="P124" s="487">
        <f>SUMIFS('GSTR-2A'!$L$6:$L$10000,'GSTR-2A'!$B$6:$B$10000,$C$5:$C$4995,'GSTR-2A'!$A$6:$A$10000,$N$3)</f>
        <v>0</v>
      </c>
      <c r="Q124" s="487">
        <f>SUMIFS('GSTR-2A'!$M$6:$M$10000,'GSTR-2A'!$B$6:$B$10000,$C$5:$C$4995,'GSTR-2A'!$A$6:$A$10000,$N$3)</f>
        <v>0</v>
      </c>
      <c r="R124" s="488">
        <f>SUMIFS('GSTR-2A'!$N$6:$N$10000,'GSTR-2A'!$B$6:$B$10000,$C$5:$C$4995,'GSTR-2A'!$A$6:$A$10000,$N$3)</f>
        <v>0</v>
      </c>
      <c r="S124" s="486">
        <f>SUMIFS('GSTR-2A'!$G$6:$G$10000,'GSTR-2A'!$B$6:$B$10000,$C$5:$C$4995,'GSTR-2A'!$A$6:$A$10000,$S$3)</f>
        <v>0</v>
      </c>
      <c r="T124" s="487">
        <f>SUMIFS('GSTR-2A'!$K$6:$K$10000,'GSTR-2A'!$B$6:$B$10000,$C$5:$C$4995,'GSTR-2A'!$A$6:$A$10000,$S$3)</f>
        <v>0</v>
      </c>
      <c r="U124" s="487">
        <f>SUMIFS('GSTR-2A'!$L$6:$L$10000,'GSTR-2A'!$B$6:$B$10000,$C$5:$C$4995,'GSTR-2A'!$A$6:$A$10000,$S$3)</f>
        <v>0</v>
      </c>
      <c r="V124" s="487">
        <f>SUMIFS('GSTR-2A'!$M$6:$M$10000,'GSTR-2A'!$B$6:$B$10000,$C$5:$C$4995,'GSTR-2A'!$A$6:$A$10000,$S$3)</f>
        <v>0</v>
      </c>
      <c r="W124" s="488">
        <f>SUMIFS('GSTR-2A'!$N$6:$N$10000,'GSTR-2A'!$B$6:$B$10000,$C$5:$C$4995,'GSTR-2A'!$A$6:$A$10000,$S$3)</f>
        <v>0</v>
      </c>
      <c r="X124" s="486">
        <f>SUMIFS('GSTR-2A'!$G$6:$G$10000,'GSTR-2A'!$B$6:$B$10000,$C$5:$C$4995,'GSTR-2A'!$A$6:$A$10000,$X$3)</f>
        <v>0</v>
      </c>
      <c r="Y124" s="487">
        <f>SUMIFS('GSTR-2A'!$K$6:$K$10000,'GSTR-2A'!$B$6:$B$10000,$C$5:$C$4995,'GSTR-2A'!$A$6:$A$10000,$X$3)</f>
        <v>0</v>
      </c>
      <c r="Z124" s="487">
        <f>SUMIFS('GSTR-2A'!$L$6:$L$10000,'GSTR-2A'!$B$6:$B$10000,$C$5:$C$4995,'GSTR-2A'!$A$6:$A$10000,$X$3)</f>
        <v>0</v>
      </c>
      <c r="AA124" s="487">
        <f>SUMIFS('GSTR-2A'!$M$6:$M$10000,'GSTR-2A'!$B$6:$B$10000,$C$5:$C$4995,'GSTR-2A'!$A$6:$A$10000,$X$3)</f>
        <v>0</v>
      </c>
      <c r="AB124" s="488">
        <f>SUMIFS('GSTR-2A'!$N$6:$N$10000,'GSTR-2A'!$B$6:$B$10000,$C$5:$C$4995,'GSTR-2A'!$A$6:$A$10000,$X$3)</f>
        <v>0</v>
      </c>
      <c r="AC124" s="486">
        <f>SUMIFS('GSTR-2A'!$G$6:$G$10000,'GSTR-2A'!$B$6:$B$10000,$C$5:$C$4995,'GSTR-2A'!$A$6:$A$10000,$AC$3)</f>
        <v>0</v>
      </c>
      <c r="AD124" s="487">
        <f>SUMIFS('GSTR-2A'!$K$6:$K$10000,'GSTR-2A'!$B$6:$B$10000,$C$5:$C$4995,'GSTR-2A'!$A$6:$A$10000,$AC$3)</f>
        <v>0</v>
      </c>
      <c r="AE124" s="487">
        <f>SUMIFS('GSTR-2A'!$L$6:$L$10000,'GSTR-2A'!$B$6:$B$10000,$C$5:$C$4995,'GSTR-2A'!$A$6:$A$10000,$AC$3)</f>
        <v>0</v>
      </c>
      <c r="AF124" s="487">
        <f>SUMIFS('GSTR-2A'!$M$6:$M$10000,'GSTR-2A'!$B$6:$B$10000,$C$5:$C$4995,'GSTR-2A'!$A$6:$A$10000,$AC$3)</f>
        <v>0</v>
      </c>
      <c r="AG124" s="488">
        <f>SUMIFS('GSTR-2A'!$N$6:$N$10000,'GSTR-2A'!$B$6:$B$10000,$C$5:$C$4995,'GSTR-2A'!$A$6:$A$10000,$AC$3)</f>
        <v>0</v>
      </c>
      <c r="AH124" s="486">
        <f>SUMIFS('GSTR-2A'!$G$6:$G$10000,'GSTR-2A'!$B$6:$B$10000,$C$5:$C$4995,'GSTR-2A'!$A$6:$A$10000,$AH$3)</f>
        <v>0</v>
      </c>
      <c r="AI124" s="487">
        <f>SUMIFS('GSTR-2A'!$K$6:$K$10000,'GSTR-2A'!$B$6:$B$10000,$C$5:$C$4995,'GSTR-2A'!$A$6:$A$10000,$AH$3)</f>
        <v>0</v>
      </c>
      <c r="AJ124" s="487">
        <f>SUMIFS('GSTR-2A'!$L$6:$L$10000,'GSTR-2A'!$B$6:$B$10000,$C$5:$C$4995,'GSTR-2A'!$A$6:$A$10000,$AH$3)</f>
        <v>0</v>
      </c>
      <c r="AK124" s="487">
        <f>SUMIFS('GSTR-2A'!$M$6:$M$10000,'GSTR-2A'!$B$6:$B$10000,$C$5:$C$4995,'GSTR-2A'!$A$6:$A$10000,$AH$3)</f>
        <v>0</v>
      </c>
      <c r="AL124" s="488">
        <f>SUMIFS('GSTR-2A'!$N$6:$N$10000,'GSTR-2A'!$B$6:$B$10000,$C$5:$C$4995,'GSTR-2A'!$A$6:$A$10000,$AH$3)</f>
        <v>0</v>
      </c>
      <c r="AM124" s="486">
        <f>SUMIFS('GSTR-2A'!$G$6:$G$10000,'GSTR-2A'!$B$6:$B$10000,$C$5:$C$4995,'GSTR-2A'!$A$6:$A$10000,$AM$3)</f>
        <v>0</v>
      </c>
      <c r="AN124" s="487">
        <f>SUMIFS('GSTR-2A'!$K$6:$K$10000,'GSTR-2A'!$B$6:$B$10000,$C$5:$C$4995,'GSTR-2A'!$A$6:$A$10000,$AM$3)</f>
        <v>0</v>
      </c>
      <c r="AO124" s="487">
        <f>SUMIFS('GSTR-2A'!$L$6:$L$10000,'GSTR-2A'!$B$6:$B$10000,$C$5:$C$4995,'GSTR-2A'!$A$6:$A$10000,$AM$3)</f>
        <v>0</v>
      </c>
      <c r="AP124" s="487">
        <f>SUMIFS('GSTR-2A'!$M$6:$M$10000,'GSTR-2A'!$B$6:$B$10000,$C$5:$C$4995,'GSTR-2A'!$A$6:$A$10000,$AM$3)</f>
        <v>0</v>
      </c>
      <c r="AQ124" s="488">
        <f>SUMIFS('GSTR-2A'!$N$6:$N$10000,'GSTR-2A'!$B$6:$B$10000,$C$5:$C$4995,'GSTR-2A'!$A$6:$A$10000,$AM$3)</f>
        <v>0</v>
      </c>
      <c r="AR124" s="486">
        <f>SUMIFS('GSTR-2A'!$G$6:$G$10000,'GSTR-2A'!$B$6:$B$10000,$C$5:$C$4995,'GSTR-2A'!$A$6:$A$10000,$AR$3)</f>
        <v>0</v>
      </c>
      <c r="AS124" s="487">
        <f>SUMIFS('GSTR-2A'!$K$6:$K$10000,'GSTR-2A'!$B$6:$B$10000,$C$5:$C$4995,'GSTR-2A'!$A$6:$A$10000,$AR$3)</f>
        <v>0</v>
      </c>
      <c r="AT124" s="487">
        <f>SUMIFS('GSTR-2A'!$L$6:$L$10000,'GSTR-2A'!$B$6:$B$10000,$C$5:$C$4995,'GSTR-2A'!$A$6:$A$10000,$AR$3)</f>
        <v>0</v>
      </c>
      <c r="AU124" s="487">
        <f>SUMIFS('GSTR-2A'!$M$6:$M$10000,'GSTR-2A'!$B$6:$B$10000,$C$5:$C$4995,'GSTR-2A'!$A$6:$A$10000,$AR$3)</f>
        <v>0</v>
      </c>
      <c r="AV124" s="488">
        <f>SUMIFS('GSTR-2A'!$N$6:$N$10000,'GSTR-2A'!$B$6:$B$10000,$C$5:$C$4995,'GSTR-2A'!$A$6:$A$10000,$AR$3)</f>
        <v>0</v>
      </c>
      <c r="AW124" s="486">
        <f>SUMIFS('GSTR-2A'!$G$6:$G$10000,'GSTR-2A'!$B$6:$B$10000,$C$5:$C$4995,'GSTR-2A'!$A$6:$A$10000,$AW$3)</f>
        <v>0</v>
      </c>
      <c r="AX124" s="487">
        <f>SUMIFS('GSTR-2A'!$K$6:$K$10000,'GSTR-2A'!$B$6:$B$10000,$C$5:$C$4995,'GSTR-2A'!$A$6:$A$10000,$AW$3)</f>
        <v>0</v>
      </c>
      <c r="AY124" s="487">
        <f>SUMIFS('GSTR-2A'!$L$6:$L$10000,'GSTR-2A'!$B$6:$B$10000,$C$5:$C$4995,'GSTR-2A'!$A$6:$A$10000,$AW$3)</f>
        <v>0</v>
      </c>
      <c r="AZ124" s="487">
        <f>SUMIFS('GSTR-2A'!$M$6:$M$10000,'GSTR-2A'!$B$6:$B$10000,$C$5:$C$4995,'GSTR-2A'!$A$6:$A$10000,$AW$3)</f>
        <v>0</v>
      </c>
      <c r="BA124" s="488">
        <f>SUMIFS('GSTR-2A'!$N$6:$N$10000,'GSTR-2A'!$B$6:$B$10000,$C$5:$C$4995,'GSTR-2A'!$A$6:$A$10000,$AW$3)</f>
        <v>0</v>
      </c>
      <c r="BB124" s="486">
        <f>SUMIFS('GSTR-2A'!$G$6:$G$10000,'GSTR-2A'!$B$6:$B$10000,$C$5:$C$4995,'GSTR-2A'!$A$6:$A$10000,$BB$3)</f>
        <v>0</v>
      </c>
      <c r="BC124" s="487">
        <f>SUMIFS('GSTR-2A'!$K$6:$K$10000,'GSTR-2A'!$B$6:$B$10000,$C$5:$C$4995,'GSTR-2A'!$A$6:$A$10000,$BB$3)</f>
        <v>0</v>
      </c>
      <c r="BD124" s="487">
        <f>SUMIFS('GSTR-2A'!$L$6:$L$10000,'GSTR-2A'!$B$6:$B$10000,$C$5:$C$4995,'GSTR-2A'!$A$6:$A$10000,$BB$3)</f>
        <v>0</v>
      </c>
      <c r="BE124" s="487">
        <f>SUMIFS('GSTR-2A'!$M$6:$M$10000,'GSTR-2A'!$B$6:$B$10000,$C$5:$C$4995,'GSTR-2A'!$A$6:$A$10000,$BB$3)</f>
        <v>0</v>
      </c>
      <c r="BF124" s="488">
        <f>SUMIFS('GSTR-2A'!$N$6:$N$10000,'GSTR-2A'!$B$6:$B$10000,$C$5:$C$4995,'GSTR-2A'!$A$6:$A$10000,$BB$3)</f>
        <v>0</v>
      </c>
      <c r="BG124" s="486">
        <f>SUMIFS('GSTR-2A'!$G$6:$G$10000,'GSTR-2A'!$B$6:$B$10000,$C$5:$C$4995,'GSTR-2A'!$A$6:$A$10000,$BG$3)</f>
        <v>0</v>
      </c>
      <c r="BH124" s="487">
        <f>SUMIFS('GSTR-2A'!$K$6:$K$10000,'GSTR-2A'!$B$6:$B$10000,$C$5:$C$4995,'GSTR-2A'!$A$6:$A$10000,$BG$3)</f>
        <v>0</v>
      </c>
      <c r="BI124" s="487">
        <f>SUMIFS('GSTR-2A'!$L$6:$L$10000,'GSTR-2A'!$B$6:$B$10000,$C$5:$C$4995,'GSTR-2A'!$A$6:$A$10000,$BG$3)</f>
        <v>0</v>
      </c>
      <c r="BJ124" s="487">
        <f>SUMIFS('GSTR-2A'!$M$6:$M$10000,'GSTR-2A'!$B$6:$B$10000,$C$5:$C$4995,'GSTR-2A'!$A$6:$A$10000,$BG$3)</f>
        <v>0</v>
      </c>
      <c r="BK124" s="488">
        <f>SUMIFS('GSTR-2A'!$N$6:$N$10000,'GSTR-2A'!$B$6:$B$10000,$C$5:$C$4995,'GSTR-2A'!$A$6:$A$10000,$BG$3)</f>
        <v>0</v>
      </c>
      <c r="BL124" s="72">
        <f t="shared" si="7"/>
        <v>0</v>
      </c>
      <c r="BM124" s="72">
        <f t="shared" si="8"/>
        <v>0</v>
      </c>
      <c r="BN124" s="72">
        <f t="shared" si="9"/>
        <v>0</v>
      </c>
      <c r="BO124" s="72">
        <f t="shared" si="10"/>
        <v>0</v>
      </c>
      <c r="BP124" s="72">
        <f t="shared" si="11"/>
        <v>0</v>
      </c>
    </row>
    <row r="125" spans="1:68" x14ac:dyDescent="0.2">
      <c r="A125" s="467">
        <v>122</v>
      </c>
      <c r="B125" s="468" t="s">
        <v>866</v>
      </c>
      <c r="C125" s="469" t="s">
        <v>867</v>
      </c>
      <c r="D125" s="72">
        <f>SUMIFS('GSTR-2A'!$G$6:$G$10000,'GSTR-2A'!$B$6:$B$10000,$C$5:$C$4995,'GSTR-2A'!$A$6:$A$10000,$D$3)</f>
        <v>0</v>
      </c>
      <c r="E125" s="72">
        <f>SUMIFS('GSTR-2A'!$K$6:$K$10000,'GSTR-2A'!$B$6:$B$10000,$C$5:$C$4995,'GSTR-2A'!$A$6:$A$10000,$D$3)</f>
        <v>0</v>
      </c>
      <c r="F125" s="72">
        <f>SUMIFS('GSTR-2A'!$L$6:$L$10000,'GSTR-2A'!$B$6:$B$10000,$C$5:$C$4995,'GSTR-2A'!$A$6:$A$10000,$D$3)</f>
        <v>0</v>
      </c>
      <c r="G125" s="72">
        <f>SUMIFS('GSTR-2A'!$M$6:$M$10000,'GSTR-2A'!$B$6:$B$10000,$C$5:$C$4995,'GSTR-2A'!$A$6:$A$10000,$D$3)</f>
        <v>0</v>
      </c>
      <c r="H125" s="72">
        <f>SUMIFS('GSTR-2A'!$N$6:$N$10000,'GSTR-2A'!$B$6:$B$10000,$C$5:$C$4995,'GSTR-2A'!$A$6:$A$10000,$D$3)</f>
        <v>0</v>
      </c>
      <c r="I125" s="486">
        <f>SUMIFS('GSTR-2A'!$G$6:$G$10000,'GSTR-2A'!$B$6:$B$10000,$C$5:$C$4995,'GSTR-2A'!$A$6:$A$10000,$I$3)</f>
        <v>0</v>
      </c>
      <c r="J125" s="487">
        <f>SUMIFS('GSTR-2A'!$K$6:$K$10000,'GSTR-2A'!$B$6:$B$10000,$C$5:$C$4995,'GSTR-2A'!$A$6:$A$10000,$I$3)</f>
        <v>0</v>
      </c>
      <c r="K125" s="487">
        <f>SUMIFS('GSTR-2A'!$L$6:$L$10000,'GSTR-2A'!$B$6:$B$10000,$C$5:$C$4995,'GSTR-2A'!$A$6:$A$10000,$I$3)</f>
        <v>0</v>
      </c>
      <c r="L125" s="487">
        <f>SUMIFS('GSTR-2A'!$M$6:$M$10000,'GSTR-2A'!$B$6:$B$10000,$C$5:$C$4995,'GSTR-2A'!$A$6:$A$10000,$I$3)</f>
        <v>0</v>
      </c>
      <c r="M125" s="488">
        <f>SUMIFS('GSTR-2A'!$N$6:$N$10000,'GSTR-2A'!$B$6:$B$10000,$C$5:$C$4995,'GSTR-2A'!$A$6:$A$10000,$I$3)</f>
        <v>0</v>
      </c>
      <c r="N125" s="486">
        <f>SUMIFS('GSTR-2A'!$G$6:$G$10000,'GSTR-2A'!$B$6:$B$10000,$C$5:$C$4995,'GSTR-2A'!$A$6:$A$10000,$N$3)</f>
        <v>0</v>
      </c>
      <c r="O125" s="487">
        <f>SUMIFS('GSTR-2A'!$K$6:$K$10000,'GSTR-2A'!$B$6:$B$10000,$C$5:$C$4995,'GSTR-2A'!$A$6:$A$10000,$N$3)</f>
        <v>0</v>
      </c>
      <c r="P125" s="487">
        <f>SUMIFS('GSTR-2A'!$L$6:$L$10000,'GSTR-2A'!$B$6:$B$10000,$C$5:$C$4995,'GSTR-2A'!$A$6:$A$10000,$N$3)</f>
        <v>0</v>
      </c>
      <c r="Q125" s="487">
        <f>SUMIFS('GSTR-2A'!$M$6:$M$10000,'GSTR-2A'!$B$6:$B$10000,$C$5:$C$4995,'GSTR-2A'!$A$6:$A$10000,$N$3)</f>
        <v>0</v>
      </c>
      <c r="R125" s="488">
        <f>SUMIFS('GSTR-2A'!$N$6:$N$10000,'GSTR-2A'!$B$6:$B$10000,$C$5:$C$4995,'GSTR-2A'!$A$6:$A$10000,$N$3)</f>
        <v>0</v>
      </c>
      <c r="S125" s="486">
        <f>SUMIFS('GSTR-2A'!$G$6:$G$10000,'GSTR-2A'!$B$6:$B$10000,$C$5:$C$4995,'GSTR-2A'!$A$6:$A$10000,$S$3)</f>
        <v>41654</v>
      </c>
      <c r="T125" s="487">
        <f>SUMIFS('GSTR-2A'!$K$6:$K$10000,'GSTR-2A'!$B$6:$B$10000,$C$5:$C$4995,'GSTR-2A'!$A$6:$A$10000,$S$3)</f>
        <v>35300</v>
      </c>
      <c r="U125" s="487">
        <f>SUMIFS('GSTR-2A'!$L$6:$L$10000,'GSTR-2A'!$B$6:$B$10000,$C$5:$C$4995,'GSTR-2A'!$A$6:$A$10000,$S$3)</f>
        <v>0</v>
      </c>
      <c r="V125" s="487">
        <f>SUMIFS('GSTR-2A'!$M$6:$M$10000,'GSTR-2A'!$B$6:$B$10000,$C$5:$C$4995,'GSTR-2A'!$A$6:$A$10000,$S$3)</f>
        <v>3177</v>
      </c>
      <c r="W125" s="488">
        <f>SUMIFS('GSTR-2A'!$N$6:$N$10000,'GSTR-2A'!$B$6:$B$10000,$C$5:$C$4995,'GSTR-2A'!$A$6:$A$10000,$S$3)</f>
        <v>3177</v>
      </c>
      <c r="X125" s="486">
        <f>SUMIFS('GSTR-2A'!$G$6:$G$10000,'GSTR-2A'!$B$6:$B$10000,$C$5:$C$4995,'GSTR-2A'!$A$6:$A$10000,$X$3)</f>
        <v>0</v>
      </c>
      <c r="Y125" s="487">
        <f>SUMIFS('GSTR-2A'!$K$6:$K$10000,'GSTR-2A'!$B$6:$B$10000,$C$5:$C$4995,'GSTR-2A'!$A$6:$A$10000,$X$3)</f>
        <v>0</v>
      </c>
      <c r="Z125" s="487">
        <f>SUMIFS('GSTR-2A'!$L$6:$L$10000,'GSTR-2A'!$B$6:$B$10000,$C$5:$C$4995,'GSTR-2A'!$A$6:$A$10000,$X$3)</f>
        <v>0</v>
      </c>
      <c r="AA125" s="487">
        <f>SUMIFS('GSTR-2A'!$M$6:$M$10000,'GSTR-2A'!$B$6:$B$10000,$C$5:$C$4995,'GSTR-2A'!$A$6:$A$10000,$X$3)</f>
        <v>0</v>
      </c>
      <c r="AB125" s="488">
        <f>SUMIFS('GSTR-2A'!$N$6:$N$10000,'GSTR-2A'!$B$6:$B$10000,$C$5:$C$4995,'GSTR-2A'!$A$6:$A$10000,$X$3)</f>
        <v>0</v>
      </c>
      <c r="AC125" s="486">
        <f>SUMIFS('GSTR-2A'!$G$6:$G$10000,'GSTR-2A'!$B$6:$B$10000,$C$5:$C$4995,'GSTR-2A'!$A$6:$A$10000,$AC$3)</f>
        <v>0</v>
      </c>
      <c r="AD125" s="487">
        <f>SUMIFS('GSTR-2A'!$K$6:$K$10000,'GSTR-2A'!$B$6:$B$10000,$C$5:$C$4995,'GSTR-2A'!$A$6:$A$10000,$AC$3)</f>
        <v>0</v>
      </c>
      <c r="AE125" s="487">
        <f>SUMIFS('GSTR-2A'!$L$6:$L$10000,'GSTR-2A'!$B$6:$B$10000,$C$5:$C$4995,'GSTR-2A'!$A$6:$A$10000,$AC$3)</f>
        <v>0</v>
      </c>
      <c r="AF125" s="487">
        <f>SUMIFS('GSTR-2A'!$M$6:$M$10000,'GSTR-2A'!$B$6:$B$10000,$C$5:$C$4995,'GSTR-2A'!$A$6:$A$10000,$AC$3)</f>
        <v>0</v>
      </c>
      <c r="AG125" s="488">
        <f>SUMIFS('GSTR-2A'!$N$6:$N$10000,'GSTR-2A'!$B$6:$B$10000,$C$5:$C$4995,'GSTR-2A'!$A$6:$A$10000,$AC$3)</f>
        <v>0</v>
      </c>
      <c r="AH125" s="486">
        <f>SUMIFS('GSTR-2A'!$G$6:$G$10000,'GSTR-2A'!$B$6:$B$10000,$C$5:$C$4995,'GSTR-2A'!$A$6:$A$10000,$AH$3)</f>
        <v>0</v>
      </c>
      <c r="AI125" s="487">
        <f>SUMIFS('GSTR-2A'!$K$6:$K$10000,'GSTR-2A'!$B$6:$B$10000,$C$5:$C$4995,'GSTR-2A'!$A$6:$A$10000,$AH$3)</f>
        <v>0</v>
      </c>
      <c r="AJ125" s="487">
        <f>SUMIFS('GSTR-2A'!$L$6:$L$10000,'GSTR-2A'!$B$6:$B$10000,$C$5:$C$4995,'GSTR-2A'!$A$6:$A$10000,$AH$3)</f>
        <v>0</v>
      </c>
      <c r="AK125" s="487">
        <f>SUMIFS('GSTR-2A'!$M$6:$M$10000,'GSTR-2A'!$B$6:$B$10000,$C$5:$C$4995,'GSTR-2A'!$A$6:$A$10000,$AH$3)</f>
        <v>0</v>
      </c>
      <c r="AL125" s="488">
        <f>SUMIFS('GSTR-2A'!$N$6:$N$10000,'GSTR-2A'!$B$6:$B$10000,$C$5:$C$4995,'GSTR-2A'!$A$6:$A$10000,$AH$3)</f>
        <v>0</v>
      </c>
      <c r="AM125" s="486">
        <f>SUMIFS('GSTR-2A'!$G$6:$G$10000,'GSTR-2A'!$B$6:$B$10000,$C$5:$C$4995,'GSTR-2A'!$A$6:$A$10000,$AM$3)</f>
        <v>0</v>
      </c>
      <c r="AN125" s="487">
        <f>SUMIFS('GSTR-2A'!$K$6:$K$10000,'GSTR-2A'!$B$6:$B$10000,$C$5:$C$4995,'GSTR-2A'!$A$6:$A$10000,$AM$3)</f>
        <v>0</v>
      </c>
      <c r="AO125" s="487">
        <f>SUMIFS('GSTR-2A'!$L$6:$L$10000,'GSTR-2A'!$B$6:$B$10000,$C$5:$C$4995,'GSTR-2A'!$A$6:$A$10000,$AM$3)</f>
        <v>0</v>
      </c>
      <c r="AP125" s="487">
        <f>SUMIFS('GSTR-2A'!$M$6:$M$10000,'GSTR-2A'!$B$6:$B$10000,$C$5:$C$4995,'GSTR-2A'!$A$6:$A$10000,$AM$3)</f>
        <v>0</v>
      </c>
      <c r="AQ125" s="488">
        <f>SUMIFS('GSTR-2A'!$N$6:$N$10000,'GSTR-2A'!$B$6:$B$10000,$C$5:$C$4995,'GSTR-2A'!$A$6:$A$10000,$AM$3)</f>
        <v>0</v>
      </c>
      <c r="AR125" s="486">
        <f>SUMIFS('GSTR-2A'!$G$6:$G$10000,'GSTR-2A'!$B$6:$B$10000,$C$5:$C$4995,'GSTR-2A'!$A$6:$A$10000,$AR$3)</f>
        <v>0</v>
      </c>
      <c r="AS125" s="487">
        <f>SUMIFS('GSTR-2A'!$K$6:$K$10000,'GSTR-2A'!$B$6:$B$10000,$C$5:$C$4995,'GSTR-2A'!$A$6:$A$10000,$AR$3)</f>
        <v>0</v>
      </c>
      <c r="AT125" s="487">
        <f>SUMIFS('GSTR-2A'!$L$6:$L$10000,'GSTR-2A'!$B$6:$B$10000,$C$5:$C$4995,'GSTR-2A'!$A$6:$A$10000,$AR$3)</f>
        <v>0</v>
      </c>
      <c r="AU125" s="487">
        <f>SUMIFS('GSTR-2A'!$M$6:$M$10000,'GSTR-2A'!$B$6:$B$10000,$C$5:$C$4995,'GSTR-2A'!$A$6:$A$10000,$AR$3)</f>
        <v>0</v>
      </c>
      <c r="AV125" s="488">
        <f>SUMIFS('GSTR-2A'!$N$6:$N$10000,'GSTR-2A'!$B$6:$B$10000,$C$5:$C$4995,'GSTR-2A'!$A$6:$A$10000,$AR$3)</f>
        <v>0</v>
      </c>
      <c r="AW125" s="486">
        <f>SUMIFS('GSTR-2A'!$G$6:$G$10000,'GSTR-2A'!$B$6:$B$10000,$C$5:$C$4995,'GSTR-2A'!$A$6:$A$10000,$AW$3)</f>
        <v>0</v>
      </c>
      <c r="AX125" s="487">
        <f>SUMIFS('GSTR-2A'!$K$6:$K$10000,'GSTR-2A'!$B$6:$B$10000,$C$5:$C$4995,'GSTR-2A'!$A$6:$A$10000,$AW$3)</f>
        <v>0</v>
      </c>
      <c r="AY125" s="487">
        <f>SUMIFS('GSTR-2A'!$L$6:$L$10000,'GSTR-2A'!$B$6:$B$10000,$C$5:$C$4995,'GSTR-2A'!$A$6:$A$10000,$AW$3)</f>
        <v>0</v>
      </c>
      <c r="AZ125" s="487">
        <f>SUMIFS('GSTR-2A'!$M$6:$M$10000,'GSTR-2A'!$B$6:$B$10000,$C$5:$C$4995,'GSTR-2A'!$A$6:$A$10000,$AW$3)</f>
        <v>0</v>
      </c>
      <c r="BA125" s="488">
        <f>SUMIFS('GSTR-2A'!$N$6:$N$10000,'GSTR-2A'!$B$6:$B$10000,$C$5:$C$4995,'GSTR-2A'!$A$6:$A$10000,$AW$3)</f>
        <v>0</v>
      </c>
      <c r="BB125" s="486">
        <f>SUMIFS('GSTR-2A'!$G$6:$G$10000,'GSTR-2A'!$B$6:$B$10000,$C$5:$C$4995,'GSTR-2A'!$A$6:$A$10000,$BB$3)</f>
        <v>0</v>
      </c>
      <c r="BC125" s="487">
        <f>SUMIFS('GSTR-2A'!$K$6:$K$10000,'GSTR-2A'!$B$6:$B$10000,$C$5:$C$4995,'GSTR-2A'!$A$6:$A$10000,$BB$3)</f>
        <v>0</v>
      </c>
      <c r="BD125" s="487">
        <f>SUMIFS('GSTR-2A'!$L$6:$L$10000,'GSTR-2A'!$B$6:$B$10000,$C$5:$C$4995,'GSTR-2A'!$A$6:$A$10000,$BB$3)</f>
        <v>0</v>
      </c>
      <c r="BE125" s="487">
        <f>SUMIFS('GSTR-2A'!$M$6:$M$10000,'GSTR-2A'!$B$6:$B$10000,$C$5:$C$4995,'GSTR-2A'!$A$6:$A$10000,$BB$3)</f>
        <v>0</v>
      </c>
      <c r="BF125" s="488">
        <f>SUMIFS('GSTR-2A'!$N$6:$N$10000,'GSTR-2A'!$B$6:$B$10000,$C$5:$C$4995,'GSTR-2A'!$A$6:$A$10000,$BB$3)</f>
        <v>0</v>
      </c>
      <c r="BG125" s="486">
        <f>SUMIFS('GSTR-2A'!$G$6:$G$10000,'GSTR-2A'!$B$6:$B$10000,$C$5:$C$4995,'GSTR-2A'!$A$6:$A$10000,$BG$3)</f>
        <v>0</v>
      </c>
      <c r="BH125" s="487">
        <f>SUMIFS('GSTR-2A'!$K$6:$K$10000,'GSTR-2A'!$B$6:$B$10000,$C$5:$C$4995,'GSTR-2A'!$A$6:$A$10000,$BG$3)</f>
        <v>0</v>
      </c>
      <c r="BI125" s="487">
        <f>SUMIFS('GSTR-2A'!$L$6:$L$10000,'GSTR-2A'!$B$6:$B$10000,$C$5:$C$4995,'GSTR-2A'!$A$6:$A$10000,$BG$3)</f>
        <v>0</v>
      </c>
      <c r="BJ125" s="487">
        <f>SUMIFS('GSTR-2A'!$M$6:$M$10000,'GSTR-2A'!$B$6:$B$10000,$C$5:$C$4995,'GSTR-2A'!$A$6:$A$10000,$BG$3)</f>
        <v>0</v>
      </c>
      <c r="BK125" s="488">
        <f>SUMIFS('GSTR-2A'!$N$6:$N$10000,'GSTR-2A'!$B$6:$B$10000,$C$5:$C$4995,'GSTR-2A'!$A$6:$A$10000,$BG$3)</f>
        <v>0</v>
      </c>
      <c r="BL125" s="72">
        <f t="shared" si="7"/>
        <v>41654</v>
      </c>
      <c r="BM125" s="72">
        <f t="shared" si="8"/>
        <v>35300</v>
      </c>
      <c r="BN125" s="72">
        <f t="shared" si="9"/>
        <v>0</v>
      </c>
      <c r="BO125" s="72">
        <f t="shared" si="10"/>
        <v>3177</v>
      </c>
      <c r="BP125" s="72">
        <f t="shared" si="11"/>
        <v>3177</v>
      </c>
    </row>
    <row r="126" spans="1:68" x14ac:dyDescent="0.2">
      <c r="A126" s="467">
        <v>123</v>
      </c>
      <c r="B126" s="475" t="s">
        <v>853</v>
      </c>
      <c r="C126" s="475" t="s">
        <v>854</v>
      </c>
      <c r="D126" s="72">
        <f>SUMIFS('GSTR-2A'!$G$6:$G$10000,'GSTR-2A'!$B$6:$B$10000,$C$5:$C$4995,'GSTR-2A'!$A$6:$A$10000,$D$3)</f>
        <v>0</v>
      </c>
      <c r="E126" s="72">
        <f>SUMIFS('GSTR-2A'!$K$6:$K$10000,'GSTR-2A'!$B$6:$B$10000,$C$5:$C$4995,'GSTR-2A'!$A$6:$A$10000,$D$3)</f>
        <v>0</v>
      </c>
      <c r="F126" s="72">
        <f>SUMIFS('GSTR-2A'!$L$6:$L$10000,'GSTR-2A'!$B$6:$B$10000,$C$5:$C$4995,'GSTR-2A'!$A$6:$A$10000,$D$3)</f>
        <v>0</v>
      </c>
      <c r="G126" s="72">
        <f>SUMIFS('GSTR-2A'!$M$6:$M$10000,'GSTR-2A'!$B$6:$B$10000,$C$5:$C$4995,'GSTR-2A'!$A$6:$A$10000,$D$3)</f>
        <v>0</v>
      </c>
      <c r="H126" s="72">
        <f>SUMIFS('GSTR-2A'!$N$6:$N$10000,'GSTR-2A'!$B$6:$B$10000,$C$5:$C$4995,'GSTR-2A'!$A$6:$A$10000,$D$3)</f>
        <v>0</v>
      </c>
      <c r="I126" s="486">
        <f>SUMIFS('GSTR-2A'!$G$6:$G$10000,'GSTR-2A'!$B$6:$B$10000,$C$5:$C$4995,'GSTR-2A'!$A$6:$A$10000,$I$3)</f>
        <v>0</v>
      </c>
      <c r="J126" s="487">
        <f>SUMIFS('GSTR-2A'!$K$6:$K$10000,'GSTR-2A'!$B$6:$B$10000,$C$5:$C$4995,'GSTR-2A'!$A$6:$A$10000,$I$3)</f>
        <v>0</v>
      </c>
      <c r="K126" s="487">
        <f>SUMIFS('GSTR-2A'!$L$6:$L$10000,'GSTR-2A'!$B$6:$B$10000,$C$5:$C$4995,'GSTR-2A'!$A$6:$A$10000,$I$3)</f>
        <v>0</v>
      </c>
      <c r="L126" s="487">
        <f>SUMIFS('GSTR-2A'!$M$6:$M$10000,'GSTR-2A'!$B$6:$B$10000,$C$5:$C$4995,'GSTR-2A'!$A$6:$A$10000,$I$3)</f>
        <v>0</v>
      </c>
      <c r="M126" s="488">
        <f>SUMIFS('GSTR-2A'!$N$6:$N$10000,'GSTR-2A'!$B$6:$B$10000,$C$5:$C$4995,'GSTR-2A'!$A$6:$A$10000,$I$3)</f>
        <v>0</v>
      </c>
      <c r="N126" s="486">
        <f>SUMIFS('GSTR-2A'!$G$6:$G$10000,'GSTR-2A'!$B$6:$B$10000,$C$5:$C$4995,'GSTR-2A'!$A$6:$A$10000,$N$3)</f>
        <v>0</v>
      </c>
      <c r="O126" s="487">
        <f>SUMIFS('GSTR-2A'!$K$6:$K$10000,'GSTR-2A'!$B$6:$B$10000,$C$5:$C$4995,'GSTR-2A'!$A$6:$A$10000,$N$3)</f>
        <v>0</v>
      </c>
      <c r="P126" s="487">
        <f>SUMIFS('GSTR-2A'!$L$6:$L$10000,'GSTR-2A'!$B$6:$B$10000,$C$5:$C$4995,'GSTR-2A'!$A$6:$A$10000,$N$3)</f>
        <v>0</v>
      </c>
      <c r="Q126" s="487">
        <f>SUMIFS('GSTR-2A'!$M$6:$M$10000,'GSTR-2A'!$B$6:$B$10000,$C$5:$C$4995,'GSTR-2A'!$A$6:$A$10000,$N$3)</f>
        <v>0</v>
      </c>
      <c r="R126" s="488">
        <f>SUMIFS('GSTR-2A'!$N$6:$N$10000,'GSTR-2A'!$B$6:$B$10000,$C$5:$C$4995,'GSTR-2A'!$A$6:$A$10000,$N$3)</f>
        <v>0</v>
      </c>
      <c r="S126" s="486">
        <f>SUMIFS('GSTR-2A'!$G$6:$G$10000,'GSTR-2A'!$B$6:$B$10000,$C$5:$C$4995,'GSTR-2A'!$A$6:$A$10000,$S$3)</f>
        <v>9813</v>
      </c>
      <c r="T126" s="487">
        <f>SUMIFS('GSTR-2A'!$K$6:$K$10000,'GSTR-2A'!$B$6:$B$10000,$C$5:$C$4995,'GSTR-2A'!$A$6:$A$10000,$S$3)</f>
        <v>8316.1</v>
      </c>
      <c r="U126" s="487">
        <f>SUMIFS('GSTR-2A'!$L$6:$L$10000,'GSTR-2A'!$B$6:$B$10000,$C$5:$C$4995,'GSTR-2A'!$A$6:$A$10000,$S$3)</f>
        <v>0</v>
      </c>
      <c r="V126" s="487">
        <f>SUMIFS('GSTR-2A'!$M$6:$M$10000,'GSTR-2A'!$B$6:$B$10000,$C$5:$C$4995,'GSTR-2A'!$A$6:$A$10000,$S$3)</f>
        <v>748.45</v>
      </c>
      <c r="W126" s="488">
        <f>SUMIFS('GSTR-2A'!$N$6:$N$10000,'GSTR-2A'!$B$6:$B$10000,$C$5:$C$4995,'GSTR-2A'!$A$6:$A$10000,$S$3)</f>
        <v>748.45</v>
      </c>
      <c r="X126" s="486">
        <f>SUMIFS('GSTR-2A'!$G$6:$G$10000,'GSTR-2A'!$B$6:$B$10000,$C$5:$C$4995,'GSTR-2A'!$A$6:$A$10000,$X$3)</f>
        <v>0</v>
      </c>
      <c r="Y126" s="487">
        <f>SUMIFS('GSTR-2A'!$K$6:$K$10000,'GSTR-2A'!$B$6:$B$10000,$C$5:$C$4995,'GSTR-2A'!$A$6:$A$10000,$X$3)</f>
        <v>0</v>
      </c>
      <c r="Z126" s="487">
        <f>SUMIFS('GSTR-2A'!$L$6:$L$10000,'GSTR-2A'!$B$6:$B$10000,$C$5:$C$4995,'GSTR-2A'!$A$6:$A$10000,$X$3)</f>
        <v>0</v>
      </c>
      <c r="AA126" s="487">
        <f>SUMIFS('GSTR-2A'!$M$6:$M$10000,'GSTR-2A'!$B$6:$B$10000,$C$5:$C$4995,'GSTR-2A'!$A$6:$A$10000,$X$3)</f>
        <v>0</v>
      </c>
      <c r="AB126" s="488">
        <f>SUMIFS('GSTR-2A'!$N$6:$N$10000,'GSTR-2A'!$B$6:$B$10000,$C$5:$C$4995,'GSTR-2A'!$A$6:$A$10000,$X$3)</f>
        <v>0</v>
      </c>
      <c r="AC126" s="486">
        <f>SUMIFS('GSTR-2A'!$G$6:$G$10000,'GSTR-2A'!$B$6:$B$10000,$C$5:$C$4995,'GSTR-2A'!$A$6:$A$10000,$AC$3)</f>
        <v>0</v>
      </c>
      <c r="AD126" s="487">
        <f>SUMIFS('GSTR-2A'!$K$6:$K$10000,'GSTR-2A'!$B$6:$B$10000,$C$5:$C$4995,'GSTR-2A'!$A$6:$A$10000,$AC$3)</f>
        <v>0</v>
      </c>
      <c r="AE126" s="487">
        <f>SUMIFS('GSTR-2A'!$L$6:$L$10000,'GSTR-2A'!$B$6:$B$10000,$C$5:$C$4995,'GSTR-2A'!$A$6:$A$10000,$AC$3)</f>
        <v>0</v>
      </c>
      <c r="AF126" s="487">
        <f>SUMIFS('GSTR-2A'!$M$6:$M$10000,'GSTR-2A'!$B$6:$B$10000,$C$5:$C$4995,'GSTR-2A'!$A$6:$A$10000,$AC$3)</f>
        <v>0</v>
      </c>
      <c r="AG126" s="488">
        <f>SUMIFS('GSTR-2A'!$N$6:$N$10000,'GSTR-2A'!$B$6:$B$10000,$C$5:$C$4995,'GSTR-2A'!$A$6:$A$10000,$AC$3)</f>
        <v>0</v>
      </c>
      <c r="AH126" s="486">
        <f>SUMIFS('GSTR-2A'!$G$6:$G$10000,'GSTR-2A'!$B$6:$B$10000,$C$5:$C$4995,'GSTR-2A'!$A$6:$A$10000,$AH$3)</f>
        <v>0</v>
      </c>
      <c r="AI126" s="487">
        <f>SUMIFS('GSTR-2A'!$K$6:$K$10000,'GSTR-2A'!$B$6:$B$10000,$C$5:$C$4995,'GSTR-2A'!$A$6:$A$10000,$AH$3)</f>
        <v>0</v>
      </c>
      <c r="AJ126" s="487">
        <f>SUMIFS('GSTR-2A'!$L$6:$L$10000,'GSTR-2A'!$B$6:$B$10000,$C$5:$C$4995,'GSTR-2A'!$A$6:$A$10000,$AH$3)</f>
        <v>0</v>
      </c>
      <c r="AK126" s="487">
        <f>SUMIFS('GSTR-2A'!$M$6:$M$10000,'GSTR-2A'!$B$6:$B$10000,$C$5:$C$4995,'GSTR-2A'!$A$6:$A$10000,$AH$3)</f>
        <v>0</v>
      </c>
      <c r="AL126" s="488">
        <f>SUMIFS('GSTR-2A'!$N$6:$N$10000,'GSTR-2A'!$B$6:$B$10000,$C$5:$C$4995,'GSTR-2A'!$A$6:$A$10000,$AH$3)</f>
        <v>0</v>
      </c>
      <c r="AM126" s="486">
        <f>SUMIFS('GSTR-2A'!$G$6:$G$10000,'GSTR-2A'!$B$6:$B$10000,$C$5:$C$4995,'GSTR-2A'!$A$6:$A$10000,$AM$3)</f>
        <v>0</v>
      </c>
      <c r="AN126" s="487">
        <f>SUMIFS('GSTR-2A'!$K$6:$K$10000,'GSTR-2A'!$B$6:$B$10000,$C$5:$C$4995,'GSTR-2A'!$A$6:$A$10000,$AM$3)</f>
        <v>0</v>
      </c>
      <c r="AO126" s="487">
        <f>SUMIFS('GSTR-2A'!$L$6:$L$10000,'GSTR-2A'!$B$6:$B$10000,$C$5:$C$4995,'GSTR-2A'!$A$6:$A$10000,$AM$3)</f>
        <v>0</v>
      </c>
      <c r="AP126" s="487">
        <f>SUMIFS('GSTR-2A'!$M$6:$M$10000,'GSTR-2A'!$B$6:$B$10000,$C$5:$C$4995,'GSTR-2A'!$A$6:$A$10000,$AM$3)</f>
        <v>0</v>
      </c>
      <c r="AQ126" s="488">
        <f>SUMIFS('GSTR-2A'!$N$6:$N$10000,'GSTR-2A'!$B$6:$B$10000,$C$5:$C$4995,'GSTR-2A'!$A$6:$A$10000,$AM$3)</f>
        <v>0</v>
      </c>
      <c r="AR126" s="486">
        <f>SUMIFS('GSTR-2A'!$G$6:$G$10000,'GSTR-2A'!$B$6:$B$10000,$C$5:$C$4995,'GSTR-2A'!$A$6:$A$10000,$AR$3)</f>
        <v>0</v>
      </c>
      <c r="AS126" s="487">
        <f>SUMIFS('GSTR-2A'!$K$6:$K$10000,'GSTR-2A'!$B$6:$B$10000,$C$5:$C$4995,'GSTR-2A'!$A$6:$A$10000,$AR$3)</f>
        <v>0</v>
      </c>
      <c r="AT126" s="487">
        <f>SUMIFS('GSTR-2A'!$L$6:$L$10000,'GSTR-2A'!$B$6:$B$10000,$C$5:$C$4995,'GSTR-2A'!$A$6:$A$10000,$AR$3)</f>
        <v>0</v>
      </c>
      <c r="AU126" s="487">
        <f>SUMIFS('GSTR-2A'!$M$6:$M$10000,'GSTR-2A'!$B$6:$B$10000,$C$5:$C$4995,'GSTR-2A'!$A$6:$A$10000,$AR$3)</f>
        <v>0</v>
      </c>
      <c r="AV126" s="488">
        <f>SUMIFS('GSTR-2A'!$N$6:$N$10000,'GSTR-2A'!$B$6:$B$10000,$C$5:$C$4995,'GSTR-2A'!$A$6:$A$10000,$AR$3)</f>
        <v>0</v>
      </c>
      <c r="AW126" s="486">
        <f>SUMIFS('GSTR-2A'!$G$6:$G$10000,'GSTR-2A'!$B$6:$B$10000,$C$5:$C$4995,'GSTR-2A'!$A$6:$A$10000,$AW$3)</f>
        <v>0</v>
      </c>
      <c r="AX126" s="487">
        <f>SUMIFS('GSTR-2A'!$K$6:$K$10000,'GSTR-2A'!$B$6:$B$10000,$C$5:$C$4995,'GSTR-2A'!$A$6:$A$10000,$AW$3)</f>
        <v>0</v>
      </c>
      <c r="AY126" s="487">
        <f>SUMIFS('GSTR-2A'!$L$6:$L$10000,'GSTR-2A'!$B$6:$B$10000,$C$5:$C$4995,'GSTR-2A'!$A$6:$A$10000,$AW$3)</f>
        <v>0</v>
      </c>
      <c r="AZ126" s="487">
        <f>SUMIFS('GSTR-2A'!$M$6:$M$10000,'GSTR-2A'!$B$6:$B$10000,$C$5:$C$4995,'GSTR-2A'!$A$6:$A$10000,$AW$3)</f>
        <v>0</v>
      </c>
      <c r="BA126" s="488">
        <f>SUMIFS('GSTR-2A'!$N$6:$N$10000,'GSTR-2A'!$B$6:$B$10000,$C$5:$C$4995,'GSTR-2A'!$A$6:$A$10000,$AW$3)</f>
        <v>0</v>
      </c>
      <c r="BB126" s="486">
        <f>SUMIFS('GSTR-2A'!$G$6:$G$10000,'GSTR-2A'!$B$6:$B$10000,$C$5:$C$4995,'GSTR-2A'!$A$6:$A$10000,$BB$3)</f>
        <v>0</v>
      </c>
      <c r="BC126" s="487">
        <f>SUMIFS('GSTR-2A'!$K$6:$K$10000,'GSTR-2A'!$B$6:$B$10000,$C$5:$C$4995,'GSTR-2A'!$A$6:$A$10000,$BB$3)</f>
        <v>0</v>
      </c>
      <c r="BD126" s="487">
        <f>SUMIFS('GSTR-2A'!$L$6:$L$10000,'GSTR-2A'!$B$6:$B$10000,$C$5:$C$4995,'GSTR-2A'!$A$6:$A$10000,$BB$3)</f>
        <v>0</v>
      </c>
      <c r="BE126" s="487">
        <f>SUMIFS('GSTR-2A'!$M$6:$M$10000,'GSTR-2A'!$B$6:$B$10000,$C$5:$C$4995,'GSTR-2A'!$A$6:$A$10000,$BB$3)</f>
        <v>0</v>
      </c>
      <c r="BF126" s="488">
        <f>SUMIFS('GSTR-2A'!$N$6:$N$10000,'GSTR-2A'!$B$6:$B$10000,$C$5:$C$4995,'GSTR-2A'!$A$6:$A$10000,$BB$3)</f>
        <v>0</v>
      </c>
      <c r="BG126" s="486">
        <f>SUMIFS('GSTR-2A'!$G$6:$G$10000,'GSTR-2A'!$B$6:$B$10000,$C$5:$C$4995,'GSTR-2A'!$A$6:$A$10000,$BG$3)</f>
        <v>0</v>
      </c>
      <c r="BH126" s="487">
        <f>SUMIFS('GSTR-2A'!$K$6:$K$10000,'GSTR-2A'!$B$6:$B$10000,$C$5:$C$4995,'GSTR-2A'!$A$6:$A$10000,$BG$3)</f>
        <v>0</v>
      </c>
      <c r="BI126" s="487">
        <f>SUMIFS('GSTR-2A'!$L$6:$L$10000,'GSTR-2A'!$B$6:$B$10000,$C$5:$C$4995,'GSTR-2A'!$A$6:$A$10000,$BG$3)</f>
        <v>0</v>
      </c>
      <c r="BJ126" s="487">
        <f>SUMIFS('GSTR-2A'!$M$6:$M$10000,'GSTR-2A'!$B$6:$B$10000,$C$5:$C$4995,'GSTR-2A'!$A$6:$A$10000,$BG$3)</f>
        <v>0</v>
      </c>
      <c r="BK126" s="488">
        <f>SUMIFS('GSTR-2A'!$N$6:$N$10000,'GSTR-2A'!$B$6:$B$10000,$C$5:$C$4995,'GSTR-2A'!$A$6:$A$10000,$BG$3)</f>
        <v>0</v>
      </c>
      <c r="BL126" s="72">
        <f t="shared" si="7"/>
        <v>9813</v>
      </c>
      <c r="BM126" s="72">
        <f t="shared" si="8"/>
        <v>8316.1</v>
      </c>
      <c r="BN126" s="72">
        <f t="shared" si="9"/>
        <v>0</v>
      </c>
      <c r="BO126" s="72">
        <f t="shared" si="10"/>
        <v>748.45</v>
      </c>
      <c r="BP126" s="72">
        <f t="shared" si="11"/>
        <v>748.45</v>
      </c>
    </row>
    <row r="127" spans="1:68" x14ac:dyDescent="0.2">
      <c r="A127" s="467">
        <v>124</v>
      </c>
      <c r="B127" s="468" t="s">
        <v>741</v>
      </c>
      <c r="C127" s="469" t="s">
        <v>225</v>
      </c>
      <c r="D127" s="72">
        <f>SUMIFS('GSTR-2A'!$G$6:$G$10000,'GSTR-2A'!$B$6:$B$10000,$C$5:$C$4995,'GSTR-2A'!$A$6:$A$10000,$D$3)</f>
        <v>0</v>
      </c>
      <c r="E127" s="72">
        <f>SUMIFS('GSTR-2A'!$K$6:$K$10000,'GSTR-2A'!$B$6:$B$10000,$C$5:$C$4995,'GSTR-2A'!$A$6:$A$10000,$D$3)</f>
        <v>0</v>
      </c>
      <c r="F127" s="72">
        <f>SUMIFS('GSTR-2A'!$L$6:$L$10000,'GSTR-2A'!$B$6:$B$10000,$C$5:$C$4995,'GSTR-2A'!$A$6:$A$10000,$D$3)</f>
        <v>0</v>
      </c>
      <c r="G127" s="72">
        <f>SUMIFS('GSTR-2A'!$M$6:$M$10000,'GSTR-2A'!$B$6:$B$10000,$C$5:$C$4995,'GSTR-2A'!$A$6:$A$10000,$D$3)</f>
        <v>0</v>
      </c>
      <c r="H127" s="72">
        <f>SUMIFS('GSTR-2A'!$N$6:$N$10000,'GSTR-2A'!$B$6:$B$10000,$C$5:$C$4995,'GSTR-2A'!$A$6:$A$10000,$D$3)</f>
        <v>0</v>
      </c>
      <c r="I127" s="486">
        <f>SUMIFS('GSTR-2A'!$G$6:$G$10000,'GSTR-2A'!$B$6:$B$10000,$C$5:$C$4995,'GSTR-2A'!$A$6:$A$10000,$I$3)</f>
        <v>0</v>
      </c>
      <c r="J127" s="487">
        <f>SUMIFS('GSTR-2A'!$K$6:$K$10000,'GSTR-2A'!$B$6:$B$10000,$C$5:$C$4995,'GSTR-2A'!$A$6:$A$10000,$I$3)</f>
        <v>0</v>
      </c>
      <c r="K127" s="487">
        <f>SUMIFS('GSTR-2A'!$L$6:$L$10000,'GSTR-2A'!$B$6:$B$10000,$C$5:$C$4995,'GSTR-2A'!$A$6:$A$10000,$I$3)</f>
        <v>0</v>
      </c>
      <c r="L127" s="487">
        <f>SUMIFS('GSTR-2A'!$M$6:$M$10000,'GSTR-2A'!$B$6:$B$10000,$C$5:$C$4995,'GSTR-2A'!$A$6:$A$10000,$I$3)</f>
        <v>0</v>
      </c>
      <c r="M127" s="488">
        <f>SUMIFS('GSTR-2A'!$N$6:$N$10000,'GSTR-2A'!$B$6:$B$10000,$C$5:$C$4995,'GSTR-2A'!$A$6:$A$10000,$I$3)</f>
        <v>0</v>
      </c>
      <c r="N127" s="486">
        <f>SUMIFS('GSTR-2A'!$G$6:$G$10000,'GSTR-2A'!$B$6:$B$10000,$C$5:$C$4995,'GSTR-2A'!$A$6:$A$10000,$N$3)</f>
        <v>58144.520000000004</v>
      </c>
      <c r="O127" s="487">
        <f>SUMIFS('GSTR-2A'!$K$6:$K$10000,'GSTR-2A'!$B$6:$B$10000,$C$5:$C$4995,'GSTR-2A'!$A$6:$A$10000,$N$3)</f>
        <v>45425.4</v>
      </c>
      <c r="P127" s="487">
        <f>SUMIFS('GSTR-2A'!$L$6:$L$10000,'GSTR-2A'!$B$6:$B$10000,$C$5:$C$4995,'GSTR-2A'!$A$6:$A$10000,$N$3)</f>
        <v>0</v>
      </c>
      <c r="Q127" s="487">
        <f>SUMIFS('GSTR-2A'!$M$6:$M$10000,'GSTR-2A'!$B$6:$B$10000,$C$5:$C$4995,'GSTR-2A'!$A$6:$A$10000,$N$3)</f>
        <v>6359.56</v>
      </c>
      <c r="R127" s="488">
        <f>SUMIFS('GSTR-2A'!$N$6:$N$10000,'GSTR-2A'!$B$6:$B$10000,$C$5:$C$4995,'GSTR-2A'!$A$6:$A$10000,$N$3)</f>
        <v>6359.56</v>
      </c>
      <c r="S127" s="486">
        <f>SUMIFS('GSTR-2A'!$G$6:$G$10000,'GSTR-2A'!$B$6:$B$10000,$C$5:$C$4995,'GSTR-2A'!$A$6:$A$10000,$S$3)</f>
        <v>66721.56</v>
      </c>
      <c r="T127" s="487">
        <f>SUMIFS('GSTR-2A'!$K$6:$K$10000,'GSTR-2A'!$B$6:$B$10000,$C$5:$C$4995,'GSTR-2A'!$A$6:$A$10000,$S$3)</f>
        <v>52126.200000000004</v>
      </c>
      <c r="U127" s="487">
        <f>SUMIFS('GSTR-2A'!$L$6:$L$10000,'GSTR-2A'!$B$6:$B$10000,$C$5:$C$4995,'GSTR-2A'!$A$6:$A$10000,$S$3)</f>
        <v>0</v>
      </c>
      <c r="V127" s="487">
        <f>SUMIFS('GSTR-2A'!$M$6:$M$10000,'GSTR-2A'!$B$6:$B$10000,$C$5:$C$4995,'GSTR-2A'!$A$6:$A$10000,$S$3)</f>
        <v>7297.68</v>
      </c>
      <c r="W127" s="488">
        <f>SUMIFS('GSTR-2A'!$N$6:$N$10000,'GSTR-2A'!$B$6:$B$10000,$C$5:$C$4995,'GSTR-2A'!$A$6:$A$10000,$S$3)</f>
        <v>7297.68</v>
      </c>
      <c r="X127" s="486">
        <f>SUMIFS('GSTR-2A'!$G$6:$G$10000,'GSTR-2A'!$B$6:$B$10000,$C$5:$C$4995,'GSTR-2A'!$A$6:$A$10000,$X$3)</f>
        <v>0</v>
      </c>
      <c r="Y127" s="487">
        <f>SUMIFS('GSTR-2A'!$K$6:$K$10000,'GSTR-2A'!$B$6:$B$10000,$C$5:$C$4995,'GSTR-2A'!$A$6:$A$10000,$X$3)</f>
        <v>0</v>
      </c>
      <c r="Z127" s="487">
        <f>SUMIFS('GSTR-2A'!$L$6:$L$10000,'GSTR-2A'!$B$6:$B$10000,$C$5:$C$4995,'GSTR-2A'!$A$6:$A$10000,$X$3)</f>
        <v>0</v>
      </c>
      <c r="AA127" s="487">
        <f>SUMIFS('GSTR-2A'!$M$6:$M$10000,'GSTR-2A'!$B$6:$B$10000,$C$5:$C$4995,'GSTR-2A'!$A$6:$A$10000,$X$3)</f>
        <v>0</v>
      </c>
      <c r="AB127" s="488">
        <f>SUMIFS('GSTR-2A'!$N$6:$N$10000,'GSTR-2A'!$B$6:$B$10000,$C$5:$C$4995,'GSTR-2A'!$A$6:$A$10000,$X$3)</f>
        <v>0</v>
      </c>
      <c r="AC127" s="486">
        <f>SUMIFS('GSTR-2A'!$G$6:$G$10000,'GSTR-2A'!$B$6:$B$10000,$C$5:$C$4995,'GSTR-2A'!$A$6:$A$10000,$AC$3)</f>
        <v>52448.259999999995</v>
      </c>
      <c r="AD127" s="487">
        <f>SUMIFS('GSTR-2A'!$K$6:$K$10000,'GSTR-2A'!$B$6:$B$10000,$C$5:$C$4995,'GSTR-2A'!$A$6:$A$10000,$AC$3)</f>
        <v>40975.199999999997</v>
      </c>
      <c r="AE127" s="487">
        <f>SUMIFS('GSTR-2A'!$L$6:$L$10000,'GSTR-2A'!$B$6:$B$10000,$C$5:$C$4995,'GSTR-2A'!$A$6:$A$10000,$AC$3)</f>
        <v>0</v>
      </c>
      <c r="AF127" s="487">
        <f>SUMIFS('GSTR-2A'!$M$6:$M$10000,'GSTR-2A'!$B$6:$B$10000,$C$5:$C$4995,'GSTR-2A'!$A$6:$A$10000,$AC$3)</f>
        <v>5736.5300000000007</v>
      </c>
      <c r="AG127" s="488">
        <f>SUMIFS('GSTR-2A'!$N$6:$N$10000,'GSTR-2A'!$B$6:$B$10000,$C$5:$C$4995,'GSTR-2A'!$A$6:$A$10000,$AC$3)</f>
        <v>5736.5300000000007</v>
      </c>
      <c r="AH127" s="486">
        <f>SUMIFS('GSTR-2A'!$G$6:$G$10000,'GSTR-2A'!$B$6:$B$10000,$C$5:$C$4995,'GSTR-2A'!$A$6:$A$10000,$AH$3)</f>
        <v>0</v>
      </c>
      <c r="AI127" s="487">
        <f>SUMIFS('GSTR-2A'!$K$6:$K$10000,'GSTR-2A'!$B$6:$B$10000,$C$5:$C$4995,'GSTR-2A'!$A$6:$A$10000,$AH$3)</f>
        <v>0</v>
      </c>
      <c r="AJ127" s="487">
        <f>SUMIFS('GSTR-2A'!$L$6:$L$10000,'GSTR-2A'!$B$6:$B$10000,$C$5:$C$4995,'GSTR-2A'!$A$6:$A$10000,$AH$3)</f>
        <v>0</v>
      </c>
      <c r="AK127" s="487">
        <f>SUMIFS('GSTR-2A'!$M$6:$M$10000,'GSTR-2A'!$B$6:$B$10000,$C$5:$C$4995,'GSTR-2A'!$A$6:$A$10000,$AH$3)</f>
        <v>0</v>
      </c>
      <c r="AL127" s="488">
        <f>SUMIFS('GSTR-2A'!$N$6:$N$10000,'GSTR-2A'!$B$6:$B$10000,$C$5:$C$4995,'GSTR-2A'!$A$6:$A$10000,$AH$3)</f>
        <v>0</v>
      </c>
      <c r="AM127" s="486">
        <f>SUMIFS('GSTR-2A'!$G$6:$G$10000,'GSTR-2A'!$B$6:$B$10000,$C$5:$C$4995,'GSTR-2A'!$A$6:$A$10000,$AM$3)</f>
        <v>0</v>
      </c>
      <c r="AN127" s="487">
        <f>SUMIFS('GSTR-2A'!$K$6:$K$10000,'GSTR-2A'!$B$6:$B$10000,$C$5:$C$4995,'GSTR-2A'!$A$6:$A$10000,$AM$3)</f>
        <v>0</v>
      </c>
      <c r="AO127" s="487">
        <f>SUMIFS('GSTR-2A'!$L$6:$L$10000,'GSTR-2A'!$B$6:$B$10000,$C$5:$C$4995,'GSTR-2A'!$A$6:$A$10000,$AM$3)</f>
        <v>0</v>
      </c>
      <c r="AP127" s="487">
        <f>SUMIFS('GSTR-2A'!$M$6:$M$10000,'GSTR-2A'!$B$6:$B$10000,$C$5:$C$4995,'GSTR-2A'!$A$6:$A$10000,$AM$3)</f>
        <v>0</v>
      </c>
      <c r="AQ127" s="488">
        <f>SUMIFS('GSTR-2A'!$N$6:$N$10000,'GSTR-2A'!$B$6:$B$10000,$C$5:$C$4995,'GSTR-2A'!$A$6:$A$10000,$AM$3)</f>
        <v>0</v>
      </c>
      <c r="AR127" s="486">
        <f>SUMIFS('GSTR-2A'!$G$6:$G$10000,'GSTR-2A'!$B$6:$B$10000,$C$5:$C$4995,'GSTR-2A'!$A$6:$A$10000,$AR$3)</f>
        <v>0</v>
      </c>
      <c r="AS127" s="487">
        <f>SUMIFS('GSTR-2A'!$K$6:$K$10000,'GSTR-2A'!$B$6:$B$10000,$C$5:$C$4995,'GSTR-2A'!$A$6:$A$10000,$AR$3)</f>
        <v>0</v>
      </c>
      <c r="AT127" s="487">
        <f>SUMIFS('GSTR-2A'!$L$6:$L$10000,'GSTR-2A'!$B$6:$B$10000,$C$5:$C$4995,'GSTR-2A'!$A$6:$A$10000,$AR$3)</f>
        <v>0</v>
      </c>
      <c r="AU127" s="487">
        <f>SUMIFS('GSTR-2A'!$M$6:$M$10000,'GSTR-2A'!$B$6:$B$10000,$C$5:$C$4995,'GSTR-2A'!$A$6:$A$10000,$AR$3)</f>
        <v>0</v>
      </c>
      <c r="AV127" s="488">
        <f>SUMIFS('GSTR-2A'!$N$6:$N$10000,'GSTR-2A'!$B$6:$B$10000,$C$5:$C$4995,'GSTR-2A'!$A$6:$A$10000,$AR$3)</f>
        <v>0</v>
      </c>
      <c r="AW127" s="486">
        <f>SUMIFS('GSTR-2A'!$G$6:$G$10000,'GSTR-2A'!$B$6:$B$10000,$C$5:$C$4995,'GSTR-2A'!$A$6:$A$10000,$AW$3)</f>
        <v>0</v>
      </c>
      <c r="AX127" s="487">
        <f>SUMIFS('GSTR-2A'!$K$6:$K$10000,'GSTR-2A'!$B$6:$B$10000,$C$5:$C$4995,'GSTR-2A'!$A$6:$A$10000,$AW$3)</f>
        <v>0</v>
      </c>
      <c r="AY127" s="487">
        <f>SUMIFS('GSTR-2A'!$L$6:$L$10000,'GSTR-2A'!$B$6:$B$10000,$C$5:$C$4995,'GSTR-2A'!$A$6:$A$10000,$AW$3)</f>
        <v>0</v>
      </c>
      <c r="AZ127" s="487">
        <f>SUMIFS('GSTR-2A'!$M$6:$M$10000,'GSTR-2A'!$B$6:$B$10000,$C$5:$C$4995,'GSTR-2A'!$A$6:$A$10000,$AW$3)</f>
        <v>0</v>
      </c>
      <c r="BA127" s="488">
        <f>SUMIFS('GSTR-2A'!$N$6:$N$10000,'GSTR-2A'!$B$6:$B$10000,$C$5:$C$4995,'GSTR-2A'!$A$6:$A$10000,$AW$3)</f>
        <v>0</v>
      </c>
      <c r="BB127" s="486">
        <f>SUMIFS('GSTR-2A'!$G$6:$G$10000,'GSTR-2A'!$B$6:$B$10000,$C$5:$C$4995,'GSTR-2A'!$A$6:$A$10000,$BB$3)</f>
        <v>0</v>
      </c>
      <c r="BC127" s="487">
        <f>SUMIFS('GSTR-2A'!$K$6:$K$10000,'GSTR-2A'!$B$6:$B$10000,$C$5:$C$4995,'GSTR-2A'!$A$6:$A$10000,$BB$3)</f>
        <v>0</v>
      </c>
      <c r="BD127" s="487">
        <f>SUMIFS('GSTR-2A'!$L$6:$L$10000,'GSTR-2A'!$B$6:$B$10000,$C$5:$C$4995,'GSTR-2A'!$A$6:$A$10000,$BB$3)</f>
        <v>0</v>
      </c>
      <c r="BE127" s="487">
        <f>SUMIFS('GSTR-2A'!$M$6:$M$10000,'GSTR-2A'!$B$6:$B$10000,$C$5:$C$4995,'GSTR-2A'!$A$6:$A$10000,$BB$3)</f>
        <v>0</v>
      </c>
      <c r="BF127" s="488">
        <f>SUMIFS('GSTR-2A'!$N$6:$N$10000,'GSTR-2A'!$B$6:$B$10000,$C$5:$C$4995,'GSTR-2A'!$A$6:$A$10000,$BB$3)</f>
        <v>0</v>
      </c>
      <c r="BG127" s="486">
        <f>SUMIFS('GSTR-2A'!$G$6:$G$10000,'GSTR-2A'!$B$6:$B$10000,$C$5:$C$4995,'GSTR-2A'!$A$6:$A$10000,$BG$3)</f>
        <v>0</v>
      </c>
      <c r="BH127" s="487">
        <f>SUMIFS('GSTR-2A'!$K$6:$K$10000,'GSTR-2A'!$B$6:$B$10000,$C$5:$C$4995,'GSTR-2A'!$A$6:$A$10000,$BG$3)</f>
        <v>0</v>
      </c>
      <c r="BI127" s="487">
        <f>SUMIFS('GSTR-2A'!$L$6:$L$10000,'GSTR-2A'!$B$6:$B$10000,$C$5:$C$4995,'GSTR-2A'!$A$6:$A$10000,$BG$3)</f>
        <v>0</v>
      </c>
      <c r="BJ127" s="487">
        <f>SUMIFS('GSTR-2A'!$M$6:$M$10000,'GSTR-2A'!$B$6:$B$10000,$C$5:$C$4995,'GSTR-2A'!$A$6:$A$10000,$BG$3)</f>
        <v>0</v>
      </c>
      <c r="BK127" s="488">
        <f>SUMIFS('GSTR-2A'!$N$6:$N$10000,'GSTR-2A'!$B$6:$B$10000,$C$5:$C$4995,'GSTR-2A'!$A$6:$A$10000,$BG$3)</f>
        <v>0</v>
      </c>
      <c r="BL127" s="72">
        <f t="shared" si="7"/>
        <v>177314.34</v>
      </c>
      <c r="BM127" s="72">
        <f t="shared" si="8"/>
        <v>138526.79999999999</v>
      </c>
      <c r="BN127" s="72">
        <f t="shared" si="9"/>
        <v>0</v>
      </c>
      <c r="BO127" s="72">
        <f t="shared" si="10"/>
        <v>19393.770000000004</v>
      </c>
      <c r="BP127" s="72">
        <f t="shared" si="11"/>
        <v>19393.770000000004</v>
      </c>
    </row>
    <row r="128" spans="1:68" x14ac:dyDescent="0.2">
      <c r="A128" s="467">
        <v>125</v>
      </c>
      <c r="B128" s="468" t="s">
        <v>472</v>
      </c>
      <c r="C128" s="469" t="s">
        <v>21</v>
      </c>
      <c r="D128" s="72">
        <f>SUMIFS('GSTR-2A'!$G$6:$G$10000,'GSTR-2A'!$B$6:$B$10000,$C$5:$C$4995,'GSTR-2A'!$A$6:$A$10000,$D$3)</f>
        <v>196364.57999999996</v>
      </c>
      <c r="E128" s="72">
        <f>SUMIFS('GSTR-2A'!$K$6:$K$10000,'GSTR-2A'!$B$6:$B$10000,$C$5:$C$4995,'GSTR-2A'!$A$6:$A$10000,$D$3)</f>
        <v>153409.80000000002</v>
      </c>
      <c r="F128" s="72">
        <f>SUMIFS('GSTR-2A'!$L$6:$L$10000,'GSTR-2A'!$B$6:$B$10000,$C$5:$C$4995,'GSTR-2A'!$A$6:$A$10000,$D$3)</f>
        <v>0</v>
      </c>
      <c r="G128" s="72">
        <f>SUMIFS('GSTR-2A'!$M$6:$M$10000,'GSTR-2A'!$B$6:$B$10000,$C$5:$C$4995,'GSTR-2A'!$A$6:$A$10000,$D$3)</f>
        <v>21477.390000000003</v>
      </c>
      <c r="H128" s="72">
        <f>SUMIFS('GSTR-2A'!$N$6:$N$10000,'GSTR-2A'!$B$6:$B$10000,$C$5:$C$4995,'GSTR-2A'!$A$6:$A$10000,$D$3)</f>
        <v>21477.390000000003</v>
      </c>
      <c r="I128" s="486">
        <f>SUMIFS('GSTR-2A'!$G$6:$G$10000,'GSTR-2A'!$B$6:$B$10000,$C$5:$C$4995,'GSTR-2A'!$A$6:$A$10000,$I$3)</f>
        <v>23731.200000000001</v>
      </c>
      <c r="J128" s="487">
        <f>SUMIFS('GSTR-2A'!$K$6:$K$10000,'GSTR-2A'!$B$6:$B$10000,$C$5:$C$4995,'GSTR-2A'!$A$6:$A$10000,$I$3)</f>
        <v>18540</v>
      </c>
      <c r="K128" s="487">
        <f>SUMIFS('GSTR-2A'!$L$6:$L$10000,'GSTR-2A'!$B$6:$B$10000,$C$5:$C$4995,'GSTR-2A'!$A$6:$A$10000,$I$3)</f>
        <v>0</v>
      </c>
      <c r="L128" s="487">
        <f>SUMIFS('GSTR-2A'!$M$6:$M$10000,'GSTR-2A'!$B$6:$B$10000,$C$5:$C$4995,'GSTR-2A'!$A$6:$A$10000,$I$3)</f>
        <v>2595.6</v>
      </c>
      <c r="M128" s="488">
        <f>SUMIFS('GSTR-2A'!$N$6:$N$10000,'GSTR-2A'!$B$6:$B$10000,$C$5:$C$4995,'GSTR-2A'!$A$6:$A$10000,$I$3)</f>
        <v>2595.6</v>
      </c>
      <c r="N128" s="486">
        <f>SUMIFS('GSTR-2A'!$G$6:$G$10000,'GSTR-2A'!$B$6:$B$10000,$C$5:$C$4995,'GSTR-2A'!$A$6:$A$10000,$N$3)</f>
        <v>0</v>
      </c>
      <c r="O128" s="487">
        <f>SUMIFS('GSTR-2A'!$K$6:$K$10000,'GSTR-2A'!$B$6:$B$10000,$C$5:$C$4995,'GSTR-2A'!$A$6:$A$10000,$N$3)</f>
        <v>0</v>
      </c>
      <c r="P128" s="487">
        <f>SUMIFS('GSTR-2A'!$L$6:$L$10000,'GSTR-2A'!$B$6:$B$10000,$C$5:$C$4995,'GSTR-2A'!$A$6:$A$10000,$N$3)</f>
        <v>0</v>
      </c>
      <c r="Q128" s="487">
        <f>SUMIFS('GSTR-2A'!$M$6:$M$10000,'GSTR-2A'!$B$6:$B$10000,$C$5:$C$4995,'GSTR-2A'!$A$6:$A$10000,$N$3)</f>
        <v>0</v>
      </c>
      <c r="R128" s="488">
        <f>SUMIFS('GSTR-2A'!$N$6:$N$10000,'GSTR-2A'!$B$6:$B$10000,$C$5:$C$4995,'GSTR-2A'!$A$6:$A$10000,$N$3)</f>
        <v>0</v>
      </c>
      <c r="S128" s="486">
        <f>SUMIFS('GSTR-2A'!$G$6:$G$10000,'GSTR-2A'!$B$6:$B$10000,$C$5:$C$4995,'GSTR-2A'!$A$6:$A$10000,$S$3)</f>
        <v>0</v>
      </c>
      <c r="T128" s="487">
        <f>SUMIFS('GSTR-2A'!$K$6:$K$10000,'GSTR-2A'!$B$6:$B$10000,$C$5:$C$4995,'GSTR-2A'!$A$6:$A$10000,$S$3)</f>
        <v>0</v>
      </c>
      <c r="U128" s="487">
        <f>SUMIFS('GSTR-2A'!$L$6:$L$10000,'GSTR-2A'!$B$6:$B$10000,$C$5:$C$4995,'GSTR-2A'!$A$6:$A$10000,$S$3)</f>
        <v>0</v>
      </c>
      <c r="V128" s="487">
        <f>SUMIFS('GSTR-2A'!$M$6:$M$10000,'GSTR-2A'!$B$6:$B$10000,$C$5:$C$4995,'GSTR-2A'!$A$6:$A$10000,$S$3)</f>
        <v>0</v>
      </c>
      <c r="W128" s="488">
        <f>SUMIFS('GSTR-2A'!$N$6:$N$10000,'GSTR-2A'!$B$6:$B$10000,$C$5:$C$4995,'GSTR-2A'!$A$6:$A$10000,$S$3)</f>
        <v>0</v>
      </c>
      <c r="X128" s="486">
        <f>SUMIFS('GSTR-2A'!$G$6:$G$10000,'GSTR-2A'!$B$6:$B$10000,$C$5:$C$4995,'GSTR-2A'!$A$6:$A$10000,$X$3)</f>
        <v>0</v>
      </c>
      <c r="Y128" s="487">
        <f>SUMIFS('GSTR-2A'!$K$6:$K$10000,'GSTR-2A'!$B$6:$B$10000,$C$5:$C$4995,'GSTR-2A'!$A$6:$A$10000,$X$3)</f>
        <v>0</v>
      </c>
      <c r="Z128" s="487">
        <f>SUMIFS('GSTR-2A'!$L$6:$L$10000,'GSTR-2A'!$B$6:$B$10000,$C$5:$C$4995,'GSTR-2A'!$A$6:$A$10000,$X$3)</f>
        <v>0</v>
      </c>
      <c r="AA128" s="487">
        <f>SUMIFS('GSTR-2A'!$M$6:$M$10000,'GSTR-2A'!$B$6:$B$10000,$C$5:$C$4995,'GSTR-2A'!$A$6:$A$10000,$X$3)</f>
        <v>0</v>
      </c>
      <c r="AB128" s="488">
        <f>SUMIFS('GSTR-2A'!$N$6:$N$10000,'GSTR-2A'!$B$6:$B$10000,$C$5:$C$4995,'GSTR-2A'!$A$6:$A$10000,$X$3)</f>
        <v>0</v>
      </c>
      <c r="AC128" s="486">
        <f>SUMIFS('GSTR-2A'!$G$6:$G$10000,'GSTR-2A'!$B$6:$B$10000,$C$5:$C$4995,'GSTR-2A'!$A$6:$A$10000,$AC$3)</f>
        <v>0</v>
      </c>
      <c r="AD128" s="487">
        <f>SUMIFS('GSTR-2A'!$K$6:$K$10000,'GSTR-2A'!$B$6:$B$10000,$C$5:$C$4995,'GSTR-2A'!$A$6:$A$10000,$AC$3)</f>
        <v>0</v>
      </c>
      <c r="AE128" s="487">
        <f>SUMIFS('GSTR-2A'!$L$6:$L$10000,'GSTR-2A'!$B$6:$B$10000,$C$5:$C$4995,'GSTR-2A'!$A$6:$A$10000,$AC$3)</f>
        <v>0</v>
      </c>
      <c r="AF128" s="487">
        <f>SUMIFS('GSTR-2A'!$M$6:$M$10000,'GSTR-2A'!$B$6:$B$10000,$C$5:$C$4995,'GSTR-2A'!$A$6:$A$10000,$AC$3)</f>
        <v>0</v>
      </c>
      <c r="AG128" s="488">
        <f>SUMIFS('GSTR-2A'!$N$6:$N$10000,'GSTR-2A'!$B$6:$B$10000,$C$5:$C$4995,'GSTR-2A'!$A$6:$A$10000,$AC$3)</f>
        <v>0</v>
      </c>
      <c r="AH128" s="486">
        <f>SUMIFS('GSTR-2A'!$G$6:$G$10000,'GSTR-2A'!$B$6:$B$10000,$C$5:$C$4995,'GSTR-2A'!$A$6:$A$10000,$AH$3)</f>
        <v>0</v>
      </c>
      <c r="AI128" s="487">
        <f>SUMIFS('GSTR-2A'!$K$6:$K$10000,'GSTR-2A'!$B$6:$B$10000,$C$5:$C$4995,'GSTR-2A'!$A$6:$A$10000,$AH$3)</f>
        <v>0</v>
      </c>
      <c r="AJ128" s="487">
        <f>SUMIFS('GSTR-2A'!$L$6:$L$10000,'GSTR-2A'!$B$6:$B$10000,$C$5:$C$4995,'GSTR-2A'!$A$6:$A$10000,$AH$3)</f>
        <v>0</v>
      </c>
      <c r="AK128" s="487">
        <f>SUMIFS('GSTR-2A'!$M$6:$M$10000,'GSTR-2A'!$B$6:$B$10000,$C$5:$C$4995,'GSTR-2A'!$A$6:$A$10000,$AH$3)</f>
        <v>0</v>
      </c>
      <c r="AL128" s="488">
        <f>SUMIFS('GSTR-2A'!$N$6:$N$10000,'GSTR-2A'!$B$6:$B$10000,$C$5:$C$4995,'GSTR-2A'!$A$6:$A$10000,$AH$3)</f>
        <v>0</v>
      </c>
      <c r="AM128" s="486">
        <f>SUMIFS('GSTR-2A'!$G$6:$G$10000,'GSTR-2A'!$B$6:$B$10000,$C$5:$C$4995,'GSTR-2A'!$A$6:$A$10000,$AM$3)</f>
        <v>0</v>
      </c>
      <c r="AN128" s="487">
        <f>SUMIFS('GSTR-2A'!$K$6:$K$10000,'GSTR-2A'!$B$6:$B$10000,$C$5:$C$4995,'GSTR-2A'!$A$6:$A$10000,$AM$3)</f>
        <v>0</v>
      </c>
      <c r="AO128" s="487">
        <f>SUMIFS('GSTR-2A'!$L$6:$L$10000,'GSTR-2A'!$B$6:$B$10000,$C$5:$C$4995,'GSTR-2A'!$A$6:$A$10000,$AM$3)</f>
        <v>0</v>
      </c>
      <c r="AP128" s="487">
        <f>SUMIFS('GSTR-2A'!$M$6:$M$10000,'GSTR-2A'!$B$6:$B$10000,$C$5:$C$4995,'GSTR-2A'!$A$6:$A$10000,$AM$3)</f>
        <v>0</v>
      </c>
      <c r="AQ128" s="488">
        <f>SUMIFS('GSTR-2A'!$N$6:$N$10000,'GSTR-2A'!$B$6:$B$10000,$C$5:$C$4995,'GSTR-2A'!$A$6:$A$10000,$AM$3)</f>
        <v>0</v>
      </c>
      <c r="AR128" s="486">
        <f>SUMIFS('GSTR-2A'!$G$6:$G$10000,'GSTR-2A'!$B$6:$B$10000,$C$5:$C$4995,'GSTR-2A'!$A$6:$A$10000,$AR$3)</f>
        <v>0</v>
      </c>
      <c r="AS128" s="487">
        <f>SUMIFS('GSTR-2A'!$K$6:$K$10000,'GSTR-2A'!$B$6:$B$10000,$C$5:$C$4995,'GSTR-2A'!$A$6:$A$10000,$AR$3)</f>
        <v>0</v>
      </c>
      <c r="AT128" s="487">
        <f>SUMIFS('GSTR-2A'!$L$6:$L$10000,'GSTR-2A'!$B$6:$B$10000,$C$5:$C$4995,'GSTR-2A'!$A$6:$A$10000,$AR$3)</f>
        <v>0</v>
      </c>
      <c r="AU128" s="487">
        <f>SUMIFS('GSTR-2A'!$M$6:$M$10000,'GSTR-2A'!$B$6:$B$10000,$C$5:$C$4995,'GSTR-2A'!$A$6:$A$10000,$AR$3)</f>
        <v>0</v>
      </c>
      <c r="AV128" s="488">
        <f>SUMIFS('GSTR-2A'!$N$6:$N$10000,'GSTR-2A'!$B$6:$B$10000,$C$5:$C$4995,'GSTR-2A'!$A$6:$A$10000,$AR$3)</f>
        <v>0</v>
      </c>
      <c r="AW128" s="486">
        <f>SUMIFS('GSTR-2A'!$G$6:$G$10000,'GSTR-2A'!$B$6:$B$10000,$C$5:$C$4995,'GSTR-2A'!$A$6:$A$10000,$AW$3)</f>
        <v>0</v>
      </c>
      <c r="AX128" s="487">
        <f>SUMIFS('GSTR-2A'!$K$6:$K$10000,'GSTR-2A'!$B$6:$B$10000,$C$5:$C$4995,'GSTR-2A'!$A$6:$A$10000,$AW$3)</f>
        <v>0</v>
      </c>
      <c r="AY128" s="487">
        <f>SUMIFS('GSTR-2A'!$L$6:$L$10000,'GSTR-2A'!$B$6:$B$10000,$C$5:$C$4995,'GSTR-2A'!$A$6:$A$10000,$AW$3)</f>
        <v>0</v>
      </c>
      <c r="AZ128" s="487">
        <f>SUMIFS('GSTR-2A'!$M$6:$M$10000,'GSTR-2A'!$B$6:$B$10000,$C$5:$C$4995,'GSTR-2A'!$A$6:$A$10000,$AW$3)</f>
        <v>0</v>
      </c>
      <c r="BA128" s="488">
        <f>SUMIFS('GSTR-2A'!$N$6:$N$10000,'GSTR-2A'!$B$6:$B$10000,$C$5:$C$4995,'GSTR-2A'!$A$6:$A$10000,$AW$3)</f>
        <v>0</v>
      </c>
      <c r="BB128" s="486">
        <f>SUMIFS('GSTR-2A'!$G$6:$G$10000,'GSTR-2A'!$B$6:$B$10000,$C$5:$C$4995,'GSTR-2A'!$A$6:$A$10000,$BB$3)</f>
        <v>0</v>
      </c>
      <c r="BC128" s="487">
        <f>SUMIFS('GSTR-2A'!$K$6:$K$10000,'GSTR-2A'!$B$6:$B$10000,$C$5:$C$4995,'GSTR-2A'!$A$6:$A$10000,$BB$3)</f>
        <v>0</v>
      </c>
      <c r="BD128" s="487">
        <f>SUMIFS('GSTR-2A'!$L$6:$L$10000,'GSTR-2A'!$B$6:$B$10000,$C$5:$C$4995,'GSTR-2A'!$A$6:$A$10000,$BB$3)</f>
        <v>0</v>
      </c>
      <c r="BE128" s="487">
        <f>SUMIFS('GSTR-2A'!$M$6:$M$10000,'GSTR-2A'!$B$6:$B$10000,$C$5:$C$4995,'GSTR-2A'!$A$6:$A$10000,$BB$3)</f>
        <v>0</v>
      </c>
      <c r="BF128" s="488">
        <f>SUMIFS('GSTR-2A'!$N$6:$N$10000,'GSTR-2A'!$B$6:$B$10000,$C$5:$C$4995,'GSTR-2A'!$A$6:$A$10000,$BB$3)</f>
        <v>0</v>
      </c>
      <c r="BG128" s="486">
        <f>SUMIFS('GSTR-2A'!$G$6:$G$10000,'GSTR-2A'!$B$6:$B$10000,$C$5:$C$4995,'GSTR-2A'!$A$6:$A$10000,$BG$3)</f>
        <v>0</v>
      </c>
      <c r="BH128" s="487">
        <f>SUMIFS('GSTR-2A'!$K$6:$K$10000,'GSTR-2A'!$B$6:$B$10000,$C$5:$C$4995,'GSTR-2A'!$A$6:$A$10000,$BG$3)</f>
        <v>0</v>
      </c>
      <c r="BI128" s="487">
        <f>SUMIFS('GSTR-2A'!$L$6:$L$10000,'GSTR-2A'!$B$6:$B$10000,$C$5:$C$4995,'GSTR-2A'!$A$6:$A$10000,$BG$3)</f>
        <v>0</v>
      </c>
      <c r="BJ128" s="487">
        <f>SUMIFS('GSTR-2A'!$M$6:$M$10000,'GSTR-2A'!$B$6:$B$10000,$C$5:$C$4995,'GSTR-2A'!$A$6:$A$10000,$BG$3)</f>
        <v>0</v>
      </c>
      <c r="BK128" s="488">
        <f>SUMIFS('GSTR-2A'!$N$6:$N$10000,'GSTR-2A'!$B$6:$B$10000,$C$5:$C$4995,'GSTR-2A'!$A$6:$A$10000,$BG$3)</f>
        <v>0</v>
      </c>
      <c r="BL128" s="72">
        <f t="shared" si="7"/>
        <v>220095.77999999997</v>
      </c>
      <c r="BM128" s="72">
        <f t="shared" si="8"/>
        <v>171949.80000000002</v>
      </c>
      <c r="BN128" s="72">
        <f t="shared" si="9"/>
        <v>0</v>
      </c>
      <c r="BO128" s="72">
        <f t="shared" si="10"/>
        <v>24072.99</v>
      </c>
      <c r="BP128" s="72">
        <f t="shared" si="11"/>
        <v>24072.99</v>
      </c>
    </row>
    <row r="129" spans="1:68" x14ac:dyDescent="0.2">
      <c r="A129" s="467">
        <v>126</v>
      </c>
      <c r="B129" s="468" t="s">
        <v>1170</v>
      </c>
      <c r="C129" s="468" t="s">
        <v>1171</v>
      </c>
      <c r="D129" s="72">
        <f>SUMIFS('GSTR-2A'!$G$6:$G$10000,'GSTR-2A'!$B$6:$B$10000,$C$5:$C$4995,'GSTR-2A'!$A$6:$A$10000,$D$3)</f>
        <v>0</v>
      </c>
      <c r="E129" s="72">
        <f>SUMIFS('GSTR-2A'!$K$6:$K$10000,'GSTR-2A'!$B$6:$B$10000,$C$5:$C$4995,'GSTR-2A'!$A$6:$A$10000,$D$3)</f>
        <v>0</v>
      </c>
      <c r="F129" s="72">
        <f>SUMIFS('GSTR-2A'!$L$6:$L$10000,'GSTR-2A'!$B$6:$B$10000,$C$5:$C$4995,'GSTR-2A'!$A$6:$A$10000,$D$3)</f>
        <v>0</v>
      </c>
      <c r="G129" s="72">
        <f>SUMIFS('GSTR-2A'!$M$6:$M$10000,'GSTR-2A'!$B$6:$B$10000,$C$5:$C$4995,'GSTR-2A'!$A$6:$A$10000,$D$3)</f>
        <v>0</v>
      </c>
      <c r="H129" s="72">
        <f>SUMIFS('GSTR-2A'!$N$6:$N$10000,'GSTR-2A'!$B$6:$B$10000,$C$5:$C$4995,'GSTR-2A'!$A$6:$A$10000,$D$3)</f>
        <v>0</v>
      </c>
      <c r="I129" s="486">
        <f>SUMIFS('GSTR-2A'!$G$6:$G$10000,'GSTR-2A'!$B$6:$B$10000,$C$5:$C$4995,'GSTR-2A'!$A$6:$A$10000,$I$3)</f>
        <v>0</v>
      </c>
      <c r="J129" s="487">
        <f>SUMIFS('GSTR-2A'!$K$6:$K$10000,'GSTR-2A'!$B$6:$B$10000,$C$5:$C$4995,'GSTR-2A'!$A$6:$A$10000,$I$3)</f>
        <v>0</v>
      </c>
      <c r="K129" s="487">
        <f>SUMIFS('GSTR-2A'!$L$6:$L$10000,'GSTR-2A'!$B$6:$B$10000,$C$5:$C$4995,'GSTR-2A'!$A$6:$A$10000,$I$3)</f>
        <v>0</v>
      </c>
      <c r="L129" s="487">
        <f>SUMIFS('GSTR-2A'!$M$6:$M$10000,'GSTR-2A'!$B$6:$B$10000,$C$5:$C$4995,'GSTR-2A'!$A$6:$A$10000,$I$3)</f>
        <v>0</v>
      </c>
      <c r="M129" s="488">
        <f>SUMIFS('GSTR-2A'!$N$6:$N$10000,'GSTR-2A'!$B$6:$B$10000,$C$5:$C$4995,'GSTR-2A'!$A$6:$A$10000,$I$3)</f>
        <v>0</v>
      </c>
      <c r="N129" s="486">
        <f>SUMIFS('GSTR-2A'!$G$6:$G$10000,'GSTR-2A'!$B$6:$B$10000,$C$5:$C$4995,'GSTR-2A'!$A$6:$A$10000,$N$3)</f>
        <v>0</v>
      </c>
      <c r="O129" s="487">
        <f>SUMIFS('GSTR-2A'!$K$6:$K$10000,'GSTR-2A'!$B$6:$B$10000,$C$5:$C$4995,'GSTR-2A'!$A$6:$A$10000,$N$3)</f>
        <v>0</v>
      </c>
      <c r="P129" s="487">
        <f>SUMIFS('GSTR-2A'!$L$6:$L$10000,'GSTR-2A'!$B$6:$B$10000,$C$5:$C$4995,'GSTR-2A'!$A$6:$A$10000,$N$3)</f>
        <v>0</v>
      </c>
      <c r="Q129" s="487">
        <f>SUMIFS('GSTR-2A'!$M$6:$M$10000,'GSTR-2A'!$B$6:$B$10000,$C$5:$C$4995,'GSTR-2A'!$A$6:$A$10000,$N$3)</f>
        <v>0</v>
      </c>
      <c r="R129" s="488">
        <f>SUMIFS('GSTR-2A'!$N$6:$N$10000,'GSTR-2A'!$B$6:$B$10000,$C$5:$C$4995,'GSTR-2A'!$A$6:$A$10000,$N$3)</f>
        <v>0</v>
      </c>
      <c r="S129" s="486">
        <f>SUMIFS('GSTR-2A'!$G$6:$G$10000,'GSTR-2A'!$B$6:$B$10000,$C$5:$C$4995,'GSTR-2A'!$A$6:$A$10000,$S$3)</f>
        <v>0</v>
      </c>
      <c r="T129" s="487">
        <f>SUMIFS('GSTR-2A'!$K$6:$K$10000,'GSTR-2A'!$B$6:$B$10000,$C$5:$C$4995,'GSTR-2A'!$A$6:$A$10000,$S$3)</f>
        <v>0</v>
      </c>
      <c r="U129" s="487">
        <f>SUMIFS('GSTR-2A'!$L$6:$L$10000,'GSTR-2A'!$B$6:$B$10000,$C$5:$C$4995,'GSTR-2A'!$A$6:$A$10000,$S$3)</f>
        <v>0</v>
      </c>
      <c r="V129" s="487">
        <f>SUMIFS('GSTR-2A'!$M$6:$M$10000,'GSTR-2A'!$B$6:$B$10000,$C$5:$C$4995,'GSTR-2A'!$A$6:$A$10000,$S$3)</f>
        <v>0</v>
      </c>
      <c r="W129" s="488">
        <f>SUMIFS('GSTR-2A'!$N$6:$N$10000,'GSTR-2A'!$B$6:$B$10000,$C$5:$C$4995,'GSTR-2A'!$A$6:$A$10000,$S$3)</f>
        <v>0</v>
      </c>
      <c r="X129" s="486">
        <f>SUMIFS('GSTR-2A'!$G$6:$G$10000,'GSTR-2A'!$B$6:$B$10000,$C$5:$C$4995,'GSTR-2A'!$A$6:$A$10000,$X$3)</f>
        <v>0</v>
      </c>
      <c r="Y129" s="487">
        <f>SUMIFS('GSTR-2A'!$K$6:$K$10000,'GSTR-2A'!$B$6:$B$10000,$C$5:$C$4995,'GSTR-2A'!$A$6:$A$10000,$X$3)</f>
        <v>0</v>
      </c>
      <c r="Z129" s="487">
        <f>SUMIFS('GSTR-2A'!$L$6:$L$10000,'GSTR-2A'!$B$6:$B$10000,$C$5:$C$4995,'GSTR-2A'!$A$6:$A$10000,$X$3)</f>
        <v>0</v>
      </c>
      <c r="AA129" s="487">
        <f>SUMIFS('GSTR-2A'!$M$6:$M$10000,'GSTR-2A'!$B$6:$B$10000,$C$5:$C$4995,'GSTR-2A'!$A$6:$A$10000,$X$3)</f>
        <v>0</v>
      </c>
      <c r="AB129" s="488">
        <f>SUMIFS('GSTR-2A'!$N$6:$N$10000,'GSTR-2A'!$B$6:$B$10000,$C$5:$C$4995,'GSTR-2A'!$A$6:$A$10000,$X$3)</f>
        <v>0</v>
      </c>
      <c r="AC129" s="486">
        <f>SUMIFS('GSTR-2A'!$G$6:$G$10000,'GSTR-2A'!$B$6:$B$10000,$C$5:$C$4995,'GSTR-2A'!$A$6:$A$10000,$AC$3)</f>
        <v>0</v>
      </c>
      <c r="AD129" s="487">
        <f>SUMIFS('GSTR-2A'!$K$6:$K$10000,'GSTR-2A'!$B$6:$B$10000,$C$5:$C$4995,'GSTR-2A'!$A$6:$A$10000,$AC$3)</f>
        <v>0</v>
      </c>
      <c r="AE129" s="487">
        <f>SUMIFS('GSTR-2A'!$L$6:$L$10000,'GSTR-2A'!$B$6:$B$10000,$C$5:$C$4995,'GSTR-2A'!$A$6:$A$10000,$AC$3)</f>
        <v>0</v>
      </c>
      <c r="AF129" s="487">
        <f>SUMIFS('GSTR-2A'!$M$6:$M$10000,'GSTR-2A'!$B$6:$B$10000,$C$5:$C$4995,'GSTR-2A'!$A$6:$A$10000,$AC$3)</f>
        <v>0</v>
      </c>
      <c r="AG129" s="488">
        <f>SUMIFS('GSTR-2A'!$N$6:$N$10000,'GSTR-2A'!$B$6:$B$10000,$C$5:$C$4995,'GSTR-2A'!$A$6:$A$10000,$AC$3)</f>
        <v>0</v>
      </c>
      <c r="AH129" s="486">
        <f>SUMIFS('GSTR-2A'!$G$6:$G$10000,'GSTR-2A'!$B$6:$B$10000,$C$5:$C$4995,'GSTR-2A'!$A$6:$A$10000,$AH$3)</f>
        <v>0</v>
      </c>
      <c r="AI129" s="487">
        <f>SUMIFS('GSTR-2A'!$K$6:$K$10000,'GSTR-2A'!$B$6:$B$10000,$C$5:$C$4995,'GSTR-2A'!$A$6:$A$10000,$AH$3)</f>
        <v>0</v>
      </c>
      <c r="AJ129" s="487">
        <f>SUMIFS('GSTR-2A'!$L$6:$L$10000,'GSTR-2A'!$B$6:$B$10000,$C$5:$C$4995,'GSTR-2A'!$A$6:$A$10000,$AH$3)</f>
        <v>0</v>
      </c>
      <c r="AK129" s="487">
        <f>SUMIFS('GSTR-2A'!$M$6:$M$10000,'GSTR-2A'!$B$6:$B$10000,$C$5:$C$4995,'GSTR-2A'!$A$6:$A$10000,$AH$3)</f>
        <v>0</v>
      </c>
      <c r="AL129" s="488">
        <f>SUMIFS('GSTR-2A'!$N$6:$N$10000,'GSTR-2A'!$B$6:$B$10000,$C$5:$C$4995,'GSTR-2A'!$A$6:$A$10000,$AH$3)</f>
        <v>0</v>
      </c>
      <c r="AM129" s="486">
        <f>SUMIFS('GSTR-2A'!$G$6:$G$10000,'GSTR-2A'!$B$6:$B$10000,$C$5:$C$4995,'GSTR-2A'!$A$6:$A$10000,$AM$3)</f>
        <v>0</v>
      </c>
      <c r="AN129" s="487">
        <f>SUMIFS('GSTR-2A'!$K$6:$K$10000,'GSTR-2A'!$B$6:$B$10000,$C$5:$C$4995,'GSTR-2A'!$A$6:$A$10000,$AM$3)</f>
        <v>0</v>
      </c>
      <c r="AO129" s="487">
        <f>SUMIFS('GSTR-2A'!$L$6:$L$10000,'GSTR-2A'!$B$6:$B$10000,$C$5:$C$4995,'GSTR-2A'!$A$6:$A$10000,$AM$3)</f>
        <v>0</v>
      </c>
      <c r="AP129" s="487">
        <f>SUMIFS('GSTR-2A'!$M$6:$M$10000,'GSTR-2A'!$B$6:$B$10000,$C$5:$C$4995,'GSTR-2A'!$A$6:$A$10000,$AM$3)</f>
        <v>0</v>
      </c>
      <c r="AQ129" s="488">
        <f>SUMIFS('GSTR-2A'!$N$6:$N$10000,'GSTR-2A'!$B$6:$B$10000,$C$5:$C$4995,'GSTR-2A'!$A$6:$A$10000,$AM$3)</f>
        <v>0</v>
      </c>
      <c r="AR129" s="486">
        <f>SUMIFS('GSTR-2A'!$G$6:$G$10000,'GSTR-2A'!$B$6:$B$10000,$C$5:$C$4995,'GSTR-2A'!$A$6:$A$10000,$AR$3)</f>
        <v>0</v>
      </c>
      <c r="AS129" s="487">
        <f>SUMIFS('GSTR-2A'!$K$6:$K$10000,'GSTR-2A'!$B$6:$B$10000,$C$5:$C$4995,'GSTR-2A'!$A$6:$A$10000,$AR$3)</f>
        <v>0</v>
      </c>
      <c r="AT129" s="487">
        <f>SUMIFS('GSTR-2A'!$L$6:$L$10000,'GSTR-2A'!$B$6:$B$10000,$C$5:$C$4995,'GSTR-2A'!$A$6:$A$10000,$AR$3)</f>
        <v>0</v>
      </c>
      <c r="AU129" s="487">
        <f>SUMIFS('GSTR-2A'!$M$6:$M$10000,'GSTR-2A'!$B$6:$B$10000,$C$5:$C$4995,'GSTR-2A'!$A$6:$A$10000,$AR$3)</f>
        <v>0</v>
      </c>
      <c r="AV129" s="488">
        <f>SUMIFS('GSTR-2A'!$N$6:$N$10000,'GSTR-2A'!$B$6:$B$10000,$C$5:$C$4995,'GSTR-2A'!$A$6:$A$10000,$AR$3)</f>
        <v>0</v>
      </c>
      <c r="AW129" s="486">
        <f>SUMIFS('GSTR-2A'!$G$6:$G$10000,'GSTR-2A'!$B$6:$B$10000,$C$5:$C$4995,'GSTR-2A'!$A$6:$A$10000,$AW$3)</f>
        <v>0</v>
      </c>
      <c r="AX129" s="487">
        <f>SUMIFS('GSTR-2A'!$K$6:$K$10000,'GSTR-2A'!$B$6:$B$10000,$C$5:$C$4995,'GSTR-2A'!$A$6:$A$10000,$AW$3)</f>
        <v>0</v>
      </c>
      <c r="AY129" s="487">
        <f>SUMIFS('GSTR-2A'!$L$6:$L$10000,'GSTR-2A'!$B$6:$B$10000,$C$5:$C$4995,'GSTR-2A'!$A$6:$A$10000,$AW$3)</f>
        <v>0</v>
      </c>
      <c r="AZ129" s="487">
        <f>SUMIFS('GSTR-2A'!$M$6:$M$10000,'GSTR-2A'!$B$6:$B$10000,$C$5:$C$4995,'GSTR-2A'!$A$6:$A$10000,$AW$3)</f>
        <v>0</v>
      </c>
      <c r="BA129" s="488">
        <f>SUMIFS('GSTR-2A'!$N$6:$N$10000,'GSTR-2A'!$B$6:$B$10000,$C$5:$C$4995,'GSTR-2A'!$A$6:$A$10000,$AW$3)</f>
        <v>0</v>
      </c>
      <c r="BB129" s="486">
        <f>SUMIFS('GSTR-2A'!$G$6:$G$10000,'GSTR-2A'!$B$6:$B$10000,$C$5:$C$4995,'GSTR-2A'!$A$6:$A$10000,$BB$3)</f>
        <v>0</v>
      </c>
      <c r="BC129" s="487">
        <f>SUMIFS('GSTR-2A'!$K$6:$K$10000,'GSTR-2A'!$B$6:$B$10000,$C$5:$C$4995,'GSTR-2A'!$A$6:$A$10000,$BB$3)</f>
        <v>0</v>
      </c>
      <c r="BD129" s="487">
        <f>SUMIFS('GSTR-2A'!$L$6:$L$10000,'GSTR-2A'!$B$6:$B$10000,$C$5:$C$4995,'GSTR-2A'!$A$6:$A$10000,$BB$3)</f>
        <v>0</v>
      </c>
      <c r="BE129" s="487">
        <f>SUMIFS('GSTR-2A'!$M$6:$M$10000,'GSTR-2A'!$B$6:$B$10000,$C$5:$C$4995,'GSTR-2A'!$A$6:$A$10000,$BB$3)</f>
        <v>0</v>
      </c>
      <c r="BF129" s="488">
        <f>SUMIFS('GSTR-2A'!$N$6:$N$10000,'GSTR-2A'!$B$6:$B$10000,$C$5:$C$4995,'GSTR-2A'!$A$6:$A$10000,$BB$3)</f>
        <v>0</v>
      </c>
      <c r="BG129" s="486">
        <f>SUMIFS('GSTR-2A'!$G$6:$G$10000,'GSTR-2A'!$B$6:$B$10000,$C$5:$C$4995,'GSTR-2A'!$A$6:$A$10000,$BG$3)</f>
        <v>0</v>
      </c>
      <c r="BH129" s="487">
        <f>SUMIFS('GSTR-2A'!$K$6:$K$10000,'GSTR-2A'!$B$6:$B$10000,$C$5:$C$4995,'GSTR-2A'!$A$6:$A$10000,$BG$3)</f>
        <v>0</v>
      </c>
      <c r="BI129" s="487">
        <f>SUMIFS('GSTR-2A'!$L$6:$L$10000,'GSTR-2A'!$B$6:$B$10000,$C$5:$C$4995,'GSTR-2A'!$A$6:$A$10000,$BG$3)</f>
        <v>0</v>
      </c>
      <c r="BJ129" s="487">
        <f>SUMIFS('GSTR-2A'!$M$6:$M$10000,'GSTR-2A'!$B$6:$B$10000,$C$5:$C$4995,'GSTR-2A'!$A$6:$A$10000,$BG$3)</f>
        <v>0</v>
      </c>
      <c r="BK129" s="488">
        <f>SUMIFS('GSTR-2A'!$N$6:$N$10000,'GSTR-2A'!$B$6:$B$10000,$C$5:$C$4995,'GSTR-2A'!$A$6:$A$10000,$BG$3)</f>
        <v>0</v>
      </c>
      <c r="BL129" s="72">
        <f t="shared" si="7"/>
        <v>0</v>
      </c>
      <c r="BM129" s="72">
        <f t="shared" si="8"/>
        <v>0</v>
      </c>
      <c r="BN129" s="72">
        <f t="shared" si="9"/>
        <v>0</v>
      </c>
      <c r="BO129" s="72">
        <f t="shared" si="10"/>
        <v>0</v>
      </c>
      <c r="BP129" s="72">
        <f t="shared" si="11"/>
        <v>0</v>
      </c>
    </row>
    <row r="130" spans="1:68" x14ac:dyDescent="0.2">
      <c r="A130" s="467">
        <v>127</v>
      </c>
      <c r="B130" s="468" t="s">
        <v>1172</v>
      </c>
      <c r="C130" s="469" t="s">
        <v>103</v>
      </c>
      <c r="D130" s="72">
        <f>SUMIFS('GSTR-2A'!$G$6:$G$10000,'GSTR-2A'!$B$6:$B$10000,$C$5:$C$4995,'GSTR-2A'!$A$6:$A$10000,$D$3)</f>
        <v>7798.5300000000007</v>
      </c>
      <c r="E130" s="72">
        <f>SUMIFS('GSTR-2A'!$K$6:$K$10000,'GSTR-2A'!$B$6:$B$10000,$C$5:$C$4995,'GSTR-2A'!$A$6:$A$10000,$D$3)</f>
        <v>6092.61</v>
      </c>
      <c r="F130" s="72">
        <f>SUMIFS('GSTR-2A'!$L$6:$L$10000,'GSTR-2A'!$B$6:$B$10000,$C$5:$C$4995,'GSTR-2A'!$A$6:$A$10000,$D$3)</f>
        <v>1705.92</v>
      </c>
      <c r="G130" s="72">
        <f>SUMIFS('GSTR-2A'!$M$6:$M$10000,'GSTR-2A'!$B$6:$B$10000,$C$5:$C$4995,'GSTR-2A'!$A$6:$A$10000,$D$3)</f>
        <v>0</v>
      </c>
      <c r="H130" s="72">
        <f>SUMIFS('GSTR-2A'!$N$6:$N$10000,'GSTR-2A'!$B$6:$B$10000,$C$5:$C$4995,'GSTR-2A'!$A$6:$A$10000,$D$3)</f>
        <v>0</v>
      </c>
      <c r="I130" s="486">
        <f>SUMIFS('GSTR-2A'!$G$6:$G$10000,'GSTR-2A'!$B$6:$B$10000,$C$5:$C$4995,'GSTR-2A'!$A$6:$A$10000,$I$3)</f>
        <v>0</v>
      </c>
      <c r="J130" s="487">
        <f>SUMIFS('GSTR-2A'!$K$6:$K$10000,'GSTR-2A'!$B$6:$B$10000,$C$5:$C$4995,'GSTR-2A'!$A$6:$A$10000,$I$3)</f>
        <v>0</v>
      </c>
      <c r="K130" s="487">
        <f>SUMIFS('GSTR-2A'!$L$6:$L$10000,'GSTR-2A'!$B$6:$B$10000,$C$5:$C$4995,'GSTR-2A'!$A$6:$A$10000,$I$3)</f>
        <v>0</v>
      </c>
      <c r="L130" s="487">
        <f>SUMIFS('GSTR-2A'!$M$6:$M$10000,'GSTR-2A'!$B$6:$B$10000,$C$5:$C$4995,'GSTR-2A'!$A$6:$A$10000,$I$3)</f>
        <v>0</v>
      </c>
      <c r="M130" s="488">
        <f>SUMIFS('GSTR-2A'!$N$6:$N$10000,'GSTR-2A'!$B$6:$B$10000,$C$5:$C$4995,'GSTR-2A'!$A$6:$A$10000,$I$3)</f>
        <v>0</v>
      </c>
      <c r="N130" s="486">
        <f>SUMIFS('GSTR-2A'!$G$6:$G$10000,'GSTR-2A'!$B$6:$B$10000,$C$5:$C$4995,'GSTR-2A'!$A$6:$A$10000,$N$3)</f>
        <v>38975.74</v>
      </c>
      <c r="O130" s="487">
        <f>SUMIFS('GSTR-2A'!$K$6:$K$10000,'GSTR-2A'!$B$6:$B$10000,$C$5:$C$4995,'GSTR-2A'!$A$6:$A$10000,$N$3)</f>
        <v>30449.8</v>
      </c>
      <c r="P130" s="487">
        <f>SUMIFS('GSTR-2A'!$L$6:$L$10000,'GSTR-2A'!$B$6:$B$10000,$C$5:$C$4995,'GSTR-2A'!$A$6:$A$10000,$N$3)</f>
        <v>8525.9399999999987</v>
      </c>
      <c r="Q130" s="487">
        <f>SUMIFS('GSTR-2A'!$M$6:$M$10000,'GSTR-2A'!$B$6:$B$10000,$C$5:$C$4995,'GSTR-2A'!$A$6:$A$10000,$N$3)</f>
        <v>0</v>
      </c>
      <c r="R130" s="488">
        <f>SUMIFS('GSTR-2A'!$N$6:$N$10000,'GSTR-2A'!$B$6:$B$10000,$C$5:$C$4995,'GSTR-2A'!$A$6:$A$10000,$N$3)</f>
        <v>0</v>
      </c>
      <c r="S130" s="486">
        <f>SUMIFS('GSTR-2A'!$G$6:$G$10000,'GSTR-2A'!$B$6:$B$10000,$C$5:$C$4995,'GSTR-2A'!$A$6:$A$10000,$S$3)</f>
        <v>7762.5599999999995</v>
      </c>
      <c r="T130" s="487">
        <f>SUMIFS('GSTR-2A'!$K$6:$K$10000,'GSTR-2A'!$B$6:$B$10000,$C$5:$C$4995,'GSTR-2A'!$A$6:$A$10000,$S$3)</f>
        <v>6064.5</v>
      </c>
      <c r="U130" s="487">
        <f>SUMIFS('GSTR-2A'!$L$6:$L$10000,'GSTR-2A'!$B$6:$B$10000,$C$5:$C$4995,'GSTR-2A'!$A$6:$A$10000,$S$3)</f>
        <v>1698.06</v>
      </c>
      <c r="V130" s="487">
        <f>SUMIFS('GSTR-2A'!$M$6:$M$10000,'GSTR-2A'!$B$6:$B$10000,$C$5:$C$4995,'GSTR-2A'!$A$6:$A$10000,$S$3)</f>
        <v>0</v>
      </c>
      <c r="W130" s="488">
        <f>SUMIFS('GSTR-2A'!$N$6:$N$10000,'GSTR-2A'!$B$6:$B$10000,$C$5:$C$4995,'GSTR-2A'!$A$6:$A$10000,$S$3)</f>
        <v>0</v>
      </c>
      <c r="X130" s="486">
        <f>SUMIFS('GSTR-2A'!$G$6:$G$10000,'GSTR-2A'!$B$6:$B$10000,$C$5:$C$4995,'GSTR-2A'!$A$6:$A$10000,$X$3)</f>
        <v>5917.84</v>
      </c>
      <c r="Y130" s="487">
        <f>SUMIFS('GSTR-2A'!$K$6:$K$10000,'GSTR-2A'!$B$6:$B$10000,$C$5:$C$4995,'GSTR-2A'!$A$6:$A$10000,$X$3)</f>
        <v>4623.3100000000004</v>
      </c>
      <c r="Z130" s="487">
        <f>SUMIFS('GSTR-2A'!$L$6:$L$10000,'GSTR-2A'!$B$6:$B$10000,$C$5:$C$4995,'GSTR-2A'!$A$6:$A$10000,$X$3)</f>
        <v>1294.53</v>
      </c>
      <c r="AA130" s="487">
        <f>SUMIFS('GSTR-2A'!$M$6:$M$10000,'GSTR-2A'!$B$6:$B$10000,$C$5:$C$4995,'GSTR-2A'!$A$6:$A$10000,$X$3)</f>
        <v>0</v>
      </c>
      <c r="AB130" s="488">
        <f>SUMIFS('GSTR-2A'!$N$6:$N$10000,'GSTR-2A'!$B$6:$B$10000,$C$5:$C$4995,'GSTR-2A'!$A$6:$A$10000,$X$3)</f>
        <v>0</v>
      </c>
      <c r="AC130" s="486">
        <f>SUMIFS('GSTR-2A'!$G$6:$G$10000,'GSTR-2A'!$B$6:$B$10000,$C$5:$C$4995,'GSTR-2A'!$A$6:$A$10000,$AC$3)</f>
        <v>24145.480000000003</v>
      </c>
      <c r="AD130" s="487">
        <f>SUMIFS('GSTR-2A'!$K$6:$K$10000,'GSTR-2A'!$B$6:$B$10000,$C$5:$C$4995,'GSTR-2A'!$A$6:$A$10000,$AC$3)</f>
        <v>18863.659999999996</v>
      </c>
      <c r="AE130" s="487">
        <f>SUMIFS('GSTR-2A'!$L$6:$L$10000,'GSTR-2A'!$B$6:$B$10000,$C$5:$C$4995,'GSTR-2A'!$A$6:$A$10000,$AC$3)</f>
        <v>5281.82</v>
      </c>
      <c r="AF130" s="487">
        <f>SUMIFS('GSTR-2A'!$M$6:$M$10000,'GSTR-2A'!$B$6:$B$10000,$C$5:$C$4995,'GSTR-2A'!$A$6:$A$10000,$AC$3)</f>
        <v>0</v>
      </c>
      <c r="AG130" s="488">
        <f>SUMIFS('GSTR-2A'!$N$6:$N$10000,'GSTR-2A'!$B$6:$B$10000,$C$5:$C$4995,'GSTR-2A'!$A$6:$A$10000,$AC$3)</f>
        <v>0</v>
      </c>
      <c r="AH130" s="486">
        <f>SUMIFS('GSTR-2A'!$G$6:$G$10000,'GSTR-2A'!$B$6:$B$10000,$C$5:$C$4995,'GSTR-2A'!$A$6:$A$10000,$AH$3)</f>
        <v>3016.42</v>
      </c>
      <c r="AI130" s="487">
        <f>SUMIFS('GSTR-2A'!$K$6:$K$10000,'GSTR-2A'!$B$6:$B$10000,$C$5:$C$4995,'GSTR-2A'!$A$6:$A$10000,$AH$3)</f>
        <v>2356.58</v>
      </c>
      <c r="AJ130" s="487">
        <f>SUMIFS('GSTR-2A'!$L$6:$L$10000,'GSTR-2A'!$B$6:$B$10000,$C$5:$C$4995,'GSTR-2A'!$A$6:$A$10000,$AH$3)</f>
        <v>659.84</v>
      </c>
      <c r="AK130" s="487">
        <f>SUMIFS('GSTR-2A'!$M$6:$M$10000,'GSTR-2A'!$B$6:$B$10000,$C$5:$C$4995,'GSTR-2A'!$A$6:$A$10000,$AH$3)</f>
        <v>0</v>
      </c>
      <c r="AL130" s="488">
        <f>SUMIFS('GSTR-2A'!$N$6:$N$10000,'GSTR-2A'!$B$6:$B$10000,$C$5:$C$4995,'GSTR-2A'!$A$6:$A$10000,$AH$3)</f>
        <v>0</v>
      </c>
      <c r="AM130" s="486">
        <f>SUMIFS('GSTR-2A'!$G$6:$G$10000,'GSTR-2A'!$B$6:$B$10000,$C$5:$C$4995,'GSTR-2A'!$A$6:$A$10000,$AM$3)</f>
        <v>0</v>
      </c>
      <c r="AN130" s="487">
        <f>SUMIFS('GSTR-2A'!$K$6:$K$10000,'GSTR-2A'!$B$6:$B$10000,$C$5:$C$4995,'GSTR-2A'!$A$6:$A$10000,$AM$3)</f>
        <v>0</v>
      </c>
      <c r="AO130" s="487">
        <f>SUMIFS('GSTR-2A'!$L$6:$L$10000,'GSTR-2A'!$B$6:$B$10000,$C$5:$C$4995,'GSTR-2A'!$A$6:$A$10000,$AM$3)</f>
        <v>0</v>
      </c>
      <c r="AP130" s="487">
        <f>SUMIFS('GSTR-2A'!$M$6:$M$10000,'GSTR-2A'!$B$6:$B$10000,$C$5:$C$4995,'GSTR-2A'!$A$6:$A$10000,$AM$3)</f>
        <v>0</v>
      </c>
      <c r="AQ130" s="488">
        <f>SUMIFS('GSTR-2A'!$N$6:$N$10000,'GSTR-2A'!$B$6:$B$10000,$C$5:$C$4995,'GSTR-2A'!$A$6:$A$10000,$AM$3)</f>
        <v>0</v>
      </c>
      <c r="AR130" s="486">
        <f>SUMIFS('GSTR-2A'!$G$6:$G$10000,'GSTR-2A'!$B$6:$B$10000,$C$5:$C$4995,'GSTR-2A'!$A$6:$A$10000,$AR$3)</f>
        <v>0</v>
      </c>
      <c r="AS130" s="487">
        <f>SUMIFS('GSTR-2A'!$K$6:$K$10000,'GSTR-2A'!$B$6:$B$10000,$C$5:$C$4995,'GSTR-2A'!$A$6:$A$10000,$AR$3)</f>
        <v>0</v>
      </c>
      <c r="AT130" s="487">
        <f>SUMIFS('GSTR-2A'!$L$6:$L$10000,'GSTR-2A'!$B$6:$B$10000,$C$5:$C$4995,'GSTR-2A'!$A$6:$A$10000,$AR$3)</f>
        <v>0</v>
      </c>
      <c r="AU130" s="487">
        <f>SUMIFS('GSTR-2A'!$M$6:$M$10000,'GSTR-2A'!$B$6:$B$10000,$C$5:$C$4995,'GSTR-2A'!$A$6:$A$10000,$AR$3)</f>
        <v>0</v>
      </c>
      <c r="AV130" s="488">
        <f>SUMIFS('GSTR-2A'!$N$6:$N$10000,'GSTR-2A'!$B$6:$B$10000,$C$5:$C$4995,'GSTR-2A'!$A$6:$A$10000,$AR$3)</f>
        <v>0</v>
      </c>
      <c r="AW130" s="486">
        <f>SUMIFS('GSTR-2A'!$G$6:$G$10000,'GSTR-2A'!$B$6:$B$10000,$C$5:$C$4995,'GSTR-2A'!$A$6:$A$10000,$AW$3)</f>
        <v>0</v>
      </c>
      <c r="AX130" s="487">
        <f>SUMIFS('GSTR-2A'!$K$6:$K$10000,'GSTR-2A'!$B$6:$B$10000,$C$5:$C$4995,'GSTR-2A'!$A$6:$A$10000,$AW$3)</f>
        <v>0</v>
      </c>
      <c r="AY130" s="487">
        <f>SUMIFS('GSTR-2A'!$L$6:$L$10000,'GSTR-2A'!$B$6:$B$10000,$C$5:$C$4995,'GSTR-2A'!$A$6:$A$10000,$AW$3)</f>
        <v>0</v>
      </c>
      <c r="AZ130" s="487">
        <f>SUMIFS('GSTR-2A'!$M$6:$M$10000,'GSTR-2A'!$B$6:$B$10000,$C$5:$C$4995,'GSTR-2A'!$A$6:$A$10000,$AW$3)</f>
        <v>0</v>
      </c>
      <c r="BA130" s="488">
        <f>SUMIFS('GSTR-2A'!$N$6:$N$10000,'GSTR-2A'!$B$6:$B$10000,$C$5:$C$4995,'GSTR-2A'!$A$6:$A$10000,$AW$3)</f>
        <v>0</v>
      </c>
      <c r="BB130" s="486">
        <f>SUMIFS('GSTR-2A'!$G$6:$G$10000,'GSTR-2A'!$B$6:$B$10000,$C$5:$C$4995,'GSTR-2A'!$A$6:$A$10000,$BB$3)</f>
        <v>0</v>
      </c>
      <c r="BC130" s="487">
        <f>SUMIFS('GSTR-2A'!$K$6:$K$10000,'GSTR-2A'!$B$6:$B$10000,$C$5:$C$4995,'GSTR-2A'!$A$6:$A$10000,$BB$3)</f>
        <v>0</v>
      </c>
      <c r="BD130" s="487">
        <f>SUMIFS('GSTR-2A'!$L$6:$L$10000,'GSTR-2A'!$B$6:$B$10000,$C$5:$C$4995,'GSTR-2A'!$A$6:$A$10000,$BB$3)</f>
        <v>0</v>
      </c>
      <c r="BE130" s="487">
        <f>SUMIFS('GSTR-2A'!$M$6:$M$10000,'GSTR-2A'!$B$6:$B$10000,$C$5:$C$4995,'GSTR-2A'!$A$6:$A$10000,$BB$3)</f>
        <v>0</v>
      </c>
      <c r="BF130" s="488">
        <f>SUMIFS('GSTR-2A'!$N$6:$N$10000,'GSTR-2A'!$B$6:$B$10000,$C$5:$C$4995,'GSTR-2A'!$A$6:$A$10000,$BB$3)</f>
        <v>0</v>
      </c>
      <c r="BG130" s="486">
        <f>SUMIFS('GSTR-2A'!$G$6:$G$10000,'GSTR-2A'!$B$6:$B$10000,$C$5:$C$4995,'GSTR-2A'!$A$6:$A$10000,$BG$3)</f>
        <v>0</v>
      </c>
      <c r="BH130" s="487">
        <f>SUMIFS('GSTR-2A'!$K$6:$K$10000,'GSTR-2A'!$B$6:$B$10000,$C$5:$C$4995,'GSTR-2A'!$A$6:$A$10000,$BG$3)</f>
        <v>0</v>
      </c>
      <c r="BI130" s="487">
        <f>SUMIFS('GSTR-2A'!$L$6:$L$10000,'GSTR-2A'!$B$6:$B$10000,$C$5:$C$4995,'GSTR-2A'!$A$6:$A$10000,$BG$3)</f>
        <v>0</v>
      </c>
      <c r="BJ130" s="487">
        <f>SUMIFS('GSTR-2A'!$M$6:$M$10000,'GSTR-2A'!$B$6:$B$10000,$C$5:$C$4995,'GSTR-2A'!$A$6:$A$10000,$BG$3)</f>
        <v>0</v>
      </c>
      <c r="BK130" s="488">
        <f>SUMIFS('GSTR-2A'!$N$6:$N$10000,'GSTR-2A'!$B$6:$B$10000,$C$5:$C$4995,'GSTR-2A'!$A$6:$A$10000,$BG$3)</f>
        <v>0</v>
      </c>
      <c r="BL130" s="72">
        <f t="shared" si="7"/>
        <v>87616.569999999992</v>
      </c>
      <c r="BM130" s="72">
        <f t="shared" si="8"/>
        <v>68450.459999999992</v>
      </c>
      <c r="BN130" s="72">
        <f t="shared" si="9"/>
        <v>19166.109999999997</v>
      </c>
      <c r="BO130" s="72">
        <f t="shared" si="10"/>
        <v>0</v>
      </c>
      <c r="BP130" s="72">
        <f t="shared" si="11"/>
        <v>0</v>
      </c>
    </row>
    <row r="131" spans="1:68" x14ac:dyDescent="0.2">
      <c r="A131" s="467">
        <v>128</v>
      </c>
      <c r="B131" s="468" t="s">
        <v>1173</v>
      </c>
      <c r="C131" s="469" t="s">
        <v>1174</v>
      </c>
      <c r="D131" s="72">
        <f>SUMIFS('GSTR-2A'!$G$6:$G$10000,'GSTR-2A'!$B$6:$B$10000,$C$5:$C$4995,'GSTR-2A'!$A$6:$A$10000,$D$3)</f>
        <v>0</v>
      </c>
      <c r="E131" s="72">
        <f>SUMIFS('GSTR-2A'!$K$6:$K$10000,'GSTR-2A'!$B$6:$B$10000,$C$5:$C$4995,'GSTR-2A'!$A$6:$A$10000,$D$3)</f>
        <v>0</v>
      </c>
      <c r="F131" s="72">
        <f>SUMIFS('GSTR-2A'!$L$6:$L$10000,'GSTR-2A'!$B$6:$B$10000,$C$5:$C$4995,'GSTR-2A'!$A$6:$A$10000,$D$3)</f>
        <v>0</v>
      </c>
      <c r="G131" s="72">
        <f>SUMIFS('GSTR-2A'!$M$6:$M$10000,'GSTR-2A'!$B$6:$B$10000,$C$5:$C$4995,'GSTR-2A'!$A$6:$A$10000,$D$3)</f>
        <v>0</v>
      </c>
      <c r="H131" s="72">
        <f>SUMIFS('GSTR-2A'!$N$6:$N$10000,'GSTR-2A'!$B$6:$B$10000,$C$5:$C$4995,'GSTR-2A'!$A$6:$A$10000,$D$3)</f>
        <v>0</v>
      </c>
      <c r="I131" s="486">
        <f>SUMIFS('GSTR-2A'!$G$6:$G$10000,'GSTR-2A'!$B$6:$B$10000,$C$5:$C$4995,'GSTR-2A'!$A$6:$A$10000,$I$3)</f>
        <v>0</v>
      </c>
      <c r="J131" s="487">
        <f>SUMIFS('GSTR-2A'!$K$6:$K$10000,'GSTR-2A'!$B$6:$B$10000,$C$5:$C$4995,'GSTR-2A'!$A$6:$A$10000,$I$3)</f>
        <v>0</v>
      </c>
      <c r="K131" s="487">
        <f>SUMIFS('GSTR-2A'!$L$6:$L$10000,'GSTR-2A'!$B$6:$B$10000,$C$5:$C$4995,'GSTR-2A'!$A$6:$A$10000,$I$3)</f>
        <v>0</v>
      </c>
      <c r="L131" s="487">
        <f>SUMIFS('GSTR-2A'!$M$6:$M$10000,'GSTR-2A'!$B$6:$B$10000,$C$5:$C$4995,'GSTR-2A'!$A$6:$A$10000,$I$3)</f>
        <v>0</v>
      </c>
      <c r="M131" s="488">
        <f>SUMIFS('GSTR-2A'!$N$6:$N$10000,'GSTR-2A'!$B$6:$B$10000,$C$5:$C$4995,'GSTR-2A'!$A$6:$A$10000,$I$3)</f>
        <v>0</v>
      </c>
      <c r="N131" s="486">
        <f>SUMIFS('GSTR-2A'!$G$6:$G$10000,'GSTR-2A'!$B$6:$B$10000,$C$5:$C$4995,'GSTR-2A'!$A$6:$A$10000,$N$3)</f>
        <v>0</v>
      </c>
      <c r="O131" s="487">
        <f>SUMIFS('GSTR-2A'!$K$6:$K$10000,'GSTR-2A'!$B$6:$B$10000,$C$5:$C$4995,'GSTR-2A'!$A$6:$A$10000,$N$3)</f>
        <v>0</v>
      </c>
      <c r="P131" s="487">
        <f>SUMIFS('GSTR-2A'!$L$6:$L$10000,'GSTR-2A'!$B$6:$B$10000,$C$5:$C$4995,'GSTR-2A'!$A$6:$A$10000,$N$3)</f>
        <v>0</v>
      </c>
      <c r="Q131" s="487">
        <f>SUMIFS('GSTR-2A'!$M$6:$M$10000,'GSTR-2A'!$B$6:$B$10000,$C$5:$C$4995,'GSTR-2A'!$A$6:$A$10000,$N$3)</f>
        <v>0</v>
      </c>
      <c r="R131" s="488">
        <f>SUMIFS('GSTR-2A'!$N$6:$N$10000,'GSTR-2A'!$B$6:$B$10000,$C$5:$C$4995,'GSTR-2A'!$A$6:$A$10000,$N$3)</f>
        <v>0</v>
      </c>
      <c r="S131" s="486">
        <f>SUMIFS('GSTR-2A'!$G$6:$G$10000,'GSTR-2A'!$B$6:$B$10000,$C$5:$C$4995,'GSTR-2A'!$A$6:$A$10000,$S$3)</f>
        <v>0</v>
      </c>
      <c r="T131" s="487">
        <f>SUMIFS('GSTR-2A'!$K$6:$K$10000,'GSTR-2A'!$B$6:$B$10000,$C$5:$C$4995,'GSTR-2A'!$A$6:$A$10000,$S$3)</f>
        <v>0</v>
      </c>
      <c r="U131" s="487">
        <f>SUMIFS('GSTR-2A'!$L$6:$L$10000,'GSTR-2A'!$B$6:$B$10000,$C$5:$C$4995,'GSTR-2A'!$A$6:$A$10000,$S$3)</f>
        <v>0</v>
      </c>
      <c r="V131" s="487">
        <f>SUMIFS('GSTR-2A'!$M$6:$M$10000,'GSTR-2A'!$B$6:$B$10000,$C$5:$C$4995,'GSTR-2A'!$A$6:$A$10000,$S$3)</f>
        <v>0</v>
      </c>
      <c r="W131" s="488">
        <f>SUMIFS('GSTR-2A'!$N$6:$N$10000,'GSTR-2A'!$B$6:$B$10000,$C$5:$C$4995,'GSTR-2A'!$A$6:$A$10000,$S$3)</f>
        <v>0</v>
      </c>
      <c r="X131" s="486">
        <f>SUMIFS('GSTR-2A'!$G$6:$G$10000,'GSTR-2A'!$B$6:$B$10000,$C$5:$C$4995,'GSTR-2A'!$A$6:$A$10000,$X$3)</f>
        <v>0</v>
      </c>
      <c r="Y131" s="487">
        <f>SUMIFS('GSTR-2A'!$K$6:$K$10000,'GSTR-2A'!$B$6:$B$10000,$C$5:$C$4995,'GSTR-2A'!$A$6:$A$10000,$X$3)</f>
        <v>0</v>
      </c>
      <c r="Z131" s="487">
        <f>SUMIFS('GSTR-2A'!$L$6:$L$10000,'GSTR-2A'!$B$6:$B$10000,$C$5:$C$4995,'GSTR-2A'!$A$6:$A$10000,$X$3)</f>
        <v>0</v>
      </c>
      <c r="AA131" s="487">
        <f>SUMIFS('GSTR-2A'!$M$6:$M$10000,'GSTR-2A'!$B$6:$B$10000,$C$5:$C$4995,'GSTR-2A'!$A$6:$A$10000,$X$3)</f>
        <v>0</v>
      </c>
      <c r="AB131" s="488">
        <f>SUMIFS('GSTR-2A'!$N$6:$N$10000,'GSTR-2A'!$B$6:$B$10000,$C$5:$C$4995,'GSTR-2A'!$A$6:$A$10000,$X$3)</f>
        <v>0</v>
      </c>
      <c r="AC131" s="486">
        <f>SUMIFS('GSTR-2A'!$G$6:$G$10000,'GSTR-2A'!$B$6:$B$10000,$C$5:$C$4995,'GSTR-2A'!$A$6:$A$10000,$AC$3)</f>
        <v>0</v>
      </c>
      <c r="AD131" s="487">
        <f>SUMIFS('GSTR-2A'!$K$6:$K$10000,'GSTR-2A'!$B$6:$B$10000,$C$5:$C$4995,'GSTR-2A'!$A$6:$A$10000,$AC$3)</f>
        <v>0</v>
      </c>
      <c r="AE131" s="487">
        <f>SUMIFS('GSTR-2A'!$L$6:$L$10000,'GSTR-2A'!$B$6:$B$10000,$C$5:$C$4995,'GSTR-2A'!$A$6:$A$10000,$AC$3)</f>
        <v>0</v>
      </c>
      <c r="AF131" s="487">
        <f>SUMIFS('GSTR-2A'!$M$6:$M$10000,'GSTR-2A'!$B$6:$B$10000,$C$5:$C$4995,'GSTR-2A'!$A$6:$A$10000,$AC$3)</f>
        <v>0</v>
      </c>
      <c r="AG131" s="488">
        <f>SUMIFS('GSTR-2A'!$N$6:$N$10000,'GSTR-2A'!$B$6:$B$10000,$C$5:$C$4995,'GSTR-2A'!$A$6:$A$10000,$AC$3)</f>
        <v>0</v>
      </c>
      <c r="AH131" s="486">
        <f>SUMIFS('GSTR-2A'!$G$6:$G$10000,'GSTR-2A'!$B$6:$B$10000,$C$5:$C$4995,'GSTR-2A'!$A$6:$A$10000,$AH$3)</f>
        <v>0</v>
      </c>
      <c r="AI131" s="487">
        <f>SUMIFS('GSTR-2A'!$K$6:$K$10000,'GSTR-2A'!$B$6:$B$10000,$C$5:$C$4995,'GSTR-2A'!$A$6:$A$10000,$AH$3)</f>
        <v>0</v>
      </c>
      <c r="AJ131" s="487">
        <f>SUMIFS('GSTR-2A'!$L$6:$L$10000,'GSTR-2A'!$B$6:$B$10000,$C$5:$C$4995,'GSTR-2A'!$A$6:$A$10000,$AH$3)</f>
        <v>0</v>
      </c>
      <c r="AK131" s="487">
        <f>SUMIFS('GSTR-2A'!$M$6:$M$10000,'GSTR-2A'!$B$6:$B$10000,$C$5:$C$4995,'GSTR-2A'!$A$6:$A$10000,$AH$3)</f>
        <v>0</v>
      </c>
      <c r="AL131" s="488">
        <f>SUMIFS('GSTR-2A'!$N$6:$N$10000,'GSTR-2A'!$B$6:$B$10000,$C$5:$C$4995,'GSTR-2A'!$A$6:$A$10000,$AH$3)</f>
        <v>0</v>
      </c>
      <c r="AM131" s="486">
        <f>SUMIFS('GSTR-2A'!$G$6:$G$10000,'GSTR-2A'!$B$6:$B$10000,$C$5:$C$4995,'GSTR-2A'!$A$6:$A$10000,$AM$3)</f>
        <v>0</v>
      </c>
      <c r="AN131" s="487">
        <f>SUMIFS('GSTR-2A'!$K$6:$K$10000,'GSTR-2A'!$B$6:$B$10000,$C$5:$C$4995,'GSTR-2A'!$A$6:$A$10000,$AM$3)</f>
        <v>0</v>
      </c>
      <c r="AO131" s="487">
        <f>SUMIFS('GSTR-2A'!$L$6:$L$10000,'GSTR-2A'!$B$6:$B$10000,$C$5:$C$4995,'GSTR-2A'!$A$6:$A$10000,$AM$3)</f>
        <v>0</v>
      </c>
      <c r="AP131" s="487">
        <f>SUMIFS('GSTR-2A'!$M$6:$M$10000,'GSTR-2A'!$B$6:$B$10000,$C$5:$C$4995,'GSTR-2A'!$A$6:$A$10000,$AM$3)</f>
        <v>0</v>
      </c>
      <c r="AQ131" s="488">
        <f>SUMIFS('GSTR-2A'!$N$6:$N$10000,'GSTR-2A'!$B$6:$B$10000,$C$5:$C$4995,'GSTR-2A'!$A$6:$A$10000,$AM$3)</f>
        <v>0</v>
      </c>
      <c r="AR131" s="486">
        <f>SUMIFS('GSTR-2A'!$G$6:$G$10000,'GSTR-2A'!$B$6:$B$10000,$C$5:$C$4995,'GSTR-2A'!$A$6:$A$10000,$AR$3)</f>
        <v>0</v>
      </c>
      <c r="AS131" s="487">
        <f>SUMIFS('GSTR-2A'!$K$6:$K$10000,'GSTR-2A'!$B$6:$B$10000,$C$5:$C$4995,'GSTR-2A'!$A$6:$A$10000,$AR$3)</f>
        <v>0</v>
      </c>
      <c r="AT131" s="487">
        <f>SUMIFS('GSTR-2A'!$L$6:$L$10000,'GSTR-2A'!$B$6:$B$10000,$C$5:$C$4995,'GSTR-2A'!$A$6:$A$10000,$AR$3)</f>
        <v>0</v>
      </c>
      <c r="AU131" s="487">
        <f>SUMIFS('GSTR-2A'!$M$6:$M$10000,'GSTR-2A'!$B$6:$B$10000,$C$5:$C$4995,'GSTR-2A'!$A$6:$A$10000,$AR$3)</f>
        <v>0</v>
      </c>
      <c r="AV131" s="488">
        <f>SUMIFS('GSTR-2A'!$N$6:$N$10000,'GSTR-2A'!$B$6:$B$10000,$C$5:$C$4995,'GSTR-2A'!$A$6:$A$10000,$AR$3)</f>
        <v>0</v>
      </c>
      <c r="AW131" s="486">
        <f>SUMIFS('GSTR-2A'!$G$6:$G$10000,'GSTR-2A'!$B$6:$B$10000,$C$5:$C$4995,'GSTR-2A'!$A$6:$A$10000,$AW$3)</f>
        <v>0</v>
      </c>
      <c r="AX131" s="487">
        <f>SUMIFS('GSTR-2A'!$K$6:$K$10000,'GSTR-2A'!$B$6:$B$10000,$C$5:$C$4995,'GSTR-2A'!$A$6:$A$10000,$AW$3)</f>
        <v>0</v>
      </c>
      <c r="AY131" s="487">
        <f>SUMIFS('GSTR-2A'!$L$6:$L$10000,'GSTR-2A'!$B$6:$B$10000,$C$5:$C$4995,'GSTR-2A'!$A$6:$A$10000,$AW$3)</f>
        <v>0</v>
      </c>
      <c r="AZ131" s="487">
        <f>SUMIFS('GSTR-2A'!$M$6:$M$10000,'GSTR-2A'!$B$6:$B$10000,$C$5:$C$4995,'GSTR-2A'!$A$6:$A$10000,$AW$3)</f>
        <v>0</v>
      </c>
      <c r="BA131" s="488">
        <f>SUMIFS('GSTR-2A'!$N$6:$N$10000,'GSTR-2A'!$B$6:$B$10000,$C$5:$C$4995,'GSTR-2A'!$A$6:$A$10000,$AW$3)</f>
        <v>0</v>
      </c>
      <c r="BB131" s="486">
        <f>SUMIFS('GSTR-2A'!$G$6:$G$10000,'GSTR-2A'!$B$6:$B$10000,$C$5:$C$4995,'GSTR-2A'!$A$6:$A$10000,$BB$3)</f>
        <v>0</v>
      </c>
      <c r="BC131" s="487">
        <f>SUMIFS('GSTR-2A'!$K$6:$K$10000,'GSTR-2A'!$B$6:$B$10000,$C$5:$C$4995,'GSTR-2A'!$A$6:$A$10000,$BB$3)</f>
        <v>0</v>
      </c>
      <c r="BD131" s="487">
        <f>SUMIFS('GSTR-2A'!$L$6:$L$10000,'GSTR-2A'!$B$6:$B$10000,$C$5:$C$4995,'GSTR-2A'!$A$6:$A$10000,$BB$3)</f>
        <v>0</v>
      </c>
      <c r="BE131" s="487">
        <f>SUMIFS('GSTR-2A'!$M$6:$M$10000,'GSTR-2A'!$B$6:$B$10000,$C$5:$C$4995,'GSTR-2A'!$A$6:$A$10000,$BB$3)</f>
        <v>0</v>
      </c>
      <c r="BF131" s="488">
        <f>SUMIFS('GSTR-2A'!$N$6:$N$10000,'GSTR-2A'!$B$6:$B$10000,$C$5:$C$4995,'GSTR-2A'!$A$6:$A$10000,$BB$3)</f>
        <v>0</v>
      </c>
      <c r="BG131" s="486">
        <f>SUMIFS('GSTR-2A'!$G$6:$G$10000,'GSTR-2A'!$B$6:$B$10000,$C$5:$C$4995,'GSTR-2A'!$A$6:$A$10000,$BG$3)</f>
        <v>0</v>
      </c>
      <c r="BH131" s="487">
        <f>SUMIFS('GSTR-2A'!$K$6:$K$10000,'GSTR-2A'!$B$6:$B$10000,$C$5:$C$4995,'GSTR-2A'!$A$6:$A$10000,$BG$3)</f>
        <v>0</v>
      </c>
      <c r="BI131" s="487">
        <f>SUMIFS('GSTR-2A'!$L$6:$L$10000,'GSTR-2A'!$B$6:$B$10000,$C$5:$C$4995,'GSTR-2A'!$A$6:$A$10000,$BG$3)</f>
        <v>0</v>
      </c>
      <c r="BJ131" s="487">
        <f>SUMIFS('GSTR-2A'!$M$6:$M$10000,'GSTR-2A'!$B$6:$B$10000,$C$5:$C$4995,'GSTR-2A'!$A$6:$A$10000,$BG$3)</f>
        <v>0</v>
      </c>
      <c r="BK131" s="488">
        <f>SUMIFS('GSTR-2A'!$N$6:$N$10000,'GSTR-2A'!$B$6:$B$10000,$C$5:$C$4995,'GSTR-2A'!$A$6:$A$10000,$BG$3)</f>
        <v>0</v>
      </c>
      <c r="BL131" s="72">
        <f t="shared" si="7"/>
        <v>0</v>
      </c>
      <c r="BM131" s="72">
        <f t="shared" si="8"/>
        <v>0</v>
      </c>
      <c r="BN131" s="72">
        <f t="shared" si="9"/>
        <v>0</v>
      </c>
      <c r="BO131" s="72">
        <f t="shared" si="10"/>
        <v>0</v>
      </c>
      <c r="BP131" s="72">
        <f t="shared" si="11"/>
        <v>0</v>
      </c>
    </row>
    <row r="132" spans="1:68" x14ac:dyDescent="0.2">
      <c r="A132" s="467">
        <v>129</v>
      </c>
      <c r="B132" s="475" t="s">
        <v>963</v>
      </c>
      <c r="C132" s="475" t="s">
        <v>964</v>
      </c>
      <c r="D132" s="72">
        <f>SUMIFS('GSTR-2A'!$G$6:$G$10000,'GSTR-2A'!$B$6:$B$10000,$C$5:$C$4995,'GSTR-2A'!$A$6:$A$10000,$D$3)</f>
        <v>0</v>
      </c>
      <c r="E132" s="72">
        <f>SUMIFS('GSTR-2A'!$K$6:$K$10000,'GSTR-2A'!$B$6:$B$10000,$C$5:$C$4995,'GSTR-2A'!$A$6:$A$10000,$D$3)</f>
        <v>0</v>
      </c>
      <c r="F132" s="72">
        <f>SUMIFS('GSTR-2A'!$L$6:$L$10000,'GSTR-2A'!$B$6:$B$10000,$C$5:$C$4995,'GSTR-2A'!$A$6:$A$10000,$D$3)</f>
        <v>0</v>
      </c>
      <c r="G132" s="72">
        <f>SUMIFS('GSTR-2A'!$M$6:$M$10000,'GSTR-2A'!$B$6:$B$10000,$C$5:$C$4995,'GSTR-2A'!$A$6:$A$10000,$D$3)</f>
        <v>0</v>
      </c>
      <c r="H132" s="72">
        <f>SUMIFS('GSTR-2A'!$N$6:$N$10000,'GSTR-2A'!$B$6:$B$10000,$C$5:$C$4995,'GSTR-2A'!$A$6:$A$10000,$D$3)</f>
        <v>0</v>
      </c>
      <c r="I132" s="486">
        <f>SUMIFS('GSTR-2A'!$G$6:$G$10000,'GSTR-2A'!$B$6:$B$10000,$C$5:$C$4995,'GSTR-2A'!$A$6:$A$10000,$I$3)</f>
        <v>0</v>
      </c>
      <c r="J132" s="487">
        <f>SUMIFS('GSTR-2A'!$K$6:$K$10000,'GSTR-2A'!$B$6:$B$10000,$C$5:$C$4995,'GSTR-2A'!$A$6:$A$10000,$I$3)</f>
        <v>0</v>
      </c>
      <c r="K132" s="487">
        <f>SUMIFS('GSTR-2A'!$L$6:$L$10000,'GSTR-2A'!$B$6:$B$10000,$C$5:$C$4995,'GSTR-2A'!$A$6:$A$10000,$I$3)</f>
        <v>0</v>
      </c>
      <c r="L132" s="487">
        <f>SUMIFS('GSTR-2A'!$M$6:$M$10000,'GSTR-2A'!$B$6:$B$10000,$C$5:$C$4995,'GSTR-2A'!$A$6:$A$10000,$I$3)</f>
        <v>0</v>
      </c>
      <c r="M132" s="488">
        <f>SUMIFS('GSTR-2A'!$N$6:$N$10000,'GSTR-2A'!$B$6:$B$10000,$C$5:$C$4995,'GSTR-2A'!$A$6:$A$10000,$I$3)</f>
        <v>0</v>
      </c>
      <c r="N132" s="486">
        <f>SUMIFS('GSTR-2A'!$G$6:$G$10000,'GSTR-2A'!$B$6:$B$10000,$C$5:$C$4995,'GSTR-2A'!$A$6:$A$10000,$N$3)</f>
        <v>0</v>
      </c>
      <c r="O132" s="487">
        <f>SUMIFS('GSTR-2A'!$K$6:$K$10000,'GSTR-2A'!$B$6:$B$10000,$C$5:$C$4995,'GSTR-2A'!$A$6:$A$10000,$N$3)</f>
        <v>0</v>
      </c>
      <c r="P132" s="487">
        <f>SUMIFS('GSTR-2A'!$L$6:$L$10000,'GSTR-2A'!$B$6:$B$10000,$C$5:$C$4995,'GSTR-2A'!$A$6:$A$10000,$N$3)</f>
        <v>0</v>
      </c>
      <c r="Q132" s="487">
        <f>SUMIFS('GSTR-2A'!$M$6:$M$10000,'GSTR-2A'!$B$6:$B$10000,$C$5:$C$4995,'GSTR-2A'!$A$6:$A$10000,$N$3)</f>
        <v>0</v>
      </c>
      <c r="R132" s="488">
        <f>SUMIFS('GSTR-2A'!$N$6:$N$10000,'GSTR-2A'!$B$6:$B$10000,$C$5:$C$4995,'GSTR-2A'!$A$6:$A$10000,$N$3)</f>
        <v>0</v>
      </c>
      <c r="S132" s="486">
        <f>SUMIFS('GSTR-2A'!$G$6:$G$10000,'GSTR-2A'!$B$6:$B$10000,$C$5:$C$4995,'GSTR-2A'!$A$6:$A$10000,$S$3)</f>
        <v>0</v>
      </c>
      <c r="T132" s="487">
        <f>SUMIFS('GSTR-2A'!$K$6:$K$10000,'GSTR-2A'!$B$6:$B$10000,$C$5:$C$4995,'GSTR-2A'!$A$6:$A$10000,$S$3)</f>
        <v>0</v>
      </c>
      <c r="U132" s="487">
        <f>SUMIFS('GSTR-2A'!$L$6:$L$10000,'GSTR-2A'!$B$6:$B$10000,$C$5:$C$4995,'GSTR-2A'!$A$6:$A$10000,$S$3)</f>
        <v>0</v>
      </c>
      <c r="V132" s="487">
        <f>SUMIFS('GSTR-2A'!$M$6:$M$10000,'GSTR-2A'!$B$6:$B$10000,$C$5:$C$4995,'GSTR-2A'!$A$6:$A$10000,$S$3)</f>
        <v>0</v>
      </c>
      <c r="W132" s="488">
        <f>SUMIFS('GSTR-2A'!$N$6:$N$10000,'GSTR-2A'!$B$6:$B$10000,$C$5:$C$4995,'GSTR-2A'!$A$6:$A$10000,$S$3)</f>
        <v>0</v>
      </c>
      <c r="X132" s="486">
        <f>SUMIFS('GSTR-2A'!$G$6:$G$10000,'GSTR-2A'!$B$6:$B$10000,$C$5:$C$4995,'GSTR-2A'!$A$6:$A$10000,$X$3)</f>
        <v>0</v>
      </c>
      <c r="Y132" s="487">
        <f>SUMIFS('GSTR-2A'!$K$6:$K$10000,'GSTR-2A'!$B$6:$B$10000,$C$5:$C$4995,'GSTR-2A'!$A$6:$A$10000,$X$3)</f>
        <v>0</v>
      </c>
      <c r="Z132" s="487">
        <f>SUMIFS('GSTR-2A'!$L$6:$L$10000,'GSTR-2A'!$B$6:$B$10000,$C$5:$C$4995,'GSTR-2A'!$A$6:$A$10000,$X$3)</f>
        <v>0</v>
      </c>
      <c r="AA132" s="487">
        <f>SUMIFS('GSTR-2A'!$M$6:$M$10000,'GSTR-2A'!$B$6:$B$10000,$C$5:$C$4995,'GSTR-2A'!$A$6:$A$10000,$X$3)</f>
        <v>0</v>
      </c>
      <c r="AB132" s="488">
        <f>SUMIFS('GSTR-2A'!$N$6:$N$10000,'GSTR-2A'!$B$6:$B$10000,$C$5:$C$4995,'GSTR-2A'!$A$6:$A$10000,$X$3)</f>
        <v>0</v>
      </c>
      <c r="AC132" s="486">
        <f>SUMIFS('GSTR-2A'!$G$6:$G$10000,'GSTR-2A'!$B$6:$B$10000,$C$5:$C$4995,'GSTR-2A'!$A$6:$A$10000,$AC$3)</f>
        <v>1770</v>
      </c>
      <c r="AD132" s="487">
        <f>SUMIFS('GSTR-2A'!$K$6:$K$10000,'GSTR-2A'!$B$6:$B$10000,$C$5:$C$4995,'GSTR-2A'!$A$6:$A$10000,$AC$3)</f>
        <v>1500</v>
      </c>
      <c r="AE132" s="487">
        <f>SUMIFS('GSTR-2A'!$L$6:$L$10000,'GSTR-2A'!$B$6:$B$10000,$C$5:$C$4995,'GSTR-2A'!$A$6:$A$10000,$AC$3)</f>
        <v>0</v>
      </c>
      <c r="AF132" s="487">
        <f>SUMIFS('GSTR-2A'!$M$6:$M$10000,'GSTR-2A'!$B$6:$B$10000,$C$5:$C$4995,'GSTR-2A'!$A$6:$A$10000,$AC$3)</f>
        <v>135</v>
      </c>
      <c r="AG132" s="488">
        <f>SUMIFS('GSTR-2A'!$N$6:$N$10000,'GSTR-2A'!$B$6:$B$10000,$C$5:$C$4995,'GSTR-2A'!$A$6:$A$10000,$AC$3)</f>
        <v>135</v>
      </c>
      <c r="AH132" s="486">
        <f>SUMIFS('GSTR-2A'!$G$6:$G$10000,'GSTR-2A'!$B$6:$B$10000,$C$5:$C$4995,'GSTR-2A'!$A$6:$A$10000,$AH$3)</f>
        <v>0</v>
      </c>
      <c r="AI132" s="487">
        <f>SUMIFS('GSTR-2A'!$K$6:$K$10000,'GSTR-2A'!$B$6:$B$10000,$C$5:$C$4995,'GSTR-2A'!$A$6:$A$10000,$AH$3)</f>
        <v>0</v>
      </c>
      <c r="AJ132" s="487">
        <f>SUMIFS('GSTR-2A'!$L$6:$L$10000,'GSTR-2A'!$B$6:$B$10000,$C$5:$C$4995,'GSTR-2A'!$A$6:$A$10000,$AH$3)</f>
        <v>0</v>
      </c>
      <c r="AK132" s="487">
        <f>SUMIFS('GSTR-2A'!$M$6:$M$10000,'GSTR-2A'!$B$6:$B$10000,$C$5:$C$4995,'GSTR-2A'!$A$6:$A$10000,$AH$3)</f>
        <v>0</v>
      </c>
      <c r="AL132" s="488">
        <f>SUMIFS('GSTR-2A'!$N$6:$N$10000,'GSTR-2A'!$B$6:$B$10000,$C$5:$C$4995,'GSTR-2A'!$A$6:$A$10000,$AH$3)</f>
        <v>0</v>
      </c>
      <c r="AM132" s="486">
        <f>SUMIFS('GSTR-2A'!$G$6:$G$10000,'GSTR-2A'!$B$6:$B$10000,$C$5:$C$4995,'GSTR-2A'!$A$6:$A$10000,$AM$3)</f>
        <v>0</v>
      </c>
      <c r="AN132" s="487">
        <f>SUMIFS('GSTR-2A'!$K$6:$K$10000,'GSTR-2A'!$B$6:$B$10000,$C$5:$C$4995,'GSTR-2A'!$A$6:$A$10000,$AM$3)</f>
        <v>0</v>
      </c>
      <c r="AO132" s="487">
        <f>SUMIFS('GSTR-2A'!$L$6:$L$10000,'GSTR-2A'!$B$6:$B$10000,$C$5:$C$4995,'GSTR-2A'!$A$6:$A$10000,$AM$3)</f>
        <v>0</v>
      </c>
      <c r="AP132" s="487">
        <f>SUMIFS('GSTR-2A'!$M$6:$M$10000,'GSTR-2A'!$B$6:$B$10000,$C$5:$C$4995,'GSTR-2A'!$A$6:$A$10000,$AM$3)</f>
        <v>0</v>
      </c>
      <c r="AQ132" s="488">
        <f>SUMIFS('GSTR-2A'!$N$6:$N$10000,'GSTR-2A'!$B$6:$B$10000,$C$5:$C$4995,'GSTR-2A'!$A$6:$A$10000,$AM$3)</f>
        <v>0</v>
      </c>
      <c r="AR132" s="486">
        <f>SUMIFS('GSTR-2A'!$G$6:$G$10000,'GSTR-2A'!$B$6:$B$10000,$C$5:$C$4995,'GSTR-2A'!$A$6:$A$10000,$AR$3)</f>
        <v>0</v>
      </c>
      <c r="AS132" s="487">
        <f>SUMIFS('GSTR-2A'!$K$6:$K$10000,'GSTR-2A'!$B$6:$B$10000,$C$5:$C$4995,'GSTR-2A'!$A$6:$A$10000,$AR$3)</f>
        <v>0</v>
      </c>
      <c r="AT132" s="487">
        <f>SUMIFS('GSTR-2A'!$L$6:$L$10000,'GSTR-2A'!$B$6:$B$10000,$C$5:$C$4995,'GSTR-2A'!$A$6:$A$10000,$AR$3)</f>
        <v>0</v>
      </c>
      <c r="AU132" s="487">
        <f>SUMIFS('GSTR-2A'!$M$6:$M$10000,'GSTR-2A'!$B$6:$B$10000,$C$5:$C$4995,'GSTR-2A'!$A$6:$A$10000,$AR$3)</f>
        <v>0</v>
      </c>
      <c r="AV132" s="488">
        <f>SUMIFS('GSTR-2A'!$N$6:$N$10000,'GSTR-2A'!$B$6:$B$10000,$C$5:$C$4995,'GSTR-2A'!$A$6:$A$10000,$AR$3)</f>
        <v>0</v>
      </c>
      <c r="AW132" s="486">
        <f>SUMIFS('GSTR-2A'!$G$6:$G$10000,'GSTR-2A'!$B$6:$B$10000,$C$5:$C$4995,'GSTR-2A'!$A$6:$A$10000,$AW$3)</f>
        <v>0</v>
      </c>
      <c r="AX132" s="487">
        <f>SUMIFS('GSTR-2A'!$K$6:$K$10000,'GSTR-2A'!$B$6:$B$10000,$C$5:$C$4995,'GSTR-2A'!$A$6:$A$10000,$AW$3)</f>
        <v>0</v>
      </c>
      <c r="AY132" s="487">
        <f>SUMIFS('GSTR-2A'!$L$6:$L$10000,'GSTR-2A'!$B$6:$B$10000,$C$5:$C$4995,'GSTR-2A'!$A$6:$A$10000,$AW$3)</f>
        <v>0</v>
      </c>
      <c r="AZ132" s="487">
        <f>SUMIFS('GSTR-2A'!$M$6:$M$10000,'GSTR-2A'!$B$6:$B$10000,$C$5:$C$4995,'GSTR-2A'!$A$6:$A$10000,$AW$3)</f>
        <v>0</v>
      </c>
      <c r="BA132" s="488">
        <f>SUMIFS('GSTR-2A'!$N$6:$N$10000,'GSTR-2A'!$B$6:$B$10000,$C$5:$C$4995,'GSTR-2A'!$A$6:$A$10000,$AW$3)</f>
        <v>0</v>
      </c>
      <c r="BB132" s="486">
        <f>SUMIFS('GSTR-2A'!$G$6:$G$10000,'GSTR-2A'!$B$6:$B$10000,$C$5:$C$4995,'GSTR-2A'!$A$6:$A$10000,$BB$3)</f>
        <v>0</v>
      </c>
      <c r="BC132" s="487">
        <f>SUMIFS('GSTR-2A'!$K$6:$K$10000,'GSTR-2A'!$B$6:$B$10000,$C$5:$C$4995,'GSTR-2A'!$A$6:$A$10000,$BB$3)</f>
        <v>0</v>
      </c>
      <c r="BD132" s="487">
        <f>SUMIFS('GSTR-2A'!$L$6:$L$10000,'GSTR-2A'!$B$6:$B$10000,$C$5:$C$4995,'GSTR-2A'!$A$6:$A$10000,$BB$3)</f>
        <v>0</v>
      </c>
      <c r="BE132" s="487">
        <f>SUMIFS('GSTR-2A'!$M$6:$M$10000,'GSTR-2A'!$B$6:$B$10000,$C$5:$C$4995,'GSTR-2A'!$A$6:$A$10000,$BB$3)</f>
        <v>0</v>
      </c>
      <c r="BF132" s="488">
        <f>SUMIFS('GSTR-2A'!$N$6:$N$10000,'GSTR-2A'!$B$6:$B$10000,$C$5:$C$4995,'GSTR-2A'!$A$6:$A$10000,$BB$3)</f>
        <v>0</v>
      </c>
      <c r="BG132" s="486">
        <f>SUMIFS('GSTR-2A'!$G$6:$G$10000,'GSTR-2A'!$B$6:$B$10000,$C$5:$C$4995,'GSTR-2A'!$A$6:$A$10000,$BG$3)</f>
        <v>0</v>
      </c>
      <c r="BH132" s="487">
        <f>SUMIFS('GSTR-2A'!$K$6:$K$10000,'GSTR-2A'!$B$6:$B$10000,$C$5:$C$4995,'GSTR-2A'!$A$6:$A$10000,$BG$3)</f>
        <v>0</v>
      </c>
      <c r="BI132" s="487">
        <f>SUMIFS('GSTR-2A'!$L$6:$L$10000,'GSTR-2A'!$B$6:$B$10000,$C$5:$C$4995,'GSTR-2A'!$A$6:$A$10000,$BG$3)</f>
        <v>0</v>
      </c>
      <c r="BJ132" s="487">
        <f>SUMIFS('GSTR-2A'!$M$6:$M$10000,'GSTR-2A'!$B$6:$B$10000,$C$5:$C$4995,'GSTR-2A'!$A$6:$A$10000,$BG$3)</f>
        <v>0</v>
      </c>
      <c r="BK132" s="488">
        <f>SUMIFS('GSTR-2A'!$N$6:$N$10000,'GSTR-2A'!$B$6:$B$10000,$C$5:$C$4995,'GSTR-2A'!$A$6:$A$10000,$BG$3)</f>
        <v>0</v>
      </c>
      <c r="BL132" s="72">
        <f t="shared" si="7"/>
        <v>1770</v>
      </c>
      <c r="BM132" s="72">
        <f t="shared" si="8"/>
        <v>1500</v>
      </c>
      <c r="BN132" s="72">
        <f t="shared" si="9"/>
        <v>0</v>
      </c>
      <c r="BO132" s="72">
        <f t="shared" si="10"/>
        <v>135</v>
      </c>
      <c r="BP132" s="72">
        <f t="shared" si="11"/>
        <v>135</v>
      </c>
    </row>
    <row r="133" spans="1:68" x14ac:dyDescent="0.2">
      <c r="A133" s="467">
        <v>130</v>
      </c>
      <c r="B133" s="468" t="s">
        <v>541</v>
      </c>
      <c r="C133" s="469" t="s">
        <v>542</v>
      </c>
      <c r="D133" s="72">
        <f>SUMIFS('GSTR-2A'!$G$6:$G$10000,'GSTR-2A'!$B$6:$B$10000,$C$5:$C$4995,'GSTR-2A'!$A$6:$A$10000,$D$3)</f>
        <v>0</v>
      </c>
      <c r="E133" s="72">
        <f>SUMIFS('GSTR-2A'!$K$6:$K$10000,'GSTR-2A'!$B$6:$B$10000,$C$5:$C$4995,'GSTR-2A'!$A$6:$A$10000,$D$3)</f>
        <v>0</v>
      </c>
      <c r="F133" s="72">
        <f>SUMIFS('GSTR-2A'!$L$6:$L$10000,'GSTR-2A'!$B$6:$B$10000,$C$5:$C$4995,'GSTR-2A'!$A$6:$A$10000,$D$3)</f>
        <v>0</v>
      </c>
      <c r="G133" s="72">
        <f>SUMIFS('GSTR-2A'!$M$6:$M$10000,'GSTR-2A'!$B$6:$B$10000,$C$5:$C$4995,'GSTR-2A'!$A$6:$A$10000,$D$3)</f>
        <v>0</v>
      </c>
      <c r="H133" s="72">
        <f>SUMIFS('GSTR-2A'!$N$6:$N$10000,'GSTR-2A'!$B$6:$B$10000,$C$5:$C$4995,'GSTR-2A'!$A$6:$A$10000,$D$3)</f>
        <v>0</v>
      </c>
      <c r="I133" s="486">
        <f>SUMIFS('GSTR-2A'!$G$6:$G$10000,'GSTR-2A'!$B$6:$B$10000,$C$5:$C$4995,'GSTR-2A'!$A$6:$A$10000,$I$3)</f>
        <v>0</v>
      </c>
      <c r="J133" s="487">
        <f>SUMIFS('GSTR-2A'!$K$6:$K$10000,'GSTR-2A'!$B$6:$B$10000,$C$5:$C$4995,'GSTR-2A'!$A$6:$A$10000,$I$3)</f>
        <v>0</v>
      </c>
      <c r="K133" s="487">
        <f>SUMIFS('GSTR-2A'!$L$6:$L$10000,'GSTR-2A'!$B$6:$B$10000,$C$5:$C$4995,'GSTR-2A'!$A$6:$A$10000,$I$3)</f>
        <v>0</v>
      </c>
      <c r="L133" s="487">
        <f>SUMIFS('GSTR-2A'!$M$6:$M$10000,'GSTR-2A'!$B$6:$B$10000,$C$5:$C$4995,'GSTR-2A'!$A$6:$A$10000,$I$3)</f>
        <v>0</v>
      </c>
      <c r="M133" s="488">
        <f>SUMIFS('GSTR-2A'!$N$6:$N$10000,'GSTR-2A'!$B$6:$B$10000,$C$5:$C$4995,'GSTR-2A'!$A$6:$A$10000,$I$3)</f>
        <v>0</v>
      </c>
      <c r="N133" s="486">
        <f>SUMIFS('GSTR-2A'!$G$6:$G$10000,'GSTR-2A'!$B$6:$B$10000,$C$5:$C$4995,'GSTR-2A'!$A$6:$A$10000,$N$3)</f>
        <v>12390</v>
      </c>
      <c r="O133" s="487">
        <f>SUMIFS('GSTR-2A'!$K$6:$K$10000,'GSTR-2A'!$B$6:$B$10000,$C$5:$C$4995,'GSTR-2A'!$A$6:$A$10000,$N$3)</f>
        <v>10500</v>
      </c>
      <c r="P133" s="487">
        <f>SUMIFS('GSTR-2A'!$L$6:$L$10000,'GSTR-2A'!$B$6:$B$10000,$C$5:$C$4995,'GSTR-2A'!$A$6:$A$10000,$N$3)</f>
        <v>0</v>
      </c>
      <c r="Q133" s="487">
        <f>SUMIFS('GSTR-2A'!$M$6:$M$10000,'GSTR-2A'!$B$6:$B$10000,$C$5:$C$4995,'GSTR-2A'!$A$6:$A$10000,$N$3)</f>
        <v>945</v>
      </c>
      <c r="R133" s="488">
        <f>SUMIFS('GSTR-2A'!$N$6:$N$10000,'GSTR-2A'!$B$6:$B$10000,$C$5:$C$4995,'GSTR-2A'!$A$6:$A$10000,$N$3)</f>
        <v>945</v>
      </c>
      <c r="S133" s="486">
        <f>SUMIFS('GSTR-2A'!$G$6:$G$10000,'GSTR-2A'!$B$6:$B$10000,$C$5:$C$4995,'GSTR-2A'!$A$6:$A$10000,$S$3)</f>
        <v>0</v>
      </c>
      <c r="T133" s="487">
        <f>SUMIFS('GSTR-2A'!$K$6:$K$10000,'GSTR-2A'!$B$6:$B$10000,$C$5:$C$4995,'GSTR-2A'!$A$6:$A$10000,$S$3)</f>
        <v>0</v>
      </c>
      <c r="U133" s="487">
        <f>SUMIFS('GSTR-2A'!$L$6:$L$10000,'GSTR-2A'!$B$6:$B$10000,$C$5:$C$4995,'GSTR-2A'!$A$6:$A$10000,$S$3)</f>
        <v>0</v>
      </c>
      <c r="V133" s="487">
        <f>SUMIFS('GSTR-2A'!$M$6:$M$10000,'GSTR-2A'!$B$6:$B$10000,$C$5:$C$4995,'GSTR-2A'!$A$6:$A$10000,$S$3)</f>
        <v>0</v>
      </c>
      <c r="W133" s="488">
        <f>SUMIFS('GSTR-2A'!$N$6:$N$10000,'GSTR-2A'!$B$6:$B$10000,$C$5:$C$4995,'GSTR-2A'!$A$6:$A$10000,$S$3)</f>
        <v>0</v>
      </c>
      <c r="X133" s="486">
        <f>SUMIFS('GSTR-2A'!$G$6:$G$10000,'GSTR-2A'!$B$6:$B$10000,$C$5:$C$4995,'GSTR-2A'!$A$6:$A$10000,$X$3)</f>
        <v>0</v>
      </c>
      <c r="Y133" s="487">
        <f>SUMIFS('GSTR-2A'!$K$6:$K$10000,'GSTR-2A'!$B$6:$B$10000,$C$5:$C$4995,'GSTR-2A'!$A$6:$A$10000,$X$3)</f>
        <v>0</v>
      </c>
      <c r="Z133" s="487">
        <f>SUMIFS('GSTR-2A'!$L$6:$L$10000,'GSTR-2A'!$B$6:$B$10000,$C$5:$C$4995,'GSTR-2A'!$A$6:$A$10000,$X$3)</f>
        <v>0</v>
      </c>
      <c r="AA133" s="487">
        <f>SUMIFS('GSTR-2A'!$M$6:$M$10000,'GSTR-2A'!$B$6:$B$10000,$C$5:$C$4995,'GSTR-2A'!$A$6:$A$10000,$X$3)</f>
        <v>0</v>
      </c>
      <c r="AB133" s="488">
        <f>SUMIFS('GSTR-2A'!$N$6:$N$10000,'GSTR-2A'!$B$6:$B$10000,$C$5:$C$4995,'GSTR-2A'!$A$6:$A$10000,$X$3)</f>
        <v>0</v>
      </c>
      <c r="AC133" s="486">
        <f>SUMIFS('GSTR-2A'!$G$6:$G$10000,'GSTR-2A'!$B$6:$B$10000,$C$5:$C$4995,'GSTR-2A'!$A$6:$A$10000,$AC$3)</f>
        <v>0</v>
      </c>
      <c r="AD133" s="487">
        <f>SUMIFS('GSTR-2A'!$K$6:$K$10000,'GSTR-2A'!$B$6:$B$10000,$C$5:$C$4995,'GSTR-2A'!$A$6:$A$10000,$AC$3)</f>
        <v>0</v>
      </c>
      <c r="AE133" s="487">
        <f>SUMIFS('GSTR-2A'!$L$6:$L$10000,'GSTR-2A'!$B$6:$B$10000,$C$5:$C$4995,'GSTR-2A'!$A$6:$A$10000,$AC$3)</f>
        <v>0</v>
      </c>
      <c r="AF133" s="487">
        <f>SUMIFS('GSTR-2A'!$M$6:$M$10000,'GSTR-2A'!$B$6:$B$10000,$C$5:$C$4995,'GSTR-2A'!$A$6:$A$10000,$AC$3)</f>
        <v>0</v>
      </c>
      <c r="AG133" s="488">
        <f>SUMIFS('GSTR-2A'!$N$6:$N$10000,'GSTR-2A'!$B$6:$B$10000,$C$5:$C$4995,'GSTR-2A'!$A$6:$A$10000,$AC$3)</f>
        <v>0</v>
      </c>
      <c r="AH133" s="486">
        <f>SUMIFS('GSTR-2A'!$G$6:$G$10000,'GSTR-2A'!$B$6:$B$10000,$C$5:$C$4995,'GSTR-2A'!$A$6:$A$10000,$AH$3)</f>
        <v>0</v>
      </c>
      <c r="AI133" s="487">
        <f>SUMIFS('GSTR-2A'!$K$6:$K$10000,'GSTR-2A'!$B$6:$B$10000,$C$5:$C$4995,'GSTR-2A'!$A$6:$A$10000,$AH$3)</f>
        <v>0</v>
      </c>
      <c r="AJ133" s="487">
        <f>SUMIFS('GSTR-2A'!$L$6:$L$10000,'GSTR-2A'!$B$6:$B$10000,$C$5:$C$4995,'GSTR-2A'!$A$6:$A$10000,$AH$3)</f>
        <v>0</v>
      </c>
      <c r="AK133" s="487">
        <f>SUMIFS('GSTR-2A'!$M$6:$M$10000,'GSTR-2A'!$B$6:$B$10000,$C$5:$C$4995,'GSTR-2A'!$A$6:$A$10000,$AH$3)</f>
        <v>0</v>
      </c>
      <c r="AL133" s="488">
        <f>SUMIFS('GSTR-2A'!$N$6:$N$10000,'GSTR-2A'!$B$6:$B$10000,$C$5:$C$4995,'GSTR-2A'!$A$6:$A$10000,$AH$3)</f>
        <v>0</v>
      </c>
      <c r="AM133" s="486">
        <f>SUMIFS('GSTR-2A'!$G$6:$G$10000,'GSTR-2A'!$B$6:$B$10000,$C$5:$C$4995,'GSTR-2A'!$A$6:$A$10000,$AM$3)</f>
        <v>0</v>
      </c>
      <c r="AN133" s="487">
        <f>SUMIFS('GSTR-2A'!$K$6:$K$10000,'GSTR-2A'!$B$6:$B$10000,$C$5:$C$4995,'GSTR-2A'!$A$6:$A$10000,$AM$3)</f>
        <v>0</v>
      </c>
      <c r="AO133" s="487">
        <f>SUMIFS('GSTR-2A'!$L$6:$L$10000,'GSTR-2A'!$B$6:$B$10000,$C$5:$C$4995,'GSTR-2A'!$A$6:$A$10000,$AM$3)</f>
        <v>0</v>
      </c>
      <c r="AP133" s="487">
        <f>SUMIFS('GSTR-2A'!$M$6:$M$10000,'GSTR-2A'!$B$6:$B$10000,$C$5:$C$4995,'GSTR-2A'!$A$6:$A$10000,$AM$3)</f>
        <v>0</v>
      </c>
      <c r="AQ133" s="488">
        <f>SUMIFS('GSTR-2A'!$N$6:$N$10000,'GSTR-2A'!$B$6:$B$10000,$C$5:$C$4995,'GSTR-2A'!$A$6:$A$10000,$AM$3)</f>
        <v>0</v>
      </c>
      <c r="AR133" s="486">
        <f>SUMIFS('GSTR-2A'!$G$6:$G$10000,'GSTR-2A'!$B$6:$B$10000,$C$5:$C$4995,'GSTR-2A'!$A$6:$A$10000,$AR$3)</f>
        <v>0</v>
      </c>
      <c r="AS133" s="487">
        <f>SUMIFS('GSTR-2A'!$K$6:$K$10000,'GSTR-2A'!$B$6:$B$10000,$C$5:$C$4995,'GSTR-2A'!$A$6:$A$10000,$AR$3)</f>
        <v>0</v>
      </c>
      <c r="AT133" s="487">
        <f>SUMIFS('GSTR-2A'!$L$6:$L$10000,'GSTR-2A'!$B$6:$B$10000,$C$5:$C$4995,'GSTR-2A'!$A$6:$A$10000,$AR$3)</f>
        <v>0</v>
      </c>
      <c r="AU133" s="487">
        <f>SUMIFS('GSTR-2A'!$M$6:$M$10000,'GSTR-2A'!$B$6:$B$10000,$C$5:$C$4995,'GSTR-2A'!$A$6:$A$10000,$AR$3)</f>
        <v>0</v>
      </c>
      <c r="AV133" s="488">
        <f>SUMIFS('GSTR-2A'!$N$6:$N$10000,'GSTR-2A'!$B$6:$B$10000,$C$5:$C$4995,'GSTR-2A'!$A$6:$A$10000,$AR$3)</f>
        <v>0</v>
      </c>
      <c r="AW133" s="486">
        <f>SUMIFS('GSTR-2A'!$G$6:$G$10000,'GSTR-2A'!$B$6:$B$10000,$C$5:$C$4995,'GSTR-2A'!$A$6:$A$10000,$AW$3)</f>
        <v>0</v>
      </c>
      <c r="AX133" s="487">
        <f>SUMIFS('GSTR-2A'!$K$6:$K$10000,'GSTR-2A'!$B$6:$B$10000,$C$5:$C$4995,'GSTR-2A'!$A$6:$A$10000,$AW$3)</f>
        <v>0</v>
      </c>
      <c r="AY133" s="487">
        <f>SUMIFS('GSTR-2A'!$L$6:$L$10000,'GSTR-2A'!$B$6:$B$10000,$C$5:$C$4995,'GSTR-2A'!$A$6:$A$10000,$AW$3)</f>
        <v>0</v>
      </c>
      <c r="AZ133" s="487">
        <f>SUMIFS('GSTR-2A'!$M$6:$M$10000,'GSTR-2A'!$B$6:$B$10000,$C$5:$C$4995,'GSTR-2A'!$A$6:$A$10000,$AW$3)</f>
        <v>0</v>
      </c>
      <c r="BA133" s="488">
        <f>SUMIFS('GSTR-2A'!$N$6:$N$10000,'GSTR-2A'!$B$6:$B$10000,$C$5:$C$4995,'GSTR-2A'!$A$6:$A$10000,$AW$3)</f>
        <v>0</v>
      </c>
      <c r="BB133" s="486">
        <f>SUMIFS('GSTR-2A'!$G$6:$G$10000,'GSTR-2A'!$B$6:$B$10000,$C$5:$C$4995,'GSTR-2A'!$A$6:$A$10000,$BB$3)</f>
        <v>0</v>
      </c>
      <c r="BC133" s="487">
        <f>SUMIFS('GSTR-2A'!$K$6:$K$10000,'GSTR-2A'!$B$6:$B$10000,$C$5:$C$4995,'GSTR-2A'!$A$6:$A$10000,$BB$3)</f>
        <v>0</v>
      </c>
      <c r="BD133" s="487">
        <f>SUMIFS('GSTR-2A'!$L$6:$L$10000,'GSTR-2A'!$B$6:$B$10000,$C$5:$C$4995,'GSTR-2A'!$A$6:$A$10000,$BB$3)</f>
        <v>0</v>
      </c>
      <c r="BE133" s="487">
        <f>SUMIFS('GSTR-2A'!$M$6:$M$10000,'GSTR-2A'!$B$6:$B$10000,$C$5:$C$4995,'GSTR-2A'!$A$6:$A$10000,$BB$3)</f>
        <v>0</v>
      </c>
      <c r="BF133" s="488">
        <f>SUMIFS('GSTR-2A'!$N$6:$N$10000,'GSTR-2A'!$B$6:$B$10000,$C$5:$C$4995,'GSTR-2A'!$A$6:$A$10000,$BB$3)</f>
        <v>0</v>
      </c>
      <c r="BG133" s="486">
        <f>SUMIFS('GSTR-2A'!$G$6:$G$10000,'GSTR-2A'!$B$6:$B$10000,$C$5:$C$4995,'GSTR-2A'!$A$6:$A$10000,$BG$3)</f>
        <v>0</v>
      </c>
      <c r="BH133" s="487">
        <f>SUMIFS('GSTR-2A'!$K$6:$K$10000,'GSTR-2A'!$B$6:$B$10000,$C$5:$C$4995,'GSTR-2A'!$A$6:$A$10000,$BG$3)</f>
        <v>0</v>
      </c>
      <c r="BI133" s="487">
        <f>SUMIFS('GSTR-2A'!$L$6:$L$10000,'GSTR-2A'!$B$6:$B$10000,$C$5:$C$4995,'GSTR-2A'!$A$6:$A$10000,$BG$3)</f>
        <v>0</v>
      </c>
      <c r="BJ133" s="487">
        <f>SUMIFS('GSTR-2A'!$M$6:$M$10000,'GSTR-2A'!$B$6:$B$10000,$C$5:$C$4995,'GSTR-2A'!$A$6:$A$10000,$BG$3)</f>
        <v>0</v>
      </c>
      <c r="BK133" s="488">
        <f>SUMIFS('GSTR-2A'!$N$6:$N$10000,'GSTR-2A'!$B$6:$B$10000,$C$5:$C$4995,'GSTR-2A'!$A$6:$A$10000,$BG$3)</f>
        <v>0</v>
      </c>
      <c r="BL133" s="72">
        <f t="shared" si="7"/>
        <v>12390</v>
      </c>
      <c r="BM133" s="72">
        <f t="shared" si="8"/>
        <v>10500</v>
      </c>
      <c r="BN133" s="72">
        <f t="shared" si="9"/>
        <v>0</v>
      </c>
      <c r="BO133" s="72">
        <f t="shared" si="10"/>
        <v>945</v>
      </c>
      <c r="BP133" s="72">
        <f t="shared" si="11"/>
        <v>945</v>
      </c>
    </row>
    <row r="134" spans="1:68" x14ac:dyDescent="0.2">
      <c r="A134" s="467">
        <v>131</v>
      </c>
      <c r="B134" s="468" t="s">
        <v>565</v>
      </c>
      <c r="C134" s="469" t="s">
        <v>566</v>
      </c>
      <c r="D134" s="72">
        <f>SUMIFS('GSTR-2A'!$G$6:$G$10000,'GSTR-2A'!$B$6:$B$10000,$C$5:$C$4995,'GSTR-2A'!$A$6:$A$10000,$D$3)</f>
        <v>0</v>
      </c>
      <c r="E134" s="72">
        <f>SUMIFS('GSTR-2A'!$K$6:$K$10000,'GSTR-2A'!$B$6:$B$10000,$C$5:$C$4995,'GSTR-2A'!$A$6:$A$10000,$D$3)</f>
        <v>0</v>
      </c>
      <c r="F134" s="72">
        <f>SUMIFS('GSTR-2A'!$L$6:$L$10000,'GSTR-2A'!$B$6:$B$10000,$C$5:$C$4995,'GSTR-2A'!$A$6:$A$10000,$D$3)</f>
        <v>0</v>
      </c>
      <c r="G134" s="72">
        <f>SUMIFS('GSTR-2A'!$M$6:$M$10000,'GSTR-2A'!$B$6:$B$10000,$C$5:$C$4995,'GSTR-2A'!$A$6:$A$10000,$D$3)</f>
        <v>0</v>
      </c>
      <c r="H134" s="72">
        <f>SUMIFS('GSTR-2A'!$N$6:$N$10000,'GSTR-2A'!$B$6:$B$10000,$C$5:$C$4995,'GSTR-2A'!$A$6:$A$10000,$D$3)</f>
        <v>0</v>
      </c>
      <c r="I134" s="486">
        <f>SUMIFS('GSTR-2A'!$G$6:$G$10000,'GSTR-2A'!$B$6:$B$10000,$C$5:$C$4995,'GSTR-2A'!$A$6:$A$10000,$I$3)</f>
        <v>0</v>
      </c>
      <c r="J134" s="487">
        <f>SUMIFS('GSTR-2A'!$K$6:$K$10000,'GSTR-2A'!$B$6:$B$10000,$C$5:$C$4995,'GSTR-2A'!$A$6:$A$10000,$I$3)</f>
        <v>0</v>
      </c>
      <c r="K134" s="487">
        <f>SUMIFS('GSTR-2A'!$L$6:$L$10000,'GSTR-2A'!$B$6:$B$10000,$C$5:$C$4995,'GSTR-2A'!$A$6:$A$10000,$I$3)</f>
        <v>0</v>
      </c>
      <c r="L134" s="487">
        <f>SUMIFS('GSTR-2A'!$M$6:$M$10000,'GSTR-2A'!$B$6:$B$10000,$C$5:$C$4995,'GSTR-2A'!$A$6:$A$10000,$I$3)</f>
        <v>0</v>
      </c>
      <c r="M134" s="488">
        <f>SUMIFS('GSTR-2A'!$N$6:$N$10000,'GSTR-2A'!$B$6:$B$10000,$C$5:$C$4995,'GSTR-2A'!$A$6:$A$10000,$I$3)</f>
        <v>0</v>
      </c>
      <c r="N134" s="486">
        <f>SUMIFS('GSTR-2A'!$G$6:$G$10000,'GSTR-2A'!$B$6:$B$10000,$C$5:$C$4995,'GSTR-2A'!$A$6:$A$10000,$N$3)</f>
        <v>85308</v>
      </c>
      <c r="O134" s="487">
        <f>SUMIFS('GSTR-2A'!$K$6:$K$10000,'GSTR-2A'!$B$6:$B$10000,$C$5:$C$4995,'GSTR-2A'!$A$6:$A$10000,$N$3)</f>
        <v>36379.57</v>
      </c>
      <c r="P134" s="487">
        <f>SUMIFS('GSTR-2A'!$L$6:$L$10000,'GSTR-2A'!$B$6:$B$10000,$C$5:$C$4995,'GSTR-2A'!$A$6:$A$10000,$N$3)</f>
        <v>0</v>
      </c>
      <c r="Q134" s="487">
        <f>SUMIFS('GSTR-2A'!$M$6:$M$10000,'GSTR-2A'!$B$6:$B$10000,$C$5:$C$4995,'GSTR-2A'!$A$6:$A$10000,$N$3)</f>
        <v>3136.62</v>
      </c>
      <c r="R134" s="488">
        <f>SUMIFS('GSTR-2A'!$N$6:$N$10000,'GSTR-2A'!$B$6:$B$10000,$C$5:$C$4995,'GSTR-2A'!$A$6:$A$10000,$N$3)</f>
        <v>3136.62</v>
      </c>
      <c r="S134" s="486">
        <f>SUMIFS('GSTR-2A'!$G$6:$G$10000,'GSTR-2A'!$B$6:$B$10000,$C$5:$C$4995,'GSTR-2A'!$A$6:$A$10000,$S$3)</f>
        <v>0</v>
      </c>
      <c r="T134" s="487">
        <f>SUMIFS('GSTR-2A'!$K$6:$K$10000,'GSTR-2A'!$B$6:$B$10000,$C$5:$C$4995,'GSTR-2A'!$A$6:$A$10000,$S$3)</f>
        <v>0</v>
      </c>
      <c r="U134" s="487">
        <f>SUMIFS('GSTR-2A'!$L$6:$L$10000,'GSTR-2A'!$B$6:$B$10000,$C$5:$C$4995,'GSTR-2A'!$A$6:$A$10000,$S$3)</f>
        <v>0</v>
      </c>
      <c r="V134" s="487">
        <f>SUMIFS('GSTR-2A'!$M$6:$M$10000,'GSTR-2A'!$B$6:$B$10000,$C$5:$C$4995,'GSTR-2A'!$A$6:$A$10000,$S$3)</f>
        <v>0</v>
      </c>
      <c r="W134" s="488">
        <f>SUMIFS('GSTR-2A'!$N$6:$N$10000,'GSTR-2A'!$B$6:$B$10000,$C$5:$C$4995,'GSTR-2A'!$A$6:$A$10000,$S$3)</f>
        <v>0</v>
      </c>
      <c r="X134" s="486">
        <f>SUMIFS('GSTR-2A'!$G$6:$G$10000,'GSTR-2A'!$B$6:$B$10000,$C$5:$C$4995,'GSTR-2A'!$A$6:$A$10000,$X$3)</f>
        <v>0</v>
      </c>
      <c r="Y134" s="487">
        <f>SUMIFS('GSTR-2A'!$K$6:$K$10000,'GSTR-2A'!$B$6:$B$10000,$C$5:$C$4995,'GSTR-2A'!$A$6:$A$10000,$X$3)</f>
        <v>0</v>
      </c>
      <c r="Z134" s="487">
        <f>SUMIFS('GSTR-2A'!$L$6:$L$10000,'GSTR-2A'!$B$6:$B$10000,$C$5:$C$4995,'GSTR-2A'!$A$6:$A$10000,$X$3)</f>
        <v>0</v>
      </c>
      <c r="AA134" s="487">
        <f>SUMIFS('GSTR-2A'!$M$6:$M$10000,'GSTR-2A'!$B$6:$B$10000,$C$5:$C$4995,'GSTR-2A'!$A$6:$A$10000,$X$3)</f>
        <v>0</v>
      </c>
      <c r="AB134" s="488">
        <f>SUMIFS('GSTR-2A'!$N$6:$N$10000,'GSTR-2A'!$B$6:$B$10000,$C$5:$C$4995,'GSTR-2A'!$A$6:$A$10000,$X$3)</f>
        <v>0</v>
      </c>
      <c r="AC134" s="486">
        <f>SUMIFS('GSTR-2A'!$G$6:$G$10000,'GSTR-2A'!$B$6:$B$10000,$C$5:$C$4995,'GSTR-2A'!$A$6:$A$10000,$AC$3)</f>
        <v>68782</v>
      </c>
      <c r="AD134" s="487">
        <f>SUMIFS('GSTR-2A'!$K$6:$K$10000,'GSTR-2A'!$B$6:$B$10000,$C$5:$C$4995,'GSTR-2A'!$A$6:$A$10000,$AC$3)</f>
        <v>29174.06</v>
      </c>
      <c r="AE134" s="487">
        <f>SUMIFS('GSTR-2A'!$L$6:$L$10000,'GSTR-2A'!$B$6:$B$10000,$C$5:$C$4995,'GSTR-2A'!$A$6:$A$10000,$AC$3)</f>
        <v>0</v>
      </c>
      <c r="AF134" s="487">
        <f>SUMIFS('GSTR-2A'!$M$6:$M$10000,'GSTR-2A'!$B$6:$B$10000,$C$5:$C$4995,'GSTR-2A'!$A$6:$A$10000,$AC$3)</f>
        <v>2608.2600000000002</v>
      </c>
      <c r="AG134" s="488">
        <f>SUMIFS('GSTR-2A'!$N$6:$N$10000,'GSTR-2A'!$B$6:$B$10000,$C$5:$C$4995,'GSTR-2A'!$A$6:$A$10000,$AC$3)</f>
        <v>2608.2600000000002</v>
      </c>
      <c r="AH134" s="486">
        <f>SUMIFS('GSTR-2A'!$G$6:$G$10000,'GSTR-2A'!$B$6:$B$10000,$C$5:$C$4995,'GSTR-2A'!$A$6:$A$10000,$AH$3)</f>
        <v>0</v>
      </c>
      <c r="AI134" s="487">
        <f>SUMIFS('GSTR-2A'!$K$6:$K$10000,'GSTR-2A'!$B$6:$B$10000,$C$5:$C$4995,'GSTR-2A'!$A$6:$A$10000,$AH$3)</f>
        <v>0</v>
      </c>
      <c r="AJ134" s="487">
        <f>SUMIFS('GSTR-2A'!$L$6:$L$10000,'GSTR-2A'!$B$6:$B$10000,$C$5:$C$4995,'GSTR-2A'!$A$6:$A$10000,$AH$3)</f>
        <v>0</v>
      </c>
      <c r="AK134" s="487">
        <f>SUMIFS('GSTR-2A'!$M$6:$M$10000,'GSTR-2A'!$B$6:$B$10000,$C$5:$C$4995,'GSTR-2A'!$A$6:$A$10000,$AH$3)</f>
        <v>0</v>
      </c>
      <c r="AL134" s="488">
        <f>SUMIFS('GSTR-2A'!$N$6:$N$10000,'GSTR-2A'!$B$6:$B$10000,$C$5:$C$4995,'GSTR-2A'!$A$6:$A$10000,$AH$3)</f>
        <v>0</v>
      </c>
      <c r="AM134" s="486">
        <f>SUMIFS('GSTR-2A'!$G$6:$G$10000,'GSTR-2A'!$B$6:$B$10000,$C$5:$C$4995,'GSTR-2A'!$A$6:$A$10000,$AM$3)</f>
        <v>0</v>
      </c>
      <c r="AN134" s="487">
        <f>SUMIFS('GSTR-2A'!$K$6:$K$10000,'GSTR-2A'!$B$6:$B$10000,$C$5:$C$4995,'GSTR-2A'!$A$6:$A$10000,$AM$3)</f>
        <v>0</v>
      </c>
      <c r="AO134" s="487">
        <f>SUMIFS('GSTR-2A'!$L$6:$L$10000,'GSTR-2A'!$B$6:$B$10000,$C$5:$C$4995,'GSTR-2A'!$A$6:$A$10000,$AM$3)</f>
        <v>0</v>
      </c>
      <c r="AP134" s="487">
        <f>SUMIFS('GSTR-2A'!$M$6:$M$10000,'GSTR-2A'!$B$6:$B$10000,$C$5:$C$4995,'GSTR-2A'!$A$6:$A$10000,$AM$3)</f>
        <v>0</v>
      </c>
      <c r="AQ134" s="488">
        <f>SUMIFS('GSTR-2A'!$N$6:$N$10000,'GSTR-2A'!$B$6:$B$10000,$C$5:$C$4995,'GSTR-2A'!$A$6:$A$10000,$AM$3)</f>
        <v>0</v>
      </c>
      <c r="AR134" s="486">
        <f>SUMIFS('GSTR-2A'!$G$6:$G$10000,'GSTR-2A'!$B$6:$B$10000,$C$5:$C$4995,'GSTR-2A'!$A$6:$A$10000,$AR$3)</f>
        <v>0</v>
      </c>
      <c r="AS134" s="487">
        <f>SUMIFS('GSTR-2A'!$K$6:$K$10000,'GSTR-2A'!$B$6:$B$10000,$C$5:$C$4995,'GSTR-2A'!$A$6:$A$10000,$AR$3)</f>
        <v>0</v>
      </c>
      <c r="AT134" s="487">
        <f>SUMIFS('GSTR-2A'!$L$6:$L$10000,'GSTR-2A'!$B$6:$B$10000,$C$5:$C$4995,'GSTR-2A'!$A$6:$A$10000,$AR$3)</f>
        <v>0</v>
      </c>
      <c r="AU134" s="487">
        <f>SUMIFS('GSTR-2A'!$M$6:$M$10000,'GSTR-2A'!$B$6:$B$10000,$C$5:$C$4995,'GSTR-2A'!$A$6:$A$10000,$AR$3)</f>
        <v>0</v>
      </c>
      <c r="AV134" s="488">
        <f>SUMIFS('GSTR-2A'!$N$6:$N$10000,'GSTR-2A'!$B$6:$B$10000,$C$5:$C$4995,'GSTR-2A'!$A$6:$A$10000,$AR$3)</f>
        <v>0</v>
      </c>
      <c r="AW134" s="486">
        <f>SUMIFS('GSTR-2A'!$G$6:$G$10000,'GSTR-2A'!$B$6:$B$10000,$C$5:$C$4995,'GSTR-2A'!$A$6:$A$10000,$AW$3)</f>
        <v>0</v>
      </c>
      <c r="AX134" s="487">
        <f>SUMIFS('GSTR-2A'!$K$6:$K$10000,'GSTR-2A'!$B$6:$B$10000,$C$5:$C$4995,'GSTR-2A'!$A$6:$A$10000,$AW$3)</f>
        <v>0</v>
      </c>
      <c r="AY134" s="487">
        <f>SUMIFS('GSTR-2A'!$L$6:$L$10000,'GSTR-2A'!$B$6:$B$10000,$C$5:$C$4995,'GSTR-2A'!$A$6:$A$10000,$AW$3)</f>
        <v>0</v>
      </c>
      <c r="AZ134" s="487">
        <f>SUMIFS('GSTR-2A'!$M$6:$M$10000,'GSTR-2A'!$B$6:$B$10000,$C$5:$C$4995,'GSTR-2A'!$A$6:$A$10000,$AW$3)</f>
        <v>0</v>
      </c>
      <c r="BA134" s="488">
        <f>SUMIFS('GSTR-2A'!$N$6:$N$10000,'GSTR-2A'!$B$6:$B$10000,$C$5:$C$4995,'GSTR-2A'!$A$6:$A$10000,$AW$3)</f>
        <v>0</v>
      </c>
      <c r="BB134" s="486">
        <f>SUMIFS('GSTR-2A'!$G$6:$G$10000,'GSTR-2A'!$B$6:$B$10000,$C$5:$C$4995,'GSTR-2A'!$A$6:$A$10000,$BB$3)</f>
        <v>0</v>
      </c>
      <c r="BC134" s="487">
        <f>SUMIFS('GSTR-2A'!$K$6:$K$10000,'GSTR-2A'!$B$6:$B$10000,$C$5:$C$4995,'GSTR-2A'!$A$6:$A$10000,$BB$3)</f>
        <v>0</v>
      </c>
      <c r="BD134" s="487">
        <f>SUMIFS('GSTR-2A'!$L$6:$L$10000,'GSTR-2A'!$B$6:$B$10000,$C$5:$C$4995,'GSTR-2A'!$A$6:$A$10000,$BB$3)</f>
        <v>0</v>
      </c>
      <c r="BE134" s="487">
        <f>SUMIFS('GSTR-2A'!$M$6:$M$10000,'GSTR-2A'!$B$6:$B$10000,$C$5:$C$4995,'GSTR-2A'!$A$6:$A$10000,$BB$3)</f>
        <v>0</v>
      </c>
      <c r="BF134" s="488">
        <f>SUMIFS('GSTR-2A'!$N$6:$N$10000,'GSTR-2A'!$B$6:$B$10000,$C$5:$C$4995,'GSTR-2A'!$A$6:$A$10000,$BB$3)</f>
        <v>0</v>
      </c>
      <c r="BG134" s="486">
        <f>SUMIFS('GSTR-2A'!$G$6:$G$10000,'GSTR-2A'!$B$6:$B$10000,$C$5:$C$4995,'GSTR-2A'!$A$6:$A$10000,$BG$3)</f>
        <v>0</v>
      </c>
      <c r="BH134" s="487">
        <f>SUMIFS('GSTR-2A'!$K$6:$K$10000,'GSTR-2A'!$B$6:$B$10000,$C$5:$C$4995,'GSTR-2A'!$A$6:$A$10000,$BG$3)</f>
        <v>0</v>
      </c>
      <c r="BI134" s="487">
        <f>SUMIFS('GSTR-2A'!$L$6:$L$10000,'GSTR-2A'!$B$6:$B$10000,$C$5:$C$4995,'GSTR-2A'!$A$6:$A$10000,$BG$3)</f>
        <v>0</v>
      </c>
      <c r="BJ134" s="487">
        <f>SUMIFS('GSTR-2A'!$M$6:$M$10000,'GSTR-2A'!$B$6:$B$10000,$C$5:$C$4995,'GSTR-2A'!$A$6:$A$10000,$BG$3)</f>
        <v>0</v>
      </c>
      <c r="BK134" s="488">
        <f>SUMIFS('GSTR-2A'!$N$6:$N$10000,'GSTR-2A'!$B$6:$B$10000,$C$5:$C$4995,'GSTR-2A'!$A$6:$A$10000,$BG$3)</f>
        <v>0</v>
      </c>
      <c r="BL134" s="72">
        <f t="shared" ref="BL134:BL149" si="12">+D134+I134+N134+S134+X134+AC134+AH134+AM134+AR134+AW134+BB134+BG134</f>
        <v>154090</v>
      </c>
      <c r="BM134" s="72">
        <f t="shared" ref="BM134:BM149" si="13">+E134+J134+O134+T134+Y134+AD134+AI134+AN134+AS134+AX134+BC134+BH134</f>
        <v>65553.63</v>
      </c>
      <c r="BN134" s="72">
        <f t="shared" ref="BN134:BN149" si="14">+F134+K134+P134+U134+Z134+AE134+AJ134+AO134+AT134+AY134+BD134+BI134</f>
        <v>0</v>
      </c>
      <c r="BO134" s="72">
        <f t="shared" ref="BO134:BO149" si="15">+G134+L134+Q134+V134+AA134+AF134+AK134+AP134+AU134+AZ134+BE134+BJ134</f>
        <v>5744.88</v>
      </c>
      <c r="BP134" s="72">
        <f t="shared" ref="BP134:BP149" si="16">+H134+M134+R134+W134+AB134+AG134+AL134+AQ134+AV134+BA134+BF134+BK134</f>
        <v>5744.88</v>
      </c>
    </row>
    <row r="135" spans="1:68" x14ac:dyDescent="0.2">
      <c r="A135" s="467">
        <v>132</v>
      </c>
      <c r="B135" s="468" t="s">
        <v>779</v>
      </c>
      <c r="C135" s="469" t="s">
        <v>780</v>
      </c>
      <c r="D135" s="72">
        <f>SUMIFS('GSTR-2A'!$G$6:$G$10000,'GSTR-2A'!$B$6:$B$10000,$C$5:$C$4995,'GSTR-2A'!$A$6:$A$10000,$D$3)</f>
        <v>0</v>
      </c>
      <c r="E135" s="72">
        <f>SUMIFS('GSTR-2A'!$K$6:$K$10000,'GSTR-2A'!$B$6:$B$10000,$C$5:$C$4995,'GSTR-2A'!$A$6:$A$10000,$D$3)</f>
        <v>0</v>
      </c>
      <c r="F135" s="72">
        <f>SUMIFS('GSTR-2A'!$L$6:$L$10000,'GSTR-2A'!$B$6:$B$10000,$C$5:$C$4995,'GSTR-2A'!$A$6:$A$10000,$D$3)</f>
        <v>0</v>
      </c>
      <c r="G135" s="72">
        <f>SUMIFS('GSTR-2A'!$M$6:$M$10000,'GSTR-2A'!$B$6:$B$10000,$C$5:$C$4995,'GSTR-2A'!$A$6:$A$10000,$D$3)</f>
        <v>0</v>
      </c>
      <c r="H135" s="72">
        <f>SUMIFS('GSTR-2A'!$N$6:$N$10000,'GSTR-2A'!$B$6:$B$10000,$C$5:$C$4995,'GSTR-2A'!$A$6:$A$10000,$D$3)</f>
        <v>0</v>
      </c>
      <c r="I135" s="486">
        <f>SUMIFS('GSTR-2A'!$G$6:$G$10000,'GSTR-2A'!$B$6:$B$10000,$C$5:$C$4995,'GSTR-2A'!$A$6:$A$10000,$I$3)</f>
        <v>0</v>
      </c>
      <c r="J135" s="487">
        <f>SUMIFS('GSTR-2A'!$K$6:$K$10000,'GSTR-2A'!$B$6:$B$10000,$C$5:$C$4995,'GSTR-2A'!$A$6:$A$10000,$I$3)</f>
        <v>0</v>
      </c>
      <c r="K135" s="487">
        <f>SUMIFS('GSTR-2A'!$L$6:$L$10000,'GSTR-2A'!$B$6:$B$10000,$C$5:$C$4995,'GSTR-2A'!$A$6:$A$10000,$I$3)</f>
        <v>0</v>
      </c>
      <c r="L135" s="487">
        <f>SUMIFS('GSTR-2A'!$M$6:$M$10000,'GSTR-2A'!$B$6:$B$10000,$C$5:$C$4995,'GSTR-2A'!$A$6:$A$10000,$I$3)</f>
        <v>0</v>
      </c>
      <c r="M135" s="488">
        <f>SUMIFS('GSTR-2A'!$N$6:$N$10000,'GSTR-2A'!$B$6:$B$10000,$C$5:$C$4995,'GSTR-2A'!$A$6:$A$10000,$I$3)</f>
        <v>0</v>
      </c>
      <c r="N135" s="486">
        <f>SUMIFS('GSTR-2A'!$G$6:$G$10000,'GSTR-2A'!$B$6:$B$10000,$C$5:$C$4995,'GSTR-2A'!$A$6:$A$10000,$N$3)</f>
        <v>0</v>
      </c>
      <c r="O135" s="487">
        <f>SUMIFS('GSTR-2A'!$K$6:$K$10000,'GSTR-2A'!$B$6:$B$10000,$C$5:$C$4995,'GSTR-2A'!$A$6:$A$10000,$N$3)</f>
        <v>0</v>
      </c>
      <c r="P135" s="487">
        <f>SUMIFS('GSTR-2A'!$L$6:$L$10000,'GSTR-2A'!$B$6:$B$10000,$C$5:$C$4995,'GSTR-2A'!$A$6:$A$10000,$N$3)</f>
        <v>0</v>
      </c>
      <c r="Q135" s="487">
        <f>SUMIFS('GSTR-2A'!$M$6:$M$10000,'GSTR-2A'!$B$6:$B$10000,$C$5:$C$4995,'GSTR-2A'!$A$6:$A$10000,$N$3)</f>
        <v>0</v>
      </c>
      <c r="R135" s="488">
        <f>SUMIFS('GSTR-2A'!$N$6:$N$10000,'GSTR-2A'!$B$6:$B$10000,$C$5:$C$4995,'GSTR-2A'!$A$6:$A$10000,$N$3)</f>
        <v>0</v>
      </c>
      <c r="S135" s="486">
        <f>SUMIFS('GSTR-2A'!$G$6:$G$10000,'GSTR-2A'!$B$6:$B$10000,$C$5:$C$4995,'GSTR-2A'!$A$6:$A$10000,$S$3)</f>
        <v>0</v>
      </c>
      <c r="T135" s="487">
        <f>SUMIFS('GSTR-2A'!$K$6:$K$10000,'GSTR-2A'!$B$6:$B$10000,$C$5:$C$4995,'GSTR-2A'!$A$6:$A$10000,$S$3)</f>
        <v>0</v>
      </c>
      <c r="U135" s="487">
        <f>SUMIFS('GSTR-2A'!$L$6:$L$10000,'GSTR-2A'!$B$6:$B$10000,$C$5:$C$4995,'GSTR-2A'!$A$6:$A$10000,$S$3)</f>
        <v>0</v>
      </c>
      <c r="V135" s="487">
        <f>SUMIFS('GSTR-2A'!$M$6:$M$10000,'GSTR-2A'!$B$6:$B$10000,$C$5:$C$4995,'GSTR-2A'!$A$6:$A$10000,$S$3)</f>
        <v>0</v>
      </c>
      <c r="W135" s="488">
        <f>SUMIFS('GSTR-2A'!$N$6:$N$10000,'GSTR-2A'!$B$6:$B$10000,$C$5:$C$4995,'GSTR-2A'!$A$6:$A$10000,$S$3)</f>
        <v>0</v>
      </c>
      <c r="X135" s="486">
        <f>SUMIFS('GSTR-2A'!$G$6:$G$10000,'GSTR-2A'!$B$6:$B$10000,$C$5:$C$4995,'GSTR-2A'!$A$6:$A$10000,$X$3)</f>
        <v>22184</v>
      </c>
      <c r="Y135" s="487">
        <f>SUMIFS('GSTR-2A'!$K$6:$K$10000,'GSTR-2A'!$B$6:$B$10000,$C$5:$C$4995,'GSTR-2A'!$A$6:$A$10000,$X$3)</f>
        <v>18800</v>
      </c>
      <c r="Z135" s="487">
        <f>SUMIFS('GSTR-2A'!$L$6:$L$10000,'GSTR-2A'!$B$6:$B$10000,$C$5:$C$4995,'GSTR-2A'!$A$6:$A$10000,$X$3)</f>
        <v>0</v>
      </c>
      <c r="AA135" s="487">
        <f>SUMIFS('GSTR-2A'!$M$6:$M$10000,'GSTR-2A'!$B$6:$B$10000,$C$5:$C$4995,'GSTR-2A'!$A$6:$A$10000,$X$3)</f>
        <v>1692</v>
      </c>
      <c r="AB135" s="488">
        <f>SUMIFS('GSTR-2A'!$N$6:$N$10000,'GSTR-2A'!$B$6:$B$10000,$C$5:$C$4995,'GSTR-2A'!$A$6:$A$10000,$X$3)</f>
        <v>1692</v>
      </c>
      <c r="AC135" s="486">
        <f>SUMIFS('GSTR-2A'!$G$6:$G$10000,'GSTR-2A'!$B$6:$B$10000,$C$5:$C$4995,'GSTR-2A'!$A$6:$A$10000,$AC$3)</f>
        <v>0</v>
      </c>
      <c r="AD135" s="487">
        <f>SUMIFS('GSTR-2A'!$K$6:$K$10000,'GSTR-2A'!$B$6:$B$10000,$C$5:$C$4995,'GSTR-2A'!$A$6:$A$10000,$AC$3)</f>
        <v>0</v>
      </c>
      <c r="AE135" s="487">
        <f>SUMIFS('GSTR-2A'!$L$6:$L$10000,'GSTR-2A'!$B$6:$B$10000,$C$5:$C$4995,'GSTR-2A'!$A$6:$A$10000,$AC$3)</f>
        <v>0</v>
      </c>
      <c r="AF135" s="487">
        <f>SUMIFS('GSTR-2A'!$M$6:$M$10000,'GSTR-2A'!$B$6:$B$10000,$C$5:$C$4995,'GSTR-2A'!$A$6:$A$10000,$AC$3)</f>
        <v>0</v>
      </c>
      <c r="AG135" s="488">
        <f>SUMIFS('GSTR-2A'!$N$6:$N$10000,'GSTR-2A'!$B$6:$B$10000,$C$5:$C$4995,'GSTR-2A'!$A$6:$A$10000,$AC$3)</f>
        <v>0</v>
      </c>
      <c r="AH135" s="486">
        <f>SUMIFS('GSTR-2A'!$G$6:$G$10000,'GSTR-2A'!$B$6:$B$10000,$C$5:$C$4995,'GSTR-2A'!$A$6:$A$10000,$AH$3)</f>
        <v>0</v>
      </c>
      <c r="AI135" s="487">
        <f>SUMIFS('GSTR-2A'!$K$6:$K$10000,'GSTR-2A'!$B$6:$B$10000,$C$5:$C$4995,'GSTR-2A'!$A$6:$A$10000,$AH$3)</f>
        <v>0</v>
      </c>
      <c r="AJ135" s="487">
        <f>SUMIFS('GSTR-2A'!$L$6:$L$10000,'GSTR-2A'!$B$6:$B$10000,$C$5:$C$4995,'GSTR-2A'!$A$6:$A$10000,$AH$3)</f>
        <v>0</v>
      </c>
      <c r="AK135" s="487">
        <f>SUMIFS('GSTR-2A'!$M$6:$M$10000,'GSTR-2A'!$B$6:$B$10000,$C$5:$C$4995,'GSTR-2A'!$A$6:$A$10000,$AH$3)</f>
        <v>0</v>
      </c>
      <c r="AL135" s="488">
        <f>SUMIFS('GSTR-2A'!$N$6:$N$10000,'GSTR-2A'!$B$6:$B$10000,$C$5:$C$4995,'GSTR-2A'!$A$6:$A$10000,$AH$3)</f>
        <v>0</v>
      </c>
      <c r="AM135" s="486">
        <f>SUMIFS('GSTR-2A'!$G$6:$G$10000,'GSTR-2A'!$B$6:$B$10000,$C$5:$C$4995,'GSTR-2A'!$A$6:$A$10000,$AM$3)</f>
        <v>0</v>
      </c>
      <c r="AN135" s="487">
        <f>SUMIFS('GSTR-2A'!$K$6:$K$10000,'GSTR-2A'!$B$6:$B$10000,$C$5:$C$4995,'GSTR-2A'!$A$6:$A$10000,$AM$3)</f>
        <v>0</v>
      </c>
      <c r="AO135" s="487">
        <f>SUMIFS('GSTR-2A'!$L$6:$L$10000,'GSTR-2A'!$B$6:$B$10000,$C$5:$C$4995,'GSTR-2A'!$A$6:$A$10000,$AM$3)</f>
        <v>0</v>
      </c>
      <c r="AP135" s="487">
        <f>SUMIFS('GSTR-2A'!$M$6:$M$10000,'GSTR-2A'!$B$6:$B$10000,$C$5:$C$4995,'GSTR-2A'!$A$6:$A$10000,$AM$3)</f>
        <v>0</v>
      </c>
      <c r="AQ135" s="488">
        <f>SUMIFS('GSTR-2A'!$N$6:$N$10000,'GSTR-2A'!$B$6:$B$10000,$C$5:$C$4995,'GSTR-2A'!$A$6:$A$10000,$AM$3)</f>
        <v>0</v>
      </c>
      <c r="AR135" s="486">
        <f>SUMIFS('GSTR-2A'!$G$6:$G$10000,'GSTR-2A'!$B$6:$B$10000,$C$5:$C$4995,'GSTR-2A'!$A$6:$A$10000,$AR$3)</f>
        <v>0</v>
      </c>
      <c r="AS135" s="487">
        <f>SUMIFS('GSTR-2A'!$K$6:$K$10000,'GSTR-2A'!$B$6:$B$10000,$C$5:$C$4995,'GSTR-2A'!$A$6:$A$10000,$AR$3)</f>
        <v>0</v>
      </c>
      <c r="AT135" s="487">
        <f>SUMIFS('GSTR-2A'!$L$6:$L$10000,'GSTR-2A'!$B$6:$B$10000,$C$5:$C$4995,'GSTR-2A'!$A$6:$A$10000,$AR$3)</f>
        <v>0</v>
      </c>
      <c r="AU135" s="487">
        <f>SUMIFS('GSTR-2A'!$M$6:$M$10000,'GSTR-2A'!$B$6:$B$10000,$C$5:$C$4995,'GSTR-2A'!$A$6:$A$10000,$AR$3)</f>
        <v>0</v>
      </c>
      <c r="AV135" s="488">
        <f>SUMIFS('GSTR-2A'!$N$6:$N$10000,'GSTR-2A'!$B$6:$B$10000,$C$5:$C$4995,'GSTR-2A'!$A$6:$A$10000,$AR$3)</f>
        <v>0</v>
      </c>
      <c r="AW135" s="486">
        <f>SUMIFS('GSTR-2A'!$G$6:$G$10000,'GSTR-2A'!$B$6:$B$10000,$C$5:$C$4995,'GSTR-2A'!$A$6:$A$10000,$AW$3)</f>
        <v>0</v>
      </c>
      <c r="AX135" s="487">
        <f>SUMIFS('GSTR-2A'!$K$6:$K$10000,'GSTR-2A'!$B$6:$B$10000,$C$5:$C$4995,'GSTR-2A'!$A$6:$A$10000,$AW$3)</f>
        <v>0</v>
      </c>
      <c r="AY135" s="487">
        <f>SUMIFS('GSTR-2A'!$L$6:$L$10000,'GSTR-2A'!$B$6:$B$10000,$C$5:$C$4995,'GSTR-2A'!$A$6:$A$10000,$AW$3)</f>
        <v>0</v>
      </c>
      <c r="AZ135" s="487">
        <f>SUMIFS('GSTR-2A'!$M$6:$M$10000,'GSTR-2A'!$B$6:$B$10000,$C$5:$C$4995,'GSTR-2A'!$A$6:$A$10000,$AW$3)</f>
        <v>0</v>
      </c>
      <c r="BA135" s="488">
        <f>SUMIFS('GSTR-2A'!$N$6:$N$10000,'GSTR-2A'!$B$6:$B$10000,$C$5:$C$4995,'GSTR-2A'!$A$6:$A$10000,$AW$3)</f>
        <v>0</v>
      </c>
      <c r="BB135" s="486">
        <f>SUMIFS('GSTR-2A'!$G$6:$G$10000,'GSTR-2A'!$B$6:$B$10000,$C$5:$C$4995,'GSTR-2A'!$A$6:$A$10000,$BB$3)</f>
        <v>0</v>
      </c>
      <c r="BC135" s="487">
        <f>SUMIFS('GSTR-2A'!$K$6:$K$10000,'GSTR-2A'!$B$6:$B$10000,$C$5:$C$4995,'GSTR-2A'!$A$6:$A$10000,$BB$3)</f>
        <v>0</v>
      </c>
      <c r="BD135" s="487">
        <f>SUMIFS('GSTR-2A'!$L$6:$L$10000,'GSTR-2A'!$B$6:$B$10000,$C$5:$C$4995,'GSTR-2A'!$A$6:$A$10000,$BB$3)</f>
        <v>0</v>
      </c>
      <c r="BE135" s="487">
        <f>SUMIFS('GSTR-2A'!$M$6:$M$10000,'GSTR-2A'!$B$6:$B$10000,$C$5:$C$4995,'GSTR-2A'!$A$6:$A$10000,$BB$3)</f>
        <v>0</v>
      </c>
      <c r="BF135" s="488">
        <f>SUMIFS('GSTR-2A'!$N$6:$N$10000,'GSTR-2A'!$B$6:$B$10000,$C$5:$C$4995,'GSTR-2A'!$A$6:$A$10000,$BB$3)</f>
        <v>0</v>
      </c>
      <c r="BG135" s="486">
        <f>SUMIFS('GSTR-2A'!$G$6:$G$10000,'GSTR-2A'!$B$6:$B$10000,$C$5:$C$4995,'GSTR-2A'!$A$6:$A$10000,$BG$3)</f>
        <v>0</v>
      </c>
      <c r="BH135" s="487">
        <f>SUMIFS('GSTR-2A'!$K$6:$K$10000,'GSTR-2A'!$B$6:$B$10000,$C$5:$C$4995,'GSTR-2A'!$A$6:$A$10000,$BG$3)</f>
        <v>0</v>
      </c>
      <c r="BI135" s="487">
        <f>SUMIFS('GSTR-2A'!$L$6:$L$10000,'GSTR-2A'!$B$6:$B$10000,$C$5:$C$4995,'GSTR-2A'!$A$6:$A$10000,$BG$3)</f>
        <v>0</v>
      </c>
      <c r="BJ135" s="487">
        <f>SUMIFS('GSTR-2A'!$M$6:$M$10000,'GSTR-2A'!$B$6:$B$10000,$C$5:$C$4995,'GSTR-2A'!$A$6:$A$10000,$BG$3)</f>
        <v>0</v>
      </c>
      <c r="BK135" s="488">
        <f>SUMIFS('GSTR-2A'!$N$6:$N$10000,'GSTR-2A'!$B$6:$B$10000,$C$5:$C$4995,'GSTR-2A'!$A$6:$A$10000,$BG$3)</f>
        <v>0</v>
      </c>
      <c r="BL135" s="72">
        <f t="shared" si="12"/>
        <v>22184</v>
      </c>
      <c r="BM135" s="72">
        <f t="shared" si="13"/>
        <v>18800</v>
      </c>
      <c r="BN135" s="72">
        <f t="shared" si="14"/>
        <v>0</v>
      </c>
      <c r="BO135" s="72">
        <f t="shared" si="15"/>
        <v>1692</v>
      </c>
      <c r="BP135" s="72">
        <f t="shared" si="16"/>
        <v>1692</v>
      </c>
    </row>
    <row r="136" spans="1:68" x14ac:dyDescent="0.2">
      <c r="A136" s="467">
        <v>133</v>
      </c>
      <c r="B136" s="468" t="s">
        <v>546</v>
      </c>
      <c r="C136" s="469" t="s">
        <v>547</v>
      </c>
      <c r="D136" s="72">
        <f>SUMIFS('GSTR-2A'!$G$6:$G$10000,'GSTR-2A'!$B$6:$B$10000,$C$5:$C$4995,'GSTR-2A'!$A$6:$A$10000,$D$3)</f>
        <v>1505</v>
      </c>
      <c r="E136" s="72">
        <f>SUMIFS('GSTR-2A'!$K$6:$K$10000,'GSTR-2A'!$B$6:$B$10000,$C$5:$C$4995,'GSTR-2A'!$A$6:$A$10000,$D$3)</f>
        <v>1275.5</v>
      </c>
      <c r="F136" s="72">
        <f>SUMIFS('GSTR-2A'!$L$6:$L$10000,'GSTR-2A'!$B$6:$B$10000,$C$5:$C$4995,'GSTR-2A'!$A$6:$A$10000,$D$3)</f>
        <v>0</v>
      </c>
      <c r="G136" s="72">
        <f>SUMIFS('GSTR-2A'!$M$6:$M$10000,'GSTR-2A'!$B$6:$B$10000,$C$5:$C$4995,'GSTR-2A'!$A$6:$A$10000,$D$3)</f>
        <v>114.8</v>
      </c>
      <c r="H136" s="72">
        <f>SUMIFS('GSTR-2A'!$N$6:$N$10000,'GSTR-2A'!$B$6:$B$10000,$C$5:$C$4995,'GSTR-2A'!$A$6:$A$10000,$D$3)</f>
        <v>114.8</v>
      </c>
      <c r="I136" s="486">
        <f>SUMIFS('GSTR-2A'!$G$6:$G$10000,'GSTR-2A'!$B$6:$B$10000,$C$5:$C$4995,'GSTR-2A'!$A$6:$A$10000,$I$3)</f>
        <v>0</v>
      </c>
      <c r="J136" s="487">
        <f>SUMIFS('GSTR-2A'!$K$6:$K$10000,'GSTR-2A'!$B$6:$B$10000,$C$5:$C$4995,'GSTR-2A'!$A$6:$A$10000,$I$3)</f>
        <v>0</v>
      </c>
      <c r="K136" s="487">
        <f>SUMIFS('GSTR-2A'!$L$6:$L$10000,'GSTR-2A'!$B$6:$B$10000,$C$5:$C$4995,'GSTR-2A'!$A$6:$A$10000,$I$3)</f>
        <v>0</v>
      </c>
      <c r="L136" s="487">
        <f>SUMIFS('GSTR-2A'!$M$6:$M$10000,'GSTR-2A'!$B$6:$B$10000,$C$5:$C$4995,'GSTR-2A'!$A$6:$A$10000,$I$3)</f>
        <v>0</v>
      </c>
      <c r="M136" s="488">
        <f>SUMIFS('GSTR-2A'!$N$6:$N$10000,'GSTR-2A'!$B$6:$B$10000,$C$5:$C$4995,'GSTR-2A'!$A$6:$A$10000,$I$3)</f>
        <v>0</v>
      </c>
      <c r="N136" s="486">
        <f>SUMIFS('GSTR-2A'!$G$6:$G$10000,'GSTR-2A'!$B$6:$B$10000,$C$5:$C$4995,'GSTR-2A'!$A$6:$A$10000,$N$3)</f>
        <v>0</v>
      </c>
      <c r="O136" s="487">
        <f>SUMIFS('GSTR-2A'!$K$6:$K$10000,'GSTR-2A'!$B$6:$B$10000,$C$5:$C$4995,'GSTR-2A'!$A$6:$A$10000,$N$3)</f>
        <v>0</v>
      </c>
      <c r="P136" s="487">
        <f>SUMIFS('GSTR-2A'!$L$6:$L$10000,'GSTR-2A'!$B$6:$B$10000,$C$5:$C$4995,'GSTR-2A'!$A$6:$A$10000,$N$3)</f>
        <v>0</v>
      </c>
      <c r="Q136" s="487">
        <f>SUMIFS('GSTR-2A'!$M$6:$M$10000,'GSTR-2A'!$B$6:$B$10000,$C$5:$C$4995,'GSTR-2A'!$A$6:$A$10000,$N$3)</f>
        <v>0</v>
      </c>
      <c r="R136" s="488">
        <f>SUMIFS('GSTR-2A'!$N$6:$N$10000,'GSTR-2A'!$B$6:$B$10000,$C$5:$C$4995,'GSTR-2A'!$A$6:$A$10000,$N$3)</f>
        <v>0</v>
      </c>
      <c r="S136" s="486">
        <f>SUMIFS('GSTR-2A'!$G$6:$G$10000,'GSTR-2A'!$B$6:$B$10000,$C$5:$C$4995,'GSTR-2A'!$A$6:$A$10000,$S$3)</f>
        <v>0</v>
      </c>
      <c r="T136" s="487">
        <f>SUMIFS('GSTR-2A'!$K$6:$K$10000,'GSTR-2A'!$B$6:$B$10000,$C$5:$C$4995,'GSTR-2A'!$A$6:$A$10000,$S$3)</f>
        <v>0</v>
      </c>
      <c r="U136" s="487">
        <f>SUMIFS('GSTR-2A'!$L$6:$L$10000,'GSTR-2A'!$B$6:$B$10000,$C$5:$C$4995,'GSTR-2A'!$A$6:$A$10000,$S$3)</f>
        <v>0</v>
      </c>
      <c r="V136" s="487">
        <f>SUMIFS('GSTR-2A'!$M$6:$M$10000,'GSTR-2A'!$B$6:$B$10000,$C$5:$C$4995,'GSTR-2A'!$A$6:$A$10000,$S$3)</f>
        <v>0</v>
      </c>
      <c r="W136" s="488">
        <f>SUMIFS('GSTR-2A'!$N$6:$N$10000,'GSTR-2A'!$B$6:$B$10000,$C$5:$C$4995,'GSTR-2A'!$A$6:$A$10000,$S$3)</f>
        <v>0</v>
      </c>
      <c r="X136" s="486">
        <f>SUMIFS('GSTR-2A'!$G$6:$G$10000,'GSTR-2A'!$B$6:$B$10000,$C$5:$C$4995,'GSTR-2A'!$A$6:$A$10000,$X$3)</f>
        <v>0</v>
      </c>
      <c r="Y136" s="487">
        <f>SUMIFS('GSTR-2A'!$K$6:$K$10000,'GSTR-2A'!$B$6:$B$10000,$C$5:$C$4995,'GSTR-2A'!$A$6:$A$10000,$X$3)</f>
        <v>0</v>
      </c>
      <c r="Z136" s="487">
        <f>SUMIFS('GSTR-2A'!$L$6:$L$10000,'GSTR-2A'!$B$6:$B$10000,$C$5:$C$4995,'GSTR-2A'!$A$6:$A$10000,$X$3)</f>
        <v>0</v>
      </c>
      <c r="AA136" s="487">
        <f>SUMIFS('GSTR-2A'!$M$6:$M$10000,'GSTR-2A'!$B$6:$B$10000,$C$5:$C$4995,'GSTR-2A'!$A$6:$A$10000,$X$3)</f>
        <v>0</v>
      </c>
      <c r="AB136" s="488">
        <f>SUMIFS('GSTR-2A'!$N$6:$N$10000,'GSTR-2A'!$B$6:$B$10000,$C$5:$C$4995,'GSTR-2A'!$A$6:$A$10000,$X$3)</f>
        <v>0</v>
      </c>
      <c r="AC136" s="486">
        <f>SUMIFS('GSTR-2A'!$G$6:$G$10000,'GSTR-2A'!$B$6:$B$10000,$C$5:$C$4995,'GSTR-2A'!$A$6:$A$10000,$AC$3)</f>
        <v>0</v>
      </c>
      <c r="AD136" s="487">
        <f>SUMIFS('GSTR-2A'!$K$6:$K$10000,'GSTR-2A'!$B$6:$B$10000,$C$5:$C$4995,'GSTR-2A'!$A$6:$A$10000,$AC$3)</f>
        <v>0</v>
      </c>
      <c r="AE136" s="487">
        <f>SUMIFS('GSTR-2A'!$L$6:$L$10000,'GSTR-2A'!$B$6:$B$10000,$C$5:$C$4995,'GSTR-2A'!$A$6:$A$10000,$AC$3)</f>
        <v>0</v>
      </c>
      <c r="AF136" s="487">
        <f>SUMIFS('GSTR-2A'!$M$6:$M$10000,'GSTR-2A'!$B$6:$B$10000,$C$5:$C$4995,'GSTR-2A'!$A$6:$A$10000,$AC$3)</f>
        <v>0</v>
      </c>
      <c r="AG136" s="488">
        <f>SUMIFS('GSTR-2A'!$N$6:$N$10000,'GSTR-2A'!$B$6:$B$10000,$C$5:$C$4995,'GSTR-2A'!$A$6:$A$10000,$AC$3)</f>
        <v>0</v>
      </c>
      <c r="AH136" s="486">
        <f>SUMIFS('GSTR-2A'!$G$6:$G$10000,'GSTR-2A'!$B$6:$B$10000,$C$5:$C$4995,'GSTR-2A'!$A$6:$A$10000,$AH$3)</f>
        <v>0</v>
      </c>
      <c r="AI136" s="487">
        <f>SUMIFS('GSTR-2A'!$K$6:$K$10000,'GSTR-2A'!$B$6:$B$10000,$C$5:$C$4995,'GSTR-2A'!$A$6:$A$10000,$AH$3)</f>
        <v>0</v>
      </c>
      <c r="AJ136" s="487">
        <f>SUMIFS('GSTR-2A'!$L$6:$L$10000,'GSTR-2A'!$B$6:$B$10000,$C$5:$C$4995,'GSTR-2A'!$A$6:$A$10000,$AH$3)</f>
        <v>0</v>
      </c>
      <c r="AK136" s="487">
        <f>SUMIFS('GSTR-2A'!$M$6:$M$10000,'GSTR-2A'!$B$6:$B$10000,$C$5:$C$4995,'GSTR-2A'!$A$6:$A$10000,$AH$3)</f>
        <v>0</v>
      </c>
      <c r="AL136" s="488">
        <f>SUMIFS('GSTR-2A'!$N$6:$N$10000,'GSTR-2A'!$B$6:$B$10000,$C$5:$C$4995,'GSTR-2A'!$A$6:$A$10000,$AH$3)</f>
        <v>0</v>
      </c>
      <c r="AM136" s="486">
        <f>SUMIFS('GSTR-2A'!$G$6:$G$10000,'GSTR-2A'!$B$6:$B$10000,$C$5:$C$4995,'GSTR-2A'!$A$6:$A$10000,$AM$3)</f>
        <v>0</v>
      </c>
      <c r="AN136" s="487">
        <f>SUMIFS('GSTR-2A'!$K$6:$K$10000,'GSTR-2A'!$B$6:$B$10000,$C$5:$C$4995,'GSTR-2A'!$A$6:$A$10000,$AM$3)</f>
        <v>0</v>
      </c>
      <c r="AO136" s="487">
        <f>SUMIFS('GSTR-2A'!$L$6:$L$10000,'GSTR-2A'!$B$6:$B$10000,$C$5:$C$4995,'GSTR-2A'!$A$6:$A$10000,$AM$3)</f>
        <v>0</v>
      </c>
      <c r="AP136" s="487">
        <f>SUMIFS('GSTR-2A'!$M$6:$M$10000,'GSTR-2A'!$B$6:$B$10000,$C$5:$C$4995,'GSTR-2A'!$A$6:$A$10000,$AM$3)</f>
        <v>0</v>
      </c>
      <c r="AQ136" s="488">
        <f>SUMIFS('GSTR-2A'!$N$6:$N$10000,'GSTR-2A'!$B$6:$B$10000,$C$5:$C$4995,'GSTR-2A'!$A$6:$A$10000,$AM$3)</f>
        <v>0</v>
      </c>
      <c r="AR136" s="486">
        <f>SUMIFS('GSTR-2A'!$G$6:$G$10000,'GSTR-2A'!$B$6:$B$10000,$C$5:$C$4995,'GSTR-2A'!$A$6:$A$10000,$AR$3)</f>
        <v>0</v>
      </c>
      <c r="AS136" s="487">
        <f>SUMIFS('GSTR-2A'!$K$6:$K$10000,'GSTR-2A'!$B$6:$B$10000,$C$5:$C$4995,'GSTR-2A'!$A$6:$A$10000,$AR$3)</f>
        <v>0</v>
      </c>
      <c r="AT136" s="487">
        <f>SUMIFS('GSTR-2A'!$L$6:$L$10000,'GSTR-2A'!$B$6:$B$10000,$C$5:$C$4995,'GSTR-2A'!$A$6:$A$10000,$AR$3)</f>
        <v>0</v>
      </c>
      <c r="AU136" s="487">
        <f>SUMIFS('GSTR-2A'!$M$6:$M$10000,'GSTR-2A'!$B$6:$B$10000,$C$5:$C$4995,'GSTR-2A'!$A$6:$A$10000,$AR$3)</f>
        <v>0</v>
      </c>
      <c r="AV136" s="488">
        <f>SUMIFS('GSTR-2A'!$N$6:$N$10000,'GSTR-2A'!$B$6:$B$10000,$C$5:$C$4995,'GSTR-2A'!$A$6:$A$10000,$AR$3)</f>
        <v>0</v>
      </c>
      <c r="AW136" s="486">
        <f>SUMIFS('GSTR-2A'!$G$6:$G$10000,'GSTR-2A'!$B$6:$B$10000,$C$5:$C$4995,'GSTR-2A'!$A$6:$A$10000,$AW$3)</f>
        <v>0</v>
      </c>
      <c r="AX136" s="487">
        <f>SUMIFS('GSTR-2A'!$K$6:$K$10000,'GSTR-2A'!$B$6:$B$10000,$C$5:$C$4995,'GSTR-2A'!$A$6:$A$10000,$AW$3)</f>
        <v>0</v>
      </c>
      <c r="AY136" s="487">
        <f>SUMIFS('GSTR-2A'!$L$6:$L$10000,'GSTR-2A'!$B$6:$B$10000,$C$5:$C$4995,'GSTR-2A'!$A$6:$A$10000,$AW$3)</f>
        <v>0</v>
      </c>
      <c r="AZ136" s="487">
        <f>SUMIFS('GSTR-2A'!$M$6:$M$10000,'GSTR-2A'!$B$6:$B$10000,$C$5:$C$4995,'GSTR-2A'!$A$6:$A$10000,$AW$3)</f>
        <v>0</v>
      </c>
      <c r="BA136" s="488">
        <f>SUMIFS('GSTR-2A'!$N$6:$N$10000,'GSTR-2A'!$B$6:$B$10000,$C$5:$C$4995,'GSTR-2A'!$A$6:$A$10000,$AW$3)</f>
        <v>0</v>
      </c>
      <c r="BB136" s="486">
        <f>SUMIFS('GSTR-2A'!$G$6:$G$10000,'GSTR-2A'!$B$6:$B$10000,$C$5:$C$4995,'GSTR-2A'!$A$6:$A$10000,$BB$3)</f>
        <v>0</v>
      </c>
      <c r="BC136" s="487">
        <f>SUMIFS('GSTR-2A'!$K$6:$K$10000,'GSTR-2A'!$B$6:$B$10000,$C$5:$C$4995,'GSTR-2A'!$A$6:$A$10000,$BB$3)</f>
        <v>0</v>
      </c>
      <c r="BD136" s="487">
        <f>SUMIFS('GSTR-2A'!$L$6:$L$10000,'GSTR-2A'!$B$6:$B$10000,$C$5:$C$4995,'GSTR-2A'!$A$6:$A$10000,$BB$3)</f>
        <v>0</v>
      </c>
      <c r="BE136" s="487">
        <f>SUMIFS('GSTR-2A'!$M$6:$M$10000,'GSTR-2A'!$B$6:$B$10000,$C$5:$C$4995,'GSTR-2A'!$A$6:$A$10000,$BB$3)</f>
        <v>0</v>
      </c>
      <c r="BF136" s="488">
        <f>SUMIFS('GSTR-2A'!$N$6:$N$10000,'GSTR-2A'!$B$6:$B$10000,$C$5:$C$4995,'GSTR-2A'!$A$6:$A$10000,$BB$3)</f>
        <v>0</v>
      </c>
      <c r="BG136" s="486">
        <f>SUMIFS('GSTR-2A'!$G$6:$G$10000,'GSTR-2A'!$B$6:$B$10000,$C$5:$C$4995,'GSTR-2A'!$A$6:$A$10000,$BG$3)</f>
        <v>0</v>
      </c>
      <c r="BH136" s="487">
        <f>SUMIFS('GSTR-2A'!$K$6:$K$10000,'GSTR-2A'!$B$6:$B$10000,$C$5:$C$4995,'GSTR-2A'!$A$6:$A$10000,$BG$3)</f>
        <v>0</v>
      </c>
      <c r="BI136" s="487">
        <f>SUMIFS('GSTR-2A'!$L$6:$L$10000,'GSTR-2A'!$B$6:$B$10000,$C$5:$C$4995,'GSTR-2A'!$A$6:$A$10000,$BG$3)</f>
        <v>0</v>
      </c>
      <c r="BJ136" s="487">
        <f>SUMIFS('GSTR-2A'!$M$6:$M$10000,'GSTR-2A'!$B$6:$B$10000,$C$5:$C$4995,'GSTR-2A'!$A$6:$A$10000,$BG$3)</f>
        <v>0</v>
      </c>
      <c r="BK136" s="488">
        <f>SUMIFS('GSTR-2A'!$N$6:$N$10000,'GSTR-2A'!$B$6:$B$10000,$C$5:$C$4995,'GSTR-2A'!$A$6:$A$10000,$BG$3)</f>
        <v>0</v>
      </c>
      <c r="BL136" s="72">
        <f t="shared" si="12"/>
        <v>1505</v>
      </c>
      <c r="BM136" s="72">
        <f t="shared" si="13"/>
        <v>1275.5</v>
      </c>
      <c r="BN136" s="72">
        <f t="shared" si="14"/>
        <v>0</v>
      </c>
      <c r="BO136" s="72">
        <f t="shared" si="15"/>
        <v>114.8</v>
      </c>
      <c r="BP136" s="72">
        <f t="shared" si="16"/>
        <v>114.8</v>
      </c>
    </row>
    <row r="137" spans="1:68" x14ac:dyDescent="0.2">
      <c r="A137" s="467">
        <v>136</v>
      </c>
      <c r="B137" s="467" t="s">
        <v>682</v>
      </c>
      <c r="C137" s="467" t="s">
        <v>683</v>
      </c>
      <c r="D137" s="72">
        <f>SUMIFS('GSTR-2A'!$G$6:$G$10000,'GSTR-2A'!$B$6:$B$10000,$C$5:$C$4995,'GSTR-2A'!$A$6:$A$10000,$D$3)</f>
        <v>0</v>
      </c>
      <c r="E137" s="72">
        <f>SUMIFS('GSTR-2A'!$K$6:$K$10000,'GSTR-2A'!$B$6:$B$10000,$C$5:$C$4995,'GSTR-2A'!$A$6:$A$10000,$D$3)</f>
        <v>0</v>
      </c>
      <c r="F137" s="72">
        <f>SUMIFS('GSTR-2A'!$L$6:$L$10000,'GSTR-2A'!$B$6:$B$10000,$C$5:$C$4995,'GSTR-2A'!$A$6:$A$10000,$D$3)</f>
        <v>0</v>
      </c>
      <c r="G137" s="72">
        <f>SUMIFS('GSTR-2A'!$M$6:$M$10000,'GSTR-2A'!$B$6:$B$10000,$C$5:$C$4995,'GSTR-2A'!$A$6:$A$10000,$D$3)</f>
        <v>0</v>
      </c>
      <c r="H137" s="72">
        <f>SUMIFS('GSTR-2A'!$N$6:$N$10000,'GSTR-2A'!$B$6:$B$10000,$C$5:$C$4995,'GSTR-2A'!$A$6:$A$10000,$D$3)</f>
        <v>0</v>
      </c>
      <c r="I137" s="486">
        <f>SUMIFS('GSTR-2A'!$G$6:$G$10000,'GSTR-2A'!$B$6:$B$10000,$C$5:$C$4995,'GSTR-2A'!$A$6:$A$10000,$I$3)</f>
        <v>0</v>
      </c>
      <c r="J137" s="487">
        <f>SUMIFS('GSTR-2A'!$K$6:$K$10000,'GSTR-2A'!$B$6:$B$10000,$C$5:$C$4995,'GSTR-2A'!$A$6:$A$10000,$I$3)</f>
        <v>0</v>
      </c>
      <c r="K137" s="487">
        <f>SUMIFS('GSTR-2A'!$L$6:$L$10000,'GSTR-2A'!$B$6:$B$10000,$C$5:$C$4995,'GSTR-2A'!$A$6:$A$10000,$I$3)</f>
        <v>0</v>
      </c>
      <c r="L137" s="487">
        <f>SUMIFS('GSTR-2A'!$M$6:$M$10000,'GSTR-2A'!$B$6:$B$10000,$C$5:$C$4995,'GSTR-2A'!$A$6:$A$10000,$I$3)</f>
        <v>0</v>
      </c>
      <c r="M137" s="488">
        <f>SUMIFS('GSTR-2A'!$N$6:$N$10000,'GSTR-2A'!$B$6:$B$10000,$C$5:$C$4995,'GSTR-2A'!$A$6:$A$10000,$I$3)</f>
        <v>0</v>
      </c>
      <c r="N137" s="486">
        <f>SUMIFS('GSTR-2A'!$G$6:$G$10000,'GSTR-2A'!$B$6:$B$10000,$C$5:$C$4995,'GSTR-2A'!$A$6:$A$10000,$N$3)</f>
        <v>0</v>
      </c>
      <c r="O137" s="487">
        <f>SUMIFS('GSTR-2A'!$K$6:$K$10000,'GSTR-2A'!$B$6:$B$10000,$C$5:$C$4995,'GSTR-2A'!$A$6:$A$10000,$N$3)</f>
        <v>0</v>
      </c>
      <c r="P137" s="487">
        <f>SUMIFS('GSTR-2A'!$L$6:$L$10000,'GSTR-2A'!$B$6:$B$10000,$C$5:$C$4995,'GSTR-2A'!$A$6:$A$10000,$N$3)</f>
        <v>0</v>
      </c>
      <c r="Q137" s="487">
        <f>SUMIFS('GSTR-2A'!$M$6:$M$10000,'GSTR-2A'!$B$6:$B$10000,$C$5:$C$4995,'GSTR-2A'!$A$6:$A$10000,$N$3)</f>
        <v>0</v>
      </c>
      <c r="R137" s="488">
        <f>SUMIFS('GSTR-2A'!$N$6:$N$10000,'GSTR-2A'!$B$6:$B$10000,$C$5:$C$4995,'GSTR-2A'!$A$6:$A$10000,$N$3)</f>
        <v>0</v>
      </c>
      <c r="S137" s="486">
        <f>SUMIFS('GSTR-2A'!$G$6:$G$10000,'GSTR-2A'!$B$6:$B$10000,$C$5:$C$4995,'GSTR-2A'!$A$6:$A$10000,$S$3)</f>
        <v>0</v>
      </c>
      <c r="T137" s="487">
        <f>SUMIFS('GSTR-2A'!$K$6:$K$10000,'GSTR-2A'!$B$6:$B$10000,$C$5:$C$4995,'GSTR-2A'!$A$6:$A$10000,$S$3)</f>
        <v>0</v>
      </c>
      <c r="U137" s="487">
        <f>SUMIFS('GSTR-2A'!$L$6:$L$10000,'GSTR-2A'!$B$6:$B$10000,$C$5:$C$4995,'GSTR-2A'!$A$6:$A$10000,$S$3)</f>
        <v>0</v>
      </c>
      <c r="V137" s="487">
        <f>SUMIFS('GSTR-2A'!$M$6:$M$10000,'GSTR-2A'!$B$6:$B$10000,$C$5:$C$4995,'GSTR-2A'!$A$6:$A$10000,$S$3)</f>
        <v>0</v>
      </c>
      <c r="W137" s="488">
        <f>SUMIFS('GSTR-2A'!$N$6:$N$10000,'GSTR-2A'!$B$6:$B$10000,$C$5:$C$4995,'GSTR-2A'!$A$6:$A$10000,$S$3)</f>
        <v>0</v>
      </c>
      <c r="X137" s="486">
        <f>SUMIFS('GSTR-2A'!$G$6:$G$10000,'GSTR-2A'!$B$6:$B$10000,$C$5:$C$4995,'GSTR-2A'!$A$6:$A$10000,$X$3)</f>
        <v>0</v>
      </c>
      <c r="Y137" s="487">
        <f>SUMIFS('GSTR-2A'!$K$6:$K$10000,'GSTR-2A'!$B$6:$B$10000,$C$5:$C$4995,'GSTR-2A'!$A$6:$A$10000,$X$3)</f>
        <v>0</v>
      </c>
      <c r="Z137" s="487">
        <f>SUMIFS('GSTR-2A'!$L$6:$L$10000,'GSTR-2A'!$B$6:$B$10000,$C$5:$C$4995,'GSTR-2A'!$A$6:$A$10000,$X$3)</f>
        <v>0</v>
      </c>
      <c r="AA137" s="487">
        <f>SUMIFS('GSTR-2A'!$M$6:$M$10000,'GSTR-2A'!$B$6:$B$10000,$C$5:$C$4995,'GSTR-2A'!$A$6:$A$10000,$X$3)</f>
        <v>0</v>
      </c>
      <c r="AB137" s="488">
        <f>SUMIFS('GSTR-2A'!$N$6:$N$10000,'GSTR-2A'!$B$6:$B$10000,$C$5:$C$4995,'GSTR-2A'!$A$6:$A$10000,$X$3)</f>
        <v>0</v>
      </c>
      <c r="AC137" s="486">
        <f>SUMIFS('GSTR-2A'!$G$6:$G$10000,'GSTR-2A'!$B$6:$B$10000,$C$5:$C$4995,'GSTR-2A'!$A$6:$A$10000,$AC$3)</f>
        <v>0</v>
      </c>
      <c r="AD137" s="487">
        <f>SUMIFS('GSTR-2A'!$K$6:$K$10000,'GSTR-2A'!$B$6:$B$10000,$C$5:$C$4995,'GSTR-2A'!$A$6:$A$10000,$AC$3)</f>
        <v>0</v>
      </c>
      <c r="AE137" s="487">
        <f>SUMIFS('GSTR-2A'!$L$6:$L$10000,'GSTR-2A'!$B$6:$B$10000,$C$5:$C$4995,'GSTR-2A'!$A$6:$A$10000,$AC$3)</f>
        <v>0</v>
      </c>
      <c r="AF137" s="487">
        <f>SUMIFS('GSTR-2A'!$M$6:$M$10000,'GSTR-2A'!$B$6:$B$10000,$C$5:$C$4995,'GSTR-2A'!$A$6:$A$10000,$AC$3)</f>
        <v>0</v>
      </c>
      <c r="AG137" s="488">
        <f>SUMIFS('GSTR-2A'!$N$6:$N$10000,'GSTR-2A'!$B$6:$B$10000,$C$5:$C$4995,'GSTR-2A'!$A$6:$A$10000,$AC$3)</f>
        <v>0</v>
      </c>
      <c r="AH137" s="486">
        <f>SUMIFS('GSTR-2A'!$G$6:$G$10000,'GSTR-2A'!$B$6:$B$10000,$C$5:$C$4995,'GSTR-2A'!$A$6:$A$10000,$AH$3)</f>
        <v>0</v>
      </c>
      <c r="AI137" s="487">
        <f>SUMIFS('GSTR-2A'!$K$6:$K$10000,'GSTR-2A'!$B$6:$B$10000,$C$5:$C$4995,'GSTR-2A'!$A$6:$A$10000,$AH$3)</f>
        <v>0</v>
      </c>
      <c r="AJ137" s="487">
        <f>SUMIFS('GSTR-2A'!$L$6:$L$10000,'GSTR-2A'!$B$6:$B$10000,$C$5:$C$4995,'GSTR-2A'!$A$6:$A$10000,$AH$3)</f>
        <v>0</v>
      </c>
      <c r="AK137" s="487">
        <f>SUMIFS('GSTR-2A'!$M$6:$M$10000,'GSTR-2A'!$B$6:$B$10000,$C$5:$C$4995,'GSTR-2A'!$A$6:$A$10000,$AH$3)</f>
        <v>0</v>
      </c>
      <c r="AL137" s="488">
        <f>SUMIFS('GSTR-2A'!$N$6:$N$10000,'GSTR-2A'!$B$6:$B$10000,$C$5:$C$4995,'GSTR-2A'!$A$6:$A$10000,$AH$3)</f>
        <v>0</v>
      </c>
      <c r="AM137" s="486">
        <f>SUMIFS('GSTR-2A'!$G$6:$G$10000,'GSTR-2A'!$B$6:$B$10000,$C$5:$C$4995,'GSTR-2A'!$A$6:$A$10000,$AM$3)</f>
        <v>0</v>
      </c>
      <c r="AN137" s="487">
        <f>SUMIFS('GSTR-2A'!$K$6:$K$10000,'GSTR-2A'!$B$6:$B$10000,$C$5:$C$4995,'GSTR-2A'!$A$6:$A$10000,$AM$3)</f>
        <v>0</v>
      </c>
      <c r="AO137" s="487">
        <f>SUMIFS('GSTR-2A'!$L$6:$L$10000,'GSTR-2A'!$B$6:$B$10000,$C$5:$C$4995,'GSTR-2A'!$A$6:$A$10000,$AM$3)</f>
        <v>0</v>
      </c>
      <c r="AP137" s="487">
        <f>SUMIFS('GSTR-2A'!$M$6:$M$10000,'GSTR-2A'!$B$6:$B$10000,$C$5:$C$4995,'GSTR-2A'!$A$6:$A$10000,$AM$3)</f>
        <v>0</v>
      </c>
      <c r="AQ137" s="488">
        <f>SUMIFS('GSTR-2A'!$N$6:$N$10000,'GSTR-2A'!$B$6:$B$10000,$C$5:$C$4995,'GSTR-2A'!$A$6:$A$10000,$AM$3)</f>
        <v>0</v>
      </c>
      <c r="AR137" s="486">
        <f>SUMIFS('GSTR-2A'!$G$6:$G$10000,'GSTR-2A'!$B$6:$B$10000,$C$5:$C$4995,'GSTR-2A'!$A$6:$A$10000,$AR$3)</f>
        <v>0</v>
      </c>
      <c r="AS137" s="487">
        <f>SUMIFS('GSTR-2A'!$K$6:$K$10000,'GSTR-2A'!$B$6:$B$10000,$C$5:$C$4995,'GSTR-2A'!$A$6:$A$10000,$AR$3)</f>
        <v>0</v>
      </c>
      <c r="AT137" s="487">
        <f>SUMIFS('GSTR-2A'!$L$6:$L$10000,'GSTR-2A'!$B$6:$B$10000,$C$5:$C$4995,'GSTR-2A'!$A$6:$A$10000,$AR$3)</f>
        <v>0</v>
      </c>
      <c r="AU137" s="487">
        <f>SUMIFS('GSTR-2A'!$M$6:$M$10000,'GSTR-2A'!$B$6:$B$10000,$C$5:$C$4995,'GSTR-2A'!$A$6:$A$10000,$AR$3)</f>
        <v>0</v>
      </c>
      <c r="AV137" s="488">
        <f>SUMIFS('GSTR-2A'!$N$6:$N$10000,'GSTR-2A'!$B$6:$B$10000,$C$5:$C$4995,'GSTR-2A'!$A$6:$A$10000,$AR$3)</f>
        <v>0</v>
      </c>
      <c r="AW137" s="486">
        <f>SUMIFS('GSTR-2A'!$G$6:$G$10000,'GSTR-2A'!$B$6:$B$10000,$C$5:$C$4995,'GSTR-2A'!$A$6:$A$10000,$AW$3)</f>
        <v>0</v>
      </c>
      <c r="AX137" s="487">
        <f>SUMIFS('GSTR-2A'!$K$6:$K$10000,'GSTR-2A'!$B$6:$B$10000,$C$5:$C$4995,'GSTR-2A'!$A$6:$A$10000,$AW$3)</f>
        <v>0</v>
      </c>
      <c r="AY137" s="487">
        <f>SUMIFS('GSTR-2A'!$L$6:$L$10000,'GSTR-2A'!$B$6:$B$10000,$C$5:$C$4995,'GSTR-2A'!$A$6:$A$10000,$AW$3)</f>
        <v>0</v>
      </c>
      <c r="AZ137" s="487">
        <f>SUMIFS('GSTR-2A'!$M$6:$M$10000,'GSTR-2A'!$B$6:$B$10000,$C$5:$C$4995,'GSTR-2A'!$A$6:$A$10000,$AW$3)</f>
        <v>0</v>
      </c>
      <c r="BA137" s="488">
        <f>SUMIFS('GSTR-2A'!$N$6:$N$10000,'GSTR-2A'!$B$6:$B$10000,$C$5:$C$4995,'GSTR-2A'!$A$6:$A$10000,$AW$3)</f>
        <v>0</v>
      </c>
      <c r="BB137" s="486">
        <f>SUMIFS('GSTR-2A'!$G$6:$G$10000,'GSTR-2A'!$B$6:$B$10000,$C$5:$C$4995,'GSTR-2A'!$A$6:$A$10000,$BB$3)</f>
        <v>0</v>
      </c>
      <c r="BC137" s="487">
        <f>SUMIFS('GSTR-2A'!$K$6:$K$10000,'GSTR-2A'!$B$6:$B$10000,$C$5:$C$4995,'GSTR-2A'!$A$6:$A$10000,$BB$3)</f>
        <v>0</v>
      </c>
      <c r="BD137" s="487">
        <f>SUMIFS('GSTR-2A'!$L$6:$L$10000,'GSTR-2A'!$B$6:$B$10000,$C$5:$C$4995,'GSTR-2A'!$A$6:$A$10000,$BB$3)</f>
        <v>0</v>
      </c>
      <c r="BE137" s="487">
        <f>SUMIFS('GSTR-2A'!$M$6:$M$10000,'GSTR-2A'!$B$6:$B$10000,$C$5:$C$4995,'GSTR-2A'!$A$6:$A$10000,$BB$3)</f>
        <v>0</v>
      </c>
      <c r="BF137" s="488">
        <f>SUMIFS('GSTR-2A'!$N$6:$N$10000,'GSTR-2A'!$B$6:$B$10000,$C$5:$C$4995,'GSTR-2A'!$A$6:$A$10000,$BB$3)</f>
        <v>0</v>
      </c>
      <c r="BG137" s="486">
        <f>SUMIFS('GSTR-2A'!$G$6:$G$10000,'GSTR-2A'!$B$6:$B$10000,$C$5:$C$4995,'GSTR-2A'!$A$6:$A$10000,$BG$3)</f>
        <v>0</v>
      </c>
      <c r="BH137" s="487">
        <f>SUMIFS('GSTR-2A'!$K$6:$K$10000,'GSTR-2A'!$B$6:$B$10000,$C$5:$C$4995,'GSTR-2A'!$A$6:$A$10000,$BG$3)</f>
        <v>0</v>
      </c>
      <c r="BI137" s="487">
        <f>SUMIFS('GSTR-2A'!$L$6:$L$10000,'GSTR-2A'!$B$6:$B$10000,$C$5:$C$4995,'GSTR-2A'!$A$6:$A$10000,$BG$3)</f>
        <v>0</v>
      </c>
      <c r="BJ137" s="487">
        <f>SUMIFS('GSTR-2A'!$M$6:$M$10000,'GSTR-2A'!$B$6:$B$10000,$C$5:$C$4995,'GSTR-2A'!$A$6:$A$10000,$BG$3)</f>
        <v>0</v>
      </c>
      <c r="BK137" s="488">
        <f>SUMIFS('GSTR-2A'!$N$6:$N$10000,'GSTR-2A'!$B$6:$B$10000,$C$5:$C$4995,'GSTR-2A'!$A$6:$A$10000,$BG$3)</f>
        <v>0</v>
      </c>
      <c r="BL137" s="72">
        <f t="shared" si="12"/>
        <v>0</v>
      </c>
      <c r="BM137" s="72">
        <f t="shared" si="13"/>
        <v>0</v>
      </c>
      <c r="BN137" s="72">
        <f t="shared" si="14"/>
        <v>0</v>
      </c>
      <c r="BO137" s="72">
        <f t="shared" si="15"/>
        <v>0</v>
      </c>
      <c r="BP137" s="72">
        <f t="shared" si="16"/>
        <v>0</v>
      </c>
    </row>
    <row r="138" spans="1:68" x14ac:dyDescent="0.2">
      <c r="A138" s="467">
        <v>137</v>
      </c>
      <c r="B138" s="467" t="s">
        <v>928</v>
      </c>
      <c r="C138" s="467" t="s">
        <v>929</v>
      </c>
      <c r="D138" s="72">
        <f>SUMIFS('GSTR-2A'!$G$6:$G$10000,'GSTR-2A'!$B$6:$B$10000,$C$5:$C$4995,'GSTR-2A'!$A$6:$A$10000,$D$3)</f>
        <v>0</v>
      </c>
      <c r="E138" s="72">
        <f>SUMIFS('GSTR-2A'!$K$6:$K$10000,'GSTR-2A'!$B$6:$B$10000,$C$5:$C$4995,'GSTR-2A'!$A$6:$A$10000,$D$3)</f>
        <v>0</v>
      </c>
      <c r="F138" s="72">
        <f>SUMIFS('GSTR-2A'!$L$6:$L$10000,'GSTR-2A'!$B$6:$B$10000,$C$5:$C$4995,'GSTR-2A'!$A$6:$A$10000,$D$3)</f>
        <v>0</v>
      </c>
      <c r="G138" s="72">
        <f>SUMIFS('GSTR-2A'!$M$6:$M$10000,'GSTR-2A'!$B$6:$B$10000,$C$5:$C$4995,'GSTR-2A'!$A$6:$A$10000,$D$3)</f>
        <v>0</v>
      </c>
      <c r="H138" s="72">
        <f>SUMIFS('GSTR-2A'!$N$6:$N$10000,'GSTR-2A'!$B$6:$B$10000,$C$5:$C$4995,'GSTR-2A'!$A$6:$A$10000,$D$3)</f>
        <v>0</v>
      </c>
      <c r="I138" s="486">
        <f>SUMIFS('GSTR-2A'!$G$6:$G$10000,'GSTR-2A'!$B$6:$B$10000,$C$5:$C$4995,'GSTR-2A'!$A$6:$A$10000,$I$3)</f>
        <v>0</v>
      </c>
      <c r="J138" s="487">
        <f>SUMIFS('GSTR-2A'!$K$6:$K$10000,'GSTR-2A'!$B$6:$B$10000,$C$5:$C$4995,'GSTR-2A'!$A$6:$A$10000,$I$3)</f>
        <v>0</v>
      </c>
      <c r="K138" s="487">
        <f>SUMIFS('GSTR-2A'!$L$6:$L$10000,'GSTR-2A'!$B$6:$B$10000,$C$5:$C$4995,'GSTR-2A'!$A$6:$A$10000,$I$3)</f>
        <v>0</v>
      </c>
      <c r="L138" s="487">
        <f>SUMIFS('GSTR-2A'!$M$6:$M$10000,'GSTR-2A'!$B$6:$B$10000,$C$5:$C$4995,'GSTR-2A'!$A$6:$A$10000,$I$3)</f>
        <v>0</v>
      </c>
      <c r="M138" s="488">
        <f>SUMIFS('GSTR-2A'!$N$6:$N$10000,'GSTR-2A'!$B$6:$B$10000,$C$5:$C$4995,'GSTR-2A'!$A$6:$A$10000,$I$3)</f>
        <v>0</v>
      </c>
      <c r="N138" s="486">
        <f>SUMIFS('GSTR-2A'!$G$6:$G$10000,'GSTR-2A'!$B$6:$B$10000,$C$5:$C$4995,'GSTR-2A'!$A$6:$A$10000,$N$3)</f>
        <v>0</v>
      </c>
      <c r="O138" s="487">
        <f>SUMIFS('GSTR-2A'!$K$6:$K$10000,'GSTR-2A'!$B$6:$B$10000,$C$5:$C$4995,'GSTR-2A'!$A$6:$A$10000,$N$3)</f>
        <v>0</v>
      </c>
      <c r="P138" s="487">
        <f>SUMIFS('GSTR-2A'!$L$6:$L$10000,'GSTR-2A'!$B$6:$B$10000,$C$5:$C$4995,'GSTR-2A'!$A$6:$A$10000,$N$3)</f>
        <v>0</v>
      </c>
      <c r="Q138" s="487">
        <f>SUMIFS('GSTR-2A'!$M$6:$M$10000,'GSTR-2A'!$B$6:$B$10000,$C$5:$C$4995,'GSTR-2A'!$A$6:$A$10000,$N$3)</f>
        <v>0</v>
      </c>
      <c r="R138" s="488">
        <f>SUMIFS('GSTR-2A'!$N$6:$N$10000,'GSTR-2A'!$B$6:$B$10000,$C$5:$C$4995,'GSTR-2A'!$A$6:$A$10000,$N$3)</f>
        <v>0</v>
      </c>
      <c r="S138" s="486">
        <f>SUMIFS('GSTR-2A'!$G$6:$G$10000,'GSTR-2A'!$B$6:$B$10000,$C$5:$C$4995,'GSTR-2A'!$A$6:$A$10000,$S$3)</f>
        <v>0</v>
      </c>
      <c r="T138" s="487">
        <f>SUMIFS('GSTR-2A'!$K$6:$K$10000,'GSTR-2A'!$B$6:$B$10000,$C$5:$C$4995,'GSTR-2A'!$A$6:$A$10000,$S$3)</f>
        <v>0</v>
      </c>
      <c r="U138" s="487">
        <f>SUMIFS('GSTR-2A'!$L$6:$L$10000,'GSTR-2A'!$B$6:$B$10000,$C$5:$C$4995,'GSTR-2A'!$A$6:$A$10000,$S$3)</f>
        <v>0</v>
      </c>
      <c r="V138" s="487">
        <f>SUMIFS('GSTR-2A'!$M$6:$M$10000,'GSTR-2A'!$B$6:$B$10000,$C$5:$C$4995,'GSTR-2A'!$A$6:$A$10000,$S$3)</f>
        <v>0</v>
      </c>
      <c r="W138" s="488">
        <f>SUMIFS('GSTR-2A'!$N$6:$N$10000,'GSTR-2A'!$B$6:$B$10000,$C$5:$C$4995,'GSTR-2A'!$A$6:$A$10000,$S$3)</f>
        <v>0</v>
      </c>
      <c r="X138" s="486">
        <f>SUMIFS('GSTR-2A'!$G$6:$G$10000,'GSTR-2A'!$B$6:$B$10000,$C$5:$C$4995,'GSTR-2A'!$A$6:$A$10000,$X$3)</f>
        <v>8555</v>
      </c>
      <c r="Y138" s="487">
        <f>SUMIFS('GSTR-2A'!$K$6:$K$10000,'GSTR-2A'!$B$6:$B$10000,$C$5:$C$4995,'GSTR-2A'!$A$6:$A$10000,$X$3)</f>
        <v>7250</v>
      </c>
      <c r="Z138" s="487">
        <f>SUMIFS('GSTR-2A'!$L$6:$L$10000,'GSTR-2A'!$B$6:$B$10000,$C$5:$C$4995,'GSTR-2A'!$A$6:$A$10000,$X$3)</f>
        <v>1305</v>
      </c>
      <c r="AA138" s="487">
        <f>SUMIFS('GSTR-2A'!$M$6:$M$10000,'GSTR-2A'!$B$6:$B$10000,$C$5:$C$4995,'GSTR-2A'!$A$6:$A$10000,$X$3)</f>
        <v>0</v>
      </c>
      <c r="AB138" s="488">
        <f>SUMIFS('GSTR-2A'!$N$6:$N$10000,'GSTR-2A'!$B$6:$B$10000,$C$5:$C$4995,'GSTR-2A'!$A$6:$A$10000,$X$3)</f>
        <v>0</v>
      </c>
      <c r="AC138" s="486">
        <f>SUMIFS('GSTR-2A'!$G$6:$G$10000,'GSTR-2A'!$B$6:$B$10000,$C$5:$C$4995,'GSTR-2A'!$A$6:$A$10000,$AC$3)</f>
        <v>0</v>
      </c>
      <c r="AD138" s="487">
        <f>SUMIFS('GSTR-2A'!$K$6:$K$10000,'GSTR-2A'!$B$6:$B$10000,$C$5:$C$4995,'GSTR-2A'!$A$6:$A$10000,$AC$3)</f>
        <v>0</v>
      </c>
      <c r="AE138" s="487">
        <f>SUMIFS('GSTR-2A'!$L$6:$L$10000,'GSTR-2A'!$B$6:$B$10000,$C$5:$C$4995,'GSTR-2A'!$A$6:$A$10000,$AC$3)</f>
        <v>0</v>
      </c>
      <c r="AF138" s="487">
        <f>SUMIFS('GSTR-2A'!$M$6:$M$10000,'GSTR-2A'!$B$6:$B$10000,$C$5:$C$4995,'GSTR-2A'!$A$6:$A$10000,$AC$3)</f>
        <v>0</v>
      </c>
      <c r="AG138" s="488">
        <f>SUMIFS('GSTR-2A'!$N$6:$N$10000,'GSTR-2A'!$B$6:$B$10000,$C$5:$C$4995,'GSTR-2A'!$A$6:$A$10000,$AC$3)</f>
        <v>0</v>
      </c>
      <c r="AH138" s="486">
        <f>SUMIFS('GSTR-2A'!$G$6:$G$10000,'GSTR-2A'!$B$6:$B$10000,$C$5:$C$4995,'GSTR-2A'!$A$6:$A$10000,$AH$3)</f>
        <v>0</v>
      </c>
      <c r="AI138" s="487">
        <f>SUMIFS('GSTR-2A'!$K$6:$K$10000,'GSTR-2A'!$B$6:$B$10000,$C$5:$C$4995,'GSTR-2A'!$A$6:$A$10000,$AH$3)</f>
        <v>0</v>
      </c>
      <c r="AJ138" s="487">
        <f>SUMIFS('GSTR-2A'!$L$6:$L$10000,'GSTR-2A'!$B$6:$B$10000,$C$5:$C$4995,'GSTR-2A'!$A$6:$A$10000,$AH$3)</f>
        <v>0</v>
      </c>
      <c r="AK138" s="487">
        <f>SUMIFS('GSTR-2A'!$M$6:$M$10000,'GSTR-2A'!$B$6:$B$10000,$C$5:$C$4995,'GSTR-2A'!$A$6:$A$10000,$AH$3)</f>
        <v>0</v>
      </c>
      <c r="AL138" s="488">
        <f>SUMIFS('GSTR-2A'!$N$6:$N$10000,'GSTR-2A'!$B$6:$B$10000,$C$5:$C$4995,'GSTR-2A'!$A$6:$A$10000,$AH$3)</f>
        <v>0</v>
      </c>
      <c r="AM138" s="486">
        <f>SUMIFS('GSTR-2A'!$G$6:$G$10000,'GSTR-2A'!$B$6:$B$10000,$C$5:$C$4995,'GSTR-2A'!$A$6:$A$10000,$AM$3)</f>
        <v>0</v>
      </c>
      <c r="AN138" s="487">
        <f>SUMIFS('GSTR-2A'!$K$6:$K$10000,'GSTR-2A'!$B$6:$B$10000,$C$5:$C$4995,'GSTR-2A'!$A$6:$A$10000,$AM$3)</f>
        <v>0</v>
      </c>
      <c r="AO138" s="487">
        <f>SUMIFS('GSTR-2A'!$L$6:$L$10000,'GSTR-2A'!$B$6:$B$10000,$C$5:$C$4995,'GSTR-2A'!$A$6:$A$10000,$AM$3)</f>
        <v>0</v>
      </c>
      <c r="AP138" s="487">
        <f>SUMIFS('GSTR-2A'!$M$6:$M$10000,'GSTR-2A'!$B$6:$B$10000,$C$5:$C$4995,'GSTR-2A'!$A$6:$A$10000,$AM$3)</f>
        <v>0</v>
      </c>
      <c r="AQ138" s="488">
        <f>SUMIFS('GSTR-2A'!$N$6:$N$10000,'GSTR-2A'!$B$6:$B$10000,$C$5:$C$4995,'GSTR-2A'!$A$6:$A$10000,$AM$3)</f>
        <v>0</v>
      </c>
      <c r="AR138" s="486">
        <f>SUMIFS('GSTR-2A'!$G$6:$G$10000,'GSTR-2A'!$B$6:$B$10000,$C$5:$C$4995,'GSTR-2A'!$A$6:$A$10000,$AR$3)</f>
        <v>0</v>
      </c>
      <c r="AS138" s="487">
        <f>SUMIFS('GSTR-2A'!$K$6:$K$10000,'GSTR-2A'!$B$6:$B$10000,$C$5:$C$4995,'GSTR-2A'!$A$6:$A$10000,$AR$3)</f>
        <v>0</v>
      </c>
      <c r="AT138" s="487">
        <f>SUMIFS('GSTR-2A'!$L$6:$L$10000,'GSTR-2A'!$B$6:$B$10000,$C$5:$C$4995,'GSTR-2A'!$A$6:$A$10000,$AR$3)</f>
        <v>0</v>
      </c>
      <c r="AU138" s="487">
        <f>SUMIFS('GSTR-2A'!$M$6:$M$10000,'GSTR-2A'!$B$6:$B$10000,$C$5:$C$4995,'GSTR-2A'!$A$6:$A$10000,$AR$3)</f>
        <v>0</v>
      </c>
      <c r="AV138" s="488">
        <f>SUMIFS('GSTR-2A'!$N$6:$N$10000,'GSTR-2A'!$B$6:$B$10000,$C$5:$C$4995,'GSTR-2A'!$A$6:$A$10000,$AR$3)</f>
        <v>0</v>
      </c>
      <c r="AW138" s="486">
        <f>SUMIFS('GSTR-2A'!$G$6:$G$10000,'GSTR-2A'!$B$6:$B$10000,$C$5:$C$4995,'GSTR-2A'!$A$6:$A$10000,$AW$3)</f>
        <v>0</v>
      </c>
      <c r="AX138" s="487">
        <f>SUMIFS('GSTR-2A'!$K$6:$K$10000,'GSTR-2A'!$B$6:$B$10000,$C$5:$C$4995,'GSTR-2A'!$A$6:$A$10000,$AW$3)</f>
        <v>0</v>
      </c>
      <c r="AY138" s="487">
        <f>SUMIFS('GSTR-2A'!$L$6:$L$10000,'GSTR-2A'!$B$6:$B$10000,$C$5:$C$4995,'GSTR-2A'!$A$6:$A$10000,$AW$3)</f>
        <v>0</v>
      </c>
      <c r="AZ138" s="487">
        <f>SUMIFS('GSTR-2A'!$M$6:$M$10000,'GSTR-2A'!$B$6:$B$10000,$C$5:$C$4995,'GSTR-2A'!$A$6:$A$10000,$AW$3)</f>
        <v>0</v>
      </c>
      <c r="BA138" s="488">
        <f>SUMIFS('GSTR-2A'!$N$6:$N$10000,'GSTR-2A'!$B$6:$B$10000,$C$5:$C$4995,'GSTR-2A'!$A$6:$A$10000,$AW$3)</f>
        <v>0</v>
      </c>
      <c r="BB138" s="486">
        <f>SUMIFS('GSTR-2A'!$G$6:$G$10000,'GSTR-2A'!$B$6:$B$10000,$C$5:$C$4995,'GSTR-2A'!$A$6:$A$10000,$BB$3)</f>
        <v>0</v>
      </c>
      <c r="BC138" s="487">
        <f>SUMIFS('GSTR-2A'!$K$6:$K$10000,'GSTR-2A'!$B$6:$B$10000,$C$5:$C$4995,'GSTR-2A'!$A$6:$A$10000,$BB$3)</f>
        <v>0</v>
      </c>
      <c r="BD138" s="487">
        <f>SUMIFS('GSTR-2A'!$L$6:$L$10000,'GSTR-2A'!$B$6:$B$10000,$C$5:$C$4995,'GSTR-2A'!$A$6:$A$10000,$BB$3)</f>
        <v>0</v>
      </c>
      <c r="BE138" s="487">
        <f>SUMIFS('GSTR-2A'!$M$6:$M$10000,'GSTR-2A'!$B$6:$B$10000,$C$5:$C$4995,'GSTR-2A'!$A$6:$A$10000,$BB$3)</f>
        <v>0</v>
      </c>
      <c r="BF138" s="488">
        <f>SUMIFS('GSTR-2A'!$N$6:$N$10000,'GSTR-2A'!$B$6:$B$10000,$C$5:$C$4995,'GSTR-2A'!$A$6:$A$10000,$BB$3)</f>
        <v>0</v>
      </c>
      <c r="BG138" s="486">
        <f>SUMIFS('GSTR-2A'!$G$6:$G$10000,'GSTR-2A'!$B$6:$B$10000,$C$5:$C$4995,'GSTR-2A'!$A$6:$A$10000,$BG$3)</f>
        <v>0</v>
      </c>
      <c r="BH138" s="487">
        <f>SUMIFS('GSTR-2A'!$K$6:$K$10000,'GSTR-2A'!$B$6:$B$10000,$C$5:$C$4995,'GSTR-2A'!$A$6:$A$10000,$BG$3)</f>
        <v>0</v>
      </c>
      <c r="BI138" s="487">
        <f>SUMIFS('GSTR-2A'!$L$6:$L$10000,'GSTR-2A'!$B$6:$B$10000,$C$5:$C$4995,'GSTR-2A'!$A$6:$A$10000,$BG$3)</f>
        <v>0</v>
      </c>
      <c r="BJ138" s="487">
        <f>SUMIFS('GSTR-2A'!$M$6:$M$10000,'GSTR-2A'!$B$6:$B$10000,$C$5:$C$4995,'GSTR-2A'!$A$6:$A$10000,$BG$3)</f>
        <v>0</v>
      </c>
      <c r="BK138" s="488">
        <f>SUMIFS('GSTR-2A'!$N$6:$N$10000,'GSTR-2A'!$B$6:$B$10000,$C$5:$C$4995,'GSTR-2A'!$A$6:$A$10000,$BG$3)</f>
        <v>0</v>
      </c>
      <c r="BL138" s="72">
        <f t="shared" si="12"/>
        <v>8555</v>
      </c>
      <c r="BM138" s="72">
        <f t="shared" si="13"/>
        <v>7250</v>
      </c>
      <c r="BN138" s="72">
        <f t="shared" si="14"/>
        <v>1305</v>
      </c>
      <c r="BO138" s="72">
        <f t="shared" si="15"/>
        <v>0</v>
      </c>
      <c r="BP138" s="72">
        <f t="shared" si="16"/>
        <v>0</v>
      </c>
    </row>
    <row r="139" spans="1:68" x14ac:dyDescent="0.2">
      <c r="A139" s="467">
        <v>144</v>
      </c>
      <c r="B139" s="468" t="s">
        <v>784</v>
      </c>
      <c r="C139" s="469" t="s">
        <v>785</v>
      </c>
      <c r="D139" s="72">
        <f>SUMIFS('GSTR-2A'!$G$6:$G$10000,'GSTR-2A'!$B$6:$B$10000,$C$5:$C$4995,'GSTR-2A'!$A$6:$A$10000,$D$3)</f>
        <v>0</v>
      </c>
      <c r="E139" s="72">
        <f>SUMIFS('GSTR-2A'!$K$6:$K$10000,'GSTR-2A'!$B$6:$B$10000,$C$5:$C$4995,'GSTR-2A'!$A$6:$A$10000,$D$3)</f>
        <v>0</v>
      </c>
      <c r="F139" s="72">
        <f>SUMIFS('GSTR-2A'!$L$6:$L$10000,'GSTR-2A'!$B$6:$B$10000,$C$5:$C$4995,'GSTR-2A'!$A$6:$A$10000,$D$3)</f>
        <v>0</v>
      </c>
      <c r="G139" s="72">
        <f>SUMIFS('GSTR-2A'!$M$6:$M$10000,'GSTR-2A'!$B$6:$B$10000,$C$5:$C$4995,'GSTR-2A'!$A$6:$A$10000,$D$3)</f>
        <v>0</v>
      </c>
      <c r="H139" s="72">
        <f>SUMIFS('GSTR-2A'!$N$6:$N$10000,'GSTR-2A'!$B$6:$B$10000,$C$5:$C$4995,'GSTR-2A'!$A$6:$A$10000,$D$3)</f>
        <v>0</v>
      </c>
      <c r="I139" s="486">
        <f>SUMIFS('GSTR-2A'!$G$6:$G$10000,'GSTR-2A'!$B$6:$B$10000,$C$5:$C$4995,'GSTR-2A'!$A$6:$A$10000,$I$3)</f>
        <v>0</v>
      </c>
      <c r="J139" s="487">
        <f>SUMIFS('GSTR-2A'!$K$6:$K$10000,'GSTR-2A'!$B$6:$B$10000,$C$5:$C$4995,'GSTR-2A'!$A$6:$A$10000,$I$3)</f>
        <v>0</v>
      </c>
      <c r="K139" s="487">
        <f>SUMIFS('GSTR-2A'!$L$6:$L$10000,'GSTR-2A'!$B$6:$B$10000,$C$5:$C$4995,'GSTR-2A'!$A$6:$A$10000,$I$3)</f>
        <v>0</v>
      </c>
      <c r="L139" s="487">
        <f>SUMIFS('GSTR-2A'!$M$6:$M$10000,'GSTR-2A'!$B$6:$B$10000,$C$5:$C$4995,'GSTR-2A'!$A$6:$A$10000,$I$3)</f>
        <v>0</v>
      </c>
      <c r="M139" s="488">
        <f>SUMIFS('GSTR-2A'!$N$6:$N$10000,'GSTR-2A'!$B$6:$B$10000,$C$5:$C$4995,'GSTR-2A'!$A$6:$A$10000,$I$3)</f>
        <v>0</v>
      </c>
      <c r="N139" s="486">
        <f>SUMIFS('GSTR-2A'!$G$6:$G$10000,'GSTR-2A'!$B$6:$B$10000,$C$5:$C$4995,'GSTR-2A'!$A$6:$A$10000,$N$3)</f>
        <v>0</v>
      </c>
      <c r="O139" s="487">
        <f>SUMIFS('GSTR-2A'!$K$6:$K$10000,'GSTR-2A'!$B$6:$B$10000,$C$5:$C$4995,'GSTR-2A'!$A$6:$A$10000,$N$3)</f>
        <v>0</v>
      </c>
      <c r="P139" s="487">
        <f>SUMIFS('GSTR-2A'!$L$6:$L$10000,'GSTR-2A'!$B$6:$B$10000,$C$5:$C$4995,'GSTR-2A'!$A$6:$A$10000,$N$3)</f>
        <v>0</v>
      </c>
      <c r="Q139" s="487">
        <f>SUMIFS('GSTR-2A'!$M$6:$M$10000,'GSTR-2A'!$B$6:$B$10000,$C$5:$C$4995,'GSTR-2A'!$A$6:$A$10000,$N$3)</f>
        <v>0</v>
      </c>
      <c r="R139" s="488">
        <f>SUMIFS('GSTR-2A'!$N$6:$N$10000,'GSTR-2A'!$B$6:$B$10000,$C$5:$C$4995,'GSTR-2A'!$A$6:$A$10000,$N$3)</f>
        <v>0</v>
      </c>
      <c r="S139" s="486">
        <f>SUMIFS('GSTR-2A'!$G$6:$G$10000,'GSTR-2A'!$B$6:$B$10000,$C$5:$C$4995,'GSTR-2A'!$A$6:$A$10000,$S$3)</f>
        <v>12744</v>
      </c>
      <c r="T139" s="487">
        <f>SUMIFS('GSTR-2A'!$K$6:$K$10000,'GSTR-2A'!$B$6:$B$10000,$C$5:$C$4995,'GSTR-2A'!$A$6:$A$10000,$S$3)</f>
        <v>10800</v>
      </c>
      <c r="U139" s="487">
        <f>SUMIFS('GSTR-2A'!$L$6:$L$10000,'GSTR-2A'!$B$6:$B$10000,$C$5:$C$4995,'GSTR-2A'!$A$6:$A$10000,$S$3)</f>
        <v>1944</v>
      </c>
      <c r="V139" s="487">
        <f>SUMIFS('GSTR-2A'!$M$6:$M$10000,'GSTR-2A'!$B$6:$B$10000,$C$5:$C$4995,'GSTR-2A'!$A$6:$A$10000,$S$3)</f>
        <v>0</v>
      </c>
      <c r="W139" s="488">
        <f>SUMIFS('GSTR-2A'!$N$6:$N$10000,'GSTR-2A'!$B$6:$B$10000,$C$5:$C$4995,'GSTR-2A'!$A$6:$A$10000,$S$3)</f>
        <v>0</v>
      </c>
      <c r="X139" s="486">
        <f>SUMIFS('GSTR-2A'!$G$6:$G$10000,'GSTR-2A'!$B$6:$B$10000,$C$5:$C$4995,'GSTR-2A'!$A$6:$A$10000,$X$3)</f>
        <v>0</v>
      </c>
      <c r="Y139" s="487">
        <f>SUMIFS('GSTR-2A'!$K$6:$K$10000,'GSTR-2A'!$B$6:$B$10000,$C$5:$C$4995,'GSTR-2A'!$A$6:$A$10000,$X$3)</f>
        <v>0</v>
      </c>
      <c r="Z139" s="487">
        <f>SUMIFS('GSTR-2A'!$L$6:$L$10000,'GSTR-2A'!$B$6:$B$10000,$C$5:$C$4995,'GSTR-2A'!$A$6:$A$10000,$X$3)</f>
        <v>0</v>
      </c>
      <c r="AA139" s="487">
        <f>SUMIFS('GSTR-2A'!$M$6:$M$10000,'GSTR-2A'!$B$6:$B$10000,$C$5:$C$4995,'GSTR-2A'!$A$6:$A$10000,$X$3)</f>
        <v>0</v>
      </c>
      <c r="AB139" s="488">
        <f>SUMIFS('GSTR-2A'!$N$6:$N$10000,'GSTR-2A'!$B$6:$B$10000,$C$5:$C$4995,'GSTR-2A'!$A$6:$A$10000,$X$3)</f>
        <v>0</v>
      </c>
      <c r="AC139" s="486">
        <f>SUMIFS('GSTR-2A'!$G$6:$G$10000,'GSTR-2A'!$B$6:$B$10000,$C$5:$C$4995,'GSTR-2A'!$A$6:$A$10000,$AC$3)</f>
        <v>0</v>
      </c>
      <c r="AD139" s="487">
        <f>SUMIFS('GSTR-2A'!$K$6:$K$10000,'GSTR-2A'!$B$6:$B$10000,$C$5:$C$4995,'GSTR-2A'!$A$6:$A$10000,$AC$3)</f>
        <v>0</v>
      </c>
      <c r="AE139" s="487">
        <f>SUMIFS('GSTR-2A'!$L$6:$L$10000,'GSTR-2A'!$B$6:$B$10000,$C$5:$C$4995,'GSTR-2A'!$A$6:$A$10000,$AC$3)</f>
        <v>0</v>
      </c>
      <c r="AF139" s="487">
        <f>SUMIFS('GSTR-2A'!$M$6:$M$10000,'GSTR-2A'!$B$6:$B$10000,$C$5:$C$4995,'GSTR-2A'!$A$6:$A$10000,$AC$3)</f>
        <v>0</v>
      </c>
      <c r="AG139" s="488">
        <f>SUMIFS('GSTR-2A'!$N$6:$N$10000,'GSTR-2A'!$B$6:$B$10000,$C$5:$C$4995,'GSTR-2A'!$A$6:$A$10000,$AC$3)</f>
        <v>0</v>
      </c>
      <c r="AH139" s="486">
        <f>SUMIFS('GSTR-2A'!$G$6:$G$10000,'GSTR-2A'!$B$6:$B$10000,$C$5:$C$4995,'GSTR-2A'!$A$6:$A$10000,$AH$3)</f>
        <v>0</v>
      </c>
      <c r="AI139" s="487">
        <f>SUMIFS('GSTR-2A'!$K$6:$K$10000,'GSTR-2A'!$B$6:$B$10000,$C$5:$C$4995,'GSTR-2A'!$A$6:$A$10000,$AH$3)</f>
        <v>0</v>
      </c>
      <c r="AJ139" s="487">
        <f>SUMIFS('GSTR-2A'!$L$6:$L$10000,'GSTR-2A'!$B$6:$B$10000,$C$5:$C$4995,'GSTR-2A'!$A$6:$A$10000,$AH$3)</f>
        <v>0</v>
      </c>
      <c r="AK139" s="487">
        <f>SUMIFS('GSTR-2A'!$M$6:$M$10000,'GSTR-2A'!$B$6:$B$10000,$C$5:$C$4995,'GSTR-2A'!$A$6:$A$10000,$AH$3)</f>
        <v>0</v>
      </c>
      <c r="AL139" s="488">
        <f>SUMIFS('GSTR-2A'!$N$6:$N$10000,'GSTR-2A'!$B$6:$B$10000,$C$5:$C$4995,'GSTR-2A'!$A$6:$A$10000,$AH$3)</f>
        <v>0</v>
      </c>
      <c r="AM139" s="486">
        <f>SUMIFS('GSTR-2A'!$G$6:$G$10000,'GSTR-2A'!$B$6:$B$10000,$C$5:$C$4995,'GSTR-2A'!$A$6:$A$10000,$AM$3)</f>
        <v>0</v>
      </c>
      <c r="AN139" s="487">
        <f>SUMIFS('GSTR-2A'!$K$6:$K$10000,'GSTR-2A'!$B$6:$B$10000,$C$5:$C$4995,'GSTR-2A'!$A$6:$A$10000,$AM$3)</f>
        <v>0</v>
      </c>
      <c r="AO139" s="487">
        <f>SUMIFS('GSTR-2A'!$L$6:$L$10000,'GSTR-2A'!$B$6:$B$10000,$C$5:$C$4995,'GSTR-2A'!$A$6:$A$10000,$AM$3)</f>
        <v>0</v>
      </c>
      <c r="AP139" s="487">
        <f>SUMIFS('GSTR-2A'!$M$6:$M$10000,'GSTR-2A'!$B$6:$B$10000,$C$5:$C$4995,'GSTR-2A'!$A$6:$A$10000,$AM$3)</f>
        <v>0</v>
      </c>
      <c r="AQ139" s="488">
        <f>SUMIFS('GSTR-2A'!$N$6:$N$10000,'GSTR-2A'!$B$6:$B$10000,$C$5:$C$4995,'GSTR-2A'!$A$6:$A$10000,$AM$3)</f>
        <v>0</v>
      </c>
      <c r="AR139" s="486">
        <f>SUMIFS('GSTR-2A'!$G$6:$G$10000,'GSTR-2A'!$B$6:$B$10000,$C$5:$C$4995,'GSTR-2A'!$A$6:$A$10000,$AR$3)</f>
        <v>0</v>
      </c>
      <c r="AS139" s="487">
        <f>SUMIFS('GSTR-2A'!$K$6:$K$10000,'GSTR-2A'!$B$6:$B$10000,$C$5:$C$4995,'GSTR-2A'!$A$6:$A$10000,$AR$3)</f>
        <v>0</v>
      </c>
      <c r="AT139" s="487">
        <f>SUMIFS('GSTR-2A'!$L$6:$L$10000,'GSTR-2A'!$B$6:$B$10000,$C$5:$C$4995,'GSTR-2A'!$A$6:$A$10000,$AR$3)</f>
        <v>0</v>
      </c>
      <c r="AU139" s="487">
        <f>SUMIFS('GSTR-2A'!$M$6:$M$10000,'GSTR-2A'!$B$6:$B$10000,$C$5:$C$4995,'GSTR-2A'!$A$6:$A$10000,$AR$3)</f>
        <v>0</v>
      </c>
      <c r="AV139" s="488">
        <f>SUMIFS('GSTR-2A'!$N$6:$N$10000,'GSTR-2A'!$B$6:$B$10000,$C$5:$C$4995,'GSTR-2A'!$A$6:$A$10000,$AR$3)</f>
        <v>0</v>
      </c>
      <c r="AW139" s="486">
        <f>SUMIFS('GSTR-2A'!$G$6:$G$10000,'GSTR-2A'!$B$6:$B$10000,$C$5:$C$4995,'GSTR-2A'!$A$6:$A$10000,$AW$3)</f>
        <v>0</v>
      </c>
      <c r="AX139" s="487">
        <f>SUMIFS('GSTR-2A'!$K$6:$K$10000,'GSTR-2A'!$B$6:$B$10000,$C$5:$C$4995,'GSTR-2A'!$A$6:$A$10000,$AW$3)</f>
        <v>0</v>
      </c>
      <c r="AY139" s="487">
        <f>SUMIFS('GSTR-2A'!$L$6:$L$10000,'GSTR-2A'!$B$6:$B$10000,$C$5:$C$4995,'GSTR-2A'!$A$6:$A$10000,$AW$3)</f>
        <v>0</v>
      </c>
      <c r="AZ139" s="487">
        <f>SUMIFS('GSTR-2A'!$M$6:$M$10000,'GSTR-2A'!$B$6:$B$10000,$C$5:$C$4995,'GSTR-2A'!$A$6:$A$10000,$AW$3)</f>
        <v>0</v>
      </c>
      <c r="BA139" s="488">
        <f>SUMIFS('GSTR-2A'!$N$6:$N$10000,'GSTR-2A'!$B$6:$B$10000,$C$5:$C$4995,'GSTR-2A'!$A$6:$A$10000,$AW$3)</f>
        <v>0</v>
      </c>
      <c r="BB139" s="486">
        <f>SUMIFS('GSTR-2A'!$G$6:$G$10000,'GSTR-2A'!$B$6:$B$10000,$C$5:$C$4995,'GSTR-2A'!$A$6:$A$10000,$BB$3)</f>
        <v>0</v>
      </c>
      <c r="BC139" s="487">
        <f>SUMIFS('GSTR-2A'!$K$6:$K$10000,'GSTR-2A'!$B$6:$B$10000,$C$5:$C$4995,'GSTR-2A'!$A$6:$A$10000,$BB$3)</f>
        <v>0</v>
      </c>
      <c r="BD139" s="487">
        <f>SUMIFS('GSTR-2A'!$L$6:$L$10000,'GSTR-2A'!$B$6:$B$10000,$C$5:$C$4995,'GSTR-2A'!$A$6:$A$10000,$BB$3)</f>
        <v>0</v>
      </c>
      <c r="BE139" s="487">
        <f>SUMIFS('GSTR-2A'!$M$6:$M$10000,'GSTR-2A'!$B$6:$B$10000,$C$5:$C$4995,'GSTR-2A'!$A$6:$A$10000,$BB$3)</f>
        <v>0</v>
      </c>
      <c r="BF139" s="488">
        <f>SUMIFS('GSTR-2A'!$N$6:$N$10000,'GSTR-2A'!$B$6:$B$10000,$C$5:$C$4995,'GSTR-2A'!$A$6:$A$10000,$BB$3)</f>
        <v>0</v>
      </c>
      <c r="BG139" s="486">
        <f>SUMIFS('GSTR-2A'!$G$6:$G$10000,'GSTR-2A'!$B$6:$B$10000,$C$5:$C$4995,'GSTR-2A'!$A$6:$A$10000,$BG$3)</f>
        <v>0</v>
      </c>
      <c r="BH139" s="487">
        <f>SUMIFS('GSTR-2A'!$K$6:$K$10000,'GSTR-2A'!$B$6:$B$10000,$C$5:$C$4995,'GSTR-2A'!$A$6:$A$10000,$BG$3)</f>
        <v>0</v>
      </c>
      <c r="BI139" s="487">
        <f>SUMIFS('GSTR-2A'!$L$6:$L$10000,'GSTR-2A'!$B$6:$B$10000,$C$5:$C$4995,'GSTR-2A'!$A$6:$A$10000,$BG$3)</f>
        <v>0</v>
      </c>
      <c r="BJ139" s="487">
        <f>SUMIFS('GSTR-2A'!$M$6:$M$10000,'GSTR-2A'!$B$6:$B$10000,$C$5:$C$4995,'GSTR-2A'!$A$6:$A$10000,$BG$3)</f>
        <v>0</v>
      </c>
      <c r="BK139" s="488">
        <f>SUMIFS('GSTR-2A'!$N$6:$N$10000,'GSTR-2A'!$B$6:$B$10000,$C$5:$C$4995,'GSTR-2A'!$A$6:$A$10000,$BG$3)</f>
        <v>0</v>
      </c>
      <c r="BL139" s="72">
        <f t="shared" si="12"/>
        <v>12744</v>
      </c>
      <c r="BM139" s="72">
        <f t="shared" si="13"/>
        <v>10800</v>
      </c>
      <c r="BN139" s="72">
        <f t="shared" si="14"/>
        <v>1944</v>
      </c>
      <c r="BO139" s="72">
        <f t="shared" si="15"/>
        <v>0</v>
      </c>
      <c r="BP139" s="72">
        <f t="shared" si="16"/>
        <v>0</v>
      </c>
    </row>
    <row r="140" spans="1:68" x14ac:dyDescent="0.2">
      <c r="A140" s="467">
        <v>145</v>
      </c>
      <c r="B140" s="468" t="s">
        <v>999</v>
      </c>
      <c r="C140" s="469" t="s">
        <v>1000</v>
      </c>
      <c r="D140" s="72">
        <f>SUMIFS('GSTR-2A'!$G$6:$G$10000,'GSTR-2A'!$B$6:$B$10000,$C$5:$C$4995,'GSTR-2A'!$A$6:$A$10000,$D$3)</f>
        <v>0</v>
      </c>
      <c r="E140" s="72">
        <f>SUMIFS('GSTR-2A'!$K$6:$K$10000,'GSTR-2A'!$B$6:$B$10000,$C$5:$C$4995,'GSTR-2A'!$A$6:$A$10000,$D$3)</f>
        <v>0</v>
      </c>
      <c r="F140" s="72">
        <f>SUMIFS('GSTR-2A'!$L$6:$L$10000,'GSTR-2A'!$B$6:$B$10000,$C$5:$C$4995,'GSTR-2A'!$A$6:$A$10000,$D$3)</f>
        <v>0</v>
      </c>
      <c r="G140" s="72">
        <f>SUMIFS('GSTR-2A'!$M$6:$M$10000,'GSTR-2A'!$B$6:$B$10000,$C$5:$C$4995,'GSTR-2A'!$A$6:$A$10000,$D$3)</f>
        <v>0</v>
      </c>
      <c r="H140" s="72">
        <f>SUMIFS('GSTR-2A'!$N$6:$N$10000,'GSTR-2A'!$B$6:$B$10000,$C$5:$C$4995,'GSTR-2A'!$A$6:$A$10000,$D$3)</f>
        <v>0</v>
      </c>
      <c r="I140" s="486">
        <f>SUMIFS('GSTR-2A'!$G$6:$G$10000,'GSTR-2A'!$B$6:$B$10000,$C$5:$C$4995,'GSTR-2A'!$A$6:$A$10000,$I$3)</f>
        <v>0</v>
      </c>
      <c r="J140" s="487">
        <f>SUMIFS('GSTR-2A'!$K$6:$K$10000,'GSTR-2A'!$B$6:$B$10000,$C$5:$C$4995,'GSTR-2A'!$A$6:$A$10000,$I$3)</f>
        <v>0</v>
      </c>
      <c r="K140" s="487">
        <f>SUMIFS('GSTR-2A'!$L$6:$L$10000,'GSTR-2A'!$B$6:$B$10000,$C$5:$C$4995,'GSTR-2A'!$A$6:$A$10000,$I$3)</f>
        <v>0</v>
      </c>
      <c r="L140" s="487">
        <f>SUMIFS('GSTR-2A'!$M$6:$M$10000,'GSTR-2A'!$B$6:$B$10000,$C$5:$C$4995,'GSTR-2A'!$A$6:$A$10000,$I$3)</f>
        <v>0</v>
      </c>
      <c r="M140" s="488">
        <f>SUMIFS('GSTR-2A'!$N$6:$N$10000,'GSTR-2A'!$B$6:$B$10000,$C$5:$C$4995,'GSTR-2A'!$A$6:$A$10000,$I$3)</f>
        <v>0</v>
      </c>
      <c r="N140" s="486">
        <f>SUMIFS('GSTR-2A'!$G$6:$G$10000,'GSTR-2A'!$B$6:$B$10000,$C$5:$C$4995,'GSTR-2A'!$A$6:$A$10000,$N$3)</f>
        <v>0</v>
      </c>
      <c r="O140" s="487">
        <f>SUMIFS('GSTR-2A'!$K$6:$K$10000,'GSTR-2A'!$B$6:$B$10000,$C$5:$C$4995,'GSTR-2A'!$A$6:$A$10000,$N$3)</f>
        <v>0</v>
      </c>
      <c r="P140" s="487">
        <f>SUMIFS('GSTR-2A'!$L$6:$L$10000,'GSTR-2A'!$B$6:$B$10000,$C$5:$C$4995,'GSTR-2A'!$A$6:$A$10000,$N$3)</f>
        <v>0</v>
      </c>
      <c r="Q140" s="487">
        <f>SUMIFS('GSTR-2A'!$M$6:$M$10000,'GSTR-2A'!$B$6:$B$10000,$C$5:$C$4995,'GSTR-2A'!$A$6:$A$10000,$N$3)</f>
        <v>0</v>
      </c>
      <c r="R140" s="488">
        <f>SUMIFS('GSTR-2A'!$N$6:$N$10000,'GSTR-2A'!$B$6:$B$10000,$C$5:$C$4995,'GSTR-2A'!$A$6:$A$10000,$N$3)</f>
        <v>0</v>
      </c>
      <c r="S140" s="486">
        <f>SUMIFS('GSTR-2A'!$G$6:$G$10000,'GSTR-2A'!$B$6:$B$10000,$C$5:$C$4995,'GSTR-2A'!$A$6:$A$10000,$S$3)</f>
        <v>0</v>
      </c>
      <c r="T140" s="487">
        <f>SUMIFS('GSTR-2A'!$K$6:$K$10000,'GSTR-2A'!$B$6:$B$10000,$C$5:$C$4995,'GSTR-2A'!$A$6:$A$10000,$S$3)</f>
        <v>0</v>
      </c>
      <c r="U140" s="487">
        <f>SUMIFS('GSTR-2A'!$L$6:$L$10000,'GSTR-2A'!$B$6:$B$10000,$C$5:$C$4995,'GSTR-2A'!$A$6:$A$10000,$S$3)</f>
        <v>0</v>
      </c>
      <c r="V140" s="487">
        <f>SUMIFS('GSTR-2A'!$M$6:$M$10000,'GSTR-2A'!$B$6:$B$10000,$C$5:$C$4995,'GSTR-2A'!$A$6:$A$10000,$S$3)</f>
        <v>0</v>
      </c>
      <c r="W140" s="488">
        <f>SUMIFS('GSTR-2A'!$N$6:$N$10000,'GSTR-2A'!$B$6:$B$10000,$C$5:$C$4995,'GSTR-2A'!$A$6:$A$10000,$S$3)</f>
        <v>0</v>
      </c>
      <c r="X140" s="486">
        <f>SUMIFS('GSTR-2A'!$G$6:$G$10000,'GSTR-2A'!$B$6:$B$10000,$C$5:$C$4995,'GSTR-2A'!$A$6:$A$10000,$X$3)</f>
        <v>0</v>
      </c>
      <c r="Y140" s="487">
        <f>SUMIFS('GSTR-2A'!$K$6:$K$10000,'GSTR-2A'!$B$6:$B$10000,$C$5:$C$4995,'GSTR-2A'!$A$6:$A$10000,$X$3)</f>
        <v>0</v>
      </c>
      <c r="Z140" s="487">
        <f>SUMIFS('GSTR-2A'!$L$6:$L$10000,'GSTR-2A'!$B$6:$B$10000,$C$5:$C$4995,'GSTR-2A'!$A$6:$A$10000,$X$3)</f>
        <v>0</v>
      </c>
      <c r="AA140" s="487">
        <f>SUMIFS('GSTR-2A'!$M$6:$M$10000,'GSTR-2A'!$B$6:$B$10000,$C$5:$C$4995,'GSTR-2A'!$A$6:$A$10000,$X$3)</f>
        <v>0</v>
      </c>
      <c r="AB140" s="488">
        <f>SUMIFS('GSTR-2A'!$N$6:$N$10000,'GSTR-2A'!$B$6:$B$10000,$C$5:$C$4995,'GSTR-2A'!$A$6:$A$10000,$X$3)</f>
        <v>0</v>
      </c>
      <c r="AC140" s="486">
        <f>SUMIFS('GSTR-2A'!$G$6:$G$10000,'GSTR-2A'!$B$6:$B$10000,$C$5:$C$4995,'GSTR-2A'!$A$6:$A$10000,$AC$3)</f>
        <v>0</v>
      </c>
      <c r="AD140" s="487">
        <f>SUMIFS('GSTR-2A'!$K$6:$K$10000,'GSTR-2A'!$B$6:$B$10000,$C$5:$C$4995,'GSTR-2A'!$A$6:$A$10000,$AC$3)</f>
        <v>0</v>
      </c>
      <c r="AE140" s="487">
        <f>SUMIFS('GSTR-2A'!$L$6:$L$10000,'GSTR-2A'!$B$6:$B$10000,$C$5:$C$4995,'GSTR-2A'!$A$6:$A$10000,$AC$3)</f>
        <v>0</v>
      </c>
      <c r="AF140" s="487">
        <f>SUMIFS('GSTR-2A'!$M$6:$M$10000,'GSTR-2A'!$B$6:$B$10000,$C$5:$C$4995,'GSTR-2A'!$A$6:$A$10000,$AC$3)</f>
        <v>0</v>
      </c>
      <c r="AG140" s="488">
        <f>SUMIFS('GSTR-2A'!$N$6:$N$10000,'GSTR-2A'!$B$6:$B$10000,$C$5:$C$4995,'GSTR-2A'!$A$6:$A$10000,$AC$3)</f>
        <v>0</v>
      </c>
      <c r="AH140" s="486">
        <f>SUMIFS('GSTR-2A'!$G$6:$G$10000,'GSTR-2A'!$B$6:$B$10000,$C$5:$C$4995,'GSTR-2A'!$A$6:$A$10000,$AH$3)</f>
        <v>0</v>
      </c>
      <c r="AI140" s="487">
        <f>SUMIFS('GSTR-2A'!$K$6:$K$10000,'GSTR-2A'!$B$6:$B$10000,$C$5:$C$4995,'GSTR-2A'!$A$6:$A$10000,$AH$3)</f>
        <v>0</v>
      </c>
      <c r="AJ140" s="487">
        <f>SUMIFS('GSTR-2A'!$L$6:$L$10000,'GSTR-2A'!$B$6:$B$10000,$C$5:$C$4995,'GSTR-2A'!$A$6:$A$10000,$AH$3)</f>
        <v>0</v>
      </c>
      <c r="AK140" s="487">
        <f>SUMIFS('GSTR-2A'!$M$6:$M$10000,'GSTR-2A'!$B$6:$B$10000,$C$5:$C$4995,'GSTR-2A'!$A$6:$A$10000,$AH$3)</f>
        <v>0</v>
      </c>
      <c r="AL140" s="488">
        <f>SUMIFS('GSTR-2A'!$N$6:$N$10000,'GSTR-2A'!$B$6:$B$10000,$C$5:$C$4995,'GSTR-2A'!$A$6:$A$10000,$AH$3)</f>
        <v>0</v>
      </c>
      <c r="AM140" s="486">
        <f>SUMIFS('GSTR-2A'!$G$6:$G$10000,'GSTR-2A'!$B$6:$B$10000,$C$5:$C$4995,'GSTR-2A'!$A$6:$A$10000,$AM$3)</f>
        <v>0</v>
      </c>
      <c r="AN140" s="487">
        <f>SUMIFS('GSTR-2A'!$K$6:$K$10000,'GSTR-2A'!$B$6:$B$10000,$C$5:$C$4995,'GSTR-2A'!$A$6:$A$10000,$AM$3)</f>
        <v>0</v>
      </c>
      <c r="AO140" s="487">
        <f>SUMIFS('GSTR-2A'!$L$6:$L$10000,'GSTR-2A'!$B$6:$B$10000,$C$5:$C$4995,'GSTR-2A'!$A$6:$A$10000,$AM$3)</f>
        <v>0</v>
      </c>
      <c r="AP140" s="487">
        <f>SUMIFS('GSTR-2A'!$M$6:$M$10000,'GSTR-2A'!$B$6:$B$10000,$C$5:$C$4995,'GSTR-2A'!$A$6:$A$10000,$AM$3)</f>
        <v>0</v>
      </c>
      <c r="AQ140" s="488">
        <f>SUMIFS('GSTR-2A'!$N$6:$N$10000,'GSTR-2A'!$B$6:$B$10000,$C$5:$C$4995,'GSTR-2A'!$A$6:$A$10000,$AM$3)</f>
        <v>0</v>
      </c>
      <c r="AR140" s="486">
        <f>SUMIFS('GSTR-2A'!$G$6:$G$10000,'GSTR-2A'!$B$6:$B$10000,$C$5:$C$4995,'GSTR-2A'!$A$6:$A$10000,$AR$3)</f>
        <v>0</v>
      </c>
      <c r="AS140" s="487">
        <f>SUMIFS('GSTR-2A'!$K$6:$K$10000,'GSTR-2A'!$B$6:$B$10000,$C$5:$C$4995,'GSTR-2A'!$A$6:$A$10000,$AR$3)</f>
        <v>0</v>
      </c>
      <c r="AT140" s="487">
        <f>SUMIFS('GSTR-2A'!$L$6:$L$10000,'GSTR-2A'!$B$6:$B$10000,$C$5:$C$4995,'GSTR-2A'!$A$6:$A$10000,$AR$3)</f>
        <v>0</v>
      </c>
      <c r="AU140" s="487">
        <f>SUMIFS('GSTR-2A'!$M$6:$M$10000,'GSTR-2A'!$B$6:$B$10000,$C$5:$C$4995,'GSTR-2A'!$A$6:$A$10000,$AR$3)</f>
        <v>0</v>
      </c>
      <c r="AV140" s="488">
        <f>SUMIFS('GSTR-2A'!$N$6:$N$10000,'GSTR-2A'!$B$6:$B$10000,$C$5:$C$4995,'GSTR-2A'!$A$6:$A$10000,$AR$3)</f>
        <v>0</v>
      </c>
      <c r="AW140" s="486">
        <f>SUMIFS('GSTR-2A'!$G$6:$G$10000,'GSTR-2A'!$B$6:$B$10000,$C$5:$C$4995,'GSTR-2A'!$A$6:$A$10000,$AW$3)</f>
        <v>0</v>
      </c>
      <c r="AX140" s="487">
        <f>SUMIFS('GSTR-2A'!$K$6:$K$10000,'GSTR-2A'!$B$6:$B$10000,$C$5:$C$4995,'GSTR-2A'!$A$6:$A$10000,$AW$3)</f>
        <v>0</v>
      </c>
      <c r="AY140" s="487">
        <f>SUMIFS('GSTR-2A'!$L$6:$L$10000,'GSTR-2A'!$B$6:$B$10000,$C$5:$C$4995,'GSTR-2A'!$A$6:$A$10000,$AW$3)</f>
        <v>0</v>
      </c>
      <c r="AZ140" s="487">
        <f>SUMIFS('GSTR-2A'!$M$6:$M$10000,'GSTR-2A'!$B$6:$B$10000,$C$5:$C$4995,'GSTR-2A'!$A$6:$A$10000,$AW$3)</f>
        <v>0</v>
      </c>
      <c r="BA140" s="488">
        <f>SUMIFS('GSTR-2A'!$N$6:$N$10000,'GSTR-2A'!$B$6:$B$10000,$C$5:$C$4995,'GSTR-2A'!$A$6:$A$10000,$AW$3)</f>
        <v>0</v>
      </c>
      <c r="BB140" s="486">
        <f>SUMIFS('GSTR-2A'!$G$6:$G$10000,'GSTR-2A'!$B$6:$B$10000,$C$5:$C$4995,'GSTR-2A'!$A$6:$A$10000,$BB$3)</f>
        <v>0</v>
      </c>
      <c r="BC140" s="487">
        <f>SUMIFS('GSTR-2A'!$K$6:$K$10000,'GSTR-2A'!$B$6:$B$10000,$C$5:$C$4995,'GSTR-2A'!$A$6:$A$10000,$BB$3)</f>
        <v>0</v>
      </c>
      <c r="BD140" s="487">
        <f>SUMIFS('GSTR-2A'!$L$6:$L$10000,'GSTR-2A'!$B$6:$B$10000,$C$5:$C$4995,'GSTR-2A'!$A$6:$A$10000,$BB$3)</f>
        <v>0</v>
      </c>
      <c r="BE140" s="487">
        <f>SUMIFS('GSTR-2A'!$M$6:$M$10000,'GSTR-2A'!$B$6:$B$10000,$C$5:$C$4995,'GSTR-2A'!$A$6:$A$10000,$BB$3)</f>
        <v>0</v>
      </c>
      <c r="BF140" s="488">
        <f>SUMIFS('GSTR-2A'!$N$6:$N$10000,'GSTR-2A'!$B$6:$B$10000,$C$5:$C$4995,'GSTR-2A'!$A$6:$A$10000,$BB$3)</f>
        <v>0</v>
      </c>
      <c r="BG140" s="486">
        <f>SUMIFS('GSTR-2A'!$G$6:$G$10000,'GSTR-2A'!$B$6:$B$10000,$C$5:$C$4995,'GSTR-2A'!$A$6:$A$10000,$BG$3)</f>
        <v>0</v>
      </c>
      <c r="BH140" s="487">
        <f>SUMIFS('GSTR-2A'!$K$6:$K$10000,'GSTR-2A'!$B$6:$B$10000,$C$5:$C$4995,'GSTR-2A'!$A$6:$A$10000,$BG$3)</f>
        <v>0</v>
      </c>
      <c r="BI140" s="487">
        <f>SUMIFS('GSTR-2A'!$L$6:$L$10000,'GSTR-2A'!$B$6:$B$10000,$C$5:$C$4995,'GSTR-2A'!$A$6:$A$10000,$BG$3)</f>
        <v>0</v>
      </c>
      <c r="BJ140" s="487">
        <f>SUMIFS('GSTR-2A'!$M$6:$M$10000,'GSTR-2A'!$B$6:$B$10000,$C$5:$C$4995,'GSTR-2A'!$A$6:$A$10000,$BG$3)</f>
        <v>0</v>
      </c>
      <c r="BK140" s="488">
        <f>SUMIFS('GSTR-2A'!$N$6:$N$10000,'GSTR-2A'!$B$6:$B$10000,$C$5:$C$4995,'GSTR-2A'!$A$6:$A$10000,$BG$3)</f>
        <v>0</v>
      </c>
      <c r="BL140" s="72">
        <f t="shared" si="12"/>
        <v>0</v>
      </c>
      <c r="BM140" s="72">
        <f t="shared" si="13"/>
        <v>0</v>
      </c>
      <c r="BN140" s="72">
        <f t="shared" si="14"/>
        <v>0</v>
      </c>
      <c r="BO140" s="72">
        <f t="shared" si="15"/>
        <v>0</v>
      </c>
      <c r="BP140" s="72">
        <f t="shared" si="16"/>
        <v>0</v>
      </c>
    </row>
    <row r="141" spans="1:68" x14ac:dyDescent="0.2">
      <c r="A141" s="467">
        <v>146</v>
      </c>
      <c r="B141" s="468" t="s">
        <v>1001</v>
      </c>
      <c r="C141" s="469" t="s">
        <v>1002</v>
      </c>
      <c r="D141" s="72">
        <f>SUMIFS('GSTR-2A'!$G$6:$G$10000,'GSTR-2A'!$B$6:$B$10000,$C$5:$C$4995,'GSTR-2A'!$A$6:$A$10000,$D$3)</f>
        <v>0</v>
      </c>
      <c r="E141" s="72">
        <f>SUMIFS('GSTR-2A'!$K$6:$K$10000,'GSTR-2A'!$B$6:$B$10000,$C$5:$C$4995,'GSTR-2A'!$A$6:$A$10000,$D$3)</f>
        <v>0</v>
      </c>
      <c r="F141" s="72">
        <f>SUMIFS('GSTR-2A'!$L$6:$L$10000,'GSTR-2A'!$B$6:$B$10000,$C$5:$C$4995,'GSTR-2A'!$A$6:$A$10000,$D$3)</f>
        <v>0</v>
      </c>
      <c r="G141" s="72">
        <f>SUMIFS('GSTR-2A'!$M$6:$M$10000,'GSTR-2A'!$B$6:$B$10000,$C$5:$C$4995,'GSTR-2A'!$A$6:$A$10000,$D$3)</f>
        <v>0</v>
      </c>
      <c r="H141" s="72">
        <f>SUMIFS('GSTR-2A'!$N$6:$N$10000,'GSTR-2A'!$B$6:$B$10000,$C$5:$C$4995,'GSTR-2A'!$A$6:$A$10000,$D$3)</f>
        <v>0</v>
      </c>
      <c r="I141" s="486">
        <f>SUMIFS('GSTR-2A'!$G$6:$G$10000,'GSTR-2A'!$B$6:$B$10000,$C$5:$C$4995,'GSTR-2A'!$A$6:$A$10000,$I$3)</f>
        <v>0</v>
      </c>
      <c r="J141" s="487">
        <f>SUMIFS('GSTR-2A'!$K$6:$K$10000,'GSTR-2A'!$B$6:$B$10000,$C$5:$C$4995,'GSTR-2A'!$A$6:$A$10000,$I$3)</f>
        <v>0</v>
      </c>
      <c r="K141" s="487">
        <f>SUMIFS('GSTR-2A'!$L$6:$L$10000,'GSTR-2A'!$B$6:$B$10000,$C$5:$C$4995,'GSTR-2A'!$A$6:$A$10000,$I$3)</f>
        <v>0</v>
      </c>
      <c r="L141" s="487">
        <f>SUMIFS('GSTR-2A'!$M$6:$M$10000,'GSTR-2A'!$B$6:$B$10000,$C$5:$C$4995,'GSTR-2A'!$A$6:$A$10000,$I$3)</f>
        <v>0</v>
      </c>
      <c r="M141" s="488">
        <f>SUMIFS('GSTR-2A'!$N$6:$N$10000,'GSTR-2A'!$B$6:$B$10000,$C$5:$C$4995,'GSTR-2A'!$A$6:$A$10000,$I$3)</f>
        <v>0</v>
      </c>
      <c r="N141" s="486">
        <f>SUMIFS('GSTR-2A'!$G$6:$G$10000,'GSTR-2A'!$B$6:$B$10000,$C$5:$C$4995,'GSTR-2A'!$A$6:$A$10000,$N$3)</f>
        <v>0</v>
      </c>
      <c r="O141" s="487">
        <f>SUMIFS('GSTR-2A'!$K$6:$K$10000,'GSTR-2A'!$B$6:$B$10000,$C$5:$C$4995,'GSTR-2A'!$A$6:$A$10000,$N$3)</f>
        <v>0</v>
      </c>
      <c r="P141" s="487">
        <f>SUMIFS('GSTR-2A'!$L$6:$L$10000,'GSTR-2A'!$B$6:$B$10000,$C$5:$C$4995,'GSTR-2A'!$A$6:$A$10000,$N$3)</f>
        <v>0</v>
      </c>
      <c r="Q141" s="487">
        <f>SUMIFS('GSTR-2A'!$M$6:$M$10000,'GSTR-2A'!$B$6:$B$10000,$C$5:$C$4995,'GSTR-2A'!$A$6:$A$10000,$N$3)</f>
        <v>0</v>
      </c>
      <c r="R141" s="488">
        <f>SUMIFS('GSTR-2A'!$N$6:$N$10000,'GSTR-2A'!$B$6:$B$10000,$C$5:$C$4995,'GSTR-2A'!$A$6:$A$10000,$N$3)</f>
        <v>0</v>
      </c>
      <c r="S141" s="486">
        <f>SUMIFS('GSTR-2A'!$G$6:$G$10000,'GSTR-2A'!$B$6:$B$10000,$C$5:$C$4995,'GSTR-2A'!$A$6:$A$10000,$S$3)</f>
        <v>0</v>
      </c>
      <c r="T141" s="487">
        <f>SUMIFS('GSTR-2A'!$K$6:$K$10000,'GSTR-2A'!$B$6:$B$10000,$C$5:$C$4995,'GSTR-2A'!$A$6:$A$10000,$S$3)</f>
        <v>0</v>
      </c>
      <c r="U141" s="487">
        <f>SUMIFS('GSTR-2A'!$L$6:$L$10000,'GSTR-2A'!$B$6:$B$10000,$C$5:$C$4995,'GSTR-2A'!$A$6:$A$10000,$S$3)</f>
        <v>0</v>
      </c>
      <c r="V141" s="487">
        <f>SUMIFS('GSTR-2A'!$M$6:$M$10000,'GSTR-2A'!$B$6:$B$10000,$C$5:$C$4995,'GSTR-2A'!$A$6:$A$10000,$S$3)</f>
        <v>0</v>
      </c>
      <c r="W141" s="488">
        <f>SUMIFS('GSTR-2A'!$N$6:$N$10000,'GSTR-2A'!$B$6:$B$10000,$C$5:$C$4995,'GSTR-2A'!$A$6:$A$10000,$S$3)</f>
        <v>0</v>
      </c>
      <c r="X141" s="486">
        <f>SUMIFS('GSTR-2A'!$G$6:$G$10000,'GSTR-2A'!$B$6:$B$10000,$C$5:$C$4995,'GSTR-2A'!$A$6:$A$10000,$X$3)</f>
        <v>0</v>
      </c>
      <c r="Y141" s="487">
        <f>SUMIFS('GSTR-2A'!$K$6:$K$10000,'GSTR-2A'!$B$6:$B$10000,$C$5:$C$4995,'GSTR-2A'!$A$6:$A$10000,$X$3)</f>
        <v>0</v>
      </c>
      <c r="Z141" s="487">
        <f>SUMIFS('GSTR-2A'!$L$6:$L$10000,'GSTR-2A'!$B$6:$B$10000,$C$5:$C$4995,'GSTR-2A'!$A$6:$A$10000,$X$3)</f>
        <v>0</v>
      </c>
      <c r="AA141" s="487">
        <f>SUMIFS('GSTR-2A'!$M$6:$M$10000,'GSTR-2A'!$B$6:$B$10000,$C$5:$C$4995,'GSTR-2A'!$A$6:$A$10000,$X$3)</f>
        <v>0</v>
      </c>
      <c r="AB141" s="488">
        <f>SUMIFS('GSTR-2A'!$N$6:$N$10000,'GSTR-2A'!$B$6:$B$10000,$C$5:$C$4995,'GSTR-2A'!$A$6:$A$10000,$X$3)</f>
        <v>0</v>
      </c>
      <c r="AC141" s="486">
        <f>SUMIFS('GSTR-2A'!$G$6:$G$10000,'GSTR-2A'!$B$6:$B$10000,$C$5:$C$4995,'GSTR-2A'!$A$6:$A$10000,$AC$3)</f>
        <v>33040</v>
      </c>
      <c r="AD141" s="487">
        <f>SUMIFS('GSTR-2A'!$K$6:$K$10000,'GSTR-2A'!$B$6:$B$10000,$C$5:$C$4995,'GSTR-2A'!$A$6:$A$10000,$AC$3)</f>
        <v>28000</v>
      </c>
      <c r="AE141" s="487">
        <f>SUMIFS('GSTR-2A'!$L$6:$L$10000,'GSTR-2A'!$B$6:$B$10000,$C$5:$C$4995,'GSTR-2A'!$A$6:$A$10000,$AC$3)</f>
        <v>0</v>
      </c>
      <c r="AF141" s="487">
        <f>SUMIFS('GSTR-2A'!$M$6:$M$10000,'GSTR-2A'!$B$6:$B$10000,$C$5:$C$4995,'GSTR-2A'!$A$6:$A$10000,$AC$3)</f>
        <v>2520</v>
      </c>
      <c r="AG141" s="488">
        <f>SUMIFS('GSTR-2A'!$N$6:$N$10000,'GSTR-2A'!$B$6:$B$10000,$C$5:$C$4995,'GSTR-2A'!$A$6:$A$10000,$AC$3)</f>
        <v>2520</v>
      </c>
      <c r="AH141" s="486">
        <f>SUMIFS('GSTR-2A'!$G$6:$G$10000,'GSTR-2A'!$B$6:$B$10000,$C$5:$C$4995,'GSTR-2A'!$A$6:$A$10000,$AH$3)</f>
        <v>0</v>
      </c>
      <c r="AI141" s="487">
        <f>SUMIFS('GSTR-2A'!$K$6:$K$10000,'GSTR-2A'!$B$6:$B$10000,$C$5:$C$4995,'GSTR-2A'!$A$6:$A$10000,$AH$3)</f>
        <v>0</v>
      </c>
      <c r="AJ141" s="487">
        <f>SUMIFS('GSTR-2A'!$L$6:$L$10000,'GSTR-2A'!$B$6:$B$10000,$C$5:$C$4995,'GSTR-2A'!$A$6:$A$10000,$AH$3)</f>
        <v>0</v>
      </c>
      <c r="AK141" s="487">
        <f>SUMIFS('GSTR-2A'!$M$6:$M$10000,'GSTR-2A'!$B$6:$B$10000,$C$5:$C$4995,'GSTR-2A'!$A$6:$A$10000,$AH$3)</f>
        <v>0</v>
      </c>
      <c r="AL141" s="488">
        <f>SUMIFS('GSTR-2A'!$N$6:$N$10000,'GSTR-2A'!$B$6:$B$10000,$C$5:$C$4995,'GSTR-2A'!$A$6:$A$10000,$AH$3)</f>
        <v>0</v>
      </c>
      <c r="AM141" s="486">
        <f>SUMIFS('GSTR-2A'!$G$6:$G$10000,'GSTR-2A'!$B$6:$B$10000,$C$5:$C$4995,'GSTR-2A'!$A$6:$A$10000,$AM$3)</f>
        <v>0</v>
      </c>
      <c r="AN141" s="487">
        <f>SUMIFS('GSTR-2A'!$K$6:$K$10000,'GSTR-2A'!$B$6:$B$10000,$C$5:$C$4995,'GSTR-2A'!$A$6:$A$10000,$AM$3)</f>
        <v>0</v>
      </c>
      <c r="AO141" s="487">
        <f>SUMIFS('GSTR-2A'!$L$6:$L$10000,'GSTR-2A'!$B$6:$B$10000,$C$5:$C$4995,'GSTR-2A'!$A$6:$A$10000,$AM$3)</f>
        <v>0</v>
      </c>
      <c r="AP141" s="487">
        <f>SUMIFS('GSTR-2A'!$M$6:$M$10000,'GSTR-2A'!$B$6:$B$10000,$C$5:$C$4995,'GSTR-2A'!$A$6:$A$10000,$AM$3)</f>
        <v>0</v>
      </c>
      <c r="AQ141" s="488">
        <f>SUMIFS('GSTR-2A'!$N$6:$N$10000,'GSTR-2A'!$B$6:$B$10000,$C$5:$C$4995,'GSTR-2A'!$A$6:$A$10000,$AM$3)</f>
        <v>0</v>
      </c>
      <c r="AR141" s="486">
        <f>SUMIFS('GSTR-2A'!$G$6:$G$10000,'GSTR-2A'!$B$6:$B$10000,$C$5:$C$4995,'GSTR-2A'!$A$6:$A$10000,$AR$3)</f>
        <v>0</v>
      </c>
      <c r="AS141" s="487">
        <f>SUMIFS('GSTR-2A'!$K$6:$K$10000,'GSTR-2A'!$B$6:$B$10000,$C$5:$C$4995,'GSTR-2A'!$A$6:$A$10000,$AR$3)</f>
        <v>0</v>
      </c>
      <c r="AT141" s="487">
        <f>SUMIFS('GSTR-2A'!$L$6:$L$10000,'GSTR-2A'!$B$6:$B$10000,$C$5:$C$4995,'GSTR-2A'!$A$6:$A$10000,$AR$3)</f>
        <v>0</v>
      </c>
      <c r="AU141" s="487">
        <f>SUMIFS('GSTR-2A'!$M$6:$M$10000,'GSTR-2A'!$B$6:$B$10000,$C$5:$C$4995,'GSTR-2A'!$A$6:$A$10000,$AR$3)</f>
        <v>0</v>
      </c>
      <c r="AV141" s="488">
        <f>SUMIFS('GSTR-2A'!$N$6:$N$10000,'GSTR-2A'!$B$6:$B$10000,$C$5:$C$4995,'GSTR-2A'!$A$6:$A$10000,$AR$3)</f>
        <v>0</v>
      </c>
      <c r="AW141" s="486">
        <f>SUMIFS('GSTR-2A'!$G$6:$G$10000,'GSTR-2A'!$B$6:$B$10000,$C$5:$C$4995,'GSTR-2A'!$A$6:$A$10000,$AW$3)</f>
        <v>0</v>
      </c>
      <c r="AX141" s="487">
        <f>SUMIFS('GSTR-2A'!$K$6:$K$10000,'GSTR-2A'!$B$6:$B$10000,$C$5:$C$4995,'GSTR-2A'!$A$6:$A$10000,$AW$3)</f>
        <v>0</v>
      </c>
      <c r="AY141" s="487">
        <f>SUMIFS('GSTR-2A'!$L$6:$L$10000,'GSTR-2A'!$B$6:$B$10000,$C$5:$C$4995,'GSTR-2A'!$A$6:$A$10000,$AW$3)</f>
        <v>0</v>
      </c>
      <c r="AZ141" s="487">
        <f>SUMIFS('GSTR-2A'!$M$6:$M$10000,'GSTR-2A'!$B$6:$B$10000,$C$5:$C$4995,'GSTR-2A'!$A$6:$A$10000,$AW$3)</f>
        <v>0</v>
      </c>
      <c r="BA141" s="488">
        <f>SUMIFS('GSTR-2A'!$N$6:$N$10000,'GSTR-2A'!$B$6:$B$10000,$C$5:$C$4995,'GSTR-2A'!$A$6:$A$10000,$AW$3)</f>
        <v>0</v>
      </c>
      <c r="BB141" s="486">
        <f>SUMIFS('GSTR-2A'!$G$6:$G$10000,'GSTR-2A'!$B$6:$B$10000,$C$5:$C$4995,'GSTR-2A'!$A$6:$A$10000,$BB$3)</f>
        <v>0</v>
      </c>
      <c r="BC141" s="487">
        <f>SUMIFS('GSTR-2A'!$K$6:$K$10000,'GSTR-2A'!$B$6:$B$10000,$C$5:$C$4995,'GSTR-2A'!$A$6:$A$10000,$BB$3)</f>
        <v>0</v>
      </c>
      <c r="BD141" s="487">
        <f>SUMIFS('GSTR-2A'!$L$6:$L$10000,'GSTR-2A'!$B$6:$B$10000,$C$5:$C$4995,'GSTR-2A'!$A$6:$A$10000,$BB$3)</f>
        <v>0</v>
      </c>
      <c r="BE141" s="487">
        <f>SUMIFS('GSTR-2A'!$M$6:$M$10000,'GSTR-2A'!$B$6:$B$10000,$C$5:$C$4995,'GSTR-2A'!$A$6:$A$10000,$BB$3)</f>
        <v>0</v>
      </c>
      <c r="BF141" s="488">
        <f>SUMIFS('GSTR-2A'!$N$6:$N$10000,'GSTR-2A'!$B$6:$B$10000,$C$5:$C$4995,'GSTR-2A'!$A$6:$A$10000,$BB$3)</f>
        <v>0</v>
      </c>
      <c r="BG141" s="486">
        <f>SUMIFS('GSTR-2A'!$G$6:$G$10000,'GSTR-2A'!$B$6:$B$10000,$C$5:$C$4995,'GSTR-2A'!$A$6:$A$10000,$BG$3)</f>
        <v>0</v>
      </c>
      <c r="BH141" s="487">
        <f>SUMIFS('GSTR-2A'!$K$6:$K$10000,'GSTR-2A'!$B$6:$B$10000,$C$5:$C$4995,'GSTR-2A'!$A$6:$A$10000,$BG$3)</f>
        <v>0</v>
      </c>
      <c r="BI141" s="487">
        <f>SUMIFS('GSTR-2A'!$L$6:$L$10000,'GSTR-2A'!$B$6:$B$10000,$C$5:$C$4995,'GSTR-2A'!$A$6:$A$10000,$BG$3)</f>
        <v>0</v>
      </c>
      <c r="BJ141" s="487">
        <f>SUMIFS('GSTR-2A'!$M$6:$M$10000,'GSTR-2A'!$B$6:$B$10000,$C$5:$C$4995,'GSTR-2A'!$A$6:$A$10000,$BG$3)</f>
        <v>0</v>
      </c>
      <c r="BK141" s="488">
        <f>SUMIFS('GSTR-2A'!$N$6:$N$10000,'GSTR-2A'!$B$6:$B$10000,$C$5:$C$4995,'GSTR-2A'!$A$6:$A$10000,$BG$3)</f>
        <v>0</v>
      </c>
      <c r="BL141" s="72">
        <f t="shared" si="12"/>
        <v>33040</v>
      </c>
      <c r="BM141" s="72">
        <f t="shared" si="13"/>
        <v>28000</v>
      </c>
      <c r="BN141" s="72">
        <f t="shared" si="14"/>
        <v>0</v>
      </c>
      <c r="BO141" s="72">
        <f t="shared" si="15"/>
        <v>2520</v>
      </c>
      <c r="BP141" s="72">
        <f t="shared" si="16"/>
        <v>2520</v>
      </c>
    </row>
    <row r="142" spans="1:68" x14ac:dyDescent="0.2">
      <c r="A142" s="467">
        <v>147</v>
      </c>
      <c r="B142" s="468" t="s">
        <v>1004</v>
      </c>
      <c r="C142" s="469" t="s">
        <v>1005</v>
      </c>
      <c r="D142" s="72">
        <f>SUMIFS('GSTR-2A'!$G$6:$G$10000,'GSTR-2A'!$B$6:$B$10000,$C$5:$C$4995,'GSTR-2A'!$A$6:$A$10000,$D$3)</f>
        <v>0</v>
      </c>
      <c r="E142" s="72">
        <f>SUMIFS('GSTR-2A'!$K$6:$K$10000,'GSTR-2A'!$B$6:$B$10000,$C$5:$C$4995,'GSTR-2A'!$A$6:$A$10000,$D$3)</f>
        <v>0</v>
      </c>
      <c r="F142" s="72">
        <f>SUMIFS('GSTR-2A'!$L$6:$L$10000,'GSTR-2A'!$B$6:$B$10000,$C$5:$C$4995,'GSTR-2A'!$A$6:$A$10000,$D$3)</f>
        <v>0</v>
      </c>
      <c r="G142" s="72">
        <f>SUMIFS('GSTR-2A'!$M$6:$M$10000,'GSTR-2A'!$B$6:$B$10000,$C$5:$C$4995,'GSTR-2A'!$A$6:$A$10000,$D$3)</f>
        <v>0</v>
      </c>
      <c r="H142" s="72">
        <f>SUMIFS('GSTR-2A'!$N$6:$N$10000,'GSTR-2A'!$B$6:$B$10000,$C$5:$C$4995,'GSTR-2A'!$A$6:$A$10000,$D$3)</f>
        <v>0</v>
      </c>
      <c r="I142" s="486">
        <f>SUMIFS('GSTR-2A'!$G$6:$G$10000,'GSTR-2A'!$B$6:$B$10000,$C$5:$C$4995,'GSTR-2A'!$A$6:$A$10000,$I$3)</f>
        <v>0</v>
      </c>
      <c r="J142" s="487">
        <f>SUMIFS('GSTR-2A'!$K$6:$K$10000,'GSTR-2A'!$B$6:$B$10000,$C$5:$C$4995,'GSTR-2A'!$A$6:$A$10000,$I$3)</f>
        <v>0</v>
      </c>
      <c r="K142" s="487">
        <f>SUMIFS('GSTR-2A'!$L$6:$L$10000,'GSTR-2A'!$B$6:$B$10000,$C$5:$C$4995,'GSTR-2A'!$A$6:$A$10000,$I$3)</f>
        <v>0</v>
      </c>
      <c r="L142" s="487">
        <f>SUMIFS('GSTR-2A'!$M$6:$M$10000,'GSTR-2A'!$B$6:$B$10000,$C$5:$C$4995,'GSTR-2A'!$A$6:$A$10000,$I$3)</f>
        <v>0</v>
      </c>
      <c r="M142" s="488">
        <f>SUMIFS('GSTR-2A'!$N$6:$N$10000,'GSTR-2A'!$B$6:$B$10000,$C$5:$C$4995,'GSTR-2A'!$A$6:$A$10000,$I$3)</f>
        <v>0</v>
      </c>
      <c r="N142" s="486">
        <f>SUMIFS('GSTR-2A'!$G$6:$G$10000,'GSTR-2A'!$B$6:$B$10000,$C$5:$C$4995,'GSTR-2A'!$A$6:$A$10000,$N$3)</f>
        <v>0</v>
      </c>
      <c r="O142" s="487">
        <f>SUMIFS('GSTR-2A'!$K$6:$K$10000,'GSTR-2A'!$B$6:$B$10000,$C$5:$C$4995,'GSTR-2A'!$A$6:$A$10000,$N$3)</f>
        <v>0</v>
      </c>
      <c r="P142" s="487">
        <f>SUMIFS('GSTR-2A'!$L$6:$L$10000,'GSTR-2A'!$B$6:$B$10000,$C$5:$C$4995,'GSTR-2A'!$A$6:$A$10000,$N$3)</f>
        <v>0</v>
      </c>
      <c r="Q142" s="487">
        <f>SUMIFS('GSTR-2A'!$M$6:$M$10000,'GSTR-2A'!$B$6:$B$10000,$C$5:$C$4995,'GSTR-2A'!$A$6:$A$10000,$N$3)</f>
        <v>0</v>
      </c>
      <c r="R142" s="488">
        <f>SUMIFS('GSTR-2A'!$N$6:$N$10000,'GSTR-2A'!$B$6:$B$10000,$C$5:$C$4995,'GSTR-2A'!$A$6:$A$10000,$N$3)</f>
        <v>0</v>
      </c>
      <c r="S142" s="486">
        <f>SUMIFS('GSTR-2A'!$G$6:$G$10000,'GSTR-2A'!$B$6:$B$10000,$C$5:$C$4995,'GSTR-2A'!$A$6:$A$10000,$S$3)</f>
        <v>0</v>
      </c>
      <c r="T142" s="487">
        <f>SUMIFS('GSTR-2A'!$K$6:$K$10000,'GSTR-2A'!$B$6:$B$10000,$C$5:$C$4995,'GSTR-2A'!$A$6:$A$10000,$S$3)</f>
        <v>0</v>
      </c>
      <c r="U142" s="487">
        <f>SUMIFS('GSTR-2A'!$L$6:$L$10000,'GSTR-2A'!$B$6:$B$10000,$C$5:$C$4995,'GSTR-2A'!$A$6:$A$10000,$S$3)</f>
        <v>0</v>
      </c>
      <c r="V142" s="487">
        <f>SUMIFS('GSTR-2A'!$M$6:$M$10000,'GSTR-2A'!$B$6:$B$10000,$C$5:$C$4995,'GSTR-2A'!$A$6:$A$10000,$S$3)</f>
        <v>0</v>
      </c>
      <c r="W142" s="488">
        <f>SUMIFS('GSTR-2A'!$N$6:$N$10000,'GSTR-2A'!$B$6:$B$10000,$C$5:$C$4995,'GSTR-2A'!$A$6:$A$10000,$S$3)</f>
        <v>0</v>
      </c>
      <c r="X142" s="486">
        <f>SUMIFS('GSTR-2A'!$G$6:$G$10000,'GSTR-2A'!$B$6:$B$10000,$C$5:$C$4995,'GSTR-2A'!$A$6:$A$10000,$X$3)</f>
        <v>0</v>
      </c>
      <c r="Y142" s="487">
        <f>SUMIFS('GSTR-2A'!$K$6:$K$10000,'GSTR-2A'!$B$6:$B$10000,$C$5:$C$4995,'GSTR-2A'!$A$6:$A$10000,$X$3)</f>
        <v>0</v>
      </c>
      <c r="Z142" s="487">
        <f>SUMIFS('GSTR-2A'!$L$6:$L$10000,'GSTR-2A'!$B$6:$B$10000,$C$5:$C$4995,'GSTR-2A'!$A$6:$A$10000,$X$3)</f>
        <v>0</v>
      </c>
      <c r="AA142" s="487">
        <f>SUMIFS('GSTR-2A'!$M$6:$M$10000,'GSTR-2A'!$B$6:$B$10000,$C$5:$C$4995,'GSTR-2A'!$A$6:$A$10000,$X$3)</f>
        <v>0</v>
      </c>
      <c r="AB142" s="488">
        <f>SUMIFS('GSTR-2A'!$N$6:$N$10000,'GSTR-2A'!$B$6:$B$10000,$C$5:$C$4995,'GSTR-2A'!$A$6:$A$10000,$X$3)</f>
        <v>0</v>
      </c>
      <c r="AC142" s="486">
        <f>SUMIFS('GSTR-2A'!$G$6:$G$10000,'GSTR-2A'!$B$6:$B$10000,$C$5:$C$4995,'GSTR-2A'!$A$6:$A$10000,$AC$3)</f>
        <v>0</v>
      </c>
      <c r="AD142" s="487">
        <f>SUMIFS('GSTR-2A'!$K$6:$K$10000,'GSTR-2A'!$B$6:$B$10000,$C$5:$C$4995,'GSTR-2A'!$A$6:$A$10000,$AC$3)</f>
        <v>0</v>
      </c>
      <c r="AE142" s="487">
        <f>SUMIFS('GSTR-2A'!$L$6:$L$10000,'GSTR-2A'!$B$6:$B$10000,$C$5:$C$4995,'GSTR-2A'!$A$6:$A$10000,$AC$3)</f>
        <v>0</v>
      </c>
      <c r="AF142" s="487">
        <f>SUMIFS('GSTR-2A'!$M$6:$M$10000,'GSTR-2A'!$B$6:$B$10000,$C$5:$C$4995,'GSTR-2A'!$A$6:$A$10000,$AC$3)</f>
        <v>0</v>
      </c>
      <c r="AG142" s="488">
        <f>SUMIFS('GSTR-2A'!$N$6:$N$10000,'GSTR-2A'!$B$6:$B$10000,$C$5:$C$4995,'GSTR-2A'!$A$6:$A$10000,$AC$3)</f>
        <v>0</v>
      </c>
      <c r="AH142" s="486">
        <f>SUMIFS('GSTR-2A'!$G$6:$G$10000,'GSTR-2A'!$B$6:$B$10000,$C$5:$C$4995,'GSTR-2A'!$A$6:$A$10000,$AH$3)</f>
        <v>0</v>
      </c>
      <c r="AI142" s="487">
        <f>SUMIFS('GSTR-2A'!$K$6:$K$10000,'GSTR-2A'!$B$6:$B$10000,$C$5:$C$4995,'GSTR-2A'!$A$6:$A$10000,$AH$3)</f>
        <v>0</v>
      </c>
      <c r="AJ142" s="487">
        <f>SUMIFS('GSTR-2A'!$L$6:$L$10000,'GSTR-2A'!$B$6:$B$10000,$C$5:$C$4995,'GSTR-2A'!$A$6:$A$10000,$AH$3)</f>
        <v>0</v>
      </c>
      <c r="AK142" s="487">
        <f>SUMIFS('GSTR-2A'!$M$6:$M$10000,'GSTR-2A'!$B$6:$B$10000,$C$5:$C$4995,'GSTR-2A'!$A$6:$A$10000,$AH$3)</f>
        <v>0</v>
      </c>
      <c r="AL142" s="488">
        <f>SUMIFS('GSTR-2A'!$N$6:$N$10000,'GSTR-2A'!$B$6:$B$10000,$C$5:$C$4995,'GSTR-2A'!$A$6:$A$10000,$AH$3)</f>
        <v>0</v>
      </c>
      <c r="AM142" s="486">
        <f>SUMIFS('GSTR-2A'!$G$6:$G$10000,'GSTR-2A'!$B$6:$B$10000,$C$5:$C$4995,'GSTR-2A'!$A$6:$A$10000,$AM$3)</f>
        <v>0</v>
      </c>
      <c r="AN142" s="487">
        <f>SUMIFS('GSTR-2A'!$K$6:$K$10000,'GSTR-2A'!$B$6:$B$10000,$C$5:$C$4995,'GSTR-2A'!$A$6:$A$10000,$AM$3)</f>
        <v>0</v>
      </c>
      <c r="AO142" s="487">
        <f>SUMIFS('GSTR-2A'!$L$6:$L$10000,'GSTR-2A'!$B$6:$B$10000,$C$5:$C$4995,'GSTR-2A'!$A$6:$A$10000,$AM$3)</f>
        <v>0</v>
      </c>
      <c r="AP142" s="487">
        <f>SUMIFS('GSTR-2A'!$M$6:$M$10000,'GSTR-2A'!$B$6:$B$10000,$C$5:$C$4995,'GSTR-2A'!$A$6:$A$10000,$AM$3)</f>
        <v>0</v>
      </c>
      <c r="AQ142" s="488">
        <f>SUMIFS('GSTR-2A'!$N$6:$N$10000,'GSTR-2A'!$B$6:$B$10000,$C$5:$C$4995,'GSTR-2A'!$A$6:$A$10000,$AM$3)</f>
        <v>0</v>
      </c>
      <c r="AR142" s="486">
        <f>SUMIFS('GSTR-2A'!$G$6:$G$10000,'GSTR-2A'!$B$6:$B$10000,$C$5:$C$4995,'GSTR-2A'!$A$6:$A$10000,$AR$3)</f>
        <v>0</v>
      </c>
      <c r="AS142" s="487">
        <f>SUMIFS('GSTR-2A'!$K$6:$K$10000,'GSTR-2A'!$B$6:$B$10000,$C$5:$C$4995,'GSTR-2A'!$A$6:$A$10000,$AR$3)</f>
        <v>0</v>
      </c>
      <c r="AT142" s="487">
        <f>SUMIFS('GSTR-2A'!$L$6:$L$10000,'GSTR-2A'!$B$6:$B$10000,$C$5:$C$4995,'GSTR-2A'!$A$6:$A$10000,$AR$3)</f>
        <v>0</v>
      </c>
      <c r="AU142" s="487">
        <f>SUMIFS('GSTR-2A'!$M$6:$M$10000,'GSTR-2A'!$B$6:$B$10000,$C$5:$C$4995,'GSTR-2A'!$A$6:$A$10000,$AR$3)</f>
        <v>0</v>
      </c>
      <c r="AV142" s="488">
        <f>SUMIFS('GSTR-2A'!$N$6:$N$10000,'GSTR-2A'!$B$6:$B$10000,$C$5:$C$4995,'GSTR-2A'!$A$6:$A$10000,$AR$3)</f>
        <v>0</v>
      </c>
      <c r="AW142" s="486">
        <f>SUMIFS('GSTR-2A'!$G$6:$G$10000,'GSTR-2A'!$B$6:$B$10000,$C$5:$C$4995,'GSTR-2A'!$A$6:$A$10000,$AW$3)</f>
        <v>0</v>
      </c>
      <c r="AX142" s="487">
        <f>SUMIFS('GSTR-2A'!$K$6:$K$10000,'GSTR-2A'!$B$6:$B$10000,$C$5:$C$4995,'GSTR-2A'!$A$6:$A$10000,$AW$3)</f>
        <v>0</v>
      </c>
      <c r="AY142" s="487">
        <f>SUMIFS('GSTR-2A'!$L$6:$L$10000,'GSTR-2A'!$B$6:$B$10000,$C$5:$C$4995,'GSTR-2A'!$A$6:$A$10000,$AW$3)</f>
        <v>0</v>
      </c>
      <c r="AZ142" s="487">
        <f>SUMIFS('GSTR-2A'!$M$6:$M$10000,'GSTR-2A'!$B$6:$B$10000,$C$5:$C$4995,'GSTR-2A'!$A$6:$A$10000,$AW$3)</f>
        <v>0</v>
      </c>
      <c r="BA142" s="488">
        <f>SUMIFS('GSTR-2A'!$N$6:$N$10000,'GSTR-2A'!$B$6:$B$10000,$C$5:$C$4995,'GSTR-2A'!$A$6:$A$10000,$AW$3)</f>
        <v>0</v>
      </c>
      <c r="BB142" s="486">
        <f>SUMIFS('GSTR-2A'!$G$6:$G$10000,'GSTR-2A'!$B$6:$B$10000,$C$5:$C$4995,'GSTR-2A'!$A$6:$A$10000,$BB$3)</f>
        <v>0</v>
      </c>
      <c r="BC142" s="487">
        <f>SUMIFS('GSTR-2A'!$K$6:$K$10000,'GSTR-2A'!$B$6:$B$10000,$C$5:$C$4995,'GSTR-2A'!$A$6:$A$10000,$BB$3)</f>
        <v>0</v>
      </c>
      <c r="BD142" s="487">
        <f>SUMIFS('GSTR-2A'!$L$6:$L$10000,'GSTR-2A'!$B$6:$B$10000,$C$5:$C$4995,'GSTR-2A'!$A$6:$A$10000,$BB$3)</f>
        <v>0</v>
      </c>
      <c r="BE142" s="487">
        <f>SUMIFS('GSTR-2A'!$M$6:$M$10000,'GSTR-2A'!$B$6:$B$10000,$C$5:$C$4995,'GSTR-2A'!$A$6:$A$10000,$BB$3)</f>
        <v>0</v>
      </c>
      <c r="BF142" s="488">
        <f>SUMIFS('GSTR-2A'!$N$6:$N$10000,'GSTR-2A'!$B$6:$B$10000,$C$5:$C$4995,'GSTR-2A'!$A$6:$A$10000,$BB$3)</f>
        <v>0</v>
      </c>
      <c r="BG142" s="486">
        <f>SUMIFS('GSTR-2A'!$G$6:$G$10000,'GSTR-2A'!$B$6:$B$10000,$C$5:$C$4995,'GSTR-2A'!$A$6:$A$10000,$BG$3)</f>
        <v>0</v>
      </c>
      <c r="BH142" s="487">
        <f>SUMIFS('GSTR-2A'!$K$6:$K$10000,'GSTR-2A'!$B$6:$B$10000,$C$5:$C$4995,'GSTR-2A'!$A$6:$A$10000,$BG$3)</f>
        <v>0</v>
      </c>
      <c r="BI142" s="487">
        <f>SUMIFS('GSTR-2A'!$L$6:$L$10000,'GSTR-2A'!$B$6:$B$10000,$C$5:$C$4995,'GSTR-2A'!$A$6:$A$10000,$BG$3)</f>
        <v>0</v>
      </c>
      <c r="BJ142" s="487">
        <f>SUMIFS('GSTR-2A'!$M$6:$M$10000,'GSTR-2A'!$B$6:$B$10000,$C$5:$C$4995,'GSTR-2A'!$A$6:$A$10000,$BG$3)</f>
        <v>0</v>
      </c>
      <c r="BK142" s="488">
        <f>SUMIFS('GSTR-2A'!$N$6:$N$10000,'GSTR-2A'!$B$6:$B$10000,$C$5:$C$4995,'GSTR-2A'!$A$6:$A$10000,$BG$3)</f>
        <v>0</v>
      </c>
      <c r="BL142" s="72">
        <f t="shared" si="12"/>
        <v>0</v>
      </c>
      <c r="BM142" s="72">
        <f t="shared" si="13"/>
        <v>0</v>
      </c>
      <c r="BN142" s="72">
        <f t="shared" si="14"/>
        <v>0</v>
      </c>
      <c r="BO142" s="72">
        <f t="shared" si="15"/>
        <v>0</v>
      </c>
      <c r="BP142" s="72">
        <f t="shared" si="16"/>
        <v>0</v>
      </c>
    </row>
    <row r="143" spans="1:68" x14ac:dyDescent="0.2">
      <c r="A143" s="467">
        <v>148</v>
      </c>
      <c r="B143" s="468" t="s">
        <v>788</v>
      </c>
      <c r="C143" s="469" t="s">
        <v>789</v>
      </c>
      <c r="D143" s="72">
        <f>SUMIFS('GSTR-2A'!$G$6:$G$10000,'GSTR-2A'!$B$6:$B$10000,$C$5:$C$4995,'GSTR-2A'!$A$6:$A$10000,$D$3)</f>
        <v>0</v>
      </c>
      <c r="E143" s="72">
        <f>SUMIFS('GSTR-2A'!$K$6:$K$10000,'GSTR-2A'!$B$6:$B$10000,$C$5:$C$4995,'GSTR-2A'!$A$6:$A$10000,$D$3)</f>
        <v>0</v>
      </c>
      <c r="F143" s="72">
        <f>SUMIFS('GSTR-2A'!$L$6:$L$10000,'GSTR-2A'!$B$6:$B$10000,$C$5:$C$4995,'GSTR-2A'!$A$6:$A$10000,$D$3)</f>
        <v>0</v>
      </c>
      <c r="G143" s="72">
        <f>SUMIFS('GSTR-2A'!$M$6:$M$10000,'GSTR-2A'!$B$6:$B$10000,$C$5:$C$4995,'GSTR-2A'!$A$6:$A$10000,$D$3)</f>
        <v>0</v>
      </c>
      <c r="H143" s="72">
        <f>SUMIFS('GSTR-2A'!$N$6:$N$10000,'GSTR-2A'!$B$6:$B$10000,$C$5:$C$4995,'GSTR-2A'!$A$6:$A$10000,$D$3)</f>
        <v>0</v>
      </c>
      <c r="I143" s="486">
        <f>SUMIFS('GSTR-2A'!$G$6:$G$10000,'GSTR-2A'!$B$6:$B$10000,$C$5:$C$4995,'GSTR-2A'!$A$6:$A$10000,$I$3)</f>
        <v>0</v>
      </c>
      <c r="J143" s="487">
        <f>SUMIFS('GSTR-2A'!$K$6:$K$10000,'GSTR-2A'!$B$6:$B$10000,$C$5:$C$4995,'GSTR-2A'!$A$6:$A$10000,$I$3)</f>
        <v>0</v>
      </c>
      <c r="K143" s="487">
        <f>SUMIFS('GSTR-2A'!$L$6:$L$10000,'GSTR-2A'!$B$6:$B$10000,$C$5:$C$4995,'GSTR-2A'!$A$6:$A$10000,$I$3)</f>
        <v>0</v>
      </c>
      <c r="L143" s="487">
        <f>SUMIFS('GSTR-2A'!$M$6:$M$10000,'GSTR-2A'!$B$6:$B$10000,$C$5:$C$4995,'GSTR-2A'!$A$6:$A$10000,$I$3)</f>
        <v>0</v>
      </c>
      <c r="M143" s="488">
        <f>SUMIFS('GSTR-2A'!$N$6:$N$10000,'GSTR-2A'!$B$6:$B$10000,$C$5:$C$4995,'GSTR-2A'!$A$6:$A$10000,$I$3)</f>
        <v>0</v>
      </c>
      <c r="N143" s="486">
        <f>SUMIFS('GSTR-2A'!$G$6:$G$10000,'GSTR-2A'!$B$6:$B$10000,$C$5:$C$4995,'GSTR-2A'!$A$6:$A$10000,$N$3)</f>
        <v>0</v>
      </c>
      <c r="O143" s="487">
        <f>SUMIFS('GSTR-2A'!$K$6:$K$10000,'GSTR-2A'!$B$6:$B$10000,$C$5:$C$4995,'GSTR-2A'!$A$6:$A$10000,$N$3)</f>
        <v>0</v>
      </c>
      <c r="P143" s="487">
        <f>SUMIFS('GSTR-2A'!$L$6:$L$10000,'GSTR-2A'!$B$6:$B$10000,$C$5:$C$4995,'GSTR-2A'!$A$6:$A$10000,$N$3)</f>
        <v>0</v>
      </c>
      <c r="Q143" s="487">
        <f>SUMIFS('GSTR-2A'!$M$6:$M$10000,'GSTR-2A'!$B$6:$B$10000,$C$5:$C$4995,'GSTR-2A'!$A$6:$A$10000,$N$3)</f>
        <v>0</v>
      </c>
      <c r="R143" s="488">
        <f>SUMIFS('GSTR-2A'!$N$6:$N$10000,'GSTR-2A'!$B$6:$B$10000,$C$5:$C$4995,'GSTR-2A'!$A$6:$A$10000,$N$3)</f>
        <v>0</v>
      </c>
      <c r="S143" s="486">
        <f>SUMIFS('GSTR-2A'!$G$6:$G$10000,'GSTR-2A'!$B$6:$B$10000,$C$5:$C$4995,'GSTR-2A'!$A$6:$A$10000,$S$3)</f>
        <v>94754</v>
      </c>
      <c r="T143" s="487">
        <f>SUMIFS('GSTR-2A'!$K$6:$K$10000,'GSTR-2A'!$B$6:$B$10000,$C$5:$C$4995,'GSTR-2A'!$A$6:$A$10000,$S$3)</f>
        <v>80300</v>
      </c>
      <c r="U143" s="487">
        <f>SUMIFS('GSTR-2A'!$L$6:$L$10000,'GSTR-2A'!$B$6:$B$10000,$C$5:$C$4995,'GSTR-2A'!$A$6:$A$10000,$S$3)</f>
        <v>0</v>
      </c>
      <c r="V143" s="487">
        <f>SUMIFS('GSTR-2A'!$M$6:$M$10000,'GSTR-2A'!$B$6:$B$10000,$C$5:$C$4995,'GSTR-2A'!$A$6:$A$10000,$S$3)</f>
        <v>7227</v>
      </c>
      <c r="W143" s="488">
        <f>SUMIFS('GSTR-2A'!$N$6:$N$10000,'GSTR-2A'!$B$6:$B$10000,$C$5:$C$4995,'GSTR-2A'!$A$6:$A$10000,$S$3)</f>
        <v>7227</v>
      </c>
      <c r="X143" s="486">
        <f>SUMIFS('GSTR-2A'!$G$6:$G$10000,'GSTR-2A'!$B$6:$B$10000,$C$5:$C$4995,'GSTR-2A'!$A$6:$A$10000,$X$3)</f>
        <v>0</v>
      </c>
      <c r="Y143" s="487">
        <f>SUMIFS('GSTR-2A'!$K$6:$K$10000,'GSTR-2A'!$B$6:$B$10000,$C$5:$C$4995,'GSTR-2A'!$A$6:$A$10000,$X$3)</f>
        <v>0</v>
      </c>
      <c r="Z143" s="487">
        <f>SUMIFS('GSTR-2A'!$L$6:$L$10000,'GSTR-2A'!$B$6:$B$10000,$C$5:$C$4995,'GSTR-2A'!$A$6:$A$10000,$X$3)</f>
        <v>0</v>
      </c>
      <c r="AA143" s="487">
        <f>SUMIFS('GSTR-2A'!$M$6:$M$10000,'GSTR-2A'!$B$6:$B$10000,$C$5:$C$4995,'GSTR-2A'!$A$6:$A$10000,$X$3)</f>
        <v>0</v>
      </c>
      <c r="AB143" s="488">
        <f>SUMIFS('GSTR-2A'!$N$6:$N$10000,'GSTR-2A'!$B$6:$B$10000,$C$5:$C$4995,'GSTR-2A'!$A$6:$A$10000,$X$3)</f>
        <v>0</v>
      </c>
      <c r="AC143" s="486">
        <f>SUMIFS('GSTR-2A'!$G$6:$G$10000,'GSTR-2A'!$B$6:$B$10000,$C$5:$C$4995,'GSTR-2A'!$A$6:$A$10000,$AC$3)</f>
        <v>0</v>
      </c>
      <c r="AD143" s="487">
        <f>SUMIFS('GSTR-2A'!$K$6:$K$10000,'GSTR-2A'!$B$6:$B$10000,$C$5:$C$4995,'GSTR-2A'!$A$6:$A$10000,$AC$3)</f>
        <v>0</v>
      </c>
      <c r="AE143" s="487">
        <f>SUMIFS('GSTR-2A'!$L$6:$L$10000,'GSTR-2A'!$B$6:$B$10000,$C$5:$C$4995,'GSTR-2A'!$A$6:$A$10000,$AC$3)</f>
        <v>0</v>
      </c>
      <c r="AF143" s="487">
        <f>SUMIFS('GSTR-2A'!$M$6:$M$10000,'GSTR-2A'!$B$6:$B$10000,$C$5:$C$4995,'GSTR-2A'!$A$6:$A$10000,$AC$3)</f>
        <v>0</v>
      </c>
      <c r="AG143" s="488">
        <f>SUMIFS('GSTR-2A'!$N$6:$N$10000,'GSTR-2A'!$B$6:$B$10000,$C$5:$C$4995,'GSTR-2A'!$A$6:$A$10000,$AC$3)</f>
        <v>0</v>
      </c>
      <c r="AH143" s="486">
        <f>SUMIFS('GSTR-2A'!$G$6:$G$10000,'GSTR-2A'!$B$6:$B$10000,$C$5:$C$4995,'GSTR-2A'!$A$6:$A$10000,$AH$3)</f>
        <v>0</v>
      </c>
      <c r="AI143" s="487">
        <f>SUMIFS('GSTR-2A'!$K$6:$K$10000,'GSTR-2A'!$B$6:$B$10000,$C$5:$C$4995,'GSTR-2A'!$A$6:$A$10000,$AH$3)</f>
        <v>0</v>
      </c>
      <c r="AJ143" s="487">
        <f>SUMIFS('GSTR-2A'!$L$6:$L$10000,'GSTR-2A'!$B$6:$B$10000,$C$5:$C$4995,'GSTR-2A'!$A$6:$A$10000,$AH$3)</f>
        <v>0</v>
      </c>
      <c r="AK143" s="487">
        <f>SUMIFS('GSTR-2A'!$M$6:$M$10000,'GSTR-2A'!$B$6:$B$10000,$C$5:$C$4995,'GSTR-2A'!$A$6:$A$10000,$AH$3)</f>
        <v>0</v>
      </c>
      <c r="AL143" s="488">
        <f>SUMIFS('GSTR-2A'!$N$6:$N$10000,'GSTR-2A'!$B$6:$B$10000,$C$5:$C$4995,'GSTR-2A'!$A$6:$A$10000,$AH$3)</f>
        <v>0</v>
      </c>
      <c r="AM143" s="486">
        <f>SUMIFS('GSTR-2A'!$G$6:$G$10000,'GSTR-2A'!$B$6:$B$10000,$C$5:$C$4995,'GSTR-2A'!$A$6:$A$10000,$AM$3)</f>
        <v>0</v>
      </c>
      <c r="AN143" s="487">
        <f>SUMIFS('GSTR-2A'!$K$6:$K$10000,'GSTR-2A'!$B$6:$B$10000,$C$5:$C$4995,'GSTR-2A'!$A$6:$A$10000,$AM$3)</f>
        <v>0</v>
      </c>
      <c r="AO143" s="487">
        <f>SUMIFS('GSTR-2A'!$L$6:$L$10000,'GSTR-2A'!$B$6:$B$10000,$C$5:$C$4995,'GSTR-2A'!$A$6:$A$10000,$AM$3)</f>
        <v>0</v>
      </c>
      <c r="AP143" s="487">
        <f>SUMIFS('GSTR-2A'!$M$6:$M$10000,'GSTR-2A'!$B$6:$B$10000,$C$5:$C$4995,'GSTR-2A'!$A$6:$A$10000,$AM$3)</f>
        <v>0</v>
      </c>
      <c r="AQ143" s="488">
        <f>SUMIFS('GSTR-2A'!$N$6:$N$10000,'GSTR-2A'!$B$6:$B$10000,$C$5:$C$4995,'GSTR-2A'!$A$6:$A$10000,$AM$3)</f>
        <v>0</v>
      </c>
      <c r="AR143" s="486">
        <f>SUMIFS('GSTR-2A'!$G$6:$G$10000,'GSTR-2A'!$B$6:$B$10000,$C$5:$C$4995,'GSTR-2A'!$A$6:$A$10000,$AR$3)</f>
        <v>0</v>
      </c>
      <c r="AS143" s="487">
        <f>SUMIFS('GSTR-2A'!$K$6:$K$10000,'GSTR-2A'!$B$6:$B$10000,$C$5:$C$4995,'GSTR-2A'!$A$6:$A$10000,$AR$3)</f>
        <v>0</v>
      </c>
      <c r="AT143" s="487">
        <f>SUMIFS('GSTR-2A'!$L$6:$L$10000,'GSTR-2A'!$B$6:$B$10000,$C$5:$C$4995,'GSTR-2A'!$A$6:$A$10000,$AR$3)</f>
        <v>0</v>
      </c>
      <c r="AU143" s="487">
        <f>SUMIFS('GSTR-2A'!$M$6:$M$10000,'GSTR-2A'!$B$6:$B$10000,$C$5:$C$4995,'GSTR-2A'!$A$6:$A$10000,$AR$3)</f>
        <v>0</v>
      </c>
      <c r="AV143" s="488">
        <f>SUMIFS('GSTR-2A'!$N$6:$N$10000,'GSTR-2A'!$B$6:$B$10000,$C$5:$C$4995,'GSTR-2A'!$A$6:$A$10000,$AR$3)</f>
        <v>0</v>
      </c>
      <c r="AW143" s="486">
        <f>SUMIFS('GSTR-2A'!$G$6:$G$10000,'GSTR-2A'!$B$6:$B$10000,$C$5:$C$4995,'GSTR-2A'!$A$6:$A$10000,$AW$3)</f>
        <v>0</v>
      </c>
      <c r="AX143" s="487">
        <f>SUMIFS('GSTR-2A'!$K$6:$K$10000,'GSTR-2A'!$B$6:$B$10000,$C$5:$C$4995,'GSTR-2A'!$A$6:$A$10000,$AW$3)</f>
        <v>0</v>
      </c>
      <c r="AY143" s="487">
        <f>SUMIFS('GSTR-2A'!$L$6:$L$10000,'GSTR-2A'!$B$6:$B$10000,$C$5:$C$4995,'GSTR-2A'!$A$6:$A$10000,$AW$3)</f>
        <v>0</v>
      </c>
      <c r="AZ143" s="487">
        <f>SUMIFS('GSTR-2A'!$M$6:$M$10000,'GSTR-2A'!$B$6:$B$10000,$C$5:$C$4995,'GSTR-2A'!$A$6:$A$10000,$AW$3)</f>
        <v>0</v>
      </c>
      <c r="BA143" s="488">
        <f>SUMIFS('GSTR-2A'!$N$6:$N$10000,'GSTR-2A'!$B$6:$B$10000,$C$5:$C$4995,'GSTR-2A'!$A$6:$A$10000,$AW$3)</f>
        <v>0</v>
      </c>
      <c r="BB143" s="486">
        <f>SUMIFS('GSTR-2A'!$G$6:$G$10000,'GSTR-2A'!$B$6:$B$10000,$C$5:$C$4995,'GSTR-2A'!$A$6:$A$10000,$BB$3)</f>
        <v>0</v>
      </c>
      <c r="BC143" s="487">
        <f>SUMIFS('GSTR-2A'!$K$6:$K$10000,'GSTR-2A'!$B$6:$B$10000,$C$5:$C$4995,'GSTR-2A'!$A$6:$A$10000,$BB$3)</f>
        <v>0</v>
      </c>
      <c r="BD143" s="487">
        <f>SUMIFS('GSTR-2A'!$L$6:$L$10000,'GSTR-2A'!$B$6:$B$10000,$C$5:$C$4995,'GSTR-2A'!$A$6:$A$10000,$BB$3)</f>
        <v>0</v>
      </c>
      <c r="BE143" s="487">
        <f>SUMIFS('GSTR-2A'!$M$6:$M$10000,'GSTR-2A'!$B$6:$B$10000,$C$5:$C$4995,'GSTR-2A'!$A$6:$A$10000,$BB$3)</f>
        <v>0</v>
      </c>
      <c r="BF143" s="488">
        <f>SUMIFS('GSTR-2A'!$N$6:$N$10000,'GSTR-2A'!$B$6:$B$10000,$C$5:$C$4995,'GSTR-2A'!$A$6:$A$10000,$BB$3)</f>
        <v>0</v>
      </c>
      <c r="BG143" s="486">
        <f>SUMIFS('GSTR-2A'!$G$6:$G$10000,'GSTR-2A'!$B$6:$B$10000,$C$5:$C$4995,'GSTR-2A'!$A$6:$A$10000,$BG$3)</f>
        <v>0</v>
      </c>
      <c r="BH143" s="487">
        <f>SUMIFS('GSTR-2A'!$K$6:$K$10000,'GSTR-2A'!$B$6:$B$10000,$C$5:$C$4995,'GSTR-2A'!$A$6:$A$10000,$BG$3)</f>
        <v>0</v>
      </c>
      <c r="BI143" s="487">
        <f>SUMIFS('GSTR-2A'!$L$6:$L$10000,'GSTR-2A'!$B$6:$B$10000,$C$5:$C$4995,'GSTR-2A'!$A$6:$A$10000,$BG$3)</f>
        <v>0</v>
      </c>
      <c r="BJ143" s="487">
        <f>SUMIFS('GSTR-2A'!$M$6:$M$10000,'GSTR-2A'!$B$6:$B$10000,$C$5:$C$4995,'GSTR-2A'!$A$6:$A$10000,$BG$3)</f>
        <v>0</v>
      </c>
      <c r="BK143" s="488">
        <f>SUMIFS('GSTR-2A'!$N$6:$N$10000,'GSTR-2A'!$B$6:$B$10000,$C$5:$C$4995,'GSTR-2A'!$A$6:$A$10000,$BG$3)</f>
        <v>0</v>
      </c>
      <c r="BL143" s="72">
        <f t="shared" si="12"/>
        <v>94754</v>
      </c>
      <c r="BM143" s="72">
        <f t="shared" si="13"/>
        <v>80300</v>
      </c>
      <c r="BN143" s="72">
        <f t="shared" si="14"/>
        <v>0</v>
      </c>
      <c r="BO143" s="72">
        <f t="shared" si="15"/>
        <v>7227</v>
      </c>
      <c r="BP143" s="72">
        <f t="shared" si="16"/>
        <v>7227</v>
      </c>
    </row>
    <row r="144" spans="1:68" x14ac:dyDescent="0.2">
      <c r="A144" s="467">
        <v>149</v>
      </c>
      <c r="B144" s="468" t="s">
        <v>837</v>
      </c>
      <c r="C144" s="469" t="s">
        <v>838</v>
      </c>
      <c r="D144" s="72">
        <f>SUMIFS('GSTR-2A'!$G$6:$G$10000,'GSTR-2A'!$B$6:$B$10000,$C$5:$C$4995,'GSTR-2A'!$A$6:$A$10000,$D$3)</f>
        <v>0</v>
      </c>
      <c r="E144" s="72">
        <f>SUMIFS('GSTR-2A'!$K$6:$K$10000,'GSTR-2A'!$B$6:$B$10000,$C$5:$C$4995,'GSTR-2A'!$A$6:$A$10000,$D$3)</f>
        <v>0</v>
      </c>
      <c r="F144" s="72">
        <f>SUMIFS('GSTR-2A'!$L$6:$L$10000,'GSTR-2A'!$B$6:$B$10000,$C$5:$C$4995,'GSTR-2A'!$A$6:$A$10000,$D$3)</f>
        <v>0</v>
      </c>
      <c r="G144" s="72">
        <f>SUMIFS('GSTR-2A'!$M$6:$M$10000,'GSTR-2A'!$B$6:$B$10000,$C$5:$C$4995,'GSTR-2A'!$A$6:$A$10000,$D$3)</f>
        <v>0</v>
      </c>
      <c r="H144" s="72">
        <f>SUMIFS('GSTR-2A'!$N$6:$N$10000,'GSTR-2A'!$B$6:$B$10000,$C$5:$C$4995,'GSTR-2A'!$A$6:$A$10000,$D$3)</f>
        <v>0</v>
      </c>
      <c r="I144" s="486">
        <f>SUMIFS('GSTR-2A'!$G$6:$G$10000,'GSTR-2A'!$B$6:$B$10000,$C$5:$C$4995,'GSTR-2A'!$A$6:$A$10000,$I$3)</f>
        <v>0</v>
      </c>
      <c r="J144" s="487">
        <f>SUMIFS('GSTR-2A'!$K$6:$K$10000,'GSTR-2A'!$B$6:$B$10000,$C$5:$C$4995,'GSTR-2A'!$A$6:$A$10000,$I$3)</f>
        <v>0</v>
      </c>
      <c r="K144" s="487">
        <f>SUMIFS('GSTR-2A'!$L$6:$L$10000,'GSTR-2A'!$B$6:$B$10000,$C$5:$C$4995,'GSTR-2A'!$A$6:$A$10000,$I$3)</f>
        <v>0</v>
      </c>
      <c r="L144" s="487">
        <f>SUMIFS('GSTR-2A'!$M$6:$M$10000,'GSTR-2A'!$B$6:$B$10000,$C$5:$C$4995,'GSTR-2A'!$A$6:$A$10000,$I$3)</f>
        <v>0</v>
      </c>
      <c r="M144" s="488">
        <f>SUMIFS('GSTR-2A'!$N$6:$N$10000,'GSTR-2A'!$B$6:$B$10000,$C$5:$C$4995,'GSTR-2A'!$A$6:$A$10000,$I$3)</f>
        <v>0</v>
      </c>
      <c r="N144" s="486">
        <f>SUMIFS('GSTR-2A'!$G$6:$G$10000,'GSTR-2A'!$B$6:$B$10000,$C$5:$C$4995,'GSTR-2A'!$A$6:$A$10000,$N$3)</f>
        <v>0</v>
      </c>
      <c r="O144" s="487">
        <f>SUMIFS('GSTR-2A'!$K$6:$K$10000,'GSTR-2A'!$B$6:$B$10000,$C$5:$C$4995,'GSTR-2A'!$A$6:$A$10000,$N$3)</f>
        <v>0</v>
      </c>
      <c r="P144" s="487">
        <f>SUMIFS('GSTR-2A'!$L$6:$L$10000,'GSTR-2A'!$B$6:$B$10000,$C$5:$C$4995,'GSTR-2A'!$A$6:$A$10000,$N$3)</f>
        <v>0</v>
      </c>
      <c r="Q144" s="487">
        <f>SUMIFS('GSTR-2A'!$M$6:$M$10000,'GSTR-2A'!$B$6:$B$10000,$C$5:$C$4995,'GSTR-2A'!$A$6:$A$10000,$N$3)</f>
        <v>0</v>
      </c>
      <c r="R144" s="488">
        <f>SUMIFS('GSTR-2A'!$N$6:$N$10000,'GSTR-2A'!$B$6:$B$10000,$C$5:$C$4995,'GSTR-2A'!$A$6:$A$10000,$N$3)</f>
        <v>0</v>
      </c>
      <c r="S144" s="486">
        <f>SUMIFS('GSTR-2A'!$G$6:$G$10000,'GSTR-2A'!$B$6:$B$10000,$C$5:$C$4995,'GSTR-2A'!$A$6:$A$10000,$S$3)</f>
        <v>6962</v>
      </c>
      <c r="T144" s="487">
        <f>SUMIFS('GSTR-2A'!$K$6:$K$10000,'GSTR-2A'!$B$6:$B$10000,$C$5:$C$4995,'GSTR-2A'!$A$6:$A$10000,$S$3)</f>
        <v>5900</v>
      </c>
      <c r="U144" s="487">
        <f>SUMIFS('GSTR-2A'!$L$6:$L$10000,'GSTR-2A'!$B$6:$B$10000,$C$5:$C$4995,'GSTR-2A'!$A$6:$A$10000,$S$3)</f>
        <v>0</v>
      </c>
      <c r="V144" s="487">
        <f>SUMIFS('GSTR-2A'!$M$6:$M$10000,'GSTR-2A'!$B$6:$B$10000,$C$5:$C$4995,'GSTR-2A'!$A$6:$A$10000,$S$3)</f>
        <v>531</v>
      </c>
      <c r="W144" s="488">
        <f>SUMIFS('GSTR-2A'!$N$6:$N$10000,'GSTR-2A'!$B$6:$B$10000,$C$5:$C$4995,'GSTR-2A'!$A$6:$A$10000,$S$3)</f>
        <v>531</v>
      </c>
      <c r="X144" s="486">
        <f>SUMIFS('GSTR-2A'!$G$6:$G$10000,'GSTR-2A'!$B$6:$B$10000,$C$5:$C$4995,'GSTR-2A'!$A$6:$A$10000,$X$3)</f>
        <v>0</v>
      </c>
      <c r="Y144" s="487">
        <f>SUMIFS('GSTR-2A'!$K$6:$K$10000,'GSTR-2A'!$B$6:$B$10000,$C$5:$C$4995,'GSTR-2A'!$A$6:$A$10000,$X$3)</f>
        <v>0</v>
      </c>
      <c r="Z144" s="487">
        <f>SUMIFS('GSTR-2A'!$L$6:$L$10000,'GSTR-2A'!$B$6:$B$10000,$C$5:$C$4995,'GSTR-2A'!$A$6:$A$10000,$X$3)</f>
        <v>0</v>
      </c>
      <c r="AA144" s="487">
        <f>SUMIFS('GSTR-2A'!$M$6:$M$10000,'GSTR-2A'!$B$6:$B$10000,$C$5:$C$4995,'GSTR-2A'!$A$6:$A$10000,$X$3)</f>
        <v>0</v>
      </c>
      <c r="AB144" s="488">
        <f>SUMIFS('GSTR-2A'!$N$6:$N$10000,'GSTR-2A'!$B$6:$B$10000,$C$5:$C$4995,'GSTR-2A'!$A$6:$A$10000,$X$3)</f>
        <v>0</v>
      </c>
      <c r="AC144" s="486">
        <f>SUMIFS('GSTR-2A'!$G$6:$G$10000,'GSTR-2A'!$B$6:$B$10000,$C$5:$C$4995,'GSTR-2A'!$A$6:$A$10000,$AC$3)</f>
        <v>0</v>
      </c>
      <c r="AD144" s="487">
        <f>SUMIFS('GSTR-2A'!$K$6:$K$10000,'GSTR-2A'!$B$6:$B$10000,$C$5:$C$4995,'GSTR-2A'!$A$6:$A$10000,$AC$3)</f>
        <v>0</v>
      </c>
      <c r="AE144" s="487">
        <f>SUMIFS('GSTR-2A'!$L$6:$L$10000,'GSTR-2A'!$B$6:$B$10000,$C$5:$C$4995,'GSTR-2A'!$A$6:$A$10000,$AC$3)</f>
        <v>0</v>
      </c>
      <c r="AF144" s="487">
        <f>SUMIFS('GSTR-2A'!$M$6:$M$10000,'GSTR-2A'!$B$6:$B$10000,$C$5:$C$4995,'GSTR-2A'!$A$6:$A$10000,$AC$3)</f>
        <v>0</v>
      </c>
      <c r="AG144" s="488">
        <f>SUMIFS('GSTR-2A'!$N$6:$N$10000,'GSTR-2A'!$B$6:$B$10000,$C$5:$C$4995,'GSTR-2A'!$A$6:$A$10000,$AC$3)</f>
        <v>0</v>
      </c>
      <c r="AH144" s="486">
        <f>SUMIFS('GSTR-2A'!$G$6:$G$10000,'GSTR-2A'!$B$6:$B$10000,$C$5:$C$4995,'GSTR-2A'!$A$6:$A$10000,$AH$3)</f>
        <v>0</v>
      </c>
      <c r="AI144" s="487">
        <f>SUMIFS('GSTR-2A'!$K$6:$K$10000,'GSTR-2A'!$B$6:$B$10000,$C$5:$C$4995,'GSTR-2A'!$A$6:$A$10000,$AH$3)</f>
        <v>0</v>
      </c>
      <c r="AJ144" s="487">
        <f>SUMIFS('GSTR-2A'!$L$6:$L$10000,'GSTR-2A'!$B$6:$B$10000,$C$5:$C$4995,'GSTR-2A'!$A$6:$A$10000,$AH$3)</f>
        <v>0</v>
      </c>
      <c r="AK144" s="487">
        <f>SUMIFS('GSTR-2A'!$M$6:$M$10000,'GSTR-2A'!$B$6:$B$10000,$C$5:$C$4995,'GSTR-2A'!$A$6:$A$10000,$AH$3)</f>
        <v>0</v>
      </c>
      <c r="AL144" s="488">
        <f>SUMIFS('GSTR-2A'!$N$6:$N$10000,'GSTR-2A'!$B$6:$B$10000,$C$5:$C$4995,'GSTR-2A'!$A$6:$A$10000,$AH$3)</f>
        <v>0</v>
      </c>
      <c r="AM144" s="486">
        <f>SUMIFS('GSTR-2A'!$G$6:$G$10000,'GSTR-2A'!$B$6:$B$10000,$C$5:$C$4995,'GSTR-2A'!$A$6:$A$10000,$AM$3)</f>
        <v>0</v>
      </c>
      <c r="AN144" s="487">
        <f>SUMIFS('GSTR-2A'!$K$6:$K$10000,'GSTR-2A'!$B$6:$B$10000,$C$5:$C$4995,'GSTR-2A'!$A$6:$A$10000,$AM$3)</f>
        <v>0</v>
      </c>
      <c r="AO144" s="487">
        <f>SUMIFS('GSTR-2A'!$L$6:$L$10000,'GSTR-2A'!$B$6:$B$10000,$C$5:$C$4995,'GSTR-2A'!$A$6:$A$10000,$AM$3)</f>
        <v>0</v>
      </c>
      <c r="AP144" s="487">
        <f>SUMIFS('GSTR-2A'!$M$6:$M$10000,'GSTR-2A'!$B$6:$B$10000,$C$5:$C$4995,'GSTR-2A'!$A$6:$A$10000,$AM$3)</f>
        <v>0</v>
      </c>
      <c r="AQ144" s="488">
        <f>SUMIFS('GSTR-2A'!$N$6:$N$10000,'GSTR-2A'!$B$6:$B$10000,$C$5:$C$4995,'GSTR-2A'!$A$6:$A$10000,$AM$3)</f>
        <v>0</v>
      </c>
      <c r="AR144" s="486">
        <f>SUMIFS('GSTR-2A'!$G$6:$G$10000,'GSTR-2A'!$B$6:$B$10000,$C$5:$C$4995,'GSTR-2A'!$A$6:$A$10000,$AR$3)</f>
        <v>0</v>
      </c>
      <c r="AS144" s="487">
        <f>SUMIFS('GSTR-2A'!$K$6:$K$10000,'GSTR-2A'!$B$6:$B$10000,$C$5:$C$4995,'GSTR-2A'!$A$6:$A$10000,$AR$3)</f>
        <v>0</v>
      </c>
      <c r="AT144" s="487">
        <f>SUMIFS('GSTR-2A'!$L$6:$L$10000,'GSTR-2A'!$B$6:$B$10000,$C$5:$C$4995,'GSTR-2A'!$A$6:$A$10000,$AR$3)</f>
        <v>0</v>
      </c>
      <c r="AU144" s="487">
        <f>SUMIFS('GSTR-2A'!$M$6:$M$10000,'GSTR-2A'!$B$6:$B$10000,$C$5:$C$4995,'GSTR-2A'!$A$6:$A$10000,$AR$3)</f>
        <v>0</v>
      </c>
      <c r="AV144" s="488">
        <f>SUMIFS('GSTR-2A'!$N$6:$N$10000,'GSTR-2A'!$B$6:$B$10000,$C$5:$C$4995,'GSTR-2A'!$A$6:$A$10000,$AR$3)</f>
        <v>0</v>
      </c>
      <c r="AW144" s="486">
        <f>SUMIFS('GSTR-2A'!$G$6:$G$10000,'GSTR-2A'!$B$6:$B$10000,$C$5:$C$4995,'GSTR-2A'!$A$6:$A$10000,$AW$3)</f>
        <v>0</v>
      </c>
      <c r="AX144" s="487">
        <f>SUMIFS('GSTR-2A'!$K$6:$K$10000,'GSTR-2A'!$B$6:$B$10000,$C$5:$C$4995,'GSTR-2A'!$A$6:$A$10000,$AW$3)</f>
        <v>0</v>
      </c>
      <c r="AY144" s="487">
        <f>SUMIFS('GSTR-2A'!$L$6:$L$10000,'GSTR-2A'!$B$6:$B$10000,$C$5:$C$4995,'GSTR-2A'!$A$6:$A$10000,$AW$3)</f>
        <v>0</v>
      </c>
      <c r="AZ144" s="487">
        <f>SUMIFS('GSTR-2A'!$M$6:$M$10000,'GSTR-2A'!$B$6:$B$10000,$C$5:$C$4995,'GSTR-2A'!$A$6:$A$10000,$AW$3)</f>
        <v>0</v>
      </c>
      <c r="BA144" s="488">
        <f>SUMIFS('GSTR-2A'!$N$6:$N$10000,'GSTR-2A'!$B$6:$B$10000,$C$5:$C$4995,'GSTR-2A'!$A$6:$A$10000,$AW$3)</f>
        <v>0</v>
      </c>
      <c r="BB144" s="486">
        <f>SUMIFS('GSTR-2A'!$G$6:$G$10000,'GSTR-2A'!$B$6:$B$10000,$C$5:$C$4995,'GSTR-2A'!$A$6:$A$10000,$BB$3)</f>
        <v>0</v>
      </c>
      <c r="BC144" s="487">
        <f>SUMIFS('GSTR-2A'!$K$6:$K$10000,'GSTR-2A'!$B$6:$B$10000,$C$5:$C$4995,'GSTR-2A'!$A$6:$A$10000,$BB$3)</f>
        <v>0</v>
      </c>
      <c r="BD144" s="487">
        <f>SUMIFS('GSTR-2A'!$L$6:$L$10000,'GSTR-2A'!$B$6:$B$10000,$C$5:$C$4995,'GSTR-2A'!$A$6:$A$10000,$BB$3)</f>
        <v>0</v>
      </c>
      <c r="BE144" s="487">
        <f>SUMIFS('GSTR-2A'!$M$6:$M$10000,'GSTR-2A'!$B$6:$B$10000,$C$5:$C$4995,'GSTR-2A'!$A$6:$A$10000,$BB$3)</f>
        <v>0</v>
      </c>
      <c r="BF144" s="488">
        <f>SUMIFS('GSTR-2A'!$N$6:$N$10000,'GSTR-2A'!$B$6:$B$10000,$C$5:$C$4995,'GSTR-2A'!$A$6:$A$10000,$BB$3)</f>
        <v>0</v>
      </c>
      <c r="BG144" s="486">
        <f>SUMIFS('GSTR-2A'!$G$6:$G$10000,'GSTR-2A'!$B$6:$B$10000,$C$5:$C$4995,'GSTR-2A'!$A$6:$A$10000,$BG$3)</f>
        <v>0</v>
      </c>
      <c r="BH144" s="487">
        <f>SUMIFS('GSTR-2A'!$K$6:$K$10000,'GSTR-2A'!$B$6:$B$10000,$C$5:$C$4995,'GSTR-2A'!$A$6:$A$10000,$BG$3)</f>
        <v>0</v>
      </c>
      <c r="BI144" s="487">
        <f>SUMIFS('GSTR-2A'!$L$6:$L$10000,'GSTR-2A'!$B$6:$B$10000,$C$5:$C$4995,'GSTR-2A'!$A$6:$A$10000,$BG$3)</f>
        <v>0</v>
      </c>
      <c r="BJ144" s="487">
        <f>SUMIFS('GSTR-2A'!$M$6:$M$10000,'GSTR-2A'!$B$6:$B$10000,$C$5:$C$4995,'GSTR-2A'!$A$6:$A$10000,$BG$3)</f>
        <v>0</v>
      </c>
      <c r="BK144" s="488">
        <f>SUMIFS('GSTR-2A'!$N$6:$N$10000,'GSTR-2A'!$B$6:$B$10000,$C$5:$C$4995,'GSTR-2A'!$A$6:$A$10000,$BG$3)</f>
        <v>0</v>
      </c>
      <c r="BL144" s="72">
        <f t="shared" si="12"/>
        <v>6962</v>
      </c>
      <c r="BM144" s="72">
        <f t="shared" si="13"/>
        <v>5900</v>
      </c>
      <c r="BN144" s="72">
        <f t="shared" si="14"/>
        <v>0</v>
      </c>
      <c r="BO144" s="72">
        <f t="shared" si="15"/>
        <v>531</v>
      </c>
      <c r="BP144" s="72">
        <f t="shared" si="16"/>
        <v>531</v>
      </c>
    </row>
    <row r="145" spans="1:68" x14ac:dyDescent="0.2">
      <c r="A145" s="467">
        <v>150</v>
      </c>
      <c r="B145" s="468" t="s">
        <v>850</v>
      </c>
      <c r="C145" s="469" t="s">
        <v>851</v>
      </c>
      <c r="D145" s="72">
        <f>SUMIFS('GSTR-2A'!$G$6:$G$10000,'GSTR-2A'!$B$6:$B$10000,$C$5:$C$4995,'GSTR-2A'!$A$6:$A$10000,$D$3)</f>
        <v>0</v>
      </c>
      <c r="E145" s="72">
        <f>SUMIFS('GSTR-2A'!$K$6:$K$10000,'GSTR-2A'!$B$6:$B$10000,$C$5:$C$4995,'GSTR-2A'!$A$6:$A$10000,$D$3)</f>
        <v>0</v>
      </c>
      <c r="F145" s="72">
        <f>SUMIFS('GSTR-2A'!$L$6:$L$10000,'GSTR-2A'!$B$6:$B$10000,$C$5:$C$4995,'GSTR-2A'!$A$6:$A$10000,$D$3)</f>
        <v>0</v>
      </c>
      <c r="G145" s="72">
        <f>SUMIFS('GSTR-2A'!$M$6:$M$10000,'GSTR-2A'!$B$6:$B$10000,$C$5:$C$4995,'GSTR-2A'!$A$6:$A$10000,$D$3)</f>
        <v>0</v>
      </c>
      <c r="H145" s="72">
        <f>SUMIFS('GSTR-2A'!$N$6:$N$10000,'GSTR-2A'!$B$6:$B$10000,$C$5:$C$4995,'GSTR-2A'!$A$6:$A$10000,$D$3)</f>
        <v>0</v>
      </c>
      <c r="I145" s="486">
        <f>SUMIFS('GSTR-2A'!$G$6:$G$10000,'GSTR-2A'!$B$6:$B$10000,$C$5:$C$4995,'GSTR-2A'!$A$6:$A$10000,$I$3)</f>
        <v>0</v>
      </c>
      <c r="J145" s="487">
        <f>SUMIFS('GSTR-2A'!$K$6:$K$10000,'GSTR-2A'!$B$6:$B$10000,$C$5:$C$4995,'GSTR-2A'!$A$6:$A$10000,$I$3)</f>
        <v>0</v>
      </c>
      <c r="K145" s="487">
        <f>SUMIFS('GSTR-2A'!$L$6:$L$10000,'GSTR-2A'!$B$6:$B$10000,$C$5:$C$4995,'GSTR-2A'!$A$6:$A$10000,$I$3)</f>
        <v>0</v>
      </c>
      <c r="L145" s="487">
        <f>SUMIFS('GSTR-2A'!$M$6:$M$10000,'GSTR-2A'!$B$6:$B$10000,$C$5:$C$4995,'GSTR-2A'!$A$6:$A$10000,$I$3)</f>
        <v>0</v>
      </c>
      <c r="M145" s="488">
        <f>SUMIFS('GSTR-2A'!$N$6:$N$10000,'GSTR-2A'!$B$6:$B$10000,$C$5:$C$4995,'GSTR-2A'!$A$6:$A$10000,$I$3)</f>
        <v>0</v>
      </c>
      <c r="N145" s="486">
        <f>SUMIFS('GSTR-2A'!$G$6:$G$10000,'GSTR-2A'!$B$6:$B$10000,$C$5:$C$4995,'GSTR-2A'!$A$6:$A$10000,$N$3)</f>
        <v>0</v>
      </c>
      <c r="O145" s="487">
        <f>SUMIFS('GSTR-2A'!$K$6:$K$10000,'GSTR-2A'!$B$6:$B$10000,$C$5:$C$4995,'GSTR-2A'!$A$6:$A$10000,$N$3)</f>
        <v>0</v>
      </c>
      <c r="P145" s="487">
        <f>SUMIFS('GSTR-2A'!$L$6:$L$10000,'GSTR-2A'!$B$6:$B$10000,$C$5:$C$4995,'GSTR-2A'!$A$6:$A$10000,$N$3)</f>
        <v>0</v>
      </c>
      <c r="Q145" s="487">
        <f>SUMIFS('GSTR-2A'!$M$6:$M$10000,'GSTR-2A'!$B$6:$B$10000,$C$5:$C$4995,'GSTR-2A'!$A$6:$A$10000,$N$3)</f>
        <v>0</v>
      </c>
      <c r="R145" s="488">
        <f>SUMIFS('GSTR-2A'!$N$6:$N$10000,'GSTR-2A'!$B$6:$B$10000,$C$5:$C$4995,'GSTR-2A'!$A$6:$A$10000,$N$3)</f>
        <v>0</v>
      </c>
      <c r="S145" s="486">
        <f>SUMIFS('GSTR-2A'!$G$6:$G$10000,'GSTR-2A'!$B$6:$B$10000,$C$5:$C$4995,'GSTR-2A'!$A$6:$A$10000,$S$3)</f>
        <v>4460</v>
      </c>
      <c r="T145" s="487">
        <f>SUMIFS('GSTR-2A'!$K$6:$K$10000,'GSTR-2A'!$B$6:$B$10000,$C$5:$C$4995,'GSTR-2A'!$A$6:$A$10000,$S$3)</f>
        <v>3780</v>
      </c>
      <c r="U145" s="487">
        <f>SUMIFS('GSTR-2A'!$L$6:$L$10000,'GSTR-2A'!$B$6:$B$10000,$C$5:$C$4995,'GSTR-2A'!$A$6:$A$10000,$S$3)</f>
        <v>0</v>
      </c>
      <c r="V145" s="487">
        <f>SUMIFS('GSTR-2A'!$M$6:$M$10000,'GSTR-2A'!$B$6:$B$10000,$C$5:$C$4995,'GSTR-2A'!$A$6:$A$10000,$S$3)</f>
        <v>340.2</v>
      </c>
      <c r="W145" s="488">
        <f>SUMIFS('GSTR-2A'!$N$6:$N$10000,'GSTR-2A'!$B$6:$B$10000,$C$5:$C$4995,'GSTR-2A'!$A$6:$A$10000,$S$3)</f>
        <v>340.2</v>
      </c>
      <c r="X145" s="486">
        <f>SUMIFS('GSTR-2A'!$G$6:$G$10000,'GSTR-2A'!$B$6:$B$10000,$C$5:$C$4995,'GSTR-2A'!$A$6:$A$10000,$X$3)</f>
        <v>0</v>
      </c>
      <c r="Y145" s="487">
        <f>SUMIFS('GSTR-2A'!$K$6:$K$10000,'GSTR-2A'!$B$6:$B$10000,$C$5:$C$4995,'GSTR-2A'!$A$6:$A$10000,$X$3)</f>
        <v>0</v>
      </c>
      <c r="Z145" s="487">
        <f>SUMIFS('GSTR-2A'!$L$6:$L$10000,'GSTR-2A'!$B$6:$B$10000,$C$5:$C$4995,'GSTR-2A'!$A$6:$A$10000,$X$3)</f>
        <v>0</v>
      </c>
      <c r="AA145" s="487">
        <f>SUMIFS('GSTR-2A'!$M$6:$M$10000,'GSTR-2A'!$B$6:$B$10000,$C$5:$C$4995,'GSTR-2A'!$A$6:$A$10000,$X$3)</f>
        <v>0</v>
      </c>
      <c r="AB145" s="488">
        <f>SUMIFS('GSTR-2A'!$N$6:$N$10000,'GSTR-2A'!$B$6:$B$10000,$C$5:$C$4995,'GSTR-2A'!$A$6:$A$10000,$X$3)</f>
        <v>0</v>
      </c>
      <c r="AC145" s="486">
        <f>SUMIFS('GSTR-2A'!$G$6:$G$10000,'GSTR-2A'!$B$6:$B$10000,$C$5:$C$4995,'GSTR-2A'!$A$6:$A$10000,$AC$3)</f>
        <v>0</v>
      </c>
      <c r="AD145" s="487">
        <f>SUMIFS('GSTR-2A'!$K$6:$K$10000,'GSTR-2A'!$B$6:$B$10000,$C$5:$C$4995,'GSTR-2A'!$A$6:$A$10000,$AC$3)</f>
        <v>0</v>
      </c>
      <c r="AE145" s="487">
        <f>SUMIFS('GSTR-2A'!$L$6:$L$10000,'GSTR-2A'!$B$6:$B$10000,$C$5:$C$4995,'GSTR-2A'!$A$6:$A$10000,$AC$3)</f>
        <v>0</v>
      </c>
      <c r="AF145" s="487">
        <f>SUMIFS('GSTR-2A'!$M$6:$M$10000,'GSTR-2A'!$B$6:$B$10000,$C$5:$C$4995,'GSTR-2A'!$A$6:$A$10000,$AC$3)</f>
        <v>0</v>
      </c>
      <c r="AG145" s="488">
        <f>SUMIFS('GSTR-2A'!$N$6:$N$10000,'GSTR-2A'!$B$6:$B$10000,$C$5:$C$4995,'GSTR-2A'!$A$6:$A$10000,$AC$3)</f>
        <v>0</v>
      </c>
      <c r="AH145" s="486">
        <f>SUMIFS('GSTR-2A'!$G$6:$G$10000,'GSTR-2A'!$B$6:$B$10000,$C$5:$C$4995,'GSTR-2A'!$A$6:$A$10000,$AH$3)</f>
        <v>0</v>
      </c>
      <c r="AI145" s="487">
        <f>SUMIFS('GSTR-2A'!$K$6:$K$10000,'GSTR-2A'!$B$6:$B$10000,$C$5:$C$4995,'GSTR-2A'!$A$6:$A$10000,$AH$3)</f>
        <v>0</v>
      </c>
      <c r="AJ145" s="487">
        <f>SUMIFS('GSTR-2A'!$L$6:$L$10000,'GSTR-2A'!$B$6:$B$10000,$C$5:$C$4995,'GSTR-2A'!$A$6:$A$10000,$AH$3)</f>
        <v>0</v>
      </c>
      <c r="AK145" s="487">
        <f>SUMIFS('GSTR-2A'!$M$6:$M$10000,'GSTR-2A'!$B$6:$B$10000,$C$5:$C$4995,'GSTR-2A'!$A$6:$A$10000,$AH$3)</f>
        <v>0</v>
      </c>
      <c r="AL145" s="488">
        <f>SUMIFS('GSTR-2A'!$N$6:$N$10000,'GSTR-2A'!$B$6:$B$10000,$C$5:$C$4995,'GSTR-2A'!$A$6:$A$10000,$AH$3)</f>
        <v>0</v>
      </c>
      <c r="AM145" s="486">
        <f>SUMIFS('GSTR-2A'!$G$6:$G$10000,'GSTR-2A'!$B$6:$B$10000,$C$5:$C$4995,'GSTR-2A'!$A$6:$A$10000,$AM$3)</f>
        <v>0</v>
      </c>
      <c r="AN145" s="487">
        <f>SUMIFS('GSTR-2A'!$K$6:$K$10000,'GSTR-2A'!$B$6:$B$10000,$C$5:$C$4995,'GSTR-2A'!$A$6:$A$10000,$AM$3)</f>
        <v>0</v>
      </c>
      <c r="AO145" s="487">
        <f>SUMIFS('GSTR-2A'!$L$6:$L$10000,'GSTR-2A'!$B$6:$B$10000,$C$5:$C$4995,'GSTR-2A'!$A$6:$A$10000,$AM$3)</f>
        <v>0</v>
      </c>
      <c r="AP145" s="487">
        <f>SUMIFS('GSTR-2A'!$M$6:$M$10000,'GSTR-2A'!$B$6:$B$10000,$C$5:$C$4995,'GSTR-2A'!$A$6:$A$10000,$AM$3)</f>
        <v>0</v>
      </c>
      <c r="AQ145" s="488">
        <f>SUMIFS('GSTR-2A'!$N$6:$N$10000,'GSTR-2A'!$B$6:$B$10000,$C$5:$C$4995,'GSTR-2A'!$A$6:$A$10000,$AM$3)</f>
        <v>0</v>
      </c>
      <c r="AR145" s="486">
        <f>SUMIFS('GSTR-2A'!$G$6:$G$10000,'GSTR-2A'!$B$6:$B$10000,$C$5:$C$4995,'GSTR-2A'!$A$6:$A$10000,$AR$3)</f>
        <v>0</v>
      </c>
      <c r="AS145" s="487">
        <f>SUMIFS('GSTR-2A'!$K$6:$K$10000,'GSTR-2A'!$B$6:$B$10000,$C$5:$C$4995,'GSTR-2A'!$A$6:$A$10000,$AR$3)</f>
        <v>0</v>
      </c>
      <c r="AT145" s="487">
        <f>SUMIFS('GSTR-2A'!$L$6:$L$10000,'GSTR-2A'!$B$6:$B$10000,$C$5:$C$4995,'GSTR-2A'!$A$6:$A$10000,$AR$3)</f>
        <v>0</v>
      </c>
      <c r="AU145" s="487">
        <f>SUMIFS('GSTR-2A'!$M$6:$M$10000,'GSTR-2A'!$B$6:$B$10000,$C$5:$C$4995,'GSTR-2A'!$A$6:$A$10000,$AR$3)</f>
        <v>0</v>
      </c>
      <c r="AV145" s="488">
        <f>SUMIFS('GSTR-2A'!$N$6:$N$10000,'GSTR-2A'!$B$6:$B$10000,$C$5:$C$4995,'GSTR-2A'!$A$6:$A$10000,$AR$3)</f>
        <v>0</v>
      </c>
      <c r="AW145" s="486">
        <f>SUMIFS('GSTR-2A'!$G$6:$G$10000,'GSTR-2A'!$B$6:$B$10000,$C$5:$C$4995,'GSTR-2A'!$A$6:$A$10000,$AW$3)</f>
        <v>0</v>
      </c>
      <c r="AX145" s="487">
        <f>SUMIFS('GSTR-2A'!$K$6:$K$10000,'GSTR-2A'!$B$6:$B$10000,$C$5:$C$4995,'GSTR-2A'!$A$6:$A$10000,$AW$3)</f>
        <v>0</v>
      </c>
      <c r="AY145" s="487">
        <f>SUMIFS('GSTR-2A'!$L$6:$L$10000,'GSTR-2A'!$B$6:$B$10000,$C$5:$C$4995,'GSTR-2A'!$A$6:$A$10000,$AW$3)</f>
        <v>0</v>
      </c>
      <c r="AZ145" s="487">
        <f>SUMIFS('GSTR-2A'!$M$6:$M$10000,'GSTR-2A'!$B$6:$B$10000,$C$5:$C$4995,'GSTR-2A'!$A$6:$A$10000,$AW$3)</f>
        <v>0</v>
      </c>
      <c r="BA145" s="488">
        <f>SUMIFS('GSTR-2A'!$N$6:$N$10000,'GSTR-2A'!$B$6:$B$10000,$C$5:$C$4995,'GSTR-2A'!$A$6:$A$10000,$AW$3)</f>
        <v>0</v>
      </c>
      <c r="BB145" s="486">
        <f>SUMIFS('GSTR-2A'!$G$6:$G$10000,'GSTR-2A'!$B$6:$B$10000,$C$5:$C$4995,'GSTR-2A'!$A$6:$A$10000,$BB$3)</f>
        <v>0</v>
      </c>
      <c r="BC145" s="487">
        <f>SUMIFS('GSTR-2A'!$K$6:$K$10000,'GSTR-2A'!$B$6:$B$10000,$C$5:$C$4995,'GSTR-2A'!$A$6:$A$10000,$BB$3)</f>
        <v>0</v>
      </c>
      <c r="BD145" s="487">
        <f>SUMIFS('GSTR-2A'!$L$6:$L$10000,'GSTR-2A'!$B$6:$B$10000,$C$5:$C$4995,'GSTR-2A'!$A$6:$A$10000,$BB$3)</f>
        <v>0</v>
      </c>
      <c r="BE145" s="487">
        <f>SUMIFS('GSTR-2A'!$M$6:$M$10000,'GSTR-2A'!$B$6:$B$10000,$C$5:$C$4995,'GSTR-2A'!$A$6:$A$10000,$BB$3)</f>
        <v>0</v>
      </c>
      <c r="BF145" s="488">
        <f>SUMIFS('GSTR-2A'!$N$6:$N$10000,'GSTR-2A'!$B$6:$B$10000,$C$5:$C$4995,'GSTR-2A'!$A$6:$A$10000,$BB$3)</f>
        <v>0</v>
      </c>
      <c r="BG145" s="486">
        <f>SUMIFS('GSTR-2A'!$G$6:$G$10000,'GSTR-2A'!$B$6:$B$10000,$C$5:$C$4995,'GSTR-2A'!$A$6:$A$10000,$BG$3)</f>
        <v>0</v>
      </c>
      <c r="BH145" s="487">
        <f>SUMIFS('GSTR-2A'!$K$6:$K$10000,'GSTR-2A'!$B$6:$B$10000,$C$5:$C$4995,'GSTR-2A'!$A$6:$A$10000,$BG$3)</f>
        <v>0</v>
      </c>
      <c r="BI145" s="487">
        <f>SUMIFS('GSTR-2A'!$L$6:$L$10000,'GSTR-2A'!$B$6:$B$10000,$C$5:$C$4995,'GSTR-2A'!$A$6:$A$10000,$BG$3)</f>
        <v>0</v>
      </c>
      <c r="BJ145" s="487">
        <f>SUMIFS('GSTR-2A'!$M$6:$M$10000,'GSTR-2A'!$B$6:$B$10000,$C$5:$C$4995,'GSTR-2A'!$A$6:$A$10000,$BG$3)</f>
        <v>0</v>
      </c>
      <c r="BK145" s="488">
        <f>SUMIFS('GSTR-2A'!$N$6:$N$10000,'GSTR-2A'!$B$6:$B$10000,$C$5:$C$4995,'GSTR-2A'!$A$6:$A$10000,$BG$3)</f>
        <v>0</v>
      </c>
      <c r="BL145" s="72">
        <f t="shared" si="12"/>
        <v>4460</v>
      </c>
      <c r="BM145" s="72">
        <f t="shared" si="13"/>
        <v>3780</v>
      </c>
      <c r="BN145" s="72">
        <f t="shared" si="14"/>
        <v>0</v>
      </c>
      <c r="BO145" s="72">
        <f t="shared" si="15"/>
        <v>340.2</v>
      </c>
      <c r="BP145" s="72">
        <f t="shared" si="16"/>
        <v>340.2</v>
      </c>
    </row>
    <row r="146" spans="1:68" x14ac:dyDescent="0.2">
      <c r="A146" s="467">
        <v>151</v>
      </c>
      <c r="B146" s="468" t="s">
        <v>900</v>
      </c>
      <c r="C146" s="469" t="s">
        <v>901</v>
      </c>
      <c r="D146" s="72">
        <f>SUMIFS('GSTR-2A'!$G$6:$G$10000,'GSTR-2A'!$B$6:$B$10000,$C$5:$C$4995,'GSTR-2A'!$A$6:$A$10000,$D$3)</f>
        <v>0</v>
      </c>
      <c r="E146" s="72">
        <f>SUMIFS('GSTR-2A'!$K$6:$K$10000,'GSTR-2A'!$B$6:$B$10000,$C$5:$C$4995,'GSTR-2A'!$A$6:$A$10000,$D$3)</f>
        <v>0</v>
      </c>
      <c r="F146" s="72">
        <f>SUMIFS('GSTR-2A'!$L$6:$L$10000,'GSTR-2A'!$B$6:$B$10000,$C$5:$C$4995,'GSTR-2A'!$A$6:$A$10000,$D$3)</f>
        <v>0</v>
      </c>
      <c r="G146" s="72">
        <f>SUMIFS('GSTR-2A'!$M$6:$M$10000,'GSTR-2A'!$B$6:$B$10000,$C$5:$C$4995,'GSTR-2A'!$A$6:$A$10000,$D$3)</f>
        <v>0</v>
      </c>
      <c r="H146" s="72">
        <f>SUMIFS('GSTR-2A'!$N$6:$N$10000,'GSTR-2A'!$B$6:$B$10000,$C$5:$C$4995,'GSTR-2A'!$A$6:$A$10000,$D$3)</f>
        <v>0</v>
      </c>
      <c r="I146" s="486">
        <f>SUMIFS('GSTR-2A'!$G$6:$G$10000,'GSTR-2A'!$B$6:$B$10000,$C$5:$C$4995,'GSTR-2A'!$A$6:$A$10000,$I$3)</f>
        <v>0</v>
      </c>
      <c r="J146" s="487">
        <f>SUMIFS('GSTR-2A'!$K$6:$K$10000,'GSTR-2A'!$B$6:$B$10000,$C$5:$C$4995,'GSTR-2A'!$A$6:$A$10000,$I$3)</f>
        <v>0</v>
      </c>
      <c r="K146" s="487">
        <f>SUMIFS('GSTR-2A'!$L$6:$L$10000,'GSTR-2A'!$B$6:$B$10000,$C$5:$C$4995,'GSTR-2A'!$A$6:$A$10000,$I$3)</f>
        <v>0</v>
      </c>
      <c r="L146" s="487">
        <f>SUMIFS('GSTR-2A'!$M$6:$M$10000,'GSTR-2A'!$B$6:$B$10000,$C$5:$C$4995,'GSTR-2A'!$A$6:$A$10000,$I$3)</f>
        <v>0</v>
      </c>
      <c r="M146" s="488">
        <f>SUMIFS('GSTR-2A'!$N$6:$N$10000,'GSTR-2A'!$B$6:$B$10000,$C$5:$C$4995,'GSTR-2A'!$A$6:$A$10000,$I$3)</f>
        <v>0</v>
      </c>
      <c r="N146" s="486">
        <f>SUMIFS('GSTR-2A'!$G$6:$G$10000,'GSTR-2A'!$B$6:$B$10000,$C$5:$C$4995,'GSTR-2A'!$A$6:$A$10000,$N$3)</f>
        <v>0</v>
      </c>
      <c r="O146" s="487">
        <f>SUMIFS('GSTR-2A'!$K$6:$K$10000,'GSTR-2A'!$B$6:$B$10000,$C$5:$C$4995,'GSTR-2A'!$A$6:$A$10000,$N$3)</f>
        <v>0</v>
      </c>
      <c r="P146" s="487">
        <f>SUMIFS('GSTR-2A'!$L$6:$L$10000,'GSTR-2A'!$B$6:$B$10000,$C$5:$C$4995,'GSTR-2A'!$A$6:$A$10000,$N$3)</f>
        <v>0</v>
      </c>
      <c r="Q146" s="487">
        <f>SUMIFS('GSTR-2A'!$M$6:$M$10000,'GSTR-2A'!$B$6:$B$10000,$C$5:$C$4995,'GSTR-2A'!$A$6:$A$10000,$N$3)</f>
        <v>0</v>
      </c>
      <c r="R146" s="488">
        <f>SUMIFS('GSTR-2A'!$N$6:$N$10000,'GSTR-2A'!$B$6:$B$10000,$C$5:$C$4995,'GSTR-2A'!$A$6:$A$10000,$N$3)</f>
        <v>0</v>
      </c>
      <c r="S146" s="486">
        <f>SUMIFS('GSTR-2A'!$G$6:$G$10000,'GSTR-2A'!$B$6:$B$10000,$C$5:$C$4995,'GSTR-2A'!$A$6:$A$10000,$S$3)</f>
        <v>0</v>
      </c>
      <c r="T146" s="487">
        <f>SUMIFS('GSTR-2A'!$K$6:$K$10000,'GSTR-2A'!$B$6:$B$10000,$C$5:$C$4995,'GSTR-2A'!$A$6:$A$10000,$S$3)</f>
        <v>0</v>
      </c>
      <c r="U146" s="487">
        <f>SUMIFS('GSTR-2A'!$L$6:$L$10000,'GSTR-2A'!$B$6:$B$10000,$C$5:$C$4995,'GSTR-2A'!$A$6:$A$10000,$S$3)</f>
        <v>0</v>
      </c>
      <c r="V146" s="487">
        <f>SUMIFS('GSTR-2A'!$M$6:$M$10000,'GSTR-2A'!$B$6:$B$10000,$C$5:$C$4995,'GSTR-2A'!$A$6:$A$10000,$S$3)</f>
        <v>0</v>
      </c>
      <c r="W146" s="488">
        <f>SUMIFS('GSTR-2A'!$N$6:$N$10000,'GSTR-2A'!$B$6:$B$10000,$C$5:$C$4995,'GSTR-2A'!$A$6:$A$10000,$S$3)</f>
        <v>0</v>
      </c>
      <c r="X146" s="486">
        <f>SUMIFS('GSTR-2A'!$G$6:$G$10000,'GSTR-2A'!$B$6:$B$10000,$C$5:$C$4995,'GSTR-2A'!$A$6:$A$10000,$X$3)</f>
        <v>0</v>
      </c>
      <c r="Y146" s="487">
        <f>SUMIFS('GSTR-2A'!$K$6:$K$10000,'GSTR-2A'!$B$6:$B$10000,$C$5:$C$4995,'GSTR-2A'!$A$6:$A$10000,$X$3)</f>
        <v>0</v>
      </c>
      <c r="Z146" s="487">
        <f>SUMIFS('GSTR-2A'!$L$6:$L$10000,'GSTR-2A'!$B$6:$B$10000,$C$5:$C$4995,'GSTR-2A'!$A$6:$A$10000,$X$3)</f>
        <v>0</v>
      </c>
      <c r="AA146" s="487">
        <f>SUMIFS('GSTR-2A'!$M$6:$M$10000,'GSTR-2A'!$B$6:$B$10000,$C$5:$C$4995,'GSTR-2A'!$A$6:$A$10000,$X$3)</f>
        <v>0</v>
      </c>
      <c r="AB146" s="488">
        <f>SUMIFS('GSTR-2A'!$N$6:$N$10000,'GSTR-2A'!$B$6:$B$10000,$C$5:$C$4995,'GSTR-2A'!$A$6:$A$10000,$X$3)</f>
        <v>0</v>
      </c>
      <c r="AC146" s="486">
        <f>SUMIFS('GSTR-2A'!$G$6:$G$10000,'GSTR-2A'!$B$6:$B$10000,$C$5:$C$4995,'GSTR-2A'!$A$6:$A$10000,$AC$3)</f>
        <v>29913</v>
      </c>
      <c r="AD146" s="487">
        <f>SUMIFS('GSTR-2A'!$K$6:$K$10000,'GSTR-2A'!$B$6:$B$10000,$C$5:$C$4995,'GSTR-2A'!$A$6:$A$10000,$AC$3)</f>
        <v>25350</v>
      </c>
      <c r="AE146" s="487">
        <f>SUMIFS('GSTR-2A'!$L$6:$L$10000,'GSTR-2A'!$B$6:$B$10000,$C$5:$C$4995,'GSTR-2A'!$A$6:$A$10000,$AC$3)</f>
        <v>0</v>
      </c>
      <c r="AF146" s="487">
        <f>SUMIFS('GSTR-2A'!$M$6:$M$10000,'GSTR-2A'!$B$6:$B$10000,$C$5:$C$4995,'GSTR-2A'!$A$6:$A$10000,$AC$3)</f>
        <v>2281.5</v>
      </c>
      <c r="AG146" s="488">
        <f>SUMIFS('GSTR-2A'!$N$6:$N$10000,'GSTR-2A'!$B$6:$B$10000,$C$5:$C$4995,'GSTR-2A'!$A$6:$A$10000,$AC$3)</f>
        <v>2281.5</v>
      </c>
      <c r="AH146" s="486">
        <f>SUMIFS('GSTR-2A'!$G$6:$G$10000,'GSTR-2A'!$B$6:$B$10000,$C$5:$C$4995,'GSTR-2A'!$A$6:$A$10000,$AH$3)</f>
        <v>0</v>
      </c>
      <c r="AI146" s="487">
        <f>SUMIFS('GSTR-2A'!$K$6:$K$10000,'GSTR-2A'!$B$6:$B$10000,$C$5:$C$4995,'GSTR-2A'!$A$6:$A$10000,$AH$3)</f>
        <v>0</v>
      </c>
      <c r="AJ146" s="487">
        <f>SUMIFS('GSTR-2A'!$L$6:$L$10000,'GSTR-2A'!$B$6:$B$10000,$C$5:$C$4995,'GSTR-2A'!$A$6:$A$10000,$AH$3)</f>
        <v>0</v>
      </c>
      <c r="AK146" s="487">
        <f>SUMIFS('GSTR-2A'!$M$6:$M$10000,'GSTR-2A'!$B$6:$B$10000,$C$5:$C$4995,'GSTR-2A'!$A$6:$A$10000,$AH$3)</f>
        <v>0</v>
      </c>
      <c r="AL146" s="488">
        <f>SUMIFS('GSTR-2A'!$N$6:$N$10000,'GSTR-2A'!$B$6:$B$10000,$C$5:$C$4995,'GSTR-2A'!$A$6:$A$10000,$AH$3)</f>
        <v>0</v>
      </c>
      <c r="AM146" s="486">
        <f>SUMIFS('GSTR-2A'!$G$6:$G$10000,'GSTR-2A'!$B$6:$B$10000,$C$5:$C$4995,'GSTR-2A'!$A$6:$A$10000,$AM$3)</f>
        <v>0</v>
      </c>
      <c r="AN146" s="487">
        <f>SUMIFS('GSTR-2A'!$K$6:$K$10000,'GSTR-2A'!$B$6:$B$10000,$C$5:$C$4995,'GSTR-2A'!$A$6:$A$10000,$AM$3)</f>
        <v>0</v>
      </c>
      <c r="AO146" s="487">
        <f>SUMIFS('GSTR-2A'!$L$6:$L$10000,'GSTR-2A'!$B$6:$B$10000,$C$5:$C$4995,'GSTR-2A'!$A$6:$A$10000,$AM$3)</f>
        <v>0</v>
      </c>
      <c r="AP146" s="487">
        <f>SUMIFS('GSTR-2A'!$M$6:$M$10000,'GSTR-2A'!$B$6:$B$10000,$C$5:$C$4995,'GSTR-2A'!$A$6:$A$10000,$AM$3)</f>
        <v>0</v>
      </c>
      <c r="AQ146" s="488">
        <f>SUMIFS('GSTR-2A'!$N$6:$N$10000,'GSTR-2A'!$B$6:$B$10000,$C$5:$C$4995,'GSTR-2A'!$A$6:$A$10000,$AM$3)</f>
        <v>0</v>
      </c>
      <c r="AR146" s="486">
        <f>SUMIFS('GSTR-2A'!$G$6:$G$10000,'GSTR-2A'!$B$6:$B$10000,$C$5:$C$4995,'GSTR-2A'!$A$6:$A$10000,$AR$3)</f>
        <v>0</v>
      </c>
      <c r="AS146" s="487">
        <f>SUMIFS('GSTR-2A'!$K$6:$K$10000,'GSTR-2A'!$B$6:$B$10000,$C$5:$C$4995,'GSTR-2A'!$A$6:$A$10000,$AR$3)</f>
        <v>0</v>
      </c>
      <c r="AT146" s="487">
        <f>SUMIFS('GSTR-2A'!$L$6:$L$10000,'GSTR-2A'!$B$6:$B$10000,$C$5:$C$4995,'GSTR-2A'!$A$6:$A$10000,$AR$3)</f>
        <v>0</v>
      </c>
      <c r="AU146" s="487">
        <f>SUMIFS('GSTR-2A'!$M$6:$M$10000,'GSTR-2A'!$B$6:$B$10000,$C$5:$C$4995,'GSTR-2A'!$A$6:$A$10000,$AR$3)</f>
        <v>0</v>
      </c>
      <c r="AV146" s="488">
        <f>SUMIFS('GSTR-2A'!$N$6:$N$10000,'GSTR-2A'!$B$6:$B$10000,$C$5:$C$4995,'GSTR-2A'!$A$6:$A$10000,$AR$3)</f>
        <v>0</v>
      </c>
      <c r="AW146" s="486">
        <f>SUMIFS('GSTR-2A'!$G$6:$G$10000,'GSTR-2A'!$B$6:$B$10000,$C$5:$C$4995,'GSTR-2A'!$A$6:$A$10000,$AW$3)</f>
        <v>0</v>
      </c>
      <c r="AX146" s="487">
        <f>SUMIFS('GSTR-2A'!$K$6:$K$10000,'GSTR-2A'!$B$6:$B$10000,$C$5:$C$4995,'GSTR-2A'!$A$6:$A$10000,$AW$3)</f>
        <v>0</v>
      </c>
      <c r="AY146" s="487">
        <f>SUMIFS('GSTR-2A'!$L$6:$L$10000,'GSTR-2A'!$B$6:$B$10000,$C$5:$C$4995,'GSTR-2A'!$A$6:$A$10000,$AW$3)</f>
        <v>0</v>
      </c>
      <c r="AZ146" s="487">
        <f>SUMIFS('GSTR-2A'!$M$6:$M$10000,'GSTR-2A'!$B$6:$B$10000,$C$5:$C$4995,'GSTR-2A'!$A$6:$A$10000,$AW$3)</f>
        <v>0</v>
      </c>
      <c r="BA146" s="488">
        <f>SUMIFS('GSTR-2A'!$N$6:$N$10000,'GSTR-2A'!$B$6:$B$10000,$C$5:$C$4995,'GSTR-2A'!$A$6:$A$10000,$AW$3)</f>
        <v>0</v>
      </c>
      <c r="BB146" s="486">
        <f>SUMIFS('GSTR-2A'!$G$6:$G$10000,'GSTR-2A'!$B$6:$B$10000,$C$5:$C$4995,'GSTR-2A'!$A$6:$A$10000,$BB$3)</f>
        <v>0</v>
      </c>
      <c r="BC146" s="487">
        <f>SUMIFS('GSTR-2A'!$K$6:$K$10000,'GSTR-2A'!$B$6:$B$10000,$C$5:$C$4995,'GSTR-2A'!$A$6:$A$10000,$BB$3)</f>
        <v>0</v>
      </c>
      <c r="BD146" s="487">
        <f>SUMIFS('GSTR-2A'!$L$6:$L$10000,'GSTR-2A'!$B$6:$B$10000,$C$5:$C$4995,'GSTR-2A'!$A$6:$A$10000,$BB$3)</f>
        <v>0</v>
      </c>
      <c r="BE146" s="487">
        <f>SUMIFS('GSTR-2A'!$M$6:$M$10000,'GSTR-2A'!$B$6:$B$10000,$C$5:$C$4995,'GSTR-2A'!$A$6:$A$10000,$BB$3)</f>
        <v>0</v>
      </c>
      <c r="BF146" s="488">
        <f>SUMIFS('GSTR-2A'!$N$6:$N$10000,'GSTR-2A'!$B$6:$B$10000,$C$5:$C$4995,'GSTR-2A'!$A$6:$A$10000,$BB$3)</f>
        <v>0</v>
      </c>
      <c r="BG146" s="486">
        <f>SUMIFS('GSTR-2A'!$G$6:$G$10000,'GSTR-2A'!$B$6:$B$10000,$C$5:$C$4995,'GSTR-2A'!$A$6:$A$10000,$BG$3)</f>
        <v>0</v>
      </c>
      <c r="BH146" s="487">
        <f>SUMIFS('GSTR-2A'!$K$6:$K$10000,'GSTR-2A'!$B$6:$B$10000,$C$5:$C$4995,'GSTR-2A'!$A$6:$A$10000,$BG$3)</f>
        <v>0</v>
      </c>
      <c r="BI146" s="487">
        <f>SUMIFS('GSTR-2A'!$L$6:$L$10000,'GSTR-2A'!$B$6:$B$10000,$C$5:$C$4995,'GSTR-2A'!$A$6:$A$10000,$BG$3)</f>
        <v>0</v>
      </c>
      <c r="BJ146" s="487">
        <f>SUMIFS('GSTR-2A'!$M$6:$M$10000,'GSTR-2A'!$B$6:$B$10000,$C$5:$C$4995,'GSTR-2A'!$A$6:$A$10000,$BG$3)</f>
        <v>0</v>
      </c>
      <c r="BK146" s="488">
        <f>SUMIFS('GSTR-2A'!$N$6:$N$10000,'GSTR-2A'!$B$6:$B$10000,$C$5:$C$4995,'GSTR-2A'!$A$6:$A$10000,$BG$3)</f>
        <v>0</v>
      </c>
      <c r="BL146" s="72">
        <f t="shared" si="12"/>
        <v>29913</v>
      </c>
      <c r="BM146" s="72">
        <f t="shared" si="13"/>
        <v>25350</v>
      </c>
      <c r="BN146" s="72">
        <f t="shared" si="14"/>
        <v>0</v>
      </c>
      <c r="BO146" s="72">
        <f t="shared" si="15"/>
        <v>2281.5</v>
      </c>
      <c r="BP146" s="72">
        <f t="shared" si="16"/>
        <v>2281.5</v>
      </c>
    </row>
    <row r="147" spans="1:68" x14ac:dyDescent="0.2">
      <c r="A147" s="467">
        <v>152</v>
      </c>
      <c r="B147" s="468" t="s">
        <v>914</v>
      </c>
      <c r="C147" s="469" t="s">
        <v>915</v>
      </c>
      <c r="D147" s="72">
        <f>SUMIFS('GSTR-2A'!$G$6:$G$10000,'GSTR-2A'!$B$6:$B$10000,$C$5:$C$4995,'GSTR-2A'!$A$6:$A$10000,$D$3)</f>
        <v>0</v>
      </c>
      <c r="E147" s="72">
        <f>SUMIFS('GSTR-2A'!$K$6:$K$10000,'GSTR-2A'!$B$6:$B$10000,$C$5:$C$4995,'GSTR-2A'!$A$6:$A$10000,$D$3)</f>
        <v>0</v>
      </c>
      <c r="F147" s="72">
        <f>SUMIFS('GSTR-2A'!$L$6:$L$10000,'GSTR-2A'!$B$6:$B$10000,$C$5:$C$4995,'GSTR-2A'!$A$6:$A$10000,$D$3)</f>
        <v>0</v>
      </c>
      <c r="G147" s="72">
        <f>SUMIFS('GSTR-2A'!$M$6:$M$10000,'GSTR-2A'!$B$6:$B$10000,$C$5:$C$4995,'GSTR-2A'!$A$6:$A$10000,$D$3)</f>
        <v>0</v>
      </c>
      <c r="H147" s="72">
        <f>SUMIFS('GSTR-2A'!$N$6:$N$10000,'GSTR-2A'!$B$6:$B$10000,$C$5:$C$4995,'GSTR-2A'!$A$6:$A$10000,$D$3)</f>
        <v>0</v>
      </c>
      <c r="I147" s="486">
        <f>SUMIFS('GSTR-2A'!$G$6:$G$10000,'GSTR-2A'!$B$6:$B$10000,$C$5:$C$4995,'GSTR-2A'!$A$6:$A$10000,$I$3)</f>
        <v>0</v>
      </c>
      <c r="J147" s="487">
        <f>SUMIFS('GSTR-2A'!$K$6:$K$10000,'GSTR-2A'!$B$6:$B$10000,$C$5:$C$4995,'GSTR-2A'!$A$6:$A$10000,$I$3)</f>
        <v>0</v>
      </c>
      <c r="K147" s="487">
        <f>SUMIFS('GSTR-2A'!$L$6:$L$10000,'GSTR-2A'!$B$6:$B$10000,$C$5:$C$4995,'GSTR-2A'!$A$6:$A$10000,$I$3)</f>
        <v>0</v>
      </c>
      <c r="L147" s="487">
        <f>SUMIFS('GSTR-2A'!$M$6:$M$10000,'GSTR-2A'!$B$6:$B$10000,$C$5:$C$4995,'GSTR-2A'!$A$6:$A$10000,$I$3)</f>
        <v>0</v>
      </c>
      <c r="M147" s="488">
        <f>SUMIFS('GSTR-2A'!$N$6:$N$10000,'GSTR-2A'!$B$6:$B$10000,$C$5:$C$4995,'GSTR-2A'!$A$6:$A$10000,$I$3)</f>
        <v>0</v>
      </c>
      <c r="N147" s="486">
        <f>SUMIFS('GSTR-2A'!$G$6:$G$10000,'GSTR-2A'!$B$6:$B$10000,$C$5:$C$4995,'GSTR-2A'!$A$6:$A$10000,$N$3)</f>
        <v>0</v>
      </c>
      <c r="O147" s="487">
        <f>SUMIFS('GSTR-2A'!$K$6:$K$10000,'GSTR-2A'!$B$6:$B$10000,$C$5:$C$4995,'GSTR-2A'!$A$6:$A$10000,$N$3)</f>
        <v>0</v>
      </c>
      <c r="P147" s="487">
        <f>SUMIFS('GSTR-2A'!$L$6:$L$10000,'GSTR-2A'!$B$6:$B$10000,$C$5:$C$4995,'GSTR-2A'!$A$6:$A$10000,$N$3)</f>
        <v>0</v>
      </c>
      <c r="Q147" s="487">
        <f>SUMIFS('GSTR-2A'!$M$6:$M$10000,'GSTR-2A'!$B$6:$B$10000,$C$5:$C$4995,'GSTR-2A'!$A$6:$A$10000,$N$3)</f>
        <v>0</v>
      </c>
      <c r="R147" s="488">
        <f>SUMIFS('GSTR-2A'!$N$6:$N$10000,'GSTR-2A'!$B$6:$B$10000,$C$5:$C$4995,'GSTR-2A'!$A$6:$A$10000,$N$3)</f>
        <v>0</v>
      </c>
      <c r="S147" s="486">
        <f>SUMIFS('GSTR-2A'!$G$6:$G$10000,'GSTR-2A'!$B$6:$B$10000,$C$5:$C$4995,'GSTR-2A'!$A$6:$A$10000,$S$3)</f>
        <v>0</v>
      </c>
      <c r="T147" s="487">
        <f>SUMIFS('GSTR-2A'!$K$6:$K$10000,'GSTR-2A'!$B$6:$B$10000,$C$5:$C$4995,'GSTR-2A'!$A$6:$A$10000,$S$3)</f>
        <v>0</v>
      </c>
      <c r="U147" s="487">
        <f>SUMIFS('GSTR-2A'!$L$6:$L$10000,'GSTR-2A'!$B$6:$B$10000,$C$5:$C$4995,'GSTR-2A'!$A$6:$A$10000,$S$3)</f>
        <v>0</v>
      </c>
      <c r="V147" s="487">
        <f>SUMIFS('GSTR-2A'!$M$6:$M$10000,'GSTR-2A'!$B$6:$B$10000,$C$5:$C$4995,'GSTR-2A'!$A$6:$A$10000,$S$3)</f>
        <v>0</v>
      </c>
      <c r="W147" s="488">
        <f>SUMIFS('GSTR-2A'!$N$6:$N$10000,'GSTR-2A'!$B$6:$B$10000,$C$5:$C$4995,'GSTR-2A'!$A$6:$A$10000,$S$3)</f>
        <v>0</v>
      </c>
      <c r="X147" s="486">
        <f>SUMIFS('GSTR-2A'!$G$6:$G$10000,'GSTR-2A'!$B$6:$B$10000,$C$5:$C$4995,'GSTR-2A'!$A$6:$A$10000,$X$3)</f>
        <v>0</v>
      </c>
      <c r="Y147" s="487">
        <f>SUMIFS('GSTR-2A'!$K$6:$K$10000,'GSTR-2A'!$B$6:$B$10000,$C$5:$C$4995,'GSTR-2A'!$A$6:$A$10000,$X$3)</f>
        <v>0</v>
      </c>
      <c r="Z147" s="487">
        <f>SUMIFS('GSTR-2A'!$L$6:$L$10000,'GSTR-2A'!$B$6:$B$10000,$C$5:$C$4995,'GSTR-2A'!$A$6:$A$10000,$X$3)</f>
        <v>0</v>
      </c>
      <c r="AA147" s="487">
        <f>SUMIFS('GSTR-2A'!$M$6:$M$10000,'GSTR-2A'!$B$6:$B$10000,$C$5:$C$4995,'GSTR-2A'!$A$6:$A$10000,$X$3)</f>
        <v>0</v>
      </c>
      <c r="AB147" s="488">
        <f>SUMIFS('GSTR-2A'!$N$6:$N$10000,'GSTR-2A'!$B$6:$B$10000,$C$5:$C$4995,'GSTR-2A'!$A$6:$A$10000,$X$3)</f>
        <v>0</v>
      </c>
      <c r="AC147" s="486">
        <f>SUMIFS('GSTR-2A'!$G$6:$G$10000,'GSTR-2A'!$B$6:$B$10000,$C$5:$C$4995,'GSTR-2A'!$A$6:$A$10000,$AC$3)</f>
        <v>3540</v>
      </c>
      <c r="AD147" s="487">
        <f>SUMIFS('GSTR-2A'!$K$6:$K$10000,'GSTR-2A'!$B$6:$B$10000,$C$5:$C$4995,'GSTR-2A'!$A$6:$A$10000,$AC$3)</f>
        <v>3000</v>
      </c>
      <c r="AE147" s="487">
        <f>SUMIFS('GSTR-2A'!$L$6:$L$10000,'GSTR-2A'!$B$6:$B$10000,$C$5:$C$4995,'GSTR-2A'!$A$6:$A$10000,$AC$3)</f>
        <v>0</v>
      </c>
      <c r="AF147" s="487">
        <f>SUMIFS('GSTR-2A'!$M$6:$M$10000,'GSTR-2A'!$B$6:$B$10000,$C$5:$C$4995,'GSTR-2A'!$A$6:$A$10000,$AC$3)</f>
        <v>270</v>
      </c>
      <c r="AG147" s="488">
        <f>SUMIFS('GSTR-2A'!$N$6:$N$10000,'GSTR-2A'!$B$6:$B$10000,$C$5:$C$4995,'GSTR-2A'!$A$6:$A$10000,$AC$3)</f>
        <v>270</v>
      </c>
      <c r="AH147" s="486">
        <f>SUMIFS('GSTR-2A'!$G$6:$G$10000,'GSTR-2A'!$B$6:$B$10000,$C$5:$C$4995,'GSTR-2A'!$A$6:$A$10000,$AH$3)</f>
        <v>0</v>
      </c>
      <c r="AI147" s="487">
        <f>SUMIFS('GSTR-2A'!$K$6:$K$10000,'GSTR-2A'!$B$6:$B$10000,$C$5:$C$4995,'GSTR-2A'!$A$6:$A$10000,$AH$3)</f>
        <v>0</v>
      </c>
      <c r="AJ147" s="487">
        <f>SUMIFS('GSTR-2A'!$L$6:$L$10000,'GSTR-2A'!$B$6:$B$10000,$C$5:$C$4995,'GSTR-2A'!$A$6:$A$10000,$AH$3)</f>
        <v>0</v>
      </c>
      <c r="AK147" s="487">
        <f>SUMIFS('GSTR-2A'!$M$6:$M$10000,'GSTR-2A'!$B$6:$B$10000,$C$5:$C$4995,'GSTR-2A'!$A$6:$A$10000,$AH$3)</f>
        <v>0</v>
      </c>
      <c r="AL147" s="488">
        <f>SUMIFS('GSTR-2A'!$N$6:$N$10000,'GSTR-2A'!$B$6:$B$10000,$C$5:$C$4995,'GSTR-2A'!$A$6:$A$10000,$AH$3)</f>
        <v>0</v>
      </c>
      <c r="AM147" s="486">
        <f>SUMIFS('GSTR-2A'!$G$6:$G$10000,'GSTR-2A'!$B$6:$B$10000,$C$5:$C$4995,'GSTR-2A'!$A$6:$A$10000,$AM$3)</f>
        <v>0</v>
      </c>
      <c r="AN147" s="487">
        <f>SUMIFS('GSTR-2A'!$K$6:$K$10000,'GSTR-2A'!$B$6:$B$10000,$C$5:$C$4995,'GSTR-2A'!$A$6:$A$10000,$AM$3)</f>
        <v>0</v>
      </c>
      <c r="AO147" s="487">
        <f>SUMIFS('GSTR-2A'!$L$6:$L$10000,'GSTR-2A'!$B$6:$B$10000,$C$5:$C$4995,'GSTR-2A'!$A$6:$A$10000,$AM$3)</f>
        <v>0</v>
      </c>
      <c r="AP147" s="487">
        <f>SUMIFS('GSTR-2A'!$M$6:$M$10000,'GSTR-2A'!$B$6:$B$10000,$C$5:$C$4995,'GSTR-2A'!$A$6:$A$10000,$AM$3)</f>
        <v>0</v>
      </c>
      <c r="AQ147" s="488">
        <f>SUMIFS('GSTR-2A'!$N$6:$N$10000,'GSTR-2A'!$B$6:$B$10000,$C$5:$C$4995,'GSTR-2A'!$A$6:$A$10000,$AM$3)</f>
        <v>0</v>
      </c>
      <c r="AR147" s="486">
        <f>SUMIFS('GSTR-2A'!$G$6:$G$10000,'GSTR-2A'!$B$6:$B$10000,$C$5:$C$4995,'GSTR-2A'!$A$6:$A$10000,$AR$3)</f>
        <v>0</v>
      </c>
      <c r="AS147" s="487">
        <f>SUMIFS('GSTR-2A'!$K$6:$K$10000,'GSTR-2A'!$B$6:$B$10000,$C$5:$C$4995,'GSTR-2A'!$A$6:$A$10000,$AR$3)</f>
        <v>0</v>
      </c>
      <c r="AT147" s="487">
        <f>SUMIFS('GSTR-2A'!$L$6:$L$10000,'GSTR-2A'!$B$6:$B$10000,$C$5:$C$4995,'GSTR-2A'!$A$6:$A$10000,$AR$3)</f>
        <v>0</v>
      </c>
      <c r="AU147" s="487">
        <f>SUMIFS('GSTR-2A'!$M$6:$M$10000,'GSTR-2A'!$B$6:$B$10000,$C$5:$C$4995,'GSTR-2A'!$A$6:$A$10000,$AR$3)</f>
        <v>0</v>
      </c>
      <c r="AV147" s="488">
        <f>SUMIFS('GSTR-2A'!$N$6:$N$10000,'GSTR-2A'!$B$6:$B$10000,$C$5:$C$4995,'GSTR-2A'!$A$6:$A$10000,$AR$3)</f>
        <v>0</v>
      </c>
      <c r="AW147" s="486">
        <f>SUMIFS('GSTR-2A'!$G$6:$G$10000,'GSTR-2A'!$B$6:$B$10000,$C$5:$C$4995,'GSTR-2A'!$A$6:$A$10000,$AW$3)</f>
        <v>0</v>
      </c>
      <c r="AX147" s="487">
        <f>SUMIFS('GSTR-2A'!$K$6:$K$10000,'GSTR-2A'!$B$6:$B$10000,$C$5:$C$4995,'GSTR-2A'!$A$6:$A$10000,$AW$3)</f>
        <v>0</v>
      </c>
      <c r="AY147" s="487">
        <f>SUMIFS('GSTR-2A'!$L$6:$L$10000,'GSTR-2A'!$B$6:$B$10000,$C$5:$C$4995,'GSTR-2A'!$A$6:$A$10000,$AW$3)</f>
        <v>0</v>
      </c>
      <c r="AZ147" s="487">
        <f>SUMIFS('GSTR-2A'!$M$6:$M$10000,'GSTR-2A'!$B$6:$B$10000,$C$5:$C$4995,'GSTR-2A'!$A$6:$A$10000,$AW$3)</f>
        <v>0</v>
      </c>
      <c r="BA147" s="488">
        <f>SUMIFS('GSTR-2A'!$N$6:$N$10000,'GSTR-2A'!$B$6:$B$10000,$C$5:$C$4995,'GSTR-2A'!$A$6:$A$10000,$AW$3)</f>
        <v>0</v>
      </c>
      <c r="BB147" s="486">
        <f>SUMIFS('GSTR-2A'!$G$6:$G$10000,'GSTR-2A'!$B$6:$B$10000,$C$5:$C$4995,'GSTR-2A'!$A$6:$A$10000,$BB$3)</f>
        <v>0</v>
      </c>
      <c r="BC147" s="487">
        <f>SUMIFS('GSTR-2A'!$K$6:$K$10000,'GSTR-2A'!$B$6:$B$10000,$C$5:$C$4995,'GSTR-2A'!$A$6:$A$10000,$BB$3)</f>
        <v>0</v>
      </c>
      <c r="BD147" s="487">
        <f>SUMIFS('GSTR-2A'!$L$6:$L$10000,'GSTR-2A'!$B$6:$B$10000,$C$5:$C$4995,'GSTR-2A'!$A$6:$A$10000,$BB$3)</f>
        <v>0</v>
      </c>
      <c r="BE147" s="487">
        <f>SUMIFS('GSTR-2A'!$M$6:$M$10000,'GSTR-2A'!$B$6:$B$10000,$C$5:$C$4995,'GSTR-2A'!$A$6:$A$10000,$BB$3)</f>
        <v>0</v>
      </c>
      <c r="BF147" s="488">
        <f>SUMIFS('GSTR-2A'!$N$6:$N$10000,'GSTR-2A'!$B$6:$B$10000,$C$5:$C$4995,'GSTR-2A'!$A$6:$A$10000,$BB$3)</f>
        <v>0</v>
      </c>
      <c r="BG147" s="486">
        <f>SUMIFS('GSTR-2A'!$G$6:$G$10000,'GSTR-2A'!$B$6:$B$10000,$C$5:$C$4995,'GSTR-2A'!$A$6:$A$10000,$BG$3)</f>
        <v>0</v>
      </c>
      <c r="BH147" s="487">
        <f>SUMIFS('GSTR-2A'!$K$6:$K$10000,'GSTR-2A'!$B$6:$B$10000,$C$5:$C$4995,'GSTR-2A'!$A$6:$A$10000,$BG$3)</f>
        <v>0</v>
      </c>
      <c r="BI147" s="487">
        <f>SUMIFS('GSTR-2A'!$L$6:$L$10000,'GSTR-2A'!$B$6:$B$10000,$C$5:$C$4995,'GSTR-2A'!$A$6:$A$10000,$BG$3)</f>
        <v>0</v>
      </c>
      <c r="BJ147" s="487">
        <f>SUMIFS('GSTR-2A'!$M$6:$M$10000,'GSTR-2A'!$B$6:$B$10000,$C$5:$C$4995,'GSTR-2A'!$A$6:$A$10000,$BG$3)</f>
        <v>0</v>
      </c>
      <c r="BK147" s="488">
        <f>SUMIFS('GSTR-2A'!$N$6:$N$10000,'GSTR-2A'!$B$6:$B$10000,$C$5:$C$4995,'GSTR-2A'!$A$6:$A$10000,$BG$3)</f>
        <v>0</v>
      </c>
      <c r="BL147" s="72">
        <f t="shared" si="12"/>
        <v>3540</v>
      </c>
      <c r="BM147" s="72">
        <f t="shared" si="13"/>
        <v>3000</v>
      </c>
      <c r="BN147" s="72">
        <f t="shared" si="14"/>
        <v>0</v>
      </c>
      <c r="BO147" s="72">
        <f t="shared" si="15"/>
        <v>270</v>
      </c>
      <c r="BP147" s="72">
        <f t="shared" si="16"/>
        <v>270</v>
      </c>
    </row>
    <row r="148" spans="1:68" x14ac:dyDescent="0.2">
      <c r="A148" s="467">
        <v>153</v>
      </c>
      <c r="B148" s="468" t="s">
        <v>1024</v>
      </c>
      <c r="C148" s="469" t="s">
        <v>1025</v>
      </c>
      <c r="D148" s="72">
        <f>SUMIFS('GSTR-2A'!$G$6:$G$10000,'GSTR-2A'!$B$6:$B$10000,$C$5:$C$4995,'GSTR-2A'!$A$6:$A$10000,$D$3)</f>
        <v>0</v>
      </c>
      <c r="E148" s="72">
        <f>SUMIFS('GSTR-2A'!$K$6:$K$10000,'GSTR-2A'!$B$6:$B$10000,$C$5:$C$4995,'GSTR-2A'!$A$6:$A$10000,$D$3)</f>
        <v>0</v>
      </c>
      <c r="F148" s="72">
        <f>SUMIFS('GSTR-2A'!$L$6:$L$10000,'GSTR-2A'!$B$6:$B$10000,$C$5:$C$4995,'GSTR-2A'!$A$6:$A$10000,$D$3)</f>
        <v>0</v>
      </c>
      <c r="G148" s="72">
        <f>SUMIFS('GSTR-2A'!$M$6:$M$10000,'GSTR-2A'!$B$6:$B$10000,$C$5:$C$4995,'GSTR-2A'!$A$6:$A$10000,$D$3)</f>
        <v>0</v>
      </c>
      <c r="H148" s="72">
        <f>SUMIFS('GSTR-2A'!$N$6:$N$10000,'GSTR-2A'!$B$6:$B$10000,$C$5:$C$4995,'GSTR-2A'!$A$6:$A$10000,$D$3)</f>
        <v>0</v>
      </c>
      <c r="I148" s="486">
        <f>SUMIFS('GSTR-2A'!$G$6:$G$10000,'GSTR-2A'!$B$6:$B$10000,$C$5:$C$4995,'GSTR-2A'!$A$6:$A$10000,$I$3)</f>
        <v>0</v>
      </c>
      <c r="J148" s="487">
        <f>SUMIFS('GSTR-2A'!$K$6:$K$10000,'GSTR-2A'!$B$6:$B$10000,$C$5:$C$4995,'GSTR-2A'!$A$6:$A$10000,$I$3)</f>
        <v>0</v>
      </c>
      <c r="K148" s="487">
        <f>SUMIFS('GSTR-2A'!$L$6:$L$10000,'GSTR-2A'!$B$6:$B$10000,$C$5:$C$4995,'GSTR-2A'!$A$6:$A$10000,$I$3)</f>
        <v>0</v>
      </c>
      <c r="L148" s="487">
        <f>SUMIFS('GSTR-2A'!$M$6:$M$10000,'GSTR-2A'!$B$6:$B$10000,$C$5:$C$4995,'GSTR-2A'!$A$6:$A$10000,$I$3)</f>
        <v>0</v>
      </c>
      <c r="M148" s="488">
        <f>SUMIFS('GSTR-2A'!$N$6:$N$10000,'GSTR-2A'!$B$6:$B$10000,$C$5:$C$4995,'GSTR-2A'!$A$6:$A$10000,$I$3)</f>
        <v>0</v>
      </c>
      <c r="N148" s="486">
        <f>SUMIFS('GSTR-2A'!$G$6:$G$10000,'GSTR-2A'!$B$6:$B$10000,$C$5:$C$4995,'GSTR-2A'!$A$6:$A$10000,$N$3)</f>
        <v>0</v>
      </c>
      <c r="O148" s="487">
        <f>SUMIFS('GSTR-2A'!$K$6:$K$10000,'GSTR-2A'!$B$6:$B$10000,$C$5:$C$4995,'GSTR-2A'!$A$6:$A$10000,$N$3)</f>
        <v>0</v>
      </c>
      <c r="P148" s="487">
        <f>SUMIFS('GSTR-2A'!$L$6:$L$10000,'GSTR-2A'!$B$6:$B$10000,$C$5:$C$4995,'GSTR-2A'!$A$6:$A$10000,$N$3)</f>
        <v>0</v>
      </c>
      <c r="Q148" s="487">
        <f>SUMIFS('GSTR-2A'!$M$6:$M$10000,'GSTR-2A'!$B$6:$B$10000,$C$5:$C$4995,'GSTR-2A'!$A$6:$A$10000,$N$3)</f>
        <v>0</v>
      </c>
      <c r="R148" s="488">
        <f>SUMIFS('GSTR-2A'!$N$6:$N$10000,'GSTR-2A'!$B$6:$B$10000,$C$5:$C$4995,'GSTR-2A'!$A$6:$A$10000,$N$3)</f>
        <v>0</v>
      </c>
      <c r="S148" s="486">
        <f>SUMIFS('GSTR-2A'!$G$6:$G$10000,'GSTR-2A'!$B$6:$B$10000,$C$5:$C$4995,'GSTR-2A'!$A$6:$A$10000,$S$3)</f>
        <v>0</v>
      </c>
      <c r="T148" s="487">
        <f>SUMIFS('GSTR-2A'!$K$6:$K$10000,'GSTR-2A'!$B$6:$B$10000,$C$5:$C$4995,'GSTR-2A'!$A$6:$A$10000,$S$3)</f>
        <v>0</v>
      </c>
      <c r="U148" s="487">
        <f>SUMIFS('GSTR-2A'!$L$6:$L$10000,'GSTR-2A'!$B$6:$B$10000,$C$5:$C$4995,'GSTR-2A'!$A$6:$A$10000,$S$3)</f>
        <v>0</v>
      </c>
      <c r="V148" s="487">
        <f>SUMIFS('GSTR-2A'!$M$6:$M$10000,'GSTR-2A'!$B$6:$B$10000,$C$5:$C$4995,'GSTR-2A'!$A$6:$A$10000,$S$3)</f>
        <v>0</v>
      </c>
      <c r="W148" s="488">
        <f>SUMIFS('GSTR-2A'!$N$6:$N$10000,'GSTR-2A'!$B$6:$B$10000,$C$5:$C$4995,'GSTR-2A'!$A$6:$A$10000,$S$3)</f>
        <v>0</v>
      </c>
      <c r="X148" s="486">
        <f>SUMIFS('GSTR-2A'!$G$6:$G$10000,'GSTR-2A'!$B$6:$B$10000,$C$5:$C$4995,'GSTR-2A'!$A$6:$A$10000,$X$3)</f>
        <v>0</v>
      </c>
      <c r="Y148" s="487">
        <f>SUMIFS('GSTR-2A'!$K$6:$K$10000,'GSTR-2A'!$B$6:$B$10000,$C$5:$C$4995,'GSTR-2A'!$A$6:$A$10000,$X$3)</f>
        <v>0</v>
      </c>
      <c r="Z148" s="487">
        <f>SUMIFS('GSTR-2A'!$L$6:$L$10000,'GSTR-2A'!$B$6:$B$10000,$C$5:$C$4995,'GSTR-2A'!$A$6:$A$10000,$X$3)</f>
        <v>0</v>
      </c>
      <c r="AA148" s="487">
        <f>SUMIFS('GSTR-2A'!$M$6:$M$10000,'GSTR-2A'!$B$6:$B$10000,$C$5:$C$4995,'GSTR-2A'!$A$6:$A$10000,$X$3)</f>
        <v>0</v>
      </c>
      <c r="AB148" s="488">
        <f>SUMIFS('GSTR-2A'!$N$6:$N$10000,'GSTR-2A'!$B$6:$B$10000,$C$5:$C$4995,'GSTR-2A'!$A$6:$A$10000,$X$3)</f>
        <v>0</v>
      </c>
      <c r="AC148" s="486">
        <f>SUMIFS('GSTR-2A'!$G$6:$G$10000,'GSTR-2A'!$B$6:$B$10000,$C$5:$C$4995,'GSTR-2A'!$A$6:$A$10000,$AC$3)</f>
        <v>86500</v>
      </c>
      <c r="AD148" s="487">
        <f>SUMIFS('GSTR-2A'!$K$6:$K$10000,'GSTR-2A'!$B$6:$B$10000,$C$5:$C$4995,'GSTR-2A'!$A$6:$A$10000,$AC$3)</f>
        <v>73305.289999999994</v>
      </c>
      <c r="AE148" s="487">
        <f>SUMIFS('GSTR-2A'!$L$6:$L$10000,'GSTR-2A'!$B$6:$B$10000,$C$5:$C$4995,'GSTR-2A'!$A$6:$A$10000,$AC$3)</f>
        <v>0</v>
      </c>
      <c r="AF148" s="487">
        <f>SUMIFS('GSTR-2A'!$M$6:$M$10000,'GSTR-2A'!$B$6:$B$10000,$C$5:$C$4995,'GSTR-2A'!$A$6:$A$10000,$AC$3)</f>
        <v>6597.48</v>
      </c>
      <c r="AG148" s="488">
        <f>SUMIFS('GSTR-2A'!$N$6:$N$10000,'GSTR-2A'!$B$6:$B$10000,$C$5:$C$4995,'GSTR-2A'!$A$6:$A$10000,$AC$3)</f>
        <v>6597.48</v>
      </c>
      <c r="AH148" s="486">
        <f>SUMIFS('GSTR-2A'!$G$6:$G$10000,'GSTR-2A'!$B$6:$B$10000,$C$5:$C$4995,'GSTR-2A'!$A$6:$A$10000,$AH$3)</f>
        <v>0</v>
      </c>
      <c r="AI148" s="487">
        <f>SUMIFS('GSTR-2A'!$K$6:$K$10000,'GSTR-2A'!$B$6:$B$10000,$C$5:$C$4995,'GSTR-2A'!$A$6:$A$10000,$AH$3)</f>
        <v>0</v>
      </c>
      <c r="AJ148" s="487">
        <f>SUMIFS('GSTR-2A'!$L$6:$L$10000,'GSTR-2A'!$B$6:$B$10000,$C$5:$C$4995,'GSTR-2A'!$A$6:$A$10000,$AH$3)</f>
        <v>0</v>
      </c>
      <c r="AK148" s="487">
        <f>SUMIFS('GSTR-2A'!$M$6:$M$10000,'GSTR-2A'!$B$6:$B$10000,$C$5:$C$4995,'GSTR-2A'!$A$6:$A$10000,$AH$3)</f>
        <v>0</v>
      </c>
      <c r="AL148" s="488">
        <f>SUMIFS('GSTR-2A'!$N$6:$N$10000,'GSTR-2A'!$B$6:$B$10000,$C$5:$C$4995,'GSTR-2A'!$A$6:$A$10000,$AH$3)</f>
        <v>0</v>
      </c>
      <c r="AM148" s="486">
        <f>SUMIFS('GSTR-2A'!$G$6:$G$10000,'GSTR-2A'!$B$6:$B$10000,$C$5:$C$4995,'GSTR-2A'!$A$6:$A$10000,$AM$3)</f>
        <v>0</v>
      </c>
      <c r="AN148" s="487">
        <f>SUMIFS('GSTR-2A'!$K$6:$K$10000,'GSTR-2A'!$B$6:$B$10000,$C$5:$C$4995,'GSTR-2A'!$A$6:$A$10000,$AM$3)</f>
        <v>0</v>
      </c>
      <c r="AO148" s="487">
        <f>SUMIFS('GSTR-2A'!$L$6:$L$10000,'GSTR-2A'!$B$6:$B$10000,$C$5:$C$4995,'GSTR-2A'!$A$6:$A$10000,$AM$3)</f>
        <v>0</v>
      </c>
      <c r="AP148" s="487">
        <f>SUMIFS('GSTR-2A'!$M$6:$M$10000,'GSTR-2A'!$B$6:$B$10000,$C$5:$C$4995,'GSTR-2A'!$A$6:$A$10000,$AM$3)</f>
        <v>0</v>
      </c>
      <c r="AQ148" s="488">
        <f>SUMIFS('GSTR-2A'!$N$6:$N$10000,'GSTR-2A'!$B$6:$B$10000,$C$5:$C$4995,'GSTR-2A'!$A$6:$A$10000,$AM$3)</f>
        <v>0</v>
      </c>
      <c r="AR148" s="486">
        <f>SUMIFS('GSTR-2A'!$G$6:$G$10000,'GSTR-2A'!$B$6:$B$10000,$C$5:$C$4995,'GSTR-2A'!$A$6:$A$10000,$AR$3)</f>
        <v>0</v>
      </c>
      <c r="AS148" s="487">
        <f>SUMIFS('GSTR-2A'!$K$6:$K$10000,'GSTR-2A'!$B$6:$B$10000,$C$5:$C$4995,'GSTR-2A'!$A$6:$A$10000,$AR$3)</f>
        <v>0</v>
      </c>
      <c r="AT148" s="487">
        <f>SUMIFS('GSTR-2A'!$L$6:$L$10000,'GSTR-2A'!$B$6:$B$10000,$C$5:$C$4995,'GSTR-2A'!$A$6:$A$10000,$AR$3)</f>
        <v>0</v>
      </c>
      <c r="AU148" s="487">
        <f>SUMIFS('GSTR-2A'!$M$6:$M$10000,'GSTR-2A'!$B$6:$B$10000,$C$5:$C$4995,'GSTR-2A'!$A$6:$A$10000,$AR$3)</f>
        <v>0</v>
      </c>
      <c r="AV148" s="488">
        <f>SUMIFS('GSTR-2A'!$N$6:$N$10000,'GSTR-2A'!$B$6:$B$10000,$C$5:$C$4995,'GSTR-2A'!$A$6:$A$10000,$AR$3)</f>
        <v>0</v>
      </c>
      <c r="AW148" s="486">
        <f>SUMIFS('GSTR-2A'!$G$6:$G$10000,'GSTR-2A'!$B$6:$B$10000,$C$5:$C$4995,'GSTR-2A'!$A$6:$A$10000,$AW$3)</f>
        <v>0</v>
      </c>
      <c r="AX148" s="487">
        <f>SUMIFS('GSTR-2A'!$K$6:$K$10000,'GSTR-2A'!$B$6:$B$10000,$C$5:$C$4995,'GSTR-2A'!$A$6:$A$10000,$AW$3)</f>
        <v>0</v>
      </c>
      <c r="AY148" s="487">
        <f>SUMIFS('GSTR-2A'!$L$6:$L$10000,'GSTR-2A'!$B$6:$B$10000,$C$5:$C$4995,'GSTR-2A'!$A$6:$A$10000,$AW$3)</f>
        <v>0</v>
      </c>
      <c r="AZ148" s="487">
        <f>SUMIFS('GSTR-2A'!$M$6:$M$10000,'GSTR-2A'!$B$6:$B$10000,$C$5:$C$4995,'GSTR-2A'!$A$6:$A$10000,$AW$3)</f>
        <v>0</v>
      </c>
      <c r="BA148" s="488">
        <f>SUMIFS('GSTR-2A'!$N$6:$N$10000,'GSTR-2A'!$B$6:$B$10000,$C$5:$C$4995,'GSTR-2A'!$A$6:$A$10000,$AW$3)</f>
        <v>0</v>
      </c>
      <c r="BB148" s="486">
        <f>SUMIFS('GSTR-2A'!$G$6:$G$10000,'GSTR-2A'!$B$6:$B$10000,$C$5:$C$4995,'GSTR-2A'!$A$6:$A$10000,$BB$3)</f>
        <v>0</v>
      </c>
      <c r="BC148" s="487">
        <f>SUMIFS('GSTR-2A'!$K$6:$K$10000,'GSTR-2A'!$B$6:$B$10000,$C$5:$C$4995,'GSTR-2A'!$A$6:$A$10000,$BB$3)</f>
        <v>0</v>
      </c>
      <c r="BD148" s="487">
        <f>SUMIFS('GSTR-2A'!$L$6:$L$10000,'GSTR-2A'!$B$6:$B$10000,$C$5:$C$4995,'GSTR-2A'!$A$6:$A$10000,$BB$3)</f>
        <v>0</v>
      </c>
      <c r="BE148" s="487">
        <f>SUMIFS('GSTR-2A'!$M$6:$M$10000,'GSTR-2A'!$B$6:$B$10000,$C$5:$C$4995,'GSTR-2A'!$A$6:$A$10000,$BB$3)</f>
        <v>0</v>
      </c>
      <c r="BF148" s="488">
        <f>SUMIFS('GSTR-2A'!$N$6:$N$10000,'GSTR-2A'!$B$6:$B$10000,$C$5:$C$4995,'GSTR-2A'!$A$6:$A$10000,$BB$3)</f>
        <v>0</v>
      </c>
      <c r="BG148" s="486">
        <f>SUMIFS('GSTR-2A'!$G$6:$G$10000,'GSTR-2A'!$B$6:$B$10000,$C$5:$C$4995,'GSTR-2A'!$A$6:$A$10000,$BG$3)</f>
        <v>0</v>
      </c>
      <c r="BH148" s="487">
        <f>SUMIFS('GSTR-2A'!$K$6:$K$10000,'GSTR-2A'!$B$6:$B$10000,$C$5:$C$4995,'GSTR-2A'!$A$6:$A$10000,$BG$3)</f>
        <v>0</v>
      </c>
      <c r="BI148" s="487">
        <f>SUMIFS('GSTR-2A'!$L$6:$L$10000,'GSTR-2A'!$B$6:$B$10000,$C$5:$C$4995,'GSTR-2A'!$A$6:$A$10000,$BG$3)</f>
        <v>0</v>
      </c>
      <c r="BJ148" s="487">
        <f>SUMIFS('GSTR-2A'!$M$6:$M$10000,'GSTR-2A'!$B$6:$B$10000,$C$5:$C$4995,'GSTR-2A'!$A$6:$A$10000,$BG$3)</f>
        <v>0</v>
      </c>
      <c r="BK148" s="488">
        <f>SUMIFS('GSTR-2A'!$N$6:$N$10000,'GSTR-2A'!$B$6:$B$10000,$C$5:$C$4995,'GSTR-2A'!$A$6:$A$10000,$BG$3)</f>
        <v>0</v>
      </c>
      <c r="BL148" s="72">
        <f t="shared" si="12"/>
        <v>86500</v>
      </c>
      <c r="BM148" s="72">
        <f t="shared" si="13"/>
        <v>73305.289999999994</v>
      </c>
      <c r="BN148" s="72">
        <f t="shared" si="14"/>
        <v>0</v>
      </c>
      <c r="BO148" s="72">
        <f t="shared" si="15"/>
        <v>6597.48</v>
      </c>
      <c r="BP148" s="72">
        <f t="shared" si="16"/>
        <v>6597.48</v>
      </c>
    </row>
    <row r="149" spans="1:68" x14ac:dyDescent="0.2">
      <c r="A149" s="11">
        <v>154</v>
      </c>
      <c r="B149" s="480" t="s">
        <v>3373</v>
      </c>
      <c r="C149" s="481" t="s">
        <v>3374</v>
      </c>
      <c r="D149" s="72">
        <f>SUMIFS('GSTR-2A'!$G$6:$G$10000,'GSTR-2A'!$B$6:$B$10000,$C$5:$C$4995,'GSTR-2A'!$A$6:$A$10000,$D$3)</f>
        <v>0</v>
      </c>
      <c r="E149" s="72">
        <f>SUMIFS('GSTR-2A'!$K$6:$K$10000,'GSTR-2A'!$B$6:$B$10000,$C$5:$C$4995,'GSTR-2A'!$A$6:$A$10000,$D$3)</f>
        <v>0</v>
      </c>
      <c r="F149" s="72">
        <f>SUMIFS('GSTR-2A'!$L$6:$L$10000,'GSTR-2A'!$B$6:$B$10000,$C$5:$C$4995,'GSTR-2A'!$A$6:$A$10000,$D$3)</f>
        <v>0</v>
      </c>
      <c r="G149" s="72">
        <f>SUMIFS('GSTR-2A'!$M$6:$M$10000,'GSTR-2A'!$B$6:$B$10000,$C$5:$C$4995,'GSTR-2A'!$A$6:$A$10000,$D$3)</f>
        <v>0</v>
      </c>
      <c r="H149" s="72">
        <f>SUMIFS('GSTR-2A'!$N$6:$N$10000,'GSTR-2A'!$B$6:$B$10000,$C$5:$C$4995,'GSTR-2A'!$A$6:$A$10000,$D$3)</f>
        <v>0</v>
      </c>
      <c r="I149" s="486">
        <f>SUMIFS('GSTR-2A'!$G$6:$G$10000,'GSTR-2A'!$B$6:$B$10000,$C$5:$C$4995,'GSTR-2A'!$A$6:$A$10000,$I$3)</f>
        <v>0</v>
      </c>
      <c r="J149" s="487">
        <f>SUMIFS('GSTR-2A'!$K$6:$K$10000,'GSTR-2A'!$B$6:$B$10000,$C$5:$C$4995,'GSTR-2A'!$A$6:$A$10000,$I$3)</f>
        <v>0</v>
      </c>
      <c r="K149" s="487">
        <f>SUMIFS('GSTR-2A'!$L$6:$L$10000,'GSTR-2A'!$B$6:$B$10000,$C$5:$C$4995,'GSTR-2A'!$A$6:$A$10000,$I$3)</f>
        <v>0</v>
      </c>
      <c r="L149" s="487">
        <f>SUMIFS('GSTR-2A'!$M$6:$M$10000,'GSTR-2A'!$B$6:$B$10000,$C$5:$C$4995,'GSTR-2A'!$A$6:$A$10000,$I$3)</f>
        <v>0</v>
      </c>
      <c r="M149" s="488">
        <f>SUMIFS('GSTR-2A'!$N$6:$N$10000,'GSTR-2A'!$B$6:$B$10000,$C$5:$C$4995,'GSTR-2A'!$A$6:$A$10000,$I$3)</f>
        <v>0</v>
      </c>
      <c r="N149" s="486">
        <f>SUMIFS('GSTR-2A'!$G$6:$G$10000,'GSTR-2A'!$B$6:$B$10000,$C$5:$C$4995,'GSTR-2A'!$A$6:$A$10000,$N$3)</f>
        <v>0</v>
      </c>
      <c r="O149" s="487">
        <f>SUMIFS('GSTR-2A'!$K$6:$K$10000,'GSTR-2A'!$B$6:$B$10000,$C$5:$C$4995,'GSTR-2A'!$A$6:$A$10000,$N$3)</f>
        <v>0</v>
      </c>
      <c r="P149" s="487">
        <f>SUMIFS('GSTR-2A'!$L$6:$L$10000,'GSTR-2A'!$B$6:$B$10000,$C$5:$C$4995,'GSTR-2A'!$A$6:$A$10000,$N$3)</f>
        <v>0</v>
      </c>
      <c r="Q149" s="487">
        <f>SUMIFS('GSTR-2A'!$M$6:$M$10000,'GSTR-2A'!$B$6:$B$10000,$C$5:$C$4995,'GSTR-2A'!$A$6:$A$10000,$N$3)</f>
        <v>0</v>
      </c>
      <c r="R149" s="488">
        <f>SUMIFS('GSTR-2A'!$N$6:$N$10000,'GSTR-2A'!$B$6:$B$10000,$C$5:$C$4995,'GSTR-2A'!$A$6:$A$10000,$N$3)</f>
        <v>0</v>
      </c>
      <c r="S149" s="486">
        <f>SUMIFS('GSTR-2A'!$G$6:$G$10000,'GSTR-2A'!$B$6:$B$10000,$C$5:$C$4995,'GSTR-2A'!$A$6:$A$10000,$S$3)</f>
        <v>0</v>
      </c>
      <c r="T149" s="487">
        <f>SUMIFS('GSTR-2A'!$K$6:$K$10000,'GSTR-2A'!$B$6:$B$10000,$C$5:$C$4995,'GSTR-2A'!$A$6:$A$10000,$S$3)</f>
        <v>0</v>
      </c>
      <c r="U149" s="487">
        <f>SUMIFS('GSTR-2A'!$L$6:$L$10000,'GSTR-2A'!$B$6:$B$10000,$C$5:$C$4995,'GSTR-2A'!$A$6:$A$10000,$S$3)</f>
        <v>0</v>
      </c>
      <c r="V149" s="487">
        <f>SUMIFS('GSTR-2A'!$M$6:$M$10000,'GSTR-2A'!$B$6:$B$10000,$C$5:$C$4995,'GSTR-2A'!$A$6:$A$10000,$S$3)</f>
        <v>0</v>
      </c>
      <c r="W149" s="488">
        <f>SUMIFS('GSTR-2A'!$N$6:$N$10000,'GSTR-2A'!$B$6:$B$10000,$C$5:$C$4995,'GSTR-2A'!$A$6:$A$10000,$S$3)</f>
        <v>0</v>
      </c>
      <c r="X149" s="486">
        <f>SUMIFS('GSTR-2A'!$G$6:$G$10000,'GSTR-2A'!$B$6:$B$10000,$C$5:$C$4995,'GSTR-2A'!$A$6:$A$10000,$X$3)</f>
        <v>0</v>
      </c>
      <c r="Y149" s="487">
        <f>SUMIFS('GSTR-2A'!$K$6:$K$10000,'GSTR-2A'!$B$6:$B$10000,$C$5:$C$4995,'GSTR-2A'!$A$6:$A$10000,$X$3)</f>
        <v>0</v>
      </c>
      <c r="Z149" s="487">
        <f>SUMIFS('GSTR-2A'!$L$6:$L$10000,'GSTR-2A'!$B$6:$B$10000,$C$5:$C$4995,'GSTR-2A'!$A$6:$A$10000,$X$3)</f>
        <v>0</v>
      </c>
      <c r="AA149" s="487">
        <f>SUMIFS('GSTR-2A'!$M$6:$M$10000,'GSTR-2A'!$B$6:$B$10000,$C$5:$C$4995,'GSTR-2A'!$A$6:$A$10000,$X$3)</f>
        <v>0</v>
      </c>
      <c r="AB149" s="488">
        <f>SUMIFS('GSTR-2A'!$N$6:$N$10000,'GSTR-2A'!$B$6:$B$10000,$C$5:$C$4995,'GSTR-2A'!$A$6:$A$10000,$X$3)</f>
        <v>0</v>
      </c>
      <c r="AC149" s="486">
        <f>SUMIFS('GSTR-2A'!$G$6:$G$10000,'GSTR-2A'!$B$6:$B$10000,$C$5:$C$4995,'GSTR-2A'!$A$6:$A$10000,$AC$3)</f>
        <v>0</v>
      </c>
      <c r="AD149" s="487">
        <f>SUMIFS('GSTR-2A'!$K$6:$K$10000,'GSTR-2A'!$B$6:$B$10000,$C$5:$C$4995,'GSTR-2A'!$A$6:$A$10000,$AC$3)</f>
        <v>0</v>
      </c>
      <c r="AE149" s="487">
        <f>SUMIFS('GSTR-2A'!$L$6:$L$10000,'GSTR-2A'!$B$6:$B$10000,$C$5:$C$4995,'GSTR-2A'!$A$6:$A$10000,$AC$3)</f>
        <v>0</v>
      </c>
      <c r="AF149" s="487">
        <f>SUMIFS('GSTR-2A'!$M$6:$M$10000,'GSTR-2A'!$B$6:$B$10000,$C$5:$C$4995,'GSTR-2A'!$A$6:$A$10000,$AC$3)</f>
        <v>0</v>
      </c>
      <c r="AG149" s="488">
        <f>SUMIFS('GSTR-2A'!$N$6:$N$10000,'GSTR-2A'!$B$6:$B$10000,$C$5:$C$4995,'GSTR-2A'!$A$6:$A$10000,$AC$3)</f>
        <v>0</v>
      </c>
      <c r="AH149" s="486">
        <f>SUMIFS('GSTR-2A'!$G$6:$G$10000,'GSTR-2A'!$B$6:$B$10000,$C$5:$C$4995,'GSTR-2A'!$A$6:$A$10000,$AH$3)</f>
        <v>0</v>
      </c>
      <c r="AI149" s="487">
        <f>SUMIFS('GSTR-2A'!$K$6:$K$10000,'GSTR-2A'!$B$6:$B$10000,$C$5:$C$4995,'GSTR-2A'!$A$6:$A$10000,$AH$3)</f>
        <v>0</v>
      </c>
      <c r="AJ149" s="487">
        <f>SUMIFS('GSTR-2A'!$L$6:$L$10000,'GSTR-2A'!$B$6:$B$10000,$C$5:$C$4995,'GSTR-2A'!$A$6:$A$10000,$AH$3)</f>
        <v>0</v>
      </c>
      <c r="AK149" s="487">
        <f>SUMIFS('GSTR-2A'!$M$6:$M$10000,'GSTR-2A'!$B$6:$B$10000,$C$5:$C$4995,'GSTR-2A'!$A$6:$A$10000,$AH$3)</f>
        <v>0</v>
      </c>
      <c r="AL149" s="488">
        <f>SUMIFS('GSTR-2A'!$N$6:$N$10000,'GSTR-2A'!$B$6:$B$10000,$C$5:$C$4995,'GSTR-2A'!$A$6:$A$10000,$AH$3)</f>
        <v>0</v>
      </c>
      <c r="AM149" s="486">
        <f>SUMIFS('GSTR-2A'!$G$6:$G$10000,'GSTR-2A'!$B$6:$B$10000,$C$5:$C$4995,'GSTR-2A'!$A$6:$A$10000,$AM$3)</f>
        <v>0</v>
      </c>
      <c r="AN149" s="487">
        <f>SUMIFS('GSTR-2A'!$K$6:$K$10000,'GSTR-2A'!$B$6:$B$10000,$C$5:$C$4995,'GSTR-2A'!$A$6:$A$10000,$AM$3)</f>
        <v>0</v>
      </c>
      <c r="AO149" s="487">
        <f>SUMIFS('GSTR-2A'!$L$6:$L$10000,'GSTR-2A'!$B$6:$B$10000,$C$5:$C$4995,'GSTR-2A'!$A$6:$A$10000,$AM$3)</f>
        <v>0</v>
      </c>
      <c r="AP149" s="487">
        <f>SUMIFS('GSTR-2A'!$M$6:$M$10000,'GSTR-2A'!$B$6:$B$10000,$C$5:$C$4995,'GSTR-2A'!$A$6:$A$10000,$AM$3)</f>
        <v>0</v>
      </c>
      <c r="AQ149" s="488">
        <f>SUMIFS('GSTR-2A'!$N$6:$N$10000,'GSTR-2A'!$B$6:$B$10000,$C$5:$C$4995,'GSTR-2A'!$A$6:$A$10000,$AM$3)</f>
        <v>0</v>
      </c>
      <c r="AR149" s="486">
        <f>SUMIFS('GSTR-2A'!$G$6:$G$10000,'GSTR-2A'!$B$6:$B$10000,$C$5:$C$4995,'GSTR-2A'!$A$6:$A$10000,$AR$3)</f>
        <v>0</v>
      </c>
      <c r="AS149" s="487">
        <f>SUMIFS('GSTR-2A'!$K$6:$K$10000,'GSTR-2A'!$B$6:$B$10000,$C$5:$C$4995,'GSTR-2A'!$A$6:$A$10000,$AR$3)</f>
        <v>0</v>
      </c>
      <c r="AT149" s="487">
        <f>SUMIFS('GSTR-2A'!$L$6:$L$10000,'GSTR-2A'!$B$6:$B$10000,$C$5:$C$4995,'GSTR-2A'!$A$6:$A$10000,$AR$3)</f>
        <v>0</v>
      </c>
      <c r="AU149" s="487">
        <f>SUMIFS('GSTR-2A'!$M$6:$M$10000,'GSTR-2A'!$B$6:$B$10000,$C$5:$C$4995,'GSTR-2A'!$A$6:$A$10000,$AR$3)</f>
        <v>0</v>
      </c>
      <c r="AV149" s="488">
        <f>SUMIFS('GSTR-2A'!$N$6:$N$10000,'GSTR-2A'!$B$6:$B$10000,$C$5:$C$4995,'GSTR-2A'!$A$6:$A$10000,$AR$3)</f>
        <v>0</v>
      </c>
      <c r="AW149" s="486">
        <f>SUMIFS('GSTR-2A'!$G$6:$G$10000,'GSTR-2A'!$B$6:$B$10000,$C$5:$C$4995,'GSTR-2A'!$A$6:$A$10000,$AW$3)</f>
        <v>0</v>
      </c>
      <c r="AX149" s="487">
        <f>SUMIFS('GSTR-2A'!$K$6:$K$10000,'GSTR-2A'!$B$6:$B$10000,$C$5:$C$4995,'GSTR-2A'!$A$6:$A$10000,$AW$3)</f>
        <v>0</v>
      </c>
      <c r="AY149" s="487">
        <f>SUMIFS('GSTR-2A'!$L$6:$L$10000,'GSTR-2A'!$B$6:$B$10000,$C$5:$C$4995,'GSTR-2A'!$A$6:$A$10000,$AW$3)</f>
        <v>0</v>
      </c>
      <c r="AZ149" s="487">
        <f>SUMIFS('GSTR-2A'!$M$6:$M$10000,'GSTR-2A'!$B$6:$B$10000,$C$5:$C$4995,'GSTR-2A'!$A$6:$A$10000,$AW$3)</f>
        <v>0</v>
      </c>
      <c r="BA149" s="488">
        <f>SUMIFS('GSTR-2A'!$N$6:$N$10000,'GSTR-2A'!$B$6:$B$10000,$C$5:$C$4995,'GSTR-2A'!$A$6:$A$10000,$AW$3)</f>
        <v>0</v>
      </c>
      <c r="BB149" s="486">
        <f>SUMIFS('GSTR-2A'!$G$6:$G$10000,'GSTR-2A'!$B$6:$B$10000,$C$5:$C$4995,'GSTR-2A'!$A$6:$A$10000,$BB$3)</f>
        <v>0</v>
      </c>
      <c r="BC149" s="487">
        <f>SUMIFS('GSTR-2A'!$K$6:$K$10000,'GSTR-2A'!$B$6:$B$10000,$C$5:$C$4995,'GSTR-2A'!$A$6:$A$10000,$BB$3)</f>
        <v>0</v>
      </c>
      <c r="BD149" s="487">
        <f>SUMIFS('GSTR-2A'!$L$6:$L$10000,'GSTR-2A'!$B$6:$B$10000,$C$5:$C$4995,'GSTR-2A'!$A$6:$A$10000,$BB$3)</f>
        <v>0</v>
      </c>
      <c r="BE149" s="487">
        <f>SUMIFS('GSTR-2A'!$M$6:$M$10000,'GSTR-2A'!$B$6:$B$10000,$C$5:$C$4995,'GSTR-2A'!$A$6:$A$10000,$BB$3)</f>
        <v>0</v>
      </c>
      <c r="BF149" s="488">
        <f>SUMIFS('GSTR-2A'!$N$6:$N$10000,'GSTR-2A'!$B$6:$B$10000,$C$5:$C$4995,'GSTR-2A'!$A$6:$A$10000,$BB$3)</f>
        <v>0</v>
      </c>
      <c r="BG149" s="486">
        <f>SUMIFS('GSTR-2A'!$G$6:$G$10000,'GSTR-2A'!$B$6:$B$10000,$C$5:$C$4995,'GSTR-2A'!$A$6:$A$10000,$BG$3)</f>
        <v>0</v>
      </c>
      <c r="BH149" s="487">
        <f>SUMIFS('GSTR-2A'!$K$6:$K$10000,'GSTR-2A'!$B$6:$B$10000,$C$5:$C$4995,'GSTR-2A'!$A$6:$A$10000,$BG$3)</f>
        <v>0</v>
      </c>
      <c r="BI149" s="487">
        <f>SUMIFS('GSTR-2A'!$L$6:$L$10000,'GSTR-2A'!$B$6:$B$10000,$C$5:$C$4995,'GSTR-2A'!$A$6:$A$10000,$BG$3)</f>
        <v>0</v>
      </c>
      <c r="BJ149" s="487">
        <f>SUMIFS('GSTR-2A'!$M$6:$M$10000,'GSTR-2A'!$B$6:$B$10000,$C$5:$C$4995,'GSTR-2A'!$A$6:$A$10000,$BG$3)</f>
        <v>0</v>
      </c>
      <c r="BK149" s="488">
        <f>SUMIFS('GSTR-2A'!$N$6:$N$10000,'GSTR-2A'!$B$6:$B$10000,$C$5:$C$4995,'GSTR-2A'!$A$6:$A$10000,$BG$3)</f>
        <v>0</v>
      </c>
      <c r="BL149" s="72">
        <f t="shared" si="12"/>
        <v>0</v>
      </c>
      <c r="BM149" s="72">
        <f t="shared" si="13"/>
        <v>0</v>
      </c>
      <c r="BN149" s="72">
        <f t="shared" si="14"/>
        <v>0</v>
      </c>
      <c r="BO149" s="72">
        <f t="shared" si="15"/>
        <v>0</v>
      </c>
      <c r="BP149" s="72">
        <f t="shared" si="16"/>
        <v>0</v>
      </c>
    </row>
  </sheetData>
  <mergeCells count="13">
    <mergeCell ref="BL3:BP3"/>
    <mergeCell ref="BG3:BK3"/>
    <mergeCell ref="D3:H3"/>
    <mergeCell ref="I3:M3"/>
    <mergeCell ref="N3:R3"/>
    <mergeCell ref="S3:W3"/>
    <mergeCell ref="X3:AB3"/>
    <mergeCell ref="AC3:AG3"/>
    <mergeCell ref="AH3:AL3"/>
    <mergeCell ref="AM3:AQ3"/>
    <mergeCell ref="AR3:AV3"/>
    <mergeCell ref="AW3:BA3"/>
    <mergeCell ref="BB3:BF3"/>
  </mergeCells>
  <conditionalFormatting sqref="B88:B97 B5:B86 B107:B123 B99:B105">
    <cfRule type="duplicateValues" dxfId="384" priority="93"/>
  </conditionalFormatting>
  <conditionalFormatting sqref="C5">
    <cfRule type="duplicateValues" dxfId="383" priority="92"/>
  </conditionalFormatting>
  <conditionalFormatting sqref="C105">
    <cfRule type="duplicateValues" dxfId="382" priority="91"/>
  </conditionalFormatting>
  <conditionalFormatting sqref="C107">
    <cfRule type="duplicateValues" dxfId="381" priority="90"/>
  </conditionalFormatting>
  <conditionalFormatting sqref="C108">
    <cfRule type="duplicateValues" dxfId="380" priority="89"/>
  </conditionalFormatting>
  <conditionalFormatting sqref="C109">
    <cfRule type="duplicateValues" dxfId="379" priority="88"/>
  </conditionalFormatting>
  <conditionalFormatting sqref="C110">
    <cfRule type="duplicateValues" dxfId="378" priority="87"/>
  </conditionalFormatting>
  <conditionalFormatting sqref="C111:C114">
    <cfRule type="duplicateValues" dxfId="377" priority="86"/>
  </conditionalFormatting>
  <conditionalFormatting sqref="C107:C114 C5:C97 C99:C105">
    <cfRule type="duplicateValues" dxfId="376" priority="85"/>
  </conditionalFormatting>
  <conditionalFormatting sqref="C85:C97 C107:C114 C99:C105">
    <cfRule type="duplicateValues" dxfId="375" priority="84"/>
  </conditionalFormatting>
  <conditionalFormatting sqref="C85:C97 C99:C105">
    <cfRule type="duplicateValues" dxfId="374" priority="83"/>
  </conditionalFormatting>
  <conditionalFormatting sqref="C107:C113 C5:C97 C99:C105">
    <cfRule type="duplicateValues" dxfId="373" priority="82"/>
  </conditionalFormatting>
  <conditionalFormatting sqref="C115">
    <cfRule type="duplicateValues" dxfId="372" priority="81"/>
  </conditionalFormatting>
  <conditionalFormatting sqref="C115">
    <cfRule type="duplicateValues" dxfId="371" priority="80"/>
  </conditionalFormatting>
  <conditionalFormatting sqref="C116">
    <cfRule type="duplicateValues" dxfId="370" priority="79"/>
  </conditionalFormatting>
  <conditionalFormatting sqref="C116">
    <cfRule type="duplicateValues" dxfId="369" priority="78"/>
  </conditionalFormatting>
  <conditionalFormatting sqref="C117">
    <cfRule type="duplicateValues" dxfId="368" priority="77"/>
  </conditionalFormatting>
  <conditionalFormatting sqref="C117">
    <cfRule type="duplicateValues" dxfId="367" priority="76"/>
  </conditionalFormatting>
  <conditionalFormatting sqref="C118">
    <cfRule type="duplicateValues" dxfId="366" priority="75"/>
  </conditionalFormatting>
  <conditionalFormatting sqref="C118">
    <cfRule type="duplicateValues" dxfId="365" priority="74"/>
  </conditionalFormatting>
  <conditionalFormatting sqref="C119">
    <cfRule type="duplicateValues" dxfId="364" priority="73"/>
  </conditionalFormatting>
  <conditionalFormatting sqref="C119">
    <cfRule type="duplicateValues" dxfId="363" priority="72"/>
  </conditionalFormatting>
  <conditionalFormatting sqref="C120">
    <cfRule type="duplicateValues" dxfId="362" priority="71"/>
  </conditionalFormatting>
  <conditionalFormatting sqref="C120">
    <cfRule type="duplicateValues" dxfId="361" priority="70"/>
  </conditionalFormatting>
  <conditionalFormatting sqref="C121">
    <cfRule type="duplicateValues" dxfId="360" priority="69"/>
  </conditionalFormatting>
  <conditionalFormatting sqref="C121">
    <cfRule type="duplicateValues" dxfId="359" priority="68"/>
  </conditionalFormatting>
  <conditionalFormatting sqref="C122">
    <cfRule type="duplicateValues" dxfId="358" priority="67"/>
  </conditionalFormatting>
  <conditionalFormatting sqref="C122">
    <cfRule type="duplicateValues" dxfId="357" priority="66"/>
  </conditionalFormatting>
  <conditionalFormatting sqref="C123">
    <cfRule type="duplicateValues" dxfId="356" priority="65"/>
  </conditionalFormatting>
  <conditionalFormatting sqref="C123">
    <cfRule type="duplicateValues" dxfId="355" priority="64"/>
  </conditionalFormatting>
  <conditionalFormatting sqref="C107:C123 C5:C97 C99:C105">
    <cfRule type="duplicateValues" dxfId="354" priority="63"/>
  </conditionalFormatting>
  <conditionalFormatting sqref="B106">
    <cfRule type="duplicateValues" dxfId="353" priority="62"/>
  </conditionalFormatting>
  <conditionalFormatting sqref="C106">
    <cfRule type="duplicateValues" dxfId="352" priority="61"/>
  </conditionalFormatting>
  <conditionalFormatting sqref="C106">
    <cfRule type="duplicateValues" dxfId="351" priority="60"/>
  </conditionalFormatting>
  <conditionalFormatting sqref="C106">
    <cfRule type="duplicateValues" dxfId="350" priority="59"/>
  </conditionalFormatting>
  <conditionalFormatting sqref="C106">
    <cfRule type="duplicateValues" dxfId="349" priority="58"/>
  </conditionalFormatting>
  <conditionalFormatting sqref="C106">
    <cfRule type="duplicateValues" dxfId="348" priority="57"/>
  </conditionalFormatting>
  <conditionalFormatting sqref="C106">
    <cfRule type="duplicateValues" dxfId="347" priority="56"/>
  </conditionalFormatting>
  <conditionalFormatting sqref="C106">
    <cfRule type="duplicateValues" dxfId="346" priority="55"/>
  </conditionalFormatting>
  <conditionalFormatting sqref="B128">
    <cfRule type="duplicateValues" dxfId="345" priority="54"/>
  </conditionalFormatting>
  <conditionalFormatting sqref="C128">
    <cfRule type="duplicateValues" dxfId="344" priority="53"/>
  </conditionalFormatting>
  <conditionalFormatting sqref="C128">
    <cfRule type="duplicateValues" dxfId="343" priority="52"/>
  </conditionalFormatting>
  <conditionalFormatting sqref="C128">
    <cfRule type="duplicateValues" dxfId="342" priority="51"/>
  </conditionalFormatting>
  <conditionalFormatting sqref="C128">
    <cfRule type="duplicateValues" dxfId="341" priority="50"/>
  </conditionalFormatting>
  <conditionalFormatting sqref="C128">
    <cfRule type="duplicateValues" dxfId="340" priority="49"/>
  </conditionalFormatting>
  <conditionalFormatting sqref="C128">
    <cfRule type="duplicateValues" dxfId="339" priority="48"/>
  </conditionalFormatting>
  <conditionalFormatting sqref="C128">
    <cfRule type="duplicateValues" dxfId="338" priority="47"/>
  </conditionalFormatting>
  <conditionalFormatting sqref="B129">
    <cfRule type="duplicateValues" dxfId="337" priority="46"/>
  </conditionalFormatting>
  <conditionalFormatting sqref="C129">
    <cfRule type="duplicateValues" dxfId="336" priority="45"/>
  </conditionalFormatting>
  <conditionalFormatting sqref="C129">
    <cfRule type="duplicateValues" dxfId="335" priority="44"/>
  </conditionalFormatting>
  <conditionalFormatting sqref="C129">
    <cfRule type="duplicateValues" dxfId="334" priority="43"/>
  </conditionalFormatting>
  <conditionalFormatting sqref="C129">
    <cfRule type="duplicateValues" dxfId="333" priority="42"/>
  </conditionalFormatting>
  <conditionalFormatting sqref="C129">
    <cfRule type="duplicateValues" dxfId="332" priority="41"/>
  </conditionalFormatting>
  <conditionalFormatting sqref="C129">
    <cfRule type="duplicateValues" dxfId="331" priority="40"/>
  </conditionalFormatting>
  <conditionalFormatting sqref="C129">
    <cfRule type="duplicateValues" dxfId="330" priority="39"/>
  </conditionalFormatting>
  <conditionalFormatting sqref="B130">
    <cfRule type="duplicateValues" dxfId="329" priority="38"/>
  </conditionalFormatting>
  <conditionalFormatting sqref="B131">
    <cfRule type="duplicateValues" dxfId="328" priority="37"/>
  </conditionalFormatting>
  <conditionalFormatting sqref="B134">
    <cfRule type="duplicateValues" dxfId="327" priority="36"/>
  </conditionalFormatting>
  <conditionalFormatting sqref="C134">
    <cfRule type="duplicateValues" dxfId="326" priority="35"/>
  </conditionalFormatting>
  <conditionalFormatting sqref="C134">
    <cfRule type="duplicateValues" dxfId="325" priority="34"/>
  </conditionalFormatting>
  <conditionalFormatting sqref="C134">
    <cfRule type="duplicateValues" dxfId="324" priority="33"/>
  </conditionalFormatting>
  <conditionalFormatting sqref="C134">
    <cfRule type="duplicateValues" dxfId="323" priority="32"/>
  </conditionalFormatting>
  <conditionalFormatting sqref="C134">
    <cfRule type="duplicateValues" dxfId="322" priority="31"/>
  </conditionalFormatting>
  <conditionalFormatting sqref="C134">
    <cfRule type="duplicateValues" dxfId="321" priority="30"/>
  </conditionalFormatting>
  <conditionalFormatting sqref="C134">
    <cfRule type="duplicateValues" dxfId="320" priority="29"/>
  </conditionalFormatting>
  <conditionalFormatting sqref="B139:B142">
    <cfRule type="duplicateValues" dxfId="319" priority="28"/>
  </conditionalFormatting>
  <conditionalFormatting sqref="B143">
    <cfRule type="duplicateValues" dxfId="318" priority="27"/>
  </conditionalFormatting>
  <conditionalFormatting sqref="C143">
    <cfRule type="duplicateValues" dxfId="317" priority="26"/>
  </conditionalFormatting>
  <conditionalFormatting sqref="C143">
    <cfRule type="duplicateValues" dxfId="316" priority="25"/>
  </conditionalFormatting>
  <conditionalFormatting sqref="C143">
    <cfRule type="duplicateValues" dxfId="315" priority="24"/>
  </conditionalFormatting>
  <conditionalFormatting sqref="B144">
    <cfRule type="duplicateValues" dxfId="314" priority="23"/>
  </conditionalFormatting>
  <conditionalFormatting sqref="C144">
    <cfRule type="duplicateValues" dxfId="313" priority="22"/>
  </conditionalFormatting>
  <conditionalFormatting sqref="C144">
    <cfRule type="duplicateValues" dxfId="312" priority="21"/>
  </conditionalFormatting>
  <conditionalFormatting sqref="C144">
    <cfRule type="duplicateValues" dxfId="311" priority="20"/>
  </conditionalFormatting>
  <conditionalFormatting sqref="B145">
    <cfRule type="duplicateValues" dxfId="310" priority="19"/>
  </conditionalFormatting>
  <conditionalFormatting sqref="C145">
    <cfRule type="duplicateValues" dxfId="309" priority="18"/>
  </conditionalFormatting>
  <conditionalFormatting sqref="C145">
    <cfRule type="duplicateValues" dxfId="308" priority="17"/>
  </conditionalFormatting>
  <conditionalFormatting sqref="C145">
    <cfRule type="duplicateValues" dxfId="307" priority="16"/>
  </conditionalFormatting>
  <conditionalFormatting sqref="B146">
    <cfRule type="duplicateValues" dxfId="306" priority="15"/>
  </conditionalFormatting>
  <conditionalFormatting sqref="C146">
    <cfRule type="duplicateValues" dxfId="305" priority="14"/>
  </conditionalFormatting>
  <conditionalFormatting sqref="C146">
    <cfRule type="duplicateValues" dxfId="304" priority="13"/>
  </conditionalFormatting>
  <conditionalFormatting sqref="C146">
    <cfRule type="duplicateValues" dxfId="303" priority="12"/>
  </conditionalFormatting>
  <conditionalFormatting sqref="B147">
    <cfRule type="duplicateValues" dxfId="302" priority="11"/>
  </conditionalFormatting>
  <conditionalFormatting sqref="C147">
    <cfRule type="duplicateValues" dxfId="301" priority="10"/>
  </conditionalFormatting>
  <conditionalFormatting sqref="C147">
    <cfRule type="duplicateValues" dxfId="300" priority="9"/>
  </conditionalFormatting>
  <conditionalFormatting sqref="C147">
    <cfRule type="duplicateValues" dxfId="299" priority="8"/>
  </conditionalFormatting>
  <conditionalFormatting sqref="B98">
    <cfRule type="duplicateValues" dxfId="298" priority="94"/>
  </conditionalFormatting>
  <conditionalFormatting sqref="B148">
    <cfRule type="duplicateValues" dxfId="297" priority="7"/>
  </conditionalFormatting>
  <conditionalFormatting sqref="C148">
    <cfRule type="duplicateValues" dxfId="296" priority="6"/>
  </conditionalFormatting>
  <conditionalFormatting sqref="C148">
    <cfRule type="duplicateValues" dxfId="295" priority="5"/>
  </conditionalFormatting>
  <conditionalFormatting sqref="C148">
    <cfRule type="duplicateValues" dxfId="294" priority="4"/>
  </conditionalFormatting>
  <conditionalFormatting sqref="B148:C148">
    <cfRule type="duplicateValues" dxfId="293" priority="3"/>
  </conditionalFormatting>
  <conditionalFormatting sqref="B5:C148">
    <cfRule type="duplicateValues" dxfId="292" priority="95"/>
  </conditionalFormatting>
  <conditionalFormatting sqref="B5:C147">
    <cfRule type="duplicateValues" dxfId="291" priority="96"/>
  </conditionalFormatting>
  <conditionalFormatting sqref="C5:C148">
    <cfRule type="duplicateValues" dxfId="290" priority="97"/>
  </conditionalFormatting>
  <conditionalFormatting sqref="B149:C149">
    <cfRule type="duplicateValues" dxfId="289" priority="144"/>
  </conditionalFormatting>
  <conditionalFormatting sqref="B5:C149">
    <cfRule type="duplicateValues" dxfId="288" priority="145"/>
  </conditionalFormatting>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EW241"/>
  <sheetViews>
    <sheetView workbookViewId="0"/>
  </sheetViews>
  <sheetFormatPr defaultColWidth="9.109375" defaultRowHeight="10.199999999999999" x14ac:dyDescent="0.2"/>
  <cols>
    <col min="1" max="1" width="4" style="11" customWidth="1"/>
    <col min="2" max="2" width="24.109375" style="11" customWidth="1"/>
    <col min="3" max="3" width="17.44140625" style="11" customWidth="1"/>
    <col min="4" max="4" width="13.33203125" style="11" customWidth="1"/>
    <col min="5" max="5" width="14.109375" style="11" customWidth="1"/>
    <col min="6" max="6" width="11.5546875" style="11" customWidth="1"/>
    <col min="7" max="7" width="11.109375" style="11" customWidth="1"/>
    <col min="8" max="8" width="12.5546875" style="11" customWidth="1"/>
    <col min="9" max="9" width="12.33203125" style="11" customWidth="1"/>
    <col min="10" max="10" width="11.88671875" style="11" customWidth="1"/>
    <col min="11" max="11" width="12.6640625" style="11" bestFit="1" customWidth="1"/>
    <col min="12" max="12" width="14" style="11" customWidth="1"/>
    <col min="13" max="13" width="10" style="11" customWidth="1"/>
    <col min="14" max="14" width="12.44140625" style="11" customWidth="1"/>
    <col min="15" max="15" width="12.109375" style="11" customWidth="1"/>
    <col min="16" max="16" width="9.109375" style="11"/>
    <col min="17" max="17" width="12" style="11" customWidth="1"/>
    <col min="18" max="18" width="11.88671875" style="11" customWidth="1"/>
    <col min="19" max="19" width="10.5546875" style="11" customWidth="1"/>
    <col min="20" max="16384" width="9.109375" style="11"/>
  </cols>
  <sheetData>
    <row r="2" spans="1:16377" x14ac:dyDescent="0.2">
      <c r="C2" s="201"/>
      <c r="D2" s="489"/>
      <c r="E2" s="489"/>
      <c r="F2" s="489"/>
      <c r="G2" s="489"/>
      <c r="H2" s="489"/>
      <c r="I2" s="489"/>
      <c r="J2" s="489"/>
      <c r="K2" s="489"/>
      <c r="L2" s="1471" t="s">
        <v>3365</v>
      </c>
      <c r="M2" s="1471"/>
      <c r="N2" s="1471"/>
    </row>
    <row r="3" spans="1:16377" x14ac:dyDescent="0.2">
      <c r="A3" s="490"/>
      <c r="B3" s="490" t="s">
        <v>347</v>
      </c>
      <c r="C3" s="491"/>
      <c r="D3" s="492">
        <f t="shared" ref="D3:O3" si="0">SUM(D6:D9995)</f>
        <v>28914751.110000003</v>
      </c>
      <c r="E3" s="492">
        <f t="shared" si="0"/>
        <v>23799596.210000008</v>
      </c>
      <c r="F3" s="492">
        <f t="shared" si="0"/>
        <v>256716.04880000002</v>
      </c>
      <c r="G3" s="492">
        <f t="shared" si="0"/>
        <v>228406.34</v>
      </c>
      <c r="H3" s="492">
        <f t="shared" si="0"/>
        <v>3039898.074500002</v>
      </c>
      <c r="I3" s="492">
        <f t="shared" si="0"/>
        <v>2545176.08</v>
      </c>
      <c r="J3" s="492">
        <f t="shared" si="0"/>
        <v>3039898.074500002</v>
      </c>
      <c r="K3" s="492">
        <f t="shared" si="0"/>
        <v>2545176.08</v>
      </c>
      <c r="L3" s="492">
        <f t="shared" si="0"/>
        <v>5115154.9000000004</v>
      </c>
      <c r="M3" s="492">
        <f t="shared" si="0"/>
        <v>28309.708800000008</v>
      </c>
      <c r="N3" s="492">
        <f t="shared" si="0"/>
        <v>494721.99450000096</v>
      </c>
      <c r="O3" s="492">
        <f t="shared" si="0"/>
        <v>494721.99450000096</v>
      </c>
    </row>
    <row r="4" spans="1:16377" x14ac:dyDescent="0.2">
      <c r="A4" s="490"/>
      <c r="B4" s="490"/>
      <c r="C4" s="491"/>
      <c r="D4" s="1472" t="s">
        <v>315</v>
      </c>
      <c r="E4" s="1472"/>
      <c r="F4" s="1472" t="s">
        <v>16</v>
      </c>
      <c r="G4" s="1472"/>
      <c r="H4" s="1472" t="s">
        <v>17</v>
      </c>
      <c r="I4" s="1472"/>
      <c r="J4" s="1472" t="s">
        <v>18</v>
      </c>
      <c r="K4" s="1472"/>
      <c r="L4" s="1473" t="s">
        <v>3366</v>
      </c>
      <c r="M4" s="1473"/>
      <c r="N4" s="1473"/>
      <c r="O4" s="1473"/>
    </row>
    <row r="5" spans="1:16377" ht="30.6" x14ac:dyDescent="0.2">
      <c r="A5" s="493" t="s">
        <v>3367</v>
      </c>
      <c r="B5" s="493" t="s">
        <v>3368</v>
      </c>
      <c r="C5" s="493" t="s">
        <v>3369</v>
      </c>
      <c r="D5" s="494" t="s">
        <v>3370</v>
      </c>
      <c r="E5" s="494" t="s">
        <v>3371</v>
      </c>
      <c r="F5" s="494" t="s">
        <v>3370</v>
      </c>
      <c r="G5" s="494" t="s">
        <v>3371</v>
      </c>
      <c r="H5" s="494" t="s">
        <v>3370</v>
      </c>
      <c r="I5" s="494" t="s">
        <v>3371</v>
      </c>
      <c r="J5" s="494" t="s">
        <v>3370</v>
      </c>
      <c r="K5" s="494" t="s">
        <v>3371</v>
      </c>
      <c r="L5" s="495" t="s">
        <v>315</v>
      </c>
      <c r="M5" s="495" t="s">
        <v>16</v>
      </c>
      <c r="N5" s="495" t="s">
        <v>17</v>
      </c>
      <c r="O5" s="495" t="s">
        <v>18</v>
      </c>
      <c r="P5" s="495" t="s">
        <v>3372</v>
      </c>
      <c r="Q5" s="496" t="s">
        <v>3678</v>
      </c>
      <c r="R5" s="496" t="s">
        <v>3679</v>
      </c>
      <c r="S5" s="496" t="s">
        <v>3680</v>
      </c>
      <c r="T5" s="496"/>
      <c r="U5" s="496"/>
      <c r="V5" s="496"/>
      <c r="W5" s="496"/>
      <c r="X5" s="496"/>
      <c r="Y5" s="496"/>
      <c r="Z5" s="496"/>
      <c r="AA5" s="496"/>
      <c r="AB5" s="496"/>
      <c r="AC5" s="496"/>
      <c r="AD5" s="496"/>
      <c r="AE5" s="496"/>
      <c r="AF5" s="496"/>
      <c r="AG5" s="496"/>
      <c r="AH5" s="496"/>
      <c r="AI5" s="496"/>
      <c r="AJ5" s="496"/>
      <c r="AK5" s="496"/>
      <c r="AL5" s="496"/>
      <c r="AM5" s="496"/>
      <c r="AN5" s="496"/>
      <c r="AO5" s="496"/>
      <c r="AP5" s="496"/>
      <c r="AQ5" s="496"/>
      <c r="AR5" s="496"/>
      <c r="AS5" s="496"/>
      <c r="AT5" s="496"/>
      <c r="AU5" s="496"/>
      <c r="AV5" s="496"/>
      <c r="AW5" s="496"/>
      <c r="AX5" s="496"/>
      <c r="AY5" s="496"/>
      <c r="AZ5" s="496"/>
      <c r="BA5" s="496"/>
      <c r="BB5" s="496"/>
      <c r="BC5" s="496"/>
      <c r="BD5" s="496"/>
      <c r="BE5" s="496"/>
      <c r="BF5" s="496"/>
      <c r="BG5" s="496"/>
      <c r="BH5" s="496"/>
      <c r="BI5" s="496"/>
      <c r="BJ5" s="496"/>
      <c r="BK5" s="496"/>
      <c r="BL5" s="496"/>
      <c r="BM5" s="496"/>
      <c r="BN5" s="496"/>
      <c r="BO5" s="496"/>
      <c r="BP5" s="496"/>
      <c r="BQ5" s="496"/>
      <c r="BR5" s="496"/>
      <c r="BS5" s="496"/>
      <c r="BT5" s="496"/>
      <c r="BU5" s="496"/>
      <c r="BV5" s="496"/>
      <c r="BW5" s="496"/>
      <c r="BX5" s="496"/>
      <c r="BY5" s="496"/>
      <c r="BZ5" s="496"/>
      <c r="CA5" s="496"/>
      <c r="CB5" s="496"/>
      <c r="CC5" s="496"/>
      <c r="CD5" s="496"/>
      <c r="CE5" s="496"/>
      <c r="CF5" s="496"/>
      <c r="CG5" s="496"/>
      <c r="CH5" s="496"/>
      <c r="CI5" s="496"/>
      <c r="CJ5" s="496"/>
      <c r="CK5" s="496"/>
      <c r="CL5" s="496"/>
      <c r="CM5" s="496"/>
      <c r="CN5" s="496"/>
      <c r="CO5" s="496"/>
      <c r="CP5" s="496"/>
      <c r="CQ5" s="496"/>
      <c r="CR5" s="496"/>
      <c r="CS5" s="496"/>
      <c r="CT5" s="496"/>
      <c r="CU5" s="496"/>
      <c r="CV5" s="496"/>
      <c r="CW5" s="496"/>
      <c r="CX5" s="496"/>
      <c r="CY5" s="496"/>
      <c r="CZ5" s="496"/>
      <c r="DA5" s="496"/>
      <c r="DB5" s="496"/>
      <c r="DC5" s="496"/>
      <c r="DD5" s="496"/>
      <c r="DE5" s="496"/>
      <c r="DF5" s="496"/>
      <c r="DG5" s="496"/>
      <c r="DH5" s="496"/>
      <c r="DI5" s="496"/>
      <c r="DJ5" s="496"/>
      <c r="DK5" s="496"/>
      <c r="DL5" s="496"/>
      <c r="DM5" s="496"/>
      <c r="DN5" s="496"/>
      <c r="DO5" s="496"/>
      <c r="DP5" s="496"/>
      <c r="DQ5" s="496"/>
      <c r="DR5" s="496"/>
      <c r="DS5" s="496"/>
      <c r="DT5" s="496"/>
      <c r="DU5" s="496"/>
      <c r="DV5" s="496"/>
      <c r="DW5" s="496"/>
      <c r="DX5" s="496"/>
      <c r="DY5" s="496"/>
      <c r="DZ5" s="496"/>
      <c r="EA5" s="496"/>
      <c r="EB5" s="496"/>
      <c r="EC5" s="496"/>
      <c r="ED5" s="496"/>
      <c r="EE5" s="496"/>
      <c r="EF5" s="496"/>
      <c r="EG5" s="496"/>
      <c r="EH5" s="496"/>
      <c r="EI5" s="496"/>
      <c r="EJ5" s="496"/>
      <c r="EK5" s="496"/>
      <c r="EL5" s="496"/>
      <c r="EM5" s="496"/>
      <c r="EN5" s="496"/>
      <c r="EO5" s="496"/>
      <c r="EP5" s="496"/>
      <c r="EQ5" s="496"/>
      <c r="ER5" s="496"/>
      <c r="ES5" s="496"/>
      <c r="ET5" s="496"/>
      <c r="EU5" s="496"/>
      <c r="EV5" s="496"/>
      <c r="EW5" s="496"/>
      <c r="EX5" s="496"/>
      <c r="EY5" s="496"/>
      <c r="EZ5" s="496"/>
      <c r="FA5" s="496"/>
      <c r="FB5" s="496"/>
      <c r="FC5" s="496"/>
      <c r="FD5" s="496"/>
      <c r="FE5" s="496"/>
      <c r="FF5" s="496"/>
      <c r="FG5" s="496"/>
      <c r="FH5" s="496"/>
      <c r="FI5" s="496"/>
      <c r="FJ5" s="496"/>
      <c r="FK5" s="496"/>
      <c r="FL5" s="496"/>
      <c r="FM5" s="496"/>
      <c r="FN5" s="496"/>
      <c r="FO5" s="496"/>
      <c r="FP5" s="496"/>
      <c r="FQ5" s="496"/>
      <c r="FR5" s="496"/>
      <c r="FS5" s="496"/>
      <c r="FT5" s="496"/>
      <c r="FU5" s="496"/>
      <c r="FV5" s="496"/>
      <c r="FW5" s="496"/>
      <c r="FX5" s="496"/>
      <c r="FY5" s="496"/>
      <c r="FZ5" s="496"/>
      <c r="GA5" s="496"/>
      <c r="GB5" s="496"/>
      <c r="GC5" s="496"/>
      <c r="GD5" s="496"/>
      <c r="GE5" s="496"/>
      <c r="GF5" s="496"/>
      <c r="GG5" s="496"/>
      <c r="GH5" s="496"/>
      <c r="GI5" s="496"/>
      <c r="GJ5" s="496"/>
      <c r="GK5" s="496"/>
      <c r="GL5" s="496"/>
      <c r="GM5" s="496"/>
      <c r="GN5" s="496"/>
      <c r="GO5" s="496"/>
      <c r="GP5" s="496"/>
      <c r="GQ5" s="496"/>
      <c r="GR5" s="496"/>
      <c r="GS5" s="496"/>
      <c r="GT5" s="496"/>
      <c r="GU5" s="496"/>
      <c r="GV5" s="496"/>
      <c r="GW5" s="496"/>
      <c r="GX5" s="496"/>
      <c r="GY5" s="496"/>
      <c r="GZ5" s="496"/>
      <c r="HA5" s="496"/>
      <c r="HB5" s="496"/>
      <c r="HC5" s="496"/>
      <c r="HD5" s="496"/>
      <c r="HE5" s="496"/>
      <c r="HF5" s="496"/>
      <c r="HG5" s="496"/>
      <c r="HH5" s="496"/>
      <c r="HI5" s="496"/>
      <c r="HJ5" s="496"/>
      <c r="HK5" s="496"/>
      <c r="HL5" s="496"/>
      <c r="HM5" s="496"/>
      <c r="HN5" s="496"/>
      <c r="HO5" s="496"/>
      <c r="HP5" s="496"/>
      <c r="HQ5" s="496"/>
      <c r="HR5" s="496"/>
      <c r="HS5" s="496"/>
      <c r="HT5" s="496"/>
      <c r="HU5" s="496"/>
      <c r="HV5" s="496"/>
      <c r="HW5" s="496"/>
      <c r="HX5" s="496"/>
      <c r="HY5" s="496"/>
      <c r="HZ5" s="496"/>
      <c r="IA5" s="496"/>
      <c r="IB5" s="496"/>
      <c r="IC5" s="496"/>
      <c r="ID5" s="496"/>
      <c r="IE5" s="496"/>
      <c r="IF5" s="496"/>
      <c r="IG5" s="496"/>
      <c r="IH5" s="496"/>
      <c r="II5" s="496"/>
      <c r="IJ5" s="496"/>
      <c r="IK5" s="496"/>
      <c r="IL5" s="496"/>
      <c r="IM5" s="496"/>
      <c r="IN5" s="496"/>
      <c r="IO5" s="496"/>
      <c r="IP5" s="496"/>
      <c r="IQ5" s="496"/>
      <c r="IR5" s="496"/>
      <c r="IS5" s="496"/>
      <c r="IT5" s="496"/>
      <c r="IU5" s="496"/>
      <c r="IV5" s="496"/>
      <c r="IW5" s="496"/>
      <c r="IX5" s="496"/>
      <c r="IY5" s="496"/>
      <c r="IZ5" s="496"/>
      <c r="JA5" s="496"/>
      <c r="JB5" s="496"/>
      <c r="JC5" s="496"/>
      <c r="JD5" s="496"/>
      <c r="JE5" s="496"/>
      <c r="JF5" s="496"/>
      <c r="JG5" s="496"/>
      <c r="JH5" s="496"/>
      <c r="JI5" s="496"/>
      <c r="JJ5" s="496"/>
      <c r="JK5" s="496"/>
      <c r="JL5" s="496"/>
      <c r="JM5" s="496"/>
      <c r="JN5" s="496"/>
      <c r="JO5" s="496"/>
      <c r="JP5" s="496"/>
      <c r="JQ5" s="496"/>
      <c r="JR5" s="496"/>
      <c r="JS5" s="496"/>
      <c r="JT5" s="496"/>
      <c r="JU5" s="496"/>
      <c r="JV5" s="496"/>
      <c r="JW5" s="496"/>
      <c r="JX5" s="496"/>
      <c r="JY5" s="496"/>
      <c r="JZ5" s="496"/>
      <c r="KA5" s="496"/>
      <c r="KB5" s="496"/>
      <c r="KC5" s="496"/>
      <c r="KD5" s="496"/>
      <c r="KE5" s="496"/>
      <c r="KF5" s="496"/>
      <c r="KG5" s="496"/>
      <c r="KH5" s="496"/>
      <c r="KI5" s="496"/>
      <c r="KJ5" s="496"/>
      <c r="KK5" s="496"/>
      <c r="KL5" s="496"/>
      <c r="KM5" s="496"/>
      <c r="KN5" s="496"/>
      <c r="KO5" s="496"/>
      <c r="KP5" s="496"/>
      <c r="KQ5" s="496"/>
      <c r="KR5" s="496"/>
      <c r="KS5" s="496"/>
      <c r="KT5" s="496"/>
      <c r="KU5" s="496"/>
      <c r="KV5" s="496"/>
      <c r="KW5" s="496"/>
      <c r="KX5" s="496"/>
      <c r="KY5" s="496"/>
      <c r="KZ5" s="496"/>
      <c r="LA5" s="496"/>
      <c r="LB5" s="496"/>
      <c r="LC5" s="496"/>
      <c r="LD5" s="496"/>
      <c r="LE5" s="496"/>
      <c r="LF5" s="496"/>
      <c r="LG5" s="496"/>
      <c r="LH5" s="496"/>
      <c r="LI5" s="496"/>
      <c r="LJ5" s="496"/>
      <c r="LK5" s="496"/>
      <c r="LL5" s="496"/>
      <c r="LM5" s="496"/>
      <c r="LN5" s="496"/>
      <c r="LO5" s="496"/>
      <c r="LP5" s="496"/>
      <c r="LQ5" s="496"/>
      <c r="LR5" s="496"/>
      <c r="LS5" s="496"/>
      <c r="LT5" s="496"/>
      <c r="LU5" s="496"/>
      <c r="LV5" s="496"/>
      <c r="LW5" s="496"/>
      <c r="LX5" s="496"/>
      <c r="LY5" s="496"/>
      <c r="LZ5" s="496"/>
      <c r="MA5" s="496"/>
      <c r="MB5" s="496"/>
      <c r="MC5" s="496"/>
      <c r="MD5" s="496"/>
      <c r="ME5" s="496"/>
      <c r="MF5" s="496"/>
      <c r="MG5" s="496"/>
      <c r="MH5" s="496"/>
      <c r="MI5" s="496"/>
      <c r="MJ5" s="496"/>
      <c r="MK5" s="496"/>
      <c r="ML5" s="496"/>
      <c r="MM5" s="496"/>
      <c r="MN5" s="496"/>
      <c r="MO5" s="496"/>
      <c r="MP5" s="496"/>
      <c r="MQ5" s="496"/>
      <c r="MR5" s="496"/>
      <c r="MS5" s="496"/>
      <c r="MT5" s="496"/>
      <c r="MU5" s="496"/>
      <c r="MV5" s="496"/>
      <c r="MW5" s="496"/>
      <c r="MX5" s="496"/>
      <c r="MY5" s="496"/>
      <c r="MZ5" s="496"/>
      <c r="NA5" s="496"/>
      <c r="NB5" s="496"/>
      <c r="NC5" s="496"/>
      <c r="ND5" s="496"/>
      <c r="NE5" s="496"/>
      <c r="NF5" s="496"/>
      <c r="NG5" s="496"/>
      <c r="NH5" s="496"/>
      <c r="NI5" s="496"/>
      <c r="NJ5" s="496"/>
      <c r="NK5" s="496"/>
      <c r="NL5" s="496"/>
      <c r="NM5" s="496"/>
      <c r="NN5" s="496"/>
      <c r="NO5" s="496"/>
      <c r="NP5" s="496"/>
      <c r="NQ5" s="496"/>
      <c r="NR5" s="496"/>
      <c r="NS5" s="496"/>
      <c r="NT5" s="496"/>
      <c r="NU5" s="496"/>
      <c r="NV5" s="496"/>
      <c r="NW5" s="496"/>
      <c r="NX5" s="496"/>
      <c r="NY5" s="496"/>
      <c r="NZ5" s="496"/>
      <c r="OA5" s="496"/>
      <c r="OB5" s="496"/>
      <c r="OC5" s="496"/>
      <c r="OD5" s="496"/>
      <c r="OE5" s="496"/>
      <c r="OF5" s="496"/>
      <c r="OG5" s="496"/>
      <c r="OH5" s="496"/>
      <c r="OI5" s="496"/>
      <c r="OJ5" s="496"/>
      <c r="OK5" s="496"/>
      <c r="OL5" s="496"/>
      <c r="OM5" s="496"/>
      <c r="ON5" s="496"/>
      <c r="OO5" s="496"/>
      <c r="OP5" s="496"/>
      <c r="OQ5" s="496"/>
      <c r="OR5" s="496"/>
      <c r="OS5" s="496"/>
      <c r="OT5" s="496"/>
      <c r="OU5" s="496"/>
      <c r="OV5" s="496"/>
      <c r="OW5" s="496"/>
      <c r="OX5" s="496"/>
      <c r="OY5" s="496"/>
      <c r="OZ5" s="496"/>
      <c r="PA5" s="496"/>
      <c r="PB5" s="496"/>
      <c r="PC5" s="496"/>
      <c r="PD5" s="496"/>
      <c r="PE5" s="496"/>
      <c r="PF5" s="496"/>
      <c r="PG5" s="496"/>
      <c r="PH5" s="496"/>
      <c r="PI5" s="496"/>
      <c r="PJ5" s="496"/>
      <c r="PK5" s="496"/>
      <c r="PL5" s="496"/>
      <c r="PM5" s="496"/>
      <c r="PN5" s="496"/>
      <c r="PO5" s="496"/>
      <c r="PP5" s="496"/>
      <c r="PQ5" s="496"/>
      <c r="PR5" s="496"/>
      <c r="PS5" s="496"/>
      <c r="PT5" s="496"/>
      <c r="PU5" s="496"/>
      <c r="PV5" s="496"/>
      <c r="PW5" s="496"/>
      <c r="PX5" s="496"/>
      <c r="PY5" s="496"/>
      <c r="PZ5" s="496"/>
      <c r="QA5" s="496"/>
      <c r="QB5" s="496"/>
      <c r="QC5" s="496"/>
      <c r="QD5" s="496"/>
      <c r="QE5" s="496"/>
      <c r="QF5" s="496"/>
      <c r="QG5" s="496"/>
      <c r="QH5" s="496"/>
      <c r="QI5" s="496"/>
      <c r="QJ5" s="496"/>
      <c r="QK5" s="496"/>
      <c r="QL5" s="496"/>
      <c r="QM5" s="496"/>
      <c r="QN5" s="496"/>
      <c r="QO5" s="496"/>
      <c r="QP5" s="496"/>
      <c r="QQ5" s="496"/>
      <c r="QR5" s="496"/>
      <c r="QS5" s="496"/>
      <c r="QT5" s="496"/>
      <c r="QU5" s="496"/>
      <c r="QV5" s="496"/>
      <c r="QW5" s="496"/>
      <c r="QX5" s="496"/>
      <c r="QY5" s="496"/>
      <c r="QZ5" s="496"/>
      <c r="RA5" s="496"/>
      <c r="RB5" s="496"/>
      <c r="RC5" s="496"/>
      <c r="RD5" s="496"/>
      <c r="RE5" s="496"/>
      <c r="RF5" s="496"/>
      <c r="RG5" s="496"/>
      <c r="RH5" s="496"/>
      <c r="RI5" s="496"/>
      <c r="RJ5" s="496"/>
      <c r="RK5" s="496"/>
      <c r="RL5" s="496"/>
      <c r="RM5" s="496"/>
      <c r="RN5" s="496"/>
      <c r="RO5" s="496"/>
      <c r="RP5" s="496"/>
      <c r="RQ5" s="496"/>
      <c r="RR5" s="496"/>
      <c r="RS5" s="496"/>
      <c r="RT5" s="496"/>
      <c r="RU5" s="496"/>
      <c r="RV5" s="496"/>
      <c r="RW5" s="496"/>
      <c r="RX5" s="496"/>
      <c r="RY5" s="496"/>
      <c r="RZ5" s="496"/>
      <c r="SA5" s="496"/>
      <c r="SB5" s="496"/>
      <c r="SC5" s="496"/>
      <c r="SD5" s="496"/>
      <c r="SE5" s="496"/>
      <c r="SF5" s="496"/>
      <c r="SG5" s="496"/>
      <c r="SH5" s="496"/>
      <c r="SI5" s="496"/>
      <c r="SJ5" s="496"/>
      <c r="SK5" s="496"/>
      <c r="SL5" s="496"/>
      <c r="SM5" s="496"/>
      <c r="SN5" s="496"/>
      <c r="SO5" s="496"/>
      <c r="SP5" s="496"/>
      <c r="SQ5" s="496"/>
      <c r="SR5" s="496"/>
      <c r="SS5" s="496"/>
      <c r="ST5" s="496"/>
      <c r="SU5" s="496"/>
      <c r="SV5" s="496"/>
      <c r="SW5" s="496"/>
      <c r="SX5" s="496"/>
      <c r="SY5" s="496"/>
      <c r="SZ5" s="496"/>
      <c r="TA5" s="496"/>
      <c r="TB5" s="496"/>
      <c r="TC5" s="496"/>
      <c r="TD5" s="496"/>
      <c r="TE5" s="496"/>
      <c r="TF5" s="496"/>
      <c r="TG5" s="496"/>
      <c r="TH5" s="496"/>
      <c r="TI5" s="496"/>
      <c r="TJ5" s="496"/>
      <c r="TK5" s="496"/>
      <c r="TL5" s="496"/>
      <c r="TM5" s="496"/>
      <c r="TN5" s="496"/>
      <c r="TO5" s="496"/>
      <c r="TP5" s="496"/>
      <c r="TQ5" s="496"/>
      <c r="TR5" s="496"/>
      <c r="TS5" s="496"/>
      <c r="TT5" s="496"/>
      <c r="TU5" s="496"/>
      <c r="TV5" s="496"/>
      <c r="TW5" s="496"/>
      <c r="TX5" s="496"/>
      <c r="TY5" s="496"/>
      <c r="TZ5" s="496"/>
      <c r="UA5" s="496"/>
      <c r="UB5" s="496"/>
      <c r="UC5" s="496"/>
      <c r="UD5" s="496"/>
      <c r="UE5" s="496"/>
      <c r="UF5" s="496"/>
      <c r="UG5" s="496"/>
      <c r="UH5" s="496"/>
      <c r="UI5" s="496"/>
      <c r="UJ5" s="496"/>
      <c r="UK5" s="496"/>
      <c r="UL5" s="496"/>
      <c r="UM5" s="496"/>
      <c r="UN5" s="496"/>
      <c r="UO5" s="496"/>
      <c r="UP5" s="496"/>
      <c r="UQ5" s="496"/>
      <c r="UR5" s="496"/>
      <c r="US5" s="496"/>
      <c r="UT5" s="496"/>
      <c r="UU5" s="496"/>
      <c r="UV5" s="496"/>
      <c r="UW5" s="496"/>
      <c r="UX5" s="496"/>
      <c r="UY5" s="496"/>
      <c r="UZ5" s="496"/>
      <c r="VA5" s="496"/>
      <c r="VB5" s="496"/>
      <c r="VC5" s="496"/>
      <c r="VD5" s="496"/>
      <c r="VE5" s="496"/>
      <c r="VF5" s="496"/>
      <c r="VG5" s="496"/>
      <c r="VH5" s="496"/>
      <c r="VI5" s="496"/>
      <c r="VJ5" s="496"/>
      <c r="VK5" s="496"/>
      <c r="VL5" s="496"/>
      <c r="VM5" s="496"/>
      <c r="VN5" s="496"/>
      <c r="VO5" s="496"/>
      <c r="VP5" s="496"/>
      <c r="VQ5" s="496"/>
      <c r="VR5" s="496"/>
      <c r="VS5" s="496"/>
      <c r="VT5" s="496"/>
      <c r="VU5" s="496"/>
      <c r="VV5" s="496"/>
      <c r="VW5" s="496"/>
      <c r="VX5" s="496"/>
      <c r="VY5" s="496"/>
      <c r="VZ5" s="496"/>
      <c r="WA5" s="496"/>
      <c r="WB5" s="496"/>
      <c r="WC5" s="496"/>
      <c r="WD5" s="496"/>
      <c r="WE5" s="496"/>
      <c r="WF5" s="496"/>
      <c r="WG5" s="496"/>
      <c r="WH5" s="496"/>
      <c r="WI5" s="496"/>
      <c r="WJ5" s="496"/>
      <c r="WK5" s="496"/>
      <c r="WL5" s="496"/>
      <c r="WM5" s="496"/>
      <c r="WN5" s="496"/>
      <c r="WO5" s="496"/>
      <c r="WP5" s="496"/>
      <c r="WQ5" s="496"/>
      <c r="WR5" s="496"/>
      <c r="WS5" s="496"/>
      <c r="WT5" s="496"/>
      <c r="WU5" s="496"/>
      <c r="WV5" s="496"/>
      <c r="WW5" s="496"/>
      <c r="WX5" s="496"/>
      <c r="WY5" s="496"/>
      <c r="WZ5" s="496"/>
      <c r="XA5" s="496"/>
      <c r="XB5" s="496"/>
      <c r="XC5" s="496"/>
      <c r="XD5" s="496"/>
      <c r="XE5" s="496"/>
      <c r="XF5" s="496"/>
      <c r="XG5" s="496"/>
      <c r="XH5" s="496"/>
      <c r="XI5" s="496"/>
      <c r="XJ5" s="496"/>
      <c r="XK5" s="496"/>
      <c r="XL5" s="496"/>
      <c r="XM5" s="496"/>
      <c r="XN5" s="496"/>
      <c r="XO5" s="496"/>
      <c r="XP5" s="496"/>
      <c r="XQ5" s="496"/>
      <c r="XR5" s="496"/>
      <c r="XS5" s="496"/>
      <c r="XT5" s="496"/>
      <c r="XU5" s="496"/>
      <c r="XV5" s="496"/>
      <c r="XW5" s="496"/>
      <c r="XX5" s="496"/>
      <c r="XY5" s="496"/>
      <c r="XZ5" s="496"/>
      <c r="YA5" s="496"/>
      <c r="YB5" s="496"/>
      <c r="YC5" s="496"/>
      <c r="YD5" s="496"/>
      <c r="YE5" s="496"/>
      <c r="YF5" s="496"/>
      <c r="YG5" s="496"/>
      <c r="YH5" s="496"/>
      <c r="YI5" s="496"/>
      <c r="YJ5" s="496"/>
      <c r="YK5" s="496"/>
      <c r="YL5" s="496"/>
      <c r="YM5" s="496"/>
      <c r="YN5" s="496"/>
      <c r="YO5" s="496"/>
      <c r="YP5" s="496"/>
      <c r="YQ5" s="496"/>
      <c r="YR5" s="496"/>
      <c r="YS5" s="496"/>
      <c r="YT5" s="496"/>
      <c r="YU5" s="496"/>
      <c r="YV5" s="496"/>
      <c r="YW5" s="496"/>
      <c r="YX5" s="496"/>
      <c r="YY5" s="496"/>
      <c r="YZ5" s="496"/>
      <c r="ZA5" s="496"/>
      <c r="ZB5" s="496"/>
      <c r="ZC5" s="496"/>
      <c r="ZD5" s="496"/>
      <c r="ZE5" s="496"/>
      <c r="ZF5" s="496"/>
      <c r="ZG5" s="496"/>
      <c r="ZH5" s="496"/>
      <c r="ZI5" s="496"/>
      <c r="ZJ5" s="496"/>
      <c r="ZK5" s="496"/>
      <c r="ZL5" s="496"/>
      <c r="ZM5" s="496"/>
      <c r="ZN5" s="496"/>
      <c r="ZO5" s="496"/>
      <c r="ZP5" s="496"/>
      <c r="ZQ5" s="496"/>
      <c r="ZR5" s="496"/>
      <c r="ZS5" s="496"/>
      <c r="ZT5" s="496"/>
      <c r="ZU5" s="496"/>
      <c r="ZV5" s="496"/>
      <c r="ZW5" s="496"/>
      <c r="ZX5" s="496"/>
      <c r="ZY5" s="496"/>
      <c r="ZZ5" s="496"/>
      <c r="AAA5" s="496"/>
      <c r="AAB5" s="496"/>
      <c r="AAC5" s="496"/>
      <c r="AAD5" s="496"/>
      <c r="AAE5" s="496"/>
      <c r="AAF5" s="496"/>
      <c r="AAG5" s="496"/>
      <c r="AAH5" s="496"/>
      <c r="AAI5" s="496"/>
      <c r="AAJ5" s="496"/>
      <c r="AAK5" s="496"/>
      <c r="AAL5" s="496"/>
      <c r="AAM5" s="496"/>
      <c r="AAN5" s="496"/>
      <c r="AAO5" s="496"/>
      <c r="AAP5" s="496"/>
      <c r="AAQ5" s="496"/>
      <c r="AAR5" s="496"/>
      <c r="AAS5" s="496"/>
      <c r="AAT5" s="496"/>
      <c r="AAU5" s="496"/>
      <c r="AAV5" s="496"/>
      <c r="AAW5" s="496"/>
      <c r="AAX5" s="496"/>
      <c r="AAY5" s="496"/>
      <c r="AAZ5" s="496"/>
      <c r="ABA5" s="496"/>
      <c r="ABB5" s="496"/>
      <c r="ABC5" s="496"/>
      <c r="ABD5" s="496"/>
      <c r="ABE5" s="496"/>
      <c r="ABF5" s="496"/>
      <c r="ABG5" s="496"/>
      <c r="ABH5" s="496"/>
      <c r="ABI5" s="496"/>
      <c r="ABJ5" s="496"/>
      <c r="ABK5" s="496"/>
      <c r="ABL5" s="496"/>
      <c r="ABM5" s="496"/>
      <c r="ABN5" s="496"/>
      <c r="ABO5" s="496"/>
      <c r="ABP5" s="496"/>
      <c r="ABQ5" s="496"/>
      <c r="ABR5" s="496"/>
      <c r="ABS5" s="496"/>
      <c r="ABT5" s="496"/>
      <c r="ABU5" s="496"/>
      <c r="ABV5" s="496"/>
      <c r="ABW5" s="496"/>
      <c r="ABX5" s="496"/>
      <c r="ABY5" s="496"/>
      <c r="ABZ5" s="496"/>
      <c r="ACA5" s="496"/>
      <c r="ACB5" s="496"/>
      <c r="ACC5" s="496"/>
      <c r="ACD5" s="496"/>
      <c r="ACE5" s="496"/>
      <c r="ACF5" s="496"/>
      <c r="ACG5" s="496"/>
      <c r="ACH5" s="496"/>
      <c r="ACI5" s="496"/>
      <c r="ACJ5" s="496"/>
      <c r="ACK5" s="496"/>
      <c r="ACL5" s="496"/>
      <c r="ACM5" s="496"/>
      <c r="ACN5" s="496"/>
      <c r="ACO5" s="496"/>
      <c r="ACP5" s="496"/>
      <c r="ACQ5" s="496"/>
      <c r="ACR5" s="496"/>
      <c r="ACS5" s="496"/>
      <c r="ACT5" s="496"/>
      <c r="ACU5" s="496"/>
      <c r="ACV5" s="496"/>
      <c r="ACW5" s="496"/>
      <c r="ACX5" s="496"/>
      <c r="ACY5" s="496"/>
      <c r="ACZ5" s="496"/>
      <c r="ADA5" s="496"/>
      <c r="ADB5" s="496"/>
      <c r="ADC5" s="496"/>
      <c r="ADD5" s="496"/>
      <c r="ADE5" s="496"/>
      <c r="ADF5" s="496"/>
      <c r="ADG5" s="496"/>
      <c r="ADH5" s="496"/>
      <c r="ADI5" s="496"/>
      <c r="ADJ5" s="496"/>
      <c r="ADK5" s="496"/>
      <c r="ADL5" s="496"/>
      <c r="ADM5" s="496"/>
      <c r="ADN5" s="496"/>
      <c r="ADO5" s="496"/>
      <c r="ADP5" s="496"/>
      <c r="ADQ5" s="496"/>
      <c r="ADR5" s="496"/>
      <c r="ADS5" s="496"/>
      <c r="ADT5" s="496"/>
      <c r="ADU5" s="496"/>
      <c r="ADV5" s="496"/>
      <c r="ADW5" s="496"/>
      <c r="ADX5" s="496"/>
      <c r="ADY5" s="496"/>
      <c r="ADZ5" s="496"/>
      <c r="AEA5" s="496"/>
      <c r="AEB5" s="496"/>
      <c r="AEC5" s="496"/>
      <c r="AED5" s="496"/>
      <c r="AEE5" s="496"/>
      <c r="AEF5" s="496"/>
      <c r="AEG5" s="496"/>
      <c r="AEH5" s="496"/>
      <c r="AEI5" s="496"/>
      <c r="AEJ5" s="496"/>
      <c r="AEK5" s="496"/>
      <c r="AEL5" s="496"/>
      <c r="AEM5" s="496"/>
      <c r="AEN5" s="496"/>
      <c r="AEO5" s="496"/>
      <c r="AEP5" s="496"/>
      <c r="AEQ5" s="496"/>
      <c r="AER5" s="496"/>
      <c r="AES5" s="496"/>
      <c r="AET5" s="496"/>
      <c r="AEU5" s="496"/>
      <c r="AEV5" s="496"/>
      <c r="AEW5" s="496"/>
      <c r="AEX5" s="496"/>
      <c r="AEY5" s="496"/>
      <c r="AEZ5" s="496"/>
      <c r="AFA5" s="496"/>
      <c r="AFB5" s="496"/>
      <c r="AFC5" s="496"/>
      <c r="AFD5" s="496"/>
      <c r="AFE5" s="496"/>
      <c r="AFF5" s="496"/>
      <c r="AFG5" s="496"/>
      <c r="AFH5" s="496"/>
      <c r="AFI5" s="496"/>
      <c r="AFJ5" s="496"/>
      <c r="AFK5" s="496"/>
      <c r="AFL5" s="496"/>
      <c r="AFM5" s="496"/>
      <c r="AFN5" s="496"/>
      <c r="AFO5" s="496"/>
      <c r="AFP5" s="496"/>
      <c r="AFQ5" s="496"/>
      <c r="AFR5" s="496"/>
      <c r="AFS5" s="496"/>
      <c r="AFT5" s="496"/>
      <c r="AFU5" s="496"/>
      <c r="AFV5" s="496"/>
      <c r="AFW5" s="496"/>
      <c r="AFX5" s="496"/>
      <c r="AFY5" s="496"/>
      <c r="AFZ5" s="496"/>
      <c r="AGA5" s="496"/>
      <c r="AGB5" s="496"/>
      <c r="AGC5" s="496"/>
      <c r="AGD5" s="496"/>
      <c r="AGE5" s="496"/>
      <c r="AGF5" s="496"/>
      <c r="AGG5" s="496"/>
      <c r="AGH5" s="496"/>
      <c r="AGI5" s="496"/>
      <c r="AGJ5" s="496"/>
      <c r="AGK5" s="496"/>
      <c r="AGL5" s="496"/>
      <c r="AGM5" s="496"/>
      <c r="AGN5" s="496"/>
      <c r="AGO5" s="496"/>
      <c r="AGP5" s="496"/>
      <c r="AGQ5" s="496"/>
      <c r="AGR5" s="496"/>
      <c r="AGS5" s="496"/>
      <c r="AGT5" s="496"/>
      <c r="AGU5" s="496"/>
      <c r="AGV5" s="496"/>
      <c r="AGW5" s="496"/>
      <c r="AGX5" s="496"/>
      <c r="AGY5" s="496"/>
      <c r="AGZ5" s="496"/>
      <c r="AHA5" s="496"/>
      <c r="AHB5" s="496"/>
      <c r="AHC5" s="496"/>
      <c r="AHD5" s="496"/>
      <c r="AHE5" s="496"/>
      <c r="AHF5" s="496"/>
      <c r="AHG5" s="496"/>
      <c r="AHH5" s="496"/>
      <c r="AHI5" s="496"/>
      <c r="AHJ5" s="496"/>
      <c r="AHK5" s="496"/>
      <c r="AHL5" s="496"/>
      <c r="AHM5" s="496"/>
      <c r="AHN5" s="496"/>
      <c r="AHO5" s="496"/>
      <c r="AHP5" s="496"/>
      <c r="AHQ5" s="496"/>
      <c r="AHR5" s="496"/>
      <c r="AHS5" s="496"/>
      <c r="AHT5" s="496"/>
      <c r="AHU5" s="496"/>
      <c r="AHV5" s="496"/>
      <c r="AHW5" s="496"/>
      <c r="AHX5" s="496"/>
      <c r="AHY5" s="496"/>
      <c r="AHZ5" s="496"/>
      <c r="AIA5" s="496"/>
      <c r="AIB5" s="496"/>
      <c r="AIC5" s="496"/>
      <c r="AID5" s="496"/>
      <c r="AIE5" s="496"/>
      <c r="AIF5" s="496"/>
      <c r="AIG5" s="496"/>
      <c r="AIH5" s="496"/>
      <c r="AII5" s="496"/>
      <c r="AIJ5" s="496"/>
      <c r="AIK5" s="496"/>
      <c r="AIL5" s="496"/>
      <c r="AIM5" s="496"/>
      <c r="AIN5" s="496"/>
      <c r="AIO5" s="496"/>
      <c r="AIP5" s="496"/>
      <c r="AIQ5" s="496"/>
      <c r="AIR5" s="496"/>
      <c r="AIS5" s="496"/>
      <c r="AIT5" s="496"/>
      <c r="AIU5" s="496"/>
      <c r="AIV5" s="496"/>
      <c r="AIW5" s="496"/>
      <c r="AIX5" s="496"/>
      <c r="AIY5" s="496"/>
      <c r="AIZ5" s="496"/>
      <c r="AJA5" s="496"/>
      <c r="AJB5" s="496"/>
      <c r="AJC5" s="496"/>
      <c r="AJD5" s="496"/>
      <c r="AJE5" s="496"/>
      <c r="AJF5" s="496"/>
      <c r="AJG5" s="496"/>
      <c r="AJH5" s="496"/>
      <c r="AJI5" s="496"/>
      <c r="AJJ5" s="496"/>
      <c r="AJK5" s="496"/>
      <c r="AJL5" s="496"/>
      <c r="AJM5" s="496"/>
      <c r="AJN5" s="496"/>
      <c r="AJO5" s="496"/>
      <c r="AJP5" s="496"/>
      <c r="AJQ5" s="496"/>
      <c r="AJR5" s="496"/>
      <c r="AJS5" s="496"/>
      <c r="AJT5" s="496"/>
      <c r="AJU5" s="496"/>
      <c r="AJV5" s="496"/>
      <c r="AJW5" s="496"/>
      <c r="AJX5" s="496"/>
      <c r="AJY5" s="496"/>
      <c r="AJZ5" s="496"/>
      <c r="AKA5" s="496"/>
      <c r="AKB5" s="496"/>
      <c r="AKC5" s="496"/>
      <c r="AKD5" s="496"/>
      <c r="AKE5" s="496"/>
      <c r="AKF5" s="496"/>
      <c r="AKG5" s="496"/>
      <c r="AKH5" s="496"/>
      <c r="AKI5" s="496"/>
      <c r="AKJ5" s="496"/>
      <c r="AKK5" s="496"/>
      <c r="AKL5" s="496"/>
      <c r="AKM5" s="496"/>
      <c r="AKN5" s="496"/>
      <c r="AKO5" s="496"/>
      <c r="AKP5" s="496"/>
      <c r="AKQ5" s="496"/>
      <c r="AKR5" s="496"/>
      <c r="AKS5" s="496"/>
      <c r="AKT5" s="496"/>
      <c r="AKU5" s="496"/>
      <c r="AKV5" s="496"/>
      <c r="AKW5" s="496"/>
      <c r="AKX5" s="496"/>
      <c r="AKY5" s="496"/>
      <c r="AKZ5" s="496"/>
      <c r="ALA5" s="496"/>
      <c r="ALB5" s="496"/>
      <c r="ALC5" s="496"/>
      <c r="ALD5" s="496"/>
      <c r="ALE5" s="496"/>
      <c r="ALF5" s="496"/>
      <c r="ALG5" s="496"/>
      <c r="ALH5" s="496"/>
      <c r="ALI5" s="496"/>
      <c r="ALJ5" s="496"/>
      <c r="ALK5" s="496"/>
      <c r="ALL5" s="496"/>
      <c r="ALM5" s="496"/>
      <c r="ALN5" s="496"/>
      <c r="ALO5" s="496"/>
      <c r="ALP5" s="496"/>
      <c r="ALQ5" s="496"/>
      <c r="ALR5" s="496"/>
      <c r="ALS5" s="496"/>
      <c r="ALT5" s="496"/>
      <c r="ALU5" s="496"/>
      <c r="ALV5" s="496"/>
      <c r="ALW5" s="496"/>
      <c r="ALX5" s="496"/>
      <c r="ALY5" s="496"/>
      <c r="ALZ5" s="496"/>
      <c r="AMA5" s="496"/>
      <c r="AMB5" s="496"/>
      <c r="AMC5" s="496"/>
      <c r="AMD5" s="496"/>
      <c r="AME5" s="496"/>
      <c r="AMF5" s="496"/>
      <c r="AMG5" s="496"/>
      <c r="AMH5" s="496"/>
      <c r="AMI5" s="496"/>
      <c r="AMJ5" s="496"/>
      <c r="AMK5" s="496"/>
      <c r="AML5" s="496"/>
      <c r="AMM5" s="496"/>
      <c r="AMN5" s="496"/>
      <c r="AMO5" s="496"/>
      <c r="AMP5" s="496"/>
      <c r="AMQ5" s="496"/>
      <c r="AMR5" s="496"/>
      <c r="AMS5" s="496"/>
      <c r="AMT5" s="496"/>
      <c r="AMU5" s="496"/>
      <c r="AMV5" s="496"/>
      <c r="AMW5" s="496"/>
      <c r="AMX5" s="496"/>
      <c r="AMY5" s="496"/>
      <c r="AMZ5" s="496"/>
      <c r="ANA5" s="496"/>
      <c r="ANB5" s="496"/>
      <c r="ANC5" s="496"/>
      <c r="AND5" s="496"/>
      <c r="ANE5" s="496"/>
      <c r="ANF5" s="496"/>
      <c r="ANG5" s="496"/>
      <c r="ANH5" s="496"/>
      <c r="ANI5" s="496"/>
      <c r="ANJ5" s="496"/>
      <c r="ANK5" s="496"/>
      <c r="ANL5" s="496"/>
      <c r="ANM5" s="496"/>
      <c r="ANN5" s="496"/>
      <c r="ANO5" s="496"/>
      <c r="ANP5" s="496"/>
      <c r="ANQ5" s="496"/>
      <c r="ANR5" s="496"/>
      <c r="ANS5" s="496"/>
      <c r="ANT5" s="496"/>
      <c r="ANU5" s="496"/>
      <c r="ANV5" s="496"/>
      <c r="ANW5" s="496"/>
      <c r="ANX5" s="496"/>
      <c r="ANY5" s="496"/>
      <c r="ANZ5" s="496"/>
      <c r="AOA5" s="496"/>
      <c r="AOB5" s="496"/>
      <c r="AOC5" s="496"/>
      <c r="AOD5" s="496"/>
      <c r="AOE5" s="496"/>
      <c r="AOF5" s="496"/>
      <c r="AOG5" s="496"/>
      <c r="AOH5" s="496"/>
      <c r="AOI5" s="496"/>
      <c r="AOJ5" s="496"/>
      <c r="AOK5" s="496"/>
      <c r="AOL5" s="496"/>
      <c r="AOM5" s="496"/>
      <c r="AON5" s="496"/>
      <c r="AOO5" s="496"/>
      <c r="AOP5" s="496"/>
      <c r="AOQ5" s="496"/>
      <c r="AOR5" s="496"/>
      <c r="AOS5" s="496"/>
      <c r="AOT5" s="496"/>
      <c r="AOU5" s="496"/>
      <c r="AOV5" s="496"/>
      <c r="AOW5" s="496"/>
      <c r="AOX5" s="496"/>
      <c r="AOY5" s="496"/>
      <c r="AOZ5" s="496"/>
      <c r="APA5" s="496"/>
      <c r="APB5" s="496"/>
      <c r="APC5" s="496"/>
      <c r="APD5" s="496"/>
      <c r="APE5" s="496"/>
      <c r="APF5" s="496"/>
      <c r="APG5" s="496"/>
      <c r="APH5" s="496"/>
      <c r="API5" s="496"/>
      <c r="APJ5" s="496"/>
      <c r="APK5" s="496"/>
      <c r="APL5" s="496"/>
      <c r="APM5" s="496"/>
      <c r="APN5" s="496"/>
      <c r="APO5" s="496"/>
      <c r="APP5" s="496"/>
      <c r="APQ5" s="496"/>
      <c r="APR5" s="496"/>
      <c r="APS5" s="496"/>
      <c r="APT5" s="496"/>
      <c r="APU5" s="496"/>
      <c r="APV5" s="496"/>
      <c r="APW5" s="496"/>
      <c r="APX5" s="496"/>
      <c r="APY5" s="496"/>
      <c r="APZ5" s="496"/>
      <c r="AQA5" s="496"/>
      <c r="AQB5" s="496"/>
      <c r="AQC5" s="496"/>
      <c r="AQD5" s="496"/>
      <c r="AQE5" s="496"/>
      <c r="AQF5" s="496"/>
      <c r="AQG5" s="496"/>
      <c r="AQH5" s="496"/>
      <c r="AQI5" s="496"/>
      <c r="AQJ5" s="496"/>
      <c r="AQK5" s="496"/>
      <c r="AQL5" s="496"/>
      <c r="AQM5" s="496"/>
      <c r="AQN5" s="496"/>
      <c r="AQO5" s="496"/>
      <c r="AQP5" s="496"/>
      <c r="AQQ5" s="496"/>
      <c r="AQR5" s="496"/>
      <c r="AQS5" s="496"/>
      <c r="AQT5" s="496"/>
      <c r="AQU5" s="496"/>
      <c r="AQV5" s="496"/>
      <c r="AQW5" s="496"/>
      <c r="AQX5" s="496"/>
      <c r="AQY5" s="496"/>
      <c r="AQZ5" s="496"/>
      <c r="ARA5" s="496"/>
      <c r="ARB5" s="496"/>
      <c r="ARC5" s="496"/>
      <c r="ARD5" s="496"/>
      <c r="ARE5" s="496"/>
      <c r="ARF5" s="496"/>
      <c r="ARG5" s="496"/>
      <c r="ARH5" s="496"/>
      <c r="ARI5" s="496"/>
      <c r="ARJ5" s="496"/>
      <c r="ARK5" s="496"/>
      <c r="ARL5" s="496"/>
      <c r="ARM5" s="496"/>
      <c r="ARN5" s="496"/>
      <c r="ARO5" s="496"/>
      <c r="ARP5" s="496"/>
      <c r="ARQ5" s="496"/>
      <c r="ARR5" s="496"/>
      <c r="ARS5" s="496"/>
      <c r="ART5" s="496"/>
      <c r="ARU5" s="496"/>
      <c r="ARV5" s="496"/>
      <c r="ARW5" s="496"/>
      <c r="ARX5" s="496"/>
      <c r="ARY5" s="496"/>
      <c r="ARZ5" s="496"/>
      <c r="ASA5" s="496"/>
      <c r="ASB5" s="496"/>
      <c r="ASC5" s="496"/>
      <c r="ASD5" s="496"/>
      <c r="ASE5" s="496"/>
      <c r="ASF5" s="496"/>
      <c r="ASG5" s="496"/>
      <c r="ASH5" s="496"/>
      <c r="ASI5" s="496"/>
      <c r="ASJ5" s="496"/>
      <c r="ASK5" s="496"/>
      <c r="ASL5" s="496"/>
      <c r="ASM5" s="496"/>
      <c r="ASN5" s="496"/>
      <c r="ASO5" s="496"/>
      <c r="ASP5" s="496"/>
      <c r="ASQ5" s="496"/>
      <c r="ASR5" s="496"/>
      <c r="ASS5" s="496"/>
      <c r="AST5" s="496"/>
      <c r="ASU5" s="496"/>
      <c r="ASV5" s="496"/>
      <c r="ASW5" s="496"/>
      <c r="ASX5" s="496"/>
      <c r="ASY5" s="496"/>
      <c r="ASZ5" s="496"/>
      <c r="ATA5" s="496"/>
      <c r="ATB5" s="496"/>
      <c r="ATC5" s="496"/>
      <c r="ATD5" s="496"/>
      <c r="ATE5" s="496"/>
      <c r="ATF5" s="496"/>
      <c r="ATG5" s="496"/>
      <c r="ATH5" s="496"/>
      <c r="ATI5" s="496"/>
      <c r="ATJ5" s="496"/>
      <c r="ATK5" s="496"/>
      <c r="ATL5" s="496"/>
      <c r="ATM5" s="496"/>
      <c r="ATN5" s="496"/>
      <c r="ATO5" s="496"/>
      <c r="ATP5" s="496"/>
      <c r="ATQ5" s="496"/>
      <c r="ATR5" s="496"/>
      <c r="ATS5" s="496"/>
      <c r="ATT5" s="496"/>
      <c r="ATU5" s="496"/>
      <c r="ATV5" s="496"/>
      <c r="ATW5" s="496"/>
      <c r="ATX5" s="496"/>
      <c r="ATY5" s="496"/>
      <c r="ATZ5" s="496"/>
      <c r="AUA5" s="496"/>
      <c r="AUB5" s="496"/>
      <c r="AUC5" s="496"/>
      <c r="AUD5" s="496"/>
      <c r="AUE5" s="496"/>
      <c r="AUF5" s="496"/>
      <c r="AUG5" s="496"/>
      <c r="AUH5" s="496"/>
      <c r="AUI5" s="496"/>
      <c r="AUJ5" s="496"/>
      <c r="AUK5" s="496"/>
      <c r="AUL5" s="496"/>
      <c r="AUM5" s="496"/>
      <c r="AUN5" s="496"/>
      <c r="AUO5" s="496"/>
      <c r="AUP5" s="496"/>
      <c r="AUQ5" s="496"/>
      <c r="AUR5" s="496"/>
      <c r="AUS5" s="496"/>
      <c r="AUT5" s="496"/>
      <c r="AUU5" s="496"/>
      <c r="AUV5" s="496"/>
      <c r="AUW5" s="496"/>
      <c r="AUX5" s="496"/>
      <c r="AUY5" s="496"/>
      <c r="AUZ5" s="496"/>
      <c r="AVA5" s="496"/>
      <c r="AVB5" s="496"/>
      <c r="AVC5" s="496"/>
      <c r="AVD5" s="496"/>
      <c r="AVE5" s="496"/>
      <c r="AVF5" s="496"/>
      <c r="AVG5" s="496"/>
      <c r="AVH5" s="496"/>
      <c r="AVI5" s="496"/>
      <c r="AVJ5" s="496"/>
      <c r="AVK5" s="496"/>
      <c r="AVL5" s="496"/>
      <c r="AVM5" s="496"/>
      <c r="AVN5" s="496"/>
      <c r="AVO5" s="496"/>
      <c r="AVP5" s="496"/>
      <c r="AVQ5" s="496"/>
      <c r="AVR5" s="496"/>
      <c r="AVS5" s="496"/>
      <c r="AVT5" s="496"/>
      <c r="AVU5" s="496"/>
      <c r="AVV5" s="496"/>
      <c r="AVW5" s="496"/>
      <c r="AVX5" s="496"/>
      <c r="AVY5" s="496"/>
      <c r="AVZ5" s="496"/>
      <c r="AWA5" s="496"/>
      <c r="AWB5" s="496"/>
      <c r="AWC5" s="496"/>
      <c r="AWD5" s="496"/>
      <c r="AWE5" s="496"/>
      <c r="AWF5" s="496"/>
      <c r="AWG5" s="496"/>
      <c r="AWH5" s="496"/>
      <c r="AWI5" s="496"/>
      <c r="AWJ5" s="496"/>
      <c r="AWK5" s="496"/>
      <c r="AWL5" s="496"/>
      <c r="AWM5" s="496"/>
      <c r="AWN5" s="496"/>
      <c r="AWO5" s="496"/>
      <c r="AWP5" s="496"/>
      <c r="AWQ5" s="496"/>
      <c r="AWR5" s="496"/>
      <c r="AWS5" s="496"/>
      <c r="AWT5" s="496"/>
      <c r="AWU5" s="496"/>
      <c r="AWV5" s="496"/>
      <c r="AWW5" s="496"/>
      <c r="AWX5" s="496"/>
      <c r="AWY5" s="496"/>
      <c r="AWZ5" s="496"/>
      <c r="AXA5" s="496"/>
      <c r="AXB5" s="496"/>
      <c r="AXC5" s="496"/>
      <c r="AXD5" s="496"/>
      <c r="AXE5" s="496"/>
      <c r="AXF5" s="496"/>
      <c r="AXG5" s="496"/>
      <c r="AXH5" s="496"/>
      <c r="AXI5" s="496"/>
      <c r="AXJ5" s="496"/>
      <c r="AXK5" s="496"/>
      <c r="AXL5" s="496"/>
      <c r="AXM5" s="496"/>
      <c r="AXN5" s="496"/>
      <c r="AXO5" s="496"/>
      <c r="AXP5" s="496"/>
      <c r="AXQ5" s="496"/>
      <c r="AXR5" s="496"/>
      <c r="AXS5" s="496"/>
      <c r="AXT5" s="496"/>
      <c r="AXU5" s="496"/>
      <c r="AXV5" s="496"/>
      <c r="AXW5" s="496"/>
      <c r="AXX5" s="496"/>
      <c r="AXY5" s="496"/>
      <c r="AXZ5" s="496"/>
      <c r="AYA5" s="496"/>
      <c r="AYB5" s="496"/>
      <c r="AYC5" s="496"/>
      <c r="AYD5" s="496"/>
      <c r="AYE5" s="496"/>
      <c r="AYF5" s="496"/>
      <c r="AYG5" s="496"/>
      <c r="AYH5" s="496"/>
      <c r="AYI5" s="496"/>
      <c r="AYJ5" s="496"/>
      <c r="AYK5" s="496"/>
      <c r="AYL5" s="496"/>
      <c r="AYM5" s="496"/>
      <c r="AYN5" s="496"/>
      <c r="AYO5" s="496"/>
      <c r="AYP5" s="496"/>
      <c r="AYQ5" s="496"/>
      <c r="AYR5" s="496"/>
      <c r="AYS5" s="496"/>
      <c r="AYT5" s="496"/>
      <c r="AYU5" s="496"/>
      <c r="AYV5" s="496"/>
      <c r="AYW5" s="496"/>
      <c r="AYX5" s="496"/>
      <c r="AYY5" s="496"/>
      <c r="AYZ5" s="496"/>
      <c r="AZA5" s="496"/>
      <c r="AZB5" s="496"/>
      <c r="AZC5" s="496"/>
      <c r="AZD5" s="496"/>
      <c r="AZE5" s="496"/>
      <c r="AZF5" s="496"/>
      <c r="AZG5" s="496"/>
      <c r="AZH5" s="496"/>
      <c r="AZI5" s="496"/>
      <c r="AZJ5" s="496"/>
      <c r="AZK5" s="496"/>
      <c r="AZL5" s="496"/>
      <c r="AZM5" s="496"/>
      <c r="AZN5" s="496"/>
      <c r="AZO5" s="496"/>
      <c r="AZP5" s="496"/>
      <c r="AZQ5" s="496"/>
      <c r="AZR5" s="496"/>
      <c r="AZS5" s="496"/>
      <c r="AZT5" s="496"/>
      <c r="AZU5" s="496"/>
      <c r="AZV5" s="496"/>
      <c r="AZW5" s="496"/>
      <c r="AZX5" s="496"/>
      <c r="AZY5" s="496"/>
      <c r="AZZ5" s="496"/>
      <c r="BAA5" s="496"/>
      <c r="BAB5" s="496"/>
      <c r="BAC5" s="496"/>
      <c r="BAD5" s="496"/>
      <c r="BAE5" s="496"/>
      <c r="BAF5" s="496"/>
      <c r="BAG5" s="496"/>
      <c r="BAH5" s="496"/>
      <c r="BAI5" s="496"/>
      <c r="BAJ5" s="496"/>
      <c r="BAK5" s="496"/>
      <c r="BAL5" s="496"/>
      <c r="BAM5" s="496"/>
      <c r="BAN5" s="496"/>
      <c r="BAO5" s="496"/>
      <c r="BAP5" s="496"/>
      <c r="BAQ5" s="496"/>
      <c r="BAR5" s="496"/>
      <c r="BAS5" s="496"/>
      <c r="BAT5" s="496"/>
      <c r="BAU5" s="496"/>
      <c r="BAV5" s="496"/>
      <c r="BAW5" s="496"/>
      <c r="BAX5" s="496"/>
      <c r="BAY5" s="496"/>
      <c r="BAZ5" s="496"/>
      <c r="BBA5" s="496"/>
      <c r="BBB5" s="496"/>
      <c r="BBC5" s="496"/>
      <c r="BBD5" s="496"/>
      <c r="BBE5" s="496"/>
      <c r="BBF5" s="496"/>
      <c r="BBG5" s="496"/>
      <c r="BBH5" s="496"/>
      <c r="BBI5" s="496"/>
      <c r="BBJ5" s="496"/>
      <c r="BBK5" s="496"/>
      <c r="BBL5" s="496"/>
      <c r="BBM5" s="496"/>
      <c r="BBN5" s="496"/>
      <c r="BBO5" s="496"/>
      <c r="BBP5" s="496"/>
      <c r="BBQ5" s="496"/>
      <c r="BBR5" s="496"/>
      <c r="BBS5" s="496"/>
      <c r="BBT5" s="496"/>
      <c r="BBU5" s="496"/>
      <c r="BBV5" s="496"/>
      <c r="BBW5" s="496"/>
      <c r="BBX5" s="496"/>
      <c r="BBY5" s="496"/>
      <c r="BBZ5" s="496"/>
      <c r="BCA5" s="496"/>
      <c r="BCB5" s="496"/>
      <c r="BCC5" s="496"/>
      <c r="BCD5" s="496"/>
      <c r="BCE5" s="496"/>
      <c r="BCF5" s="496"/>
      <c r="BCG5" s="496"/>
      <c r="BCH5" s="496"/>
      <c r="BCI5" s="496"/>
      <c r="BCJ5" s="496"/>
      <c r="BCK5" s="496"/>
      <c r="BCL5" s="496"/>
      <c r="BCM5" s="496"/>
      <c r="BCN5" s="496"/>
      <c r="BCO5" s="496"/>
      <c r="BCP5" s="496"/>
      <c r="BCQ5" s="496"/>
      <c r="BCR5" s="496"/>
      <c r="BCS5" s="496"/>
      <c r="BCT5" s="496"/>
      <c r="BCU5" s="496"/>
      <c r="BCV5" s="496"/>
      <c r="BCW5" s="496"/>
      <c r="BCX5" s="496"/>
      <c r="BCY5" s="496"/>
      <c r="BCZ5" s="496"/>
      <c r="BDA5" s="496"/>
      <c r="BDB5" s="496"/>
      <c r="BDC5" s="496"/>
      <c r="BDD5" s="496"/>
      <c r="BDE5" s="496"/>
      <c r="BDF5" s="496"/>
      <c r="BDG5" s="496"/>
      <c r="BDH5" s="496"/>
      <c r="BDI5" s="496"/>
      <c r="BDJ5" s="496"/>
      <c r="BDK5" s="496"/>
      <c r="BDL5" s="496"/>
      <c r="BDM5" s="496"/>
      <c r="BDN5" s="496"/>
      <c r="BDO5" s="496"/>
      <c r="BDP5" s="496"/>
      <c r="BDQ5" s="496"/>
      <c r="BDR5" s="496"/>
      <c r="BDS5" s="496"/>
      <c r="BDT5" s="496"/>
      <c r="BDU5" s="496"/>
      <c r="BDV5" s="496"/>
      <c r="BDW5" s="496"/>
      <c r="BDX5" s="496"/>
      <c r="BDY5" s="496"/>
      <c r="BDZ5" s="496"/>
      <c r="BEA5" s="496"/>
      <c r="BEB5" s="496"/>
      <c r="BEC5" s="496"/>
      <c r="BED5" s="496"/>
      <c r="BEE5" s="496"/>
      <c r="BEF5" s="496"/>
      <c r="BEG5" s="496"/>
      <c r="BEH5" s="496"/>
      <c r="BEI5" s="496"/>
      <c r="BEJ5" s="496"/>
      <c r="BEK5" s="496"/>
      <c r="BEL5" s="496"/>
      <c r="BEM5" s="496"/>
      <c r="BEN5" s="496"/>
      <c r="BEO5" s="496"/>
      <c r="BEP5" s="496"/>
      <c r="BEQ5" s="496"/>
      <c r="BER5" s="496"/>
      <c r="BES5" s="496"/>
      <c r="BET5" s="496"/>
      <c r="BEU5" s="496"/>
      <c r="BEV5" s="496"/>
      <c r="BEW5" s="496"/>
      <c r="BEX5" s="496"/>
      <c r="BEY5" s="496"/>
      <c r="BEZ5" s="496"/>
      <c r="BFA5" s="496"/>
      <c r="BFB5" s="496"/>
      <c r="BFC5" s="496"/>
      <c r="BFD5" s="496"/>
      <c r="BFE5" s="496"/>
      <c r="BFF5" s="496"/>
      <c r="BFG5" s="496"/>
      <c r="BFH5" s="496"/>
      <c r="BFI5" s="496"/>
      <c r="BFJ5" s="496"/>
      <c r="BFK5" s="496"/>
      <c r="BFL5" s="496"/>
      <c r="BFM5" s="496"/>
      <c r="BFN5" s="496"/>
      <c r="BFO5" s="496"/>
      <c r="BFP5" s="496"/>
      <c r="BFQ5" s="496"/>
      <c r="BFR5" s="496"/>
      <c r="BFS5" s="496"/>
      <c r="BFT5" s="496"/>
      <c r="BFU5" s="496"/>
      <c r="BFV5" s="496"/>
      <c r="BFW5" s="496"/>
      <c r="BFX5" s="496"/>
      <c r="BFY5" s="496"/>
      <c r="BFZ5" s="496"/>
      <c r="BGA5" s="496"/>
      <c r="BGB5" s="496"/>
      <c r="BGC5" s="496"/>
      <c r="BGD5" s="496"/>
      <c r="BGE5" s="496"/>
      <c r="BGF5" s="496"/>
      <c r="BGG5" s="496"/>
      <c r="BGH5" s="496"/>
      <c r="BGI5" s="496"/>
      <c r="BGJ5" s="496"/>
      <c r="BGK5" s="496"/>
      <c r="BGL5" s="496"/>
      <c r="BGM5" s="496"/>
      <c r="BGN5" s="496"/>
      <c r="BGO5" s="496"/>
      <c r="BGP5" s="496"/>
      <c r="BGQ5" s="496"/>
      <c r="BGR5" s="496"/>
      <c r="BGS5" s="496"/>
      <c r="BGT5" s="496"/>
      <c r="BGU5" s="496"/>
      <c r="BGV5" s="496"/>
      <c r="BGW5" s="496"/>
      <c r="BGX5" s="496"/>
      <c r="BGY5" s="496"/>
      <c r="BGZ5" s="496"/>
      <c r="BHA5" s="496"/>
      <c r="BHB5" s="496"/>
      <c r="BHC5" s="496"/>
      <c r="BHD5" s="496"/>
      <c r="BHE5" s="496"/>
      <c r="BHF5" s="496"/>
      <c r="BHG5" s="496"/>
      <c r="BHH5" s="496"/>
      <c r="BHI5" s="496"/>
      <c r="BHJ5" s="496"/>
      <c r="BHK5" s="496"/>
      <c r="BHL5" s="496"/>
      <c r="BHM5" s="496"/>
      <c r="BHN5" s="496"/>
      <c r="BHO5" s="496"/>
      <c r="BHP5" s="496"/>
      <c r="BHQ5" s="496"/>
      <c r="BHR5" s="496"/>
      <c r="BHS5" s="496"/>
      <c r="BHT5" s="496"/>
      <c r="BHU5" s="496"/>
      <c r="BHV5" s="496"/>
      <c r="BHW5" s="496"/>
      <c r="BHX5" s="496"/>
      <c r="BHY5" s="496"/>
      <c r="BHZ5" s="496"/>
      <c r="BIA5" s="496"/>
      <c r="BIB5" s="496"/>
      <c r="BIC5" s="496"/>
      <c r="BID5" s="496"/>
      <c r="BIE5" s="496"/>
      <c r="BIF5" s="496"/>
      <c r="BIG5" s="496"/>
      <c r="BIH5" s="496"/>
      <c r="BII5" s="496"/>
      <c r="BIJ5" s="496"/>
      <c r="BIK5" s="496"/>
      <c r="BIL5" s="496"/>
      <c r="BIM5" s="496"/>
      <c r="BIN5" s="496"/>
      <c r="BIO5" s="496"/>
      <c r="BIP5" s="496"/>
      <c r="BIQ5" s="496"/>
      <c r="BIR5" s="496"/>
      <c r="BIS5" s="496"/>
      <c r="BIT5" s="496"/>
      <c r="BIU5" s="496"/>
      <c r="BIV5" s="496"/>
      <c r="BIW5" s="496"/>
      <c r="BIX5" s="496"/>
      <c r="BIY5" s="496"/>
      <c r="BIZ5" s="496"/>
      <c r="BJA5" s="496"/>
      <c r="BJB5" s="496"/>
      <c r="BJC5" s="496"/>
      <c r="BJD5" s="496"/>
      <c r="BJE5" s="496"/>
      <c r="BJF5" s="496"/>
      <c r="BJG5" s="496"/>
      <c r="BJH5" s="496"/>
      <c r="BJI5" s="496"/>
      <c r="BJJ5" s="496"/>
      <c r="BJK5" s="496"/>
      <c r="BJL5" s="496"/>
      <c r="BJM5" s="496"/>
      <c r="BJN5" s="496"/>
      <c r="BJO5" s="496"/>
      <c r="BJP5" s="496"/>
      <c r="BJQ5" s="496"/>
      <c r="BJR5" s="496"/>
      <c r="BJS5" s="496"/>
      <c r="BJT5" s="496"/>
      <c r="BJU5" s="496"/>
      <c r="BJV5" s="496"/>
      <c r="BJW5" s="496"/>
      <c r="BJX5" s="496"/>
      <c r="BJY5" s="496"/>
      <c r="BJZ5" s="496"/>
      <c r="BKA5" s="496"/>
      <c r="BKB5" s="496"/>
      <c r="BKC5" s="496"/>
      <c r="BKD5" s="496"/>
      <c r="BKE5" s="496"/>
      <c r="BKF5" s="496"/>
      <c r="BKG5" s="496"/>
      <c r="BKH5" s="496"/>
      <c r="BKI5" s="496"/>
      <c r="BKJ5" s="496"/>
      <c r="BKK5" s="496"/>
      <c r="BKL5" s="496"/>
      <c r="BKM5" s="496"/>
      <c r="BKN5" s="496"/>
      <c r="BKO5" s="496"/>
      <c r="BKP5" s="496"/>
      <c r="BKQ5" s="496"/>
      <c r="BKR5" s="496"/>
      <c r="BKS5" s="496"/>
      <c r="BKT5" s="496"/>
      <c r="BKU5" s="496"/>
      <c r="BKV5" s="496"/>
      <c r="BKW5" s="496"/>
      <c r="BKX5" s="496"/>
      <c r="BKY5" s="496"/>
      <c r="BKZ5" s="496"/>
      <c r="BLA5" s="496"/>
      <c r="BLB5" s="496"/>
      <c r="BLC5" s="496"/>
      <c r="BLD5" s="496"/>
      <c r="BLE5" s="496"/>
      <c r="BLF5" s="496"/>
      <c r="BLG5" s="496"/>
      <c r="BLH5" s="496"/>
      <c r="BLI5" s="496"/>
      <c r="BLJ5" s="496"/>
      <c r="BLK5" s="496"/>
      <c r="BLL5" s="496"/>
      <c r="BLM5" s="496"/>
      <c r="BLN5" s="496"/>
      <c r="BLO5" s="496"/>
      <c r="BLP5" s="496"/>
      <c r="BLQ5" s="496"/>
      <c r="BLR5" s="496"/>
      <c r="BLS5" s="496"/>
      <c r="BLT5" s="496"/>
      <c r="BLU5" s="496"/>
      <c r="BLV5" s="496"/>
      <c r="BLW5" s="496"/>
      <c r="BLX5" s="496"/>
      <c r="BLY5" s="496"/>
      <c r="BLZ5" s="496"/>
      <c r="BMA5" s="496"/>
      <c r="BMB5" s="496"/>
      <c r="BMC5" s="496"/>
      <c r="BMD5" s="496"/>
      <c r="BME5" s="496"/>
      <c r="BMF5" s="496"/>
      <c r="BMG5" s="496"/>
      <c r="BMH5" s="496"/>
      <c r="BMI5" s="496"/>
      <c r="BMJ5" s="496"/>
      <c r="BMK5" s="496"/>
      <c r="BML5" s="496"/>
      <c r="BMM5" s="496"/>
      <c r="BMN5" s="496"/>
      <c r="BMO5" s="496"/>
      <c r="BMP5" s="496"/>
      <c r="BMQ5" s="496"/>
      <c r="BMR5" s="496"/>
      <c r="BMS5" s="496"/>
      <c r="BMT5" s="496"/>
      <c r="BMU5" s="496"/>
      <c r="BMV5" s="496"/>
      <c r="BMW5" s="496"/>
      <c r="BMX5" s="496"/>
      <c r="BMY5" s="496"/>
      <c r="BMZ5" s="496"/>
      <c r="BNA5" s="496"/>
      <c r="BNB5" s="496"/>
      <c r="BNC5" s="496"/>
      <c r="BND5" s="496"/>
      <c r="BNE5" s="496"/>
      <c r="BNF5" s="496"/>
      <c r="BNG5" s="496"/>
      <c r="BNH5" s="496"/>
      <c r="BNI5" s="496"/>
      <c r="BNJ5" s="496"/>
      <c r="BNK5" s="496"/>
      <c r="BNL5" s="496"/>
      <c r="BNM5" s="496"/>
      <c r="BNN5" s="496"/>
      <c r="BNO5" s="496"/>
      <c r="BNP5" s="496"/>
      <c r="BNQ5" s="496"/>
      <c r="BNR5" s="496"/>
      <c r="BNS5" s="496"/>
      <c r="BNT5" s="496"/>
      <c r="BNU5" s="496"/>
      <c r="BNV5" s="496"/>
      <c r="BNW5" s="496"/>
      <c r="BNX5" s="496"/>
      <c r="BNY5" s="496"/>
      <c r="BNZ5" s="496"/>
      <c r="BOA5" s="496"/>
      <c r="BOB5" s="496"/>
      <c r="BOC5" s="496"/>
      <c r="BOD5" s="496"/>
      <c r="BOE5" s="496"/>
      <c r="BOF5" s="496"/>
      <c r="BOG5" s="496"/>
      <c r="BOH5" s="496"/>
      <c r="BOI5" s="496"/>
      <c r="BOJ5" s="496"/>
      <c r="BOK5" s="496"/>
      <c r="BOL5" s="496"/>
      <c r="BOM5" s="496"/>
      <c r="BON5" s="496"/>
      <c r="BOO5" s="496"/>
      <c r="BOP5" s="496"/>
      <c r="BOQ5" s="496"/>
      <c r="BOR5" s="496"/>
      <c r="BOS5" s="496"/>
      <c r="BOT5" s="496"/>
      <c r="BOU5" s="496"/>
      <c r="BOV5" s="496"/>
      <c r="BOW5" s="496"/>
      <c r="BOX5" s="496"/>
      <c r="BOY5" s="496"/>
      <c r="BOZ5" s="496"/>
      <c r="BPA5" s="496"/>
      <c r="BPB5" s="496"/>
      <c r="BPC5" s="496"/>
      <c r="BPD5" s="496"/>
      <c r="BPE5" s="496"/>
      <c r="BPF5" s="496"/>
      <c r="BPG5" s="496"/>
      <c r="BPH5" s="496"/>
      <c r="BPI5" s="496"/>
      <c r="BPJ5" s="496"/>
      <c r="BPK5" s="496"/>
      <c r="BPL5" s="496"/>
      <c r="BPM5" s="496"/>
      <c r="BPN5" s="496"/>
      <c r="BPO5" s="496"/>
      <c r="BPP5" s="496"/>
      <c r="BPQ5" s="496"/>
      <c r="BPR5" s="496"/>
      <c r="BPS5" s="496"/>
      <c r="BPT5" s="496"/>
      <c r="BPU5" s="496"/>
      <c r="BPV5" s="496"/>
      <c r="BPW5" s="496"/>
      <c r="BPX5" s="496"/>
      <c r="BPY5" s="496"/>
      <c r="BPZ5" s="496"/>
      <c r="BQA5" s="496"/>
      <c r="BQB5" s="496"/>
      <c r="BQC5" s="496"/>
      <c r="BQD5" s="496"/>
      <c r="BQE5" s="496"/>
      <c r="BQF5" s="496"/>
      <c r="BQG5" s="496"/>
      <c r="BQH5" s="496"/>
      <c r="BQI5" s="496"/>
      <c r="BQJ5" s="496"/>
      <c r="BQK5" s="496"/>
      <c r="BQL5" s="496"/>
      <c r="BQM5" s="496"/>
      <c r="BQN5" s="496"/>
      <c r="BQO5" s="496"/>
      <c r="BQP5" s="496"/>
      <c r="BQQ5" s="496"/>
      <c r="BQR5" s="496"/>
      <c r="BQS5" s="496"/>
      <c r="BQT5" s="496"/>
      <c r="BQU5" s="496"/>
      <c r="BQV5" s="496"/>
      <c r="BQW5" s="496"/>
      <c r="BQX5" s="496"/>
      <c r="BQY5" s="496"/>
      <c r="BQZ5" s="496"/>
      <c r="BRA5" s="496"/>
      <c r="BRB5" s="496"/>
      <c r="BRC5" s="496"/>
      <c r="BRD5" s="496"/>
      <c r="BRE5" s="496"/>
      <c r="BRF5" s="496"/>
      <c r="BRG5" s="496"/>
      <c r="BRH5" s="496"/>
      <c r="BRI5" s="496"/>
      <c r="BRJ5" s="496"/>
      <c r="BRK5" s="496"/>
      <c r="BRL5" s="496"/>
      <c r="BRM5" s="496"/>
      <c r="BRN5" s="496"/>
      <c r="BRO5" s="496"/>
      <c r="BRP5" s="496"/>
      <c r="BRQ5" s="496"/>
      <c r="BRR5" s="496"/>
      <c r="BRS5" s="496"/>
      <c r="BRT5" s="496"/>
      <c r="BRU5" s="496"/>
      <c r="BRV5" s="496"/>
      <c r="BRW5" s="496"/>
      <c r="BRX5" s="496"/>
      <c r="BRY5" s="496"/>
      <c r="BRZ5" s="496"/>
      <c r="BSA5" s="496"/>
      <c r="BSB5" s="496"/>
      <c r="BSC5" s="496"/>
      <c r="BSD5" s="496"/>
      <c r="BSE5" s="496"/>
      <c r="BSF5" s="496"/>
      <c r="BSG5" s="496"/>
      <c r="BSH5" s="496"/>
      <c r="BSI5" s="496"/>
      <c r="BSJ5" s="496"/>
      <c r="BSK5" s="496"/>
      <c r="BSL5" s="496"/>
      <c r="BSM5" s="496"/>
      <c r="BSN5" s="496"/>
      <c r="BSO5" s="496"/>
      <c r="BSP5" s="496"/>
      <c r="BSQ5" s="496"/>
      <c r="BSR5" s="496"/>
      <c r="BSS5" s="496"/>
      <c r="BST5" s="496"/>
      <c r="BSU5" s="496"/>
      <c r="BSV5" s="496"/>
      <c r="BSW5" s="496"/>
      <c r="BSX5" s="496"/>
      <c r="BSY5" s="496"/>
      <c r="BSZ5" s="496"/>
      <c r="BTA5" s="496"/>
      <c r="BTB5" s="496"/>
      <c r="BTC5" s="496"/>
      <c r="BTD5" s="496"/>
      <c r="BTE5" s="496"/>
      <c r="BTF5" s="496"/>
      <c r="BTG5" s="496"/>
      <c r="BTH5" s="496"/>
      <c r="BTI5" s="496"/>
      <c r="BTJ5" s="496"/>
      <c r="BTK5" s="496"/>
      <c r="BTL5" s="496"/>
      <c r="BTM5" s="496"/>
      <c r="BTN5" s="496"/>
      <c r="BTO5" s="496"/>
      <c r="BTP5" s="496"/>
      <c r="BTQ5" s="496"/>
      <c r="BTR5" s="496"/>
      <c r="BTS5" s="496"/>
      <c r="BTT5" s="496"/>
      <c r="BTU5" s="496"/>
      <c r="BTV5" s="496"/>
      <c r="BTW5" s="496"/>
      <c r="BTX5" s="496"/>
      <c r="BTY5" s="496"/>
      <c r="BTZ5" s="496"/>
      <c r="BUA5" s="496"/>
      <c r="BUB5" s="496"/>
      <c r="BUC5" s="496"/>
      <c r="BUD5" s="496"/>
      <c r="BUE5" s="496"/>
      <c r="BUF5" s="496"/>
      <c r="BUG5" s="496"/>
      <c r="BUH5" s="496"/>
      <c r="BUI5" s="496"/>
      <c r="BUJ5" s="496"/>
      <c r="BUK5" s="496"/>
      <c r="BUL5" s="496"/>
      <c r="BUM5" s="496"/>
      <c r="BUN5" s="496"/>
      <c r="BUO5" s="496"/>
      <c r="BUP5" s="496"/>
      <c r="BUQ5" s="496"/>
      <c r="BUR5" s="496"/>
      <c r="BUS5" s="496"/>
      <c r="BUT5" s="496"/>
      <c r="BUU5" s="496"/>
      <c r="BUV5" s="496"/>
      <c r="BUW5" s="496"/>
      <c r="BUX5" s="496"/>
      <c r="BUY5" s="496"/>
      <c r="BUZ5" s="496"/>
      <c r="BVA5" s="496"/>
      <c r="BVB5" s="496"/>
      <c r="BVC5" s="496"/>
      <c r="BVD5" s="496"/>
      <c r="BVE5" s="496"/>
      <c r="BVF5" s="496"/>
      <c r="BVG5" s="496"/>
      <c r="BVH5" s="496"/>
      <c r="BVI5" s="496"/>
      <c r="BVJ5" s="496"/>
      <c r="BVK5" s="496"/>
      <c r="BVL5" s="496"/>
      <c r="BVM5" s="496"/>
      <c r="BVN5" s="496"/>
      <c r="BVO5" s="496"/>
      <c r="BVP5" s="496"/>
      <c r="BVQ5" s="496"/>
      <c r="BVR5" s="496"/>
      <c r="BVS5" s="496"/>
      <c r="BVT5" s="496"/>
      <c r="BVU5" s="496"/>
      <c r="BVV5" s="496"/>
      <c r="BVW5" s="496"/>
      <c r="BVX5" s="496"/>
      <c r="BVY5" s="496"/>
      <c r="BVZ5" s="496"/>
      <c r="BWA5" s="496"/>
      <c r="BWB5" s="496"/>
      <c r="BWC5" s="496"/>
      <c r="BWD5" s="496"/>
      <c r="BWE5" s="496"/>
      <c r="BWF5" s="496"/>
      <c r="BWG5" s="496"/>
      <c r="BWH5" s="496"/>
      <c r="BWI5" s="496"/>
      <c r="BWJ5" s="496"/>
      <c r="BWK5" s="496"/>
      <c r="BWL5" s="496"/>
      <c r="BWM5" s="496"/>
      <c r="BWN5" s="496"/>
      <c r="BWO5" s="496"/>
      <c r="BWP5" s="496"/>
      <c r="BWQ5" s="496"/>
      <c r="BWR5" s="496"/>
      <c r="BWS5" s="496"/>
      <c r="BWT5" s="496"/>
      <c r="BWU5" s="496"/>
      <c r="BWV5" s="496"/>
      <c r="BWW5" s="496"/>
      <c r="BWX5" s="496"/>
      <c r="BWY5" s="496"/>
      <c r="BWZ5" s="496"/>
      <c r="BXA5" s="496"/>
      <c r="BXB5" s="496"/>
      <c r="BXC5" s="496"/>
      <c r="BXD5" s="496"/>
      <c r="BXE5" s="496"/>
      <c r="BXF5" s="496"/>
      <c r="BXG5" s="496"/>
      <c r="BXH5" s="496"/>
      <c r="BXI5" s="496"/>
      <c r="BXJ5" s="496"/>
      <c r="BXK5" s="496"/>
      <c r="BXL5" s="496"/>
      <c r="BXM5" s="496"/>
      <c r="BXN5" s="496"/>
      <c r="BXO5" s="496"/>
      <c r="BXP5" s="496"/>
      <c r="BXQ5" s="496"/>
      <c r="BXR5" s="496"/>
      <c r="BXS5" s="496"/>
      <c r="BXT5" s="496"/>
      <c r="BXU5" s="496"/>
      <c r="BXV5" s="496"/>
      <c r="BXW5" s="496"/>
      <c r="BXX5" s="496"/>
      <c r="BXY5" s="496"/>
      <c r="BXZ5" s="496"/>
      <c r="BYA5" s="496"/>
      <c r="BYB5" s="496"/>
      <c r="BYC5" s="496"/>
      <c r="BYD5" s="496"/>
      <c r="BYE5" s="496"/>
      <c r="BYF5" s="496"/>
      <c r="BYG5" s="496"/>
      <c r="BYH5" s="496"/>
      <c r="BYI5" s="496"/>
      <c r="BYJ5" s="496"/>
      <c r="BYK5" s="496"/>
      <c r="BYL5" s="496"/>
      <c r="BYM5" s="496"/>
      <c r="BYN5" s="496"/>
      <c r="BYO5" s="496"/>
      <c r="BYP5" s="496"/>
      <c r="BYQ5" s="496"/>
      <c r="BYR5" s="496"/>
      <c r="BYS5" s="496"/>
      <c r="BYT5" s="496"/>
      <c r="BYU5" s="496"/>
      <c r="BYV5" s="496"/>
      <c r="BYW5" s="496"/>
      <c r="BYX5" s="496"/>
      <c r="BYY5" s="496"/>
      <c r="BYZ5" s="496"/>
      <c r="BZA5" s="496"/>
      <c r="BZB5" s="496"/>
      <c r="BZC5" s="496"/>
      <c r="BZD5" s="496"/>
      <c r="BZE5" s="496"/>
      <c r="BZF5" s="496"/>
      <c r="BZG5" s="496"/>
      <c r="BZH5" s="496"/>
      <c r="BZI5" s="496"/>
      <c r="BZJ5" s="496"/>
      <c r="BZK5" s="496"/>
      <c r="BZL5" s="496"/>
      <c r="BZM5" s="496"/>
      <c r="BZN5" s="496"/>
      <c r="BZO5" s="496"/>
      <c r="BZP5" s="496"/>
      <c r="BZQ5" s="496"/>
      <c r="BZR5" s="496"/>
      <c r="BZS5" s="496"/>
      <c r="BZT5" s="496"/>
      <c r="BZU5" s="496"/>
      <c r="BZV5" s="496"/>
      <c r="BZW5" s="496"/>
      <c r="BZX5" s="496"/>
      <c r="BZY5" s="496"/>
      <c r="BZZ5" s="496"/>
      <c r="CAA5" s="496"/>
      <c r="CAB5" s="496"/>
      <c r="CAC5" s="496"/>
      <c r="CAD5" s="496"/>
      <c r="CAE5" s="496"/>
      <c r="CAF5" s="496"/>
      <c r="CAG5" s="496"/>
      <c r="CAH5" s="496"/>
      <c r="CAI5" s="496"/>
      <c r="CAJ5" s="496"/>
      <c r="CAK5" s="496"/>
      <c r="CAL5" s="496"/>
      <c r="CAM5" s="496"/>
      <c r="CAN5" s="496"/>
      <c r="CAO5" s="496"/>
      <c r="CAP5" s="496"/>
      <c r="CAQ5" s="496"/>
      <c r="CAR5" s="496"/>
      <c r="CAS5" s="496"/>
      <c r="CAT5" s="496"/>
      <c r="CAU5" s="496"/>
      <c r="CAV5" s="496"/>
      <c r="CAW5" s="496"/>
      <c r="CAX5" s="496"/>
      <c r="CAY5" s="496"/>
      <c r="CAZ5" s="496"/>
      <c r="CBA5" s="496"/>
      <c r="CBB5" s="496"/>
      <c r="CBC5" s="496"/>
      <c r="CBD5" s="496"/>
      <c r="CBE5" s="496"/>
      <c r="CBF5" s="496"/>
      <c r="CBG5" s="496"/>
      <c r="CBH5" s="496"/>
      <c r="CBI5" s="496"/>
      <c r="CBJ5" s="496"/>
      <c r="CBK5" s="496"/>
      <c r="CBL5" s="496"/>
      <c r="CBM5" s="496"/>
      <c r="CBN5" s="496"/>
      <c r="CBO5" s="496"/>
      <c r="CBP5" s="496"/>
      <c r="CBQ5" s="496"/>
      <c r="CBR5" s="496"/>
      <c r="CBS5" s="496"/>
      <c r="CBT5" s="496"/>
      <c r="CBU5" s="496"/>
      <c r="CBV5" s="496"/>
      <c r="CBW5" s="496"/>
      <c r="CBX5" s="496"/>
      <c r="CBY5" s="496"/>
      <c r="CBZ5" s="496"/>
      <c r="CCA5" s="496"/>
      <c r="CCB5" s="496"/>
      <c r="CCC5" s="496"/>
      <c r="CCD5" s="496"/>
      <c r="CCE5" s="496"/>
      <c r="CCF5" s="496"/>
      <c r="CCG5" s="496"/>
      <c r="CCH5" s="496"/>
      <c r="CCI5" s="496"/>
      <c r="CCJ5" s="496"/>
      <c r="CCK5" s="496"/>
      <c r="CCL5" s="496"/>
      <c r="CCM5" s="496"/>
      <c r="CCN5" s="496"/>
      <c r="CCO5" s="496"/>
      <c r="CCP5" s="496"/>
      <c r="CCQ5" s="496"/>
      <c r="CCR5" s="496"/>
      <c r="CCS5" s="496"/>
      <c r="CCT5" s="496"/>
      <c r="CCU5" s="496"/>
      <c r="CCV5" s="496"/>
      <c r="CCW5" s="496"/>
      <c r="CCX5" s="496"/>
      <c r="CCY5" s="496"/>
      <c r="CCZ5" s="496"/>
      <c r="CDA5" s="496"/>
      <c r="CDB5" s="496"/>
      <c r="CDC5" s="496"/>
      <c r="CDD5" s="496"/>
      <c r="CDE5" s="496"/>
      <c r="CDF5" s="496"/>
      <c r="CDG5" s="496"/>
      <c r="CDH5" s="496"/>
      <c r="CDI5" s="496"/>
      <c r="CDJ5" s="496"/>
      <c r="CDK5" s="496"/>
      <c r="CDL5" s="496"/>
      <c r="CDM5" s="496"/>
      <c r="CDN5" s="496"/>
      <c r="CDO5" s="496"/>
      <c r="CDP5" s="496"/>
      <c r="CDQ5" s="496"/>
      <c r="CDR5" s="496"/>
      <c r="CDS5" s="496"/>
      <c r="CDT5" s="496"/>
      <c r="CDU5" s="496"/>
      <c r="CDV5" s="496"/>
      <c r="CDW5" s="496"/>
      <c r="CDX5" s="496"/>
      <c r="CDY5" s="496"/>
      <c r="CDZ5" s="496"/>
      <c r="CEA5" s="496"/>
      <c r="CEB5" s="496"/>
      <c r="CEC5" s="496"/>
      <c r="CED5" s="496"/>
      <c r="CEE5" s="496"/>
      <c r="CEF5" s="496"/>
      <c r="CEG5" s="496"/>
      <c r="CEH5" s="496"/>
      <c r="CEI5" s="496"/>
      <c r="CEJ5" s="496"/>
      <c r="CEK5" s="496"/>
      <c r="CEL5" s="496"/>
      <c r="CEM5" s="496"/>
      <c r="CEN5" s="496"/>
      <c r="CEO5" s="496"/>
      <c r="CEP5" s="496"/>
      <c r="CEQ5" s="496"/>
      <c r="CER5" s="496"/>
      <c r="CES5" s="496"/>
      <c r="CET5" s="496"/>
      <c r="CEU5" s="496"/>
      <c r="CEV5" s="496"/>
      <c r="CEW5" s="496"/>
      <c r="CEX5" s="496"/>
      <c r="CEY5" s="496"/>
      <c r="CEZ5" s="496"/>
      <c r="CFA5" s="496"/>
      <c r="CFB5" s="496"/>
      <c r="CFC5" s="496"/>
      <c r="CFD5" s="496"/>
      <c r="CFE5" s="496"/>
      <c r="CFF5" s="496"/>
      <c r="CFG5" s="496"/>
      <c r="CFH5" s="496"/>
      <c r="CFI5" s="496"/>
      <c r="CFJ5" s="496"/>
      <c r="CFK5" s="496"/>
      <c r="CFL5" s="496"/>
      <c r="CFM5" s="496"/>
      <c r="CFN5" s="496"/>
      <c r="CFO5" s="496"/>
      <c r="CFP5" s="496"/>
      <c r="CFQ5" s="496"/>
      <c r="CFR5" s="496"/>
      <c r="CFS5" s="496"/>
      <c r="CFT5" s="496"/>
      <c r="CFU5" s="496"/>
      <c r="CFV5" s="496"/>
      <c r="CFW5" s="496"/>
      <c r="CFX5" s="496"/>
      <c r="CFY5" s="496"/>
      <c r="CFZ5" s="496"/>
      <c r="CGA5" s="496"/>
      <c r="CGB5" s="496"/>
      <c r="CGC5" s="496"/>
      <c r="CGD5" s="496"/>
      <c r="CGE5" s="496"/>
      <c r="CGF5" s="496"/>
      <c r="CGG5" s="496"/>
      <c r="CGH5" s="496"/>
      <c r="CGI5" s="496"/>
      <c r="CGJ5" s="496"/>
      <c r="CGK5" s="496"/>
      <c r="CGL5" s="496"/>
      <c r="CGM5" s="496"/>
      <c r="CGN5" s="496"/>
      <c r="CGO5" s="496"/>
      <c r="CGP5" s="496"/>
      <c r="CGQ5" s="496"/>
      <c r="CGR5" s="496"/>
      <c r="CGS5" s="496"/>
      <c r="CGT5" s="496"/>
      <c r="CGU5" s="496"/>
      <c r="CGV5" s="496"/>
      <c r="CGW5" s="496"/>
      <c r="CGX5" s="496"/>
      <c r="CGY5" s="496"/>
      <c r="CGZ5" s="496"/>
      <c r="CHA5" s="496"/>
      <c r="CHB5" s="496"/>
      <c r="CHC5" s="496"/>
      <c r="CHD5" s="496"/>
      <c r="CHE5" s="496"/>
      <c r="CHF5" s="496"/>
      <c r="CHG5" s="496"/>
      <c r="CHH5" s="496"/>
      <c r="CHI5" s="496"/>
      <c r="CHJ5" s="496"/>
      <c r="CHK5" s="496"/>
      <c r="CHL5" s="496"/>
      <c r="CHM5" s="496"/>
      <c r="CHN5" s="496"/>
      <c r="CHO5" s="496"/>
      <c r="CHP5" s="496"/>
      <c r="CHQ5" s="496"/>
      <c r="CHR5" s="496"/>
      <c r="CHS5" s="496"/>
      <c r="CHT5" s="496"/>
      <c r="CHU5" s="496"/>
      <c r="CHV5" s="496"/>
      <c r="CHW5" s="496"/>
      <c r="CHX5" s="496"/>
      <c r="CHY5" s="496"/>
      <c r="CHZ5" s="496"/>
      <c r="CIA5" s="496"/>
      <c r="CIB5" s="496"/>
      <c r="CIC5" s="496"/>
      <c r="CID5" s="496"/>
      <c r="CIE5" s="496"/>
      <c r="CIF5" s="496"/>
      <c r="CIG5" s="496"/>
      <c r="CIH5" s="496"/>
      <c r="CII5" s="496"/>
      <c r="CIJ5" s="496"/>
      <c r="CIK5" s="496"/>
      <c r="CIL5" s="496"/>
      <c r="CIM5" s="496"/>
      <c r="CIN5" s="496"/>
      <c r="CIO5" s="496"/>
      <c r="CIP5" s="496"/>
      <c r="CIQ5" s="496"/>
      <c r="CIR5" s="496"/>
      <c r="CIS5" s="496"/>
      <c r="CIT5" s="496"/>
      <c r="CIU5" s="496"/>
      <c r="CIV5" s="496"/>
      <c r="CIW5" s="496"/>
      <c r="CIX5" s="496"/>
      <c r="CIY5" s="496"/>
      <c r="CIZ5" s="496"/>
      <c r="CJA5" s="496"/>
      <c r="CJB5" s="496"/>
      <c r="CJC5" s="496"/>
      <c r="CJD5" s="496"/>
      <c r="CJE5" s="496"/>
      <c r="CJF5" s="496"/>
      <c r="CJG5" s="496"/>
      <c r="CJH5" s="496"/>
      <c r="CJI5" s="496"/>
      <c r="CJJ5" s="496"/>
      <c r="CJK5" s="496"/>
      <c r="CJL5" s="496"/>
      <c r="CJM5" s="496"/>
      <c r="CJN5" s="496"/>
      <c r="CJO5" s="496"/>
      <c r="CJP5" s="496"/>
      <c r="CJQ5" s="496"/>
      <c r="CJR5" s="496"/>
      <c r="CJS5" s="496"/>
      <c r="CJT5" s="496"/>
      <c r="CJU5" s="496"/>
      <c r="CJV5" s="496"/>
      <c r="CJW5" s="496"/>
      <c r="CJX5" s="496"/>
      <c r="CJY5" s="496"/>
      <c r="CJZ5" s="496"/>
      <c r="CKA5" s="496"/>
      <c r="CKB5" s="496"/>
      <c r="CKC5" s="496"/>
      <c r="CKD5" s="496"/>
      <c r="CKE5" s="496"/>
      <c r="CKF5" s="496"/>
      <c r="CKG5" s="496"/>
      <c r="CKH5" s="496"/>
      <c r="CKI5" s="496"/>
      <c r="CKJ5" s="496"/>
      <c r="CKK5" s="496"/>
      <c r="CKL5" s="496"/>
      <c r="CKM5" s="496"/>
      <c r="CKN5" s="496"/>
      <c r="CKO5" s="496"/>
      <c r="CKP5" s="496"/>
      <c r="CKQ5" s="496"/>
      <c r="CKR5" s="496"/>
      <c r="CKS5" s="496"/>
      <c r="CKT5" s="496"/>
      <c r="CKU5" s="496"/>
      <c r="CKV5" s="496"/>
      <c r="CKW5" s="496"/>
      <c r="CKX5" s="496"/>
      <c r="CKY5" s="496"/>
      <c r="CKZ5" s="496"/>
      <c r="CLA5" s="496"/>
      <c r="CLB5" s="496"/>
      <c r="CLC5" s="496"/>
      <c r="CLD5" s="496"/>
      <c r="CLE5" s="496"/>
      <c r="CLF5" s="496"/>
      <c r="CLG5" s="496"/>
      <c r="CLH5" s="496"/>
      <c r="CLI5" s="496"/>
      <c r="CLJ5" s="496"/>
      <c r="CLK5" s="496"/>
      <c r="CLL5" s="496"/>
      <c r="CLM5" s="496"/>
      <c r="CLN5" s="496"/>
      <c r="CLO5" s="496"/>
      <c r="CLP5" s="496"/>
      <c r="CLQ5" s="496"/>
      <c r="CLR5" s="496"/>
      <c r="CLS5" s="496"/>
      <c r="CLT5" s="496"/>
      <c r="CLU5" s="496"/>
      <c r="CLV5" s="496"/>
      <c r="CLW5" s="496"/>
      <c r="CLX5" s="496"/>
      <c r="CLY5" s="496"/>
      <c r="CLZ5" s="496"/>
      <c r="CMA5" s="496"/>
      <c r="CMB5" s="496"/>
      <c r="CMC5" s="496"/>
      <c r="CMD5" s="496"/>
      <c r="CME5" s="496"/>
      <c r="CMF5" s="496"/>
      <c r="CMG5" s="496"/>
      <c r="CMH5" s="496"/>
      <c r="CMI5" s="496"/>
      <c r="CMJ5" s="496"/>
      <c r="CMK5" s="496"/>
      <c r="CML5" s="496"/>
      <c r="CMM5" s="496"/>
      <c r="CMN5" s="496"/>
      <c r="CMO5" s="496"/>
      <c r="CMP5" s="496"/>
      <c r="CMQ5" s="496"/>
      <c r="CMR5" s="496"/>
      <c r="CMS5" s="496"/>
      <c r="CMT5" s="496"/>
      <c r="CMU5" s="496"/>
      <c r="CMV5" s="496"/>
      <c r="CMW5" s="496"/>
      <c r="CMX5" s="496"/>
      <c r="CMY5" s="496"/>
      <c r="CMZ5" s="496"/>
      <c r="CNA5" s="496"/>
      <c r="CNB5" s="496"/>
      <c r="CNC5" s="496"/>
      <c r="CND5" s="496"/>
      <c r="CNE5" s="496"/>
      <c r="CNF5" s="496"/>
      <c r="CNG5" s="496"/>
      <c r="CNH5" s="496"/>
      <c r="CNI5" s="496"/>
      <c r="CNJ5" s="496"/>
      <c r="CNK5" s="496"/>
      <c r="CNL5" s="496"/>
      <c r="CNM5" s="496"/>
      <c r="CNN5" s="496"/>
      <c r="CNO5" s="496"/>
      <c r="CNP5" s="496"/>
      <c r="CNQ5" s="496"/>
      <c r="CNR5" s="496"/>
      <c r="CNS5" s="496"/>
      <c r="CNT5" s="496"/>
      <c r="CNU5" s="496"/>
      <c r="CNV5" s="496"/>
      <c r="CNW5" s="496"/>
      <c r="CNX5" s="496"/>
      <c r="CNY5" s="496"/>
      <c r="CNZ5" s="496"/>
      <c r="COA5" s="496"/>
      <c r="COB5" s="496"/>
      <c r="COC5" s="496"/>
      <c r="COD5" s="496"/>
      <c r="COE5" s="496"/>
      <c r="COF5" s="496"/>
      <c r="COG5" s="496"/>
      <c r="COH5" s="496"/>
      <c r="COI5" s="496"/>
      <c r="COJ5" s="496"/>
      <c r="COK5" s="496"/>
      <c r="COL5" s="496"/>
      <c r="COM5" s="496"/>
      <c r="CON5" s="496"/>
      <c r="COO5" s="496"/>
      <c r="COP5" s="496"/>
      <c r="COQ5" s="496"/>
      <c r="COR5" s="496"/>
      <c r="COS5" s="496"/>
      <c r="COT5" s="496"/>
      <c r="COU5" s="496"/>
      <c r="COV5" s="496"/>
      <c r="COW5" s="496"/>
      <c r="COX5" s="496"/>
      <c r="COY5" s="496"/>
      <c r="COZ5" s="496"/>
      <c r="CPA5" s="496"/>
      <c r="CPB5" s="496"/>
      <c r="CPC5" s="496"/>
      <c r="CPD5" s="496"/>
      <c r="CPE5" s="496"/>
      <c r="CPF5" s="496"/>
      <c r="CPG5" s="496"/>
      <c r="CPH5" s="496"/>
      <c r="CPI5" s="496"/>
      <c r="CPJ5" s="496"/>
      <c r="CPK5" s="496"/>
      <c r="CPL5" s="496"/>
      <c r="CPM5" s="496"/>
      <c r="CPN5" s="496"/>
      <c r="CPO5" s="496"/>
      <c r="CPP5" s="496"/>
      <c r="CPQ5" s="496"/>
      <c r="CPR5" s="496"/>
      <c r="CPS5" s="496"/>
      <c r="CPT5" s="496"/>
      <c r="CPU5" s="496"/>
      <c r="CPV5" s="496"/>
      <c r="CPW5" s="496"/>
      <c r="CPX5" s="496"/>
      <c r="CPY5" s="496"/>
      <c r="CPZ5" s="496"/>
      <c r="CQA5" s="496"/>
      <c r="CQB5" s="496"/>
      <c r="CQC5" s="496"/>
      <c r="CQD5" s="496"/>
      <c r="CQE5" s="496"/>
      <c r="CQF5" s="496"/>
      <c r="CQG5" s="496"/>
      <c r="CQH5" s="496"/>
      <c r="CQI5" s="496"/>
      <c r="CQJ5" s="496"/>
      <c r="CQK5" s="496"/>
      <c r="CQL5" s="496"/>
      <c r="CQM5" s="496"/>
      <c r="CQN5" s="496"/>
      <c r="CQO5" s="496"/>
      <c r="CQP5" s="496"/>
      <c r="CQQ5" s="496"/>
      <c r="CQR5" s="496"/>
      <c r="CQS5" s="496"/>
      <c r="CQT5" s="496"/>
      <c r="CQU5" s="496"/>
      <c r="CQV5" s="496"/>
      <c r="CQW5" s="496"/>
      <c r="CQX5" s="496"/>
      <c r="CQY5" s="496"/>
      <c r="CQZ5" s="496"/>
      <c r="CRA5" s="496"/>
      <c r="CRB5" s="496"/>
      <c r="CRC5" s="496"/>
      <c r="CRD5" s="496"/>
      <c r="CRE5" s="496"/>
      <c r="CRF5" s="496"/>
      <c r="CRG5" s="496"/>
      <c r="CRH5" s="496"/>
      <c r="CRI5" s="496"/>
      <c r="CRJ5" s="496"/>
      <c r="CRK5" s="496"/>
      <c r="CRL5" s="496"/>
      <c r="CRM5" s="496"/>
      <c r="CRN5" s="496"/>
      <c r="CRO5" s="496"/>
      <c r="CRP5" s="496"/>
      <c r="CRQ5" s="496"/>
      <c r="CRR5" s="496"/>
      <c r="CRS5" s="496"/>
      <c r="CRT5" s="496"/>
      <c r="CRU5" s="496"/>
      <c r="CRV5" s="496"/>
      <c r="CRW5" s="496"/>
      <c r="CRX5" s="496"/>
      <c r="CRY5" s="496"/>
      <c r="CRZ5" s="496"/>
      <c r="CSA5" s="496"/>
      <c r="CSB5" s="496"/>
      <c r="CSC5" s="496"/>
      <c r="CSD5" s="496"/>
      <c r="CSE5" s="496"/>
      <c r="CSF5" s="496"/>
      <c r="CSG5" s="496"/>
      <c r="CSH5" s="496"/>
      <c r="CSI5" s="496"/>
      <c r="CSJ5" s="496"/>
      <c r="CSK5" s="496"/>
      <c r="CSL5" s="496"/>
      <c r="CSM5" s="496"/>
      <c r="CSN5" s="496"/>
      <c r="CSO5" s="496"/>
      <c r="CSP5" s="496"/>
      <c r="CSQ5" s="496"/>
      <c r="CSR5" s="496"/>
      <c r="CSS5" s="496"/>
      <c r="CST5" s="496"/>
      <c r="CSU5" s="496"/>
      <c r="CSV5" s="496"/>
      <c r="CSW5" s="496"/>
      <c r="CSX5" s="496"/>
      <c r="CSY5" s="496"/>
      <c r="CSZ5" s="496"/>
      <c r="CTA5" s="496"/>
      <c r="CTB5" s="496"/>
      <c r="CTC5" s="496"/>
      <c r="CTD5" s="496"/>
      <c r="CTE5" s="496"/>
      <c r="CTF5" s="496"/>
      <c r="CTG5" s="496"/>
      <c r="CTH5" s="496"/>
      <c r="CTI5" s="496"/>
      <c r="CTJ5" s="496"/>
      <c r="CTK5" s="496"/>
      <c r="CTL5" s="496"/>
      <c r="CTM5" s="496"/>
      <c r="CTN5" s="496"/>
      <c r="CTO5" s="496"/>
      <c r="CTP5" s="496"/>
      <c r="CTQ5" s="496"/>
      <c r="CTR5" s="496"/>
      <c r="CTS5" s="496"/>
      <c r="CTT5" s="496"/>
      <c r="CTU5" s="496"/>
      <c r="CTV5" s="496"/>
      <c r="CTW5" s="496"/>
      <c r="CTX5" s="496"/>
      <c r="CTY5" s="496"/>
      <c r="CTZ5" s="496"/>
      <c r="CUA5" s="496"/>
      <c r="CUB5" s="496"/>
      <c r="CUC5" s="496"/>
      <c r="CUD5" s="496"/>
      <c r="CUE5" s="496"/>
      <c r="CUF5" s="496"/>
      <c r="CUG5" s="496"/>
      <c r="CUH5" s="496"/>
      <c r="CUI5" s="496"/>
      <c r="CUJ5" s="496"/>
      <c r="CUK5" s="496"/>
      <c r="CUL5" s="496"/>
      <c r="CUM5" s="496"/>
      <c r="CUN5" s="496"/>
      <c r="CUO5" s="496"/>
      <c r="CUP5" s="496"/>
      <c r="CUQ5" s="496"/>
      <c r="CUR5" s="496"/>
      <c r="CUS5" s="496"/>
      <c r="CUT5" s="496"/>
      <c r="CUU5" s="496"/>
      <c r="CUV5" s="496"/>
      <c r="CUW5" s="496"/>
      <c r="CUX5" s="496"/>
      <c r="CUY5" s="496"/>
      <c r="CUZ5" s="496"/>
      <c r="CVA5" s="496"/>
      <c r="CVB5" s="496"/>
      <c r="CVC5" s="496"/>
      <c r="CVD5" s="496"/>
      <c r="CVE5" s="496"/>
      <c r="CVF5" s="496"/>
      <c r="CVG5" s="496"/>
      <c r="CVH5" s="496"/>
      <c r="CVI5" s="496"/>
      <c r="CVJ5" s="496"/>
      <c r="CVK5" s="496"/>
      <c r="CVL5" s="496"/>
      <c r="CVM5" s="496"/>
      <c r="CVN5" s="496"/>
      <c r="CVO5" s="496"/>
      <c r="CVP5" s="496"/>
      <c r="CVQ5" s="496"/>
      <c r="CVR5" s="496"/>
      <c r="CVS5" s="496"/>
      <c r="CVT5" s="496"/>
      <c r="CVU5" s="496"/>
      <c r="CVV5" s="496"/>
      <c r="CVW5" s="496"/>
      <c r="CVX5" s="496"/>
      <c r="CVY5" s="496"/>
      <c r="CVZ5" s="496"/>
      <c r="CWA5" s="496"/>
      <c r="CWB5" s="496"/>
      <c r="CWC5" s="496"/>
      <c r="CWD5" s="496"/>
      <c r="CWE5" s="496"/>
      <c r="CWF5" s="496"/>
      <c r="CWG5" s="496"/>
      <c r="CWH5" s="496"/>
      <c r="CWI5" s="496"/>
      <c r="CWJ5" s="496"/>
      <c r="CWK5" s="496"/>
      <c r="CWL5" s="496"/>
      <c r="CWM5" s="496"/>
      <c r="CWN5" s="496"/>
      <c r="CWO5" s="496"/>
      <c r="CWP5" s="496"/>
      <c r="CWQ5" s="496"/>
      <c r="CWR5" s="496"/>
      <c r="CWS5" s="496"/>
      <c r="CWT5" s="496"/>
      <c r="CWU5" s="496"/>
      <c r="CWV5" s="496"/>
      <c r="CWW5" s="496"/>
      <c r="CWX5" s="496"/>
      <c r="CWY5" s="496"/>
      <c r="CWZ5" s="496"/>
      <c r="CXA5" s="496"/>
      <c r="CXB5" s="496"/>
      <c r="CXC5" s="496"/>
      <c r="CXD5" s="496"/>
      <c r="CXE5" s="496"/>
      <c r="CXF5" s="496"/>
      <c r="CXG5" s="496"/>
      <c r="CXH5" s="496"/>
      <c r="CXI5" s="496"/>
      <c r="CXJ5" s="496"/>
      <c r="CXK5" s="496"/>
      <c r="CXL5" s="496"/>
      <c r="CXM5" s="496"/>
      <c r="CXN5" s="496"/>
      <c r="CXO5" s="496"/>
      <c r="CXP5" s="496"/>
      <c r="CXQ5" s="496"/>
      <c r="CXR5" s="496"/>
      <c r="CXS5" s="496"/>
      <c r="CXT5" s="496"/>
      <c r="CXU5" s="496"/>
      <c r="CXV5" s="496"/>
      <c r="CXW5" s="496"/>
      <c r="CXX5" s="496"/>
      <c r="CXY5" s="496"/>
      <c r="CXZ5" s="496"/>
      <c r="CYA5" s="496"/>
      <c r="CYB5" s="496"/>
      <c r="CYC5" s="496"/>
      <c r="CYD5" s="496"/>
      <c r="CYE5" s="496"/>
      <c r="CYF5" s="496"/>
      <c r="CYG5" s="496"/>
      <c r="CYH5" s="496"/>
      <c r="CYI5" s="496"/>
      <c r="CYJ5" s="496"/>
      <c r="CYK5" s="496"/>
      <c r="CYL5" s="496"/>
      <c r="CYM5" s="496"/>
      <c r="CYN5" s="496"/>
      <c r="CYO5" s="496"/>
      <c r="CYP5" s="496"/>
      <c r="CYQ5" s="496"/>
      <c r="CYR5" s="496"/>
      <c r="CYS5" s="496"/>
      <c r="CYT5" s="496"/>
      <c r="CYU5" s="496"/>
      <c r="CYV5" s="496"/>
      <c r="CYW5" s="496"/>
      <c r="CYX5" s="496"/>
      <c r="CYY5" s="496"/>
      <c r="CYZ5" s="496"/>
      <c r="CZA5" s="496"/>
      <c r="CZB5" s="496"/>
      <c r="CZC5" s="496"/>
      <c r="CZD5" s="496"/>
      <c r="CZE5" s="496"/>
      <c r="CZF5" s="496"/>
      <c r="CZG5" s="496"/>
      <c r="CZH5" s="496"/>
      <c r="CZI5" s="496"/>
      <c r="CZJ5" s="496"/>
      <c r="CZK5" s="496"/>
      <c r="CZL5" s="496"/>
      <c r="CZM5" s="496"/>
      <c r="CZN5" s="496"/>
      <c r="CZO5" s="496"/>
      <c r="CZP5" s="496"/>
      <c r="CZQ5" s="496"/>
      <c r="CZR5" s="496"/>
      <c r="CZS5" s="496"/>
      <c r="CZT5" s="496"/>
      <c r="CZU5" s="496"/>
      <c r="CZV5" s="496"/>
      <c r="CZW5" s="496"/>
      <c r="CZX5" s="496"/>
      <c r="CZY5" s="496"/>
      <c r="CZZ5" s="496"/>
      <c r="DAA5" s="496"/>
      <c r="DAB5" s="496"/>
      <c r="DAC5" s="496"/>
      <c r="DAD5" s="496"/>
      <c r="DAE5" s="496"/>
      <c r="DAF5" s="496"/>
      <c r="DAG5" s="496"/>
      <c r="DAH5" s="496"/>
      <c r="DAI5" s="496"/>
      <c r="DAJ5" s="496"/>
      <c r="DAK5" s="496"/>
      <c r="DAL5" s="496"/>
      <c r="DAM5" s="496"/>
      <c r="DAN5" s="496"/>
      <c r="DAO5" s="496"/>
      <c r="DAP5" s="496"/>
      <c r="DAQ5" s="496"/>
      <c r="DAR5" s="496"/>
      <c r="DAS5" s="496"/>
      <c r="DAT5" s="496"/>
      <c r="DAU5" s="496"/>
      <c r="DAV5" s="496"/>
      <c r="DAW5" s="496"/>
      <c r="DAX5" s="496"/>
      <c r="DAY5" s="496"/>
      <c r="DAZ5" s="496"/>
      <c r="DBA5" s="496"/>
      <c r="DBB5" s="496"/>
      <c r="DBC5" s="496"/>
      <c r="DBD5" s="496"/>
      <c r="DBE5" s="496"/>
      <c r="DBF5" s="496"/>
      <c r="DBG5" s="496"/>
      <c r="DBH5" s="496"/>
      <c r="DBI5" s="496"/>
      <c r="DBJ5" s="496"/>
      <c r="DBK5" s="496"/>
      <c r="DBL5" s="496"/>
      <c r="DBM5" s="496"/>
      <c r="DBN5" s="496"/>
      <c r="DBO5" s="496"/>
      <c r="DBP5" s="496"/>
      <c r="DBQ5" s="496"/>
      <c r="DBR5" s="496"/>
      <c r="DBS5" s="496"/>
      <c r="DBT5" s="496"/>
      <c r="DBU5" s="496"/>
      <c r="DBV5" s="496"/>
      <c r="DBW5" s="496"/>
      <c r="DBX5" s="496"/>
      <c r="DBY5" s="496"/>
      <c r="DBZ5" s="496"/>
      <c r="DCA5" s="496"/>
      <c r="DCB5" s="496"/>
      <c r="DCC5" s="496"/>
      <c r="DCD5" s="496"/>
      <c r="DCE5" s="496"/>
      <c r="DCF5" s="496"/>
      <c r="DCG5" s="496"/>
      <c r="DCH5" s="496"/>
      <c r="DCI5" s="496"/>
      <c r="DCJ5" s="496"/>
      <c r="DCK5" s="496"/>
      <c r="DCL5" s="496"/>
      <c r="DCM5" s="496"/>
      <c r="DCN5" s="496"/>
      <c r="DCO5" s="496"/>
      <c r="DCP5" s="496"/>
      <c r="DCQ5" s="496"/>
      <c r="DCR5" s="496"/>
      <c r="DCS5" s="496"/>
      <c r="DCT5" s="496"/>
      <c r="DCU5" s="496"/>
      <c r="DCV5" s="496"/>
      <c r="DCW5" s="496"/>
      <c r="DCX5" s="496"/>
      <c r="DCY5" s="496"/>
      <c r="DCZ5" s="496"/>
      <c r="DDA5" s="496"/>
      <c r="DDB5" s="496"/>
      <c r="DDC5" s="496"/>
      <c r="DDD5" s="496"/>
      <c r="DDE5" s="496"/>
      <c r="DDF5" s="496"/>
      <c r="DDG5" s="496"/>
      <c r="DDH5" s="496"/>
      <c r="DDI5" s="496"/>
      <c r="DDJ5" s="496"/>
      <c r="DDK5" s="496"/>
      <c r="DDL5" s="496"/>
      <c r="DDM5" s="496"/>
      <c r="DDN5" s="496"/>
      <c r="DDO5" s="496"/>
      <c r="DDP5" s="496"/>
      <c r="DDQ5" s="496"/>
      <c r="DDR5" s="496"/>
      <c r="DDS5" s="496"/>
      <c r="DDT5" s="496"/>
      <c r="DDU5" s="496"/>
      <c r="DDV5" s="496"/>
      <c r="DDW5" s="496"/>
      <c r="DDX5" s="496"/>
      <c r="DDY5" s="496"/>
      <c r="DDZ5" s="496"/>
      <c r="DEA5" s="496"/>
      <c r="DEB5" s="496"/>
      <c r="DEC5" s="496"/>
      <c r="DED5" s="496"/>
      <c r="DEE5" s="496"/>
      <c r="DEF5" s="496"/>
      <c r="DEG5" s="496"/>
      <c r="DEH5" s="496"/>
      <c r="DEI5" s="496"/>
      <c r="DEJ5" s="496"/>
      <c r="DEK5" s="496"/>
      <c r="DEL5" s="496"/>
      <c r="DEM5" s="496"/>
      <c r="DEN5" s="496"/>
      <c r="DEO5" s="496"/>
      <c r="DEP5" s="496"/>
      <c r="DEQ5" s="496"/>
      <c r="DER5" s="496"/>
      <c r="DES5" s="496"/>
      <c r="DET5" s="496"/>
      <c r="DEU5" s="496"/>
      <c r="DEV5" s="496"/>
      <c r="DEW5" s="496"/>
      <c r="DEX5" s="496"/>
      <c r="DEY5" s="496"/>
      <c r="DEZ5" s="496"/>
      <c r="DFA5" s="496"/>
      <c r="DFB5" s="496"/>
      <c r="DFC5" s="496"/>
      <c r="DFD5" s="496"/>
      <c r="DFE5" s="496"/>
      <c r="DFF5" s="496"/>
      <c r="DFG5" s="496"/>
      <c r="DFH5" s="496"/>
      <c r="DFI5" s="496"/>
      <c r="DFJ5" s="496"/>
      <c r="DFK5" s="496"/>
      <c r="DFL5" s="496"/>
      <c r="DFM5" s="496"/>
      <c r="DFN5" s="496"/>
      <c r="DFO5" s="496"/>
      <c r="DFP5" s="496"/>
      <c r="DFQ5" s="496"/>
      <c r="DFR5" s="496"/>
      <c r="DFS5" s="496"/>
      <c r="DFT5" s="496"/>
      <c r="DFU5" s="496"/>
      <c r="DFV5" s="496"/>
      <c r="DFW5" s="496"/>
      <c r="DFX5" s="496"/>
      <c r="DFY5" s="496"/>
      <c r="DFZ5" s="496"/>
      <c r="DGA5" s="496"/>
      <c r="DGB5" s="496"/>
      <c r="DGC5" s="496"/>
      <c r="DGD5" s="496"/>
      <c r="DGE5" s="496"/>
      <c r="DGF5" s="496"/>
      <c r="DGG5" s="496"/>
      <c r="DGH5" s="496"/>
      <c r="DGI5" s="496"/>
      <c r="DGJ5" s="496"/>
      <c r="DGK5" s="496"/>
      <c r="DGL5" s="496"/>
      <c r="DGM5" s="496"/>
      <c r="DGN5" s="496"/>
      <c r="DGO5" s="496"/>
      <c r="DGP5" s="496"/>
      <c r="DGQ5" s="496"/>
      <c r="DGR5" s="496"/>
      <c r="DGS5" s="496"/>
      <c r="DGT5" s="496"/>
      <c r="DGU5" s="496"/>
      <c r="DGV5" s="496"/>
      <c r="DGW5" s="496"/>
      <c r="DGX5" s="496"/>
      <c r="DGY5" s="496"/>
      <c r="DGZ5" s="496"/>
      <c r="DHA5" s="496"/>
      <c r="DHB5" s="496"/>
      <c r="DHC5" s="496"/>
      <c r="DHD5" s="496"/>
      <c r="DHE5" s="496"/>
      <c r="DHF5" s="496"/>
      <c r="DHG5" s="496"/>
      <c r="DHH5" s="496"/>
      <c r="DHI5" s="496"/>
      <c r="DHJ5" s="496"/>
      <c r="DHK5" s="496"/>
      <c r="DHL5" s="496"/>
      <c r="DHM5" s="496"/>
      <c r="DHN5" s="496"/>
      <c r="DHO5" s="496"/>
      <c r="DHP5" s="496"/>
      <c r="DHQ5" s="496"/>
      <c r="DHR5" s="496"/>
      <c r="DHS5" s="496"/>
      <c r="DHT5" s="496"/>
      <c r="DHU5" s="496"/>
      <c r="DHV5" s="496"/>
      <c r="DHW5" s="496"/>
      <c r="DHX5" s="496"/>
      <c r="DHY5" s="496"/>
      <c r="DHZ5" s="496"/>
      <c r="DIA5" s="496"/>
      <c r="DIB5" s="496"/>
      <c r="DIC5" s="496"/>
      <c r="DID5" s="496"/>
      <c r="DIE5" s="496"/>
      <c r="DIF5" s="496"/>
      <c r="DIG5" s="496"/>
      <c r="DIH5" s="496"/>
      <c r="DII5" s="496"/>
      <c r="DIJ5" s="496"/>
      <c r="DIK5" s="496"/>
      <c r="DIL5" s="496"/>
      <c r="DIM5" s="496"/>
      <c r="DIN5" s="496"/>
      <c r="DIO5" s="496"/>
      <c r="DIP5" s="496"/>
      <c r="DIQ5" s="496"/>
      <c r="DIR5" s="496"/>
      <c r="DIS5" s="496"/>
      <c r="DIT5" s="496"/>
      <c r="DIU5" s="496"/>
      <c r="DIV5" s="496"/>
      <c r="DIW5" s="496"/>
      <c r="DIX5" s="496"/>
      <c r="DIY5" s="496"/>
      <c r="DIZ5" s="496"/>
      <c r="DJA5" s="496"/>
      <c r="DJB5" s="496"/>
      <c r="DJC5" s="496"/>
      <c r="DJD5" s="496"/>
      <c r="DJE5" s="496"/>
      <c r="DJF5" s="496"/>
      <c r="DJG5" s="496"/>
      <c r="DJH5" s="496"/>
      <c r="DJI5" s="496"/>
      <c r="DJJ5" s="496"/>
      <c r="DJK5" s="496"/>
      <c r="DJL5" s="496"/>
      <c r="DJM5" s="496"/>
      <c r="DJN5" s="496"/>
      <c r="DJO5" s="496"/>
      <c r="DJP5" s="496"/>
      <c r="DJQ5" s="496"/>
      <c r="DJR5" s="496"/>
      <c r="DJS5" s="496"/>
      <c r="DJT5" s="496"/>
      <c r="DJU5" s="496"/>
      <c r="DJV5" s="496"/>
      <c r="DJW5" s="496"/>
      <c r="DJX5" s="496"/>
      <c r="DJY5" s="496"/>
      <c r="DJZ5" s="496"/>
      <c r="DKA5" s="496"/>
      <c r="DKB5" s="496"/>
      <c r="DKC5" s="496"/>
      <c r="DKD5" s="496"/>
      <c r="DKE5" s="496"/>
      <c r="DKF5" s="496"/>
      <c r="DKG5" s="496"/>
      <c r="DKH5" s="496"/>
      <c r="DKI5" s="496"/>
      <c r="DKJ5" s="496"/>
      <c r="DKK5" s="496"/>
      <c r="DKL5" s="496"/>
      <c r="DKM5" s="496"/>
      <c r="DKN5" s="496"/>
      <c r="DKO5" s="496"/>
      <c r="DKP5" s="496"/>
      <c r="DKQ5" s="496"/>
      <c r="DKR5" s="496"/>
      <c r="DKS5" s="496"/>
      <c r="DKT5" s="496"/>
      <c r="DKU5" s="496"/>
      <c r="DKV5" s="496"/>
      <c r="DKW5" s="496"/>
      <c r="DKX5" s="496"/>
      <c r="DKY5" s="496"/>
      <c r="DKZ5" s="496"/>
      <c r="DLA5" s="496"/>
      <c r="DLB5" s="496"/>
      <c r="DLC5" s="496"/>
      <c r="DLD5" s="496"/>
      <c r="DLE5" s="496"/>
      <c r="DLF5" s="496"/>
      <c r="DLG5" s="496"/>
      <c r="DLH5" s="496"/>
      <c r="DLI5" s="496"/>
      <c r="DLJ5" s="496"/>
      <c r="DLK5" s="496"/>
      <c r="DLL5" s="496"/>
      <c r="DLM5" s="496"/>
      <c r="DLN5" s="496"/>
      <c r="DLO5" s="496"/>
      <c r="DLP5" s="496"/>
      <c r="DLQ5" s="496"/>
      <c r="DLR5" s="496"/>
      <c r="DLS5" s="496"/>
      <c r="DLT5" s="496"/>
      <c r="DLU5" s="496"/>
      <c r="DLV5" s="496"/>
      <c r="DLW5" s="496"/>
      <c r="DLX5" s="496"/>
      <c r="DLY5" s="496"/>
      <c r="DLZ5" s="496"/>
      <c r="DMA5" s="496"/>
      <c r="DMB5" s="496"/>
      <c r="DMC5" s="496"/>
      <c r="DMD5" s="496"/>
      <c r="DME5" s="496"/>
      <c r="DMF5" s="496"/>
      <c r="DMG5" s="496"/>
      <c r="DMH5" s="496"/>
      <c r="DMI5" s="496"/>
      <c r="DMJ5" s="496"/>
      <c r="DMK5" s="496"/>
      <c r="DML5" s="496"/>
      <c r="DMM5" s="496"/>
      <c r="DMN5" s="496"/>
      <c r="DMO5" s="496"/>
      <c r="DMP5" s="496"/>
      <c r="DMQ5" s="496"/>
      <c r="DMR5" s="496"/>
      <c r="DMS5" s="496"/>
      <c r="DMT5" s="496"/>
      <c r="DMU5" s="496"/>
      <c r="DMV5" s="496"/>
      <c r="DMW5" s="496"/>
      <c r="DMX5" s="496"/>
      <c r="DMY5" s="496"/>
      <c r="DMZ5" s="496"/>
      <c r="DNA5" s="496"/>
      <c r="DNB5" s="496"/>
      <c r="DNC5" s="496"/>
      <c r="DND5" s="496"/>
      <c r="DNE5" s="496"/>
      <c r="DNF5" s="496"/>
      <c r="DNG5" s="496"/>
      <c r="DNH5" s="496"/>
      <c r="DNI5" s="496"/>
      <c r="DNJ5" s="496"/>
      <c r="DNK5" s="496"/>
      <c r="DNL5" s="496"/>
      <c r="DNM5" s="496"/>
      <c r="DNN5" s="496"/>
      <c r="DNO5" s="496"/>
      <c r="DNP5" s="496"/>
      <c r="DNQ5" s="496"/>
      <c r="DNR5" s="496"/>
      <c r="DNS5" s="496"/>
      <c r="DNT5" s="496"/>
      <c r="DNU5" s="496"/>
      <c r="DNV5" s="496"/>
      <c r="DNW5" s="496"/>
      <c r="DNX5" s="496"/>
      <c r="DNY5" s="496"/>
      <c r="DNZ5" s="496"/>
      <c r="DOA5" s="496"/>
      <c r="DOB5" s="496"/>
      <c r="DOC5" s="496"/>
      <c r="DOD5" s="496"/>
      <c r="DOE5" s="496"/>
      <c r="DOF5" s="496"/>
      <c r="DOG5" s="496"/>
      <c r="DOH5" s="496"/>
      <c r="DOI5" s="496"/>
      <c r="DOJ5" s="496"/>
      <c r="DOK5" s="496"/>
      <c r="DOL5" s="496"/>
      <c r="DOM5" s="496"/>
      <c r="DON5" s="496"/>
      <c r="DOO5" s="496"/>
      <c r="DOP5" s="496"/>
      <c r="DOQ5" s="496"/>
      <c r="DOR5" s="496"/>
      <c r="DOS5" s="496"/>
      <c r="DOT5" s="496"/>
      <c r="DOU5" s="496"/>
      <c r="DOV5" s="496"/>
      <c r="DOW5" s="496"/>
      <c r="DOX5" s="496"/>
      <c r="DOY5" s="496"/>
      <c r="DOZ5" s="496"/>
      <c r="DPA5" s="496"/>
      <c r="DPB5" s="496"/>
      <c r="DPC5" s="496"/>
      <c r="DPD5" s="496"/>
      <c r="DPE5" s="496"/>
      <c r="DPF5" s="496"/>
      <c r="DPG5" s="496"/>
      <c r="DPH5" s="496"/>
      <c r="DPI5" s="496"/>
      <c r="DPJ5" s="496"/>
      <c r="DPK5" s="496"/>
      <c r="DPL5" s="496"/>
      <c r="DPM5" s="496"/>
      <c r="DPN5" s="496"/>
      <c r="DPO5" s="496"/>
      <c r="DPP5" s="496"/>
      <c r="DPQ5" s="496"/>
      <c r="DPR5" s="496"/>
      <c r="DPS5" s="496"/>
      <c r="DPT5" s="496"/>
      <c r="DPU5" s="496"/>
      <c r="DPV5" s="496"/>
      <c r="DPW5" s="496"/>
      <c r="DPX5" s="496"/>
      <c r="DPY5" s="496"/>
      <c r="DPZ5" s="496"/>
      <c r="DQA5" s="496"/>
      <c r="DQB5" s="496"/>
      <c r="DQC5" s="496"/>
      <c r="DQD5" s="496"/>
      <c r="DQE5" s="496"/>
      <c r="DQF5" s="496"/>
      <c r="DQG5" s="496"/>
      <c r="DQH5" s="496"/>
      <c r="DQI5" s="496"/>
      <c r="DQJ5" s="496"/>
      <c r="DQK5" s="496"/>
      <c r="DQL5" s="496"/>
      <c r="DQM5" s="496"/>
      <c r="DQN5" s="496"/>
      <c r="DQO5" s="496"/>
      <c r="DQP5" s="496"/>
      <c r="DQQ5" s="496"/>
      <c r="DQR5" s="496"/>
      <c r="DQS5" s="496"/>
      <c r="DQT5" s="496"/>
      <c r="DQU5" s="496"/>
      <c r="DQV5" s="496"/>
      <c r="DQW5" s="496"/>
      <c r="DQX5" s="496"/>
      <c r="DQY5" s="496"/>
      <c r="DQZ5" s="496"/>
      <c r="DRA5" s="496"/>
      <c r="DRB5" s="496"/>
      <c r="DRC5" s="496"/>
      <c r="DRD5" s="496"/>
      <c r="DRE5" s="496"/>
      <c r="DRF5" s="496"/>
      <c r="DRG5" s="496"/>
      <c r="DRH5" s="496"/>
      <c r="DRI5" s="496"/>
      <c r="DRJ5" s="496"/>
      <c r="DRK5" s="496"/>
      <c r="DRL5" s="496"/>
      <c r="DRM5" s="496"/>
      <c r="DRN5" s="496"/>
      <c r="DRO5" s="496"/>
      <c r="DRP5" s="496"/>
      <c r="DRQ5" s="496"/>
      <c r="DRR5" s="496"/>
      <c r="DRS5" s="496"/>
      <c r="DRT5" s="496"/>
      <c r="DRU5" s="496"/>
      <c r="DRV5" s="496"/>
      <c r="DRW5" s="496"/>
      <c r="DRX5" s="496"/>
      <c r="DRY5" s="496"/>
      <c r="DRZ5" s="496"/>
      <c r="DSA5" s="496"/>
      <c r="DSB5" s="496"/>
      <c r="DSC5" s="496"/>
      <c r="DSD5" s="496"/>
      <c r="DSE5" s="496"/>
      <c r="DSF5" s="496"/>
      <c r="DSG5" s="496"/>
      <c r="DSH5" s="496"/>
      <c r="DSI5" s="496"/>
      <c r="DSJ5" s="496"/>
      <c r="DSK5" s="496"/>
      <c r="DSL5" s="496"/>
      <c r="DSM5" s="496"/>
      <c r="DSN5" s="496"/>
      <c r="DSO5" s="496"/>
      <c r="DSP5" s="496"/>
      <c r="DSQ5" s="496"/>
      <c r="DSR5" s="496"/>
      <c r="DSS5" s="496"/>
      <c r="DST5" s="496"/>
      <c r="DSU5" s="496"/>
      <c r="DSV5" s="496"/>
      <c r="DSW5" s="496"/>
      <c r="DSX5" s="496"/>
      <c r="DSY5" s="496"/>
      <c r="DSZ5" s="496"/>
      <c r="DTA5" s="496"/>
      <c r="DTB5" s="496"/>
      <c r="DTC5" s="496"/>
      <c r="DTD5" s="496"/>
      <c r="DTE5" s="496"/>
      <c r="DTF5" s="496"/>
      <c r="DTG5" s="496"/>
      <c r="DTH5" s="496"/>
      <c r="DTI5" s="496"/>
      <c r="DTJ5" s="496"/>
      <c r="DTK5" s="496"/>
      <c r="DTL5" s="496"/>
      <c r="DTM5" s="496"/>
      <c r="DTN5" s="496"/>
      <c r="DTO5" s="496"/>
      <c r="DTP5" s="496"/>
      <c r="DTQ5" s="496"/>
      <c r="DTR5" s="496"/>
      <c r="DTS5" s="496"/>
      <c r="DTT5" s="496"/>
      <c r="DTU5" s="496"/>
      <c r="DTV5" s="496"/>
      <c r="DTW5" s="496"/>
      <c r="DTX5" s="496"/>
      <c r="DTY5" s="496"/>
      <c r="DTZ5" s="496"/>
      <c r="DUA5" s="496"/>
      <c r="DUB5" s="496"/>
      <c r="DUC5" s="496"/>
      <c r="DUD5" s="496"/>
      <c r="DUE5" s="496"/>
      <c r="DUF5" s="496"/>
      <c r="DUG5" s="496"/>
      <c r="DUH5" s="496"/>
      <c r="DUI5" s="496"/>
      <c r="DUJ5" s="496"/>
      <c r="DUK5" s="496"/>
      <c r="DUL5" s="496"/>
      <c r="DUM5" s="496"/>
      <c r="DUN5" s="496"/>
      <c r="DUO5" s="496"/>
      <c r="DUP5" s="496"/>
      <c r="DUQ5" s="496"/>
      <c r="DUR5" s="496"/>
      <c r="DUS5" s="496"/>
      <c r="DUT5" s="496"/>
      <c r="DUU5" s="496"/>
      <c r="DUV5" s="496"/>
      <c r="DUW5" s="496"/>
      <c r="DUX5" s="496"/>
      <c r="DUY5" s="496"/>
      <c r="DUZ5" s="496"/>
      <c r="DVA5" s="496"/>
      <c r="DVB5" s="496"/>
      <c r="DVC5" s="496"/>
      <c r="DVD5" s="496"/>
      <c r="DVE5" s="496"/>
      <c r="DVF5" s="496"/>
      <c r="DVG5" s="496"/>
      <c r="DVH5" s="496"/>
      <c r="DVI5" s="496"/>
      <c r="DVJ5" s="496"/>
      <c r="DVK5" s="496"/>
      <c r="DVL5" s="496"/>
      <c r="DVM5" s="496"/>
      <c r="DVN5" s="496"/>
      <c r="DVO5" s="496"/>
      <c r="DVP5" s="496"/>
      <c r="DVQ5" s="496"/>
      <c r="DVR5" s="496"/>
      <c r="DVS5" s="496"/>
      <c r="DVT5" s="496"/>
      <c r="DVU5" s="496"/>
      <c r="DVV5" s="496"/>
      <c r="DVW5" s="496"/>
      <c r="DVX5" s="496"/>
      <c r="DVY5" s="496"/>
      <c r="DVZ5" s="496"/>
      <c r="DWA5" s="496"/>
      <c r="DWB5" s="496"/>
      <c r="DWC5" s="496"/>
      <c r="DWD5" s="496"/>
      <c r="DWE5" s="496"/>
      <c r="DWF5" s="496"/>
      <c r="DWG5" s="496"/>
      <c r="DWH5" s="496"/>
      <c r="DWI5" s="496"/>
      <c r="DWJ5" s="496"/>
      <c r="DWK5" s="496"/>
      <c r="DWL5" s="496"/>
      <c r="DWM5" s="496"/>
      <c r="DWN5" s="496"/>
      <c r="DWO5" s="496"/>
      <c r="DWP5" s="496"/>
      <c r="DWQ5" s="496"/>
      <c r="DWR5" s="496"/>
      <c r="DWS5" s="496"/>
      <c r="DWT5" s="496"/>
      <c r="DWU5" s="496"/>
      <c r="DWV5" s="496"/>
      <c r="DWW5" s="496"/>
      <c r="DWX5" s="496"/>
      <c r="DWY5" s="496"/>
      <c r="DWZ5" s="496"/>
      <c r="DXA5" s="496"/>
      <c r="DXB5" s="496"/>
      <c r="DXC5" s="496"/>
      <c r="DXD5" s="496"/>
      <c r="DXE5" s="496"/>
      <c r="DXF5" s="496"/>
      <c r="DXG5" s="496"/>
      <c r="DXH5" s="496"/>
      <c r="DXI5" s="496"/>
      <c r="DXJ5" s="496"/>
      <c r="DXK5" s="496"/>
      <c r="DXL5" s="496"/>
      <c r="DXM5" s="496"/>
      <c r="DXN5" s="496"/>
      <c r="DXO5" s="496"/>
      <c r="DXP5" s="496"/>
      <c r="DXQ5" s="496"/>
      <c r="DXR5" s="496"/>
      <c r="DXS5" s="496"/>
      <c r="DXT5" s="496"/>
      <c r="DXU5" s="496"/>
      <c r="DXV5" s="496"/>
      <c r="DXW5" s="496"/>
      <c r="DXX5" s="496"/>
      <c r="DXY5" s="496"/>
      <c r="DXZ5" s="496"/>
      <c r="DYA5" s="496"/>
      <c r="DYB5" s="496"/>
      <c r="DYC5" s="496"/>
      <c r="DYD5" s="496"/>
      <c r="DYE5" s="496"/>
      <c r="DYF5" s="496"/>
      <c r="DYG5" s="496"/>
      <c r="DYH5" s="496"/>
      <c r="DYI5" s="496"/>
      <c r="DYJ5" s="496"/>
      <c r="DYK5" s="496"/>
      <c r="DYL5" s="496"/>
      <c r="DYM5" s="496"/>
      <c r="DYN5" s="496"/>
      <c r="DYO5" s="496"/>
      <c r="DYP5" s="496"/>
      <c r="DYQ5" s="496"/>
      <c r="DYR5" s="496"/>
      <c r="DYS5" s="496"/>
      <c r="DYT5" s="496"/>
      <c r="DYU5" s="496"/>
      <c r="DYV5" s="496"/>
      <c r="DYW5" s="496"/>
      <c r="DYX5" s="496"/>
      <c r="DYY5" s="496"/>
      <c r="DYZ5" s="496"/>
      <c r="DZA5" s="496"/>
      <c r="DZB5" s="496"/>
      <c r="DZC5" s="496"/>
      <c r="DZD5" s="496"/>
      <c r="DZE5" s="496"/>
      <c r="DZF5" s="496"/>
      <c r="DZG5" s="496"/>
      <c r="DZH5" s="496"/>
      <c r="DZI5" s="496"/>
      <c r="DZJ5" s="496"/>
      <c r="DZK5" s="496"/>
      <c r="DZL5" s="496"/>
      <c r="DZM5" s="496"/>
      <c r="DZN5" s="496"/>
      <c r="DZO5" s="496"/>
      <c r="DZP5" s="496"/>
      <c r="DZQ5" s="496"/>
      <c r="DZR5" s="496"/>
      <c r="DZS5" s="496"/>
      <c r="DZT5" s="496"/>
      <c r="DZU5" s="496"/>
      <c r="DZV5" s="496"/>
      <c r="DZW5" s="496"/>
      <c r="DZX5" s="496"/>
      <c r="DZY5" s="496"/>
      <c r="DZZ5" s="496"/>
      <c r="EAA5" s="496"/>
      <c r="EAB5" s="496"/>
      <c r="EAC5" s="496"/>
      <c r="EAD5" s="496"/>
      <c r="EAE5" s="496"/>
      <c r="EAF5" s="496"/>
      <c r="EAG5" s="496"/>
      <c r="EAH5" s="496"/>
      <c r="EAI5" s="496"/>
      <c r="EAJ5" s="496"/>
      <c r="EAK5" s="496"/>
      <c r="EAL5" s="496"/>
      <c r="EAM5" s="496"/>
      <c r="EAN5" s="496"/>
      <c r="EAO5" s="496"/>
      <c r="EAP5" s="496"/>
      <c r="EAQ5" s="496"/>
      <c r="EAR5" s="496"/>
      <c r="EAS5" s="496"/>
      <c r="EAT5" s="496"/>
      <c r="EAU5" s="496"/>
      <c r="EAV5" s="496"/>
      <c r="EAW5" s="496"/>
      <c r="EAX5" s="496"/>
      <c r="EAY5" s="496"/>
      <c r="EAZ5" s="496"/>
      <c r="EBA5" s="496"/>
      <c r="EBB5" s="496"/>
      <c r="EBC5" s="496"/>
      <c r="EBD5" s="496"/>
      <c r="EBE5" s="496"/>
      <c r="EBF5" s="496"/>
      <c r="EBG5" s="496"/>
      <c r="EBH5" s="496"/>
      <c r="EBI5" s="496"/>
      <c r="EBJ5" s="496"/>
      <c r="EBK5" s="496"/>
      <c r="EBL5" s="496"/>
      <c r="EBM5" s="496"/>
      <c r="EBN5" s="496"/>
      <c r="EBO5" s="496"/>
      <c r="EBP5" s="496"/>
      <c r="EBQ5" s="496"/>
      <c r="EBR5" s="496"/>
      <c r="EBS5" s="496"/>
      <c r="EBT5" s="496"/>
      <c r="EBU5" s="496"/>
      <c r="EBV5" s="496"/>
      <c r="EBW5" s="496"/>
      <c r="EBX5" s="496"/>
      <c r="EBY5" s="496"/>
      <c r="EBZ5" s="496"/>
      <c r="ECA5" s="496"/>
      <c r="ECB5" s="496"/>
      <c r="ECC5" s="496"/>
      <c r="ECD5" s="496"/>
      <c r="ECE5" s="496"/>
      <c r="ECF5" s="496"/>
      <c r="ECG5" s="496"/>
      <c r="ECH5" s="496"/>
      <c r="ECI5" s="496"/>
      <c r="ECJ5" s="496"/>
      <c r="ECK5" s="496"/>
      <c r="ECL5" s="496"/>
      <c r="ECM5" s="496"/>
      <c r="ECN5" s="496"/>
      <c r="ECO5" s="496"/>
      <c r="ECP5" s="496"/>
      <c r="ECQ5" s="496"/>
      <c r="ECR5" s="496"/>
      <c r="ECS5" s="496"/>
      <c r="ECT5" s="496"/>
      <c r="ECU5" s="496"/>
      <c r="ECV5" s="496"/>
      <c r="ECW5" s="496"/>
      <c r="ECX5" s="496"/>
      <c r="ECY5" s="496"/>
      <c r="ECZ5" s="496"/>
      <c r="EDA5" s="496"/>
      <c r="EDB5" s="496"/>
      <c r="EDC5" s="496"/>
      <c r="EDD5" s="496"/>
      <c r="EDE5" s="496"/>
      <c r="EDF5" s="496"/>
      <c r="EDG5" s="496"/>
      <c r="EDH5" s="496"/>
      <c r="EDI5" s="496"/>
      <c r="EDJ5" s="496"/>
      <c r="EDK5" s="496"/>
      <c r="EDL5" s="496"/>
      <c r="EDM5" s="496"/>
      <c r="EDN5" s="496"/>
      <c r="EDO5" s="496"/>
      <c r="EDP5" s="496"/>
      <c r="EDQ5" s="496"/>
      <c r="EDR5" s="496"/>
      <c r="EDS5" s="496"/>
      <c r="EDT5" s="496"/>
      <c r="EDU5" s="496"/>
      <c r="EDV5" s="496"/>
      <c r="EDW5" s="496"/>
      <c r="EDX5" s="496"/>
      <c r="EDY5" s="496"/>
      <c r="EDZ5" s="496"/>
      <c r="EEA5" s="496"/>
      <c r="EEB5" s="496"/>
      <c r="EEC5" s="496"/>
      <c r="EED5" s="496"/>
      <c r="EEE5" s="496"/>
      <c r="EEF5" s="496"/>
      <c r="EEG5" s="496"/>
      <c r="EEH5" s="496"/>
      <c r="EEI5" s="496"/>
      <c r="EEJ5" s="496"/>
      <c r="EEK5" s="496"/>
      <c r="EEL5" s="496"/>
      <c r="EEM5" s="496"/>
      <c r="EEN5" s="496"/>
      <c r="EEO5" s="496"/>
      <c r="EEP5" s="496"/>
      <c r="EEQ5" s="496"/>
      <c r="EER5" s="496"/>
      <c r="EES5" s="496"/>
      <c r="EET5" s="496"/>
      <c r="EEU5" s="496"/>
      <c r="EEV5" s="496"/>
      <c r="EEW5" s="496"/>
      <c r="EEX5" s="496"/>
      <c r="EEY5" s="496"/>
      <c r="EEZ5" s="496"/>
      <c r="EFA5" s="496"/>
      <c r="EFB5" s="496"/>
      <c r="EFC5" s="496"/>
      <c r="EFD5" s="496"/>
      <c r="EFE5" s="496"/>
      <c r="EFF5" s="496"/>
      <c r="EFG5" s="496"/>
      <c r="EFH5" s="496"/>
      <c r="EFI5" s="496"/>
      <c r="EFJ5" s="496"/>
      <c r="EFK5" s="496"/>
      <c r="EFL5" s="496"/>
      <c r="EFM5" s="496"/>
      <c r="EFN5" s="496"/>
      <c r="EFO5" s="496"/>
      <c r="EFP5" s="496"/>
      <c r="EFQ5" s="496"/>
      <c r="EFR5" s="496"/>
      <c r="EFS5" s="496"/>
      <c r="EFT5" s="496"/>
      <c r="EFU5" s="496"/>
      <c r="EFV5" s="496"/>
      <c r="EFW5" s="496"/>
      <c r="EFX5" s="496"/>
      <c r="EFY5" s="496"/>
      <c r="EFZ5" s="496"/>
      <c r="EGA5" s="496"/>
      <c r="EGB5" s="496"/>
      <c r="EGC5" s="496"/>
      <c r="EGD5" s="496"/>
      <c r="EGE5" s="496"/>
      <c r="EGF5" s="496"/>
      <c r="EGG5" s="496"/>
      <c r="EGH5" s="496"/>
      <c r="EGI5" s="496"/>
      <c r="EGJ5" s="496"/>
      <c r="EGK5" s="496"/>
      <c r="EGL5" s="496"/>
      <c r="EGM5" s="496"/>
      <c r="EGN5" s="496"/>
      <c r="EGO5" s="496"/>
      <c r="EGP5" s="496"/>
      <c r="EGQ5" s="496"/>
      <c r="EGR5" s="496"/>
      <c r="EGS5" s="496"/>
      <c r="EGT5" s="496"/>
      <c r="EGU5" s="496"/>
      <c r="EGV5" s="496"/>
      <c r="EGW5" s="496"/>
      <c r="EGX5" s="496"/>
      <c r="EGY5" s="496"/>
      <c r="EGZ5" s="496"/>
      <c r="EHA5" s="496"/>
      <c r="EHB5" s="496"/>
      <c r="EHC5" s="496"/>
      <c r="EHD5" s="496"/>
      <c r="EHE5" s="496"/>
      <c r="EHF5" s="496"/>
      <c r="EHG5" s="496"/>
      <c r="EHH5" s="496"/>
      <c r="EHI5" s="496"/>
      <c r="EHJ5" s="496"/>
      <c r="EHK5" s="496"/>
      <c r="EHL5" s="496"/>
      <c r="EHM5" s="496"/>
      <c r="EHN5" s="496"/>
      <c r="EHO5" s="496"/>
      <c r="EHP5" s="496"/>
      <c r="EHQ5" s="496"/>
      <c r="EHR5" s="496"/>
      <c r="EHS5" s="496"/>
      <c r="EHT5" s="496"/>
      <c r="EHU5" s="496"/>
      <c r="EHV5" s="496"/>
      <c r="EHW5" s="496"/>
      <c r="EHX5" s="496"/>
      <c r="EHY5" s="496"/>
      <c r="EHZ5" s="496"/>
      <c r="EIA5" s="496"/>
      <c r="EIB5" s="496"/>
      <c r="EIC5" s="496"/>
      <c r="EID5" s="496"/>
      <c r="EIE5" s="496"/>
      <c r="EIF5" s="496"/>
      <c r="EIG5" s="496"/>
      <c r="EIH5" s="496"/>
      <c r="EII5" s="496"/>
      <c r="EIJ5" s="496"/>
      <c r="EIK5" s="496"/>
      <c r="EIL5" s="496"/>
      <c r="EIM5" s="496"/>
      <c r="EIN5" s="496"/>
      <c r="EIO5" s="496"/>
      <c r="EIP5" s="496"/>
      <c r="EIQ5" s="496"/>
      <c r="EIR5" s="496"/>
      <c r="EIS5" s="496"/>
      <c r="EIT5" s="496"/>
      <c r="EIU5" s="496"/>
      <c r="EIV5" s="496"/>
      <c r="EIW5" s="496"/>
      <c r="EIX5" s="496"/>
      <c r="EIY5" s="496"/>
      <c r="EIZ5" s="496"/>
      <c r="EJA5" s="496"/>
      <c r="EJB5" s="496"/>
      <c r="EJC5" s="496"/>
      <c r="EJD5" s="496"/>
      <c r="EJE5" s="496"/>
      <c r="EJF5" s="496"/>
      <c r="EJG5" s="496"/>
      <c r="EJH5" s="496"/>
      <c r="EJI5" s="496"/>
      <c r="EJJ5" s="496"/>
      <c r="EJK5" s="496"/>
      <c r="EJL5" s="496"/>
      <c r="EJM5" s="496"/>
      <c r="EJN5" s="496"/>
      <c r="EJO5" s="496"/>
      <c r="EJP5" s="496"/>
      <c r="EJQ5" s="496"/>
      <c r="EJR5" s="496"/>
      <c r="EJS5" s="496"/>
      <c r="EJT5" s="496"/>
      <c r="EJU5" s="496"/>
      <c r="EJV5" s="496"/>
      <c r="EJW5" s="496"/>
      <c r="EJX5" s="496"/>
      <c r="EJY5" s="496"/>
      <c r="EJZ5" s="496"/>
      <c r="EKA5" s="496"/>
      <c r="EKB5" s="496"/>
      <c r="EKC5" s="496"/>
      <c r="EKD5" s="496"/>
      <c r="EKE5" s="496"/>
      <c r="EKF5" s="496"/>
      <c r="EKG5" s="496"/>
      <c r="EKH5" s="496"/>
      <c r="EKI5" s="496"/>
      <c r="EKJ5" s="496"/>
      <c r="EKK5" s="496"/>
      <c r="EKL5" s="496"/>
      <c r="EKM5" s="496"/>
      <c r="EKN5" s="496"/>
      <c r="EKO5" s="496"/>
      <c r="EKP5" s="496"/>
      <c r="EKQ5" s="496"/>
      <c r="EKR5" s="496"/>
      <c r="EKS5" s="496"/>
      <c r="EKT5" s="496"/>
      <c r="EKU5" s="496"/>
      <c r="EKV5" s="496"/>
      <c r="EKW5" s="496"/>
      <c r="EKX5" s="496"/>
      <c r="EKY5" s="496"/>
      <c r="EKZ5" s="496"/>
      <c r="ELA5" s="496"/>
      <c r="ELB5" s="496"/>
      <c r="ELC5" s="496"/>
      <c r="ELD5" s="496"/>
      <c r="ELE5" s="496"/>
      <c r="ELF5" s="496"/>
      <c r="ELG5" s="496"/>
      <c r="ELH5" s="496"/>
      <c r="ELI5" s="496"/>
      <c r="ELJ5" s="496"/>
      <c r="ELK5" s="496"/>
      <c r="ELL5" s="496"/>
      <c r="ELM5" s="496"/>
      <c r="ELN5" s="496"/>
      <c r="ELO5" s="496"/>
      <c r="ELP5" s="496"/>
      <c r="ELQ5" s="496"/>
      <c r="ELR5" s="496"/>
      <c r="ELS5" s="496"/>
      <c r="ELT5" s="496"/>
      <c r="ELU5" s="496"/>
      <c r="ELV5" s="496"/>
      <c r="ELW5" s="496"/>
      <c r="ELX5" s="496"/>
      <c r="ELY5" s="496"/>
      <c r="ELZ5" s="496"/>
      <c r="EMA5" s="496"/>
      <c r="EMB5" s="496"/>
      <c r="EMC5" s="496"/>
      <c r="EMD5" s="496"/>
      <c r="EME5" s="496"/>
      <c r="EMF5" s="496"/>
      <c r="EMG5" s="496"/>
      <c r="EMH5" s="496"/>
      <c r="EMI5" s="496"/>
      <c r="EMJ5" s="496"/>
      <c r="EMK5" s="496"/>
      <c r="EML5" s="496"/>
      <c r="EMM5" s="496"/>
      <c r="EMN5" s="496"/>
      <c r="EMO5" s="496"/>
      <c r="EMP5" s="496"/>
      <c r="EMQ5" s="496"/>
      <c r="EMR5" s="496"/>
      <c r="EMS5" s="496"/>
      <c r="EMT5" s="496"/>
      <c r="EMU5" s="496"/>
      <c r="EMV5" s="496"/>
      <c r="EMW5" s="496"/>
      <c r="EMX5" s="496"/>
      <c r="EMY5" s="496"/>
      <c r="EMZ5" s="496"/>
      <c r="ENA5" s="496"/>
      <c r="ENB5" s="496"/>
      <c r="ENC5" s="496"/>
      <c r="END5" s="496"/>
      <c r="ENE5" s="496"/>
      <c r="ENF5" s="496"/>
      <c r="ENG5" s="496"/>
      <c r="ENH5" s="496"/>
      <c r="ENI5" s="496"/>
      <c r="ENJ5" s="496"/>
      <c r="ENK5" s="496"/>
      <c r="ENL5" s="496"/>
      <c r="ENM5" s="496"/>
      <c r="ENN5" s="496"/>
      <c r="ENO5" s="496"/>
      <c r="ENP5" s="496"/>
      <c r="ENQ5" s="496"/>
      <c r="ENR5" s="496"/>
      <c r="ENS5" s="496"/>
      <c r="ENT5" s="496"/>
      <c r="ENU5" s="496"/>
      <c r="ENV5" s="496"/>
      <c r="ENW5" s="496"/>
      <c r="ENX5" s="496"/>
      <c r="ENY5" s="496"/>
      <c r="ENZ5" s="496"/>
      <c r="EOA5" s="496"/>
      <c r="EOB5" s="496"/>
      <c r="EOC5" s="496"/>
      <c r="EOD5" s="496"/>
      <c r="EOE5" s="496"/>
      <c r="EOF5" s="496"/>
      <c r="EOG5" s="496"/>
      <c r="EOH5" s="496"/>
      <c r="EOI5" s="496"/>
      <c r="EOJ5" s="496"/>
      <c r="EOK5" s="496"/>
      <c r="EOL5" s="496"/>
      <c r="EOM5" s="496"/>
      <c r="EON5" s="496"/>
      <c r="EOO5" s="496"/>
      <c r="EOP5" s="496"/>
      <c r="EOQ5" s="496"/>
      <c r="EOR5" s="496"/>
      <c r="EOS5" s="496"/>
      <c r="EOT5" s="496"/>
      <c r="EOU5" s="496"/>
      <c r="EOV5" s="496"/>
      <c r="EOW5" s="496"/>
      <c r="EOX5" s="496"/>
      <c r="EOY5" s="496"/>
      <c r="EOZ5" s="496"/>
      <c r="EPA5" s="496"/>
      <c r="EPB5" s="496"/>
      <c r="EPC5" s="496"/>
      <c r="EPD5" s="496"/>
      <c r="EPE5" s="496"/>
      <c r="EPF5" s="496"/>
      <c r="EPG5" s="496"/>
      <c r="EPH5" s="496"/>
      <c r="EPI5" s="496"/>
      <c r="EPJ5" s="496"/>
      <c r="EPK5" s="496"/>
      <c r="EPL5" s="496"/>
      <c r="EPM5" s="496"/>
      <c r="EPN5" s="496"/>
      <c r="EPO5" s="496"/>
      <c r="EPP5" s="496"/>
      <c r="EPQ5" s="496"/>
      <c r="EPR5" s="496"/>
      <c r="EPS5" s="496"/>
      <c r="EPT5" s="496"/>
      <c r="EPU5" s="496"/>
      <c r="EPV5" s="496"/>
      <c r="EPW5" s="496"/>
      <c r="EPX5" s="496"/>
      <c r="EPY5" s="496"/>
      <c r="EPZ5" s="496"/>
      <c r="EQA5" s="496"/>
      <c r="EQB5" s="496"/>
      <c r="EQC5" s="496"/>
      <c r="EQD5" s="496"/>
      <c r="EQE5" s="496"/>
      <c r="EQF5" s="496"/>
      <c r="EQG5" s="496"/>
      <c r="EQH5" s="496"/>
      <c r="EQI5" s="496"/>
      <c r="EQJ5" s="496"/>
      <c r="EQK5" s="496"/>
      <c r="EQL5" s="496"/>
      <c r="EQM5" s="496"/>
      <c r="EQN5" s="496"/>
      <c r="EQO5" s="496"/>
      <c r="EQP5" s="496"/>
      <c r="EQQ5" s="496"/>
      <c r="EQR5" s="496"/>
      <c r="EQS5" s="496"/>
      <c r="EQT5" s="496"/>
      <c r="EQU5" s="496"/>
      <c r="EQV5" s="496"/>
      <c r="EQW5" s="496"/>
      <c r="EQX5" s="496"/>
      <c r="EQY5" s="496"/>
      <c r="EQZ5" s="496"/>
      <c r="ERA5" s="496"/>
      <c r="ERB5" s="496"/>
      <c r="ERC5" s="496"/>
      <c r="ERD5" s="496"/>
      <c r="ERE5" s="496"/>
      <c r="ERF5" s="496"/>
      <c r="ERG5" s="496"/>
      <c r="ERH5" s="496"/>
      <c r="ERI5" s="496"/>
      <c r="ERJ5" s="496"/>
      <c r="ERK5" s="496"/>
      <c r="ERL5" s="496"/>
      <c r="ERM5" s="496"/>
      <c r="ERN5" s="496"/>
      <c r="ERO5" s="496"/>
      <c r="ERP5" s="496"/>
      <c r="ERQ5" s="496"/>
      <c r="ERR5" s="496"/>
      <c r="ERS5" s="496"/>
      <c r="ERT5" s="496"/>
      <c r="ERU5" s="496"/>
      <c r="ERV5" s="496"/>
      <c r="ERW5" s="496"/>
      <c r="ERX5" s="496"/>
      <c r="ERY5" s="496"/>
      <c r="ERZ5" s="496"/>
      <c r="ESA5" s="496"/>
      <c r="ESB5" s="496"/>
      <c r="ESC5" s="496"/>
      <c r="ESD5" s="496"/>
      <c r="ESE5" s="496"/>
      <c r="ESF5" s="496"/>
      <c r="ESG5" s="496"/>
      <c r="ESH5" s="496"/>
      <c r="ESI5" s="496"/>
      <c r="ESJ5" s="496"/>
      <c r="ESK5" s="496"/>
      <c r="ESL5" s="496"/>
      <c r="ESM5" s="496"/>
      <c r="ESN5" s="496"/>
      <c r="ESO5" s="496"/>
      <c r="ESP5" s="496"/>
      <c r="ESQ5" s="496"/>
      <c r="ESR5" s="496"/>
      <c r="ESS5" s="496"/>
      <c r="EST5" s="496"/>
      <c r="ESU5" s="496"/>
      <c r="ESV5" s="496"/>
      <c r="ESW5" s="496"/>
      <c r="ESX5" s="496"/>
      <c r="ESY5" s="496"/>
      <c r="ESZ5" s="496"/>
      <c r="ETA5" s="496"/>
      <c r="ETB5" s="496"/>
      <c r="ETC5" s="496"/>
      <c r="ETD5" s="496"/>
      <c r="ETE5" s="496"/>
      <c r="ETF5" s="496"/>
      <c r="ETG5" s="496"/>
      <c r="ETH5" s="496"/>
      <c r="ETI5" s="496"/>
      <c r="ETJ5" s="496"/>
      <c r="ETK5" s="496"/>
      <c r="ETL5" s="496"/>
      <c r="ETM5" s="496"/>
      <c r="ETN5" s="496"/>
      <c r="ETO5" s="496"/>
      <c r="ETP5" s="496"/>
      <c r="ETQ5" s="496"/>
      <c r="ETR5" s="496"/>
      <c r="ETS5" s="496"/>
      <c r="ETT5" s="496"/>
      <c r="ETU5" s="496"/>
      <c r="ETV5" s="496"/>
      <c r="ETW5" s="496"/>
      <c r="ETX5" s="496"/>
      <c r="ETY5" s="496"/>
      <c r="ETZ5" s="496"/>
      <c r="EUA5" s="496"/>
      <c r="EUB5" s="496"/>
      <c r="EUC5" s="496"/>
      <c r="EUD5" s="496"/>
      <c r="EUE5" s="496"/>
      <c r="EUF5" s="496"/>
      <c r="EUG5" s="496"/>
      <c r="EUH5" s="496"/>
      <c r="EUI5" s="496"/>
      <c r="EUJ5" s="496"/>
      <c r="EUK5" s="496"/>
      <c r="EUL5" s="496"/>
      <c r="EUM5" s="496"/>
      <c r="EUN5" s="496"/>
      <c r="EUO5" s="496"/>
      <c r="EUP5" s="496"/>
      <c r="EUQ5" s="496"/>
      <c r="EUR5" s="496"/>
      <c r="EUS5" s="496"/>
      <c r="EUT5" s="496"/>
      <c r="EUU5" s="496"/>
      <c r="EUV5" s="496"/>
      <c r="EUW5" s="496"/>
      <c r="EUX5" s="496"/>
      <c r="EUY5" s="496"/>
      <c r="EUZ5" s="496"/>
      <c r="EVA5" s="496"/>
      <c r="EVB5" s="496"/>
      <c r="EVC5" s="496"/>
      <c r="EVD5" s="496"/>
      <c r="EVE5" s="496"/>
      <c r="EVF5" s="496"/>
      <c r="EVG5" s="496"/>
      <c r="EVH5" s="496"/>
      <c r="EVI5" s="496"/>
      <c r="EVJ5" s="496"/>
      <c r="EVK5" s="496"/>
      <c r="EVL5" s="496"/>
      <c r="EVM5" s="496"/>
      <c r="EVN5" s="496"/>
      <c r="EVO5" s="496"/>
      <c r="EVP5" s="496"/>
      <c r="EVQ5" s="496"/>
      <c r="EVR5" s="496"/>
      <c r="EVS5" s="496"/>
      <c r="EVT5" s="496"/>
      <c r="EVU5" s="496"/>
      <c r="EVV5" s="496"/>
      <c r="EVW5" s="496"/>
      <c r="EVX5" s="496"/>
      <c r="EVY5" s="496"/>
      <c r="EVZ5" s="496"/>
      <c r="EWA5" s="496"/>
      <c r="EWB5" s="496"/>
      <c r="EWC5" s="496"/>
      <c r="EWD5" s="496"/>
      <c r="EWE5" s="496"/>
      <c r="EWF5" s="496"/>
      <c r="EWG5" s="496"/>
      <c r="EWH5" s="496"/>
      <c r="EWI5" s="496"/>
      <c r="EWJ5" s="496"/>
      <c r="EWK5" s="496"/>
      <c r="EWL5" s="496"/>
      <c r="EWM5" s="496"/>
      <c r="EWN5" s="496"/>
      <c r="EWO5" s="496"/>
      <c r="EWP5" s="496"/>
      <c r="EWQ5" s="496"/>
      <c r="EWR5" s="496"/>
      <c r="EWS5" s="496"/>
      <c r="EWT5" s="496"/>
      <c r="EWU5" s="496"/>
      <c r="EWV5" s="496"/>
      <c r="EWW5" s="496"/>
      <c r="EWX5" s="496"/>
      <c r="EWY5" s="496"/>
      <c r="EWZ5" s="496"/>
      <c r="EXA5" s="496"/>
      <c r="EXB5" s="496"/>
      <c r="EXC5" s="496"/>
      <c r="EXD5" s="496"/>
      <c r="EXE5" s="496"/>
      <c r="EXF5" s="496"/>
      <c r="EXG5" s="496"/>
      <c r="EXH5" s="496"/>
      <c r="EXI5" s="496"/>
      <c r="EXJ5" s="496"/>
      <c r="EXK5" s="496"/>
      <c r="EXL5" s="496"/>
      <c r="EXM5" s="496"/>
      <c r="EXN5" s="496"/>
      <c r="EXO5" s="496"/>
      <c r="EXP5" s="496"/>
      <c r="EXQ5" s="496"/>
      <c r="EXR5" s="496"/>
      <c r="EXS5" s="496"/>
      <c r="EXT5" s="496"/>
      <c r="EXU5" s="496"/>
      <c r="EXV5" s="496"/>
      <c r="EXW5" s="496"/>
      <c r="EXX5" s="496"/>
      <c r="EXY5" s="496"/>
      <c r="EXZ5" s="496"/>
      <c r="EYA5" s="496"/>
      <c r="EYB5" s="496"/>
      <c r="EYC5" s="496"/>
      <c r="EYD5" s="496"/>
      <c r="EYE5" s="496"/>
      <c r="EYF5" s="496"/>
      <c r="EYG5" s="496"/>
      <c r="EYH5" s="496"/>
      <c r="EYI5" s="496"/>
      <c r="EYJ5" s="496"/>
      <c r="EYK5" s="496"/>
      <c r="EYL5" s="496"/>
      <c r="EYM5" s="496"/>
      <c r="EYN5" s="496"/>
      <c r="EYO5" s="496"/>
      <c r="EYP5" s="496"/>
      <c r="EYQ5" s="496"/>
      <c r="EYR5" s="496"/>
      <c r="EYS5" s="496"/>
      <c r="EYT5" s="496"/>
      <c r="EYU5" s="496"/>
      <c r="EYV5" s="496"/>
      <c r="EYW5" s="496"/>
      <c r="EYX5" s="496"/>
      <c r="EYY5" s="496"/>
      <c r="EYZ5" s="496"/>
      <c r="EZA5" s="496"/>
      <c r="EZB5" s="496"/>
      <c r="EZC5" s="496"/>
      <c r="EZD5" s="496"/>
      <c r="EZE5" s="496"/>
      <c r="EZF5" s="496"/>
      <c r="EZG5" s="496"/>
      <c r="EZH5" s="496"/>
      <c r="EZI5" s="496"/>
      <c r="EZJ5" s="496"/>
      <c r="EZK5" s="496"/>
      <c r="EZL5" s="496"/>
      <c r="EZM5" s="496"/>
      <c r="EZN5" s="496"/>
      <c r="EZO5" s="496"/>
      <c r="EZP5" s="496"/>
      <c r="EZQ5" s="496"/>
      <c r="EZR5" s="496"/>
      <c r="EZS5" s="496"/>
      <c r="EZT5" s="496"/>
      <c r="EZU5" s="496"/>
      <c r="EZV5" s="496"/>
      <c r="EZW5" s="496"/>
      <c r="EZX5" s="496"/>
      <c r="EZY5" s="496"/>
      <c r="EZZ5" s="496"/>
      <c r="FAA5" s="496"/>
      <c r="FAB5" s="496"/>
      <c r="FAC5" s="496"/>
      <c r="FAD5" s="496"/>
      <c r="FAE5" s="496"/>
      <c r="FAF5" s="496"/>
      <c r="FAG5" s="496"/>
      <c r="FAH5" s="496"/>
      <c r="FAI5" s="496"/>
      <c r="FAJ5" s="496"/>
      <c r="FAK5" s="496"/>
      <c r="FAL5" s="496"/>
      <c r="FAM5" s="496"/>
      <c r="FAN5" s="496"/>
      <c r="FAO5" s="496"/>
      <c r="FAP5" s="496"/>
      <c r="FAQ5" s="496"/>
      <c r="FAR5" s="496"/>
      <c r="FAS5" s="496"/>
      <c r="FAT5" s="496"/>
      <c r="FAU5" s="496"/>
      <c r="FAV5" s="496"/>
      <c r="FAW5" s="496"/>
      <c r="FAX5" s="496"/>
      <c r="FAY5" s="496"/>
      <c r="FAZ5" s="496"/>
      <c r="FBA5" s="496"/>
      <c r="FBB5" s="496"/>
      <c r="FBC5" s="496"/>
      <c r="FBD5" s="496"/>
      <c r="FBE5" s="496"/>
      <c r="FBF5" s="496"/>
      <c r="FBG5" s="496"/>
      <c r="FBH5" s="496"/>
      <c r="FBI5" s="496"/>
      <c r="FBJ5" s="496"/>
      <c r="FBK5" s="496"/>
      <c r="FBL5" s="496"/>
      <c r="FBM5" s="496"/>
      <c r="FBN5" s="496"/>
      <c r="FBO5" s="496"/>
      <c r="FBP5" s="496"/>
      <c r="FBQ5" s="496"/>
      <c r="FBR5" s="496"/>
      <c r="FBS5" s="496"/>
      <c r="FBT5" s="496"/>
      <c r="FBU5" s="496"/>
      <c r="FBV5" s="496"/>
      <c r="FBW5" s="496"/>
      <c r="FBX5" s="496"/>
      <c r="FBY5" s="496"/>
      <c r="FBZ5" s="496"/>
      <c r="FCA5" s="496"/>
      <c r="FCB5" s="496"/>
      <c r="FCC5" s="496"/>
      <c r="FCD5" s="496"/>
      <c r="FCE5" s="496"/>
      <c r="FCF5" s="496"/>
      <c r="FCG5" s="496"/>
      <c r="FCH5" s="496"/>
      <c r="FCI5" s="496"/>
      <c r="FCJ5" s="496"/>
      <c r="FCK5" s="496"/>
      <c r="FCL5" s="496"/>
      <c r="FCM5" s="496"/>
      <c r="FCN5" s="496"/>
      <c r="FCO5" s="496"/>
      <c r="FCP5" s="496"/>
      <c r="FCQ5" s="496"/>
      <c r="FCR5" s="496"/>
      <c r="FCS5" s="496"/>
      <c r="FCT5" s="496"/>
      <c r="FCU5" s="496"/>
      <c r="FCV5" s="496"/>
      <c r="FCW5" s="496"/>
      <c r="FCX5" s="496"/>
      <c r="FCY5" s="496"/>
      <c r="FCZ5" s="496"/>
      <c r="FDA5" s="496"/>
      <c r="FDB5" s="496"/>
      <c r="FDC5" s="496"/>
      <c r="FDD5" s="496"/>
      <c r="FDE5" s="496"/>
      <c r="FDF5" s="496"/>
      <c r="FDG5" s="496"/>
      <c r="FDH5" s="496"/>
      <c r="FDI5" s="496"/>
      <c r="FDJ5" s="496"/>
      <c r="FDK5" s="496"/>
      <c r="FDL5" s="496"/>
      <c r="FDM5" s="496"/>
      <c r="FDN5" s="496"/>
      <c r="FDO5" s="496"/>
      <c r="FDP5" s="496"/>
      <c r="FDQ5" s="496"/>
      <c r="FDR5" s="496"/>
      <c r="FDS5" s="496"/>
      <c r="FDT5" s="496"/>
      <c r="FDU5" s="496"/>
      <c r="FDV5" s="496"/>
      <c r="FDW5" s="496"/>
      <c r="FDX5" s="496"/>
      <c r="FDY5" s="496"/>
      <c r="FDZ5" s="496"/>
      <c r="FEA5" s="496"/>
      <c r="FEB5" s="496"/>
      <c r="FEC5" s="496"/>
      <c r="FED5" s="496"/>
      <c r="FEE5" s="496"/>
      <c r="FEF5" s="496"/>
      <c r="FEG5" s="496"/>
      <c r="FEH5" s="496"/>
      <c r="FEI5" s="496"/>
      <c r="FEJ5" s="496"/>
      <c r="FEK5" s="496"/>
      <c r="FEL5" s="496"/>
      <c r="FEM5" s="496"/>
      <c r="FEN5" s="496"/>
      <c r="FEO5" s="496"/>
      <c r="FEP5" s="496"/>
      <c r="FEQ5" s="496"/>
      <c r="FER5" s="496"/>
      <c r="FES5" s="496"/>
      <c r="FET5" s="496"/>
      <c r="FEU5" s="496"/>
      <c r="FEV5" s="496"/>
      <c r="FEW5" s="496"/>
      <c r="FEX5" s="496"/>
      <c r="FEY5" s="496"/>
      <c r="FEZ5" s="496"/>
      <c r="FFA5" s="496"/>
      <c r="FFB5" s="496"/>
      <c r="FFC5" s="496"/>
      <c r="FFD5" s="496"/>
      <c r="FFE5" s="496"/>
      <c r="FFF5" s="496"/>
      <c r="FFG5" s="496"/>
      <c r="FFH5" s="496"/>
      <c r="FFI5" s="496"/>
      <c r="FFJ5" s="496"/>
      <c r="FFK5" s="496"/>
      <c r="FFL5" s="496"/>
      <c r="FFM5" s="496"/>
      <c r="FFN5" s="496"/>
      <c r="FFO5" s="496"/>
      <c r="FFP5" s="496"/>
      <c r="FFQ5" s="496"/>
      <c r="FFR5" s="496"/>
      <c r="FFS5" s="496"/>
      <c r="FFT5" s="496"/>
      <c r="FFU5" s="496"/>
      <c r="FFV5" s="496"/>
      <c r="FFW5" s="496"/>
      <c r="FFX5" s="496"/>
      <c r="FFY5" s="496"/>
      <c r="FFZ5" s="496"/>
      <c r="FGA5" s="496"/>
      <c r="FGB5" s="496"/>
      <c r="FGC5" s="496"/>
      <c r="FGD5" s="496"/>
      <c r="FGE5" s="496"/>
      <c r="FGF5" s="496"/>
      <c r="FGG5" s="496"/>
      <c r="FGH5" s="496"/>
      <c r="FGI5" s="496"/>
      <c r="FGJ5" s="496"/>
      <c r="FGK5" s="496"/>
      <c r="FGL5" s="496"/>
      <c r="FGM5" s="496"/>
      <c r="FGN5" s="496"/>
      <c r="FGO5" s="496"/>
      <c r="FGP5" s="496"/>
      <c r="FGQ5" s="496"/>
      <c r="FGR5" s="496"/>
      <c r="FGS5" s="496"/>
      <c r="FGT5" s="496"/>
      <c r="FGU5" s="496"/>
      <c r="FGV5" s="496"/>
      <c r="FGW5" s="496"/>
      <c r="FGX5" s="496"/>
      <c r="FGY5" s="496"/>
      <c r="FGZ5" s="496"/>
      <c r="FHA5" s="496"/>
      <c r="FHB5" s="496"/>
      <c r="FHC5" s="496"/>
      <c r="FHD5" s="496"/>
      <c r="FHE5" s="496"/>
      <c r="FHF5" s="496"/>
      <c r="FHG5" s="496"/>
      <c r="FHH5" s="496"/>
      <c r="FHI5" s="496"/>
      <c r="FHJ5" s="496"/>
      <c r="FHK5" s="496"/>
      <c r="FHL5" s="496"/>
      <c r="FHM5" s="496"/>
      <c r="FHN5" s="496"/>
      <c r="FHO5" s="496"/>
      <c r="FHP5" s="496"/>
      <c r="FHQ5" s="496"/>
      <c r="FHR5" s="496"/>
      <c r="FHS5" s="496"/>
      <c r="FHT5" s="496"/>
      <c r="FHU5" s="496"/>
      <c r="FHV5" s="496"/>
      <c r="FHW5" s="496"/>
      <c r="FHX5" s="496"/>
      <c r="FHY5" s="496"/>
      <c r="FHZ5" s="496"/>
      <c r="FIA5" s="496"/>
      <c r="FIB5" s="496"/>
      <c r="FIC5" s="496"/>
      <c r="FID5" s="496"/>
      <c r="FIE5" s="496"/>
      <c r="FIF5" s="496"/>
      <c r="FIG5" s="496"/>
      <c r="FIH5" s="496"/>
      <c r="FII5" s="496"/>
      <c r="FIJ5" s="496"/>
      <c r="FIK5" s="496"/>
      <c r="FIL5" s="496"/>
      <c r="FIM5" s="496"/>
      <c r="FIN5" s="496"/>
      <c r="FIO5" s="496"/>
      <c r="FIP5" s="496"/>
      <c r="FIQ5" s="496"/>
      <c r="FIR5" s="496"/>
      <c r="FIS5" s="496"/>
      <c r="FIT5" s="496"/>
      <c r="FIU5" s="496"/>
      <c r="FIV5" s="496"/>
      <c r="FIW5" s="496"/>
      <c r="FIX5" s="496"/>
      <c r="FIY5" s="496"/>
      <c r="FIZ5" s="496"/>
      <c r="FJA5" s="496"/>
      <c r="FJB5" s="496"/>
      <c r="FJC5" s="496"/>
      <c r="FJD5" s="496"/>
      <c r="FJE5" s="496"/>
      <c r="FJF5" s="496"/>
      <c r="FJG5" s="496"/>
      <c r="FJH5" s="496"/>
      <c r="FJI5" s="496"/>
      <c r="FJJ5" s="496"/>
      <c r="FJK5" s="496"/>
      <c r="FJL5" s="496"/>
      <c r="FJM5" s="496"/>
      <c r="FJN5" s="496"/>
      <c r="FJO5" s="496"/>
      <c r="FJP5" s="496"/>
      <c r="FJQ5" s="496"/>
      <c r="FJR5" s="496"/>
      <c r="FJS5" s="496"/>
      <c r="FJT5" s="496"/>
      <c r="FJU5" s="496"/>
      <c r="FJV5" s="496"/>
      <c r="FJW5" s="496"/>
      <c r="FJX5" s="496"/>
      <c r="FJY5" s="496"/>
      <c r="FJZ5" s="496"/>
      <c r="FKA5" s="496"/>
      <c r="FKB5" s="496"/>
      <c r="FKC5" s="496"/>
      <c r="FKD5" s="496"/>
      <c r="FKE5" s="496"/>
      <c r="FKF5" s="496"/>
      <c r="FKG5" s="496"/>
      <c r="FKH5" s="496"/>
      <c r="FKI5" s="496"/>
      <c r="FKJ5" s="496"/>
      <c r="FKK5" s="496"/>
      <c r="FKL5" s="496"/>
      <c r="FKM5" s="496"/>
      <c r="FKN5" s="496"/>
      <c r="FKO5" s="496"/>
      <c r="FKP5" s="496"/>
      <c r="FKQ5" s="496"/>
      <c r="FKR5" s="496"/>
      <c r="FKS5" s="496"/>
      <c r="FKT5" s="496"/>
      <c r="FKU5" s="496"/>
      <c r="FKV5" s="496"/>
      <c r="FKW5" s="496"/>
      <c r="FKX5" s="496"/>
      <c r="FKY5" s="496"/>
      <c r="FKZ5" s="496"/>
      <c r="FLA5" s="496"/>
      <c r="FLB5" s="496"/>
      <c r="FLC5" s="496"/>
      <c r="FLD5" s="496"/>
      <c r="FLE5" s="496"/>
      <c r="FLF5" s="496"/>
      <c r="FLG5" s="496"/>
      <c r="FLH5" s="496"/>
      <c r="FLI5" s="496"/>
      <c r="FLJ5" s="496"/>
      <c r="FLK5" s="496"/>
      <c r="FLL5" s="496"/>
      <c r="FLM5" s="496"/>
      <c r="FLN5" s="496"/>
      <c r="FLO5" s="496"/>
      <c r="FLP5" s="496"/>
      <c r="FLQ5" s="496"/>
      <c r="FLR5" s="496"/>
      <c r="FLS5" s="496"/>
      <c r="FLT5" s="496"/>
      <c r="FLU5" s="496"/>
      <c r="FLV5" s="496"/>
      <c r="FLW5" s="496"/>
      <c r="FLX5" s="496"/>
      <c r="FLY5" s="496"/>
      <c r="FLZ5" s="496"/>
      <c r="FMA5" s="496"/>
      <c r="FMB5" s="496"/>
      <c r="FMC5" s="496"/>
      <c r="FMD5" s="496"/>
      <c r="FME5" s="496"/>
      <c r="FMF5" s="496"/>
      <c r="FMG5" s="496"/>
      <c r="FMH5" s="496"/>
      <c r="FMI5" s="496"/>
      <c r="FMJ5" s="496"/>
      <c r="FMK5" s="496"/>
      <c r="FML5" s="496"/>
      <c r="FMM5" s="496"/>
      <c r="FMN5" s="496"/>
      <c r="FMO5" s="496"/>
      <c r="FMP5" s="496"/>
      <c r="FMQ5" s="496"/>
      <c r="FMR5" s="496"/>
      <c r="FMS5" s="496"/>
      <c r="FMT5" s="496"/>
      <c r="FMU5" s="496"/>
      <c r="FMV5" s="496"/>
      <c r="FMW5" s="496"/>
      <c r="FMX5" s="496"/>
      <c r="FMY5" s="496"/>
      <c r="FMZ5" s="496"/>
      <c r="FNA5" s="496"/>
      <c r="FNB5" s="496"/>
      <c r="FNC5" s="496"/>
      <c r="FND5" s="496"/>
      <c r="FNE5" s="496"/>
      <c r="FNF5" s="496"/>
      <c r="FNG5" s="496"/>
      <c r="FNH5" s="496"/>
      <c r="FNI5" s="496"/>
      <c r="FNJ5" s="496"/>
      <c r="FNK5" s="496"/>
      <c r="FNL5" s="496"/>
      <c r="FNM5" s="496"/>
      <c r="FNN5" s="496"/>
      <c r="FNO5" s="496"/>
      <c r="FNP5" s="496"/>
      <c r="FNQ5" s="496"/>
      <c r="FNR5" s="496"/>
      <c r="FNS5" s="496"/>
      <c r="FNT5" s="496"/>
      <c r="FNU5" s="496"/>
      <c r="FNV5" s="496"/>
      <c r="FNW5" s="496"/>
      <c r="FNX5" s="496"/>
      <c r="FNY5" s="496"/>
      <c r="FNZ5" s="496"/>
      <c r="FOA5" s="496"/>
      <c r="FOB5" s="496"/>
      <c r="FOC5" s="496"/>
      <c r="FOD5" s="496"/>
      <c r="FOE5" s="496"/>
      <c r="FOF5" s="496"/>
      <c r="FOG5" s="496"/>
      <c r="FOH5" s="496"/>
      <c r="FOI5" s="496"/>
      <c r="FOJ5" s="496"/>
      <c r="FOK5" s="496"/>
      <c r="FOL5" s="496"/>
      <c r="FOM5" s="496"/>
      <c r="FON5" s="496"/>
      <c r="FOO5" s="496"/>
      <c r="FOP5" s="496"/>
      <c r="FOQ5" s="496"/>
      <c r="FOR5" s="496"/>
      <c r="FOS5" s="496"/>
      <c r="FOT5" s="496"/>
      <c r="FOU5" s="496"/>
      <c r="FOV5" s="496"/>
      <c r="FOW5" s="496"/>
      <c r="FOX5" s="496"/>
      <c r="FOY5" s="496"/>
      <c r="FOZ5" s="496"/>
      <c r="FPA5" s="496"/>
      <c r="FPB5" s="496"/>
      <c r="FPC5" s="496"/>
      <c r="FPD5" s="496"/>
      <c r="FPE5" s="496"/>
      <c r="FPF5" s="496"/>
      <c r="FPG5" s="496"/>
      <c r="FPH5" s="496"/>
      <c r="FPI5" s="496"/>
      <c r="FPJ5" s="496"/>
      <c r="FPK5" s="496"/>
      <c r="FPL5" s="496"/>
      <c r="FPM5" s="496"/>
      <c r="FPN5" s="496"/>
      <c r="FPO5" s="496"/>
      <c r="FPP5" s="496"/>
      <c r="FPQ5" s="496"/>
      <c r="FPR5" s="496"/>
      <c r="FPS5" s="496"/>
      <c r="FPT5" s="496"/>
      <c r="FPU5" s="496"/>
      <c r="FPV5" s="496"/>
      <c r="FPW5" s="496"/>
      <c r="FPX5" s="496"/>
      <c r="FPY5" s="496"/>
      <c r="FPZ5" s="496"/>
      <c r="FQA5" s="496"/>
      <c r="FQB5" s="496"/>
      <c r="FQC5" s="496"/>
      <c r="FQD5" s="496"/>
      <c r="FQE5" s="496"/>
      <c r="FQF5" s="496"/>
      <c r="FQG5" s="496"/>
      <c r="FQH5" s="496"/>
      <c r="FQI5" s="496"/>
      <c r="FQJ5" s="496"/>
      <c r="FQK5" s="496"/>
      <c r="FQL5" s="496"/>
      <c r="FQM5" s="496"/>
      <c r="FQN5" s="496"/>
      <c r="FQO5" s="496"/>
      <c r="FQP5" s="496"/>
      <c r="FQQ5" s="496"/>
      <c r="FQR5" s="496"/>
      <c r="FQS5" s="496"/>
      <c r="FQT5" s="496"/>
      <c r="FQU5" s="496"/>
      <c r="FQV5" s="496"/>
      <c r="FQW5" s="496"/>
      <c r="FQX5" s="496"/>
      <c r="FQY5" s="496"/>
      <c r="FQZ5" s="496"/>
      <c r="FRA5" s="496"/>
      <c r="FRB5" s="496"/>
      <c r="FRC5" s="496"/>
      <c r="FRD5" s="496"/>
      <c r="FRE5" s="496"/>
      <c r="FRF5" s="496"/>
      <c r="FRG5" s="496"/>
      <c r="FRH5" s="496"/>
      <c r="FRI5" s="496"/>
      <c r="FRJ5" s="496"/>
      <c r="FRK5" s="496"/>
      <c r="FRL5" s="496"/>
      <c r="FRM5" s="496"/>
      <c r="FRN5" s="496"/>
      <c r="FRO5" s="496"/>
      <c r="FRP5" s="496"/>
      <c r="FRQ5" s="496"/>
      <c r="FRR5" s="496"/>
      <c r="FRS5" s="496"/>
      <c r="FRT5" s="496"/>
      <c r="FRU5" s="496"/>
      <c r="FRV5" s="496"/>
      <c r="FRW5" s="496"/>
      <c r="FRX5" s="496"/>
      <c r="FRY5" s="496"/>
      <c r="FRZ5" s="496"/>
      <c r="FSA5" s="496"/>
      <c r="FSB5" s="496"/>
      <c r="FSC5" s="496"/>
      <c r="FSD5" s="496"/>
      <c r="FSE5" s="496"/>
      <c r="FSF5" s="496"/>
      <c r="FSG5" s="496"/>
      <c r="FSH5" s="496"/>
      <c r="FSI5" s="496"/>
      <c r="FSJ5" s="496"/>
      <c r="FSK5" s="496"/>
      <c r="FSL5" s="496"/>
      <c r="FSM5" s="496"/>
      <c r="FSN5" s="496"/>
      <c r="FSO5" s="496"/>
      <c r="FSP5" s="496"/>
      <c r="FSQ5" s="496"/>
      <c r="FSR5" s="496"/>
      <c r="FSS5" s="496"/>
      <c r="FST5" s="496"/>
      <c r="FSU5" s="496"/>
      <c r="FSV5" s="496"/>
      <c r="FSW5" s="496"/>
      <c r="FSX5" s="496"/>
      <c r="FSY5" s="496"/>
      <c r="FSZ5" s="496"/>
      <c r="FTA5" s="496"/>
      <c r="FTB5" s="496"/>
      <c r="FTC5" s="496"/>
      <c r="FTD5" s="496"/>
      <c r="FTE5" s="496"/>
      <c r="FTF5" s="496"/>
      <c r="FTG5" s="496"/>
      <c r="FTH5" s="496"/>
      <c r="FTI5" s="496"/>
      <c r="FTJ5" s="496"/>
      <c r="FTK5" s="496"/>
      <c r="FTL5" s="496"/>
      <c r="FTM5" s="496"/>
      <c r="FTN5" s="496"/>
      <c r="FTO5" s="496"/>
      <c r="FTP5" s="496"/>
      <c r="FTQ5" s="496"/>
      <c r="FTR5" s="496"/>
      <c r="FTS5" s="496"/>
      <c r="FTT5" s="496"/>
      <c r="FTU5" s="496"/>
      <c r="FTV5" s="496"/>
      <c r="FTW5" s="496"/>
      <c r="FTX5" s="496"/>
      <c r="FTY5" s="496"/>
      <c r="FTZ5" s="496"/>
      <c r="FUA5" s="496"/>
      <c r="FUB5" s="496"/>
      <c r="FUC5" s="496"/>
      <c r="FUD5" s="496"/>
      <c r="FUE5" s="496"/>
      <c r="FUF5" s="496"/>
      <c r="FUG5" s="496"/>
      <c r="FUH5" s="496"/>
      <c r="FUI5" s="496"/>
      <c r="FUJ5" s="496"/>
      <c r="FUK5" s="496"/>
      <c r="FUL5" s="496"/>
      <c r="FUM5" s="496"/>
      <c r="FUN5" s="496"/>
      <c r="FUO5" s="496"/>
      <c r="FUP5" s="496"/>
      <c r="FUQ5" s="496"/>
      <c r="FUR5" s="496"/>
      <c r="FUS5" s="496"/>
      <c r="FUT5" s="496"/>
      <c r="FUU5" s="496"/>
      <c r="FUV5" s="496"/>
      <c r="FUW5" s="496"/>
      <c r="FUX5" s="496"/>
      <c r="FUY5" s="496"/>
      <c r="FUZ5" s="496"/>
      <c r="FVA5" s="496"/>
      <c r="FVB5" s="496"/>
      <c r="FVC5" s="496"/>
      <c r="FVD5" s="496"/>
      <c r="FVE5" s="496"/>
      <c r="FVF5" s="496"/>
      <c r="FVG5" s="496"/>
      <c r="FVH5" s="496"/>
      <c r="FVI5" s="496"/>
      <c r="FVJ5" s="496"/>
      <c r="FVK5" s="496"/>
      <c r="FVL5" s="496"/>
      <c r="FVM5" s="496"/>
      <c r="FVN5" s="496"/>
      <c r="FVO5" s="496"/>
      <c r="FVP5" s="496"/>
      <c r="FVQ5" s="496"/>
      <c r="FVR5" s="496"/>
      <c r="FVS5" s="496"/>
      <c r="FVT5" s="496"/>
      <c r="FVU5" s="496"/>
      <c r="FVV5" s="496"/>
      <c r="FVW5" s="496"/>
      <c r="FVX5" s="496"/>
      <c r="FVY5" s="496"/>
      <c r="FVZ5" s="496"/>
      <c r="FWA5" s="496"/>
      <c r="FWB5" s="496"/>
      <c r="FWC5" s="496"/>
      <c r="FWD5" s="496"/>
      <c r="FWE5" s="496"/>
      <c r="FWF5" s="496"/>
      <c r="FWG5" s="496"/>
      <c r="FWH5" s="496"/>
      <c r="FWI5" s="496"/>
      <c r="FWJ5" s="496"/>
      <c r="FWK5" s="496"/>
      <c r="FWL5" s="496"/>
      <c r="FWM5" s="496"/>
      <c r="FWN5" s="496"/>
      <c r="FWO5" s="496"/>
      <c r="FWP5" s="496"/>
      <c r="FWQ5" s="496"/>
      <c r="FWR5" s="496"/>
      <c r="FWS5" s="496"/>
      <c r="FWT5" s="496"/>
      <c r="FWU5" s="496"/>
      <c r="FWV5" s="496"/>
      <c r="FWW5" s="496"/>
      <c r="FWX5" s="496"/>
      <c r="FWY5" s="496"/>
      <c r="FWZ5" s="496"/>
      <c r="FXA5" s="496"/>
      <c r="FXB5" s="496"/>
      <c r="FXC5" s="496"/>
      <c r="FXD5" s="496"/>
      <c r="FXE5" s="496"/>
      <c r="FXF5" s="496"/>
      <c r="FXG5" s="496"/>
      <c r="FXH5" s="496"/>
      <c r="FXI5" s="496"/>
      <c r="FXJ5" s="496"/>
      <c r="FXK5" s="496"/>
      <c r="FXL5" s="496"/>
      <c r="FXM5" s="496"/>
      <c r="FXN5" s="496"/>
      <c r="FXO5" s="496"/>
      <c r="FXP5" s="496"/>
      <c r="FXQ5" s="496"/>
      <c r="FXR5" s="496"/>
      <c r="FXS5" s="496"/>
      <c r="FXT5" s="496"/>
      <c r="FXU5" s="496"/>
      <c r="FXV5" s="496"/>
      <c r="FXW5" s="496"/>
      <c r="FXX5" s="496"/>
      <c r="FXY5" s="496"/>
      <c r="FXZ5" s="496"/>
      <c r="FYA5" s="496"/>
      <c r="FYB5" s="496"/>
      <c r="FYC5" s="496"/>
      <c r="FYD5" s="496"/>
      <c r="FYE5" s="496"/>
      <c r="FYF5" s="496"/>
      <c r="FYG5" s="496"/>
      <c r="FYH5" s="496"/>
      <c r="FYI5" s="496"/>
      <c r="FYJ5" s="496"/>
      <c r="FYK5" s="496"/>
      <c r="FYL5" s="496"/>
      <c r="FYM5" s="496"/>
      <c r="FYN5" s="496"/>
      <c r="FYO5" s="496"/>
      <c r="FYP5" s="496"/>
      <c r="FYQ5" s="496"/>
      <c r="FYR5" s="496"/>
      <c r="FYS5" s="496"/>
      <c r="FYT5" s="496"/>
      <c r="FYU5" s="496"/>
      <c r="FYV5" s="496"/>
      <c r="FYW5" s="496"/>
      <c r="FYX5" s="496"/>
      <c r="FYY5" s="496"/>
      <c r="FYZ5" s="496"/>
      <c r="FZA5" s="496"/>
      <c r="FZB5" s="496"/>
      <c r="FZC5" s="496"/>
      <c r="FZD5" s="496"/>
      <c r="FZE5" s="496"/>
      <c r="FZF5" s="496"/>
      <c r="FZG5" s="496"/>
      <c r="FZH5" s="496"/>
      <c r="FZI5" s="496"/>
      <c r="FZJ5" s="496"/>
      <c r="FZK5" s="496"/>
      <c r="FZL5" s="496"/>
      <c r="FZM5" s="496"/>
      <c r="FZN5" s="496"/>
      <c r="FZO5" s="496"/>
      <c r="FZP5" s="496"/>
      <c r="FZQ5" s="496"/>
      <c r="FZR5" s="496"/>
      <c r="FZS5" s="496"/>
      <c r="FZT5" s="496"/>
      <c r="FZU5" s="496"/>
      <c r="FZV5" s="496"/>
      <c r="FZW5" s="496"/>
      <c r="FZX5" s="496"/>
      <c r="FZY5" s="496"/>
      <c r="FZZ5" s="496"/>
      <c r="GAA5" s="496"/>
      <c r="GAB5" s="496"/>
      <c r="GAC5" s="496"/>
      <c r="GAD5" s="496"/>
      <c r="GAE5" s="496"/>
      <c r="GAF5" s="496"/>
      <c r="GAG5" s="496"/>
      <c r="GAH5" s="496"/>
      <c r="GAI5" s="496"/>
      <c r="GAJ5" s="496"/>
      <c r="GAK5" s="496"/>
      <c r="GAL5" s="496"/>
      <c r="GAM5" s="496"/>
      <c r="GAN5" s="496"/>
      <c r="GAO5" s="496"/>
      <c r="GAP5" s="496"/>
      <c r="GAQ5" s="496"/>
      <c r="GAR5" s="496"/>
      <c r="GAS5" s="496"/>
      <c r="GAT5" s="496"/>
      <c r="GAU5" s="496"/>
      <c r="GAV5" s="496"/>
      <c r="GAW5" s="496"/>
      <c r="GAX5" s="496"/>
      <c r="GAY5" s="496"/>
      <c r="GAZ5" s="496"/>
      <c r="GBA5" s="496"/>
      <c r="GBB5" s="496"/>
      <c r="GBC5" s="496"/>
      <c r="GBD5" s="496"/>
      <c r="GBE5" s="496"/>
      <c r="GBF5" s="496"/>
      <c r="GBG5" s="496"/>
      <c r="GBH5" s="496"/>
      <c r="GBI5" s="496"/>
      <c r="GBJ5" s="496"/>
      <c r="GBK5" s="496"/>
      <c r="GBL5" s="496"/>
      <c r="GBM5" s="496"/>
      <c r="GBN5" s="496"/>
      <c r="GBO5" s="496"/>
      <c r="GBP5" s="496"/>
      <c r="GBQ5" s="496"/>
      <c r="GBR5" s="496"/>
      <c r="GBS5" s="496"/>
      <c r="GBT5" s="496"/>
      <c r="GBU5" s="496"/>
      <c r="GBV5" s="496"/>
      <c r="GBW5" s="496"/>
      <c r="GBX5" s="496"/>
      <c r="GBY5" s="496"/>
      <c r="GBZ5" s="496"/>
      <c r="GCA5" s="496"/>
      <c r="GCB5" s="496"/>
      <c r="GCC5" s="496"/>
      <c r="GCD5" s="496"/>
      <c r="GCE5" s="496"/>
      <c r="GCF5" s="496"/>
      <c r="GCG5" s="496"/>
      <c r="GCH5" s="496"/>
      <c r="GCI5" s="496"/>
      <c r="GCJ5" s="496"/>
      <c r="GCK5" s="496"/>
      <c r="GCL5" s="496"/>
      <c r="GCM5" s="496"/>
      <c r="GCN5" s="496"/>
      <c r="GCO5" s="496"/>
      <c r="GCP5" s="496"/>
      <c r="GCQ5" s="496"/>
      <c r="GCR5" s="496"/>
      <c r="GCS5" s="496"/>
      <c r="GCT5" s="496"/>
      <c r="GCU5" s="496"/>
      <c r="GCV5" s="496"/>
      <c r="GCW5" s="496"/>
      <c r="GCX5" s="496"/>
      <c r="GCY5" s="496"/>
      <c r="GCZ5" s="496"/>
      <c r="GDA5" s="496"/>
      <c r="GDB5" s="496"/>
      <c r="GDC5" s="496"/>
      <c r="GDD5" s="496"/>
      <c r="GDE5" s="496"/>
      <c r="GDF5" s="496"/>
      <c r="GDG5" s="496"/>
      <c r="GDH5" s="496"/>
      <c r="GDI5" s="496"/>
      <c r="GDJ5" s="496"/>
      <c r="GDK5" s="496"/>
      <c r="GDL5" s="496"/>
      <c r="GDM5" s="496"/>
      <c r="GDN5" s="496"/>
      <c r="GDO5" s="496"/>
      <c r="GDP5" s="496"/>
      <c r="GDQ5" s="496"/>
      <c r="GDR5" s="496"/>
      <c r="GDS5" s="496"/>
      <c r="GDT5" s="496"/>
      <c r="GDU5" s="496"/>
      <c r="GDV5" s="496"/>
      <c r="GDW5" s="496"/>
      <c r="GDX5" s="496"/>
      <c r="GDY5" s="496"/>
      <c r="GDZ5" s="496"/>
      <c r="GEA5" s="496"/>
      <c r="GEB5" s="496"/>
      <c r="GEC5" s="496"/>
      <c r="GED5" s="496"/>
      <c r="GEE5" s="496"/>
      <c r="GEF5" s="496"/>
      <c r="GEG5" s="496"/>
      <c r="GEH5" s="496"/>
      <c r="GEI5" s="496"/>
      <c r="GEJ5" s="496"/>
      <c r="GEK5" s="496"/>
      <c r="GEL5" s="496"/>
      <c r="GEM5" s="496"/>
      <c r="GEN5" s="496"/>
      <c r="GEO5" s="496"/>
      <c r="GEP5" s="496"/>
      <c r="GEQ5" s="496"/>
      <c r="GER5" s="496"/>
      <c r="GES5" s="496"/>
      <c r="GET5" s="496"/>
      <c r="GEU5" s="496"/>
      <c r="GEV5" s="496"/>
      <c r="GEW5" s="496"/>
      <c r="GEX5" s="496"/>
      <c r="GEY5" s="496"/>
      <c r="GEZ5" s="496"/>
      <c r="GFA5" s="496"/>
      <c r="GFB5" s="496"/>
      <c r="GFC5" s="496"/>
      <c r="GFD5" s="496"/>
      <c r="GFE5" s="496"/>
      <c r="GFF5" s="496"/>
      <c r="GFG5" s="496"/>
      <c r="GFH5" s="496"/>
      <c r="GFI5" s="496"/>
      <c r="GFJ5" s="496"/>
      <c r="GFK5" s="496"/>
      <c r="GFL5" s="496"/>
      <c r="GFM5" s="496"/>
      <c r="GFN5" s="496"/>
      <c r="GFO5" s="496"/>
      <c r="GFP5" s="496"/>
      <c r="GFQ5" s="496"/>
      <c r="GFR5" s="496"/>
      <c r="GFS5" s="496"/>
      <c r="GFT5" s="496"/>
      <c r="GFU5" s="496"/>
      <c r="GFV5" s="496"/>
      <c r="GFW5" s="496"/>
      <c r="GFX5" s="496"/>
      <c r="GFY5" s="496"/>
      <c r="GFZ5" s="496"/>
      <c r="GGA5" s="496"/>
      <c r="GGB5" s="496"/>
      <c r="GGC5" s="496"/>
      <c r="GGD5" s="496"/>
      <c r="GGE5" s="496"/>
      <c r="GGF5" s="496"/>
      <c r="GGG5" s="496"/>
      <c r="GGH5" s="496"/>
      <c r="GGI5" s="496"/>
      <c r="GGJ5" s="496"/>
      <c r="GGK5" s="496"/>
      <c r="GGL5" s="496"/>
      <c r="GGM5" s="496"/>
      <c r="GGN5" s="496"/>
      <c r="GGO5" s="496"/>
      <c r="GGP5" s="496"/>
      <c r="GGQ5" s="496"/>
      <c r="GGR5" s="496"/>
      <c r="GGS5" s="496"/>
      <c r="GGT5" s="496"/>
      <c r="GGU5" s="496"/>
      <c r="GGV5" s="496"/>
      <c r="GGW5" s="496"/>
      <c r="GGX5" s="496"/>
      <c r="GGY5" s="496"/>
      <c r="GGZ5" s="496"/>
      <c r="GHA5" s="496"/>
      <c r="GHB5" s="496"/>
      <c r="GHC5" s="496"/>
      <c r="GHD5" s="496"/>
      <c r="GHE5" s="496"/>
      <c r="GHF5" s="496"/>
      <c r="GHG5" s="496"/>
      <c r="GHH5" s="496"/>
      <c r="GHI5" s="496"/>
      <c r="GHJ5" s="496"/>
      <c r="GHK5" s="496"/>
      <c r="GHL5" s="496"/>
      <c r="GHM5" s="496"/>
      <c r="GHN5" s="496"/>
      <c r="GHO5" s="496"/>
      <c r="GHP5" s="496"/>
      <c r="GHQ5" s="496"/>
      <c r="GHR5" s="496"/>
      <c r="GHS5" s="496"/>
      <c r="GHT5" s="496"/>
      <c r="GHU5" s="496"/>
      <c r="GHV5" s="496"/>
      <c r="GHW5" s="496"/>
      <c r="GHX5" s="496"/>
      <c r="GHY5" s="496"/>
      <c r="GHZ5" s="496"/>
      <c r="GIA5" s="496"/>
      <c r="GIB5" s="496"/>
      <c r="GIC5" s="496"/>
      <c r="GID5" s="496"/>
      <c r="GIE5" s="496"/>
      <c r="GIF5" s="496"/>
      <c r="GIG5" s="496"/>
      <c r="GIH5" s="496"/>
      <c r="GII5" s="496"/>
      <c r="GIJ5" s="496"/>
      <c r="GIK5" s="496"/>
      <c r="GIL5" s="496"/>
      <c r="GIM5" s="496"/>
      <c r="GIN5" s="496"/>
      <c r="GIO5" s="496"/>
      <c r="GIP5" s="496"/>
      <c r="GIQ5" s="496"/>
      <c r="GIR5" s="496"/>
      <c r="GIS5" s="496"/>
      <c r="GIT5" s="496"/>
      <c r="GIU5" s="496"/>
      <c r="GIV5" s="496"/>
      <c r="GIW5" s="496"/>
      <c r="GIX5" s="496"/>
      <c r="GIY5" s="496"/>
      <c r="GIZ5" s="496"/>
      <c r="GJA5" s="496"/>
      <c r="GJB5" s="496"/>
      <c r="GJC5" s="496"/>
      <c r="GJD5" s="496"/>
      <c r="GJE5" s="496"/>
      <c r="GJF5" s="496"/>
      <c r="GJG5" s="496"/>
      <c r="GJH5" s="496"/>
      <c r="GJI5" s="496"/>
      <c r="GJJ5" s="496"/>
      <c r="GJK5" s="496"/>
      <c r="GJL5" s="496"/>
      <c r="GJM5" s="496"/>
      <c r="GJN5" s="496"/>
      <c r="GJO5" s="496"/>
      <c r="GJP5" s="496"/>
      <c r="GJQ5" s="496"/>
      <c r="GJR5" s="496"/>
      <c r="GJS5" s="496"/>
      <c r="GJT5" s="496"/>
      <c r="GJU5" s="496"/>
      <c r="GJV5" s="496"/>
      <c r="GJW5" s="496"/>
      <c r="GJX5" s="496"/>
      <c r="GJY5" s="496"/>
      <c r="GJZ5" s="496"/>
      <c r="GKA5" s="496"/>
      <c r="GKB5" s="496"/>
      <c r="GKC5" s="496"/>
      <c r="GKD5" s="496"/>
      <c r="GKE5" s="496"/>
      <c r="GKF5" s="496"/>
      <c r="GKG5" s="496"/>
      <c r="GKH5" s="496"/>
      <c r="GKI5" s="496"/>
      <c r="GKJ5" s="496"/>
      <c r="GKK5" s="496"/>
      <c r="GKL5" s="496"/>
      <c r="GKM5" s="496"/>
      <c r="GKN5" s="496"/>
      <c r="GKO5" s="496"/>
      <c r="GKP5" s="496"/>
      <c r="GKQ5" s="496"/>
      <c r="GKR5" s="496"/>
      <c r="GKS5" s="496"/>
      <c r="GKT5" s="496"/>
      <c r="GKU5" s="496"/>
      <c r="GKV5" s="496"/>
      <c r="GKW5" s="496"/>
      <c r="GKX5" s="496"/>
      <c r="GKY5" s="496"/>
      <c r="GKZ5" s="496"/>
      <c r="GLA5" s="496"/>
      <c r="GLB5" s="496"/>
      <c r="GLC5" s="496"/>
      <c r="GLD5" s="496"/>
      <c r="GLE5" s="496"/>
      <c r="GLF5" s="496"/>
      <c r="GLG5" s="496"/>
      <c r="GLH5" s="496"/>
      <c r="GLI5" s="496"/>
      <c r="GLJ5" s="496"/>
      <c r="GLK5" s="496"/>
      <c r="GLL5" s="496"/>
      <c r="GLM5" s="496"/>
      <c r="GLN5" s="496"/>
      <c r="GLO5" s="496"/>
      <c r="GLP5" s="496"/>
      <c r="GLQ5" s="496"/>
      <c r="GLR5" s="496"/>
      <c r="GLS5" s="496"/>
      <c r="GLT5" s="496"/>
      <c r="GLU5" s="496"/>
      <c r="GLV5" s="496"/>
      <c r="GLW5" s="496"/>
      <c r="GLX5" s="496"/>
      <c r="GLY5" s="496"/>
      <c r="GLZ5" s="496"/>
      <c r="GMA5" s="496"/>
      <c r="GMB5" s="496"/>
      <c r="GMC5" s="496"/>
      <c r="GMD5" s="496"/>
      <c r="GME5" s="496"/>
      <c r="GMF5" s="496"/>
      <c r="GMG5" s="496"/>
      <c r="GMH5" s="496"/>
      <c r="GMI5" s="496"/>
      <c r="GMJ5" s="496"/>
      <c r="GMK5" s="496"/>
      <c r="GML5" s="496"/>
      <c r="GMM5" s="496"/>
      <c r="GMN5" s="496"/>
      <c r="GMO5" s="496"/>
      <c r="GMP5" s="496"/>
      <c r="GMQ5" s="496"/>
      <c r="GMR5" s="496"/>
      <c r="GMS5" s="496"/>
      <c r="GMT5" s="496"/>
      <c r="GMU5" s="496"/>
      <c r="GMV5" s="496"/>
      <c r="GMW5" s="496"/>
      <c r="GMX5" s="496"/>
      <c r="GMY5" s="496"/>
      <c r="GMZ5" s="496"/>
      <c r="GNA5" s="496"/>
      <c r="GNB5" s="496"/>
      <c r="GNC5" s="496"/>
      <c r="GND5" s="496"/>
      <c r="GNE5" s="496"/>
      <c r="GNF5" s="496"/>
      <c r="GNG5" s="496"/>
      <c r="GNH5" s="496"/>
      <c r="GNI5" s="496"/>
      <c r="GNJ5" s="496"/>
      <c r="GNK5" s="496"/>
      <c r="GNL5" s="496"/>
      <c r="GNM5" s="496"/>
      <c r="GNN5" s="496"/>
      <c r="GNO5" s="496"/>
      <c r="GNP5" s="496"/>
      <c r="GNQ5" s="496"/>
      <c r="GNR5" s="496"/>
      <c r="GNS5" s="496"/>
      <c r="GNT5" s="496"/>
      <c r="GNU5" s="496"/>
      <c r="GNV5" s="496"/>
      <c r="GNW5" s="496"/>
      <c r="GNX5" s="496"/>
      <c r="GNY5" s="496"/>
      <c r="GNZ5" s="496"/>
      <c r="GOA5" s="496"/>
      <c r="GOB5" s="496"/>
      <c r="GOC5" s="496"/>
      <c r="GOD5" s="496"/>
      <c r="GOE5" s="496"/>
      <c r="GOF5" s="496"/>
      <c r="GOG5" s="496"/>
      <c r="GOH5" s="496"/>
      <c r="GOI5" s="496"/>
      <c r="GOJ5" s="496"/>
      <c r="GOK5" s="496"/>
      <c r="GOL5" s="496"/>
      <c r="GOM5" s="496"/>
      <c r="GON5" s="496"/>
      <c r="GOO5" s="496"/>
      <c r="GOP5" s="496"/>
      <c r="GOQ5" s="496"/>
      <c r="GOR5" s="496"/>
      <c r="GOS5" s="496"/>
      <c r="GOT5" s="496"/>
      <c r="GOU5" s="496"/>
      <c r="GOV5" s="496"/>
      <c r="GOW5" s="496"/>
      <c r="GOX5" s="496"/>
      <c r="GOY5" s="496"/>
      <c r="GOZ5" s="496"/>
      <c r="GPA5" s="496"/>
      <c r="GPB5" s="496"/>
      <c r="GPC5" s="496"/>
      <c r="GPD5" s="496"/>
      <c r="GPE5" s="496"/>
      <c r="GPF5" s="496"/>
      <c r="GPG5" s="496"/>
      <c r="GPH5" s="496"/>
      <c r="GPI5" s="496"/>
      <c r="GPJ5" s="496"/>
      <c r="GPK5" s="496"/>
      <c r="GPL5" s="496"/>
      <c r="GPM5" s="496"/>
      <c r="GPN5" s="496"/>
      <c r="GPO5" s="496"/>
      <c r="GPP5" s="496"/>
      <c r="GPQ5" s="496"/>
      <c r="GPR5" s="496"/>
      <c r="GPS5" s="496"/>
      <c r="GPT5" s="496"/>
      <c r="GPU5" s="496"/>
      <c r="GPV5" s="496"/>
      <c r="GPW5" s="496"/>
      <c r="GPX5" s="496"/>
      <c r="GPY5" s="496"/>
      <c r="GPZ5" s="496"/>
      <c r="GQA5" s="496"/>
      <c r="GQB5" s="496"/>
      <c r="GQC5" s="496"/>
      <c r="GQD5" s="496"/>
      <c r="GQE5" s="496"/>
      <c r="GQF5" s="496"/>
      <c r="GQG5" s="496"/>
      <c r="GQH5" s="496"/>
      <c r="GQI5" s="496"/>
      <c r="GQJ5" s="496"/>
      <c r="GQK5" s="496"/>
      <c r="GQL5" s="496"/>
      <c r="GQM5" s="496"/>
      <c r="GQN5" s="496"/>
      <c r="GQO5" s="496"/>
      <c r="GQP5" s="496"/>
      <c r="GQQ5" s="496"/>
      <c r="GQR5" s="496"/>
      <c r="GQS5" s="496"/>
      <c r="GQT5" s="496"/>
      <c r="GQU5" s="496"/>
      <c r="GQV5" s="496"/>
      <c r="GQW5" s="496"/>
      <c r="GQX5" s="496"/>
      <c r="GQY5" s="496"/>
      <c r="GQZ5" s="496"/>
      <c r="GRA5" s="496"/>
      <c r="GRB5" s="496"/>
      <c r="GRC5" s="496"/>
      <c r="GRD5" s="496"/>
      <c r="GRE5" s="496"/>
      <c r="GRF5" s="496"/>
      <c r="GRG5" s="496"/>
      <c r="GRH5" s="496"/>
      <c r="GRI5" s="496"/>
      <c r="GRJ5" s="496"/>
      <c r="GRK5" s="496"/>
      <c r="GRL5" s="496"/>
      <c r="GRM5" s="496"/>
      <c r="GRN5" s="496"/>
      <c r="GRO5" s="496"/>
      <c r="GRP5" s="496"/>
      <c r="GRQ5" s="496"/>
      <c r="GRR5" s="496"/>
      <c r="GRS5" s="496"/>
      <c r="GRT5" s="496"/>
      <c r="GRU5" s="496"/>
      <c r="GRV5" s="496"/>
      <c r="GRW5" s="496"/>
      <c r="GRX5" s="496"/>
      <c r="GRY5" s="496"/>
      <c r="GRZ5" s="496"/>
      <c r="GSA5" s="496"/>
      <c r="GSB5" s="496"/>
      <c r="GSC5" s="496"/>
      <c r="GSD5" s="496"/>
      <c r="GSE5" s="496"/>
      <c r="GSF5" s="496"/>
      <c r="GSG5" s="496"/>
      <c r="GSH5" s="496"/>
      <c r="GSI5" s="496"/>
      <c r="GSJ5" s="496"/>
      <c r="GSK5" s="496"/>
      <c r="GSL5" s="496"/>
      <c r="GSM5" s="496"/>
      <c r="GSN5" s="496"/>
      <c r="GSO5" s="496"/>
      <c r="GSP5" s="496"/>
      <c r="GSQ5" s="496"/>
      <c r="GSR5" s="496"/>
      <c r="GSS5" s="496"/>
      <c r="GST5" s="496"/>
      <c r="GSU5" s="496"/>
      <c r="GSV5" s="496"/>
      <c r="GSW5" s="496"/>
      <c r="GSX5" s="496"/>
      <c r="GSY5" s="496"/>
      <c r="GSZ5" s="496"/>
      <c r="GTA5" s="496"/>
      <c r="GTB5" s="496"/>
      <c r="GTC5" s="496"/>
      <c r="GTD5" s="496"/>
      <c r="GTE5" s="496"/>
      <c r="GTF5" s="496"/>
      <c r="GTG5" s="496"/>
      <c r="GTH5" s="496"/>
      <c r="GTI5" s="496"/>
      <c r="GTJ5" s="496"/>
      <c r="GTK5" s="496"/>
      <c r="GTL5" s="496"/>
      <c r="GTM5" s="496"/>
      <c r="GTN5" s="496"/>
      <c r="GTO5" s="496"/>
      <c r="GTP5" s="496"/>
      <c r="GTQ5" s="496"/>
      <c r="GTR5" s="496"/>
      <c r="GTS5" s="496"/>
      <c r="GTT5" s="496"/>
      <c r="GTU5" s="496"/>
      <c r="GTV5" s="496"/>
      <c r="GTW5" s="496"/>
      <c r="GTX5" s="496"/>
      <c r="GTY5" s="496"/>
      <c r="GTZ5" s="496"/>
      <c r="GUA5" s="496"/>
      <c r="GUB5" s="496"/>
      <c r="GUC5" s="496"/>
      <c r="GUD5" s="496"/>
      <c r="GUE5" s="496"/>
      <c r="GUF5" s="496"/>
      <c r="GUG5" s="496"/>
      <c r="GUH5" s="496"/>
      <c r="GUI5" s="496"/>
      <c r="GUJ5" s="496"/>
      <c r="GUK5" s="496"/>
      <c r="GUL5" s="496"/>
      <c r="GUM5" s="496"/>
      <c r="GUN5" s="496"/>
      <c r="GUO5" s="496"/>
      <c r="GUP5" s="496"/>
      <c r="GUQ5" s="496"/>
      <c r="GUR5" s="496"/>
      <c r="GUS5" s="496"/>
      <c r="GUT5" s="496"/>
      <c r="GUU5" s="496"/>
      <c r="GUV5" s="496"/>
      <c r="GUW5" s="496"/>
      <c r="GUX5" s="496"/>
      <c r="GUY5" s="496"/>
      <c r="GUZ5" s="496"/>
      <c r="GVA5" s="496"/>
      <c r="GVB5" s="496"/>
      <c r="GVC5" s="496"/>
      <c r="GVD5" s="496"/>
      <c r="GVE5" s="496"/>
      <c r="GVF5" s="496"/>
      <c r="GVG5" s="496"/>
      <c r="GVH5" s="496"/>
      <c r="GVI5" s="496"/>
      <c r="GVJ5" s="496"/>
      <c r="GVK5" s="496"/>
      <c r="GVL5" s="496"/>
      <c r="GVM5" s="496"/>
      <c r="GVN5" s="496"/>
      <c r="GVO5" s="496"/>
      <c r="GVP5" s="496"/>
      <c r="GVQ5" s="496"/>
      <c r="GVR5" s="496"/>
      <c r="GVS5" s="496"/>
      <c r="GVT5" s="496"/>
      <c r="GVU5" s="496"/>
      <c r="GVV5" s="496"/>
      <c r="GVW5" s="496"/>
      <c r="GVX5" s="496"/>
      <c r="GVY5" s="496"/>
      <c r="GVZ5" s="496"/>
      <c r="GWA5" s="496"/>
      <c r="GWB5" s="496"/>
      <c r="GWC5" s="496"/>
      <c r="GWD5" s="496"/>
      <c r="GWE5" s="496"/>
      <c r="GWF5" s="496"/>
      <c r="GWG5" s="496"/>
      <c r="GWH5" s="496"/>
      <c r="GWI5" s="496"/>
      <c r="GWJ5" s="496"/>
      <c r="GWK5" s="496"/>
      <c r="GWL5" s="496"/>
      <c r="GWM5" s="496"/>
      <c r="GWN5" s="496"/>
      <c r="GWO5" s="496"/>
      <c r="GWP5" s="496"/>
      <c r="GWQ5" s="496"/>
      <c r="GWR5" s="496"/>
      <c r="GWS5" s="496"/>
      <c r="GWT5" s="496"/>
      <c r="GWU5" s="496"/>
      <c r="GWV5" s="496"/>
      <c r="GWW5" s="496"/>
      <c r="GWX5" s="496"/>
      <c r="GWY5" s="496"/>
      <c r="GWZ5" s="496"/>
      <c r="GXA5" s="496"/>
      <c r="GXB5" s="496"/>
      <c r="GXC5" s="496"/>
      <c r="GXD5" s="496"/>
      <c r="GXE5" s="496"/>
      <c r="GXF5" s="496"/>
      <c r="GXG5" s="496"/>
      <c r="GXH5" s="496"/>
      <c r="GXI5" s="496"/>
      <c r="GXJ5" s="496"/>
      <c r="GXK5" s="496"/>
      <c r="GXL5" s="496"/>
      <c r="GXM5" s="496"/>
      <c r="GXN5" s="496"/>
      <c r="GXO5" s="496"/>
      <c r="GXP5" s="496"/>
      <c r="GXQ5" s="496"/>
      <c r="GXR5" s="496"/>
      <c r="GXS5" s="496"/>
      <c r="GXT5" s="496"/>
      <c r="GXU5" s="496"/>
      <c r="GXV5" s="496"/>
      <c r="GXW5" s="496"/>
      <c r="GXX5" s="496"/>
      <c r="GXY5" s="496"/>
      <c r="GXZ5" s="496"/>
      <c r="GYA5" s="496"/>
      <c r="GYB5" s="496"/>
      <c r="GYC5" s="496"/>
      <c r="GYD5" s="496"/>
      <c r="GYE5" s="496"/>
      <c r="GYF5" s="496"/>
      <c r="GYG5" s="496"/>
      <c r="GYH5" s="496"/>
      <c r="GYI5" s="496"/>
      <c r="GYJ5" s="496"/>
      <c r="GYK5" s="496"/>
      <c r="GYL5" s="496"/>
      <c r="GYM5" s="496"/>
      <c r="GYN5" s="496"/>
      <c r="GYO5" s="496"/>
      <c r="GYP5" s="496"/>
      <c r="GYQ5" s="496"/>
      <c r="GYR5" s="496"/>
      <c r="GYS5" s="496"/>
      <c r="GYT5" s="496"/>
      <c r="GYU5" s="496"/>
      <c r="GYV5" s="496"/>
      <c r="GYW5" s="496"/>
      <c r="GYX5" s="496"/>
      <c r="GYY5" s="496"/>
      <c r="GYZ5" s="496"/>
      <c r="GZA5" s="496"/>
      <c r="GZB5" s="496"/>
      <c r="GZC5" s="496"/>
      <c r="GZD5" s="496"/>
      <c r="GZE5" s="496"/>
      <c r="GZF5" s="496"/>
      <c r="GZG5" s="496"/>
      <c r="GZH5" s="496"/>
      <c r="GZI5" s="496"/>
      <c r="GZJ5" s="496"/>
      <c r="GZK5" s="496"/>
      <c r="GZL5" s="496"/>
      <c r="GZM5" s="496"/>
      <c r="GZN5" s="496"/>
      <c r="GZO5" s="496"/>
      <c r="GZP5" s="496"/>
      <c r="GZQ5" s="496"/>
      <c r="GZR5" s="496"/>
      <c r="GZS5" s="496"/>
      <c r="GZT5" s="496"/>
      <c r="GZU5" s="496"/>
      <c r="GZV5" s="496"/>
      <c r="GZW5" s="496"/>
      <c r="GZX5" s="496"/>
      <c r="GZY5" s="496"/>
      <c r="GZZ5" s="496"/>
      <c r="HAA5" s="496"/>
      <c r="HAB5" s="496"/>
      <c r="HAC5" s="496"/>
      <c r="HAD5" s="496"/>
      <c r="HAE5" s="496"/>
      <c r="HAF5" s="496"/>
      <c r="HAG5" s="496"/>
      <c r="HAH5" s="496"/>
      <c r="HAI5" s="496"/>
      <c r="HAJ5" s="496"/>
      <c r="HAK5" s="496"/>
      <c r="HAL5" s="496"/>
      <c r="HAM5" s="496"/>
      <c r="HAN5" s="496"/>
      <c r="HAO5" s="496"/>
      <c r="HAP5" s="496"/>
      <c r="HAQ5" s="496"/>
      <c r="HAR5" s="496"/>
      <c r="HAS5" s="496"/>
      <c r="HAT5" s="496"/>
      <c r="HAU5" s="496"/>
      <c r="HAV5" s="496"/>
      <c r="HAW5" s="496"/>
      <c r="HAX5" s="496"/>
      <c r="HAY5" s="496"/>
      <c r="HAZ5" s="496"/>
      <c r="HBA5" s="496"/>
      <c r="HBB5" s="496"/>
      <c r="HBC5" s="496"/>
      <c r="HBD5" s="496"/>
      <c r="HBE5" s="496"/>
      <c r="HBF5" s="496"/>
      <c r="HBG5" s="496"/>
      <c r="HBH5" s="496"/>
      <c r="HBI5" s="496"/>
      <c r="HBJ5" s="496"/>
      <c r="HBK5" s="496"/>
      <c r="HBL5" s="496"/>
      <c r="HBM5" s="496"/>
      <c r="HBN5" s="496"/>
      <c r="HBO5" s="496"/>
      <c r="HBP5" s="496"/>
      <c r="HBQ5" s="496"/>
      <c r="HBR5" s="496"/>
      <c r="HBS5" s="496"/>
      <c r="HBT5" s="496"/>
      <c r="HBU5" s="496"/>
      <c r="HBV5" s="496"/>
      <c r="HBW5" s="496"/>
      <c r="HBX5" s="496"/>
      <c r="HBY5" s="496"/>
      <c r="HBZ5" s="496"/>
      <c r="HCA5" s="496"/>
      <c r="HCB5" s="496"/>
      <c r="HCC5" s="496"/>
      <c r="HCD5" s="496"/>
      <c r="HCE5" s="496"/>
      <c r="HCF5" s="496"/>
      <c r="HCG5" s="496"/>
      <c r="HCH5" s="496"/>
      <c r="HCI5" s="496"/>
      <c r="HCJ5" s="496"/>
      <c r="HCK5" s="496"/>
      <c r="HCL5" s="496"/>
      <c r="HCM5" s="496"/>
      <c r="HCN5" s="496"/>
      <c r="HCO5" s="496"/>
      <c r="HCP5" s="496"/>
      <c r="HCQ5" s="496"/>
      <c r="HCR5" s="496"/>
      <c r="HCS5" s="496"/>
      <c r="HCT5" s="496"/>
      <c r="HCU5" s="496"/>
      <c r="HCV5" s="496"/>
      <c r="HCW5" s="496"/>
      <c r="HCX5" s="496"/>
      <c r="HCY5" s="496"/>
      <c r="HCZ5" s="496"/>
      <c r="HDA5" s="496"/>
      <c r="HDB5" s="496"/>
      <c r="HDC5" s="496"/>
      <c r="HDD5" s="496"/>
      <c r="HDE5" s="496"/>
      <c r="HDF5" s="496"/>
      <c r="HDG5" s="496"/>
      <c r="HDH5" s="496"/>
      <c r="HDI5" s="496"/>
      <c r="HDJ5" s="496"/>
      <c r="HDK5" s="496"/>
      <c r="HDL5" s="496"/>
      <c r="HDM5" s="496"/>
      <c r="HDN5" s="496"/>
      <c r="HDO5" s="496"/>
      <c r="HDP5" s="496"/>
      <c r="HDQ5" s="496"/>
      <c r="HDR5" s="496"/>
      <c r="HDS5" s="496"/>
      <c r="HDT5" s="496"/>
      <c r="HDU5" s="496"/>
      <c r="HDV5" s="496"/>
      <c r="HDW5" s="496"/>
      <c r="HDX5" s="496"/>
      <c r="HDY5" s="496"/>
      <c r="HDZ5" s="496"/>
      <c r="HEA5" s="496"/>
      <c r="HEB5" s="496"/>
      <c r="HEC5" s="496"/>
      <c r="HED5" s="496"/>
      <c r="HEE5" s="496"/>
      <c r="HEF5" s="496"/>
      <c r="HEG5" s="496"/>
      <c r="HEH5" s="496"/>
      <c r="HEI5" s="496"/>
      <c r="HEJ5" s="496"/>
      <c r="HEK5" s="496"/>
      <c r="HEL5" s="496"/>
      <c r="HEM5" s="496"/>
      <c r="HEN5" s="496"/>
      <c r="HEO5" s="496"/>
      <c r="HEP5" s="496"/>
      <c r="HEQ5" s="496"/>
      <c r="HER5" s="496"/>
      <c r="HES5" s="496"/>
      <c r="HET5" s="496"/>
      <c r="HEU5" s="496"/>
      <c r="HEV5" s="496"/>
      <c r="HEW5" s="496"/>
      <c r="HEX5" s="496"/>
      <c r="HEY5" s="496"/>
      <c r="HEZ5" s="496"/>
      <c r="HFA5" s="496"/>
      <c r="HFB5" s="496"/>
      <c r="HFC5" s="496"/>
      <c r="HFD5" s="496"/>
      <c r="HFE5" s="496"/>
      <c r="HFF5" s="496"/>
      <c r="HFG5" s="496"/>
      <c r="HFH5" s="496"/>
      <c r="HFI5" s="496"/>
      <c r="HFJ5" s="496"/>
      <c r="HFK5" s="496"/>
      <c r="HFL5" s="496"/>
      <c r="HFM5" s="496"/>
      <c r="HFN5" s="496"/>
      <c r="HFO5" s="496"/>
      <c r="HFP5" s="496"/>
      <c r="HFQ5" s="496"/>
      <c r="HFR5" s="496"/>
      <c r="HFS5" s="496"/>
      <c r="HFT5" s="496"/>
      <c r="HFU5" s="496"/>
      <c r="HFV5" s="496"/>
      <c r="HFW5" s="496"/>
      <c r="HFX5" s="496"/>
      <c r="HFY5" s="496"/>
      <c r="HFZ5" s="496"/>
      <c r="HGA5" s="496"/>
      <c r="HGB5" s="496"/>
      <c r="HGC5" s="496"/>
      <c r="HGD5" s="496"/>
      <c r="HGE5" s="496"/>
      <c r="HGF5" s="496"/>
      <c r="HGG5" s="496"/>
      <c r="HGH5" s="496"/>
      <c r="HGI5" s="496"/>
      <c r="HGJ5" s="496"/>
      <c r="HGK5" s="496"/>
      <c r="HGL5" s="496"/>
      <c r="HGM5" s="496"/>
      <c r="HGN5" s="496"/>
      <c r="HGO5" s="496"/>
      <c r="HGP5" s="496"/>
      <c r="HGQ5" s="496"/>
      <c r="HGR5" s="496"/>
      <c r="HGS5" s="496"/>
      <c r="HGT5" s="496"/>
      <c r="HGU5" s="496"/>
      <c r="HGV5" s="496"/>
      <c r="HGW5" s="496"/>
      <c r="HGX5" s="496"/>
      <c r="HGY5" s="496"/>
      <c r="HGZ5" s="496"/>
      <c r="HHA5" s="496"/>
      <c r="HHB5" s="496"/>
      <c r="HHC5" s="496"/>
      <c r="HHD5" s="496"/>
      <c r="HHE5" s="496"/>
      <c r="HHF5" s="496"/>
      <c r="HHG5" s="496"/>
      <c r="HHH5" s="496"/>
      <c r="HHI5" s="496"/>
      <c r="HHJ5" s="496"/>
      <c r="HHK5" s="496"/>
      <c r="HHL5" s="496"/>
      <c r="HHM5" s="496"/>
      <c r="HHN5" s="496"/>
      <c r="HHO5" s="496"/>
      <c r="HHP5" s="496"/>
      <c r="HHQ5" s="496"/>
      <c r="HHR5" s="496"/>
      <c r="HHS5" s="496"/>
      <c r="HHT5" s="496"/>
      <c r="HHU5" s="496"/>
      <c r="HHV5" s="496"/>
      <c r="HHW5" s="496"/>
      <c r="HHX5" s="496"/>
      <c r="HHY5" s="496"/>
      <c r="HHZ5" s="496"/>
      <c r="HIA5" s="496"/>
      <c r="HIB5" s="496"/>
      <c r="HIC5" s="496"/>
      <c r="HID5" s="496"/>
      <c r="HIE5" s="496"/>
      <c r="HIF5" s="496"/>
      <c r="HIG5" s="496"/>
      <c r="HIH5" s="496"/>
      <c r="HII5" s="496"/>
      <c r="HIJ5" s="496"/>
      <c r="HIK5" s="496"/>
      <c r="HIL5" s="496"/>
      <c r="HIM5" s="496"/>
      <c r="HIN5" s="496"/>
      <c r="HIO5" s="496"/>
      <c r="HIP5" s="496"/>
      <c r="HIQ5" s="496"/>
      <c r="HIR5" s="496"/>
      <c r="HIS5" s="496"/>
      <c r="HIT5" s="496"/>
      <c r="HIU5" s="496"/>
      <c r="HIV5" s="496"/>
      <c r="HIW5" s="496"/>
      <c r="HIX5" s="496"/>
      <c r="HIY5" s="496"/>
      <c r="HIZ5" s="496"/>
      <c r="HJA5" s="496"/>
      <c r="HJB5" s="496"/>
      <c r="HJC5" s="496"/>
      <c r="HJD5" s="496"/>
      <c r="HJE5" s="496"/>
      <c r="HJF5" s="496"/>
      <c r="HJG5" s="496"/>
      <c r="HJH5" s="496"/>
      <c r="HJI5" s="496"/>
      <c r="HJJ5" s="496"/>
      <c r="HJK5" s="496"/>
      <c r="HJL5" s="496"/>
      <c r="HJM5" s="496"/>
      <c r="HJN5" s="496"/>
      <c r="HJO5" s="496"/>
      <c r="HJP5" s="496"/>
      <c r="HJQ5" s="496"/>
      <c r="HJR5" s="496"/>
      <c r="HJS5" s="496"/>
      <c r="HJT5" s="496"/>
      <c r="HJU5" s="496"/>
      <c r="HJV5" s="496"/>
      <c r="HJW5" s="496"/>
      <c r="HJX5" s="496"/>
      <c r="HJY5" s="496"/>
      <c r="HJZ5" s="496"/>
      <c r="HKA5" s="496"/>
      <c r="HKB5" s="496"/>
      <c r="HKC5" s="496"/>
      <c r="HKD5" s="496"/>
      <c r="HKE5" s="496"/>
      <c r="HKF5" s="496"/>
      <c r="HKG5" s="496"/>
      <c r="HKH5" s="496"/>
      <c r="HKI5" s="496"/>
      <c r="HKJ5" s="496"/>
      <c r="HKK5" s="496"/>
      <c r="HKL5" s="496"/>
      <c r="HKM5" s="496"/>
      <c r="HKN5" s="496"/>
      <c r="HKO5" s="496"/>
      <c r="HKP5" s="496"/>
      <c r="HKQ5" s="496"/>
      <c r="HKR5" s="496"/>
      <c r="HKS5" s="496"/>
      <c r="HKT5" s="496"/>
      <c r="HKU5" s="496"/>
      <c r="HKV5" s="496"/>
      <c r="HKW5" s="496"/>
      <c r="HKX5" s="496"/>
      <c r="HKY5" s="496"/>
      <c r="HKZ5" s="496"/>
      <c r="HLA5" s="496"/>
      <c r="HLB5" s="496"/>
      <c r="HLC5" s="496"/>
      <c r="HLD5" s="496"/>
      <c r="HLE5" s="496"/>
      <c r="HLF5" s="496"/>
      <c r="HLG5" s="496"/>
      <c r="HLH5" s="496"/>
      <c r="HLI5" s="496"/>
      <c r="HLJ5" s="496"/>
      <c r="HLK5" s="496"/>
      <c r="HLL5" s="496"/>
      <c r="HLM5" s="496"/>
      <c r="HLN5" s="496"/>
      <c r="HLO5" s="496"/>
      <c r="HLP5" s="496"/>
      <c r="HLQ5" s="496"/>
      <c r="HLR5" s="496"/>
      <c r="HLS5" s="496"/>
      <c r="HLT5" s="496"/>
      <c r="HLU5" s="496"/>
      <c r="HLV5" s="496"/>
      <c r="HLW5" s="496"/>
      <c r="HLX5" s="496"/>
      <c r="HLY5" s="496"/>
      <c r="HLZ5" s="496"/>
      <c r="HMA5" s="496"/>
      <c r="HMB5" s="496"/>
      <c r="HMC5" s="496"/>
      <c r="HMD5" s="496"/>
      <c r="HME5" s="496"/>
      <c r="HMF5" s="496"/>
      <c r="HMG5" s="496"/>
      <c r="HMH5" s="496"/>
      <c r="HMI5" s="496"/>
      <c r="HMJ5" s="496"/>
      <c r="HMK5" s="496"/>
      <c r="HML5" s="496"/>
      <c r="HMM5" s="496"/>
      <c r="HMN5" s="496"/>
      <c r="HMO5" s="496"/>
      <c r="HMP5" s="496"/>
      <c r="HMQ5" s="496"/>
      <c r="HMR5" s="496"/>
      <c r="HMS5" s="496"/>
      <c r="HMT5" s="496"/>
      <c r="HMU5" s="496"/>
      <c r="HMV5" s="496"/>
      <c r="HMW5" s="496"/>
      <c r="HMX5" s="496"/>
      <c r="HMY5" s="496"/>
      <c r="HMZ5" s="496"/>
      <c r="HNA5" s="496"/>
      <c r="HNB5" s="496"/>
      <c r="HNC5" s="496"/>
      <c r="HND5" s="496"/>
      <c r="HNE5" s="496"/>
      <c r="HNF5" s="496"/>
      <c r="HNG5" s="496"/>
      <c r="HNH5" s="496"/>
      <c r="HNI5" s="496"/>
      <c r="HNJ5" s="496"/>
      <c r="HNK5" s="496"/>
      <c r="HNL5" s="496"/>
      <c r="HNM5" s="496"/>
      <c r="HNN5" s="496"/>
      <c r="HNO5" s="496"/>
      <c r="HNP5" s="496"/>
      <c r="HNQ5" s="496"/>
      <c r="HNR5" s="496"/>
      <c r="HNS5" s="496"/>
      <c r="HNT5" s="496"/>
      <c r="HNU5" s="496"/>
      <c r="HNV5" s="496"/>
      <c r="HNW5" s="496"/>
      <c r="HNX5" s="496"/>
      <c r="HNY5" s="496"/>
      <c r="HNZ5" s="496"/>
      <c r="HOA5" s="496"/>
      <c r="HOB5" s="496"/>
      <c r="HOC5" s="496"/>
      <c r="HOD5" s="496"/>
      <c r="HOE5" s="496"/>
      <c r="HOF5" s="496"/>
      <c r="HOG5" s="496"/>
      <c r="HOH5" s="496"/>
      <c r="HOI5" s="496"/>
      <c r="HOJ5" s="496"/>
      <c r="HOK5" s="496"/>
      <c r="HOL5" s="496"/>
      <c r="HOM5" s="496"/>
      <c r="HON5" s="496"/>
      <c r="HOO5" s="496"/>
      <c r="HOP5" s="496"/>
      <c r="HOQ5" s="496"/>
      <c r="HOR5" s="496"/>
      <c r="HOS5" s="496"/>
      <c r="HOT5" s="496"/>
      <c r="HOU5" s="496"/>
      <c r="HOV5" s="496"/>
      <c r="HOW5" s="496"/>
      <c r="HOX5" s="496"/>
      <c r="HOY5" s="496"/>
      <c r="HOZ5" s="496"/>
      <c r="HPA5" s="496"/>
      <c r="HPB5" s="496"/>
      <c r="HPC5" s="496"/>
      <c r="HPD5" s="496"/>
      <c r="HPE5" s="496"/>
      <c r="HPF5" s="496"/>
      <c r="HPG5" s="496"/>
      <c r="HPH5" s="496"/>
      <c r="HPI5" s="496"/>
      <c r="HPJ5" s="496"/>
      <c r="HPK5" s="496"/>
      <c r="HPL5" s="496"/>
      <c r="HPM5" s="496"/>
      <c r="HPN5" s="496"/>
      <c r="HPO5" s="496"/>
      <c r="HPP5" s="496"/>
      <c r="HPQ5" s="496"/>
      <c r="HPR5" s="496"/>
      <c r="HPS5" s="496"/>
      <c r="HPT5" s="496"/>
      <c r="HPU5" s="496"/>
      <c r="HPV5" s="496"/>
      <c r="HPW5" s="496"/>
      <c r="HPX5" s="496"/>
      <c r="HPY5" s="496"/>
      <c r="HPZ5" s="496"/>
      <c r="HQA5" s="496"/>
      <c r="HQB5" s="496"/>
      <c r="HQC5" s="496"/>
      <c r="HQD5" s="496"/>
      <c r="HQE5" s="496"/>
      <c r="HQF5" s="496"/>
      <c r="HQG5" s="496"/>
      <c r="HQH5" s="496"/>
      <c r="HQI5" s="496"/>
      <c r="HQJ5" s="496"/>
      <c r="HQK5" s="496"/>
      <c r="HQL5" s="496"/>
      <c r="HQM5" s="496"/>
      <c r="HQN5" s="496"/>
      <c r="HQO5" s="496"/>
      <c r="HQP5" s="496"/>
      <c r="HQQ5" s="496"/>
      <c r="HQR5" s="496"/>
      <c r="HQS5" s="496"/>
      <c r="HQT5" s="496"/>
      <c r="HQU5" s="496"/>
      <c r="HQV5" s="496"/>
      <c r="HQW5" s="496"/>
      <c r="HQX5" s="496"/>
      <c r="HQY5" s="496"/>
      <c r="HQZ5" s="496"/>
      <c r="HRA5" s="496"/>
      <c r="HRB5" s="496"/>
      <c r="HRC5" s="496"/>
      <c r="HRD5" s="496"/>
      <c r="HRE5" s="496"/>
      <c r="HRF5" s="496"/>
      <c r="HRG5" s="496"/>
      <c r="HRH5" s="496"/>
      <c r="HRI5" s="496"/>
      <c r="HRJ5" s="496"/>
      <c r="HRK5" s="496"/>
      <c r="HRL5" s="496"/>
      <c r="HRM5" s="496"/>
      <c r="HRN5" s="496"/>
      <c r="HRO5" s="496"/>
      <c r="HRP5" s="496"/>
      <c r="HRQ5" s="496"/>
      <c r="HRR5" s="496"/>
      <c r="HRS5" s="496"/>
      <c r="HRT5" s="496"/>
      <c r="HRU5" s="496"/>
      <c r="HRV5" s="496"/>
      <c r="HRW5" s="496"/>
      <c r="HRX5" s="496"/>
      <c r="HRY5" s="496"/>
      <c r="HRZ5" s="496"/>
      <c r="HSA5" s="496"/>
      <c r="HSB5" s="496"/>
      <c r="HSC5" s="496"/>
      <c r="HSD5" s="496"/>
      <c r="HSE5" s="496"/>
      <c r="HSF5" s="496"/>
      <c r="HSG5" s="496"/>
      <c r="HSH5" s="496"/>
      <c r="HSI5" s="496"/>
      <c r="HSJ5" s="496"/>
      <c r="HSK5" s="496"/>
      <c r="HSL5" s="496"/>
      <c r="HSM5" s="496"/>
      <c r="HSN5" s="496"/>
      <c r="HSO5" s="496"/>
      <c r="HSP5" s="496"/>
      <c r="HSQ5" s="496"/>
      <c r="HSR5" s="496"/>
      <c r="HSS5" s="496"/>
      <c r="HST5" s="496"/>
      <c r="HSU5" s="496"/>
      <c r="HSV5" s="496"/>
      <c r="HSW5" s="496"/>
      <c r="HSX5" s="496"/>
      <c r="HSY5" s="496"/>
      <c r="HSZ5" s="496"/>
      <c r="HTA5" s="496"/>
      <c r="HTB5" s="496"/>
      <c r="HTC5" s="496"/>
      <c r="HTD5" s="496"/>
      <c r="HTE5" s="496"/>
      <c r="HTF5" s="496"/>
      <c r="HTG5" s="496"/>
      <c r="HTH5" s="496"/>
      <c r="HTI5" s="496"/>
      <c r="HTJ5" s="496"/>
      <c r="HTK5" s="496"/>
      <c r="HTL5" s="496"/>
      <c r="HTM5" s="496"/>
      <c r="HTN5" s="496"/>
      <c r="HTO5" s="496"/>
      <c r="HTP5" s="496"/>
      <c r="HTQ5" s="496"/>
      <c r="HTR5" s="496"/>
      <c r="HTS5" s="496"/>
      <c r="HTT5" s="496"/>
      <c r="HTU5" s="496"/>
      <c r="HTV5" s="496"/>
      <c r="HTW5" s="496"/>
      <c r="HTX5" s="496"/>
      <c r="HTY5" s="496"/>
      <c r="HTZ5" s="496"/>
      <c r="HUA5" s="496"/>
      <c r="HUB5" s="496"/>
      <c r="HUC5" s="496"/>
      <c r="HUD5" s="496"/>
      <c r="HUE5" s="496"/>
      <c r="HUF5" s="496"/>
      <c r="HUG5" s="496"/>
      <c r="HUH5" s="496"/>
      <c r="HUI5" s="496"/>
      <c r="HUJ5" s="496"/>
      <c r="HUK5" s="496"/>
      <c r="HUL5" s="496"/>
      <c r="HUM5" s="496"/>
      <c r="HUN5" s="496"/>
      <c r="HUO5" s="496"/>
      <c r="HUP5" s="496"/>
      <c r="HUQ5" s="496"/>
      <c r="HUR5" s="496"/>
      <c r="HUS5" s="496"/>
      <c r="HUT5" s="496"/>
      <c r="HUU5" s="496"/>
      <c r="HUV5" s="496"/>
      <c r="HUW5" s="496"/>
      <c r="HUX5" s="496"/>
      <c r="HUY5" s="496"/>
      <c r="HUZ5" s="496"/>
      <c r="HVA5" s="496"/>
      <c r="HVB5" s="496"/>
      <c r="HVC5" s="496"/>
      <c r="HVD5" s="496"/>
      <c r="HVE5" s="496"/>
      <c r="HVF5" s="496"/>
      <c r="HVG5" s="496"/>
      <c r="HVH5" s="496"/>
      <c r="HVI5" s="496"/>
      <c r="HVJ5" s="496"/>
      <c r="HVK5" s="496"/>
      <c r="HVL5" s="496"/>
      <c r="HVM5" s="496"/>
      <c r="HVN5" s="496"/>
      <c r="HVO5" s="496"/>
      <c r="HVP5" s="496"/>
      <c r="HVQ5" s="496"/>
      <c r="HVR5" s="496"/>
      <c r="HVS5" s="496"/>
      <c r="HVT5" s="496"/>
      <c r="HVU5" s="496"/>
      <c r="HVV5" s="496"/>
      <c r="HVW5" s="496"/>
      <c r="HVX5" s="496"/>
      <c r="HVY5" s="496"/>
      <c r="HVZ5" s="496"/>
      <c r="HWA5" s="496"/>
      <c r="HWB5" s="496"/>
      <c r="HWC5" s="496"/>
      <c r="HWD5" s="496"/>
      <c r="HWE5" s="496"/>
      <c r="HWF5" s="496"/>
      <c r="HWG5" s="496"/>
      <c r="HWH5" s="496"/>
      <c r="HWI5" s="496"/>
      <c r="HWJ5" s="496"/>
      <c r="HWK5" s="496"/>
      <c r="HWL5" s="496"/>
      <c r="HWM5" s="496"/>
      <c r="HWN5" s="496"/>
      <c r="HWO5" s="496"/>
      <c r="HWP5" s="496"/>
      <c r="HWQ5" s="496"/>
      <c r="HWR5" s="496"/>
      <c r="HWS5" s="496"/>
      <c r="HWT5" s="496"/>
      <c r="HWU5" s="496"/>
      <c r="HWV5" s="496"/>
      <c r="HWW5" s="496"/>
      <c r="HWX5" s="496"/>
      <c r="HWY5" s="496"/>
      <c r="HWZ5" s="496"/>
      <c r="HXA5" s="496"/>
      <c r="HXB5" s="496"/>
      <c r="HXC5" s="496"/>
      <c r="HXD5" s="496"/>
      <c r="HXE5" s="496"/>
      <c r="HXF5" s="496"/>
      <c r="HXG5" s="496"/>
      <c r="HXH5" s="496"/>
      <c r="HXI5" s="496"/>
      <c r="HXJ5" s="496"/>
      <c r="HXK5" s="496"/>
      <c r="HXL5" s="496"/>
      <c r="HXM5" s="496"/>
      <c r="HXN5" s="496"/>
      <c r="HXO5" s="496"/>
      <c r="HXP5" s="496"/>
      <c r="HXQ5" s="496"/>
      <c r="HXR5" s="496"/>
      <c r="HXS5" s="496"/>
      <c r="HXT5" s="496"/>
      <c r="HXU5" s="496"/>
      <c r="HXV5" s="496"/>
      <c r="HXW5" s="496"/>
      <c r="HXX5" s="496"/>
      <c r="HXY5" s="496"/>
      <c r="HXZ5" s="496"/>
      <c r="HYA5" s="496"/>
      <c r="HYB5" s="496"/>
      <c r="HYC5" s="496"/>
      <c r="HYD5" s="496"/>
      <c r="HYE5" s="496"/>
      <c r="HYF5" s="496"/>
      <c r="HYG5" s="496"/>
      <c r="HYH5" s="496"/>
      <c r="HYI5" s="496"/>
      <c r="HYJ5" s="496"/>
      <c r="HYK5" s="496"/>
      <c r="HYL5" s="496"/>
      <c r="HYM5" s="496"/>
      <c r="HYN5" s="496"/>
      <c r="HYO5" s="496"/>
      <c r="HYP5" s="496"/>
      <c r="HYQ5" s="496"/>
      <c r="HYR5" s="496"/>
      <c r="HYS5" s="496"/>
      <c r="HYT5" s="496"/>
      <c r="HYU5" s="496"/>
      <c r="HYV5" s="496"/>
      <c r="HYW5" s="496"/>
      <c r="HYX5" s="496"/>
      <c r="HYY5" s="496"/>
      <c r="HYZ5" s="496"/>
      <c r="HZA5" s="496"/>
      <c r="HZB5" s="496"/>
      <c r="HZC5" s="496"/>
      <c r="HZD5" s="496"/>
      <c r="HZE5" s="496"/>
      <c r="HZF5" s="496"/>
      <c r="HZG5" s="496"/>
      <c r="HZH5" s="496"/>
      <c r="HZI5" s="496"/>
      <c r="HZJ5" s="496"/>
      <c r="HZK5" s="496"/>
      <c r="HZL5" s="496"/>
      <c r="HZM5" s="496"/>
      <c r="HZN5" s="496"/>
      <c r="HZO5" s="496"/>
      <c r="HZP5" s="496"/>
      <c r="HZQ5" s="496"/>
      <c r="HZR5" s="496"/>
      <c r="HZS5" s="496"/>
      <c r="HZT5" s="496"/>
      <c r="HZU5" s="496"/>
      <c r="HZV5" s="496"/>
      <c r="HZW5" s="496"/>
      <c r="HZX5" s="496"/>
      <c r="HZY5" s="496"/>
      <c r="HZZ5" s="496"/>
      <c r="IAA5" s="496"/>
      <c r="IAB5" s="496"/>
      <c r="IAC5" s="496"/>
      <c r="IAD5" s="496"/>
      <c r="IAE5" s="496"/>
      <c r="IAF5" s="496"/>
      <c r="IAG5" s="496"/>
      <c r="IAH5" s="496"/>
      <c r="IAI5" s="496"/>
      <c r="IAJ5" s="496"/>
      <c r="IAK5" s="496"/>
      <c r="IAL5" s="496"/>
      <c r="IAM5" s="496"/>
      <c r="IAN5" s="496"/>
      <c r="IAO5" s="496"/>
      <c r="IAP5" s="496"/>
      <c r="IAQ5" s="496"/>
      <c r="IAR5" s="496"/>
      <c r="IAS5" s="496"/>
      <c r="IAT5" s="496"/>
      <c r="IAU5" s="496"/>
      <c r="IAV5" s="496"/>
      <c r="IAW5" s="496"/>
      <c r="IAX5" s="496"/>
      <c r="IAY5" s="496"/>
      <c r="IAZ5" s="496"/>
      <c r="IBA5" s="496"/>
      <c r="IBB5" s="496"/>
      <c r="IBC5" s="496"/>
      <c r="IBD5" s="496"/>
      <c r="IBE5" s="496"/>
      <c r="IBF5" s="496"/>
      <c r="IBG5" s="496"/>
      <c r="IBH5" s="496"/>
      <c r="IBI5" s="496"/>
      <c r="IBJ5" s="496"/>
      <c r="IBK5" s="496"/>
      <c r="IBL5" s="496"/>
      <c r="IBM5" s="496"/>
      <c r="IBN5" s="496"/>
      <c r="IBO5" s="496"/>
      <c r="IBP5" s="496"/>
      <c r="IBQ5" s="496"/>
      <c r="IBR5" s="496"/>
      <c r="IBS5" s="496"/>
      <c r="IBT5" s="496"/>
      <c r="IBU5" s="496"/>
      <c r="IBV5" s="496"/>
      <c r="IBW5" s="496"/>
      <c r="IBX5" s="496"/>
      <c r="IBY5" s="496"/>
      <c r="IBZ5" s="496"/>
      <c r="ICA5" s="496"/>
      <c r="ICB5" s="496"/>
      <c r="ICC5" s="496"/>
      <c r="ICD5" s="496"/>
      <c r="ICE5" s="496"/>
      <c r="ICF5" s="496"/>
      <c r="ICG5" s="496"/>
      <c r="ICH5" s="496"/>
      <c r="ICI5" s="496"/>
      <c r="ICJ5" s="496"/>
      <c r="ICK5" s="496"/>
      <c r="ICL5" s="496"/>
      <c r="ICM5" s="496"/>
      <c r="ICN5" s="496"/>
      <c r="ICO5" s="496"/>
      <c r="ICP5" s="496"/>
      <c r="ICQ5" s="496"/>
      <c r="ICR5" s="496"/>
      <c r="ICS5" s="496"/>
      <c r="ICT5" s="496"/>
      <c r="ICU5" s="496"/>
      <c r="ICV5" s="496"/>
      <c r="ICW5" s="496"/>
      <c r="ICX5" s="496"/>
      <c r="ICY5" s="496"/>
      <c r="ICZ5" s="496"/>
      <c r="IDA5" s="496"/>
      <c r="IDB5" s="496"/>
      <c r="IDC5" s="496"/>
      <c r="IDD5" s="496"/>
      <c r="IDE5" s="496"/>
      <c r="IDF5" s="496"/>
      <c r="IDG5" s="496"/>
      <c r="IDH5" s="496"/>
      <c r="IDI5" s="496"/>
      <c r="IDJ5" s="496"/>
      <c r="IDK5" s="496"/>
      <c r="IDL5" s="496"/>
      <c r="IDM5" s="496"/>
      <c r="IDN5" s="496"/>
      <c r="IDO5" s="496"/>
      <c r="IDP5" s="496"/>
      <c r="IDQ5" s="496"/>
      <c r="IDR5" s="496"/>
      <c r="IDS5" s="496"/>
      <c r="IDT5" s="496"/>
      <c r="IDU5" s="496"/>
      <c r="IDV5" s="496"/>
      <c r="IDW5" s="496"/>
      <c r="IDX5" s="496"/>
      <c r="IDY5" s="496"/>
      <c r="IDZ5" s="496"/>
      <c r="IEA5" s="496"/>
      <c r="IEB5" s="496"/>
      <c r="IEC5" s="496"/>
      <c r="IED5" s="496"/>
      <c r="IEE5" s="496"/>
      <c r="IEF5" s="496"/>
      <c r="IEG5" s="496"/>
      <c r="IEH5" s="496"/>
      <c r="IEI5" s="496"/>
      <c r="IEJ5" s="496"/>
      <c r="IEK5" s="496"/>
      <c r="IEL5" s="496"/>
      <c r="IEM5" s="496"/>
      <c r="IEN5" s="496"/>
      <c r="IEO5" s="496"/>
      <c r="IEP5" s="496"/>
      <c r="IEQ5" s="496"/>
      <c r="IER5" s="496"/>
      <c r="IES5" s="496"/>
      <c r="IET5" s="496"/>
      <c r="IEU5" s="496"/>
      <c r="IEV5" s="496"/>
      <c r="IEW5" s="496"/>
      <c r="IEX5" s="496"/>
      <c r="IEY5" s="496"/>
      <c r="IEZ5" s="496"/>
      <c r="IFA5" s="496"/>
      <c r="IFB5" s="496"/>
      <c r="IFC5" s="496"/>
      <c r="IFD5" s="496"/>
      <c r="IFE5" s="496"/>
      <c r="IFF5" s="496"/>
      <c r="IFG5" s="496"/>
      <c r="IFH5" s="496"/>
      <c r="IFI5" s="496"/>
      <c r="IFJ5" s="496"/>
      <c r="IFK5" s="496"/>
      <c r="IFL5" s="496"/>
      <c r="IFM5" s="496"/>
      <c r="IFN5" s="496"/>
      <c r="IFO5" s="496"/>
      <c r="IFP5" s="496"/>
      <c r="IFQ5" s="496"/>
      <c r="IFR5" s="496"/>
      <c r="IFS5" s="496"/>
      <c r="IFT5" s="496"/>
      <c r="IFU5" s="496"/>
      <c r="IFV5" s="496"/>
      <c r="IFW5" s="496"/>
      <c r="IFX5" s="496"/>
      <c r="IFY5" s="496"/>
      <c r="IFZ5" s="496"/>
      <c r="IGA5" s="496"/>
      <c r="IGB5" s="496"/>
      <c r="IGC5" s="496"/>
      <c r="IGD5" s="496"/>
      <c r="IGE5" s="496"/>
      <c r="IGF5" s="496"/>
      <c r="IGG5" s="496"/>
      <c r="IGH5" s="496"/>
      <c r="IGI5" s="496"/>
      <c r="IGJ5" s="496"/>
      <c r="IGK5" s="496"/>
      <c r="IGL5" s="496"/>
      <c r="IGM5" s="496"/>
      <c r="IGN5" s="496"/>
      <c r="IGO5" s="496"/>
      <c r="IGP5" s="496"/>
      <c r="IGQ5" s="496"/>
      <c r="IGR5" s="496"/>
      <c r="IGS5" s="496"/>
      <c r="IGT5" s="496"/>
      <c r="IGU5" s="496"/>
      <c r="IGV5" s="496"/>
      <c r="IGW5" s="496"/>
      <c r="IGX5" s="496"/>
      <c r="IGY5" s="496"/>
      <c r="IGZ5" s="496"/>
      <c r="IHA5" s="496"/>
      <c r="IHB5" s="496"/>
      <c r="IHC5" s="496"/>
      <c r="IHD5" s="496"/>
      <c r="IHE5" s="496"/>
      <c r="IHF5" s="496"/>
      <c r="IHG5" s="496"/>
      <c r="IHH5" s="496"/>
      <c r="IHI5" s="496"/>
      <c r="IHJ5" s="496"/>
      <c r="IHK5" s="496"/>
      <c r="IHL5" s="496"/>
      <c r="IHM5" s="496"/>
      <c r="IHN5" s="496"/>
      <c r="IHO5" s="496"/>
      <c r="IHP5" s="496"/>
      <c r="IHQ5" s="496"/>
      <c r="IHR5" s="496"/>
      <c r="IHS5" s="496"/>
      <c r="IHT5" s="496"/>
      <c r="IHU5" s="496"/>
      <c r="IHV5" s="496"/>
      <c r="IHW5" s="496"/>
      <c r="IHX5" s="496"/>
      <c r="IHY5" s="496"/>
      <c r="IHZ5" s="496"/>
      <c r="IIA5" s="496"/>
      <c r="IIB5" s="496"/>
      <c r="IIC5" s="496"/>
      <c r="IID5" s="496"/>
      <c r="IIE5" s="496"/>
      <c r="IIF5" s="496"/>
      <c r="IIG5" s="496"/>
      <c r="IIH5" s="496"/>
      <c r="III5" s="496"/>
      <c r="IIJ5" s="496"/>
      <c r="IIK5" s="496"/>
      <c r="IIL5" s="496"/>
      <c r="IIM5" s="496"/>
      <c r="IIN5" s="496"/>
      <c r="IIO5" s="496"/>
      <c r="IIP5" s="496"/>
      <c r="IIQ5" s="496"/>
      <c r="IIR5" s="496"/>
      <c r="IIS5" s="496"/>
      <c r="IIT5" s="496"/>
      <c r="IIU5" s="496"/>
      <c r="IIV5" s="496"/>
      <c r="IIW5" s="496"/>
      <c r="IIX5" s="496"/>
      <c r="IIY5" s="496"/>
      <c r="IIZ5" s="496"/>
      <c r="IJA5" s="496"/>
      <c r="IJB5" s="496"/>
      <c r="IJC5" s="496"/>
      <c r="IJD5" s="496"/>
      <c r="IJE5" s="496"/>
      <c r="IJF5" s="496"/>
      <c r="IJG5" s="496"/>
      <c r="IJH5" s="496"/>
      <c r="IJI5" s="496"/>
      <c r="IJJ5" s="496"/>
      <c r="IJK5" s="496"/>
      <c r="IJL5" s="496"/>
      <c r="IJM5" s="496"/>
      <c r="IJN5" s="496"/>
      <c r="IJO5" s="496"/>
      <c r="IJP5" s="496"/>
      <c r="IJQ5" s="496"/>
      <c r="IJR5" s="496"/>
      <c r="IJS5" s="496"/>
      <c r="IJT5" s="496"/>
      <c r="IJU5" s="496"/>
      <c r="IJV5" s="496"/>
      <c r="IJW5" s="496"/>
      <c r="IJX5" s="496"/>
      <c r="IJY5" s="496"/>
      <c r="IJZ5" s="496"/>
      <c r="IKA5" s="496"/>
      <c r="IKB5" s="496"/>
      <c r="IKC5" s="496"/>
      <c r="IKD5" s="496"/>
      <c r="IKE5" s="496"/>
      <c r="IKF5" s="496"/>
      <c r="IKG5" s="496"/>
      <c r="IKH5" s="496"/>
      <c r="IKI5" s="496"/>
      <c r="IKJ5" s="496"/>
      <c r="IKK5" s="496"/>
      <c r="IKL5" s="496"/>
      <c r="IKM5" s="496"/>
      <c r="IKN5" s="496"/>
      <c r="IKO5" s="496"/>
      <c r="IKP5" s="496"/>
      <c r="IKQ5" s="496"/>
      <c r="IKR5" s="496"/>
      <c r="IKS5" s="496"/>
      <c r="IKT5" s="496"/>
      <c r="IKU5" s="496"/>
      <c r="IKV5" s="496"/>
      <c r="IKW5" s="496"/>
      <c r="IKX5" s="496"/>
      <c r="IKY5" s="496"/>
      <c r="IKZ5" s="496"/>
      <c r="ILA5" s="496"/>
      <c r="ILB5" s="496"/>
      <c r="ILC5" s="496"/>
      <c r="ILD5" s="496"/>
      <c r="ILE5" s="496"/>
      <c r="ILF5" s="496"/>
      <c r="ILG5" s="496"/>
      <c r="ILH5" s="496"/>
      <c r="ILI5" s="496"/>
      <c r="ILJ5" s="496"/>
      <c r="ILK5" s="496"/>
      <c r="ILL5" s="496"/>
      <c r="ILM5" s="496"/>
      <c r="ILN5" s="496"/>
      <c r="ILO5" s="496"/>
      <c r="ILP5" s="496"/>
      <c r="ILQ5" s="496"/>
      <c r="ILR5" s="496"/>
      <c r="ILS5" s="496"/>
      <c r="ILT5" s="496"/>
      <c r="ILU5" s="496"/>
      <c r="ILV5" s="496"/>
      <c r="ILW5" s="496"/>
      <c r="ILX5" s="496"/>
      <c r="ILY5" s="496"/>
      <c r="ILZ5" s="496"/>
      <c r="IMA5" s="496"/>
      <c r="IMB5" s="496"/>
      <c r="IMC5" s="496"/>
      <c r="IMD5" s="496"/>
      <c r="IME5" s="496"/>
      <c r="IMF5" s="496"/>
      <c r="IMG5" s="496"/>
      <c r="IMH5" s="496"/>
      <c r="IMI5" s="496"/>
      <c r="IMJ5" s="496"/>
      <c r="IMK5" s="496"/>
      <c r="IML5" s="496"/>
      <c r="IMM5" s="496"/>
      <c r="IMN5" s="496"/>
      <c r="IMO5" s="496"/>
      <c r="IMP5" s="496"/>
      <c r="IMQ5" s="496"/>
      <c r="IMR5" s="496"/>
      <c r="IMS5" s="496"/>
      <c r="IMT5" s="496"/>
      <c r="IMU5" s="496"/>
      <c r="IMV5" s="496"/>
      <c r="IMW5" s="496"/>
      <c r="IMX5" s="496"/>
      <c r="IMY5" s="496"/>
      <c r="IMZ5" s="496"/>
      <c r="INA5" s="496"/>
      <c r="INB5" s="496"/>
      <c r="INC5" s="496"/>
      <c r="IND5" s="496"/>
      <c r="INE5" s="496"/>
      <c r="INF5" s="496"/>
      <c r="ING5" s="496"/>
      <c r="INH5" s="496"/>
      <c r="INI5" s="496"/>
      <c r="INJ5" s="496"/>
      <c r="INK5" s="496"/>
      <c r="INL5" s="496"/>
      <c r="INM5" s="496"/>
      <c r="INN5" s="496"/>
      <c r="INO5" s="496"/>
      <c r="INP5" s="496"/>
      <c r="INQ5" s="496"/>
      <c r="INR5" s="496"/>
      <c r="INS5" s="496"/>
      <c r="INT5" s="496"/>
      <c r="INU5" s="496"/>
      <c r="INV5" s="496"/>
      <c r="INW5" s="496"/>
      <c r="INX5" s="496"/>
      <c r="INY5" s="496"/>
      <c r="INZ5" s="496"/>
      <c r="IOA5" s="496"/>
      <c r="IOB5" s="496"/>
      <c r="IOC5" s="496"/>
      <c r="IOD5" s="496"/>
      <c r="IOE5" s="496"/>
      <c r="IOF5" s="496"/>
      <c r="IOG5" s="496"/>
      <c r="IOH5" s="496"/>
      <c r="IOI5" s="496"/>
      <c r="IOJ5" s="496"/>
      <c r="IOK5" s="496"/>
      <c r="IOL5" s="496"/>
      <c r="IOM5" s="496"/>
      <c r="ION5" s="496"/>
      <c r="IOO5" s="496"/>
      <c r="IOP5" s="496"/>
      <c r="IOQ5" s="496"/>
      <c r="IOR5" s="496"/>
      <c r="IOS5" s="496"/>
      <c r="IOT5" s="496"/>
      <c r="IOU5" s="496"/>
      <c r="IOV5" s="496"/>
      <c r="IOW5" s="496"/>
      <c r="IOX5" s="496"/>
      <c r="IOY5" s="496"/>
      <c r="IOZ5" s="496"/>
      <c r="IPA5" s="496"/>
      <c r="IPB5" s="496"/>
      <c r="IPC5" s="496"/>
      <c r="IPD5" s="496"/>
      <c r="IPE5" s="496"/>
      <c r="IPF5" s="496"/>
      <c r="IPG5" s="496"/>
      <c r="IPH5" s="496"/>
      <c r="IPI5" s="496"/>
      <c r="IPJ5" s="496"/>
      <c r="IPK5" s="496"/>
      <c r="IPL5" s="496"/>
      <c r="IPM5" s="496"/>
      <c r="IPN5" s="496"/>
      <c r="IPO5" s="496"/>
      <c r="IPP5" s="496"/>
      <c r="IPQ5" s="496"/>
      <c r="IPR5" s="496"/>
      <c r="IPS5" s="496"/>
      <c r="IPT5" s="496"/>
      <c r="IPU5" s="496"/>
      <c r="IPV5" s="496"/>
      <c r="IPW5" s="496"/>
      <c r="IPX5" s="496"/>
      <c r="IPY5" s="496"/>
      <c r="IPZ5" s="496"/>
      <c r="IQA5" s="496"/>
      <c r="IQB5" s="496"/>
      <c r="IQC5" s="496"/>
      <c r="IQD5" s="496"/>
      <c r="IQE5" s="496"/>
      <c r="IQF5" s="496"/>
      <c r="IQG5" s="496"/>
      <c r="IQH5" s="496"/>
      <c r="IQI5" s="496"/>
      <c r="IQJ5" s="496"/>
      <c r="IQK5" s="496"/>
      <c r="IQL5" s="496"/>
      <c r="IQM5" s="496"/>
      <c r="IQN5" s="496"/>
      <c r="IQO5" s="496"/>
      <c r="IQP5" s="496"/>
      <c r="IQQ5" s="496"/>
      <c r="IQR5" s="496"/>
      <c r="IQS5" s="496"/>
      <c r="IQT5" s="496"/>
      <c r="IQU5" s="496"/>
      <c r="IQV5" s="496"/>
      <c r="IQW5" s="496"/>
      <c r="IQX5" s="496"/>
      <c r="IQY5" s="496"/>
      <c r="IQZ5" s="496"/>
      <c r="IRA5" s="496"/>
      <c r="IRB5" s="496"/>
      <c r="IRC5" s="496"/>
      <c r="IRD5" s="496"/>
      <c r="IRE5" s="496"/>
      <c r="IRF5" s="496"/>
      <c r="IRG5" s="496"/>
      <c r="IRH5" s="496"/>
      <c r="IRI5" s="496"/>
      <c r="IRJ5" s="496"/>
      <c r="IRK5" s="496"/>
      <c r="IRL5" s="496"/>
      <c r="IRM5" s="496"/>
      <c r="IRN5" s="496"/>
      <c r="IRO5" s="496"/>
      <c r="IRP5" s="496"/>
      <c r="IRQ5" s="496"/>
      <c r="IRR5" s="496"/>
      <c r="IRS5" s="496"/>
      <c r="IRT5" s="496"/>
      <c r="IRU5" s="496"/>
      <c r="IRV5" s="496"/>
      <c r="IRW5" s="496"/>
      <c r="IRX5" s="496"/>
      <c r="IRY5" s="496"/>
      <c r="IRZ5" s="496"/>
      <c r="ISA5" s="496"/>
      <c r="ISB5" s="496"/>
      <c r="ISC5" s="496"/>
      <c r="ISD5" s="496"/>
      <c r="ISE5" s="496"/>
      <c r="ISF5" s="496"/>
      <c r="ISG5" s="496"/>
      <c r="ISH5" s="496"/>
      <c r="ISI5" s="496"/>
      <c r="ISJ5" s="496"/>
      <c r="ISK5" s="496"/>
      <c r="ISL5" s="496"/>
      <c r="ISM5" s="496"/>
      <c r="ISN5" s="496"/>
      <c r="ISO5" s="496"/>
      <c r="ISP5" s="496"/>
      <c r="ISQ5" s="496"/>
      <c r="ISR5" s="496"/>
      <c r="ISS5" s="496"/>
      <c r="IST5" s="496"/>
      <c r="ISU5" s="496"/>
      <c r="ISV5" s="496"/>
      <c r="ISW5" s="496"/>
      <c r="ISX5" s="496"/>
      <c r="ISY5" s="496"/>
      <c r="ISZ5" s="496"/>
      <c r="ITA5" s="496"/>
      <c r="ITB5" s="496"/>
      <c r="ITC5" s="496"/>
      <c r="ITD5" s="496"/>
      <c r="ITE5" s="496"/>
      <c r="ITF5" s="496"/>
      <c r="ITG5" s="496"/>
      <c r="ITH5" s="496"/>
      <c r="ITI5" s="496"/>
      <c r="ITJ5" s="496"/>
      <c r="ITK5" s="496"/>
      <c r="ITL5" s="496"/>
      <c r="ITM5" s="496"/>
      <c r="ITN5" s="496"/>
      <c r="ITO5" s="496"/>
      <c r="ITP5" s="496"/>
      <c r="ITQ5" s="496"/>
      <c r="ITR5" s="496"/>
      <c r="ITS5" s="496"/>
      <c r="ITT5" s="496"/>
      <c r="ITU5" s="496"/>
      <c r="ITV5" s="496"/>
      <c r="ITW5" s="496"/>
      <c r="ITX5" s="496"/>
      <c r="ITY5" s="496"/>
      <c r="ITZ5" s="496"/>
      <c r="IUA5" s="496"/>
      <c r="IUB5" s="496"/>
      <c r="IUC5" s="496"/>
      <c r="IUD5" s="496"/>
      <c r="IUE5" s="496"/>
      <c r="IUF5" s="496"/>
      <c r="IUG5" s="496"/>
      <c r="IUH5" s="496"/>
      <c r="IUI5" s="496"/>
      <c r="IUJ5" s="496"/>
      <c r="IUK5" s="496"/>
      <c r="IUL5" s="496"/>
      <c r="IUM5" s="496"/>
      <c r="IUN5" s="496"/>
      <c r="IUO5" s="496"/>
      <c r="IUP5" s="496"/>
      <c r="IUQ5" s="496"/>
      <c r="IUR5" s="496"/>
      <c r="IUS5" s="496"/>
      <c r="IUT5" s="496"/>
      <c r="IUU5" s="496"/>
      <c r="IUV5" s="496"/>
      <c r="IUW5" s="496"/>
      <c r="IUX5" s="496"/>
      <c r="IUY5" s="496"/>
      <c r="IUZ5" s="496"/>
      <c r="IVA5" s="496"/>
      <c r="IVB5" s="496"/>
      <c r="IVC5" s="496"/>
      <c r="IVD5" s="496"/>
      <c r="IVE5" s="496"/>
      <c r="IVF5" s="496"/>
      <c r="IVG5" s="496"/>
      <c r="IVH5" s="496"/>
      <c r="IVI5" s="496"/>
      <c r="IVJ5" s="496"/>
      <c r="IVK5" s="496"/>
      <c r="IVL5" s="496"/>
      <c r="IVM5" s="496"/>
      <c r="IVN5" s="496"/>
      <c r="IVO5" s="496"/>
      <c r="IVP5" s="496"/>
      <c r="IVQ5" s="496"/>
      <c r="IVR5" s="496"/>
      <c r="IVS5" s="496"/>
      <c r="IVT5" s="496"/>
      <c r="IVU5" s="496"/>
      <c r="IVV5" s="496"/>
      <c r="IVW5" s="496"/>
      <c r="IVX5" s="496"/>
      <c r="IVY5" s="496"/>
      <c r="IVZ5" s="496"/>
      <c r="IWA5" s="496"/>
      <c r="IWB5" s="496"/>
      <c r="IWC5" s="496"/>
      <c r="IWD5" s="496"/>
      <c r="IWE5" s="496"/>
      <c r="IWF5" s="496"/>
      <c r="IWG5" s="496"/>
      <c r="IWH5" s="496"/>
      <c r="IWI5" s="496"/>
      <c r="IWJ5" s="496"/>
      <c r="IWK5" s="496"/>
      <c r="IWL5" s="496"/>
      <c r="IWM5" s="496"/>
      <c r="IWN5" s="496"/>
      <c r="IWO5" s="496"/>
      <c r="IWP5" s="496"/>
      <c r="IWQ5" s="496"/>
      <c r="IWR5" s="496"/>
      <c r="IWS5" s="496"/>
      <c r="IWT5" s="496"/>
      <c r="IWU5" s="496"/>
      <c r="IWV5" s="496"/>
      <c r="IWW5" s="496"/>
      <c r="IWX5" s="496"/>
      <c r="IWY5" s="496"/>
      <c r="IWZ5" s="496"/>
      <c r="IXA5" s="496"/>
      <c r="IXB5" s="496"/>
      <c r="IXC5" s="496"/>
      <c r="IXD5" s="496"/>
      <c r="IXE5" s="496"/>
      <c r="IXF5" s="496"/>
      <c r="IXG5" s="496"/>
      <c r="IXH5" s="496"/>
      <c r="IXI5" s="496"/>
      <c r="IXJ5" s="496"/>
      <c r="IXK5" s="496"/>
      <c r="IXL5" s="496"/>
      <c r="IXM5" s="496"/>
      <c r="IXN5" s="496"/>
      <c r="IXO5" s="496"/>
      <c r="IXP5" s="496"/>
      <c r="IXQ5" s="496"/>
      <c r="IXR5" s="496"/>
      <c r="IXS5" s="496"/>
      <c r="IXT5" s="496"/>
      <c r="IXU5" s="496"/>
      <c r="IXV5" s="496"/>
      <c r="IXW5" s="496"/>
      <c r="IXX5" s="496"/>
      <c r="IXY5" s="496"/>
      <c r="IXZ5" s="496"/>
      <c r="IYA5" s="496"/>
      <c r="IYB5" s="496"/>
      <c r="IYC5" s="496"/>
      <c r="IYD5" s="496"/>
      <c r="IYE5" s="496"/>
      <c r="IYF5" s="496"/>
      <c r="IYG5" s="496"/>
      <c r="IYH5" s="496"/>
      <c r="IYI5" s="496"/>
      <c r="IYJ5" s="496"/>
      <c r="IYK5" s="496"/>
      <c r="IYL5" s="496"/>
      <c r="IYM5" s="496"/>
      <c r="IYN5" s="496"/>
      <c r="IYO5" s="496"/>
      <c r="IYP5" s="496"/>
      <c r="IYQ5" s="496"/>
      <c r="IYR5" s="496"/>
      <c r="IYS5" s="496"/>
      <c r="IYT5" s="496"/>
      <c r="IYU5" s="496"/>
      <c r="IYV5" s="496"/>
      <c r="IYW5" s="496"/>
      <c r="IYX5" s="496"/>
      <c r="IYY5" s="496"/>
      <c r="IYZ5" s="496"/>
      <c r="IZA5" s="496"/>
      <c r="IZB5" s="496"/>
      <c r="IZC5" s="496"/>
      <c r="IZD5" s="496"/>
      <c r="IZE5" s="496"/>
      <c r="IZF5" s="496"/>
      <c r="IZG5" s="496"/>
      <c r="IZH5" s="496"/>
      <c r="IZI5" s="496"/>
      <c r="IZJ5" s="496"/>
      <c r="IZK5" s="496"/>
      <c r="IZL5" s="496"/>
      <c r="IZM5" s="496"/>
      <c r="IZN5" s="496"/>
      <c r="IZO5" s="496"/>
      <c r="IZP5" s="496"/>
      <c r="IZQ5" s="496"/>
      <c r="IZR5" s="496"/>
      <c r="IZS5" s="496"/>
      <c r="IZT5" s="496"/>
      <c r="IZU5" s="496"/>
      <c r="IZV5" s="496"/>
      <c r="IZW5" s="496"/>
      <c r="IZX5" s="496"/>
      <c r="IZY5" s="496"/>
      <c r="IZZ5" s="496"/>
      <c r="JAA5" s="496"/>
      <c r="JAB5" s="496"/>
      <c r="JAC5" s="496"/>
      <c r="JAD5" s="496"/>
      <c r="JAE5" s="496"/>
      <c r="JAF5" s="496"/>
      <c r="JAG5" s="496"/>
      <c r="JAH5" s="496"/>
      <c r="JAI5" s="496"/>
      <c r="JAJ5" s="496"/>
      <c r="JAK5" s="496"/>
      <c r="JAL5" s="496"/>
      <c r="JAM5" s="496"/>
      <c r="JAN5" s="496"/>
      <c r="JAO5" s="496"/>
      <c r="JAP5" s="496"/>
      <c r="JAQ5" s="496"/>
      <c r="JAR5" s="496"/>
      <c r="JAS5" s="496"/>
      <c r="JAT5" s="496"/>
      <c r="JAU5" s="496"/>
      <c r="JAV5" s="496"/>
      <c r="JAW5" s="496"/>
      <c r="JAX5" s="496"/>
      <c r="JAY5" s="496"/>
      <c r="JAZ5" s="496"/>
      <c r="JBA5" s="496"/>
      <c r="JBB5" s="496"/>
      <c r="JBC5" s="496"/>
      <c r="JBD5" s="496"/>
      <c r="JBE5" s="496"/>
      <c r="JBF5" s="496"/>
      <c r="JBG5" s="496"/>
      <c r="JBH5" s="496"/>
      <c r="JBI5" s="496"/>
      <c r="JBJ5" s="496"/>
      <c r="JBK5" s="496"/>
      <c r="JBL5" s="496"/>
      <c r="JBM5" s="496"/>
      <c r="JBN5" s="496"/>
      <c r="JBO5" s="496"/>
      <c r="JBP5" s="496"/>
      <c r="JBQ5" s="496"/>
      <c r="JBR5" s="496"/>
      <c r="JBS5" s="496"/>
      <c r="JBT5" s="496"/>
      <c r="JBU5" s="496"/>
      <c r="JBV5" s="496"/>
      <c r="JBW5" s="496"/>
      <c r="JBX5" s="496"/>
      <c r="JBY5" s="496"/>
      <c r="JBZ5" s="496"/>
      <c r="JCA5" s="496"/>
      <c r="JCB5" s="496"/>
      <c r="JCC5" s="496"/>
      <c r="JCD5" s="496"/>
      <c r="JCE5" s="496"/>
      <c r="JCF5" s="496"/>
      <c r="JCG5" s="496"/>
      <c r="JCH5" s="496"/>
      <c r="JCI5" s="496"/>
      <c r="JCJ5" s="496"/>
      <c r="JCK5" s="496"/>
      <c r="JCL5" s="496"/>
      <c r="JCM5" s="496"/>
      <c r="JCN5" s="496"/>
      <c r="JCO5" s="496"/>
      <c r="JCP5" s="496"/>
      <c r="JCQ5" s="496"/>
      <c r="JCR5" s="496"/>
      <c r="JCS5" s="496"/>
      <c r="JCT5" s="496"/>
      <c r="JCU5" s="496"/>
      <c r="JCV5" s="496"/>
      <c r="JCW5" s="496"/>
      <c r="JCX5" s="496"/>
      <c r="JCY5" s="496"/>
      <c r="JCZ5" s="496"/>
      <c r="JDA5" s="496"/>
      <c r="JDB5" s="496"/>
      <c r="JDC5" s="496"/>
      <c r="JDD5" s="496"/>
      <c r="JDE5" s="496"/>
      <c r="JDF5" s="496"/>
      <c r="JDG5" s="496"/>
      <c r="JDH5" s="496"/>
      <c r="JDI5" s="496"/>
      <c r="JDJ5" s="496"/>
      <c r="JDK5" s="496"/>
      <c r="JDL5" s="496"/>
      <c r="JDM5" s="496"/>
      <c r="JDN5" s="496"/>
      <c r="JDO5" s="496"/>
      <c r="JDP5" s="496"/>
      <c r="JDQ5" s="496"/>
      <c r="JDR5" s="496"/>
      <c r="JDS5" s="496"/>
      <c r="JDT5" s="496"/>
      <c r="JDU5" s="496"/>
      <c r="JDV5" s="496"/>
      <c r="JDW5" s="496"/>
      <c r="JDX5" s="496"/>
      <c r="JDY5" s="496"/>
      <c r="JDZ5" s="496"/>
      <c r="JEA5" s="496"/>
      <c r="JEB5" s="496"/>
      <c r="JEC5" s="496"/>
      <c r="JED5" s="496"/>
      <c r="JEE5" s="496"/>
      <c r="JEF5" s="496"/>
      <c r="JEG5" s="496"/>
      <c r="JEH5" s="496"/>
      <c r="JEI5" s="496"/>
      <c r="JEJ5" s="496"/>
      <c r="JEK5" s="496"/>
      <c r="JEL5" s="496"/>
      <c r="JEM5" s="496"/>
      <c r="JEN5" s="496"/>
      <c r="JEO5" s="496"/>
      <c r="JEP5" s="496"/>
      <c r="JEQ5" s="496"/>
      <c r="JER5" s="496"/>
      <c r="JES5" s="496"/>
      <c r="JET5" s="496"/>
      <c r="JEU5" s="496"/>
      <c r="JEV5" s="496"/>
      <c r="JEW5" s="496"/>
      <c r="JEX5" s="496"/>
      <c r="JEY5" s="496"/>
      <c r="JEZ5" s="496"/>
      <c r="JFA5" s="496"/>
      <c r="JFB5" s="496"/>
      <c r="JFC5" s="496"/>
      <c r="JFD5" s="496"/>
      <c r="JFE5" s="496"/>
      <c r="JFF5" s="496"/>
      <c r="JFG5" s="496"/>
      <c r="JFH5" s="496"/>
      <c r="JFI5" s="496"/>
      <c r="JFJ5" s="496"/>
      <c r="JFK5" s="496"/>
      <c r="JFL5" s="496"/>
      <c r="JFM5" s="496"/>
      <c r="JFN5" s="496"/>
      <c r="JFO5" s="496"/>
      <c r="JFP5" s="496"/>
      <c r="JFQ5" s="496"/>
      <c r="JFR5" s="496"/>
      <c r="JFS5" s="496"/>
      <c r="JFT5" s="496"/>
      <c r="JFU5" s="496"/>
      <c r="JFV5" s="496"/>
      <c r="JFW5" s="496"/>
      <c r="JFX5" s="496"/>
      <c r="JFY5" s="496"/>
      <c r="JFZ5" s="496"/>
      <c r="JGA5" s="496"/>
      <c r="JGB5" s="496"/>
      <c r="JGC5" s="496"/>
      <c r="JGD5" s="496"/>
      <c r="JGE5" s="496"/>
      <c r="JGF5" s="496"/>
      <c r="JGG5" s="496"/>
      <c r="JGH5" s="496"/>
      <c r="JGI5" s="496"/>
      <c r="JGJ5" s="496"/>
      <c r="JGK5" s="496"/>
      <c r="JGL5" s="496"/>
      <c r="JGM5" s="496"/>
      <c r="JGN5" s="496"/>
      <c r="JGO5" s="496"/>
      <c r="JGP5" s="496"/>
      <c r="JGQ5" s="496"/>
      <c r="JGR5" s="496"/>
      <c r="JGS5" s="496"/>
      <c r="JGT5" s="496"/>
      <c r="JGU5" s="496"/>
      <c r="JGV5" s="496"/>
      <c r="JGW5" s="496"/>
      <c r="JGX5" s="496"/>
      <c r="JGY5" s="496"/>
      <c r="JGZ5" s="496"/>
      <c r="JHA5" s="496"/>
      <c r="JHB5" s="496"/>
      <c r="JHC5" s="496"/>
      <c r="JHD5" s="496"/>
      <c r="JHE5" s="496"/>
      <c r="JHF5" s="496"/>
      <c r="JHG5" s="496"/>
      <c r="JHH5" s="496"/>
      <c r="JHI5" s="496"/>
      <c r="JHJ5" s="496"/>
      <c r="JHK5" s="496"/>
      <c r="JHL5" s="496"/>
      <c r="JHM5" s="496"/>
      <c r="JHN5" s="496"/>
      <c r="JHO5" s="496"/>
      <c r="JHP5" s="496"/>
      <c r="JHQ5" s="496"/>
      <c r="JHR5" s="496"/>
      <c r="JHS5" s="496"/>
      <c r="JHT5" s="496"/>
      <c r="JHU5" s="496"/>
      <c r="JHV5" s="496"/>
      <c r="JHW5" s="496"/>
      <c r="JHX5" s="496"/>
      <c r="JHY5" s="496"/>
      <c r="JHZ5" s="496"/>
      <c r="JIA5" s="496"/>
      <c r="JIB5" s="496"/>
      <c r="JIC5" s="496"/>
      <c r="JID5" s="496"/>
      <c r="JIE5" s="496"/>
      <c r="JIF5" s="496"/>
      <c r="JIG5" s="496"/>
      <c r="JIH5" s="496"/>
      <c r="JII5" s="496"/>
      <c r="JIJ5" s="496"/>
      <c r="JIK5" s="496"/>
      <c r="JIL5" s="496"/>
      <c r="JIM5" s="496"/>
      <c r="JIN5" s="496"/>
      <c r="JIO5" s="496"/>
      <c r="JIP5" s="496"/>
      <c r="JIQ5" s="496"/>
      <c r="JIR5" s="496"/>
      <c r="JIS5" s="496"/>
      <c r="JIT5" s="496"/>
      <c r="JIU5" s="496"/>
      <c r="JIV5" s="496"/>
      <c r="JIW5" s="496"/>
      <c r="JIX5" s="496"/>
      <c r="JIY5" s="496"/>
      <c r="JIZ5" s="496"/>
      <c r="JJA5" s="496"/>
      <c r="JJB5" s="496"/>
      <c r="JJC5" s="496"/>
      <c r="JJD5" s="496"/>
      <c r="JJE5" s="496"/>
      <c r="JJF5" s="496"/>
      <c r="JJG5" s="496"/>
      <c r="JJH5" s="496"/>
      <c r="JJI5" s="496"/>
      <c r="JJJ5" s="496"/>
      <c r="JJK5" s="496"/>
      <c r="JJL5" s="496"/>
      <c r="JJM5" s="496"/>
      <c r="JJN5" s="496"/>
      <c r="JJO5" s="496"/>
      <c r="JJP5" s="496"/>
      <c r="JJQ5" s="496"/>
      <c r="JJR5" s="496"/>
      <c r="JJS5" s="496"/>
      <c r="JJT5" s="496"/>
      <c r="JJU5" s="496"/>
      <c r="JJV5" s="496"/>
      <c r="JJW5" s="496"/>
      <c r="JJX5" s="496"/>
      <c r="JJY5" s="496"/>
      <c r="JJZ5" s="496"/>
      <c r="JKA5" s="496"/>
      <c r="JKB5" s="496"/>
      <c r="JKC5" s="496"/>
      <c r="JKD5" s="496"/>
      <c r="JKE5" s="496"/>
      <c r="JKF5" s="496"/>
      <c r="JKG5" s="496"/>
      <c r="JKH5" s="496"/>
      <c r="JKI5" s="496"/>
      <c r="JKJ5" s="496"/>
      <c r="JKK5" s="496"/>
      <c r="JKL5" s="496"/>
      <c r="JKM5" s="496"/>
      <c r="JKN5" s="496"/>
      <c r="JKO5" s="496"/>
      <c r="JKP5" s="496"/>
      <c r="JKQ5" s="496"/>
      <c r="JKR5" s="496"/>
      <c r="JKS5" s="496"/>
      <c r="JKT5" s="496"/>
      <c r="JKU5" s="496"/>
      <c r="JKV5" s="496"/>
      <c r="JKW5" s="496"/>
      <c r="JKX5" s="496"/>
      <c r="JKY5" s="496"/>
      <c r="JKZ5" s="496"/>
      <c r="JLA5" s="496"/>
      <c r="JLB5" s="496"/>
      <c r="JLC5" s="496"/>
      <c r="JLD5" s="496"/>
      <c r="JLE5" s="496"/>
      <c r="JLF5" s="496"/>
      <c r="JLG5" s="496"/>
      <c r="JLH5" s="496"/>
      <c r="JLI5" s="496"/>
      <c r="JLJ5" s="496"/>
      <c r="JLK5" s="496"/>
      <c r="JLL5" s="496"/>
      <c r="JLM5" s="496"/>
      <c r="JLN5" s="496"/>
      <c r="JLO5" s="496"/>
      <c r="JLP5" s="496"/>
      <c r="JLQ5" s="496"/>
      <c r="JLR5" s="496"/>
      <c r="JLS5" s="496"/>
      <c r="JLT5" s="496"/>
      <c r="JLU5" s="496"/>
      <c r="JLV5" s="496"/>
      <c r="JLW5" s="496"/>
      <c r="JLX5" s="496"/>
      <c r="JLY5" s="496"/>
      <c r="JLZ5" s="496"/>
      <c r="JMA5" s="496"/>
      <c r="JMB5" s="496"/>
      <c r="JMC5" s="496"/>
      <c r="JMD5" s="496"/>
      <c r="JME5" s="496"/>
      <c r="JMF5" s="496"/>
      <c r="JMG5" s="496"/>
      <c r="JMH5" s="496"/>
      <c r="JMI5" s="496"/>
      <c r="JMJ5" s="496"/>
      <c r="JMK5" s="496"/>
      <c r="JML5" s="496"/>
      <c r="JMM5" s="496"/>
      <c r="JMN5" s="496"/>
      <c r="JMO5" s="496"/>
      <c r="JMP5" s="496"/>
      <c r="JMQ5" s="496"/>
      <c r="JMR5" s="496"/>
      <c r="JMS5" s="496"/>
      <c r="JMT5" s="496"/>
      <c r="JMU5" s="496"/>
      <c r="JMV5" s="496"/>
      <c r="JMW5" s="496"/>
      <c r="JMX5" s="496"/>
      <c r="JMY5" s="496"/>
      <c r="JMZ5" s="496"/>
      <c r="JNA5" s="496"/>
      <c r="JNB5" s="496"/>
      <c r="JNC5" s="496"/>
      <c r="JND5" s="496"/>
      <c r="JNE5" s="496"/>
      <c r="JNF5" s="496"/>
      <c r="JNG5" s="496"/>
      <c r="JNH5" s="496"/>
      <c r="JNI5" s="496"/>
      <c r="JNJ5" s="496"/>
      <c r="JNK5" s="496"/>
      <c r="JNL5" s="496"/>
      <c r="JNM5" s="496"/>
      <c r="JNN5" s="496"/>
      <c r="JNO5" s="496"/>
      <c r="JNP5" s="496"/>
      <c r="JNQ5" s="496"/>
      <c r="JNR5" s="496"/>
      <c r="JNS5" s="496"/>
      <c r="JNT5" s="496"/>
      <c r="JNU5" s="496"/>
      <c r="JNV5" s="496"/>
      <c r="JNW5" s="496"/>
      <c r="JNX5" s="496"/>
      <c r="JNY5" s="496"/>
      <c r="JNZ5" s="496"/>
      <c r="JOA5" s="496"/>
      <c r="JOB5" s="496"/>
      <c r="JOC5" s="496"/>
      <c r="JOD5" s="496"/>
      <c r="JOE5" s="496"/>
      <c r="JOF5" s="496"/>
      <c r="JOG5" s="496"/>
      <c r="JOH5" s="496"/>
      <c r="JOI5" s="496"/>
      <c r="JOJ5" s="496"/>
      <c r="JOK5" s="496"/>
      <c r="JOL5" s="496"/>
      <c r="JOM5" s="496"/>
      <c r="JON5" s="496"/>
      <c r="JOO5" s="496"/>
      <c r="JOP5" s="496"/>
      <c r="JOQ5" s="496"/>
      <c r="JOR5" s="496"/>
      <c r="JOS5" s="496"/>
      <c r="JOT5" s="496"/>
      <c r="JOU5" s="496"/>
      <c r="JOV5" s="496"/>
      <c r="JOW5" s="496"/>
      <c r="JOX5" s="496"/>
      <c r="JOY5" s="496"/>
      <c r="JOZ5" s="496"/>
      <c r="JPA5" s="496"/>
      <c r="JPB5" s="496"/>
      <c r="JPC5" s="496"/>
      <c r="JPD5" s="496"/>
      <c r="JPE5" s="496"/>
      <c r="JPF5" s="496"/>
      <c r="JPG5" s="496"/>
      <c r="JPH5" s="496"/>
      <c r="JPI5" s="496"/>
      <c r="JPJ5" s="496"/>
      <c r="JPK5" s="496"/>
      <c r="JPL5" s="496"/>
      <c r="JPM5" s="496"/>
      <c r="JPN5" s="496"/>
      <c r="JPO5" s="496"/>
      <c r="JPP5" s="496"/>
      <c r="JPQ5" s="496"/>
      <c r="JPR5" s="496"/>
      <c r="JPS5" s="496"/>
      <c r="JPT5" s="496"/>
      <c r="JPU5" s="496"/>
      <c r="JPV5" s="496"/>
      <c r="JPW5" s="496"/>
      <c r="JPX5" s="496"/>
      <c r="JPY5" s="496"/>
      <c r="JPZ5" s="496"/>
      <c r="JQA5" s="496"/>
      <c r="JQB5" s="496"/>
      <c r="JQC5" s="496"/>
      <c r="JQD5" s="496"/>
      <c r="JQE5" s="496"/>
      <c r="JQF5" s="496"/>
      <c r="JQG5" s="496"/>
      <c r="JQH5" s="496"/>
      <c r="JQI5" s="496"/>
      <c r="JQJ5" s="496"/>
      <c r="JQK5" s="496"/>
      <c r="JQL5" s="496"/>
      <c r="JQM5" s="496"/>
      <c r="JQN5" s="496"/>
      <c r="JQO5" s="496"/>
      <c r="JQP5" s="496"/>
      <c r="JQQ5" s="496"/>
      <c r="JQR5" s="496"/>
      <c r="JQS5" s="496"/>
      <c r="JQT5" s="496"/>
      <c r="JQU5" s="496"/>
      <c r="JQV5" s="496"/>
      <c r="JQW5" s="496"/>
      <c r="JQX5" s="496"/>
      <c r="JQY5" s="496"/>
      <c r="JQZ5" s="496"/>
      <c r="JRA5" s="496"/>
      <c r="JRB5" s="496"/>
      <c r="JRC5" s="496"/>
      <c r="JRD5" s="496"/>
      <c r="JRE5" s="496"/>
      <c r="JRF5" s="496"/>
      <c r="JRG5" s="496"/>
      <c r="JRH5" s="496"/>
      <c r="JRI5" s="496"/>
      <c r="JRJ5" s="496"/>
      <c r="JRK5" s="496"/>
      <c r="JRL5" s="496"/>
      <c r="JRM5" s="496"/>
      <c r="JRN5" s="496"/>
      <c r="JRO5" s="496"/>
      <c r="JRP5" s="496"/>
      <c r="JRQ5" s="496"/>
      <c r="JRR5" s="496"/>
      <c r="JRS5" s="496"/>
      <c r="JRT5" s="496"/>
      <c r="JRU5" s="496"/>
      <c r="JRV5" s="496"/>
      <c r="JRW5" s="496"/>
      <c r="JRX5" s="496"/>
      <c r="JRY5" s="496"/>
      <c r="JRZ5" s="496"/>
      <c r="JSA5" s="496"/>
      <c r="JSB5" s="496"/>
      <c r="JSC5" s="496"/>
      <c r="JSD5" s="496"/>
      <c r="JSE5" s="496"/>
      <c r="JSF5" s="496"/>
      <c r="JSG5" s="496"/>
      <c r="JSH5" s="496"/>
      <c r="JSI5" s="496"/>
      <c r="JSJ5" s="496"/>
      <c r="JSK5" s="496"/>
      <c r="JSL5" s="496"/>
      <c r="JSM5" s="496"/>
      <c r="JSN5" s="496"/>
      <c r="JSO5" s="496"/>
      <c r="JSP5" s="496"/>
      <c r="JSQ5" s="496"/>
      <c r="JSR5" s="496"/>
      <c r="JSS5" s="496"/>
      <c r="JST5" s="496"/>
      <c r="JSU5" s="496"/>
      <c r="JSV5" s="496"/>
      <c r="JSW5" s="496"/>
      <c r="JSX5" s="496"/>
      <c r="JSY5" s="496"/>
      <c r="JSZ5" s="496"/>
      <c r="JTA5" s="496"/>
      <c r="JTB5" s="496"/>
      <c r="JTC5" s="496"/>
      <c r="JTD5" s="496"/>
      <c r="JTE5" s="496"/>
      <c r="JTF5" s="496"/>
      <c r="JTG5" s="496"/>
      <c r="JTH5" s="496"/>
      <c r="JTI5" s="496"/>
      <c r="JTJ5" s="496"/>
      <c r="JTK5" s="496"/>
      <c r="JTL5" s="496"/>
      <c r="JTM5" s="496"/>
      <c r="JTN5" s="496"/>
      <c r="JTO5" s="496"/>
      <c r="JTP5" s="496"/>
      <c r="JTQ5" s="496"/>
      <c r="JTR5" s="496"/>
      <c r="JTS5" s="496"/>
      <c r="JTT5" s="496"/>
      <c r="JTU5" s="496"/>
      <c r="JTV5" s="496"/>
      <c r="JTW5" s="496"/>
      <c r="JTX5" s="496"/>
      <c r="JTY5" s="496"/>
      <c r="JTZ5" s="496"/>
      <c r="JUA5" s="496"/>
      <c r="JUB5" s="496"/>
      <c r="JUC5" s="496"/>
      <c r="JUD5" s="496"/>
      <c r="JUE5" s="496"/>
      <c r="JUF5" s="496"/>
      <c r="JUG5" s="496"/>
      <c r="JUH5" s="496"/>
      <c r="JUI5" s="496"/>
      <c r="JUJ5" s="496"/>
      <c r="JUK5" s="496"/>
      <c r="JUL5" s="496"/>
      <c r="JUM5" s="496"/>
      <c r="JUN5" s="496"/>
      <c r="JUO5" s="496"/>
      <c r="JUP5" s="496"/>
      <c r="JUQ5" s="496"/>
      <c r="JUR5" s="496"/>
      <c r="JUS5" s="496"/>
      <c r="JUT5" s="496"/>
      <c r="JUU5" s="496"/>
      <c r="JUV5" s="496"/>
      <c r="JUW5" s="496"/>
      <c r="JUX5" s="496"/>
      <c r="JUY5" s="496"/>
      <c r="JUZ5" s="496"/>
      <c r="JVA5" s="496"/>
      <c r="JVB5" s="496"/>
      <c r="JVC5" s="496"/>
      <c r="JVD5" s="496"/>
      <c r="JVE5" s="496"/>
      <c r="JVF5" s="496"/>
      <c r="JVG5" s="496"/>
      <c r="JVH5" s="496"/>
      <c r="JVI5" s="496"/>
      <c r="JVJ5" s="496"/>
      <c r="JVK5" s="496"/>
      <c r="JVL5" s="496"/>
      <c r="JVM5" s="496"/>
      <c r="JVN5" s="496"/>
      <c r="JVO5" s="496"/>
      <c r="JVP5" s="496"/>
      <c r="JVQ5" s="496"/>
      <c r="JVR5" s="496"/>
      <c r="JVS5" s="496"/>
      <c r="JVT5" s="496"/>
      <c r="JVU5" s="496"/>
      <c r="JVV5" s="496"/>
      <c r="JVW5" s="496"/>
      <c r="JVX5" s="496"/>
      <c r="JVY5" s="496"/>
      <c r="JVZ5" s="496"/>
      <c r="JWA5" s="496"/>
      <c r="JWB5" s="496"/>
      <c r="JWC5" s="496"/>
      <c r="JWD5" s="496"/>
      <c r="JWE5" s="496"/>
      <c r="JWF5" s="496"/>
      <c r="JWG5" s="496"/>
      <c r="JWH5" s="496"/>
      <c r="JWI5" s="496"/>
      <c r="JWJ5" s="496"/>
      <c r="JWK5" s="496"/>
      <c r="JWL5" s="496"/>
      <c r="JWM5" s="496"/>
      <c r="JWN5" s="496"/>
      <c r="JWO5" s="496"/>
      <c r="JWP5" s="496"/>
      <c r="JWQ5" s="496"/>
      <c r="JWR5" s="496"/>
      <c r="JWS5" s="496"/>
      <c r="JWT5" s="496"/>
      <c r="JWU5" s="496"/>
      <c r="JWV5" s="496"/>
      <c r="JWW5" s="496"/>
      <c r="JWX5" s="496"/>
      <c r="JWY5" s="496"/>
      <c r="JWZ5" s="496"/>
      <c r="JXA5" s="496"/>
      <c r="JXB5" s="496"/>
      <c r="JXC5" s="496"/>
      <c r="JXD5" s="496"/>
      <c r="JXE5" s="496"/>
      <c r="JXF5" s="496"/>
      <c r="JXG5" s="496"/>
      <c r="JXH5" s="496"/>
      <c r="JXI5" s="496"/>
      <c r="JXJ5" s="496"/>
      <c r="JXK5" s="496"/>
      <c r="JXL5" s="496"/>
      <c r="JXM5" s="496"/>
      <c r="JXN5" s="496"/>
      <c r="JXO5" s="496"/>
      <c r="JXP5" s="496"/>
      <c r="JXQ5" s="496"/>
      <c r="JXR5" s="496"/>
      <c r="JXS5" s="496"/>
      <c r="JXT5" s="496"/>
      <c r="JXU5" s="496"/>
      <c r="JXV5" s="496"/>
      <c r="JXW5" s="496"/>
      <c r="JXX5" s="496"/>
      <c r="JXY5" s="496"/>
      <c r="JXZ5" s="496"/>
      <c r="JYA5" s="496"/>
      <c r="JYB5" s="496"/>
      <c r="JYC5" s="496"/>
      <c r="JYD5" s="496"/>
      <c r="JYE5" s="496"/>
      <c r="JYF5" s="496"/>
      <c r="JYG5" s="496"/>
      <c r="JYH5" s="496"/>
      <c r="JYI5" s="496"/>
      <c r="JYJ5" s="496"/>
      <c r="JYK5" s="496"/>
      <c r="JYL5" s="496"/>
      <c r="JYM5" s="496"/>
      <c r="JYN5" s="496"/>
      <c r="JYO5" s="496"/>
      <c r="JYP5" s="496"/>
      <c r="JYQ5" s="496"/>
      <c r="JYR5" s="496"/>
      <c r="JYS5" s="496"/>
      <c r="JYT5" s="496"/>
      <c r="JYU5" s="496"/>
      <c r="JYV5" s="496"/>
      <c r="JYW5" s="496"/>
      <c r="JYX5" s="496"/>
      <c r="JYY5" s="496"/>
      <c r="JYZ5" s="496"/>
      <c r="JZA5" s="496"/>
      <c r="JZB5" s="496"/>
      <c r="JZC5" s="496"/>
      <c r="JZD5" s="496"/>
      <c r="JZE5" s="496"/>
      <c r="JZF5" s="496"/>
      <c r="JZG5" s="496"/>
      <c r="JZH5" s="496"/>
      <c r="JZI5" s="496"/>
      <c r="JZJ5" s="496"/>
      <c r="JZK5" s="496"/>
      <c r="JZL5" s="496"/>
      <c r="JZM5" s="496"/>
      <c r="JZN5" s="496"/>
      <c r="JZO5" s="496"/>
      <c r="JZP5" s="496"/>
      <c r="JZQ5" s="496"/>
      <c r="JZR5" s="496"/>
      <c r="JZS5" s="496"/>
      <c r="JZT5" s="496"/>
      <c r="JZU5" s="496"/>
      <c r="JZV5" s="496"/>
      <c r="JZW5" s="496"/>
      <c r="JZX5" s="496"/>
      <c r="JZY5" s="496"/>
      <c r="JZZ5" s="496"/>
      <c r="KAA5" s="496"/>
      <c r="KAB5" s="496"/>
      <c r="KAC5" s="496"/>
      <c r="KAD5" s="496"/>
      <c r="KAE5" s="496"/>
      <c r="KAF5" s="496"/>
      <c r="KAG5" s="496"/>
      <c r="KAH5" s="496"/>
      <c r="KAI5" s="496"/>
      <c r="KAJ5" s="496"/>
      <c r="KAK5" s="496"/>
      <c r="KAL5" s="496"/>
      <c r="KAM5" s="496"/>
      <c r="KAN5" s="496"/>
      <c r="KAO5" s="496"/>
      <c r="KAP5" s="496"/>
      <c r="KAQ5" s="496"/>
      <c r="KAR5" s="496"/>
      <c r="KAS5" s="496"/>
      <c r="KAT5" s="496"/>
      <c r="KAU5" s="496"/>
      <c r="KAV5" s="496"/>
      <c r="KAW5" s="496"/>
      <c r="KAX5" s="496"/>
      <c r="KAY5" s="496"/>
      <c r="KAZ5" s="496"/>
      <c r="KBA5" s="496"/>
      <c r="KBB5" s="496"/>
      <c r="KBC5" s="496"/>
      <c r="KBD5" s="496"/>
      <c r="KBE5" s="496"/>
      <c r="KBF5" s="496"/>
      <c r="KBG5" s="496"/>
      <c r="KBH5" s="496"/>
      <c r="KBI5" s="496"/>
      <c r="KBJ5" s="496"/>
      <c r="KBK5" s="496"/>
      <c r="KBL5" s="496"/>
      <c r="KBM5" s="496"/>
      <c r="KBN5" s="496"/>
      <c r="KBO5" s="496"/>
      <c r="KBP5" s="496"/>
      <c r="KBQ5" s="496"/>
      <c r="KBR5" s="496"/>
      <c r="KBS5" s="496"/>
      <c r="KBT5" s="496"/>
      <c r="KBU5" s="496"/>
      <c r="KBV5" s="496"/>
      <c r="KBW5" s="496"/>
      <c r="KBX5" s="496"/>
      <c r="KBY5" s="496"/>
      <c r="KBZ5" s="496"/>
      <c r="KCA5" s="496"/>
      <c r="KCB5" s="496"/>
      <c r="KCC5" s="496"/>
      <c r="KCD5" s="496"/>
      <c r="KCE5" s="496"/>
      <c r="KCF5" s="496"/>
      <c r="KCG5" s="496"/>
      <c r="KCH5" s="496"/>
      <c r="KCI5" s="496"/>
      <c r="KCJ5" s="496"/>
      <c r="KCK5" s="496"/>
      <c r="KCL5" s="496"/>
      <c r="KCM5" s="496"/>
      <c r="KCN5" s="496"/>
      <c r="KCO5" s="496"/>
      <c r="KCP5" s="496"/>
      <c r="KCQ5" s="496"/>
      <c r="KCR5" s="496"/>
      <c r="KCS5" s="496"/>
      <c r="KCT5" s="496"/>
      <c r="KCU5" s="496"/>
      <c r="KCV5" s="496"/>
      <c r="KCW5" s="496"/>
      <c r="KCX5" s="496"/>
      <c r="KCY5" s="496"/>
      <c r="KCZ5" s="496"/>
      <c r="KDA5" s="496"/>
      <c r="KDB5" s="496"/>
      <c r="KDC5" s="496"/>
      <c r="KDD5" s="496"/>
      <c r="KDE5" s="496"/>
      <c r="KDF5" s="496"/>
      <c r="KDG5" s="496"/>
      <c r="KDH5" s="496"/>
      <c r="KDI5" s="496"/>
      <c r="KDJ5" s="496"/>
      <c r="KDK5" s="496"/>
      <c r="KDL5" s="496"/>
      <c r="KDM5" s="496"/>
      <c r="KDN5" s="496"/>
      <c r="KDO5" s="496"/>
      <c r="KDP5" s="496"/>
      <c r="KDQ5" s="496"/>
      <c r="KDR5" s="496"/>
      <c r="KDS5" s="496"/>
      <c r="KDT5" s="496"/>
      <c r="KDU5" s="496"/>
      <c r="KDV5" s="496"/>
      <c r="KDW5" s="496"/>
      <c r="KDX5" s="496"/>
      <c r="KDY5" s="496"/>
      <c r="KDZ5" s="496"/>
      <c r="KEA5" s="496"/>
      <c r="KEB5" s="496"/>
      <c r="KEC5" s="496"/>
      <c r="KED5" s="496"/>
      <c r="KEE5" s="496"/>
      <c r="KEF5" s="496"/>
      <c r="KEG5" s="496"/>
      <c r="KEH5" s="496"/>
      <c r="KEI5" s="496"/>
      <c r="KEJ5" s="496"/>
      <c r="KEK5" s="496"/>
      <c r="KEL5" s="496"/>
      <c r="KEM5" s="496"/>
      <c r="KEN5" s="496"/>
      <c r="KEO5" s="496"/>
      <c r="KEP5" s="496"/>
      <c r="KEQ5" s="496"/>
      <c r="KER5" s="496"/>
      <c r="KES5" s="496"/>
      <c r="KET5" s="496"/>
      <c r="KEU5" s="496"/>
      <c r="KEV5" s="496"/>
      <c r="KEW5" s="496"/>
      <c r="KEX5" s="496"/>
      <c r="KEY5" s="496"/>
      <c r="KEZ5" s="496"/>
      <c r="KFA5" s="496"/>
      <c r="KFB5" s="496"/>
      <c r="KFC5" s="496"/>
      <c r="KFD5" s="496"/>
      <c r="KFE5" s="496"/>
      <c r="KFF5" s="496"/>
      <c r="KFG5" s="496"/>
      <c r="KFH5" s="496"/>
      <c r="KFI5" s="496"/>
      <c r="KFJ5" s="496"/>
      <c r="KFK5" s="496"/>
      <c r="KFL5" s="496"/>
      <c r="KFM5" s="496"/>
      <c r="KFN5" s="496"/>
      <c r="KFO5" s="496"/>
      <c r="KFP5" s="496"/>
      <c r="KFQ5" s="496"/>
      <c r="KFR5" s="496"/>
      <c r="KFS5" s="496"/>
      <c r="KFT5" s="496"/>
      <c r="KFU5" s="496"/>
      <c r="KFV5" s="496"/>
      <c r="KFW5" s="496"/>
      <c r="KFX5" s="496"/>
      <c r="KFY5" s="496"/>
      <c r="KFZ5" s="496"/>
      <c r="KGA5" s="496"/>
      <c r="KGB5" s="496"/>
      <c r="KGC5" s="496"/>
      <c r="KGD5" s="496"/>
      <c r="KGE5" s="496"/>
      <c r="KGF5" s="496"/>
      <c r="KGG5" s="496"/>
      <c r="KGH5" s="496"/>
      <c r="KGI5" s="496"/>
      <c r="KGJ5" s="496"/>
      <c r="KGK5" s="496"/>
      <c r="KGL5" s="496"/>
      <c r="KGM5" s="496"/>
      <c r="KGN5" s="496"/>
      <c r="KGO5" s="496"/>
      <c r="KGP5" s="496"/>
      <c r="KGQ5" s="496"/>
      <c r="KGR5" s="496"/>
      <c r="KGS5" s="496"/>
      <c r="KGT5" s="496"/>
      <c r="KGU5" s="496"/>
      <c r="KGV5" s="496"/>
      <c r="KGW5" s="496"/>
      <c r="KGX5" s="496"/>
      <c r="KGY5" s="496"/>
      <c r="KGZ5" s="496"/>
      <c r="KHA5" s="496"/>
      <c r="KHB5" s="496"/>
      <c r="KHC5" s="496"/>
      <c r="KHD5" s="496"/>
      <c r="KHE5" s="496"/>
      <c r="KHF5" s="496"/>
      <c r="KHG5" s="496"/>
      <c r="KHH5" s="496"/>
      <c r="KHI5" s="496"/>
      <c r="KHJ5" s="496"/>
      <c r="KHK5" s="496"/>
      <c r="KHL5" s="496"/>
      <c r="KHM5" s="496"/>
      <c r="KHN5" s="496"/>
      <c r="KHO5" s="496"/>
      <c r="KHP5" s="496"/>
      <c r="KHQ5" s="496"/>
      <c r="KHR5" s="496"/>
      <c r="KHS5" s="496"/>
      <c r="KHT5" s="496"/>
      <c r="KHU5" s="496"/>
      <c r="KHV5" s="496"/>
      <c r="KHW5" s="496"/>
      <c r="KHX5" s="496"/>
      <c r="KHY5" s="496"/>
      <c r="KHZ5" s="496"/>
      <c r="KIA5" s="496"/>
      <c r="KIB5" s="496"/>
      <c r="KIC5" s="496"/>
      <c r="KID5" s="496"/>
      <c r="KIE5" s="496"/>
      <c r="KIF5" s="496"/>
      <c r="KIG5" s="496"/>
      <c r="KIH5" s="496"/>
      <c r="KII5" s="496"/>
      <c r="KIJ5" s="496"/>
      <c r="KIK5" s="496"/>
      <c r="KIL5" s="496"/>
      <c r="KIM5" s="496"/>
      <c r="KIN5" s="496"/>
      <c r="KIO5" s="496"/>
      <c r="KIP5" s="496"/>
      <c r="KIQ5" s="496"/>
      <c r="KIR5" s="496"/>
      <c r="KIS5" s="496"/>
      <c r="KIT5" s="496"/>
      <c r="KIU5" s="496"/>
      <c r="KIV5" s="496"/>
      <c r="KIW5" s="496"/>
      <c r="KIX5" s="496"/>
      <c r="KIY5" s="496"/>
      <c r="KIZ5" s="496"/>
      <c r="KJA5" s="496"/>
      <c r="KJB5" s="496"/>
      <c r="KJC5" s="496"/>
      <c r="KJD5" s="496"/>
      <c r="KJE5" s="496"/>
      <c r="KJF5" s="496"/>
      <c r="KJG5" s="496"/>
      <c r="KJH5" s="496"/>
      <c r="KJI5" s="496"/>
      <c r="KJJ5" s="496"/>
      <c r="KJK5" s="496"/>
      <c r="KJL5" s="496"/>
      <c r="KJM5" s="496"/>
      <c r="KJN5" s="496"/>
      <c r="KJO5" s="496"/>
      <c r="KJP5" s="496"/>
      <c r="KJQ5" s="496"/>
      <c r="KJR5" s="496"/>
      <c r="KJS5" s="496"/>
      <c r="KJT5" s="496"/>
      <c r="KJU5" s="496"/>
      <c r="KJV5" s="496"/>
      <c r="KJW5" s="496"/>
      <c r="KJX5" s="496"/>
      <c r="KJY5" s="496"/>
      <c r="KJZ5" s="496"/>
      <c r="KKA5" s="496"/>
      <c r="KKB5" s="496"/>
      <c r="KKC5" s="496"/>
      <c r="KKD5" s="496"/>
      <c r="KKE5" s="496"/>
      <c r="KKF5" s="496"/>
      <c r="KKG5" s="496"/>
      <c r="KKH5" s="496"/>
      <c r="KKI5" s="496"/>
      <c r="KKJ5" s="496"/>
      <c r="KKK5" s="496"/>
      <c r="KKL5" s="496"/>
      <c r="KKM5" s="496"/>
      <c r="KKN5" s="496"/>
      <c r="KKO5" s="496"/>
      <c r="KKP5" s="496"/>
      <c r="KKQ5" s="496"/>
      <c r="KKR5" s="496"/>
      <c r="KKS5" s="496"/>
      <c r="KKT5" s="496"/>
      <c r="KKU5" s="496"/>
      <c r="KKV5" s="496"/>
      <c r="KKW5" s="496"/>
      <c r="KKX5" s="496"/>
      <c r="KKY5" s="496"/>
      <c r="KKZ5" s="496"/>
      <c r="KLA5" s="496"/>
      <c r="KLB5" s="496"/>
      <c r="KLC5" s="496"/>
      <c r="KLD5" s="496"/>
      <c r="KLE5" s="496"/>
      <c r="KLF5" s="496"/>
      <c r="KLG5" s="496"/>
      <c r="KLH5" s="496"/>
      <c r="KLI5" s="496"/>
      <c r="KLJ5" s="496"/>
      <c r="KLK5" s="496"/>
      <c r="KLL5" s="496"/>
      <c r="KLM5" s="496"/>
      <c r="KLN5" s="496"/>
      <c r="KLO5" s="496"/>
      <c r="KLP5" s="496"/>
      <c r="KLQ5" s="496"/>
      <c r="KLR5" s="496"/>
      <c r="KLS5" s="496"/>
      <c r="KLT5" s="496"/>
      <c r="KLU5" s="496"/>
      <c r="KLV5" s="496"/>
      <c r="KLW5" s="496"/>
      <c r="KLX5" s="496"/>
      <c r="KLY5" s="496"/>
      <c r="KLZ5" s="496"/>
      <c r="KMA5" s="496"/>
      <c r="KMB5" s="496"/>
      <c r="KMC5" s="496"/>
      <c r="KMD5" s="496"/>
      <c r="KME5" s="496"/>
      <c r="KMF5" s="496"/>
      <c r="KMG5" s="496"/>
      <c r="KMH5" s="496"/>
      <c r="KMI5" s="496"/>
      <c r="KMJ5" s="496"/>
      <c r="KMK5" s="496"/>
      <c r="KML5" s="496"/>
      <c r="KMM5" s="496"/>
      <c r="KMN5" s="496"/>
      <c r="KMO5" s="496"/>
      <c r="KMP5" s="496"/>
      <c r="KMQ5" s="496"/>
      <c r="KMR5" s="496"/>
      <c r="KMS5" s="496"/>
      <c r="KMT5" s="496"/>
      <c r="KMU5" s="496"/>
      <c r="KMV5" s="496"/>
      <c r="KMW5" s="496"/>
      <c r="KMX5" s="496"/>
      <c r="KMY5" s="496"/>
      <c r="KMZ5" s="496"/>
      <c r="KNA5" s="496"/>
      <c r="KNB5" s="496"/>
      <c r="KNC5" s="496"/>
      <c r="KND5" s="496"/>
      <c r="KNE5" s="496"/>
      <c r="KNF5" s="496"/>
      <c r="KNG5" s="496"/>
      <c r="KNH5" s="496"/>
      <c r="KNI5" s="496"/>
      <c r="KNJ5" s="496"/>
      <c r="KNK5" s="496"/>
      <c r="KNL5" s="496"/>
      <c r="KNM5" s="496"/>
      <c r="KNN5" s="496"/>
      <c r="KNO5" s="496"/>
      <c r="KNP5" s="496"/>
      <c r="KNQ5" s="496"/>
      <c r="KNR5" s="496"/>
      <c r="KNS5" s="496"/>
      <c r="KNT5" s="496"/>
      <c r="KNU5" s="496"/>
      <c r="KNV5" s="496"/>
      <c r="KNW5" s="496"/>
      <c r="KNX5" s="496"/>
      <c r="KNY5" s="496"/>
      <c r="KNZ5" s="496"/>
      <c r="KOA5" s="496"/>
      <c r="KOB5" s="496"/>
      <c r="KOC5" s="496"/>
      <c r="KOD5" s="496"/>
      <c r="KOE5" s="496"/>
      <c r="KOF5" s="496"/>
      <c r="KOG5" s="496"/>
      <c r="KOH5" s="496"/>
      <c r="KOI5" s="496"/>
      <c r="KOJ5" s="496"/>
      <c r="KOK5" s="496"/>
      <c r="KOL5" s="496"/>
      <c r="KOM5" s="496"/>
      <c r="KON5" s="496"/>
      <c r="KOO5" s="496"/>
      <c r="KOP5" s="496"/>
      <c r="KOQ5" s="496"/>
      <c r="KOR5" s="496"/>
      <c r="KOS5" s="496"/>
      <c r="KOT5" s="496"/>
      <c r="KOU5" s="496"/>
      <c r="KOV5" s="496"/>
      <c r="KOW5" s="496"/>
      <c r="KOX5" s="496"/>
      <c r="KOY5" s="496"/>
      <c r="KOZ5" s="496"/>
      <c r="KPA5" s="496"/>
      <c r="KPB5" s="496"/>
      <c r="KPC5" s="496"/>
      <c r="KPD5" s="496"/>
      <c r="KPE5" s="496"/>
      <c r="KPF5" s="496"/>
      <c r="KPG5" s="496"/>
      <c r="KPH5" s="496"/>
      <c r="KPI5" s="496"/>
      <c r="KPJ5" s="496"/>
      <c r="KPK5" s="496"/>
      <c r="KPL5" s="496"/>
      <c r="KPM5" s="496"/>
      <c r="KPN5" s="496"/>
      <c r="KPO5" s="496"/>
      <c r="KPP5" s="496"/>
      <c r="KPQ5" s="496"/>
      <c r="KPR5" s="496"/>
      <c r="KPS5" s="496"/>
      <c r="KPT5" s="496"/>
      <c r="KPU5" s="496"/>
      <c r="KPV5" s="496"/>
      <c r="KPW5" s="496"/>
      <c r="KPX5" s="496"/>
      <c r="KPY5" s="496"/>
      <c r="KPZ5" s="496"/>
      <c r="KQA5" s="496"/>
      <c r="KQB5" s="496"/>
      <c r="KQC5" s="496"/>
      <c r="KQD5" s="496"/>
      <c r="KQE5" s="496"/>
      <c r="KQF5" s="496"/>
      <c r="KQG5" s="496"/>
      <c r="KQH5" s="496"/>
      <c r="KQI5" s="496"/>
      <c r="KQJ5" s="496"/>
      <c r="KQK5" s="496"/>
      <c r="KQL5" s="496"/>
      <c r="KQM5" s="496"/>
      <c r="KQN5" s="496"/>
      <c r="KQO5" s="496"/>
      <c r="KQP5" s="496"/>
      <c r="KQQ5" s="496"/>
      <c r="KQR5" s="496"/>
      <c r="KQS5" s="496"/>
      <c r="KQT5" s="496"/>
      <c r="KQU5" s="496"/>
      <c r="KQV5" s="496"/>
      <c r="KQW5" s="496"/>
      <c r="KQX5" s="496"/>
      <c r="KQY5" s="496"/>
      <c r="KQZ5" s="496"/>
      <c r="KRA5" s="496"/>
      <c r="KRB5" s="496"/>
      <c r="KRC5" s="496"/>
      <c r="KRD5" s="496"/>
      <c r="KRE5" s="496"/>
      <c r="KRF5" s="496"/>
      <c r="KRG5" s="496"/>
      <c r="KRH5" s="496"/>
      <c r="KRI5" s="496"/>
      <c r="KRJ5" s="496"/>
      <c r="KRK5" s="496"/>
      <c r="KRL5" s="496"/>
      <c r="KRM5" s="496"/>
      <c r="KRN5" s="496"/>
      <c r="KRO5" s="496"/>
      <c r="KRP5" s="496"/>
      <c r="KRQ5" s="496"/>
      <c r="KRR5" s="496"/>
      <c r="KRS5" s="496"/>
      <c r="KRT5" s="496"/>
      <c r="KRU5" s="496"/>
      <c r="KRV5" s="496"/>
      <c r="KRW5" s="496"/>
      <c r="KRX5" s="496"/>
      <c r="KRY5" s="496"/>
      <c r="KRZ5" s="496"/>
      <c r="KSA5" s="496"/>
      <c r="KSB5" s="496"/>
      <c r="KSC5" s="496"/>
      <c r="KSD5" s="496"/>
      <c r="KSE5" s="496"/>
      <c r="KSF5" s="496"/>
      <c r="KSG5" s="496"/>
      <c r="KSH5" s="496"/>
      <c r="KSI5" s="496"/>
      <c r="KSJ5" s="496"/>
      <c r="KSK5" s="496"/>
      <c r="KSL5" s="496"/>
      <c r="KSM5" s="496"/>
      <c r="KSN5" s="496"/>
      <c r="KSO5" s="496"/>
      <c r="KSP5" s="496"/>
      <c r="KSQ5" s="496"/>
      <c r="KSR5" s="496"/>
      <c r="KSS5" s="496"/>
      <c r="KST5" s="496"/>
      <c r="KSU5" s="496"/>
      <c r="KSV5" s="496"/>
      <c r="KSW5" s="496"/>
      <c r="KSX5" s="496"/>
      <c r="KSY5" s="496"/>
      <c r="KSZ5" s="496"/>
      <c r="KTA5" s="496"/>
      <c r="KTB5" s="496"/>
      <c r="KTC5" s="496"/>
      <c r="KTD5" s="496"/>
      <c r="KTE5" s="496"/>
      <c r="KTF5" s="496"/>
      <c r="KTG5" s="496"/>
      <c r="KTH5" s="496"/>
      <c r="KTI5" s="496"/>
      <c r="KTJ5" s="496"/>
      <c r="KTK5" s="496"/>
      <c r="KTL5" s="496"/>
      <c r="KTM5" s="496"/>
      <c r="KTN5" s="496"/>
      <c r="KTO5" s="496"/>
      <c r="KTP5" s="496"/>
      <c r="KTQ5" s="496"/>
      <c r="KTR5" s="496"/>
      <c r="KTS5" s="496"/>
      <c r="KTT5" s="496"/>
      <c r="KTU5" s="496"/>
      <c r="KTV5" s="496"/>
      <c r="KTW5" s="496"/>
      <c r="KTX5" s="496"/>
      <c r="KTY5" s="496"/>
      <c r="KTZ5" s="496"/>
      <c r="KUA5" s="496"/>
      <c r="KUB5" s="496"/>
      <c r="KUC5" s="496"/>
      <c r="KUD5" s="496"/>
      <c r="KUE5" s="496"/>
      <c r="KUF5" s="496"/>
      <c r="KUG5" s="496"/>
      <c r="KUH5" s="496"/>
      <c r="KUI5" s="496"/>
      <c r="KUJ5" s="496"/>
      <c r="KUK5" s="496"/>
      <c r="KUL5" s="496"/>
      <c r="KUM5" s="496"/>
      <c r="KUN5" s="496"/>
      <c r="KUO5" s="496"/>
      <c r="KUP5" s="496"/>
      <c r="KUQ5" s="496"/>
      <c r="KUR5" s="496"/>
      <c r="KUS5" s="496"/>
      <c r="KUT5" s="496"/>
      <c r="KUU5" s="496"/>
      <c r="KUV5" s="496"/>
      <c r="KUW5" s="496"/>
      <c r="KUX5" s="496"/>
      <c r="KUY5" s="496"/>
      <c r="KUZ5" s="496"/>
      <c r="KVA5" s="496"/>
      <c r="KVB5" s="496"/>
      <c r="KVC5" s="496"/>
      <c r="KVD5" s="496"/>
      <c r="KVE5" s="496"/>
      <c r="KVF5" s="496"/>
      <c r="KVG5" s="496"/>
      <c r="KVH5" s="496"/>
      <c r="KVI5" s="496"/>
      <c r="KVJ5" s="496"/>
      <c r="KVK5" s="496"/>
      <c r="KVL5" s="496"/>
      <c r="KVM5" s="496"/>
      <c r="KVN5" s="496"/>
      <c r="KVO5" s="496"/>
      <c r="KVP5" s="496"/>
      <c r="KVQ5" s="496"/>
      <c r="KVR5" s="496"/>
      <c r="KVS5" s="496"/>
      <c r="KVT5" s="496"/>
      <c r="KVU5" s="496"/>
      <c r="KVV5" s="496"/>
      <c r="KVW5" s="496"/>
      <c r="KVX5" s="496"/>
      <c r="KVY5" s="496"/>
      <c r="KVZ5" s="496"/>
      <c r="KWA5" s="496"/>
      <c r="KWB5" s="496"/>
      <c r="KWC5" s="496"/>
      <c r="KWD5" s="496"/>
      <c r="KWE5" s="496"/>
      <c r="KWF5" s="496"/>
      <c r="KWG5" s="496"/>
      <c r="KWH5" s="496"/>
      <c r="KWI5" s="496"/>
      <c r="KWJ5" s="496"/>
      <c r="KWK5" s="496"/>
      <c r="KWL5" s="496"/>
      <c r="KWM5" s="496"/>
      <c r="KWN5" s="496"/>
      <c r="KWO5" s="496"/>
      <c r="KWP5" s="496"/>
      <c r="KWQ5" s="496"/>
      <c r="KWR5" s="496"/>
      <c r="KWS5" s="496"/>
      <c r="KWT5" s="496"/>
      <c r="KWU5" s="496"/>
      <c r="KWV5" s="496"/>
      <c r="KWW5" s="496"/>
      <c r="KWX5" s="496"/>
      <c r="KWY5" s="496"/>
      <c r="KWZ5" s="496"/>
      <c r="KXA5" s="496"/>
      <c r="KXB5" s="496"/>
      <c r="KXC5" s="496"/>
      <c r="KXD5" s="496"/>
      <c r="KXE5" s="496"/>
      <c r="KXF5" s="496"/>
      <c r="KXG5" s="496"/>
      <c r="KXH5" s="496"/>
      <c r="KXI5" s="496"/>
      <c r="KXJ5" s="496"/>
      <c r="KXK5" s="496"/>
      <c r="KXL5" s="496"/>
      <c r="KXM5" s="496"/>
      <c r="KXN5" s="496"/>
      <c r="KXO5" s="496"/>
      <c r="KXP5" s="496"/>
      <c r="KXQ5" s="496"/>
      <c r="KXR5" s="496"/>
      <c r="KXS5" s="496"/>
      <c r="KXT5" s="496"/>
      <c r="KXU5" s="496"/>
      <c r="KXV5" s="496"/>
      <c r="KXW5" s="496"/>
      <c r="KXX5" s="496"/>
      <c r="KXY5" s="496"/>
      <c r="KXZ5" s="496"/>
      <c r="KYA5" s="496"/>
      <c r="KYB5" s="496"/>
      <c r="KYC5" s="496"/>
      <c r="KYD5" s="496"/>
      <c r="KYE5" s="496"/>
      <c r="KYF5" s="496"/>
      <c r="KYG5" s="496"/>
      <c r="KYH5" s="496"/>
      <c r="KYI5" s="496"/>
      <c r="KYJ5" s="496"/>
      <c r="KYK5" s="496"/>
      <c r="KYL5" s="496"/>
      <c r="KYM5" s="496"/>
      <c r="KYN5" s="496"/>
      <c r="KYO5" s="496"/>
      <c r="KYP5" s="496"/>
      <c r="KYQ5" s="496"/>
      <c r="KYR5" s="496"/>
      <c r="KYS5" s="496"/>
      <c r="KYT5" s="496"/>
      <c r="KYU5" s="496"/>
      <c r="KYV5" s="496"/>
      <c r="KYW5" s="496"/>
      <c r="KYX5" s="496"/>
      <c r="KYY5" s="496"/>
      <c r="KYZ5" s="496"/>
      <c r="KZA5" s="496"/>
      <c r="KZB5" s="496"/>
      <c r="KZC5" s="496"/>
      <c r="KZD5" s="496"/>
      <c r="KZE5" s="496"/>
      <c r="KZF5" s="496"/>
      <c r="KZG5" s="496"/>
      <c r="KZH5" s="496"/>
      <c r="KZI5" s="496"/>
      <c r="KZJ5" s="496"/>
      <c r="KZK5" s="496"/>
      <c r="KZL5" s="496"/>
      <c r="KZM5" s="496"/>
      <c r="KZN5" s="496"/>
      <c r="KZO5" s="496"/>
      <c r="KZP5" s="496"/>
      <c r="KZQ5" s="496"/>
      <c r="KZR5" s="496"/>
      <c r="KZS5" s="496"/>
      <c r="KZT5" s="496"/>
      <c r="KZU5" s="496"/>
      <c r="KZV5" s="496"/>
      <c r="KZW5" s="496"/>
      <c r="KZX5" s="496"/>
      <c r="KZY5" s="496"/>
      <c r="KZZ5" s="496"/>
      <c r="LAA5" s="496"/>
      <c r="LAB5" s="496"/>
      <c r="LAC5" s="496"/>
      <c r="LAD5" s="496"/>
      <c r="LAE5" s="496"/>
      <c r="LAF5" s="496"/>
      <c r="LAG5" s="496"/>
      <c r="LAH5" s="496"/>
      <c r="LAI5" s="496"/>
      <c r="LAJ5" s="496"/>
      <c r="LAK5" s="496"/>
      <c r="LAL5" s="496"/>
      <c r="LAM5" s="496"/>
      <c r="LAN5" s="496"/>
      <c r="LAO5" s="496"/>
      <c r="LAP5" s="496"/>
      <c r="LAQ5" s="496"/>
      <c r="LAR5" s="496"/>
      <c r="LAS5" s="496"/>
      <c r="LAT5" s="496"/>
      <c r="LAU5" s="496"/>
      <c r="LAV5" s="496"/>
      <c r="LAW5" s="496"/>
      <c r="LAX5" s="496"/>
      <c r="LAY5" s="496"/>
      <c r="LAZ5" s="496"/>
      <c r="LBA5" s="496"/>
      <c r="LBB5" s="496"/>
      <c r="LBC5" s="496"/>
      <c r="LBD5" s="496"/>
      <c r="LBE5" s="496"/>
      <c r="LBF5" s="496"/>
      <c r="LBG5" s="496"/>
      <c r="LBH5" s="496"/>
      <c r="LBI5" s="496"/>
      <c r="LBJ5" s="496"/>
      <c r="LBK5" s="496"/>
      <c r="LBL5" s="496"/>
      <c r="LBM5" s="496"/>
      <c r="LBN5" s="496"/>
      <c r="LBO5" s="496"/>
      <c r="LBP5" s="496"/>
      <c r="LBQ5" s="496"/>
      <c r="LBR5" s="496"/>
      <c r="LBS5" s="496"/>
      <c r="LBT5" s="496"/>
      <c r="LBU5" s="496"/>
      <c r="LBV5" s="496"/>
      <c r="LBW5" s="496"/>
      <c r="LBX5" s="496"/>
      <c r="LBY5" s="496"/>
      <c r="LBZ5" s="496"/>
      <c r="LCA5" s="496"/>
      <c r="LCB5" s="496"/>
      <c r="LCC5" s="496"/>
      <c r="LCD5" s="496"/>
      <c r="LCE5" s="496"/>
      <c r="LCF5" s="496"/>
      <c r="LCG5" s="496"/>
      <c r="LCH5" s="496"/>
      <c r="LCI5" s="496"/>
      <c r="LCJ5" s="496"/>
      <c r="LCK5" s="496"/>
      <c r="LCL5" s="496"/>
      <c r="LCM5" s="496"/>
      <c r="LCN5" s="496"/>
      <c r="LCO5" s="496"/>
      <c r="LCP5" s="496"/>
      <c r="LCQ5" s="496"/>
      <c r="LCR5" s="496"/>
      <c r="LCS5" s="496"/>
      <c r="LCT5" s="496"/>
      <c r="LCU5" s="496"/>
      <c r="LCV5" s="496"/>
      <c r="LCW5" s="496"/>
      <c r="LCX5" s="496"/>
      <c r="LCY5" s="496"/>
      <c r="LCZ5" s="496"/>
      <c r="LDA5" s="496"/>
      <c r="LDB5" s="496"/>
      <c r="LDC5" s="496"/>
      <c r="LDD5" s="496"/>
      <c r="LDE5" s="496"/>
      <c r="LDF5" s="496"/>
      <c r="LDG5" s="496"/>
      <c r="LDH5" s="496"/>
      <c r="LDI5" s="496"/>
      <c r="LDJ5" s="496"/>
      <c r="LDK5" s="496"/>
      <c r="LDL5" s="496"/>
      <c r="LDM5" s="496"/>
      <c r="LDN5" s="496"/>
      <c r="LDO5" s="496"/>
      <c r="LDP5" s="496"/>
      <c r="LDQ5" s="496"/>
      <c r="LDR5" s="496"/>
      <c r="LDS5" s="496"/>
      <c r="LDT5" s="496"/>
      <c r="LDU5" s="496"/>
      <c r="LDV5" s="496"/>
      <c r="LDW5" s="496"/>
      <c r="LDX5" s="496"/>
      <c r="LDY5" s="496"/>
      <c r="LDZ5" s="496"/>
      <c r="LEA5" s="496"/>
      <c r="LEB5" s="496"/>
      <c r="LEC5" s="496"/>
      <c r="LED5" s="496"/>
      <c r="LEE5" s="496"/>
      <c r="LEF5" s="496"/>
      <c r="LEG5" s="496"/>
      <c r="LEH5" s="496"/>
      <c r="LEI5" s="496"/>
      <c r="LEJ5" s="496"/>
      <c r="LEK5" s="496"/>
      <c r="LEL5" s="496"/>
      <c r="LEM5" s="496"/>
      <c r="LEN5" s="496"/>
      <c r="LEO5" s="496"/>
      <c r="LEP5" s="496"/>
      <c r="LEQ5" s="496"/>
      <c r="LER5" s="496"/>
      <c r="LES5" s="496"/>
      <c r="LET5" s="496"/>
      <c r="LEU5" s="496"/>
      <c r="LEV5" s="496"/>
      <c r="LEW5" s="496"/>
      <c r="LEX5" s="496"/>
      <c r="LEY5" s="496"/>
      <c r="LEZ5" s="496"/>
      <c r="LFA5" s="496"/>
      <c r="LFB5" s="496"/>
      <c r="LFC5" s="496"/>
      <c r="LFD5" s="496"/>
      <c r="LFE5" s="496"/>
      <c r="LFF5" s="496"/>
      <c r="LFG5" s="496"/>
      <c r="LFH5" s="496"/>
      <c r="LFI5" s="496"/>
      <c r="LFJ5" s="496"/>
      <c r="LFK5" s="496"/>
      <c r="LFL5" s="496"/>
      <c r="LFM5" s="496"/>
      <c r="LFN5" s="496"/>
      <c r="LFO5" s="496"/>
      <c r="LFP5" s="496"/>
      <c r="LFQ5" s="496"/>
      <c r="LFR5" s="496"/>
      <c r="LFS5" s="496"/>
      <c r="LFT5" s="496"/>
      <c r="LFU5" s="496"/>
      <c r="LFV5" s="496"/>
      <c r="LFW5" s="496"/>
      <c r="LFX5" s="496"/>
      <c r="LFY5" s="496"/>
      <c r="LFZ5" s="496"/>
      <c r="LGA5" s="496"/>
      <c r="LGB5" s="496"/>
      <c r="LGC5" s="496"/>
      <c r="LGD5" s="496"/>
      <c r="LGE5" s="496"/>
      <c r="LGF5" s="496"/>
      <c r="LGG5" s="496"/>
      <c r="LGH5" s="496"/>
      <c r="LGI5" s="496"/>
      <c r="LGJ5" s="496"/>
      <c r="LGK5" s="496"/>
      <c r="LGL5" s="496"/>
      <c r="LGM5" s="496"/>
      <c r="LGN5" s="496"/>
      <c r="LGO5" s="496"/>
      <c r="LGP5" s="496"/>
      <c r="LGQ5" s="496"/>
      <c r="LGR5" s="496"/>
      <c r="LGS5" s="496"/>
      <c r="LGT5" s="496"/>
      <c r="LGU5" s="496"/>
      <c r="LGV5" s="496"/>
      <c r="LGW5" s="496"/>
      <c r="LGX5" s="496"/>
      <c r="LGY5" s="496"/>
      <c r="LGZ5" s="496"/>
      <c r="LHA5" s="496"/>
      <c r="LHB5" s="496"/>
      <c r="LHC5" s="496"/>
      <c r="LHD5" s="496"/>
      <c r="LHE5" s="496"/>
      <c r="LHF5" s="496"/>
      <c r="LHG5" s="496"/>
      <c r="LHH5" s="496"/>
      <c r="LHI5" s="496"/>
      <c r="LHJ5" s="496"/>
      <c r="LHK5" s="496"/>
      <c r="LHL5" s="496"/>
      <c r="LHM5" s="496"/>
      <c r="LHN5" s="496"/>
      <c r="LHO5" s="496"/>
      <c r="LHP5" s="496"/>
      <c r="LHQ5" s="496"/>
      <c r="LHR5" s="496"/>
      <c r="LHS5" s="496"/>
      <c r="LHT5" s="496"/>
      <c r="LHU5" s="496"/>
      <c r="LHV5" s="496"/>
      <c r="LHW5" s="496"/>
      <c r="LHX5" s="496"/>
      <c r="LHY5" s="496"/>
      <c r="LHZ5" s="496"/>
      <c r="LIA5" s="496"/>
      <c r="LIB5" s="496"/>
      <c r="LIC5" s="496"/>
      <c r="LID5" s="496"/>
      <c r="LIE5" s="496"/>
      <c r="LIF5" s="496"/>
      <c r="LIG5" s="496"/>
      <c r="LIH5" s="496"/>
      <c r="LII5" s="496"/>
      <c r="LIJ5" s="496"/>
      <c r="LIK5" s="496"/>
      <c r="LIL5" s="496"/>
      <c r="LIM5" s="496"/>
      <c r="LIN5" s="496"/>
      <c r="LIO5" s="496"/>
      <c r="LIP5" s="496"/>
      <c r="LIQ5" s="496"/>
      <c r="LIR5" s="496"/>
      <c r="LIS5" s="496"/>
      <c r="LIT5" s="496"/>
      <c r="LIU5" s="496"/>
      <c r="LIV5" s="496"/>
      <c r="LIW5" s="496"/>
      <c r="LIX5" s="496"/>
      <c r="LIY5" s="496"/>
      <c r="LIZ5" s="496"/>
      <c r="LJA5" s="496"/>
      <c r="LJB5" s="496"/>
      <c r="LJC5" s="496"/>
      <c r="LJD5" s="496"/>
      <c r="LJE5" s="496"/>
      <c r="LJF5" s="496"/>
      <c r="LJG5" s="496"/>
      <c r="LJH5" s="496"/>
      <c r="LJI5" s="496"/>
      <c r="LJJ5" s="496"/>
      <c r="LJK5" s="496"/>
      <c r="LJL5" s="496"/>
      <c r="LJM5" s="496"/>
      <c r="LJN5" s="496"/>
      <c r="LJO5" s="496"/>
      <c r="LJP5" s="496"/>
      <c r="LJQ5" s="496"/>
      <c r="LJR5" s="496"/>
      <c r="LJS5" s="496"/>
      <c r="LJT5" s="496"/>
      <c r="LJU5" s="496"/>
      <c r="LJV5" s="496"/>
      <c r="LJW5" s="496"/>
      <c r="LJX5" s="496"/>
      <c r="LJY5" s="496"/>
      <c r="LJZ5" s="496"/>
      <c r="LKA5" s="496"/>
      <c r="LKB5" s="496"/>
      <c r="LKC5" s="496"/>
      <c r="LKD5" s="496"/>
      <c r="LKE5" s="496"/>
      <c r="LKF5" s="496"/>
      <c r="LKG5" s="496"/>
      <c r="LKH5" s="496"/>
      <c r="LKI5" s="496"/>
      <c r="LKJ5" s="496"/>
      <c r="LKK5" s="496"/>
      <c r="LKL5" s="496"/>
      <c r="LKM5" s="496"/>
      <c r="LKN5" s="496"/>
      <c r="LKO5" s="496"/>
      <c r="LKP5" s="496"/>
      <c r="LKQ5" s="496"/>
      <c r="LKR5" s="496"/>
      <c r="LKS5" s="496"/>
      <c r="LKT5" s="496"/>
      <c r="LKU5" s="496"/>
      <c r="LKV5" s="496"/>
      <c r="LKW5" s="496"/>
      <c r="LKX5" s="496"/>
      <c r="LKY5" s="496"/>
      <c r="LKZ5" s="496"/>
      <c r="LLA5" s="496"/>
      <c r="LLB5" s="496"/>
      <c r="LLC5" s="496"/>
      <c r="LLD5" s="496"/>
      <c r="LLE5" s="496"/>
      <c r="LLF5" s="496"/>
      <c r="LLG5" s="496"/>
      <c r="LLH5" s="496"/>
      <c r="LLI5" s="496"/>
      <c r="LLJ5" s="496"/>
      <c r="LLK5" s="496"/>
      <c r="LLL5" s="496"/>
      <c r="LLM5" s="496"/>
      <c r="LLN5" s="496"/>
      <c r="LLO5" s="496"/>
      <c r="LLP5" s="496"/>
      <c r="LLQ5" s="496"/>
      <c r="LLR5" s="496"/>
      <c r="LLS5" s="496"/>
      <c r="LLT5" s="496"/>
      <c r="LLU5" s="496"/>
      <c r="LLV5" s="496"/>
      <c r="LLW5" s="496"/>
      <c r="LLX5" s="496"/>
      <c r="LLY5" s="496"/>
      <c r="LLZ5" s="496"/>
      <c r="LMA5" s="496"/>
      <c r="LMB5" s="496"/>
      <c r="LMC5" s="496"/>
      <c r="LMD5" s="496"/>
      <c r="LME5" s="496"/>
      <c r="LMF5" s="496"/>
      <c r="LMG5" s="496"/>
      <c r="LMH5" s="496"/>
      <c r="LMI5" s="496"/>
      <c r="LMJ5" s="496"/>
      <c r="LMK5" s="496"/>
      <c r="LML5" s="496"/>
      <c r="LMM5" s="496"/>
      <c r="LMN5" s="496"/>
      <c r="LMO5" s="496"/>
      <c r="LMP5" s="496"/>
      <c r="LMQ5" s="496"/>
      <c r="LMR5" s="496"/>
      <c r="LMS5" s="496"/>
      <c r="LMT5" s="496"/>
      <c r="LMU5" s="496"/>
      <c r="LMV5" s="496"/>
      <c r="LMW5" s="496"/>
      <c r="LMX5" s="496"/>
      <c r="LMY5" s="496"/>
      <c r="LMZ5" s="496"/>
      <c r="LNA5" s="496"/>
      <c r="LNB5" s="496"/>
      <c r="LNC5" s="496"/>
      <c r="LND5" s="496"/>
      <c r="LNE5" s="496"/>
      <c r="LNF5" s="496"/>
      <c r="LNG5" s="496"/>
      <c r="LNH5" s="496"/>
      <c r="LNI5" s="496"/>
      <c r="LNJ5" s="496"/>
      <c r="LNK5" s="496"/>
      <c r="LNL5" s="496"/>
      <c r="LNM5" s="496"/>
      <c r="LNN5" s="496"/>
      <c r="LNO5" s="496"/>
      <c r="LNP5" s="496"/>
      <c r="LNQ5" s="496"/>
      <c r="LNR5" s="496"/>
      <c r="LNS5" s="496"/>
      <c r="LNT5" s="496"/>
      <c r="LNU5" s="496"/>
      <c r="LNV5" s="496"/>
      <c r="LNW5" s="496"/>
      <c r="LNX5" s="496"/>
      <c r="LNY5" s="496"/>
      <c r="LNZ5" s="496"/>
      <c r="LOA5" s="496"/>
      <c r="LOB5" s="496"/>
      <c r="LOC5" s="496"/>
      <c r="LOD5" s="496"/>
      <c r="LOE5" s="496"/>
      <c r="LOF5" s="496"/>
      <c r="LOG5" s="496"/>
      <c r="LOH5" s="496"/>
      <c r="LOI5" s="496"/>
      <c r="LOJ5" s="496"/>
      <c r="LOK5" s="496"/>
      <c r="LOL5" s="496"/>
      <c r="LOM5" s="496"/>
      <c r="LON5" s="496"/>
      <c r="LOO5" s="496"/>
      <c r="LOP5" s="496"/>
      <c r="LOQ5" s="496"/>
      <c r="LOR5" s="496"/>
      <c r="LOS5" s="496"/>
      <c r="LOT5" s="496"/>
      <c r="LOU5" s="496"/>
      <c r="LOV5" s="496"/>
      <c r="LOW5" s="496"/>
      <c r="LOX5" s="496"/>
      <c r="LOY5" s="496"/>
      <c r="LOZ5" s="496"/>
      <c r="LPA5" s="496"/>
      <c r="LPB5" s="496"/>
      <c r="LPC5" s="496"/>
      <c r="LPD5" s="496"/>
      <c r="LPE5" s="496"/>
      <c r="LPF5" s="496"/>
      <c r="LPG5" s="496"/>
      <c r="LPH5" s="496"/>
      <c r="LPI5" s="496"/>
      <c r="LPJ5" s="496"/>
      <c r="LPK5" s="496"/>
      <c r="LPL5" s="496"/>
      <c r="LPM5" s="496"/>
      <c r="LPN5" s="496"/>
      <c r="LPO5" s="496"/>
      <c r="LPP5" s="496"/>
      <c r="LPQ5" s="496"/>
      <c r="LPR5" s="496"/>
      <c r="LPS5" s="496"/>
      <c r="LPT5" s="496"/>
      <c r="LPU5" s="496"/>
      <c r="LPV5" s="496"/>
      <c r="LPW5" s="496"/>
      <c r="LPX5" s="496"/>
      <c r="LPY5" s="496"/>
      <c r="LPZ5" s="496"/>
      <c r="LQA5" s="496"/>
      <c r="LQB5" s="496"/>
      <c r="LQC5" s="496"/>
      <c r="LQD5" s="496"/>
      <c r="LQE5" s="496"/>
      <c r="LQF5" s="496"/>
      <c r="LQG5" s="496"/>
      <c r="LQH5" s="496"/>
      <c r="LQI5" s="496"/>
      <c r="LQJ5" s="496"/>
      <c r="LQK5" s="496"/>
      <c r="LQL5" s="496"/>
      <c r="LQM5" s="496"/>
      <c r="LQN5" s="496"/>
      <c r="LQO5" s="496"/>
      <c r="LQP5" s="496"/>
      <c r="LQQ5" s="496"/>
      <c r="LQR5" s="496"/>
      <c r="LQS5" s="496"/>
      <c r="LQT5" s="496"/>
      <c r="LQU5" s="496"/>
      <c r="LQV5" s="496"/>
      <c r="LQW5" s="496"/>
      <c r="LQX5" s="496"/>
      <c r="LQY5" s="496"/>
      <c r="LQZ5" s="496"/>
      <c r="LRA5" s="496"/>
      <c r="LRB5" s="496"/>
      <c r="LRC5" s="496"/>
      <c r="LRD5" s="496"/>
      <c r="LRE5" s="496"/>
      <c r="LRF5" s="496"/>
      <c r="LRG5" s="496"/>
      <c r="LRH5" s="496"/>
      <c r="LRI5" s="496"/>
      <c r="LRJ5" s="496"/>
      <c r="LRK5" s="496"/>
      <c r="LRL5" s="496"/>
      <c r="LRM5" s="496"/>
      <c r="LRN5" s="496"/>
      <c r="LRO5" s="496"/>
      <c r="LRP5" s="496"/>
      <c r="LRQ5" s="496"/>
      <c r="LRR5" s="496"/>
      <c r="LRS5" s="496"/>
      <c r="LRT5" s="496"/>
      <c r="LRU5" s="496"/>
      <c r="LRV5" s="496"/>
      <c r="LRW5" s="496"/>
      <c r="LRX5" s="496"/>
      <c r="LRY5" s="496"/>
      <c r="LRZ5" s="496"/>
      <c r="LSA5" s="496"/>
      <c r="LSB5" s="496"/>
      <c r="LSC5" s="496"/>
      <c r="LSD5" s="496"/>
      <c r="LSE5" s="496"/>
      <c r="LSF5" s="496"/>
      <c r="LSG5" s="496"/>
      <c r="LSH5" s="496"/>
      <c r="LSI5" s="496"/>
      <c r="LSJ5" s="496"/>
      <c r="LSK5" s="496"/>
      <c r="LSL5" s="496"/>
      <c r="LSM5" s="496"/>
      <c r="LSN5" s="496"/>
      <c r="LSO5" s="496"/>
      <c r="LSP5" s="496"/>
      <c r="LSQ5" s="496"/>
      <c r="LSR5" s="496"/>
      <c r="LSS5" s="496"/>
      <c r="LST5" s="496"/>
      <c r="LSU5" s="496"/>
      <c r="LSV5" s="496"/>
      <c r="LSW5" s="496"/>
      <c r="LSX5" s="496"/>
      <c r="LSY5" s="496"/>
      <c r="LSZ5" s="496"/>
      <c r="LTA5" s="496"/>
      <c r="LTB5" s="496"/>
      <c r="LTC5" s="496"/>
      <c r="LTD5" s="496"/>
      <c r="LTE5" s="496"/>
      <c r="LTF5" s="496"/>
      <c r="LTG5" s="496"/>
      <c r="LTH5" s="496"/>
      <c r="LTI5" s="496"/>
      <c r="LTJ5" s="496"/>
      <c r="LTK5" s="496"/>
      <c r="LTL5" s="496"/>
      <c r="LTM5" s="496"/>
      <c r="LTN5" s="496"/>
      <c r="LTO5" s="496"/>
      <c r="LTP5" s="496"/>
      <c r="LTQ5" s="496"/>
      <c r="LTR5" s="496"/>
      <c r="LTS5" s="496"/>
      <c r="LTT5" s="496"/>
      <c r="LTU5" s="496"/>
      <c r="LTV5" s="496"/>
      <c r="LTW5" s="496"/>
      <c r="LTX5" s="496"/>
      <c r="LTY5" s="496"/>
      <c r="LTZ5" s="496"/>
      <c r="LUA5" s="496"/>
      <c r="LUB5" s="496"/>
      <c r="LUC5" s="496"/>
      <c r="LUD5" s="496"/>
      <c r="LUE5" s="496"/>
      <c r="LUF5" s="496"/>
      <c r="LUG5" s="496"/>
      <c r="LUH5" s="496"/>
      <c r="LUI5" s="496"/>
      <c r="LUJ5" s="496"/>
      <c r="LUK5" s="496"/>
      <c r="LUL5" s="496"/>
      <c r="LUM5" s="496"/>
      <c r="LUN5" s="496"/>
      <c r="LUO5" s="496"/>
      <c r="LUP5" s="496"/>
      <c r="LUQ5" s="496"/>
      <c r="LUR5" s="496"/>
      <c r="LUS5" s="496"/>
      <c r="LUT5" s="496"/>
      <c r="LUU5" s="496"/>
      <c r="LUV5" s="496"/>
      <c r="LUW5" s="496"/>
      <c r="LUX5" s="496"/>
      <c r="LUY5" s="496"/>
      <c r="LUZ5" s="496"/>
      <c r="LVA5" s="496"/>
      <c r="LVB5" s="496"/>
      <c r="LVC5" s="496"/>
      <c r="LVD5" s="496"/>
      <c r="LVE5" s="496"/>
      <c r="LVF5" s="496"/>
      <c r="LVG5" s="496"/>
      <c r="LVH5" s="496"/>
      <c r="LVI5" s="496"/>
      <c r="LVJ5" s="496"/>
      <c r="LVK5" s="496"/>
      <c r="LVL5" s="496"/>
      <c r="LVM5" s="496"/>
      <c r="LVN5" s="496"/>
      <c r="LVO5" s="496"/>
      <c r="LVP5" s="496"/>
      <c r="LVQ5" s="496"/>
      <c r="LVR5" s="496"/>
      <c r="LVS5" s="496"/>
      <c r="LVT5" s="496"/>
      <c r="LVU5" s="496"/>
      <c r="LVV5" s="496"/>
      <c r="LVW5" s="496"/>
      <c r="LVX5" s="496"/>
      <c r="LVY5" s="496"/>
      <c r="LVZ5" s="496"/>
      <c r="LWA5" s="496"/>
      <c r="LWB5" s="496"/>
      <c r="LWC5" s="496"/>
      <c r="LWD5" s="496"/>
      <c r="LWE5" s="496"/>
      <c r="LWF5" s="496"/>
      <c r="LWG5" s="496"/>
      <c r="LWH5" s="496"/>
      <c r="LWI5" s="496"/>
      <c r="LWJ5" s="496"/>
      <c r="LWK5" s="496"/>
      <c r="LWL5" s="496"/>
      <c r="LWM5" s="496"/>
      <c r="LWN5" s="496"/>
      <c r="LWO5" s="496"/>
      <c r="LWP5" s="496"/>
      <c r="LWQ5" s="496"/>
      <c r="LWR5" s="496"/>
      <c r="LWS5" s="496"/>
      <c r="LWT5" s="496"/>
      <c r="LWU5" s="496"/>
      <c r="LWV5" s="496"/>
      <c r="LWW5" s="496"/>
      <c r="LWX5" s="496"/>
      <c r="LWY5" s="496"/>
      <c r="LWZ5" s="496"/>
      <c r="LXA5" s="496"/>
      <c r="LXB5" s="496"/>
      <c r="LXC5" s="496"/>
      <c r="LXD5" s="496"/>
      <c r="LXE5" s="496"/>
      <c r="LXF5" s="496"/>
      <c r="LXG5" s="496"/>
      <c r="LXH5" s="496"/>
      <c r="LXI5" s="496"/>
      <c r="LXJ5" s="496"/>
      <c r="LXK5" s="496"/>
      <c r="LXL5" s="496"/>
      <c r="LXM5" s="496"/>
      <c r="LXN5" s="496"/>
      <c r="LXO5" s="496"/>
      <c r="LXP5" s="496"/>
      <c r="LXQ5" s="496"/>
      <c r="LXR5" s="496"/>
      <c r="LXS5" s="496"/>
      <c r="LXT5" s="496"/>
      <c r="LXU5" s="496"/>
      <c r="LXV5" s="496"/>
      <c r="LXW5" s="496"/>
      <c r="LXX5" s="496"/>
      <c r="LXY5" s="496"/>
      <c r="LXZ5" s="496"/>
      <c r="LYA5" s="496"/>
      <c r="LYB5" s="496"/>
      <c r="LYC5" s="496"/>
      <c r="LYD5" s="496"/>
      <c r="LYE5" s="496"/>
      <c r="LYF5" s="496"/>
      <c r="LYG5" s="496"/>
      <c r="LYH5" s="496"/>
      <c r="LYI5" s="496"/>
      <c r="LYJ5" s="496"/>
      <c r="LYK5" s="496"/>
      <c r="LYL5" s="496"/>
      <c r="LYM5" s="496"/>
      <c r="LYN5" s="496"/>
      <c r="LYO5" s="496"/>
      <c r="LYP5" s="496"/>
      <c r="LYQ5" s="496"/>
      <c r="LYR5" s="496"/>
      <c r="LYS5" s="496"/>
      <c r="LYT5" s="496"/>
      <c r="LYU5" s="496"/>
      <c r="LYV5" s="496"/>
      <c r="LYW5" s="496"/>
      <c r="LYX5" s="496"/>
      <c r="LYY5" s="496"/>
      <c r="LYZ5" s="496"/>
      <c r="LZA5" s="496"/>
      <c r="LZB5" s="496"/>
      <c r="LZC5" s="496"/>
      <c r="LZD5" s="496"/>
      <c r="LZE5" s="496"/>
      <c r="LZF5" s="496"/>
      <c r="LZG5" s="496"/>
      <c r="LZH5" s="496"/>
      <c r="LZI5" s="496"/>
      <c r="LZJ5" s="496"/>
      <c r="LZK5" s="496"/>
      <c r="LZL5" s="496"/>
      <c r="LZM5" s="496"/>
      <c r="LZN5" s="496"/>
      <c r="LZO5" s="496"/>
      <c r="LZP5" s="496"/>
      <c r="LZQ5" s="496"/>
      <c r="LZR5" s="496"/>
      <c r="LZS5" s="496"/>
      <c r="LZT5" s="496"/>
      <c r="LZU5" s="496"/>
      <c r="LZV5" s="496"/>
      <c r="LZW5" s="496"/>
      <c r="LZX5" s="496"/>
      <c r="LZY5" s="496"/>
      <c r="LZZ5" s="496"/>
      <c r="MAA5" s="496"/>
      <c r="MAB5" s="496"/>
      <c r="MAC5" s="496"/>
      <c r="MAD5" s="496"/>
      <c r="MAE5" s="496"/>
      <c r="MAF5" s="496"/>
      <c r="MAG5" s="496"/>
      <c r="MAH5" s="496"/>
      <c r="MAI5" s="496"/>
      <c r="MAJ5" s="496"/>
      <c r="MAK5" s="496"/>
      <c r="MAL5" s="496"/>
      <c r="MAM5" s="496"/>
      <c r="MAN5" s="496"/>
      <c r="MAO5" s="496"/>
      <c r="MAP5" s="496"/>
      <c r="MAQ5" s="496"/>
      <c r="MAR5" s="496"/>
      <c r="MAS5" s="496"/>
      <c r="MAT5" s="496"/>
      <c r="MAU5" s="496"/>
      <c r="MAV5" s="496"/>
      <c r="MAW5" s="496"/>
      <c r="MAX5" s="496"/>
      <c r="MAY5" s="496"/>
      <c r="MAZ5" s="496"/>
      <c r="MBA5" s="496"/>
      <c r="MBB5" s="496"/>
      <c r="MBC5" s="496"/>
      <c r="MBD5" s="496"/>
      <c r="MBE5" s="496"/>
      <c r="MBF5" s="496"/>
      <c r="MBG5" s="496"/>
      <c r="MBH5" s="496"/>
      <c r="MBI5" s="496"/>
      <c r="MBJ5" s="496"/>
      <c r="MBK5" s="496"/>
      <c r="MBL5" s="496"/>
      <c r="MBM5" s="496"/>
      <c r="MBN5" s="496"/>
      <c r="MBO5" s="496"/>
      <c r="MBP5" s="496"/>
      <c r="MBQ5" s="496"/>
      <c r="MBR5" s="496"/>
      <c r="MBS5" s="496"/>
      <c r="MBT5" s="496"/>
      <c r="MBU5" s="496"/>
      <c r="MBV5" s="496"/>
      <c r="MBW5" s="496"/>
      <c r="MBX5" s="496"/>
      <c r="MBY5" s="496"/>
      <c r="MBZ5" s="496"/>
      <c r="MCA5" s="496"/>
      <c r="MCB5" s="496"/>
      <c r="MCC5" s="496"/>
      <c r="MCD5" s="496"/>
      <c r="MCE5" s="496"/>
      <c r="MCF5" s="496"/>
      <c r="MCG5" s="496"/>
      <c r="MCH5" s="496"/>
      <c r="MCI5" s="496"/>
      <c r="MCJ5" s="496"/>
      <c r="MCK5" s="496"/>
      <c r="MCL5" s="496"/>
      <c r="MCM5" s="496"/>
      <c r="MCN5" s="496"/>
      <c r="MCO5" s="496"/>
      <c r="MCP5" s="496"/>
      <c r="MCQ5" s="496"/>
      <c r="MCR5" s="496"/>
      <c r="MCS5" s="496"/>
      <c r="MCT5" s="496"/>
      <c r="MCU5" s="496"/>
      <c r="MCV5" s="496"/>
      <c r="MCW5" s="496"/>
      <c r="MCX5" s="496"/>
      <c r="MCY5" s="496"/>
      <c r="MCZ5" s="496"/>
      <c r="MDA5" s="496"/>
      <c r="MDB5" s="496"/>
      <c r="MDC5" s="496"/>
      <c r="MDD5" s="496"/>
      <c r="MDE5" s="496"/>
      <c r="MDF5" s="496"/>
      <c r="MDG5" s="496"/>
      <c r="MDH5" s="496"/>
      <c r="MDI5" s="496"/>
      <c r="MDJ5" s="496"/>
      <c r="MDK5" s="496"/>
      <c r="MDL5" s="496"/>
      <c r="MDM5" s="496"/>
      <c r="MDN5" s="496"/>
      <c r="MDO5" s="496"/>
      <c r="MDP5" s="496"/>
      <c r="MDQ5" s="496"/>
      <c r="MDR5" s="496"/>
      <c r="MDS5" s="496"/>
      <c r="MDT5" s="496"/>
      <c r="MDU5" s="496"/>
      <c r="MDV5" s="496"/>
      <c r="MDW5" s="496"/>
      <c r="MDX5" s="496"/>
      <c r="MDY5" s="496"/>
      <c r="MDZ5" s="496"/>
      <c r="MEA5" s="496"/>
      <c r="MEB5" s="496"/>
      <c r="MEC5" s="496"/>
      <c r="MED5" s="496"/>
      <c r="MEE5" s="496"/>
      <c r="MEF5" s="496"/>
      <c r="MEG5" s="496"/>
      <c r="MEH5" s="496"/>
      <c r="MEI5" s="496"/>
      <c r="MEJ5" s="496"/>
      <c r="MEK5" s="496"/>
      <c r="MEL5" s="496"/>
      <c r="MEM5" s="496"/>
      <c r="MEN5" s="496"/>
      <c r="MEO5" s="496"/>
      <c r="MEP5" s="496"/>
      <c r="MEQ5" s="496"/>
      <c r="MER5" s="496"/>
      <c r="MES5" s="496"/>
      <c r="MET5" s="496"/>
      <c r="MEU5" s="496"/>
      <c r="MEV5" s="496"/>
      <c r="MEW5" s="496"/>
      <c r="MEX5" s="496"/>
      <c r="MEY5" s="496"/>
      <c r="MEZ5" s="496"/>
      <c r="MFA5" s="496"/>
      <c r="MFB5" s="496"/>
      <c r="MFC5" s="496"/>
      <c r="MFD5" s="496"/>
      <c r="MFE5" s="496"/>
      <c r="MFF5" s="496"/>
      <c r="MFG5" s="496"/>
      <c r="MFH5" s="496"/>
      <c r="MFI5" s="496"/>
      <c r="MFJ5" s="496"/>
      <c r="MFK5" s="496"/>
      <c r="MFL5" s="496"/>
      <c r="MFM5" s="496"/>
      <c r="MFN5" s="496"/>
      <c r="MFO5" s="496"/>
      <c r="MFP5" s="496"/>
      <c r="MFQ5" s="496"/>
      <c r="MFR5" s="496"/>
      <c r="MFS5" s="496"/>
      <c r="MFT5" s="496"/>
      <c r="MFU5" s="496"/>
      <c r="MFV5" s="496"/>
      <c r="MFW5" s="496"/>
      <c r="MFX5" s="496"/>
      <c r="MFY5" s="496"/>
      <c r="MFZ5" s="496"/>
      <c r="MGA5" s="496"/>
      <c r="MGB5" s="496"/>
      <c r="MGC5" s="496"/>
      <c r="MGD5" s="496"/>
      <c r="MGE5" s="496"/>
      <c r="MGF5" s="496"/>
      <c r="MGG5" s="496"/>
      <c r="MGH5" s="496"/>
      <c r="MGI5" s="496"/>
      <c r="MGJ5" s="496"/>
      <c r="MGK5" s="496"/>
      <c r="MGL5" s="496"/>
      <c r="MGM5" s="496"/>
      <c r="MGN5" s="496"/>
      <c r="MGO5" s="496"/>
      <c r="MGP5" s="496"/>
      <c r="MGQ5" s="496"/>
      <c r="MGR5" s="496"/>
      <c r="MGS5" s="496"/>
      <c r="MGT5" s="496"/>
      <c r="MGU5" s="496"/>
      <c r="MGV5" s="496"/>
      <c r="MGW5" s="496"/>
      <c r="MGX5" s="496"/>
      <c r="MGY5" s="496"/>
      <c r="MGZ5" s="496"/>
      <c r="MHA5" s="496"/>
      <c r="MHB5" s="496"/>
      <c r="MHC5" s="496"/>
      <c r="MHD5" s="496"/>
      <c r="MHE5" s="496"/>
      <c r="MHF5" s="496"/>
      <c r="MHG5" s="496"/>
      <c r="MHH5" s="496"/>
      <c r="MHI5" s="496"/>
      <c r="MHJ5" s="496"/>
      <c r="MHK5" s="496"/>
      <c r="MHL5" s="496"/>
      <c r="MHM5" s="496"/>
      <c r="MHN5" s="496"/>
      <c r="MHO5" s="496"/>
      <c r="MHP5" s="496"/>
      <c r="MHQ5" s="496"/>
      <c r="MHR5" s="496"/>
      <c r="MHS5" s="496"/>
      <c r="MHT5" s="496"/>
      <c r="MHU5" s="496"/>
      <c r="MHV5" s="496"/>
      <c r="MHW5" s="496"/>
      <c r="MHX5" s="496"/>
      <c r="MHY5" s="496"/>
      <c r="MHZ5" s="496"/>
      <c r="MIA5" s="496"/>
      <c r="MIB5" s="496"/>
      <c r="MIC5" s="496"/>
      <c r="MID5" s="496"/>
      <c r="MIE5" s="496"/>
      <c r="MIF5" s="496"/>
      <c r="MIG5" s="496"/>
      <c r="MIH5" s="496"/>
      <c r="MII5" s="496"/>
      <c r="MIJ5" s="496"/>
      <c r="MIK5" s="496"/>
      <c r="MIL5" s="496"/>
      <c r="MIM5" s="496"/>
      <c r="MIN5" s="496"/>
      <c r="MIO5" s="496"/>
      <c r="MIP5" s="496"/>
      <c r="MIQ5" s="496"/>
      <c r="MIR5" s="496"/>
      <c r="MIS5" s="496"/>
      <c r="MIT5" s="496"/>
      <c r="MIU5" s="496"/>
      <c r="MIV5" s="496"/>
      <c r="MIW5" s="496"/>
      <c r="MIX5" s="496"/>
      <c r="MIY5" s="496"/>
      <c r="MIZ5" s="496"/>
      <c r="MJA5" s="496"/>
      <c r="MJB5" s="496"/>
      <c r="MJC5" s="496"/>
      <c r="MJD5" s="496"/>
      <c r="MJE5" s="496"/>
      <c r="MJF5" s="496"/>
      <c r="MJG5" s="496"/>
      <c r="MJH5" s="496"/>
      <c r="MJI5" s="496"/>
      <c r="MJJ5" s="496"/>
      <c r="MJK5" s="496"/>
      <c r="MJL5" s="496"/>
      <c r="MJM5" s="496"/>
      <c r="MJN5" s="496"/>
      <c r="MJO5" s="496"/>
      <c r="MJP5" s="496"/>
      <c r="MJQ5" s="496"/>
      <c r="MJR5" s="496"/>
      <c r="MJS5" s="496"/>
      <c r="MJT5" s="496"/>
      <c r="MJU5" s="496"/>
      <c r="MJV5" s="496"/>
      <c r="MJW5" s="496"/>
      <c r="MJX5" s="496"/>
      <c r="MJY5" s="496"/>
      <c r="MJZ5" s="496"/>
      <c r="MKA5" s="496"/>
      <c r="MKB5" s="496"/>
      <c r="MKC5" s="496"/>
      <c r="MKD5" s="496"/>
      <c r="MKE5" s="496"/>
      <c r="MKF5" s="496"/>
      <c r="MKG5" s="496"/>
      <c r="MKH5" s="496"/>
      <c r="MKI5" s="496"/>
      <c r="MKJ5" s="496"/>
      <c r="MKK5" s="496"/>
      <c r="MKL5" s="496"/>
      <c r="MKM5" s="496"/>
      <c r="MKN5" s="496"/>
      <c r="MKO5" s="496"/>
      <c r="MKP5" s="496"/>
      <c r="MKQ5" s="496"/>
      <c r="MKR5" s="496"/>
      <c r="MKS5" s="496"/>
      <c r="MKT5" s="496"/>
      <c r="MKU5" s="496"/>
      <c r="MKV5" s="496"/>
      <c r="MKW5" s="496"/>
      <c r="MKX5" s="496"/>
      <c r="MKY5" s="496"/>
      <c r="MKZ5" s="496"/>
      <c r="MLA5" s="496"/>
      <c r="MLB5" s="496"/>
      <c r="MLC5" s="496"/>
      <c r="MLD5" s="496"/>
      <c r="MLE5" s="496"/>
      <c r="MLF5" s="496"/>
      <c r="MLG5" s="496"/>
      <c r="MLH5" s="496"/>
      <c r="MLI5" s="496"/>
      <c r="MLJ5" s="496"/>
      <c r="MLK5" s="496"/>
      <c r="MLL5" s="496"/>
      <c r="MLM5" s="496"/>
      <c r="MLN5" s="496"/>
      <c r="MLO5" s="496"/>
      <c r="MLP5" s="496"/>
      <c r="MLQ5" s="496"/>
      <c r="MLR5" s="496"/>
      <c r="MLS5" s="496"/>
      <c r="MLT5" s="496"/>
      <c r="MLU5" s="496"/>
      <c r="MLV5" s="496"/>
      <c r="MLW5" s="496"/>
      <c r="MLX5" s="496"/>
      <c r="MLY5" s="496"/>
      <c r="MLZ5" s="496"/>
      <c r="MMA5" s="496"/>
      <c r="MMB5" s="496"/>
      <c r="MMC5" s="496"/>
      <c r="MMD5" s="496"/>
      <c r="MME5" s="496"/>
      <c r="MMF5" s="496"/>
      <c r="MMG5" s="496"/>
      <c r="MMH5" s="496"/>
      <c r="MMI5" s="496"/>
      <c r="MMJ5" s="496"/>
      <c r="MMK5" s="496"/>
      <c r="MML5" s="496"/>
      <c r="MMM5" s="496"/>
      <c r="MMN5" s="496"/>
      <c r="MMO5" s="496"/>
      <c r="MMP5" s="496"/>
      <c r="MMQ5" s="496"/>
      <c r="MMR5" s="496"/>
      <c r="MMS5" s="496"/>
      <c r="MMT5" s="496"/>
      <c r="MMU5" s="496"/>
      <c r="MMV5" s="496"/>
      <c r="MMW5" s="496"/>
      <c r="MMX5" s="496"/>
      <c r="MMY5" s="496"/>
      <c r="MMZ5" s="496"/>
      <c r="MNA5" s="496"/>
      <c r="MNB5" s="496"/>
      <c r="MNC5" s="496"/>
      <c r="MND5" s="496"/>
      <c r="MNE5" s="496"/>
      <c r="MNF5" s="496"/>
      <c r="MNG5" s="496"/>
      <c r="MNH5" s="496"/>
      <c r="MNI5" s="496"/>
      <c r="MNJ5" s="496"/>
      <c r="MNK5" s="496"/>
      <c r="MNL5" s="496"/>
      <c r="MNM5" s="496"/>
      <c r="MNN5" s="496"/>
      <c r="MNO5" s="496"/>
      <c r="MNP5" s="496"/>
      <c r="MNQ5" s="496"/>
      <c r="MNR5" s="496"/>
      <c r="MNS5" s="496"/>
      <c r="MNT5" s="496"/>
      <c r="MNU5" s="496"/>
      <c r="MNV5" s="496"/>
      <c r="MNW5" s="496"/>
      <c r="MNX5" s="496"/>
      <c r="MNY5" s="496"/>
      <c r="MNZ5" s="496"/>
      <c r="MOA5" s="496"/>
      <c r="MOB5" s="496"/>
      <c r="MOC5" s="496"/>
      <c r="MOD5" s="496"/>
      <c r="MOE5" s="496"/>
      <c r="MOF5" s="496"/>
      <c r="MOG5" s="496"/>
      <c r="MOH5" s="496"/>
      <c r="MOI5" s="496"/>
      <c r="MOJ5" s="496"/>
      <c r="MOK5" s="496"/>
      <c r="MOL5" s="496"/>
      <c r="MOM5" s="496"/>
      <c r="MON5" s="496"/>
      <c r="MOO5" s="496"/>
      <c r="MOP5" s="496"/>
      <c r="MOQ5" s="496"/>
      <c r="MOR5" s="496"/>
      <c r="MOS5" s="496"/>
      <c r="MOT5" s="496"/>
      <c r="MOU5" s="496"/>
      <c r="MOV5" s="496"/>
      <c r="MOW5" s="496"/>
      <c r="MOX5" s="496"/>
      <c r="MOY5" s="496"/>
      <c r="MOZ5" s="496"/>
      <c r="MPA5" s="496"/>
      <c r="MPB5" s="496"/>
      <c r="MPC5" s="496"/>
      <c r="MPD5" s="496"/>
      <c r="MPE5" s="496"/>
      <c r="MPF5" s="496"/>
      <c r="MPG5" s="496"/>
      <c r="MPH5" s="496"/>
      <c r="MPI5" s="496"/>
      <c r="MPJ5" s="496"/>
      <c r="MPK5" s="496"/>
      <c r="MPL5" s="496"/>
      <c r="MPM5" s="496"/>
      <c r="MPN5" s="496"/>
      <c r="MPO5" s="496"/>
      <c r="MPP5" s="496"/>
      <c r="MPQ5" s="496"/>
      <c r="MPR5" s="496"/>
      <c r="MPS5" s="496"/>
      <c r="MPT5" s="496"/>
      <c r="MPU5" s="496"/>
      <c r="MPV5" s="496"/>
      <c r="MPW5" s="496"/>
      <c r="MPX5" s="496"/>
      <c r="MPY5" s="496"/>
      <c r="MPZ5" s="496"/>
      <c r="MQA5" s="496"/>
      <c r="MQB5" s="496"/>
      <c r="MQC5" s="496"/>
      <c r="MQD5" s="496"/>
      <c r="MQE5" s="496"/>
      <c r="MQF5" s="496"/>
      <c r="MQG5" s="496"/>
      <c r="MQH5" s="496"/>
      <c r="MQI5" s="496"/>
      <c r="MQJ5" s="496"/>
      <c r="MQK5" s="496"/>
      <c r="MQL5" s="496"/>
      <c r="MQM5" s="496"/>
      <c r="MQN5" s="496"/>
      <c r="MQO5" s="496"/>
      <c r="MQP5" s="496"/>
      <c r="MQQ5" s="496"/>
      <c r="MQR5" s="496"/>
      <c r="MQS5" s="496"/>
      <c r="MQT5" s="496"/>
      <c r="MQU5" s="496"/>
      <c r="MQV5" s="496"/>
      <c r="MQW5" s="496"/>
      <c r="MQX5" s="496"/>
      <c r="MQY5" s="496"/>
      <c r="MQZ5" s="496"/>
      <c r="MRA5" s="496"/>
      <c r="MRB5" s="496"/>
      <c r="MRC5" s="496"/>
      <c r="MRD5" s="496"/>
      <c r="MRE5" s="496"/>
      <c r="MRF5" s="496"/>
      <c r="MRG5" s="496"/>
      <c r="MRH5" s="496"/>
      <c r="MRI5" s="496"/>
      <c r="MRJ5" s="496"/>
      <c r="MRK5" s="496"/>
      <c r="MRL5" s="496"/>
      <c r="MRM5" s="496"/>
      <c r="MRN5" s="496"/>
      <c r="MRO5" s="496"/>
      <c r="MRP5" s="496"/>
      <c r="MRQ5" s="496"/>
      <c r="MRR5" s="496"/>
      <c r="MRS5" s="496"/>
      <c r="MRT5" s="496"/>
      <c r="MRU5" s="496"/>
      <c r="MRV5" s="496"/>
      <c r="MRW5" s="496"/>
      <c r="MRX5" s="496"/>
      <c r="MRY5" s="496"/>
      <c r="MRZ5" s="496"/>
      <c r="MSA5" s="496"/>
      <c r="MSB5" s="496"/>
      <c r="MSC5" s="496"/>
      <c r="MSD5" s="496"/>
      <c r="MSE5" s="496"/>
      <c r="MSF5" s="496"/>
      <c r="MSG5" s="496"/>
      <c r="MSH5" s="496"/>
      <c r="MSI5" s="496"/>
      <c r="MSJ5" s="496"/>
      <c r="MSK5" s="496"/>
      <c r="MSL5" s="496"/>
      <c r="MSM5" s="496"/>
      <c r="MSN5" s="496"/>
      <c r="MSO5" s="496"/>
      <c r="MSP5" s="496"/>
      <c r="MSQ5" s="496"/>
      <c r="MSR5" s="496"/>
      <c r="MSS5" s="496"/>
      <c r="MST5" s="496"/>
      <c r="MSU5" s="496"/>
      <c r="MSV5" s="496"/>
      <c r="MSW5" s="496"/>
      <c r="MSX5" s="496"/>
      <c r="MSY5" s="496"/>
      <c r="MSZ5" s="496"/>
      <c r="MTA5" s="496"/>
      <c r="MTB5" s="496"/>
      <c r="MTC5" s="496"/>
      <c r="MTD5" s="496"/>
      <c r="MTE5" s="496"/>
      <c r="MTF5" s="496"/>
      <c r="MTG5" s="496"/>
      <c r="MTH5" s="496"/>
      <c r="MTI5" s="496"/>
      <c r="MTJ5" s="496"/>
      <c r="MTK5" s="496"/>
      <c r="MTL5" s="496"/>
      <c r="MTM5" s="496"/>
      <c r="MTN5" s="496"/>
      <c r="MTO5" s="496"/>
      <c r="MTP5" s="496"/>
      <c r="MTQ5" s="496"/>
      <c r="MTR5" s="496"/>
      <c r="MTS5" s="496"/>
      <c r="MTT5" s="496"/>
      <c r="MTU5" s="496"/>
      <c r="MTV5" s="496"/>
      <c r="MTW5" s="496"/>
      <c r="MTX5" s="496"/>
      <c r="MTY5" s="496"/>
      <c r="MTZ5" s="496"/>
      <c r="MUA5" s="496"/>
      <c r="MUB5" s="496"/>
      <c r="MUC5" s="496"/>
      <c r="MUD5" s="496"/>
      <c r="MUE5" s="496"/>
      <c r="MUF5" s="496"/>
      <c r="MUG5" s="496"/>
      <c r="MUH5" s="496"/>
      <c r="MUI5" s="496"/>
      <c r="MUJ5" s="496"/>
      <c r="MUK5" s="496"/>
      <c r="MUL5" s="496"/>
      <c r="MUM5" s="496"/>
      <c r="MUN5" s="496"/>
      <c r="MUO5" s="496"/>
      <c r="MUP5" s="496"/>
      <c r="MUQ5" s="496"/>
      <c r="MUR5" s="496"/>
      <c r="MUS5" s="496"/>
      <c r="MUT5" s="496"/>
      <c r="MUU5" s="496"/>
      <c r="MUV5" s="496"/>
      <c r="MUW5" s="496"/>
      <c r="MUX5" s="496"/>
      <c r="MUY5" s="496"/>
      <c r="MUZ5" s="496"/>
      <c r="MVA5" s="496"/>
      <c r="MVB5" s="496"/>
      <c r="MVC5" s="496"/>
      <c r="MVD5" s="496"/>
      <c r="MVE5" s="496"/>
      <c r="MVF5" s="496"/>
      <c r="MVG5" s="496"/>
      <c r="MVH5" s="496"/>
      <c r="MVI5" s="496"/>
      <c r="MVJ5" s="496"/>
      <c r="MVK5" s="496"/>
      <c r="MVL5" s="496"/>
      <c r="MVM5" s="496"/>
      <c r="MVN5" s="496"/>
      <c r="MVO5" s="496"/>
      <c r="MVP5" s="496"/>
      <c r="MVQ5" s="496"/>
      <c r="MVR5" s="496"/>
      <c r="MVS5" s="496"/>
      <c r="MVT5" s="496"/>
      <c r="MVU5" s="496"/>
      <c r="MVV5" s="496"/>
      <c r="MVW5" s="496"/>
      <c r="MVX5" s="496"/>
      <c r="MVY5" s="496"/>
      <c r="MVZ5" s="496"/>
      <c r="MWA5" s="496"/>
      <c r="MWB5" s="496"/>
      <c r="MWC5" s="496"/>
      <c r="MWD5" s="496"/>
      <c r="MWE5" s="496"/>
      <c r="MWF5" s="496"/>
      <c r="MWG5" s="496"/>
      <c r="MWH5" s="496"/>
      <c r="MWI5" s="496"/>
      <c r="MWJ5" s="496"/>
      <c r="MWK5" s="496"/>
      <c r="MWL5" s="496"/>
      <c r="MWM5" s="496"/>
      <c r="MWN5" s="496"/>
      <c r="MWO5" s="496"/>
      <c r="MWP5" s="496"/>
      <c r="MWQ5" s="496"/>
      <c r="MWR5" s="496"/>
      <c r="MWS5" s="496"/>
      <c r="MWT5" s="496"/>
      <c r="MWU5" s="496"/>
      <c r="MWV5" s="496"/>
      <c r="MWW5" s="496"/>
      <c r="MWX5" s="496"/>
      <c r="MWY5" s="496"/>
      <c r="MWZ5" s="496"/>
      <c r="MXA5" s="496"/>
      <c r="MXB5" s="496"/>
      <c r="MXC5" s="496"/>
      <c r="MXD5" s="496"/>
      <c r="MXE5" s="496"/>
      <c r="MXF5" s="496"/>
      <c r="MXG5" s="496"/>
      <c r="MXH5" s="496"/>
      <c r="MXI5" s="496"/>
      <c r="MXJ5" s="496"/>
      <c r="MXK5" s="496"/>
      <c r="MXL5" s="496"/>
      <c r="MXM5" s="496"/>
      <c r="MXN5" s="496"/>
      <c r="MXO5" s="496"/>
      <c r="MXP5" s="496"/>
      <c r="MXQ5" s="496"/>
      <c r="MXR5" s="496"/>
      <c r="MXS5" s="496"/>
      <c r="MXT5" s="496"/>
      <c r="MXU5" s="496"/>
      <c r="MXV5" s="496"/>
      <c r="MXW5" s="496"/>
      <c r="MXX5" s="496"/>
      <c r="MXY5" s="496"/>
      <c r="MXZ5" s="496"/>
      <c r="MYA5" s="496"/>
      <c r="MYB5" s="496"/>
      <c r="MYC5" s="496"/>
      <c r="MYD5" s="496"/>
      <c r="MYE5" s="496"/>
      <c r="MYF5" s="496"/>
      <c r="MYG5" s="496"/>
      <c r="MYH5" s="496"/>
      <c r="MYI5" s="496"/>
      <c r="MYJ5" s="496"/>
      <c r="MYK5" s="496"/>
      <c r="MYL5" s="496"/>
      <c r="MYM5" s="496"/>
      <c r="MYN5" s="496"/>
      <c r="MYO5" s="496"/>
      <c r="MYP5" s="496"/>
      <c r="MYQ5" s="496"/>
      <c r="MYR5" s="496"/>
      <c r="MYS5" s="496"/>
      <c r="MYT5" s="496"/>
      <c r="MYU5" s="496"/>
      <c r="MYV5" s="496"/>
      <c r="MYW5" s="496"/>
      <c r="MYX5" s="496"/>
      <c r="MYY5" s="496"/>
      <c r="MYZ5" s="496"/>
      <c r="MZA5" s="496"/>
      <c r="MZB5" s="496"/>
      <c r="MZC5" s="496"/>
      <c r="MZD5" s="496"/>
      <c r="MZE5" s="496"/>
      <c r="MZF5" s="496"/>
      <c r="MZG5" s="496"/>
      <c r="MZH5" s="496"/>
      <c r="MZI5" s="496"/>
      <c r="MZJ5" s="496"/>
      <c r="MZK5" s="496"/>
      <c r="MZL5" s="496"/>
      <c r="MZM5" s="496"/>
      <c r="MZN5" s="496"/>
      <c r="MZO5" s="496"/>
      <c r="MZP5" s="496"/>
      <c r="MZQ5" s="496"/>
      <c r="MZR5" s="496"/>
      <c r="MZS5" s="496"/>
      <c r="MZT5" s="496"/>
      <c r="MZU5" s="496"/>
      <c r="MZV5" s="496"/>
      <c r="MZW5" s="496"/>
      <c r="MZX5" s="496"/>
      <c r="MZY5" s="496"/>
      <c r="MZZ5" s="496"/>
      <c r="NAA5" s="496"/>
      <c r="NAB5" s="496"/>
      <c r="NAC5" s="496"/>
      <c r="NAD5" s="496"/>
      <c r="NAE5" s="496"/>
      <c r="NAF5" s="496"/>
      <c r="NAG5" s="496"/>
      <c r="NAH5" s="496"/>
      <c r="NAI5" s="496"/>
      <c r="NAJ5" s="496"/>
      <c r="NAK5" s="496"/>
      <c r="NAL5" s="496"/>
      <c r="NAM5" s="496"/>
      <c r="NAN5" s="496"/>
      <c r="NAO5" s="496"/>
      <c r="NAP5" s="496"/>
      <c r="NAQ5" s="496"/>
      <c r="NAR5" s="496"/>
      <c r="NAS5" s="496"/>
      <c r="NAT5" s="496"/>
      <c r="NAU5" s="496"/>
      <c r="NAV5" s="496"/>
      <c r="NAW5" s="496"/>
      <c r="NAX5" s="496"/>
      <c r="NAY5" s="496"/>
      <c r="NAZ5" s="496"/>
      <c r="NBA5" s="496"/>
      <c r="NBB5" s="496"/>
      <c r="NBC5" s="496"/>
      <c r="NBD5" s="496"/>
      <c r="NBE5" s="496"/>
      <c r="NBF5" s="496"/>
      <c r="NBG5" s="496"/>
      <c r="NBH5" s="496"/>
      <c r="NBI5" s="496"/>
      <c r="NBJ5" s="496"/>
      <c r="NBK5" s="496"/>
      <c r="NBL5" s="496"/>
      <c r="NBM5" s="496"/>
      <c r="NBN5" s="496"/>
      <c r="NBO5" s="496"/>
      <c r="NBP5" s="496"/>
      <c r="NBQ5" s="496"/>
      <c r="NBR5" s="496"/>
      <c r="NBS5" s="496"/>
      <c r="NBT5" s="496"/>
      <c r="NBU5" s="496"/>
      <c r="NBV5" s="496"/>
      <c r="NBW5" s="496"/>
      <c r="NBX5" s="496"/>
      <c r="NBY5" s="496"/>
      <c r="NBZ5" s="496"/>
      <c r="NCA5" s="496"/>
      <c r="NCB5" s="496"/>
      <c r="NCC5" s="496"/>
      <c r="NCD5" s="496"/>
      <c r="NCE5" s="496"/>
      <c r="NCF5" s="496"/>
      <c r="NCG5" s="496"/>
      <c r="NCH5" s="496"/>
      <c r="NCI5" s="496"/>
      <c r="NCJ5" s="496"/>
      <c r="NCK5" s="496"/>
      <c r="NCL5" s="496"/>
      <c r="NCM5" s="496"/>
      <c r="NCN5" s="496"/>
      <c r="NCO5" s="496"/>
      <c r="NCP5" s="496"/>
      <c r="NCQ5" s="496"/>
      <c r="NCR5" s="496"/>
      <c r="NCS5" s="496"/>
      <c r="NCT5" s="496"/>
      <c r="NCU5" s="496"/>
      <c r="NCV5" s="496"/>
      <c r="NCW5" s="496"/>
      <c r="NCX5" s="496"/>
      <c r="NCY5" s="496"/>
      <c r="NCZ5" s="496"/>
      <c r="NDA5" s="496"/>
      <c r="NDB5" s="496"/>
      <c r="NDC5" s="496"/>
      <c r="NDD5" s="496"/>
      <c r="NDE5" s="496"/>
      <c r="NDF5" s="496"/>
      <c r="NDG5" s="496"/>
      <c r="NDH5" s="496"/>
      <c r="NDI5" s="496"/>
      <c r="NDJ5" s="496"/>
      <c r="NDK5" s="496"/>
      <c r="NDL5" s="496"/>
      <c r="NDM5" s="496"/>
      <c r="NDN5" s="496"/>
      <c r="NDO5" s="496"/>
      <c r="NDP5" s="496"/>
      <c r="NDQ5" s="496"/>
      <c r="NDR5" s="496"/>
      <c r="NDS5" s="496"/>
      <c r="NDT5" s="496"/>
      <c r="NDU5" s="496"/>
      <c r="NDV5" s="496"/>
      <c r="NDW5" s="496"/>
      <c r="NDX5" s="496"/>
      <c r="NDY5" s="496"/>
      <c r="NDZ5" s="496"/>
      <c r="NEA5" s="496"/>
      <c r="NEB5" s="496"/>
      <c r="NEC5" s="496"/>
      <c r="NED5" s="496"/>
      <c r="NEE5" s="496"/>
      <c r="NEF5" s="496"/>
      <c r="NEG5" s="496"/>
      <c r="NEH5" s="496"/>
      <c r="NEI5" s="496"/>
      <c r="NEJ5" s="496"/>
      <c r="NEK5" s="496"/>
      <c r="NEL5" s="496"/>
      <c r="NEM5" s="496"/>
      <c r="NEN5" s="496"/>
      <c r="NEO5" s="496"/>
      <c r="NEP5" s="496"/>
      <c r="NEQ5" s="496"/>
      <c r="NER5" s="496"/>
      <c r="NES5" s="496"/>
      <c r="NET5" s="496"/>
      <c r="NEU5" s="496"/>
      <c r="NEV5" s="496"/>
      <c r="NEW5" s="496"/>
      <c r="NEX5" s="496"/>
      <c r="NEY5" s="496"/>
      <c r="NEZ5" s="496"/>
      <c r="NFA5" s="496"/>
      <c r="NFB5" s="496"/>
      <c r="NFC5" s="496"/>
      <c r="NFD5" s="496"/>
      <c r="NFE5" s="496"/>
      <c r="NFF5" s="496"/>
      <c r="NFG5" s="496"/>
      <c r="NFH5" s="496"/>
      <c r="NFI5" s="496"/>
      <c r="NFJ5" s="496"/>
      <c r="NFK5" s="496"/>
      <c r="NFL5" s="496"/>
      <c r="NFM5" s="496"/>
      <c r="NFN5" s="496"/>
      <c r="NFO5" s="496"/>
      <c r="NFP5" s="496"/>
      <c r="NFQ5" s="496"/>
      <c r="NFR5" s="496"/>
      <c r="NFS5" s="496"/>
      <c r="NFT5" s="496"/>
      <c r="NFU5" s="496"/>
      <c r="NFV5" s="496"/>
      <c r="NFW5" s="496"/>
      <c r="NFX5" s="496"/>
      <c r="NFY5" s="496"/>
      <c r="NFZ5" s="496"/>
      <c r="NGA5" s="496"/>
      <c r="NGB5" s="496"/>
      <c r="NGC5" s="496"/>
      <c r="NGD5" s="496"/>
      <c r="NGE5" s="496"/>
      <c r="NGF5" s="496"/>
      <c r="NGG5" s="496"/>
      <c r="NGH5" s="496"/>
      <c r="NGI5" s="496"/>
      <c r="NGJ5" s="496"/>
      <c r="NGK5" s="496"/>
      <c r="NGL5" s="496"/>
      <c r="NGM5" s="496"/>
      <c r="NGN5" s="496"/>
      <c r="NGO5" s="496"/>
      <c r="NGP5" s="496"/>
      <c r="NGQ5" s="496"/>
      <c r="NGR5" s="496"/>
      <c r="NGS5" s="496"/>
      <c r="NGT5" s="496"/>
      <c r="NGU5" s="496"/>
      <c r="NGV5" s="496"/>
      <c r="NGW5" s="496"/>
      <c r="NGX5" s="496"/>
      <c r="NGY5" s="496"/>
      <c r="NGZ5" s="496"/>
      <c r="NHA5" s="496"/>
      <c r="NHB5" s="496"/>
      <c r="NHC5" s="496"/>
      <c r="NHD5" s="496"/>
      <c r="NHE5" s="496"/>
      <c r="NHF5" s="496"/>
      <c r="NHG5" s="496"/>
      <c r="NHH5" s="496"/>
      <c r="NHI5" s="496"/>
      <c r="NHJ5" s="496"/>
      <c r="NHK5" s="496"/>
      <c r="NHL5" s="496"/>
      <c r="NHM5" s="496"/>
      <c r="NHN5" s="496"/>
      <c r="NHO5" s="496"/>
      <c r="NHP5" s="496"/>
      <c r="NHQ5" s="496"/>
      <c r="NHR5" s="496"/>
      <c r="NHS5" s="496"/>
      <c r="NHT5" s="496"/>
      <c r="NHU5" s="496"/>
      <c r="NHV5" s="496"/>
      <c r="NHW5" s="496"/>
      <c r="NHX5" s="496"/>
      <c r="NHY5" s="496"/>
      <c r="NHZ5" s="496"/>
      <c r="NIA5" s="496"/>
      <c r="NIB5" s="496"/>
      <c r="NIC5" s="496"/>
      <c r="NID5" s="496"/>
      <c r="NIE5" s="496"/>
      <c r="NIF5" s="496"/>
      <c r="NIG5" s="496"/>
      <c r="NIH5" s="496"/>
      <c r="NII5" s="496"/>
      <c r="NIJ5" s="496"/>
      <c r="NIK5" s="496"/>
      <c r="NIL5" s="496"/>
      <c r="NIM5" s="496"/>
      <c r="NIN5" s="496"/>
      <c r="NIO5" s="496"/>
      <c r="NIP5" s="496"/>
      <c r="NIQ5" s="496"/>
      <c r="NIR5" s="496"/>
      <c r="NIS5" s="496"/>
      <c r="NIT5" s="496"/>
      <c r="NIU5" s="496"/>
      <c r="NIV5" s="496"/>
      <c r="NIW5" s="496"/>
      <c r="NIX5" s="496"/>
      <c r="NIY5" s="496"/>
      <c r="NIZ5" s="496"/>
      <c r="NJA5" s="496"/>
      <c r="NJB5" s="496"/>
      <c r="NJC5" s="496"/>
      <c r="NJD5" s="496"/>
      <c r="NJE5" s="496"/>
      <c r="NJF5" s="496"/>
      <c r="NJG5" s="496"/>
      <c r="NJH5" s="496"/>
      <c r="NJI5" s="496"/>
      <c r="NJJ5" s="496"/>
      <c r="NJK5" s="496"/>
      <c r="NJL5" s="496"/>
      <c r="NJM5" s="496"/>
      <c r="NJN5" s="496"/>
      <c r="NJO5" s="496"/>
      <c r="NJP5" s="496"/>
      <c r="NJQ5" s="496"/>
      <c r="NJR5" s="496"/>
      <c r="NJS5" s="496"/>
      <c r="NJT5" s="496"/>
      <c r="NJU5" s="496"/>
      <c r="NJV5" s="496"/>
      <c r="NJW5" s="496"/>
      <c r="NJX5" s="496"/>
      <c r="NJY5" s="496"/>
      <c r="NJZ5" s="496"/>
      <c r="NKA5" s="496"/>
      <c r="NKB5" s="496"/>
      <c r="NKC5" s="496"/>
      <c r="NKD5" s="496"/>
      <c r="NKE5" s="496"/>
      <c r="NKF5" s="496"/>
      <c r="NKG5" s="496"/>
      <c r="NKH5" s="496"/>
      <c r="NKI5" s="496"/>
      <c r="NKJ5" s="496"/>
      <c r="NKK5" s="496"/>
      <c r="NKL5" s="496"/>
      <c r="NKM5" s="496"/>
      <c r="NKN5" s="496"/>
      <c r="NKO5" s="496"/>
      <c r="NKP5" s="496"/>
      <c r="NKQ5" s="496"/>
      <c r="NKR5" s="496"/>
      <c r="NKS5" s="496"/>
      <c r="NKT5" s="496"/>
      <c r="NKU5" s="496"/>
      <c r="NKV5" s="496"/>
      <c r="NKW5" s="496"/>
      <c r="NKX5" s="496"/>
      <c r="NKY5" s="496"/>
      <c r="NKZ5" s="496"/>
      <c r="NLA5" s="496"/>
      <c r="NLB5" s="496"/>
      <c r="NLC5" s="496"/>
      <c r="NLD5" s="496"/>
      <c r="NLE5" s="496"/>
      <c r="NLF5" s="496"/>
      <c r="NLG5" s="496"/>
      <c r="NLH5" s="496"/>
      <c r="NLI5" s="496"/>
      <c r="NLJ5" s="496"/>
      <c r="NLK5" s="496"/>
      <c r="NLL5" s="496"/>
      <c r="NLM5" s="496"/>
      <c r="NLN5" s="496"/>
      <c r="NLO5" s="496"/>
      <c r="NLP5" s="496"/>
      <c r="NLQ5" s="496"/>
      <c r="NLR5" s="496"/>
      <c r="NLS5" s="496"/>
      <c r="NLT5" s="496"/>
      <c r="NLU5" s="496"/>
      <c r="NLV5" s="496"/>
      <c r="NLW5" s="496"/>
      <c r="NLX5" s="496"/>
      <c r="NLY5" s="496"/>
      <c r="NLZ5" s="496"/>
      <c r="NMA5" s="496"/>
      <c r="NMB5" s="496"/>
      <c r="NMC5" s="496"/>
      <c r="NMD5" s="496"/>
      <c r="NME5" s="496"/>
      <c r="NMF5" s="496"/>
      <c r="NMG5" s="496"/>
      <c r="NMH5" s="496"/>
      <c r="NMI5" s="496"/>
      <c r="NMJ5" s="496"/>
      <c r="NMK5" s="496"/>
      <c r="NML5" s="496"/>
      <c r="NMM5" s="496"/>
      <c r="NMN5" s="496"/>
      <c r="NMO5" s="496"/>
      <c r="NMP5" s="496"/>
      <c r="NMQ5" s="496"/>
      <c r="NMR5" s="496"/>
      <c r="NMS5" s="496"/>
      <c r="NMT5" s="496"/>
      <c r="NMU5" s="496"/>
      <c r="NMV5" s="496"/>
      <c r="NMW5" s="496"/>
      <c r="NMX5" s="496"/>
      <c r="NMY5" s="496"/>
      <c r="NMZ5" s="496"/>
      <c r="NNA5" s="496"/>
      <c r="NNB5" s="496"/>
      <c r="NNC5" s="496"/>
      <c r="NND5" s="496"/>
      <c r="NNE5" s="496"/>
      <c r="NNF5" s="496"/>
      <c r="NNG5" s="496"/>
      <c r="NNH5" s="496"/>
      <c r="NNI5" s="496"/>
      <c r="NNJ5" s="496"/>
      <c r="NNK5" s="496"/>
      <c r="NNL5" s="496"/>
      <c r="NNM5" s="496"/>
      <c r="NNN5" s="496"/>
      <c r="NNO5" s="496"/>
      <c r="NNP5" s="496"/>
      <c r="NNQ5" s="496"/>
      <c r="NNR5" s="496"/>
      <c r="NNS5" s="496"/>
      <c r="NNT5" s="496"/>
      <c r="NNU5" s="496"/>
      <c r="NNV5" s="496"/>
      <c r="NNW5" s="496"/>
      <c r="NNX5" s="496"/>
      <c r="NNY5" s="496"/>
      <c r="NNZ5" s="496"/>
      <c r="NOA5" s="496"/>
      <c r="NOB5" s="496"/>
      <c r="NOC5" s="496"/>
      <c r="NOD5" s="496"/>
      <c r="NOE5" s="496"/>
      <c r="NOF5" s="496"/>
      <c r="NOG5" s="496"/>
      <c r="NOH5" s="496"/>
      <c r="NOI5" s="496"/>
      <c r="NOJ5" s="496"/>
      <c r="NOK5" s="496"/>
      <c r="NOL5" s="496"/>
      <c r="NOM5" s="496"/>
      <c r="NON5" s="496"/>
      <c r="NOO5" s="496"/>
      <c r="NOP5" s="496"/>
      <c r="NOQ5" s="496"/>
      <c r="NOR5" s="496"/>
      <c r="NOS5" s="496"/>
      <c r="NOT5" s="496"/>
      <c r="NOU5" s="496"/>
      <c r="NOV5" s="496"/>
      <c r="NOW5" s="496"/>
      <c r="NOX5" s="496"/>
      <c r="NOY5" s="496"/>
      <c r="NOZ5" s="496"/>
      <c r="NPA5" s="496"/>
      <c r="NPB5" s="496"/>
      <c r="NPC5" s="496"/>
      <c r="NPD5" s="496"/>
      <c r="NPE5" s="496"/>
      <c r="NPF5" s="496"/>
      <c r="NPG5" s="496"/>
      <c r="NPH5" s="496"/>
      <c r="NPI5" s="496"/>
      <c r="NPJ5" s="496"/>
      <c r="NPK5" s="496"/>
      <c r="NPL5" s="496"/>
      <c r="NPM5" s="496"/>
      <c r="NPN5" s="496"/>
      <c r="NPO5" s="496"/>
      <c r="NPP5" s="496"/>
      <c r="NPQ5" s="496"/>
      <c r="NPR5" s="496"/>
      <c r="NPS5" s="496"/>
      <c r="NPT5" s="496"/>
      <c r="NPU5" s="496"/>
      <c r="NPV5" s="496"/>
      <c r="NPW5" s="496"/>
      <c r="NPX5" s="496"/>
      <c r="NPY5" s="496"/>
      <c r="NPZ5" s="496"/>
      <c r="NQA5" s="496"/>
      <c r="NQB5" s="496"/>
      <c r="NQC5" s="496"/>
      <c r="NQD5" s="496"/>
      <c r="NQE5" s="496"/>
      <c r="NQF5" s="496"/>
      <c r="NQG5" s="496"/>
      <c r="NQH5" s="496"/>
      <c r="NQI5" s="496"/>
      <c r="NQJ5" s="496"/>
      <c r="NQK5" s="496"/>
      <c r="NQL5" s="496"/>
      <c r="NQM5" s="496"/>
      <c r="NQN5" s="496"/>
      <c r="NQO5" s="496"/>
      <c r="NQP5" s="496"/>
      <c r="NQQ5" s="496"/>
      <c r="NQR5" s="496"/>
      <c r="NQS5" s="496"/>
      <c r="NQT5" s="496"/>
      <c r="NQU5" s="496"/>
      <c r="NQV5" s="496"/>
      <c r="NQW5" s="496"/>
      <c r="NQX5" s="496"/>
      <c r="NQY5" s="496"/>
      <c r="NQZ5" s="496"/>
      <c r="NRA5" s="496"/>
      <c r="NRB5" s="496"/>
      <c r="NRC5" s="496"/>
      <c r="NRD5" s="496"/>
      <c r="NRE5" s="496"/>
      <c r="NRF5" s="496"/>
      <c r="NRG5" s="496"/>
      <c r="NRH5" s="496"/>
      <c r="NRI5" s="496"/>
      <c r="NRJ5" s="496"/>
      <c r="NRK5" s="496"/>
      <c r="NRL5" s="496"/>
      <c r="NRM5" s="496"/>
      <c r="NRN5" s="496"/>
      <c r="NRO5" s="496"/>
      <c r="NRP5" s="496"/>
      <c r="NRQ5" s="496"/>
      <c r="NRR5" s="496"/>
      <c r="NRS5" s="496"/>
      <c r="NRT5" s="496"/>
      <c r="NRU5" s="496"/>
      <c r="NRV5" s="496"/>
      <c r="NRW5" s="496"/>
      <c r="NRX5" s="496"/>
      <c r="NRY5" s="496"/>
      <c r="NRZ5" s="496"/>
      <c r="NSA5" s="496"/>
      <c r="NSB5" s="496"/>
      <c r="NSC5" s="496"/>
      <c r="NSD5" s="496"/>
      <c r="NSE5" s="496"/>
      <c r="NSF5" s="496"/>
      <c r="NSG5" s="496"/>
      <c r="NSH5" s="496"/>
      <c r="NSI5" s="496"/>
      <c r="NSJ5" s="496"/>
      <c r="NSK5" s="496"/>
      <c r="NSL5" s="496"/>
      <c r="NSM5" s="496"/>
      <c r="NSN5" s="496"/>
      <c r="NSO5" s="496"/>
      <c r="NSP5" s="496"/>
      <c r="NSQ5" s="496"/>
      <c r="NSR5" s="496"/>
      <c r="NSS5" s="496"/>
      <c r="NST5" s="496"/>
      <c r="NSU5" s="496"/>
      <c r="NSV5" s="496"/>
      <c r="NSW5" s="496"/>
      <c r="NSX5" s="496"/>
      <c r="NSY5" s="496"/>
      <c r="NSZ5" s="496"/>
      <c r="NTA5" s="496"/>
      <c r="NTB5" s="496"/>
      <c r="NTC5" s="496"/>
      <c r="NTD5" s="496"/>
      <c r="NTE5" s="496"/>
      <c r="NTF5" s="496"/>
      <c r="NTG5" s="496"/>
      <c r="NTH5" s="496"/>
      <c r="NTI5" s="496"/>
      <c r="NTJ5" s="496"/>
      <c r="NTK5" s="496"/>
      <c r="NTL5" s="496"/>
      <c r="NTM5" s="496"/>
      <c r="NTN5" s="496"/>
      <c r="NTO5" s="496"/>
      <c r="NTP5" s="496"/>
      <c r="NTQ5" s="496"/>
      <c r="NTR5" s="496"/>
      <c r="NTS5" s="496"/>
      <c r="NTT5" s="496"/>
      <c r="NTU5" s="496"/>
      <c r="NTV5" s="496"/>
      <c r="NTW5" s="496"/>
      <c r="NTX5" s="496"/>
      <c r="NTY5" s="496"/>
      <c r="NTZ5" s="496"/>
      <c r="NUA5" s="496"/>
      <c r="NUB5" s="496"/>
      <c r="NUC5" s="496"/>
      <c r="NUD5" s="496"/>
      <c r="NUE5" s="496"/>
      <c r="NUF5" s="496"/>
      <c r="NUG5" s="496"/>
      <c r="NUH5" s="496"/>
      <c r="NUI5" s="496"/>
      <c r="NUJ5" s="496"/>
      <c r="NUK5" s="496"/>
      <c r="NUL5" s="496"/>
      <c r="NUM5" s="496"/>
      <c r="NUN5" s="496"/>
      <c r="NUO5" s="496"/>
      <c r="NUP5" s="496"/>
      <c r="NUQ5" s="496"/>
      <c r="NUR5" s="496"/>
      <c r="NUS5" s="496"/>
      <c r="NUT5" s="496"/>
      <c r="NUU5" s="496"/>
      <c r="NUV5" s="496"/>
      <c r="NUW5" s="496"/>
      <c r="NUX5" s="496"/>
      <c r="NUY5" s="496"/>
      <c r="NUZ5" s="496"/>
      <c r="NVA5" s="496"/>
      <c r="NVB5" s="496"/>
      <c r="NVC5" s="496"/>
      <c r="NVD5" s="496"/>
      <c r="NVE5" s="496"/>
      <c r="NVF5" s="496"/>
      <c r="NVG5" s="496"/>
      <c r="NVH5" s="496"/>
      <c r="NVI5" s="496"/>
      <c r="NVJ5" s="496"/>
      <c r="NVK5" s="496"/>
      <c r="NVL5" s="496"/>
      <c r="NVM5" s="496"/>
      <c r="NVN5" s="496"/>
      <c r="NVO5" s="496"/>
      <c r="NVP5" s="496"/>
      <c r="NVQ5" s="496"/>
      <c r="NVR5" s="496"/>
      <c r="NVS5" s="496"/>
      <c r="NVT5" s="496"/>
      <c r="NVU5" s="496"/>
      <c r="NVV5" s="496"/>
      <c r="NVW5" s="496"/>
      <c r="NVX5" s="496"/>
      <c r="NVY5" s="496"/>
      <c r="NVZ5" s="496"/>
      <c r="NWA5" s="496"/>
      <c r="NWB5" s="496"/>
      <c r="NWC5" s="496"/>
      <c r="NWD5" s="496"/>
      <c r="NWE5" s="496"/>
      <c r="NWF5" s="496"/>
      <c r="NWG5" s="496"/>
      <c r="NWH5" s="496"/>
      <c r="NWI5" s="496"/>
      <c r="NWJ5" s="496"/>
      <c r="NWK5" s="496"/>
      <c r="NWL5" s="496"/>
      <c r="NWM5" s="496"/>
      <c r="NWN5" s="496"/>
      <c r="NWO5" s="496"/>
      <c r="NWP5" s="496"/>
      <c r="NWQ5" s="496"/>
      <c r="NWR5" s="496"/>
      <c r="NWS5" s="496"/>
      <c r="NWT5" s="496"/>
      <c r="NWU5" s="496"/>
      <c r="NWV5" s="496"/>
      <c r="NWW5" s="496"/>
      <c r="NWX5" s="496"/>
      <c r="NWY5" s="496"/>
      <c r="NWZ5" s="496"/>
      <c r="NXA5" s="496"/>
      <c r="NXB5" s="496"/>
      <c r="NXC5" s="496"/>
      <c r="NXD5" s="496"/>
      <c r="NXE5" s="496"/>
      <c r="NXF5" s="496"/>
      <c r="NXG5" s="496"/>
      <c r="NXH5" s="496"/>
      <c r="NXI5" s="496"/>
      <c r="NXJ5" s="496"/>
      <c r="NXK5" s="496"/>
      <c r="NXL5" s="496"/>
      <c r="NXM5" s="496"/>
      <c r="NXN5" s="496"/>
      <c r="NXO5" s="496"/>
      <c r="NXP5" s="496"/>
      <c r="NXQ5" s="496"/>
      <c r="NXR5" s="496"/>
      <c r="NXS5" s="496"/>
      <c r="NXT5" s="496"/>
      <c r="NXU5" s="496"/>
      <c r="NXV5" s="496"/>
      <c r="NXW5" s="496"/>
      <c r="NXX5" s="496"/>
      <c r="NXY5" s="496"/>
      <c r="NXZ5" s="496"/>
      <c r="NYA5" s="496"/>
      <c r="NYB5" s="496"/>
      <c r="NYC5" s="496"/>
      <c r="NYD5" s="496"/>
      <c r="NYE5" s="496"/>
      <c r="NYF5" s="496"/>
      <c r="NYG5" s="496"/>
      <c r="NYH5" s="496"/>
      <c r="NYI5" s="496"/>
      <c r="NYJ5" s="496"/>
      <c r="NYK5" s="496"/>
      <c r="NYL5" s="496"/>
      <c r="NYM5" s="496"/>
      <c r="NYN5" s="496"/>
      <c r="NYO5" s="496"/>
      <c r="NYP5" s="496"/>
      <c r="NYQ5" s="496"/>
      <c r="NYR5" s="496"/>
      <c r="NYS5" s="496"/>
      <c r="NYT5" s="496"/>
      <c r="NYU5" s="496"/>
      <c r="NYV5" s="496"/>
      <c r="NYW5" s="496"/>
      <c r="NYX5" s="496"/>
      <c r="NYY5" s="496"/>
      <c r="NYZ5" s="496"/>
      <c r="NZA5" s="496"/>
      <c r="NZB5" s="496"/>
      <c r="NZC5" s="496"/>
      <c r="NZD5" s="496"/>
      <c r="NZE5" s="496"/>
      <c r="NZF5" s="496"/>
      <c r="NZG5" s="496"/>
      <c r="NZH5" s="496"/>
      <c r="NZI5" s="496"/>
      <c r="NZJ5" s="496"/>
      <c r="NZK5" s="496"/>
      <c r="NZL5" s="496"/>
      <c r="NZM5" s="496"/>
      <c r="NZN5" s="496"/>
      <c r="NZO5" s="496"/>
      <c r="NZP5" s="496"/>
      <c r="NZQ5" s="496"/>
      <c r="NZR5" s="496"/>
      <c r="NZS5" s="496"/>
      <c r="NZT5" s="496"/>
      <c r="NZU5" s="496"/>
      <c r="NZV5" s="496"/>
      <c r="NZW5" s="496"/>
      <c r="NZX5" s="496"/>
      <c r="NZY5" s="496"/>
      <c r="NZZ5" s="496"/>
      <c r="OAA5" s="496"/>
      <c r="OAB5" s="496"/>
      <c r="OAC5" s="496"/>
      <c r="OAD5" s="496"/>
      <c r="OAE5" s="496"/>
      <c r="OAF5" s="496"/>
      <c r="OAG5" s="496"/>
      <c r="OAH5" s="496"/>
      <c r="OAI5" s="496"/>
      <c r="OAJ5" s="496"/>
      <c r="OAK5" s="496"/>
      <c r="OAL5" s="496"/>
      <c r="OAM5" s="496"/>
      <c r="OAN5" s="496"/>
      <c r="OAO5" s="496"/>
      <c r="OAP5" s="496"/>
      <c r="OAQ5" s="496"/>
      <c r="OAR5" s="496"/>
      <c r="OAS5" s="496"/>
      <c r="OAT5" s="496"/>
      <c r="OAU5" s="496"/>
      <c r="OAV5" s="496"/>
      <c r="OAW5" s="496"/>
      <c r="OAX5" s="496"/>
      <c r="OAY5" s="496"/>
      <c r="OAZ5" s="496"/>
      <c r="OBA5" s="496"/>
      <c r="OBB5" s="496"/>
      <c r="OBC5" s="496"/>
      <c r="OBD5" s="496"/>
      <c r="OBE5" s="496"/>
      <c r="OBF5" s="496"/>
      <c r="OBG5" s="496"/>
      <c r="OBH5" s="496"/>
      <c r="OBI5" s="496"/>
      <c r="OBJ5" s="496"/>
      <c r="OBK5" s="496"/>
      <c r="OBL5" s="496"/>
      <c r="OBM5" s="496"/>
      <c r="OBN5" s="496"/>
      <c r="OBO5" s="496"/>
      <c r="OBP5" s="496"/>
      <c r="OBQ5" s="496"/>
      <c r="OBR5" s="496"/>
      <c r="OBS5" s="496"/>
      <c r="OBT5" s="496"/>
      <c r="OBU5" s="496"/>
      <c r="OBV5" s="496"/>
      <c r="OBW5" s="496"/>
      <c r="OBX5" s="496"/>
      <c r="OBY5" s="496"/>
      <c r="OBZ5" s="496"/>
      <c r="OCA5" s="496"/>
      <c r="OCB5" s="496"/>
      <c r="OCC5" s="496"/>
      <c r="OCD5" s="496"/>
      <c r="OCE5" s="496"/>
      <c r="OCF5" s="496"/>
      <c r="OCG5" s="496"/>
      <c r="OCH5" s="496"/>
      <c r="OCI5" s="496"/>
      <c r="OCJ5" s="496"/>
      <c r="OCK5" s="496"/>
      <c r="OCL5" s="496"/>
      <c r="OCM5" s="496"/>
      <c r="OCN5" s="496"/>
      <c r="OCO5" s="496"/>
      <c r="OCP5" s="496"/>
      <c r="OCQ5" s="496"/>
      <c r="OCR5" s="496"/>
      <c r="OCS5" s="496"/>
      <c r="OCT5" s="496"/>
      <c r="OCU5" s="496"/>
      <c r="OCV5" s="496"/>
      <c r="OCW5" s="496"/>
      <c r="OCX5" s="496"/>
      <c r="OCY5" s="496"/>
      <c r="OCZ5" s="496"/>
      <c r="ODA5" s="496"/>
      <c r="ODB5" s="496"/>
      <c r="ODC5" s="496"/>
      <c r="ODD5" s="496"/>
      <c r="ODE5" s="496"/>
      <c r="ODF5" s="496"/>
      <c r="ODG5" s="496"/>
      <c r="ODH5" s="496"/>
      <c r="ODI5" s="496"/>
      <c r="ODJ5" s="496"/>
      <c r="ODK5" s="496"/>
      <c r="ODL5" s="496"/>
      <c r="ODM5" s="496"/>
      <c r="ODN5" s="496"/>
      <c r="ODO5" s="496"/>
      <c r="ODP5" s="496"/>
      <c r="ODQ5" s="496"/>
      <c r="ODR5" s="496"/>
      <c r="ODS5" s="496"/>
      <c r="ODT5" s="496"/>
      <c r="ODU5" s="496"/>
      <c r="ODV5" s="496"/>
      <c r="ODW5" s="496"/>
      <c r="ODX5" s="496"/>
      <c r="ODY5" s="496"/>
      <c r="ODZ5" s="496"/>
      <c r="OEA5" s="496"/>
      <c r="OEB5" s="496"/>
      <c r="OEC5" s="496"/>
      <c r="OED5" s="496"/>
      <c r="OEE5" s="496"/>
      <c r="OEF5" s="496"/>
      <c r="OEG5" s="496"/>
      <c r="OEH5" s="496"/>
      <c r="OEI5" s="496"/>
      <c r="OEJ5" s="496"/>
      <c r="OEK5" s="496"/>
      <c r="OEL5" s="496"/>
      <c r="OEM5" s="496"/>
      <c r="OEN5" s="496"/>
      <c r="OEO5" s="496"/>
      <c r="OEP5" s="496"/>
      <c r="OEQ5" s="496"/>
      <c r="OER5" s="496"/>
      <c r="OES5" s="496"/>
      <c r="OET5" s="496"/>
      <c r="OEU5" s="496"/>
      <c r="OEV5" s="496"/>
      <c r="OEW5" s="496"/>
      <c r="OEX5" s="496"/>
      <c r="OEY5" s="496"/>
      <c r="OEZ5" s="496"/>
      <c r="OFA5" s="496"/>
      <c r="OFB5" s="496"/>
      <c r="OFC5" s="496"/>
      <c r="OFD5" s="496"/>
      <c r="OFE5" s="496"/>
      <c r="OFF5" s="496"/>
      <c r="OFG5" s="496"/>
      <c r="OFH5" s="496"/>
      <c r="OFI5" s="496"/>
      <c r="OFJ5" s="496"/>
      <c r="OFK5" s="496"/>
      <c r="OFL5" s="496"/>
      <c r="OFM5" s="496"/>
      <c r="OFN5" s="496"/>
      <c r="OFO5" s="496"/>
      <c r="OFP5" s="496"/>
      <c r="OFQ5" s="496"/>
      <c r="OFR5" s="496"/>
      <c r="OFS5" s="496"/>
      <c r="OFT5" s="496"/>
      <c r="OFU5" s="496"/>
      <c r="OFV5" s="496"/>
      <c r="OFW5" s="496"/>
      <c r="OFX5" s="496"/>
      <c r="OFY5" s="496"/>
      <c r="OFZ5" s="496"/>
      <c r="OGA5" s="496"/>
      <c r="OGB5" s="496"/>
      <c r="OGC5" s="496"/>
      <c r="OGD5" s="496"/>
      <c r="OGE5" s="496"/>
      <c r="OGF5" s="496"/>
      <c r="OGG5" s="496"/>
      <c r="OGH5" s="496"/>
      <c r="OGI5" s="496"/>
      <c r="OGJ5" s="496"/>
      <c r="OGK5" s="496"/>
      <c r="OGL5" s="496"/>
      <c r="OGM5" s="496"/>
      <c r="OGN5" s="496"/>
      <c r="OGO5" s="496"/>
      <c r="OGP5" s="496"/>
      <c r="OGQ5" s="496"/>
      <c r="OGR5" s="496"/>
      <c r="OGS5" s="496"/>
      <c r="OGT5" s="496"/>
      <c r="OGU5" s="496"/>
      <c r="OGV5" s="496"/>
      <c r="OGW5" s="496"/>
      <c r="OGX5" s="496"/>
      <c r="OGY5" s="496"/>
      <c r="OGZ5" s="496"/>
      <c r="OHA5" s="496"/>
      <c r="OHB5" s="496"/>
      <c r="OHC5" s="496"/>
      <c r="OHD5" s="496"/>
      <c r="OHE5" s="496"/>
      <c r="OHF5" s="496"/>
      <c r="OHG5" s="496"/>
      <c r="OHH5" s="496"/>
      <c r="OHI5" s="496"/>
      <c r="OHJ5" s="496"/>
      <c r="OHK5" s="496"/>
      <c r="OHL5" s="496"/>
      <c r="OHM5" s="496"/>
      <c r="OHN5" s="496"/>
      <c r="OHO5" s="496"/>
      <c r="OHP5" s="496"/>
      <c r="OHQ5" s="496"/>
      <c r="OHR5" s="496"/>
      <c r="OHS5" s="496"/>
      <c r="OHT5" s="496"/>
      <c r="OHU5" s="496"/>
      <c r="OHV5" s="496"/>
      <c r="OHW5" s="496"/>
      <c r="OHX5" s="496"/>
      <c r="OHY5" s="496"/>
      <c r="OHZ5" s="496"/>
      <c r="OIA5" s="496"/>
      <c r="OIB5" s="496"/>
      <c r="OIC5" s="496"/>
      <c r="OID5" s="496"/>
      <c r="OIE5" s="496"/>
      <c r="OIF5" s="496"/>
      <c r="OIG5" s="496"/>
      <c r="OIH5" s="496"/>
      <c r="OII5" s="496"/>
      <c r="OIJ5" s="496"/>
      <c r="OIK5" s="496"/>
      <c r="OIL5" s="496"/>
      <c r="OIM5" s="496"/>
      <c r="OIN5" s="496"/>
      <c r="OIO5" s="496"/>
      <c r="OIP5" s="496"/>
      <c r="OIQ5" s="496"/>
      <c r="OIR5" s="496"/>
      <c r="OIS5" s="496"/>
      <c r="OIT5" s="496"/>
      <c r="OIU5" s="496"/>
      <c r="OIV5" s="496"/>
      <c r="OIW5" s="496"/>
      <c r="OIX5" s="496"/>
      <c r="OIY5" s="496"/>
      <c r="OIZ5" s="496"/>
      <c r="OJA5" s="496"/>
      <c r="OJB5" s="496"/>
      <c r="OJC5" s="496"/>
      <c r="OJD5" s="496"/>
      <c r="OJE5" s="496"/>
      <c r="OJF5" s="496"/>
      <c r="OJG5" s="496"/>
      <c r="OJH5" s="496"/>
      <c r="OJI5" s="496"/>
      <c r="OJJ5" s="496"/>
      <c r="OJK5" s="496"/>
      <c r="OJL5" s="496"/>
      <c r="OJM5" s="496"/>
      <c r="OJN5" s="496"/>
      <c r="OJO5" s="496"/>
      <c r="OJP5" s="496"/>
      <c r="OJQ5" s="496"/>
      <c r="OJR5" s="496"/>
      <c r="OJS5" s="496"/>
      <c r="OJT5" s="496"/>
      <c r="OJU5" s="496"/>
      <c r="OJV5" s="496"/>
      <c r="OJW5" s="496"/>
      <c r="OJX5" s="496"/>
      <c r="OJY5" s="496"/>
      <c r="OJZ5" s="496"/>
      <c r="OKA5" s="496"/>
      <c r="OKB5" s="496"/>
      <c r="OKC5" s="496"/>
      <c r="OKD5" s="496"/>
      <c r="OKE5" s="496"/>
      <c r="OKF5" s="496"/>
      <c r="OKG5" s="496"/>
      <c r="OKH5" s="496"/>
      <c r="OKI5" s="496"/>
      <c r="OKJ5" s="496"/>
      <c r="OKK5" s="496"/>
      <c r="OKL5" s="496"/>
      <c r="OKM5" s="496"/>
      <c r="OKN5" s="496"/>
      <c r="OKO5" s="496"/>
      <c r="OKP5" s="496"/>
      <c r="OKQ5" s="496"/>
      <c r="OKR5" s="496"/>
      <c r="OKS5" s="496"/>
      <c r="OKT5" s="496"/>
      <c r="OKU5" s="496"/>
      <c r="OKV5" s="496"/>
      <c r="OKW5" s="496"/>
      <c r="OKX5" s="496"/>
      <c r="OKY5" s="496"/>
      <c r="OKZ5" s="496"/>
      <c r="OLA5" s="496"/>
      <c r="OLB5" s="496"/>
      <c r="OLC5" s="496"/>
      <c r="OLD5" s="496"/>
      <c r="OLE5" s="496"/>
      <c r="OLF5" s="496"/>
      <c r="OLG5" s="496"/>
      <c r="OLH5" s="496"/>
      <c r="OLI5" s="496"/>
      <c r="OLJ5" s="496"/>
      <c r="OLK5" s="496"/>
      <c r="OLL5" s="496"/>
      <c r="OLM5" s="496"/>
      <c r="OLN5" s="496"/>
      <c r="OLO5" s="496"/>
      <c r="OLP5" s="496"/>
      <c r="OLQ5" s="496"/>
      <c r="OLR5" s="496"/>
      <c r="OLS5" s="496"/>
      <c r="OLT5" s="496"/>
      <c r="OLU5" s="496"/>
      <c r="OLV5" s="496"/>
      <c r="OLW5" s="496"/>
      <c r="OLX5" s="496"/>
      <c r="OLY5" s="496"/>
      <c r="OLZ5" s="496"/>
      <c r="OMA5" s="496"/>
      <c r="OMB5" s="496"/>
      <c r="OMC5" s="496"/>
      <c r="OMD5" s="496"/>
      <c r="OME5" s="496"/>
      <c r="OMF5" s="496"/>
      <c r="OMG5" s="496"/>
      <c r="OMH5" s="496"/>
      <c r="OMI5" s="496"/>
      <c r="OMJ5" s="496"/>
      <c r="OMK5" s="496"/>
      <c r="OML5" s="496"/>
      <c r="OMM5" s="496"/>
      <c r="OMN5" s="496"/>
      <c r="OMO5" s="496"/>
      <c r="OMP5" s="496"/>
      <c r="OMQ5" s="496"/>
      <c r="OMR5" s="496"/>
      <c r="OMS5" s="496"/>
      <c r="OMT5" s="496"/>
      <c r="OMU5" s="496"/>
      <c r="OMV5" s="496"/>
      <c r="OMW5" s="496"/>
      <c r="OMX5" s="496"/>
      <c r="OMY5" s="496"/>
      <c r="OMZ5" s="496"/>
      <c r="ONA5" s="496"/>
      <c r="ONB5" s="496"/>
      <c r="ONC5" s="496"/>
      <c r="OND5" s="496"/>
      <c r="ONE5" s="496"/>
      <c r="ONF5" s="496"/>
      <c r="ONG5" s="496"/>
      <c r="ONH5" s="496"/>
      <c r="ONI5" s="496"/>
      <c r="ONJ5" s="496"/>
      <c r="ONK5" s="496"/>
      <c r="ONL5" s="496"/>
      <c r="ONM5" s="496"/>
      <c r="ONN5" s="496"/>
      <c r="ONO5" s="496"/>
      <c r="ONP5" s="496"/>
      <c r="ONQ5" s="496"/>
      <c r="ONR5" s="496"/>
      <c r="ONS5" s="496"/>
      <c r="ONT5" s="496"/>
      <c r="ONU5" s="496"/>
      <c r="ONV5" s="496"/>
      <c r="ONW5" s="496"/>
      <c r="ONX5" s="496"/>
      <c r="ONY5" s="496"/>
      <c r="ONZ5" s="496"/>
      <c r="OOA5" s="496"/>
      <c r="OOB5" s="496"/>
      <c r="OOC5" s="496"/>
      <c r="OOD5" s="496"/>
      <c r="OOE5" s="496"/>
      <c r="OOF5" s="496"/>
      <c r="OOG5" s="496"/>
      <c r="OOH5" s="496"/>
      <c r="OOI5" s="496"/>
      <c r="OOJ5" s="496"/>
      <c r="OOK5" s="496"/>
      <c r="OOL5" s="496"/>
      <c r="OOM5" s="496"/>
      <c r="OON5" s="496"/>
      <c r="OOO5" s="496"/>
      <c r="OOP5" s="496"/>
      <c r="OOQ5" s="496"/>
      <c r="OOR5" s="496"/>
      <c r="OOS5" s="496"/>
      <c r="OOT5" s="496"/>
      <c r="OOU5" s="496"/>
      <c r="OOV5" s="496"/>
      <c r="OOW5" s="496"/>
      <c r="OOX5" s="496"/>
      <c r="OOY5" s="496"/>
      <c r="OOZ5" s="496"/>
      <c r="OPA5" s="496"/>
      <c r="OPB5" s="496"/>
      <c r="OPC5" s="496"/>
      <c r="OPD5" s="496"/>
      <c r="OPE5" s="496"/>
      <c r="OPF5" s="496"/>
      <c r="OPG5" s="496"/>
      <c r="OPH5" s="496"/>
      <c r="OPI5" s="496"/>
      <c r="OPJ5" s="496"/>
      <c r="OPK5" s="496"/>
      <c r="OPL5" s="496"/>
      <c r="OPM5" s="496"/>
      <c r="OPN5" s="496"/>
      <c r="OPO5" s="496"/>
      <c r="OPP5" s="496"/>
      <c r="OPQ5" s="496"/>
      <c r="OPR5" s="496"/>
      <c r="OPS5" s="496"/>
      <c r="OPT5" s="496"/>
      <c r="OPU5" s="496"/>
      <c r="OPV5" s="496"/>
      <c r="OPW5" s="496"/>
      <c r="OPX5" s="496"/>
      <c r="OPY5" s="496"/>
      <c r="OPZ5" s="496"/>
      <c r="OQA5" s="496"/>
      <c r="OQB5" s="496"/>
      <c r="OQC5" s="496"/>
      <c r="OQD5" s="496"/>
      <c r="OQE5" s="496"/>
      <c r="OQF5" s="496"/>
      <c r="OQG5" s="496"/>
      <c r="OQH5" s="496"/>
      <c r="OQI5" s="496"/>
      <c r="OQJ5" s="496"/>
      <c r="OQK5" s="496"/>
      <c r="OQL5" s="496"/>
      <c r="OQM5" s="496"/>
      <c r="OQN5" s="496"/>
      <c r="OQO5" s="496"/>
      <c r="OQP5" s="496"/>
      <c r="OQQ5" s="496"/>
      <c r="OQR5" s="496"/>
      <c r="OQS5" s="496"/>
      <c r="OQT5" s="496"/>
      <c r="OQU5" s="496"/>
      <c r="OQV5" s="496"/>
      <c r="OQW5" s="496"/>
      <c r="OQX5" s="496"/>
      <c r="OQY5" s="496"/>
      <c r="OQZ5" s="496"/>
      <c r="ORA5" s="496"/>
      <c r="ORB5" s="496"/>
      <c r="ORC5" s="496"/>
      <c r="ORD5" s="496"/>
      <c r="ORE5" s="496"/>
      <c r="ORF5" s="496"/>
      <c r="ORG5" s="496"/>
      <c r="ORH5" s="496"/>
      <c r="ORI5" s="496"/>
      <c r="ORJ5" s="496"/>
      <c r="ORK5" s="496"/>
      <c r="ORL5" s="496"/>
      <c r="ORM5" s="496"/>
      <c r="ORN5" s="496"/>
      <c r="ORO5" s="496"/>
      <c r="ORP5" s="496"/>
      <c r="ORQ5" s="496"/>
      <c r="ORR5" s="496"/>
      <c r="ORS5" s="496"/>
      <c r="ORT5" s="496"/>
      <c r="ORU5" s="496"/>
      <c r="ORV5" s="496"/>
      <c r="ORW5" s="496"/>
      <c r="ORX5" s="496"/>
      <c r="ORY5" s="496"/>
      <c r="ORZ5" s="496"/>
      <c r="OSA5" s="496"/>
      <c r="OSB5" s="496"/>
      <c r="OSC5" s="496"/>
      <c r="OSD5" s="496"/>
      <c r="OSE5" s="496"/>
      <c r="OSF5" s="496"/>
      <c r="OSG5" s="496"/>
      <c r="OSH5" s="496"/>
      <c r="OSI5" s="496"/>
      <c r="OSJ5" s="496"/>
      <c r="OSK5" s="496"/>
      <c r="OSL5" s="496"/>
      <c r="OSM5" s="496"/>
      <c r="OSN5" s="496"/>
      <c r="OSO5" s="496"/>
      <c r="OSP5" s="496"/>
      <c r="OSQ5" s="496"/>
      <c r="OSR5" s="496"/>
      <c r="OSS5" s="496"/>
      <c r="OST5" s="496"/>
      <c r="OSU5" s="496"/>
      <c r="OSV5" s="496"/>
      <c r="OSW5" s="496"/>
      <c r="OSX5" s="496"/>
      <c r="OSY5" s="496"/>
      <c r="OSZ5" s="496"/>
      <c r="OTA5" s="496"/>
      <c r="OTB5" s="496"/>
      <c r="OTC5" s="496"/>
      <c r="OTD5" s="496"/>
      <c r="OTE5" s="496"/>
      <c r="OTF5" s="496"/>
      <c r="OTG5" s="496"/>
      <c r="OTH5" s="496"/>
      <c r="OTI5" s="496"/>
      <c r="OTJ5" s="496"/>
      <c r="OTK5" s="496"/>
      <c r="OTL5" s="496"/>
      <c r="OTM5" s="496"/>
      <c r="OTN5" s="496"/>
      <c r="OTO5" s="496"/>
      <c r="OTP5" s="496"/>
      <c r="OTQ5" s="496"/>
      <c r="OTR5" s="496"/>
      <c r="OTS5" s="496"/>
      <c r="OTT5" s="496"/>
      <c r="OTU5" s="496"/>
      <c r="OTV5" s="496"/>
      <c r="OTW5" s="496"/>
      <c r="OTX5" s="496"/>
      <c r="OTY5" s="496"/>
      <c r="OTZ5" s="496"/>
      <c r="OUA5" s="496"/>
      <c r="OUB5" s="496"/>
      <c r="OUC5" s="496"/>
      <c r="OUD5" s="496"/>
      <c r="OUE5" s="496"/>
      <c r="OUF5" s="496"/>
      <c r="OUG5" s="496"/>
      <c r="OUH5" s="496"/>
      <c r="OUI5" s="496"/>
      <c r="OUJ5" s="496"/>
      <c r="OUK5" s="496"/>
      <c r="OUL5" s="496"/>
      <c r="OUM5" s="496"/>
      <c r="OUN5" s="496"/>
      <c r="OUO5" s="496"/>
      <c r="OUP5" s="496"/>
      <c r="OUQ5" s="496"/>
      <c r="OUR5" s="496"/>
      <c r="OUS5" s="496"/>
      <c r="OUT5" s="496"/>
      <c r="OUU5" s="496"/>
      <c r="OUV5" s="496"/>
      <c r="OUW5" s="496"/>
      <c r="OUX5" s="496"/>
      <c r="OUY5" s="496"/>
      <c r="OUZ5" s="496"/>
      <c r="OVA5" s="496"/>
      <c r="OVB5" s="496"/>
      <c r="OVC5" s="496"/>
      <c r="OVD5" s="496"/>
      <c r="OVE5" s="496"/>
      <c r="OVF5" s="496"/>
      <c r="OVG5" s="496"/>
      <c r="OVH5" s="496"/>
      <c r="OVI5" s="496"/>
      <c r="OVJ5" s="496"/>
      <c r="OVK5" s="496"/>
      <c r="OVL5" s="496"/>
      <c r="OVM5" s="496"/>
      <c r="OVN5" s="496"/>
      <c r="OVO5" s="496"/>
      <c r="OVP5" s="496"/>
      <c r="OVQ5" s="496"/>
      <c r="OVR5" s="496"/>
      <c r="OVS5" s="496"/>
      <c r="OVT5" s="496"/>
      <c r="OVU5" s="496"/>
      <c r="OVV5" s="496"/>
      <c r="OVW5" s="496"/>
      <c r="OVX5" s="496"/>
      <c r="OVY5" s="496"/>
      <c r="OVZ5" s="496"/>
      <c r="OWA5" s="496"/>
      <c r="OWB5" s="496"/>
      <c r="OWC5" s="496"/>
      <c r="OWD5" s="496"/>
      <c r="OWE5" s="496"/>
      <c r="OWF5" s="496"/>
      <c r="OWG5" s="496"/>
      <c r="OWH5" s="496"/>
      <c r="OWI5" s="496"/>
      <c r="OWJ5" s="496"/>
      <c r="OWK5" s="496"/>
      <c r="OWL5" s="496"/>
      <c r="OWM5" s="496"/>
      <c r="OWN5" s="496"/>
      <c r="OWO5" s="496"/>
      <c r="OWP5" s="496"/>
      <c r="OWQ5" s="496"/>
      <c r="OWR5" s="496"/>
      <c r="OWS5" s="496"/>
      <c r="OWT5" s="496"/>
      <c r="OWU5" s="496"/>
      <c r="OWV5" s="496"/>
      <c r="OWW5" s="496"/>
      <c r="OWX5" s="496"/>
      <c r="OWY5" s="496"/>
      <c r="OWZ5" s="496"/>
      <c r="OXA5" s="496"/>
      <c r="OXB5" s="496"/>
      <c r="OXC5" s="496"/>
      <c r="OXD5" s="496"/>
      <c r="OXE5" s="496"/>
      <c r="OXF5" s="496"/>
      <c r="OXG5" s="496"/>
      <c r="OXH5" s="496"/>
      <c r="OXI5" s="496"/>
      <c r="OXJ5" s="496"/>
      <c r="OXK5" s="496"/>
      <c r="OXL5" s="496"/>
      <c r="OXM5" s="496"/>
      <c r="OXN5" s="496"/>
      <c r="OXO5" s="496"/>
      <c r="OXP5" s="496"/>
      <c r="OXQ5" s="496"/>
      <c r="OXR5" s="496"/>
      <c r="OXS5" s="496"/>
      <c r="OXT5" s="496"/>
      <c r="OXU5" s="496"/>
      <c r="OXV5" s="496"/>
      <c r="OXW5" s="496"/>
      <c r="OXX5" s="496"/>
      <c r="OXY5" s="496"/>
      <c r="OXZ5" s="496"/>
      <c r="OYA5" s="496"/>
      <c r="OYB5" s="496"/>
      <c r="OYC5" s="496"/>
      <c r="OYD5" s="496"/>
      <c r="OYE5" s="496"/>
      <c r="OYF5" s="496"/>
      <c r="OYG5" s="496"/>
      <c r="OYH5" s="496"/>
      <c r="OYI5" s="496"/>
      <c r="OYJ5" s="496"/>
      <c r="OYK5" s="496"/>
      <c r="OYL5" s="496"/>
      <c r="OYM5" s="496"/>
      <c r="OYN5" s="496"/>
      <c r="OYO5" s="496"/>
      <c r="OYP5" s="496"/>
      <c r="OYQ5" s="496"/>
      <c r="OYR5" s="496"/>
      <c r="OYS5" s="496"/>
      <c r="OYT5" s="496"/>
      <c r="OYU5" s="496"/>
      <c r="OYV5" s="496"/>
      <c r="OYW5" s="496"/>
      <c r="OYX5" s="496"/>
      <c r="OYY5" s="496"/>
      <c r="OYZ5" s="496"/>
      <c r="OZA5" s="496"/>
      <c r="OZB5" s="496"/>
      <c r="OZC5" s="496"/>
      <c r="OZD5" s="496"/>
      <c r="OZE5" s="496"/>
      <c r="OZF5" s="496"/>
      <c r="OZG5" s="496"/>
      <c r="OZH5" s="496"/>
      <c r="OZI5" s="496"/>
      <c r="OZJ5" s="496"/>
      <c r="OZK5" s="496"/>
      <c r="OZL5" s="496"/>
      <c r="OZM5" s="496"/>
      <c r="OZN5" s="496"/>
      <c r="OZO5" s="496"/>
      <c r="OZP5" s="496"/>
      <c r="OZQ5" s="496"/>
      <c r="OZR5" s="496"/>
      <c r="OZS5" s="496"/>
      <c r="OZT5" s="496"/>
      <c r="OZU5" s="496"/>
      <c r="OZV5" s="496"/>
      <c r="OZW5" s="496"/>
      <c r="OZX5" s="496"/>
      <c r="OZY5" s="496"/>
      <c r="OZZ5" s="496"/>
      <c r="PAA5" s="496"/>
      <c r="PAB5" s="496"/>
      <c r="PAC5" s="496"/>
      <c r="PAD5" s="496"/>
      <c r="PAE5" s="496"/>
      <c r="PAF5" s="496"/>
      <c r="PAG5" s="496"/>
      <c r="PAH5" s="496"/>
      <c r="PAI5" s="496"/>
      <c r="PAJ5" s="496"/>
      <c r="PAK5" s="496"/>
      <c r="PAL5" s="496"/>
      <c r="PAM5" s="496"/>
      <c r="PAN5" s="496"/>
      <c r="PAO5" s="496"/>
      <c r="PAP5" s="496"/>
      <c r="PAQ5" s="496"/>
      <c r="PAR5" s="496"/>
      <c r="PAS5" s="496"/>
      <c r="PAT5" s="496"/>
      <c r="PAU5" s="496"/>
      <c r="PAV5" s="496"/>
      <c r="PAW5" s="496"/>
      <c r="PAX5" s="496"/>
      <c r="PAY5" s="496"/>
      <c r="PAZ5" s="496"/>
      <c r="PBA5" s="496"/>
      <c r="PBB5" s="496"/>
      <c r="PBC5" s="496"/>
      <c r="PBD5" s="496"/>
      <c r="PBE5" s="496"/>
      <c r="PBF5" s="496"/>
      <c r="PBG5" s="496"/>
      <c r="PBH5" s="496"/>
      <c r="PBI5" s="496"/>
      <c r="PBJ5" s="496"/>
      <c r="PBK5" s="496"/>
      <c r="PBL5" s="496"/>
      <c r="PBM5" s="496"/>
      <c r="PBN5" s="496"/>
      <c r="PBO5" s="496"/>
      <c r="PBP5" s="496"/>
      <c r="PBQ5" s="496"/>
      <c r="PBR5" s="496"/>
      <c r="PBS5" s="496"/>
      <c r="PBT5" s="496"/>
      <c r="PBU5" s="496"/>
      <c r="PBV5" s="496"/>
      <c r="PBW5" s="496"/>
      <c r="PBX5" s="496"/>
      <c r="PBY5" s="496"/>
      <c r="PBZ5" s="496"/>
      <c r="PCA5" s="496"/>
      <c r="PCB5" s="496"/>
      <c r="PCC5" s="496"/>
      <c r="PCD5" s="496"/>
      <c r="PCE5" s="496"/>
      <c r="PCF5" s="496"/>
      <c r="PCG5" s="496"/>
      <c r="PCH5" s="496"/>
      <c r="PCI5" s="496"/>
      <c r="PCJ5" s="496"/>
      <c r="PCK5" s="496"/>
      <c r="PCL5" s="496"/>
      <c r="PCM5" s="496"/>
      <c r="PCN5" s="496"/>
      <c r="PCO5" s="496"/>
      <c r="PCP5" s="496"/>
      <c r="PCQ5" s="496"/>
      <c r="PCR5" s="496"/>
      <c r="PCS5" s="496"/>
      <c r="PCT5" s="496"/>
      <c r="PCU5" s="496"/>
      <c r="PCV5" s="496"/>
      <c r="PCW5" s="496"/>
      <c r="PCX5" s="496"/>
      <c r="PCY5" s="496"/>
      <c r="PCZ5" s="496"/>
      <c r="PDA5" s="496"/>
      <c r="PDB5" s="496"/>
      <c r="PDC5" s="496"/>
      <c r="PDD5" s="496"/>
      <c r="PDE5" s="496"/>
      <c r="PDF5" s="496"/>
      <c r="PDG5" s="496"/>
      <c r="PDH5" s="496"/>
      <c r="PDI5" s="496"/>
      <c r="PDJ5" s="496"/>
      <c r="PDK5" s="496"/>
      <c r="PDL5" s="496"/>
      <c r="PDM5" s="496"/>
      <c r="PDN5" s="496"/>
      <c r="PDO5" s="496"/>
      <c r="PDP5" s="496"/>
      <c r="PDQ5" s="496"/>
      <c r="PDR5" s="496"/>
      <c r="PDS5" s="496"/>
      <c r="PDT5" s="496"/>
      <c r="PDU5" s="496"/>
      <c r="PDV5" s="496"/>
      <c r="PDW5" s="496"/>
      <c r="PDX5" s="496"/>
      <c r="PDY5" s="496"/>
      <c r="PDZ5" s="496"/>
      <c r="PEA5" s="496"/>
      <c r="PEB5" s="496"/>
      <c r="PEC5" s="496"/>
      <c r="PED5" s="496"/>
      <c r="PEE5" s="496"/>
      <c r="PEF5" s="496"/>
      <c r="PEG5" s="496"/>
      <c r="PEH5" s="496"/>
      <c r="PEI5" s="496"/>
      <c r="PEJ5" s="496"/>
      <c r="PEK5" s="496"/>
      <c r="PEL5" s="496"/>
      <c r="PEM5" s="496"/>
      <c r="PEN5" s="496"/>
      <c r="PEO5" s="496"/>
      <c r="PEP5" s="496"/>
      <c r="PEQ5" s="496"/>
      <c r="PER5" s="496"/>
      <c r="PES5" s="496"/>
      <c r="PET5" s="496"/>
      <c r="PEU5" s="496"/>
      <c r="PEV5" s="496"/>
      <c r="PEW5" s="496"/>
      <c r="PEX5" s="496"/>
      <c r="PEY5" s="496"/>
      <c r="PEZ5" s="496"/>
      <c r="PFA5" s="496"/>
      <c r="PFB5" s="496"/>
      <c r="PFC5" s="496"/>
      <c r="PFD5" s="496"/>
      <c r="PFE5" s="496"/>
      <c r="PFF5" s="496"/>
      <c r="PFG5" s="496"/>
      <c r="PFH5" s="496"/>
      <c r="PFI5" s="496"/>
      <c r="PFJ5" s="496"/>
      <c r="PFK5" s="496"/>
      <c r="PFL5" s="496"/>
      <c r="PFM5" s="496"/>
      <c r="PFN5" s="496"/>
      <c r="PFO5" s="496"/>
      <c r="PFP5" s="496"/>
      <c r="PFQ5" s="496"/>
      <c r="PFR5" s="496"/>
      <c r="PFS5" s="496"/>
      <c r="PFT5" s="496"/>
      <c r="PFU5" s="496"/>
      <c r="PFV5" s="496"/>
      <c r="PFW5" s="496"/>
      <c r="PFX5" s="496"/>
      <c r="PFY5" s="496"/>
      <c r="PFZ5" s="496"/>
      <c r="PGA5" s="496"/>
      <c r="PGB5" s="496"/>
      <c r="PGC5" s="496"/>
      <c r="PGD5" s="496"/>
      <c r="PGE5" s="496"/>
      <c r="PGF5" s="496"/>
      <c r="PGG5" s="496"/>
      <c r="PGH5" s="496"/>
      <c r="PGI5" s="496"/>
      <c r="PGJ5" s="496"/>
      <c r="PGK5" s="496"/>
      <c r="PGL5" s="496"/>
      <c r="PGM5" s="496"/>
      <c r="PGN5" s="496"/>
      <c r="PGO5" s="496"/>
      <c r="PGP5" s="496"/>
      <c r="PGQ5" s="496"/>
      <c r="PGR5" s="496"/>
      <c r="PGS5" s="496"/>
      <c r="PGT5" s="496"/>
      <c r="PGU5" s="496"/>
      <c r="PGV5" s="496"/>
      <c r="PGW5" s="496"/>
      <c r="PGX5" s="496"/>
      <c r="PGY5" s="496"/>
      <c r="PGZ5" s="496"/>
      <c r="PHA5" s="496"/>
      <c r="PHB5" s="496"/>
      <c r="PHC5" s="496"/>
      <c r="PHD5" s="496"/>
      <c r="PHE5" s="496"/>
      <c r="PHF5" s="496"/>
      <c r="PHG5" s="496"/>
      <c r="PHH5" s="496"/>
      <c r="PHI5" s="496"/>
      <c r="PHJ5" s="496"/>
      <c r="PHK5" s="496"/>
      <c r="PHL5" s="496"/>
      <c r="PHM5" s="496"/>
      <c r="PHN5" s="496"/>
      <c r="PHO5" s="496"/>
      <c r="PHP5" s="496"/>
      <c r="PHQ5" s="496"/>
      <c r="PHR5" s="496"/>
      <c r="PHS5" s="496"/>
      <c r="PHT5" s="496"/>
      <c r="PHU5" s="496"/>
      <c r="PHV5" s="496"/>
      <c r="PHW5" s="496"/>
      <c r="PHX5" s="496"/>
      <c r="PHY5" s="496"/>
      <c r="PHZ5" s="496"/>
      <c r="PIA5" s="496"/>
      <c r="PIB5" s="496"/>
      <c r="PIC5" s="496"/>
      <c r="PID5" s="496"/>
      <c r="PIE5" s="496"/>
      <c r="PIF5" s="496"/>
      <c r="PIG5" s="496"/>
      <c r="PIH5" s="496"/>
      <c r="PII5" s="496"/>
      <c r="PIJ5" s="496"/>
      <c r="PIK5" s="496"/>
      <c r="PIL5" s="496"/>
      <c r="PIM5" s="496"/>
      <c r="PIN5" s="496"/>
      <c r="PIO5" s="496"/>
      <c r="PIP5" s="496"/>
      <c r="PIQ5" s="496"/>
      <c r="PIR5" s="496"/>
      <c r="PIS5" s="496"/>
      <c r="PIT5" s="496"/>
      <c r="PIU5" s="496"/>
      <c r="PIV5" s="496"/>
      <c r="PIW5" s="496"/>
      <c r="PIX5" s="496"/>
      <c r="PIY5" s="496"/>
      <c r="PIZ5" s="496"/>
      <c r="PJA5" s="496"/>
      <c r="PJB5" s="496"/>
      <c r="PJC5" s="496"/>
      <c r="PJD5" s="496"/>
      <c r="PJE5" s="496"/>
      <c r="PJF5" s="496"/>
      <c r="PJG5" s="496"/>
      <c r="PJH5" s="496"/>
      <c r="PJI5" s="496"/>
      <c r="PJJ5" s="496"/>
      <c r="PJK5" s="496"/>
      <c r="PJL5" s="496"/>
      <c r="PJM5" s="496"/>
      <c r="PJN5" s="496"/>
      <c r="PJO5" s="496"/>
      <c r="PJP5" s="496"/>
      <c r="PJQ5" s="496"/>
      <c r="PJR5" s="496"/>
      <c r="PJS5" s="496"/>
      <c r="PJT5" s="496"/>
      <c r="PJU5" s="496"/>
      <c r="PJV5" s="496"/>
      <c r="PJW5" s="496"/>
      <c r="PJX5" s="496"/>
      <c r="PJY5" s="496"/>
      <c r="PJZ5" s="496"/>
      <c r="PKA5" s="496"/>
      <c r="PKB5" s="496"/>
      <c r="PKC5" s="496"/>
      <c r="PKD5" s="496"/>
      <c r="PKE5" s="496"/>
      <c r="PKF5" s="496"/>
      <c r="PKG5" s="496"/>
      <c r="PKH5" s="496"/>
      <c r="PKI5" s="496"/>
      <c r="PKJ5" s="496"/>
      <c r="PKK5" s="496"/>
      <c r="PKL5" s="496"/>
      <c r="PKM5" s="496"/>
      <c r="PKN5" s="496"/>
      <c r="PKO5" s="496"/>
      <c r="PKP5" s="496"/>
      <c r="PKQ5" s="496"/>
      <c r="PKR5" s="496"/>
      <c r="PKS5" s="496"/>
      <c r="PKT5" s="496"/>
      <c r="PKU5" s="496"/>
      <c r="PKV5" s="496"/>
      <c r="PKW5" s="496"/>
      <c r="PKX5" s="496"/>
      <c r="PKY5" s="496"/>
      <c r="PKZ5" s="496"/>
      <c r="PLA5" s="496"/>
      <c r="PLB5" s="496"/>
      <c r="PLC5" s="496"/>
      <c r="PLD5" s="496"/>
      <c r="PLE5" s="496"/>
      <c r="PLF5" s="496"/>
      <c r="PLG5" s="496"/>
      <c r="PLH5" s="496"/>
      <c r="PLI5" s="496"/>
      <c r="PLJ5" s="496"/>
      <c r="PLK5" s="496"/>
      <c r="PLL5" s="496"/>
      <c r="PLM5" s="496"/>
      <c r="PLN5" s="496"/>
      <c r="PLO5" s="496"/>
      <c r="PLP5" s="496"/>
      <c r="PLQ5" s="496"/>
      <c r="PLR5" s="496"/>
      <c r="PLS5" s="496"/>
      <c r="PLT5" s="496"/>
      <c r="PLU5" s="496"/>
      <c r="PLV5" s="496"/>
      <c r="PLW5" s="496"/>
      <c r="PLX5" s="496"/>
      <c r="PLY5" s="496"/>
      <c r="PLZ5" s="496"/>
      <c r="PMA5" s="496"/>
      <c r="PMB5" s="496"/>
      <c r="PMC5" s="496"/>
      <c r="PMD5" s="496"/>
      <c r="PME5" s="496"/>
      <c r="PMF5" s="496"/>
      <c r="PMG5" s="496"/>
      <c r="PMH5" s="496"/>
      <c r="PMI5" s="496"/>
      <c r="PMJ5" s="496"/>
      <c r="PMK5" s="496"/>
      <c r="PML5" s="496"/>
      <c r="PMM5" s="496"/>
      <c r="PMN5" s="496"/>
      <c r="PMO5" s="496"/>
      <c r="PMP5" s="496"/>
      <c r="PMQ5" s="496"/>
      <c r="PMR5" s="496"/>
      <c r="PMS5" s="496"/>
      <c r="PMT5" s="496"/>
      <c r="PMU5" s="496"/>
      <c r="PMV5" s="496"/>
      <c r="PMW5" s="496"/>
      <c r="PMX5" s="496"/>
      <c r="PMY5" s="496"/>
      <c r="PMZ5" s="496"/>
      <c r="PNA5" s="496"/>
      <c r="PNB5" s="496"/>
      <c r="PNC5" s="496"/>
      <c r="PND5" s="496"/>
      <c r="PNE5" s="496"/>
      <c r="PNF5" s="496"/>
      <c r="PNG5" s="496"/>
      <c r="PNH5" s="496"/>
      <c r="PNI5" s="496"/>
      <c r="PNJ5" s="496"/>
      <c r="PNK5" s="496"/>
      <c r="PNL5" s="496"/>
      <c r="PNM5" s="496"/>
      <c r="PNN5" s="496"/>
      <c r="PNO5" s="496"/>
      <c r="PNP5" s="496"/>
      <c r="PNQ5" s="496"/>
      <c r="PNR5" s="496"/>
      <c r="PNS5" s="496"/>
      <c r="PNT5" s="496"/>
      <c r="PNU5" s="496"/>
      <c r="PNV5" s="496"/>
      <c r="PNW5" s="496"/>
      <c r="PNX5" s="496"/>
      <c r="PNY5" s="496"/>
      <c r="PNZ5" s="496"/>
      <c r="POA5" s="496"/>
      <c r="POB5" s="496"/>
      <c r="POC5" s="496"/>
      <c r="POD5" s="496"/>
      <c r="POE5" s="496"/>
      <c r="POF5" s="496"/>
      <c r="POG5" s="496"/>
      <c r="POH5" s="496"/>
      <c r="POI5" s="496"/>
      <c r="POJ5" s="496"/>
      <c r="POK5" s="496"/>
      <c r="POL5" s="496"/>
      <c r="POM5" s="496"/>
      <c r="PON5" s="496"/>
      <c r="POO5" s="496"/>
      <c r="POP5" s="496"/>
      <c r="POQ5" s="496"/>
      <c r="POR5" s="496"/>
      <c r="POS5" s="496"/>
      <c r="POT5" s="496"/>
      <c r="POU5" s="496"/>
      <c r="POV5" s="496"/>
      <c r="POW5" s="496"/>
      <c r="POX5" s="496"/>
      <c r="POY5" s="496"/>
      <c r="POZ5" s="496"/>
      <c r="PPA5" s="496"/>
      <c r="PPB5" s="496"/>
      <c r="PPC5" s="496"/>
      <c r="PPD5" s="496"/>
      <c r="PPE5" s="496"/>
      <c r="PPF5" s="496"/>
      <c r="PPG5" s="496"/>
      <c r="PPH5" s="496"/>
      <c r="PPI5" s="496"/>
      <c r="PPJ5" s="496"/>
      <c r="PPK5" s="496"/>
      <c r="PPL5" s="496"/>
      <c r="PPM5" s="496"/>
      <c r="PPN5" s="496"/>
      <c r="PPO5" s="496"/>
      <c r="PPP5" s="496"/>
      <c r="PPQ5" s="496"/>
      <c r="PPR5" s="496"/>
      <c r="PPS5" s="496"/>
      <c r="PPT5" s="496"/>
      <c r="PPU5" s="496"/>
      <c r="PPV5" s="496"/>
      <c r="PPW5" s="496"/>
      <c r="PPX5" s="496"/>
      <c r="PPY5" s="496"/>
      <c r="PPZ5" s="496"/>
      <c r="PQA5" s="496"/>
      <c r="PQB5" s="496"/>
      <c r="PQC5" s="496"/>
      <c r="PQD5" s="496"/>
      <c r="PQE5" s="496"/>
      <c r="PQF5" s="496"/>
      <c r="PQG5" s="496"/>
      <c r="PQH5" s="496"/>
      <c r="PQI5" s="496"/>
      <c r="PQJ5" s="496"/>
      <c r="PQK5" s="496"/>
      <c r="PQL5" s="496"/>
      <c r="PQM5" s="496"/>
      <c r="PQN5" s="496"/>
      <c r="PQO5" s="496"/>
      <c r="PQP5" s="496"/>
      <c r="PQQ5" s="496"/>
      <c r="PQR5" s="496"/>
      <c r="PQS5" s="496"/>
      <c r="PQT5" s="496"/>
      <c r="PQU5" s="496"/>
      <c r="PQV5" s="496"/>
      <c r="PQW5" s="496"/>
      <c r="PQX5" s="496"/>
      <c r="PQY5" s="496"/>
      <c r="PQZ5" s="496"/>
      <c r="PRA5" s="496"/>
      <c r="PRB5" s="496"/>
      <c r="PRC5" s="496"/>
      <c r="PRD5" s="496"/>
      <c r="PRE5" s="496"/>
      <c r="PRF5" s="496"/>
      <c r="PRG5" s="496"/>
      <c r="PRH5" s="496"/>
      <c r="PRI5" s="496"/>
      <c r="PRJ5" s="496"/>
      <c r="PRK5" s="496"/>
      <c r="PRL5" s="496"/>
      <c r="PRM5" s="496"/>
      <c r="PRN5" s="496"/>
      <c r="PRO5" s="496"/>
      <c r="PRP5" s="496"/>
      <c r="PRQ5" s="496"/>
      <c r="PRR5" s="496"/>
      <c r="PRS5" s="496"/>
      <c r="PRT5" s="496"/>
      <c r="PRU5" s="496"/>
      <c r="PRV5" s="496"/>
      <c r="PRW5" s="496"/>
      <c r="PRX5" s="496"/>
      <c r="PRY5" s="496"/>
      <c r="PRZ5" s="496"/>
      <c r="PSA5" s="496"/>
      <c r="PSB5" s="496"/>
      <c r="PSC5" s="496"/>
      <c r="PSD5" s="496"/>
      <c r="PSE5" s="496"/>
      <c r="PSF5" s="496"/>
      <c r="PSG5" s="496"/>
      <c r="PSH5" s="496"/>
      <c r="PSI5" s="496"/>
      <c r="PSJ5" s="496"/>
      <c r="PSK5" s="496"/>
      <c r="PSL5" s="496"/>
      <c r="PSM5" s="496"/>
      <c r="PSN5" s="496"/>
      <c r="PSO5" s="496"/>
      <c r="PSP5" s="496"/>
      <c r="PSQ5" s="496"/>
      <c r="PSR5" s="496"/>
      <c r="PSS5" s="496"/>
      <c r="PST5" s="496"/>
      <c r="PSU5" s="496"/>
      <c r="PSV5" s="496"/>
      <c r="PSW5" s="496"/>
      <c r="PSX5" s="496"/>
      <c r="PSY5" s="496"/>
      <c r="PSZ5" s="496"/>
      <c r="PTA5" s="496"/>
      <c r="PTB5" s="496"/>
      <c r="PTC5" s="496"/>
      <c r="PTD5" s="496"/>
      <c r="PTE5" s="496"/>
      <c r="PTF5" s="496"/>
      <c r="PTG5" s="496"/>
      <c r="PTH5" s="496"/>
      <c r="PTI5" s="496"/>
      <c r="PTJ5" s="496"/>
      <c r="PTK5" s="496"/>
      <c r="PTL5" s="496"/>
      <c r="PTM5" s="496"/>
      <c r="PTN5" s="496"/>
      <c r="PTO5" s="496"/>
      <c r="PTP5" s="496"/>
      <c r="PTQ5" s="496"/>
      <c r="PTR5" s="496"/>
      <c r="PTS5" s="496"/>
      <c r="PTT5" s="496"/>
      <c r="PTU5" s="496"/>
      <c r="PTV5" s="496"/>
      <c r="PTW5" s="496"/>
      <c r="PTX5" s="496"/>
      <c r="PTY5" s="496"/>
      <c r="PTZ5" s="496"/>
      <c r="PUA5" s="496"/>
      <c r="PUB5" s="496"/>
      <c r="PUC5" s="496"/>
      <c r="PUD5" s="496"/>
      <c r="PUE5" s="496"/>
      <c r="PUF5" s="496"/>
      <c r="PUG5" s="496"/>
      <c r="PUH5" s="496"/>
      <c r="PUI5" s="496"/>
      <c r="PUJ5" s="496"/>
      <c r="PUK5" s="496"/>
      <c r="PUL5" s="496"/>
      <c r="PUM5" s="496"/>
      <c r="PUN5" s="496"/>
      <c r="PUO5" s="496"/>
      <c r="PUP5" s="496"/>
      <c r="PUQ5" s="496"/>
      <c r="PUR5" s="496"/>
      <c r="PUS5" s="496"/>
      <c r="PUT5" s="496"/>
      <c r="PUU5" s="496"/>
      <c r="PUV5" s="496"/>
      <c r="PUW5" s="496"/>
      <c r="PUX5" s="496"/>
      <c r="PUY5" s="496"/>
      <c r="PUZ5" s="496"/>
      <c r="PVA5" s="496"/>
      <c r="PVB5" s="496"/>
      <c r="PVC5" s="496"/>
      <c r="PVD5" s="496"/>
      <c r="PVE5" s="496"/>
      <c r="PVF5" s="496"/>
      <c r="PVG5" s="496"/>
      <c r="PVH5" s="496"/>
      <c r="PVI5" s="496"/>
      <c r="PVJ5" s="496"/>
      <c r="PVK5" s="496"/>
      <c r="PVL5" s="496"/>
      <c r="PVM5" s="496"/>
      <c r="PVN5" s="496"/>
      <c r="PVO5" s="496"/>
      <c r="PVP5" s="496"/>
      <c r="PVQ5" s="496"/>
      <c r="PVR5" s="496"/>
      <c r="PVS5" s="496"/>
      <c r="PVT5" s="496"/>
      <c r="PVU5" s="496"/>
      <c r="PVV5" s="496"/>
      <c r="PVW5" s="496"/>
      <c r="PVX5" s="496"/>
      <c r="PVY5" s="496"/>
      <c r="PVZ5" s="496"/>
      <c r="PWA5" s="496"/>
      <c r="PWB5" s="496"/>
      <c r="PWC5" s="496"/>
      <c r="PWD5" s="496"/>
      <c r="PWE5" s="496"/>
      <c r="PWF5" s="496"/>
      <c r="PWG5" s="496"/>
      <c r="PWH5" s="496"/>
      <c r="PWI5" s="496"/>
      <c r="PWJ5" s="496"/>
      <c r="PWK5" s="496"/>
      <c r="PWL5" s="496"/>
      <c r="PWM5" s="496"/>
      <c r="PWN5" s="496"/>
      <c r="PWO5" s="496"/>
      <c r="PWP5" s="496"/>
      <c r="PWQ5" s="496"/>
      <c r="PWR5" s="496"/>
      <c r="PWS5" s="496"/>
      <c r="PWT5" s="496"/>
      <c r="PWU5" s="496"/>
      <c r="PWV5" s="496"/>
      <c r="PWW5" s="496"/>
      <c r="PWX5" s="496"/>
      <c r="PWY5" s="496"/>
      <c r="PWZ5" s="496"/>
      <c r="PXA5" s="496"/>
      <c r="PXB5" s="496"/>
      <c r="PXC5" s="496"/>
      <c r="PXD5" s="496"/>
      <c r="PXE5" s="496"/>
      <c r="PXF5" s="496"/>
      <c r="PXG5" s="496"/>
      <c r="PXH5" s="496"/>
      <c r="PXI5" s="496"/>
      <c r="PXJ5" s="496"/>
      <c r="PXK5" s="496"/>
      <c r="PXL5" s="496"/>
      <c r="PXM5" s="496"/>
      <c r="PXN5" s="496"/>
      <c r="PXO5" s="496"/>
      <c r="PXP5" s="496"/>
      <c r="PXQ5" s="496"/>
      <c r="PXR5" s="496"/>
      <c r="PXS5" s="496"/>
      <c r="PXT5" s="496"/>
      <c r="PXU5" s="496"/>
      <c r="PXV5" s="496"/>
      <c r="PXW5" s="496"/>
      <c r="PXX5" s="496"/>
      <c r="PXY5" s="496"/>
      <c r="PXZ5" s="496"/>
      <c r="PYA5" s="496"/>
      <c r="PYB5" s="496"/>
      <c r="PYC5" s="496"/>
      <c r="PYD5" s="496"/>
      <c r="PYE5" s="496"/>
      <c r="PYF5" s="496"/>
      <c r="PYG5" s="496"/>
      <c r="PYH5" s="496"/>
      <c r="PYI5" s="496"/>
      <c r="PYJ5" s="496"/>
      <c r="PYK5" s="496"/>
      <c r="PYL5" s="496"/>
      <c r="PYM5" s="496"/>
      <c r="PYN5" s="496"/>
      <c r="PYO5" s="496"/>
      <c r="PYP5" s="496"/>
      <c r="PYQ5" s="496"/>
      <c r="PYR5" s="496"/>
      <c r="PYS5" s="496"/>
      <c r="PYT5" s="496"/>
      <c r="PYU5" s="496"/>
      <c r="PYV5" s="496"/>
      <c r="PYW5" s="496"/>
      <c r="PYX5" s="496"/>
      <c r="PYY5" s="496"/>
      <c r="PYZ5" s="496"/>
      <c r="PZA5" s="496"/>
      <c r="PZB5" s="496"/>
      <c r="PZC5" s="496"/>
      <c r="PZD5" s="496"/>
      <c r="PZE5" s="496"/>
      <c r="PZF5" s="496"/>
      <c r="PZG5" s="496"/>
      <c r="PZH5" s="496"/>
      <c r="PZI5" s="496"/>
      <c r="PZJ5" s="496"/>
      <c r="PZK5" s="496"/>
      <c r="PZL5" s="496"/>
      <c r="PZM5" s="496"/>
      <c r="PZN5" s="496"/>
      <c r="PZO5" s="496"/>
      <c r="PZP5" s="496"/>
      <c r="PZQ5" s="496"/>
      <c r="PZR5" s="496"/>
      <c r="PZS5" s="496"/>
      <c r="PZT5" s="496"/>
      <c r="PZU5" s="496"/>
      <c r="PZV5" s="496"/>
      <c r="PZW5" s="496"/>
      <c r="PZX5" s="496"/>
      <c r="PZY5" s="496"/>
      <c r="PZZ5" s="496"/>
      <c r="QAA5" s="496"/>
      <c r="QAB5" s="496"/>
      <c r="QAC5" s="496"/>
      <c r="QAD5" s="496"/>
      <c r="QAE5" s="496"/>
      <c r="QAF5" s="496"/>
      <c r="QAG5" s="496"/>
      <c r="QAH5" s="496"/>
      <c r="QAI5" s="496"/>
      <c r="QAJ5" s="496"/>
      <c r="QAK5" s="496"/>
      <c r="QAL5" s="496"/>
      <c r="QAM5" s="496"/>
      <c r="QAN5" s="496"/>
      <c r="QAO5" s="496"/>
      <c r="QAP5" s="496"/>
      <c r="QAQ5" s="496"/>
      <c r="QAR5" s="496"/>
      <c r="QAS5" s="496"/>
      <c r="QAT5" s="496"/>
      <c r="QAU5" s="496"/>
      <c r="QAV5" s="496"/>
      <c r="QAW5" s="496"/>
      <c r="QAX5" s="496"/>
      <c r="QAY5" s="496"/>
      <c r="QAZ5" s="496"/>
      <c r="QBA5" s="496"/>
      <c r="QBB5" s="496"/>
      <c r="QBC5" s="496"/>
      <c r="QBD5" s="496"/>
      <c r="QBE5" s="496"/>
      <c r="QBF5" s="496"/>
      <c r="QBG5" s="496"/>
      <c r="QBH5" s="496"/>
      <c r="QBI5" s="496"/>
      <c r="QBJ5" s="496"/>
      <c r="QBK5" s="496"/>
      <c r="QBL5" s="496"/>
      <c r="QBM5" s="496"/>
      <c r="QBN5" s="496"/>
      <c r="QBO5" s="496"/>
      <c r="QBP5" s="496"/>
      <c r="QBQ5" s="496"/>
      <c r="QBR5" s="496"/>
      <c r="QBS5" s="496"/>
      <c r="QBT5" s="496"/>
      <c r="QBU5" s="496"/>
      <c r="QBV5" s="496"/>
      <c r="QBW5" s="496"/>
      <c r="QBX5" s="496"/>
      <c r="QBY5" s="496"/>
      <c r="QBZ5" s="496"/>
      <c r="QCA5" s="496"/>
      <c r="QCB5" s="496"/>
      <c r="QCC5" s="496"/>
      <c r="QCD5" s="496"/>
      <c r="QCE5" s="496"/>
      <c r="QCF5" s="496"/>
      <c r="QCG5" s="496"/>
      <c r="QCH5" s="496"/>
      <c r="QCI5" s="496"/>
      <c r="QCJ5" s="496"/>
      <c r="QCK5" s="496"/>
      <c r="QCL5" s="496"/>
      <c r="QCM5" s="496"/>
      <c r="QCN5" s="496"/>
      <c r="QCO5" s="496"/>
      <c r="QCP5" s="496"/>
      <c r="QCQ5" s="496"/>
      <c r="QCR5" s="496"/>
      <c r="QCS5" s="496"/>
      <c r="QCT5" s="496"/>
      <c r="QCU5" s="496"/>
      <c r="QCV5" s="496"/>
      <c r="QCW5" s="496"/>
      <c r="QCX5" s="496"/>
      <c r="QCY5" s="496"/>
      <c r="QCZ5" s="496"/>
      <c r="QDA5" s="496"/>
      <c r="QDB5" s="496"/>
      <c r="QDC5" s="496"/>
      <c r="QDD5" s="496"/>
      <c r="QDE5" s="496"/>
      <c r="QDF5" s="496"/>
      <c r="QDG5" s="496"/>
      <c r="QDH5" s="496"/>
      <c r="QDI5" s="496"/>
      <c r="QDJ5" s="496"/>
      <c r="QDK5" s="496"/>
      <c r="QDL5" s="496"/>
      <c r="QDM5" s="496"/>
      <c r="QDN5" s="496"/>
      <c r="QDO5" s="496"/>
      <c r="QDP5" s="496"/>
      <c r="QDQ5" s="496"/>
      <c r="QDR5" s="496"/>
      <c r="QDS5" s="496"/>
      <c r="QDT5" s="496"/>
      <c r="QDU5" s="496"/>
      <c r="QDV5" s="496"/>
      <c r="QDW5" s="496"/>
      <c r="QDX5" s="496"/>
      <c r="QDY5" s="496"/>
      <c r="QDZ5" s="496"/>
      <c r="QEA5" s="496"/>
      <c r="QEB5" s="496"/>
      <c r="QEC5" s="496"/>
      <c r="QED5" s="496"/>
      <c r="QEE5" s="496"/>
      <c r="QEF5" s="496"/>
      <c r="QEG5" s="496"/>
      <c r="QEH5" s="496"/>
      <c r="QEI5" s="496"/>
      <c r="QEJ5" s="496"/>
      <c r="QEK5" s="496"/>
      <c r="QEL5" s="496"/>
      <c r="QEM5" s="496"/>
      <c r="QEN5" s="496"/>
      <c r="QEO5" s="496"/>
      <c r="QEP5" s="496"/>
      <c r="QEQ5" s="496"/>
      <c r="QER5" s="496"/>
      <c r="QES5" s="496"/>
      <c r="QET5" s="496"/>
      <c r="QEU5" s="496"/>
      <c r="QEV5" s="496"/>
      <c r="QEW5" s="496"/>
      <c r="QEX5" s="496"/>
      <c r="QEY5" s="496"/>
      <c r="QEZ5" s="496"/>
      <c r="QFA5" s="496"/>
      <c r="QFB5" s="496"/>
      <c r="QFC5" s="496"/>
      <c r="QFD5" s="496"/>
      <c r="QFE5" s="496"/>
      <c r="QFF5" s="496"/>
      <c r="QFG5" s="496"/>
      <c r="QFH5" s="496"/>
      <c r="QFI5" s="496"/>
      <c r="QFJ5" s="496"/>
      <c r="QFK5" s="496"/>
      <c r="QFL5" s="496"/>
      <c r="QFM5" s="496"/>
      <c r="QFN5" s="496"/>
      <c r="QFO5" s="496"/>
      <c r="QFP5" s="496"/>
      <c r="QFQ5" s="496"/>
      <c r="QFR5" s="496"/>
      <c r="QFS5" s="496"/>
      <c r="QFT5" s="496"/>
      <c r="QFU5" s="496"/>
      <c r="QFV5" s="496"/>
      <c r="QFW5" s="496"/>
      <c r="QFX5" s="496"/>
      <c r="QFY5" s="496"/>
      <c r="QFZ5" s="496"/>
      <c r="QGA5" s="496"/>
      <c r="QGB5" s="496"/>
      <c r="QGC5" s="496"/>
      <c r="QGD5" s="496"/>
      <c r="QGE5" s="496"/>
      <c r="QGF5" s="496"/>
      <c r="QGG5" s="496"/>
      <c r="QGH5" s="496"/>
      <c r="QGI5" s="496"/>
      <c r="QGJ5" s="496"/>
      <c r="QGK5" s="496"/>
      <c r="QGL5" s="496"/>
      <c r="QGM5" s="496"/>
      <c r="QGN5" s="496"/>
      <c r="QGO5" s="496"/>
      <c r="QGP5" s="496"/>
      <c r="QGQ5" s="496"/>
      <c r="QGR5" s="496"/>
      <c r="QGS5" s="496"/>
      <c r="QGT5" s="496"/>
      <c r="QGU5" s="496"/>
      <c r="QGV5" s="496"/>
      <c r="QGW5" s="496"/>
      <c r="QGX5" s="496"/>
      <c r="QGY5" s="496"/>
      <c r="QGZ5" s="496"/>
      <c r="QHA5" s="496"/>
      <c r="QHB5" s="496"/>
      <c r="QHC5" s="496"/>
      <c r="QHD5" s="496"/>
      <c r="QHE5" s="496"/>
      <c r="QHF5" s="496"/>
      <c r="QHG5" s="496"/>
      <c r="QHH5" s="496"/>
      <c r="QHI5" s="496"/>
      <c r="QHJ5" s="496"/>
      <c r="QHK5" s="496"/>
      <c r="QHL5" s="496"/>
      <c r="QHM5" s="496"/>
      <c r="QHN5" s="496"/>
      <c r="QHO5" s="496"/>
      <c r="QHP5" s="496"/>
      <c r="QHQ5" s="496"/>
      <c r="QHR5" s="496"/>
      <c r="QHS5" s="496"/>
      <c r="QHT5" s="496"/>
      <c r="QHU5" s="496"/>
      <c r="QHV5" s="496"/>
      <c r="QHW5" s="496"/>
      <c r="QHX5" s="496"/>
      <c r="QHY5" s="496"/>
      <c r="QHZ5" s="496"/>
      <c r="QIA5" s="496"/>
      <c r="QIB5" s="496"/>
      <c r="QIC5" s="496"/>
      <c r="QID5" s="496"/>
      <c r="QIE5" s="496"/>
      <c r="QIF5" s="496"/>
      <c r="QIG5" s="496"/>
      <c r="QIH5" s="496"/>
      <c r="QII5" s="496"/>
      <c r="QIJ5" s="496"/>
      <c r="QIK5" s="496"/>
      <c r="QIL5" s="496"/>
      <c r="QIM5" s="496"/>
      <c r="QIN5" s="496"/>
      <c r="QIO5" s="496"/>
      <c r="QIP5" s="496"/>
      <c r="QIQ5" s="496"/>
      <c r="QIR5" s="496"/>
      <c r="QIS5" s="496"/>
      <c r="QIT5" s="496"/>
      <c r="QIU5" s="496"/>
      <c r="QIV5" s="496"/>
      <c r="QIW5" s="496"/>
      <c r="QIX5" s="496"/>
      <c r="QIY5" s="496"/>
      <c r="QIZ5" s="496"/>
      <c r="QJA5" s="496"/>
      <c r="QJB5" s="496"/>
      <c r="QJC5" s="496"/>
      <c r="QJD5" s="496"/>
      <c r="QJE5" s="496"/>
      <c r="QJF5" s="496"/>
      <c r="QJG5" s="496"/>
      <c r="QJH5" s="496"/>
      <c r="QJI5" s="496"/>
      <c r="QJJ5" s="496"/>
      <c r="QJK5" s="496"/>
      <c r="QJL5" s="496"/>
      <c r="QJM5" s="496"/>
      <c r="QJN5" s="496"/>
      <c r="QJO5" s="496"/>
      <c r="QJP5" s="496"/>
      <c r="QJQ5" s="496"/>
      <c r="QJR5" s="496"/>
      <c r="QJS5" s="496"/>
      <c r="QJT5" s="496"/>
      <c r="QJU5" s="496"/>
      <c r="QJV5" s="496"/>
      <c r="QJW5" s="496"/>
      <c r="QJX5" s="496"/>
      <c r="QJY5" s="496"/>
      <c r="QJZ5" s="496"/>
      <c r="QKA5" s="496"/>
      <c r="QKB5" s="496"/>
      <c r="QKC5" s="496"/>
      <c r="QKD5" s="496"/>
      <c r="QKE5" s="496"/>
      <c r="QKF5" s="496"/>
      <c r="QKG5" s="496"/>
      <c r="QKH5" s="496"/>
      <c r="QKI5" s="496"/>
      <c r="QKJ5" s="496"/>
      <c r="QKK5" s="496"/>
      <c r="QKL5" s="496"/>
      <c r="QKM5" s="496"/>
      <c r="QKN5" s="496"/>
      <c r="QKO5" s="496"/>
      <c r="QKP5" s="496"/>
      <c r="QKQ5" s="496"/>
      <c r="QKR5" s="496"/>
      <c r="QKS5" s="496"/>
      <c r="QKT5" s="496"/>
      <c r="QKU5" s="496"/>
      <c r="QKV5" s="496"/>
      <c r="QKW5" s="496"/>
      <c r="QKX5" s="496"/>
      <c r="QKY5" s="496"/>
      <c r="QKZ5" s="496"/>
      <c r="QLA5" s="496"/>
      <c r="QLB5" s="496"/>
      <c r="QLC5" s="496"/>
      <c r="QLD5" s="496"/>
      <c r="QLE5" s="496"/>
      <c r="QLF5" s="496"/>
      <c r="QLG5" s="496"/>
      <c r="QLH5" s="496"/>
      <c r="QLI5" s="496"/>
      <c r="QLJ5" s="496"/>
      <c r="QLK5" s="496"/>
      <c r="QLL5" s="496"/>
      <c r="QLM5" s="496"/>
      <c r="QLN5" s="496"/>
      <c r="QLO5" s="496"/>
      <c r="QLP5" s="496"/>
      <c r="QLQ5" s="496"/>
      <c r="QLR5" s="496"/>
      <c r="QLS5" s="496"/>
      <c r="QLT5" s="496"/>
      <c r="QLU5" s="496"/>
      <c r="QLV5" s="496"/>
      <c r="QLW5" s="496"/>
      <c r="QLX5" s="496"/>
      <c r="QLY5" s="496"/>
      <c r="QLZ5" s="496"/>
      <c r="QMA5" s="496"/>
      <c r="QMB5" s="496"/>
      <c r="QMC5" s="496"/>
      <c r="QMD5" s="496"/>
      <c r="QME5" s="496"/>
      <c r="QMF5" s="496"/>
      <c r="QMG5" s="496"/>
      <c r="QMH5" s="496"/>
      <c r="QMI5" s="496"/>
      <c r="QMJ5" s="496"/>
      <c r="QMK5" s="496"/>
      <c r="QML5" s="496"/>
      <c r="QMM5" s="496"/>
      <c r="QMN5" s="496"/>
      <c r="QMO5" s="496"/>
      <c r="QMP5" s="496"/>
      <c r="QMQ5" s="496"/>
      <c r="QMR5" s="496"/>
      <c r="QMS5" s="496"/>
      <c r="QMT5" s="496"/>
      <c r="QMU5" s="496"/>
      <c r="QMV5" s="496"/>
      <c r="QMW5" s="496"/>
      <c r="QMX5" s="496"/>
      <c r="QMY5" s="496"/>
      <c r="QMZ5" s="496"/>
      <c r="QNA5" s="496"/>
      <c r="QNB5" s="496"/>
      <c r="QNC5" s="496"/>
      <c r="QND5" s="496"/>
      <c r="QNE5" s="496"/>
      <c r="QNF5" s="496"/>
      <c r="QNG5" s="496"/>
      <c r="QNH5" s="496"/>
      <c r="QNI5" s="496"/>
      <c r="QNJ5" s="496"/>
      <c r="QNK5" s="496"/>
      <c r="QNL5" s="496"/>
      <c r="QNM5" s="496"/>
      <c r="QNN5" s="496"/>
      <c r="QNO5" s="496"/>
      <c r="QNP5" s="496"/>
      <c r="QNQ5" s="496"/>
      <c r="QNR5" s="496"/>
      <c r="QNS5" s="496"/>
      <c r="QNT5" s="496"/>
      <c r="QNU5" s="496"/>
      <c r="QNV5" s="496"/>
      <c r="QNW5" s="496"/>
      <c r="QNX5" s="496"/>
      <c r="QNY5" s="496"/>
      <c r="QNZ5" s="496"/>
      <c r="QOA5" s="496"/>
      <c r="QOB5" s="496"/>
      <c r="QOC5" s="496"/>
      <c r="QOD5" s="496"/>
      <c r="QOE5" s="496"/>
      <c r="QOF5" s="496"/>
      <c r="QOG5" s="496"/>
      <c r="QOH5" s="496"/>
      <c r="QOI5" s="496"/>
      <c r="QOJ5" s="496"/>
      <c r="QOK5" s="496"/>
      <c r="QOL5" s="496"/>
      <c r="QOM5" s="496"/>
      <c r="QON5" s="496"/>
      <c r="QOO5" s="496"/>
      <c r="QOP5" s="496"/>
      <c r="QOQ5" s="496"/>
      <c r="QOR5" s="496"/>
      <c r="QOS5" s="496"/>
      <c r="QOT5" s="496"/>
      <c r="QOU5" s="496"/>
      <c r="QOV5" s="496"/>
      <c r="QOW5" s="496"/>
      <c r="QOX5" s="496"/>
      <c r="QOY5" s="496"/>
      <c r="QOZ5" s="496"/>
      <c r="QPA5" s="496"/>
      <c r="QPB5" s="496"/>
      <c r="QPC5" s="496"/>
      <c r="QPD5" s="496"/>
      <c r="QPE5" s="496"/>
      <c r="QPF5" s="496"/>
      <c r="QPG5" s="496"/>
      <c r="QPH5" s="496"/>
      <c r="QPI5" s="496"/>
      <c r="QPJ5" s="496"/>
      <c r="QPK5" s="496"/>
      <c r="QPL5" s="496"/>
      <c r="QPM5" s="496"/>
      <c r="QPN5" s="496"/>
      <c r="QPO5" s="496"/>
      <c r="QPP5" s="496"/>
      <c r="QPQ5" s="496"/>
      <c r="QPR5" s="496"/>
      <c r="QPS5" s="496"/>
      <c r="QPT5" s="496"/>
      <c r="QPU5" s="496"/>
      <c r="QPV5" s="496"/>
      <c r="QPW5" s="496"/>
      <c r="QPX5" s="496"/>
      <c r="QPY5" s="496"/>
      <c r="QPZ5" s="496"/>
      <c r="QQA5" s="496"/>
      <c r="QQB5" s="496"/>
      <c r="QQC5" s="496"/>
      <c r="QQD5" s="496"/>
      <c r="QQE5" s="496"/>
      <c r="QQF5" s="496"/>
      <c r="QQG5" s="496"/>
      <c r="QQH5" s="496"/>
      <c r="QQI5" s="496"/>
      <c r="QQJ5" s="496"/>
      <c r="QQK5" s="496"/>
      <c r="QQL5" s="496"/>
      <c r="QQM5" s="496"/>
      <c r="QQN5" s="496"/>
      <c r="QQO5" s="496"/>
      <c r="QQP5" s="496"/>
      <c r="QQQ5" s="496"/>
      <c r="QQR5" s="496"/>
      <c r="QQS5" s="496"/>
      <c r="QQT5" s="496"/>
      <c r="QQU5" s="496"/>
      <c r="QQV5" s="496"/>
      <c r="QQW5" s="496"/>
      <c r="QQX5" s="496"/>
      <c r="QQY5" s="496"/>
      <c r="QQZ5" s="496"/>
      <c r="QRA5" s="496"/>
      <c r="QRB5" s="496"/>
      <c r="QRC5" s="496"/>
      <c r="QRD5" s="496"/>
      <c r="QRE5" s="496"/>
      <c r="QRF5" s="496"/>
      <c r="QRG5" s="496"/>
      <c r="QRH5" s="496"/>
      <c r="QRI5" s="496"/>
      <c r="QRJ5" s="496"/>
      <c r="QRK5" s="496"/>
      <c r="QRL5" s="496"/>
      <c r="QRM5" s="496"/>
      <c r="QRN5" s="496"/>
      <c r="QRO5" s="496"/>
      <c r="QRP5" s="496"/>
      <c r="QRQ5" s="496"/>
      <c r="QRR5" s="496"/>
      <c r="QRS5" s="496"/>
      <c r="QRT5" s="496"/>
      <c r="QRU5" s="496"/>
      <c r="QRV5" s="496"/>
      <c r="QRW5" s="496"/>
      <c r="QRX5" s="496"/>
      <c r="QRY5" s="496"/>
      <c r="QRZ5" s="496"/>
      <c r="QSA5" s="496"/>
      <c r="QSB5" s="496"/>
      <c r="QSC5" s="496"/>
      <c r="QSD5" s="496"/>
      <c r="QSE5" s="496"/>
      <c r="QSF5" s="496"/>
      <c r="QSG5" s="496"/>
      <c r="QSH5" s="496"/>
      <c r="QSI5" s="496"/>
      <c r="QSJ5" s="496"/>
      <c r="QSK5" s="496"/>
      <c r="QSL5" s="496"/>
      <c r="QSM5" s="496"/>
      <c r="QSN5" s="496"/>
      <c r="QSO5" s="496"/>
      <c r="QSP5" s="496"/>
      <c r="QSQ5" s="496"/>
      <c r="QSR5" s="496"/>
      <c r="QSS5" s="496"/>
      <c r="QST5" s="496"/>
      <c r="QSU5" s="496"/>
      <c r="QSV5" s="496"/>
      <c r="QSW5" s="496"/>
      <c r="QSX5" s="496"/>
      <c r="QSY5" s="496"/>
      <c r="QSZ5" s="496"/>
      <c r="QTA5" s="496"/>
      <c r="QTB5" s="496"/>
      <c r="QTC5" s="496"/>
      <c r="QTD5" s="496"/>
      <c r="QTE5" s="496"/>
      <c r="QTF5" s="496"/>
      <c r="QTG5" s="496"/>
      <c r="QTH5" s="496"/>
      <c r="QTI5" s="496"/>
      <c r="QTJ5" s="496"/>
      <c r="QTK5" s="496"/>
      <c r="QTL5" s="496"/>
      <c r="QTM5" s="496"/>
      <c r="QTN5" s="496"/>
      <c r="QTO5" s="496"/>
      <c r="QTP5" s="496"/>
      <c r="QTQ5" s="496"/>
      <c r="QTR5" s="496"/>
      <c r="QTS5" s="496"/>
      <c r="QTT5" s="496"/>
      <c r="QTU5" s="496"/>
      <c r="QTV5" s="496"/>
      <c r="QTW5" s="496"/>
      <c r="QTX5" s="496"/>
      <c r="QTY5" s="496"/>
      <c r="QTZ5" s="496"/>
      <c r="QUA5" s="496"/>
      <c r="QUB5" s="496"/>
      <c r="QUC5" s="496"/>
      <c r="QUD5" s="496"/>
      <c r="QUE5" s="496"/>
      <c r="QUF5" s="496"/>
      <c r="QUG5" s="496"/>
      <c r="QUH5" s="496"/>
      <c r="QUI5" s="496"/>
      <c r="QUJ5" s="496"/>
      <c r="QUK5" s="496"/>
      <c r="QUL5" s="496"/>
      <c r="QUM5" s="496"/>
      <c r="QUN5" s="496"/>
      <c r="QUO5" s="496"/>
      <c r="QUP5" s="496"/>
      <c r="QUQ5" s="496"/>
      <c r="QUR5" s="496"/>
      <c r="QUS5" s="496"/>
      <c r="QUT5" s="496"/>
      <c r="QUU5" s="496"/>
      <c r="QUV5" s="496"/>
      <c r="QUW5" s="496"/>
      <c r="QUX5" s="496"/>
      <c r="QUY5" s="496"/>
      <c r="QUZ5" s="496"/>
      <c r="QVA5" s="496"/>
      <c r="QVB5" s="496"/>
      <c r="QVC5" s="496"/>
      <c r="QVD5" s="496"/>
      <c r="QVE5" s="496"/>
      <c r="QVF5" s="496"/>
      <c r="QVG5" s="496"/>
      <c r="QVH5" s="496"/>
      <c r="QVI5" s="496"/>
      <c r="QVJ5" s="496"/>
      <c r="QVK5" s="496"/>
      <c r="QVL5" s="496"/>
      <c r="QVM5" s="496"/>
      <c r="QVN5" s="496"/>
      <c r="QVO5" s="496"/>
      <c r="QVP5" s="496"/>
      <c r="QVQ5" s="496"/>
      <c r="QVR5" s="496"/>
      <c r="QVS5" s="496"/>
      <c r="QVT5" s="496"/>
      <c r="QVU5" s="496"/>
      <c r="QVV5" s="496"/>
      <c r="QVW5" s="496"/>
      <c r="QVX5" s="496"/>
      <c r="QVY5" s="496"/>
      <c r="QVZ5" s="496"/>
      <c r="QWA5" s="496"/>
      <c r="QWB5" s="496"/>
      <c r="QWC5" s="496"/>
      <c r="QWD5" s="496"/>
      <c r="QWE5" s="496"/>
      <c r="QWF5" s="496"/>
      <c r="QWG5" s="496"/>
      <c r="QWH5" s="496"/>
      <c r="QWI5" s="496"/>
      <c r="QWJ5" s="496"/>
      <c r="QWK5" s="496"/>
      <c r="QWL5" s="496"/>
      <c r="QWM5" s="496"/>
      <c r="QWN5" s="496"/>
      <c r="QWO5" s="496"/>
      <c r="QWP5" s="496"/>
      <c r="QWQ5" s="496"/>
      <c r="QWR5" s="496"/>
      <c r="QWS5" s="496"/>
      <c r="QWT5" s="496"/>
      <c r="QWU5" s="496"/>
      <c r="QWV5" s="496"/>
      <c r="QWW5" s="496"/>
      <c r="QWX5" s="496"/>
      <c r="QWY5" s="496"/>
      <c r="QWZ5" s="496"/>
      <c r="QXA5" s="496"/>
      <c r="QXB5" s="496"/>
      <c r="QXC5" s="496"/>
      <c r="QXD5" s="496"/>
      <c r="QXE5" s="496"/>
      <c r="QXF5" s="496"/>
      <c r="QXG5" s="496"/>
      <c r="QXH5" s="496"/>
      <c r="QXI5" s="496"/>
      <c r="QXJ5" s="496"/>
      <c r="QXK5" s="496"/>
      <c r="QXL5" s="496"/>
      <c r="QXM5" s="496"/>
      <c r="QXN5" s="496"/>
      <c r="QXO5" s="496"/>
      <c r="QXP5" s="496"/>
      <c r="QXQ5" s="496"/>
      <c r="QXR5" s="496"/>
      <c r="QXS5" s="496"/>
      <c r="QXT5" s="496"/>
      <c r="QXU5" s="496"/>
      <c r="QXV5" s="496"/>
      <c r="QXW5" s="496"/>
      <c r="QXX5" s="496"/>
      <c r="QXY5" s="496"/>
      <c r="QXZ5" s="496"/>
      <c r="QYA5" s="496"/>
      <c r="QYB5" s="496"/>
      <c r="QYC5" s="496"/>
      <c r="QYD5" s="496"/>
      <c r="QYE5" s="496"/>
      <c r="QYF5" s="496"/>
      <c r="QYG5" s="496"/>
      <c r="QYH5" s="496"/>
      <c r="QYI5" s="496"/>
      <c r="QYJ5" s="496"/>
      <c r="QYK5" s="496"/>
      <c r="QYL5" s="496"/>
      <c r="QYM5" s="496"/>
      <c r="QYN5" s="496"/>
      <c r="QYO5" s="496"/>
      <c r="QYP5" s="496"/>
      <c r="QYQ5" s="496"/>
      <c r="QYR5" s="496"/>
      <c r="QYS5" s="496"/>
      <c r="QYT5" s="496"/>
      <c r="QYU5" s="496"/>
      <c r="QYV5" s="496"/>
      <c r="QYW5" s="496"/>
      <c r="QYX5" s="496"/>
      <c r="QYY5" s="496"/>
      <c r="QYZ5" s="496"/>
      <c r="QZA5" s="496"/>
      <c r="QZB5" s="496"/>
      <c r="QZC5" s="496"/>
      <c r="QZD5" s="496"/>
      <c r="QZE5" s="496"/>
      <c r="QZF5" s="496"/>
      <c r="QZG5" s="496"/>
      <c r="QZH5" s="496"/>
      <c r="QZI5" s="496"/>
      <c r="QZJ5" s="496"/>
      <c r="QZK5" s="496"/>
      <c r="QZL5" s="496"/>
      <c r="QZM5" s="496"/>
      <c r="QZN5" s="496"/>
      <c r="QZO5" s="496"/>
      <c r="QZP5" s="496"/>
      <c r="QZQ5" s="496"/>
      <c r="QZR5" s="496"/>
      <c r="QZS5" s="496"/>
      <c r="QZT5" s="496"/>
      <c r="QZU5" s="496"/>
      <c r="QZV5" s="496"/>
      <c r="QZW5" s="496"/>
      <c r="QZX5" s="496"/>
      <c r="QZY5" s="496"/>
      <c r="QZZ5" s="496"/>
      <c r="RAA5" s="496"/>
      <c r="RAB5" s="496"/>
      <c r="RAC5" s="496"/>
      <c r="RAD5" s="496"/>
      <c r="RAE5" s="496"/>
      <c r="RAF5" s="496"/>
      <c r="RAG5" s="496"/>
      <c r="RAH5" s="496"/>
      <c r="RAI5" s="496"/>
      <c r="RAJ5" s="496"/>
      <c r="RAK5" s="496"/>
      <c r="RAL5" s="496"/>
      <c r="RAM5" s="496"/>
      <c r="RAN5" s="496"/>
      <c r="RAO5" s="496"/>
      <c r="RAP5" s="496"/>
      <c r="RAQ5" s="496"/>
      <c r="RAR5" s="496"/>
      <c r="RAS5" s="496"/>
      <c r="RAT5" s="496"/>
      <c r="RAU5" s="496"/>
      <c r="RAV5" s="496"/>
      <c r="RAW5" s="496"/>
      <c r="RAX5" s="496"/>
      <c r="RAY5" s="496"/>
      <c r="RAZ5" s="496"/>
      <c r="RBA5" s="496"/>
      <c r="RBB5" s="496"/>
      <c r="RBC5" s="496"/>
      <c r="RBD5" s="496"/>
      <c r="RBE5" s="496"/>
      <c r="RBF5" s="496"/>
      <c r="RBG5" s="496"/>
      <c r="RBH5" s="496"/>
      <c r="RBI5" s="496"/>
      <c r="RBJ5" s="496"/>
      <c r="RBK5" s="496"/>
      <c r="RBL5" s="496"/>
      <c r="RBM5" s="496"/>
      <c r="RBN5" s="496"/>
      <c r="RBO5" s="496"/>
      <c r="RBP5" s="496"/>
      <c r="RBQ5" s="496"/>
      <c r="RBR5" s="496"/>
      <c r="RBS5" s="496"/>
      <c r="RBT5" s="496"/>
      <c r="RBU5" s="496"/>
      <c r="RBV5" s="496"/>
      <c r="RBW5" s="496"/>
      <c r="RBX5" s="496"/>
      <c r="RBY5" s="496"/>
      <c r="RBZ5" s="496"/>
      <c r="RCA5" s="496"/>
      <c r="RCB5" s="496"/>
      <c r="RCC5" s="496"/>
      <c r="RCD5" s="496"/>
      <c r="RCE5" s="496"/>
      <c r="RCF5" s="496"/>
      <c r="RCG5" s="496"/>
      <c r="RCH5" s="496"/>
      <c r="RCI5" s="496"/>
      <c r="RCJ5" s="496"/>
      <c r="RCK5" s="496"/>
      <c r="RCL5" s="496"/>
      <c r="RCM5" s="496"/>
      <c r="RCN5" s="496"/>
      <c r="RCO5" s="496"/>
      <c r="RCP5" s="496"/>
      <c r="RCQ5" s="496"/>
      <c r="RCR5" s="496"/>
      <c r="RCS5" s="496"/>
      <c r="RCT5" s="496"/>
      <c r="RCU5" s="496"/>
      <c r="RCV5" s="496"/>
      <c r="RCW5" s="496"/>
      <c r="RCX5" s="496"/>
      <c r="RCY5" s="496"/>
      <c r="RCZ5" s="496"/>
      <c r="RDA5" s="496"/>
      <c r="RDB5" s="496"/>
      <c r="RDC5" s="496"/>
      <c r="RDD5" s="496"/>
      <c r="RDE5" s="496"/>
      <c r="RDF5" s="496"/>
      <c r="RDG5" s="496"/>
      <c r="RDH5" s="496"/>
      <c r="RDI5" s="496"/>
      <c r="RDJ5" s="496"/>
      <c r="RDK5" s="496"/>
      <c r="RDL5" s="496"/>
      <c r="RDM5" s="496"/>
      <c r="RDN5" s="496"/>
      <c r="RDO5" s="496"/>
      <c r="RDP5" s="496"/>
      <c r="RDQ5" s="496"/>
      <c r="RDR5" s="496"/>
      <c r="RDS5" s="496"/>
      <c r="RDT5" s="496"/>
      <c r="RDU5" s="496"/>
      <c r="RDV5" s="496"/>
      <c r="RDW5" s="496"/>
      <c r="RDX5" s="496"/>
      <c r="RDY5" s="496"/>
      <c r="RDZ5" s="496"/>
      <c r="REA5" s="496"/>
      <c r="REB5" s="496"/>
      <c r="REC5" s="496"/>
      <c r="RED5" s="496"/>
      <c r="REE5" s="496"/>
      <c r="REF5" s="496"/>
      <c r="REG5" s="496"/>
      <c r="REH5" s="496"/>
      <c r="REI5" s="496"/>
      <c r="REJ5" s="496"/>
      <c r="REK5" s="496"/>
      <c r="REL5" s="496"/>
      <c r="REM5" s="496"/>
      <c r="REN5" s="496"/>
      <c r="REO5" s="496"/>
      <c r="REP5" s="496"/>
      <c r="REQ5" s="496"/>
      <c r="RER5" s="496"/>
      <c r="RES5" s="496"/>
      <c r="RET5" s="496"/>
      <c r="REU5" s="496"/>
      <c r="REV5" s="496"/>
      <c r="REW5" s="496"/>
      <c r="REX5" s="496"/>
      <c r="REY5" s="496"/>
      <c r="REZ5" s="496"/>
      <c r="RFA5" s="496"/>
      <c r="RFB5" s="496"/>
      <c r="RFC5" s="496"/>
      <c r="RFD5" s="496"/>
      <c r="RFE5" s="496"/>
      <c r="RFF5" s="496"/>
      <c r="RFG5" s="496"/>
      <c r="RFH5" s="496"/>
      <c r="RFI5" s="496"/>
      <c r="RFJ5" s="496"/>
      <c r="RFK5" s="496"/>
      <c r="RFL5" s="496"/>
      <c r="RFM5" s="496"/>
      <c r="RFN5" s="496"/>
      <c r="RFO5" s="496"/>
      <c r="RFP5" s="496"/>
      <c r="RFQ5" s="496"/>
      <c r="RFR5" s="496"/>
      <c r="RFS5" s="496"/>
      <c r="RFT5" s="496"/>
      <c r="RFU5" s="496"/>
      <c r="RFV5" s="496"/>
      <c r="RFW5" s="496"/>
      <c r="RFX5" s="496"/>
      <c r="RFY5" s="496"/>
      <c r="RFZ5" s="496"/>
      <c r="RGA5" s="496"/>
      <c r="RGB5" s="496"/>
      <c r="RGC5" s="496"/>
      <c r="RGD5" s="496"/>
      <c r="RGE5" s="496"/>
      <c r="RGF5" s="496"/>
      <c r="RGG5" s="496"/>
      <c r="RGH5" s="496"/>
      <c r="RGI5" s="496"/>
      <c r="RGJ5" s="496"/>
      <c r="RGK5" s="496"/>
      <c r="RGL5" s="496"/>
      <c r="RGM5" s="496"/>
      <c r="RGN5" s="496"/>
      <c r="RGO5" s="496"/>
      <c r="RGP5" s="496"/>
      <c r="RGQ5" s="496"/>
      <c r="RGR5" s="496"/>
      <c r="RGS5" s="496"/>
      <c r="RGT5" s="496"/>
      <c r="RGU5" s="496"/>
      <c r="RGV5" s="496"/>
      <c r="RGW5" s="496"/>
      <c r="RGX5" s="496"/>
      <c r="RGY5" s="496"/>
      <c r="RGZ5" s="496"/>
      <c r="RHA5" s="496"/>
      <c r="RHB5" s="496"/>
      <c r="RHC5" s="496"/>
      <c r="RHD5" s="496"/>
      <c r="RHE5" s="496"/>
      <c r="RHF5" s="496"/>
      <c r="RHG5" s="496"/>
      <c r="RHH5" s="496"/>
      <c r="RHI5" s="496"/>
      <c r="RHJ5" s="496"/>
      <c r="RHK5" s="496"/>
      <c r="RHL5" s="496"/>
      <c r="RHM5" s="496"/>
      <c r="RHN5" s="496"/>
      <c r="RHO5" s="496"/>
      <c r="RHP5" s="496"/>
      <c r="RHQ5" s="496"/>
      <c r="RHR5" s="496"/>
      <c r="RHS5" s="496"/>
      <c r="RHT5" s="496"/>
      <c r="RHU5" s="496"/>
      <c r="RHV5" s="496"/>
      <c r="RHW5" s="496"/>
      <c r="RHX5" s="496"/>
      <c r="RHY5" s="496"/>
      <c r="RHZ5" s="496"/>
      <c r="RIA5" s="496"/>
      <c r="RIB5" s="496"/>
      <c r="RIC5" s="496"/>
      <c r="RID5" s="496"/>
      <c r="RIE5" s="496"/>
      <c r="RIF5" s="496"/>
      <c r="RIG5" s="496"/>
      <c r="RIH5" s="496"/>
      <c r="RII5" s="496"/>
      <c r="RIJ5" s="496"/>
      <c r="RIK5" s="496"/>
      <c r="RIL5" s="496"/>
      <c r="RIM5" s="496"/>
      <c r="RIN5" s="496"/>
      <c r="RIO5" s="496"/>
      <c r="RIP5" s="496"/>
      <c r="RIQ5" s="496"/>
      <c r="RIR5" s="496"/>
      <c r="RIS5" s="496"/>
      <c r="RIT5" s="496"/>
      <c r="RIU5" s="496"/>
      <c r="RIV5" s="496"/>
      <c r="RIW5" s="496"/>
      <c r="RIX5" s="496"/>
      <c r="RIY5" s="496"/>
      <c r="RIZ5" s="496"/>
      <c r="RJA5" s="496"/>
      <c r="RJB5" s="496"/>
      <c r="RJC5" s="496"/>
      <c r="RJD5" s="496"/>
      <c r="RJE5" s="496"/>
      <c r="RJF5" s="496"/>
      <c r="RJG5" s="496"/>
      <c r="RJH5" s="496"/>
      <c r="RJI5" s="496"/>
      <c r="RJJ5" s="496"/>
      <c r="RJK5" s="496"/>
      <c r="RJL5" s="496"/>
      <c r="RJM5" s="496"/>
      <c r="RJN5" s="496"/>
      <c r="RJO5" s="496"/>
      <c r="RJP5" s="496"/>
      <c r="RJQ5" s="496"/>
      <c r="RJR5" s="496"/>
      <c r="RJS5" s="496"/>
      <c r="RJT5" s="496"/>
      <c r="RJU5" s="496"/>
      <c r="RJV5" s="496"/>
      <c r="RJW5" s="496"/>
      <c r="RJX5" s="496"/>
      <c r="RJY5" s="496"/>
      <c r="RJZ5" s="496"/>
      <c r="RKA5" s="496"/>
      <c r="RKB5" s="496"/>
      <c r="RKC5" s="496"/>
      <c r="RKD5" s="496"/>
      <c r="RKE5" s="496"/>
      <c r="RKF5" s="496"/>
      <c r="RKG5" s="496"/>
      <c r="RKH5" s="496"/>
      <c r="RKI5" s="496"/>
      <c r="RKJ5" s="496"/>
      <c r="RKK5" s="496"/>
      <c r="RKL5" s="496"/>
      <c r="RKM5" s="496"/>
      <c r="RKN5" s="496"/>
      <c r="RKO5" s="496"/>
      <c r="RKP5" s="496"/>
      <c r="RKQ5" s="496"/>
      <c r="RKR5" s="496"/>
      <c r="RKS5" s="496"/>
      <c r="RKT5" s="496"/>
      <c r="RKU5" s="496"/>
      <c r="RKV5" s="496"/>
      <c r="RKW5" s="496"/>
      <c r="RKX5" s="496"/>
      <c r="RKY5" s="496"/>
      <c r="RKZ5" s="496"/>
      <c r="RLA5" s="496"/>
      <c r="RLB5" s="496"/>
      <c r="RLC5" s="496"/>
      <c r="RLD5" s="496"/>
      <c r="RLE5" s="496"/>
      <c r="RLF5" s="496"/>
      <c r="RLG5" s="496"/>
      <c r="RLH5" s="496"/>
      <c r="RLI5" s="496"/>
      <c r="RLJ5" s="496"/>
      <c r="RLK5" s="496"/>
      <c r="RLL5" s="496"/>
      <c r="RLM5" s="496"/>
      <c r="RLN5" s="496"/>
      <c r="RLO5" s="496"/>
      <c r="RLP5" s="496"/>
      <c r="RLQ5" s="496"/>
      <c r="RLR5" s="496"/>
      <c r="RLS5" s="496"/>
      <c r="RLT5" s="496"/>
      <c r="RLU5" s="496"/>
      <c r="RLV5" s="496"/>
      <c r="RLW5" s="496"/>
      <c r="RLX5" s="496"/>
      <c r="RLY5" s="496"/>
      <c r="RLZ5" s="496"/>
      <c r="RMA5" s="496"/>
      <c r="RMB5" s="496"/>
      <c r="RMC5" s="496"/>
      <c r="RMD5" s="496"/>
      <c r="RME5" s="496"/>
      <c r="RMF5" s="496"/>
      <c r="RMG5" s="496"/>
      <c r="RMH5" s="496"/>
      <c r="RMI5" s="496"/>
      <c r="RMJ5" s="496"/>
      <c r="RMK5" s="496"/>
      <c r="RML5" s="496"/>
      <c r="RMM5" s="496"/>
      <c r="RMN5" s="496"/>
      <c r="RMO5" s="496"/>
      <c r="RMP5" s="496"/>
      <c r="RMQ5" s="496"/>
      <c r="RMR5" s="496"/>
      <c r="RMS5" s="496"/>
      <c r="RMT5" s="496"/>
      <c r="RMU5" s="496"/>
      <c r="RMV5" s="496"/>
      <c r="RMW5" s="496"/>
      <c r="RMX5" s="496"/>
      <c r="RMY5" s="496"/>
      <c r="RMZ5" s="496"/>
      <c r="RNA5" s="496"/>
      <c r="RNB5" s="496"/>
      <c r="RNC5" s="496"/>
      <c r="RND5" s="496"/>
      <c r="RNE5" s="496"/>
      <c r="RNF5" s="496"/>
      <c r="RNG5" s="496"/>
      <c r="RNH5" s="496"/>
      <c r="RNI5" s="496"/>
      <c r="RNJ5" s="496"/>
      <c r="RNK5" s="496"/>
      <c r="RNL5" s="496"/>
      <c r="RNM5" s="496"/>
      <c r="RNN5" s="496"/>
      <c r="RNO5" s="496"/>
      <c r="RNP5" s="496"/>
      <c r="RNQ5" s="496"/>
      <c r="RNR5" s="496"/>
      <c r="RNS5" s="496"/>
      <c r="RNT5" s="496"/>
      <c r="RNU5" s="496"/>
      <c r="RNV5" s="496"/>
      <c r="RNW5" s="496"/>
      <c r="RNX5" s="496"/>
      <c r="RNY5" s="496"/>
      <c r="RNZ5" s="496"/>
      <c r="ROA5" s="496"/>
      <c r="ROB5" s="496"/>
      <c r="ROC5" s="496"/>
      <c r="ROD5" s="496"/>
      <c r="ROE5" s="496"/>
      <c r="ROF5" s="496"/>
      <c r="ROG5" s="496"/>
      <c r="ROH5" s="496"/>
      <c r="ROI5" s="496"/>
      <c r="ROJ5" s="496"/>
      <c r="ROK5" s="496"/>
      <c r="ROL5" s="496"/>
      <c r="ROM5" s="496"/>
      <c r="RON5" s="496"/>
      <c r="ROO5" s="496"/>
      <c r="ROP5" s="496"/>
      <c r="ROQ5" s="496"/>
      <c r="ROR5" s="496"/>
      <c r="ROS5" s="496"/>
      <c r="ROT5" s="496"/>
      <c r="ROU5" s="496"/>
      <c r="ROV5" s="496"/>
      <c r="ROW5" s="496"/>
      <c r="ROX5" s="496"/>
      <c r="ROY5" s="496"/>
      <c r="ROZ5" s="496"/>
      <c r="RPA5" s="496"/>
      <c r="RPB5" s="496"/>
      <c r="RPC5" s="496"/>
      <c r="RPD5" s="496"/>
      <c r="RPE5" s="496"/>
      <c r="RPF5" s="496"/>
      <c r="RPG5" s="496"/>
      <c r="RPH5" s="496"/>
      <c r="RPI5" s="496"/>
      <c r="RPJ5" s="496"/>
      <c r="RPK5" s="496"/>
      <c r="RPL5" s="496"/>
      <c r="RPM5" s="496"/>
      <c r="RPN5" s="496"/>
      <c r="RPO5" s="496"/>
      <c r="RPP5" s="496"/>
      <c r="RPQ5" s="496"/>
      <c r="RPR5" s="496"/>
      <c r="RPS5" s="496"/>
      <c r="RPT5" s="496"/>
      <c r="RPU5" s="496"/>
      <c r="RPV5" s="496"/>
      <c r="RPW5" s="496"/>
      <c r="RPX5" s="496"/>
      <c r="RPY5" s="496"/>
      <c r="RPZ5" s="496"/>
      <c r="RQA5" s="496"/>
      <c r="RQB5" s="496"/>
      <c r="RQC5" s="496"/>
      <c r="RQD5" s="496"/>
      <c r="RQE5" s="496"/>
      <c r="RQF5" s="496"/>
      <c r="RQG5" s="496"/>
      <c r="RQH5" s="496"/>
      <c r="RQI5" s="496"/>
      <c r="RQJ5" s="496"/>
      <c r="RQK5" s="496"/>
      <c r="RQL5" s="496"/>
      <c r="RQM5" s="496"/>
      <c r="RQN5" s="496"/>
      <c r="RQO5" s="496"/>
      <c r="RQP5" s="496"/>
      <c r="RQQ5" s="496"/>
      <c r="RQR5" s="496"/>
      <c r="RQS5" s="496"/>
      <c r="RQT5" s="496"/>
      <c r="RQU5" s="496"/>
      <c r="RQV5" s="496"/>
      <c r="RQW5" s="496"/>
      <c r="RQX5" s="496"/>
      <c r="RQY5" s="496"/>
      <c r="RQZ5" s="496"/>
      <c r="RRA5" s="496"/>
      <c r="RRB5" s="496"/>
      <c r="RRC5" s="496"/>
      <c r="RRD5" s="496"/>
      <c r="RRE5" s="496"/>
      <c r="RRF5" s="496"/>
      <c r="RRG5" s="496"/>
      <c r="RRH5" s="496"/>
      <c r="RRI5" s="496"/>
      <c r="RRJ5" s="496"/>
      <c r="RRK5" s="496"/>
      <c r="RRL5" s="496"/>
      <c r="RRM5" s="496"/>
      <c r="RRN5" s="496"/>
      <c r="RRO5" s="496"/>
      <c r="RRP5" s="496"/>
      <c r="RRQ5" s="496"/>
      <c r="RRR5" s="496"/>
      <c r="RRS5" s="496"/>
      <c r="RRT5" s="496"/>
      <c r="RRU5" s="496"/>
      <c r="RRV5" s="496"/>
      <c r="RRW5" s="496"/>
      <c r="RRX5" s="496"/>
      <c r="RRY5" s="496"/>
      <c r="RRZ5" s="496"/>
      <c r="RSA5" s="496"/>
      <c r="RSB5" s="496"/>
      <c r="RSC5" s="496"/>
      <c r="RSD5" s="496"/>
      <c r="RSE5" s="496"/>
      <c r="RSF5" s="496"/>
      <c r="RSG5" s="496"/>
      <c r="RSH5" s="496"/>
      <c r="RSI5" s="496"/>
      <c r="RSJ5" s="496"/>
      <c r="RSK5" s="496"/>
      <c r="RSL5" s="496"/>
      <c r="RSM5" s="496"/>
      <c r="RSN5" s="496"/>
      <c r="RSO5" s="496"/>
      <c r="RSP5" s="496"/>
      <c r="RSQ5" s="496"/>
      <c r="RSR5" s="496"/>
      <c r="RSS5" s="496"/>
      <c r="RST5" s="496"/>
      <c r="RSU5" s="496"/>
      <c r="RSV5" s="496"/>
      <c r="RSW5" s="496"/>
      <c r="RSX5" s="496"/>
      <c r="RSY5" s="496"/>
      <c r="RSZ5" s="496"/>
      <c r="RTA5" s="496"/>
      <c r="RTB5" s="496"/>
      <c r="RTC5" s="496"/>
      <c r="RTD5" s="496"/>
      <c r="RTE5" s="496"/>
      <c r="RTF5" s="496"/>
      <c r="RTG5" s="496"/>
      <c r="RTH5" s="496"/>
      <c r="RTI5" s="496"/>
      <c r="RTJ5" s="496"/>
      <c r="RTK5" s="496"/>
      <c r="RTL5" s="496"/>
      <c r="RTM5" s="496"/>
      <c r="RTN5" s="496"/>
      <c r="RTO5" s="496"/>
      <c r="RTP5" s="496"/>
      <c r="RTQ5" s="496"/>
      <c r="RTR5" s="496"/>
      <c r="RTS5" s="496"/>
      <c r="RTT5" s="496"/>
      <c r="RTU5" s="496"/>
      <c r="RTV5" s="496"/>
      <c r="RTW5" s="496"/>
      <c r="RTX5" s="496"/>
      <c r="RTY5" s="496"/>
      <c r="RTZ5" s="496"/>
      <c r="RUA5" s="496"/>
      <c r="RUB5" s="496"/>
      <c r="RUC5" s="496"/>
      <c r="RUD5" s="496"/>
      <c r="RUE5" s="496"/>
      <c r="RUF5" s="496"/>
      <c r="RUG5" s="496"/>
      <c r="RUH5" s="496"/>
      <c r="RUI5" s="496"/>
      <c r="RUJ5" s="496"/>
      <c r="RUK5" s="496"/>
      <c r="RUL5" s="496"/>
      <c r="RUM5" s="496"/>
      <c r="RUN5" s="496"/>
      <c r="RUO5" s="496"/>
      <c r="RUP5" s="496"/>
      <c r="RUQ5" s="496"/>
      <c r="RUR5" s="496"/>
      <c r="RUS5" s="496"/>
      <c r="RUT5" s="496"/>
      <c r="RUU5" s="496"/>
      <c r="RUV5" s="496"/>
      <c r="RUW5" s="496"/>
      <c r="RUX5" s="496"/>
      <c r="RUY5" s="496"/>
      <c r="RUZ5" s="496"/>
      <c r="RVA5" s="496"/>
      <c r="RVB5" s="496"/>
      <c r="RVC5" s="496"/>
      <c r="RVD5" s="496"/>
      <c r="RVE5" s="496"/>
      <c r="RVF5" s="496"/>
      <c r="RVG5" s="496"/>
      <c r="RVH5" s="496"/>
      <c r="RVI5" s="496"/>
      <c r="RVJ5" s="496"/>
      <c r="RVK5" s="496"/>
      <c r="RVL5" s="496"/>
      <c r="RVM5" s="496"/>
      <c r="RVN5" s="496"/>
      <c r="RVO5" s="496"/>
      <c r="RVP5" s="496"/>
      <c r="RVQ5" s="496"/>
      <c r="RVR5" s="496"/>
      <c r="RVS5" s="496"/>
      <c r="RVT5" s="496"/>
      <c r="RVU5" s="496"/>
      <c r="RVV5" s="496"/>
      <c r="RVW5" s="496"/>
      <c r="RVX5" s="496"/>
      <c r="RVY5" s="496"/>
      <c r="RVZ5" s="496"/>
      <c r="RWA5" s="496"/>
      <c r="RWB5" s="496"/>
      <c r="RWC5" s="496"/>
      <c r="RWD5" s="496"/>
      <c r="RWE5" s="496"/>
      <c r="RWF5" s="496"/>
      <c r="RWG5" s="496"/>
      <c r="RWH5" s="496"/>
      <c r="RWI5" s="496"/>
      <c r="RWJ5" s="496"/>
      <c r="RWK5" s="496"/>
      <c r="RWL5" s="496"/>
      <c r="RWM5" s="496"/>
      <c r="RWN5" s="496"/>
      <c r="RWO5" s="496"/>
      <c r="RWP5" s="496"/>
      <c r="RWQ5" s="496"/>
      <c r="RWR5" s="496"/>
      <c r="RWS5" s="496"/>
      <c r="RWT5" s="496"/>
      <c r="RWU5" s="496"/>
      <c r="RWV5" s="496"/>
      <c r="RWW5" s="496"/>
      <c r="RWX5" s="496"/>
      <c r="RWY5" s="496"/>
      <c r="RWZ5" s="496"/>
      <c r="RXA5" s="496"/>
      <c r="RXB5" s="496"/>
      <c r="RXC5" s="496"/>
      <c r="RXD5" s="496"/>
      <c r="RXE5" s="496"/>
      <c r="RXF5" s="496"/>
      <c r="RXG5" s="496"/>
      <c r="RXH5" s="496"/>
      <c r="RXI5" s="496"/>
      <c r="RXJ5" s="496"/>
      <c r="RXK5" s="496"/>
      <c r="RXL5" s="496"/>
      <c r="RXM5" s="496"/>
      <c r="RXN5" s="496"/>
      <c r="RXO5" s="496"/>
      <c r="RXP5" s="496"/>
      <c r="RXQ5" s="496"/>
      <c r="RXR5" s="496"/>
      <c r="RXS5" s="496"/>
      <c r="RXT5" s="496"/>
      <c r="RXU5" s="496"/>
      <c r="RXV5" s="496"/>
      <c r="RXW5" s="496"/>
      <c r="RXX5" s="496"/>
      <c r="RXY5" s="496"/>
      <c r="RXZ5" s="496"/>
      <c r="RYA5" s="496"/>
      <c r="RYB5" s="496"/>
      <c r="RYC5" s="496"/>
      <c r="RYD5" s="496"/>
      <c r="RYE5" s="496"/>
      <c r="RYF5" s="496"/>
      <c r="RYG5" s="496"/>
      <c r="RYH5" s="496"/>
      <c r="RYI5" s="496"/>
      <c r="RYJ5" s="496"/>
      <c r="RYK5" s="496"/>
      <c r="RYL5" s="496"/>
      <c r="RYM5" s="496"/>
      <c r="RYN5" s="496"/>
      <c r="RYO5" s="496"/>
      <c r="RYP5" s="496"/>
      <c r="RYQ5" s="496"/>
      <c r="RYR5" s="496"/>
      <c r="RYS5" s="496"/>
      <c r="RYT5" s="496"/>
      <c r="RYU5" s="496"/>
      <c r="RYV5" s="496"/>
      <c r="RYW5" s="496"/>
      <c r="RYX5" s="496"/>
      <c r="RYY5" s="496"/>
      <c r="RYZ5" s="496"/>
      <c r="RZA5" s="496"/>
      <c r="RZB5" s="496"/>
      <c r="RZC5" s="496"/>
      <c r="RZD5" s="496"/>
      <c r="RZE5" s="496"/>
      <c r="RZF5" s="496"/>
      <c r="RZG5" s="496"/>
      <c r="RZH5" s="496"/>
      <c r="RZI5" s="496"/>
      <c r="RZJ5" s="496"/>
      <c r="RZK5" s="496"/>
      <c r="RZL5" s="496"/>
      <c r="RZM5" s="496"/>
      <c r="RZN5" s="496"/>
      <c r="RZO5" s="496"/>
      <c r="RZP5" s="496"/>
      <c r="RZQ5" s="496"/>
      <c r="RZR5" s="496"/>
      <c r="RZS5" s="496"/>
      <c r="RZT5" s="496"/>
      <c r="RZU5" s="496"/>
      <c r="RZV5" s="496"/>
      <c r="RZW5" s="496"/>
      <c r="RZX5" s="496"/>
      <c r="RZY5" s="496"/>
      <c r="RZZ5" s="496"/>
      <c r="SAA5" s="496"/>
      <c r="SAB5" s="496"/>
      <c r="SAC5" s="496"/>
      <c r="SAD5" s="496"/>
      <c r="SAE5" s="496"/>
      <c r="SAF5" s="496"/>
      <c r="SAG5" s="496"/>
      <c r="SAH5" s="496"/>
      <c r="SAI5" s="496"/>
      <c r="SAJ5" s="496"/>
      <c r="SAK5" s="496"/>
      <c r="SAL5" s="496"/>
      <c r="SAM5" s="496"/>
      <c r="SAN5" s="496"/>
      <c r="SAO5" s="496"/>
      <c r="SAP5" s="496"/>
      <c r="SAQ5" s="496"/>
      <c r="SAR5" s="496"/>
      <c r="SAS5" s="496"/>
      <c r="SAT5" s="496"/>
      <c r="SAU5" s="496"/>
      <c r="SAV5" s="496"/>
      <c r="SAW5" s="496"/>
      <c r="SAX5" s="496"/>
      <c r="SAY5" s="496"/>
      <c r="SAZ5" s="496"/>
      <c r="SBA5" s="496"/>
      <c r="SBB5" s="496"/>
      <c r="SBC5" s="496"/>
      <c r="SBD5" s="496"/>
      <c r="SBE5" s="496"/>
      <c r="SBF5" s="496"/>
      <c r="SBG5" s="496"/>
      <c r="SBH5" s="496"/>
      <c r="SBI5" s="496"/>
      <c r="SBJ5" s="496"/>
      <c r="SBK5" s="496"/>
      <c r="SBL5" s="496"/>
      <c r="SBM5" s="496"/>
      <c r="SBN5" s="496"/>
      <c r="SBO5" s="496"/>
      <c r="SBP5" s="496"/>
      <c r="SBQ5" s="496"/>
      <c r="SBR5" s="496"/>
      <c r="SBS5" s="496"/>
      <c r="SBT5" s="496"/>
      <c r="SBU5" s="496"/>
      <c r="SBV5" s="496"/>
      <c r="SBW5" s="496"/>
      <c r="SBX5" s="496"/>
      <c r="SBY5" s="496"/>
      <c r="SBZ5" s="496"/>
      <c r="SCA5" s="496"/>
      <c r="SCB5" s="496"/>
      <c r="SCC5" s="496"/>
      <c r="SCD5" s="496"/>
      <c r="SCE5" s="496"/>
      <c r="SCF5" s="496"/>
      <c r="SCG5" s="496"/>
      <c r="SCH5" s="496"/>
      <c r="SCI5" s="496"/>
      <c r="SCJ5" s="496"/>
      <c r="SCK5" s="496"/>
      <c r="SCL5" s="496"/>
      <c r="SCM5" s="496"/>
      <c r="SCN5" s="496"/>
      <c r="SCO5" s="496"/>
      <c r="SCP5" s="496"/>
      <c r="SCQ5" s="496"/>
      <c r="SCR5" s="496"/>
      <c r="SCS5" s="496"/>
      <c r="SCT5" s="496"/>
      <c r="SCU5" s="496"/>
      <c r="SCV5" s="496"/>
      <c r="SCW5" s="496"/>
      <c r="SCX5" s="496"/>
      <c r="SCY5" s="496"/>
      <c r="SCZ5" s="496"/>
      <c r="SDA5" s="496"/>
      <c r="SDB5" s="496"/>
      <c r="SDC5" s="496"/>
      <c r="SDD5" s="496"/>
      <c r="SDE5" s="496"/>
      <c r="SDF5" s="496"/>
      <c r="SDG5" s="496"/>
      <c r="SDH5" s="496"/>
      <c r="SDI5" s="496"/>
      <c r="SDJ5" s="496"/>
      <c r="SDK5" s="496"/>
      <c r="SDL5" s="496"/>
      <c r="SDM5" s="496"/>
      <c r="SDN5" s="496"/>
      <c r="SDO5" s="496"/>
      <c r="SDP5" s="496"/>
      <c r="SDQ5" s="496"/>
      <c r="SDR5" s="496"/>
      <c r="SDS5" s="496"/>
      <c r="SDT5" s="496"/>
      <c r="SDU5" s="496"/>
      <c r="SDV5" s="496"/>
      <c r="SDW5" s="496"/>
      <c r="SDX5" s="496"/>
      <c r="SDY5" s="496"/>
      <c r="SDZ5" s="496"/>
      <c r="SEA5" s="496"/>
      <c r="SEB5" s="496"/>
      <c r="SEC5" s="496"/>
      <c r="SED5" s="496"/>
      <c r="SEE5" s="496"/>
      <c r="SEF5" s="496"/>
      <c r="SEG5" s="496"/>
      <c r="SEH5" s="496"/>
      <c r="SEI5" s="496"/>
      <c r="SEJ5" s="496"/>
      <c r="SEK5" s="496"/>
      <c r="SEL5" s="496"/>
      <c r="SEM5" s="496"/>
      <c r="SEN5" s="496"/>
      <c r="SEO5" s="496"/>
      <c r="SEP5" s="496"/>
      <c r="SEQ5" s="496"/>
      <c r="SER5" s="496"/>
      <c r="SES5" s="496"/>
      <c r="SET5" s="496"/>
      <c r="SEU5" s="496"/>
      <c r="SEV5" s="496"/>
      <c r="SEW5" s="496"/>
      <c r="SEX5" s="496"/>
      <c r="SEY5" s="496"/>
      <c r="SEZ5" s="496"/>
      <c r="SFA5" s="496"/>
      <c r="SFB5" s="496"/>
      <c r="SFC5" s="496"/>
      <c r="SFD5" s="496"/>
      <c r="SFE5" s="496"/>
      <c r="SFF5" s="496"/>
      <c r="SFG5" s="496"/>
      <c r="SFH5" s="496"/>
      <c r="SFI5" s="496"/>
      <c r="SFJ5" s="496"/>
      <c r="SFK5" s="496"/>
      <c r="SFL5" s="496"/>
      <c r="SFM5" s="496"/>
      <c r="SFN5" s="496"/>
      <c r="SFO5" s="496"/>
      <c r="SFP5" s="496"/>
      <c r="SFQ5" s="496"/>
      <c r="SFR5" s="496"/>
      <c r="SFS5" s="496"/>
      <c r="SFT5" s="496"/>
      <c r="SFU5" s="496"/>
      <c r="SFV5" s="496"/>
      <c r="SFW5" s="496"/>
      <c r="SFX5" s="496"/>
      <c r="SFY5" s="496"/>
      <c r="SFZ5" s="496"/>
      <c r="SGA5" s="496"/>
      <c r="SGB5" s="496"/>
      <c r="SGC5" s="496"/>
      <c r="SGD5" s="496"/>
      <c r="SGE5" s="496"/>
      <c r="SGF5" s="496"/>
      <c r="SGG5" s="496"/>
      <c r="SGH5" s="496"/>
      <c r="SGI5" s="496"/>
      <c r="SGJ5" s="496"/>
      <c r="SGK5" s="496"/>
      <c r="SGL5" s="496"/>
      <c r="SGM5" s="496"/>
      <c r="SGN5" s="496"/>
      <c r="SGO5" s="496"/>
      <c r="SGP5" s="496"/>
      <c r="SGQ5" s="496"/>
      <c r="SGR5" s="496"/>
      <c r="SGS5" s="496"/>
      <c r="SGT5" s="496"/>
      <c r="SGU5" s="496"/>
      <c r="SGV5" s="496"/>
      <c r="SGW5" s="496"/>
      <c r="SGX5" s="496"/>
      <c r="SGY5" s="496"/>
      <c r="SGZ5" s="496"/>
      <c r="SHA5" s="496"/>
      <c r="SHB5" s="496"/>
      <c r="SHC5" s="496"/>
      <c r="SHD5" s="496"/>
      <c r="SHE5" s="496"/>
      <c r="SHF5" s="496"/>
      <c r="SHG5" s="496"/>
      <c r="SHH5" s="496"/>
      <c r="SHI5" s="496"/>
      <c r="SHJ5" s="496"/>
      <c r="SHK5" s="496"/>
      <c r="SHL5" s="496"/>
      <c r="SHM5" s="496"/>
      <c r="SHN5" s="496"/>
      <c r="SHO5" s="496"/>
      <c r="SHP5" s="496"/>
      <c r="SHQ5" s="496"/>
      <c r="SHR5" s="496"/>
      <c r="SHS5" s="496"/>
      <c r="SHT5" s="496"/>
      <c r="SHU5" s="496"/>
      <c r="SHV5" s="496"/>
      <c r="SHW5" s="496"/>
      <c r="SHX5" s="496"/>
      <c r="SHY5" s="496"/>
      <c r="SHZ5" s="496"/>
      <c r="SIA5" s="496"/>
      <c r="SIB5" s="496"/>
      <c r="SIC5" s="496"/>
      <c r="SID5" s="496"/>
      <c r="SIE5" s="496"/>
      <c r="SIF5" s="496"/>
      <c r="SIG5" s="496"/>
      <c r="SIH5" s="496"/>
      <c r="SII5" s="496"/>
      <c r="SIJ5" s="496"/>
      <c r="SIK5" s="496"/>
      <c r="SIL5" s="496"/>
      <c r="SIM5" s="496"/>
      <c r="SIN5" s="496"/>
      <c r="SIO5" s="496"/>
      <c r="SIP5" s="496"/>
      <c r="SIQ5" s="496"/>
      <c r="SIR5" s="496"/>
      <c r="SIS5" s="496"/>
      <c r="SIT5" s="496"/>
      <c r="SIU5" s="496"/>
      <c r="SIV5" s="496"/>
      <c r="SIW5" s="496"/>
      <c r="SIX5" s="496"/>
      <c r="SIY5" s="496"/>
      <c r="SIZ5" s="496"/>
      <c r="SJA5" s="496"/>
      <c r="SJB5" s="496"/>
      <c r="SJC5" s="496"/>
      <c r="SJD5" s="496"/>
      <c r="SJE5" s="496"/>
      <c r="SJF5" s="496"/>
      <c r="SJG5" s="496"/>
      <c r="SJH5" s="496"/>
      <c r="SJI5" s="496"/>
      <c r="SJJ5" s="496"/>
      <c r="SJK5" s="496"/>
      <c r="SJL5" s="496"/>
      <c r="SJM5" s="496"/>
      <c r="SJN5" s="496"/>
      <c r="SJO5" s="496"/>
      <c r="SJP5" s="496"/>
      <c r="SJQ5" s="496"/>
      <c r="SJR5" s="496"/>
      <c r="SJS5" s="496"/>
      <c r="SJT5" s="496"/>
      <c r="SJU5" s="496"/>
      <c r="SJV5" s="496"/>
      <c r="SJW5" s="496"/>
      <c r="SJX5" s="496"/>
      <c r="SJY5" s="496"/>
      <c r="SJZ5" s="496"/>
      <c r="SKA5" s="496"/>
      <c r="SKB5" s="496"/>
      <c r="SKC5" s="496"/>
      <c r="SKD5" s="496"/>
      <c r="SKE5" s="496"/>
      <c r="SKF5" s="496"/>
      <c r="SKG5" s="496"/>
      <c r="SKH5" s="496"/>
      <c r="SKI5" s="496"/>
      <c r="SKJ5" s="496"/>
      <c r="SKK5" s="496"/>
      <c r="SKL5" s="496"/>
      <c r="SKM5" s="496"/>
      <c r="SKN5" s="496"/>
      <c r="SKO5" s="496"/>
      <c r="SKP5" s="496"/>
      <c r="SKQ5" s="496"/>
      <c r="SKR5" s="496"/>
      <c r="SKS5" s="496"/>
      <c r="SKT5" s="496"/>
      <c r="SKU5" s="496"/>
      <c r="SKV5" s="496"/>
      <c r="SKW5" s="496"/>
      <c r="SKX5" s="496"/>
      <c r="SKY5" s="496"/>
      <c r="SKZ5" s="496"/>
      <c r="SLA5" s="496"/>
      <c r="SLB5" s="496"/>
      <c r="SLC5" s="496"/>
      <c r="SLD5" s="496"/>
      <c r="SLE5" s="496"/>
      <c r="SLF5" s="496"/>
      <c r="SLG5" s="496"/>
      <c r="SLH5" s="496"/>
      <c r="SLI5" s="496"/>
      <c r="SLJ5" s="496"/>
      <c r="SLK5" s="496"/>
      <c r="SLL5" s="496"/>
      <c r="SLM5" s="496"/>
      <c r="SLN5" s="496"/>
      <c r="SLO5" s="496"/>
      <c r="SLP5" s="496"/>
      <c r="SLQ5" s="496"/>
      <c r="SLR5" s="496"/>
      <c r="SLS5" s="496"/>
      <c r="SLT5" s="496"/>
      <c r="SLU5" s="496"/>
      <c r="SLV5" s="496"/>
      <c r="SLW5" s="496"/>
      <c r="SLX5" s="496"/>
      <c r="SLY5" s="496"/>
      <c r="SLZ5" s="496"/>
      <c r="SMA5" s="496"/>
      <c r="SMB5" s="496"/>
      <c r="SMC5" s="496"/>
      <c r="SMD5" s="496"/>
      <c r="SME5" s="496"/>
      <c r="SMF5" s="496"/>
      <c r="SMG5" s="496"/>
      <c r="SMH5" s="496"/>
      <c r="SMI5" s="496"/>
      <c r="SMJ5" s="496"/>
      <c r="SMK5" s="496"/>
      <c r="SML5" s="496"/>
      <c r="SMM5" s="496"/>
      <c r="SMN5" s="496"/>
      <c r="SMO5" s="496"/>
      <c r="SMP5" s="496"/>
      <c r="SMQ5" s="496"/>
      <c r="SMR5" s="496"/>
      <c r="SMS5" s="496"/>
      <c r="SMT5" s="496"/>
      <c r="SMU5" s="496"/>
      <c r="SMV5" s="496"/>
      <c r="SMW5" s="496"/>
      <c r="SMX5" s="496"/>
      <c r="SMY5" s="496"/>
      <c r="SMZ5" s="496"/>
      <c r="SNA5" s="496"/>
      <c r="SNB5" s="496"/>
      <c r="SNC5" s="496"/>
      <c r="SND5" s="496"/>
      <c r="SNE5" s="496"/>
      <c r="SNF5" s="496"/>
      <c r="SNG5" s="496"/>
      <c r="SNH5" s="496"/>
      <c r="SNI5" s="496"/>
      <c r="SNJ5" s="496"/>
      <c r="SNK5" s="496"/>
      <c r="SNL5" s="496"/>
      <c r="SNM5" s="496"/>
      <c r="SNN5" s="496"/>
      <c r="SNO5" s="496"/>
      <c r="SNP5" s="496"/>
      <c r="SNQ5" s="496"/>
      <c r="SNR5" s="496"/>
      <c r="SNS5" s="496"/>
      <c r="SNT5" s="496"/>
      <c r="SNU5" s="496"/>
      <c r="SNV5" s="496"/>
      <c r="SNW5" s="496"/>
      <c r="SNX5" s="496"/>
      <c r="SNY5" s="496"/>
      <c r="SNZ5" s="496"/>
      <c r="SOA5" s="496"/>
      <c r="SOB5" s="496"/>
      <c r="SOC5" s="496"/>
      <c r="SOD5" s="496"/>
      <c r="SOE5" s="496"/>
      <c r="SOF5" s="496"/>
      <c r="SOG5" s="496"/>
      <c r="SOH5" s="496"/>
      <c r="SOI5" s="496"/>
      <c r="SOJ5" s="496"/>
      <c r="SOK5" s="496"/>
      <c r="SOL5" s="496"/>
      <c r="SOM5" s="496"/>
      <c r="SON5" s="496"/>
      <c r="SOO5" s="496"/>
      <c r="SOP5" s="496"/>
      <c r="SOQ5" s="496"/>
      <c r="SOR5" s="496"/>
      <c r="SOS5" s="496"/>
      <c r="SOT5" s="496"/>
      <c r="SOU5" s="496"/>
      <c r="SOV5" s="496"/>
      <c r="SOW5" s="496"/>
      <c r="SOX5" s="496"/>
      <c r="SOY5" s="496"/>
      <c r="SOZ5" s="496"/>
      <c r="SPA5" s="496"/>
      <c r="SPB5" s="496"/>
      <c r="SPC5" s="496"/>
      <c r="SPD5" s="496"/>
      <c r="SPE5" s="496"/>
      <c r="SPF5" s="496"/>
      <c r="SPG5" s="496"/>
      <c r="SPH5" s="496"/>
      <c r="SPI5" s="496"/>
      <c r="SPJ5" s="496"/>
      <c r="SPK5" s="496"/>
      <c r="SPL5" s="496"/>
      <c r="SPM5" s="496"/>
      <c r="SPN5" s="496"/>
      <c r="SPO5" s="496"/>
      <c r="SPP5" s="496"/>
      <c r="SPQ5" s="496"/>
      <c r="SPR5" s="496"/>
      <c r="SPS5" s="496"/>
      <c r="SPT5" s="496"/>
      <c r="SPU5" s="496"/>
      <c r="SPV5" s="496"/>
      <c r="SPW5" s="496"/>
      <c r="SPX5" s="496"/>
      <c r="SPY5" s="496"/>
      <c r="SPZ5" s="496"/>
      <c r="SQA5" s="496"/>
      <c r="SQB5" s="496"/>
      <c r="SQC5" s="496"/>
      <c r="SQD5" s="496"/>
      <c r="SQE5" s="496"/>
      <c r="SQF5" s="496"/>
      <c r="SQG5" s="496"/>
      <c r="SQH5" s="496"/>
      <c r="SQI5" s="496"/>
      <c r="SQJ5" s="496"/>
      <c r="SQK5" s="496"/>
      <c r="SQL5" s="496"/>
      <c r="SQM5" s="496"/>
      <c r="SQN5" s="496"/>
      <c r="SQO5" s="496"/>
      <c r="SQP5" s="496"/>
      <c r="SQQ5" s="496"/>
      <c r="SQR5" s="496"/>
      <c r="SQS5" s="496"/>
      <c r="SQT5" s="496"/>
      <c r="SQU5" s="496"/>
      <c r="SQV5" s="496"/>
      <c r="SQW5" s="496"/>
      <c r="SQX5" s="496"/>
      <c r="SQY5" s="496"/>
      <c r="SQZ5" s="496"/>
      <c r="SRA5" s="496"/>
      <c r="SRB5" s="496"/>
      <c r="SRC5" s="496"/>
      <c r="SRD5" s="496"/>
      <c r="SRE5" s="496"/>
      <c r="SRF5" s="496"/>
      <c r="SRG5" s="496"/>
      <c r="SRH5" s="496"/>
      <c r="SRI5" s="496"/>
      <c r="SRJ5" s="496"/>
      <c r="SRK5" s="496"/>
      <c r="SRL5" s="496"/>
      <c r="SRM5" s="496"/>
      <c r="SRN5" s="496"/>
      <c r="SRO5" s="496"/>
      <c r="SRP5" s="496"/>
      <c r="SRQ5" s="496"/>
      <c r="SRR5" s="496"/>
      <c r="SRS5" s="496"/>
      <c r="SRT5" s="496"/>
      <c r="SRU5" s="496"/>
      <c r="SRV5" s="496"/>
      <c r="SRW5" s="496"/>
      <c r="SRX5" s="496"/>
      <c r="SRY5" s="496"/>
      <c r="SRZ5" s="496"/>
      <c r="SSA5" s="496"/>
      <c r="SSB5" s="496"/>
      <c r="SSC5" s="496"/>
      <c r="SSD5" s="496"/>
      <c r="SSE5" s="496"/>
      <c r="SSF5" s="496"/>
      <c r="SSG5" s="496"/>
      <c r="SSH5" s="496"/>
      <c r="SSI5" s="496"/>
      <c r="SSJ5" s="496"/>
      <c r="SSK5" s="496"/>
      <c r="SSL5" s="496"/>
      <c r="SSM5" s="496"/>
      <c r="SSN5" s="496"/>
      <c r="SSO5" s="496"/>
      <c r="SSP5" s="496"/>
      <c r="SSQ5" s="496"/>
      <c r="SSR5" s="496"/>
      <c r="SSS5" s="496"/>
      <c r="SST5" s="496"/>
      <c r="SSU5" s="496"/>
      <c r="SSV5" s="496"/>
      <c r="SSW5" s="496"/>
      <c r="SSX5" s="496"/>
      <c r="SSY5" s="496"/>
      <c r="SSZ5" s="496"/>
      <c r="STA5" s="496"/>
      <c r="STB5" s="496"/>
      <c r="STC5" s="496"/>
      <c r="STD5" s="496"/>
      <c r="STE5" s="496"/>
      <c r="STF5" s="496"/>
      <c r="STG5" s="496"/>
      <c r="STH5" s="496"/>
      <c r="STI5" s="496"/>
      <c r="STJ5" s="496"/>
      <c r="STK5" s="496"/>
      <c r="STL5" s="496"/>
      <c r="STM5" s="496"/>
      <c r="STN5" s="496"/>
      <c r="STO5" s="496"/>
      <c r="STP5" s="496"/>
      <c r="STQ5" s="496"/>
      <c r="STR5" s="496"/>
      <c r="STS5" s="496"/>
      <c r="STT5" s="496"/>
      <c r="STU5" s="496"/>
      <c r="STV5" s="496"/>
      <c r="STW5" s="496"/>
      <c r="STX5" s="496"/>
      <c r="STY5" s="496"/>
      <c r="STZ5" s="496"/>
      <c r="SUA5" s="496"/>
      <c r="SUB5" s="496"/>
      <c r="SUC5" s="496"/>
      <c r="SUD5" s="496"/>
      <c r="SUE5" s="496"/>
      <c r="SUF5" s="496"/>
      <c r="SUG5" s="496"/>
      <c r="SUH5" s="496"/>
      <c r="SUI5" s="496"/>
      <c r="SUJ5" s="496"/>
      <c r="SUK5" s="496"/>
      <c r="SUL5" s="496"/>
      <c r="SUM5" s="496"/>
      <c r="SUN5" s="496"/>
      <c r="SUO5" s="496"/>
      <c r="SUP5" s="496"/>
      <c r="SUQ5" s="496"/>
      <c r="SUR5" s="496"/>
      <c r="SUS5" s="496"/>
      <c r="SUT5" s="496"/>
      <c r="SUU5" s="496"/>
      <c r="SUV5" s="496"/>
      <c r="SUW5" s="496"/>
      <c r="SUX5" s="496"/>
      <c r="SUY5" s="496"/>
      <c r="SUZ5" s="496"/>
      <c r="SVA5" s="496"/>
      <c r="SVB5" s="496"/>
      <c r="SVC5" s="496"/>
      <c r="SVD5" s="496"/>
      <c r="SVE5" s="496"/>
      <c r="SVF5" s="496"/>
      <c r="SVG5" s="496"/>
      <c r="SVH5" s="496"/>
      <c r="SVI5" s="496"/>
      <c r="SVJ5" s="496"/>
      <c r="SVK5" s="496"/>
      <c r="SVL5" s="496"/>
      <c r="SVM5" s="496"/>
      <c r="SVN5" s="496"/>
      <c r="SVO5" s="496"/>
      <c r="SVP5" s="496"/>
      <c r="SVQ5" s="496"/>
      <c r="SVR5" s="496"/>
      <c r="SVS5" s="496"/>
      <c r="SVT5" s="496"/>
      <c r="SVU5" s="496"/>
      <c r="SVV5" s="496"/>
      <c r="SVW5" s="496"/>
      <c r="SVX5" s="496"/>
      <c r="SVY5" s="496"/>
      <c r="SVZ5" s="496"/>
      <c r="SWA5" s="496"/>
      <c r="SWB5" s="496"/>
      <c r="SWC5" s="496"/>
      <c r="SWD5" s="496"/>
      <c r="SWE5" s="496"/>
      <c r="SWF5" s="496"/>
      <c r="SWG5" s="496"/>
      <c r="SWH5" s="496"/>
      <c r="SWI5" s="496"/>
      <c r="SWJ5" s="496"/>
      <c r="SWK5" s="496"/>
      <c r="SWL5" s="496"/>
      <c r="SWM5" s="496"/>
      <c r="SWN5" s="496"/>
      <c r="SWO5" s="496"/>
      <c r="SWP5" s="496"/>
      <c r="SWQ5" s="496"/>
      <c r="SWR5" s="496"/>
      <c r="SWS5" s="496"/>
      <c r="SWT5" s="496"/>
      <c r="SWU5" s="496"/>
      <c r="SWV5" s="496"/>
      <c r="SWW5" s="496"/>
      <c r="SWX5" s="496"/>
      <c r="SWY5" s="496"/>
      <c r="SWZ5" s="496"/>
      <c r="SXA5" s="496"/>
      <c r="SXB5" s="496"/>
      <c r="SXC5" s="496"/>
      <c r="SXD5" s="496"/>
      <c r="SXE5" s="496"/>
      <c r="SXF5" s="496"/>
      <c r="SXG5" s="496"/>
      <c r="SXH5" s="496"/>
      <c r="SXI5" s="496"/>
      <c r="SXJ5" s="496"/>
      <c r="SXK5" s="496"/>
      <c r="SXL5" s="496"/>
      <c r="SXM5" s="496"/>
      <c r="SXN5" s="496"/>
      <c r="SXO5" s="496"/>
      <c r="SXP5" s="496"/>
      <c r="SXQ5" s="496"/>
      <c r="SXR5" s="496"/>
      <c r="SXS5" s="496"/>
      <c r="SXT5" s="496"/>
      <c r="SXU5" s="496"/>
      <c r="SXV5" s="496"/>
      <c r="SXW5" s="496"/>
      <c r="SXX5" s="496"/>
      <c r="SXY5" s="496"/>
      <c r="SXZ5" s="496"/>
      <c r="SYA5" s="496"/>
      <c r="SYB5" s="496"/>
      <c r="SYC5" s="496"/>
      <c r="SYD5" s="496"/>
      <c r="SYE5" s="496"/>
      <c r="SYF5" s="496"/>
      <c r="SYG5" s="496"/>
      <c r="SYH5" s="496"/>
      <c r="SYI5" s="496"/>
      <c r="SYJ5" s="496"/>
      <c r="SYK5" s="496"/>
      <c r="SYL5" s="496"/>
      <c r="SYM5" s="496"/>
      <c r="SYN5" s="496"/>
      <c r="SYO5" s="496"/>
      <c r="SYP5" s="496"/>
      <c r="SYQ5" s="496"/>
      <c r="SYR5" s="496"/>
      <c r="SYS5" s="496"/>
      <c r="SYT5" s="496"/>
      <c r="SYU5" s="496"/>
      <c r="SYV5" s="496"/>
      <c r="SYW5" s="496"/>
      <c r="SYX5" s="496"/>
      <c r="SYY5" s="496"/>
      <c r="SYZ5" s="496"/>
      <c r="SZA5" s="496"/>
      <c r="SZB5" s="496"/>
      <c r="SZC5" s="496"/>
      <c r="SZD5" s="496"/>
      <c r="SZE5" s="496"/>
      <c r="SZF5" s="496"/>
      <c r="SZG5" s="496"/>
      <c r="SZH5" s="496"/>
      <c r="SZI5" s="496"/>
      <c r="SZJ5" s="496"/>
      <c r="SZK5" s="496"/>
      <c r="SZL5" s="496"/>
      <c r="SZM5" s="496"/>
      <c r="SZN5" s="496"/>
      <c r="SZO5" s="496"/>
      <c r="SZP5" s="496"/>
      <c r="SZQ5" s="496"/>
      <c r="SZR5" s="496"/>
      <c r="SZS5" s="496"/>
      <c r="SZT5" s="496"/>
      <c r="SZU5" s="496"/>
      <c r="SZV5" s="496"/>
      <c r="SZW5" s="496"/>
      <c r="SZX5" s="496"/>
      <c r="SZY5" s="496"/>
      <c r="SZZ5" s="496"/>
      <c r="TAA5" s="496"/>
      <c r="TAB5" s="496"/>
      <c r="TAC5" s="496"/>
      <c r="TAD5" s="496"/>
      <c r="TAE5" s="496"/>
      <c r="TAF5" s="496"/>
      <c r="TAG5" s="496"/>
      <c r="TAH5" s="496"/>
      <c r="TAI5" s="496"/>
      <c r="TAJ5" s="496"/>
      <c r="TAK5" s="496"/>
      <c r="TAL5" s="496"/>
      <c r="TAM5" s="496"/>
      <c r="TAN5" s="496"/>
      <c r="TAO5" s="496"/>
      <c r="TAP5" s="496"/>
      <c r="TAQ5" s="496"/>
      <c r="TAR5" s="496"/>
      <c r="TAS5" s="496"/>
      <c r="TAT5" s="496"/>
      <c r="TAU5" s="496"/>
      <c r="TAV5" s="496"/>
      <c r="TAW5" s="496"/>
      <c r="TAX5" s="496"/>
      <c r="TAY5" s="496"/>
      <c r="TAZ5" s="496"/>
      <c r="TBA5" s="496"/>
      <c r="TBB5" s="496"/>
      <c r="TBC5" s="496"/>
      <c r="TBD5" s="496"/>
      <c r="TBE5" s="496"/>
      <c r="TBF5" s="496"/>
      <c r="TBG5" s="496"/>
      <c r="TBH5" s="496"/>
      <c r="TBI5" s="496"/>
      <c r="TBJ5" s="496"/>
      <c r="TBK5" s="496"/>
      <c r="TBL5" s="496"/>
      <c r="TBM5" s="496"/>
      <c r="TBN5" s="496"/>
      <c r="TBO5" s="496"/>
      <c r="TBP5" s="496"/>
      <c r="TBQ5" s="496"/>
      <c r="TBR5" s="496"/>
      <c r="TBS5" s="496"/>
      <c r="TBT5" s="496"/>
      <c r="TBU5" s="496"/>
      <c r="TBV5" s="496"/>
      <c r="TBW5" s="496"/>
      <c r="TBX5" s="496"/>
      <c r="TBY5" s="496"/>
      <c r="TBZ5" s="496"/>
      <c r="TCA5" s="496"/>
      <c r="TCB5" s="496"/>
      <c r="TCC5" s="496"/>
      <c r="TCD5" s="496"/>
      <c r="TCE5" s="496"/>
      <c r="TCF5" s="496"/>
      <c r="TCG5" s="496"/>
      <c r="TCH5" s="496"/>
      <c r="TCI5" s="496"/>
      <c r="TCJ5" s="496"/>
      <c r="TCK5" s="496"/>
      <c r="TCL5" s="496"/>
      <c r="TCM5" s="496"/>
      <c r="TCN5" s="496"/>
      <c r="TCO5" s="496"/>
      <c r="TCP5" s="496"/>
      <c r="TCQ5" s="496"/>
      <c r="TCR5" s="496"/>
      <c r="TCS5" s="496"/>
      <c r="TCT5" s="496"/>
      <c r="TCU5" s="496"/>
      <c r="TCV5" s="496"/>
      <c r="TCW5" s="496"/>
      <c r="TCX5" s="496"/>
      <c r="TCY5" s="496"/>
      <c r="TCZ5" s="496"/>
      <c r="TDA5" s="496"/>
      <c r="TDB5" s="496"/>
      <c r="TDC5" s="496"/>
      <c r="TDD5" s="496"/>
      <c r="TDE5" s="496"/>
      <c r="TDF5" s="496"/>
      <c r="TDG5" s="496"/>
      <c r="TDH5" s="496"/>
      <c r="TDI5" s="496"/>
      <c r="TDJ5" s="496"/>
      <c r="TDK5" s="496"/>
      <c r="TDL5" s="496"/>
      <c r="TDM5" s="496"/>
      <c r="TDN5" s="496"/>
      <c r="TDO5" s="496"/>
      <c r="TDP5" s="496"/>
      <c r="TDQ5" s="496"/>
      <c r="TDR5" s="496"/>
      <c r="TDS5" s="496"/>
      <c r="TDT5" s="496"/>
      <c r="TDU5" s="496"/>
      <c r="TDV5" s="496"/>
      <c r="TDW5" s="496"/>
      <c r="TDX5" s="496"/>
      <c r="TDY5" s="496"/>
      <c r="TDZ5" s="496"/>
      <c r="TEA5" s="496"/>
      <c r="TEB5" s="496"/>
      <c r="TEC5" s="496"/>
      <c r="TED5" s="496"/>
      <c r="TEE5" s="496"/>
      <c r="TEF5" s="496"/>
      <c r="TEG5" s="496"/>
      <c r="TEH5" s="496"/>
      <c r="TEI5" s="496"/>
      <c r="TEJ5" s="496"/>
      <c r="TEK5" s="496"/>
      <c r="TEL5" s="496"/>
      <c r="TEM5" s="496"/>
      <c r="TEN5" s="496"/>
      <c r="TEO5" s="496"/>
      <c r="TEP5" s="496"/>
      <c r="TEQ5" s="496"/>
      <c r="TER5" s="496"/>
      <c r="TES5" s="496"/>
      <c r="TET5" s="496"/>
      <c r="TEU5" s="496"/>
      <c r="TEV5" s="496"/>
      <c r="TEW5" s="496"/>
      <c r="TEX5" s="496"/>
      <c r="TEY5" s="496"/>
      <c r="TEZ5" s="496"/>
      <c r="TFA5" s="496"/>
      <c r="TFB5" s="496"/>
      <c r="TFC5" s="496"/>
      <c r="TFD5" s="496"/>
      <c r="TFE5" s="496"/>
      <c r="TFF5" s="496"/>
      <c r="TFG5" s="496"/>
      <c r="TFH5" s="496"/>
      <c r="TFI5" s="496"/>
      <c r="TFJ5" s="496"/>
      <c r="TFK5" s="496"/>
      <c r="TFL5" s="496"/>
      <c r="TFM5" s="496"/>
      <c r="TFN5" s="496"/>
      <c r="TFO5" s="496"/>
      <c r="TFP5" s="496"/>
      <c r="TFQ5" s="496"/>
      <c r="TFR5" s="496"/>
      <c r="TFS5" s="496"/>
      <c r="TFT5" s="496"/>
      <c r="TFU5" s="496"/>
      <c r="TFV5" s="496"/>
      <c r="TFW5" s="496"/>
      <c r="TFX5" s="496"/>
      <c r="TFY5" s="496"/>
      <c r="TFZ5" s="496"/>
      <c r="TGA5" s="496"/>
      <c r="TGB5" s="496"/>
      <c r="TGC5" s="496"/>
      <c r="TGD5" s="496"/>
      <c r="TGE5" s="496"/>
      <c r="TGF5" s="496"/>
      <c r="TGG5" s="496"/>
      <c r="TGH5" s="496"/>
      <c r="TGI5" s="496"/>
      <c r="TGJ5" s="496"/>
      <c r="TGK5" s="496"/>
      <c r="TGL5" s="496"/>
      <c r="TGM5" s="496"/>
      <c r="TGN5" s="496"/>
      <c r="TGO5" s="496"/>
      <c r="TGP5" s="496"/>
      <c r="TGQ5" s="496"/>
      <c r="TGR5" s="496"/>
      <c r="TGS5" s="496"/>
      <c r="TGT5" s="496"/>
      <c r="TGU5" s="496"/>
      <c r="TGV5" s="496"/>
      <c r="TGW5" s="496"/>
      <c r="TGX5" s="496"/>
      <c r="TGY5" s="496"/>
      <c r="TGZ5" s="496"/>
      <c r="THA5" s="496"/>
      <c r="THB5" s="496"/>
      <c r="THC5" s="496"/>
      <c r="THD5" s="496"/>
      <c r="THE5" s="496"/>
      <c r="THF5" s="496"/>
      <c r="THG5" s="496"/>
      <c r="THH5" s="496"/>
      <c r="THI5" s="496"/>
      <c r="THJ5" s="496"/>
      <c r="THK5" s="496"/>
      <c r="THL5" s="496"/>
      <c r="THM5" s="496"/>
      <c r="THN5" s="496"/>
      <c r="THO5" s="496"/>
      <c r="THP5" s="496"/>
      <c r="THQ5" s="496"/>
      <c r="THR5" s="496"/>
      <c r="THS5" s="496"/>
      <c r="THT5" s="496"/>
      <c r="THU5" s="496"/>
      <c r="THV5" s="496"/>
      <c r="THW5" s="496"/>
      <c r="THX5" s="496"/>
      <c r="THY5" s="496"/>
      <c r="THZ5" s="496"/>
      <c r="TIA5" s="496"/>
      <c r="TIB5" s="496"/>
      <c r="TIC5" s="496"/>
      <c r="TID5" s="496"/>
      <c r="TIE5" s="496"/>
      <c r="TIF5" s="496"/>
      <c r="TIG5" s="496"/>
      <c r="TIH5" s="496"/>
      <c r="TII5" s="496"/>
      <c r="TIJ5" s="496"/>
      <c r="TIK5" s="496"/>
      <c r="TIL5" s="496"/>
      <c r="TIM5" s="496"/>
      <c r="TIN5" s="496"/>
      <c r="TIO5" s="496"/>
      <c r="TIP5" s="496"/>
      <c r="TIQ5" s="496"/>
      <c r="TIR5" s="496"/>
      <c r="TIS5" s="496"/>
      <c r="TIT5" s="496"/>
      <c r="TIU5" s="496"/>
      <c r="TIV5" s="496"/>
      <c r="TIW5" s="496"/>
      <c r="TIX5" s="496"/>
      <c r="TIY5" s="496"/>
      <c r="TIZ5" s="496"/>
      <c r="TJA5" s="496"/>
      <c r="TJB5" s="496"/>
      <c r="TJC5" s="496"/>
      <c r="TJD5" s="496"/>
      <c r="TJE5" s="496"/>
      <c r="TJF5" s="496"/>
      <c r="TJG5" s="496"/>
      <c r="TJH5" s="496"/>
      <c r="TJI5" s="496"/>
      <c r="TJJ5" s="496"/>
      <c r="TJK5" s="496"/>
      <c r="TJL5" s="496"/>
      <c r="TJM5" s="496"/>
      <c r="TJN5" s="496"/>
      <c r="TJO5" s="496"/>
      <c r="TJP5" s="496"/>
      <c r="TJQ5" s="496"/>
      <c r="TJR5" s="496"/>
      <c r="TJS5" s="496"/>
      <c r="TJT5" s="496"/>
      <c r="TJU5" s="496"/>
      <c r="TJV5" s="496"/>
      <c r="TJW5" s="496"/>
      <c r="TJX5" s="496"/>
      <c r="TJY5" s="496"/>
      <c r="TJZ5" s="496"/>
      <c r="TKA5" s="496"/>
      <c r="TKB5" s="496"/>
      <c r="TKC5" s="496"/>
      <c r="TKD5" s="496"/>
      <c r="TKE5" s="496"/>
      <c r="TKF5" s="496"/>
      <c r="TKG5" s="496"/>
      <c r="TKH5" s="496"/>
      <c r="TKI5" s="496"/>
      <c r="TKJ5" s="496"/>
      <c r="TKK5" s="496"/>
      <c r="TKL5" s="496"/>
      <c r="TKM5" s="496"/>
      <c r="TKN5" s="496"/>
      <c r="TKO5" s="496"/>
      <c r="TKP5" s="496"/>
      <c r="TKQ5" s="496"/>
      <c r="TKR5" s="496"/>
      <c r="TKS5" s="496"/>
      <c r="TKT5" s="496"/>
      <c r="TKU5" s="496"/>
      <c r="TKV5" s="496"/>
      <c r="TKW5" s="496"/>
      <c r="TKX5" s="496"/>
      <c r="TKY5" s="496"/>
      <c r="TKZ5" s="496"/>
      <c r="TLA5" s="496"/>
      <c r="TLB5" s="496"/>
      <c r="TLC5" s="496"/>
      <c r="TLD5" s="496"/>
      <c r="TLE5" s="496"/>
      <c r="TLF5" s="496"/>
      <c r="TLG5" s="496"/>
      <c r="TLH5" s="496"/>
      <c r="TLI5" s="496"/>
      <c r="TLJ5" s="496"/>
      <c r="TLK5" s="496"/>
      <c r="TLL5" s="496"/>
      <c r="TLM5" s="496"/>
      <c r="TLN5" s="496"/>
      <c r="TLO5" s="496"/>
      <c r="TLP5" s="496"/>
      <c r="TLQ5" s="496"/>
      <c r="TLR5" s="496"/>
      <c r="TLS5" s="496"/>
      <c r="TLT5" s="496"/>
      <c r="TLU5" s="496"/>
      <c r="TLV5" s="496"/>
      <c r="TLW5" s="496"/>
      <c r="TLX5" s="496"/>
      <c r="TLY5" s="496"/>
      <c r="TLZ5" s="496"/>
      <c r="TMA5" s="496"/>
      <c r="TMB5" s="496"/>
      <c r="TMC5" s="496"/>
      <c r="TMD5" s="496"/>
      <c r="TME5" s="496"/>
      <c r="TMF5" s="496"/>
      <c r="TMG5" s="496"/>
      <c r="TMH5" s="496"/>
      <c r="TMI5" s="496"/>
      <c r="TMJ5" s="496"/>
      <c r="TMK5" s="496"/>
      <c r="TML5" s="496"/>
      <c r="TMM5" s="496"/>
      <c r="TMN5" s="496"/>
      <c r="TMO5" s="496"/>
      <c r="TMP5" s="496"/>
      <c r="TMQ5" s="496"/>
      <c r="TMR5" s="496"/>
      <c r="TMS5" s="496"/>
      <c r="TMT5" s="496"/>
      <c r="TMU5" s="496"/>
      <c r="TMV5" s="496"/>
      <c r="TMW5" s="496"/>
      <c r="TMX5" s="496"/>
      <c r="TMY5" s="496"/>
      <c r="TMZ5" s="496"/>
      <c r="TNA5" s="496"/>
      <c r="TNB5" s="496"/>
      <c r="TNC5" s="496"/>
      <c r="TND5" s="496"/>
      <c r="TNE5" s="496"/>
      <c r="TNF5" s="496"/>
      <c r="TNG5" s="496"/>
      <c r="TNH5" s="496"/>
      <c r="TNI5" s="496"/>
      <c r="TNJ5" s="496"/>
      <c r="TNK5" s="496"/>
      <c r="TNL5" s="496"/>
      <c r="TNM5" s="496"/>
      <c r="TNN5" s="496"/>
      <c r="TNO5" s="496"/>
      <c r="TNP5" s="496"/>
      <c r="TNQ5" s="496"/>
      <c r="TNR5" s="496"/>
      <c r="TNS5" s="496"/>
      <c r="TNT5" s="496"/>
      <c r="TNU5" s="496"/>
      <c r="TNV5" s="496"/>
      <c r="TNW5" s="496"/>
      <c r="TNX5" s="496"/>
      <c r="TNY5" s="496"/>
      <c r="TNZ5" s="496"/>
      <c r="TOA5" s="496"/>
      <c r="TOB5" s="496"/>
      <c r="TOC5" s="496"/>
      <c r="TOD5" s="496"/>
      <c r="TOE5" s="496"/>
      <c r="TOF5" s="496"/>
      <c r="TOG5" s="496"/>
      <c r="TOH5" s="496"/>
      <c r="TOI5" s="496"/>
      <c r="TOJ5" s="496"/>
      <c r="TOK5" s="496"/>
      <c r="TOL5" s="496"/>
      <c r="TOM5" s="496"/>
      <c r="TON5" s="496"/>
      <c r="TOO5" s="496"/>
      <c r="TOP5" s="496"/>
      <c r="TOQ5" s="496"/>
      <c r="TOR5" s="496"/>
      <c r="TOS5" s="496"/>
      <c r="TOT5" s="496"/>
      <c r="TOU5" s="496"/>
      <c r="TOV5" s="496"/>
      <c r="TOW5" s="496"/>
      <c r="TOX5" s="496"/>
      <c r="TOY5" s="496"/>
      <c r="TOZ5" s="496"/>
      <c r="TPA5" s="496"/>
      <c r="TPB5" s="496"/>
      <c r="TPC5" s="496"/>
      <c r="TPD5" s="496"/>
      <c r="TPE5" s="496"/>
      <c r="TPF5" s="496"/>
      <c r="TPG5" s="496"/>
      <c r="TPH5" s="496"/>
      <c r="TPI5" s="496"/>
      <c r="TPJ5" s="496"/>
      <c r="TPK5" s="496"/>
      <c r="TPL5" s="496"/>
      <c r="TPM5" s="496"/>
      <c r="TPN5" s="496"/>
      <c r="TPO5" s="496"/>
      <c r="TPP5" s="496"/>
      <c r="TPQ5" s="496"/>
      <c r="TPR5" s="496"/>
      <c r="TPS5" s="496"/>
      <c r="TPT5" s="496"/>
      <c r="TPU5" s="496"/>
      <c r="TPV5" s="496"/>
      <c r="TPW5" s="496"/>
      <c r="TPX5" s="496"/>
      <c r="TPY5" s="496"/>
      <c r="TPZ5" s="496"/>
      <c r="TQA5" s="496"/>
      <c r="TQB5" s="496"/>
      <c r="TQC5" s="496"/>
      <c r="TQD5" s="496"/>
      <c r="TQE5" s="496"/>
      <c r="TQF5" s="496"/>
      <c r="TQG5" s="496"/>
      <c r="TQH5" s="496"/>
      <c r="TQI5" s="496"/>
      <c r="TQJ5" s="496"/>
      <c r="TQK5" s="496"/>
      <c r="TQL5" s="496"/>
      <c r="TQM5" s="496"/>
      <c r="TQN5" s="496"/>
      <c r="TQO5" s="496"/>
      <c r="TQP5" s="496"/>
      <c r="TQQ5" s="496"/>
      <c r="TQR5" s="496"/>
      <c r="TQS5" s="496"/>
      <c r="TQT5" s="496"/>
      <c r="TQU5" s="496"/>
      <c r="TQV5" s="496"/>
      <c r="TQW5" s="496"/>
      <c r="TQX5" s="496"/>
      <c r="TQY5" s="496"/>
      <c r="TQZ5" s="496"/>
      <c r="TRA5" s="496"/>
      <c r="TRB5" s="496"/>
      <c r="TRC5" s="496"/>
      <c r="TRD5" s="496"/>
      <c r="TRE5" s="496"/>
      <c r="TRF5" s="496"/>
      <c r="TRG5" s="496"/>
      <c r="TRH5" s="496"/>
      <c r="TRI5" s="496"/>
      <c r="TRJ5" s="496"/>
      <c r="TRK5" s="496"/>
      <c r="TRL5" s="496"/>
      <c r="TRM5" s="496"/>
      <c r="TRN5" s="496"/>
      <c r="TRO5" s="496"/>
      <c r="TRP5" s="496"/>
      <c r="TRQ5" s="496"/>
      <c r="TRR5" s="496"/>
      <c r="TRS5" s="496"/>
      <c r="TRT5" s="496"/>
      <c r="TRU5" s="496"/>
      <c r="TRV5" s="496"/>
      <c r="TRW5" s="496"/>
      <c r="TRX5" s="496"/>
      <c r="TRY5" s="496"/>
      <c r="TRZ5" s="496"/>
      <c r="TSA5" s="496"/>
      <c r="TSB5" s="496"/>
      <c r="TSC5" s="496"/>
      <c r="TSD5" s="496"/>
      <c r="TSE5" s="496"/>
      <c r="TSF5" s="496"/>
      <c r="TSG5" s="496"/>
      <c r="TSH5" s="496"/>
      <c r="TSI5" s="496"/>
      <c r="TSJ5" s="496"/>
      <c r="TSK5" s="496"/>
      <c r="TSL5" s="496"/>
      <c r="TSM5" s="496"/>
      <c r="TSN5" s="496"/>
      <c r="TSO5" s="496"/>
      <c r="TSP5" s="496"/>
      <c r="TSQ5" s="496"/>
      <c r="TSR5" s="496"/>
      <c r="TSS5" s="496"/>
      <c r="TST5" s="496"/>
      <c r="TSU5" s="496"/>
      <c r="TSV5" s="496"/>
      <c r="TSW5" s="496"/>
      <c r="TSX5" s="496"/>
      <c r="TSY5" s="496"/>
      <c r="TSZ5" s="496"/>
      <c r="TTA5" s="496"/>
      <c r="TTB5" s="496"/>
      <c r="TTC5" s="496"/>
      <c r="TTD5" s="496"/>
      <c r="TTE5" s="496"/>
      <c r="TTF5" s="496"/>
      <c r="TTG5" s="496"/>
      <c r="TTH5" s="496"/>
      <c r="TTI5" s="496"/>
      <c r="TTJ5" s="496"/>
      <c r="TTK5" s="496"/>
      <c r="TTL5" s="496"/>
      <c r="TTM5" s="496"/>
      <c r="TTN5" s="496"/>
      <c r="TTO5" s="496"/>
      <c r="TTP5" s="496"/>
      <c r="TTQ5" s="496"/>
      <c r="TTR5" s="496"/>
      <c r="TTS5" s="496"/>
      <c r="TTT5" s="496"/>
      <c r="TTU5" s="496"/>
      <c r="TTV5" s="496"/>
      <c r="TTW5" s="496"/>
      <c r="TTX5" s="496"/>
      <c r="TTY5" s="496"/>
      <c r="TTZ5" s="496"/>
      <c r="TUA5" s="496"/>
      <c r="TUB5" s="496"/>
      <c r="TUC5" s="496"/>
      <c r="TUD5" s="496"/>
      <c r="TUE5" s="496"/>
      <c r="TUF5" s="496"/>
      <c r="TUG5" s="496"/>
      <c r="TUH5" s="496"/>
      <c r="TUI5" s="496"/>
      <c r="TUJ5" s="496"/>
      <c r="TUK5" s="496"/>
      <c r="TUL5" s="496"/>
      <c r="TUM5" s="496"/>
      <c r="TUN5" s="496"/>
      <c r="TUO5" s="496"/>
      <c r="TUP5" s="496"/>
      <c r="TUQ5" s="496"/>
      <c r="TUR5" s="496"/>
      <c r="TUS5" s="496"/>
      <c r="TUT5" s="496"/>
      <c r="TUU5" s="496"/>
      <c r="TUV5" s="496"/>
      <c r="TUW5" s="496"/>
      <c r="TUX5" s="496"/>
      <c r="TUY5" s="496"/>
      <c r="TUZ5" s="496"/>
      <c r="TVA5" s="496"/>
      <c r="TVB5" s="496"/>
      <c r="TVC5" s="496"/>
      <c r="TVD5" s="496"/>
      <c r="TVE5" s="496"/>
      <c r="TVF5" s="496"/>
      <c r="TVG5" s="496"/>
      <c r="TVH5" s="496"/>
      <c r="TVI5" s="496"/>
      <c r="TVJ5" s="496"/>
      <c r="TVK5" s="496"/>
      <c r="TVL5" s="496"/>
      <c r="TVM5" s="496"/>
      <c r="TVN5" s="496"/>
      <c r="TVO5" s="496"/>
      <c r="TVP5" s="496"/>
      <c r="TVQ5" s="496"/>
      <c r="TVR5" s="496"/>
      <c r="TVS5" s="496"/>
      <c r="TVT5" s="496"/>
      <c r="TVU5" s="496"/>
      <c r="TVV5" s="496"/>
      <c r="TVW5" s="496"/>
      <c r="TVX5" s="496"/>
      <c r="TVY5" s="496"/>
      <c r="TVZ5" s="496"/>
      <c r="TWA5" s="496"/>
      <c r="TWB5" s="496"/>
      <c r="TWC5" s="496"/>
      <c r="TWD5" s="496"/>
      <c r="TWE5" s="496"/>
      <c r="TWF5" s="496"/>
      <c r="TWG5" s="496"/>
      <c r="TWH5" s="496"/>
      <c r="TWI5" s="496"/>
      <c r="TWJ5" s="496"/>
      <c r="TWK5" s="496"/>
      <c r="TWL5" s="496"/>
      <c r="TWM5" s="496"/>
      <c r="TWN5" s="496"/>
      <c r="TWO5" s="496"/>
      <c r="TWP5" s="496"/>
      <c r="TWQ5" s="496"/>
      <c r="TWR5" s="496"/>
      <c r="TWS5" s="496"/>
      <c r="TWT5" s="496"/>
      <c r="TWU5" s="496"/>
      <c r="TWV5" s="496"/>
      <c r="TWW5" s="496"/>
      <c r="TWX5" s="496"/>
      <c r="TWY5" s="496"/>
      <c r="TWZ5" s="496"/>
      <c r="TXA5" s="496"/>
      <c r="TXB5" s="496"/>
      <c r="TXC5" s="496"/>
      <c r="TXD5" s="496"/>
      <c r="TXE5" s="496"/>
      <c r="TXF5" s="496"/>
      <c r="TXG5" s="496"/>
      <c r="TXH5" s="496"/>
      <c r="TXI5" s="496"/>
      <c r="TXJ5" s="496"/>
      <c r="TXK5" s="496"/>
      <c r="TXL5" s="496"/>
      <c r="TXM5" s="496"/>
      <c r="TXN5" s="496"/>
      <c r="TXO5" s="496"/>
      <c r="TXP5" s="496"/>
      <c r="TXQ5" s="496"/>
      <c r="TXR5" s="496"/>
      <c r="TXS5" s="496"/>
      <c r="TXT5" s="496"/>
      <c r="TXU5" s="496"/>
      <c r="TXV5" s="496"/>
      <c r="TXW5" s="496"/>
      <c r="TXX5" s="496"/>
      <c r="TXY5" s="496"/>
      <c r="TXZ5" s="496"/>
      <c r="TYA5" s="496"/>
      <c r="TYB5" s="496"/>
      <c r="TYC5" s="496"/>
      <c r="TYD5" s="496"/>
      <c r="TYE5" s="496"/>
      <c r="TYF5" s="496"/>
      <c r="TYG5" s="496"/>
      <c r="TYH5" s="496"/>
      <c r="TYI5" s="496"/>
      <c r="TYJ5" s="496"/>
      <c r="TYK5" s="496"/>
      <c r="TYL5" s="496"/>
      <c r="TYM5" s="496"/>
      <c r="TYN5" s="496"/>
      <c r="TYO5" s="496"/>
      <c r="TYP5" s="496"/>
      <c r="TYQ5" s="496"/>
      <c r="TYR5" s="496"/>
      <c r="TYS5" s="496"/>
      <c r="TYT5" s="496"/>
      <c r="TYU5" s="496"/>
      <c r="TYV5" s="496"/>
      <c r="TYW5" s="496"/>
      <c r="TYX5" s="496"/>
      <c r="TYY5" s="496"/>
      <c r="TYZ5" s="496"/>
      <c r="TZA5" s="496"/>
      <c r="TZB5" s="496"/>
      <c r="TZC5" s="496"/>
      <c r="TZD5" s="496"/>
      <c r="TZE5" s="496"/>
      <c r="TZF5" s="496"/>
      <c r="TZG5" s="496"/>
      <c r="TZH5" s="496"/>
      <c r="TZI5" s="496"/>
      <c r="TZJ5" s="496"/>
      <c r="TZK5" s="496"/>
      <c r="TZL5" s="496"/>
      <c r="TZM5" s="496"/>
      <c r="TZN5" s="496"/>
      <c r="TZO5" s="496"/>
      <c r="TZP5" s="496"/>
      <c r="TZQ5" s="496"/>
      <c r="TZR5" s="496"/>
      <c r="TZS5" s="496"/>
      <c r="TZT5" s="496"/>
      <c r="TZU5" s="496"/>
      <c r="TZV5" s="496"/>
      <c r="TZW5" s="496"/>
      <c r="TZX5" s="496"/>
      <c r="TZY5" s="496"/>
      <c r="TZZ5" s="496"/>
      <c r="UAA5" s="496"/>
      <c r="UAB5" s="496"/>
      <c r="UAC5" s="496"/>
      <c r="UAD5" s="496"/>
      <c r="UAE5" s="496"/>
      <c r="UAF5" s="496"/>
      <c r="UAG5" s="496"/>
      <c r="UAH5" s="496"/>
      <c r="UAI5" s="496"/>
      <c r="UAJ5" s="496"/>
      <c r="UAK5" s="496"/>
      <c r="UAL5" s="496"/>
      <c r="UAM5" s="496"/>
      <c r="UAN5" s="496"/>
      <c r="UAO5" s="496"/>
      <c r="UAP5" s="496"/>
      <c r="UAQ5" s="496"/>
      <c r="UAR5" s="496"/>
      <c r="UAS5" s="496"/>
      <c r="UAT5" s="496"/>
      <c r="UAU5" s="496"/>
      <c r="UAV5" s="496"/>
      <c r="UAW5" s="496"/>
      <c r="UAX5" s="496"/>
      <c r="UAY5" s="496"/>
      <c r="UAZ5" s="496"/>
      <c r="UBA5" s="496"/>
      <c r="UBB5" s="496"/>
      <c r="UBC5" s="496"/>
      <c r="UBD5" s="496"/>
      <c r="UBE5" s="496"/>
      <c r="UBF5" s="496"/>
      <c r="UBG5" s="496"/>
      <c r="UBH5" s="496"/>
      <c r="UBI5" s="496"/>
      <c r="UBJ5" s="496"/>
      <c r="UBK5" s="496"/>
      <c r="UBL5" s="496"/>
      <c r="UBM5" s="496"/>
      <c r="UBN5" s="496"/>
      <c r="UBO5" s="496"/>
      <c r="UBP5" s="496"/>
      <c r="UBQ5" s="496"/>
      <c r="UBR5" s="496"/>
      <c r="UBS5" s="496"/>
      <c r="UBT5" s="496"/>
      <c r="UBU5" s="496"/>
      <c r="UBV5" s="496"/>
      <c r="UBW5" s="496"/>
      <c r="UBX5" s="496"/>
      <c r="UBY5" s="496"/>
      <c r="UBZ5" s="496"/>
      <c r="UCA5" s="496"/>
      <c r="UCB5" s="496"/>
      <c r="UCC5" s="496"/>
      <c r="UCD5" s="496"/>
      <c r="UCE5" s="496"/>
      <c r="UCF5" s="496"/>
      <c r="UCG5" s="496"/>
      <c r="UCH5" s="496"/>
      <c r="UCI5" s="496"/>
      <c r="UCJ5" s="496"/>
      <c r="UCK5" s="496"/>
      <c r="UCL5" s="496"/>
      <c r="UCM5" s="496"/>
      <c r="UCN5" s="496"/>
      <c r="UCO5" s="496"/>
      <c r="UCP5" s="496"/>
      <c r="UCQ5" s="496"/>
      <c r="UCR5" s="496"/>
      <c r="UCS5" s="496"/>
      <c r="UCT5" s="496"/>
      <c r="UCU5" s="496"/>
      <c r="UCV5" s="496"/>
      <c r="UCW5" s="496"/>
      <c r="UCX5" s="496"/>
      <c r="UCY5" s="496"/>
      <c r="UCZ5" s="496"/>
      <c r="UDA5" s="496"/>
      <c r="UDB5" s="496"/>
      <c r="UDC5" s="496"/>
      <c r="UDD5" s="496"/>
      <c r="UDE5" s="496"/>
      <c r="UDF5" s="496"/>
      <c r="UDG5" s="496"/>
      <c r="UDH5" s="496"/>
      <c r="UDI5" s="496"/>
      <c r="UDJ5" s="496"/>
      <c r="UDK5" s="496"/>
      <c r="UDL5" s="496"/>
      <c r="UDM5" s="496"/>
      <c r="UDN5" s="496"/>
      <c r="UDO5" s="496"/>
      <c r="UDP5" s="496"/>
      <c r="UDQ5" s="496"/>
      <c r="UDR5" s="496"/>
      <c r="UDS5" s="496"/>
      <c r="UDT5" s="496"/>
      <c r="UDU5" s="496"/>
      <c r="UDV5" s="496"/>
      <c r="UDW5" s="496"/>
      <c r="UDX5" s="496"/>
      <c r="UDY5" s="496"/>
      <c r="UDZ5" s="496"/>
      <c r="UEA5" s="496"/>
      <c r="UEB5" s="496"/>
      <c r="UEC5" s="496"/>
      <c r="UED5" s="496"/>
      <c r="UEE5" s="496"/>
      <c r="UEF5" s="496"/>
      <c r="UEG5" s="496"/>
      <c r="UEH5" s="496"/>
      <c r="UEI5" s="496"/>
      <c r="UEJ5" s="496"/>
      <c r="UEK5" s="496"/>
      <c r="UEL5" s="496"/>
      <c r="UEM5" s="496"/>
      <c r="UEN5" s="496"/>
      <c r="UEO5" s="496"/>
      <c r="UEP5" s="496"/>
      <c r="UEQ5" s="496"/>
      <c r="UER5" s="496"/>
      <c r="UES5" s="496"/>
      <c r="UET5" s="496"/>
      <c r="UEU5" s="496"/>
      <c r="UEV5" s="496"/>
      <c r="UEW5" s="496"/>
      <c r="UEX5" s="496"/>
      <c r="UEY5" s="496"/>
      <c r="UEZ5" s="496"/>
      <c r="UFA5" s="496"/>
      <c r="UFB5" s="496"/>
      <c r="UFC5" s="496"/>
      <c r="UFD5" s="496"/>
      <c r="UFE5" s="496"/>
      <c r="UFF5" s="496"/>
      <c r="UFG5" s="496"/>
      <c r="UFH5" s="496"/>
      <c r="UFI5" s="496"/>
      <c r="UFJ5" s="496"/>
      <c r="UFK5" s="496"/>
      <c r="UFL5" s="496"/>
      <c r="UFM5" s="496"/>
      <c r="UFN5" s="496"/>
      <c r="UFO5" s="496"/>
      <c r="UFP5" s="496"/>
      <c r="UFQ5" s="496"/>
      <c r="UFR5" s="496"/>
      <c r="UFS5" s="496"/>
      <c r="UFT5" s="496"/>
      <c r="UFU5" s="496"/>
      <c r="UFV5" s="496"/>
      <c r="UFW5" s="496"/>
      <c r="UFX5" s="496"/>
      <c r="UFY5" s="496"/>
      <c r="UFZ5" s="496"/>
      <c r="UGA5" s="496"/>
      <c r="UGB5" s="496"/>
      <c r="UGC5" s="496"/>
      <c r="UGD5" s="496"/>
      <c r="UGE5" s="496"/>
      <c r="UGF5" s="496"/>
      <c r="UGG5" s="496"/>
      <c r="UGH5" s="496"/>
      <c r="UGI5" s="496"/>
      <c r="UGJ5" s="496"/>
      <c r="UGK5" s="496"/>
      <c r="UGL5" s="496"/>
      <c r="UGM5" s="496"/>
      <c r="UGN5" s="496"/>
      <c r="UGO5" s="496"/>
      <c r="UGP5" s="496"/>
      <c r="UGQ5" s="496"/>
      <c r="UGR5" s="496"/>
      <c r="UGS5" s="496"/>
      <c r="UGT5" s="496"/>
      <c r="UGU5" s="496"/>
      <c r="UGV5" s="496"/>
      <c r="UGW5" s="496"/>
      <c r="UGX5" s="496"/>
      <c r="UGY5" s="496"/>
      <c r="UGZ5" s="496"/>
      <c r="UHA5" s="496"/>
      <c r="UHB5" s="496"/>
      <c r="UHC5" s="496"/>
      <c r="UHD5" s="496"/>
      <c r="UHE5" s="496"/>
      <c r="UHF5" s="496"/>
      <c r="UHG5" s="496"/>
      <c r="UHH5" s="496"/>
      <c r="UHI5" s="496"/>
      <c r="UHJ5" s="496"/>
      <c r="UHK5" s="496"/>
      <c r="UHL5" s="496"/>
      <c r="UHM5" s="496"/>
      <c r="UHN5" s="496"/>
      <c r="UHO5" s="496"/>
      <c r="UHP5" s="496"/>
      <c r="UHQ5" s="496"/>
      <c r="UHR5" s="496"/>
      <c r="UHS5" s="496"/>
      <c r="UHT5" s="496"/>
      <c r="UHU5" s="496"/>
      <c r="UHV5" s="496"/>
      <c r="UHW5" s="496"/>
      <c r="UHX5" s="496"/>
      <c r="UHY5" s="496"/>
      <c r="UHZ5" s="496"/>
      <c r="UIA5" s="496"/>
      <c r="UIB5" s="496"/>
      <c r="UIC5" s="496"/>
      <c r="UID5" s="496"/>
      <c r="UIE5" s="496"/>
      <c r="UIF5" s="496"/>
      <c r="UIG5" s="496"/>
      <c r="UIH5" s="496"/>
      <c r="UII5" s="496"/>
      <c r="UIJ5" s="496"/>
      <c r="UIK5" s="496"/>
      <c r="UIL5" s="496"/>
      <c r="UIM5" s="496"/>
      <c r="UIN5" s="496"/>
      <c r="UIO5" s="496"/>
      <c r="UIP5" s="496"/>
      <c r="UIQ5" s="496"/>
      <c r="UIR5" s="496"/>
      <c r="UIS5" s="496"/>
      <c r="UIT5" s="496"/>
      <c r="UIU5" s="496"/>
      <c r="UIV5" s="496"/>
      <c r="UIW5" s="496"/>
      <c r="UIX5" s="496"/>
      <c r="UIY5" s="496"/>
      <c r="UIZ5" s="496"/>
      <c r="UJA5" s="496"/>
      <c r="UJB5" s="496"/>
      <c r="UJC5" s="496"/>
      <c r="UJD5" s="496"/>
      <c r="UJE5" s="496"/>
      <c r="UJF5" s="496"/>
      <c r="UJG5" s="496"/>
      <c r="UJH5" s="496"/>
      <c r="UJI5" s="496"/>
      <c r="UJJ5" s="496"/>
      <c r="UJK5" s="496"/>
      <c r="UJL5" s="496"/>
      <c r="UJM5" s="496"/>
      <c r="UJN5" s="496"/>
      <c r="UJO5" s="496"/>
      <c r="UJP5" s="496"/>
      <c r="UJQ5" s="496"/>
      <c r="UJR5" s="496"/>
      <c r="UJS5" s="496"/>
      <c r="UJT5" s="496"/>
      <c r="UJU5" s="496"/>
      <c r="UJV5" s="496"/>
      <c r="UJW5" s="496"/>
      <c r="UJX5" s="496"/>
      <c r="UJY5" s="496"/>
      <c r="UJZ5" s="496"/>
      <c r="UKA5" s="496"/>
      <c r="UKB5" s="496"/>
      <c r="UKC5" s="496"/>
      <c r="UKD5" s="496"/>
      <c r="UKE5" s="496"/>
      <c r="UKF5" s="496"/>
      <c r="UKG5" s="496"/>
      <c r="UKH5" s="496"/>
      <c r="UKI5" s="496"/>
      <c r="UKJ5" s="496"/>
      <c r="UKK5" s="496"/>
      <c r="UKL5" s="496"/>
      <c r="UKM5" s="496"/>
      <c r="UKN5" s="496"/>
      <c r="UKO5" s="496"/>
      <c r="UKP5" s="496"/>
      <c r="UKQ5" s="496"/>
      <c r="UKR5" s="496"/>
      <c r="UKS5" s="496"/>
      <c r="UKT5" s="496"/>
      <c r="UKU5" s="496"/>
      <c r="UKV5" s="496"/>
      <c r="UKW5" s="496"/>
      <c r="UKX5" s="496"/>
      <c r="UKY5" s="496"/>
      <c r="UKZ5" s="496"/>
      <c r="ULA5" s="496"/>
      <c r="ULB5" s="496"/>
      <c r="ULC5" s="496"/>
      <c r="ULD5" s="496"/>
      <c r="ULE5" s="496"/>
      <c r="ULF5" s="496"/>
      <c r="ULG5" s="496"/>
      <c r="ULH5" s="496"/>
      <c r="ULI5" s="496"/>
      <c r="ULJ5" s="496"/>
      <c r="ULK5" s="496"/>
      <c r="ULL5" s="496"/>
      <c r="ULM5" s="496"/>
      <c r="ULN5" s="496"/>
      <c r="ULO5" s="496"/>
      <c r="ULP5" s="496"/>
      <c r="ULQ5" s="496"/>
      <c r="ULR5" s="496"/>
      <c r="ULS5" s="496"/>
      <c r="ULT5" s="496"/>
      <c r="ULU5" s="496"/>
      <c r="ULV5" s="496"/>
      <c r="ULW5" s="496"/>
      <c r="ULX5" s="496"/>
      <c r="ULY5" s="496"/>
      <c r="ULZ5" s="496"/>
      <c r="UMA5" s="496"/>
      <c r="UMB5" s="496"/>
      <c r="UMC5" s="496"/>
      <c r="UMD5" s="496"/>
      <c r="UME5" s="496"/>
      <c r="UMF5" s="496"/>
      <c r="UMG5" s="496"/>
      <c r="UMH5" s="496"/>
      <c r="UMI5" s="496"/>
      <c r="UMJ5" s="496"/>
      <c r="UMK5" s="496"/>
      <c r="UML5" s="496"/>
      <c r="UMM5" s="496"/>
      <c r="UMN5" s="496"/>
      <c r="UMO5" s="496"/>
      <c r="UMP5" s="496"/>
      <c r="UMQ5" s="496"/>
      <c r="UMR5" s="496"/>
      <c r="UMS5" s="496"/>
      <c r="UMT5" s="496"/>
      <c r="UMU5" s="496"/>
      <c r="UMV5" s="496"/>
      <c r="UMW5" s="496"/>
      <c r="UMX5" s="496"/>
      <c r="UMY5" s="496"/>
      <c r="UMZ5" s="496"/>
      <c r="UNA5" s="496"/>
      <c r="UNB5" s="496"/>
      <c r="UNC5" s="496"/>
      <c r="UND5" s="496"/>
      <c r="UNE5" s="496"/>
      <c r="UNF5" s="496"/>
      <c r="UNG5" s="496"/>
      <c r="UNH5" s="496"/>
      <c r="UNI5" s="496"/>
      <c r="UNJ5" s="496"/>
      <c r="UNK5" s="496"/>
      <c r="UNL5" s="496"/>
      <c r="UNM5" s="496"/>
      <c r="UNN5" s="496"/>
      <c r="UNO5" s="496"/>
      <c r="UNP5" s="496"/>
      <c r="UNQ5" s="496"/>
      <c r="UNR5" s="496"/>
      <c r="UNS5" s="496"/>
      <c r="UNT5" s="496"/>
      <c r="UNU5" s="496"/>
      <c r="UNV5" s="496"/>
      <c r="UNW5" s="496"/>
      <c r="UNX5" s="496"/>
      <c r="UNY5" s="496"/>
      <c r="UNZ5" s="496"/>
      <c r="UOA5" s="496"/>
      <c r="UOB5" s="496"/>
      <c r="UOC5" s="496"/>
      <c r="UOD5" s="496"/>
      <c r="UOE5" s="496"/>
      <c r="UOF5" s="496"/>
      <c r="UOG5" s="496"/>
      <c r="UOH5" s="496"/>
      <c r="UOI5" s="496"/>
      <c r="UOJ5" s="496"/>
      <c r="UOK5" s="496"/>
      <c r="UOL5" s="496"/>
      <c r="UOM5" s="496"/>
      <c r="UON5" s="496"/>
      <c r="UOO5" s="496"/>
      <c r="UOP5" s="496"/>
      <c r="UOQ5" s="496"/>
      <c r="UOR5" s="496"/>
      <c r="UOS5" s="496"/>
      <c r="UOT5" s="496"/>
      <c r="UOU5" s="496"/>
      <c r="UOV5" s="496"/>
      <c r="UOW5" s="496"/>
      <c r="UOX5" s="496"/>
      <c r="UOY5" s="496"/>
      <c r="UOZ5" s="496"/>
      <c r="UPA5" s="496"/>
      <c r="UPB5" s="496"/>
      <c r="UPC5" s="496"/>
      <c r="UPD5" s="496"/>
      <c r="UPE5" s="496"/>
      <c r="UPF5" s="496"/>
      <c r="UPG5" s="496"/>
      <c r="UPH5" s="496"/>
      <c r="UPI5" s="496"/>
      <c r="UPJ5" s="496"/>
      <c r="UPK5" s="496"/>
      <c r="UPL5" s="496"/>
      <c r="UPM5" s="496"/>
      <c r="UPN5" s="496"/>
      <c r="UPO5" s="496"/>
      <c r="UPP5" s="496"/>
      <c r="UPQ5" s="496"/>
      <c r="UPR5" s="496"/>
      <c r="UPS5" s="496"/>
      <c r="UPT5" s="496"/>
      <c r="UPU5" s="496"/>
      <c r="UPV5" s="496"/>
      <c r="UPW5" s="496"/>
      <c r="UPX5" s="496"/>
      <c r="UPY5" s="496"/>
      <c r="UPZ5" s="496"/>
      <c r="UQA5" s="496"/>
      <c r="UQB5" s="496"/>
      <c r="UQC5" s="496"/>
      <c r="UQD5" s="496"/>
      <c r="UQE5" s="496"/>
      <c r="UQF5" s="496"/>
      <c r="UQG5" s="496"/>
      <c r="UQH5" s="496"/>
      <c r="UQI5" s="496"/>
      <c r="UQJ5" s="496"/>
      <c r="UQK5" s="496"/>
      <c r="UQL5" s="496"/>
      <c r="UQM5" s="496"/>
      <c r="UQN5" s="496"/>
      <c r="UQO5" s="496"/>
      <c r="UQP5" s="496"/>
      <c r="UQQ5" s="496"/>
      <c r="UQR5" s="496"/>
      <c r="UQS5" s="496"/>
      <c r="UQT5" s="496"/>
      <c r="UQU5" s="496"/>
      <c r="UQV5" s="496"/>
      <c r="UQW5" s="496"/>
      <c r="UQX5" s="496"/>
      <c r="UQY5" s="496"/>
      <c r="UQZ5" s="496"/>
      <c r="URA5" s="496"/>
      <c r="URB5" s="496"/>
      <c r="URC5" s="496"/>
      <c r="URD5" s="496"/>
      <c r="URE5" s="496"/>
      <c r="URF5" s="496"/>
      <c r="URG5" s="496"/>
      <c r="URH5" s="496"/>
      <c r="URI5" s="496"/>
      <c r="URJ5" s="496"/>
      <c r="URK5" s="496"/>
      <c r="URL5" s="496"/>
      <c r="URM5" s="496"/>
      <c r="URN5" s="496"/>
      <c r="URO5" s="496"/>
      <c r="URP5" s="496"/>
      <c r="URQ5" s="496"/>
      <c r="URR5" s="496"/>
      <c r="URS5" s="496"/>
      <c r="URT5" s="496"/>
      <c r="URU5" s="496"/>
      <c r="URV5" s="496"/>
      <c r="URW5" s="496"/>
      <c r="URX5" s="496"/>
      <c r="URY5" s="496"/>
      <c r="URZ5" s="496"/>
      <c r="USA5" s="496"/>
      <c r="USB5" s="496"/>
      <c r="USC5" s="496"/>
      <c r="USD5" s="496"/>
      <c r="USE5" s="496"/>
      <c r="USF5" s="496"/>
      <c r="USG5" s="496"/>
      <c r="USH5" s="496"/>
      <c r="USI5" s="496"/>
      <c r="USJ5" s="496"/>
      <c r="USK5" s="496"/>
      <c r="USL5" s="496"/>
      <c r="USM5" s="496"/>
      <c r="USN5" s="496"/>
      <c r="USO5" s="496"/>
      <c r="USP5" s="496"/>
      <c r="USQ5" s="496"/>
      <c r="USR5" s="496"/>
      <c r="USS5" s="496"/>
      <c r="UST5" s="496"/>
      <c r="USU5" s="496"/>
      <c r="USV5" s="496"/>
      <c r="USW5" s="496"/>
      <c r="USX5" s="496"/>
      <c r="USY5" s="496"/>
      <c r="USZ5" s="496"/>
      <c r="UTA5" s="496"/>
      <c r="UTB5" s="496"/>
      <c r="UTC5" s="496"/>
      <c r="UTD5" s="496"/>
      <c r="UTE5" s="496"/>
      <c r="UTF5" s="496"/>
      <c r="UTG5" s="496"/>
      <c r="UTH5" s="496"/>
      <c r="UTI5" s="496"/>
      <c r="UTJ5" s="496"/>
      <c r="UTK5" s="496"/>
      <c r="UTL5" s="496"/>
      <c r="UTM5" s="496"/>
      <c r="UTN5" s="496"/>
      <c r="UTO5" s="496"/>
      <c r="UTP5" s="496"/>
      <c r="UTQ5" s="496"/>
      <c r="UTR5" s="496"/>
      <c r="UTS5" s="496"/>
      <c r="UTT5" s="496"/>
      <c r="UTU5" s="496"/>
      <c r="UTV5" s="496"/>
      <c r="UTW5" s="496"/>
      <c r="UTX5" s="496"/>
      <c r="UTY5" s="496"/>
      <c r="UTZ5" s="496"/>
      <c r="UUA5" s="496"/>
      <c r="UUB5" s="496"/>
      <c r="UUC5" s="496"/>
      <c r="UUD5" s="496"/>
      <c r="UUE5" s="496"/>
      <c r="UUF5" s="496"/>
      <c r="UUG5" s="496"/>
      <c r="UUH5" s="496"/>
      <c r="UUI5" s="496"/>
      <c r="UUJ5" s="496"/>
      <c r="UUK5" s="496"/>
      <c r="UUL5" s="496"/>
      <c r="UUM5" s="496"/>
      <c r="UUN5" s="496"/>
      <c r="UUO5" s="496"/>
      <c r="UUP5" s="496"/>
      <c r="UUQ5" s="496"/>
      <c r="UUR5" s="496"/>
      <c r="UUS5" s="496"/>
      <c r="UUT5" s="496"/>
      <c r="UUU5" s="496"/>
      <c r="UUV5" s="496"/>
      <c r="UUW5" s="496"/>
      <c r="UUX5" s="496"/>
      <c r="UUY5" s="496"/>
      <c r="UUZ5" s="496"/>
      <c r="UVA5" s="496"/>
      <c r="UVB5" s="496"/>
      <c r="UVC5" s="496"/>
      <c r="UVD5" s="496"/>
      <c r="UVE5" s="496"/>
      <c r="UVF5" s="496"/>
      <c r="UVG5" s="496"/>
      <c r="UVH5" s="496"/>
      <c r="UVI5" s="496"/>
      <c r="UVJ5" s="496"/>
      <c r="UVK5" s="496"/>
      <c r="UVL5" s="496"/>
      <c r="UVM5" s="496"/>
      <c r="UVN5" s="496"/>
      <c r="UVO5" s="496"/>
      <c r="UVP5" s="496"/>
      <c r="UVQ5" s="496"/>
      <c r="UVR5" s="496"/>
      <c r="UVS5" s="496"/>
      <c r="UVT5" s="496"/>
      <c r="UVU5" s="496"/>
      <c r="UVV5" s="496"/>
      <c r="UVW5" s="496"/>
      <c r="UVX5" s="496"/>
      <c r="UVY5" s="496"/>
      <c r="UVZ5" s="496"/>
      <c r="UWA5" s="496"/>
      <c r="UWB5" s="496"/>
      <c r="UWC5" s="496"/>
      <c r="UWD5" s="496"/>
      <c r="UWE5" s="496"/>
      <c r="UWF5" s="496"/>
      <c r="UWG5" s="496"/>
      <c r="UWH5" s="496"/>
      <c r="UWI5" s="496"/>
      <c r="UWJ5" s="496"/>
      <c r="UWK5" s="496"/>
      <c r="UWL5" s="496"/>
      <c r="UWM5" s="496"/>
      <c r="UWN5" s="496"/>
      <c r="UWO5" s="496"/>
      <c r="UWP5" s="496"/>
      <c r="UWQ5" s="496"/>
      <c r="UWR5" s="496"/>
      <c r="UWS5" s="496"/>
      <c r="UWT5" s="496"/>
      <c r="UWU5" s="496"/>
      <c r="UWV5" s="496"/>
      <c r="UWW5" s="496"/>
      <c r="UWX5" s="496"/>
      <c r="UWY5" s="496"/>
      <c r="UWZ5" s="496"/>
      <c r="UXA5" s="496"/>
      <c r="UXB5" s="496"/>
      <c r="UXC5" s="496"/>
      <c r="UXD5" s="496"/>
      <c r="UXE5" s="496"/>
      <c r="UXF5" s="496"/>
      <c r="UXG5" s="496"/>
      <c r="UXH5" s="496"/>
      <c r="UXI5" s="496"/>
      <c r="UXJ5" s="496"/>
      <c r="UXK5" s="496"/>
      <c r="UXL5" s="496"/>
      <c r="UXM5" s="496"/>
      <c r="UXN5" s="496"/>
      <c r="UXO5" s="496"/>
      <c r="UXP5" s="496"/>
      <c r="UXQ5" s="496"/>
      <c r="UXR5" s="496"/>
      <c r="UXS5" s="496"/>
      <c r="UXT5" s="496"/>
      <c r="UXU5" s="496"/>
      <c r="UXV5" s="496"/>
      <c r="UXW5" s="496"/>
      <c r="UXX5" s="496"/>
      <c r="UXY5" s="496"/>
      <c r="UXZ5" s="496"/>
      <c r="UYA5" s="496"/>
      <c r="UYB5" s="496"/>
      <c r="UYC5" s="496"/>
      <c r="UYD5" s="496"/>
      <c r="UYE5" s="496"/>
      <c r="UYF5" s="496"/>
      <c r="UYG5" s="496"/>
      <c r="UYH5" s="496"/>
      <c r="UYI5" s="496"/>
      <c r="UYJ5" s="496"/>
      <c r="UYK5" s="496"/>
      <c r="UYL5" s="496"/>
      <c r="UYM5" s="496"/>
      <c r="UYN5" s="496"/>
      <c r="UYO5" s="496"/>
      <c r="UYP5" s="496"/>
      <c r="UYQ5" s="496"/>
      <c r="UYR5" s="496"/>
      <c r="UYS5" s="496"/>
      <c r="UYT5" s="496"/>
      <c r="UYU5" s="496"/>
      <c r="UYV5" s="496"/>
      <c r="UYW5" s="496"/>
      <c r="UYX5" s="496"/>
      <c r="UYY5" s="496"/>
      <c r="UYZ5" s="496"/>
      <c r="UZA5" s="496"/>
      <c r="UZB5" s="496"/>
      <c r="UZC5" s="496"/>
      <c r="UZD5" s="496"/>
      <c r="UZE5" s="496"/>
      <c r="UZF5" s="496"/>
      <c r="UZG5" s="496"/>
      <c r="UZH5" s="496"/>
      <c r="UZI5" s="496"/>
      <c r="UZJ5" s="496"/>
      <c r="UZK5" s="496"/>
      <c r="UZL5" s="496"/>
      <c r="UZM5" s="496"/>
      <c r="UZN5" s="496"/>
      <c r="UZO5" s="496"/>
      <c r="UZP5" s="496"/>
      <c r="UZQ5" s="496"/>
      <c r="UZR5" s="496"/>
      <c r="UZS5" s="496"/>
      <c r="UZT5" s="496"/>
      <c r="UZU5" s="496"/>
      <c r="UZV5" s="496"/>
      <c r="UZW5" s="496"/>
      <c r="UZX5" s="496"/>
      <c r="UZY5" s="496"/>
      <c r="UZZ5" s="496"/>
      <c r="VAA5" s="496"/>
      <c r="VAB5" s="496"/>
      <c r="VAC5" s="496"/>
      <c r="VAD5" s="496"/>
      <c r="VAE5" s="496"/>
      <c r="VAF5" s="496"/>
      <c r="VAG5" s="496"/>
      <c r="VAH5" s="496"/>
      <c r="VAI5" s="496"/>
      <c r="VAJ5" s="496"/>
      <c r="VAK5" s="496"/>
      <c r="VAL5" s="496"/>
      <c r="VAM5" s="496"/>
      <c r="VAN5" s="496"/>
      <c r="VAO5" s="496"/>
      <c r="VAP5" s="496"/>
      <c r="VAQ5" s="496"/>
      <c r="VAR5" s="496"/>
      <c r="VAS5" s="496"/>
      <c r="VAT5" s="496"/>
      <c r="VAU5" s="496"/>
      <c r="VAV5" s="496"/>
      <c r="VAW5" s="496"/>
      <c r="VAX5" s="496"/>
      <c r="VAY5" s="496"/>
      <c r="VAZ5" s="496"/>
      <c r="VBA5" s="496"/>
      <c r="VBB5" s="496"/>
      <c r="VBC5" s="496"/>
      <c r="VBD5" s="496"/>
      <c r="VBE5" s="496"/>
      <c r="VBF5" s="496"/>
      <c r="VBG5" s="496"/>
      <c r="VBH5" s="496"/>
      <c r="VBI5" s="496"/>
      <c r="VBJ5" s="496"/>
      <c r="VBK5" s="496"/>
      <c r="VBL5" s="496"/>
      <c r="VBM5" s="496"/>
      <c r="VBN5" s="496"/>
      <c r="VBO5" s="496"/>
      <c r="VBP5" s="496"/>
      <c r="VBQ5" s="496"/>
      <c r="VBR5" s="496"/>
      <c r="VBS5" s="496"/>
      <c r="VBT5" s="496"/>
      <c r="VBU5" s="496"/>
      <c r="VBV5" s="496"/>
      <c r="VBW5" s="496"/>
      <c r="VBX5" s="496"/>
      <c r="VBY5" s="496"/>
      <c r="VBZ5" s="496"/>
      <c r="VCA5" s="496"/>
      <c r="VCB5" s="496"/>
      <c r="VCC5" s="496"/>
      <c r="VCD5" s="496"/>
      <c r="VCE5" s="496"/>
      <c r="VCF5" s="496"/>
      <c r="VCG5" s="496"/>
      <c r="VCH5" s="496"/>
      <c r="VCI5" s="496"/>
      <c r="VCJ5" s="496"/>
      <c r="VCK5" s="496"/>
      <c r="VCL5" s="496"/>
      <c r="VCM5" s="496"/>
      <c r="VCN5" s="496"/>
      <c r="VCO5" s="496"/>
      <c r="VCP5" s="496"/>
      <c r="VCQ5" s="496"/>
      <c r="VCR5" s="496"/>
      <c r="VCS5" s="496"/>
      <c r="VCT5" s="496"/>
      <c r="VCU5" s="496"/>
      <c r="VCV5" s="496"/>
      <c r="VCW5" s="496"/>
      <c r="VCX5" s="496"/>
      <c r="VCY5" s="496"/>
      <c r="VCZ5" s="496"/>
      <c r="VDA5" s="496"/>
      <c r="VDB5" s="496"/>
      <c r="VDC5" s="496"/>
      <c r="VDD5" s="496"/>
      <c r="VDE5" s="496"/>
      <c r="VDF5" s="496"/>
      <c r="VDG5" s="496"/>
      <c r="VDH5" s="496"/>
      <c r="VDI5" s="496"/>
      <c r="VDJ5" s="496"/>
      <c r="VDK5" s="496"/>
      <c r="VDL5" s="496"/>
      <c r="VDM5" s="496"/>
      <c r="VDN5" s="496"/>
      <c r="VDO5" s="496"/>
      <c r="VDP5" s="496"/>
      <c r="VDQ5" s="496"/>
      <c r="VDR5" s="496"/>
      <c r="VDS5" s="496"/>
      <c r="VDT5" s="496"/>
      <c r="VDU5" s="496"/>
      <c r="VDV5" s="496"/>
      <c r="VDW5" s="496"/>
      <c r="VDX5" s="496"/>
      <c r="VDY5" s="496"/>
      <c r="VDZ5" s="496"/>
      <c r="VEA5" s="496"/>
      <c r="VEB5" s="496"/>
      <c r="VEC5" s="496"/>
      <c r="VED5" s="496"/>
      <c r="VEE5" s="496"/>
      <c r="VEF5" s="496"/>
      <c r="VEG5" s="496"/>
      <c r="VEH5" s="496"/>
      <c r="VEI5" s="496"/>
      <c r="VEJ5" s="496"/>
      <c r="VEK5" s="496"/>
      <c r="VEL5" s="496"/>
      <c r="VEM5" s="496"/>
      <c r="VEN5" s="496"/>
      <c r="VEO5" s="496"/>
      <c r="VEP5" s="496"/>
      <c r="VEQ5" s="496"/>
      <c r="VER5" s="496"/>
      <c r="VES5" s="496"/>
      <c r="VET5" s="496"/>
      <c r="VEU5" s="496"/>
      <c r="VEV5" s="496"/>
      <c r="VEW5" s="496"/>
      <c r="VEX5" s="496"/>
      <c r="VEY5" s="496"/>
      <c r="VEZ5" s="496"/>
      <c r="VFA5" s="496"/>
      <c r="VFB5" s="496"/>
      <c r="VFC5" s="496"/>
      <c r="VFD5" s="496"/>
      <c r="VFE5" s="496"/>
      <c r="VFF5" s="496"/>
      <c r="VFG5" s="496"/>
      <c r="VFH5" s="496"/>
      <c r="VFI5" s="496"/>
      <c r="VFJ5" s="496"/>
      <c r="VFK5" s="496"/>
      <c r="VFL5" s="496"/>
      <c r="VFM5" s="496"/>
      <c r="VFN5" s="496"/>
      <c r="VFO5" s="496"/>
      <c r="VFP5" s="496"/>
      <c r="VFQ5" s="496"/>
      <c r="VFR5" s="496"/>
      <c r="VFS5" s="496"/>
      <c r="VFT5" s="496"/>
      <c r="VFU5" s="496"/>
      <c r="VFV5" s="496"/>
      <c r="VFW5" s="496"/>
      <c r="VFX5" s="496"/>
      <c r="VFY5" s="496"/>
      <c r="VFZ5" s="496"/>
      <c r="VGA5" s="496"/>
      <c r="VGB5" s="496"/>
      <c r="VGC5" s="496"/>
      <c r="VGD5" s="496"/>
      <c r="VGE5" s="496"/>
      <c r="VGF5" s="496"/>
      <c r="VGG5" s="496"/>
      <c r="VGH5" s="496"/>
      <c r="VGI5" s="496"/>
      <c r="VGJ5" s="496"/>
      <c r="VGK5" s="496"/>
      <c r="VGL5" s="496"/>
      <c r="VGM5" s="496"/>
      <c r="VGN5" s="496"/>
      <c r="VGO5" s="496"/>
      <c r="VGP5" s="496"/>
      <c r="VGQ5" s="496"/>
      <c r="VGR5" s="496"/>
      <c r="VGS5" s="496"/>
      <c r="VGT5" s="496"/>
      <c r="VGU5" s="496"/>
      <c r="VGV5" s="496"/>
      <c r="VGW5" s="496"/>
      <c r="VGX5" s="496"/>
      <c r="VGY5" s="496"/>
      <c r="VGZ5" s="496"/>
      <c r="VHA5" s="496"/>
      <c r="VHB5" s="496"/>
      <c r="VHC5" s="496"/>
      <c r="VHD5" s="496"/>
      <c r="VHE5" s="496"/>
      <c r="VHF5" s="496"/>
      <c r="VHG5" s="496"/>
      <c r="VHH5" s="496"/>
      <c r="VHI5" s="496"/>
      <c r="VHJ5" s="496"/>
      <c r="VHK5" s="496"/>
      <c r="VHL5" s="496"/>
      <c r="VHM5" s="496"/>
      <c r="VHN5" s="496"/>
      <c r="VHO5" s="496"/>
      <c r="VHP5" s="496"/>
      <c r="VHQ5" s="496"/>
      <c r="VHR5" s="496"/>
      <c r="VHS5" s="496"/>
      <c r="VHT5" s="496"/>
      <c r="VHU5" s="496"/>
      <c r="VHV5" s="496"/>
      <c r="VHW5" s="496"/>
      <c r="VHX5" s="496"/>
      <c r="VHY5" s="496"/>
      <c r="VHZ5" s="496"/>
      <c r="VIA5" s="496"/>
      <c r="VIB5" s="496"/>
      <c r="VIC5" s="496"/>
      <c r="VID5" s="496"/>
      <c r="VIE5" s="496"/>
      <c r="VIF5" s="496"/>
      <c r="VIG5" s="496"/>
      <c r="VIH5" s="496"/>
      <c r="VII5" s="496"/>
      <c r="VIJ5" s="496"/>
      <c r="VIK5" s="496"/>
      <c r="VIL5" s="496"/>
      <c r="VIM5" s="496"/>
      <c r="VIN5" s="496"/>
      <c r="VIO5" s="496"/>
      <c r="VIP5" s="496"/>
      <c r="VIQ5" s="496"/>
      <c r="VIR5" s="496"/>
      <c r="VIS5" s="496"/>
      <c r="VIT5" s="496"/>
      <c r="VIU5" s="496"/>
      <c r="VIV5" s="496"/>
      <c r="VIW5" s="496"/>
      <c r="VIX5" s="496"/>
      <c r="VIY5" s="496"/>
      <c r="VIZ5" s="496"/>
      <c r="VJA5" s="496"/>
      <c r="VJB5" s="496"/>
      <c r="VJC5" s="496"/>
      <c r="VJD5" s="496"/>
      <c r="VJE5" s="496"/>
      <c r="VJF5" s="496"/>
      <c r="VJG5" s="496"/>
      <c r="VJH5" s="496"/>
      <c r="VJI5" s="496"/>
      <c r="VJJ5" s="496"/>
      <c r="VJK5" s="496"/>
      <c r="VJL5" s="496"/>
      <c r="VJM5" s="496"/>
      <c r="VJN5" s="496"/>
      <c r="VJO5" s="496"/>
      <c r="VJP5" s="496"/>
      <c r="VJQ5" s="496"/>
      <c r="VJR5" s="496"/>
      <c r="VJS5" s="496"/>
      <c r="VJT5" s="496"/>
      <c r="VJU5" s="496"/>
      <c r="VJV5" s="496"/>
      <c r="VJW5" s="496"/>
      <c r="VJX5" s="496"/>
      <c r="VJY5" s="496"/>
      <c r="VJZ5" s="496"/>
      <c r="VKA5" s="496"/>
      <c r="VKB5" s="496"/>
      <c r="VKC5" s="496"/>
      <c r="VKD5" s="496"/>
      <c r="VKE5" s="496"/>
      <c r="VKF5" s="496"/>
      <c r="VKG5" s="496"/>
      <c r="VKH5" s="496"/>
      <c r="VKI5" s="496"/>
      <c r="VKJ5" s="496"/>
      <c r="VKK5" s="496"/>
      <c r="VKL5" s="496"/>
      <c r="VKM5" s="496"/>
      <c r="VKN5" s="496"/>
      <c r="VKO5" s="496"/>
      <c r="VKP5" s="496"/>
      <c r="VKQ5" s="496"/>
      <c r="VKR5" s="496"/>
      <c r="VKS5" s="496"/>
      <c r="VKT5" s="496"/>
      <c r="VKU5" s="496"/>
      <c r="VKV5" s="496"/>
      <c r="VKW5" s="496"/>
      <c r="VKX5" s="496"/>
      <c r="VKY5" s="496"/>
      <c r="VKZ5" s="496"/>
      <c r="VLA5" s="496"/>
      <c r="VLB5" s="496"/>
      <c r="VLC5" s="496"/>
      <c r="VLD5" s="496"/>
      <c r="VLE5" s="496"/>
      <c r="VLF5" s="496"/>
      <c r="VLG5" s="496"/>
      <c r="VLH5" s="496"/>
      <c r="VLI5" s="496"/>
      <c r="VLJ5" s="496"/>
      <c r="VLK5" s="496"/>
      <c r="VLL5" s="496"/>
      <c r="VLM5" s="496"/>
      <c r="VLN5" s="496"/>
      <c r="VLO5" s="496"/>
      <c r="VLP5" s="496"/>
      <c r="VLQ5" s="496"/>
      <c r="VLR5" s="496"/>
      <c r="VLS5" s="496"/>
      <c r="VLT5" s="496"/>
      <c r="VLU5" s="496"/>
      <c r="VLV5" s="496"/>
      <c r="VLW5" s="496"/>
      <c r="VLX5" s="496"/>
      <c r="VLY5" s="496"/>
      <c r="VLZ5" s="496"/>
      <c r="VMA5" s="496"/>
      <c r="VMB5" s="496"/>
      <c r="VMC5" s="496"/>
      <c r="VMD5" s="496"/>
      <c r="VME5" s="496"/>
      <c r="VMF5" s="496"/>
      <c r="VMG5" s="496"/>
      <c r="VMH5" s="496"/>
      <c r="VMI5" s="496"/>
      <c r="VMJ5" s="496"/>
      <c r="VMK5" s="496"/>
      <c r="VML5" s="496"/>
      <c r="VMM5" s="496"/>
      <c r="VMN5" s="496"/>
      <c r="VMO5" s="496"/>
      <c r="VMP5" s="496"/>
      <c r="VMQ5" s="496"/>
      <c r="VMR5" s="496"/>
      <c r="VMS5" s="496"/>
      <c r="VMT5" s="496"/>
      <c r="VMU5" s="496"/>
      <c r="VMV5" s="496"/>
      <c r="VMW5" s="496"/>
      <c r="VMX5" s="496"/>
      <c r="VMY5" s="496"/>
      <c r="VMZ5" s="496"/>
      <c r="VNA5" s="496"/>
      <c r="VNB5" s="496"/>
      <c r="VNC5" s="496"/>
      <c r="VND5" s="496"/>
      <c r="VNE5" s="496"/>
      <c r="VNF5" s="496"/>
      <c r="VNG5" s="496"/>
      <c r="VNH5" s="496"/>
      <c r="VNI5" s="496"/>
      <c r="VNJ5" s="496"/>
      <c r="VNK5" s="496"/>
      <c r="VNL5" s="496"/>
      <c r="VNM5" s="496"/>
      <c r="VNN5" s="496"/>
      <c r="VNO5" s="496"/>
      <c r="VNP5" s="496"/>
      <c r="VNQ5" s="496"/>
      <c r="VNR5" s="496"/>
      <c r="VNS5" s="496"/>
      <c r="VNT5" s="496"/>
      <c r="VNU5" s="496"/>
      <c r="VNV5" s="496"/>
      <c r="VNW5" s="496"/>
      <c r="VNX5" s="496"/>
      <c r="VNY5" s="496"/>
      <c r="VNZ5" s="496"/>
      <c r="VOA5" s="496"/>
      <c r="VOB5" s="496"/>
      <c r="VOC5" s="496"/>
      <c r="VOD5" s="496"/>
      <c r="VOE5" s="496"/>
      <c r="VOF5" s="496"/>
      <c r="VOG5" s="496"/>
      <c r="VOH5" s="496"/>
      <c r="VOI5" s="496"/>
      <c r="VOJ5" s="496"/>
      <c r="VOK5" s="496"/>
      <c r="VOL5" s="496"/>
      <c r="VOM5" s="496"/>
      <c r="VON5" s="496"/>
      <c r="VOO5" s="496"/>
      <c r="VOP5" s="496"/>
      <c r="VOQ5" s="496"/>
      <c r="VOR5" s="496"/>
      <c r="VOS5" s="496"/>
      <c r="VOT5" s="496"/>
      <c r="VOU5" s="496"/>
      <c r="VOV5" s="496"/>
      <c r="VOW5" s="496"/>
      <c r="VOX5" s="496"/>
      <c r="VOY5" s="496"/>
      <c r="VOZ5" s="496"/>
      <c r="VPA5" s="496"/>
      <c r="VPB5" s="496"/>
      <c r="VPC5" s="496"/>
      <c r="VPD5" s="496"/>
      <c r="VPE5" s="496"/>
      <c r="VPF5" s="496"/>
      <c r="VPG5" s="496"/>
      <c r="VPH5" s="496"/>
      <c r="VPI5" s="496"/>
      <c r="VPJ5" s="496"/>
      <c r="VPK5" s="496"/>
      <c r="VPL5" s="496"/>
      <c r="VPM5" s="496"/>
      <c r="VPN5" s="496"/>
      <c r="VPO5" s="496"/>
      <c r="VPP5" s="496"/>
      <c r="VPQ5" s="496"/>
      <c r="VPR5" s="496"/>
      <c r="VPS5" s="496"/>
      <c r="VPT5" s="496"/>
      <c r="VPU5" s="496"/>
      <c r="VPV5" s="496"/>
      <c r="VPW5" s="496"/>
      <c r="VPX5" s="496"/>
      <c r="VPY5" s="496"/>
      <c r="VPZ5" s="496"/>
      <c r="VQA5" s="496"/>
      <c r="VQB5" s="496"/>
      <c r="VQC5" s="496"/>
      <c r="VQD5" s="496"/>
      <c r="VQE5" s="496"/>
      <c r="VQF5" s="496"/>
      <c r="VQG5" s="496"/>
      <c r="VQH5" s="496"/>
      <c r="VQI5" s="496"/>
      <c r="VQJ5" s="496"/>
      <c r="VQK5" s="496"/>
      <c r="VQL5" s="496"/>
      <c r="VQM5" s="496"/>
      <c r="VQN5" s="496"/>
      <c r="VQO5" s="496"/>
      <c r="VQP5" s="496"/>
      <c r="VQQ5" s="496"/>
      <c r="VQR5" s="496"/>
      <c r="VQS5" s="496"/>
      <c r="VQT5" s="496"/>
      <c r="VQU5" s="496"/>
      <c r="VQV5" s="496"/>
      <c r="VQW5" s="496"/>
      <c r="VQX5" s="496"/>
      <c r="VQY5" s="496"/>
      <c r="VQZ5" s="496"/>
      <c r="VRA5" s="496"/>
      <c r="VRB5" s="496"/>
      <c r="VRC5" s="496"/>
      <c r="VRD5" s="496"/>
      <c r="VRE5" s="496"/>
      <c r="VRF5" s="496"/>
      <c r="VRG5" s="496"/>
      <c r="VRH5" s="496"/>
      <c r="VRI5" s="496"/>
      <c r="VRJ5" s="496"/>
      <c r="VRK5" s="496"/>
      <c r="VRL5" s="496"/>
      <c r="VRM5" s="496"/>
      <c r="VRN5" s="496"/>
      <c r="VRO5" s="496"/>
      <c r="VRP5" s="496"/>
      <c r="VRQ5" s="496"/>
      <c r="VRR5" s="496"/>
      <c r="VRS5" s="496"/>
      <c r="VRT5" s="496"/>
      <c r="VRU5" s="496"/>
      <c r="VRV5" s="496"/>
      <c r="VRW5" s="496"/>
      <c r="VRX5" s="496"/>
      <c r="VRY5" s="496"/>
      <c r="VRZ5" s="496"/>
      <c r="VSA5" s="496"/>
      <c r="VSB5" s="496"/>
      <c r="VSC5" s="496"/>
      <c r="VSD5" s="496"/>
      <c r="VSE5" s="496"/>
      <c r="VSF5" s="496"/>
      <c r="VSG5" s="496"/>
      <c r="VSH5" s="496"/>
      <c r="VSI5" s="496"/>
      <c r="VSJ5" s="496"/>
      <c r="VSK5" s="496"/>
      <c r="VSL5" s="496"/>
      <c r="VSM5" s="496"/>
      <c r="VSN5" s="496"/>
      <c r="VSO5" s="496"/>
      <c r="VSP5" s="496"/>
      <c r="VSQ5" s="496"/>
      <c r="VSR5" s="496"/>
      <c r="VSS5" s="496"/>
      <c r="VST5" s="496"/>
      <c r="VSU5" s="496"/>
      <c r="VSV5" s="496"/>
      <c r="VSW5" s="496"/>
      <c r="VSX5" s="496"/>
      <c r="VSY5" s="496"/>
      <c r="VSZ5" s="496"/>
      <c r="VTA5" s="496"/>
      <c r="VTB5" s="496"/>
      <c r="VTC5" s="496"/>
      <c r="VTD5" s="496"/>
      <c r="VTE5" s="496"/>
      <c r="VTF5" s="496"/>
      <c r="VTG5" s="496"/>
      <c r="VTH5" s="496"/>
      <c r="VTI5" s="496"/>
      <c r="VTJ5" s="496"/>
      <c r="VTK5" s="496"/>
      <c r="VTL5" s="496"/>
      <c r="VTM5" s="496"/>
      <c r="VTN5" s="496"/>
      <c r="VTO5" s="496"/>
      <c r="VTP5" s="496"/>
      <c r="VTQ5" s="496"/>
      <c r="VTR5" s="496"/>
      <c r="VTS5" s="496"/>
      <c r="VTT5" s="496"/>
      <c r="VTU5" s="496"/>
      <c r="VTV5" s="496"/>
      <c r="VTW5" s="496"/>
      <c r="VTX5" s="496"/>
      <c r="VTY5" s="496"/>
      <c r="VTZ5" s="496"/>
      <c r="VUA5" s="496"/>
      <c r="VUB5" s="496"/>
      <c r="VUC5" s="496"/>
      <c r="VUD5" s="496"/>
      <c r="VUE5" s="496"/>
      <c r="VUF5" s="496"/>
      <c r="VUG5" s="496"/>
      <c r="VUH5" s="496"/>
      <c r="VUI5" s="496"/>
      <c r="VUJ5" s="496"/>
      <c r="VUK5" s="496"/>
      <c r="VUL5" s="496"/>
      <c r="VUM5" s="496"/>
      <c r="VUN5" s="496"/>
      <c r="VUO5" s="496"/>
      <c r="VUP5" s="496"/>
      <c r="VUQ5" s="496"/>
      <c r="VUR5" s="496"/>
      <c r="VUS5" s="496"/>
      <c r="VUT5" s="496"/>
      <c r="VUU5" s="496"/>
      <c r="VUV5" s="496"/>
      <c r="VUW5" s="496"/>
      <c r="VUX5" s="496"/>
      <c r="VUY5" s="496"/>
      <c r="VUZ5" s="496"/>
      <c r="VVA5" s="496"/>
      <c r="VVB5" s="496"/>
      <c r="VVC5" s="496"/>
      <c r="VVD5" s="496"/>
      <c r="VVE5" s="496"/>
      <c r="VVF5" s="496"/>
      <c r="VVG5" s="496"/>
      <c r="VVH5" s="496"/>
      <c r="VVI5" s="496"/>
      <c r="VVJ5" s="496"/>
      <c r="VVK5" s="496"/>
      <c r="VVL5" s="496"/>
      <c r="VVM5" s="496"/>
      <c r="VVN5" s="496"/>
      <c r="VVO5" s="496"/>
      <c r="VVP5" s="496"/>
      <c r="VVQ5" s="496"/>
      <c r="VVR5" s="496"/>
      <c r="VVS5" s="496"/>
      <c r="VVT5" s="496"/>
      <c r="VVU5" s="496"/>
      <c r="VVV5" s="496"/>
      <c r="VVW5" s="496"/>
      <c r="VVX5" s="496"/>
      <c r="VVY5" s="496"/>
      <c r="VVZ5" s="496"/>
      <c r="VWA5" s="496"/>
      <c r="VWB5" s="496"/>
      <c r="VWC5" s="496"/>
      <c r="VWD5" s="496"/>
      <c r="VWE5" s="496"/>
      <c r="VWF5" s="496"/>
      <c r="VWG5" s="496"/>
      <c r="VWH5" s="496"/>
      <c r="VWI5" s="496"/>
      <c r="VWJ5" s="496"/>
      <c r="VWK5" s="496"/>
      <c r="VWL5" s="496"/>
      <c r="VWM5" s="496"/>
      <c r="VWN5" s="496"/>
      <c r="VWO5" s="496"/>
      <c r="VWP5" s="496"/>
      <c r="VWQ5" s="496"/>
      <c r="VWR5" s="496"/>
      <c r="VWS5" s="496"/>
      <c r="VWT5" s="496"/>
      <c r="VWU5" s="496"/>
      <c r="VWV5" s="496"/>
      <c r="VWW5" s="496"/>
      <c r="VWX5" s="496"/>
      <c r="VWY5" s="496"/>
      <c r="VWZ5" s="496"/>
      <c r="VXA5" s="496"/>
      <c r="VXB5" s="496"/>
      <c r="VXC5" s="496"/>
      <c r="VXD5" s="496"/>
      <c r="VXE5" s="496"/>
      <c r="VXF5" s="496"/>
      <c r="VXG5" s="496"/>
      <c r="VXH5" s="496"/>
      <c r="VXI5" s="496"/>
      <c r="VXJ5" s="496"/>
      <c r="VXK5" s="496"/>
      <c r="VXL5" s="496"/>
      <c r="VXM5" s="496"/>
      <c r="VXN5" s="496"/>
      <c r="VXO5" s="496"/>
      <c r="VXP5" s="496"/>
      <c r="VXQ5" s="496"/>
      <c r="VXR5" s="496"/>
      <c r="VXS5" s="496"/>
      <c r="VXT5" s="496"/>
      <c r="VXU5" s="496"/>
      <c r="VXV5" s="496"/>
      <c r="VXW5" s="496"/>
      <c r="VXX5" s="496"/>
      <c r="VXY5" s="496"/>
      <c r="VXZ5" s="496"/>
      <c r="VYA5" s="496"/>
      <c r="VYB5" s="496"/>
      <c r="VYC5" s="496"/>
      <c r="VYD5" s="496"/>
      <c r="VYE5" s="496"/>
      <c r="VYF5" s="496"/>
      <c r="VYG5" s="496"/>
      <c r="VYH5" s="496"/>
      <c r="VYI5" s="496"/>
      <c r="VYJ5" s="496"/>
      <c r="VYK5" s="496"/>
      <c r="VYL5" s="496"/>
      <c r="VYM5" s="496"/>
      <c r="VYN5" s="496"/>
      <c r="VYO5" s="496"/>
      <c r="VYP5" s="496"/>
      <c r="VYQ5" s="496"/>
      <c r="VYR5" s="496"/>
      <c r="VYS5" s="496"/>
      <c r="VYT5" s="496"/>
      <c r="VYU5" s="496"/>
      <c r="VYV5" s="496"/>
      <c r="VYW5" s="496"/>
      <c r="VYX5" s="496"/>
      <c r="VYY5" s="496"/>
      <c r="VYZ5" s="496"/>
      <c r="VZA5" s="496"/>
      <c r="VZB5" s="496"/>
      <c r="VZC5" s="496"/>
      <c r="VZD5" s="496"/>
      <c r="VZE5" s="496"/>
      <c r="VZF5" s="496"/>
      <c r="VZG5" s="496"/>
      <c r="VZH5" s="496"/>
      <c r="VZI5" s="496"/>
      <c r="VZJ5" s="496"/>
      <c r="VZK5" s="496"/>
      <c r="VZL5" s="496"/>
      <c r="VZM5" s="496"/>
      <c r="VZN5" s="496"/>
      <c r="VZO5" s="496"/>
      <c r="VZP5" s="496"/>
      <c r="VZQ5" s="496"/>
      <c r="VZR5" s="496"/>
      <c r="VZS5" s="496"/>
      <c r="VZT5" s="496"/>
      <c r="VZU5" s="496"/>
      <c r="VZV5" s="496"/>
      <c r="VZW5" s="496"/>
      <c r="VZX5" s="496"/>
      <c r="VZY5" s="496"/>
      <c r="VZZ5" s="496"/>
      <c r="WAA5" s="496"/>
      <c r="WAB5" s="496"/>
      <c r="WAC5" s="496"/>
      <c r="WAD5" s="496"/>
      <c r="WAE5" s="496"/>
      <c r="WAF5" s="496"/>
      <c r="WAG5" s="496"/>
      <c r="WAH5" s="496"/>
      <c r="WAI5" s="496"/>
      <c r="WAJ5" s="496"/>
      <c r="WAK5" s="496"/>
      <c r="WAL5" s="496"/>
      <c r="WAM5" s="496"/>
      <c r="WAN5" s="496"/>
      <c r="WAO5" s="496"/>
      <c r="WAP5" s="496"/>
      <c r="WAQ5" s="496"/>
      <c r="WAR5" s="496"/>
      <c r="WAS5" s="496"/>
      <c r="WAT5" s="496"/>
      <c r="WAU5" s="496"/>
      <c r="WAV5" s="496"/>
      <c r="WAW5" s="496"/>
      <c r="WAX5" s="496"/>
      <c r="WAY5" s="496"/>
      <c r="WAZ5" s="496"/>
      <c r="WBA5" s="496"/>
      <c r="WBB5" s="496"/>
      <c r="WBC5" s="496"/>
      <c r="WBD5" s="496"/>
      <c r="WBE5" s="496"/>
      <c r="WBF5" s="496"/>
      <c r="WBG5" s="496"/>
      <c r="WBH5" s="496"/>
      <c r="WBI5" s="496"/>
      <c r="WBJ5" s="496"/>
      <c r="WBK5" s="496"/>
      <c r="WBL5" s="496"/>
      <c r="WBM5" s="496"/>
      <c r="WBN5" s="496"/>
      <c r="WBO5" s="496"/>
      <c r="WBP5" s="496"/>
      <c r="WBQ5" s="496"/>
      <c r="WBR5" s="496"/>
      <c r="WBS5" s="496"/>
      <c r="WBT5" s="496"/>
      <c r="WBU5" s="496"/>
      <c r="WBV5" s="496"/>
      <c r="WBW5" s="496"/>
      <c r="WBX5" s="496"/>
      <c r="WBY5" s="496"/>
      <c r="WBZ5" s="496"/>
      <c r="WCA5" s="496"/>
      <c r="WCB5" s="496"/>
      <c r="WCC5" s="496"/>
      <c r="WCD5" s="496"/>
      <c r="WCE5" s="496"/>
      <c r="WCF5" s="496"/>
      <c r="WCG5" s="496"/>
      <c r="WCH5" s="496"/>
      <c r="WCI5" s="496"/>
      <c r="WCJ5" s="496"/>
      <c r="WCK5" s="496"/>
      <c r="WCL5" s="496"/>
      <c r="WCM5" s="496"/>
      <c r="WCN5" s="496"/>
      <c r="WCO5" s="496"/>
      <c r="WCP5" s="496"/>
      <c r="WCQ5" s="496"/>
      <c r="WCR5" s="496"/>
      <c r="WCS5" s="496"/>
      <c r="WCT5" s="496"/>
      <c r="WCU5" s="496"/>
      <c r="WCV5" s="496"/>
      <c r="WCW5" s="496"/>
      <c r="WCX5" s="496"/>
      <c r="WCY5" s="496"/>
      <c r="WCZ5" s="496"/>
      <c r="WDA5" s="496"/>
      <c r="WDB5" s="496"/>
      <c r="WDC5" s="496"/>
      <c r="WDD5" s="496"/>
      <c r="WDE5" s="496"/>
      <c r="WDF5" s="496"/>
      <c r="WDG5" s="496"/>
      <c r="WDH5" s="496"/>
      <c r="WDI5" s="496"/>
      <c r="WDJ5" s="496"/>
      <c r="WDK5" s="496"/>
      <c r="WDL5" s="496"/>
      <c r="WDM5" s="496"/>
      <c r="WDN5" s="496"/>
      <c r="WDO5" s="496"/>
      <c r="WDP5" s="496"/>
      <c r="WDQ5" s="496"/>
      <c r="WDR5" s="496"/>
      <c r="WDS5" s="496"/>
      <c r="WDT5" s="496"/>
      <c r="WDU5" s="496"/>
      <c r="WDV5" s="496"/>
      <c r="WDW5" s="496"/>
      <c r="WDX5" s="496"/>
      <c r="WDY5" s="496"/>
      <c r="WDZ5" s="496"/>
      <c r="WEA5" s="496"/>
      <c r="WEB5" s="496"/>
      <c r="WEC5" s="496"/>
      <c r="WED5" s="496"/>
      <c r="WEE5" s="496"/>
      <c r="WEF5" s="496"/>
      <c r="WEG5" s="496"/>
      <c r="WEH5" s="496"/>
      <c r="WEI5" s="496"/>
      <c r="WEJ5" s="496"/>
      <c r="WEK5" s="496"/>
      <c r="WEL5" s="496"/>
      <c r="WEM5" s="496"/>
      <c r="WEN5" s="496"/>
      <c r="WEO5" s="496"/>
      <c r="WEP5" s="496"/>
      <c r="WEQ5" s="496"/>
      <c r="WER5" s="496"/>
      <c r="WES5" s="496"/>
      <c r="WET5" s="496"/>
      <c r="WEU5" s="496"/>
      <c r="WEV5" s="496"/>
      <c r="WEW5" s="496"/>
      <c r="WEX5" s="496"/>
      <c r="WEY5" s="496"/>
      <c r="WEZ5" s="496"/>
      <c r="WFA5" s="496"/>
      <c r="WFB5" s="496"/>
      <c r="WFC5" s="496"/>
      <c r="WFD5" s="496"/>
      <c r="WFE5" s="496"/>
      <c r="WFF5" s="496"/>
      <c r="WFG5" s="496"/>
      <c r="WFH5" s="496"/>
      <c r="WFI5" s="496"/>
      <c r="WFJ5" s="496"/>
      <c r="WFK5" s="496"/>
      <c r="WFL5" s="496"/>
      <c r="WFM5" s="496"/>
      <c r="WFN5" s="496"/>
      <c r="WFO5" s="496"/>
      <c r="WFP5" s="496"/>
      <c r="WFQ5" s="496"/>
      <c r="WFR5" s="496"/>
      <c r="WFS5" s="496"/>
      <c r="WFT5" s="496"/>
      <c r="WFU5" s="496"/>
      <c r="WFV5" s="496"/>
      <c r="WFW5" s="496"/>
      <c r="WFX5" s="496"/>
      <c r="WFY5" s="496"/>
      <c r="WFZ5" s="496"/>
      <c r="WGA5" s="496"/>
      <c r="WGB5" s="496"/>
      <c r="WGC5" s="496"/>
      <c r="WGD5" s="496"/>
      <c r="WGE5" s="496"/>
      <c r="WGF5" s="496"/>
      <c r="WGG5" s="496"/>
      <c r="WGH5" s="496"/>
      <c r="WGI5" s="496"/>
      <c r="WGJ5" s="496"/>
      <c r="WGK5" s="496"/>
      <c r="WGL5" s="496"/>
      <c r="WGM5" s="496"/>
      <c r="WGN5" s="496"/>
      <c r="WGO5" s="496"/>
      <c r="WGP5" s="496"/>
      <c r="WGQ5" s="496"/>
      <c r="WGR5" s="496"/>
      <c r="WGS5" s="496"/>
      <c r="WGT5" s="496"/>
      <c r="WGU5" s="496"/>
      <c r="WGV5" s="496"/>
      <c r="WGW5" s="496"/>
      <c r="WGX5" s="496"/>
      <c r="WGY5" s="496"/>
      <c r="WGZ5" s="496"/>
      <c r="WHA5" s="496"/>
      <c r="WHB5" s="496"/>
      <c r="WHC5" s="496"/>
      <c r="WHD5" s="496"/>
      <c r="WHE5" s="496"/>
      <c r="WHF5" s="496"/>
      <c r="WHG5" s="496"/>
      <c r="WHH5" s="496"/>
      <c r="WHI5" s="496"/>
      <c r="WHJ5" s="496"/>
      <c r="WHK5" s="496"/>
      <c r="WHL5" s="496"/>
      <c r="WHM5" s="496"/>
      <c r="WHN5" s="496"/>
      <c r="WHO5" s="496"/>
      <c r="WHP5" s="496"/>
      <c r="WHQ5" s="496"/>
      <c r="WHR5" s="496"/>
      <c r="WHS5" s="496"/>
      <c r="WHT5" s="496"/>
      <c r="WHU5" s="496"/>
      <c r="WHV5" s="496"/>
      <c r="WHW5" s="496"/>
      <c r="WHX5" s="496"/>
      <c r="WHY5" s="496"/>
      <c r="WHZ5" s="496"/>
      <c r="WIA5" s="496"/>
      <c r="WIB5" s="496"/>
      <c r="WIC5" s="496"/>
      <c r="WID5" s="496"/>
      <c r="WIE5" s="496"/>
      <c r="WIF5" s="496"/>
      <c r="WIG5" s="496"/>
      <c r="WIH5" s="496"/>
      <c r="WII5" s="496"/>
      <c r="WIJ5" s="496"/>
      <c r="WIK5" s="496"/>
      <c r="WIL5" s="496"/>
      <c r="WIM5" s="496"/>
      <c r="WIN5" s="496"/>
      <c r="WIO5" s="496"/>
      <c r="WIP5" s="496"/>
      <c r="WIQ5" s="496"/>
      <c r="WIR5" s="496"/>
      <c r="WIS5" s="496"/>
      <c r="WIT5" s="496"/>
      <c r="WIU5" s="496"/>
      <c r="WIV5" s="496"/>
      <c r="WIW5" s="496"/>
      <c r="WIX5" s="496"/>
      <c r="WIY5" s="496"/>
      <c r="WIZ5" s="496"/>
      <c r="WJA5" s="496"/>
      <c r="WJB5" s="496"/>
      <c r="WJC5" s="496"/>
      <c r="WJD5" s="496"/>
      <c r="WJE5" s="496"/>
      <c r="WJF5" s="496"/>
      <c r="WJG5" s="496"/>
      <c r="WJH5" s="496"/>
      <c r="WJI5" s="496"/>
      <c r="WJJ5" s="496"/>
      <c r="WJK5" s="496"/>
      <c r="WJL5" s="496"/>
      <c r="WJM5" s="496"/>
      <c r="WJN5" s="496"/>
      <c r="WJO5" s="496"/>
      <c r="WJP5" s="496"/>
      <c r="WJQ5" s="496"/>
      <c r="WJR5" s="496"/>
      <c r="WJS5" s="496"/>
      <c r="WJT5" s="496"/>
      <c r="WJU5" s="496"/>
      <c r="WJV5" s="496"/>
      <c r="WJW5" s="496"/>
      <c r="WJX5" s="496"/>
      <c r="WJY5" s="496"/>
      <c r="WJZ5" s="496"/>
      <c r="WKA5" s="496"/>
      <c r="WKB5" s="496"/>
      <c r="WKC5" s="496"/>
      <c r="WKD5" s="496"/>
      <c r="WKE5" s="496"/>
      <c r="WKF5" s="496"/>
      <c r="WKG5" s="496"/>
      <c r="WKH5" s="496"/>
      <c r="WKI5" s="496"/>
      <c r="WKJ5" s="496"/>
      <c r="WKK5" s="496"/>
      <c r="WKL5" s="496"/>
      <c r="WKM5" s="496"/>
      <c r="WKN5" s="496"/>
      <c r="WKO5" s="496"/>
      <c r="WKP5" s="496"/>
      <c r="WKQ5" s="496"/>
      <c r="WKR5" s="496"/>
      <c r="WKS5" s="496"/>
      <c r="WKT5" s="496"/>
      <c r="WKU5" s="496"/>
      <c r="WKV5" s="496"/>
      <c r="WKW5" s="496"/>
      <c r="WKX5" s="496"/>
      <c r="WKY5" s="496"/>
      <c r="WKZ5" s="496"/>
      <c r="WLA5" s="496"/>
      <c r="WLB5" s="496"/>
      <c r="WLC5" s="496"/>
      <c r="WLD5" s="496"/>
      <c r="WLE5" s="496"/>
      <c r="WLF5" s="496"/>
      <c r="WLG5" s="496"/>
      <c r="WLH5" s="496"/>
      <c r="WLI5" s="496"/>
      <c r="WLJ5" s="496"/>
      <c r="WLK5" s="496"/>
      <c r="WLL5" s="496"/>
      <c r="WLM5" s="496"/>
      <c r="WLN5" s="496"/>
      <c r="WLO5" s="496"/>
      <c r="WLP5" s="496"/>
      <c r="WLQ5" s="496"/>
      <c r="WLR5" s="496"/>
      <c r="WLS5" s="496"/>
      <c r="WLT5" s="496"/>
      <c r="WLU5" s="496"/>
      <c r="WLV5" s="496"/>
      <c r="WLW5" s="496"/>
      <c r="WLX5" s="496"/>
      <c r="WLY5" s="496"/>
      <c r="WLZ5" s="496"/>
      <c r="WMA5" s="496"/>
      <c r="WMB5" s="496"/>
      <c r="WMC5" s="496"/>
      <c r="WMD5" s="496"/>
      <c r="WME5" s="496"/>
      <c r="WMF5" s="496"/>
      <c r="WMG5" s="496"/>
      <c r="WMH5" s="496"/>
      <c r="WMI5" s="496"/>
      <c r="WMJ5" s="496"/>
      <c r="WMK5" s="496"/>
      <c r="WML5" s="496"/>
      <c r="WMM5" s="496"/>
      <c r="WMN5" s="496"/>
      <c r="WMO5" s="496"/>
      <c r="WMP5" s="496"/>
      <c r="WMQ5" s="496"/>
      <c r="WMR5" s="496"/>
      <c r="WMS5" s="496"/>
      <c r="WMT5" s="496"/>
      <c r="WMU5" s="496"/>
      <c r="WMV5" s="496"/>
      <c r="WMW5" s="496"/>
      <c r="WMX5" s="496"/>
      <c r="WMY5" s="496"/>
      <c r="WMZ5" s="496"/>
      <c r="WNA5" s="496"/>
      <c r="WNB5" s="496"/>
      <c r="WNC5" s="496"/>
      <c r="WND5" s="496"/>
      <c r="WNE5" s="496"/>
      <c r="WNF5" s="496"/>
      <c r="WNG5" s="496"/>
      <c r="WNH5" s="496"/>
      <c r="WNI5" s="496"/>
      <c r="WNJ5" s="496"/>
      <c r="WNK5" s="496"/>
      <c r="WNL5" s="496"/>
      <c r="WNM5" s="496"/>
      <c r="WNN5" s="496"/>
      <c r="WNO5" s="496"/>
      <c r="WNP5" s="496"/>
      <c r="WNQ5" s="496"/>
      <c r="WNR5" s="496"/>
      <c r="WNS5" s="496"/>
      <c r="WNT5" s="496"/>
      <c r="WNU5" s="496"/>
      <c r="WNV5" s="496"/>
      <c r="WNW5" s="496"/>
      <c r="WNX5" s="496"/>
      <c r="WNY5" s="496"/>
      <c r="WNZ5" s="496"/>
      <c r="WOA5" s="496"/>
      <c r="WOB5" s="496"/>
      <c r="WOC5" s="496"/>
      <c r="WOD5" s="496"/>
      <c r="WOE5" s="496"/>
      <c r="WOF5" s="496"/>
      <c r="WOG5" s="496"/>
      <c r="WOH5" s="496"/>
      <c r="WOI5" s="496"/>
      <c r="WOJ5" s="496"/>
      <c r="WOK5" s="496"/>
      <c r="WOL5" s="496"/>
      <c r="WOM5" s="496"/>
      <c r="WON5" s="496"/>
      <c r="WOO5" s="496"/>
      <c r="WOP5" s="496"/>
      <c r="WOQ5" s="496"/>
      <c r="WOR5" s="496"/>
      <c r="WOS5" s="496"/>
      <c r="WOT5" s="496"/>
      <c r="WOU5" s="496"/>
      <c r="WOV5" s="496"/>
      <c r="WOW5" s="496"/>
      <c r="WOX5" s="496"/>
      <c r="WOY5" s="496"/>
      <c r="WOZ5" s="496"/>
      <c r="WPA5" s="496"/>
      <c r="WPB5" s="496"/>
      <c r="WPC5" s="496"/>
      <c r="WPD5" s="496"/>
      <c r="WPE5" s="496"/>
      <c r="WPF5" s="496"/>
      <c r="WPG5" s="496"/>
      <c r="WPH5" s="496"/>
      <c r="WPI5" s="496"/>
      <c r="WPJ5" s="496"/>
      <c r="WPK5" s="496"/>
      <c r="WPL5" s="496"/>
      <c r="WPM5" s="496"/>
      <c r="WPN5" s="496"/>
      <c r="WPO5" s="496"/>
      <c r="WPP5" s="496"/>
      <c r="WPQ5" s="496"/>
      <c r="WPR5" s="496"/>
      <c r="WPS5" s="496"/>
      <c r="WPT5" s="496"/>
      <c r="WPU5" s="496"/>
      <c r="WPV5" s="496"/>
      <c r="WPW5" s="496"/>
      <c r="WPX5" s="496"/>
      <c r="WPY5" s="496"/>
      <c r="WPZ5" s="496"/>
      <c r="WQA5" s="496"/>
      <c r="WQB5" s="496"/>
      <c r="WQC5" s="496"/>
      <c r="WQD5" s="496"/>
      <c r="WQE5" s="496"/>
      <c r="WQF5" s="496"/>
      <c r="WQG5" s="496"/>
      <c r="WQH5" s="496"/>
      <c r="WQI5" s="496"/>
      <c r="WQJ5" s="496"/>
      <c r="WQK5" s="496"/>
      <c r="WQL5" s="496"/>
      <c r="WQM5" s="496"/>
      <c r="WQN5" s="496"/>
      <c r="WQO5" s="496"/>
      <c r="WQP5" s="496"/>
      <c r="WQQ5" s="496"/>
      <c r="WQR5" s="496"/>
      <c r="WQS5" s="496"/>
      <c r="WQT5" s="496"/>
      <c r="WQU5" s="496"/>
      <c r="WQV5" s="496"/>
      <c r="WQW5" s="496"/>
      <c r="WQX5" s="496"/>
      <c r="WQY5" s="496"/>
      <c r="WQZ5" s="496"/>
      <c r="WRA5" s="496"/>
      <c r="WRB5" s="496"/>
      <c r="WRC5" s="496"/>
      <c r="WRD5" s="496"/>
      <c r="WRE5" s="496"/>
      <c r="WRF5" s="496"/>
      <c r="WRG5" s="496"/>
      <c r="WRH5" s="496"/>
      <c r="WRI5" s="496"/>
      <c r="WRJ5" s="496"/>
      <c r="WRK5" s="496"/>
      <c r="WRL5" s="496"/>
      <c r="WRM5" s="496"/>
      <c r="WRN5" s="496"/>
      <c r="WRO5" s="496"/>
      <c r="WRP5" s="496"/>
      <c r="WRQ5" s="496"/>
      <c r="WRR5" s="496"/>
      <c r="WRS5" s="496"/>
      <c r="WRT5" s="496"/>
      <c r="WRU5" s="496"/>
      <c r="WRV5" s="496"/>
      <c r="WRW5" s="496"/>
      <c r="WRX5" s="496"/>
      <c r="WRY5" s="496"/>
      <c r="WRZ5" s="496"/>
      <c r="WSA5" s="496"/>
      <c r="WSB5" s="496"/>
      <c r="WSC5" s="496"/>
      <c r="WSD5" s="496"/>
      <c r="WSE5" s="496"/>
      <c r="WSF5" s="496"/>
      <c r="WSG5" s="496"/>
      <c r="WSH5" s="496"/>
      <c r="WSI5" s="496"/>
      <c r="WSJ5" s="496"/>
      <c r="WSK5" s="496"/>
      <c r="WSL5" s="496"/>
      <c r="WSM5" s="496"/>
      <c r="WSN5" s="496"/>
      <c r="WSO5" s="496"/>
      <c r="WSP5" s="496"/>
      <c r="WSQ5" s="496"/>
      <c r="WSR5" s="496"/>
      <c r="WSS5" s="496"/>
      <c r="WST5" s="496"/>
      <c r="WSU5" s="496"/>
      <c r="WSV5" s="496"/>
      <c r="WSW5" s="496"/>
      <c r="WSX5" s="496"/>
      <c r="WSY5" s="496"/>
      <c r="WSZ5" s="496"/>
      <c r="WTA5" s="496"/>
      <c r="WTB5" s="496"/>
      <c r="WTC5" s="496"/>
      <c r="WTD5" s="496"/>
      <c r="WTE5" s="496"/>
      <c r="WTF5" s="496"/>
      <c r="WTG5" s="496"/>
      <c r="WTH5" s="496"/>
      <c r="WTI5" s="496"/>
      <c r="WTJ5" s="496"/>
      <c r="WTK5" s="496"/>
      <c r="WTL5" s="496"/>
      <c r="WTM5" s="496"/>
      <c r="WTN5" s="496"/>
      <c r="WTO5" s="496"/>
      <c r="WTP5" s="496"/>
      <c r="WTQ5" s="496"/>
      <c r="WTR5" s="496"/>
      <c r="WTS5" s="496"/>
      <c r="WTT5" s="496"/>
      <c r="WTU5" s="496"/>
      <c r="WTV5" s="496"/>
      <c r="WTW5" s="496"/>
      <c r="WTX5" s="496"/>
      <c r="WTY5" s="496"/>
      <c r="WTZ5" s="496"/>
      <c r="WUA5" s="496"/>
      <c r="WUB5" s="496"/>
      <c r="WUC5" s="496"/>
      <c r="WUD5" s="496"/>
      <c r="WUE5" s="496"/>
      <c r="WUF5" s="496"/>
      <c r="WUG5" s="496"/>
      <c r="WUH5" s="496"/>
      <c r="WUI5" s="496"/>
      <c r="WUJ5" s="496"/>
      <c r="WUK5" s="496"/>
      <c r="WUL5" s="496"/>
      <c r="WUM5" s="496"/>
      <c r="WUN5" s="496"/>
      <c r="WUO5" s="496"/>
      <c r="WUP5" s="496"/>
      <c r="WUQ5" s="496"/>
      <c r="WUR5" s="496"/>
      <c r="WUS5" s="496"/>
      <c r="WUT5" s="496"/>
      <c r="WUU5" s="496"/>
      <c r="WUV5" s="496"/>
      <c r="WUW5" s="496"/>
      <c r="WUX5" s="496"/>
      <c r="WUY5" s="496"/>
      <c r="WUZ5" s="496"/>
      <c r="WVA5" s="496"/>
      <c r="WVB5" s="496"/>
      <c r="WVC5" s="496"/>
      <c r="WVD5" s="496"/>
      <c r="WVE5" s="496"/>
      <c r="WVF5" s="496"/>
      <c r="WVG5" s="496"/>
      <c r="WVH5" s="496"/>
      <c r="WVI5" s="496"/>
      <c r="WVJ5" s="496"/>
      <c r="WVK5" s="496"/>
      <c r="WVL5" s="496"/>
      <c r="WVM5" s="496"/>
      <c r="WVN5" s="496"/>
      <c r="WVO5" s="496"/>
      <c r="WVP5" s="496"/>
      <c r="WVQ5" s="496"/>
      <c r="WVR5" s="496"/>
      <c r="WVS5" s="496"/>
      <c r="WVT5" s="496"/>
      <c r="WVU5" s="496"/>
      <c r="WVV5" s="496"/>
      <c r="WVW5" s="496"/>
      <c r="WVX5" s="496"/>
      <c r="WVY5" s="496"/>
      <c r="WVZ5" s="496"/>
      <c r="WWA5" s="496"/>
      <c r="WWB5" s="496"/>
      <c r="WWC5" s="496"/>
      <c r="WWD5" s="496"/>
      <c r="WWE5" s="496"/>
      <c r="WWF5" s="496"/>
      <c r="WWG5" s="496"/>
      <c r="WWH5" s="496"/>
      <c r="WWI5" s="496"/>
      <c r="WWJ5" s="496"/>
      <c r="WWK5" s="496"/>
      <c r="WWL5" s="496"/>
      <c r="WWM5" s="496"/>
      <c r="WWN5" s="496"/>
      <c r="WWO5" s="496"/>
      <c r="WWP5" s="496"/>
      <c r="WWQ5" s="496"/>
      <c r="WWR5" s="496"/>
      <c r="WWS5" s="496"/>
      <c r="WWT5" s="496"/>
      <c r="WWU5" s="496"/>
      <c r="WWV5" s="496"/>
      <c r="WWW5" s="496"/>
      <c r="WWX5" s="496"/>
      <c r="WWY5" s="496"/>
      <c r="WWZ5" s="496"/>
      <c r="WXA5" s="496"/>
      <c r="WXB5" s="496"/>
      <c r="WXC5" s="496"/>
      <c r="WXD5" s="496"/>
      <c r="WXE5" s="496"/>
      <c r="WXF5" s="496"/>
      <c r="WXG5" s="496"/>
      <c r="WXH5" s="496"/>
      <c r="WXI5" s="496"/>
      <c r="WXJ5" s="496"/>
      <c r="WXK5" s="496"/>
      <c r="WXL5" s="496"/>
      <c r="WXM5" s="496"/>
      <c r="WXN5" s="496"/>
      <c r="WXO5" s="496"/>
      <c r="WXP5" s="496"/>
      <c r="WXQ5" s="496"/>
      <c r="WXR5" s="496"/>
      <c r="WXS5" s="496"/>
      <c r="WXT5" s="496"/>
      <c r="WXU5" s="496"/>
      <c r="WXV5" s="496"/>
      <c r="WXW5" s="496"/>
      <c r="WXX5" s="496"/>
      <c r="WXY5" s="496"/>
      <c r="WXZ5" s="496"/>
      <c r="WYA5" s="496"/>
      <c r="WYB5" s="496"/>
      <c r="WYC5" s="496"/>
      <c r="WYD5" s="496"/>
      <c r="WYE5" s="496"/>
      <c r="WYF5" s="496"/>
      <c r="WYG5" s="496"/>
      <c r="WYH5" s="496"/>
      <c r="WYI5" s="496"/>
      <c r="WYJ5" s="496"/>
      <c r="WYK5" s="496"/>
      <c r="WYL5" s="496"/>
      <c r="WYM5" s="496"/>
      <c r="WYN5" s="496"/>
      <c r="WYO5" s="496"/>
      <c r="WYP5" s="496"/>
      <c r="WYQ5" s="496"/>
      <c r="WYR5" s="496"/>
      <c r="WYS5" s="496"/>
      <c r="WYT5" s="496"/>
      <c r="WYU5" s="496"/>
      <c r="WYV5" s="496"/>
      <c r="WYW5" s="496"/>
      <c r="WYX5" s="496"/>
      <c r="WYY5" s="496"/>
      <c r="WYZ5" s="496"/>
      <c r="WZA5" s="496"/>
      <c r="WZB5" s="496"/>
      <c r="WZC5" s="496"/>
      <c r="WZD5" s="496"/>
      <c r="WZE5" s="496"/>
      <c r="WZF5" s="496"/>
      <c r="WZG5" s="496"/>
      <c r="WZH5" s="496"/>
      <c r="WZI5" s="496"/>
      <c r="WZJ5" s="496"/>
      <c r="WZK5" s="496"/>
      <c r="WZL5" s="496"/>
      <c r="WZM5" s="496"/>
      <c r="WZN5" s="496"/>
      <c r="WZO5" s="496"/>
      <c r="WZP5" s="496"/>
      <c r="WZQ5" s="496"/>
      <c r="WZR5" s="496"/>
      <c r="WZS5" s="496"/>
      <c r="WZT5" s="496"/>
      <c r="WZU5" s="496"/>
      <c r="WZV5" s="496"/>
      <c r="WZW5" s="496"/>
      <c r="WZX5" s="496"/>
      <c r="WZY5" s="496"/>
      <c r="WZZ5" s="496"/>
      <c r="XAA5" s="496"/>
      <c r="XAB5" s="496"/>
      <c r="XAC5" s="496"/>
      <c r="XAD5" s="496"/>
      <c r="XAE5" s="496"/>
      <c r="XAF5" s="496"/>
      <c r="XAG5" s="496"/>
      <c r="XAH5" s="496"/>
      <c r="XAI5" s="496"/>
      <c r="XAJ5" s="496"/>
      <c r="XAK5" s="496"/>
      <c r="XAL5" s="496"/>
      <c r="XAM5" s="496"/>
      <c r="XAN5" s="496"/>
      <c r="XAO5" s="496"/>
      <c r="XAP5" s="496"/>
      <c r="XAQ5" s="496"/>
      <c r="XAR5" s="496"/>
      <c r="XAS5" s="496"/>
      <c r="XAT5" s="496"/>
      <c r="XAU5" s="496"/>
      <c r="XAV5" s="496"/>
      <c r="XAW5" s="496"/>
      <c r="XAX5" s="496"/>
      <c r="XAY5" s="496"/>
      <c r="XAZ5" s="496"/>
      <c r="XBA5" s="496"/>
      <c r="XBB5" s="496"/>
      <c r="XBC5" s="496"/>
      <c r="XBD5" s="496"/>
      <c r="XBE5" s="496"/>
      <c r="XBF5" s="496"/>
      <c r="XBG5" s="496"/>
      <c r="XBH5" s="496"/>
      <c r="XBI5" s="496"/>
      <c r="XBJ5" s="496"/>
      <c r="XBK5" s="496"/>
      <c r="XBL5" s="496"/>
      <c r="XBM5" s="496"/>
      <c r="XBN5" s="496"/>
      <c r="XBO5" s="496"/>
      <c r="XBP5" s="496"/>
      <c r="XBQ5" s="496"/>
      <c r="XBR5" s="496"/>
      <c r="XBS5" s="496"/>
      <c r="XBT5" s="496"/>
      <c r="XBU5" s="496"/>
      <c r="XBV5" s="496"/>
      <c r="XBW5" s="496"/>
      <c r="XBX5" s="496"/>
      <c r="XBY5" s="496"/>
      <c r="XBZ5" s="496"/>
      <c r="XCA5" s="496"/>
      <c r="XCB5" s="496"/>
      <c r="XCC5" s="496"/>
      <c r="XCD5" s="496"/>
      <c r="XCE5" s="496"/>
      <c r="XCF5" s="496"/>
      <c r="XCG5" s="496"/>
      <c r="XCH5" s="496"/>
      <c r="XCI5" s="496"/>
      <c r="XCJ5" s="496"/>
      <c r="XCK5" s="496"/>
      <c r="XCL5" s="496"/>
      <c r="XCM5" s="496"/>
      <c r="XCN5" s="496"/>
      <c r="XCO5" s="496"/>
      <c r="XCP5" s="496"/>
      <c r="XCQ5" s="496"/>
      <c r="XCR5" s="496"/>
      <c r="XCS5" s="496"/>
      <c r="XCT5" s="496"/>
      <c r="XCU5" s="496"/>
      <c r="XCV5" s="496"/>
      <c r="XCW5" s="496"/>
      <c r="XCX5" s="496"/>
      <c r="XCY5" s="496"/>
      <c r="XCZ5" s="496"/>
      <c r="XDA5" s="496"/>
      <c r="XDB5" s="496"/>
      <c r="XDC5" s="496"/>
      <c r="XDD5" s="496"/>
      <c r="XDE5" s="496"/>
      <c r="XDF5" s="496"/>
      <c r="XDG5" s="496"/>
      <c r="XDH5" s="496"/>
      <c r="XDI5" s="496"/>
      <c r="XDJ5" s="496"/>
      <c r="XDK5" s="496"/>
      <c r="XDL5" s="496"/>
      <c r="XDM5" s="496"/>
      <c r="XDN5" s="496"/>
      <c r="XDO5" s="496"/>
      <c r="XDP5" s="496"/>
      <c r="XDQ5" s="496"/>
      <c r="XDR5" s="496"/>
      <c r="XDS5" s="496"/>
      <c r="XDT5" s="496"/>
      <c r="XDU5" s="496"/>
      <c r="XDV5" s="496"/>
      <c r="XDW5" s="496"/>
      <c r="XDX5" s="496"/>
      <c r="XDY5" s="496"/>
      <c r="XDZ5" s="496"/>
      <c r="XEA5" s="496"/>
      <c r="XEB5" s="496"/>
      <c r="XEC5" s="496"/>
      <c r="XED5" s="496"/>
      <c r="XEE5" s="496"/>
      <c r="XEF5" s="496"/>
      <c r="XEG5" s="496"/>
      <c r="XEH5" s="496"/>
      <c r="XEI5" s="496"/>
      <c r="XEJ5" s="496"/>
      <c r="XEK5" s="496"/>
      <c r="XEL5" s="496"/>
      <c r="XEM5" s="496"/>
      <c r="XEN5" s="496"/>
      <c r="XEO5" s="496"/>
      <c r="XEP5" s="496"/>
      <c r="XEQ5" s="496"/>
      <c r="XER5" s="496"/>
      <c r="XES5" s="496"/>
      <c r="XET5" s="496"/>
      <c r="XEU5" s="496"/>
      <c r="XEV5" s="496"/>
      <c r="XEW5" s="496"/>
    </row>
    <row r="6" spans="1:16377" x14ac:dyDescent="0.2">
      <c r="A6" s="497">
        <v>1</v>
      </c>
      <c r="B6" s="468" t="s">
        <v>1059</v>
      </c>
      <c r="C6" s="469" t="s">
        <v>1060</v>
      </c>
      <c r="D6" s="72">
        <f>SUMIFS(PURCHASE!$K$6:$K$10002,PURCHASE!$D$6:$D$10002,$C$6:$C$4995)</f>
        <v>0</v>
      </c>
      <c r="E6" s="72">
        <f>SUMIFS('GSTR-2A'!$K$6:$K$10000,'GSTR-2A'!$B$6:$B$10000,$C$6:$C$4995)</f>
        <v>0</v>
      </c>
      <c r="F6" s="72">
        <f>SUMIFS(PURCHASE!$L$6:$L$10002,PURCHASE!$D$6:$D$10002,$C$6:$C$4995)</f>
        <v>0</v>
      </c>
      <c r="G6" s="72">
        <f>SUMIFS('GSTR-2A'!$L$6:$L$10000,'GSTR-2A'!$B$6:$B$10000,$C$6:$C$4995)</f>
        <v>0</v>
      </c>
      <c r="H6" s="72">
        <f>SUMIFS(PURCHASE!$M$6:$M$10002,PURCHASE!$D$6:$D$10002,$C$6:$C$4995)</f>
        <v>0</v>
      </c>
      <c r="I6" s="72">
        <f>SUMIFS('GSTR-2A'!$M$6:$M$10000,'GSTR-2A'!$B$6:$B$10000,$C$6:$C$4995)</f>
        <v>0</v>
      </c>
      <c r="J6" s="72">
        <f>SUMIFS(PURCHASE!$N$6:$N$10002,PURCHASE!$D$6:$D$10002,$C$6:$C$4995)</f>
        <v>0</v>
      </c>
      <c r="K6" s="72">
        <f>SUMIFS('GSTR-2A'!$N$6:$N$10000,'GSTR-2A'!$B$6:$B$10000,$C$6:$C$4995)</f>
        <v>0</v>
      </c>
      <c r="L6" s="72">
        <f>+D6-E6</f>
        <v>0</v>
      </c>
      <c r="M6" s="72">
        <f>+F6-G6</f>
        <v>0</v>
      </c>
      <c r="N6" s="72">
        <f>+H6-I6</f>
        <v>0</v>
      </c>
      <c r="O6" s="72">
        <f>+J6-K6</f>
        <v>0</v>
      </c>
    </row>
    <row r="7" spans="1:16377" x14ac:dyDescent="0.2">
      <c r="A7" s="497">
        <v>2</v>
      </c>
      <c r="B7" s="468" t="s">
        <v>1061</v>
      </c>
      <c r="C7" s="469" t="s">
        <v>1062</v>
      </c>
      <c r="D7" s="72">
        <f>SUMIFS(PURCHASE!$K$6:$K$10002,PURCHASE!$D$6:$D$10002,$C$6:$C$4995)</f>
        <v>0</v>
      </c>
      <c r="E7" s="72">
        <f>SUMIFS('GSTR-2A'!$K$6:$K$10000,'GSTR-2A'!$B$6:$B$10000,$C$6:$C$4995)</f>
        <v>0</v>
      </c>
      <c r="F7" s="72">
        <f>SUMIFS(PURCHASE!$L$6:$L$10002,PURCHASE!$D$6:$D$10002,$C$6:$C$4995)</f>
        <v>0</v>
      </c>
      <c r="G7" s="72">
        <f>SUMIFS('GSTR-2A'!$L$6:$L$10000,'GSTR-2A'!$B$6:$B$10000,$C$6:$C$4995)</f>
        <v>0</v>
      </c>
      <c r="H7" s="72">
        <f>SUMIFS(PURCHASE!$M$6:$M$10002,PURCHASE!$D$6:$D$10002,$C$6:$C$4995)</f>
        <v>0</v>
      </c>
      <c r="I7" s="72">
        <f>SUMIFS('GSTR-2A'!$M$6:$M$10000,'GSTR-2A'!$B$6:$B$10000,$C$6:$C$4995)</f>
        <v>0</v>
      </c>
      <c r="J7" s="72">
        <f>SUMIFS(PURCHASE!$N$6:$N$10002,PURCHASE!$D$6:$D$10002,$C$6:$C$4995)</f>
        <v>0</v>
      </c>
      <c r="K7" s="72">
        <f>SUMIFS('GSTR-2A'!$N$6:$N$10000,'GSTR-2A'!$B$6:$B$10000,$C$6:$C$4995)</f>
        <v>0</v>
      </c>
      <c r="L7" s="72">
        <f t="shared" ref="L7:L70" si="1">+D7-E7</f>
        <v>0</v>
      </c>
      <c r="M7" s="72">
        <f t="shared" ref="M7:M70" si="2">+F7-G7</f>
        <v>0</v>
      </c>
      <c r="N7" s="72">
        <f t="shared" ref="N7:N70" si="3">+H7-I7</f>
        <v>0</v>
      </c>
      <c r="O7" s="72">
        <f t="shared" ref="O7:O70" si="4">+J7-K7</f>
        <v>0</v>
      </c>
    </row>
    <row r="8" spans="1:16377" x14ac:dyDescent="0.2">
      <c r="A8" s="497">
        <v>3</v>
      </c>
      <c r="B8" s="475" t="s">
        <v>857</v>
      </c>
      <c r="C8" s="475" t="s">
        <v>858</v>
      </c>
      <c r="D8" s="72">
        <f>SUMIFS(PURCHASE!$K$6:$K$10002,PURCHASE!$D$6:$D$10002,$C$6:$C$4995)</f>
        <v>20000</v>
      </c>
      <c r="E8" s="72">
        <f>SUMIFS('GSTR-2A'!$K$6:$K$10000,'GSTR-2A'!$B$6:$B$10000,$C$6:$C$4995)</f>
        <v>10000</v>
      </c>
      <c r="F8" s="72">
        <f>SUMIFS(PURCHASE!$L$6:$L$10002,PURCHASE!$D$6:$D$10002,$C$6:$C$4995)</f>
        <v>0</v>
      </c>
      <c r="G8" s="72">
        <f>SUMIFS('GSTR-2A'!$L$6:$L$10000,'GSTR-2A'!$B$6:$B$10000,$C$6:$C$4995)</f>
        <v>0</v>
      </c>
      <c r="H8" s="72">
        <f>SUMIFS(PURCHASE!$M$6:$M$10002,PURCHASE!$D$6:$D$10002,$C$6:$C$4995)</f>
        <v>1800</v>
      </c>
      <c r="I8" s="72">
        <f>SUMIFS('GSTR-2A'!$M$6:$M$10000,'GSTR-2A'!$B$6:$B$10000,$C$6:$C$4995)</f>
        <v>900</v>
      </c>
      <c r="J8" s="72">
        <f>SUMIFS(PURCHASE!$N$6:$N$10002,PURCHASE!$D$6:$D$10002,$C$6:$C$4995)</f>
        <v>1800</v>
      </c>
      <c r="K8" s="72">
        <f>SUMIFS('GSTR-2A'!$N$6:$N$10000,'GSTR-2A'!$B$6:$B$10000,$C$6:$C$4995)</f>
        <v>900</v>
      </c>
      <c r="L8" s="72">
        <f t="shared" si="1"/>
        <v>10000</v>
      </c>
      <c r="M8" s="72">
        <f t="shared" si="2"/>
        <v>0</v>
      </c>
      <c r="N8" s="72">
        <f t="shared" si="3"/>
        <v>900</v>
      </c>
      <c r="O8" s="72">
        <f t="shared" si="4"/>
        <v>900</v>
      </c>
      <c r="Q8" s="72">
        <f>+D8+F8+H8+J8</f>
        <v>23600</v>
      </c>
      <c r="R8" s="72">
        <f>+E8+G8+I8+K8</f>
        <v>11800</v>
      </c>
      <c r="S8" s="72">
        <f>+Q8-R8</f>
        <v>11800</v>
      </c>
    </row>
    <row r="9" spans="1:16377" x14ac:dyDescent="0.2">
      <c r="A9" s="497">
        <v>4</v>
      </c>
      <c r="B9" s="468" t="s">
        <v>1063</v>
      </c>
      <c r="C9" s="469" t="s">
        <v>1064</v>
      </c>
      <c r="D9" s="72">
        <f>SUMIFS(PURCHASE!$K$6:$K$10002,PURCHASE!$D$6:$D$10002,$C$6:$C$4995)</f>
        <v>0</v>
      </c>
      <c r="E9" s="72">
        <f>SUMIFS('GSTR-2A'!$K$6:$K$10000,'GSTR-2A'!$B$6:$B$10000,$C$6:$C$4995)</f>
        <v>0</v>
      </c>
      <c r="F9" s="72">
        <f>SUMIFS(PURCHASE!$L$6:$L$10002,PURCHASE!$D$6:$D$10002,$C$6:$C$4995)</f>
        <v>0</v>
      </c>
      <c r="G9" s="72">
        <f>SUMIFS('GSTR-2A'!$L$6:$L$10000,'GSTR-2A'!$B$6:$B$10000,$C$6:$C$4995)</f>
        <v>0</v>
      </c>
      <c r="H9" s="72">
        <f>SUMIFS(PURCHASE!$M$6:$M$10002,PURCHASE!$D$6:$D$10002,$C$6:$C$4995)</f>
        <v>0</v>
      </c>
      <c r="I9" s="72">
        <f>SUMIFS('GSTR-2A'!$M$6:$M$10000,'GSTR-2A'!$B$6:$B$10000,$C$6:$C$4995)</f>
        <v>0</v>
      </c>
      <c r="J9" s="72">
        <f>SUMIFS(PURCHASE!$N$6:$N$10002,PURCHASE!$D$6:$D$10002,$C$6:$C$4995)</f>
        <v>0</v>
      </c>
      <c r="K9" s="72">
        <f>SUMIFS('GSTR-2A'!$N$6:$N$10000,'GSTR-2A'!$B$6:$B$10000,$C$6:$C$4995)</f>
        <v>0</v>
      </c>
      <c r="L9" s="72">
        <f t="shared" si="1"/>
        <v>0</v>
      </c>
      <c r="M9" s="72">
        <f t="shared" si="2"/>
        <v>0</v>
      </c>
      <c r="N9" s="72">
        <f t="shared" si="3"/>
        <v>0</v>
      </c>
      <c r="O9" s="72">
        <f t="shared" si="4"/>
        <v>0</v>
      </c>
      <c r="Q9" s="72">
        <f t="shared" ref="Q9:Q72" si="5">+D9+F9+H9+J9</f>
        <v>0</v>
      </c>
      <c r="R9" s="72">
        <f t="shared" ref="R9:R72" si="6">+E9+G9+I9+K9</f>
        <v>0</v>
      </c>
      <c r="S9" s="72">
        <f t="shared" ref="S9:S72" si="7">+Q9-R9</f>
        <v>0</v>
      </c>
    </row>
    <row r="10" spans="1:16377" x14ac:dyDescent="0.2">
      <c r="A10" s="497">
        <v>5</v>
      </c>
      <c r="B10" s="468" t="s">
        <v>493</v>
      </c>
      <c r="C10" s="469" t="s">
        <v>494</v>
      </c>
      <c r="D10" s="72">
        <f>SUMIFS(PURCHASE!$K$6:$K$10002,PURCHASE!$D$6:$D$10002,$C$6:$C$4995)</f>
        <v>1033023.5900000001</v>
      </c>
      <c r="E10" s="72">
        <f>SUMIFS('GSTR-2A'!$K$6:$K$10000,'GSTR-2A'!$B$6:$B$10000,$C$6:$C$4995)</f>
        <v>1033023.5900000001</v>
      </c>
      <c r="F10" s="72">
        <f>SUMIFS(PURCHASE!$L$6:$L$10002,PURCHASE!$D$6:$D$10002,$C$6:$C$4995)</f>
        <v>0</v>
      </c>
      <c r="G10" s="72">
        <f>SUMIFS('GSTR-2A'!$L$6:$L$10000,'GSTR-2A'!$B$6:$B$10000,$C$6:$C$4995)</f>
        <v>0</v>
      </c>
      <c r="H10" s="72">
        <f>SUMIFS(PURCHASE!$M$6:$M$10002,PURCHASE!$D$6:$D$10002,$C$6:$C$4995)</f>
        <v>92972.123100000041</v>
      </c>
      <c r="I10" s="72">
        <f>SUMIFS('GSTR-2A'!$M$6:$M$10000,'GSTR-2A'!$B$6:$B$10000,$C$6:$C$4995)</f>
        <v>92972.15</v>
      </c>
      <c r="J10" s="72">
        <f>SUMIFS(PURCHASE!$N$6:$N$10002,PURCHASE!$D$6:$D$10002,$C$6:$C$4995)</f>
        <v>92972.123100000041</v>
      </c>
      <c r="K10" s="72">
        <f>SUMIFS('GSTR-2A'!$N$6:$N$10000,'GSTR-2A'!$B$6:$B$10000,$C$6:$C$4995)</f>
        <v>92972.15</v>
      </c>
      <c r="L10" s="72">
        <f t="shared" si="1"/>
        <v>0</v>
      </c>
      <c r="M10" s="72">
        <f t="shared" si="2"/>
        <v>0</v>
      </c>
      <c r="N10" s="72">
        <f t="shared" si="3"/>
        <v>-2.6899999953457154E-2</v>
      </c>
      <c r="O10" s="72">
        <f t="shared" si="4"/>
        <v>-2.6899999953457154E-2</v>
      </c>
      <c r="Q10" s="72">
        <f t="shared" si="5"/>
        <v>1218967.8362</v>
      </c>
      <c r="R10" s="72">
        <f t="shared" si="6"/>
        <v>1218967.8899999999</v>
      </c>
      <c r="S10" s="72">
        <f t="shared" si="7"/>
        <v>-5.3799999877810478E-2</v>
      </c>
    </row>
    <row r="11" spans="1:16377" x14ac:dyDescent="0.2">
      <c r="A11" s="497">
        <v>6</v>
      </c>
      <c r="B11" s="468" t="s">
        <v>1065</v>
      </c>
      <c r="C11" s="469" t="s">
        <v>1066</v>
      </c>
      <c r="D11" s="72">
        <f>SUMIFS(PURCHASE!$K$6:$K$10002,PURCHASE!$D$6:$D$10002,$C$6:$C$4995)</f>
        <v>0</v>
      </c>
      <c r="E11" s="72">
        <f>SUMIFS('GSTR-2A'!$K$6:$K$10000,'GSTR-2A'!$B$6:$B$10000,$C$6:$C$4995)</f>
        <v>0</v>
      </c>
      <c r="F11" s="72">
        <f>SUMIFS(PURCHASE!$L$6:$L$10002,PURCHASE!$D$6:$D$10002,$C$6:$C$4995)</f>
        <v>0</v>
      </c>
      <c r="G11" s="72">
        <f>SUMIFS('GSTR-2A'!$L$6:$L$10000,'GSTR-2A'!$B$6:$B$10000,$C$6:$C$4995)</f>
        <v>0</v>
      </c>
      <c r="H11" s="72">
        <f>SUMIFS(PURCHASE!$M$6:$M$10002,PURCHASE!$D$6:$D$10002,$C$6:$C$4995)</f>
        <v>0</v>
      </c>
      <c r="I11" s="72">
        <f>SUMIFS('GSTR-2A'!$M$6:$M$10000,'GSTR-2A'!$B$6:$B$10000,$C$6:$C$4995)</f>
        <v>0</v>
      </c>
      <c r="J11" s="72">
        <f>SUMIFS(PURCHASE!$N$6:$N$10002,PURCHASE!$D$6:$D$10002,$C$6:$C$4995)</f>
        <v>0</v>
      </c>
      <c r="K11" s="72">
        <f>SUMIFS('GSTR-2A'!$N$6:$N$10000,'GSTR-2A'!$B$6:$B$10000,$C$6:$C$4995)</f>
        <v>0</v>
      </c>
      <c r="L11" s="72">
        <f t="shared" si="1"/>
        <v>0</v>
      </c>
      <c r="M11" s="72">
        <f t="shared" si="2"/>
        <v>0</v>
      </c>
      <c r="N11" s="72">
        <f t="shared" si="3"/>
        <v>0</v>
      </c>
      <c r="O11" s="72">
        <f t="shared" si="4"/>
        <v>0</v>
      </c>
      <c r="Q11" s="72">
        <f t="shared" si="5"/>
        <v>0</v>
      </c>
      <c r="R11" s="72">
        <f t="shared" si="6"/>
        <v>0</v>
      </c>
      <c r="S11" s="72">
        <f t="shared" si="7"/>
        <v>0</v>
      </c>
    </row>
    <row r="12" spans="1:16377" x14ac:dyDescent="0.2">
      <c r="A12" s="497">
        <v>7</v>
      </c>
      <c r="B12" s="468" t="s">
        <v>511</v>
      </c>
      <c r="C12" s="469" t="s">
        <v>512</v>
      </c>
      <c r="D12" s="72">
        <f>SUMIFS(PURCHASE!$K$6:$K$10002,PURCHASE!$D$6:$D$10002,$C$6:$C$4995)</f>
        <v>79020</v>
      </c>
      <c r="E12" s="72">
        <f>SUMIFS('GSTR-2A'!$K$6:$K$10000,'GSTR-2A'!$B$6:$B$10000,$C$6:$C$4995)</f>
        <v>79020</v>
      </c>
      <c r="F12" s="72">
        <f>SUMIFS(PURCHASE!$L$6:$L$10002,PURCHASE!$D$6:$D$10002,$C$6:$C$4995)</f>
        <v>0</v>
      </c>
      <c r="G12" s="72">
        <f>SUMIFS('GSTR-2A'!$L$6:$L$10000,'GSTR-2A'!$B$6:$B$10000,$C$6:$C$4995)</f>
        <v>0</v>
      </c>
      <c r="H12" s="72">
        <f>SUMIFS(PURCHASE!$M$6:$M$10002,PURCHASE!$D$6:$D$10002,$C$6:$C$4995)</f>
        <v>7111.8</v>
      </c>
      <c r="I12" s="72">
        <f>SUMIFS('GSTR-2A'!$M$6:$M$10000,'GSTR-2A'!$B$6:$B$10000,$C$6:$C$4995)</f>
        <v>7111.8</v>
      </c>
      <c r="J12" s="72">
        <f>SUMIFS(PURCHASE!$N$6:$N$10002,PURCHASE!$D$6:$D$10002,$C$6:$C$4995)</f>
        <v>7111.8</v>
      </c>
      <c r="K12" s="72">
        <f>SUMIFS('GSTR-2A'!$N$6:$N$10000,'GSTR-2A'!$B$6:$B$10000,$C$6:$C$4995)</f>
        <v>7111.8</v>
      </c>
      <c r="L12" s="72">
        <f t="shared" si="1"/>
        <v>0</v>
      </c>
      <c r="M12" s="72">
        <f t="shared" si="2"/>
        <v>0</v>
      </c>
      <c r="N12" s="72">
        <f t="shared" si="3"/>
        <v>0</v>
      </c>
      <c r="O12" s="72">
        <f t="shared" si="4"/>
        <v>0</v>
      </c>
      <c r="Q12" s="72">
        <f t="shared" si="5"/>
        <v>93243.6</v>
      </c>
      <c r="R12" s="72">
        <f t="shared" si="6"/>
        <v>93243.6</v>
      </c>
      <c r="S12" s="72">
        <f t="shared" si="7"/>
        <v>0</v>
      </c>
    </row>
    <row r="13" spans="1:16377" x14ac:dyDescent="0.2">
      <c r="A13" s="497">
        <v>8</v>
      </c>
      <c r="B13" s="468" t="s">
        <v>591</v>
      </c>
      <c r="C13" s="469" t="s">
        <v>592</v>
      </c>
      <c r="D13" s="72">
        <f>SUMIFS(PURCHASE!$K$6:$K$10002,PURCHASE!$D$6:$D$10002,$C$6:$C$4995)</f>
        <v>665744</v>
      </c>
      <c r="E13" s="72">
        <f>SUMIFS('GSTR-2A'!$K$6:$K$10000,'GSTR-2A'!$B$6:$B$10000,$C$6:$C$4995)</f>
        <v>625244.20000000007</v>
      </c>
      <c r="F13" s="72">
        <f>SUMIFS(PURCHASE!$L$6:$L$10002,PURCHASE!$D$6:$D$10002,$C$6:$C$4995)</f>
        <v>0</v>
      </c>
      <c r="G13" s="72">
        <f>SUMIFS('GSTR-2A'!$L$6:$L$10000,'GSTR-2A'!$B$6:$B$10000,$C$6:$C$4995)</f>
        <v>0</v>
      </c>
      <c r="H13" s="72">
        <f>SUMIFS(PURCHASE!$M$6:$M$10002,PURCHASE!$D$6:$D$10002,$C$6:$C$4995)</f>
        <v>59916.960000000006</v>
      </c>
      <c r="I13" s="72">
        <f>SUMIFS('GSTR-2A'!$M$6:$M$10000,'GSTR-2A'!$B$6:$B$10000,$C$6:$C$4995)</f>
        <v>56271.98</v>
      </c>
      <c r="J13" s="72">
        <f>SUMIFS(PURCHASE!$N$6:$N$10002,PURCHASE!$D$6:$D$10002,$C$6:$C$4995)</f>
        <v>59916.960000000006</v>
      </c>
      <c r="K13" s="72">
        <f>SUMIFS('GSTR-2A'!$N$6:$N$10000,'GSTR-2A'!$B$6:$B$10000,$C$6:$C$4995)</f>
        <v>56271.98</v>
      </c>
      <c r="L13" s="72">
        <f t="shared" si="1"/>
        <v>40499.79999999993</v>
      </c>
      <c r="M13" s="72">
        <f t="shared" si="2"/>
        <v>0</v>
      </c>
      <c r="N13" s="72">
        <f t="shared" si="3"/>
        <v>3644.9800000000032</v>
      </c>
      <c r="O13" s="72">
        <f t="shared" si="4"/>
        <v>3644.9800000000032</v>
      </c>
      <c r="Q13" s="72">
        <f t="shared" si="5"/>
        <v>785577.91999999993</v>
      </c>
      <c r="R13" s="72">
        <f t="shared" si="6"/>
        <v>737788.16</v>
      </c>
      <c r="S13" s="72">
        <f t="shared" si="7"/>
        <v>47789.759999999893</v>
      </c>
    </row>
    <row r="14" spans="1:16377" x14ac:dyDescent="0.2">
      <c r="A14" s="497">
        <v>9</v>
      </c>
      <c r="B14" s="468" t="s">
        <v>521</v>
      </c>
      <c r="C14" s="469" t="s">
        <v>522</v>
      </c>
      <c r="D14" s="72">
        <f>SUMIFS(PURCHASE!$K$6:$K$10002,PURCHASE!$D$6:$D$10002,$C$6:$C$4995)</f>
        <v>181150</v>
      </c>
      <c r="E14" s="72">
        <f>SUMIFS('GSTR-2A'!$K$6:$K$10000,'GSTR-2A'!$B$6:$B$10000,$C$6:$C$4995)</f>
        <v>181150</v>
      </c>
      <c r="F14" s="72">
        <f>SUMIFS(PURCHASE!$L$6:$L$10002,PURCHASE!$D$6:$D$10002,$C$6:$C$4995)</f>
        <v>0</v>
      </c>
      <c r="G14" s="72">
        <f>SUMIFS('GSTR-2A'!$L$6:$L$10000,'GSTR-2A'!$B$6:$B$10000,$C$6:$C$4995)</f>
        <v>0</v>
      </c>
      <c r="H14" s="72">
        <f>SUMIFS(PURCHASE!$M$6:$M$10002,PURCHASE!$D$6:$D$10002,$C$6:$C$4995)</f>
        <v>16303.5</v>
      </c>
      <c r="I14" s="72">
        <f>SUMIFS('GSTR-2A'!$M$6:$M$10000,'GSTR-2A'!$B$6:$B$10000,$C$6:$C$4995)</f>
        <v>16303.5</v>
      </c>
      <c r="J14" s="72">
        <f>SUMIFS(PURCHASE!$N$6:$N$10002,PURCHASE!$D$6:$D$10002,$C$6:$C$4995)</f>
        <v>16303.5</v>
      </c>
      <c r="K14" s="72">
        <f>SUMIFS('GSTR-2A'!$N$6:$N$10000,'GSTR-2A'!$B$6:$B$10000,$C$6:$C$4995)</f>
        <v>16303.5</v>
      </c>
      <c r="L14" s="72">
        <f t="shared" si="1"/>
        <v>0</v>
      </c>
      <c r="M14" s="72">
        <f t="shared" si="2"/>
        <v>0</v>
      </c>
      <c r="N14" s="72">
        <f t="shared" si="3"/>
        <v>0</v>
      </c>
      <c r="O14" s="72">
        <f t="shared" si="4"/>
        <v>0</v>
      </c>
      <c r="Q14" s="72">
        <f t="shared" si="5"/>
        <v>213757</v>
      </c>
      <c r="R14" s="72">
        <f t="shared" si="6"/>
        <v>213757</v>
      </c>
      <c r="S14" s="72">
        <f t="shared" si="7"/>
        <v>0</v>
      </c>
    </row>
    <row r="15" spans="1:16377" x14ac:dyDescent="0.2">
      <c r="A15" s="497">
        <v>10</v>
      </c>
      <c r="B15" s="468" t="s">
        <v>1067</v>
      </c>
      <c r="C15" s="469" t="s">
        <v>1068</v>
      </c>
      <c r="D15" s="72">
        <f>SUMIFS(PURCHASE!$K$6:$K$10002,PURCHASE!$D$6:$D$10002,$C$6:$C$4995)</f>
        <v>0</v>
      </c>
      <c r="E15" s="72">
        <f>SUMIFS('GSTR-2A'!$K$6:$K$10000,'GSTR-2A'!$B$6:$B$10000,$C$6:$C$4995)</f>
        <v>0</v>
      </c>
      <c r="F15" s="72">
        <f>SUMIFS(PURCHASE!$L$6:$L$10002,PURCHASE!$D$6:$D$10002,$C$6:$C$4995)</f>
        <v>0</v>
      </c>
      <c r="G15" s="72">
        <f>SUMIFS('GSTR-2A'!$L$6:$L$10000,'GSTR-2A'!$B$6:$B$10000,$C$6:$C$4995)</f>
        <v>0</v>
      </c>
      <c r="H15" s="72">
        <f>SUMIFS(PURCHASE!$M$6:$M$10002,PURCHASE!$D$6:$D$10002,$C$6:$C$4995)</f>
        <v>0</v>
      </c>
      <c r="I15" s="72">
        <f>SUMIFS('GSTR-2A'!$M$6:$M$10000,'GSTR-2A'!$B$6:$B$10000,$C$6:$C$4995)</f>
        <v>0</v>
      </c>
      <c r="J15" s="72">
        <f>SUMIFS(PURCHASE!$N$6:$N$10002,PURCHASE!$D$6:$D$10002,$C$6:$C$4995)</f>
        <v>0</v>
      </c>
      <c r="K15" s="72">
        <f>SUMIFS('GSTR-2A'!$N$6:$N$10000,'GSTR-2A'!$B$6:$B$10000,$C$6:$C$4995)</f>
        <v>0</v>
      </c>
      <c r="L15" s="72">
        <f t="shared" si="1"/>
        <v>0</v>
      </c>
      <c r="M15" s="72">
        <f t="shared" si="2"/>
        <v>0</v>
      </c>
      <c r="N15" s="72">
        <f t="shared" si="3"/>
        <v>0</v>
      </c>
      <c r="O15" s="72">
        <f t="shared" si="4"/>
        <v>0</v>
      </c>
      <c r="Q15" s="72">
        <f t="shared" si="5"/>
        <v>0</v>
      </c>
      <c r="R15" s="72">
        <f t="shared" si="6"/>
        <v>0</v>
      </c>
      <c r="S15" s="72">
        <f t="shared" si="7"/>
        <v>0</v>
      </c>
    </row>
    <row r="16" spans="1:16377" x14ac:dyDescent="0.2">
      <c r="A16" s="497">
        <v>11</v>
      </c>
      <c r="B16" s="468" t="s">
        <v>482</v>
      </c>
      <c r="C16" s="469" t="s">
        <v>483</v>
      </c>
      <c r="D16" s="72">
        <f>SUMIFS(PURCHASE!$K$6:$K$10002,PURCHASE!$D$6:$D$10002,$C$6:$C$4995)</f>
        <v>337363.20000000001</v>
      </c>
      <c r="E16" s="72">
        <f>SUMIFS('GSTR-2A'!$K$6:$K$10000,'GSTR-2A'!$B$6:$B$10000,$C$6:$C$4995)</f>
        <v>386179.2</v>
      </c>
      <c r="F16" s="72">
        <f>SUMIFS(PURCHASE!$L$6:$L$10002,PURCHASE!$D$6:$D$10002,$C$6:$C$4995)</f>
        <v>0</v>
      </c>
      <c r="G16" s="72">
        <f>SUMIFS('GSTR-2A'!$L$6:$L$10000,'GSTR-2A'!$B$6:$B$10000,$C$6:$C$4995)</f>
        <v>0</v>
      </c>
      <c r="H16" s="72">
        <f>SUMIFS(PURCHASE!$M$6:$M$10002,PURCHASE!$D$6:$D$10002,$C$6:$C$4995)</f>
        <v>47230.848000000005</v>
      </c>
      <c r="I16" s="72">
        <f>SUMIFS('GSTR-2A'!$M$6:$M$10000,'GSTR-2A'!$B$6:$B$10000,$C$6:$C$4995)</f>
        <v>54065.1</v>
      </c>
      <c r="J16" s="72">
        <f>SUMIFS(PURCHASE!$N$6:$N$10002,PURCHASE!$D$6:$D$10002,$C$6:$C$4995)</f>
        <v>47230.848000000005</v>
      </c>
      <c r="K16" s="72">
        <f>SUMIFS('GSTR-2A'!$N$6:$N$10000,'GSTR-2A'!$B$6:$B$10000,$C$6:$C$4995)</f>
        <v>54065.1</v>
      </c>
      <c r="L16" s="72">
        <f t="shared" si="1"/>
        <v>-48816</v>
      </c>
      <c r="M16" s="72">
        <f t="shared" si="2"/>
        <v>0</v>
      </c>
      <c r="N16" s="72">
        <f t="shared" si="3"/>
        <v>-6834.2519999999931</v>
      </c>
      <c r="O16" s="72">
        <f t="shared" si="4"/>
        <v>-6834.2519999999931</v>
      </c>
      <c r="Q16" s="72">
        <f t="shared" si="5"/>
        <v>431824.89600000001</v>
      </c>
      <c r="R16" s="72">
        <f t="shared" si="6"/>
        <v>494309.39999999997</v>
      </c>
      <c r="S16" s="72">
        <f t="shared" si="7"/>
        <v>-62484.503999999957</v>
      </c>
    </row>
    <row r="17" spans="1:19" x14ac:dyDescent="0.2">
      <c r="A17" s="497">
        <v>12</v>
      </c>
      <c r="B17" s="468" t="s">
        <v>1069</v>
      </c>
      <c r="C17" s="468" t="s">
        <v>238</v>
      </c>
      <c r="D17" s="72">
        <f>SUMIFS(PURCHASE!$K$6:$K$10002,PURCHASE!$D$6:$D$10002,$C$6:$C$4995)</f>
        <v>0</v>
      </c>
      <c r="E17" s="72">
        <f>SUMIFS('GSTR-2A'!$K$6:$K$10000,'GSTR-2A'!$B$6:$B$10000,$C$6:$C$4995)</f>
        <v>0</v>
      </c>
      <c r="F17" s="72">
        <f>SUMIFS(PURCHASE!$L$6:$L$10002,PURCHASE!$D$6:$D$10002,$C$6:$C$4995)</f>
        <v>0</v>
      </c>
      <c r="G17" s="72">
        <f>SUMIFS('GSTR-2A'!$L$6:$L$10000,'GSTR-2A'!$B$6:$B$10000,$C$6:$C$4995)</f>
        <v>0</v>
      </c>
      <c r="H17" s="72">
        <f>SUMIFS(PURCHASE!$M$6:$M$10002,PURCHASE!$D$6:$D$10002,$C$6:$C$4995)</f>
        <v>0</v>
      </c>
      <c r="I17" s="72">
        <f>SUMIFS('GSTR-2A'!$M$6:$M$10000,'GSTR-2A'!$B$6:$B$10000,$C$6:$C$4995)</f>
        <v>0</v>
      </c>
      <c r="J17" s="72">
        <f>SUMIFS(PURCHASE!$N$6:$N$10002,PURCHASE!$D$6:$D$10002,$C$6:$C$4995)</f>
        <v>0</v>
      </c>
      <c r="K17" s="72">
        <f>SUMIFS('GSTR-2A'!$N$6:$N$10000,'GSTR-2A'!$B$6:$B$10000,$C$6:$C$4995)</f>
        <v>0</v>
      </c>
      <c r="L17" s="72">
        <f t="shared" si="1"/>
        <v>0</v>
      </c>
      <c r="M17" s="72">
        <f t="shared" si="2"/>
        <v>0</v>
      </c>
      <c r="N17" s="72">
        <f t="shared" si="3"/>
        <v>0</v>
      </c>
      <c r="O17" s="72">
        <f t="shared" si="4"/>
        <v>0</v>
      </c>
      <c r="Q17" s="72">
        <f t="shared" si="5"/>
        <v>0</v>
      </c>
      <c r="R17" s="72">
        <f t="shared" si="6"/>
        <v>0</v>
      </c>
      <c r="S17" s="72">
        <f t="shared" si="7"/>
        <v>0</v>
      </c>
    </row>
    <row r="18" spans="1:19" x14ac:dyDescent="0.2">
      <c r="A18" s="497">
        <v>13</v>
      </c>
      <c r="B18" s="476" t="s">
        <v>489</v>
      </c>
      <c r="C18" s="477" t="s">
        <v>490</v>
      </c>
      <c r="D18" s="72">
        <f>SUMIFS(PURCHASE!$K$6:$K$10002,PURCHASE!$D$6:$D$10002,$C$6:$C$4995)</f>
        <v>1930346</v>
      </c>
      <c r="E18" s="72">
        <f>SUMIFS('GSTR-2A'!$K$6:$K$10000,'GSTR-2A'!$B$6:$B$10000,$C$6:$C$4995)</f>
        <v>1682142.6199999999</v>
      </c>
      <c r="F18" s="72">
        <f>SUMIFS(PURCHASE!$L$6:$L$10002,PURCHASE!$D$6:$D$10002,$C$6:$C$4995)</f>
        <v>0</v>
      </c>
      <c r="G18" s="72">
        <f>SUMIFS('GSTR-2A'!$L$6:$L$10000,'GSTR-2A'!$B$6:$B$10000,$C$6:$C$4995)</f>
        <v>0</v>
      </c>
      <c r="H18" s="72">
        <f>SUMIFS(PURCHASE!$M$6:$M$10002,PURCHASE!$D$6:$D$10002,$C$6:$C$4995)</f>
        <v>173731.13999999996</v>
      </c>
      <c r="I18" s="72">
        <f>SUMIFS('GSTR-2A'!$M$6:$M$10000,'GSTR-2A'!$B$6:$B$10000,$C$6:$C$4995)</f>
        <v>151392.85999999999</v>
      </c>
      <c r="J18" s="72">
        <f>SUMIFS(PURCHASE!$N$6:$N$10002,PURCHASE!$D$6:$D$10002,$C$6:$C$4995)</f>
        <v>173731.13999999996</v>
      </c>
      <c r="K18" s="72">
        <f>SUMIFS('GSTR-2A'!$N$6:$N$10000,'GSTR-2A'!$B$6:$B$10000,$C$6:$C$4995)</f>
        <v>151392.85999999999</v>
      </c>
      <c r="L18" s="72">
        <f t="shared" si="1"/>
        <v>248203.38000000012</v>
      </c>
      <c r="M18" s="72">
        <f t="shared" si="2"/>
        <v>0</v>
      </c>
      <c r="N18" s="72">
        <f t="shared" si="3"/>
        <v>22338.27999999997</v>
      </c>
      <c r="O18" s="72">
        <f t="shared" si="4"/>
        <v>22338.27999999997</v>
      </c>
      <c r="Q18" s="72">
        <f t="shared" si="5"/>
        <v>2277808.2800000003</v>
      </c>
      <c r="R18" s="72">
        <f t="shared" si="6"/>
        <v>1984928.3399999999</v>
      </c>
      <c r="S18" s="72">
        <f t="shared" si="7"/>
        <v>292879.94000000041</v>
      </c>
    </row>
    <row r="19" spans="1:19" x14ac:dyDescent="0.2">
      <c r="A19" s="497">
        <v>14</v>
      </c>
      <c r="B19" s="468" t="s">
        <v>514</v>
      </c>
      <c r="C19" s="469" t="s">
        <v>515</v>
      </c>
      <c r="D19" s="72">
        <f>SUMIFS(PURCHASE!$K$6:$K$10002,PURCHASE!$D$6:$D$10002,$C$6:$C$4995)</f>
        <v>33416.85</v>
      </c>
      <c r="E19" s="72">
        <f>SUMIFS('GSTR-2A'!$K$6:$K$10000,'GSTR-2A'!$B$6:$B$10000,$C$6:$C$4995)</f>
        <v>33416.85</v>
      </c>
      <c r="F19" s="72">
        <f>SUMIFS(PURCHASE!$L$6:$L$10002,PURCHASE!$D$6:$D$10002,$C$6:$C$4995)</f>
        <v>0</v>
      </c>
      <c r="G19" s="72">
        <f>SUMIFS('GSTR-2A'!$L$6:$L$10000,'GSTR-2A'!$B$6:$B$10000,$C$6:$C$4995)</f>
        <v>0</v>
      </c>
      <c r="H19" s="72">
        <f>SUMIFS(PURCHASE!$M$6:$M$10002,PURCHASE!$D$6:$D$10002,$C$6:$C$4995)</f>
        <v>3007.5164999999993</v>
      </c>
      <c r="I19" s="72">
        <f>SUMIFS('GSTR-2A'!$M$6:$M$10000,'GSTR-2A'!$B$6:$B$10000,$C$6:$C$4995)</f>
        <v>3007.5199999999991</v>
      </c>
      <c r="J19" s="72">
        <f>SUMIFS(PURCHASE!$N$6:$N$10002,PURCHASE!$D$6:$D$10002,$C$6:$C$4995)</f>
        <v>3007.5164999999993</v>
      </c>
      <c r="K19" s="72">
        <f>SUMIFS('GSTR-2A'!$N$6:$N$10000,'GSTR-2A'!$B$6:$B$10000,$C$6:$C$4995)</f>
        <v>3007.5199999999991</v>
      </c>
      <c r="L19" s="72">
        <f t="shared" si="1"/>
        <v>0</v>
      </c>
      <c r="M19" s="72">
        <f t="shared" si="2"/>
        <v>0</v>
      </c>
      <c r="N19" s="72">
        <f t="shared" si="3"/>
        <v>-3.4999999998035491E-3</v>
      </c>
      <c r="O19" s="72">
        <f t="shared" si="4"/>
        <v>-3.4999999998035491E-3</v>
      </c>
      <c r="Q19" s="72">
        <f t="shared" si="5"/>
        <v>39431.882999999994</v>
      </c>
      <c r="R19" s="72">
        <f t="shared" si="6"/>
        <v>39431.889999999992</v>
      </c>
      <c r="S19" s="72">
        <f t="shared" si="7"/>
        <v>-6.9999999977881089E-3</v>
      </c>
    </row>
    <row r="20" spans="1:19" x14ac:dyDescent="0.2">
      <c r="A20" s="497">
        <v>15</v>
      </c>
      <c r="B20" s="468" t="s">
        <v>659</v>
      </c>
      <c r="C20" s="469" t="s">
        <v>660</v>
      </c>
      <c r="D20" s="72">
        <f>SUMIFS(PURCHASE!$K$6:$K$10002,PURCHASE!$D$6:$D$10002,$C$6:$C$4995)</f>
        <v>32640</v>
      </c>
      <c r="E20" s="72">
        <f>SUMIFS('GSTR-2A'!$K$6:$K$10000,'GSTR-2A'!$B$6:$B$10000,$C$6:$C$4995)</f>
        <v>32640</v>
      </c>
      <c r="F20" s="72">
        <f>SUMIFS(PURCHASE!$L$6:$L$10002,PURCHASE!$D$6:$D$10002,$C$6:$C$4995)</f>
        <v>0</v>
      </c>
      <c r="G20" s="72">
        <f>SUMIFS('GSTR-2A'!$L$6:$L$10000,'GSTR-2A'!$B$6:$B$10000,$C$6:$C$4995)</f>
        <v>0</v>
      </c>
      <c r="H20" s="72">
        <f>SUMIFS(PURCHASE!$M$6:$M$10002,PURCHASE!$D$6:$D$10002,$C$6:$C$4995)</f>
        <v>2937.6</v>
      </c>
      <c r="I20" s="72">
        <f>SUMIFS('GSTR-2A'!$M$6:$M$10000,'GSTR-2A'!$B$6:$B$10000,$C$6:$C$4995)</f>
        <v>2937.6</v>
      </c>
      <c r="J20" s="72">
        <f>SUMIFS(PURCHASE!$N$6:$N$10002,PURCHASE!$D$6:$D$10002,$C$6:$C$4995)</f>
        <v>2937.6</v>
      </c>
      <c r="K20" s="72">
        <f>SUMIFS('GSTR-2A'!$N$6:$N$10000,'GSTR-2A'!$B$6:$B$10000,$C$6:$C$4995)</f>
        <v>2937.6</v>
      </c>
      <c r="L20" s="72">
        <f t="shared" si="1"/>
        <v>0</v>
      </c>
      <c r="M20" s="72">
        <f t="shared" si="2"/>
        <v>0</v>
      </c>
      <c r="N20" s="72">
        <f t="shared" si="3"/>
        <v>0</v>
      </c>
      <c r="O20" s="72">
        <f t="shared" si="4"/>
        <v>0</v>
      </c>
      <c r="Q20" s="72">
        <f t="shared" si="5"/>
        <v>38515.199999999997</v>
      </c>
      <c r="R20" s="72">
        <f t="shared" si="6"/>
        <v>38515.199999999997</v>
      </c>
      <c r="S20" s="72">
        <f t="shared" si="7"/>
        <v>0</v>
      </c>
    </row>
    <row r="21" spans="1:19" x14ac:dyDescent="0.2">
      <c r="A21" s="497">
        <v>16</v>
      </c>
      <c r="B21" s="468" t="s">
        <v>1070</v>
      </c>
      <c r="C21" s="468" t="s">
        <v>1071</v>
      </c>
      <c r="D21" s="72">
        <f>SUMIFS(PURCHASE!$K$6:$K$10002,PURCHASE!$D$6:$D$10002,$C$6:$C$4995)</f>
        <v>0</v>
      </c>
      <c r="E21" s="72">
        <f>SUMIFS('GSTR-2A'!$K$6:$K$10000,'GSTR-2A'!$B$6:$B$10000,$C$6:$C$4995)</f>
        <v>0</v>
      </c>
      <c r="F21" s="72">
        <f>SUMIFS(PURCHASE!$L$6:$L$10002,PURCHASE!$D$6:$D$10002,$C$6:$C$4995)</f>
        <v>0</v>
      </c>
      <c r="G21" s="72">
        <f>SUMIFS('GSTR-2A'!$L$6:$L$10000,'GSTR-2A'!$B$6:$B$10000,$C$6:$C$4995)</f>
        <v>0</v>
      </c>
      <c r="H21" s="72">
        <f>SUMIFS(PURCHASE!$M$6:$M$10002,PURCHASE!$D$6:$D$10002,$C$6:$C$4995)</f>
        <v>0</v>
      </c>
      <c r="I21" s="72">
        <f>SUMIFS('GSTR-2A'!$M$6:$M$10000,'GSTR-2A'!$B$6:$B$10000,$C$6:$C$4995)</f>
        <v>0</v>
      </c>
      <c r="J21" s="72">
        <f>SUMIFS(PURCHASE!$N$6:$N$10002,PURCHASE!$D$6:$D$10002,$C$6:$C$4995)</f>
        <v>0</v>
      </c>
      <c r="K21" s="72">
        <f>SUMIFS('GSTR-2A'!$N$6:$N$10000,'GSTR-2A'!$B$6:$B$10000,$C$6:$C$4995)</f>
        <v>0</v>
      </c>
      <c r="L21" s="72">
        <f t="shared" si="1"/>
        <v>0</v>
      </c>
      <c r="M21" s="72">
        <f t="shared" si="2"/>
        <v>0</v>
      </c>
      <c r="N21" s="72">
        <f t="shared" si="3"/>
        <v>0</v>
      </c>
      <c r="O21" s="72">
        <f t="shared" si="4"/>
        <v>0</v>
      </c>
      <c r="Q21" s="72">
        <f t="shared" si="5"/>
        <v>0</v>
      </c>
      <c r="R21" s="72">
        <f t="shared" si="6"/>
        <v>0</v>
      </c>
      <c r="S21" s="72">
        <f t="shared" si="7"/>
        <v>0</v>
      </c>
    </row>
    <row r="22" spans="1:19" x14ac:dyDescent="0.2">
      <c r="A22" s="497">
        <v>17</v>
      </c>
      <c r="B22" s="468" t="s">
        <v>529</v>
      </c>
      <c r="C22" s="469" t="s">
        <v>530</v>
      </c>
      <c r="D22" s="72">
        <f>SUMIFS(PURCHASE!$K$6:$K$10002,PURCHASE!$D$6:$D$10002,$C$6:$C$4995)</f>
        <v>98556</v>
      </c>
      <c r="E22" s="72">
        <f>SUMIFS('GSTR-2A'!$K$6:$K$10000,'GSTR-2A'!$B$6:$B$10000,$C$6:$C$4995)</f>
        <v>98556</v>
      </c>
      <c r="F22" s="72">
        <f>SUMIFS(PURCHASE!$L$6:$L$10002,PURCHASE!$D$6:$D$10002,$C$6:$C$4995)</f>
        <v>0</v>
      </c>
      <c r="G22" s="72">
        <f>SUMIFS('GSTR-2A'!$L$6:$L$10000,'GSTR-2A'!$B$6:$B$10000,$C$6:$C$4995)</f>
        <v>0</v>
      </c>
      <c r="H22" s="72">
        <f>SUMIFS(PURCHASE!$M$6:$M$10002,PURCHASE!$D$6:$D$10002,$C$6:$C$4995)</f>
        <v>8870.0400000000009</v>
      </c>
      <c r="I22" s="72">
        <f>SUMIFS('GSTR-2A'!$M$6:$M$10000,'GSTR-2A'!$B$6:$B$10000,$C$6:$C$4995)</f>
        <v>8870.0400000000009</v>
      </c>
      <c r="J22" s="72">
        <f>SUMIFS(PURCHASE!$N$6:$N$10002,PURCHASE!$D$6:$D$10002,$C$6:$C$4995)</f>
        <v>8870.0400000000009</v>
      </c>
      <c r="K22" s="72">
        <f>SUMIFS('GSTR-2A'!$N$6:$N$10000,'GSTR-2A'!$B$6:$B$10000,$C$6:$C$4995)</f>
        <v>8870.0400000000009</v>
      </c>
      <c r="L22" s="72">
        <f t="shared" si="1"/>
        <v>0</v>
      </c>
      <c r="M22" s="72">
        <f t="shared" si="2"/>
        <v>0</v>
      </c>
      <c r="N22" s="72">
        <f t="shared" si="3"/>
        <v>0</v>
      </c>
      <c r="O22" s="72">
        <f t="shared" si="4"/>
        <v>0</v>
      </c>
      <c r="Q22" s="72">
        <f t="shared" si="5"/>
        <v>116296.08000000002</v>
      </c>
      <c r="R22" s="72">
        <f t="shared" si="6"/>
        <v>116296.08000000002</v>
      </c>
      <c r="S22" s="72">
        <f t="shared" si="7"/>
        <v>0</v>
      </c>
    </row>
    <row r="23" spans="1:19" x14ac:dyDescent="0.2">
      <c r="A23" s="497">
        <v>18</v>
      </c>
      <c r="B23" s="468" t="s">
        <v>518</v>
      </c>
      <c r="C23" s="469" t="s">
        <v>519</v>
      </c>
      <c r="D23" s="72">
        <f>SUMIFS(PURCHASE!$K$6:$K$10002,PURCHASE!$D$6:$D$10002,$C$6:$C$4995)</f>
        <v>33822.160000000003</v>
      </c>
      <c r="E23" s="72">
        <f>SUMIFS('GSTR-2A'!$K$6:$K$10000,'GSTR-2A'!$B$6:$B$10000,$C$6:$C$4995)</f>
        <v>33822.229999999996</v>
      </c>
      <c r="F23" s="72">
        <f>SUMIFS(PURCHASE!$L$6:$L$10002,PURCHASE!$D$6:$D$10002,$C$6:$C$4995)</f>
        <v>0</v>
      </c>
      <c r="G23" s="72">
        <f>SUMIFS('GSTR-2A'!$L$6:$L$10000,'GSTR-2A'!$B$6:$B$10000,$C$6:$C$4995)</f>
        <v>0</v>
      </c>
      <c r="H23" s="72">
        <f>SUMIFS(PURCHASE!$M$6:$M$10002,PURCHASE!$D$6:$D$10002,$C$6:$C$4995)</f>
        <v>3043.9944</v>
      </c>
      <c r="I23" s="72">
        <f>SUMIFS('GSTR-2A'!$M$6:$M$10000,'GSTR-2A'!$B$6:$B$10000,$C$6:$C$4995)</f>
        <v>3044</v>
      </c>
      <c r="J23" s="72">
        <f>SUMIFS(PURCHASE!$N$6:$N$10002,PURCHASE!$D$6:$D$10002,$C$6:$C$4995)</f>
        <v>3043.9944</v>
      </c>
      <c r="K23" s="72">
        <f>SUMIFS('GSTR-2A'!$N$6:$N$10000,'GSTR-2A'!$B$6:$B$10000,$C$6:$C$4995)</f>
        <v>3044</v>
      </c>
      <c r="L23" s="72">
        <f t="shared" si="1"/>
        <v>-6.9999999992433004E-2</v>
      </c>
      <c r="M23" s="72">
        <f t="shared" si="2"/>
        <v>0</v>
      </c>
      <c r="N23" s="72">
        <f t="shared" si="3"/>
        <v>-5.599999999958527E-3</v>
      </c>
      <c r="O23" s="72">
        <f t="shared" si="4"/>
        <v>-5.599999999958527E-3</v>
      </c>
      <c r="Q23" s="72">
        <f t="shared" si="5"/>
        <v>39910.14880000001</v>
      </c>
      <c r="R23" s="72">
        <f t="shared" si="6"/>
        <v>39910.229999999996</v>
      </c>
      <c r="S23" s="72">
        <f t="shared" si="7"/>
        <v>-8.1199999985983595E-2</v>
      </c>
    </row>
    <row r="24" spans="1:19" x14ac:dyDescent="0.2">
      <c r="A24" s="497">
        <v>19</v>
      </c>
      <c r="B24" s="475" t="s">
        <v>1072</v>
      </c>
      <c r="C24" s="475" t="s">
        <v>1073</v>
      </c>
      <c r="D24" s="72">
        <f>SUMIFS(PURCHASE!$K$6:$K$10002,PURCHASE!$D$6:$D$10002,$C$6:$C$4995)</f>
        <v>0</v>
      </c>
      <c r="E24" s="72">
        <f>SUMIFS('GSTR-2A'!$K$6:$K$10000,'GSTR-2A'!$B$6:$B$10000,$C$6:$C$4995)</f>
        <v>0</v>
      </c>
      <c r="F24" s="72">
        <f>SUMIFS(PURCHASE!$L$6:$L$10002,PURCHASE!$D$6:$D$10002,$C$6:$C$4995)</f>
        <v>0</v>
      </c>
      <c r="G24" s="72">
        <f>SUMIFS('GSTR-2A'!$L$6:$L$10000,'GSTR-2A'!$B$6:$B$10000,$C$6:$C$4995)</f>
        <v>0</v>
      </c>
      <c r="H24" s="72">
        <f>SUMIFS(PURCHASE!$M$6:$M$10002,PURCHASE!$D$6:$D$10002,$C$6:$C$4995)</f>
        <v>0</v>
      </c>
      <c r="I24" s="72">
        <f>SUMIFS('GSTR-2A'!$M$6:$M$10000,'GSTR-2A'!$B$6:$B$10000,$C$6:$C$4995)</f>
        <v>0</v>
      </c>
      <c r="J24" s="72">
        <f>SUMIFS(PURCHASE!$N$6:$N$10002,PURCHASE!$D$6:$D$10002,$C$6:$C$4995)</f>
        <v>0</v>
      </c>
      <c r="K24" s="72">
        <f>SUMIFS('GSTR-2A'!$N$6:$N$10000,'GSTR-2A'!$B$6:$B$10000,$C$6:$C$4995)</f>
        <v>0</v>
      </c>
      <c r="L24" s="72">
        <f t="shared" si="1"/>
        <v>0</v>
      </c>
      <c r="M24" s="72">
        <f t="shared" si="2"/>
        <v>0</v>
      </c>
      <c r="N24" s="72">
        <f t="shared" si="3"/>
        <v>0</v>
      </c>
      <c r="O24" s="72">
        <f t="shared" si="4"/>
        <v>0</v>
      </c>
      <c r="Q24" s="72">
        <f t="shared" si="5"/>
        <v>0</v>
      </c>
      <c r="R24" s="72">
        <f t="shared" si="6"/>
        <v>0</v>
      </c>
      <c r="S24" s="72">
        <f t="shared" si="7"/>
        <v>0</v>
      </c>
    </row>
    <row r="25" spans="1:19" x14ac:dyDescent="0.2">
      <c r="A25" s="497">
        <v>20</v>
      </c>
      <c r="B25" s="468" t="s">
        <v>479</v>
      </c>
      <c r="C25" s="469" t="s">
        <v>480</v>
      </c>
      <c r="D25" s="72">
        <f>SUMIFS(PURCHASE!$K$6:$K$10002,PURCHASE!$D$6:$D$10002,$C$6:$C$4995)</f>
        <v>302345.95</v>
      </c>
      <c r="E25" s="72">
        <f>SUMIFS('GSTR-2A'!$K$6:$K$10000,'GSTR-2A'!$B$6:$B$10000,$C$6:$C$4995)</f>
        <v>23394.7</v>
      </c>
      <c r="F25" s="72">
        <f>SUMIFS(PURCHASE!$L$6:$L$10002,PURCHASE!$D$6:$D$10002,$C$6:$C$4995)</f>
        <v>0</v>
      </c>
      <c r="G25" s="72">
        <f>SUMIFS('GSTR-2A'!$L$6:$L$10000,'GSTR-2A'!$B$6:$B$10000,$C$6:$C$4995)</f>
        <v>0</v>
      </c>
      <c r="H25" s="72">
        <f>SUMIFS(PURCHASE!$M$6:$M$10002,PURCHASE!$D$6:$D$10002,$C$6:$C$4995)</f>
        <v>27211.135499999997</v>
      </c>
      <c r="I25" s="72">
        <f>SUMIFS('GSTR-2A'!$M$6:$M$10000,'GSTR-2A'!$B$6:$B$10000,$C$6:$C$4995)</f>
        <v>2105.52</v>
      </c>
      <c r="J25" s="72">
        <f>SUMIFS(PURCHASE!$N$6:$N$10002,PURCHASE!$D$6:$D$10002,$C$6:$C$4995)</f>
        <v>27211.135499999997</v>
      </c>
      <c r="K25" s="72">
        <f>SUMIFS('GSTR-2A'!$N$6:$N$10000,'GSTR-2A'!$B$6:$B$10000,$C$6:$C$4995)</f>
        <v>2105.52</v>
      </c>
      <c r="L25" s="72">
        <f t="shared" si="1"/>
        <v>278951.25</v>
      </c>
      <c r="M25" s="72">
        <f t="shared" si="2"/>
        <v>0</v>
      </c>
      <c r="N25" s="72">
        <f t="shared" si="3"/>
        <v>25105.615499999996</v>
      </c>
      <c r="O25" s="72">
        <f t="shared" si="4"/>
        <v>25105.615499999996</v>
      </c>
      <c r="Q25" s="72">
        <f t="shared" si="5"/>
        <v>356768.22099999996</v>
      </c>
      <c r="R25" s="72">
        <f t="shared" si="6"/>
        <v>27605.74</v>
      </c>
      <c r="S25" s="72">
        <f t="shared" si="7"/>
        <v>329162.48099999997</v>
      </c>
    </row>
    <row r="26" spans="1:19" x14ac:dyDescent="0.2">
      <c r="A26" s="497">
        <v>21</v>
      </c>
      <c r="B26" s="478" t="s">
        <v>1074</v>
      </c>
      <c r="C26" s="478" t="s">
        <v>1075</v>
      </c>
      <c r="D26" s="72">
        <f>SUMIFS(PURCHASE!$K$6:$K$10002,PURCHASE!$D$6:$D$10002,$C$6:$C$4995)</f>
        <v>0</v>
      </c>
      <c r="E26" s="72">
        <f>SUMIFS('GSTR-2A'!$K$6:$K$10000,'GSTR-2A'!$B$6:$B$10000,$C$6:$C$4995)</f>
        <v>0</v>
      </c>
      <c r="F26" s="72">
        <f>SUMIFS(PURCHASE!$L$6:$L$10002,PURCHASE!$D$6:$D$10002,$C$6:$C$4995)</f>
        <v>0</v>
      </c>
      <c r="G26" s="72">
        <f>SUMIFS('GSTR-2A'!$L$6:$L$10000,'GSTR-2A'!$B$6:$B$10000,$C$6:$C$4995)</f>
        <v>0</v>
      </c>
      <c r="H26" s="72">
        <f>SUMIFS(PURCHASE!$M$6:$M$10002,PURCHASE!$D$6:$D$10002,$C$6:$C$4995)</f>
        <v>0</v>
      </c>
      <c r="I26" s="72">
        <f>SUMIFS('GSTR-2A'!$M$6:$M$10000,'GSTR-2A'!$B$6:$B$10000,$C$6:$C$4995)</f>
        <v>0</v>
      </c>
      <c r="J26" s="72">
        <f>SUMIFS(PURCHASE!$N$6:$N$10002,PURCHASE!$D$6:$D$10002,$C$6:$C$4995)</f>
        <v>0</v>
      </c>
      <c r="K26" s="72">
        <f>SUMIFS('GSTR-2A'!$N$6:$N$10000,'GSTR-2A'!$B$6:$B$10000,$C$6:$C$4995)</f>
        <v>0</v>
      </c>
      <c r="L26" s="72">
        <f t="shared" si="1"/>
        <v>0</v>
      </c>
      <c r="M26" s="72">
        <f t="shared" si="2"/>
        <v>0</v>
      </c>
      <c r="N26" s="72">
        <f t="shared" si="3"/>
        <v>0</v>
      </c>
      <c r="O26" s="72">
        <f t="shared" si="4"/>
        <v>0</v>
      </c>
      <c r="Q26" s="72">
        <f t="shared" si="5"/>
        <v>0</v>
      </c>
      <c r="R26" s="72">
        <f t="shared" si="6"/>
        <v>0</v>
      </c>
      <c r="S26" s="72">
        <f t="shared" si="7"/>
        <v>0</v>
      </c>
    </row>
    <row r="27" spans="1:19" x14ac:dyDescent="0.2">
      <c r="A27" s="497">
        <v>22</v>
      </c>
      <c r="B27" s="468" t="s">
        <v>533</v>
      </c>
      <c r="C27" s="469" t="s">
        <v>534</v>
      </c>
      <c r="D27" s="72">
        <f>SUMIFS(PURCHASE!$K$6:$K$10002,PURCHASE!$D$6:$D$10002,$C$6:$C$4995)</f>
        <v>7060.5</v>
      </c>
      <c r="E27" s="72">
        <f>SUMIFS('GSTR-2A'!$K$6:$K$10000,'GSTR-2A'!$B$6:$B$10000,$C$6:$C$4995)</f>
        <v>4500.5</v>
      </c>
      <c r="F27" s="72">
        <f>SUMIFS(PURCHASE!$L$6:$L$10002,PURCHASE!$D$6:$D$10002,$C$6:$C$4995)</f>
        <v>0</v>
      </c>
      <c r="G27" s="72">
        <f>SUMIFS('GSTR-2A'!$L$6:$L$10000,'GSTR-2A'!$B$6:$B$10000,$C$6:$C$4995)</f>
        <v>0</v>
      </c>
      <c r="H27" s="72">
        <f>SUMIFS(PURCHASE!$M$6:$M$10002,PURCHASE!$D$6:$D$10002,$C$6:$C$4995)</f>
        <v>635.44500000000005</v>
      </c>
      <c r="I27" s="72">
        <f>SUMIFS('GSTR-2A'!$M$6:$M$10000,'GSTR-2A'!$B$6:$B$10000,$C$6:$C$4995)</f>
        <v>405.05</v>
      </c>
      <c r="J27" s="72">
        <f>SUMIFS(PURCHASE!$N$6:$N$10002,PURCHASE!$D$6:$D$10002,$C$6:$C$4995)</f>
        <v>635.44500000000005</v>
      </c>
      <c r="K27" s="72">
        <f>SUMIFS('GSTR-2A'!$N$6:$N$10000,'GSTR-2A'!$B$6:$B$10000,$C$6:$C$4995)</f>
        <v>405.05</v>
      </c>
      <c r="L27" s="72">
        <f t="shared" si="1"/>
        <v>2560</v>
      </c>
      <c r="M27" s="72">
        <f t="shared" si="2"/>
        <v>0</v>
      </c>
      <c r="N27" s="72">
        <f t="shared" si="3"/>
        <v>230.39500000000004</v>
      </c>
      <c r="O27" s="72">
        <f t="shared" si="4"/>
        <v>230.39500000000004</v>
      </c>
      <c r="Q27" s="72">
        <f t="shared" si="5"/>
        <v>8331.39</v>
      </c>
      <c r="R27" s="72">
        <f t="shared" si="6"/>
        <v>5310.6</v>
      </c>
      <c r="S27" s="72">
        <f t="shared" si="7"/>
        <v>3020.7899999999991</v>
      </c>
    </row>
    <row r="28" spans="1:19" x14ac:dyDescent="0.2">
      <c r="A28" s="497">
        <v>23</v>
      </c>
      <c r="B28" s="478" t="s">
        <v>1076</v>
      </c>
      <c r="C28" s="468" t="s">
        <v>1077</v>
      </c>
      <c r="D28" s="72">
        <f>SUMIFS(PURCHASE!$K$6:$K$10002,PURCHASE!$D$6:$D$10002,$C$6:$C$4995)</f>
        <v>0</v>
      </c>
      <c r="E28" s="72">
        <f>SUMIFS('GSTR-2A'!$K$6:$K$10000,'GSTR-2A'!$B$6:$B$10000,$C$6:$C$4995)</f>
        <v>0</v>
      </c>
      <c r="F28" s="72">
        <f>SUMIFS(PURCHASE!$L$6:$L$10002,PURCHASE!$D$6:$D$10002,$C$6:$C$4995)</f>
        <v>0</v>
      </c>
      <c r="G28" s="72">
        <f>SUMIFS('GSTR-2A'!$L$6:$L$10000,'GSTR-2A'!$B$6:$B$10000,$C$6:$C$4995)</f>
        <v>0</v>
      </c>
      <c r="H28" s="72">
        <f>SUMIFS(PURCHASE!$M$6:$M$10002,PURCHASE!$D$6:$D$10002,$C$6:$C$4995)</f>
        <v>0</v>
      </c>
      <c r="I28" s="72">
        <f>SUMIFS('GSTR-2A'!$M$6:$M$10000,'GSTR-2A'!$B$6:$B$10000,$C$6:$C$4995)</f>
        <v>0</v>
      </c>
      <c r="J28" s="72">
        <f>SUMIFS(PURCHASE!$N$6:$N$10002,PURCHASE!$D$6:$D$10002,$C$6:$C$4995)</f>
        <v>0</v>
      </c>
      <c r="K28" s="72">
        <f>SUMIFS('GSTR-2A'!$N$6:$N$10000,'GSTR-2A'!$B$6:$B$10000,$C$6:$C$4995)</f>
        <v>0</v>
      </c>
      <c r="L28" s="72">
        <f t="shared" si="1"/>
        <v>0</v>
      </c>
      <c r="M28" s="72">
        <f t="shared" si="2"/>
        <v>0</v>
      </c>
      <c r="N28" s="72">
        <f t="shared" si="3"/>
        <v>0</v>
      </c>
      <c r="O28" s="72">
        <f t="shared" si="4"/>
        <v>0</v>
      </c>
      <c r="Q28" s="72">
        <f t="shared" si="5"/>
        <v>0</v>
      </c>
      <c r="R28" s="72">
        <f t="shared" si="6"/>
        <v>0</v>
      </c>
      <c r="S28" s="72">
        <f t="shared" si="7"/>
        <v>0</v>
      </c>
    </row>
    <row r="29" spans="1:19" x14ac:dyDescent="0.2">
      <c r="A29" s="497">
        <v>24</v>
      </c>
      <c r="B29" s="468" t="s">
        <v>1078</v>
      </c>
      <c r="C29" s="469" t="s">
        <v>1079</v>
      </c>
      <c r="D29" s="72">
        <f>SUMIFS(PURCHASE!$K$6:$K$10002,PURCHASE!$D$6:$D$10002,$C$6:$C$4995)</f>
        <v>0</v>
      </c>
      <c r="E29" s="72">
        <f>SUMIFS('GSTR-2A'!$K$6:$K$10000,'GSTR-2A'!$B$6:$B$10000,$C$6:$C$4995)</f>
        <v>0</v>
      </c>
      <c r="F29" s="72">
        <f>SUMIFS(PURCHASE!$L$6:$L$10002,PURCHASE!$D$6:$D$10002,$C$6:$C$4995)</f>
        <v>0</v>
      </c>
      <c r="G29" s="72">
        <f>SUMIFS('GSTR-2A'!$L$6:$L$10000,'GSTR-2A'!$B$6:$B$10000,$C$6:$C$4995)</f>
        <v>0</v>
      </c>
      <c r="H29" s="72">
        <f>SUMIFS(PURCHASE!$M$6:$M$10002,PURCHASE!$D$6:$D$10002,$C$6:$C$4995)</f>
        <v>0</v>
      </c>
      <c r="I29" s="72">
        <f>SUMIFS('GSTR-2A'!$M$6:$M$10000,'GSTR-2A'!$B$6:$B$10000,$C$6:$C$4995)</f>
        <v>0</v>
      </c>
      <c r="J29" s="72">
        <f>SUMIFS(PURCHASE!$N$6:$N$10002,PURCHASE!$D$6:$D$10002,$C$6:$C$4995)</f>
        <v>0</v>
      </c>
      <c r="K29" s="72">
        <f>SUMIFS('GSTR-2A'!$N$6:$N$10000,'GSTR-2A'!$B$6:$B$10000,$C$6:$C$4995)</f>
        <v>0</v>
      </c>
      <c r="L29" s="72">
        <f t="shared" si="1"/>
        <v>0</v>
      </c>
      <c r="M29" s="72">
        <f t="shared" si="2"/>
        <v>0</v>
      </c>
      <c r="N29" s="72">
        <f t="shared" si="3"/>
        <v>0</v>
      </c>
      <c r="O29" s="72">
        <f t="shared" si="4"/>
        <v>0</v>
      </c>
      <c r="Q29" s="72">
        <f t="shared" si="5"/>
        <v>0</v>
      </c>
      <c r="R29" s="72">
        <f t="shared" si="6"/>
        <v>0</v>
      </c>
      <c r="S29" s="72">
        <f t="shared" si="7"/>
        <v>0</v>
      </c>
    </row>
    <row r="30" spans="1:19" x14ac:dyDescent="0.2">
      <c r="A30" s="497">
        <v>25</v>
      </c>
      <c r="B30" s="468" t="s">
        <v>710</v>
      </c>
      <c r="C30" s="469" t="s">
        <v>711</v>
      </c>
      <c r="D30" s="72">
        <f>SUMIFS(PURCHASE!$K$6:$K$10002,PURCHASE!$D$6:$D$10002,$C$6:$C$4995)</f>
        <v>15580</v>
      </c>
      <c r="E30" s="72">
        <f>SUMIFS('GSTR-2A'!$K$6:$K$10000,'GSTR-2A'!$B$6:$B$10000,$C$6:$C$4995)</f>
        <v>7590</v>
      </c>
      <c r="F30" s="72">
        <f>SUMIFS(PURCHASE!$L$6:$L$10002,PURCHASE!$D$6:$D$10002,$C$6:$C$4995)</f>
        <v>0</v>
      </c>
      <c r="G30" s="72">
        <f>SUMIFS('GSTR-2A'!$L$6:$L$10000,'GSTR-2A'!$B$6:$B$10000,$C$6:$C$4995)</f>
        <v>0</v>
      </c>
      <c r="H30" s="72">
        <f>SUMIFS(PURCHASE!$M$6:$M$10002,PURCHASE!$D$6:$D$10002,$C$6:$C$4995)</f>
        <v>1402.2</v>
      </c>
      <c r="I30" s="72">
        <f>SUMIFS('GSTR-2A'!$M$6:$M$10000,'GSTR-2A'!$B$6:$B$10000,$C$6:$C$4995)</f>
        <v>683.1</v>
      </c>
      <c r="J30" s="72">
        <f>SUMIFS(PURCHASE!$N$6:$N$10002,PURCHASE!$D$6:$D$10002,$C$6:$C$4995)</f>
        <v>1402.2</v>
      </c>
      <c r="K30" s="72">
        <f>SUMIFS('GSTR-2A'!$N$6:$N$10000,'GSTR-2A'!$B$6:$B$10000,$C$6:$C$4995)</f>
        <v>683.1</v>
      </c>
      <c r="L30" s="72">
        <f t="shared" si="1"/>
        <v>7990</v>
      </c>
      <c r="M30" s="72">
        <f t="shared" si="2"/>
        <v>0</v>
      </c>
      <c r="N30" s="72">
        <f t="shared" si="3"/>
        <v>719.1</v>
      </c>
      <c r="O30" s="72">
        <f t="shared" si="4"/>
        <v>719.1</v>
      </c>
      <c r="Q30" s="72">
        <f t="shared" si="5"/>
        <v>18384.400000000001</v>
      </c>
      <c r="R30" s="72">
        <f t="shared" si="6"/>
        <v>8956.2000000000007</v>
      </c>
      <c r="S30" s="72">
        <f t="shared" si="7"/>
        <v>9428.2000000000007</v>
      </c>
    </row>
    <row r="31" spans="1:19" x14ac:dyDescent="0.2">
      <c r="A31" s="497">
        <v>26</v>
      </c>
      <c r="B31" s="468" t="s">
        <v>845</v>
      </c>
      <c r="C31" s="469" t="s">
        <v>846</v>
      </c>
      <c r="D31" s="72">
        <f>SUMIFS(PURCHASE!$K$6:$K$10002,PURCHASE!$D$6:$D$10002,$C$6:$C$4995)</f>
        <v>898.4</v>
      </c>
      <c r="E31" s="72">
        <f>SUMIFS('GSTR-2A'!$K$6:$K$10000,'GSTR-2A'!$B$6:$B$10000,$C$6:$C$4995)</f>
        <v>898.4</v>
      </c>
      <c r="F31" s="72">
        <f>SUMIFS(PURCHASE!$L$6:$L$10002,PURCHASE!$D$6:$D$10002,$C$6:$C$4995)</f>
        <v>0</v>
      </c>
      <c r="G31" s="72">
        <f>SUMIFS('GSTR-2A'!$L$6:$L$10000,'GSTR-2A'!$B$6:$B$10000,$C$6:$C$4995)</f>
        <v>0</v>
      </c>
      <c r="H31" s="72">
        <f>SUMIFS(PURCHASE!$M$6:$M$10002,PURCHASE!$D$6:$D$10002,$C$6:$C$4995)</f>
        <v>80.855999999999995</v>
      </c>
      <c r="I31" s="72">
        <f>SUMIFS('GSTR-2A'!$M$6:$M$10000,'GSTR-2A'!$B$6:$B$10000,$C$6:$C$4995)</f>
        <v>80.86</v>
      </c>
      <c r="J31" s="72">
        <f>SUMIFS(PURCHASE!$N$6:$N$10002,PURCHASE!$D$6:$D$10002,$C$6:$C$4995)</f>
        <v>80.855999999999995</v>
      </c>
      <c r="K31" s="72">
        <f>SUMIFS('GSTR-2A'!$N$6:$N$10000,'GSTR-2A'!$B$6:$B$10000,$C$6:$C$4995)</f>
        <v>80.86</v>
      </c>
      <c r="L31" s="72">
        <f t="shared" si="1"/>
        <v>0</v>
      </c>
      <c r="M31" s="72">
        <f t="shared" si="2"/>
        <v>0</v>
      </c>
      <c r="N31" s="72">
        <f t="shared" si="3"/>
        <v>-4.0000000000048885E-3</v>
      </c>
      <c r="O31" s="72">
        <f t="shared" si="4"/>
        <v>-4.0000000000048885E-3</v>
      </c>
      <c r="Q31" s="72">
        <f t="shared" si="5"/>
        <v>1060.1120000000001</v>
      </c>
      <c r="R31" s="72">
        <f t="shared" si="6"/>
        <v>1060.1199999999999</v>
      </c>
      <c r="S31" s="72">
        <f t="shared" si="7"/>
        <v>-7.9999999998108251E-3</v>
      </c>
    </row>
    <row r="32" spans="1:19" x14ac:dyDescent="0.2">
      <c r="A32" s="497">
        <v>27</v>
      </c>
      <c r="B32" s="475" t="s">
        <v>1080</v>
      </c>
      <c r="C32" s="468" t="s">
        <v>1081</v>
      </c>
      <c r="D32" s="72">
        <f>SUMIFS(PURCHASE!$K$6:$K$10002,PURCHASE!$D$6:$D$10002,$C$6:$C$4995)</f>
        <v>0</v>
      </c>
      <c r="E32" s="72">
        <f>SUMIFS('GSTR-2A'!$K$6:$K$10000,'GSTR-2A'!$B$6:$B$10000,$C$6:$C$4995)</f>
        <v>0</v>
      </c>
      <c r="F32" s="72">
        <f>SUMIFS(PURCHASE!$L$6:$L$10002,PURCHASE!$D$6:$D$10002,$C$6:$C$4995)</f>
        <v>0</v>
      </c>
      <c r="G32" s="72">
        <f>SUMIFS('GSTR-2A'!$L$6:$L$10000,'GSTR-2A'!$B$6:$B$10000,$C$6:$C$4995)</f>
        <v>0</v>
      </c>
      <c r="H32" s="72">
        <f>SUMIFS(PURCHASE!$M$6:$M$10002,PURCHASE!$D$6:$D$10002,$C$6:$C$4995)</f>
        <v>0</v>
      </c>
      <c r="I32" s="72">
        <f>SUMIFS('GSTR-2A'!$M$6:$M$10000,'GSTR-2A'!$B$6:$B$10000,$C$6:$C$4995)</f>
        <v>0</v>
      </c>
      <c r="J32" s="72">
        <f>SUMIFS(PURCHASE!$N$6:$N$10002,PURCHASE!$D$6:$D$10002,$C$6:$C$4995)</f>
        <v>0</v>
      </c>
      <c r="K32" s="72">
        <f>SUMIFS('GSTR-2A'!$N$6:$N$10000,'GSTR-2A'!$B$6:$B$10000,$C$6:$C$4995)</f>
        <v>0</v>
      </c>
      <c r="L32" s="72">
        <f t="shared" si="1"/>
        <v>0</v>
      </c>
      <c r="M32" s="72">
        <f t="shared" si="2"/>
        <v>0</v>
      </c>
      <c r="N32" s="72">
        <f t="shared" si="3"/>
        <v>0</v>
      </c>
      <c r="O32" s="72">
        <f t="shared" si="4"/>
        <v>0</v>
      </c>
      <c r="Q32" s="72">
        <f t="shared" si="5"/>
        <v>0</v>
      </c>
      <c r="R32" s="72">
        <f t="shared" si="6"/>
        <v>0</v>
      </c>
      <c r="S32" s="72">
        <f t="shared" si="7"/>
        <v>0</v>
      </c>
    </row>
    <row r="33" spans="1:19" x14ac:dyDescent="0.2">
      <c r="A33" s="497">
        <v>28</v>
      </c>
      <c r="B33" s="468" t="s">
        <v>1082</v>
      </c>
      <c r="C33" s="469" t="s">
        <v>1083</v>
      </c>
      <c r="D33" s="72">
        <f>SUMIFS(PURCHASE!$K$6:$K$10002,PURCHASE!$D$6:$D$10002,$C$6:$C$4995)</f>
        <v>0</v>
      </c>
      <c r="E33" s="72">
        <f>SUMIFS('GSTR-2A'!$K$6:$K$10000,'GSTR-2A'!$B$6:$B$10000,$C$6:$C$4995)</f>
        <v>0</v>
      </c>
      <c r="F33" s="72">
        <f>SUMIFS(PURCHASE!$L$6:$L$10002,PURCHASE!$D$6:$D$10002,$C$6:$C$4995)</f>
        <v>0</v>
      </c>
      <c r="G33" s="72">
        <f>SUMIFS('GSTR-2A'!$L$6:$L$10000,'GSTR-2A'!$B$6:$B$10000,$C$6:$C$4995)</f>
        <v>0</v>
      </c>
      <c r="H33" s="72">
        <f>SUMIFS(PURCHASE!$M$6:$M$10002,PURCHASE!$D$6:$D$10002,$C$6:$C$4995)</f>
        <v>0</v>
      </c>
      <c r="I33" s="72">
        <f>SUMIFS('GSTR-2A'!$M$6:$M$10000,'GSTR-2A'!$B$6:$B$10000,$C$6:$C$4995)</f>
        <v>0</v>
      </c>
      <c r="J33" s="72">
        <f>SUMIFS(PURCHASE!$N$6:$N$10002,PURCHASE!$D$6:$D$10002,$C$6:$C$4995)</f>
        <v>0</v>
      </c>
      <c r="K33" s="72">
        <f>SUMIFS('GSTR-2A'!$N$6:$N$10000,'GSTR-2A'!$B$6:$B$10000,$C$6:$C$4995)</f>
        <v>0</v>
      </c>
      <c r="L33" s="72">
        <f t="shared" si="1"/>
        <v>0</v>
      </c>
      <c r="M33" s="72">
        <f t="shared" si="2"/>
        <v>0</v>
      </c>
      <c r="N33" s="72">
        <f t="shared" si="3"/>
        <v>0</v>
      </c>
      <c r="O33" s="72">
        <f t="shared" si="4"/>
        <v>0</v>
      </c>
      <c r="Q33" s="72">
        <f t="shared" si="5"/>
        <v>0</v>
      </c>
      <c r="R33" s="72">
        <f t="shared" si="6"/>
        <v>0</v>
      </c>
      <c r="S33" s="72">
        <f t="shared" si="7"/>
        <v>0</v>
      </c>
    </row>
    <row r="34" spans="1:19" x14ac:dyDescent="0.2">
      <c r="A34" s="497">
        <v>29</v>
      </c>
      <c r="B34" s="468" t="s">
        <v>1084</v>
      </c>
      <c r="C34" s="469" t="s">
        <v>1085</v>
      </c>
      <c r="D34" s="72">
        <f>SUMIFS(PURCHASE!$K$6:$K$10002,PURCHASE!$D$6:$D$10002,$C$6:$C$4995)</f>
        <v>0</v>
      </c>
      <c r="E34" s="72">
        <f>SUMIFS('GSTR-2A'!$K$6:$K$10000,'GSTR-2A'!$B$6:$B$10000,$C$6:$C$4995)</f>
        <v>0</v>
      </c>
      <c r="F34" s="72">
        <f>SUMIFS(PURCHASE!$L$6:$L$10002,PURCHASE!$D$6:$D$10002,$C$6:$C$4995)</f>
        <v>0</v>
      </c>
      <c r="G34" s="72">
        <f>SUMIFS('GSTR-2A'!$L$6:$L$10000,'GSTR-2A'!$B$6:$B$10000,$C$6:$C$4995)</f>
        <v>0</v>
      </c>
      <c r="H34" s="72">
        <f>SUMIFS(PURCHASE!$M$6:$M$10002,PURCHASE!$D$6:$D$10002,$C$6:$C$4995)</f>
        <v>0</v>
      </c>
      <c r="I34" s="72">
        <f>SUMIFS('GSTR-2A'!$M$6:$M$10000,'GSTR-2A'!$B$6:$B$10000,$C$6:$C$4995)</f>
        <v>0</v>
      </c>
      <c r="J34" s="72">
        <f>SUMIFS(PURCHASE!$N$6:$N$10002,PURCHASE!$D$6:$D$10002,$C$6:$C$4995)</f>
        <v>0</v>
      </c>
      <c r="K34" s="72">
        <f>SUMIFS('GSTR-2A'!$N$6:$N$10000,'GSTR-2A'!$B$6:$B$10000,$C$6:$C$4995)</f>
        <v>0</v>
      </c>
      <c r="L34" s="72">
        <f t="shared" si="1"/>
        <v>0</v>
      </c>
      <c r="M34" s="72">
        <f t="shared" si="2"/>
        <v>0</v>
      </c>
      <c r="N34" s="72">
        <f t="shared" si="3"/>
        <v>0</v>
      </c>
      <c r="O34" s="72">
        <f t="shared" si="4"/>
        <v>0</v>
      </c>
      <c r="Q34" s="72">
        <f t="shared" si="5"/>
        <v>0</v>
      </c>
      <c r="R34" s="72">
        <f t="shared" si="6"/>
        <v>0</v>
      </c>
      <c r="S34" s="72">
        <f t="shared" si="7"/>
        <v>0</v>
      </c>
    </row>
    <row r="35" spans="1:19" x14ac:dyDescent="0.2">
      <c r="A35" s="497">
        <v>30</v>
      </c>
      <c r="B35" s="468" t="s">
        <v>1086</v>
      </c>
      <c r="C35" s="469" t="s">
        <v>1087</v>
      </c>
      <c r="D35" s="72">
        <f>SUMIFS(PURCHASE!$K$6:$K$10002,PURCHASE!$D$6:$D$10002,$C$6:$C$4995)</f>
        <v>0</v>
      </c>
      <c r="E35" s="72">
        <f>SUMIFS('GSTR-2A'!$K$6:$K$10000,'GSTR-2A'!$B$6:$B$10000,$C$6:$C$4995)</f>
        <v>0</v>
      </c>
      <c r="F35" s="72">
        <f>SUMIFS(PURCHASE!$L$6:$L$10002,PURCHASE!$D$6:$D$10002,$C$6:$C$4995)</f>
        <v>0</v>
      </c>
      <c r="G35" s="72">
        <f>SUMIFS('GSTR-2A'!$L$6:$L$10000,'GSTR-2A'!$B$6:$B$10000,$C$6:$C$4995)</f>
        <v>0</v>
      </c>
      <c r="H35" s="72">
        <f>SUMIFS(PURCHASE!$M$6:$M$10002,PURCHASE!$D$6:$D$10002,$C$6:$C$4995)</f>
        <v>0</v>
      </c>
      <c r="I35" s="72">
        <f>SUMIFS('GSTR-2A'!$M$6:$M$10000,'GSTR-2A'!$B$6:$B$10000,$C$6:$C$4995)</f>
        <v>0</v>
      </c>
      <c r="J35" s="72">
        <f>SUMIFS(PURCHASE!$N$6:$N$10002,PURCHASE!$D$6:$D$10002,$C$6:$C$4995)</f>
        <v>0</v>
      </c>
      <c r="K35" s="72">
        <f>SUMIFS('GSTR-2A'!$N$6:$N$10000,'GSTR-2A'!$B$6:$B$10000,$C$6:$C$4995)</f>
        <v>0</v>
      </c>
      <c r="L35" s="72">
        <f t="shared" si="1"/>
        <v>0</v>
      </c>
      <c r="M35" s="72">
        <f t="shared" si="2"/>
        <v>0</v>
      </c>
      <c r="N35" s="72">
        <f t="shared" si="3"/>
        <v>0</v>
      </c>
      <c r="O35" s="72">
        <f t="shared" si="4"/>
        <v>0</v>
      </c>
      <c r="Q35" s="72">
        <f t="shared" si="5"/>
        <v>0</v>
      </c>
      <c r="R35" s="72">
        <f t="shared" si="6"/>
        <v>0</v>
      </c>
      <c r="S35" s="72">
        <f t="shared" si="7"/>
        <v>0</v>
      </c>
    </row>
    <row r="36" spans="1:19" x14ac:dyDescent="0.2">
      <c r="A36" s="497">
        <v>31</v>
      </c>
      <c r="B36" s="468" t="s">
        <v>1088</v>
      </c>
      <c r="C36" s="469" t="s">
        <v>1089</v>
      </c>
      <c r="D36" s="72">
        <f>SUMIFS(PURCHASE!$K$6:$K$10002,PURCHASE!$D$6:$D$10002,$C$6:$C$4995)</f>
        <v>0</v>
      </c>
      <c r="E36" s="72">
        <f>SUMIFS('GSTR-2A'!$K$6:$K$10000,'GSTR-2A'!$B$6:$B$10000,$C$6:$C$4995)</f>
        <v>0</v>
      </c>
      <c r="F36" s="72">
        <f>SUMIFS(PURCHASE!$L$6:$L$10002,PURCHASE!$D$6:$D$10002,$C$6:$C$4995)</f>
        <v>0</v>
      </c>
      <c r="G36" s="72">
        <f>SUMIFS('GSTR-2A'!$L$6:$L$10000,'GSTR-2A'!$B$6:$B$10000,$C$6:$C$4995)</f>
        <v>0</v>
      </c>
      <c r="H36" s="72">
        <f>SUMIFS(PURCHASE!$M$6:$M$10002,PURCHASE!$D$6:$D$10002,$C$6:$C$4995)</f>
        <v>0</v>
      </c>
      <c r="I36" s="72">
        <f>SUMIFS('GSTR-2A'!$M$6:$M$10000,'GSTR-2A'!$B$6:$B$10000,$C$6:$C$4995)</f>
        <v>0</v>
      </c>
      <c r="J36" s="72">
        <f>SUMIFS(PURCHASE!$N$6:$N$10002,PURCHASE!$D$6:$D$10002,$C$6:$C$4995)</f>
        <v>0</v>
      </c>
      <c r="K36" s="72">
        <f>SUMIFS('GSTR-2A'!$N$6:$N$10000,'GSTR-2A'!$B$6:$B$10000,$C$6:$C$4995)</f>
        <v>0</v>
      </c>
      <c r="L36" s="72">
        <f t="shared" si="1"/>
        <v>0</v>
      </c>
      <c r="M36" s="72">
        <f t="shared" si="2"/>
        <v>0</v>
      </c>
      <c r="N36" s="72">
        <f t="shared" si="3"/>
        <v>0</v>
      </c>
      <c r="O36" s="72">
        <f t="shared" si="4"/>
        <v>0</v>
      </c>
      <c r="Q36" s="72">
        <f t="shared" si="5"/>
        <v>0</v>
      </c>
      <c r="R36" s="72">
        <f t="shared" si="6"/>
        <v>0</v>
      </c>
      <c r="S36" s="72">
        <f t="shared" si="7"/>
        <v>0</v>
      </c>
    </row>
    <row r="37" spans="1:19" x14ac:dyDescent="0.2">
      <c r="A37" s="497">
        <v>32</v>
      </c>
      <c r="B37" s="468" t="s">
        <v>1090</v>
      </c>
      <c r="C37" s="469" t="s">
        <v>1091</v>
      </c>
      <c r="D37" s="72">
        <f>SUMIFS(PURCHASE!$K$6:$K$10002,PURCHASE!$D$6:$D$10002,$C$6:$C$4995)</f>
        <v>0</v>
      </c>
      <c r="E37" s="72">
        <f>SUMIFS('GSTR-2A'!$K$6:$K$10000,'GSTR-2A'!$B$6:$B$10000,$C$6:$C$4995)</f>
        <v>0</v>
      </c>
      <c r="F37" s="72">
        <f>SUMIFS(PURCHASE!$L$6:$L$10002,PURCHASE!$D$6:$D$10002,$C$6:$C$4995)</f>
        <v>0</v>
      </c>
      <c r="G37" s="72">
        <f>SUMIFS('GSTR-2A'!$L$6:$L$10000,'GSTR-2A'!$B$6:$B$10000,$C$6:$C$4995)</f>
        <v>0</v>
      </c>
      <c r="H37" s="72">
        <f>SUMIFS(PURCHASE!$M$6:$M$10002,PURCHASE!$D$6:$D$10002,$C$6:$C$4995)</f>
        <v>0</v>
      </c>
      <c r="I37" s="72">
        <f>SUMIFS('GSTR-2A'!$M$6:$M$10000,'GSTR-2A'!$B$6:$B$10000,$C$6:$C$4995)</f>
        <v>0</v>
      </c>
      <c r="J37" s="72">
        <f>SUMIFS(PURCHASE!$N$6:$N$10002,PURCHASE!$D$6:$D$10002,$C$6:$C$4995)</f>
        <v>0</v>
      </c>
      <c r="K37" s="72">
        <f>SUMIFS('GSTR-2A'!$N$6:$N$10000,'GSTR-2A'!$B$6:$B$10000,$C$6:$C$4995)</f>
        <v>0</v>
      </c>
      <c r="L37" s="72">
        <f t="shared" si="1"/>
        <v>0</v>
      </c>
      <c r="M37" s="72">
        <f t="shared" si="2"/>
        <v>0</v>
      </c>
      <c r="N37" s="72">
        <f t="shared" si="3"/>
        <v>0</v>
      </c>
      <c r="O37" s="72">
        <f t="shared" si="4"/>
        <v>0</v>
      </c>
      <c r="Q37" s="72">
        <f t="shared" si="5"/>
        <v>0</v>
      </c>
      <c r="R37" s="72">
        <f t="shared" si="6"/>
        <v>0</v>
      </c>
      <c r="S37" s="72">
        <f t="shared" si="7"/>
        <v>0</v>
      </c>
    </row>
    <row r="38" spans="1:19" x14ac:dyDescent="0.2">
      <c r="A38" s="497">
        <v>33</v>
      </c>
      <c r="B38" s="468" t="s">
        <v>1092</v>
      </c>
      <c r="C38" s="469" t="s">
        <v>1093</v>
      </c>
      <c r="D38" s="72">
        <f>SUMIFS(PURCHASE!$K$6:$K$10002,PURCHASE!$D$6:$D$10002,$C$6:$C$4995)</f>
        <v>0</v>
      </c>
      <c r="E38" s="72">
        <f>SUMIFS('GSTR-2A'!$K$6:$K$10000,'GSTR-2A'!$B$6:$B$10000,$C$6:$C$4995)</f>
        <v>0</v>
      </c>
      <c r="F38" s="72">
        <f>SUMIFS(PURCHASE!$L$6:$L$10002,PURCHASE!$D$6:$D$10002,$C$6:$C$4995)</f>
        <v>0</v>
      </c>
      <c r="G38" s="72">
        <f>SUMIFS('GSTR-2A'!$L$6:$L$10000,'GSTR-2A'!$B$6:$B$10000,$C$6:$C$4995)</f>
        <v>0</v>
      </c>
      <c r="H38" s="72">
        <f>SUMIFS(PURCHASE!$M$6:$M$10002,PURCHASE!$D$6:$D$10002,$C$6:$C$4995)</f>
        <v>0</v>
      </c>
      <c r="I38" s="72">
        <f>SUMIFS('GSTR-2A'!$M$6:$M$10000,'GSTR-2A'!$B$6:$B$10000,$C$6:$C$4995)</f>
        <v>0</v>
      </c>
      <c r="J38" s="72">
        <f>SUMIFS(PURCHASE!$N$6:$N$10002,PURCHASE!$D$6:$D$10002,$C$6:$C$4995)</f>
        <v>0</v>
      </c>
      <c r="K38" s="72">
        <f>SUMIFS('GSTR-2A'!$N$6:$N$10000,'GSTR-2A'!$B$6:$B$10000,$C$6:$C$4995)</f>
        <v>0</v>
      </c>
      <c r="L38" s="72">
        <f t="shared" si="1"/>
        <v>0</v>
      </c>
      <c r="M38" s="72">
        <f t="shared" si="2"/>
        <v>0</v>
      </c>
      <c r="N38" s="72">
        <f t="shared" si="3"/>
        <v>0</v>
      </c>
      <c r="O38" s="72">
        <f t="shared" si="4"/>
        <v>0</v>
      </c>
      <c r="Q38" s="72">
        <f t="shared" si="5"/>
        <v>0</v>
      </c>
      <c r="R38" s="72">
        <f t="shared" si="6"/>
        <v>0</v>
      </c>
      <c r="S38" s="72">
        <f t="shared" si="7"/>
        <v>0</v>
      </c>
    </row>
    <row r="39" spans="1:19" x14ac:dyDescent="0.2">
      <c r="A39" s="497">
        <v>34</v>
      </c>
      <c r="B39" s="468" t="s">
        <v>1094</v>
      </c>
      <c r="C39" s="469" t="s">
        <v>1095</v>
      </c>
      <c r="D39" s="72">
        <f>SUMIFS(PURCHASE!$K$6:$K$10002,PURCHASE!$D$6:$D$10002,$C$6:$C$4995)</f>
        <v>0</v>
      </c>
      <c r="E39" s="72">
        <f>SUMIFS('GSTR-2A'!$K$6:$K$10000,'GSTR-2A'!$B$6:$B$10000,$C$6:$C$4995)</f>
        <v>0</v>
      </c>
      <c r="F39" s="72">
        <f>SUMIFS(PURCHASE!$L$6:$L$10002,PURCHASE!$D$6:$D$10002,$C$6:$C$4995)</f>
        <v>0</v>
      </c>
      <c r="G39" s="72">
        <f>SUMIFS('GSTR-2A'!$L$6:$L$10000,'GSTR-2A'!$B$6:$B$10000,$C$6:$C$4995)</f>
        <v>0</v>
      </c>
      <c r="H39" s="72">
        <f>SUMIFS(PURCHASE!$M$6:$M$10002,PURCHASE!$D$6:$D$10002,$C$6:$C$4995)</f>
        <v>0</v>
      </c>
      <c r="I39" s="72">
        <f>SUMIFS('GSTR-2A'!$M$6:$M$10000,'GSTR-2A'!$B$6:$B$10000,$C$6:$C$4995)</f>
        <v>0</v>
      </c>
      <c r="J39" s="72">
        <f>SUMIFS(PURCHASE!$N$6:$N$10002,PURCHASE!$D$6:$D$10002,$C$6:$C$4995)</f>
        <v>0</v>
      </c>
      <c r="K39" s="72">
        <f>SUMIFS('GSTR-2A'!$N$6:$N$10000,'GSTR-2A'!$B$6:$B$10000,$C$6:$C$4995)</f>
        <v>0</v>
      </c>
      <c r="L39" s="72">
        <f t="shared" si="1"/>
        <v>0</v>
      </c>
      <c r="M39" s="72">
        <f t="shared" si="2"/>
        <v>0</v>
      </c>
      <c r="N39" s="72">
        <f t="shared" si="3"/>
        <v>0</v>
      </c>
      <c r="O39" s="72">
        <f t="shared" si="4"/>
        <v>0</v>
      </c>
      <c r="Q39" s="72">
        <f t="shared" si="5"/>
        <v>0</v>
      </c>
      <c r="R39" s="72">
        <f t="shared" si="6"/>
        <v>0</v>
      </c>
      <c r="S39" s="72">
        <f t="shared" si="7"/>
        <v>0</v>
      </c>
    </row>
    <row r="40" spans="1:19" x14ac:dyDescent="0.2">
      <c r="A40" s="497">
        <v>35</v>
      </c>
      <c r="B40" s="475" t="s">
        <v>1096</v>
      </c>
      <c r="C40" s="475" t="s">
        <v>1097</v>
      </c>
      <c r="D40" s="72">
        <f>SUMIFS(PURCHASE!$K$6:$K$10002,PURCHASE!$D$6:$D$10002,$C$6:$C$4995)</f>
        <v>0</v>
      </c>
      <c r="E40" s="72">
        <f>SUMIFS('GSTR-2A'!$K$6:$K$10000,'GSTR-2A'!$B$6:$B$10000,$C$6:$C$4995)</f>
        <v>0</v>
      </c>
      <c r="F40" s="72">
        <f>SUMIFS(PURCHASE!$L$6:$L$10002,PURCHASE!$D$6:$D$10002,$C$6:$C$4995)</f>
        <v>0</v>
      </c>
      <c r="G40" s="72">
        <f>SUMIFS('GSTR-2A'!$L$6:$L$10000,'GSTR-2A'!$B$6:$B$10000,$C$6:$C$4995)</f>
        <v>0</v>
      </c>
      <c r="H40" s="72">
        <f>SUMIFS(PURCHASE!$M$6:$M$10002,PURCHASE!$D$6:$D$10002,$C$6:$C$4995)</f>
        <v>0</v>
      </c>
      <c r="I40" s="72">
        <f>SUMIFS('GSTR-2A'!$M$6:$M$10000,'GSTR-2A'!$B$6:$B$10000,$C$6:$C$4995)</f>
        <v>0</v>
      </c>
      <c r="J40" s="72">
        <f>SUMIFS(PURCHASE!$N$6:$N$10002,PURCHASE!$D$6:$D$10002,$C$6:$C$4995)</f>
        <v>0</v>
      </c>
      <c r="K40" s="72">
        <f>SUMIFS('GSTR-2A'!$N$6:$N$10000,'GSTR-2A'!$B$6:$B$10000,$C$6:$C$4995)</f>
        <v>0</v>
      </c>
      <c r="L40" s="72">
        <f t="shared" si="1"/>
        <v>0</v>
      </c>
      <c r="M40" s="72">
        <f t="shared" si="2"/>
        <v>0</v>
      </c>
      <c r="N40" s="72">
        <f t="shared" si="3"/>
        <v>0</v>
      </c>
      <c r="O40" s="72">
        <f t="shared" si="4"/>
        <v>0</v>
      </c>
      <c r="Q40" s="72">
        <f t="shared" si="5"/>
        <v>0</v>
      </c>
      <c r="R40" s="72">
        <f t="shared" si="6"/>
        <v>0</v>
      </c>
      <c r="S40" s="72">
        <f t="shared" si="7"/>
        <v>0</v>
      </c>
    </row>
    <row r="41" spans="1:19" x14ac:dyDescent="0.2">
      <c r="A41" s="497">
        <v>36</v>
      </c>
      <c r="B41" s="468" t="s">
        <v>1098</v>
      </c>
      <c r="C41" s="469" t="s">
        <v>1099</v>
      </c>
      <c r="D41" s="72">
        <f>SUMIFS(PURCHASE!$K$6:$K$10002,PURCHASE!$D$6:$D$10002,$C$6:$C$4995)</f>
        <v>0</v>
      </c>
      <c r="E41" s="72">
        <f>SUMIFS('GSTR-2A'!$K$6:$K$10000,'GSTR-2A'!$B$6:$B$10000,$C$6:$C$4995)</f>
        <v>0</v>
      </c>
      <c r="F41" s="72">
        <f>SUMIFS(PURCHASE!$L$6:$L$10002,PURCHASE!$D$6:$D$10002,$C$6:$C$4995)</f>
        <v>0</v>
      </c>
      <c r="G41" s="72">
        <f>SUMIFS('GSTR-2A'!$L$6:$L$10000,'GSTR-2A'!$B$6:$B$10000,$C$6:$C$4995)</f>
        <v>0</v>
      </c>
      <c r="H41" s="72">
        <f>SUMIFS(PURCHASE!$M$6:$M$10002,PURCHASE!$D$6:$D$10002,$C$6:$C$4995)</f>
        <v>0</v>
      </c>
      <c r="I41" s="72">
        <f>SUMIFS('GSTR-2A'!$M$6:$M$10000,'GSTR-2A'!$B$6:$B$10000,$C$6:$C$4995)</f>
        <v>0</v>
      </c>
      <c r="J41" s="72">
        <f>SUMIFS(PURCHASE!$N$6:$N$10002,PURCHASE!$D$6:$D$10002,$C$6:$C$4995)</f>
        <v>0</v>
      </c>
      <c r="K41" s="72">
        <f>SUMIFS('GSTR-2A'!$N$6:$N$10000,'GSTR-2A'!$B$6:$B$10000,$C$6:$C$4995)</f>
        <v>0</v>
      </c>
      <c r="L41" s="72">
        <f t="shared" si="1"/>
        <v>0</v>
      </c>
      <c r="M41" s="72">
        <f t="shared" si="2"/>
        <v>0</v>
      </c>
      <c r="N41" s="72">
        <f t="shared" si="3"/>
        <v>0</v>
      </c>
      <c r="O41" s="72">
        <f t="shared" si="4"/>
        <v>0</v>
      </c>
      <c r="Q41" s="72">
        <f t="shared" si="5"/>
        <v>0</v>
      </c>
      <c r="R41" s="72">
        <f t="shared" si="6"/>
        <v>0</v>
      </c>
      <c r="S41" s="72">
        <f t="shared" si="7"/>
        <v>0</v>
      </c>
    </row>
    <row r="42" spans="1:19" x14ac:dyDescent="0.2">
      <c r="A42" s="497">
        <v>37</v>
      </c>
      <c r="B42" s="468" t="s">
        <v>538</v>
      </c>
      <c r="C42" s="469" t="s">
        <v>539</v>
      </c>
      <c r="D42" s="72">
        <f>SUMIFS(PURCHASE!$K$6:$K$10002,PURCHASE!$D$6:$D$10002,$C$6:$C$4995)</f>
        <v>114258</v>
      </c>
      <c r="E42" s="72">
        <f>SUMIFS('GSTR-2A'!$K$6:$K$10000,'GSTR-2A'!$B$6:$B$10000,$C$6:$C$4995)</f>
        <v>114258</v>
      </c>
      <c r="F42" s="72">
        <f>SUMIFS(PURCHASE!$L$6:$L$10002,PURCHASE!$D$6:$D$10002,$C$6:$C$4995)</f>
        <v>0</v>
      </c>
      <c r="G42" s="72">
        <f>SUMIFS('GSTR-2A'!$L$6:$L$10000,'GSTR-2A'!$B$6:$B$10000,$C$6:$C$4995)</f>
        <v>0</v>
      </c>
      <c r="H42" s="72">
        <f>SUMIFS(PURCHASE!$M$6:$M$10002,PURCHASE!$D$6:$D$10002,$C$6:$C$4995)</f>
        <v>10283.219999999999</v>
      </c>
      <c r="I42" s="72">
        <f>SUMIFS('GSTR-2A'!$M$6:$M$10000,'GSTR-2A'!$B$6:$B$10000,$C$6:$C$4995)</f>
        <v>10283.220000000001</v>
      </c>
      <c r="J42" s="72">
        <f>SUMIFS(PURCHASE!$N$6:$N$10002,PURCHASE!$D$6:$D$10002,$C$6:$C$4995)</f>
        <v>10283.219999999999</v>
      </c>
      <c r="K42" s="72">
        <f>SUMIFS('GSTR-2A'!$N$6:$N$10000,'GSTR-2A'!$B$6:$B$10000,$C$6:$C$4995)</f>
        <v>10283.220000000001</v>
      </c>
      <c r="L42" s="72">
        <f t="shared" si="1"/>
        <v>0</v>
      </c>
      <c r="M42" s="72">
        <f t="shared" si="2"/>
        <v>0</v>
      </c>
      <c r="N42" s="72">
        <f t="shared" si="3"/>
        <v>0</v>
      </c>
      <c r="O42" s="72">
        <f t="shared" si="4"/>
        <v>0</v>
      </c>
      <c r="Q42" s="72">
        <f t="shared" si="5"/>
        <v>134824.44</v>
      </c>
      <c r="R42" s="72">
        <f t="shared" si="6"/>
        <v>134824.44</v>
      </c>
      <c r="S42" s="72">
        <f t="shared" si="7"/>
        <v>0</v>
      </c>
    </row>
    <row r="43" spans="1:19" x14ac:dyDescent="0.2">
      <c r="A43" s="497">
        <v>38</v>
      </c>
      <c r="B43" s="468" t="s">
        <v>1100</v>
      </c>
      <c r="C43" s="469" t="s">
        <v>1101</v>
      </c>
      <c r="D43" s="72">
        <f>SUMIFS(PURCHASE!$K$6:$K$10002,PURCHASE!$D$6:$D$10002,$C$6:$C$4995)</f>
        <v>0</v>
      </c>
      <c r="E43" s="72">
        <f>SUMIFS('GSTR-2A'!$K$6:$K$10000,'GSTR-2A'!$B$6:$B$10000,$C$6:$C$4995)</f>
        <v>0</v>
      </c>
      <c r="F43" s="72">
        <f>SUMIFS(PURCHASE!$L$6:$L$10002,PURCHASE!$D$6:$D$10002,$C$6:$C$4995)</f>
        <v>0</v>
      </c>
      <c r="G43" s="72">
        <f>SUMIFS('GSTR-2A'!$L$6:$L$10000,'GSTR-2A'!$B$6:$B$10000,$C$6:$C$4995)</f>
        <v>0</v>
      </c>
      <c r="H43" s="72">
        <f>SUMIFS(PURCHASE!$M$6:$M$10002,PURCHASE!$D$6:$D$10002,$C$6:$C$4995)</f>
        <v>0</v>
      </c>
      <c r="I43" s="72">
        <f>SUMIFS('GSTR-2A'!$M$6:$M$10000,'GSTR-2A'!$B$6:$B$10000,$C$6:$C$4995)</f>
        <v>0</v>
      </c>
      <c r="J43" s="72">
        <f>SUMIFS(PURCHASE!$N$6:$N$10002,PURCHASE!$D$6:$D$10002,$C$6:$C$4995)</f>
        <v>0</v>
      </c>
      <c r="K43" s="72">
        <f>SUMIFS('GSTR-2A'!$N$6:$N$10000,'GSTR-2A'!$B$6:$B$10000,$C$6:$C$4995)</f>
        <v>0</v>
      </c>
      <c r="L43" s="72">
        <f t="shared" si="1"/>
        <v>0</v>
      </c>
      <c r="M43" s="72">
        <f t="shared" si="2"/>
        <v>0</v>
      </c>
      <c r="N43" s="72">
        <f t="shared" si="3"/>
        <v>0</v>
      </c>
      <c r="O43" s="72">
        <f t="shared" si="4"/>
        <v>0</v>
      </c>
      <c r="Q43" s="72">
        <f t="shared" si="5"/>
        <v>0</v>
      </c>
      <c r="R43" s="72">
        <f t="shared" si="6"/>
        <v>0</v>
      </c>
      <c r="S43" s="72">
        <f t="shared" si="7"/>
        <v>0</v>
      </c>
    </row>
    <row r="44" spans="1:19" x14ac:dyDescent="0.2">
      <c r="A44" s="497">
        <v>39</v>
      </c>
      <c r="B44" s="468" t="s">
        <v>1102</v>
      </c>
      <c r="C44" s="468" t="s">
        <v>1103</v>
      </c>
      <c r="D44" s="72">
        <f>SUMIFS(PURCHASE!$K$6:$K$10002,PURCHASE!$D$6:$D$10002,$C$6:$C$4995)</f>
        <v>0</v>
      </c>
      <c r="E44" s="72">
        <f>SUMIFS('GSTR-2A'!$K$6:$K$10000,'GSTR-2A'!$B$6:$B$10000,$C$6:$C$4995)</f>
        <v>0</v>
      </c>
      <c r="F44" s="72">
        <f>SUMIFS(PURCHASE!$L$6:$L$10002,PURCHASE!$D$6:$D$10002,$C$6:$C$4995)</f>
        <v>0</v>
      </c>
      <c r="G44" s="72">
        <f>SUMIFS('GSTR-2A'!$L$6:$L$10000,'GSTR-2A'!$B$6:$B$10000,$C$6:$C$4995)</f>
        <v>0</v>
      </c>
      <c r="H44" s="72">
        <f>SUMIFS(PURCHASE!$M$6:$M$10002,PURCHASE!$D$6:$D$10002,$C$6:$C$4995)</f>
        <v>0</v>
      </c>
      <c r="I44" s="72">
        <f>SUMIFS('GSTR-2A'!$M$6:$M$10000,'GSTR-2A'!$B$6:$B$10000,$C$6:$C$4995)</f>
        <v>0</v>
      </c>
      <c r="J44" s="72">
        <f>SUMIFS(PURCHASE!$N$6:$N$10002,PURCHASE!$D$6:$D$10002,$C$6:$C$4995)</f>
        <v>0</v>
      </c>
      <c r="K44" s="72">
        <f>SUMIFS('GSTR-2A'!$N$6:$N$10000,'GSTR-2A'!$B$6:$B$10000,$C$6:$C$4995)</f>
        <v>0</v>
      </c>
      <c r="L44" s="72">
        <f t="shared" si="1"/>
        <v>0</v>
      </c>
      <c r="M44" s="72">
        <f t="shared" si="2"/>
        <v>0</v>
      </c>
      <c r="N44" s="72">
        <f t="shared" si="3"/>
        <v>0</v>
      </c>
      <c r="O44" s="72">
        <f t="shared" si="4"/>
        <v>0</v>
      </c>
      <c r="Q44" s="72">
        <f t="shared" si="5"/>
        <v>0</v>
      </c>
      <c r="R44" s="72">
        <f t="shared" si="6"/>
        <v>0</v>
      </c>
      <c r="S44" s="72">
        <f t="shared" si="7"/>
        <v>0</v>
      </c>
    </row>
    <row r="45" spans="1:19" x14ac:dyDescent="0.2">
      <c r="A45" s="497">
        <v>40</v>
      </c>
      <c r="B45" s="468" t="s">
        <v>506</v>
      </c>
      <c r="C45" s="469" t="s">
        <v>507</v>
      </c>
      <c r="D45" s="72">
        <f>SUMIFS(PURCHASE!$K$6:$K$10002,PURCHASE!$D$6:$D$10002,$C$6:$C$4995)</f>
        <v>1275505</v>
      </c>
      <c r="E45" s="72">
        <f>SUMIFS('GSTR-2A'!$K$6:$K$10000,'GSTR-2A'!$B$6:$B$10000,$C$6:$C$4995)</f>
        <v>1021244</v>
      </c>
      <c r="F45" s="72">
        <f>SUMIFS(PURCHASE!$L$6:$L$10002,PURCHASE!$D$6:$D$10002,$C$6:$C$4995)</f>
        <v>0</v>
      </c>
      <c r="G45" s="72">
        <f>SUMIFS('GSTR-2A'!$L$6:$L$10000,'GSTR-2A'!$B$6:$B$10000,$C$6:$C$4995)</f>
        <v>0</v>
      </c>
      <c r="H45" s="72">
        <f>SUMIFS(PURCHASE!$M$6:$M$10002,PURCHASE!$D$6:$D$10002,$C$6:$C$4995)</f>
        <v>114795.44999999997</v>
      </c>
      <c r="I45" s="72">
        <f>SUMIFS('GSTR-2A'!$M$6:$M$10000,'GSTR-2A'!$B$6:$B$10000,$C$6:$C$4995)</f>
        <v>91911.920000000027</v>
      </c>
      <c r="J45" s="72">
        <f>SUMIFS(PURCHASE!$N$6:$N$10002,PURCHASE!$D$6:$D$10002,$C$6:$C$4995)</f>
        <v>114795.44999999997</v>
      </c>
      <c r="K45" s="72">
        <f>SUMIFS('GSTR-2A'!$N$6:$N$10000,'GSTR-2A'!$B$6:$B$10000,$C$6:$C$4995)</f>
        <v>91911.920000000027</v>
      </c>
      <c r="L45" s="72">
        <f t="shared" si="1"/>
        <v>254261</v>
      </c>
      <c r="M45" s="72">
        <f t="shared" si="2"/>
        <v>0</v>
      </c>
      <c r="N45" s="72">
        <f t="shared" si="3"/>
        <v>22883.529999999941</v>
      </c>
      <c r="O45" s="72">
        <f t="shared" si="4"/>
        <v>22883.529999999941</v>
      </c>
      <c r="Q45" s="72">
        <f t="shared" si="5"/>
        <v>1505095.9</v>
      </c>
      <c r="R45" s="72">
        <f t="shared" si="6"/>
        <v>1205067.8399999999</v>
      </c>
      <c r="S45" s="72">
        <f t="shared" si="7"/>
        <v>300028.06000000006</v>
      </c>
    </row>
    <row r="46" spans="1:19" x14ac:dyDescent="0.2">
      <c r="A46" s="497">
        <v>41</v>
      </c>
      <c r="B46" s="468" t="s">
        <v>1104</v>
      </c>
      <c r="C46" s="469" t="s">
        <v>1105</v>
      </c>
      <c r="D46" s="72">
        <f>SUMIFS(PURCHASE!$K$6:$K$10002,PURCHASE!$D$6:$D$10002,$C$6:$C$4995)</f>
        <v>0</v>
      </c>
      <c r="E46" s="72">
        <f>SUMIFS('GSTR-2A'!$K$6:$K$10000,'GSTR-2A'!$B$6:$B$10000,$C$6:$C$4995)</f>
        <v>0</v>
      </c>
      <c r="F46" s="72">
        <f>SUMIFS(PURCHASE!$L$6:$L$10002,PURCHASE!$D$6:$D$10002,$C$6:$C$4995)</f>
        <v>0</v>
      </c>
      <c r="G46" s="72">
        <f>SUMIFS('GSTR-2A'!$L$6:$L$10000,'GSTR-2A'!$B$6:$B$10000,$C$6:$C$4995)</f>
        <v>0</v>
      </c>
      <c r="H46" s="72">
        <f>SUMIFS(PURCHASE!$M$6:$M$10002,PURCHASE!$D$6:$D$10002,$C$6:$C$4995)</f>
        <v>0</v>
      </c>
      <c r="I46" s="72">
        <f>SUMIFS('GSTR-2A'!$M$6:$M$10000,'GSTR-2A'!$B$6:$B$10000,$C$6:$C$4995)</f>
        <v>0</v>
      </c>
      <c r="J46" s="72">
        <f>SUMIFS(PURCHASE!$N$6:$N$10002,PURCHASE!$D$6:$D$10002,$C$6:$C$4995)</f>
        <v>0</v>
      </c>
      <c r="K46" s="72">
        <f>SUMIFS('GSTR-2A'!$N$6:$N$10000,'GSTR-2A'!$B$6:$B$10000,$C$6:$C$4995)</f>
        <v>0</v>
      </c>
      <c r="L46" s="72">
        <f t="shared" si="1"/>
        <v>0</v>
      </c>
      <c r="M46" s="72">
        <f t="shared" si="2"/>
        <v>0</v>
      </c>
      <c r="N46" s="72">
        <f t="shared" si="3"/>
        <v>0</v>
      </c>
      <c r="O46" s="72">
        <f t="shared" si="4"/>
        <v>0</v>
      </c>
      <c r="Q46" s="72">
        <f t="shared" si="5"/>
        <v>0</v>
      </c>
      <c r="R46" s="72">
        <f t="shared" si="6"/>
        <v>0</v>
      </c>
      <c r="S46" s="72">
        <f t="shared" si="7"/>
        <v>0</v>
      </c>
    </row>
    <row r="47" spans="1:19" x14ac:dyDescent="0.2">
      <c r="A47" s="497">
        <v>42</v>
      </c>
      <c r="B47" s="468" t="s">
        <v>1106</v>
      </c>
      <c r="C47" s="469" t="s">
        <v>1107</v>
      </c>
      <c r="D47" s="72">
        <f>SUMIFS(PURCHASE!$K$6:$K$10002,PURCHASE!$D$6:$D$10002,$C$6:$C$4995)</f>
        <v>0</v>
      </c>
      <c r="E47" s="72">
        <f>SUMIFS('GSTR-2A'!$K$6:$K$10000,'GSTR-2A'!$B$6:$B$10000,$C$6:$C$4995)</f>
        <v>0</v>
      </c>
      <c r="F47" s="72">
        <f>SUMIFS(PURCHASE!$L$6:$L$10002,PURCHASE!$D$6:$D$10002,$C$6:$C$4995)</f>
        <v>0</v>
      </c>
      <c r="G47" s="72">
        <f>SUMIFS('GSTR-2A'!$L$6:$L$10000,'GSTR-2A'!$B$6:$B$10000,$C$6:$C$4995)</f>
        <v>0</v>
      </c>
      <c r="H47" s="72">
        <f>SUMIFS(PURCHASE!$M$6:$M$10002,PURCHASE!$D$6:$D$10002,$C$6:$C$4995)</f>
        <v>0</v>
      </c>
      <c r="I47" s="72">
        <f>SUMIFS('GSTR-2A'!$M$6:$M$10000,'GSTR-2A'!$B$6:$B$10000,$C$6:$C$4995)</f>
        <v>0</v>
      </c>
      <c r="J47" s="72">
        <f>SUMIFS(PURCHASE!$N$6:$N$10002,PURCHASE!$D$6:$D$10002,$C$6:$C$4995)</f>
        <v>0</v>
      </c>
      <c r="K47" s="72">
        <f>SUMIFS('GSTR-2A'!$N$6:$N$10000,'GSTR-2A'!$B$6:$B$10000,$C$6:$C$4995)</f>
        <v>0</v>
      </c>
      <c r="L47" s="72">
        <f t="shared" si="1"/>
        <v>0</v>
      </c>
      <c r="M47" s="72">
        <f t="shared" si="2"/>
        <v>0</v>
      </c>
      <c r="N47" s="72">
        <f t="shared" si="3"/>
        <v>0</v>
      </c>
      <c r="O47" s="72">
        <f t="shared" si="4"/>
        <v>0</v>
      </c>
      <c r="Q47" s="72">
        <f t="shared" si="5"/>
        <v>0</v>
      </c>
      <c r="R47" s="72">
        <f t="shared" si="6"/>
        <v>0</v>
      </c>
      <c r="S47" s="72">
        <f t="shared" si="7"/>
        <v>0</v>
      </c>
    </row>
    <row r="48" spans="1:19" x14ac:dyDescent="0.2">
      <c r="A48" s="497">
        <v>43</v>
      </c>
      <c r="B48" s="468" t="s">
        <v>1108</v>
      </c>
      <c r="C48" s="469" t="s">
        <v>1109</v>
      </c>
      <c r="D48" s="72">
        <f>SUMIFS(PURCHASE!$K$6:$K$10002,PURCHASE!$D$6:$D$10002,$C$6:$C$4995)</f>
        <v>0</v>
      </c>
      <c r="E48" s="72">
        <f>SUMIFS('GSTR-2A'!$K$6:$K$10000,'GSTR-2A'!$B$6:$B$10000,$C$6:$C$4995)</f>
        <v>0</v>
      </c>
      <c r="F48" s="72">
        <f>SUMIFS(PURCHASE!$L$6:$L$10002,PURCHASE!$D$6:$D$10002,$C$6:$C$4995)</f>
        <v>0</v>
      </c>
      <c r="G48" s="72">
        <f>SUMIFS('GSTR-2A'!$L$6:$L$10000,'GSTR-2A'!$B$6:$B$10000,$C$6:$C$4995)</f>
        <v>0</v>
      </c>
      <c r="H48" s="72">
        <f>SUMIFS(PURCHASE!$M$6:$M$10002,PURCHASE!$D$6:$D$10002,$C$6:$C$4995)</f>
        <v>0</v>
      </c>
      <c r="I48" s="72">
        <f>SUMIFS('GSTR-2A'!$M$6:$M$10000,'GSTR-2A'!$B$6:$B$10000,$C$6:$C$4995)</f>
        <v>0</v>
      </c>
      <c r="J48" s="72">
        <f>SUMIFS(PURCHASE!$N$6:$N$10002,PURCHASE!$D$6:$D$10002,$C$6:$C$4995)</f>
        <v>0</v>
      </c>
      <c r="K48" s="72">
        <f>SUMIFS('GSTR-2A'!$N$6:$N$10000,'GSTR-2A'!$B$6:$B$10000,$C$6:$C$4995)</f>
        <v>0</v>
      </c>
      <c r="L48" s="72">
        <f t="shared" si="1"/>
        <v>0</v>
      </c>
      <c r="M48" s="72">
        <f t="shared" si="2"/>
        <v>0</v>
      </c>
      <c r="N48" s="72">
        <f t="shared" si="3"/>
        <v>0</v>
      </c>
      <c r="O48" s="72">
        <f t="shared" si="4"/>
        <v>0</v>
      </c>
      <c r="Q48" s="72">
        <f t="shared" si="5"/>
        <v>0</v>
      </c>
      <c r="R48" s="72">
        <f t="shared" si="6"/>
        <v>0</v>
      </c>
      <c r="S48" s="72">
        <f t="shared" si="7"/>
        <v>0</v>
      </c>
    </row>
    <row r="49" spans="1:19" x14ac:dyDescent="0.2">
      <c r="A49" s="497">
        <v>44</v>
      </c>
      <c r="B49" s="468" t="s">
        <v>54</v>
      </c>
      <c r="C49" s="469" t="s">
        <v>55</v>
      </c>
      <c r="D49" s="72">
        <f>SUMIFS(PURCHASE!$K$6:$K$10002,PURCHASE!$D$6:$D$10002,$C$6:$C$4995)</f>
        <v>0</v>
      </c>
      <c r="E49" s="72">
        <f>SUMIFS('GSTR-2A'!$K$6:$K$10000,'GSTR-2A'!$B$6:$B$10000,$C$6:$C$4995)</f>
        <v>0</v>
      </c>
      <c r="F49" s="72">
        <f>SUMIFS(PURCHASE!$L$6:$L$10002,PURCHASE!$D$6:$D$10002,$C$6:$C$4995)</f>
        <v>0</v>
      </c>
      <c r="G49" s="72">
        <f>SUMIFS('GSTR-2A'!$L$6:$L$10000,'GSTR-2A'!$B$6:$B$10000,$C$6:$C$4995)</f>
        <v>0</v>
      </c>
      <c r="H49" s="72">
        <f>SUMIFS(PURCHASE!$M$6:$M$10002,PURCHASE!$D$6:$D$10002,$C$6:$C$4995)</f>
        <v>0</v>
      </c>
      <c r="I49" s="72">
        <f>SUMIFS('GSTR-2A'!$M$6:$M$10000,'GSTR-2A'!$B$6:$B$10000,$C$6:$C$4995)</f>
        <v>0</v>
      </c>
      <c r="J49" s="72">
        <f>SUMIFS(PURCHASE!$N$6:$N$10002,PURCHASE!$D$6:$D$10002,$C$6:$C$4995)</f>
        <v>0</v>
      </c>
      <c r="K49" s="72">
        <f>SUMIFS('GSTR-2A'!$N$6:$N$10000,'GSTR-2A'!$B$6:$B$10000,$C$6:$C$4995)</f>
        <v>0</v>
      </c>
      <c r="L49" s="72">
        <f t="shared" si="1"/>
        <v>0</v>
      </c>
      <c r="M49" s="72">
        <f t="shared" si="2"/>
        <v>0</v>
      </c>
      <c r="N49" s="72">
        <f t="shared" si="3"/>
        <v>0</v>
      </c>
      <c r="O49" s="72">
        <f t="shared" si="4"/>
        <v>0</v>
      </c>
      <c r="Q49" s="72">
        <f t="shared" si="5"/>
        <v>0</v>
      </c>
      <c r="R49" s="72">
        <f t="shared" si="6"/>
        <v>0</v>
      </c>
      <c r="S49" s="72">
        <f t="shared" si="7"/>
        <v>0</v>
      </c>
    </row>
    <row r="50" spans="1:19" x14ac:dyDescent="0.2">
      <c r="A50" s="497">
        <v>45</v>
      </c>
      <c r="B50" s="468" t="s">
        <v>45</v>
      </c>
      <c r="C50" s="469" t="s">
        <v>46</v>
      </c>
      <c r="D50" s="72">
        <f>SUMIFS(PURCHASE!$K$6:$K$10002,PURCHASE!$D$6:$D$10002,$C$6:$C$4995)</f>
        <v>0</v>
      </c>
      <c r="E50" s="72">
        <f>SUMIFS('GSTR-2A'!$K$6:$K$10000,'GSTR-2A'!$B$6:$B$10000,$C$6:$C$4995)</f>
        <v>0</v>
      </c>
      <c r="F50" s="72">
        <f>SUMIFS(PURCHASE!$L$6:$L$10002,PURCHASE!$D$6:$D$10002,$C$6:$C$4995)</f>
        <v>0</v>
      </c>
      <c r="G50" s="72">
        <f>SUMIFS('GSTR-2A'!$L$6:$L$10000,'GSTR-2A'!$B$6:$B$10000,$C$6:$C$4995)</f>
        <v>0</v>
      </c>
      <c r="H50" s="72">
        <f>SUMIFS(PURCHASE!$M$6:$M$10002,PURCHASE!$D$6:$D$10002,$C$6:$C$4995)</f>
        <v>0</v>
      </c>
      <c r="I50" s="72">
        <f>SUMIFS('GSTR-2A'!$M$6:$M$10000,'GSTR-2A'!$B$6:$B$10000,$C$6:$C$4995)</f>
        <v>0</v>
      </c>
      <c r="J50" s="72">
        <f>SUMIFS(PURCHASE!$N$6:$N$10002,PURCHASE!$D$6:$D$10002,$C$6:$C$4995)</f>
        <v>0</v>
      </c>
      <c r="K50" s="72">
        <f>SUMIFS('GSTR-2A'!$N$6:$N$10000,'GSTR-2A'!$B$6:$B$10000,$C$6:$C$4995)</f>
        <v>0</v>
      </c>
      <c r="L50" s="72">
        <f t="shared" si="1"/>
        <v>0</v>
      </c>
      <c r="M50" s="72">
        <f t="shared" si="2"/>
        <v>0</v>
      </c>
      <c r="N50" s="72">
        <f t="shared" si="3"/>
        <v>0</v>
      </c>
      <c r="O50" s="72">
        <f t="shared" si="4"/>
        <v>0</v>
      </c>
      <c r="Q50" s="72">
        <f t="shared" si="5"/>
        <v>0</v>
      </c>
      <c r="R50" s="72">
        <f t="shared" si="6"/>
        <v>0</v>
      </c>
      <c r="S50" s="72">
        <f t="shared" si="7"/>
        <v>0</v>
      </c>
    </row>
    <row r="51" spans="1:19" x14ac:dyDescent="0.2">
      <c r="A51" s="497">
        <v>46</v>
      </c>
      <c r="B51" s="468" t="s">
        <v>496</v>
      </c>
      <c r="C51" s="469" t="s">
        <v>497</v>
      </c>
      <c r="D51" s="72">
        <f>SUMIFS(PURCHASE!$K$6:$K$10002,PURCHASE!$D$6:$D$10002,$C$6:$C$4995)</f>
        <v>6042</v>
      </c>
      <c r="E51" s="72">
        <f>SUMIFS('GSTR-2A'!$K$6:$K$10000,'GSTR-2A'!$B$6:$B$10000,$C$6:$C$4995)</f>
        <v>6042</v>
      </c>
      <c r="F51" s="72">
        <f>SUMIFS(PURCHASE!$L$6:$L$10002,PURCHASE!$D$6:$D$10002,$C$6:$C$4995)</f>
        <v>0</v>
      </c>
      <c r="G51" s="72">
        <f>SUMIFS('GSTR-2A'!$L$6:$L$10000,'GSTR-2A'!$B$6:$B$10000,$C$6:$C$4995)</f>
        <v>0</v>
      </c>
      <c r="H51" s="72">
        <f>SUMIFS(PURCHASE!$M$6:$M$10002,PURCHASE!$D$6:$D$10002,$C$6:$C$4995)</f>
        <v>543.78</v>
      </c>
      <c r="I51" s="72">
        <f>SUMIFS('GSTR-2A'!$M$6:$M$10000,'GSTR-2A'!$B$6:$B$10000,$C$6:$C$4995)</f>
        <v>543.78</v>
      </c>
      <c r="J51" s="72">
        <f>SUMIFS(PURCHASE!$N$6:$N$10002,PURCHASE!$D$6:$D$10002,$C$6:$C$4995)</f>
        <v>543.78</v>
      </c>
      <c r="K51" s="72">
        <f>SUMIFS('GSTR-2A'!$N$6:$N$10000,'GSTR-2A'!$B$6:$B$10000,$C$6:$C$4995)</f>
        <v>543.78</v>
      </c>
      <c r="L51" s="72">
        <f t="shared" si="1"/>
        <v>0</v>
      </c>
      <c r="M51" s="72">
        <f t="shared" si="2"/>
        <v>0</v>
      </c>
      <c r="N51" s="72">
        <f t="shared" si="3"/>
        <v>0</v>
      </c>
      <c r="O51" s="72">
        <f t="shared" si="4"/>
        <v>0</v>
      </c>
      <c r="Q51" s="72">
        <f t="shared" si="5"/>
        <v>7129.5599999999995</v>
      </c>
      <c r="R51" s="72">
        <f t="shared" si="6"/>
        <v>7129.5599999999995</v>
      </c>
      <c r="S51" s="72">
        <f t="shared" si="7"/>
        <v>0</v>
      </c>
    </row>
    <row r="52" spans="1:19" x14ac:dyDescent="0.2">
      <c r="A52" s="497">
        <v>47</v>
      </c>
      <c r="B52" s="468" t="s">
        <v>677</v>
      </c>
      <c r="C52" s="469" t="s">
        <v>678</v>
      </c>
      <c r="D52" s="72">
        <f>SUMIFS(PURCHASE!$K$6:$K$10002,PURCHASE!$D$6:$D$10002,$C$6:$C$4995)</f>
        <v>54276</v>
      </c>
      <c r="E52" s="72">
        <f>SUMIFS('GSTR-2A'!$K$6:$K$10000,'GSTR-2A'!$B$6:$B$10000,$C$6:$C$4995)</f>
        <v>45230</v>
      </c>
      <c r="F52" s="72">
        <f>SUMIFS(PURCHASE!$L$6:$L$10002,PURCHASE!$D$6:$D$10002,$C$6:$C$4995)</f>
        <v>15197.279999999999</v>
      </c>
      <c r="G52" s="72">
        <f>SUMIFS('GSTR-2A'!$L$6:$L$10000,'GSTR-2A'!$B$6:$B$10000,$C$6:$C$4995)</f>
        <v>12664.4</v>
      </c>
      <c r="H52" s="72">
        <f>SUMIFS(PURCHASE!$M$6:$M$10002,PURCHASE!$D$6:$D$10002,$C$6:$C$4995)</f>
        <v>0</v>
      </c>
      <c r="I52" s="72">
        <f>SUMIFS('GSTR-2A'!$M$6:$M$10000,'GSTR-2A'!$B$6:$B$10000,$C$6:$C$4995)</f>
        <v>0</v>
      </c>
      <c r="J52" s="72">
        <f>SUMIFS(PURCHASE!$N$6:$N$10002,PURCHASE!$D$6:$D$10002,$C$6:$C$4995)</f>
        <v>0</v>
      </c>
      <c r="K52" s="72">
        <f>SUMIFS('GSTR-2A'!$N$6:$N$10000,'GSTR-2A'!$B$6:$B$10000,$C$6:$C$4995)</f>
        <v>0</v>
      </c>
      <c r="L52" s="72">
        <f t="shared" si="1"/>
        <v>9046</v>
      </c>
      <c r="M52" s="72">
        <f t="shared" si="2"/>
        <v>2532.8799999999992</v>
      </c>
      <c r="N52" s="72">
        <f t="shared" si="3"/>
        <v>0</v>
      </c>
      <c r="O52" s="72">
        <f t="shared" si="4"/>
        <v>0</v>
      </c>
      <c r="Q52" s="72">
        <f t="shared" si="5"/>
        <v>69473.279999999999</v>
      </c>
      <c r="R52" s="72">
        <f t="shared" si="6"/>
        <v>57894.400000000001</v>
      </c>
      <c r="S52" s="72">
        <f t="shared" si="7"/>
        <v>11578.879999999997</v>
      </c>
    </row>
    <row r="53" spans="1:19" x14ac:dyDescent="0.2">
      <c r="A53" s="497">
        <v>48</v>
      </c>
      <c r="B53" s="468" t="s">
        <v>739</v>
      </c>
      <c r="C53" s="469" t="s">
        <v>740</v>
      </c>
      <c r="D53" s="72">
        <f>SUMIFS(PURCHASE!$K$6:$K$10002,PURCHASE!$D$6:$D$10002,$C$6:$C$4995)</f>
        <v>24587</v>
      </c>
      <c r="E53" s="72">
        <f>SUMIFS('GSTR-2A'!$K$6:$K$10000,'GSTR-2A'!$B$6:$B$10000,$C$6:$C$4995)</f>
        <v>25587.34</v>
      </c>
      <c r="F53" s="72">
        <f>SUMIFS(PURCHASE!$L$6:$L$10002,PURCHASE!$D$6:$D$10002,$C$6:$C$4995)</f>
        <v>0</v>
      </c>
      <c r="G53" s="72">
        <f>SUMIFS('GSTR-2A'!$L$6:$L$10000,'GSTR-2A'!$B$6:$B$10000,$C$6:$C$4995)</f>
        <v>0</v>
      </c>
      <c r="H53" s="72">
        <f>SUMIFS(PURCHASE!$M$6:$M$10002,PURCHASE!$D$6:$D$10002,$C$6:$C$4995)</f>
        <v>2212.83</v>
      </c>
      <c r="I53" s="72">
        <f>SUMIFS('GSTR-2A'!$M$6:$M$10000,'GSTR-2A'!$B$6:$B$10000,$C$6:$C$4995)</f>
        <v>2302.86</v>
      </c>
      <c r="J53" s="72">
        <f>SUMIFS(PURCHASE!$N$6:$N$10002,PURCHASE!$D$6:$D$10002,$C$6:$C$4995)</f>
        <v>2212.83</v>
      </c>
      <c r="K53" s="72">
        <f>SUMIFS('GSTR-2A'!$N$6:$N$10000,'GSTR-2A'!$B$6:$B$10000,$C$6:$C$4995)</f>
        <v>2302.86</v>
      </c>
      <c r="L53" s="72">
        <f t="shared" si="1"/>
        <v>-1000.3400000000001</v>
      </c>
      <c r="M53" s="72">
        <f t="shared" si="2"/>
        <v>0</v>
      </c>
      <c r="N53" s="72">
        <f t="shared" si="3"/>
        <v>-90.0300000000002</v>
      </c>
      <c r="O53" s="72">
        <f t="shared" si="4"/>
        <v>-90.0300000000002</v>
      </c>
      <c r="Q53" s="72">
        <f t="shared" si="5"/>
        <v>29012.660000000003</v>
      </c>
      <c r="R53" s="72">
        <f t="shared" si="6"/>
        <v>30193.06</v>
      </c>
      <c r="S53" s="72">
        <f t="shared" si="7"/>
        <v>-1180.3999999999978</v>
      </c>
    </row>
    <row r="54" spans="1:19" x14ac:dyDescent="0.2">
      <c r="A54" s="497">
        <v>49</v>
      </c>
      <c r="B54" s="468" t="s">
        <v>1110</v>
      </c>
      <c r="C54" s="469" t="s">
        <v>1111</v>
      </c>
      <c r="D54" s="72">
        <f>SUMIFS(PURCHASE!$K$6:$K$10002,PURCHASE!$D$6:$D$10002,$C$6:$C$4995)</f>
        <v>0</v>
      </c>
      <c r="E54" s="72">
        <f>SUMIFS('GSTR-2A'!$K$6:$K$10000,'GSTR-2A'!$B$6:$B$10000,$C$6:$C$4995)</f>
        <v>0</v>
      </c>
      <c r="F54" s="72">
        <f>SUMIFS(PURCHASE!$L$6:$L$10002,PURCHASE!$D$6:$D$10002,$C$6:$C$4995)</f>
        <v>0</v>
      </c>
      <c r="G54" s="72">
        <f>SUMIFS('GSTR-2A'!$L$6:$L$10000,'GSTR-2A'!$B$6:$B$10000,$C$6:$C$4995)</f>
        <v>0</v>
      </c>
      <c r="H54" s="72">
        <f>SUMIFS(PURCHASE!$M$6:$M$10002,PURCHASE!$D$6:$D$10002,$C$6:$C$4995)</f>
        <v>0</v>
      </c>
      <c r="I54" s="72">
        <f>SUMIFS('GSTR-2A'!$M$6:$M$10000,'GSTR-2A'!$B$6:$B$10000,$C$6:$C$4995)</f>
        <v>0</v>
      </c>
      <c r="J54" s="72">
        <f>SUMIFS(PURCHASE!$N$6:$N$10002,PURCHASE!$D$6:$D$10002,$C$6:$C$4995)</f>
        <v>0</v>
      </c>
      <c r="K54" s="72">
        <f>SUMIFS('GSTR-2A'!$N$6:$N$10000,'GSTR-2A'!$B$6:$B$10000,$C$6:$C$4995)</f>
        <v>0</v>
      </c>
      <c r="L54" s="72">
        <f t="shared" si="1"/>
        <v>0</v>
      </c>
      <c r="M54" s="72">
        <f t="shared" si="2"/>
        <v>0</v>
      </c>
      <c r="N54" s="72">
        <f t="shared" si="3"/>
        <v>0</v>
      </c>
      <c r="O54" s="72">
        <f t="shared" si="4"/>
        <v>0</v>
      </c>
      <c r="Q54" s="72">
        <f t="shared" si="5"/>
        <v>0</v>
      </c>
      <c r="R54" s="72">
        <f t="shared" si="6"/>
        <v>0</v>
      </c>
      <c r="S54" s="72">
        <f t="shared" si="7"/>
        <v>0</v>
      </c>
    </row>
    <row r="55" spans="1:19" x14ac:dyDescent="0.2">
      <c r="A55" s="497">
        <v>50</v>
      </c>
      <c r="B55" s="475" t="s">
        <v>1112</v>
      </c>
      <c r="C55" s="468" t="s">
        <v>1113</v>
      </c>
      <c r="D55" s="72">
        <f>SUMIFS(PURCHASE!$K$6:$K$10002,PURCHASE!$D$6:$D$10002,$C$6:$C$4995)</f>
        <v>0</v>
      </c>
      <c r="E55" s="72">
        <f>SUMIFS('GSTR-2A'!$K$6:$K$10000,'GSTR-2A'!$B$6:$B$10000,$C$6:$C$4995)</f>
        <v>0</v>
      </c>
      <c r="F55" s="72">
        <f>SUMIFS(PURCHASE!$L$6:$L$10002,PURCHASE!$D$6:$D$10002,$C$6:$C$4995)</f>
        <v>0</v>
      </c>
      <c r="G55" s="72">
        <f>SUMIFS('GSTR-2A'!$L$6:$L$10000,'GSTR-2A'!$B$6:$B$10000,$C$6:$C$4995)</f>
        <v>0</v>
      </c>
      <c r="H55" s="72">
        <f>SUMIFS(PURCHASE!$M$6:$M$10002,PURCHASE!$D$6:$D$10002,$C$6:$C$4995)</f>
        <v>0</v>
      </c>
      <c r="I55" s="72">
        <f>SUMIFS('GSTR-2A'!$M$6:$M$10000,'GSTR-2A'!$B$6:$B$10000,$C$6:$C$4995)</f>
        <v>0</v>
      </c>
      <c r="J55" s="72">
        <f>SUMIFS(PURCHASE!$N$6:$N$10002,PURCHASE!$D$6:$D$10002,$C$6:$C$4995)</f>
        <v>0</v>
      </c>
      <c r="K55" s="72">
        <f>SUMIFS('GSTR-2A'!$N$6:$N$10000,'GSTR-2A'!$B$6:$B$10000,$C$6:$C$4995)</f>
        <v>0</v>
      </c>
      <c r="L55" s="72">
        <f t="shared" si="1"/>
        <v>0</v>
      </c>
      <c r="M55" s="72">
        <f t="shared" si="2"/>
        <v>0</v>
      </c>
      <c r="N55" s="72">
        <f t="shared" si="3"/>
        <v>0</v>
      </c>
      <c r="O55" s="72">
        <f t="shared" si="4"/>
        <v>0</v>
      </c>
      <c r="Q55" s="72">
        <f t="shared" si="5"/>
        <v>0</v>
      </c>
      <c r="R55" s="72">
        <f t="shared" si="6"/>
        <v>0</v>
      </c>
      <c r="S55" s="72">
        <f t="shared" si="7"/>
        <v>0</v>
      </c>
    </row>
    <row r="56" spans="1:19" x14ac:dyDescent="0.2">
      <c r="A56" s="497">
        <v>51</v>
      </c>
      <c r="B56" s="468" t="s">
        <v>705</v>
      </c>
      <c r="C56" s="469" t="s">
        <v>706</v>
      </c>
      <c r="D56" s="72">
        <f>SUMIFS(PURCHASE!$K$6:$K$10002,PURCHASE!$D$6:$D$10002,$C$6:$C$4995)</f>
        <v>16275.5</v>
      </c>
      <c r="E56" s="72">
        <f>SUMIFS('GSTR-2A'!$K$6:$K$10000,'GSTR-2A'!$B$6:$B$10000,$C$6:$C$4995)</f>
        <v>16275.5</v>
      </c>
      <c r="F56" s="72">
        <f>SUMIFS(PURCHASE!$L$6:$L$10002,PURCHASE!$D$6:$D$10002,$C$6:$C$4995)</f>
        <v>0</v>
      </c>
      <c r="G56" s="72">
        <f>SUMIFS('GSTR-2A'!$L$6:$L$10000,'GSTR-2A'!$B$6:$B$10000,$C$6:$C$4995)</f>
        <v>0</v>
      </c>
      <c r="H56" s="72">
        <f>SUMIFS(PURCHASE!$M$6:$M$10002,PURCHASE!$D$6:$D$10002,$C$6:$C$4995)</f>
        <v>2278.5700000000002</v>
      </c>
      <c r="I56" s="72">
        <f>SUMIFS('GSTR-2A'!$M$6:$M$10000,'GSTR-2A'!$B$6:$B$10000,$C$6:$C$4995)</f>
        <v>2278.5700000000002</v>
      </c>
      <c r="J56" s="72">
        <f>SUMIFS(PURCHASE!$N$6:$N$10002,PURCHASE!$D$6:$D$10002,$C$6:$C$4995)</f>
        <v>2278.5700000000002</v>
      </c>
      <c r="K56" s="72">
        <f>SUMIFS('GSTR-2A'!$N$6:$N$10000,'GSTR-2A'!$B$6:$B$10000,$C$6:$C$4995)</f>
        <v>2278.5700000000002</v>
      </c>
      <c r="L56" s="72">
        <f t="shared" si="1"/>
        <v>0</v>
      </c>
      <c r="M56" s="72">
        <f t="shared" si="2"/>
        <v>0</v>
      </c>
      <c r="N56" s="72">
        <f t="shared" si="3"/>
        <v>0</v>
      </c>
      <c r="O56" s="72">
        <f t="shared" si="4"/>
        <v>0</v>
      </c>
      <c r="Q56" s="72">
        <f t="shared" si="5"/>
        <v>20832.64</v>
      </c>
      <c r="R56" s="72">
        <f t="shared" si="6"/>
        <v>20832.64</v>
      </c>
      <c r="S56" s="72">
        <f t="shared" si="7"/>
        <v>0</v>
      </c>
    </row>
    <row r="57" spans="1:19" x14ac:dyDescent="0.2">
      <c r="A57" s="497">
        <v>52</v>
      </c>
      <c r="B57" s="468" t="s">
        <v>1114</v>
      </c>
      <c r="C57" s="469" t="s">
        <v>1115</v>
      </c>
      <c r="D57" s="72">
        <f>SUMIFS(PURCHASE!$K$6:$K$10002,PURCHASE!$D$6:$D$10002,$C$6:$C$4995)</f>
        <v>0</v>
      </c>
      <c r="E57" s="72">
        <f>SUMIFS('GSTR-2A'!$K$6:$K$10000,'GSTR-2A'!$B$6:$B$10000,$C$6:$C$4995)</f>
        <v>0</v>
      </c>
      <c r="F57" s="72">
        <f>SUMIFS(PURCHASE!$L$6:$L$10002,PURCHASE!$D$6:$D$10002,$C$6:$C$4995)</f>
        <v>0</v>
      </c>
      <c r="G57" s="72">
        <f>SUMIFS('GSTR-2A'!$L$6:$L$10000,'GSTR-2A'!$B$6:$B$10000,$C$6:$C$4995)</f>
        <v>0</v>
      </c>
      <c r="H57" s="72">
        <f>SUMIFS(PURCHASE!$M$6:$M$10002,PURCHASE!$D$6:$D$10002,$C$6:$C$4995)</f>
        <v>0</v>
      </c>
      <c r="I57" s="72">
        <f>SUMIFS('GSTR-2A'!$M$6:$M$10000,'GSTR-2A'!$B$6:$B$10000,$C$6:$C$4995)</f>
        <v>0</v>
      </c>
      <c r="J57" s="72">
        <f>SUMIFS(PURCHASE!$N$6:$N$10002,PURCHASE!$D$6:$D$10002,$C$6:$C$4995)</f>
        <v>0</v>
      </c>
      <c r="K57" s="72">
        <f>SUMIFS('GSTR-2A'!$N$6:$N$10000,'GSTR-2A'!$B$6:$B$10000,$C$6:$C$4995)</f>
        <v>0</v>
      </c>
      <c r="L57" s="72">
        <f t="shared" si="1"/>
        <v>0</v>
      </c>
      <c r="M57" s="72">
        <f t="shared" si="2"/>
        <v>0</v>
      </c>
      <c r="N57" s="72">
        <f t="shared" si="3"/>
        <v>0</v>
      </c>
      <c r="O57" s="72">
        <f t="shared" si="4"/>
        <v>0</v>
      </c>
      <c r="Q57" s="72">
        <f t="shared" si="5"/>
        <v>0</v>
      </c>
      <c r="R57" s="72">
        <f t="shared" si="6"/>
        <v>0</v>
      </c>
      <c r="S57" s="72">
        <f t="shared" si="7"/>
        <v>0</v>
      </c>
    </row>
    <row r="58" spans="1:19" x14ac:dyDescent="0.2">
      <c r="A58" s="497">
        <v>53</v>
      </c>
      <c r="B58" s="475" t="s">
        <v>1116</v>
      </c>
      <c r="C58" s="468" t="s">
        <v>1117</v>
      </c>
      <c r="D58" s="72">
        <f>SUMIFS(PURCHASE!$K$6:$K$10002,PURCHASE!$D$6:$D$10002,$C$6:$C$4995)</f>
        <v>0</v>
      </c>
      <c r="E58" s="72">
        <f>SUMIFS('GSTR-2A'!$K$6:$K$10000,'GSTR-2A'!$B$6:$B$10000,$C$6:$C$4995)</f>
        <v>0</v>
      </c>
      <c r="F58" s="72">
        <f>SUMIFS(PURCHASE!$L$6:$L$10002,PURCHASE!$D$6:$D$10002,$C$6:$C$4995)</f>
        <v>0</v>
      </c>
      <c r="G58" s="72">
        <f>SUMIFS('GSTR-2A'!$L$6:$L$10000,'GSTR-2A'!$B$6:$B$10000,$C$6:$C$4995)</f>
        <v>0</v>
      </c>
      <c r="H58" s="72">
        <f>SUMIFS(PURCHASE!$M$6:$M$10002,PURCHASE!$D$6:$D$10002,$C$6:$C$4995)</f>
        <v>0</v>
      </c>
      <c r="I58" s="72">
        <f>SUMIFS('GSTR-2A'!$M$6:$M$10000,'GSTR-2A'!$B$6:$B$10000,$C$6:$C$4995)</f>
        <v>0</v>
      </c>
      <c r="J58" s="72">
        <f>SUMIFS(PURCHASE!$N$6:$N$10002,PURCHASE!$D$6:$D$10002,$C$6:$C$4995)</f>
        <v>0</v>
      </c>
      <c r="K58" s="72">
        <f>SUMIFS('GSTR-2A'!$N$6:$N$10000,'GSTR-2A'!$B$6:$B$10000,$C$6:$C$4995)</f>
        <v>0</v>
      </c>
      <c r="L58" s="72">
        <f t="shared" si="1"/>
        <v>0</v>
      </c>
      <c r="M58" s="72">
        <f t="shared" si="2"/>
        <v>0</v>
      </c>
      <c r="N58" s="72">
        <f t="shared" si="3"/>
        <v>0</v>
      </c>
      <c r="O58" s="72">
        <f t="shared" si="4"/>
        <v>0</v>
      </c>
      <c r="Q58" s="72">
        <f t="shared" si="5"/>
        <v>0</v>
      </c>
      <c r="R58" s="72">
        <f t="shared" si="6"/>
        <v>0</v>
      </c>
      <c r="S58" s="72">
        <f t="shared" si="7"/>
        <v>0</v>
      </c>
    </row>
    <row r="59" spans="1:19" x14ac:dyDescent="0.2">
      <c r="A59" s="497">
        <v>54</v>
      </c>
      <c r="B59" s="468" t="s">
        <v>1118</v>
      </c>
      <c r="C59" s="469" t="s">
        <v>1119</v>
      </c>
      <c r="D59" s="72">
        <f>SUMIFS(PURCHASE!$K$6:$K$10002,PURCHASE!$D$6:$D$10002,$C$6:$C$4995)</f>
        <v>0</v>
      </c>
      <c r="E59" s="72">
        <f>SUMIFS('GSTR-2A'!$K$6:$K$10000,'GSTR-2A'!$B$6:$B$10000,$C$6:$C$4995)</f>
        <v>0</v>
      </c>
      <c r="F59" s="72">
        <f>SUMIFS(PURCHASE!$L$6:$L$10002,PURCHASE!$D$6:$D$10002,$C$6:$C$4995)</f>
        <v>0</v>
      </c>
      <c r="G59" s="72">
        <f>SUMIFS('GSTR-2A'!$L$6:$L$10000,'GSTR-2A'!$B$6:$B$10000,$C$6:$C$4995)</f>
        <v>0</v>
      </c>
      <c r="H59" s="72">
        <f>SUMIFS(PURCHASE!$M$6:$M$10002,PURCHASE!$D$6:$D$10002,$C$6:$C$4995)</f>
        <v>0</v>
      </c>
      <c r="I59" s="72">
        <f>SUMIFS('GSTR-2A'!$M$6:$M$10000,'GSTR-2A'!$B$6:$B$10000,$C$6:$C$4995)</f>
        <v>0</v>
      </c>
      <c r="J59" s="72">
        <f>SUMIFS(PURCHASE!$N$6:$N$10002,PURCHASE!$D$6:$D$10002,$C$6:$C$4995)</f>
        <v>0</v>
      </c>
      <c r="K59" s="72">
        <f>SUMIFS('GSTR-2A'!$N$6:$N$10000,'GSTR-2A'!$B$6:$B$10000,$C$6:$C$4995)</f>
        <v>0</v>
      </c>
      <c r="L59" s="72">
        <f t="shared" si="1"/>
        <v>0</v>
      </c>
      <c r="M59" s="72">
        <f t="shared" si="2"/>
        <v>0</v>
      </c>
      <c r="N59" s="72">
        <f t="shared" si="3"/>
        <v>0</v>
      </c>
      <c r="O59" s="72">
        <f t="shared" si="4"/>
        <v>0</v>
      </c>
      <c r="Q59" s="72">
        <f t="shared" si="5"/>
        <v>0</v>
      </c>
      <c r="R59" s="72">
        <f t="shared" si="6"/>
        <v>0</v>
      </c>
      <c r="S59" s="72">
        <f t="shared" si="7"/>
        <v>0</v>
      </c>
    </row>
    <row r="60" spans="1:19" x14ac:dyDescent="0.2">
      <c r="A60" s="497">
        <v>55</v>
      </c>
      <c r="B60" s="468" t="s">
        <v>601</v>
      </c>
      <c r="C60" s="469" t="s">
        <v>602</v>
      </c>
      <c r="D60" s="72">
        <f>SUMIFS(PURCHASE!$K$6:$K$10002,PURCHASE!$D$6:$D$10002,$C$6:$C$4995)</f>
        <v>2232286.5599999996</v>
      </c>
      <c r="E60" s="72">
        <f>SUMIFS('GSTR-2A'!$K$6:$K$10000,'GSTR-2A'!$B$6:$B$10000,$C$6:$C$4995)</f>
        <v>1914712.5600000003</v>
      </c>
      <c r="F60" s="72">
        <f>SUMIFS(PURCHASE!$L$6:$L$10002,PURCHASE!$D$6:$D$10002,$C$6:$C$4995)</f>
        <v>0</v>
      </c>
      <c r="G60" s="72">
        <f>SUMIFS('GSTR-2A'!$L$6:$L$10000,'GSTR-2A'!$B$6:$B$10000,$C$6:$C$4995)</f>
        <v>0</v>
      </c>
      <c r="H60" s="72">
        <f>SUMIFS(PURCHASE!$M$6:$M$10002,PURCHASE!$D$6:$D$10002,$C$6:$C$4995)</f>
        <v>312520.11840000015</v>
      </c>
      <c r="I60" s="72">
        <f>SUMIFS('GSTR-2A'!$M$6:$M$10000,'GSTR-2A'!$B$6:$B$10000,$C$6:$C$4995)</f>
        <v>268059.74</v>
      </c>
      <c r="J60" s="72">
        <f>SUMIFS(PURCHASE!$N$6:$N$10002,PURCHASE!$D$6:$D$10002,$C$6:$C$4995)</f>
        <v>312520.11840000015</v>
      </c>
      <c r="K60" s="72">
        <f>SUMIFS('GSTR-2A'!$N$6:$N$10000,'GSTR-2A'!$B$6:$B$10000,$C$6:$C$4995)</f>
        <v>268059.74</v>
      </c>
      <c r="L60" s="72">
        <f t="shared" si="1"/>
        <v>317573.9999999993</v>
      </c>
      <c r="M60" s="72">
        <f t="shared" si="2"/>
        <v>0</v>
      </c>
      <c r="N60" s="72">
        <f t="shared" si="3"/>
        <v>44460.378400000161</v>
      </c>
      <c r="O60" s="72">
        <f t="shared" si="4"/>
        <v>44460.378400000161</v>
      </c>
      <c r="Q60" s="72">
        <f t="shared" si="5"/>
        <v>2857326.7967999997</v>
      </c>
      <c r="R60" s="72">
        <f t="shared" si="6"/>
        <v>2450832.04</v>
      </c>
      <c r="S60" s="72">
        <f t="shared" si="7"/>
        <v>406494.75679999962</v>
      </c>
    </row>
    <row r="61" spans="1:19" x14ac:dyDescent="0.2">
      <c r="A61" s="497">
        <v>56</v>
      </c>
      <c r="B61" s="468" t="s">
        <v>1120</v>
      </c>
      <c r="C61" s="469" t="s">
        <v>242</v>
      </c>
      <c r="D61" s="72">
        <f>SUMIFS(PURCHASE!$K$6:$K$10002,PURCHASE!$D$6:$D$10002,$C$6:$C$4995)</f>
        <v>0</v>
      </c>
      <c r="E61" s="72">
        <f>SUMIFS('GSTR-2A'!$K$6:$K$10000,'GSTR-2A'!$B$6:$B$10000,$C$6:$C$4995)</f>
        <v>0</v>
      </c>
      <c r="F61" s="72">
        <f>SUMIFS(PURCHASE!$L$6:$L$10002,PURCHASE!$D$6:$D$10002,$C$6:$C$4995)</f>
        <v>0</v>
      </c>
      <c r="G61" s="72">
        <f>SUMIFS('GSTR-2A'!$L$6:$L$10000,'GSTR-2A'!$B$6:$B$10000,$C$6:$C$4995)</f>
        <v>0</v>
      </c>
      <c r="H61" s="72">
        <f>SUMIFS(PURCHASE!$M$6:$M$10002,PURCHASE!$D$6:$D$10002,$C$6:$C$4995)</f>
        <v>0</v>
      </c>
      <c r="I61" s="72">
        <f>SUMIFS('GSTR-2A'!$M$6:$M$10000,'GSTR-2A'!$B$6:$B$10000,$C$6:$C$4995)</f>
        <v>0</v>
      </c>
      <c r="J61" s="72">
        <f>SUMIFS(PURCHASE!$N$6:$N$10002,PURCHASE!$D$6:$D$10002,$C$6:$C$4995)</f>
        <v>0</v>
      </c>
      <c r="K61" s="72">
        <f>SUMIFS('GSTR-2A'!$N$6:$N$10000,'GSTR-2A'!$B$6:$B$10000,$C$6:$C$4995)</f>
        <v>0</v>
      </c>
      <c r="L61" s="72">
        <f t="shared" si="1"/>
        <v>0</v>
      </c>
      <c r="M61" s="72">
        <f t="shared" si="2"/>
        <v>0</v>
      </c>
      <c r="N61" s="72">
        <f t="shared" si="3"/>
        <v>0</v>
      </c>
      <c r="O61" s="72">
        <f t="shared" si="4"/>
        <v>0</v>
      </c>
      <c r="Q61" s="72">
        <f t="shared" si="5"/>
        <v>0</v>
      </c>
      <c r="R61" s="72">
        <f t="shared" si="6"/>
        <v>0</v>
      </c>
      <c r="S61" s="72">
        <f t="shared" si="7"/>
        <v>0</v>
      </c>
    </row>
    <row r="62" spans="1:19" x14ac:dyDescent="0.2">
      <c r="A62" s="497">
        <v>57</v>
      </c>
      <c r="B62" s="468" t="s">
        <v>471</v>
      </c>
      <c r="C62" s="468" t="s">
        <v>29</v>
      </c>
      <c r="D62" s="72">
        <f>SUMIFS(PURCHASE!$K$6:$K$10002,PURCHASE!$D$6:$D$10002,$C$6:$C$4995)</f>
        <v>3419485.1200000029</v>
      </c>
      <c r="E62" s="72">
        <f>SUMIFS('GSTR-2A'!$K$6:$K$10000,'GSTR-2A'!$B$6:$B$10000,$C$6:$C$4995)</f>
        <v>3298557.4400000027</v>
      </c>
      <c r="F62" s="72">
        <f>SUMIFS(PURCHASE!$L$6:$L$10002,PURCHASE!$D$6:$D$10002,$C$6:$C$4995)</f>
        <v>0</v>
      </c>
      <c r="G62" s="72">
        <f>SUMIFS('GSTR-2A'!$L$6:$L$10000,'GSTR-2A'!$B$6:$B$10000,$C$6:$C$4995)</f>
        <v>0</v>
      </c>
      <c r="H62" s="72">
        <f>SUMIFS(PURCHASE!$M$6:$M$10002,PURCHASE!$D$6:$D$10002,$C$6:$C$4995)</f>
        <v>478727.91680000105</v>
      </c>
      <c r="I62" s="72">
        <f>SUMIFS('GSTR-2A'!$M$6:$M$10000,'GSTR-2A'!$B$6:$B$10000,$C$6:$C$4995)</f>
        <v>461797.53000000032</v>
      </c>
      <c r="J62" s="72">
        <f>SUMIFS(PURCHASE!$N$6:$N$10002,PURCHASE!$D$6:$D$10002,$C$6:$C$4995)</f>
        <v>478727.91680000105</v>
      </c>
      <c r="K62" s="72">
        <f>SUMIFS('GSTR-2A'!$N$6:$N$10000,'GSTR-2A'!$B$6:$B$10000,$C$6:$C$4995)</f>
        <v>461797.53000000032</v>
      </c>
      <c r="L62" s="72">
        <f t="shared" si="1"/>
        <v>120927.68000000017</v>
      </c>
      <c r="M62" s="72">
        <f t="shared" si="2"/>
        <v>0</v>
      </c>
      <c r="N62" s="72">
        <f t="shared" si="3"/>
        <v>16930.386800000735</v>
      </c>
      <c r="O62" s="72">
        <f t="shared" si="4"/>
        <v>16930.386800000735</v>
      </c>
      <c r="Q62" s="72">
        <f t="shared" si="5"/>
        <v>4376940.9536000052</v>
      </c>
      <c r="R62" s="72">
        <f t="shared" si="6"/>
        <v>4222152.5000000037</v>
      </c>
      <c r="S62" s="72">
        <f t="shared" si="7"/>
        <v>154788.45360000152</v>
      </c>
    </row>
    <row r="63" spans="1:19" x14ac:dyDescent="0.2">
      <c r="A63" s="497">
        <v>58</v>
      </c>
      <c r="B63" s="468" t="s">
        <v>527</v>
      </c>
      <c r="C63" s="469" t="s">
        <v>528</v>
      </c>
      <c r="D63" s="72">
        <f>SUMIFS(PURCHASE!$K$6:$K$10002,PURCHASE!$D$6:$D$10002,$C$6:$C$4995)</f>
        <v>175395</v>
      </c>
      <c r="E63" s="72">
        <f>SUMIFS('GSTR-2A'!$K$6:$K$10000,'GSTR-2A'!$B$6:$B$10000,$C$6:$C$4995)</f>
        <v>177405</v>
      </c>
      <c r="F63" s="72">
        <f>SUMIFS(PURCHASE!$L$6:$L$10002,PURCHASE!$D$6:$D$10002,$C$6:$C$4995)</f>
        <v>0</v>
      </c>
      <c r="G63" s="72">
        <f>SUMIFS('GSTR-2A'!$L$6:$L$10000,'GSTR-2A'!$B$6:$B$10000,$C$6:$C$4995)</f>
        <v>0</v>
      </c>
      <c r="H63" s="72">
        <f>SUMIFS(PURCHASE!$M$6:$M$10002,PURCHASE!$D$6:$D$10002,$C$6:$C$4995)</f>
        <v>15785.55</v>
      </c>
      <c r="I63" s="72">
        <f>SUMIFS('GSTR-2A'!$M$6:$M$10000,'GSTR-2A'!$B$6:$B$10000,$C$6:$C$4995)</f>
        <v>15966.449999999997</v>
      </c>
      <c r="J63" s="72">
        <f>SUMIFS(PURCHASE!$N$6:$N$10002,PURCHASE!$D$6:$D$10002,$C$6:$C$4995)</f>
        <v>15785.55</v>
      </c>
      <c r="K63" s="72">
        <f>SUMIFS('GSTR-2A'!$N$6:$N$10000,'GSTR-2A'!$B$6:$B$10000,$C$6:$C$4995)</f>
        <v>15966.449999999997</v>
      </c>
      <c r="L63" s="72">
        <f t="shared" si="1"/>
        <v>-2010</v>
      </c>
      <c r="M63" s="72">
        <f t="shared" si="2"/>
        <v>0</v>
      </c>
      <c r="N63" s="72">
        <f t="shared" si="3"/>
        <v>-180.89999999999782</v>
      </c>
      <c r="O63" s="72">
        <f t="shared" si="4"/>
        <v>-180.89999999999782</v>
      </c>
      <c r="Q63" s="72">
        <f t="shared" si="5"/>
        <v>206966.09999999998</v>
      </c>
      <c r="R63" s="72">
        <f t="shared" si="6"/>
        <v>209337.90000000002</v>
      </c>
      <c r="S63" s="72">
        <f t="shared" si="7"/>
        <v>-2371.8000000000466</v>
      </c>
    </row>
    <row r="64" spans="1:19" x14ac:dyDescent="0.2">
      <c r="A64" s="497">
        <v>59</v>
      </c>
      <c r="B64" s="468" t="s">
        <v>1121</v>
      </c>
      <c r="C64" s="469" t="s">
        <v>1122</v>
      </c>
      <c r="D64" s="72">
        <f>SUMIFS(PURCHASE!$K$6:$K$10002,PURCHASE!$D$6:$D$10002,$C$6:$C$4995)</f>
        <v>0</v>
      </c>
      <c r="E64" s="72">
        <f>SUMIFS('GSTR-2A'!$K$6:$K$10000,'GSTR-2A'!$B$6:$B$10000,$C$6:$C$4995)</f>
        <v>0</v>
      </c>
      <c r="F64" s="72">
        <f>SUMIFS(PURCHASE!$L$6:$L$10002,PURCHASE!$D$6:$D$10002,$C$6:$C$4995)</f>
        <v>0</v>
      </c>
      <c r="G64" s="72">
        <f>SUMIFS('GSTR-2A'!$L$6:$L$10000,'GSTR-2A'!$B$6:$B$10000,$C$6:$C$4995)</f>
        <v>0</v>
      </c>
      <c r="H64" s="72">
        <f>SUMIFS(PURCHASE!$M$6:$M$10002,PURCHASE!$D$6:$D$10002,$C$6:$C$4995)</f>
        <v>0</v>
      </c>
      <c r="I64" s="72">
        <f>SUMIFS('GSTR-2A'!$M$6:$M$10000,'GSTR-2A'!$B$6:$B$10000,$C$6:$C$4995)</f>
        <v>0</v>
      </c>
      <c r="J64" s="72">
        <f>SUMIFS(PURCHASE!$N$6:$N$10002,PURCHASE!$D$6:$D$10002,$C$6:$C$4995)</f>
        <v>0</v>
      </c>
      <c r="K64" s="72">
        <f>SUMIFS('GSTR-2A'!$N$6:$N$10000,'GSTR-2A'!$B$6:$B$10000,$C$6:$C$4995)</f>
        <v>0</v>
      </c>
      <c r="L64" s="72">
        <f t="shared" si="1"/>
        <v>0</v>
      </c>
      <c r="M64" s="72">
        <f t="shared" si="2"/>
        <v>0</v>
      </c>
      <c r="N64" s="72">
        <f t="shared" si="3"/>
        <v>0</v>
      </c>
      <c r="O64" s="72">
        <f t="shared" si="4"/>
        <v>0</v>
      </c>
      <c r="Q64" s="72">
        <f t="shared" si="5"/>
        <v>0</v>
      </c>
      <c r="R64" s="72">
        <f t="shared" si="6"/>
        <v>0</v>
      </c>
      <c r="S64" s="72">
        <f t="shared" si="7"/>
        <v>0</v>
      </c>
    </row>
    <row r="65" spans="1:19" x14ac:dyDescent="0.2">
      <c r="A65" s="497">
        <v>60</v>
      </c>
      <c r="B65" s="468" t="s">
        <v>561</v>
      </c>
      <c r="C65" s="469" t="s">
        <v>562</v>
      </c>
      <c r="D65" s="72">
        <f>SUMIFS(PURCHASE!$K$6:$K$10002,PURCHASE!$D$6:$D$10002,$C$6:$C$4995)</f>
        <v>26525</v>
      </c>
      <c r="E65" s="72">
        <f>SUMIFS('GSTR-2A'!$K$6:$K$10000,'GSTR-2A'!$B$6:$B$10000,$C$6:$C$4995)</f>
        <v>26525</v>
      </c>
      <c r="F65" s="72">
        <f>SUMIFS(PURCHASE!$L$6:$L$10002,PURCHASE!$D$6:$D$10002,$C$6:$C$4995)</f>
        <v>0</v>
      </c>
      <c r="G65" s="72">
        <f>SUMIFS('GSTR-2A'!$L$6:$L$10000,'GSTR-2A'!$B$6:$B$10000,$C$6:$C$4995)</f>
        <v>0</v>
      </c>
      <c r="H65" s="72">
        <f>SUMIFS(PURCHASE!$M$6:$M$10002,PURCHASE!$D$6:$D$10002,$C$6:$C$4995)</f>
        <v>2387.25</v>
      </c>
      <c r="I65" s="72">
        <f>SUMIFS('GSTR-2A'!$M$6:$M$10000,'GSTR-2A'!$B$6:$B$10000,$C$6:$C$4995)</f>
        <v>2387.25</v>
      </c>
      <c r="J65" s="72">
        <f>SUMIFS(PURCHASE!$N$6:$N$10002,PURCHASE!$D$6:$D$10002,$C$6:$C$4995)</f>
        <v>2387.25</v>
      </c>
      <c r="K65" s="72">
        <f>SUMIFS('GSTR-2A'!$N$6:$N$10000,'GSTR-2A'!$B$6:$B$10000,$C$6:$C$4995)</f>
        <v>2387.25</v>
      </c>
      <c r="L65" s="72">
        <f t="shared" si="1"/>
        <v>0</v>
      </c>
      <c r="M65" s="72">
        <f t="shared" si="2"/>
        <v>0</v>
      </c>
      <c r="N65" s="72">
        <f t="shared" si="3"/>
        <v>0</v>
      </c>
      <c r="O65" s="72">
        <f t="shared" si="4"/>
        <v>0</v>
      </c>
      <c r="Q65" s="72">
        <f t="shared" si="5"/>
        <v>31299.5</v>
      </c>
      <c r="R65" s="72">
        <f t="shared" si="6"/>
        <v>31299.5</v>
      </c>
      <c r="S65" s="72">
        <f t="shared" si="7"/>
        <v>0</v>
      </c>
    </row>
    <row r="66" spans="1:19" x14ac:dyDescent="0.2">
      <c r="A66" s="497">
        <v>61</v>
      </c>
      <c r="B66" s="468" t="s">
        <v>1123</v>
      </c>
      <c r="C66" s="469" t="s">
        <v>1124</v>
      </c>
      <c r="D66" s="72">
        <f>SUMIFS(PURCHASE!$K$6:$K$10002,PURCHASE!$D$6:$D$10002,$C$6:$C$4995)</f>
        <v>0</v>
      </c>
      <c r="E66" s="72">
        <f>SUMIFS('GSTR-2A'!$K$6:$K$10000,'GSTR-2A'!$B$6:$B$10000,$C$6:$C$4995)</f>
        <v>0</v>
      </c>
      <c r="F66" s="72">
        <f>SUMIFS(PURCHASE!$L$6:$L$10002,PURCHASE!$D$6:$D$10002,$C$6:$C$4995)</f>
        <v>0</v>
      </c>
      <c r="G66" s="72">
        <f>SUMIFS('GSTR-2A'!$L$6:$L$10000,'GSTR-2A'!$B$6:$B$10000,$C$6:$C$4995)</f>
        <v>0</v>
      </c>
      <c r="H66" s="72">
        <f>SUMIFS(PURCHASE!$M$6:$M$10002,PURCHASE!$D$6:$D$10002,$C$6:$C$4995)</f>
        <v>0</v>
      </c>
      <c r="I66" s="72">
        <f>SUMIFS('GSTR-2A'!$M$6:$M$10000,'GSTR-2A'!$B$6:$B$10000,$C$6:$C$4995)</f>
        <v>0</v>
      </c>
      <c r="J66" s="72">
        <f>SUMIFS(PURCHASE!$N$6:$N$10002,PURCHASE!$D$6:$D$10002,$C$6:$C$4995)</f>
        <v>0</v>
      </c>
      <c r="K66" s="72">
        <f>SUMIFS('GSTR-2A'!$N$6:$N$10000,'GSTR-2A'!$B$6:$B$10000,$C$6:$C$4995)</f>
        <v>0</v>
      </c>
      <c r="L66" s="72">
        <f t="shared" si="1"/>
        <v>0</v>
      </c>
      <c r="M66" s="72">
        <f t="shared" si="2"/>
        <v>0</v>
      </c>
      <c r="N66" s="72">
        <f t="shared" si="3"/>
        <v>0</v>
      </c>
      <c r="O66" s="72">
        <f t="shared" si="4"/>
        <v>0</v>
      </c>
      <c r="Q66" s="72">
        <f t="shared" si="5"/>
        <v>0</v>
      </c>
      <c r="R66" s="72">
        <f t="shared" si="6"/>
        <v>0</v>
      </c>
      <c r="S66" s="72">
        <f t="shared" si="7"/>
        <v>0</v>
      </c>
    </row>
    <row r="67" spans="1:19" x14ac:dyDescent="0.2">
      <c r="A67" s="497">
        <v>62</v>
      </c>
      <c r="B67" s="468" t="s">
        <v>1125</v>
      </c>
      <c r="C67" s="469" t="s">
        <v>1126</v>
      </c>
      <c r="D67" s="72">
        <f>SUMIFS(PURCHASE!$K$6:$K$10002,PURCHASE!$D$6:$D$10002,$C$6:$C$4995)</f>
        <v>0</v>
      </c>
      <c r="E67" s="72">
        <f>SUMIFS('GSTR-2A'!$K$6:$K$10000,'GSTR-2A'!$B$6:$B$10000,$C$6:$C$4995)</f>
        <v>0</v>
      </c>
      <c r="F67" s="72">
        <f>SUMIFS(PURCHASE!$L$6:$L$10002,PURCHASE!$D$6:$D$10002,$C$6:$C$4995)</f>
        <v>0</v>
      </c>
      <c r="G67" s="72">
        <f>SUMIFS('GSTR-2A'!$L$6:$L$10000,'GSTR-2A'!$B$6:$B$10000,$C$6:$C$4995)</f>
        <v>0</v>
      </c>
      <c r="H67" s="72">
        <f>SUMIFS(PURCHASE!$M$6:$M$10002,PURCHASE!$D$6:$D$10002,$C$6:$C$4995)</f>
        <v>0</v>
      </c>
      <c r="I67" s="72">
        <f>SUMIFS('GSTR-2A'!$M$6:$M$10000,'GSTR-2A'!$B$6:$B$10000,$C$6:$C$4995)</f>
        <v>0</v>
      </c>
      <c r="J67" s="72">
        <f>SUMIFS(PURCHASE!$N$6:$N$10002,PURCHASE!$D$6:$D$10002,$C$6:$C$4995)</f>
        <v>0</v>
      </c>
      <c r="K67" s="72">
        <f>SUMIFS('GSTR-2A'!$N$6:$N$10000,'GSTR-2A'!$B$6:$B$10000,$C$6:$C$4995)</f>
        <v>0</v>
      </c>
      <c r="L67" s="72">
        <f t="shared" si="1"/>
        <v>0</v>
      </c>
      <c r="M67" s="72">
        <f t="shared" si="2"/>
        <v>0</v>
      </c>
      <c r="N67" s="72">
        <f t="shared" si="3"/>
        <v>0</v>
      </c>
      <c r="O67" s="72">
        <f t="shared" si="4"/>
        <v>0</v>
      </c>
      <c r="Q67" s="72">
        <f t="shared" si="5"/>
        <v>0</v>
      </c>
      <c r="R67" s="72">
        <f t="shared" si="6"/>
        <v>0</v>
      </c>
      <c r="S67" s="72">
        <f t="shared" si="7"/>
        <v>0</v>
      </c>
    </row>
    <row r="68" spans="1:19" x14ac:dyDescent="0.2">
      <c r="A68" s="497">
        <v>63</v>
      </c>
      <c r="B68" s="468" t="s">
        <v>487</v>
      </c>
      <c r="C68" s="469" t="s">
        <v>488</v>
      </c>
      <c r="D68" s="72">
        <f>SUMIFS(PURCHASE!$K$6:$K$10002,PURCHASE!$D$6:$D$10002,$C$6:$C$4995)</f>
        <v>24000</v>
      </c>
      <c r="E68" s="72">
        <f>SUMIFS('GSTR-2A'!$K$6:$K$10000,'GSTR-2A'!$B$6:$B$10000,$C$6:$C$4995)</f>
        <v>16000</v>
      </c>
      <c r="F68" s="72">
        <f>SUMIFS(PURCHASE!$L$6:$L$10002,PURCHASE!$D$6:$D$10002,$C$6:$C$4995)</f>
        <v>0</v>
      </c>
      <c r="G68" s="72">
        <f>SUMIFS('GSTR-2A'!$L$6:$L$10000,'GSTR-2A'!$B$6:$B$10000,$C$6:$C$4995)</f>
        <v>0</v>
      </c>
      <c r="H68" s="72">
        <f>SUMIFS(PURCHASE!$M$6:$M$10002,PURCHASE!$D$6:$D$10002,$C$6:$C$4995)</f>
        <v>2160</v>
      </c>
      <c r="I68" s="72">
        <f>SUMIFS('GSTR-2A'!$M$6:$M$10000,'GSTR-2A'!$B$6:$B$10000,$C$6:$C$4995)</f>
        <v>1440</v>
      </c>
      <c r="J68" s="72">
        <f>SUMIFS(PURCHASE!$N$6:$N$10002,PURCHASE!$D$6:$D$10002,$C$6:$C$4995)</f>
        <v>2160</v>
      </c>
      <c r="K68" s="72">
        <f>SUMIFS('GSTR-2A'!$N$6:$N$10000,'GSTR-2A'!$B$6:$B$10000,$C$6:$C$4995)</f>
        <v>1440</v>
      </c>
      <c r="L68" s="72">
        <f t="shared" si="1"/>
        <v>8000</v>
      </c>
      <c r="M68" s="72">
        <f t="shared" si="2"/>
        <v>0</v>
      </c>
      <c r="N68" s="72">
        <f t="shared" si="3"/>
        <v>720</v>
      </c>
      <c r="O68" s="72">
        <f t="shared" si="4"/>
        <v>720</v>
      </c>
      <c r="Q68" s="72">
        <f t="shared" si="5"/>
        <v>28320</v>
      </c>
      <c r="R68" s="72">
        <f t="shared" si="6"/>
        <v>18880</v>
      </c>
      <c r="S68" s="72">
        <f t="shared" si="7"/>
        <v>9440</v>
      </c>
    </row>
    <row r="69" spans="1:19" x14ac:dyDescent="0.2">
      <c r="A69" s="497">
        <v>64</v>
      </c>
      <c r="B69" s="468" t="s">
        <v>613</v>
      </c>
      <c r="C69" s="469" t="s">
        <v>614</v>
      </c>
      <c r="D69" s="72">
        <f>SUMIFS(PURCHASE!$K$6:$K$10002,PURCHASE!$D$6:$D$10002,$C$6:$C$4995)</f>
        <v>50400</v>
      </c>
      <c r="E69" s="72">
        <f>SUMIFS('GSTR-2A'!$K$6:$K$10000,'GSTR-2A'!$B$6:$B$10000,$C$6:$C$4995)</f>
        <v>50400</v>
      </c>
      <c r="F69" s="72">
        <f>SUMIFS(PURCHASE!$L$6:$L$10002,PURCHASE!$D$6:$D$10002,$C$6:$C$4995)</f>
        <v>0</v>
      </c>
      <c r="G69" s="72">
        <f>SUMIFS('GSTR-2A'!$L$6:$L$10000,'GSTR-2A'!$B$6:$B$10000,$C$6:$C$4995)</f>
        <v>0</v>
      </c>
      <c r="H69" s="72">
        <f>SUMIFS(PURCHASE!$M$6:$M$10002,PURCHASE!$D$6:$D$10002,$C$6:$C$4995)</f>
        <v>4536</v>
      </c>
      <c r="I69" s="72">
        <f>SUMIFS('GSTR-2A'!$M$6:$M$10000,'GSTR-2A'!$B$6:$B$10000,$C$6:$C$4995)</f>
        <v>4536</v>
      </c>
      <c r="J69" s="72">
        <f>SUMIFS(PURCHASE!$N$6:$N$10002,PURCHASE!$D$6:$D$10002,$C$6:$C$4995)</f>
        <v>4536</v>
      </c>
      <c r="K69" s="72">
        <f>SUMIFS('GSTR-2A'!$N$6:$N$10000,'GSTR-2A'!$B$6:$B$10000,$C$6:$C$4995)</f>
        <v>4536</v>
      </c>
      <c r="L69" s="72">
        <f t="shared" si="1"/>
        <v>0</v>
      </c>
      <c r="M69" s="72">
        <f t="shared" si="2"/>
        <v>0</v>
      </c>
      <c r="N69" s="72">
        <f t="shared" si="3"/>
        <v>0</v>
      </c>
      <c r="O69" s="72">
        <f t="shared" si="4"/>
        <v>0</v>
      </c>
      <c r="Q69" s="72">
        <f t="shared" si="5"/>
        <v>59472</v>
      </c>
      <c r="R69" s="72">
        <f t="shared" si="6"/>
        <v>59472</v>
      </c>
      <c r="S69" s="72">
        <f t="shared" si="7"/>
        <v>0</v>
      </c>
    </row>
    <row r="70" spans="1:19" x14ac:dyDescent="0.2">
      <c r="A70" s="497">
        <v>65</v>
      </c>
      <c r="B70" s="468" t="s">
        <v>1127</v>
      </c>
      <c r="C70" s="469" t="s">
        <v>1128</v>
      </c>
      <c r="D70" s="72">
        <f>SUMIFS(PURCHASE!$K$6:$K$10002,PURCHASE!$D$6:$D$10002,$C$6:$C$4995)</f>
        <v>2625.6</v>
      </c>
      <c r="E70" s="72">
        <f>SUMIFS('GSTR-2A'!$K$6:$K$10000,'GSTR-2A'!$B$6:$B$10000,$C$6:$C$4995)</f>
        <v>0</v>
      </c>
      <c r="F70" s="72">
        <f>SUMIFS(PURCHASE!$L$6:$L$10002,PURCHASE!$D$6:$D$10002,$C$6:$C$4995)</f>
        <v>0</v>
      </c>
      <c r="G70" s="72">
        <f>SUMIFS('GSTR-2A'!$L$6:$L$10000,'GSTR-2A'!$B$6:$B$10000,$C$6:$C$4995)</f>
        <v>0</v>
      </c>
      <c r="H70" s="72">
        <f>SUMIFS(PURCHASE!$M$6:$M$10002,PURCHASE!$D$6:$D$10002,$C$6:$C$4995)</f>
        <v>157.536</v>
      </c>
      <c r="I70" s="72">
        <f>SUMIFS('GSTR-2A'!$M$6:$M$10000,'GSTR-2A'!$B$6:$B$10000,$C$6:$C$4995)</f>
        <v>0</v>
      </c>
      <c r="J70" s="72">
        <f>SUMIFS(PURCHASE!$N$6:$N$10002,PURCHASE!$D$6:$D$10002,$C$6:$C$4995)</f>
        <v>157.536</v>
      </c>
      <c r="K70" s="72">
        <f>SUMIFS('GSTR-2A'!$N$6:$N$10000,'GSTR-2A'!$B$6:$B$10000,$C$6:$C$4995)</f>
        <v>0</v>
      </c>
      <c r="L70" s="72">
        <f t="shared" si="1"/>
        <v>2625.6</v>
      </c>
      <c r="M70" s="72">
        <f t="shared" si="2"/>
        <v>0</v>
      </c>
      <c r="N70" s="72">
        <f t="shared" si="3"/>
        <v>157.536</v>
      </c>
      <c r="O70" s="72">
        <f t="shared" si="4"/>
        <v>157.536</v>
      </c>
      <c r="Q70" s="72">
        <f t="shared" si="5"/>
        <v>2940.672</v>
      </c>
      <c r="R70" s="72">
        <f t="shared" si="6"/>
        <v>0</v>
      </c>
      <c r="S70" s="72">
        <f t="shared" si="7"/>
        <v>2940.672</v>
      </c>
    </row>
    <row r="71" spans="1:19" x14ac:dyDescent="0.2">
      <c r="A71" s="497">
        <v>66</v>
      </c>
      <c r="B71" s="468" t="s">
        <v>554</v>
      </c>
      <c r="C71" s="469" t="s">
        <v>555</v>
      </c>
      <c r="D71" s="72">
        <f>SUMIFS(PURCHASE!$K$6:$K$10002,PURCHASE!$D$6:$D$10002,$C$6:$C$4995)</f>
        <v>939580.19000000018</v>
      </c>
      <c r="E71" s="72">
        <f>SUMIFS('GSTR-2A'!$K$6:$K$10000,'GSTR-2A'!$B$6:$B$10000,$C$6:$C$4995)</f>
        <v>862658.87000000023</v>
      </c>
      <c r="F71" s="72">
        <f>SUMIFS(PURCHASE!$L$6:$L$10002,PURCHASE!$D$6:$D$10002,$C$6:$C$4995)</f>
        <v>0</v>
      </c>
      <c r="G71" s="72">
        <f>SUMIFS('GSTR-2A'!$L$6:$L$10000,'GSTR-2A'!$B$6:$B$10000,$C$6:$C$4995)</f>
        <v>0</v>
      </c>
      <c r="H71" s="72">
        <f>SUMIFS(PURCHASE!$M$6:$M$10002,PURCHASE!$D$6:$D$10002,$C$6:$C$4995)</f>
        <v>131541.22660000002</v>
      </c>
      <c r="I71" s="72">
        <f>SUMIFS('GSTR-2A'!$M$6:$M$10000,'GSTR-2A'!$B$6:$B$10000,$C$6:$C$4995)</f>
        <v>120772.27000000002</v>
      </c>
      <c r="J71" s="72">
        <f>SUMIFS(PURCHASE!$N$6:$N$10002,PURCHASE!$D$6:$D$10002,$C$6:$C$4995)</f>
        <v>131541.22660000002</v>
      </c>
      <c r="K71" s="72">
        <f>SUMIFS('GSTR-2A'!$N$6:$N$10000,'GSTR-2A'!$B$6:$B$10000,$C$6:$C$4995)</f>
        <v>120772.27000000002</v>
      </c>
      <c r="L71" s="72">
        <f t="shared" ref="L71:L134" si="8">+D71-E71</f>
        <v>76921.319999999949</v>
      </c>
      <c r="M71" s="72">
        <f t="shared" ref="M71:M134" si="9">+F71-G71</f>
        <v>0</v>
      </c>
      <c r="N71" s="72">
        <f t="shared" ref="N71:N134" si="10">+H71-I71</f>
        <v>10768.956600000005</v>
      </c>
      <c r="O71" s="72">
        <f t="shared" ref="O71:O134" si="11">+J71-K71</f>
        <v>10768.956600000005</v>
      </c>
      <c r="Q71" s="72">
        <f t="shared" si="5"/>
        <v>1202662.6432</v>
      </c>
      <c r="R71" s="72">
        <f t="shared" si="6"/>
        <v>1104203.4100000001</v>
      </c>
      <c r="S71" s="72">
        <f t="shared" si="7"/>
        <v>98459.233199999901</v>
      </c>
    </row>
    <row r="72" spans="1:19" x14ac:dyDescent="0.2">
      <c r="A72" s="497">
        <v>67</v>
      </c>
      <c r="B72" s="475" t="s">
        <v>686</v>
      </c>
      <c r="C72" s="468" t="s">
        <v>687</v>
      </c>
      <c r="D72" s="72">
        <f>SUMIFS(PURCHASE!$K$6:$K$10002,PURCHASE!$D$6:$D$10002,$C$6:$C$4995)</f>
        <v>0</v>
      </c>
      <c r="E72" s="72">
        <f>SUMIFS('GSTR-2A'!$K$6:$K$10000,'GSTR-2A'!$B$6:$B$10000,$C$6:$C$4995)</f>
        <v>0</v>
      </c>
      <c r="F72" s="72">
        <f>SUMIFS(PURCHASE!$L$6:$L$10002,PURCHASE!$D$6:$D$10002,$C$6:$C$4995)</f>
        <v>0</v>
      </c>
      <c r="G72" s="72">
        <f>SUMIFS('GSTR-2A'!$L$6:$L$10000,'GSTR-2A'!$B$6:$B$10000,$C$6:$C$4995)</f>
        <v>0</v>
      </c>
      <c r="H72" s="72">
        <f>SUMIFS(PURCHASE!$M$6:$M$10002,PURCHASE!$D$6:$D$10002,$C$6:$C$4995)</f>
        <v>0</v>
      </c>
      <c r="I72" s="72">
        <f>SUMIFS('GSTR-2A'!$M$6:$M$10000,'GSTR-2A'!$B$6:$B$10000,$C$6:$C$4995)</f>
        <v>0</v>
      </c>
      <c r="J72" s="72">
        <f>SUMIFS(PURCHASE!$N$6:$N$10002,PURCHASE!$D$6:$D$10002,$C$6:$C$4995)</f>
        <v>0</v>
      </c>
      <c r="K72" s="72">
        <f>SUMIFS('GSTR-2A'!$N$6:$N$10000,'GSTR-2A'!$B$6:$B$10000,$C$6:$C$4995)</f>
        <v>0</v>
      </c>
      <c r="L72" s="72">
        <f t="shared" si="8"/>
        <v>0</v>
      </c>
      <c r="M72" s="72">
        <f t="shared" si="9"/>
        <v>0</v>
      </c>
      <c r="N72" s="72">
        <f t="shared" si="10"/>
        <v>0</v>
      </c>
      <c r="O72" s="72">
        <f t="shared" si="11"/>
        <v>0</v>
      </c>
      <c r="Q72" s="72">
        <f t="shared" si="5"/>
        <v>0</v>
      </c>
      <c r="R72" s="72">
        <f t="shared" si="6"/>
        <v>0</v>
      </c>
      <c r="S72" s="72">
        <f t="shared" si="7"/>
        <v>0</v>
      </c>
    </row>
    <row r="73" spans="1:19" x14ac:dyDescent="0.2">
      <c r="A73" s="497">
        <v>68</v>
      </c>
      <c r="B73" s="468" t="s">
        <v>476</v>
      </c>
      <c r="C73" s="469" t="s">
        <v>477</v>
      </c>
      <c r="D73" s="72">
        <f>SUMIFS(PURCHASE!$K$6:$K$10002,PURCHASE!$D$6:$D$10002,$C$6:$C$4995)</f>
        <v>2923165</v>
      </c>
      <c r="E73" s="72">
        <f>SUMIFS('GSTR-2A'!$K$6:$K$10000,'GSTR-2A'!$B$6:$B$10000,$C$6:$C$4995)</f>
        <v>2505570</v>
      </c>
      <c r="F73" s="72">
        <f>SUMIFS(PURCHASE!$L$6:$L$10002,PURCHASE!$D$6:$D$10002,$C$6:$C$4995)</f>
        <v>0</v>
      </c>
      <c r="G73" s="72">
        <f>SUMIFS('GSTR-2A'!$L$6:$L$10000,'GSTR-2A'!$B$6:$B$10000,$C$6:$C$4995)</f>
        <v>0</v>
      </c>
      <c r="H73" s="72">
        <f>SUMIFS(PURCHASE!$M$6:$M$10002,PURCHASE!$D$6:$D$10002,$C$6:$C$4995)</f>
        <v>395015.6</v>
      </c>
      <c r="I73" s="72">
        <f>SUMIFS('GSTR-2A'!$M$6:$M$10000,'GSTR-2A'!$B$6:$B$10000,$C$6:$C$4995)</f>
        <v>338584.8</v>
      </c>
      <c r="J73" s="72">
        <f>SUMIFS(PURCHASE!$N$6:$N$10002,PURCHASE!$D$6:$D$10002,$C$6:$C$4995)</f>
        <v>395015.6</v>
      </c>
      <c r="K73" s="72">
        <f>SUMIFS('GSTR-2A'!$N$6:$N$10000,'GSTR-2A'!$B$6:$B$10000,$C$6:$C$4995)</f>
        <v>338584.8</v>
      </c>
      <c r="L73" s="72">
        <f t="shared" si="8"/>
        <v>417595</v>
      </c>
      <c r="M73" s="72">
        <f t="shared" si="9"/>
        <v>0</v>
      </c>
      <c r="N73" s="72">
        <f t="shared" si="10"/>
        <v>56430.799999999988</v>
      </c>
      <c r="O73" s="72">
        <f t="shared" si="11"/>
        <v>56430.799999999988</v>
      </c>
      <c r="Q73" s="72">
        <f t="shared" ref="Q73:Q136" si="12">+D73+F73+H73+J73</f>
        <v>3713196.2</v>
      </c>
      <c r="R73" s="72">
        <f t="shared" ref="R73:R136" si="13">+E73+G73+I73+K73</f>
        <v>3182739.5999999996</v>
      </c>
      <c r="S73" s="72">
        <f t="shared" ref="S73:S136" si="14">+Q73-R73</f>
        <v>530456.60000000056</v>
      </c>
    </row>
    <row r="74" spans="1:19" x14ac:dyDescent="0.2">
      <c r="A74" s="497">
        <v>69</v>
      </c>
      <c r="B74" s="468" t="s">
        <v>666</v>
      </c>
      <c r="C74" s="469" t="s">
        <v>667</v>
      </c>
      <c r="D74" s="72">
        <f>SUMIFS(PURCHASE!$K$6:$K$10002,PURCHASE!$D$6:$D$10002,$C$6:$C$4995)</f>
        <v>389180.5</v>
      </c>
      <c r="E74" s="72">
        <f>SUMIFS('GSTR-2A'!$K$6:$K$10000,'GSTR-2A'!$B$6:$B$10000,$C$6:$C$4995)</f>
        <v>389171</v>
      </c>
      <c r="F74" s="72">
        <f>SUMIFS(PURCHASE!$L$6:$L$10002,PURCHASE!$D$6:$D$10002,$C$6:$C$4995)</f>
        <v>0</v>
      </c>
      <c r="G74" s="72">
        <f>SUMIFS('GSTR-2A'!$L$6:$L$10000,'GSTR-2A'!$B$6:$B$10000,$C$6:$C$4995)</f>
        <v>0</v>
      </c>
      <c r="H74" s="72">
        <f>SUMIFS(PURCHASE!$M$6:$M$10002,PURCHASE!$D$6:$D$10002,$C$6:$C$4995)</f>
        <v>54485.27</v>
      </c>
      <c r="I74" s="72">
        <f>SUMIFS('GSTR-2A'!$M$6:$M$10000,'GSTR-2A'!$B$6:$B$10000,$C$6:$C$4995)</f>
        <v>54483.94</v>
      </c>
      <c r="J74" s="72">
        <f>SUMIFS(PURCHASE!$N$6:$N$10002,PURCHASE!$D$6:$D$10002,$C$6:$C$4995)</f>
        <v>54485.27</v>
      </c>
      <c r="K74" s="72">
        <f>SUMIFS('GSTR-2A'!$N$6:$N$10000,'GSTR-2A'!$B$6:$B$10000,$C$6:$C$4995)</f>
        <v>54483.94</v>
      </c>
      <c r="L74" s="72">
        <f t="shared" si="8"/>
        <v>9.5</v>
      </c>
      <c r="M74" s="72">
        <f t="shared" si="9"/>
        <v>0</v>
      </c>
      <c r="N74" s="72">
        <f t="shared" si="10"/>
        <v>1.3299999999944703</v>
      </c>
      <c r="O74" s="72">
        <f t="shared" si="11"/>
        <v>1.3299999999944703</v>
      </c>
      <c r="Q74" s="72">
        <f t="shared" si="12"/>
        <v>498151.04000000004</v>
      </c>
      <c r="R74" s="72">
        <f t="shared" si="13"/>
        <v>498138.88</v>
      </c>
      <c r="S74" s="72">
        <f t="shared" si="14"/>
        <v>12.160000000032596</v>
      </c>
    </row>
    <row r="75" spans="1:19" x14ac:dyDescent="0.2">
      <c r="A75" s="497">
        <v>70</v>
      </c>
      <c r="B75" s="468" t="s">
        <v>589</v>
      </c>
      <c r="C75" s="469" t="s">
        <v>590</v>
      </c>
      <c r="D75" s="72">
        <f>SUMIFS(PURCHASE!$K$6:$K$10002,PURCHASE!$D$6:$D$10002,$C$6:$C$4995)</f>
        <v>734194.95</v>
      </c>
      <c r="E75" s="72">
        <f>SUMIFS('GSTR-2A'!$K$6:$K$10000,'GSTR-2A'!$B$6:$B$10000,$C$6:$C$4995)</f>
        <v>358765.35</v>
      </c>
      <c r="F75" s="72">
        <f>SUMIFS(PURCHASE!$L$6:$L$10002,PURCHASE!$D$6:$D$10002,$C$6:$C$4995)</f>
        <v>0</v>
      </c>
      <c r="G75" s="72">
        <f>SUMIFS('GSTR-2A'!$L$6:$L$10000,'GSTR-2A'!$B$6:$B$10000,$C$6:$C$4995)</f>
        <v>0</v>
      </c>
      <c r="H75" s="72">
        <f>SUMIFS(PURCHASE!$M$6:$M$10002,PURCHASE!$D$6:$D$10002,$C$6:$C$4995)</f>
        <v>66077.545499999993</v>
      </c>
      <c r="I75" s="72">
        <f>SUMIFS('GSTR-2A'!$M$6:$M$10000,'GSTR-2A'!$B$6:$B$10000,$C$6:$C$4995)</f>
        <v>32288.89</v>
      </c>
      <c r="J75" s="72">
        <f>SUMIFS(PURCHASE!$N$6:$N$10002,PURCHASE!$D$6:$D$10002,$C$6:$C$4995)</f>
        <v>66077.545499999993</v>
      </c>
      <c r="K75" s="72">
        <f>SUMIFS('GSTR-2A'!$N$6:$N$10000,'GSTR-2A'!$B$6:$B$10000,$C$6:$C$4995)</f>
        <v>32288.89</v>
      </c>
      <c r="L75" s="72">
        <f t="shared" si="8"/>
        <v>375429.6</v>
      </c>
      <c r="M75" s="72">
        <f t="shared" si="9"/>
        <v>0</v>
      </c>
      <c r="N75" s="72">
        <f t="shared" si="10"/>
        <v>33788.655499999993</v>
      </c>
      <c r="O75" s="72">
        <f t="shared" si="11"/>
        <v>33788.655499999993</v>
      </c>
      <c r="Q75" s="72">
        <f t="shared" si="12"/>
        <v>866350.04099999997</v>
      </c>
      <c r="R75" s="72">
        <f t="shared" si="13"/>
        <v>423343.13</v>
      </c>
      <c r="S75" s="72">
        <f t="shared" si="14"/>
        <v>443006.91099999996</v>
      </c>
    </row>
    <row r="76" spans="1:19" x14ac:dyDescent="0.2">
      <c r="A76" s="497">
        <v>71</v>
      </c>
      <c r="B76" s="468" t="s">
        <v>919</v>
      </c>
      <c r="C76" s="469" t="s">
        <v>920</v>
      </c>
      <c r="D76" s="72">
        <f>SUMIFS(PURCHASE!$K$6:$K$10002,PURCHASE!$D$6:$D$10002,$C$6:$C$4995)</f>
        <v>1560</v>
      </c>
      <c r="E76" s="72">
        <f>SUMIFS('GSTR-2A'!$K$6:$K$10000,'GSTR-2A'!$B$6:$B$10000,$C$6:$C$4995)</f>
        <v>1560</v>
      </c>
      <c r="F76" s="72">
        <f>SUMIFS(PURCHASE!$L$6:$L$10002,PURCHASE!$D$6:$D$10002,$C$6:$C$4995)</f>
        <v>0</v>
      </c>
      <c r="G76" s="72">
        <f>SUMIFS('GSTR-2A'!$L$6:$L$10000,'GSTR-2A'!$B$6:$B$10000,$C$6:$C$4995)</f>
        <v>0</v>
      </c>
      <c r="H76" s="72">
        <f>SUMIFS(PURCHASE!$M$6:$M$10002,PURCHASE!$D$6:$D$10002,$C$6:$C$4995)</f>
        <v>140.4</v>
      </c>
      <c r="I76" s="72">
        <f>SUMIFS('GSTR-2A'!$M$6:$M$10000,'GSTR-2A'!$B$6:$B$10000,$C$6:$C$4995)</f>
        <v>140.4</v>
      </c>
      <c r="J76" s="72">
        <f>SUMIFS(PURCHASE!$N$6:$N$10002,PURCHASE!$D$6:$D$10002,$C$6:$C$4995)</f>
        <v>140.4</v>
      </c>
      <c r="K76" s="72">
        <f>SUMIFS('GSTR-2A'!$N$6:$N$10000,'GSTR-2A'!$B$6:$B$10000,$C$6:$C$4995)</f>
        <v>140.4</v>
      </c>
      <c r="L76" s="72">
        <f t="shared" si="8"/>
        <v>0</v>
      </c>
      <c r="M76" s="72">
        <f t="shared" si="9"/>
        <v>0</v>
      </c>
      <c r="N76" s="72">
        <f t="shared" si="10"/>
        <v>0</v>
      </c>
      <c r="O76" s="72">
        <f t="shared" si="11"/>
        <v>0</v>
      </c>
      <c r="Q76" s="72">
        <f t="shared" si="12"/>
        <v>1840.8000000000002</v>
      </c>
      <c r="R76" s="72">
        <f t="shared" si="13"/>
        <v>1840.8000000000002</v>
      </c>
      <c r="S76" s="72">
        <f t="shared" si="14"/>
        <v>0</v>
      </c>
    </row>
    <row r="77" spans="1:19" x14ac:dyDescent="0.2">
      <c r="A77" s="497">
        <v>72</v>
      </c>
      <c r="B77" s="468" t="s">
        <v>625</v>
      </c>
      <c r="C77" s="469" t="s">
        <v>626</v>
      </c>
      <c r="D77" s="72">
        <f>SUMIFS(PURCHASE!$K$6:$K$10002,PURCHASE!$D$6:$D$10002,$C$6:$C$4995)</f>
        <v>10315</v>
      </c>
      <c r="E77" s="72">
        <f>SUMIFS('GSTR-2A'!$K$6:$K$10000,'GSTR-2A'!$B$6:$B$10000,$C$6:$C$4995)</f>
        <v>10315</v>
      </c>
      <c r="F77" s="72">
        <f>SUMIFS(PURCHASE!$L$6:$L$10002,PURCHASE!$D$6:$D$10002,$C$6:$C$4995)</f>
        <v>0</v>
      </c>
      <c r="G77" s="72">
        <f>SUMIFS('GSTR-2A'!$L$6:$L$10000,'GSTR-2A'!$B$6:$B$10000,$C$6:$C$4995)</f>
        <v>0</v>
      </c>
      <c r="H77" s="72">
        <f>SUMIFS(PURCHASE!$M$6:$M$10002,PURCHASE!$D$6:$D$10002,$C$6:$C$4995)</f>
        <v>928.35</v>
      </c>
      <c r="I77" s="72">
        <f>SUMIFS('GSTR-2A'!$M$6:$M$10000,'GSTR-2A'!$B$6:$B$10000,$C$6:$C$4995)</f>
        <v>928.35</v>
      </c>
      <c r="J77" s="72">
        <f>SUMIFS(PURCHASE!$N$6:$N$10002,PURCHASE!$D$6:$D$10002,$C$6:$C$4995)</f>
        <v>928.35</v>
      </c>
      <c r="K77" s="72">
        <f>SUMIFS('GSTR-2A'!$N$6:$N$10000,'GSTR-2A'!$B$6:$B$10000,$C$6:$C$4995)</f>
        <v>928.35</v>
      </c>
      <c r="L77" s="72">
        <f t="shared" si="8"/>
        <v>0</v>
      </c>
      <c r="M77" s="72">
        <f t="shared" si="9"/>
        <v>0</v>
      </c>
      <c r="N77" s="72">
        <f t="shared" si="10"/>
        <v>0</v>
      </c>
      <c r="O77" s="72">
        <f t="shared" si="11"/>
        <v>0</v>
      </c>
      <c r="Q77" s="72">
        <f t="shared" si="12"/>
        <v>12171.7</v>
      </c>
      <c r="R77" s="72">
        <f t="shared" si="13"/>
        <v>12171.7</v>
      </c>
      <c r="S77" s="72">
        <f t="shared" si="14"/>
        <v>0</v>
      </c>
    </row>
    <row r="78" spans="1:19" x14ac:dyDescent="0.2">
      <c r="A78" s="497">
        <v>73</v>
      </c>
      <c r="B78" s="468" t="s">
        <v>1129</v>
      </c>
      <c r="C78" s="469" t="s">
        <v>1130</v>
      </c>
      <c r="D78" s="72">
        <f>SUMIFS(PURCHASE!$K$6:$K$10002,PURCHASE!$D$6:$D$10002,$C$6:$C$4995)</f>
        <v>0</v>
      </c>
      <c r="E78" s="72">
        <f>SUMIFS('GSTR-2A'!$K$6:$K$10000,'GSTR-2A'!$B$6:$B$10000,$C$6:$C$4995)</f>
        <v>0</v>
      </c>
      <c r="F78" s="72">
        <f>SUMIFS(PURCHASE!$L$6:$L$10002,PURCHASE!$D$6:$D$10002,$C$6:$C$4995)</f>
        <v>0</v>
      </c>
      <c r="G78" s="72">
        <f>SUMIFS('GSTR-2A'!$L$6:$L$10000,'GSTR-2A'!$B$6:$B$10000,$C$6:$C$4995)</f>
        <v>0</v>
      </c>
      <c r="H78" s="72">
        <f>SUMIFS(PURCHASE!$M$6:$M$10002,PURCHASE!$D$6:$D$10002,$C$6:$C$4995)</f>
        <v>0</v>
      </c>
      <c r="I78" s="72">
        <f>SUMIFS('GSTR-2A'!$M$6:$M$10000,'GSTR-2A'!$B$6:$B$10000,$C$6:$C$4995)</f>
        <v>0</v>
      </c>
      <c r="J78" s="72">
        <f>SUMIFS(PURCHASE!$N$6:$N$10002,PURCHASE!$D$6:$D$10002,$C$6:$C$4995)</f>
        <v>0</v>
      </c>
      <c r="K78" s="72">
        <f>SUMIFS('GSTR-2A'!$N$6:$N$10000,'GSTR-2A'!$B$6:$B$10000,$C$6:$C$4995)</f>
        <v>0</v>
      </c>
      <c r="L78" s="72">
        <f t="shared" si="8"/>
        <v>0</v>
      </c>
      <c r="M78" s="72">
        <f t="shared" si="9"/>
        <v>0</v>
      </c>
      <c r="N78" s="72">
        <f t="shared" si="10"/>
        <v>0</v>
      </c>
      <c r="O78" s="72">
        <f t="shared" si="11"/>
        <v>0</v>
      </c>
      <c r="Q78" s="72">
        <f t="shared" si="12"/>
        <v>0</v>
      </c>
      <c r="R78" s="72">
        <f t="shared" si="13"/>
        <v>0</v>
      </c>
      <c r="S78" s="72">
        <f t="shared" si="14"/>
        <v>0</v>
      </c>
    </row>
    <row r="79" spans="1:19" x14ac:dyDescent="0.2">
      <c r="A79" s="497">
        <v>74</v>
      </c>
      <c r="B79" s="468" t="s">
        <v>499</v>
      </c>
      <c r="C79" s="469" t="s">
        <v>500</v>
      </c>
      <c r="D79" s="72">
        <f>SUMIFS(PURCHASE!$K$6:$K$10002,PURCHASE!$D$6:$D$10002,$C$6:$C$4995)</f>
        <v>257699.5</v>
      </c>
      <c r="E79" s="72">
        <f>SUMIFS('GSTR-2A'!$K$6:$K$10000,'GSTR-2A'!$B$6:$B$10000,$C$6:$C$4995)</f>
        <v>102967.3</v>
      </c>
      <c r="F79" s="72">
        <f>SUMIFS(PURCHASE!$L$6:$L$10002,PURCHASE!$D$6:$D$10002,$C$6:$C$4995)</f>
        <v>0</v>
      </c>
      <c r="G79" s="72">
        <f>SUMIFS('GSTR-2A'!$L$6:$L$10000,'GSTR-2A'!$B$6:$B$10000,$C$6:$C$4995)</f>
        <v>0</v>
      </c>
      <c r="H79" s="72">
        <f>SUMIFS(PURCHASE!$M$6:$M$10002,PURCHASE!$D$6:$D$10002,$C$6:$C$4995)</f>
        <v>12298.919999999996</v>
      </c>
      <c r="I79" s="72">
        <f>SUMIFS('GSTR-2A'!$M$6:$M$10000,'GSTR-2A'!$B$6:$B$10000,$C$6:$C$4995)</f>
        <v>4667.3900000000003</v>
      </c>
      <c r="J79" s="72">
        <f>SUMIFS(PURCHASE!$N$6:$N$10002,PURCHASE!$D$6:$D$10002,$C$6:$C$4995)</f>
        <v>12298.919999999996</v>
      </c>
      <c r="K79" s="72">
        <f>SUMIFS('GSTR-2A'!$N$6:$N$10000,'GSTR-2A'!$B$6:$B$10000,$C$6:$C$4995)</f>
        <v>4667.3900000000003</v>
      </c>
      <c r="L79" s="72">
        <f t="shared" si="8"/>
        <v>154732.20000000001</v>
      </c>
      <c r="M79" s="72">
        <f t="shared" si="9"/>
        <v>0</v>
      </c>
      <c r="N79" s="72">
        <f t="shared" si="10"/>
        <v>7631.5299999999961</v>
      </c>
      <c r="O79" s="72">
        <f t="shared" si="11"/>
        <v>7631.5299999999961</v>
      </c>
      <c r="Q79" s="72">
        <f t="shared" si="12"/>
        <v>282297.33999999997</v>
      </c>
      <c r="R79" s="72">
        <f t="shared" si="13"/>
        <v>112302.08</v>
      </c>
      <c r="S79" s="72">
        <f t="shared" si="14"/>
        <v>169995.25999999995</v>
      </c>
    </row>
    <row r="80" spans="1:19" x14ac:dyDescent="0.2">
      <c r="A80" s="497">
        <v>75</v>
      </c>
      <c r="B80" s="468" t="s">
        <v>640</v>
      </c>
      <c r="C80" s="469" t="s">
        <v>641</v>
      </c>
      <c r="D80" s="72">
        <f>SUMIFS(PURCHASE!$K$6:$K$10002,PURCHASE!$D$6:$D$10002,$C$6:$C$4995)</f>
        <v>38220.379999999997</v>
      </c>
      <c r="E80" s="72">
        <f>SUMIFS('GSTR-2A'!$K$6:$K$10000,'GSTR-2A'!$B$6:$B$10000,$C$6:$C$4995)</f>
        <v>0</v>
      </c>
      <c r="F80" s="72">
        <f>SUMIFS(PURCHASE!$L$6:$L$10002,PURCHASE!$D$6:$D$10002,$C$6:$C$4995)</f>
        <v>0</v>
      </c>
      <c r="G80" s="72">
        <f>SUMIFS('GSTR-2A'!$L$6:$L$10000,'GSTR-2A'!$B$6:$B$10000,$C$6:$C$4995)</f>
        <v>0</v>
      </c>
      <c r="H80" s="72">
        <f>SUMIFS(PURCHASE!$M$6:$M$10002,PURCHASE!$D$6:$D$10002,$C$6:$C$4995)</f>
        <v>3439.8342000000002</v>
      </c>
      <c r="I80" s="72">
        <f>SUMIFS('GSTR-2A'!$M$6:$M$10000,'GSTR-2A'!$B$6:$B$10000,$C$6:$C$4995)</f>
        <v>0</v>
      </c>
      <c r="J80" s="72">
        <f>SUMIFS(PURCHASE!$N$6:$N$10002,PURCHASE!$D$6:$D$10002,$C$6:$C$4995)</f>
        <v>3439.8342000000002</v>
      </c>
      <c r="K80" s="72">
        <f>SUMIFS('GSTR-2A'!$N$6:$N$10000,'GSTR-2A'!$B$6:$B$10000,$C$6:$C$4995)</f>
        <v>0</v>
      </c>
      <c r="L80" s="72">
        <f t="shared" si="8"/>
        <v>38220.379999999997</v>
      </c>
      <c r="M80" s="72">
        <f t="shared" si="9"/>
        <v>0</v>
      </c>
      <c r="N80" s="72">
        <f t="shared" si="10"/>
        <v>3439.8342000000002</v>
      </c>
      <c r="O80" s="72">
        <f t="shared" si="11"/>
        <v>3439.8342000000002</v>
      </c>
      <c r="Q80" s="72">
        <f t="shared" si="12"/>
        <v>45100.048399999992</v>
      </c>
      <c r="R80" s="72">
        <f t="shared" si="13"/>
        <v>0</v>
      </c>
      <c r="S80" s="72">
        <f t="shared" si="14"/>
        <v>45100.048399999992</v>
      </c>
    </row>
    <row r="81" spans="1:19" x14ac:dyDescent="0.2">
      <c r="A81" s="497">
        <v>76</v>
      </c>
      <c r="B81" s="468" t="s">
        <v>1131</v>
      </c>
      <c r="C81" s="469" t="s">
        <v>1132</v>
      </c>
      <c r="D81" s="72">
        <f>SUMIFS(PURCHASE!$K$6:$K$10002,PURCHASE!$D$6:$D$10002,$C$6:$C$4995)</f>
        <v>0</v>
      </c>
      <c r="E81" s="72">
        <f>SUMIFS('GSTR-2A'!$K$6:$K$10000,'GSTR-2A'!$B$6:$B$10000,$C$6:$C$4995)</f>
        <v>0</v>
      </c>
      <c r="F81" s="72">
        <f>SUMIFS(PURCHASE!$L$6:$L$10002,PURCHASE!$D$6:$D$10002,$C$6:$C$4995)</f>
        <v>0</v>
      </c>
      <c r="G81" s="72">
        <f>SUMIFS('GSTR-2A'!$L$6:$L$10000,'GSTR-2A'!$B$6:$B$10000,$C$6:$C$4995)</f>
        <v>0</v>
      </c>
      <c r="H81" s="72">
        <f>SUMIFS(PURCHASE!$M$6:$M$10002,PURCHASE!$D$6:$D$10002,$C$6:$C$4995)</f>
        <v>0</v>
      </c>
      <c r="I81" s="72">
        <f>SUMIFS('GSTR-2A'!$M$6:$M$10000,'GSTR-2A'!$B$6:$B$10000,$C$6:$C$4995)</f>
        <v>0</v>
      </c>
      <c r="J81" s="72">
        <f>SUMIFS(PURCHASE!$N$6:$N$10002,PURCHASE!$D$6:$D$10002,$C$6:$C$4995)</f>
        <v>0</v>
      </c>
      <c r="K81" s="72">
        <f>SUMIFS('GSTR-2A'!$N$6:$N$10000,'GSTR-2A'!$B$6:$B$10000,$C$6:$C$4995)</f>
        <v>0</v>
      </c>
      <c r="L81" s="72">
        <f t="shared" si="8"/>
        <v>0</v>
      </c>
      <c r="M81" s="72">
        <f t="shared" si="9"/>
        <v>0</v>
      </c>
      <c r="N81" s="72">
        <f t="shared" si="10"/>
        <v>0</v>
      </c>
      <c r="O81" s="72">
        <f t="shared" si="11"/>
        <v>0</v>
      </c>
      <c r="Q81" s="72">
        <f t="shared" si="12"/>
        <v>0</v>
      </c>
      <c r="R81" s="72">
        <f t="shared" si="13"/>
        <v>0</v>
      </c>
      <c r="S81" s="72">
        <f t="shared" si="14"/>
        <v>0</v>
      </c>
    </row>
    <row r="82" spans="1:19" x14ac:dyDescent="0.2">
      <c r="A82" s="497">
        <v>77</v>
      </c>
      <c r="B82" s="468" t="s">
        <v>720</v>
      </c>
      <c r="C82" s="479" t="s">
        <v>671</v>
      </c>
      <c r="D82" s="72">
        <f>SUMIFS(PURCHASE!$K$6:$K$10002,PURCHASE!$D$6:$D$10002,$C$6:$C$4995)</f>
        <v>1452</v>
      </c>
      <c r="E82" s="72">
        <f>SUMIFS('GSTR-2A'!$K$6:$K$10000,'GSTR-2A'!$B$6:$B$10000,$C$6:$C$4995)</f>
        <v>1452</v>
      </c>
      <c r="F82" s="72">
        <f>SUMIFS(PURCHASE!$L$6:$L$10002,PURCHASE!$D$6:$D$10002,$C$6:$C$4995)</f>
        <v>0</v>
      </c>
      <c r="G82" s="72">
        <f>SUMIFS('GSTR-2A'!$L$6:$L$10000,'GSTR-2A'!$B$6:$B$10000,$C$6:$C$4995)</f>
        <v>0</v>
      </c>
      <c r="H82" s="72">
        <f>SUMIFS(PURCHASE!$M$6:$M$10002,PURCHASE!$D$6:$D$10002,$C$6:$C$4995)</f>
        <v>130.68</v>
      </c>
      <c r="I82" s="72">
        <f>SUMIFS('GSTR-2A'!$M$6:$M$10000,'GSTR-2A'!$B$6:$B$10000,$C$6:$C$4995)</f>
        <v>130.68</v>
      </c>
      <c r="J82" s="72">
        <f>SUMIFS(PURCHASE!$N$6:$N$10002,PURCHASE!$D$6:$D$10002,$C$6:$C$4995)</f>
        <v>130.68</v>
      </c>
      <c r="K82" s="72">
        <f>SUMIFS('GSTR-2A'!$N$6:$N$10000,'GSTR-2A'!$B$6:$B$10000,$C$6:$C$4995)</f>
        <v>130.68</v>
      </c>
      <c r="L82" s="72">
        <f t="shared" si="8"/>
        <v>0</v>
      </c>
      <c r="M82" s="72">
        <f t="shared" si="9"/>
        <v>0</v>
      </c>
      <c r="N82" s="72">
        <f t="shared" si="10"/>
        <v>0</v>
      </c>
      <c r="O82" s="72">
        <f t="shared" si="11"/>
        <v>0</v>
      </c>
      <c r="Q82" s="72">
        <f t="shared" si="12"/>
        <v>1713.3600000000001</v>
      </c>
      <c r="R82" s="72">
        <f t="shared" si="13"/>
        <v>1713.3600000000001</v>
      </c>
      <c r="S82" s="72">
        <f t="shared" si="14"/>
        <v>0</v>
      </c>
    </row>
    <row r="83" spans="1:19" x14ac:dyDescent="0.2">
      <c r="A83" s="497">
        <v>78</v>
      </c>
      <c r="B83" s="468" t="s">
        <v>1133</v>
      </c>
      <c r="C83" s="469" t="s">
        <v>156</v>
      </c>
      <c r="D83" s="72">
        <f>SUMIFS(PURCHASE!$K$6:$K$10002,PURCHASE!$D$6:$D$10002,$C$6:$C$4995)</f>
        <v>0</v>
      </c>
      <c r="E83" s="72">
        <f>SUMIFS('GSTR-2A'!$K$6:$K$10000,'GSTR-2A'!$B$6:$B$10000,$C$6:$C$4995)</f>
        <v>5044.6400000000003</v>
      </c>
      <c r="F83" s="72">
        <f>SUMIFS(PURCHASE!$L$6:$L$10002,PURCHASE!$D$6:$D$10002,$C$6:$C$4995)</f>
        <v>0</v>
      </c>
      <c r="G83" s="72">
        <f>SUMIFS('GSTR-2A'!$L$6:$L$10000,'GSTR-2A'!$B$6:$B$10000,$C$6:$C$4995)</f>
        <v>0</v>
      </c>
      <c r="H83" s="72">
        <f>SUMIFS(PURCHASE!$M$6:$M$10002,PURCHASE!$D$6:$D$10002,$C$6:$C$4995)</f>
        <v>0</v>
      </c>
      <c r="I83" s="72">
        <f>SUMIFS('GSTR-2A'!$M$6:$M$10000,'GSTR-2A'!$B$6:$B$10000,$C$6:$C$4995)</f>
        <v>454.02</v>
      </c>
      <c r="J83" s="72">
        <f>SUMIFS(PURCHASE!$N$6:$N$10002,PURCHASE!$D$6:$D$10002,$C$6:$C$4995)</f>
        <v>0</v>
      </c>
      <c r="K83" s="72">
        <f>SUMIFS('GSTR-2A'!$N$6:$N$10000,'GSTR-2A'!$B$6:$B$10000,$C$6:$C$4995)</f>
        <v>454.02</v>
      </c>
      <c r="L83" s="72">
        <f t="shared" si="8"/>
        <v>-5044.6400000000003</v>
      </c>
      <c r="M83" s="72">
        <f t="shared" si="9"/>
        <v>0</v>
      </c>
      <c r="N83" s="72">
        <f t="shared" si="10"/>
        <v>-454.02</v>
      </c>
      <c r="O83" s="72">
        <f t="shared" si="11"/>
        <v>-454.02</v>
      </c>
      <c r="Q83" s="72">
        <f t="shared" si="12"/>
        <v>0</v>
      </c>
      <c r="R83" s="72">
        <f t="shared" si="13"/>
        <v>5952.68</v>
      </c>
      <c r="S83" s="72">
        <f t="shared" si="14"/>
        <v>-5952.68</v>
      </c>
    </row>
    <row r="84" spans="1:19" x14ac:dyDescent="0.2">
      <c r="A84" s="497">
        <v>79</v>
      </c>
      <c r="B84" s="468" t="s">
        <v>673</v>
      </c>
      <c r="C84" s="479" t="s">
        <v>674</v>
      </c>
      <c r="D84" s="72">
        <f>SUMIFS(PURCHASE!$K$6:$K$10002,PURCHASE!$D$6:$D$10002,$C$6:$C$4995)</f>
        <v>63581</v>
      </c>
      <c r="E84" s="72">
        <f>SUMIFS('GSTR-2A'!$K$6:$K$10000,'GSTR-2A'!$B$6:$B$10000,$C$6:$C$4995)</f>
        <v>142349</v>
      </c>
      <c r="F84" s="72">
        <f>SUMIFS(PURCHASE!$L$6:$L$10002,PURCHASE!$D$6:$D$10002,$C$6:$C$4995)</f>
        <v>0</v>
      </c>
      <c r="G84" s="72">
        <f>SUMIFS('GSTR-2A'!$L$6:$L$10000,'GSTR-2A'!$B$6:$B$10000,$C$6:$C$4995)</f>
        <v>0</v>
      </c>
      <c r="H84" s="72">
        <f>SUMIFS(PURCHASE!$M$6:$M$10002,PURCHASE!$D$6:$D$10002,$C$6:$C$4995)</f>
        <v>5722.64</v>
      </c>
      <c r="I84" s="72">
        <f>SUMIFS('GSTR-2A'!$M$6:$M$10000,'GSTR-2A'!$B$6:$B$10000,$C$6:$C$4995)</f>
        <v>5834.79</v>
      </c>
      <c r="J84" s="72">
        <f>SUMIFS(PURCHASE!$N$6:$N$10002,PURCHASE!$D$6:$D$10002,$C$6:$C$4995)</f>
        <v>5722.64</v>
      </c>
      <c r="K84" s="72">
        <f>SUMIFS('GSTR-2A'!$N$6:$N$10000,'GSTR-2A'!$B$6:$B$10000,$C$6:$C$4995)</f>
        <v>5834.79</v>
      </c>
      <c r="L84" s="72">
        <f t="shared" si="8"/>
        <v>-78768</v>
      </c>
      <c r="M84" s="72">
        <f t="shared" si="9"/>
        <v>0</v>
      </c>
      <c r="N84" s="72">
        <f t="shared" si="10"/>
        <v>-112.14999999999964</v>
      </c>
      <c r="O84" s="72">
        <f t="shared" si="11"/>
        <v>-112.14999999999964</v>
      </c>
      <c r="Q84" s="72">
        <f t="shared" si="12"/>
        <v>75026.28</v>
      </c>
      <c r="R84" s="72">
        <f t="shared" si="13"/>
        <v>154018.58000000002</v>
      </c>
      <c r="S84" s="72">
        <f t="shared" si="14"/>
        <v>-78992.300000000017</v>
      </c>
    </row>
    <row r="85" spans="1:19" x14ac:dyDescent="0.2">
      <c r="A85" s="497">
        <v>80</v>
      </c>
      <c r="B85" s="468" t="s">
        <v>629</v>
      </c>
      <c r="C85" s="469" t="s">
        <v>630</v>
      </c>
      <c r="D85" s="72">
        <f>SUMIFS(PURCHASE!$K$6:$K$10002,PURCHASE!$D$6:$D$10002,$C$6:$C$4995)</f>
        <v>5000</v>
      </c>
      <c r="E85" s="72">
        <f>SUMIFS('GSTR-2A'!$K$6:$K$10000,'GSTR-2A'!$B$6:$B$10000,$C$6:$C$4995)</f>
        <v>2600</v>
      </c>
      <c r="F85" s="72">
        <f>SUMIFS(PURCHASE!$L$6:$L$10002,PURCHASE!$D$6:$D$10002,$C$6:$C$4995)</f>
        <v>0</v>
      </c>
      <c r="G85" s="72">
        <f>SUMIFS('GSTR-2A'!$L$6:$L$10000,'GSTR-2A'!$B$6:$B$10000,$C$6:$C$4995)</f>
        <v>0</v>
      </c>
      <c r="H85" s="72">
        <f>SUMIFS(PURCHASE!$M$6:$M$10002,PURCHASE!$D$6:$D$10002,$C$6:$C$4995)</f>
        <v>450</v>
      </c>
      <c r="I85" s="72">
        <f>SUMIFS('GSTR-2A'!$M$6:$M$10000,'GSTR-2A'!$B$6:$B$10000,$C$6:$C$4995)</f>
        <v>234</v>
      </c>
      <c r="J85" s="72">
        <f>SUMIFS(PURCHASE!$N$6:$N$10002,PURCHASE!$D$6:$D$10002,$C$6:$C$4995)</f>
        <v>450</v>
      </c>
      <c r="K85" s="72">
        <f>SUMIFS('GSTR-2A'!$N$6:$N$10000,'GSTR-2A'!$B$6:$B$10000,$C$6:$C$4995)</f>
        <v>234</v>
      </c>
      <c r="L85" s="72">
        <f t="shared" si="8"/>
        <v>2400</v>
      </c>
      <c r="M85" s="72">
        <f t="shared" si="9"/>
        <v>0</v>
      </c>
      <c r="N85" s="72">
        <f t="shared" si="10"/>
        <v>216</v>
      </c>
      <c r="O85" s="72">
        <f t="shared" si="11"/>
        <v>216</v>
      </c>
      <c r="Q85" s="72">
        <f t="shared" si="12"/>
        <v>5900</v>
      </c>
      <c r="R85" s="72">
        <f t="shared" si="13"/>
        <v>3068</v>
      </c>
      <c r="S85" s="72">
        <f t="shared" si="14"/>
        <v>2832</v>
      </c>
    </row>
    <row r="86" spans="1:19" x14ac:dyDescent="0.2">
      <c r="A86" s="497">
        <v>81</v>
      </c>
      <c r="B86" s="479" t="s">
        <v>695</v>
      </c>
      <c r="C86" s="479" t="s">
        <v>696</v>
      </c>
      <c r="D86" s="72">
        <f>SUMIFS(PURCHASE!$K$6:$K$10002,PURCHASE!$D$6:$D$10002,$C$6:$C$4995)</f>
        <v>17580</v>
      </c>
      <c r="E86" s="72">
        <f>SUMIFS('GSTR-2A'!$K$6:$K$10000,'GSTR-2A'!$B$6:$B$10000,$C$6:$C$4995)</f>
        <v>0</v>
      </c>
      <c r="F86" s="72">
        <f>SUMIFS(PURCHASE!$L$6:$L$10002,PURCHASE!$D$6:$D$10002,$C$6:$C$4995)</f>
        <v>0</v>
      </c>
      <c r="G86" s="72">
        <f>SUMIFS('GSTR-2A'!$L$6:$L$10000,'GSTR-2A'!$B$6:$B$10000,$C$6:$C$4995)</f>
        <v>0</v>
      </c>
      <c r="H86" s="72">
        <f>SUMIFS(PURCHASE!$M$6:$M$10002,PURCHASE!$D$6:$D$10002,$C$6:$C$4995)</f>
        <v>1582.2</v>
      </c>
      <c r="I86" s="72">
        <f>SUMIFS('GSTR-2A'!$M$6:$M$10000,'GSTR-2A'!$B$6:$B$10000,$C$6:$C$4995)</f>
        <v>0</v>
      </c>
      <c r="J86" s="72">
        <f>SUMIFS(PURCHASE!$N$6:$N$10002,PURCHASE!$D$6:$D$10002,$C$6:$C$4995)</f>
        <v>1582.2</v>
      </c>
      <c r="K86" s="72">
        <f>SUMIFS('GSTR-2A'!$N$6:$N$10000,'GSTR-2A'!$B$6:$B$10000,$C$6:$C$4995)</f>
        <v>0</v>
      </c>
      <c r="L86" s="72">
        <f t="shared" si="8"/>
        <v>17580</v>
      </c>
      <c r="M86" s="72">
        <f t="shared" si="9"/>
        <v>0</v>
      </c>
      <c r="N86" s="72">
        <f t="shared" si="10"/>
        <v>1582.2</v>
      </c>
      <c r="O86" s="72">
        <f t="shared" si="11"/>
        <v>1582.2</v>
      </c>
      <c r="Q86" s="72">
        <f t="shared" si="12"/>
        <v>20744.400000000001</v>
      </c>
      <c r="R86" s="72">
        <f t="shared" si="13"/>
        <v>0</v>
      </c>
      <c r="S86" s="72">
        <f t="shared" si="14"/>
        <v>20744.400000000001</v>
      </c>
    </row>
    <row r="87" spans="1:19" x14ac:dyDescent="0.2">
      <c r="A87" s="497">
        <v>82</v>
      </c>
      <c r="B87" s="468" t="s">
        <v>1134</v>
      </c>
      <c r="C87" s="469" t="s">
        <v>1135</v>
      </c>
      <c r="D87" s="72">
        <f>SUMIFS(PURCHASE!$K$6:$K$10002,PURCHASE!$D$6:$D$10002,$C$6:$C$4995)</f>
        <v>0</v>
      </c>
      <c r="E87" s="72">
        <f>SUMIFS('GSTR-2A'!$K$6:$K$10000,'GSTR-2A'!$B$6:$B$10000,$C$6:$C$4995)</f>
        <v>0</v>
      </c>
      <c r="F87" s="72">
        <f>SUMIFS(PURCHASE!$L$6:$L$10002,PURCHASE!$D$6:$D$10002,$C$6:$C$4995)</f>
        <v>0</v>
      </c>
      <c r="G87" s="72">
        <f>SUMIFS('GSTR-2A'!$L$6:$L$10000,'GSTR-2A'!$B$6:$B$10000,$C$6:$C$4995)</f>
        <v>0</v>
      </c>
      <c r="H87" s="72">
        <f>SUMIFS(PURCHASE!$M$6:$M$10002,PURCHASE!$D$6:$D$10002,$C$6:$C$4995)</f>
        <v>0</v>
      </c>
      <c r="I87" s="72">
        <f>SUMIFS('GSTR-2A'!$M$6:$M$10000,'GSTR-2A'!$B$6:$B$10000,$C$6:$C$4995)</f>
        <v>0</v>
      </c>
      <c r="J87" s="72">
        <f>SUMIFS(PURCHASE!$N$6:$N$10002,PURCHASE!$D$6:$D$10002,$C$6:$C$4995)</f>
        <v>0</v>
      </c>
      <c r="K87" s="72">
        <f>SUMIFS('GSTR-2A'!$N$6:$N$10000,'GSTR-2A'!$B$6:$B$10000,$C$6:$C$4995)</f>
        <v>0</v>
      </c>
      <c r="L87" s="72">
        <f t="shared" si="8"/>
        <v>0</v>
      </c>
      <c r="M87" s="72">
        <f t="shared" si="9"/>
        <v>0</v>
      </c>
      <c r="N87" s="72">
        <f t="shared" si="10"/>
        <v>0</v>
      </c>
      <c r="O87" s="72">
        <f t="shared" si="11"/>
        <v>0</v>
      </c>
      <c r="Q87" s="72">
        <f t="shared" si="12"/>
        <v>0</v>
      </c>
      <c r="R87" s="72">
        <f t="shared" si="13"/>
        <v>0</v>
      </c>
      <c r="S87" s="72">
        <f t="shared" si="14"/>
        <v>0</v>
      </c>
    </row>
    <row r="88" spans="1:19" x14ac:dyDescent="0.2">
      <c r="A88" s="497">
        <v>83</v>
      </c>
      <c r="B88" s="479" t="s">
        <v>712</v>
      </c>
      <c r="C88" s="479" t="s">
        <v>713</v>
      </c>
      <c r="D88" s="72">
        <f>SUMIFS(PURCHASE!$K$6:$K$10002,PURCHASE!$D$6:$D$10002,$C$6:$C$4995)</f>
        <v>6912</v>
      </c>
      <c r="E88" s="72">
        <f>SUMIFS('GSTR-2A'!$K$6:$K$10000,'GSTR-2A'!$B$6:$B$10000,$C$6:$C$4995)</f>
        <v>6912</v>
      </c>
      <c r="F88" s="72">
        <f>SUMIFS(PURCHASE!$L$6:$L$10002,PURCHASE!$D$6:$D$10002,$C$6:$C$4995)</f>
        <v>0</v>
      </c>
      <c r="G88" s="72">
        <f>SUMIFS('GSTR-2A'!$L$6:$L$10000,'GSTR-2A'!$B$6:$B$10000,$C$6:$C$4995)</f>
        <v>0</v>
      </c>
      <c r="H88" s="72">
        <f>SUMIFS(PURCHASE!$M$6:$M$10002,PURCHASE!$D$6:$D$10002,$C$6:$C$4995)</f>
        <v>622.08000000000004</v>
      </c>
      <c r="I88" s="72">
        <f>SUMIFS('GSTR-2A'!$M$6:$M$10000,'GSTR-2A'!$B$6:$B$10000,$C$6:$C$4995)</f>
        <v>622</v>
      </c>
      <c r="J88" s="72">
        <f>SUMIFS(PURCHASE!$N$6:$N$10002,PURCHASE!$D$6:$D$10002,$C$6:$C$4995)</f>
        <v>622.08000000000004</v>
      </c>
      <c r="K88" s="72">
        <f>SUMIFS('GSTR-2A'!$N$6:$N$10000,'GSTR-2A'!$B$6:$B$10000,$C$6:$C$4995)</f>
        <v>622</v>
      </c>
      <c r="L88" s="72">
        <f t="shared" si="8"/>
        <v>0</v>
      </c>
      <c r="M88" s="72">
        <f t="shared" si="9"/>
        <v>0</v>
      </c>
      <c r="N88" s="72">
        <f t="shared" si="10"/>
        <v>8.0000000000040927E-2</v>
      </c>
      <c r="O88" s="72">
        <f t="shared" si="11"/>
        <v>8.0000000000040927E-2</v>
      </c>
      <c r="Q88" s="72">
        <f t="shared" si="12"/>
        <v>8156.16</v>
      </c>
      <c r="R88" s="72">
        <f t="shared" si="13"/>
        <v>8156</v>
      </c>
      <c r="S88" s="72">
        <f t="shared" si="14"/>
        <v>0.15999999999985448</v>
      </c>
    </row>
    <row r="89" spans="1:19" x14ac:dyDescent="0.2">
      <c r="A89" s="497">
        <v>84</v>
      </c>
      <c r="B89" s="475" t="s">
        <v>1136</v>
      </c>
      <c r="C89" s="475" t="s">
        <v>1137</v>
      </c>
      <c r="D89" s="72">
        <f>SUMIFS(PURCHASE!$K$6:$K$10002,PURCHASE!$D$6:$D$10002,$C$6:$C$4995)</f>
        <v>0</v>
      </c>
      <c r="E89" s="72">
        <f>SUMIFS('GSTR-2A'!$K$6:$K$10000,'GSTR-2A'!$B$6:$B$10000,$C$6:$C$4995)</f>
        <v>0</v>
      </c>
      <c r="F89" s="72">
        <f>SUMIFS(PURCHASE!$L$6:$L$10002,PURCHASE!$D$6:$D$10002,$C$6:$C$4995)</f>
        <v>0</v>
      </c>
      <c r="G89" s="72">
        <f>SUMIFS('GSTR-2A'!$L$6:$L$10000,'GSTR-2A'!$B$6:$B$10000,$C$6:$C$4995)</f>
        <v>0</v>
      </c>
      <c r="H89" s="72">
        <f>SUMIFS(PURCHASE!$M$6:$M$10002,PURCHASE!$D$6:$D$10002,$C$6:$C$4995)</f>
        <v>0</v>
      </c>
      <c r="I89" s="72">
        <f>SUMIFS('GSTR-2A'!$M$6:$M$10000,'GSTR-2A'!$B$6:$B$10000,$C$6:$C$4995)</f>
        <v>0</v>
      </c>
      <c r="J89" s="72">
        <f>SUMIFS(PURCHASE!$N$6:$N$10002,PURCHASE!$D$6:$D$10002,$C$6:$C$4995)</f>
        <v>0</v>
      </c>
      <c r="K89" s="72">
        <f>SUMIFS('GSTR-2A'!$N$6:$N$10000,'GSTR-2A'!$B$6:$B$10000,$C$6:$C$4995)</f>
        <v>0</v>
      </c>
      <c r="L89" s="72">
        <f t="shared" si="8"/>
        <v>0</v>
      </c>
      <c r="M89" s="72">
        <f t="shared" si="9"/>
        <v>0</v>
      </c>
      <c r="N89" s="72">
        <f t="shared" si="10"/>
        <v>0</v>
      </c>
      <c r="O89" s="72">
        <f t="shared" si="11"/>
        <v>0</v>
      </c>
      <c r="Q89" s="72">
        <f t="shared" si="12"/>
        <v>0</v>
      </c>
      <c r="R89" s="72">
        <f t="shared" si="13"/>
        <v>0</v>
      </c>
      <c r="S89" s="72">
        <f t="shared" si="14"/>
        <v>0</v>
      </c>
    </row>
    <row r="90" spans="1:19" x14ac:dyDescent="0.2">
      <c r="A90" s="497">
        <v>85</v>
      </c>
      <c r="B90" s="476" t="s">
        <v>708</v>
      </c>
      <c r="C90" s="477" t="s">
        <v>709</v>
      </c>
      <c r="D90" s="72">
        <f>SUMIFS(PURCHASE!$K$6:$K$10002,PURCHASE!$D$6:$D$10002,$C$6:$C$4995)</f>
        <v>367442</v>
      </c>
      <c r="E90" s="72">
        <f>SUMIFS('GSTR-2A'!$K$6:$K$10000,'GSTR-2A'!$B$6:$B$10000,$C$6:$C$4995)</f>
        <v>367442.44</v>
      </c>
      <c r="F90" s="72">
        <f>SUMIFS(PURCHASE!$L$6:$L$10002,PURCHASE!$D$6:$D$10002,$C$6:$C$4995)</f>
        <v>66139.56</v>
      </c>
      <c r="G90" s="72">
        <f>SUMIFS('GSTR-2A'!$L$6:$L$10000,'GSTR-2A'!$B$6:$B$10000,$C$6:$C$4995)</f>
        <v>66139.64</v>
      </c>
      <c r="H90" s="72">
        <f>SUMIFS(PURCHASE!$M$6:$M$10002,PURCHASE!$D$6:$D$10002,$C$6:$C$4995)</f>
        <v>0</v>
      </c>
      <c r="I90" s="72">
        <f>SUMIFS('GSTR-2A'!$M$6:$M$10000,'GSTR-2A'!$B$6:$B$10000,$C$6:$C$4995)</f>
        <v>0</v>
      </c>
      <c r="J90" s="72">
        <f>SUMIFS(PURCHASE!$N$6:$N$10002,PURCHASE!$D$6:$D$10002,$C$6:$C$4995)</f>
        <v>0</v>
      </c>
      <c r="K90" s="72">
        <f>SUMIFS('GSTR-2A'!$N$6:$N$10000,'GSTR-2A'!$B$6:$B$10000,$C$6:$C$4995)</f>
        <v>0</v>
      </c>
      <c r="L90" s="72">
        <f t="shared" si="8"/>
        <v>-0.44000000000232831</v>
      </c>
      <c r="M90" s="72">
        <f t="shared" si="9"/>
        <v>-8.000000000174623E-2</v>
      </c>
      <c r="N90" s="72">
        <f t="shared" si="10"/>
        <v>0</v>
      </c>
      <c r="O90" s="72">
        <f t="shared" si="11"/>
        <v>0</v>
      </c>
      <c r="Q90" s="72">
        <f t="shared" si="12"/>
        <v>433581.56</v>
      </c>
      <c r="R90" s="72">
        <f t="shared" si="13"/>
        <v>433582.08000000002</v>
      </c>
      <c r="S90" s="72">
        <f t="shared" si="14"/>
        <v>-0.52000000001862645</v>
      </c>
    </row>
    <row r="91" spans="1:19" x14ac:dyDescent="0.2">
      <c r="A91" s="497">
        <v>86</v>
      </c>
      <c r="B91" s="468" t="s">
        <v>829</v>
      </c>
      <c r="C91" s="469" t="s">
        <v>830</v>
      </c>
      <c r="D91" s="72">
        <f>SUMIFS(PURCHASE!$K$6:$K$10002,PURCHASE!$D$6:$D$10002,$C$6:$C$4995)</f>
        <v>5709</v>
      </c>
      <c r="E91" s="72">
        <f>SUMIFS('GSTR-2A'!$K$6:$K$10000,'GSTR-2A'!$B$6:$B$10000,$C$6:$C$4995)</f>
        <v>0</v>
      </c>
      <c r="F91" s="72">
        <f>SUMIFS(PURCHASE!$L$6:$L$10002,PURCHASE!$D$6:$D$10002,$C$6:$C$4995)</f>
        <v>0</v>
      </c>
      <c r="G91" s="72">
        <f>SUMIFS('GSTR-2A'!$L$6:$L$10000,'GSTR-2A'!$B$6:$B$10000,$C$6:$C$4995)</f>
        <v>0</v>
      </c>
      <c r="H91" s="72">
        <f>SUMIFS(PURCHASE!$M$6:$M$10002,PURCHASE!$D$6:$D$10002,$C$6:$C$4995)</f>
        <v>513.81000000000006</v>
      </c>
      <c r="I91" s="72">
        <f>SUMIFS('GSTR-2A'!$M$6:$M$10000,'GSTR-2A'!$B$6:$B$10000,$C$6:$C$4995)</f>
        <v>0</v>
      </c>
      <c r="J91" s="72">
        <f>SUMIFS(PURCHASE!$N$6:$N$10002,PURCHASE!$D$6:$D$10002,$C$6:$C$4995)</f>
        <v>513.81000000000006</v>
      </c>
      <c r="K91" s="72">
        <f>SUMIFS('GSTR-2A'!$N$6:$N$10000,'GSTR-2A'!$B$6:$B$10000,$C$6:$C$4995)</f>
        <v>0</v>
      </c>
      <c r="L91" s="72">
        <f t="shared" si="8"/>
        <v>5709</v>
      </c>
      <c r="M91" s="72">
        <f t="shared" si="9"/>
        <v>0</v>
      </c>
      <c r="N91" s="72">
        <f t="shared" si="10"/>
        <v>513.81000000000006</v>
      </c>
      <c r="O91" s="72">
        <f t="shared" si="11"/>
        <v>513.81000000000006</v>
      </c>
      <c r="Q91" s="72">
        <f t="shared" si="12"/>
        <v>6736.6200000000008</v>
      </c>
      <c r="R91" s="72">
        <f t="shared" si="13"/>
        <v>0</v>
      </c>
      <c r="S91" s="72">
        <f t="shared" si="14"/>
        <v>6736.6200000000008</v>
      </c>
    </row>
    <row r="92" spans="1:19" x14ac:dyDescent="0.2">
      <c r="A92" s="497">
        <v>87</v>
      </c>
      <c r="B92" s="479" t="s">
        <v>722</v>
      </c>
      <c r="C92" s="479" t="s">
        <v>723</v>
      </c>
      <c r="D92" s="72">
        <f>SUMIFS(PURCHASE!$K$6:$K$10002,PURCHASE!$D$6:$D$10002,$C$6:$C$4995)</f>
        <v>30500</v>
      </c>
      <c r="E92" s="72">
        <f>SUMIFS('GSTR-2A'!$K$6:$K$10000,'GSTR-2A'!$B$6:$B$10000,$C$6:$C$4995)</f>
        <v>30500</v>
      </c>
      <c r="F92" s="72">
        <f>SUMIFS(PURCHASE!$L$6:$L$10002,PURCHASE!$D$6:$D$10002,$C$6:$C$4995)</f>
        <v>0</v>
      </c>
      <c r="G92" s="72">
        <f>SUMIFS('GSTR-2A'!$L$6:$L$10000,'GSTR-2A'!$B$6:$B$10000,$C$6:$C$4995)</f>
        <v>0</v>
      </c>
      <c r="H92" s="72">
        <f>SUMIFS(PURCHASE!$M$6:$M$10002,PURCHASE!$D$6:$D$10002,$C$6:$C$4995)</f>
        <v>2745</v>
      </c>
      <c r="I92" s="72">
        <f>SUMIFS('GSTR-2A'!$M$6:$M$10000,'GSTR-2A'!$B$6:$B$10000,$C$6:$C$4995)</f>
        <v>2745</v>
      </c>
      <c r="J92" s="72">
        <f>SUMIFS(PURCHASE!$N$6:$N$10002,PURCHASE!$D$6:$D$10002,$C$6:$C$4995)</f>
        <v>2745</v>
      </c>
      <c r="K92" s="72">
        <f>SUMIFS('GSTR-2A'!$N$6:$N$10000,'GSTR-2A'!$B$6:$B$10000,$C$6:$C$4995)</f>
        <v>2745</v>
      </c>
      <c r="L92" s="72">
        <f t="shared" si="8"/>
        <v>0</v>
      </c>
      <c r="M92" s="72">
        <f t="shared" si="9"/>
        <v>0</v>
      </c>
      <c r="N92" s="72">
        <f t="shared" si="10"/>
        <v>0</v>
      </c>
      <c r="O92" s="72">
        <f t="shared" si="11"/>
        <v>0</v>
      </c>
      <c r="Q92" s="72">
        <f t="shared" si="12"/>
        <v>35990</v>
      </c>
      <c r="R92" s="72">
        <f t="shared" si="13"/>
        <v>35990</v>
      </c>
      <c r="S92" s="72">
        <f t="shared" si="14"/>
        <v>0</v>
      </c>
    </row>
    <row r="93" spans="1:19" x14ac:dyDescent="0.2">
      <c r="A93" s="497">
        <v>88</v>
      </c>
      <c r="B93" s="468" t="s">
        <v>1138</v>
      </c>
      <c r="C93" s="469" t="s">
        <v>1139</v>
      </c>
      <c r="D93" s="72">
        <f>SUMIFS(PURCHASE!$K$6:$K$10002,PURCHASE!$D$6:$D$10002,$C$6:$C$4995)</f>
        <v>0</v>
      </c>
      <c r="E93" s="72">
        <f>SUMIFS('GSTR-2A'!$K$6:$K$10000,'GSTR-2A'!$B$6:$B$10000,$C$6:$C$4995)</f>
        <v>0</v>
      </c>
      <c r="F93" s="72">
        <f>SUMIFS(PURCHASE!$L$6:$L$10002,PURCHASE!$D$6:$D$10002,$C$6:$C$4995)</f>
        <v>0</v>
      </c>
      <c r="G93" s="72">
        <f>SUMIFS('GSTR-2A'!$L$6:$L$10000,'GSTR-2A'!$B$6:$B$10000,$C$6:$C$4995)</f>
        <v>0</v>
      </c>
      <c r="H93" s="72">
        <f>SUMIFS(PURCHASE!$M$6:$M$10002,PURCHASE!$D$6:$D$10002,$C$6:$C$4995)</f>
        <v>0</v>
      </c>
      <c r="I93" s="72">
        <f>SUMIFS('GSTR-2A'!$M$6:$M$10000,'GSTR-2A'!$B$6:$B$10000,$C$6:$C$4995)</f>
        <v>0</v>
      </c>
      <c r="J93" s="72">
        <f>SUMIFS(PURCHASE!$N$6:$N$10002,PURCHASE!$D$6:$D$10002,$C$6:$C$4995)</f>
        <v>0</v>
      </c>
      <c r="K93" s="72">
        <f>SUMIFS('GSTR-2A'!$N$6:$N$10000,'GSTR-2A'!$B$6:$B$10000,$C$6:$C$4995)</f>
        <v>0</v>
      </c>
      <c r="L93" s="72">
        <f t="shared" si="8"/>
        <v>0</v>
      </c>
      <c r="M93" s="72">
        <f t="shared" si="9"/>
        <v>0</v>
      </c>
      <c r="N93" s="72">
        <f t="shared" si="10"/>
        <v>0</v>
      </c>
      <c r="O93" s="72">
        <f t="shared" si="11"/>
        <v>0</v>
      </c>
      <c r="Q93" s="72">
        <f t="shared" si="12"/>
        <v>0</v>
      </c>
      <c r="R93" s="72">
        <f t="shared" si="13"/>
        <v>0</v>
      </c>
      <c r="S93" s="72">
        <f t="shared" si="14"/>
        <v>0</v>
      </c>
    </row>
    <row r="94" spans="1:19" x14ac:dyDescent="0.2">
      <c r="A94" s="497">
        <v>89</v>
      </c>
      <c r="B94" s="479" t="s">
        <v>747</v>
      </c>
      <c r="C94" s="479" t="s">
        <v>748</v>
      </c>
      <c r="D94" s="72">
        <f>SUMIFS(PURCHASE!$K$6:$K$10002,PURCHASE!$D$6:$D$10002,$C$6:$C$4995)</f>
        <v>368345</v>
      </c>
      <c r="E94" s="72">
        <f>SUMIFS('GSTR-2A'!$K$6:$K$10000,'GSTR-2A'!$B$6:$B$10000,$C$6:$C$4995)</f>
        <v>46500</v>
      </c>
      <c r="F94" s="72">
        <f>SUMIFS(PURCHASE!$L$6:$L$10002,PURCHASE!$D$6:$D$10002,$C$6:$C$4995)</f>
        <v>0</v>
      </c>
      <c r="G94" s="72">
        <f>SUMIFS('GSTR-2A'!$L$6:$L$10000,'GSTR-2A'!$B$6:$B$10000,$C$6:$C$4995)</f>
        <v>0</v>
      </c>
      <c r="H94" s="72">
        <f>SUMIFS(PURCHASE!$M$6:$M$10002,PURCHASE!$D$6:$D$10002,$C$6:$C$4995)</f>
        <v>33151.050000000003</v>
      </c>
      <c r="I94" s="72">
        <f>SUMIFS('GSTR-2A'!$M$6:$M$10000,'GSTR-2A'!$B$6:$B$10000,$C$6:$C$4995)</f>
        <v>4185</v>
      </c>
      <c r="J94" s="72">
        <f>SUMIFS(PURCHASE!$N$6:$N$10002,PURCHASE!$D$6:$D$10002,$C$6:$C$4995)</f>
        <v>33151.050000000003</v>
      </c>
      <c r="K94" s="72">
        <f>SUMIFS('GSTR-2A'!$N$6:$N$10000,'GSTR-2A'!$B$6:$B$10000,$C$6:$C$4995)</f>
        <v>4185</v>
      </c>
      <c r="L94" s="72">
        <f t="shared" si="8"/>
        <v>321845</v>
      </c>
      <c r="M94" s="72">
        <f t="shared" si="9"/>
        <v>0</v>
      </c>
      <c r="N94" s="72">
        <f t="shared" si="10"/>
        <v>28966.050000000003</v>
      </c>
      <c r="O94" s="72">
        <f t="shared" si="11"/>
        <v>28966.050000000003</v>
      </c>
      <c r="Q94" s="72">
        <f t="shared" si="12"/>
        <v>434647.1</v>
      </c>
      <c r="R94" s="72">
        <f t="shared" si="13"/>
        <v>54870</v>
      </c>
      <c r="S94" s="72">
        <f t="shared" si="14"/>
        <v>379777.1</v>
      </c>
    </row>
    <row r="95" spans="1:19" x14ac:dyDescent="0.2">
      <c r="A95" s="497">
        <v>90</v>
      </c>
      <c r="B95" s="468" t="s">
        <v>634</v>
      </c>
      <c r="C95" s="469" t="s">
        <v>635</v>
      </c>
      <c r="D95" s="72">
        <f>SUMIFS(PURCHASE!$K$6:$K$10002,PURCHASE!$D$6:$D$10002,$C$6:$C$4995)</f>
        <v>69184</v>
      </c>
      <c r="E95" s="72">
        <f>SUMIFS('GSTR-2A'!$K$6:$K$10000,'GSTR-2A'!$B$6:$B$10000,$C$6:$C$4995)</f>
        <v>61339</v>
      </c>
      <c r="F95" s="72">
        <f>SUMIFS(PURCHASE!$L$6:$L$10002,PURCHASE!$D$6:$D$10002,$C$6:$C$4995)</f>
        <v>0</v>
      </c>
      <c r="G95" s="72">
        <f>SUMIFS('GSTR-2A'!$L$6:$L$10000,'GSTR-2A'!$B$6:$B$10000,$C$6:$C$4995)</f>
        <v>0</v>
      </c>
      <c r="H95" s="72">
        <f>SUMIFS(PURCHASE!$M$6:$M$10002,PURCHASE!$D$6:$D$10002,$C$6:$C$4995)</f>
        <v>6042.0600000000013</v>
      </c>
      <c r="I95" s="72">
        <f>SUMIFS('GSTR-2A'!$M$6:$M$10000,'GSTR-2A'!$B$6:$B$10000,$C$6:$C$4995)</f>
        <v>5520.51</v>
      </c>
      <c r="J95" s="72">
        <f>SUMIFS(PURCHASE!$N$6:$N$10002,PURCHASE!$D$6:$D$10002,$C$6:$C$4995)</f>
        <v>6042.0600000000013</v>
      </c>
      <c r="K95" s="72">
        <f>SUMIFS('GSTR-2A'!$N$6:$N$10000,'GSTR-2A'!$B$6:$B$10000,$C$6:$C$4995)</f>
        <v>5520.51</v>
      </c>
      <c r="L95" s="72">
        <f t="shared" si="8"/>
        <v>7845</v>
      </c>
      <c r="M95" s="72">
        <f t="shared" si="9"/>
        <v>0</v>
      </c>
      <c r="N95" s="72">
        <f t="shared" si="10"/>
        <v>521.55000000000109</v>
      </c>
      <c r="O95" s="72">
        <f t="shared" si="11"/>
        <v>521.55000000000109</v>
      </c>
      <c r="Q95" s="72">
        <f t="shared" si="12"/>
        <v>81268.12</v>
      </c>
      <c r="R95" s="72">
        <f t="shared" si="13"/>
        <v>72380.01999999999</v>
      </c>
      <c r="S95" s="72">
        <f t="shared" si="14"/>
        <v>8888.1000000000058</v>
      </c>
    </row>
    <row r="96" spans="1:19" x14ac:dyDescent="0.2">
      <c r="A96" s="497">
        <v>91</v>
      </c>
      <c r="B96" s="468" t="s">
        <v>1140</v>
      </c>
      <c r="C96" s="469" t="s">
        <v>1141</v>
      </c>
      <c r="D96" s="72">
        <f>SUMIFS(PURCHASE!$K$6:$K$10002,PURCHASE!$D$6:$D$10002,$C$6:$C$4995)</f>
        <v>0</v>
      </c>
      <c r="E96" s="72">
        <f>SUMIFS('GSTR-2A'!$K$6:$K$10000,'GSTR-2A'!$B$6:$B$10000,$C$6:$C$4995)</f>
        <v>0</v>
      </c>
      <c r="F96" s="72">
        <f>SUMIFS(PURCHASE!$L$6:$L$10002,PURCHASE!$D$6:$D$10002,$C$6:$C$4995)</f>
        <v>0</v>
      </c>
      <c r="G96" s="72">
        <f>SUMIFS('GSTR-2A'!$L$6:$L$10000,'GSTR-2A'!$B$6:$B$10000,$C$6:$C$4995)</f>
        <v>0</v>
      </c>
      <c r="H96" s="72">
        <f>SUMIFS(PURCHASE!$M$6:$M$10002,PURCHASE!$D$6:$D$10002,$C$6:$C$4995)</f>
        <v>0</v>
      </c>
      <c r="I96" s="72">
        <f>SUMIFS('GSTR-2A'!$M$6:$M$10000,'GSTR-2A'!$B$6:$B$10000,$C$6:$C$4995)</f>
        <v>0</v>
      </c>
      <c r="J96" s="72">
        <f>SUMIFS(PURCHASE!$N$6:$N$10002,PURCHASE!$D$6:$D$10002,$C$6:$C$4995)</f>
        <v>0</v>
      </c>
      <c r="K96" s="72">
        <f>SUMIFS('GSTR-2A'!$N$6:$N$10000,'GSTR-2A'!$B$6:$B$10000,$C$6:$C$4995)</f>
        <v>0</v>
      </c>
      <c r="L96" s="72">
        <f t="shared" si="8"/>
        <v>0</v>
      </c>
      <c r="M96" s="72">
        <f t="shared" si="9"/>
        <v>0</v>
      </c>
      <c r="N96" s="72">
        <f t="shared" si="10"/>
        <v>0</v>
      </c>
      <c r="O96" s="72">
        <f t="shared" si="11"/>
        <v>0</v>
      </c>
      <c r="Q96" s="72">
        <f t="shared" si="12"/>
        <v>0</v>
      </c>
      <c r="R96" s="72">
        <f t="shared" si="13"/>
        <v>0</v>
      </c>
      <c r="S96" s="72">
        <f t="shared" si="14"/>
        <v>0</v>
      </c>
    </row>
    <row r="97" spans="1:19" x14ac:dyDescent="0.2">
      <c r="A97" s="497">
        <v>92</v>
      </c>
      <c r="B97" s="468" t="s">
        <v>495</v>
      </c>
      <c r="C97" s="469" t="s">
        <v>74</v>
      </c>
      <c r="D97" s="72">
        <f>SUMIFS(PURCHASE!$K$6:$K$10002,PURCHASE!$D$6:$D$10002,$C$6:$C$4995)</f>
        <v>1602377.22</v>
      </c>
      <c r="E97" s="72">
        <f>SUMIFS('GSTR-2A'!$K$6:$K$10000,'GSTR-2A'!$B$6:$B$10000,$C$6:$C$4995)</f>
        <v>1602377.22</v>
      </c>
      <c r="F97" s="72">
        <f>SUMIFS(PURCHASE!$L$6:$L$10002,PURCHASE!$D$6:$D$10002,$C$6:$C$4995)</f>
        <v>0</v>
      </c>
      <c r="G97" s="72">
        <f>SUMIFS('GSTR-2A'!$L$6:$L$10000,'GSTR-2A'!$B$6:$B$10000,$C$6:$C$4995)</f>
        <v>0</v>
      </c>
      <c r="H97" s="72">
        <f>SUMIFS(PURCHASE!$M$6:$M$10002,PURCHASE!$D$6:$D$10002,$C$6:$C$4995)</f>
        <v>144213.95980000001</v>
      </c>
      <c r="I97" s="72">
        <f>SUMIFS('GSTR-2A'!$M$6:$M$10000,'GSTR-2A'!$B$6:$B$10000,$C$6:$C$4995)</f>
        <v>144213.95000000001</v>
      </c>
      <c r="J97" s="72">
        <f>SUMIFS(PURCHASE!$N$6:$N$10002,PURCHASE!$D$6:$D$10002,$C$6:$C$4995)</f>
        <v>144213.95980000001</v>
      </c>
      <c r="K97" s="72">
        <f>SUMIFS('GSTR-2A'!$N$6:$N$10000,'GSTR-2A'!$B$6:$B$10000,$C$6:$C$4995)</f>
        <v>144213.95000000001</v>
      </c>
      <c r="L97" s="72">
        <f t="shared" si="8"/>
        <v>0</v>
      </c>
      <c r="M97" s="72">
        <f t="shared" si="9"/>
        <v>0</v>
      </c>
      <c r="N97" s="72">
        <f t="shared" si="10"/>
        <v>9.7999999998137355E-3</v>
      </c>
      <c r="O97" s="72">
        <f t="shared" si="11"/>
        <v>9.7999999998137355E-3</v>
      </c>
      <c r="Q97" s="72">
        <f t="shared" si="12"/>
        <v>1890805.1396000001</v>
      </c>
      <c r="R97" s="72">
        <f t="shared" si="13"/>
        <v>1890805.1199999999</v>
      </c>
      <c r="S97" s="72">
        <f t="shared" si="14"/>
        <v>1.9600000232458115E-2</v>
      </c>
    </row>
    <row r="98" spans="1:19" x14ac:dyDescent="0.2">
      <c r="A98" s="497">
        <v>93</v>
      </c>
      <c r="B98" s="468" t="s">
        <v>1142</v>
      </c>
      <c r="C98" s="469" t="s">
        <v>1143</v>
      </c>
      <c r="D98" s="72">
        <f>SUMIFS(PURCHASE!$K$6:$K$10002,PURCHASE!$D$6:$D$10002,$C$6:$C$4995)</f>
        <v>0</v>
      </c>
      <c r="E98" s="72">
        <f>SUMIFS('GSTR-2A'!$K$6:$K$10000,'GSTR-2A'!$B$6:$B$10000,$C$6:$C$4995)</f>
        <v>0</v>
      </c>
      <c r="F98" s="72">
        <f>SUMIFS(PURCHASE!$L$6:$L$10002,PURCHASE!$D$6:$D$10002,$C$6:$C$4995)</f>
        <v>0</v>
      </c>
      <c r="G98" s="72">
        <f>SUMIFS('GSTR-2A'!$L$6:$L$10000,'GSTR-2A'!$B$6:$B$10000,$C$6:$C$4995)</f>
        <v>0</v>
      </c>
      <c r="H98" s="72">
        <f>SUMIFS(PURCHASE!$M$6:$M$10002,PURCHASE!$D$6:$D$10002,$C$6:$C$4995)</f>
        <v>0</v>
      </c>
      <c r="I98" s="72">
        <f>SUMIFS('GSTR-2A'!$M$6:$M$10000,'GSTR-2A'!$B$6:$B$10000,$C$6:$C$4995)</f>
        <v>0</v>
      </c>
      <c r="J98" s="72">
        <f>SUMIFS(PURCHASE!$N$6:$N$10002,PURCHASE!$D$6:$D$10002,$C$6:$C$4995)</f>
        <v>0</v>
      </c>
      <c r="K98" s="72">
        <f>SUMIFS('GSTR-2A'!$N$6:$N$10000,'GSTR-2A'!$B$6:$B$10000,$C$6:$C$4995)</f>
        <v>0</v>
      </c>
      <c r="L98" s="72">
        <f t="shared" si="8"/>
        <v>0</v>
      </c>
      <c r="M98" s="72">
        <f t="shared" si="9"/>
        <v>0</v>
      </c>
      <c r="N98" s="72">
        <f t="shared" si="10"/>
        <v>0</v>
      </c>
      <c r="O98" s="72">
        <f t="shared" si="11"/>
        <v>0</v>
      </c>
      <c r="Q98" s="72">
        <f t="shared" si="12"/>
        <v>0</v>
      </c>
      <c r="R98" s="72">
        <f t="shared" si="13"/>
        <v>0</v>
      </c>
      <c r="S98" s="72">
        <f t="shared" si="14"/>
        <v>0</v>
      </c>
    </row>
    <row r="99" spans="1:19" x14ac:dyDescent="0.2">
      <c r="A99" s="497">
        <v>94</v>
      </c>
      <c r="B99" s="468" t="s">
        <v>1022</v>
      </c>
      <c r="C99" s="479" t="s">
        <v>1023</v>
      </c>
      <c r="D99" s="72">
        <f>SUMIFS(PURCHASE!$K$6:$K$10002,PURCHASE!$D$6:$D$10002,$C$6:$C$4995)</f>
        <v>76050</v>
      </c>
      <c r="E99" s="72">
        <f>SUMIFS('GSTR-2A'!$K$6:$K$10000,'GSTR-2A'!$B$6:$B$10000,$C$6:$C$4995)</f>
        <v>76050</v>
      </c>
      <c r="F99" s="72">
        <f>SUMIFS(PURCHASE!$L$6:$L$10002,PURCHASE!$D$6:$D$10002,$C$6:$C$4995)</f>
        <v>0</v>
      </c>
      <c r="G99" s="72">
        <f>SUMIFS('GSTR-2A'!$L$6:$L$10000,'GSTR-2A'!$B$6:$B$10000,$C$6:$C$4995)</f>
        <v>0</v>
      </c>
      <c r="H99" s="72">
        <f>SUMIFS(PURCHASE!$M$6:$M$10002,PURCHASE!$D$6:$D$10002,$C$6:$C$4995)</f>
        <v>10647</v>
      </c>
      <c r="I99" s="72">
        <f>SUMIFS('GSTR-2A'!$M$6:$M$10000,'GSTR-2A'!$B$6:$B$10000,$C$6:$C$4995)</f>
        <v>10647</v>
      </c>
      <c r="J99" s="72">
        <f>SUMIFS(PURCHASE!$N$6:$N$10002,PURCHASE!$D$6:$D$10002,$C$6:$C$4995)</f>
        <v>10647</v>
      </c>
      <c r="K99" s="72">
        <f>SUMIFS('GSTR-2A'!$N$6:$N$10000,'GSTR-2A'!$B$6:$B$10000,$C$6:$C$4995)</f>
        <v>10647</v>
      </c>
      <c r="L99" s="72">
        <f t="shared" si="8"/>
        <v>0</v>
      </c>
      <c r="M99" s="72">
        <f t="shared" si="9"/>
        <v>0</v>
      </c>
      <c r="N99" s="72">
        <f t="shared" si="10"/>
        <v>0</v>
      </c>
      <c r="O99" s="72">
        <f t="shared" si="11"/>
        <v>0</v>
      </c>
      <c r="Q99" s="72">
        <f t="shared" si="12"/>
        <v>97344</v>
      </c>
      <c r="R99" s="72">
        <f t="shared" si="13"/>
        <v>97344</v>
      </c>
      <c r="S99" s="72">
        <f t="shared" si="14"/>
        <v>0</v>
      </c>
    </row>
    <row r="100" spans="1:19" x14ac:dyDescent="0.2">
      <c r="A100" s="497">
        <v>95</v>
      </c>
      <c r="B100" s="468" t="s">
        <v>881</v>
      </c>
      <c r="C100" s="469" t="s">
        <v>882</v>
      </c>
      <c r="D100" s="72">
        <f>SUMIFS(PURCHASE!$K$6:$K$10002,PURCHASE!$D$6:$D$10002,$C$6:$C$4995)</f>
        <v>15000</v>
      </c>
      <c r="E100" s="72">
        <f>SUMIFS('GSTR-2A'!$K$6:$K$10000,'GSTR-2A'!$B$6:$B$10000,$C$6:$C$4995)</f>
        <v>15000</v>
      </c>
      <c r="F100" s="72">
        <f>SUMIFS(PURCHASE!$L$6:$L$10002,PURCHASE!$D$6:$D$10002,$C$6:$C$4995)</f>
        <v>0</v>
      </c>
      <c r="G100" s="72">
        <f>SUMIFS('GSTR-2A'!$L$6:$L$10000,'GSTR-2A'!$B$6:$B$10000,$C$6:$C$4995)</f>
        <v>0</v>
      </c>
      <c r="H100" s="72">
        <f>SUMIFS(PURCHASE!$M$6:$M$10002,PURCHASE!$D$6:$D$10002,$C$6:$C$4995)</f>
        <v>1350</v>
      </c>
      <c r="I100" s="72">
        <f>SUMIFS('GSTR-2A'!$M$6:$M$10000,'GSTR-2A'!$B$6:$B$10000,$C$6:$C$4995)</f>
        <v>1350</v>
      </c>
      <c r="J100" s="72">
        <f>SUMIFS(PURCHASE!$N$6:$N$10002,PURCHASE!$D$6:$D$10002,$C$6:$C$4995)</f>
        <v>1350</v>
      </c>
      <c r="K100" s="72">
        <f>SUMIFS('GSTR-2A'!$N$6:$N$10000,'GSTR-2A'!$B$6:$B$10000,$C$6:$C$4995)</f>
        <v>1350</v>
      </c>
      <c r="L100" s="72">
        <f t="shared" si="8"/>
        <v>0</v>
      </c>
      <c r="M100" s="72">
        <f t="shared" si="9"/>
        <v>0</v>
      </c>
      <c r="N100" s="72">
        <f t="shared" si="10"/>
        <v>0</v>
      </c>
      <c r="O100" s="72">
        <f t="shared" si="11"/>
        <v>0</v>
      </c>
      <c r="Q100" s="72">
        <f t="shared" si="12"/>
        <v>17700</v>
      </c>
      <c r="R100" s="72">
        <f t="shared" si="13"/>
        <v>17700</v>
      </c>
      <c r="S100" s="72">
        <f t="shared" si="14"/>
        <v>0</v>
      </c>
    </row>
    <row r="101" spans="1:19" x14ac:dyDescent="0.2">
      <c r="A101" s="497">
        <v>96</v>
      </c>
      <c r="B101" s="475" t="s">
        <v>1144</v>
      </c>
      <c r="C101" s="469" t="s">
        <v>1145</v>
      </c>
      <c r="D101" s="72">
        <f>SUMIFS(PURCHASE!$K$6:$K$10002,PURCHASE!$D$6:$D$10002,$C$6:$C$4995)</f>
        <v>0</v>
      </c>
      <c r="E101" s="72">
        <f>SUMIFS('GSTR-2A'!$K$6:$K$10000,'GSTR-2A'!$B$6:$B$10000,$C$6:$C$4995)</f>
        <v>0</v>
      </c>
      <c r="F101" s="72">
        <f>SUMIFS(PURCHASE!$L$6:$L$10002,PURCHASE!$D$6:$D$10002,$C$6:$C$4995)</f>
        <v>0</v>
      </c>
      <c r="G101" s="72">
        <f>SUMIFS('GSTR-2A'!$L$6:$L$10000,'GSTR-2A'!$B$6:$B$10000,$C$6:$C$4995)</f>
        <v>0</v>
      </c>
      <c r="H101" s="72">
        <f>SUMIFS(PURCHASE!$M$6:$M$10002,PURCHASE!$D$6:$D$10002,$C$6:$C$4995)</f>
        <v>0</v>
      </c>
      <c r="I101" s="72">
        <f>SUMIFS('GSTR-2A'!$M$6:$M$10000,'GSTR-2A'!$B$6:$B$10000,$C$6:$C$4995)</f>
        <v>0</v>
      </c>
      <c r="J101" s="72">
        <f>SUMIFS(PURCHASE!$N$6:$N$10002,PURCHASE!$D$6:$D$10002,$C$6:$C$4995)</f>
        <v>0</v>
      </c>
      <c r="K101" s="72">
        <f>SUMIFS('GSTR-2A'!$N$6:$N$10000,'GSTR-2A'!$B$6:$B$10000,$C$6:$C$4995)</f>
        <v>0</v>
      </c>
      <c r="L101" s="72">
        <f t="shared" si="8"/>
        <v>0</v>
      </c>
      <c r="M101" s="72">
        <f t="shared" si="9"/>
        <v>0</v>
      </c>
      <c r="N101" s="72">
        <f t="shared" si="10"/>
        <v>0</v>
      </c>
      <c r="O101" s="72">
        <f t="shared" si="11"/>
        <v>0</v>
      </c>
      <c r="Q101" s="72">
        <f t="shared" si="12"/>
        <v>0</v>
      </c>
      <c r="R101" s="72">
        <f t="shared" si="13"/>
        <v>0</v>
      </c>
      <c r="S101" s="72">
        <f t="shared" si="14"/>
        <v>0</v>
      </c>
    </row>
    <row r="102" spans="1:19" x14ac:dyDescent="0.2">
      <c r="A102" s="497">
        <v>97</v>
      </c>
      <c r="B102" s="468" t="s">
        <v>1146</v>
      </c>
      <c r="C102" s="469" t="s">
        <v>1147</v>
      </c>
      <c r="D102" s="72">
        <f>SUMIFS(PURCHASE!$K$6:$K$10002,PURCHASE!$D$6:$D$10002,$C$6:$C$4995)</f>
        <v>0</v>
      </c>
      <c r="E102" s="72">
        <f>SUMIFS('GSTR-2A'!$K$6:$K$10000,'GSTR-2A'!$B$6:$B$10000,$C$6:$C$4995)</f>
        <v>0</v>
      </c>
      <c r="F102" s="72">
        <f>SUMIFS(PURCHASE!$L$6:$L$10002,PURCHASE!$D$6:$D$10002,$C$6:$C$4995)</f>
        <v>0</v>
      </c>
      <c r="G102" s="72">
        <f>SUMIFS('GSTR-2A'!$L$6:$L$10000,'GSTR-2A'!$B$6:$B$10000,$C$6:$C$4995)</f>
        <v>0</v>
      </c>
      <c r="H102" s="72">
        <f>SUMIFS(PURCHASE!$M$6:$M$10002,PURCHASE!$D$6:$D$10002,$C$6:$C$4995)</f>
        <v>0</v>
      </c>
      <c r="I102" s="72">
        <f>SUMIFS('GSTR-2A'!$M$6:$M$10000,'GSTR-2A'!$B$6:$B$10000,$C$6:$C$4995)</f>
        <v>0</v>
      </c>
      <c r="J102" s="72">
        <f>SUMIFS(PURCHASE!$N$6:$N$10002,PURCHASE!$D$6:$D$10002,$C$6:$C$4995)</f>
        <v>0</v>
      </c>
      <c r="K102" s="72">
        <f>SUMIFS('GSTR-2A'!$N$6:$N$10000,'GSTR-2A'!$B$6:$B$10000,$C$6:$C$4995)</f>
        <v>0</v>
      </c>
      <c r="L102" s="72">
        <f t="shared" si="8"/>
        <v>0</v>
      </c>
      <c r="M102" s="72">
        <f t="shared" si="9"/>
        <v>0</v>
      </c>
      <c r="N102" s="72">
        <f t="shared" si="10"/>
        <v>0</v>
      </c>
      <c r="O102" s="72">
        <f t="shared" si="11"/>
        <v>0</v>
      </c>
      <c r="Q102" s="72">
        <f t="shared" si="12"/>
        <v>0</v>
      </c>
      <c r="R102" s="72">
        <f t="shared" si="13"/>
        <v>0</v>
      </c>
      <c r="S102" s="72">
        <f t="shared" si="14"/>
        <v>0</v>
      </c>
    </row>
    <row r="103" spans="1:19" x14ac:dyDescent="0.2">
      <c r="A103" s="497">
        <v>98</v>
      </c>
      <c r="B103" s="468" t="s">
        <v>1148</v>
      </c>
      <c r="C103" s="469" t="s">
        <v>1149</v>
      </c>
      <c r="D103" s="72">
        <f>SUMIFS(PURCHASE!$K$6:$K$10002,PURCHASE!$D$6:$D$10002,$C$6:$C$4995)</f>
        <v>0</v>
      </c>
      <c r="E103" s="72">
        <f>SUMIFS('GSTR-2A'!$K$6:$K$10000,'GSTR-2A'!$B$6:$B$10000,$C$6:$C$4995)</f>
        <v>0</v>
      </c>
      <c r="F103" s="72">
        <f>SUMIFS(PURCHASE!$L$6:$L$10002,PURCHASE!$D$6:$D$10002,$C$6:$C$4995)</f>
        <v>0</v>
      </c>
      <c r="G103" s="72">
        <f>SUMIFS('GSTR-2A'!$L$6:$L$10000,'GSTR-2A'!$B$6:$B$10000,$C$6:$C$4995)</f>
        <v>0</v>
      </c>
      <c r="H103" s="72">
        <f>SUMIFS(PURCHASE!$M$6:$M$10002,PURCHASE!$D$6:$D$10002,$C$6:$C$4995)</f>
        <v>0</v>
      </c>
      <c r="I103" s="72">
        <f>SUMIFS('GSTR-2A'!$M$6:$M$10000,'GSTR-2A'!$B$6:$B$10000,$C$6:$C$4995)</f>
        <v>0</v>
      </c>
      <c r="J103" s="72">
        <f>SUMIFS(PURCHASE!$N$6:$N$10002,PURCHASE!$D$6:$D$10002,$C$6:$C$4995)</f>
        <v>0</v>
      </c>
      <c r="K103" s="72">
        <f>SUMIFS('GSTR-2A'!$N$6:$N$10000,'GSTR-2A'!$B$6:$B$10000,$C$6:$C$4995)</f>
        <v>0</v>
      </c>
      <c r="L103" s="72">
        <f t="shared" si="8"/>
        <v>0</v>
      </c>
      <c r="M103" s="72">
        <f t="shared" si="9"/>
        <v>0</v>
      </c>
      <c r="N103" s="72">
        <f t="shared" si="10"/>
        <v>0</v>
      </c>
      <c r="O103" s="72">
        <f t="shared" si="11"/>
        <v>0</v>
      </c>
      <c r="Q103" s="72">
        <f t="shared" si="12"/>
        <v>0</v>
      </c>
      <c r="R103" s="72">
        <f t="shared" si="13"/>
        <v>0</v>
      </c>
      <c r="S103" s="72">
        <f t="shared" si="14"/>
        <v>0</v>
      </c>
    </row>
    <row r="104" spans="1:19" x14ac:dyDescent="0.2">
      <c r="A104" s="497">
        <v>99</v>
      </c>
      <c r="B104" s="468" t="s">
        <v>1150</v>
      </c>
      <c r="C104" s="469" t="s">
        <v>1151</v>
      </c>
      <c r="D104" s="72">
        <f>SUMIFS(PURCHASE!$K$6:$K$10002,PURCHASE!$D$6:$D$10002,$C$6:$C$4995)</f>
        <v>0</v>
      </c>
      <c r="E104" s="72">
        <f>SUMIFS('GSTR-2A'!$K$6:$K$10000,'GSTR-2A'!$B$6:$B$10000,$C$6:$C$4995)</f>
        <v>0</v>
      </c>
      <c r="F104" s="72">
        <f>SUMIFS(PURCHASE!$L$6:$L$10002,PURCHASE!$D$6:$D$10002,$C$6:$C$4995)</f>
        <v>0</v>
      </c>
      <c r="G104" s="72">
        <f>SUMIFS('GSTR-2A'!$L$6:$L$10000,'GSTR-2A'!$B$6:$B$10000,$C$6:$C$4995)</f>
        <v>0</v>
      </c>
      <c r="H104" s="72">
        <f>SUMIFS(PURCHASE!$M$6:$M$10002,PURCHASE!$D$6:$D$10002,$C$6:$C$4995)</f>
        <v>0</v>
      </c>
      <c r="I104" s="72">
        <f>SUMIFS('GSTR-2A'!$M$6:$M$10000,'GSTR-2A'!$B$6:$B$10000,$C$6:$C$4995)</f>
        <v>0</v>
      </c>
      <c r="J104" s="72">
        <f>SUMIFS(PURCHASE!$N$6:$N$10002,PURCHASE!$D$6:$D$10002,$C$6:$C$4995)</f>
        <v>0</v>
      </c>
      <c r="K104" s="72">
        <f>SUMIFS('GSTR-2A'!$N$6:$N$10000,'GSTR-2A'!$B$6:$B$10000,$C$6:$C$4995)</f>
        <v>0</v>
      </c>
      <c r="L104" s="72">
        <f t="shared" si="8"/>
        <v>0</v>
      </c>
      <c r="M104" s="72">
        <f t="shared" si="9"/>
        <v>0</v>
      </c>
      <c r="N104" s="72">
        <f t="shared" si="10"/>
        <v>0</v>
      </c>
      <c r="O104" s="72">
        <f t="shared" si="11"/>
        <v>0</v>
      </c>
      <c r="Q104" s="72">
        <f t="shared" si="12"/>
        <v>0</v>
      </c>
      <c r="R104" s="72">
        <f t="shared" si="13"/>
        <v>0</v>
      </c>
      <c r="S104" s="72">
        <f t="shared" si="14"/>
        <v>0</v>
      </c>
    </row>
    <row r="105" spans="1:19" x14ac:dyDescent="0.2">
      <c r="A105" s="497">
        <v>100</v>
      </c>
      <c r="B105" s="468" t="s">
        <v>1152</v>
      </c>
      <c r="C105" s="469" t="s">
        <v>1153</v>
      </c>
      <c r="D105" s="72">
        <f>SUMIFS(PURCHASE!$K$6:$K$10002,PURCHASE!$D$6:$D$10002,$C$6:$C$4995)</f>
        <v>0</v>
      </c>
      <c r="E105" s="72">
        <f>SUMIFS('GSTR-2A'!$K$6:$K$10000,'GSTR-2A'!$B$6:$B$10000,$C$6:$C$4995)</f>
        <v>0</v>
      </c>
      <c r="F105" s="72">
        <f>SUMIFS(PURCHASE!$L$6:$L$10002,PURCHASE!$D$6:$D$10002,$C$6:$C$4995)</f>
        <v>0</v>
      </c>
      <c r="G105" s="72">
        <f>SUMIFS('GSTR-2A'!$L$6:$L$10000,'GSTR-2A'!$B$6:$B$10000,$C$6:$C$4995)</f>
        <v>0</v>
      </c>
      <c r="H105" s="72">
        <f>SUMIFS(PURCHASE!$M$6:$M$10002,PURCHASE!$D$6:$D$10002,$C$6:$C$4995)</f>
        <v>0</v>
      </c>
      <c r="I105" s="72">
        <f>SUMIFS('GSTR-2A'!$M$6:$M$10000,'GSTR-2A'!$B$6:$B$10000,$C$6:$C$4995)</f>
        <v>0</v>
      </c>
      <c r="J105" s="72">
        <f>SUMIFS(PURCHASE!$N$6:$N$10002,PURCHASE!$D$6:$D$10002,$C$6:$C$4995)</f>
        <v>0</v>
      </c>
      <c r="K105" s="72">
        <f>SUMIFS('GSTR-2A'!$N$6:$N$10000,'GSTR-2A'!$B$6:$B$10000,$C$6:$C$4995)</f>
        <v>0</v>
      </c>
      <c r="L105" s="72">
        <f t="shared" si="8"/>
        <v>0</v>
      </c>
      <c r="M105" s="72">
        <f t="shared" si="9"/>
        <v>0</v>
      </c>
      <c r="N105" s="72">
        <f t="shared" si="10"/>
        <v>0</v>
      </c>
      <c r="O105" s="72">
        <f t="shared" si="11"/>
        <v>0</v>
      </c>
      <c r="Q105" s="72">
        <f t="shared" si="12"/>
        <v>0</v>
      </c>
      <c r="R105" s="72">
        <f t="shared" si="13"/>
        <v>0</v>
      </c>
      <c r="S105" s="72">
        <f t="shared" si="14"/>
        <v>0</v>
      </c>
    </row>
    <row r="106" spans="1:19" x14ac:dyDescent="0.2">
      <c r="A106" s="497">
        <v>101</v>
      </c>
      <c r="B106" s="468" t="s">
        <v>606</v>
      </c>
      <c r="C106" s="469" t="s">
        <v>607</v>
      </c>
      <c r="D106" s="72">
        <f>SUMIFS(PURCHASE!$K$6:$K$10002,PURCHASE!$D$6:$D$10002,$C$6:$C$4995)</f>
        <v>87852</v>
      </c>
      <c r="E106" s="72">
        <f>SUMIFS('GSTR-2A'!$K$6:$K$10000,'GSTR-2A'!$B$6:$B$10000,$C$6:$C$4995)</f>
        <v>45852</v>
      </c>
      <c r="F106" s="72">
        <f>SUMIFS(PURCHASE!$L$6:$L$10002,PURCHASE!$D$6:$D$10002,$C$6:$C$4995)</f>
        <v>0</v>
      </c>
      <c r="G106" s="72">
        <f>SUMIFS('GSTR-2A'!$L$6:$L$10000,'GSTR-2A'!$B$6:$B$10000,$C$6:$C$4995)</f>
        <v>0</v>
      </c>
      <c r="H106" s="72">
        <f>SUMIFS(PURCHASE!$M$6:$M$10002,PURCHASE!$D$6:$D$10002,$C$6:$C$4995)</f>
        <v>7906.68</v>
      </c>
      <c r="I106" s="72">
        <f>SUMIFS('GSTR-2A'!$M$6:$M$10000,'GSTR-2A'!$B$6:$B$10000,$C$6:$C$4995)</f>
        <v>4126.68</v>
      </c>
      <c r="J106" s="72">
        <f>SUMIFS(PURCHASE!$N$6:$N$10002,PURCHASE!$D$6:$D$10002,$C$6:$C$4995)</f>
        <v>7906.68</v>
      </c>
      <c r="K106" s="72">
        <f>SUMIFS('GSTR-2A'!$N$6:$N$10000,'GSTR-2A'!$B$6:$B$10000,$C$6:$C$4995)</f>
        <v>4126.68</v>
      </c>
      <c r="L106" s="72">
        <f t="shared" si="8"/>
        <v>42000</v>
      </c>
      <c r="M106" s="72">
        <f t="shared" si="9"/>
        <v>0</v>
      </c>
      <c r="N106" s="72">
        <f t="shared" si="10"/>
        <v>3780</v>
      </c>
      <c r="O106" s="72">
        <f t="shared" si="11"/>
        <v>3780</v>
      </c>
      <c r="Q106" s="72">
        <f t="shared" si="12"/>
        <v>103665.35999999999</v>
      </c>
      <c r="R106" s="72">
        <f t="shared" si="13"/>
        <v>54105.36</v>
      </c>
      <c r="S106" s="72">
        <f t="shared" si="14"/>
        <v>49559.999999999985</v>
      </c>
    </row>
    <row r="107" spans="1:19" x14ac:dyDescent="0.2">
      <c r="A107" s="497">
        <v>102</v>
      </c>
      <c r="B107" s="468" t="s">
        <v>551</v>
      </c>
      <c r="C107" s="469" t="s">
        <v>552</v>
      </c>
      <c r="D107" s="72">
        <f>SUMIFS(PURCHASE!$K$6:$K$10002,PURCHASE!$D$6:$D$10002,$C$6:$C$4995)</f>
        <v>28050</v>
      </c>
      <c r="E107" s="72">
        <f>SUMIFS('GSTR-2A'!$K$6:$K$10000,'GSTR-2A'!$B$6:$B$10000,$C$6:$C$4995)</f>
        <v>26050</v>
      </c>
      <c r="F107" s="72">
        <f>SUMIFS(PURCHASE!$L$6:$L$10002,PURCHASE!$D$6:$D$10002,$C$6:$C$4995)</f>
        <v>0</v>
      </c>
      <c r="G107" s="72">
        <f>SUMIFS('GSTR-2A'!$L$6:$L$10000,'GSTR-2A'!$B$6:$B$10000,$C$6:$C$4995)</f>
        <v>0</v>
      </c>
      <c r="H107" s="72">
        <f>SUMIFS(PURCHASE!$M$6:$M$10002,PURCHASE!$D$6:$D$10002,$C$6:$C$4995)</f>
        <v>2524.5</v>
      </c>
      <c r="I107" s="72">
        <f>SUMIFS('GSTR-2A'!$M$6:$M$10000,'GSTR-2A'!$B$6:$B$10000,$C$6:$C$4995)</f>
        <v>2344.5</v>
      </c>
      <c r="J107" s="72">
        <f>SUMIFS(PURCHASE!$N$6:$N$10002,PURCHASE!$D$6:$D$10002,$C$6:$C$4995)</f>
        <v>2524.5</v>
      </c>
      <c r="K107" s="72">
        <f>SUMIFS('GSTR-2A'!$N$6:$N$10000,'GSTR-2A'!$B$6:$B$10000,$C$6:$C$4995)</f>
        <v>2344.5</v>
      </c>
      <c r="L107" s="72">
        <f t="shared" si="8"/>
        <v>2000</v>
      </c>
      <c r="M107" s="72">
        <f t="shared" si="9"/>
        <v>0</v>
      </c>
      <c r="N107" s="72">
        <f t="shared" si="10"/>
        <v>180</v>
      </c>
      <c r="O107" s="72">
        <f t="shared" si="11"/>
        <v>180</v>
      </c>
      <c r="Q107" s="72">
        <f t="shared" si="12"/>
        <v>33099</v>
      </c>
      <c r="R107" s="72">
        <f t="shared" si="13"/>
        <v>30739</v>
      </c>
      <c r="S107" s="72">
        <f t="shared" si="14"/>
        <v>2360</v>
      </c>
    </row>
    <row r="108" spans="1:19" x14ac:dyDescent="0.2">
      <c r="A108" s="497">
        <v>103</v>
      </c>
      <c r="B108" s="468" t="s">
        <v>1154</v>
      </c>
      <c r="C108" s="469" t="s">
        <v>1155</v>
      </c>
      <c r="D108" s="72">
        <f>SUMIFS(PURCHASE!$K$6:$K$10002,PURCHASE!$D$6:$D$10002,$C$6:$C$4995)</f>
        <v>0</v>
      </c>
      <c r="E108" s="72">
        <f>SUMIFS('GSTR-2A'!$K$6:$K$10000,'GSTR-2A'!$B$6:$B$10000,$C$6:$C$4995)</f>
        <v>0</v>
      </c>
      <c r="F108" s="72">
        <f>SUMIFS(PURCHASE!$L$6:$L$10002,PURCHASE!$D$6:$D$10002,$C$6:$C$4995)</f>
        <v>0</v>
      </c>
      <c r="G108" s="72">
        <f>SUMIFS('GSTR-2A'!$L$6:$L$10000,'GSTR-2A'!$B$6:$B$10000,$C$6:$C$4995)</f>
        <v>0</v>
      </c>
      <c r="H108" s="72">
        <f>SUMIFS(PURCHASE!$M$6:$M$10002,PURCHASE!$D$6:$D$10002,$C$6:$C$4995)</f>
        <v>0</v>
      </c>
      <c r="I108" s="72">
        <f>SUMIFS('GSTR-2A'!$M$6:$M$10000,'GSTR-2A'!$B$6:$B$10000,$C$6:$C$4995)</f>
        <v>0</v>
      </c>
      <c r="J108" s="72">
        <f>SUMIFS(PURCHASE!$N$6:$N$10002,PURCHASE!$D$6:$D$10002,$C$6:$C$4995)</f>
        <v>0</v>
      </c>
      <c r="K108" s="72">
        <f>SUMIFS('GSTR-2A'!$N$6:$N$10000,'GSTR-2A'!$B$6:$B$10000,$C$6:$C$4995)</f>
        <v>0</v>
      </c>
      <c r="L108" s="72">
        <f t="shared" si="8"/>
        <v>0</v>
      </c>
      <c r="M108" s="72">
        <f t="shared" si="9"/>
        <v>0</v>
      </c>
      <c r="N108" s="72">
        <f t="shared" si="10"/>
        <v>0</v>
      </c>
      <c r="O108" s="72">
        <f t="shared" si="11"/>
        <v>0</v>
      </c>
      <c r="Q108" s="72">
        <f t="shared" si="12"/>
        <v>0</v>
      </c>
      <c r="R108" s="72">
        <f t="shared" si="13"/>
        <v>0</v>
      </c>
      <c r="S108" s="72">
        <f t="shared" si="14"/>
        <v>0</v>
      </c>
    </row>
    <row r="109" spans="1:19" x14ac:dyDescent="0.2">
      <c r="A109" s="497">
        <v>104</v>
      </c>
      <c r="B109" s="468" t="s">
        <v>594</v>
      </c>
      <c r="C109" s="469" t="s">
        <v>595</v>
      </c>
      <c r="D109" s="72">
        <f>SUMIFS(PURCHASE!$K$6:$K$10002,PURCHASE!$D$6:$D$10002,$C$6:$C$4995)</f>
        <v>18000</v>
      </c>
      <c r="E109" s="72">
        <f>SUMIFS('GSTR-2A'!$K$6:$K$10000,'GSTR-2A'!$B$6:$B$10000,$C$6:$C$4995)</f>
        <v>18000</v>
      </c>
      <c r="F109" s="72">
        <f>SUMIFS(PURCHASE!$L$6:$L$10002,PURCHASE!$D$6:$D$10002,$C$6:$C$4995)</f>
        <v>0</v>
      </c>
      <c r="G109" s="72">
        <f>SUMIFS('GSTR-2A'!$L$6:$L$10000,'GSTR-2A'!$B$6:$B$10000,$C$6:$C$4995)</f>
        <v>0</v>
      </c>
      <c r="H109" s="72">
        <f>SUMIFS(PURCHASE!$M$6:$M$10002,PURCHASE!$D$6:$D$10002,$C$6:$C$4995)</f>
        <v>1620</v>
      </c>
      <c r="I109" s="72">
        <f>SUMIFS('GSTR-2A'!$M$6:$M$10000,'GSTR-2A'!$B$6:$B$10000,$C$6:$C$4995)</f>
        <v>1620</v>
      </c>
      <c r="J109" s="72">
        <f>SUMIFS(PURCHASE!$N$6:$N$10002,PURCHASE!$D$6:$D$10002,$C$6:$C$4995)</f>
        <v>1620</v>
      </c>
      <c r="K109" s="72">
        <f>SUMIFS('GSTR-2A'!$N$6:$N$10000,'GSTR-2A'!$B$6:$B$10000,$C$6:$C$4995)</f>
        <v>1620</v>
      </c>
      <c r="L109" s="72">
        <f t="shared" si="8"/>
        <v>0</v>
      </c>
      <c r="M109" s="72">
        <f t="shared" si="9"/>
        <v>0</v>
      </c>
      <c r="N109" s="72">
        <f t="shared" si="10"/>
        <v>0</v>
      </c>
      <c r="O109" s="72">
        <f t="shared" si="11"/>
        <v>0</v>
      </c>
      <c r="Q109" s="72">
        <f t="shared" si="12"/>
        <v>21240</v>
      </c>
      <c r="R109" s="72">
        <f t="shared" si="13"/>
        <v>21240</v>
      </c>
      <c r="S109" s="72">
        <f t="shared" si="14"/>
        <v>0</v>
      </c>
    </row>
    <row r="110" spans="1:19" x14ac:dyDescent="0.2">
      <c r="A110" s="497">
        <v>105</v>
      </c>
      <c r="B110" s="468" t="s">
        <v>1156</v>
      </c>
      <c r="C110" s="469" t="s">
        <v>1157</v>
      </c>
      <c r="D110" s="72">
        <f>SUMIFS(PURCHASE!$K$6:$K$10002,PURCHASE!$D$6:$D$10002,$C$6:$C$4995)</f>
        <v>0</v>
      </c>
      <c r="E110" s="72">
        <f>SUMIFS('GSTR-2A'!$K$6:$K$10000,'GSTR-2A'!$B$6:$B$10000,$C$6:$C$4995)</f>
        <v>0</v>
      </c>
      <c r="F110" s="72">
        <f>SUMIFS(PURCHASE!$L$6:$L$10002,PURCHASE!$D$6:$D$10002,$C$6:$C$4995)</f>
        <v>0</v>
      </c>
      <c r="G110" s="72">
        <f>SUMIFS('GSTR-2A'!$L$6:$L$10000,'GSTR-2A'!$B$6:$B$10000,$C$6:$C$4995)</f>
        <v>0</v>
      </c>
      <c r="H110" s="72">
        <f>SUMIFS(PURCHASE!$M$6:$M$10002,PURCHASE!$D$6:$D$10002,$C$6:$C$4995)</f>
        <v>0</v>
      </c>
      <c r="I110" s="72">
        <f>SUMIFS('GSTR-2A'!$M$6:$M$10000,'GSTR-2A'!$B$6:$B$10000,$C$6:$C$4995)</f>
        <v>0</v>
      </c>
      <c r="J110" s="72">
        <f>SUMIFS(PURCHASE!$N$6:$N$10002,PURCHASE!$D$6:$D$10002,$C$6:$C$4995)</f>
        <v>0</v>
      </c>
      <c r="K110" s="72">
        <f>SUMIFS('GSTR-2A'!$N$6:$N$10000,'GSTR-2A'!$B$6:$B$10000,$C$6:$C$4995)</f>
        <v>0</v>
      </c>
      <c r="L110" s="72">
        <f t="shared" si="8"/>
        <v>0</v>
      </c>
      <c r="M110" s="72">
        <f t="shared" si="9"/>
        <v>0</v>
      </c>
      <c r="N110" s="72">
        <f t="shared" si="10"/>
        <v>0</v>
      </c>
      <c r="O110" s="72">
        <f t="shared" si="11"/>
        <v>0</v>
      </c>
      <c r="Q110" s="72">
        <f t="shared" si="12"/>
        <v>0</v>
      </c>
      <c r="R110" s="72">
        <f t="shared" si="13"/>
        <v>0</v>
      </c>
      <c r="S110" s="72">
        <f t="shared" si="14"/>
        <v>0</v>
      </c>
    </row>
    <row r="111" spans="1:19" x14ac:dyDescent="0.2">
      <c r="A111" s="497">
        <v>106</v>
      </c>
      <c r="B111" s="468" t="s">
        <v>1158</v>
      </c>
      <c r="C111" s="469" t="s">
        <v>1159</v>
      </c>
      <c r="D111" s="72">
        <f>SUMIFS(PURCHASE!$K$6:$K$10002,PURCHASE!$D$6:$D$10002,$C$6:$C$4995)</f>
        <v>0</v>
      </c>
      <c r="E111" s="72">
        <f>SUMIFS('GSTR-2A'!$K$6:$K$10000,'GSTR-2A'!$B$6:$B$10000,$C$6:$C$4995)</f>
        <v>0</v>
      </c>
      <c r="F111" s="72">
        <f>SUMIFS(PURCHASE!$L$6:$L$10002,PURCHASE!$D$6:$D$10002,$C$6:$C$4995)</f>
        <v>0</v>
      </c>
      <c r="G111" s="72">
        <f>SUMIFS('GSTR-2A'!$L$6:$L$10000,'GSTR-2A'!$B$6:$B$10000,$C$6:$C$4995)</f>
        <v>0</v>
      </c>
      <c r="H111" s="72">
        <f>SUMIFS(PURCHASE!$M$6:$M$10002,PURCHASE!$D$6:$D$10002,$C$6:$C$4995)</f>
        <v>0</v>
      </c>
      <c r="I111" s="72">
        <f>SUMIFS('GSTR-2A'!$M$6:$M$10000,'GSTR-2A'!$B$6:$B$10000,$C$6:$C$4995)</f>
        <v>0</v>
      </c>
      <c r="J111" s="72">
        <f>SUMIFS(PURCHASE!$N$6:$N$10002,PURCHASE!$D$6:$D$10002,$C$6:$C$4995)</f>
        <v>0</v>
      </c>
      <c r="K111" s="72">
        <f>SUMIFS('GSTR-2A'!$N$6:$N$10000,'GSTR-2A'!$B$6:$B$10000,$C$6:$C$4995)</f>
        <v>0</v>
      </c>
      <c r="L111" s="72">
        <f t="shared" si="8"/>
        <v>0</v>
      </c>
      <c r="M111" s="72">
        <f t="shared" si="9"/>
        <v>0</v>
      </c>
      <c r="N111" s="72">
        <f t="shared" si="10"/>
        <v>0</v>
      </c>
      <c r="O111" s="72">
        <f t="shared" si="11"/>
        <v>0</v>
      </c>
      <c r="Q111" s="72">
        <f t="shared" si="12"/>
        <v>0</v>
      </c>
      <c r="R111" s="72">
        <f t="shared" si="13"/>
        <v>0</v>
      </c>
      <c r="S111" s="72">
        <f t="shared" si="14"/>
        <v>0</v>
      </c>
    </row>
    <row r="112" spans="1:19" x14ac:dyDescent="0.2">
      <c r="A112" s="497">
        <v>107</v>
      </c>
      <c r="B112" s="468" t="s">
        <v>1160</v>
      </c>
      <c r="C112" s="469" t="s">
        <v>1161</v>
      </c>
      <c r="D112" s="72">
        <f>SUMIFS(PURCHASE!$K$6:$K$10002,PURCHASE!$D$6:$D$10002,$C$6:$C$4995)</f>
        <v>0</v>
      </c>
      <c r="E112" s="72">
        <f>SUMIFS('GSTR-2A'!$K$6:$K$10000,'GSTR-2A'!$B$6:$B$10000,$C$6:$C$4995)</f>
        <v>0</v>
      </c>
      <c r="F112" s="72">
        <f>SUMIFS(PURCHASE!$L$6:$L$10002,PURCHASE!$D$6:$D$10002,$C$6:$C$4995)</f>
        <v>0</v>
      </c>
      <c r="G112" s="72">
        <f>SUMIFS('GSTR-2A'!$L$6:$L$10000,'GSTR-2A'!$B$6:$B$10000,$C$6:$C$4995)</f>
        <v>0</v>
      </c>
      <c r="H112" s="72">
        <f>SUMIFS(PURCHASE!$M$6:$M$10002,PURCHASE!$D$6:$D$10002,$C$6:$C$4995)</f>
        <v>0</v>
      </c>
      <c r="I112" s="72">
        <f>SUMIFS('GSTR-2A'!$M$6:$M$10000,'GSTR-2A'!$B$6:$B$10000,$C$6:$C$4995)</f>
        <v>0</v>
      </c>
      <c r="J112" s="72">
        <f>SUMIFS(PURCHASE!$N$6:$N$10002,PURCHASE!$D$6:$D$10002,$C$6:$C$4995)</f>
        <v>0</v>
      </c>
      <c r="K112" s="72">
        <f>SUMIFS('GSTR-2A'!$N$6:$N$10000,'GSTR-2A'!$B$6:$B$10000,$C$6:$C$4995)</f>
        <v>0</v>
      </c>
      <c r="L112" s="72">
        <f t="shared" si="8"/>
        <v>0</v>
      </c>
      <c r="M112" s="72">
        <f t="shared" si="9"/>
        <v>0</v>
      </c>
      <c r="N112" s="72">
        <f t="shared" si="10"/>
        <v>0</v>
      </c>
      <c r="O112" s="72">
        <f t="shared" si="11"/>
        <v>0</v>
      </c>
      <c r="Q112" s="72">
        <f t="shared" si="12"/>
        <v>0</v>
      </c>
      <c r="R112" s="72">
        <f t="shared" si="13"/>
        <v>0</v>
      </c>
      <c r="S112" s="72">
        <f t="shared" si="14"/>
        <v>0</v>
      </c>
    </row>
    <row r="113" spans="1:19" x14ac:dyDescent="0.2">
      <c r="A113" s="497">
        <v>108</v>
      </c>
      <c r="B113" s="468" t="s">
        <v>1162</v>
      </c>
      <c r="C113" s="469" t="s">
        <v>250</v>
      </c>
      <c r="D113" s="72">
        <f>SUMIFS(PURCHASE!$K$6:$K$10002,PURCHASE!$D$6:$D$10002,$C$6:$C$4995)</f>
        <v>0</v>
      </c>
      <c r="E113" s="72">
        <f>SUMIFS('GSTR-2A'!$K$6:$K$10000,'GSTR-2A'!$B$6:$B$10000,$C$6:$C$4995)</f>
        <v>0</v>
      </c>
      <c r="F113" s="72">
        <f>SUMIFS(PURCHASE!$L$6:$L$10002,PURCHASE!$D$6:$D$10002,$C$6:$C$4995)</f>
        <v>0</v>
      </c>
      <c r="G113" s="72">
        <f>SUMIFS('GSTR-2A'!$L$6:$L$10000,'GSTR-2A'!$B$6:$B$10000,$C$6:$C$4995)</f>
        <v>0</v>
      </c>
      <c r="H113" s="72">
        <f>SUMIFS(PURCHASE!$M$6:$M$10002,PURCHASE!$D$6:$D$10002,$C$6:$C$4995)</f>
        <v>0</v>
      </c>
      <c r="I113" s="72">
        <f>SUMIFS('GSTR-2A'!$M$6:$M$10000,'GSTR-2A'!$B$6:$B$10000,$C$6:$C$4995)</f>
        <v>0</v>
      </c>
      <c r="J113" s="72">
        <f>SUMIFS(PURCHASE!$N$6:$N$10002,PURCHASE!$D$6:$D$10002,$C$6:$C$4995)</f>
        <v>0</v>
      </c>
      <c r="K113" s="72">
        <f>SUMIFS('GSTR-2A'!$N$6:$N$10000,'GSTR-2A'!$B$6:$B$10000,$C$6:$C$4995)</f>
        <v>0</v>
      </c>
      <c r="L113" s="72">
        <f t="shared" si="8"/>
        <v>0</v>
      </c>
      <c r="M113" s="72">
        <f t="shared" si="9"/>
        <v>0</v>
      </c>
      <c r="N113" s="72">
        <f t="shared" si="10"/>
        <v>0</v>
      </c>
      <c r="O113" s="72">
        <f t="shared" si="11"/>
        <v>0</v>
      </c>
      <c r="Q113" s="72">
        <f t="shared" si="12"/>
        <v>0</v>
      </c>
      <c r="R113" s="72">
        <f t="shared" si="13"/>
        <v>0</v>
      </c>
      <c r="S113" s="72">
        <f t="shared" si="14"/>
        <v>0</v>
      </c>
    </row>
    <row r="114" spans="1:19" x14ac:dyDescent="0.2">
      <c r="A114" s="497">
        <v>109</v>
      </c>
      <c r="B114" s="468" t="s">
        <v>556</v>
      </c>
      <c r="C114" s="469" t="s">
        <v>557</v>
      </c>
      <c r="D114" s="72">
        <f>SUMIFS(PURCHASE!$K$6:$K$10002,PURCHASE!$D$6:$D$10002,$C$6:$C$4995)</f>
        <v>651070</v>
      </c>
      <c r="E114" s="72">
        <f>SUMIFS('GSTR-2A'!$K$6:$K$10000,'GSTR-2A'!$B$6:$B$10000,$C$6:$C$4995)</f>
        <v>305620</v>
      </c>
      <c r="F114" s="72">
        <f>SUMIFS(PURCHASE!$L$6:$L$10002,PURCHASE!$D$6:$D$10002,$C$6:$C$4995)</f>
        <v>0</v>
      </c>
      <c r="G114" s="72">
        <f>SUMIFS('GSTR-2A'!$L$6:$L$10000,'GSTR-2A'!$B$6:$B$10000,$C$6:$C$4995)</f>
        <v>0</v>
      </c>
      <c r="H114" s="72">
        <f>SUMIFS(PURCHASE!$M$6:$M$10002,PURCHASE!$D$6:$D$10002,$C$6:$C$4995)</f>
        <v>58597</v>
      </c>
      <c r="I114" s="72">
        <f>SUMIFS('GSTR-2A'!$M$6:$M$10000,'GSTR-2A'!$B$6:$B$10000,$C$6:$C$4995)</f>
        <v>27507</v>
      </c>
      <c r="J114" s="72">
        <f>SUMIFS(PURCHASE!$N$6:$N$10002,PURCHASE!$D$6:$D$10002,$C$6:$C$4995)</f>
        <v>58597</v>
      </c>
      <c r="K114" s="72">
        <f>SUMIFS('GSTR-2A'!$N$6:$N$10000,'GSTR-2A'!$B$6:$B$10000,$C$6:$C$4995)</f>
        <v>27507</v>
      </c>
      <c r="L114" s="72">
        <f t="shared" si="8"/>
        <v>345450</v>
      </c>
      <c r="M114" s="72">
        <f t="shared" si="9"/>
        <v>0</v>
      </c>
      <c r="N114" s="72">
        <f t="shared" si="10"/>
        <v>31090</v>
      </c>
      <c r="O114" s="72">
        <f t="shared" si="11"/>
        <v>31090</v>
      </c>
      <c r="Q114" s="72">
        <f t="shared" si="12"/>
        <v>768264</v>
      </c>
      <c r="R114" s="72">
        <f t="shared" si="13"/>
        <v>360634</v>
      </c>
      <c r="S114" s="72">
        <f t="shared" si="14"/>
        <v>407630</v>
      </c>
    </row>
    <row r="115" spans="1:19" x14ac:dyDescent="0.2">
      <c r="A115" s="497">
        <v>110</v>
      </c>
      <c r="B115" s="468" t="s">
        <v>609</v>
      </c>
      <c r="C115" s="469" t="s">
        <v>610</v>
      </c>
      <c r="D115" s="72">
        <f>SUMIFS(PURCHASE!$K$6:$K$10002,PURCHASE!$D$6:$D$10002,$C$6:$C$4995)</f>
        <v>5528481</v>
      </c>
      <c r="E115" s="72">
        <f>SUMIFS('GSTR-2A'!$K$6:$K$10000,'GSTR-2A'!$B$6:$B$10000,$C$6:$C$4995)</f>
        <v>4076821</v>
      </c>
      <c r="F115" s="72">
        <f>SUMIFS(PURCHASE!$L$6:$L$10002,PURCHASE!$D$6:$D$10002,$C$6:$C$4995)</f>
        <v>0</v>
      </c>
      <c r="G115" s="72">
        <f>SUMIFS('GSTR-2A'!$L$6:$L$10000,'GSTR-2A'!$B$6:$B$10000,$C$6:$C$4995)</f>
        <v>0</v>
      </c>
      <c r="H115" s="72">
        <f>SUMIFS(PURCHASE!$M$6:$M$10002,PURCHASE!$D$6:$D$10002,$C$6:$C$4995)</f>
        <v>497563.29000000004</v>
      </c>
      <c r="I115" s="72">
        <f>SUMIFS('GSTR-2A'!$M$6:$M$10000,'GSTR-2A'!$B$6:$B$10000,$C$6:$C$4995)</f>
        <v>366913.89</v>
      </c>
      <c r="J115" s="72">
        <f>SUMIFS(PURCHASE!$N$6:$N$10002,PURCHASE!$D$6:$D$10002,$C$6:$C$4995)</f>
        <v>497563.29000000004</v>
      </c>
      <c r="K115" s="72">
        <f>SUMIFS('GSTR-2A'!$N$6:$N$10000,'GSTR-2A'!$B$6:$B$10000,$C$6:$C$4995)</f>
        <v>366913.89</v>
      </c>
      <c r="L115" s="72">
        <f t="shared" si="8"/>
        <v>1451660</v>
      </c>
      <c r="M115" s="72">
        <f t="shared" si="9"/>
        <v>0</v>
      </c>
      <c r="N115" s="72">
        <f t="shared" si="10"/>
        <v>130649.40000000002</v>
      </c>
      <c r="O115" s="72">
        <f t="shared" si="11"/>
        <v>130649.40000000002</v>
      </c>
      <c r="Q115" s="72">
        <f t="shared" si="12"/>
        <v>6523607.5800000001</v>
      </c>
      <c r="R115" s="72">
        <f t="shared" si="13"/>
        <v>4810648.7799999993</v>
      </c>
      <c r="S115" s="72">
        <f t="shared" si="14"/>
        <v>1712958.8000000007</v>
      </c>
    </row>
    <row r="116" spans="1:19" x14ac:dyDescent="0.2">
      <c r="A116" s="497">
        <v>111</v>
      </c>
      <c r="B116" s="468" t="s">
        <v>975</v>
      </c>
      <c r="C116" s="469" t="s">
        <v>976</v>
      </c>
      <c r="D116" s="72">
        <f>SUMIFS(PURCHASE!$K$6:$K$10002,PURCHASE!$D$6:$D$10002,$C$6:$C$4995)</f>
        <v>38600</v>
      </c>
      <c r="E116" s="72">
        <f>SUMIFS('GSTR-2A'!$K$6:$K$10000,'GSTR-2A'!$B$6:$B$10000,$C$6:$C$4995)</f>
        <v>37600</v>
      </c>
      <c r="F116" s="72">
        <f>SUMIFS(PURCHASE!$L$6:$L$10002,PURCHASE!$D$6:$D$10002,$C$6:$C$4995)</f>
        <v>0</v>
      </c>
      <c r="G116" s="72">
        <f>SUMIFS('GSTR-2A'!$L$6:$L$10000,'GSTR-2A'!$B$6:$B$10000,$C$6:$C$4995)</f>
        <v>0</v>
      </c>
      <c r="H116" s="72">
        <f>SUMIFS(PURCHASE!$M$6:$M$10002,PURCHASE!$D$6:$D$10002,$C$6:$C$4995)</f>
        <v>3474</v>
      </c>
      <c r="I116" s="72">
        <f>SUMIFS('GSTR-2A'!$M$6:$M$10000,'GSTR-2A'!$B$6:$B$10000,$C$6:$C$4995)</f>
        <v>3384</v>
      </c>
      <c r="J116" s="72">
        <f>SUMIFS(PURCHASE!$N$6:$N$10002,PURCHASE!$D$6:$D$10002,$C$6:$C$4995)</f>
        <v>3474</v>
      </c>
      <c r="K116" s="72">
        <f>SUMIFS('GSTR-2A'!$N$6:$N$10000,'GSTR-2A'!$B$6:$B$10000,$C$6:$C$4995)</f>
        <v>3384</v>
      </c>
      <c r="L116" s="72">
        <f t="shared" si="8"/>
        <v>1000</v>
      </c>
      <c r="M116" s="72">
        <f t="shared" si="9"/>
        <v>0</v>
      </c>
      <c r="N116" s="72">
        <f t="shared" si="10"/>
        <v>90</v>
      </c>
      <c r="O116" s="72">
        <f t="shared" si="11"/>
        <v>90</v>
      </c>
      <c r="Q116" s="72">
        <f t="shared" si="12"/>
        <v>45548</v>
      </c>
      <c r="R116" s="72">
        <f t="shared" si="13"/>
        <v>44368</v>
      </c>
      <c r="S116" s="72">
        <f t="shared" si="14"/>
        <v>1180</v>
      </c>
    </row>
    <row r="117" spans="1:19" x14ac:dyDescent="0.2">
      <c r="A117" s="497">
        <v>112</v>
      </c>
      <c r="B117" s="468" t="s">
        <v>761</v>
      </c>
      <c r="C117" s="469" t="s">
        <v>762</v>
      </c>
      <c r="D117" s="72">
        <f>SUMIFS(PURCHASE!$K$6:$K$10002,PURCHASE!$D$6:$D$10002,$C$6:$C$4995)</f>
        <v>4200</v>
      </c>
      <c r="E117" s="72">
        <f>SUMIFS('GSTR-2A'!$K$6:$K$10000,'GSTR-2A'!$B$6:$B$10000,$C$6:$C$4995)</f>
        <v>4200</v>
      </c>
      <c r="F117" s="72">
        <f>SUMIFS(PURCHASE!$L$6:$L$10002,PURCHASE!$D$6:$D$10002,$C$6:$C$4995)</f>
        <v>0</v>
      </c>
      <c r="G117" s="72">
        <f>SUMIFS('GSTR-2A'!$L$6:$L$10000,'GSTR-2A'!$B$6:$B$10000,$C$6:$C$4995)</f>
        <v>0</v>
      </c>
      <c r="H117" s="72">
        <f>SUMIFS(PURCHASE!$M$6:$M$10002,PURCHASE!$D$6:$D$10002,$C$6:$C$4995)</f>
        <v>378</v>
      </c>
      <c r="I117" s="72">
        <f>SUMIFS('GSTR-2A'!$M$6:$M$10000,'GSTR-2A'!$B$6:$B$10000,$C$6:$C$4995)</f>
        <v>378</v>
      </c>
      <c r="J117" s="72">
        <f>SUMIFS(PURCHASE!$N$6:$N$10002,PURCHASE!$D$6:$D$10002,$C$6:$C$4995)</f>
        <v>378</v>
      </c>
      <c r="K117" s="72">
        <f>SUMIFS('GSTR-2A'!$N$6:$N$10000,'GSTR-2A'!$B$6:$B$10000,$C$6:$C$4995)</f>
        <v>378</v>
      </c>
      <c r="L117" s="72">
        <f t="shared" si="8"/>
        <v>0</v>
      </c>
      <c r="M117" s="72">
        <f t="shared" si="9"/>
        <v>0</v>
      </c>
      <c r="N117" s="72">
        <f t="shared" si="10"/>
        <v>0</v>
      </c>
      <c r="O117" s="72">
        <f t="shared" si="11"/>
        <v>0</v>
      </c>
      <c r="Q117" s="72">
        <f t="shared" si="12"/>
        <v>4956</v>
      </c>
      <c r="R117" s="72">
        <f t="shared" si="13"/>
        <v>4956</v>
      </c>
      <c r="S117" s="72">
        <f t="shared" si="14"/>
        <v>0</v>
      </c>
    </row>
    <row r="118" spans="1:19" x14ac:dyDescent="0.2">
      <c r="A118" s="497">
        <v>113</v>
      </c>
      <c r="B118" s="468" t="s">
        <v>1163</v>
      </c>
      <c r="C118" s="469" t="s">
        <v>1164</v>
      </c>
      <c r="D118" s="72">
        <f>SUMIFS(PURCHASE!$K$6:$K$10002,PURCHASE!$D$6:$D$10002,$C$6:$C$4995)</f>
        <v>0</v>
      </c>
      <c r="E118" s="72">
        <f>SUMIFS('GSTR-2A'!$K$6:$K$10000,'GSTR-2A'!$B$6:$B$10000,$C$6:$C$4995)</f>
        <v>0</v>
      </c>
      <c r="F118" s="72">
        <f>SUMIFS(PURCHASE!$L$6:$L$10002,PURCHASE!$D$6:$D$10002,$C$6:$C$4995)</f>
        <v>0</v>
      </c>
      <c r="G118" s="72">
        <f>SUMIFS('GSTR-2A'!$L$6:$L$10000,'GSTR-2A'!$B$6:$B$10000,$C$6:$C$4995)</f>
        <v>0</v>
      </c>
      <c r="H118" s="72">
        <f>SUMIFS(PURCHASE!$M$6:$M$10002,PURCHASE!$D$6:$D$10002,$C$6:$C$4995)</f>
        <v>0</v>
      </c>
      <c r="I118" s="72">
        <f>SUMIFS('GSTR-2A'!$M$6:$M$10000,'GSTR-2A'!$B$6:$B$10000,$C$6:$C$4995)</f>
        <v>0</v>
      </c>
      <c r="J118" s="72">
        <f>SUMIFS(PURCHASE!$N$6:$N$10002,PURCHASE!$D$6:$D$10002,$C$6:$C$4995)</f>
        <v>0</v>
      </c>
      <c r="K118" s="72">
        <f>SUMIFS('GSTR-2A'!$N$6:$N$10000,'GSTR-2A'!$B$6:$B$10000,$C$6:$C$4995)</f>
        <v>0</v>
      </c>
      <c r="L118" s="72">
        <f t="shared" si="8"/>
        <v>0</v>
      </c>
      <c r="M118" s="72">
        <f t="shared" si="9"/>
        <v>0</v>
      </c>
      <c r="N118" s="72">
        <f t="shared" si="10"/>
        <v>0</v>
      </c>
      <c r="O118" s="72">
        <f t="shared" si="11"/>
        <v>0</v>
      </c>
      <c r="Q118" s="72">
        <f t="shared" si="12"/>
        <v>0</v>
      </c>
      <c r="R118" s="72">
        <f t="shared" si="13"/>
        <v>0</v>
      </c>
      <c r="S118" s="72">
        <f t="shared" si="14"/>
        <v>0</v>
      </c>
    </row>
    <row r="119" spans="1:19" x14ac:dyDescent="0.2">
      <c r="A119" s="497">
        <v>114</v>
      </c>
      <c r="B119" s="468" t="s">
        <v>570</v>
      </c>
      <c r="C119" s="469" t="s">
        <v>571</v>
      </c>
      <c r="D119" s="72">
        <f>SUMIFS(PURCHASE!$K$6:$K$10002,PURCHASE!$D$6:$D$10002,$C$6:$C$4995)</f>
        <v>31881.25</v>
      </c>
      <c r="E119" s="72">
        <f>SUMIFS('GSTR-2A'!$K$6:$K$10000,'GSTR-2A'!$B$6:$B$10000,$C$6:$C$4995)</f>
        <v>31881.25</v>
      </c>
      <c r="F119" s="72">
        <f>SUMIFS(PURCHASE!$L$6:$L$10002,PURCHASE!$D$6:$D$10002,$C$6:$C$4995)</f>
        <v>0</v>
      </c>
      <c r="G119" s="72">
        <f>SUMIFS('GSTR-2A'!$L$6:$L$10000,'GSTR-2A'!$B$6:$B$10000,$C$6:$C$4995)</f>
        <v>0</v>
      </c>
      <c r="H119" s="72">
        <f>SUMIFS(PURCHASE!$M$6:$M$10002,PURCHASE!$D$6:$D$10002,$C$6:$C$4995)</f>
        <v>2869.3125</v>
      </c>
      <c r="I119" s="72">
        <f>SUMIFS('GSTR-2A'!$M$6:$M$10000,'GSTR-2A'!$B$6:$B$10000,$C$6:$C$4995)</f>
        <v>2869.31</v>
      </c>
      <c r="J119" s="72">
        <f>SUMIFS(PURCHASE!$N$6:$N$10002,PURCHASE!$D$6:$D$10002,$C$6:$C$4995)</f>
        <v>2869.3125</v>
      </c>
      <c r="K119" s="72">
        <f>SUMIFS('GSTR-2A'!$N$6:$N$10000,'GSTR-2A'!$B$6:$B$10000,$C$6:$C$4995)</f>
        <v>2869.31</v>
      </c>
      <c r="L119" s="72">
        <f t="shared" si="8"/>
        <v>0</v>
      </c>
      <c r="M119" s="72">
        <f t="shared" si="9"/>
        <v>0</v>
      </c>
      <c r="N119" s="72">
        <f t="shared" si="10"/>
        <v>2.5000000000545697E-3</v>
      </c>
      <c r="O119" s="72">
        <f t="shared" si="11"/>
        <v>2.5000000000545697E-3</v>
      </c>
      <c r="Q119" s="72">
        <f t="shared" si="12"/>
        <v>37619.875</v>
      </c>
      <c r="R119" s="72">
        <f t="shared" si="13"/>
        <v>37619.869999999995</v>
      </c>
      <c r="S119" s="72">
        <f t="shared" si="14"/>
        <v>5.0000000046566129E-3</v>
      </c>
    </row>
    <row r="120" spans="1:19" x14ac:dyDescent="0.2">
      <c r="A120" s="497">
        <v>115</v>
      </c>
      <c r="B120" s="468" t="s">
        <v>473</v>
      </c>
      <c r="C120" s="469" t="s">
        <v>41</v>
      </c>
      <c r="D120" s="72">
        <f>SUMIFS(PURCHASE!$K$6:$K$10002,PURCHASE!$D$6:$D$10002,$C$6:$C$4995)</f>
        <v>496832.36</v>
      </c>
      <c r="E120" s="72">
        <f>SUMIFS('GSTR-2A'!$K$6:$K$10000,'GSTR-2A'!$B$6:$B$10000,$C$6:$C$4995)</f>
        <v>499085.45999999996</v>
      </c>
      <c r="F120" s="72">
        <f>SUMIFS(PURCHASE!$L$6:$L$10002,PURCHASE!$D$6:$D$10002,$C$6:$C$4995)</f>
        <v>0</v>
      </c>
      <c r="G120" s="72">
        <f>SUMIFS('GSTR-2A'!$L$6:$L$10000,'GSTR-2A'!$B$6:$B$10000,$C$6:$C$4995)</f>
        <v>0</v>
      </c>
      <c r="H120" s="72">
        <f>SUMIFS(PURCHASE!$M$6:$M$10002,PURCHASE!$D$6:$D$10002,$C$6:$C$4995)</f>
        <v>69561.310399999988</v>
      </c>
      <c r="I120" s="72">
        <f>SUMIFS('GSTR-2A'!$M$6:$M$10000,'GSTR-2A'!$B$6:$B$10000,$C$6:$C$4995)</f>
        <v>69880.239999999991</v>
      </c>
      <c r="J120" s="72">
        <f>SUMIFS(PURCHASE!$N$6:$N$10002,PURCHASE!$D$6:$D$10002,$C$6:$C$4995)</f>
        <v>69561.310399999988</v>
      </c>
      <c r="K120" s="72">
        <f>SUMIFS('GSTR-2A'!$N$6:$N$10000,'GSTR-2A'!$B$6:$B$10000,$C$6:$C$4995)</f>
        <v>69880.239999999991</v>
      </c>
      <c r="L120" s="72">
        <f t="shared" si="8"/>
        <v>-2253.0999999999767</v>
      </c>
      <c r="M120" s="72">
        <f t="shared" si="9"/>
        <v>0</v>
      </c>
      <c r="N120" s="72">
        <f t="shared" si="10"/>
        <v>-318.92960000000312</v>
      </c>
      <c r="O120" s="72">
        <f t="shared" si="11"/>
        <v>-318.92960000000312</v>
      </c>
      <c r="Q120" s="72">
        <f t="shared" si="12"/>
        <v>635954.9807999999</v>
      </c>
      <c r="R120" s="72">
        <f t="shared" si="13"/>
        <v>638845.93999999994</v>
      </c>
      <c r="S120" s="72">
        <f t="shared" si="14"/>
        <v>-2890.9592000000412</v>
      </c>
    </row>
    <row r="121" spans="1:19" x14ac:dyDescent="0.2">
      <c r="A121" s="497">
        <v>116</v>
      </c>
      <c r="B121" s="468" t="s">
        <v>1165</v>
      </c>
      <c r="C121" s="468" t="s">
        <v>254</v>
      </c>
      <c r="D121" s="72">
        <f>SUMIFS(PURCHASE!$K$6:$K$10002,PURCHASE!$D$6:$D$10002,$C$6:$C$4995)</f>
        <v>0</v>
      </c>
      <c r="E121" s="72">
        <f>SUMIFS('GSTR-2A'!$K$6:$K$10000,'GSTR-2A'!$B$6:$B$10000,$C$6:$C$4995)</f>
        <v>0</v>
      </c>
      <c r="F121" s="72">
        <f>SUMIFS(PURCHASE!$L$6:$L$10002,PURCHASE!$D$6:$D$10002,$C$6:$C$4995)</f>
        <v>0</v>
      </c>
      <c r="G121" s="72">
        <f>SUMIFS('GSTR-2A'!$L$6:$L$10000,'GSTR-2A'!$B$6:$B$10000,$C$6:$C$4995)</f>
        <v>0</v>
      </c>
      <c r="H121" s="72">
        <f>SUMIFS(PURCHASE!$M$6:$M$10002,PURCHASE!$D$6:$D$10002,$C$6:$C$4995)</f>
        <v>0</v>
      </c>
      <c r="I121" s="72">
        <f>SUMIFS('GSTR-2A'!$M$6:$M$10000,'GSTR-2A'!$B$6:$B$10000,$C$6:$C$4995)</f>
        <v>0</v>
      </c>
      <c r="J121" s="72">
        <f>SUMIFS(PURCHASE!$N$6:$N$10002,PURCHASE!$D$6:$D$10002,$C$6:$C$4995)</f>
        <v>0</v>
      </c>
      <c r="K121" s="72">
        <f>SUMIFS('GSTR-2A'!$N$6:$N$10000,'GSTR-2A'!$B$6:$B$10000,$C$6:$C$4995)</f>
        <v>0</v>
      </c>
      <c r="L121" s="72">
        <f t="shared" si="8"/>
        <v>0</v>
      </c>
      <c r="M121" s="72">
        <f t="shared" si="9"/>
        <v>0</v>
      </c>
      <c r="N121" s="72">
        <f t="shared" si="10"/>
        <v>0</v>
      </c>
      <c r="O121" s="72">
        <f t="shared" si="11"/>
        <v>0</v>
      </c>
      <c r="Q121" s="72">
        <f t="shared" si="12"/>
        <v>0</v>
      </c>
      <c r="R121" s="72">
        <f t="shared" si="13"/>
        <v>0</v>
      </c>
      <c r="S121" s="72">
        <f t="shared" si="14"/>
        <v>0</v>
      </c>
    </row>
    <row r="122" spans="1:19" x14ac:dyDescent="0.2">
      <c r="A122" s="497">
        <v>117</v>
      </c>
      <c r="B122" s="468" t="s">
        <v>517</v>
      </c>
      <c r="C122" s="469" t="s">
        <v>256</v>
      </c>
      <c r="D122" s="72">
        <f>SUMIFS(PURCHASE!$K$6:$K$10002,PURCHASE!$D$6:$D$10002,$C$6:$C$4995)</f>
        <v>570609.89</v>
      </c>
      <c r="E122" s="72">
        <f>SUMIFS('GSTR-2A'!$K$6:$K$10000,'GSTR-2A'!$B$6:$B$10000,$C$6:$C$4995)</f>
        <v>454239.97000000003</v>
      </c>
      <c r="F122" s="72">
        <f>SUMIFS(PURCHASE!$L$6:$L$10002,PURCHASE!$D$6:$D$10002,$C$6:$C$4995)</f>
        <v>159770.77920000002</v>
      </c>
      <c r="G122" s="72">
        <f>SUMIFS('GSTR-2A'!$L$6:$L$10000,'GSTR-2A'!$B$6:$B$10000,$C$6:$C$4995)</f>
        <v>127187.19</v>
      </c>
      <c r="H122" s="72">
        <f>SUMIFS(PURCHASE!$M$6:$M$10002,PURCHASE!$D$6:$D$10002,$C$6:$C$4995)</f>
        <v>0</v>
      </c>
      <c r="I122" s="72">
        <f>SUMIFS('GSTR-2A'!$M$6:$M$10000,'GSTR-2A'!$B$6:$B$10000,$C$6:$C$4995)</f>
        <v>0</v>
      </c>
      <c r="J122" s="72">
        <f>SUMIFS(PURCHASE!$N$6:$N$10002,PURCHASE!$D$6:$D$10002,$C$6:$C$4995)</f>
        <v>0</v>
      </c>
      <c r="K122" s="72">
        <f>SUMIFS('GSTR-2A'!$N$6:$N$10000,'GSTR-2A'!$B$6:$B$10000,$C$6:$C$4995)</f>
        <v>0</v>
      </c>
      <c r="L122" s="72">
        <f t="shared" si="8"/>
        <v>116369.91999999998</v>
      </c>
      <c r="M122" s="72">
        <f t="shared" si="9"/>
        <v>32583.589200000017</v>
      </c>
      <c r="N122" s="72">
        <f t="shared" si="10"/>
        <v>0</v>
      </c>
      <c r="O122" s="72">
        <f t="shared" si="11"/>
        <v>0</v>
      </c>
      <c r="Q122" s="72">
        <f t="shared" si="12"/>
        <v>730380.6692</v>
      </c>
      <c r="R122" s="72">
        <f t="shared" si="13"/>
        <v>581427.16</v>
      </c>
      <c r="S122" s="72">
        <f t="shared" si="14"/>
        <v>148953.50919999997</v>
      </c>
    </row>
    <row r="123" spans="1:19" x14ac:dyDescent="0.2">
      <c r="A123" s="497">
        <v>118</v>
      </c>
      <c r="B123" s="468" t="s">
        <v>1166</v>
      </c>
      <c r="C123" s="469" t="s">
        <v>1167</v>
      </c>
      <c r="D123" s="72">
        <f>SUMIFS(PURCHASE!$K$6:$K$10002,PURCHASE!$D$6:$D$10002,$C$6:$C$4995)</f>
        <v>0</v>
      </c>
      <c r="E123" s="72">
        <f>SUMIFS('GSTR-2A'!$K$6:$K$10000,'GSTR-2A'!$B$6:$B$10000,$C$6:$C$4995)</f>
        <v>0</v>
      </c>
      <c r="F123" s="72">
        <f>SUMIFS(PURCHASE!$L$6:$L$10002,PURCHASE!$D$6:$D$10002,$C$6:$C$4995)</f>
        <v>0</v>
      </c>
      <c r="G123" s="72">
        <f>SUMIFS('GSTR-2A'!$L$6:$L$10000,'GSTR-2A'!$B$6:$B$10000,$C$6:$C$4995)</f>
        <v>0</v>
      </c>
      <c r="H123" s="72">
        <f>SUMIFS(PURCHASE!$M$6:$M$10002,PURCHASE!$D$6:$D$10002,$C$6:$C$4995)</f>
        <v>0</v>
      </c>
      <c r="I123" s="72">
        <f>SUMIFS('GSTR-2A'!$M$6:$M$10000,'GSTR-2A'!$B$6:$B$10000,$C$6:$C$4995)</f>
        <v>0</v>
      </c>
      <c r="J123" s="72">
        <f>SUMIFS(PURCHASE!$N$6:$N$10002,PURCHASE!$D$6:$D$10002,$C$6:$C$4995)</f>
        <v>0</v>
      </c>
      <c r="K123" s="72">
        <f>SUMIFS('GSTR-2A'!$N$6:$N$10000,'GSTR-2A'!$B$6:$B$10000,$C$6:$C$4995)</f>
        <v>0</v>
      </c>
      <c r="L123" s="72">
        <f t="shared" si="8"/>
        <v>0</v>
      </c>
      <c r="M123" s="72">
        <f t="shared" si="9"/>
        <v>0</v>
      </c>
      <c r="N123" s="72">
        <f t="shared" si="10"/>
        <v>0</v>
      </c>
      <c r="O123" s="72">
        <f t="shared" si="11"/>
        <v>0</v>
      </c>
      <c r="Q123" s="72">
        <f t="shared" si="12"/>
        <v>0</v>
      </c>
      <c r="R123" s="72">
        <f t="shared" si="13"/>
        <v>0</v>
      </c>
      <c r="S123" s="72">
        <f t="shared" si="14"/>
        <v>0</v>
      </c>
    </row>
    <row r="124" spans="1:19" x14ac:dyDescent="0.2">
      <c r="A124" s="497">
        <v>119</v>
      </c>
      <c r="B124" s="468" t="s">
        <v>892</v>
      </c>
      <c r="C124" s="469" t="s">
        <v>893</v>
      </c>
      <c r="D124" s="72">
        <f>SUMIFS(PURCHASE!$K$6:$K$10002,PURCHASE!$D$6:$D$10002,$C$6:$C$4995)</f>
        <v>10000</v>
      </c>
      <c r="E124" s="72">
        <f>SUMIFS('GSTR-2A'!$K$6:$K$10000,'GSTR-2A'!$B$6:$B$10000,$C$6:$C$4995)</f>
        <v>10000</v>
      </c>
      <c r="F124" s="72">
        <f>SUMIFS(PURCHASE!$L$6:$L$10002,PURCHASE!$D$6:$D$10002,$C$6:$C$4995)</f>
        <v>0</v>
      </c>
      <c r="G124" s="72">
        <f>SUMIFS('GSTR-2A'!$L$6:$L$10000,'GSTR-2A'!$B$6:$B$10000,$C$6:$C$4995)</f>
        <v>0</v>
      </c>
      <c r="H124" s="72">
        <f>SUMIFS(PURCHASE!$M$6:$M$10002,PURCHASE!$D$6:$D$10002,$C$6:$C$4995)</f>
        <v>900</v>
      </c>
      <c r="I124" s="72">
        <f>SUMIFS('GSTR-2A'!$M$6:$M$10000,'GSTR-2A'!$B$6:$B$10000,$C$6:$C$4995)</f>
        <v>900</v>
      </c>
      <c r="J124" s="72">
        <f>SUMIFS(PURCHASE!$N$6:$N$10002,PURCHASE!$D$6:$D$10002,$C$6:$C$4995)</f>
        <v>900</v>
      </c>
      <c r="K124" s="72">
        <f>SUMIFS('GSTR-2A'!$N$6:$N$10000,'GSTR-2A'!$B$6:$B$10000,$C$6:$C$4995)</f>
        <v>900</v>
      </c>
      <c r="L124" s="72">
        <f t="shared" si="8"/>
        <v>0</v>
      </c>
      <c r="M124" s="72">
        <f t="shared" si="9"/>
        <v>0</v>
      </c>
      <c r="N124" s="72">
        <f t="shared" si="10"/>
        <v>0</v>
      </c>
      <c r="O124" s="72">
        <f t="shared" si="11"/>
        <v>0</v>
      </c>
      <c r="Q124" s="72">
        <f t="shared" si="12"/>
        <v>11800</v>
      </c>
      <c r="R124" s="72">
        <f t="shared" si="13"/>
        <v>11800</v>
      </c>
      <c r="S124" s="72">
        <f t="shared" si="14"/>
        <v>0</v>
      </c>
    </row>
    <row r="125" spans="1:19" x14ac:dyDescent="0.2">
      <c r="A125" s="497">
        <v>120</v>
      </c>
      <c r="B125" s="468" t="s">
        <v>1168</v>
      </c>
      <c r="C125" s="468" t="s">
        <v>1169</v>
      </c>
      <c r="D125" s="72">
        <f>SUMIFS(PURCHASE!$K$6:$K$10002,PURCHASE!$D$6:$D$10002,$C$6:$C$4995)</f>
        <v>0</v>
      </c>
      <c r="E125" s="72">
        <f>SUMIFS('GSTR-2A'!$K$6:$K$10000,'GSTR-2A'!$B$6:$B$10000,$C$6:$C$4995)</f>
        <v>0</v>
      </c>
      <c r="F125" s="72">
        <f>SUMIFS(PURCHASE!$L$6:$L$10002,PURCHASE!$D$6:$D$10002,$C$6:$C$4995)</f>
        <v>0</v>
      </c>
      <c r="G125" s="72">
        <f>SUMIFS('GSTR-2A'!$L$6:$L$10000,'GSTR-2A'!$B$6:$B$10000,$C$6:$C$4995)</f>
        <v>0</v>
      </c>
      <c r="H125" s="72">
        <f>SUMIFS(PURCHASE!$M$6:$M$10002,PURCHASE!$D$6:$D$10002,$C$6:$C$4995)</f>
        <v>0</v>
      </c>
      <c r="I125" s="72">
        <f>SUMIFS('GSTR-2A'!$M$6:$M$10000,'GSTR-2A'!$B$6:$B$10000,$C$6:$C$4995)</f>
        <v>0</v>
      </c>
      <c r="J125" s="72">
        <f>SUMIFS(PURCHASE!$N$6:$N$10002,PURCHASE!$D$6:$D$10002,$C$6:$C$4995)</f>
        <v>0</v>
      </c>
      <c r="K125" s="72">
        <f>SUMIFS('GSTR-2A'!$N$6:$N$10000,'GSTR-2A'!$B$6:$B$10000,$C$6:$C$4995)</f>
        <v>0</v>
      </c>
      <c r="L125" s="72">
        <f t="shared" si="8"/>
        <v>0</v>
      </c>
      <c r="M125" s="72">
        <f t="shared" si="9"/>
        <v>0</v>
      </c>
      <c r="N125" s="72">
        <f t="shared" si="10"/>
        <v>0</v>
      </c>
      <c r="O125" s="72">
        <f t="shared" si="11"/>
        <v>0</v>
      </c>
      <c r="Q125" s="72">
        <f t="shared" si="12"/>
        <v>0</v>
      </c>
      <c r="R125" s="72">
        <f t="shared" si="13"/>
        <v>0</v>
      </c>
      <c r="S125" s="72">
        <f t="shared" si="14"/>
        <v>0</v>
      </c>
    </row>
    <row r="126" spans="1:19" x14ac:dyDescent="0.2">
      <c r="A126" s="497">
        <v>121</v>
      </c>
      <c r="B126" s="468" t="s">
        <v>866</v>
      </c>
      <c r="C126" s="469" t="s">
        <v>867</v>
      </c>
      <c r="D126" s="72">
        <f>SUMIFS(PURCHASE!$K$6:$K$10002,PURCHASE!$D$6:$D$10002,$C$6:$C$4995)</f>
        <v>35300</v>
      </c>
      <c r="E126" s="72">
        <f>SUMIFS('GSTR-2A'!$K$6:$K$10000,'GSTR-2A'!$B$6:$B$10000,$C$6:$C$4995)</f>
        <v>35300</v>
      </c>
      <c r="F126" s="72">
        <f>SUMIFS(PURCHASE!$L$6:$L$10002,PURCHASE!$D$6:$D$10002,$C$6:$C$4995)</f>
        <v>0</v>
      </c>
      <c r="G126" s="72">
        <f>SUMIFS('GSTR-2A'!$L$6:$L$10000,'GSTR-2A'!$B$6:$B$10000,$C$6:$C$4995)</f>
        <v>0</v>
      </c>
      <c r="H126" s="72">
        <f>SUMIFS(PURCHASE!$M$6:$M$10002,PURCHASE!$D$6:$D$10002,$C$6:$C$4995)</f>
        <v>3177</v>
      </c>
      <c r="I126" s="72">
        <f>SUMIFS('GSTR-2A'!$M$6:$M$10000,'GSTR-2A'!$B$6:$B$10000,$C$6:$C$4995)</f>
        <v>3177</v>
      </c>
      <c r="J126" s="72">
        <f>SUMIFS(PURCHASE!$N$6:$N$10002,PURCHASE!$D$6:$D$10002,$C$6:$C$4995)</f>
        <v>3177</v>
      </c>
      <c r="K126" s="72">
        <f>SUMIFS('GSTR-2A'!$N$6:$N$10000,'GSTR-2A'!$B$6:$B$10000,$C$6:$C$4995)</f>
        <v>3177</v>
      </c>
      <c r="L126" s="72">
        <f t="shared" si="8"/>
        <v>0</v>
      </c>
      <c r="M126" s="72">
        <f t="shared" si="9"/>
        <v>0</v>
      </c>
      <c r="N126" s="72">
        <f t="shared" si="10"/>
        <v>0</v>
      </c>
      <c r="O126" s="72">
        <f t="shared" si="11"/>
        <v>0</v>
      </c>
      <c r="Q126" s="72">
        <f t="shared" si="12"/>
        <v>41654</v>
      </c>
      <c r="R126" s="72">
        <f t="shared" si="13"/>
        <v>41654</v>
      </c>
      <c r="S126" s="72">
        <f t="shared" si="14"/>
        <v>0</v>
      </c>
    </row>
    <row r="127" spans="1:19" x14ac:dyDescent="0.2">
      <c r="A127" s="497">
        <v>122</v>
      </c>
      <c r="B127" s="475" t="s">
        <v>853</v>
      </c>
      <c r="C127" s="475" t="s">
        <v>854</v>
      </c>
      <c r="D127" s="72">
        <f>SUMIFS(PURCHASE!$K$6:$K$10002,PURCHASE!$D$6:$D$10002,$C$6:$C$4995)</f>
        <v>8316.1</v>
      </c>
      <c r="E127" s="72">
        <f>SUMIFS('GSTR-2A'!$K$6:$K$10000,'GSTR-2A'!$B$6:$B$10000,$C$6:$C$4995)</f>
        <v>8316.1</v>
      </c>
      <c r="F127" s="72">
        <f>SUMIFS(PURCHASE!$L$6:$L$10002,PURCHASE!$D$6:$D$10002,$C$6:$C$4995)</f>
        <v>0</v>
      </c>
      <c r="G127" s="72">
        <f>SUMIFS('GSTR-2A'!$L$6:$L$10000,'GSTR-2A'!$B$6:$B$10000,$C$6:$C$4995)</f>
        <v>0</v>
      </c>
      <c r="H127" s="72">
        <f>SUMIFS(PURCHASE!$M$6:$M$10002,PURCHASE!$D$6:$D$10002,$C$6:$C$4995)</f>
        <v>748.44900000000007</v>
      </c>
      <c r="I127" s="72">
        <f>SUMIFS('GSTR-2A'!$M$6:$M$10000,'GSTR-2A'!$B$6:$B$10000,$C$6:$C$4995)</f>
        <v>748.45</v>
      </c>
      <c r="J127" s="72">
        <f>SUMIFS(PURCHASE!$N$6:$N$10002,PURCHASE!$D$6:$D$10002,$C$6:$C$4995)</f>
        <v>748.44900000000007</v>
      </c>
      <c r="K127" s="72">
        <f>SUMIFS('GSTR-2A'!$N$6:$N$10000,'GSTR-2A'!$B$6:$B$10000,$C$6:$C$4995)</f>
        <v>748.45</v>
      </c>
      <c r="L127" s="72">
        <f t="shared" si="8"/>
        <v>0</v>
      </c>
      <c r="M127" s="72">
        <f t="shared" si="9"/>
        <v>0</v>
      </c>
      <c r="N127" s="72">
        <f t="shared" si="10"/>
        <v>-9.9999999997635314E-4</v>
      </c>
      <c r="O127" s="72">
        <f t="shared" si="11"/>
        <v>-9.9999999997635314E-4</v>
      </c>
      <c r="Q127" s="72">
        <f t="shared" si="12"/>
        <v>9812.9980000000014</v>
      </c>
      <c r="R127" s="72">
        <f t="shared" si="13"/>
        <v>9813.0000000000018</v>
      </c>
      <c r="S127" s="72">
        <f t="shared" si="14"/>
        <v>-2.0000000004074536E-3</v>
      </c>
    </row>
    <row r="128" spans="1:19" x14ac:dyDescent="0.2">
      <c r="A128" s="497">
        <v>123</v>
      </c>
      <c r="B128" s="468" t="s">
        <v>741</v>
      </c>
      <c r="C128" s="469" t="s">
        <v>225</v>
      </c>
      <c r="D128" s="72">
        <f>SUMIFS(PURCHASE!$K$6:$K$10002,PURCHASE!$D$6:$D$10002,$C$6:$C$4995)</f>
        <v>138526.80000000002</v>
      </c>
      <c r="E128" s="72">
        <f>SUMIFS('GSTR-2A'!$K$6:$K$10000,'GSTR-2A'!$B$6:$B$10000,$C$6:$C$4995)</f>
        <v>138526.80000000002</v>
      </c>
      <c r="F128" s="72">
        <f>SUMIFS(PURCHASE!$L$6:$L$10002,PURCHASE!$D$6:$D$10002,$C$6:$C$4995)</f>
        <v>0</v>
      </c>
      <c r="G128" s="72">
        <f>SUMIFS('GSTR-2A'!$L$6:$L$10000,'GSTR-2A'!$B$6:$B$10000,$C$6:$C$4995)</f>
        <v>0</v>
      </c>
      <c r="H128" s="72">
        <f>SUMIFS(PURCHASE!$M$6:$M$10002,PURCHASE!$D$6:$D$10002,$C$6:$C$4995)</f>
        <v>19393.762000000002</v>
      </c>
      <c r="I128" s="72">
        <f>SUMIFS('GSTR-2A'!$M$6:$M$10000,'GSTR-2A'!$B$6:$B$10000,$C$6:$C$4995)</f>
        <v>19393.77</v>
      </c>
      <c r="J128" s="72">
        <f>SUMIFS(PURCHASE!$N$6:$N$10002,PURCHASE!$D$6:$D$10002,$C$6:$C$4995)</f>
        <v>19393.762000000002</v>
      </c>
      <c r="K128" s="72">
        <f>SUMIFS('GSTR-2A'!$N$6:$N$10000,'GSTR-2A'!$B$6:$B$10000,$C$6:$C$4995)</f>
        <v>19393.77</v>
      </c>
      <c r="L128" s="72">
        <f t="shared" si="8"/>
        <v>0</v>
      </c>
      <c r="M128" s="72">
        <f t="shared" si="9"/>
        <v>0</v>
      </c>
      <c r="N128" s="72">
        <f t="shared" si="10"/>
        <v>-7.9999999979918357E-3</v>
      </c>
      <c r="O128" s="72">
        <f t="shared" si="11"/>
        <v>-7.9999999979918357E-3</v>
      </c>
      <c r="Q128" s="72">
        <f t="shared" si="12"/>
        <v>177314.32400000002</v>
      </c>
      <c r="R128" s="72">
        <f t="shared" si="13"/>
        <v>177314.34</v>
      </c>
      <c r="S128" s="72">
        <f t="shared" si="14"/>
        <v>-1.5999999974155799E-2</v>
      </c>
    </row>
    <row r="129" spans="1:19" x14ac:dyDescent="0.2">
      <c r="A129" s="497">
        <v>124</v>
      </c>
      <c r="B129" s="468" t="s">
        <v>472</v>
      </c>
      <c r="C129" s="469" t="s">
        <v>21</v>
      </c>
      <c r="D129" s="72">
        <f>SUMIFS(PURCHASE!$K$6:$K$10002,PURCHASE!$D$6:$D$10002,$C$6:$C$4995)</f>
        <v>171949.80000000002</v>
      </c>
      <c r="E129" s="72">
        <f>SUMIFS('GSTR-2A'!$K$6:$K$10000,'GSTR-2A'!$B$6:$B$10000,$C$6:$C$4995)</f>
        <v>171949.80000000002</v>
      </c>
      <c r="F129" s="72">
        <f>SUMIFS(PURCHASE!$L$6:$L$10002,PURCHASE!$D$6:$D$10002,$C$6:$C$4995)</f>
        <v>0</v>
      </c>
      <c r="G129" s="72">
        <f>SUMIFS('GSTR-2A'!$L$6:$L$10000,'GSTR-2A'!$B$6:$B$10000,$C$6:$C$4995)</f>
        <v>0</v>
      </c>
      <c r="H129" s="72">
        <f>SUMIFS(PURCHASE!$M$6:$M$10002,PURCHASE!$D$6:$D$10002,$C$6:$C$4995)</f>
        <v>24072.971999999994</v>
      </c>
      <c r="I129" s="72">
        <f>SUMIFS('GSTR-2A'!$M$6:$M$10000,'GSTR-2A'!$B$6:$B$10000,$C$6:$C$4995)</f>
        <v>24072.99</v>
      </c>
      <c r="J129" s="72">
        <f>SUMIFS(PURCHASE!$N$6:$N$10002,PURCHASE!$D$6:$D$10002,$C$6:$C$4995)</f>
        <v>24072.971999999994</v>
      </c>
      <c r="K129" s="72">
        <f>SUMIFS('GSTR-2A'!$N$6:$N$10000,'GSTR-2A'!$B$6:$B$10000,$C$6:$C$4995)</f>
        <v>24072.99</v>
      </c>
      <c r="L129" s="72">
        <f t="shared" si="8"/>
        <v>0</v>
      </c>
      <c r="M129" s="72">
        <f t="shared" si="9"/>
        <v>0</v>
      </c>
      <c r="N129" s="72">
        <f t="shared" si="10"/>
        <v>-1.8000000007305061E-2</v>
      </c>
      <c r="O129" s="72">
        <f t="shared" si="11"/>
        <v>-1.8000000007305061E-2</v>
      </c>
      <c r="Q129" s="72">
        <f t="shared" si="12"/>
        <v>220095.74400000001</v>
      </c>
      <c r="R129" s="72">
        <f t="shared" si="13"/>
        <v>220095.78</v>
      </c>
      <c r="S129" s="72">
        <f t="shared" si="14"/>
        <v>-3.599999999278225E-2</v>
      </c>
    </row>
    <row r="130" spans="1:19" x14ac:dyDescent="0.2">
      <c r="A130" s="497">
        <v>125</v>
      </c>
      <c r="B130" s="468" t="s">
        <v>1170</v>
      </c>
      <c r="C130" s="468" t="s">
        <v>1171</v>
      </c>
      <c r="D130" s="72">
        <f>SUMIFS(PURCHASE!$K$6:$K$10002,PURCHASE!$D$6:$D$10002,$C$6:$C$4995)</f>
        <v>0</v>
      </c>
      <c r="E130" s="72">
        <f>SUMIFS('GSTR-2A'!$K$6:$K$10000,'GSTR-2A'!$B$6:$B$10000,$C$6:$C$4995)</f>
        <v>0</v>
      </c>
      <c r="F130" s="72">
        <f>SUMIFS(PURCHASE!$L$6:$L$10002,PURCHASE!$D$6:$D$10002,$C$6:$C$4995)</f>
        <v>0</v>
      </c>
      <c r="G130" s="72">
        <f>SUMIFS('GSTR-2A'!$L$6:$L$10000,'GSTR-2A'!$B$6:$B$10000,$C$6:$C$4995)</f>
        <v>0</v>
      </c>
      <c r="H130" s="72">
        <f>SUMIFS(PURCHASE!$M$6:$M$10002,PURCHASE!$D$6:$D$10002,$C$6:$C$4995)</f>
        <v>0</v>
      </c>
      <c r="I130" s="72">
        <f>SUMIFS('GSTR-2A'!$M$6:$M$10000,'GSTR-2A'!$B$6:$B$10000,$C$6:$C$4995)</f>
        <v>0</v>
      </c>
      <c r="J130" s="72">
        <f>SUMIFS(PURCHASE!$N$6:$N$10002,PURCHASE!$D$6:$D$10002,$C$6:$C$4995)</f>
        <v>0</v>
      </c>
      <c r="K130" s="72">
        <f>SUMIFS('GSTR-2A'!$N$6:$N$10000,'GSTR-2A'!$B$6:$B$10000,$C$6:$C$4995)</f>
        <v>0</v>
      </c>
      <c r="L130" s="72">
        <f t="shared" si="8"/>
        <v>0</v>
      </c>
      <c r="M130" s="72">
        <f t="shared" si="9"/>
        <v>0</v>
      </c>
      <c r="N130" s="72">
        <f t="shared" si="10"/>
        <v>0</v>
      </c>
      <c r="O130" s="72">
        <f t="shared" si="11"/>
        <v>0</v>
      </c>
      <c r="Q130" s="72">
        <f t="shared" si="12"/>
        <v>0</v>
      </c>
      <c r="R130" s="72">
        <f t="shared" si="13"/>
        <v>0</v>
      </c>
      <c r="S130" s="72">
        <f t="shared" si="14"/>
        <v>0</v>
      </c>
    </row>
    <row r="131" spans="1:19" x14ac:dyDescent="0.2">
      <c r="A131" s="497">
        <v>126</v>
      </c>
      <c r="B131" s="468" t="s">
        <v>1172</v>
      </c>
      <c r="C131" s="469" t="s">
        <v>103</v>
      </c>
      <c r="D131" s="72">
        <f>SUMIFS(PURCHASE!$K$6:$K$10002,PURCHASE!$D$6:$D$10002,$C$6:$C$4995)</f>
        <v>44140.82</v>
      </c>
      <c r="E131" s="72">
        <f>SUMIFS('GSTR-2A'!$K$6:$K$10000,'GSTR-2A'!$B$6:$B$10000,$C$6:$C$4995)</f>
        <v>68450.460000000006</v>
      </c>
      <c r="F131" s="72">
        <f>SUMIFS(PURCHASE!$L$6:$L$10002,PURCHASE!$D$6:$D$10002,$C$6:$C$4995)</f>
        <v>12359.429600000001</v>
      </c>
      <c r="G131" s="72">
        <f>SUMIFS('GSTR-2A'!$L$6:$L$10000,'GSTR-2A'!$B$6:$B$10000,$C$6:$C$4995)</f>
        <v>19166.110000000004</v>
      </c>
      <c r="H131" s="72">
        <f>SUMIFS(PURCHASE!$M$6:$M$10002,PURCHASE!$D$6:$D$10002,$C$6:$C$4995)</f>
        <v>0</v>
      </c>
      <c r="I131" s="72">
        <f>SUMIFS('GSTR-2A'!$M$6:$M$10000,'GSTR-2A'!$B$6:$B$10000,$C$6:$C$4995)</f>
        <v>0</v>
      </c>
      <c r="J131" s="72">
        <f>SUMIFS(PURCHASE!$N$6:$N$10002,PURCHASE!$D$6:$D$10002,$C$6:$C$4995)</f>
        <v>0</v>
      </c>
      <c r="K131" s="72">
        <f>SUMIFS('GSTR-2A'!$N$6:$N$10000,'GSTR-2A'!$B$6:$B$10000,$C$6:$C$4995)</f>
        <v>0</v>
      </c>
      <c r="L131" s="72">
        <f t="shared" si="8"/>
        <v>-24309.640000000007</v>
      </c>
      <c r="M131" s="72">
        <f t="shared" si="9"/>
        <v>-6806.6804000000029</v>
      </c>
      <c r="N131" s="72">
        <f t="shared" si="10"/>
        <v>0</v>
      </c>
      <c r="O131" s="72">
        <f t="shared" si="11"/>
        <v>0</v>
      </c>
      <c r="Q131" s="72">
        <f t="shared" si="12"/>
        <v>56500.249600000003</v>
      </c>
      <c r="R131" s="72">
        <f t="shared" si="13"/>
        <v>87616.57</v>
      </c>
      <c r="S131" s="72">
        <f t="shared" si="14"/>
        <v>-31116.320400000004</v>
      </c>
    </row>
    <row r="132" spans="1:19" x14ac:dyDescent="0.2">
      <c r="A132" s="497">
        <v>127</v>
      </c>
      <c r="B132" s="468" t="s">
        <v>1173</v>
      </c>
      <c r="C132" s="469" t="s">
        <v>1174</v>
      </c>
      <c r="D132" s="72">
        <f>SUMIFS(PURCHASE!$K$6:$K$10002,PURCHASE!$D$6:$D$10002,$C$6:$C$4995)</f>
        <v>0</v>
      </c>
      <c r="E132" s="72">
        <f>SUMIFS('GSTR-2A'!$K$6:$K$10000,'GSTR-2A'!$B$6:$B$10000,$C$6:$C$4995)</f>
        <v>0</v>
      </c>
      <c r="F132" s="72">
        <f>SUMIFS(PURCHASE!$L$6:$L$10002,PURCHASE!$D$6:$D$10002,$C$6:$C$4995)</f>
        <v>0</v>
      </c>
      <c r="G132" s="72">
        <f>SUMIFS('GSTR-2A'!$L$6:$L$10000,'GSTR-2A'!$B$6:$B$10000,$C$6:$C$4995)</f>
        <v>0</v>
      </c>
      <c r="H132" s="72">
        <f>SUMIFS(PURCHASE!$M$6:$M$10002,PURCHASE!$D$6:$D$10002,$C$6:$C$4995)</f>
        <v>0</v>
      </c>
      <c r="I132" s="72">
        <f>SUMIFS('GSTR-2A'!$M$6:$M$10000,'GSTR-2A'!$B$6:$B$10000,$C$6:$C$4995)</f>
        <v>0</v>
      </c>
      <c r="J132" s="72">
        <f>SUMIFS(PURCHASE!$N$6:$N$10002,PURCHASE!$D$6:$D$10002,$C$6:$C$4995)</f>
        <v>0</v>
      </c>
      <c r="K132" s="72">
        <f>SUMIFS('GSTR-2A'!$N$6:$N$10000,'GSTR-2A'!$B$6:$B$10000,$C$6:$C$4995)</f>
        <v>0</v>
      </c>
      <c r="L132" s="72">
        <f t="shared" si="8"/>
        <v>0</v>
      </c>
      <c r="M132" s="72">
        <f t="shared" si="9"/>
        <v>0</v>
      </c>
      <c r="N132" s="72">
        <f t="shared" si="10"/>
        <v>0</v>
      </c>
      <c r="O132" s="72">
        <f t="shared" si="11"/>
        <v>0</v>
      </c>
      <c r="Q132" s="72">
        <f t="shared" si="12"/>
        <v>0</v>
      </c>
      <c r="R132" s="72">
        <f t="shared" si="13"/>
        <v>0</v>
      </c>
      <c r="S132" s="72">
        <f t="shared" si="14"/>
        <v>0</v>
      </c>
    </row>
    <row r="133" spans="1:19" x14ac:dyDescent="0.2">
      <c r="A133" s="497">
        <v>128</v>
      </c>
      <c r="B133" s="475" t="s">
        <v>963</v>
      </c>
      <c r="C133" s="475" t="s">
        <v>964</v>
      </c>
      <c r="D133" s="72">
        <f>SUMIFS(PURCHASE!$K$6:$K$10002,PURCHASE!$D$6:$D$10002,$C$6:$C$4995)</f>
        <v>1500</v>
      </c>
      <c r="E133" s="72">
        <f>SUMIFS('GSTR-2A'!$K$6:$K$10000,'GSTR-2A'!$B$6:$B$10000,$C$6:$C$4995)</f>
        <v>1500</v>
      </c>
      <c r="F133" s="72">
        <f>SUMIFS(PURCHASE!$L$6:$L$10002,PURCHASE!$D$6:$D$10002,$C$6:$C$4995)</f>
        <v>0</v>
      </c>
      <c r="G133" s="72">
        <f>SUMIFS('GSTR-2A'!$L$6:$L$10000,'GSTR-2A'!$B$6:$B$10000,$C$6:$C$4995)</f>
        <v>0</v>
      </c>
      <c r="H133" s="72">
        <f>SUMIFS(PURCHASE!$M$6:$M$10002,PURCHASE!$D$6:$D$10002,$C$6:$C$4995)</f>
        <v>135</v>
      </c>
      <c r="I133" s="72">
        <f>SUMIFS('GSTR-2A'!$M$6:$M$10000,'GSTR-2A'!$B$6:$B$10000,$C$6:$C$4995)</f>
        <v>135</v>
      </c>
      <c r="J133" s="72">
        <f>SUMIFS(PURCHASE!$N$6:$N$10002,PURCHASE!$D$6:$D$10002,$C$6:$C$4995)</f>
        <v>135</v>
      </c>
      <c r="K133" s="72">
        <f>SUMIFS('GSTR-2A'!$N$6:$N$10000,'GSTR-2A'!$B$6:$B$10000,$C$6:$C$4995)</f>
        <v>135</v>
      </c>
      <c r="L133" s="72">
        <f t="shared" si="8"/>
        <v>0</v>
      </c>
      <c r="M133" s="72">
        <f t="shared" si="9"/>
        <v>0</v>
      </c>
      <c r="N133" s="72">
        <f t="shared" si="10"/>
        <v>0</v>
      </c>
      <c r="O133" s="72">
        <f t="shared" si="11"/>
        <v>0</v>
      </c>
      <c r="Q133" s="72">
        <f t="shared" si="12"/>
        <v>1770</v>
      </c>
      <c r="R133" s="72">
        <f t="shared" si="13"/>
        <v>1770</v>
      </c>
      <c r="S133" s="72">
        <f t="shared" si="14"/>
        <v>0</v>
      </c>
    </row>
    <row r="134" spans="1:19" x14ac:dyDescent="0.2">
      <c r="A134" s="497">
        <v>129</v>
      </c>
      <c r="B134" s="468" t="s">
        <v>541</v>
      </c>
      <c r="C134" s="469" t="s">
        <v>542</v>
      </c>
      <c r="D134" s="72">
        <f>SUMIFS(PURCHASE!$K$6:$K$10002,PURCHASE!$D$6:$D$10002,$C$6:$C$4995)</f>
        <v>24500</v>
      </c>
      <c r="E134" s="72">
        <f>SUMIFS('GSTR-2A'!$K$6:$K$10000,'GSTR-2A'!$B$6:$B$10000,$C$6:$C$4995)</f>
        <v>10500</v>
      </c>
      <c r="F134" s="72">
        <f>SUMIFS(PURCHASE!$L$6:$L$10002,PURCHASE!$D$6:$D$10002,$C$6:$C$4995)</f>
        <v>0</v>
      </c>
      <c r="G134" s="72">
        <f>SUMIFS('GSTR-2A'!$L$6:$L$10000,'GSTR-2A'!$B$6:$B$10000,$C$6:$C$4995)</f>
        <v>0</v>
      </c>
      <c r="H134" s="72">
        <f>SUMIFS(PURCHASE!$M$6:$M$10002,PURCHASE!$D$6:$D$10002,$C$6:$C$4995)</f>
        <v>2205</v>
      </c>
      <c r="I134" s="72">
        <f>SUMIFS('GSTR-2A'!$M$6:$M$10000,'GSTR-2A'!$B$6:$B$10000,$C$6:$C$4995)</f>
        <v>945</v>
      </c>
      <c r="J134" s="72">
        <f>SUMIFS(PURCHASE!$N$6:$N$10002,PURCHASE!$D$6:$D$10002,$C$6:$C$4995)</f>
        <v>2205</v>
      </c>
      <c r="K134" s="72">
        <f>SUMIFS('GSTR-2A'!$N$6:$N$10000,'GSTR-2A'!$B$6:$B$10000,$C$6:$C$4995)</f>
        <v>945</v>
      </c>
      <c r="L134" s="72">
        <f t="shared" si="8"/>
        <v>14000</v>
      </c>
      <c r="M134" s="72">
        <f t="shared" si="9"/>
        <v>0</v>
      </c>
      <c r="N134" s="72">
        <f t="shared" si="10"/>
        <v>1260</v>
      </c>
      <c r="O134" s="72">
        <f t="shared" si="11"/>
        <v>1260</v>
      </c>
      <c r="Q134" s="72">
        <f t="shared" si="12"/>
        <v>28910</v>
      </c>
      <c r="R134" s="72">
        <f t="shared" si="13"/>
        <v>12390</v>
      </c>
      <c r="S134" s="72">
        <f t="shared" si="14"/>
        <v>16520</v>
      </c>
    </row>
    <row r="135" spans="1:19" x14ac:dyDescent="0.2">
      <c r="A135" s="497">
        <v>130</v>
      </c>
      <c r="B135" s="468" t="s">
        <v>565</v>
      </c>
      <c r="C135" s="469" t="s">
        <v>566</v>
      </c>
      <c r="D135" s="72">
        <f>SUMIFS(PURCHASE!$K$6:$K$10002,PURCHASE!$D$6:$D$10002,$C$6:$C$4995)</f>
        <v>65553.63</v>
      </c>
      <c r="E135" s="72">
        <f>SUMIFS('GSTR-2A'!$K$6:$K$10000,'GSTR-2A'!$B$6:$B$10000,$C$6:$C$4995)</f>
        <v>65553.63</v>
      </c>
      <c r="F135" s="72">
        <f>SUMIFS(PURCHASE!$L$6:$L$10002,PURCHASE!$D$6:$D$10002,$C$6:$C$4995)</f>
        <v>0</v>
      </c>
      <c r="G135" s="72">
        <f>SUMIFS('GSTR-2A'!$L$6:$L$10000,'GSTR-2A'!$B$6:$B$10000,$C$6:$C$4995)</f>
        <v>0</v>
      </c>
      <c r="H135" s="72">
        <f>SUMIFS(PURCHASE!$M$6:$M$10002,PURCHASE!$D$6:$D$10002,$C$6:$C$4995)</f>
        <v>5753.9167000000016</v>
      </c>
      <c r="I135" s="72">
        <f>SUMIFS('GSTR-2A'!$M$6:$M$10000,'GSTR-2A'!$B$6:$B$10000,$C$6:$C$4995)</f>
        <v>5744.88</v>
      </c>
      <c r="J135" s="72">
        <f>SUMIFS(PURCHASE!$N$6:$N$10002,PURCHASE!$D$6:$D$10002,$C$6:$C$4995)</f>
        <v>5753.9167000000016</v>
      </c>
      <c r="K135" s="72">
        <f>SUMIFS('GSTR-2A'!$N$6:$N$10000,'GSTR-2A'!$B$6:$B$10000,$C$6:$C$4995)</f>
        <v>5744.88</v>
      </c>
      <c r="L135" s="72">
        <f t="shared" ref="L135:L151" si="15">+D135-E135</f>
        <v>0</v>
      </c>
      <c r="M135" s="72">
        <f t="shared" ref="M135:M151" si="16">+F135-G135</f>
        <v>0</v>
      </c>
      <c r="N135" s="72">
        <f t="shared" ref="N135:N151" si="17">+H135-I135</f>
        <v>9.0367000000014741</v>
      </c>
      <c r="O135" s="72">
        <f t="shared" ref="O135:O151" si="18">+J135-K135</f>
        <v>9.0367000000014741</v>
      </c>
      <c r="Q135" s="72">
        <f t="shared" si="12"/>
        <v>77061.463400000008</v>
      </c>
      <c r="R135" s="72">
        <f t="shared" si="13"/>
        <v>77043.390000000014</v>
      </c>
      <c r="S135" s="72">
        <f t="shared" si="14"/>
        <v>18.073399999993853</v>
      </c>
    </row>
    <row r="136" spans="1:19" x14ac:dyDescent="0.2">
      <c r="A136" s="497">
        <v>131</v>
      </c>
      <c r="B136" s="468" t="s">
        <v>779</v>
      </c>
      <c r="C136" s="469" t="s">
        <v>780</v>
      </c>
      <c r="D136" s="72">
        <f>SUMIFS(PURCHASE!$K$6:$K$10002,PURCHASE!$D$6:$D$10002,$C$6:$C$4995)</f>
        <v>592000</v>
      </c>
      <c r="E136" s="72">
        <f>SUMIFS('GSTR-2A'!$K$6:$K$10000,'GSTR-2A'!$B$6:$B$10000,$C$6:$C$4995)</f>
        <v>18800</v>
      </c>
      <c r="F136" s="72">
        <f>SUMIFS(PURCHASE!$L$6:$L$10002,PURCHASE!$D$6:$D$10002,$C$6:$C$4995)</f>
        <v>0</v>
      </c>
      <c r="G136" s="72">
        <f>SUMIFS('GSTR-2A'!$L$6:$L$10000,'GSTR-2A'!$B$6:$B$10000,$C$6:$C$4995)</f>
        <v>0</v>
      </c>
      <c r="H136" s="72">
        <f>SUMIFS(PURCHASE!$M$6:$M$10002,PURCHASE!$D$6:$D$10002,$C$6:$C$4995)</f>
        <v>53280</v>
      </c>
      <c r="I136" s="72">
        <f>SUMIFS('GSTR-2A'!$M$6:$M$10000,'GSTR-2A'!$B$6:$B$10000,$C$6:$C$4995)</f>
        <v>1692</v>
      </c>
      <c r="J136" s="72">
        <f>SUMIFS(PURCHASE!$N$6:$N$10002,PURCHASE!$D$6:$D$10002,$C$6:$C$4995)</f>
        <v>53280</v>
      </c>
      <c r="K136" s="72">
        <f>SUMIFS('GSTR-2A'!$N$6:$N$10000,'GSTR-2A'!$B$6:$B$10000,$C$6:$C$4995)</f>
        <v>1692</v>
      </c>
      <c r="L136" s="72">
        <f t="shared" si="15"/>
        <v>573200</v>
      </c>
      <c r="M136" s="72">
        <f t="shared" si="16"/>
        <v>0</v>
      </c>
      <c r="N136" s="72">
        <f t="shared" si="17"/>
        <v>51588</v>
      </c>
      <c r="O136" s="72">
        <f t="shared" si="18"/>
        <v>51588</v>
      </c>
      <c r="Q136" s="72">
        <f t="shared" si="12"/>
        <v>698560</v>
      </c>
      <c r="R136" s="72">
        <f t="shared" si="13"/>
        <v>22184</v>
      </c>
      <c r="S136" s="72">
        <f t="shared" si="14"/>
        <v>676376</v>
      </c>
    </row>
    <row r="137" spans="1:19" x14ac:dyDescent="0.2">
      <c r="A137" s="497">
        <v>132</v>
      </c>
      <c r="B137" s="468" t="s">
        <v>546</v>
      </c>
      <c r="C137" s="469" t="s">
        <v>547</v>
      </c>
      <c r="D137" s="72">
        <f>SUMIFS(PURCHASE!$K$6:$K$10002,PURCHASE!$D$6:$D$10002,$C$6:$C$4995)</f>
        <v>1275</v>
      </c>
      <c r="E137" s="72">
        <f>SUMIFS('GSTR-2A'!$K$6:$K$10000,'GSTR-2A'!$B$6:$B$10000,$C$6:$C$4995)</f>
        <v>1275.5</v>
      </c>
      <c r="F137" s="72">
        <f>SUMIFS(PURCHASE!$L$6:$L$10002,PURCHASE!$D$6:$D$10002,$C$6:$C$4995)</f>
        <v>0</v>
      </c>
      <c r="G137" s="72">
        <f>SUMIFS('GSTR-2A'!$L$6:$L$10000,'GSTR-2A'!$B$6:$B$10000,$C$6:$C$4995)</f>
        <v>0</v>
      </c>
      <c r="H137" s="72">
        <f>SUMIFS(PURCHASE!$M$6:$M$10002,PURCHASE!$D$6:$D$10002,$C$6:$C$4995)</f>
        <v>114.75</v>
      </c>
      <c r="I137" s="72">
        <f>SUMIFS('GSTR-2A'!$M$6:$M$10000,'GSTR-2A'!$B$6:$B$10000,$C$6:$C$4995)</f>
        <v>114.8</v>
      </c>
      <c r="J137" s="72">
        <f>SUMIFS(PURCHASE!$N$6:$N$10002,PURCHASE!$D$6:$D$10002,$C$6:$C$4995)</f>
        <v>114.75</v>
      </c>
      <c r="K137" s="72">
        <f>SUMIFS('GSTR-2A'!$N$6:$N$10000,'GSTR-2A'!$B$6:$B$10000,$C$6:$C$4995)</f>
        <v>114.8</v>
      </c>
      <c r="L137" s="72">
        <f t="shared" si="15"/>
        <v>-0.5</v>
      </c>
      <c r="M137" s="72">
        <f t="shared" si="16"/>
        <v>0</v>
      </c>
      <c r="N137" s="72">
        <f t="shared" si="17"/>
        <v>-4.9999999999997158E-2</v>
      </c>
      <c r="O137" s="72">
        <f t="shared" si="18"/>
        <v>-4.9999999999997158E-2</v>
      </c>
      <c r="Q137" s="72">
        <f t="shared" ref="Q137:Q200" si="19">+D137+F137+H137+J137</f>
        <v>1504.5</v>
      </c>
      <c r="R137" s="72">
        <f t="shared" ref="R137:R200" si="20">+E137+G137+I137+K137</f>
        <v>1505.1</v>
      </c>
      <c r="S137" s="72">
        <f t="shared" ref="S137:S200" si="21">+Q137-R137</f>
        <v>-0.59999999999990905</v>
      </c>
    </row>
    <row r="138" spans="1:19" x14ac:dyDescent="0.2">
      <c r="A138" s="497">
        <v>133</v>
      </c>
      <c r="B138" s="467" t="s">
        <v>682</v>
      </c>
      <c r="C138" s="467" t="s">
        <v>683</v>
      </c>
      <c r="D138" s="72">
        <f>SUMIFS(PURCHASE!$K$6:$K$10002,PURCHASE!$D$6:$D$10002,$C$6:$C$4995)</f>
        <v>28892</v>
      </c>
      <c r="E138" s="72">
        <f>SUMIFS('GSTR-2A'!$K$6:$K$10000,'GSTR-2A'!$B$6:$B$10000,$C$6:$C$4995)</f>
        <v>0</v>
      </c>
      <c r="F138" s="72">
        <f>SUMIFS(PURCHASE!$L$6:$L$10002,PURCHASE!$D$6:$D$10002,$C$6:$C$4995)</f>
        <v>0</v>
      </c>
      <c r="G138" s="72">
        <f>SUMIFS('GSTR-2A'!$L$6:$L$10000,'GSTR-2A'!$B$6:$B$10000,$C$6:$C$4995)</f>
        <v>0</v>
      </c>
      <c r="H138" s="72">
        <f>SUMIFS(PURCHASE!$M$6:$M$10002,PURCHASE!$D$6:$D$10002,$C$6:$C$4995)</f>
        <v>3847.9300000000003</v>
      </c>
      <c r="I138" s="72">
        <f>SUMIFS('GSTR-2A'!$M$6:$M$10000,'GSTR-2A'!$B$6:$B$10000,$C$6:$C$4995)</f>
        <v>0</v>
      </c>
      <c r="J138" s="72">
        <f>SUMIFS(PURCHASE!$N$6:$N$10002,PURCHASE!$D$6:$D$10002,$C$6:$C$4995)</f>
        <v>3847.9300000000003</v>
      </c>
      <c r="K138" s="72">
        <f>SUMIFS('GSTR-2A'!$N$6:$N$10000,'GSTR-2A'!$B$6:$B$10000,$C$6:$C$4995)</f>
        <v>0</v>
      </c>
      <c r="L138" s="72">
        <f t="shared" si="15"/>
        <v>28892</v>
      </c>
      <c r="M138" s="72">
        <f t="shared" si="16"/>
        <v>0</v>
      </c>
      <c r="N138" s="72">
        <f t="shared" si="17"/>
        <v>3847.9300000000003</v>
      </c>
      <c r="O138" s="72">
        <f t="shared" si="18"/>
        <v>3847.9300000000003</v>
      </c>
      <c r="Q138" s="72">
        <f t="shared" si="19"/>
        <v>36587.86</v>
      </c>
      <c r="R138" s="72">
        <f t="shared" si="20"/>
        <v>0</v>
      </c>
      <c r="S138" s="72">
        <f t="shared" si="21"/>
        <v>36587.86</v>
      </c>
    </row>
    <row r="139" spans="1:19" x14ac:dyDescent="0.2">
      <c r="A139" s="497">
        <v>134</v>
      </c>
      <c r="B139" s="467" t="s">
        <v>928</v>
      </c>
      <c r="C139" s="467" t="s">
        <v>929</v>
      </c>
      <c r="D139" s="72">
        <f>SUMIFS(PURCHASE!$K$6:$K$10002,PURCHASE!$D$6:$D$10002,$C$6:$C$4995)</f>
        <v>7250</v>
      </c>
      <c r="E139" s="72">
        <f>SUMIFS('GSTR-2A'!$K$6:$K$10000,'GSTR-2A'!$B$6:$B$10000,$C$6:$C$4995)</f>
        <v>7250</v>
      </c>
      <c r="F139" s="72">
        <f>SUMIFS(PURCHASE!$L$6:$L$10002,PURCHASE!$D$6:$D$10002,$C$6:$C$4995)</f>
        <v>1305</v>
      </c>
      <c r="G139" s="72">
        <f>SUMIFS('GSTR-2A'!$L$6:$L$10000,'GSTR-2A'!$B$6:$B$10000,$C$6:$C$4995)</f>
        <v>1305</v>
      </c>
      <c r="H139" s="72">
        <f>SUMIFS(PURCHASE!$M$6:$M$10002,PURCHASE!$D$6:$D$10002,$C$6:$C$4995)</f>
        <v>0</v>
      </c>
      <c r="I139" s="72">
        <f>SUMIFS('GSTR-2A'!$M$6:$M$10000,'GSTR-2A'!$B$6:$B$10000,$C$6:$C$4995)</f>
        <v>0</v>
      </c>
      <c r="J139" s="72">
        <f>SUMIFS(PURCHASE!$N$6:$N$10002,PURCHASE!$D$6:$D$10002,$C$6:$C$4995)</f>
        <v>0</v>
      </c>
      <c r="K139" s="72">
        <f>SUMIFS('GSTR-2A'!$N$6:$N$10000,'GSTR-2A'!$B$6:$B$10000,$C$6:$C$4995)</f>
        <v>0</v>
      </c>
      <c r="L139" s="72">
        <f t="shared" si="15"/>
        <v>0</v>
      </c>
      <c r="M139" s="72">
        <f t="shared" si="16"/>
        <v>0</v>
      </c>
      <c r="N139" s="72">
        <f t="shared" si="17"/>
        <v>0</v>
      </c>
      <c r="O139" s="72">
        <f t="shared" si="18"/>
        <v>0</v>
      </c>
      <c r="Q139" s="72">
        <f t="shared" si="19"/>
        <v>8555</v>
      </c>
      <c r="R139" s="72">
        <f t="shared" si="20"/>
        <v>8555</v>
      </c>
      <c r="S139" s="72">
        <f t="shared" si="21"/>
        <v>0</v>
      </c>
    </row>
    <row r="140" spans="1:19" x14ac:dyDescent="0.2">
      <c r="A140" s="497">
        <v>135</v>
      </c>
      <c r="B140" s="468" t="s">
        <v>784</v>
      </c>
      <c r="C140" s="469" t="s">
        <v>785</v>
      </c>
      <c r="D140" s="72">
        <f>SUMIFS(PURCHASE!$K$6:$K$10002,PURCHASE!$D$6:$D$10002,$C$6:$C$4995)</f>
        <v>10800</v>
      </c>
      <c r="E140" s="72">
        <f>SUMIFS('GSTR-2A'!$K$6:$K$10000,'GSTR-2A'!$B$6:$B$10000,$C$6:$C$4995)</f>
        <v>10800</v>
      </c>
      <c r="F140" s="72">
        <f>SUMIFS(PURCHASE!$L$6:$L$10002,PURCHASE!$D$6:$D$10002,$C$6:$C$4995)</f>
        <v>1944</v>
      </c>
      <c r="G140" s="72">
        <f>SUMIFS('GSTR-2A'!$L$6:$L$10000,'GSTR-2A'!$B$6:$B$10000,$C$6:$C$4995)</f>
        <v>1944</v>
      </c>
      <c r="H140" s="72">
        <f>SUMIFS(PURCHASE!$M$6:$M$10002,PURCHASE!$D$6:$D$10002,$C$6:$C$4995)</f>
        <v>0</v>
      </c>
      <c r="I140" s="72">
        <f>SUMIFS('GSTR-2A'!$M$6:$M$10000,'GSTR-2A'!$B$6:$B$10000,$C$6:$C$4995)</f>
        <v>0</v>
      </c>
      <c r="J140" s="72">
        <f>SUMIFS(PURCHASE!$N$6:$N$10002,PURCHASE!$D$6:$D$10002,$C$6:$C$4995)</f>
        <v>0</v>
      </c>
      <c r="K140" s="72">
        <f>SUMIFS('GSTR-2A'!$N$6:$N$10000,'GSTR-2A'!$B$6:$B$10000,$C$6:$C$4995)</f>
        <v>0</v>
      </c>
      <c r="L140" s="72">
        <f t="shared" si="15"/>
        <v>0</v>
      </c>
      <c r="M140" s="72">
        <f t="shared" si="16"/>
        <v>0</v>
      </c>
      <c r="N140" s="72">
        <f t="shared" si="17"/>
        <v>0</v>
      </c>
      <c r="O140" s="72">
        <f t="shared" si="18"/>
        <v>0</v>
      </c>
      <c r="Q140" s="72">
        <f t="shared" si="19"/>
        <v>12744</v>
      </c>
      <c r="R140" s="72">
        <f t="shared" si="20"/>
        <v>12744</v>
      </c>
      <c r="S140" s="72">
        <f t="shared" si="21"/>
        <v>0</v>
      </c>
    </row>
    <row r="141" spans="1:19" x14ac:dyDescent="0.2">
      <c r="A141" s="497">
        <v>136</v>
      </c>
      <c r="B141" s="468" t="s">
        <v>999</v>
      </c>
      <c r="C141" s="469" t="s">
        <v>1000</v>
      </c>
      <c r="D141" s="72">
        <f>SUMIFS(PURCHASE!$K$6:$K$10002,PURCHASE!$D$6:$D$10002,$C$6:$C$4995)</f>
        <v>3120</v>
      </c>
      <c r="E141" s="72">
        <f>SUMIFS('GSTR-2A'!$K$6:$K$10000,'GSTR-2A'!$B$6:$B$10000,$C$6:$C$4995)</f>
        <v>0</v>
      </c>
      <c r="F141" s="72">
        <f>SUMIFS(PURCHASE!$L$6:$L$10002,PURCHASE!$D$6:$D$10002,$C$6:$C$4995)</f>
        <v>0</v>
      </c>
      <c r="G141" s="72">
        <f>SUMIFS('GSTR-2A'!$L$6:$L$10000,'GSTR-2A'!$B$6:$B$10000,$C$6:$C$4995)</f>
        <v>0</v>
      </c>
      <c r="H141" s="72">
        <f>SUMIFS(PURCHASE!$M$6:$M$10002,PURCHASE!$D$6:$D$10002,$C$6:$C$4995)</f>
        <v>187.2</v>
      </c>
      <c r="I141" s="72">
        <f>SUMIFS('GSTR-2A'!$M$6:$M$10000,'GSTR-2A'!$B$6:$B$10000,$C$6:$C$4995)</f>
        <v>0</v>
      </c>
      <c r="J141" s="72">
        <f>SUMIFS(PURCHASE!$N$6:$N$10002,PURCHASE!$D$6:$D$10002,$C$6:$C$4995)</f>
        <v>187.2</v>
      </c>
      <c r="K141" s="72">
        <f>SUMIFS('GSTR-2A'!$N$6:$N$10000,'GSTR-2A'!$B$6:$B$10000,$C$6:$C$4995)</f>
        <v>0</v>
      </c>
      <c r="L141" s="72">
        <f t="shared" si="15"/>
        <v>3120</v>
      </c>
      <c r="M141" s="72">
        <f t="shared" si="16"/>
        <v>0</v>
      </c>
      <c r="N141" s="72">
        <f t="shared" si="17"/>
        <v>187.2</v>
      </c>
      <c r="O141" s="72">
        <f t="shared" si="18"/>
        <v>187.2</v>
      </c>
      <c r="Q141" s="72">
        <f t="shared" si="19"/>
        <v>3494.3999999999996</v>
      </c>
      <c r="R141" s="72">
        <f t="shared" si="20"/>
        <v>0</v>
      </c>
      <c r="S141" s="72">
        <f t="shared" si="21"/>
        <v>3494.3999999999996</v>
      </c>
    </row>
    <row r="142" spans="1:19" x14ac:dyDescent="0.2">
      <c r="A142" s="497">
        <v>137</v>
      </c>
      <c r="B142" s="468" t="s">
        <v>1001</v>
      </c>
      <c r="C142" s="469" t="s">
        <v>1002</v>
      </c>
      <c r="D142" s="72">
        <f>SUMIFS(PURCHASE!$K$6:$K$10002,PURCHASE!$D$6:$D$10002,$C$6:$C$4995)</f>
        <v>3120</v>
      </c>
      <c r="E142" s="72">
        <f>SUMIFS('GSTR-2A'!$K$6:$K$10000,'GSTR-2A'!$B$6:$B$10000,$C$6:$C$4995)</f>
        <v>28000</v>
      </c>
      <c r="F142" s="72">
        <f>SUMIFS(PURCHASE!$L$6:$L$10002,PURCHASE!$D$6:$D$10002,$C$6:$C$4995)</f>
        <v>0</v>
      </c>
      <c r="G142" s="72">
        <f>SUMIFS('GSTR-2A'!$L$6:$L$10000,'GSTR-2A'!$B$6:$B$10000,$C$6:$C$4995)</f>
        <v>0</v>
      </c>
      <c r="H142" s="72">
        <f>SUMIFS(PURCHASE!$M$6:$M$10002,PURCHASE!$D$6:$D$10002,$C$6:$C$4995)</f>
        <v>187.2</v>
      </c>
      <c r="I142" s="72">
        <f>SUMIFS('GSTR-2A'!$M$6:$M$10000,'GSTR-2A'!$B$6:$B$10000,$C$6:$C$4995)</f>
        <v>2520</v>
      </c>
      <c r="J142" s="72">
        <f>SUMIFS(PURCHASE!$N$6:$N$10002,PURCHASE!$D$6:$D$10002,$C$6:$C$4995)</f>
        <v>187.2</v>
      </c>
      <c r="K142" s="72">
        <f>SUMIFS('GSTR-2A'!$N$6:$N$10000,'GSTR-2A'!$B$6:$B$10000,$C$6:$C$4995)</f>
        <v>2520</v>
      </c>
      <c r="L142" s="72">
        <f t="shared" si="15"/>
        <v>-24880</v>
      </c>
      <c r="M142" s="72">
        <f t="shared" si="16"/>
        <v>0</v>
      </c>
      <c r="N142" s="72">
        <f t="shared" si="17"/>
        <v>-2332.8000000000002</v>
      </c>
      <c r="O142" s="72">
        <f t="shared" si="18"/>
        <v>-2332.8000000000002</v>
      </c>
      <c r="Q142" s="72">
        <f t="shared" si="19"/>
        <v>3494.3999999999996</v>
      </c>
      <c r="R142" s="72">
        <f t="shared" si="20"/>
        <v>33040</v>
      </c>
      <c r="S142" s="72">
        <f t="shared" si="21"/>
        <v>-29545.599999999999</v>
      </c>
    </row>
    <row r="143" spans="1:19" x14ac:dyDescent="0.2">
      <c r="A143" s="497">
        <v>138</v>
      </c>
      <c r="B143" s="468" t="s">
        <v>1004</v>
      </c>
      <c r="C143" s="469" t="s">
        <v>1005</v>
      </c>
      <c r="D143" s="72">
        <f>SUMIFS(PURCHASE!$K$6:$K$10002,PURCHASE!$D$6:$D$10002,$C$6:$C$4995)</f>
        <v>3120</v>
      </c>
      <c r="E143" s="72">
        <f>SUMIFS('GSTR-2A'!$K$6:$K$10000,'GSTR-2A'!$B$6:$B$10000,$C$6:$C$4995)</f>
        <v>0</v>
      </c>
      <c r="F143" s="72">
        <f>SUMIFS(PURCHASE!$L$6:$L$10002,PURCHASE!$D$6:$D$10002,$C$6:$C$4995)</f>
        <v>0</v>
      </c>
      <c r="G143" s="72">
        <f>SUMIFS('GSTR-2A'!$L$6:$L$10000,'GSTR-2A'!$B$6:$B$10000,$C$6:$C$4995)</f>
        <v>0</v>
      </c>
      <c r="H143" s="72">
        <f>SUMIFS(PURCHASE!$M$6:$M$10002,PURCHASE!$D$6:$D$10002,$C$6:$C$4995)</f>
        <v>187.2</v>
      </c>
      <c r="I143" s="72">
        <f>SUMIFS('GSTR-2A'!$M$6:$M$10000,'GSTR-2A'!$B$6:$B$10000,$C$6:$C$4995)</f>
        <v>0</v>
      </c>
      <c r="J143" s="72">
        <f>SUMIFS(PURCHASE!$N$6:$N$10002,PURCHASE!$D$6:$D$10002,$C$6:$C$4995)</f>
        <v>187.2</v>
      </c>
      <c r="K143" s="72">
        <f>SUMIFS('GSTR-2A'!$N$6:$N$10000,'GSTR-2A'!$B$6:$B$10000,$C$6:$C$4995)</f>
        <v>0</v>
      </c>
      <c r="L143" s="72">
        <f t="shared" si="15"/>
        <v>3120</v>
      </c>
      <c r="M143" s="72">
        <f t="shared" si="16"/>
        <v>0</v>
      </c>
      <c r="N143" s="72">
        <f t="shared" si="17"/>
        <v>187.2</v>
      </c>
      <c r="O143" s="72">
        <f t="shared" si="18"/>
        <v>187.2</v>
      </c>
      <c r="Q143" s="72">
        <f t="shared" si="19"/>
        <v>3494.3999999999996</v>
      </c>
      <c r="R143" s="72">
        <f t="shared" si="20"/>
        <v>0</v>
      </c>
      <c r="S143" s="72">
        <f t="shared" si="21"/>
        <v>3494.3999999999996</v>
      </c>
    </row>
    <row r="144" spans="1:19" x14ac:dyDescent="0.2">
      <c r="A144" s="497">
        <v>139</v>
      </c>
      <c r="B144" s="468" t="s">
        <v>788</v>
      </c>
      <c r="C144" s="469" t="s">
        <v>789</v>
      </c>
      <c r="D144" s="72">
        <f>SUMIFS(PURCHASE!$K$6:$K$10002,PURCHASE!$D$6:$D$10002,$C$6:$C$4995)</f>
        <v>80300</v>
      </c>
      <c r="E144" s="72">
        <f>SUMIFS('GSTR-2A'!$K$6:$K$10000,'GSTR-2A'!$B$6:$B$10000,$C$6:$C$4995)</f>
        <v>80300</v>
      </c>
      <c r="F144" s="72">
        <f>SUMIFS(PURCHASE!$L$6:$L$10002,PURCHASE!$D$6:$D$10002,$C$6:$C$4995)</f>
        <v>0</v>
      </c>
      <c r="G144" s="72">
        <f>SUMIFS('GSTR-2A'!$L$6:$L$10000,'GSTR-2A'!$B$6:$B$10000,$C$6:$C$4995)</f>
        <v>0</v>
      </c>
      <c r="H144" s="72">
        <f>SUMIFS(PURCHASE!$M$6:$M$10002,PURCHASE!$D$6:$D$10002,$C$6:$C$4995)</f>
        <v>7227</v>
      </c>
      <c r="I144" s="72">
        <f>SUMIFS('GSTR-2A'!$M$6:$M$10000,'GSTR-2A'!$B$6:$B$10000,$C$6:$C$4995)</f>
        <v>7227</v>
      </c>
      <c r="J144" s="72">
        <f>SUMIFS(PURCHASE!$N$6:$N$10002,PURCHASE!$D$6:$D$10002,$C$6:$C$4995)</f>
        <v>7227</v>
      </c>
      <c r="K144" s="72">
        <f>SUMIFS('GSTR-2A'!$N$6:$N$10000,'GSTR-2A'!$B$6:$B$10000,$C$6:$C$4995)</f>
        <v>7227</v>
      </c>
      <c r="L144" s="72">
        <f t="shared" si="15"/>
        <v>0</v>
      </c>
      <c r="M144" s="72">
        <f t="shared" si="16"/>
        <v>0</v>
      </c>
      <c r="N144" s="72">
        <f t="shared" si="17"/>
        <v>0</v>
      </c>
      <c r="O144" s="72">
        <f t="shared" si="18"/>
        <v>0</v>
      </c>
      <c r="Q144" s="72">
        <f t="shared" si="19"/>
        <v>94754</v>
      </c>
      <c r="R144" s="72">
        <f t="shared" si="20"/>
        <v>94754</v>
      </c>
      <c r="S144" s="72">
        <f t="shared" si="21"/>
        <v>0</v>
      </c>
    </row>
    <row r="145" spans="1:19" x14ac:dyDescent="0.2">
      <c r="A145" s="497">
        <v>140</v>
      </c>
      <c r="B145" s="468" t="s">
        <v>837</v>
      </c>
      <c r="C145" s="469" t="s">
        <v>838</v>
      </c>
      <c r="D145" s="72">
        <f>SUMIFS(PURCHASE!$K$6:$K$10002,PURCHASE!$D$6:$D$10002,$C$6:$C$4995)</f>
        <v>5900</v>
      </c>
      <c r="E145" s="72">
        <f>SUMIFS('GSTR-2A'!$K$6:$K$10000,'GSTR-2A'!$B$6:$B$10000,$C$6:$C$4995)</f>
        <v>5900</v>
      </c>
      <c r="F145" s="72">
        <f>SUMIFS(PURCHASE!$L$6:$L$10002,PURCHASE!$D$6:$D$10002,$C$6:$C$4995)</f>
        <v>0</v>
      </c>
      <c r="G145" s="72">
        <f>SUMIFS('GSTR-2A'!$L$6:$L$10000,'GSTR-2A'!$B$6:$B$10000,$C$6:$C$4995)</f>
        <v>0</v>
      </c>
      <c r="H145" s="72">
        <f>SUMIFS(PURCHASE!$M$6:$M$10002,PURCHASE!$D$6:$D$10002,$C$6:$C$4995)</f>
        <v>531</v>
      </c>
      <c r="I145" s="72">
        <f>SUMIFS('GSTR-2A'!$M$6:$M$10000,'GSTR-2A'!$B$6:$B$10000,$C$6:$C$4995)</f>
        <v>531</v>
      </c>
      <c r="J145" s="72">
        <f>SUMIFS(PURCHASE!$N$6:$N$10002,PURCHASE!$D$6:$D$10002,$C$6:$C$4995)</f>
        <v>531</v>
      </c>
      <c r="K145" s="72">
        <f>SUMIFS('GSTR-2A'!$N$6:$N$10000,'GSTR-2A'!$B$6:$B$10000,$C$6:$C$4995)</f>
        <v>531</v>
      </c>
      <c r="L145" s="72">
        <f t="shared" si="15"/>
        <v>0</v>
      </c>
      <c r="M145" s="72">
        <f t="shared" si="16"/>
        <v>0</v>
      </c>
      <c r="N145" s="72">
        <f t="shared" si="17"/>
        <v>0</v>
      </c>
      <c r="O145" s="72">
        <f t="shared" si="18"/>
        <v>0</v>
      </c>
      <c r="Q145" s="72">
        <f t="shared" si="19"/>
        <v>6962</v>
      </c>
      <c r="R145" s="72">
        <f t="shared" si="20"/>
        <v>6962</v>
      </c>
      <c r="S145" s="72">
        <f t="shared" si="21"/>
        <v>0</v>
      </c>
    </row>
    <row r="146" spans="1:19" x14ac:dyDescent="0.2">
      <c r="A146" s="497">
        <v>141</v>
      </c>
      <c r="B146" s="468" t="s">
        <v>850</v>
      </c>
      <c r="C146" s="469" t="s">
        <v>851</v>
      </c>
      <c r="D146" s="72">
        <f>SUMIFS(PURCHASE!$K$6:$K$10002,PURCHASE!$D$6:$D$10002,$C$6:$C$4995)</f>
        <v>3780</v>
      </c>
      <c r="E146" s="72">
        <f>SUMIFS('GSTR-2A'!$K$6:$K$10000,'GSTR-2A'!$B$6:$B$10000,$C$6:$C$4995)</f>
        <v>3780</v>
      </c>
      <c r="F146" s="72">
        <f>SUMIFS(PURCHASE!$L$6:$L$10002,PURCHASE!$D$6:$D$10002,$C$6:$C$4995)</f>
        <v>0</v>
      </c>
      <c r="G146" s="72">
        <f>SUMIFS('GSTR-2A'!$L$6:$L$10000,'GSTR-2A'!$B$6:$B$10000,$C$6:$C$4995)</f>
        <v>0</v>
      </c>
      <c r="H146" s="72">
        <f>SUMIFS(PURCHASE!$M$6:$M$10002,PURCHASE!$D$6:$D$10002,$C$6:$C$4995)</f>
        <v>340.62</v>
      </c>
      <c r="I146" s="72">
        <f>SUMIFS('GSTR-2A'!$M$6:$M$10000,'GSTR-2A'!$B$6:$B$10000,$C$6:$C$4995)</f>
        <v>340.2</v>
      </c>
      <c r="J146" s="72">
        <f>SUMIFS(PURCHASE!$N$6:$N$10002,PURCHASE!$D$6:$D$10002,$C$6:$C$4995)</f>
        <v>340.62</v>
      </c>
      <c r="K146" s="72">
        <f>SUMIFS('GSTR-2A'!$N$6:$N$10000,'GSTR-2A'!$B$6:$B$10000,$C$6:$C$4995)</f>
        <v>340.2</v>
      </c>
      <c r="L146" s="72">
        <f t="shared" si="15"/>
        <v>0</v>
      </c>
      <c r="M146" s="72">
        <f t="shared" si="16"/>
        <v>0</v>
      </c>
      <c r="N146" s="72">
        <f t="shared" si="17"/>
        <v>0.42000000000001592</v>
      </c>
      <c r="O146" s="72">
        <f t="shared" si="18"/>
        <v>0.42000000000001592</v>
      </c>
      <c r="Q146" s="72">
        <f t="shared" si="19"/>
        <v>4461.24</v>
      </c>
      <c r="R146" s="72">
        <f t="shared" si="20"/>
        <v>4460.3999999999996</v>
      </c>
      <c r="S146" s="72">
        <f t="shared" si="21"/>
        <v>0.84000000000014552</v>
      </c>
    </row>
    <row r="147" spans="1:19" x14ac:dyDescent="0.2">
      <c r="A147" s="497">
        <v>142</v>
      </c>
      <c r="B147" s="468" t="s">
        <v>900</v>
      </c>
      <c r="C147" s="469" t="s">
        <v>901</v>
      </c>
      <c r="D147" s="72">
        <f>SUMIFS(PURCHASE!$K$6:$K$10002,PURCHASE!$D$6:$D$10002,$C$6:$C$4995)</f>
        <v>27850</v>
      </c>
      <c r="E147" s="72">
        <f>SUMIFS('GSTR-2A'!$K$6:$K$10000,'GSTR-2A'!$B$6:$B$10000,$C$6:$C$4995)</f>
        <v>25350</v>
      </c>
      <c r="F147" s="72">
        <f>SUMIFS(PURCHASE!$L$6:$L$10002,PURCHASE!$D$6:$D$10002,$C$6:$C$4995)</f>
        <v>0</v>
      </c>
      <c r="G147" s="72">
        <f>SUMIFS('GSTR-2A'!$L$6:$L$10000,'GSTR-2A'!$B$6:$B$10000,$C$6:$C$4995)</f>
        <v>0</v>
      </c>
      <c r="H147" s="72">
        <f>SUMIFS(PURCHASE!$M$6:$M$10002,PURCHASE!$D$6:$D$10002,$C$6:$C$4995)</f>
        <v>2506.5</v>
      </c>
      <c r="I147" s="72">
        <f>SUMIFS('GSTR-2A'!$M$6:$M$10000,'GSTR-2A'!$B$6:$B$10000,$C$6:$C$4995)</f>
        <v>2281.5</v>
      </c>
      <c r="J147" s="72">
        <f>SUMIFS(PURCHASE!$N$6:$N$10002,PURCHASE!$D$6:$D$10002,$C$6:$C$4995)</f>
        <v>2506.5</v>
      </c>
      <c r="K147" s="72">
        <f>SUMIFS('GSTR-2A'!$N$6:$N$10000,'GSTR-2A'!$B$6:$B$10000,$C$6:$C$4995)</f>
        <v>2281.5</v>
      </c>
      <c r="L147" s="72">
        <f t="shared" si="15"/>
        <v>2500</v>
      </c>
      <c r="M147" s="72">
        <f t="shared" si="16"/>
        <v>0</v>
      </c>
      <c r="N147" s="72">
        <f t="shared" si="17"/>
        <v>225</v>
      </c>
      <c r="O147" s="72">
        <f t="shared" si="18"/>
        <v>225</v>
      </c>
      <c r="Q147" s="72">
        <f t="shared" si="19"/>
        <v>32863</v>
      </c>
      <c r="R147" s="72">
        <f t="shared" si="20"/>
        <v>29913</v>
      </c>
      <c r="S147" s="72">
        <f t="shared" si="21"/>
        <v>2950</v>
      </c>
    </row>
    <row r="148" spans="1:19" x14ac:dyDescent="0.2">
      <c r="A148" s="497">
        <v>143</v>
      </c>
      <c r="B148" s="468" t="s">
        <v>914</v>
      </c>
      <c r="C148" s="469" t="s">
        <v>915</v>
      </c>
      <c r="D148" s="72">
        <f>SUMIFS(PURCHASE!$K$6:$K$10002,PURCHASE!$D$6:$D$10002,$C$6:$C$4995)</f>
        <v>3000</v>
      </c>
      <c r="E148" s="72">
        <f>SUMIFS('GSTR-2A'!$K$6:$K$10000,'GSTR-2A'!$B$6:$B$10000,$C$6:$C$4995)</f>
        <v>3000</v>
      </c>
      <c r="F148" s="72">
        <f>SUMIFS(PURCHASE!$L$6:$L$10002,PURCHASE!$D$6:$D$10002,$C$6:$C$4995)</f>
        <v>0</v>
      </c>
      <c r="G148" s="72">
        <f>SUMIFS('GSTR-2A'!$L$6:$L$10000,'GSTR-2A'!$B$6:$B$10000,$C$6:$C$4995)</f>
        <v>0</v>
      </c>
      <c r="H148" s="72">
        <f>SUMIFS(PURCHASE!$M$6:$M$10002,PURCHASE!$D$6:$D$10002,$C$6:$C$4995)</f>
        <v>270</v>
      </c>
      <c r="I148" s="72">
        <f>SUMIFS('GSTR-2A'!$M$6:$M$10000,'GSTR-2A'!$B$6:$B$10000,$C$6:$C$4995)</f>
        <v>270</v>
      </c>
      <c r="J148" s="72">
        <f>SUMIFS(PURCHASE!$N$6:$N$10002,PURCHASE!$D$6:$D$10002,$C$6:$C$4995)</f>
        <v>270</v>
      </c>
      <c r="K148" s="72">
        <f>SUMIFS('GSTR-2A'!$N$6:$N$10000,'GSTR-2A'!$B$6:$B$10000,$C$6:$C$4995)</f>
        <v>270</v>
      </c>
      <c r="L148" s="72">
        <f t="shared" si="15"/>
        <v>0</v>
      </c>
      <c r="M148" s="72">
        <f t="shared" si="16"/>
        <v>0</v>
      </c>
      <c r="N148" s="72">
        <f t="shared" si="17"/>
        <v>0</v>
      </c>
      <c r="O148" s="72">
        <f t="shared" si="18"/>
        <v>0</v>
      </c>
      <c r="Q148" s="72">
        <f t="shared" si="19"/>
        <v>3540</v>
      </c>
      <c r="R148" s="72">
        <f t="shared" si="20"/>
        <v>3540</v>
      </c>
      <c r="S148" s="72">
        <f t="shared" si="21"/>
        <v>0</v>
      </c>
    </row>
    <row r="149" spans="1:19" x14ac:dyDescent="0.2">
      <c r="A149" s="497">
        <v>144</v>
      </c>
      <c r="B149" s="468" t="s">
        <v>1024</v>
      </c>
      <c r="C149" s="469" t="s">
        <v>1025</v>
      </c>
      <c r="D149" s="72">
        <f>SUMIFS(PURCHASE!$K$6:$K$10002,PURCHASE!$D$6:$D$10002,$C$6:$C$4995)</f>
        <v>73305.289999999994</v>
      </c>
      <c r="E149" s="72">
        <f>SUMIFS('GSTR-2A'!$K$6:$K$10000,'GSTR-2A'!$B$6:$B$10000,$C$6:$C$4995)</f>
        <v>73305.289999999994</v>
      </c>
      <c r="F149" s="72">
        <f>SUMIFS(PURCHASE!$L$6:$L$10002,PURCHASE!$D$6:$D$10002,$C$6:$C$4995)</f>
        <v>0</v>
      </c>
      <c r="G149" s="72">
        <f>SUMIFS('GSTR-2A'!$L$6:$L$10000,'GSTR-2A'!$B$6:$B$10000,$C$6:$C$4995)</f>
        <v>0</v>
      </c>
      <c r="H149" s="72">
        <f>SUMIFS(PURCHASE!$M$6:$M$10002,PURCHASE!$D$6:$D$10002,$C$6:$C$4995)</f>
        <v>6597.476099999999</v>
      </c>
      <c r="I149" s="72">
        <f>SUMIFS('GSTR-2A'!$M$6:$M$10000,'GSTR-2A'!$B$6:$B$10000,$C$6:$C$4995)</f>
        <v>6597.48</v>
      </c>
      <c r="J149" s="72">
        <f>SUMIFS(PURCHASE!$N$6:$N$10002,PURCHASE!$D$6:$D$10002,$C$6:$C$4995)</f>
        <v>6597.476099999999</v>
      </c>
      <c r="K149" s="72">
        <f>SUMIFS('GSTR-2A'!$N$6:$N$10000,'GSTR-2A'!$B$6:$B$10000,$C$6:$C$4995)</f>
        <v>6597.48</v>
      </c>
      <c r="L149" s="72">
        <f t="shared" si="15"/>
        <v>0</v>
      </c>
      <c r="M149" s="72">
        <f t="shared" si="16"/>
        <v>0</v>
      </c>
      <c r="N149" s="72">
        <f t="shared" si="17"/>
        <v>-3.9000000006126356E-3</v>
      </c>
      <c r="O149" s="72">
        <f t="shared" si="18"/>
        <v>-3.9000000006126356E-3</v>
      </c>
      <c r="Q149" s="72">
        <f t="shared" si="19"/>
        <v>86500.242199999993</v>
      </c>
      <c r="R149" s="72">
        <f t="shared" si="20"/>
        <v>86500.249999999985</v>
      </c>
      <c r="S149" s="72">
        <f t="shared" si="21"/>
        <v>-7.7999999921303242E-3</v>
      </c>
    </row>
    <row r="150" spans="1:19" x14ac:dyDescent="0.2">
      <c r="A150" s="497">
        <v>145</v>
      </c>
      <c r="B150" s="480" t="s">
        <v>3373</v>
      </c>
      <c r="C150" s="481" t="s">
        <v>3374</v>
      </c>
      <c r="D150" s="72">
        <f>SUMIFS(PURCHASE!$K$6:$K$10002,PURCHASE!$D$6:$D$10002,$C$6:$C$4995)</f>
        <v>0</v>
      </c>
      <c r="E150" s="72">
        <f>SUMIFS('GSTR-2A'!$K$6:$K$10000,'GSTR-2A'!$B$6:$B$10000,$C$6:$C$4995)</f>
        <v>0</v>
      </c>
      <c r="F150" s="72">
        <f>SUMIFS(PURCHASE!$L$6:$L$10002,PURCHASE!$D$6:$D$10002,$C$6:$C$4995)</f>
        <v>0</v>
      </c>
      <c r="G150" s="72">
        <f>SUMIFS('GSTR-2A'!$L$6:$L$10000,'GSTR-2A'!$B$6:$B$10000,$C$6:$C$4995)</f>
        <v>0</v>
      </c>
      <c r="H150" s="72">
        <f>SUMIFS(PURCHASE!$M$6:$M$10002,PURCHASE!$D$6:$D$10002,$C$6:$C$4995)</f>
        <v>0</v>
      </c>
      <c r="I150" s="72">
        <f>SUMIFS('GSTR-2A'!$M$6:$M$10000,'GSTR-2A'!$B$6:$B$10000,$C$6:$C$4995)</f>
        <v>0</v>
      </c>
      <c r="J150" s="72">
        <f>SUMIFS(PURCHASE!$N$6:$N$10002,PURCHASE!$D$6:$D$10002,$C$6:$C$4995)</f>
        <v>0</v>
      </c>
      <c r="K150" s="72">
        <f>SUMIFS('GSTR-2A'!$N$6:$N$10000,'GSTR-2A'!$B$6:$B$10000,$C$6:$C$4995)</f>
        <v>0</v>
      </c>
      <c r="L150" s="72">
        <f t="shared" si="15"/>
        <v>0</v>
      </c>
      <c r="M150" s="72">
        <f t="shared" si="16"/>
        <v>0</v>
      </c>
      <c r="N150" s="72">
        <f t="shared" si="17"/>
        <v>0</v>
      </c>
      <c r="O150" s="72">
        <f t="shared" si="18"/>
        <v>0</v>
      </c>
      <c r="Q150" s="72">
        <f t="shared" si="19"/>
        <v>0</v>
      </c>
      <c r="R150" s="72">
        <f t="shared" si="20"/>
        <v>0</v>
      </c>
      <c r="S150" s="72">
        <f t="shared" si="21"/>
        <v>0</v>
      </c>
    </row>
    <row r="151" spans="1:19" x14ac:dyDescent="0.2">
      <c r="D151" s="72">
        <f>SUMIFS(PURCHASE!$K$6:$K$10002,PURCHASE!$D$6:$D$10002,$C$6:$C$4995)</f>
        <v>0</v>
      </c>
      <c r="E151" s="72">
        <f>SUMIFS('GSTR-2A'!$K$6:$K$10000,'GSTR-2A'!$B$6:$B$10000,$C$6:$C$4995)</f>
        <v>0</v>
      </c>
      <c r="K151" s="72">
        <f>SUMIFS('GSTR-2A'!$N$6:$N$10000,'GSTR-2A'!$B$6:$B$10000,$C$6:$C$4995)</f>
        <v>0</v>
      </c>
      <c r="L151" s="72">
        <f t="shared" si="15"/>
        <v>0</v>
      </c>
      <c r="M151" s="72">
        <f t="shared" si="16"/>
        <v>0</v>
      </c>
      <c r="N151" s="72">
        <f t="shared" si="17"/>
        <v>0</v>
      </c>
      <c r="O151" s="72">
        <f t="shared" si="18"/>
        <v>0</v>
      </c>
      <c r="Q151" s="72">
        <f t="shared" si="19"/>
        <v>0</v>
      </c>
      <c r="R151" s="72">
        <f t="shared" si="20"/>
        <v>0</v>
      </c>
      <c r="S151" s="72">
        <f t="shared" si="21"/>
        <v>0</v>
      </c>
    </row>
    <row r="152" spans="1:19" x14ac:dyDescent="0.2">
      <c r="Q152" s="72">
        <f t="shared" si="19"/>
        <v>0</v>
      </c>
      <c r="R152" s="72">
        <f t="shared" si="20"/>
        <v>0</v>
      </c>
      <c r="S152" s="72">
        <f t="shared" si="21"/>
        <v>0</v>
      </c>
    </row>
    <row r="153" spans="1:19" x14ac:dyDescent="0.2">
      <c r="Q153" s="72">
        <f t="shared" si="19"/>
        <v>0</v>
      </c>
      <c r="R153" s="72">
        <f t="shared" si="20"/>
        <v>0</v>
      </c>
      <c r="S153" s="72">
        <f t="shared" si="21"/>
        <v>0</v>
      </c>
    </row>
    <row r="154" spans="1:19" x14ac:dyDescent="0.2">
      <c r="Q154" s="72">
        <f t="shared" si="19"/>
        <v>0</v>
      </c>
      <c r="R154" s="72">
        <f t="shared" si="20"/>
        <v>0</v>
      </c>
      <c r="S154" s="72">
        <f t="shared" si="21"/>
        <v>0</v>
      </c>
    </row>
    <row r="155" spans="1:19" x14ac:dyDescent="0.2">
      <c r="Q155" s="72">
        <f t="shared" si="19"/>
        <v>0</v>
      </c>
      <c r="R155" s="72">
        <f t="shared" si="20"/>
        <v>0</v>
      </c>
      <c r="S155" s="72">
        <f t="shared" si="21"/>
        <v>0</v>
      </c>
    </row>
    <row r="156" spans="1:19" x14ac:dyDescent="0.2">
      <c r="Q156" s="72">
        <f t="shared" si="19"/>
        <v>0</v>
      </c>
      <c r="R156" s="72">
        <f t="shared" si="20"/>
        <v>0</v>
      </c>
      <c r="S156" s="72">
        <f t="shared" si="21"/>
        <v>0</v>
      </c>
    </row>
    <row r="157" spans="1:19" x14ac:dyDescent="0.2">
      <c r="Q157" s="72">
        <f t="shared" si="19"/>
        <v>0</v>
      </c>
      <c r="R157" s="72">
        <f t="shared" si="20"/>
        <v>0</v>
      </c>
      <c r="S157" s="72">
        <f t="shared" si="21"/>
        <v>0</v>
      </c>
    </row>
    <row r="158" spans="1:19" x14ac:dyDescent="0.2">
      <c r="Q158" s="72">
        <f t="shared" si="19"/>
        <v>0</v>
      </c>
      <c r="R158" s="72">
        <f t="shared" si="20"/>
        <v>0</v>
      </c>
      <c r="S158" s="72">
        <f t="shared" si="21"/>
        <v>0</v>
      </c>
    </row>
    <row r="159" spans="1:19" x14ac:dyDescent="0.2">
      <c r="Q159" s="72">
        <f t="shared" si="19"/>
        <v>0</v>
      </c>
      <c r="R159" s="72">
        <f t="shared" si="20"/>
        <v>0</v>
      </c>
      <c r="S159" s="72">
        <f t="shared" si="21"/>
        <v>0</v>
      </c>
    </row>
    <row r="160" spans="1:19" x14ac:dyDescent="0.2">
      <c r="Q160" s="72">
        <f t="shared" si="19"/>
        <v>0</v>
      </c>
      <c r="R160" s="72">
        <f t="shared" si="20"/>
        <v>0</v>
      </c>
      <c r="S160" s="72">
        <f t="shared" si="21"/>
        <v>0</v>
      </c>
    </row>
    <row r="161" spans="17:19" x14ac:dyDescent="0.2">
      <c r="Q161" s="72">
        <f t="shared" si="19"/>
        <v>0</v>
      </c>
      <c r="R161" s="72">
        <f t="shared" si="20"/>
        <v>0</v>
      </c>
      <c r="S161" s="72">
        <f t="shared" si="21"/>
        <v>0</v>
      </c>
    </row>
    <row r="162" spans="17:19" x14ac:dyDescent="0.2">
      <c r="Q162" s="72">
        <f t="shared" si="19"/>
        <v>0</v>
      </c>
      <c r="R162" s="72">
        <f t="shared" si="20"/>
        <v>0</v>
      </c>
      <c r="S162" s="72">
        <f t="shared" si="21"/>
        <v>0</v>
      </c>
    </row>
    <row r="163" spans="17:19" x14ac:dyDescent="0.2">
      <c r="Q163" s="72">
        <f t="shared" si="19"/>
        <v>0</v>
      </c>
      <c r="R163" s="72">
        <f t="shared" si="20"/>
        <v>0</v>
      </c>
      <c r="S163" s="72">
        <f t="shared" si="21"/>
        <v>0</v>
      </c>
    </row>
    <row r="164" spans="17:19" x14ac:dyDescent="0.2">
      <c r="Q164" s="72">
        <f t="shared" si="19"/>
        <v>0</v>
      </c>
      <c r="R164" s="72">
        <f t="shared" si="20"/>
        <v>0</v>
      </c>
      <c r="S164" s="72">
        <f t="shared" si="21"/>
        <v>0</v>
      </c>
    </row>
    <row r="165" spans="17:19" x14ac:dyDescent="0.2">
      <c r="Q165" s="72">
        <f t="shared" si="19"/>
        <v>0</v>
      </c>
      <c r="R165" s="72">
        <f t="shared" si="20"/>
        <v>0</v>
      </c>
      <c r="S165" s="72">
        <f t="shared" si="21"/>
        <v>0</v>
      </c>
    </row>
    <row r="166" spans="17:19" x14ac:dyDescent="0.2">
      <c r="Q166" s="72">
        <f t="shared" si="19"/>
        <v>0</v>
      </c>
      <c r="R166" s="72">
        <f t="shared" si="20"/>
        <v>0</v>
      </c>
      <c r="S166" s="72">
        <f t="shared" si="21"/>
        <v>0</v>
      </c>
    </row>
    <row r="167" spans="17:19" x14ac:dyDescent="0.2">
      <c r="Q167" s="72">
        <f t="shared" si="19"/>
        <v>0</v>
      </c>
      <c r="R167" s="72">
        <f t="shared" si="20"/>
        <v>0</v>
      </c>
      <c r="S167" s="72">
        <f t="shared" si="21"/>
        <v>0</v>
      </c>
    </row>
    <row r="168" spans="17:19" x14ac:dyDescent="0.2">
      <c r="Q168" s="72">
        <f t="shared" si="19"/>
        <v>0</v>
      </c>
      <c r="R168" s="72">
        <f t="shared" si="20"/>
        <v>0</v>
      </c>
      <c r="S168" s="72">
        <f t="shared" si="21"/>
        <v>0</v>
      </c>
    </row>
    <row r="169" spans="17:19" x14ac:dyDescent="0.2">
      <c r="Q169" s="72">
        <f t="shared" si="19"/>
        <v>0</v>
      </c>
      <c r="R169" s="72">
        <f t="shared" si="20"/>
        <v>0</v>
      </c>
      <c r="S169" s="72">
        <f t="shared" si="21"/>
        <v>0</v>
      </c>
    </row>
    <row r="170" spans="17:19" x14ac:dyDescent="0.2">
      <c r="Q170" s="72">
        <f t="shared" si="19"/>
        <v>0</v>
      </c>
      <c r="R170" s="72">
        <f t="shared" si="20"/>
        <v>0</v>
      </c>
      <c r="S170" s="72">
        <f t="shared" si="21"/>
        <v>0</v>
      </c>
    </row>
    <row r="171" spans="17:19" x14ac:dyDescent="0.2">
      <c r="Q171" s="72">
        <f t="shared" si="19"/>
        <v>0</v>
      </c>
      <c r="R171" s="72">
        <f t="shared" si="20"/>
        <v>0</v>
      </c>
      <c r="S171" s="72">
        <f t="shared" si="21"/>
        <v>0</v>
      </c>
    </row>
    <row r="172" spans="17:19" x14ac:dyDescent="0.2">
      <c r="Q172" s="72">
        <f t="shared" si="19"/>
        <v>0</v>
      </c>
      <c r="R172" s="72">
        <f t="shared" si="20"/>
        <v>0</v>
      </c>
      <c r="S172" s="72">
        <f t="shared" si="21"/>
        <v>0</v>
      </c>
    </row>
    <row r="173" spans="17:19" x14ac:dyDescent="0.2">
      <c r="Q173" s="72">
        <f t="shared" si="19"/>
        <v>0</v>
      </c>
      <c r="R173" s="72">
        <f t="shared" si="20"/>
        <v>0</v>
      </c>
      <c r="S173" s="72">
        <f t="shared" si="21"/>
        <v>0</v>
      </c>
    </row>
    <row r="174" spans="17:19" x14ac:dyDescent="0.2">
      <c r="Q174" s="72">
        <f t="shared" si="19"/>
        <v>0</v>
      </c>
      <c r="R174" s="72">
        <f t="shared" si="20"/>
        <v>0</v>
      </c>
      <c r="S174" s="72">
        <f t="shared" si="21"/>
        <v>0</v>
      </c>
    </row>
    <row r="175" spans="17:19" x14ac:dyDescent="0.2">
      <c r="Q175" s="72">
        <f t="shared" si="19"/>
        <v>0</v>
      </c>
      <c r="R175" s="72">
        <f t="shared" si="20"/>
        <v>0</v>
      </c>
      <c r="S175" s="72">
        <f t="shared" si="21"/>
        <v>0</v>
      </c>
    </row>
    <row r="176" spans="17:19" x14ac:dyDescent="0.2">
      <c r="Q176" s="72">
        <f t="shared" si="19"/>
        <v>0</v>
      </c>
      <c r="R176" s="72">
        <f t="shared" si="20"/>
        <v>0</v>
      </c>
      <c r="S176" s="72">
        <f t="shared" si="21"/>
        <v>0</v>
      </c>
    </row>
    <row r="177" spans="17:19" x14ac:dyDescent="0.2">
      <c r="Q177" s="72">
        <f t="shared" si="19"/>
        <v>0</v>
      </c>
      <c r="R177" s="72">
        <f t="shared" si="20"/>
        <v>0</v>
      </c>
      <c r="S177" s="72">
        <f t="shared" si="21"/>
        <v>0</v>
      </c>
    </row>
    <row r="178" spans="17:19" x14ac:dyDescent="0.2">
      <c r="Q178" s="72">
        <f t="shared" si="19"/>
        <v>0</v>
      </c>
      <c r="R178" s="72">
        <f t="shared" si="20"/>
        <v>0</v>
      </c>
      <c r="S178" s="72">
        <f t="shared" si="21"/>
        <v>0</v>
      </c>
    </row>
    <row r="179" spans="17:19" x14ac:dyDescent="0.2">
      <c r="Q179" s="72">
        <f t="shared" si="19"/>
        <v>0</v>
      </c>
      <c r="R179" s="72">
        <f t="shared" si="20"/>
        <v>0</v>
      </c>
      <c r="S179" s="72">
        <f t="shared" si="21"/>
        <v>0</v>
      </c>
    </row>
    <row r="180" spans="17:19" x14ac:dyDescent="0.2">
      <c r="Q180" s="72">
        <f t="shared" si="19"/>
        <v>0</v>
      </c>
      <c r="R180" s="72">
        <f t="shared" si="20"/>
        <v>0</v>
      </c>
      <c r="S180" s="72">
        <f t="shared" si="21"/>
        <v>0</v>
      </c>
    </row>
    <row r="181" spans="17:19" x14ac:dyDescent="0.2">
      <c r="Q181" s="72">
        <f t="shared" si="19"/>
        <v>0</v>
      </c>
      <c r="R181" s="72">
        <f t="shared" si="20"/>
        <v>0</v>
      </c>
      <c r="S181" s="72">
        <f t="shared" si="21"/>
        <v>0</v>
      </c>
    </row>
    <row r="182" spans="17:19" x14ac:dyDescent="0.2">
      <c r="Q182" s="72">
        <f t="shared" si="19"/>
        <v>0</v>
      </c>
      <c r="R182" s="72">
        <f t="shared" si="20"/>
        <v>0</v>
      </c>
      <c r="S182" s="72">
        <f t="shared" si="21"/>
        <v>0</v>
      </c>
    </row>
    <row r="183" spans="17:19" x14ac:dyDescent="0.2">
      <c r="Q183" s="72">
        <f t="shared" si="19"/>
        <v>0</v>
      </c>
      <c r="R183" s="72">
        <f t="shared" si="20"/>
        <v>0</v>
      </c>
      <c r="S183" s="72">
        <f t="shared" si="21"/>
        <v>0</v>
      </c>
    </row>
    <row r="184" spans="17:19" x14ac:dyDescent="0.2">
      <c r="Q184" s="72">
        <f t="shared" si="19"/>
        <v>0</v>
      </c>
      <c r="R184" s="72">
        <f t="shared" si="20"/>
        <v>0</v>
      </c>
      <c r="S184" s="72">
        <f t="shared" si="21"/>
        <v>0</v>
      </c>
    </row>
    <row r="185" spans="17:19" x14ac:dyDescent="0.2">
      <c r="Q185" s="72">
        <f t="shared" si="19"/>
        <v>0</v>
      </c>
      <c r="R185" s="72">
        <f t="shared" si="20"/>
        <v>0</v>
      </c>
      <c r="S185" s="72">
        <f t="shared" si="21"/>
        <v>0</v>
      </c>
    </row>
    <row r="186" spans="17:19" x14ac:dyDescent="0.2">
      <c r="Q186" s="72">
        <f t="shared" si="19"/>
        <v>0</v>
      </c>
      <c r="R186" s="72">
        <f t="shared" si="20"/>
        <v>0</v>
      </c>
      <c r="S186" s="72">
        <f t="shared" si="21"/>
        <v>0</v>
      </c>
    </row>
    <row r="187" spans="17:19" x14ac:dyDescent="0.2">
      <c r="Q187" s="72">
        <f t="shared" si="19"/>
        <v>0</v>
      </c>
      <c r="R187" s="72">
        <f t="shared" si="20"/>
        <v>0</v>
      </c>
      <c r="S187" s="72">
        <f t="shared" si="21"/>
        <v>0</v>
      </c>
    </row>
    <row r="188" spans="17:19" x14ac:dyDescent="0.2">
      <c r="Q188" s="72">
        <f t="shared" si="19"/>
        <v>0</v>
      </c>
      <c r="R188" s="72">
        <f t="shared" si="20"/>
        <v>0</v>
      </c>
      <c r="S188" s="72">
        <f t="shared" si="21"/>
        <v>0</v>
      </c>
    </row>
    <row r="189" spans="17:19" x14ac:dyDescent="0.2">
      <c r="Q189" s="72">
        <f t="shared" si="19"/>
        <v>0</v>
      </c>
      <c r="R189" s="72">
        <f t="shared" si="20"/>
        <v>0</v>
      </c>
      <c r="S189" s="72">
        <f t="shared" si="21"/>
        <v>0</v>
      </c>
    </row>
    <row r="190" spans="17:19" x14ac:dyDescent="0.2">
      <c r="Q190" s="72">
        <f t="shared" si="19"/>
        <v>0</v>
      </c>
      <c r="R190" s="72">
        <f t="shared" si="20"/>
        <v>0</v>
      </c>
      <c r="S190" s="72">
        <f t="shared" si="21"/>
        <v>0</v>
      </c>
    </row>
    <row r="191" spans="17:19" x14ac:dyDescent="0.2">
      <c r="Q191" s="72">
        <f t="shared" si="19"/>
        <v>0</v>
      </c>
      <c r="R191" s="72">
        <f t="shared" si="20"/>
        <v>0</v>
      </c>
      <c r="S191" s="72">
        <f t="shared" si="21"/>
        <v>0</v>
      </c>
    </row>
    <row r="192" spans="17:19" x14ac:dyDescent="0.2">
      <c r="Q192" s="72">
        <f t="shared" si="19"/>
        <v>0</v>
      </c>
      <c r="R192" s="72">
        <f t="shared" si="20"/>
        <v>0</v>
      </c>
      <c r="S192" s="72">
        <f t="shared" si="21"/>
        <v>0</v>
      </c>
    </row>
    <row r="193" spans="17:19" x14ac:dyDescent="0.2">
      <c r="Q193" s="72">
        <f t="shared" si="19"/>
        <v>0</v>
      </c>
      <c r="R193" s="72">
        <f t="shared" si="20"/>
        <v>0</v>
      </c>
      <c r="S193" s="72">
        <f t="shared" si="21"/>
        <v>0</v>
      </c>
    </row>
    <row r="194" spans="17:19" x14ac:dyDescent="0.2">
      <c r="Q194" s="72">
        <f t="shared" si="19"/>
        <v>0</v>
      </c>
      <c r="R194" s="72">
        <f t="shared" si="20"/>
        <v>0</v>
      </c>
      <c r="S194" s="72">
        <f t="shared" si="21"/>
        <v>0</v>
      </c>
    </row>
    <row r="195" spans="17:19" x14ac:dyDescent="0.2">
      <c r="Q195" s="72">
        <f t="shared" si="19"/>
        <v>0</v>
      </c>
      <c r="R195" s="72">
        <f t="shared" si="20"/>
        <v>0</v>
      </c>
      <c r="S195" s="72">
        <f t="shared" si="21"/>
        <v>0</v>
      </c>
    </row>
    <row r="196" spans="17:19" x14ac:dyDescent="0.2">
      <c r="Q196" s="72">
        <f t="shared" si="19"/>
        <v>0</v>
      </c>
      <c r="R196" s="72">
        <f t="shared" si="20"/>
        <v>0</v>
      </c>
      <c r="S196" s="72">
        <f t="shared" si="21"/>
        <v>0</v>
      </c>
    </row>
    <row r="197" spans="17:19" x14ac:dyDescent="0.2">
      <c r="Q197" s="72">
        <f t="shared" si="19"/>
        <v>0</v>
      </c>
      <c r="R197" s="72">
        <f t="shared" si="20"/>
        <v>0</v>
      </c>
      <c r="S197" s="72">
        <f t="shared" si="21"/>
        <v>0</v>
      </c>
    </row>
    <row r="198" spans="17:19" x14ac:dyDescent="0.2">
      <c r="Q198" s="72">
        <f t="shared" si="19"/>
        <v>0</v>
      </c>
      <c r="R198" s="72">
        <f t="shared" si="20"/>
        <v>0</v>
      </c>
      <c r="S198" s="72">
        <f t="shared" si="21"/>
        <v>0</v>
      </c>
    </row>
    <row r="199" spans="17:19" x14ac:dyDescent="0.2">
      <c r="Q199" s="72">
        <f t="shared" si="19"/>
        <v>0</v>
      </c>
      <c r="R199" s="72">
        <f t="shared" si="20"/>
        <v>0</v>
      </c>
      <c r="S199" s="72">
        <f t="shared" si="21"/>
        <v>0</v>
      </c>
    </row>
    <row r="200" spans="17:19" x14ac:dyDescent="0.2">
      <c r="Q200" s="72">
        <f t="shared" si="19"/>
        <v>0</v>
      </c>
      <c r="R200" s="72">
        <f t="shared" si="20"/>
        <v>0</v>
      </c>
      <c r="S200" s="72">
        <f t="shared" si="21"/>
        <v>0</v>
      </c>
    </row>
    <row r="201" spans="17:19" x14ac:dyDescent="0.2">
      <c r="Q201" s="72">
        <f t="shared" ref="Q201:Q241" si="22">+D201+F201+H201+J201</f>
        <v>0</v>
      </c>
      <c r="R201" s="72">
        <f t="shared" ref="R201:R241" si="23">+E201+G201+I201+K201</f>
        <v>0</v>
      </c>
      <c r="S201" s="72">
        <f t="shared" ref="S201:S241" si="24">+Q201-R201</f>
        <v>0</v>
      </c>
    </row>
    <row r="202" spans="17:19" x14ac:dyDescent="0.2">
      <c r="Q202" s="72">
        <f t="shared" si="22"/>
        <v>0</v>
      </c>
      <c r="R202" s="72">
        <f t="shared" si="23"/>
        <v>0</v>
      </c>
      <c r="S202" s="72">
        <f t="shared" si="24"/>
        <v>0</v>
      </c>
    </row>
    <row r="203" spans="17:19" x14ac:dyDescent="0.2">
      <c r="Q203" s="72">
        <f t="shared" si="22"/>
        <v>0</v>
      </c>
      <c r="R203" s="72">
        <f t="shared" si="23"/>
        <v>0</v>
      </c>
      <c r="S203" s="72">
        <f t="shared" si="24"/>
        <v>0</v>
      </c>
    </row>
    <row r="204" spans="17:19" x14ac:dyDescent="0.2">
      <c r="Q204" s="72">
        <f t="shared" si="22"/>
        <v>0</v>
      </c>
      <c r="R204" s="72">
        <f t="shared" si="23"/>
        <v>0</v>
      </c>
      <c r="S204" s="72">
        <f t="shared" si="24"/>
        <v>0</v>
      </c>
    </row>
    <row r="205" spans="17:19" x14ac:dyDescent="0.2">
      <c r="Q205" s="72">
        <f t="shared" si="22"/>
        <v>0</v>
      </c>
      <c r="R205" s="72">
        <f t="shared" si="23"/>
        <v>0</v>
      </c>
      <c r="S205" s="72">
        <f t="shared" si="24"/>
        <v>0</v>
      </c>
    </row>
    <row r="206" spans="17:19" x14ac:dyDescent="0.2">
      <c r="Q206" s="72">
        <f t="shared" si="22"/>
        <v>0</v>
      </c>
      <c r="R206" s="72">
        <f t="shared" si="23"/>
        <v>0</v>
      </c>
      <c r="S206" s="72">
        <f t="shared" si="24"/>
        <v>0</v>
      </c>
    </row>
    <row r="207" spans="17:19" x14ac:dyDescent="0.2">
      <c r="Q207" s="72">
        <f t="shared" si="22"/>
        <v>0</v>
      </c>
      <c r="R207" s="72">
        <f t="shared" si="23"/>
        <v>0</v>
      </c>
      <c r="S207" s="72">
        <f t="shared" si="24"/>
        <v>0</v>
      </c>
    </row>
    <row r="208" spans="17:19" x14ac:dyDescent="0.2">
      <c r="Q208" s="72">
        <f t="shared" si="22"/>
        <v>0</v>
      </c>
      <c r="R208" s="72">
        <f t="shared" si="23"/>
        <v>0</v>
      </c>
      <c r="S208" s="72">
        <f t="shared" si="24"/>
        <v>0</v>
      </c>
    </row>
    <row r="209" spans="17:19" x14ac:dyDescent="0.2">
      <c r="Q209" s="72">
        <f t="shared" si="22"/>
        <v>0</v>
      </c>
      <c r="R209" s="72">
        <f t="shared" si="23"/>
        <v>0</v>
      </c>
      <c r="S209" s="72">
        <f t="shared" si="24"/>
        <v>0</v>
      </c>
    </row>
    <row r="210" spans="17:19" x14ac:dyDescent="0.2">
      <c r="Q210" s="72">
        <f t="shared" si="22"/>
        <v>0</v>
      </c>
      <c r="R210" s="72">
        <f t="shared" si="23"/>
        <v>0</v>
      </c>
      <c r="S210" s="72">
        <f t="shared" si="24"/>
        <v>0</v>
      </c>
    </row>
    <row r="211" spans="17:19" x14ac:dyDescent="0.2">
      <c r="Q211" s="72">
        <f t="shared" si="22"/>
        <v>0</v>
      </c>
      <c r="R211" s="72">
        <f t="shared" si="23"/>
        <v>0</v>
      </c>
      <c r="S211" s="72">
        <f t="shared" si="24"/>
        <v>0</v>
      </c>
    </row>
    <row r="212" spans="17:19" x14ac:dyDescent="0.2">
      <c r="Q212" s="72">
        <f t="shared" si="22"/>
        <v>0</v>
      </c>
      <c r="R212" s="72">
        <f t="shared" si="23"/>
        <v>0</v>
      </c>
      <c r="S212" s="72">
        <f t="shared" si="24"/>
        <v>0</v>
      </c>
    </row>
    <row r="213" spans="17:19" x14ac:dyDescent="0.2">
      <c r="Q213" s="72">
        <f t="shared" si="22"/>
        <v>0</v>
      </c>
      <c r="R213" s="72">
        <f t="shared" si="23"/>
        <v>0</v>
      </c>
      <c r="S213" s="72">
        <f t="shared" si="24"/>
        <v>0</v>
      </c>
    </row>
    <row r="214" spans="17:19" x14ac:dyDescent="0.2">
      <c r="Q214" s="72">
        <f t="shared" si="22"/>
        <v>0</v>
      </c>
      <c r="R214" s="72">
        <f t="shared" si="23"/>
        <v>0</v>
      </c>
      <c r="S214" s="72">
        <f t="shared" si="24"/>
        <v>0</v>
      </c>
    </row>
    <row r="215" spans="17:19" x14ac:dyDescent="0.2">
      <c r="Q215" s="72">
        <f t="shared" si="22"/>
        <v>0</v>
      </c>
      <c r="R215" s="72">
        <f t="shared" si="23"/>
        <v>0</v>
      </c>
      <c r="S215" s="72">
        <f t="shared" si="24"/>
        <v>0</v>
      </c>
    </row>
    <row r="216" spans="17:19" x14ac:dyDescent="0.2">
      <c r="Q216" s="72">
        <f t="shared" si="22"/>
        <v>0</v>
      </c>
      <c r="R216" s="72">
        <f t="shared" si="23"/>
        <v>0</v>
      </c>
      <c r="S216" s="72">
        <f t="shared" si="24"/>
        <v>0</v>
      </c>
    </row>
    <row r="217" spans="17:19" x14ac:dyDescent="0.2">
      <c r="Q217" s="72">
        <f t="shared" si="22"/>
        <v>0</v>
      </c>
      <c r="R217" s="72">
        <f t="shared" si="23"/>
        <v>0</v>
      </c>
      <c r="S217" s="72">
        <f t="shared" si="24"/>
        <v>0</v>
      </c>
    </row>
    <row r="218" spans="17:19" x14ac:dyDescent="0.2">
      <c r="Q218" s="72">
        <f t="shared" si="22"/>
        <v>0</v>
      </c>
      <c r="R218" s="72">
        <f t="shared" si="23"/>
        <v>0</v>
      </c>
      <c r="S218" s="72">
        <f t="shared" si="24"/>
        <v>0</v>
      </c>
    </row>
    <row r="219" spans="17:19" x14ac:dyDescent="0.2">
      <c r="Q219" s="72">
        <f t="shared" si="22"/>
        <v>0</v>
      </c>
      <c r="R219" s="72">
        <f t="shared" si="23"/>
        <v>0</v>
      </c>
      <c r="S219" s="72">
        <f t="shared" si="24"/>
        <v>0</v>
      </c>
    </row>
    <row r="220" spans="17:19" x14ac:dyDescent="0.2">
      <c r="Q220" s="72">
        <f t="shared" si="22"/>
        <v>0</v>
      </c>
      <c r="R220" s="72">
        <f t="shared" si="23"/>
        <v>0</v>
      </c>
      <c r="S220" s="72">
        <f t="shared" si="24"/>
        <v>0</v>
      </c>
    </row>
    <row r="221" spans="17:19" x14ac:dyDescent="0.2">
      <c r="Q221" s="72">
        <f t="shared" si="22"/>
        <v>0</v>
      </c>
      <c r="R221" s="72">
        <f t="shared" si="23"/>
        <v>0</v>
      </c>
      <c r="S221" s="72">
        <f t="shared" si="24"/>
        <v>0</v>
      </c>
    </row>
    <row r="222" spans="17:19" x14ac:dyDescent="0.2">
      <c r="Q222" s="72">
        <f t="shared" si="22"/>
        <v>0</v>
      </c>
      <c r="R222" s="72">
        <f t="shared" si="23"/>
        <v>0</v>
      </c>
      <c r="S222" s="72">
        <f t="shared" si="24"/>
        <v>0</v>
      </c>
    </row>
    <row r="223" spans="17:19" x14ac:dyDescent="0.2">
      <c r="Q223" s="72">
        <f t="shared" si="22"/>
        <v>0</v>
      </c>
      <c r="R223" s="72">
        <f t="shared" si="23"/>
        <v>0</v>
      </c>
      <c r="S223" s="72">
        <f t="shared" si="24"/>
        <v>0</v>
      </c>
    </row>
    <row r="224" spans="17:19" x14ac:dyDescent="0.2">
      <c r="Q224" s="72">
        <f t="shared" si="22"/>
        <v>0</v>
      </c>
      <c r="R224" s="72">
        <f t="shared" si="23"/>
        <v>0</v>
      </c>
      <c r="S224" s="72">
        <f t="shared" si="24"/>
        <v>0</v>
      </c>
    </row>
    <row r="225" spans="17:19" x14ac:dyDescent="0.2">
      <c r="Q225" s="72">
        <f t="shared" si="22"/>
        <v>0</v>
      </c>
      <c r="R225" s="72">
        <f t="shared" si="23"/>
        <v>0</v>
      </c>
      <c r="S225" s="72">
        <f t="shared" si="24"/>
        <v>0</v>
      </c>
    </row>
    <row r="226" spans="17:19" x14ac:dyDescent="0.2">
      <c r="Q226" s="72">
        <f t="shared" si="22"/>
        <v>0</v>
      </c>
      <c r="R226" s="72">
        <f t="shared" si="23"/>
        <v>0</v>
      </c>
      <c r="S226" s="72">
        <f t="shared" si="24"/>
        <v>0</v>
      </c>
    </row>
    <row r="227" spans="17:19" x14ac:dyDescent="0.2">
      <c r="Q227" s="72">
        <f t="shared" si="22"/>
        <v>0</v>
      </c>
      <c r="R227" s="72">
        <f t="shared" si="23"/>
        <v>0</v>
      </c>
      <c r="S227" s="72">
        <f t="shared" si="24"/>
        <v>0</v>
      </c>
    </row>
    <row r="228" spans="17:19" x14ac:dyDescent="0.2">
      <c r="Q228" s="72">
        <f t="shared" si="22"/>
        <v>0</v>
      </c>
      <c r="R228" s="72">
        <f t="shared" si="23"/>
        <v>0</v>
      </c>
      <c r="S228" s="72">
        <f t="shared" si="24"/>
        <v>0</v>
      </c>
    </row>
    <row r="229" spans="17:19" x14ac:dyDescent="0.2">
      <c r="Q229" s="72">
        <f t="shared" si="22"/>
        <v>0</v>
      </c>
      <c r="R229" s="72">
        <f t="shared" si="23"/>
        <v>0</v>
      </c>
      <c r="S229" s="72">
        <f t="shared" si="24"/>
        <v>0</v>
      </c>
    </row>
    <row r="230" spans="17:19" x14ac:dyDescent="0.2">
      <c r="Q230" s="72">
        <f t="shared" si="22"/>
        <v>0</v>
      </c>
      <c r="R230" s="72">
        <f t="shared" si="23"/>
        <v>0</v>
      </c>
      <c r="S230" s="72">
        <f t="shared" si="24"/>
        <v>0</v>
      </c>
    </row>
    <row r="231" spans="17:19" x14ac:dyDescent="0.2">
      <c r="Q231" s="72">
        <f t="shared" si="22"/>
        <v>0</v>
      </c>
      <c r="R231" s="72">
        <f t="shared" si="23"/>
        <v>0</v>
      </c>
      <c r="S231" s="72">
        <f t="shared" si="24"/>
        <v>0</v>
      </c>
    </row>
    <row r="232" spans="17:19" x14ac:dyDescent="0.2">
      <c r="Q232" s="72">
        <f t="shared" si="22"/>
        <v>0</v>
      </c>
      <c r="R232" s="72">
        <f t="shared" si="23"/>
        <v>0</v>
      </c>
      <c r="S232" s="72">
        <f t="shared" si="24"/>
        <v>0</v>
      </c>
    </row>
    <row r="233" spans="17:19" x14ac:dyDescent="0.2">
      <c r="Q233" s="72">
        <f t="shared" si="22"/>
        <v>0</v>
      </c>
      <c r="R233" s="72">
        <f t="shared" si="23"/>
        <v>0</v>
      </c>
      <c r="S233" s="72">
        <f t="shared" si="24"/>
        <v>0</v>
      </c>
    </row>
    <row r="234" spans="17:19" x14ac:dyDescent="0.2">
      <c r="Q234" s="72">
        <f t="shared" si="22"/>
        <v>0</v>
      </c>
      <c r="R234" s="72">
        <f t="shared" si="23"/>
        <v>0</v>
      </c>
      <c r="S234" s="72">
        <f t="shared" si="24"/>
        <v>0</v>
      </c>
    </row>
    <row r="235" spans="17:19" x14ac:dyDescent="0.2">
      <c r="Q235" s="72">
        <f t="shared" si="22"/>
        <v>0</v>
      </c>
      <c r="R235" s="72">
        <f t="shared" si="23"/>
        <v>0</v>
      </c>
      <c r="S235" s="72">
        <f t="shared" si="24"/>
        <v>0</v>
      </c>
    </row>
    <row r="236" spans="17:19" x14ac:dyDescent="0.2">
      <c r="Q236" s="72">
        <f t="shared" si="22"/>
        <v>0</v>
      </c>
      <c r="R236" s="72">
        <f t="shared" si="23"/>
        <v>0</v>
      </c>
      <c r="S236" s="72">
        <f t="shared" si="24"/>
        <v>0</v>
      </c>
    </row>
    <row r="237" spans="17:19" x14ac:dyDescent="0.2">
      <c r="Q237" s="72">
        <f t="shared" si="22"/>
        <v>0</v>
      </c>
      <c r="R237" s="72">
        <f t="shared" si="23"/>
        <v>0</v>
      </c>
      <c r="S237" s="72">
        <f t="shared" si="24"/>
        <v>0</v>
      </c>
    </row>
    <row r="238" spans="17:19" x14ac:dyDescent="0.2">
      <c r="Q238" s="72">
        <f t="shared" si="22"/>
        <v>0</v>
      </c>
      <c r="R238" s="72">
        <f t="shared" si="23"/>
        <v>0</v>
      </c>
      <c r="S238" s="72">
        <f t="shared" si="24"/>
        <v>0</v>
      </c>
    </row>
    <row r="239" spans="17:19" x14ac:dyDescent="0.2">
      <c r="Q239" s="72">
        <f t="shared" si="22"/>
        <v>0</v>
      </c>
      <c r="R239" s="72">
        <f t="shared" si="23"/>
        <v>0</v>
      </c>
      <c r="S239" s="72">
        <f t="shared" si="24"/>
        <v>0</v>
      </c>
    </row>
    <row r="240" spans="17:19" x14ac:dyDescent="0.2">
      <c r="Q240" s="72">
        <f t="shared" si="22"/>
        <v>0</v>
      </c>
      <c r="R240" s="72">
        <f t="shared" si="23"/>
        <v>0</v>
      </c>
      <c r="S240" s="72">
        <f t="shared" si="24"/>
        <v>0</v>
      </c>
    </row>
    <row r="241" spans="17:19" x14ac:dyDescent="0.2">
      <c r="Q241" s="72">
        <f t="shared" si="22"/>
        <v>0</v>
      </c>
      <c r="R241" s="72">
        <f t="shared" si="23"/>
        <v>0</v>
      </c>
      <c r="S241" s="72">
        <f t="shared" si="24"/>
        <v>0</v>
      </c>
    </row>
  </sheetData>
  <mergeCells count="6">
    <mergeCell ref="L2:N2"/>
    <mergeCell ref="D4:E4"/>
    <mergeCell ref="F4:G4"/>
    <mergeCell ref="H4:I4"/>
    <mergeCell ref="J4:K4"/>
    <mergeCell ref="L4:O4"/>
  </mergeCells>
  <conditionalFormatting sqref="L6:O151">
    <cfRule type="cellIs" dxfId="287" priority="101" operator="lessThan">
      <formula>0</formula>
    </cfRule>
  </conditionalFormatting>
  <conditionalFormatting sqref="L6:O151">
    <cfRule type="cellIs" dxfId="286" priority="100" operator="greaterThan">
      <formula>0</formula>
    </cfRule>
  </conditionalFormatting>
  <conditionalFormatting sqref="B89:B98 B6:B87 B108:B124 B100:B106">
    <cfRule type="duplicateValues" dxfId="285" priority="92"/>
  </conditionalFormatting>
  <conditionalFormatting sqref="C6">
    <cfRule type="duplicateValues" dxfId="284" priority="91"/>
  </conditionalFormatting>
  <conditionalFormatting sqref="C106">
    <cfRule type="duplicateValues" dxfId="283" priority="90"/>
  </conditionalFormatting>
  <conditionalFormatting sqref="C108">
    <cfRule type="duplicateValues" dxfId="282" priority="89"/>
  </conditionalFormatting>
  <conditionalFormatting sqref="C109">
    <cfRule type="duplicateValues" dxfId="281" priority="88"/>
  </conditionalFormatting>
  <conditionalFormatting sqref="C110">
    <cfRule type="duplicateValues" dxfId="280" priority="87"/>
  </conditionalFormatting>
  <conditionalFormatting sqref="C111">
    <cfRule type="duplicateValues" dxfId="279" priority="86"/>
  </conditionalFormatting>
  <conditionalFormatting sqref="C112:C115">
    <cfRule type="duplicateValues" dxfId="278" priority="85"/>
  </conditionalFormatting>
  <conditionalFormatting sqref="C108:C115 C6:C98 C100:C106">
    <cfRule type="duplicateValues" dxfId="277" priority="84"/>
  </conditionalFormatting>
  <conditionalFormatting sqref="C86:C98 C108:C115 C100:C106">
    <cfRule type="duplicateValues" dxfId="276" priority="83"/>
  </conditionalFormatting>
  <conditionalFormatting sqref="C86:C98 C100:C106">
    <cfRule type="duplicateValues" dxfId="275" priority="82"/>
  </conditionalFormatting>
  <conditionalFormatting sqref="C108:C114 C6:C98 C100:C106">
    <cfRule type="duplicateValues" dxfId="274" priority="81"/>
  </conditionalFormatting>
  <conditionalFormatting sqref="C116">
    <cfRule type="duplicateValues" dxfId="273" priority="80"/>
  </conditionalFormatting>
  <conditionalFormatting sqref="C116">
    <cfRule type="duplicateValues" dxfId="272" priority="79"/>
  </conditionalFormatting>
  <conditionalFormatting sqref="C117">
    <cfRule type="duplicateValues" dxfId="271" priority="78"/>
  </conditionalFormatting>
  <conditionalFormatting sqref="C117">
    <cfRule type="duplicateValues" dxfId="270" priority="77"/>
  </conditionalFormatting>
  <conditionalFormatting sqref="C118">
    <cfRule type="duplicateValues" dxfId="269" priority="76"/>
  </conditionalFormatting>
  <conditionalFormatting sqref="C118">
    <cfRule type="duplicateValues" dxfId="268" priority="75"/>
  </conditionalFormatting>
  <conditionalFormatting sqref="C119">
    <cfRule type="duplicateValues" dxfId="267" priority="74"/>
  </conditionalFormatting>
  <conditionalFormatting sqref="C119">
    <cfRule type="duplicateValues" dxfId="266" priority="73"/>
  </conditionalFormatting>
  <conditionalFormatting sqref="C120">
    <cfRule type="duplicateValues" dxfId="265" priority="72"/>
  </conditionalFormatting>
  <conditionalFormatting sqref="C120">
    <cfRule type="duplicateValues" dxfId="264" priority="71"/>
  </conditionalFormatting>
  <conditionalFormatting sqref="C121">
    <cfRule type="duplicateValues" dxfId="263" priority="70"/>
  </conditionalFormatting>
  <conditionalFormatting sqref="C121">
    <cfRule type="duplicateValues" dxfId="262" priority="69"/>
  </conditionalFormatting>
  <conditionalFormatting sqref="C122">
    <cfRule type="duplicateValues" dxfId="261" priority="68"/>
  </conditionalFormatting>
  <conditionalFormatting sqref="C122">
    <cfRule type="duplicateValues" dxfId="260" priority="67"/>
  </conditionalFormatting>
  <conditionalFormatting sqref="C123">
    <cfRule type="duplicateValues" dxfId="259" priority="66"/>
  </conditionalFormatting>
  <conditionalFormatting sqref="C123">
    <cfRule type="duplicateValues" dxfId="258" priority="65"/>
  </conditionalFormatting>
  <conditionalFormatting sqref="C124">
    <cfRule type="duplicateValues" dxfId="257" priority="64"/>
  </conditionalFormatting>
  <conditionalFormatting sqref="C124">
    <cfRule type="duplicateValues" dxfId="256" priority="63"/>
  </conditionalFormatting>
  <conditionalFormatting sqref="C108:C124 C6:C98 C100:C106">
    <cfRule type="duplicateValues" dxfId="255" priority="62"/>
  </conditionalFormatting>
  <conditionalFormatting sqref="B107">
    <cfRule type="duplicateValues" dxfId="254" priority="61"/>
  </conditionalFormatting>
  <conditionalFormatting sqref="C107">
    <cfRule type="duplicateValues" dxfId="253" priority="60"/>
  </conditionalFormatting>
  <conditionalFormatting sqref="C107">
    <cfRule type="duplicateValues" dxfId="252" priority="59"/>
  </conditionalFormatting>
  <conditionalFormatting sqref="C107">
    <cfRule type="duplicateValues" dxfId="251" priority="58"/>
  </conditionalFormatting>
  <conditionalFormatting sqref="C107">
    <cfRule type="duplicateValues" dxfId="250" priority="57"/>
  </conditionalFormatting>
  <conditionalFormatting sqref="C107">
    <cfRule type="duplicateValues" dxfId="249" priority="56"/>
  </conditionalFormatting>
  <conditionalFormatting sqref="C107">
    <cfRule type="duplicateValues" dxfId="248" priority="55"/>
  </conditionalFormatting>
  <conditionalFormatting sqref="C107">
    <cfRule type="duplicateValues" dxfId="247" priority="54"/>
  </conditionalFormatting>
  <conditionalFormatting sqref="B129">
    <cfRule type="duplicateValues" dxfId="246" priority="53"/>
  </conditionalFormatting>
  <conditionalFormatting sqref="C129">
    <cfRule type="duplicateValues" dxfId="245" priority="52"/>
  </conditionalFormatting>
  <conditionalFormatting sqref="C129">
    <cfRule type="duplicateValues" dxfId="244" priority="51"/>
  </conditionalFormatting>
  <conditionalFormatting sqref="C129">
    <cfRule type="duplicateValues" dxfId="243" priority="50"/>
  </conditionalFormatting>
  <conditionalFormatting sqref="C129">
    <cfRule type="duplicateValues" dxfId="242" priority="49"/>
  </conditionalFormatting>
  <conditionalFormatting sqref="C129">
    <cfRule type="duplicateValues" dxfId="241" priority="48"/>
  </conditionalFormatting>
  <conditionalFormatting sqref="C129">
    <cfRule type="duplicateValues" dxfId="240" priority="47"/>
  </conditionalFormatting>
  <conditionalFormatting sqref="C129">
    <cfRule type="duplicateValues" dxfId="239" priority="46"/>
  </conditionalFormatting>
  <conditionalFormatting sqref="B130">
    <cfRule type="duplicateValues" dxfId="238" priority="45"/>
  </conditionalFormatting>
  <conditionalFormatting sqref="C130">
    <cfRule type="duplicateValues" dxfId="237" priority="44"/>
  </conditionalFormatting>
  <conditionalFormatting sqref="C130">
    <cfRule type="duplicateValues" dxfId="236" priority="43"/>
  </conditionalFormatting>
  <conditionalFormatting sqref="C130">
    <cfRule type="duplicateValues" dxfId="235" priority="42"/>
  </conditionalFormatting>
  <conditionalFormatting sqref="C130">
    <cfRule type="duplicateValues" dxfId="234" priority="41"/>
  </conditionalFormatting>
  <conditionalFormatting sqref="C130">
    <cfRule type="duplicateValues" dxfId="233" priority="40"/>
  </conditionalFormatting>
  <conditionalFormatting sqref="C130">
    <cfRule type="duplicateValues" dxfId="232" priority="39"/>
  </conditionalFormatting>
  <conditionalFormatting sqref="C130">
    <cfRule type="duplicateValues" dxfId="231" priority="38"/>
  </conditionalFormatting>
  <conditionalFormatting sqref="B131">
    <cfRule type="duplicateValues" dxfId="230" priority="37"/>
  </conditionalFormatting>
  <conditionalFormatting sqref="B132">
    <cfRule type="duplicateValues" dxfId="229" priority="36"/>
  </conditionalFormatting>
  <conditionalFormatting sqref="B135">
    <cfRule type="duplicateValues" dxfId="228" priority="35"/>
  </conditionalFormatting>
  <conditionalFormatting sqref="C135">
    <cfRule type="duplicateValues" dxfId="227" priority="34"/>
  </conditionalFormatting>
  <conditionalFormatting sqref="C135">
    <cfRule type="duplicateValues" dxfId="226" priority="33"/>
  </conditionalFormatting>
  <conditionalFormatting sqref="C135">
    <cfRule type="duplicateValues" dxfId="225" priority="32"/>
  </conditionalFormatting>
  <conditionalFormatting sqref="C135">
    <cfRule type="duplicateValues" dxfId="224" priority="31"/>
  </conditionalFormatting>
  <conditionalFormatting sqref="C135">
    <cfRule type="duplicateValues" dxfId="223" priority="30"/>
  </conditionalFormatting>
  <conditionalFormatting sqref="C135">
    <cfRule type="duplicateValues" dxfId="222" priority="29"/>
  </conditionalFormatting>
  <conditionalFormatting sqref="C135">
    <cfRule type="duplicateValues" dxfId="221" priority="28"/>
  </conditionalFormatting>
  <conditionalFormatting sqref="B140:B143">
    <cfRule type="duplicateValues" dxfId="220" priority="27"/>
  </conditionalFormatting>
  <conditionalFormatting sqref="B144">
    <cfRule type="duplicateValues" dxfId="219" priority="26"/>
  </conditionalFormatting>
  <conditionalFormatting sqref="C144">
    <cfRule type="duplicateValues" dxfId="218" priority="25"/>
  </conditionalFormatting>
  <conditionalFormatting sqref="C144">
    <cfRule type="duplicateValues" dxfId="217" priority="24"/>
  </conditionalFormatting>
  <conditionalFormatting sqref="C144">
    <cfRule type="duplicateValues" dxfId="216" priority="23"/>
  </conditionalFormatting>
  <conditionalFormatting sqref="B145">
    <cfRule type="duplicateValues" dxfId="215" priority="22"/>
  </conditionalFormatting>
  <conditionalFormatting sqref="C145">
    <cfRule type="duplicateValues" dxfId="214" priority="21"/>
  </conditionalFormatting>
  <conditionalFormatting sqref="C145">
    <cfRule type="duplicateValues" dxfId="213" priority="20"/>
  </conditionalFormatting>
  <conditionalFormatting sqref="C145">
    <cfRule type="duplicateValues" dxfId="212" priority="19"/>
  </conditionalFormatting>
  <conditionalFormatting sqref="B146">
    <cfRule type="duplicateValues" dxfId="211" priority="18"/>
  </conditionalFormatting>
  <conditionalFormatting sqref="C146">
    <cfRule type="duplicateValues" dxfId="210" priority="17"/>
  </conditionalFormatting>
  <conditionalFormatting sqref="C146">
    <cfRule type="duplicateValues" dxfId="209" priority="16"/>
  </conditionalFormatting>
  <conditionalFormatting sqref="C146">
    <cfRule type="duplicateValues" dxfId="208" priority="15"/>
  </conditionalFormatting>
  <conditionalFormatting sqref="B147">
    <cfRule type="duplicateValues" dxfId="207" priority="14"/>
  </conditionalFormatting>
  <conditionalFormatting sqref="C147">
    <cfRule type="duplicateValues" dxfId="206" priority="13"/>
  </conditionalFormatting>
  <conditionalFormatting sqref="C147">
    <cfRule type="duplicateValues" dxfId="205" priority="12"/>
  </conditionalFormatting>
  <conditionalFormatting sqref="C147">
    <cfRule type="duplicateValues" dxfId="204" priority="11"/>
  </conditionalFormatting>
  <conditionalFormatting sqref="B148">
    <cfRule type="duplicateValues" dxfId="203" priority="10"/>
  </conditionalFormatting>
  <conditionalFormatting sqref="C148">
    <cfRule type="duplicateValues" dxfId="202" priority="9"/>
  </conditionalFormatting>
  <conditionalFormatting sqref="C148">
    <cfRule type="duplicateValues" dxfId="201" priority="8"/>
  </conditionalFormatting>
  <conditionalFormatting sqref="C148">
    <cfRule type="duplicateValues" dxfId="200" priority="7"/>
  </conditionalFormatting>
  <conditionalFormatting sqref="B99">
    <cfRule type="duplicateValues" dxfId="199" priority="93"/>
  </conditionalFormatting>
  <conditionalFormatting sqref="B149">
    <cfRule type="duplicateValues" dxfId="198" priority="6"/>
  </conditionalFormatting>
  <conditionalFormatting sqref="C149">
    <cfRule type="duplicateValues" dxfId="197" priority="5"/>
  </conditionalFormatting>
  <conditionalFormatting sqref="C149">
    <cfRule type="duplicateValues" dxfId="196" priority="4"/>
  </conditionalFormatting>
  <conditionalFormatting sqref="C149">
    <cfRule type="duplicateValues" dxfId="195" priority="3"/>
  </conditionalFormatting>
  <conditionalFormatting sqref="B149:C149">
    <cfRule type="duplicateValues" dxfId="194" priority="2"/>
  </conditionalFormatting>
  <conditionalFormatting sqref="B6:C149">
    <cfRule type="duplicateValues" dxfId="193" priority="94"/>
  </conditionalFormatting>
  <conditionalFormatting sqref="B6:C148">
    <cfRule type="duplicateValues" dxfId="192" priority="95"/>
  </conditionalFormatting>
  <conditionalFormatting sqref="C6:C149">
    <cfRule type="duplicateValues" dxfId="191" priority="96"/>
  </conditionalFormatting>
  <conditionalFormatting sqref="B150:C150">
    <cfRule type="duplicateValues" dxfId="190" priority="139"/>
  </conditionalFormatting>
  <conditionalFormatting sqref="B6:C150">
    <cfRule type="duplicateValues" dxfId="189" priority="140"/>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topLeftCell="A136" workbookViewId="0">
      <selection activeCell="G46" sqref="G46"/>
    </sheetView>
  </sheetViews>
  <sheetFormatPr defaultRowHeight="11.4" x14ac:dyDescent="0.2"/>
  <cols>
    <col min="1" max="1" width="11" style="112" customWidth="1"/>
    <col min="2" max="2" width="26.88671875" style="112" customWidth="1"/>
    <col min="3" max="3" width="23.33203125" style="112" customWidth="1"/>
    <col min="4" max="4" width="16.109375" style="112" customWidth="1"/>
    <col min="5" max="6" width="9.109375" style="112" customWidth="1"/>
    <col min="7" max="7" width="15.77734375" style="112" bestFit="1" customWidth="1"/>
    <col min="8" max="9" width="17.88671875" style="112" bestFit="1" customWidth="1"/>
    <col min="10" max="1025" width="9.109375" style="112" customWidth="1"/>
    <col min="1026" max="16384" width="8.88671875" style="112"/>
  </cols>
  <sheetData>
    <row r="1" spans="1:10" x14ac:dyDescent="0.2">
      <c r="A1" s="1166" t="s">
        <v>1374</v>
      </c>
      <c r="B1" s="1166"/>
      <c r="C1" s="1166"/>
      <c r="D1" s="1166"/>
      <c r="E1" s="1166"/>
      <c r="F1" s="1166"/>
      <c r="G1" s="1166"/>
      <c r="H1" s="1166"/>
      <c r="I1" s="1166"/>
      <c r="J1" s="1166"/>
    </row>
    <row r="2" spans="1:10" x14ac:dyDescent="0.2">
      <c r="A2" s="566" t="s">
        <v>1375</v>
      </c>
      <c r="B2" s="1162" t="s">
        <v>1376</v>
      </c>
      <c r="C2" s="1162"/>
      <c r="D2" s="1162"/>
      <c r="E2" s="1162"/>
      <c r="F2" s="1162"/>
      <c r="G2" s="1162"/>
      <c r="H2" s="1162"/>
      <c r="I2" s="1162"/>
      <c r="J2" s="1162"/>
    </row>
    <row r="3" spans="1:10" x14ac:dyDescent="0.2">
      <c r="A3" s="567">
        <v>1</v>
      </c>
      <c r="B3" s="1160" t="s">
        <v>311</v>
      </c>
      <c r="C3" s="1160"/>
      <c r="D3" s="1161" t="s">
        <v>421</v>
      </c>
      <c r="E3" s="1161"/>
      <c r="F3" s="1161"/>
      <c r="G3" s="1161"/>
      <c r="H3" s="1161"/>
      <c r="I3" s="1161"/>
      <c r="J3" s="1161"/>
    </row>
    <row r="4" spans="1:10" x14ac:dyDescent="0.2">
      <c r="A4" s="567">
        <v>2</v>
      </c>
      <c r="B4" s="1160" t="s">
        <v>308</v>
      </c>
      <c r="C4" s="1160"/>
      <c r="D4" s="1161" t="s">
        <v>277</v>
      </c>
      <c r="E4" s="1161"/>
      <c r="F4" s="1161"/>
      <c r="G4" s="1161"/>
      <c r="H4" s="1161"/>
      <c r="I4" s="1161"/>
      <c r="J4" s="1161"/>
    </row>
    <row r="5" spans="1:10" x14ac:dyDescent="0.2">
      <c r="A5" s="567" t="s">
        <v>1377</v>
      </c>
      <c r="B5" s="1160" t="s">
        <v>1378</v>
      </c>
      <c r="C5" s="1160"/>
      <c r="D5" s="1161" t="s">
        <v>275</v>
      </c>
      <c r="E5" s="1161"/>
      <c r="F5" s="1161"/>
      <c r="G5" s="1161"/>
      <c r="H5" s="1161"/>
      <c r="I5" s="1161"/>
      <c r="J5" s="1161"/>
    </row>
    <row r="6" spans="1:10" x14ac:dyDescent="0.2">
      <c r="A6" s="567" t="s">
        <v>1379</v>
      </c>
      <c r="B6" s="1160" t="s">
        <v>1380</v>
      </c>
      <c r="C6" s="1160"/>
      <c r="D6" s="1161"/>
      <c r="E6" s="1161"/>
      <c r="F6" s="1161"/>
      <c r="G6" s="1161"/>
      <c r="H6" s="1161"/>
      <c r="I6" s="1161"/>
      <c r="J6" s="1161"/>
    </row>
    <row r="7" spans="1:10" x14ac:dyDescent="0.2">
      <c r="A7" s="566" t="s">
        <v>1381</v>
      </c>
      <c r="B7" s="1162" t="s">
        <v>1382</v>
      </c>
      <c r="C7" s="1162"/>
      <c r="D7" s="1162"/>
      <c r="E7" s="1162"/>
      <c r="F7" s="1162"/>
      <c r="G7" s="1162"/>
      <c r="H7" s="1162"/>
      <c r="I7" s="1162"/>
      <c r="J7" s="1162"/>
    </row>
    <row r="8" spans="1:10" x14ac:dyDescent="0.2">
      <c r="A8" s="1163"/>
      <c r="B8" s="1163"/>
      <c r="C8" s="1163"/>
      <c r="D8" s="1163"/>
      <c r="E8" s="1163"/>
      <c r="F8" s="1163"/>
      <c r="G8" s="1107" t="s">
        <v>1383</v>
      </c>
      <c r="H8" s="1107"/>
      <c r="I8" s="1107"/>
      <c r="J8" s="1107"/>
    </row>
    <row r="9" spans="1:10" x14ac:dyDescent="0.2">
      <c r="A9" s="1164"/>
      <c r="B9" s="1101" t="s">
        <v>1384</v>
      </c>
      <c r="C9" s="1101"/>
      <c r="D9" s="1101"/>
      <c r="E9" s="1101" t="s">
        <v>315</v>
      </c>
      <c r="F9" s="1101"/>
      <c r="G9" s="568" t="s">
        <v>16</v>
      </c>
      <c r="H9" s="568" t="s">
        <v>17</v>
      </c>
      <c r="I9" s="568" t="s">
        <v>18</v>
      </c>
      <c r="J9" s="568" t="s">
        <v>316</v>
      </c>
    </row>
    <row r="10" spans="1:10" x14ac:dyDescent="0.2">
      <c r="A10" s="1165"/>
      <c r="B10" s="1108">
        <v>1</v>
      </c>
      <c r="C10" s="1108"/>
      <c r="D10" s="1108"/>
      <c r="E10" s="1108">
        <v>2</v>
      </c>
      <c r="F10" s="1108"/>
      <c r="G10" s="569">
        <v>5</v>
      </c>
      <c r="H10" s="569">
        <v>3</v>
      </c>
      <c r="I10" s="569">
        <v>4</v>
      </c>
      <c r="J10" s="569">
        <v>6</v>
      </c>
    </row>
    <row r="11" spans="1:10" ht="15" customHeight="1" x14ac:dyDescent="0.2">
      <c r="A11" s="570">
        <v>4</v>
      </c>
      <c r="B11" s="1156" t="s">
        <v>1385</v>
      </c>
      <c r="C11" s="1156"/>
      <c r="D11" s="1156"/>
      <c r="E11" s="1156"/>
      <c r="F11" s="1156"/>
      <c r="G11" s="1156"/>
      <c r="H11" s="1156"/>
      <c r="I11" s="1156"/>
      <c r="J11" s="1156"/>
    </row>
    <row r="12" spans="1:10" x14ac:dyDescent="0.2">
      <c r="A12" s="571" t="s">
        <v>1386</v>
      </c>
      <c r="B12" s="1149" t="s">
        <v>1387</v>
      </c>
      <c r="C12" s="1149"/>
      <c r="D12" s="1149"/>
      <c r="E12" s="1154">
        <f>+'RET-GSTR-1 OLD'!N16</f>
        <v>0</v>
      </c>
      <c r="F12" s="1154"/>
      <c r="G12" s="572">
        <f>+'RET-GSTR-1 OLD'!N17</f>
        <v>0</v>
      </c>
      <c r="H12" s="572">
        <v>0</v>
      </c>
      <c r="I12" s="572">
        <v>0</v>
      </c>
      <c r="J12" s="572">
        <f>+'RET-GSTR-1 OLD'!N18</f>
        <v>0</v>
      </c>
    </row>
    <row r="13" spans="1:10" x14ac:dyDescent="0.2">
      <c r="A13" s="571" t="s">
        <v>1388</v>
      </c>
      <c r="B13" s="1149" t="s">
        <v>1389</v>
      </c>
      <c r="C13" s="1149"/>
      <c r="D13" s="1149"/>
      <c r="E13" s="1154">
        <f>+'RET-GSTR-1 OLD'!N7</f>
        <v>45027096.993999973</v>
      </c>
      <c r="F13" s="1154"/>
      <c r="G13" s="572">
        <f>+'RET-GSTR-1 OLD'!N8</f>
        <v>684284.47919999994</v>
      </c>
      <c r="H13" s="572">
        <f>+'RET-GSTR-1 OLD'!N9</f>
        <v>4766949.7185600018</v>
      </c>
      <c r="I13" s="572">
        <f>+H13</f>
        <v>4766949.7185600018</v>
      </c>
      <c r="J13" s="572">
        <v>0</v>
      </c>
    </row>
    <row r="14" spans="1:10" x14ac:dyDescent="0.2">
      <c r="A14" s="571" t="s">
        <v>1390</v>
      </c>
      <c r="B14" s="1155" t="s">
        <v>1391</v>
      </c>
      <c r="C14" s="1155"/>
      <c r="D14" s="1155"/>
      <c r="E14" s="1154">
        <f>+'RET-GSTR-3B'!O11</f>
        <v>0</v>
      </c>
      <c r="F14" s="1154"/>
      <c r="G14" s="573">
        <f>+'RET-GSTR-3B'!O12</f>
        <v>0</v>
      </c>
      <c r="H14" s="574"/>
      <c r="I14" s="574"/>
      <c r="J14" s="572">
        <f>+'RET-GSTR-3B'!O13</f>
        <v>0</v>
      </c>
    </row>
    <row r="15" spans="1:10" x14ac:dyDescent="0.2">
      <c r="A15" s="571" t="s">
        <v>1392</v>
      </c>
      <c r="B15" s="1149" t="s">
        <v>1393</v>
      </c>
      <c r="C15" s="1149"/>
      <c r="D15" s="1149"/>
      <c r="E15" s="1154">
        <v>0</v>
      </c>
      <c r="F15" s="1154"/>
      <c r="G15" s="573">
        <v>0</v>
      </c>
      <c r="H15" s="574"/>
      <c r="I15" s="574"/>
      <c r="J15" s="572">
        <v>0</v>
      </c>
    </row>
    <row r="16" spans="1:10" x14ac:dyDescent="0.2">
      <c r="A16" s="571" t="s">
        <v>1394</v>
      </c>
      <c r="B16" s="1149" t="s">
        <v>1395</v>
      </c>
      <c r="C16" s="1149"/>
      <c r="D16" s="1149"/>
      <c r="E16" s="1154">
        <v>0</v>
      </c>
      <c r="F16" s="1154"/>
      <c r="G16" s="572">
        <v>0</v>
      </c>
      <c r="H16" s="572">
        <v>0</v>
      </c>
      <c r="I16" s="572">
        <v>0</v>
      </c>
      <c r="J16" s="572">
        <v>0</v>
      </c>
    </row>
    <row r="17" spans="1:11" ht="25.2" customHeight="1" x14ac:dyDescent="0.2">
      <c r="A17" s="571" t="s">
        <v>1396</v>
      </c>
      <c r="B17" s="1155" t="s">
        <v>1397</v>
      </c>
      <c r="C17" s="1155"/>
      <c r="D17" s="1155"/>
      <c r="E17" s="1154">
        <v>0</v>
      </c>
      <c r="F17" s="1154"/>
      <c r="G17" s="572">
        <v>0</v>
      </c>
      <c r="H17" s="572">
        <v>0</v>
      </c>
      <c r="I17" s="572">
        <v>0</v>
      </c>
      <c r="J17" s="572">
        <v>0</v>
      </c>
    </row>
    <row r="18" spans="1:11" x14ac:dyDescent="0.2">
      <c r="A18" s="571" t="s">
        <v>1398</v>
      </c>
      <c r="B18" s="1159" t="s">
        <v>1399</v>
      </c>
      <c r="C18" s="1159"/>
      <c r="D18" s="1159"/>
      <c r="E18" s="1154">
        <f>+'RET-GSTR-3B'!O18</f>
        <v>299021</v>
      </c>
      <c r="F18" s="1154"/>
      <c r="G18" s="572">
        <f>+'RET-GSTR-3B'!O19</f>
        <v>118.05</v>
      </c>
      <c r="H18" s="572">
        <f>+'RET-GSTR-3B'!O20</f>
        <v>7416.5</v>
      </c>
      <c r="I18" s="572">
        <f>+H18</f>
        <v>7416.5</v>
      </c>
      <c r="J18" s="572">
        <v>0</v>
      </c>
    </row>
    <row r="19" spans="1:11" x14ac:dyDescent="0.2">
      <c r="A19" s="571" t="s">
        <v>1400</v>
      </c>
      <c r="B19" s="1150" t="s">
        <v>1401</v>
      </c>
      <c r="C19" s="1150"/>
      <c r="D19" s="1150"/>
      <c r="E19" s="1151">
        <f>SUM(E12:F18)</f>
        <v>45326117.993999973</v>
      </c>
      <c r="F19" s="1151"/>
      <c r="G19" s="575">
        <f>SUM(G12:G18)</f>
        <v>684402.52919999999</v>
      </c>
      <c r="H19" s="575">
        <f t="shared" ref="H19:J19" si="0">SUM(H12:H18)</f>
        <v>4774366.2185600018</v>
      </c>
      <c r="I19" s="575">
        <f t="shared" si="0"/>
        <v>4774366.2185600018</v>
      </c>
      <c r="J19" s="575">
        <f t="shared" si="0"/>
        <v>0</v>
      </c>
    </row>
    <row r="20" spans="1:11" x14ac:dyDescent="0.2">
      <c r="A20" s="571" t="s">
        <v>1402</v>
      </c>
      <c r="B20" s="1155" t="s">
        <v>1403</v>
      </c>
      <c r="C20" s="1155"/>
      <c r="D20" s="1155"/>
      <c r="E20" s="1154">
        <f>+'SALE WORKING'!O23+'SALE WORKING'!O50</f>
        <v>-314039.21000000008</v>
      </c>
      <c r="F20" s="1154"/>
      <c r="G20" s="572">
        <f>+'SALE WORKING'!O24+'SALE WORKING'!O51</f>
        <v>-11929.934799999999</v>
      </c>
      <c r="H20" s="572">
        <f>+'SALE WORKING'!O25</f>
        <v>-37855.921999999999</v>
      </c>
      <c r="I20" s="572">
        <f>+H20</f>
        <v>-37855.921999999999</v>
      </c>
      <c r="J20" s="572">
        <v>0</v>
      </c>
    </row>
    <row r="21" spans="1:11" x14ac:dyDescent="0.2">
      <c r="A21" s="571" t="s">
        <v>1404</v>
      </c>
      <c r="B21" s="1155" t="s">
        <v>1405</v>
      </c>
      <c r="C21" s="1155"/>
      <c r="D21" s="1155"/>
      <c r="E21" s="1154">
        <f>+'SALE WORKING'!O32+'SALE WORKING'!O57</f>
        <v>588499.05000000005</v>
      </c>
      <c r="F21" s="1154"/>
      <c r="G21" s="572">
        <f>+'SALE WORKING'!O33+'SALE WORKING'!O58</f>
        <v>0</v>
      </c>
      <c r="H21" s="572">
        <f>+'SALE WORKING'!O34</f>
        <v>82389.867000000013</v>
      </c>
      <c r="I21" s="572">
        <f>+H21</f>
        <v>82389.867000000013</v>
      </c>
      <c r="J21" s="572">
        <v>0</v>
      </c>
    </row>
    <row r="22" spans="1:11" x14ac:dyDescent="0.2">
      <c r="A22" s="571" t="s">
        <v>1406</v>
      </c>
      <c r="B22" s="1149" t="s">
        <v>1407</v>
      </c>
      <c r="C22" s="1149"/>
      <c r="D22" s="1149"/>
      <c r="E22" s="1154">
        <v>0</v>
      </c>
      <c r="F22" s="1154"/>
      <c r="G22" s="572">
        <v>0</v>
      </c>
      <c r="H22" s="572">
        <v>0</v>
      </c>
      <c r="I22" s="572">
        <v>0</v>
      </c>
      <c r="J22" s="572">
        <v>0</v>
      </c>
    </row>
    <row r="23" spans="1:11" x14ac:dyDescent="0.2">
      <c r="A23" s="571" t="s">
        <v>1408</v>
      </c>
      <c r="B23" s="1157" t="s">
        <v>3698</v>
      </c>
      <c r="C23" s="1157"/>
      <c r="D23" s="1157"/>
      <c r="E23" s="1154">
        <v>0</v>
      </c>
      <c r="F23" s="1154"/>
      <c r="G23" s="572">
        <v>0</v>
      </c>
      <c r="H23" s="572">
        <v>0</v>
      </c>
      <c r="I23" s="572">
        <v>0</v>
      </c>
      <c r="J23" s="572">
        <v>0</v>
      </c>
    </row>
    <row r="24" spans="1:11" x14ac:dyDescent="0.2">
      <c r="A24" s="571" t="s">
        <v>1409</v>
      </c>
      <c r="B24" s="1150" t="s">
        <v>1410</v>
      </c>
      <c r="C24" s="1150"/>
      <c r="D24" s="1150"/>
      <c r="E24" s="1151">
        <f>SUM(E20:F23)</f>
        <v>274459.83999999997</v>
      </c>
      <c r="F24" s="1151"/>
      <c r="G24" s="575">
        <f>SUM(G20:G23)</f>
        <v>-11929.934799999999</v>
      </c>
      <c r="H24" s="575">
        <f t="shared" ref="H24:I24" si="1">SUM(H20:H23)</f>
        <v>44533.945000000014</v>
      </c>
      <c r="I24" s="575">
        <f t="shared" si="1"/>
        <v>44533.945000000014</v>
      </c>
      <c r="J24" s="575">
        <v>0</v>
      </c>
    </row>
    <row r="25" spans="1:11" x14ac:dyDescent="0.2">
      <c r="A25" s="571" t="s">
        <v>1411</v>
      </c>
      <c r="B25" s="1152" t="s">
        <v>1412</v>
      </c>
      <c r="C25" s="1152"/>
      <c r="D25" s="1152"/>
      <c r="E25" s="1158">
        <f>+E19+E24</f>
        <v>45600577.833999977</v>
      </c>
      <c r="F25" s="1158"/>
      <c r="G25" s="576">
        <f>+G19+G24</f>
        <v>672472.59439999994</v>
      </c>
      <c r="H25" s="576">
        <f t="shared" ref="H25:I25" si="2">+H19+H24</f>
        <v>4818900.1635600021</v>
      </c>
      <c r="I25" s="576">
        <f t="shared" si="2"/>
        <v>4818900.1635600021</v>
      </c>
      <c r="J25" s="576">
        <v>0</v>
      </c>
      <c r="K25" s="113"/>
    </row>
    <row r="26" spans="1:11" ht="15" customHeight="1" x14ac:dyDescent="0.2">
      <c r="A26" s="570">
        <v>5</v>
      </c>
      <c r="B26" s="1156" t="s">
        <v>1413</v>
      </c>
      <c r="C26" s="1156"/>
      <c r="D26" s="1156"/>
      <c r="E26" s="1156"/>
      <c r="F26" s="1156"/>
      <c r="G26" s="1156"/>
      <c r="H26" s="1156"/>
      <c r="I26" s="1156"/>
      <c r="J26" s="1156"/>
    </row>
    <row r="27" spans="1:11" x14ac:dyDescent="0.2">
      <c r="A27" s="571" t="s">
        <v>1386</v>
      </c>
      <c r="B27" s="1155" t="s">
        <v>3697</v>
      </c>
      <c r="C27" s="1155"/>
      <c r="D27" s="1155"/>
      <c r="E27" s="1154">
        <v>0</v>
      </c>
      <c r="F27" s="1154"/>
      <c r="G27" s="577"/>
      <c r="H27" s="577"/>
      <c r="I27" s="577"/>
      <c r="J27" s="577"/>
    </row>
    <row r="28" spans="1:11" x14ac:dyDescent="0.2">
      <c r="A28" s="571" t="s">
        <v>1388</v>
      </c>
      <c r="B28" s="1155" t="s">
        <v>3696</v>
      </c>
      <c r="C28" s="1155"/>
      <c r="D28" s="1155"/>
      <c r="E28" s="1154">
        <v>6242605</v>
      </c>
      <c r="F28" s="1154"/>
      <c r="G28" s="577"/>
      <c r="H28" s="577"/>
      <c r="I28" s="577"/>
      <c r="J28" s="577"/>
      <c r="K28" s="113"/>
    </row>
    <row r="29" spans="1:11" ht="17.399999999999999" customHeight="1" x14ac:dyDescent="0.2">
      <c r="A29" s="571" t="s">
        <v>1390</v>
      </c>
      <c r="B29" s="1155" t="s">
        <v>1414</v>
      </c>
      <c r="C29" s="1155"/>
      <c r="D29" s="1155"/>
      <c r="E29" s="1154">
        <v>0</v>
      </c>
      <c r="F29" s="1154"/>
      <c r="G29" s="572">
        <v>0</v>
      </c>
      <c r="H29" s="572">
        <v>0</v>
      </c>
      <c r="I29" s="572">
        <v>0</v>
      </c>
      <c r="J29" s="572">
        <v>0</v>
      </c>
      <c r="K29" s="113"/>
    </row>
    <row r="30" spans="1:11" x14ac:dyDescent="0.2">
      <c r="A30" s="571" t="s">
        <v>1392</v>
      </c>
      <c r="B30" s="1149" t="s">
        <v>1415</v>
      </c>
      <c r="C30" s="1149"/>
      <c r="D30" s="1149"/>
      <c r="E30" s="1154">
        <v>30855243.109999999</v>
      </c>
      <c r="F30" s="1154"/>
      <c r="G30" s="577"/>
      <c r="H30" s="577"/>
      <c r="I30" s="577"/>
      <c r="J30" s="577"/>
    </row>
    <row r="31" spans="1:11" x14ac:dyDescent="0.2">
      <c r="A31" s="571" t="s">
        <v>1394</v>
      </c>
      <c r="B31" s="1149" t="s">
        <v>1416</v>
      </c>
      <c r="C31" s="1149"/>
      <c r="D31" s="1149"/>
      <c r="E31" s="1154">
        <v>0</v>
      </c>
      <c r="F31" s="1154"/>
      <c r="G31" s="577"/>
      <c r="H31" s="577"/>
      <c r="I31" s="577"/>
      <c r="J31" s="577"/>
    </row>
    <row r="32" spans="1:11" x14ac:dyDescent="0.2">
      <c r="A32" s="571" t="s">
        <v>1396</v>
      </c>
      <c r="B32" s="1149" t="s">
        <v>1417</v>
      </c>
      <c r="C32" s="1149"/>
      <c r="D32" s="1149"/>
      <c r="E32" s="1154">
        <v>27317374.010000002</v>
      </c>
      <c r="F32" s="1154"/>
      <c r="G32" s="577"/>
      <c r="H32" s="577"/>
      <c r="I32" s="577"/>
      <c r="J32" s="577"/>
    </row>
    <row r="33" spans="1:10" x14ac:dyDescent="0.2">
      <c r="A33" s="571" t="s">
        <v>1398</v>
      </c>
      <c r="B33" s="1150" t="s">
        <v>1418</v>
      </c>
      <c r="C33" s="1150"/>
      <c r="D33" s="1150"/>
      <c r="E33" s="1151">
        <v>64415222.120000005</v>
      </c>
      <c r="F33" s="1151"/>
      <c r="G33" s="578">
        <v>0</v>
      </c>
      <c r="H33" s="578">
        <v>0</v>
      </c>
      <c r="I33" s="578">
        <v>0</v>
      </c>
      <c r="J33" s="578">
        <v>0</v>
      </c>
    </row>
    <row r="34" spans="1:10" x14ac:dyDescent="0.2">
      <c r="A34" s="571" t="s">
        <v>1400</v>
      </c>
      <c r="B34" s="1155" t="s">
        <v>1419</v>
      </c>
      <c r="C34" s="1155"/>
      <c r="D34" s="1155"/>
      <c r="E34" s="1154">
        <v>0</v>
      </c>
      <c r="F34" s="1154"/>
      <c r="G34" s="572">
        <v>0</v>
      </c>
      <c r="H34" s="572">
        <v>0</v>
      </c>
      <c r="I34" s="572">
        <v>0</v>
      </c>
      <c r="J34" s="572">
        <v>0</v>
      </c>
    </row>
    <row r="35" spans="1:10" x14ac:dyDescent="0.2">
      <c r="A35" s="571" t="s">
        <v>1402</v>
      </c>
      <c r="B35" s="1155" t="s">
        <v>1420</v>
      </c>
      <c r="C35" s="1155"/>
      <c r="D35" s="1155"/>
      <c r="E35" s="1154">
        <v>0</v>
      </c>
      <c r="F35" s="1154"/>
      <c r="G35" s="572">
        <v>0</v>
      </c>
      <c r="H35" s="572">
        <v>0</v>
      </c>
      <c r="I35" s="572">
        <v>0</v>
      </c>
      <c r="J35" s="572">
        <v>0</v>
      </c>
    </row>
    <row r="36" spans="1:10" x14ac:dyDescent="0.2">
      <c r="A36" s="571" t="s">
        <v>1404</v>
      </c>
      <c r="B36" s="1149" t="s">
        <v>1421</v>
      </c>
      <c r="C36" s="1149"/>
      <c r="D36" s="1149"/>
      <c r="E36" s="1154">
        <v>0</v>
      </c>
      <c r="F36" s="1154"/>
      <c r="G36" s="572">
        <v>0</v>
      </c>
      <c r="H36" s="572">
        <v>0</v>
      </c>
      <c r="I36" s="572">
        <v>0</v>
      </c>
      <c r="J36" s="572">
        <v>0</v>
      </c>
    </row>
    <row r="37" spans="1:10" x14ac:dyDescent="0.2">
      <c r="A37" s="571" t="s">
        <v>1406</v>
      </c>
      <c r="B37" s="1149" t="s">
        <v>1422</v>
      </c>
      <c r="C37" s="1149"/>
      <c r="D37" s="1149"/>
      <c r="E37" s="1154">
        <v>0</v>
      </c>
      <c r="F37" s="1154"/>
      <c r="G37" s="572">
        <v>0</v>
      </c>
      <c r="H37" s="572">
        <v>0</v>
      </c>
      <c r="I37" s="572">
        <v>0</v>
      </c>
      <c r="J37" s="572">
        <v>0</v>
      </c>
    </row>
    <row r="38" spans="1:10" x14ac:dyDescent="0.2">
      <c r="A38" s="571" t="s">
        <v>1408</v>
      </c>
      <c r="B38" s="1150" t="s">
        <v>1423</v>
      </c>
      <c r="C38" s="1150"/>
      <c r="D38" s="1150"/>
      <c r="E38" s="1151">
        <v>0</v>
      </c>
      <c r="F38" s="1151"/>
      <c r="G38" s="575">
        <v>0</v>
      </c>
      <c r="H38" s="575">
        <v>0</v>
      </c>
      <c r="I38" s="575">
        <v>0</v>
      </c>
      <c r="J38" s="575">
        <v>0</v>
      </c>
    </row>
    <row r="39" spans="1:10" x14ac:dyDescent="0.2">
      <c r="A39" s="571" t="s">
        <v>1409</v>
      </c>
      <c r="B39" s="1150" t="s">
        <v>1424</v>
      </c>
      <c r="C39" s="1150"/>
      <c r="D39" s="1150"/>
      <c r="E39" s="1151">
        <v>64415222.120000005</v>
      </c>
      <c r="F39" s="1151"/>
      <c r="G39" s="575">
        <v>0</v>
      </c>
      <c r="H39" s="575">
        <v>0</v>
      </c>
      <c r="I39" s="575">
        <v>0</v>
      </c>
      <c r="J39" s="575">
        <v>0</v>
      </c>
    </row>
    <row r="40" spans="1:10" x14ac:dyDescent="0.2">
      <c r="A40" s="571" t="s">
        <v>1411</v>
      </c>
      <c r="B40" s="1152" t="s">
        <v>1425</v>
      </c>
      <c r="C40" s="1152"/>
      <c r="D40" s="1152"/>
      <c r="E40" s="1151">
        <v>475256666.63999999</v>
      </c>
      <c r="F40" s="1151"/>
      <c r="G40" s="575">
        <v>4333306.51</v>
      </c>
      <c r="H40" s="575">
        <v>8672850.3999999948</v>
      </c>
      <c r="I40" s="575">
        <v>8672850.3999999948</v>
      </c>
      <c r="J40" s="575">
        <v>0</v>
      </c>
    </row>
    <row r="41" spans="1:10" ht="15" customHeight="1" x14ac:dyDescent="0.2">
      <c r="A41" s="570" t="s">
        <v>1426</v>
      </c>
      <c r="B41" s="1153" t="s">
        <v>1427</v>
      </c>
      <c r="C41" s="1153"/>
      <c r="D41" s="1153"/>
      <c r="E41" s="1153"/>
      <c r="F41" s="1153"/>
      <c r="G41" s="1153"/>
      <c r="H41" s="1153"/>
      <c r="I41" s="1153"/>
      <c r="J41" s="1153"/>
    </row>
    <row r="42" spans="1:10" x14ac:dyDescent="0.2">
      <c r="A42" s="1101"/>
      <c r="B42" s="1101" t="s">
        <v>314</v>
      </c>
      <c r="C42" s="1101"/>
      <c r="D42" s="1101"/>
      <c r="E42" s="1101" t="s">
        <v>15</v>
      </c>
      <c r="F42" s="1101"/>
      <c r="G42" s="568" t="s">
        <v>16</v>
      </c>
      <c r="H42" s="568" t="s">
        <v>17</v>
      </c>
      <c r="I42" s="568" t="s">
        <v>18</v>
      </c>
      <c r="J42" s="568" t="s">
        <v>316</v>
      </c>
    </row>
    <row r="43" spans="1:10" x14ac:dyDescent="0.2">
      <c r="A43" s="1101"/>
      <c r="B43" s="1102">
        <v>1</v>
      </c>
      <c r="C43" s="1102"/>
      <c r="D43" s="1102"/>
      <c r="E43" s="1102">
        <v>2</v>
      </c>
      <c r="F43" s="1102"/>
      <c r="G43" s="579">
        <v>5</v>
      </c>
      <c r="H43" s="579">
        <v>3</v>
      </c>
      <c r="I43" s="579">
        <v>4</v>
      </c>
      <c r="J43" s="579">
        <v>6</v>
      </c>
    </row>
    <row r="44" spans="1:10" ht="21" customHeight="1" x14ac:dyDescent="0.2">
      <c r="A44" s="580">
        <v>6</v>
      </c>
      <c r="B44" s="1148" t="s">
        <v>1428</v>
      </c>
      <c r="C44" s="1148"/>
      <c r="D44" s="1148"/>
      <c r="E44" s="1148"/>
      <c r="F44" s="1148"/>
      <c r="G44" s="1148"/>
      <c r="H44" s="1148"/>
      <c r="I44" s="1148"/>
      <c r="J44" s="1148"/>
    </row>
    <row r="45" spans="1:10" x14ac:dyDescent="0.2">
      <c r="A45" s="571" t="s">
        <v>1386</v>
      </c>
      <c r="B45" s="1146" t="s">
        <v>1429</v>
      </c>
      <c r="C45" s="1146"/>
      <c r="D45" s="1146"/>
      <c r="E45" s="1146"/>
      <c r="F45" s="1146"/>
      <c r="G45" s="581">
        <v>132664.21</v>
      </c>
      <c r="H45" s="581">
        <v>38875005.100000001</v>
      </c>
      <c r="I45" s="581">
        <v>40818807.100000001</v>
      </c>
      <c r="J45" s="581">
        <v>0</v>
      </c>
    </row>
    <row r="46" spans="1:10" ht="15" customHeight="1" x14ac:dyDescent="0.2">
      <c r="A46" s="1129" t="s">
        <v>1388</v>
      </c>
      <c r="B46" s="1146" t="s">
        <v>3692</v>
      </c>
      <c r="C46" s="1146"/>
      <c r="D46" s="1146"/>
      <c r="E46" s="1149" t="s">
        <v>1041</v>
      </c>
      <c r="F46" s="1149"/>
      <c r="G46" s="573">
        <v>122588.62999999999</v>
      </c>
      <c r="H46" s="573">
        <v>17154699.240000002</v>
      </c>
      <c r="I46" s="573">
        <v>19098501.240000002</v>
      </c>
      <c r="J46" s="573">
        <v>0</v>
      </c>
    </row>
    <row r="47" spans="1:10" x14ac:dyDescent="0.2">
      <c r="A47" s="1129"/>
      <c r="B47" s="1129"/>
      <c r="C47" s="1146"/>
      <c r="D47" s="1146"/>
      <c r="E47" s="1149" t="s">
        <v>1430</v>
      </c>
      <c r="F47" s="1149"/>
      <c r="G47" s="573"/>
      <c r="H47" s="573"/>
      <c r="I47" s="573"/>
      <c r="J47" s="573"/>
    </row>
    <row r="48" spans="1:10" x14ac:dyDescent="0.2">
      <c r="A48" s="1129"/>
      <c r="B48" s="1129"/>
      <c r="C48" s="1146"/>
      <c r="D48" s="1146"/>
      <c r="E48" s="1149" t="s">
        <v>1431</v>
      </c>
      <c r="F48" s="1149"/>
      <c r="G48" s="572"/>
      <c r="H48" s="572"/>
      <c r="I48" s="572"/>
      <c r="J48" s="572"/>
    </row>
    <row r="49" spans="1:11" x14ac:dyDescent="0.2">
      <c r="A49" s="1129"/>
      <c r="B49" s="1129"/>
      <c r="C49" s="1146"/>
      <c r="D49" s="1146"/>
      <c r="E49" s="1149" t="s">
        <v>1432</v>
      </c>
      <c r="F49" s="1149"/>
      <c r="G49" s="572"/>
      <c r="H49" s="572"/>
      <c r="I49" s="572"/>
      <c r="J49" s="572"/>
    </row>
    <row r="50" spans="1:11" x14ac:dyDescent="0.2">
      <c r="A50" s="571" t="s">
        <v>1433</v>
      </c>
      <c r="B50" s="1146" t="s">
        <v>1434</v>
      </c>
      <c r="C50" s="1146"/>
      <c r="D50" s="1146"/>
      <c r="E50" s="1147" t="s">
        <v>1041</v>
      </c>
      <c r="F50" s="1147"/>
      <c r="G50" s="572">
        <f>+G51+G55</f>
        <v>0</v>
      </c>
      <c r="H50" s="572">
        <f t="shared" ref="H50:J50" si="3">+H51+H55</f>
        <v>0</v>
      </c>
      <c r="I50" s="572">
        <f t="shared" si="3"/>
        <v>0</v>
      </c>
      <c r="J50" s="572">
        <f t="shared" si="3"/>
        <v>0</v>
      </c>
    </row>
    <row r="51" spans="1:11" ht="15" customHeight="1" x14ac:dyDescent="0.2">
      <c r="A51" s="1129" t="s">
        <v>1390</v>
      </c>
      <c r="B51" s="1139" t="s">
        <v>3693</v>
      </c>
      <c r="C51" s="1140"/>
      <c r="D51" s="1141"/>
      <c r="E51" s="1058" t="s">
        <v>1041</v>
      </c>
      <c r="F51" s="1060"/>
      <c r="G51" s="573">
        <f>+G52+G53+G54</f>
        <v>0</v>
      </c>
      <c r="H51" s="573">
        <f t="shared" ref="H51:J51" si="4">+H52+H53+H54</f>
        <v>0</v>
      </c>
      <c r="I51" s="573">
        <f t="shared" si="4"/>
        <v>0</v>
      </c>
      <c r="J51" s="573">
        <f t="shared" si="4"/>
        <v>0</v>
      </c>
    </row>
    <row r="52" spans="1:11" x14ac:dyDescent="0.2">
      <c r="A52" s="1129"/>
      <c r="B52" s="1133"/>
      <c r="C52" s="1142"/>
      <c r="D52" s="1143"/>
      <c r="E52" s="1058" t="s">
        <v>1430</v>
      </c>
      <c r="F52" s="1060"/>
      <c r="G52" s="573"/>
      <c r="H52" s="573"/>
      <c r="I52" s="573"/>
      <c r="J52" s="573"/>
    </row>
    <row r="53" spans="1:11" x14ac:dyDescent="0.2">
      <c r="A53" s="1129"/>
      <c r="B53" s="1133"/>
      <c r="C53" s="1142"/>
      <c r="D53" s="1143"/>
      <c r="E53" s="1058" t="s">
        <v>1431</v>
      </c>
      <c r="F53" s="1060"/>
      <c r="G53" s="572"/>
      <c r="H53" s="572"/>
      <c r="I53" s="572"/>
      <c r="J53" s="572"/>
    </row>
    <row r="54" spans="1:11" x14ac:dyDescent="0.2">
      <c r="A54" s="1129"/>
      <c r="B54" s="1136"/>
      <c r="C54" s="1144"/>
      <c r="D54" s="1145"/>
      <c r="E54" s="1058" t="s">
        <v>1432</v>
      </c>
      <c r="F54" s="1060"/>
      <c r="G54" s="572"/>
      <c r="H54" s="572"/>
      <c r="I54" s="572"/>
      <c r="J54" s="572"/>
    </row>
    <row r="55" spans="1:11" ht="15" customHeight="1" x14ac:dyDescent="0.2">
      <c r="A55" s="1129" t="s">
        <v>1392</v>
      </c>
      <c r="B55" s="1139" t="s">
        <v>1435</v>
      </c>
      <c r="C55" s="1140"/>
      <c r="D55" s="1141"/>
      <c r="E55" s="1058" t="s">
        <v>1041</v>
      </c>
      <c r="F55" s="1060"/>
      <c r="G55" s="573">
        <f>+G56+G57+G58</f>
        <v>0</v>
      </c>
      <c r="H55" s="573">
        <f t="shared" ref="H55" si="5">+H56+H57+H58</f>
        <v>0</v>
      </c>
      <c r="I55" s="573">
        <f t="shared" ref="I55" si="6">+I56+I57+I58</f>
        <v>0</v>
      </c>
      <c r="J55" s="573">
        <f t="shared" ref="J55" si="7">+J56+J57+J58</f>
        <v>0</v>
      </c>
    </row>
    <row r="56" spans="1:11" x14ac:dyDescent="0.2">
      <c r="A56" s="1129"/>
      <c r="B56" s="1133"/>
      <c r="C56" s="1142"/>
      <c r="D56" s="1143"/>
      <c r="E56" s="1058" t="s">
        <v>1430</v>
      </c>
      <c r="F56" s="1060"/>
      <c r="G56" s="573"/>
      <c r="H56" s="573"/>
      <c r="I56" s="573"/>
      <c r="J56" s="573"/>
    </row>
    <row r="57" spans="1:11" x14ac:dyDescent="0.2">
      <c r="A57" s="1129"/>
      <c r="B57" s="1133"/>
      <c r="C57" s="1142"/>
      <c r="D57" s="1143"/>
      <c r="E57" s="1058" t="s">
        <v>1431</v>
      </c>
      <c r="F57" s="1060"/>
      <c r="G57" s="572"/>
      <c r="H57" s="572"/>
      <c r="I57" s="572"/>
      <c r="J57" s="572"/>
    </row>
    <row r="58" spans="1:11" x14ac:dyDescent="0.2">
      <c r="A58" s="1129"/>
      <c r="B58" s="1136"/>
      <c r="C58" s="1144"/>
      <c r="D58" s="1145"/>
      <c r="E58" s="1058" t="s">
        <v>1432</v>
      </c>
      <c r="F58" s="1060"/>
      <c r="G58" s="572"/>
      <c r="H58" s="572"/>
      <c r="I58" s="582"/>
      <c r="J58" s="582"/>
    </row>
    <row r="59" spans="1:11" x14ac:dyDescent="0.2">
      <c r="A59" s="1129" t="s">
        <v>1394</v>
      </c>
      <c r="B59" s="1130" t="s">
        <v>1436</v>
      </c>
      <c r="C59" s="1131"/>
      <c r="D59" s="1132"/>
      <c r="E59" s="1058" t="s">
        <v>1041</v>
      </c>
      <c r="F59" s="1060"/>
      <c r="G59" s="583">
        <f>+G60+G61</f>
        <v>0</v>
      </c>
      <c r="H59" s="577"/>
      <c r="I59" s="584"/>
      <c r="J59" s="573">
        <v>0</v>
      </c>
    </row>
    <row r="60" spans="1:11" x14ac:dyDescent="0.2">
      <c r="A60" s="1129"/>
      <c r="B60" s="1133"/>
      <c r="C60" s="1134"/>
      <c r="D60" s="1135"/>
      <c r="E60" s="1058" t="s">
        <v>1430</v>
      </c>
      <c r="F60" s="1060"/>
      <c r="G60" s="585"/>
      <c r="H60" s="577"/>
      <c r="I60" s="584"/>
      <c r="J60" s="586"/>
      <c r="K60" s="587"/>
    </row>
    <row r="61" spans="1:11" x14ac:dyDescent="0.2">
      <c r="A61" s="1129"/>
      <c r="B61" s="1136"/>
      <c r="C61" s="1137"/>
      <c r="D61" s="1138"/>
      <c r="E61" s="1058" t="s">
        <v>1431</v>
      </c>
      <c r="F61" s="1060"/>
      <c r="G61" s="585"/>
      <c r="H61" s="577"/>
      <c r="I61" s="584"/>
      <c r="J61" s="588"/>
    </row>
    <row r="62" spans="1:11" x14ac:dyDescent="0.2">
      <c r="A62" s="571" t="s">
        <v>1396</v>
      </c>
      <c r="B62" s="1082" t="s">
        <v>3685</v>
      </c>
      <c r="C62" s="1096"/>
      <c r="D62" s="1096"/>
      <c r="E62" s="1096"/>
      <c r="F62" s="1083"/>
      <c r="G62" s="583">
        <v>0</v>
      </c>
      <c r="H62" s="577"/>
      <c r="I62" s="584"/>
      <c r="J62" s="573">
        <v>0</v>
      </c>
      <c r="K62" s="589"/>
    </row>
    <row r="63" spans="1:11" x14ac:dyDescent="0.2">
      <c r="A63" s="571" t="s">
        <v>1398</v>
      </c>
      <c r="B63" s="1082" t="s">
        <v>3686</v>
      </c>
      <c r="C63" s="1096"/>
      <c r="D63" s="1096"/>
      <c r="E63" s="1096"/>
      <c r="F63" s="1083"/>
      <c r="G63" s="573"/>
      <c r="H63" s="573"/>
      <c r="I63" s="573"/>
      <c r="J63" s="573">
        <v>0</v>
      </c>
    </row>
    <row r="64" spans="1:11" x14ac:dyDescent="0.2">
      <c r="A64" s="571" t="s">
        <v>1400</v>
      </c>
      <c r="B64" s="1126" t="s">
        <v>3687</v>
      </c>
      <c r="C64" s="1127"/>
      <c r="D64" s="1127"/>
      <c r="E64" s="1127"/>
      <c r="F64" s="1128"/>
      <c r="G64" s="573"/>
      <c r="H64" s="573"/>
      <c r="I64" s="573"/>
      <c r="J64" s="573"/>
    </row>
    <row r="65" spans="1:10" x14ac:dyDescent="0.2">
      <c r="A65" s="571" t="s">
        <v>1402</v>
      </c>
      <c r="B65" s="1109" t="s">
        <v>3688</v>
      </c>
      <c r="C65" s="1110"/>
      <c r="D65" s="1110"/>
      <c r="E65" s="1110"/>
      <c r="F65" s="1111"/>
      <c r="G65" s="575">
        <v>132664.21</v>
      </c>
      <c r="H65" s="575">
        <v>38875005.100000001</v>
      </c>
      <c r="I65" s="575">
        <v>40818807.100000001</v>
      </c>
      <c r="J65" s="575">
        <v>0</v>
      </c>
    </row>
    <row r="66" spans="1:10" ht="15" customHeight="1" x14ac:dyDescent="0.2">
      <c r="A66" s="571" t="s">
        <v>1404</v>
      </c>
      <c r="B66" s="1109" t="s">
        <v>1437</v>
      </c>
      <c r="C66" s="1110"/>
      <c r="D66" s="1110"/>
      <c r="E66" s="1110"/>
      <c r="F66" s="1111"/>
      <c r="G66" s="575">
        <v>0</v>
      </c>
      <c r="H66" s="575">
        <v>0</v>
      </c>
      <c r="I66" s="575">
        <v>0</v>
      </c>
      <c r="J66" s="575">
        <v>0</v>
      </c>
    </row>
    <row r="67" spans="1:10" ht="15" customHeight="1" x14ac:dyDescent="0.2">
      <c r="A67" s="571" t="s">
        <v>1406</v>
      </c>
      <c r="B67" s="1082" t="s">
        <v>1438</v>
      </c>
      <c r="C67" s="1096"/>
      <c r="D67" s="1096"/>
      <c r="E67" s="1096"/>
      <c r="F67" s="1083"/>
      <c r="G67" s="573"/>
      <c r="H67" s="573"/>
      <c r="I67" s="573"/>
      <c r="J67" s="590"/>
    </row>
    <row r="68" spans="1:10" x14ac:dyDescent="0.2">
      <c r="A68" s="571" t="s">
        <v>1408</v>
      </c>
      <c r="B68" s="1082" t="s">
        <v>3689</v>
      </c>
      <c r="C68" s="1096"/>
      <c r="D68" s="1096"/>
      <c r="E68" s="1096"/>
      <c r="F68" s="1083"/>
      <c r="G68" s="573"/>
      <c r="H68" s="573"/>
      <c r="I68" s="573"/>
      <c r="J68" s="590"/>
    </row>
    <row r="69" spans="1:10" ht="15" customHeight="1" x14ac:dyDescent="0.2">
      <c r="A69" s="571" t="s">
        <v>1409</v>
      </c>
      <c r="B69" s="1109" t="s">
        <v>3690</v>
      </c>
      <c r="C69" s="1110"/>
      <c r="D69" s="1110"/>
      <c r="E69" s="1110"/>
      <c r="F69" s="1111"/>
      <c r="G69" s="575"/>
      <c r="H69" s="575"/>
      <c r="I69" s="575"/>
      <c r="J69" s="575"/>
    </row>
    <row r="70" spans="1:10" ht="15" customHeight="1" x14ac:dyDescent="0.2">
      <c r="A70" s="571" t="s">
        <v>1411</v>
      </c>
      <c r="B70" s="1109" t="s">
        <v>1439</v>
      </c>
      <c r="C70" s="1110"/>
      <c r="D70" s="1110"/>
      <c r="E70" s="1110"/>
      <c r="F70" s="1111"/>
      <c r="G70" s="575">
        <v>0</v>
      </c>
      <c r="H70" s="575">
        <v>0</v>
      </c>
      <c r="I70" s="575">
        <v>0</v>
      </c>
      <c r="J70" s="575">
        <v>0</v>
      </c>
    </row>
    <row r="71" spans="1:10" ht="15" customHeight="1" x14ac:dyDescent="0.2">
      <c r="A71" s="571" t="s">
        <v>1440</v>
      </c>
      <c r="B71" s="1109" t="s">
        <v>1441</v>
      </c>
      <c r="C71" s="1110"/>
      <c r="D71" s="1110"/>
      <c r="E71" s="1110"/>
      <c r="F71" s="1111"/>
      <c r="G71" s="575">
        <v>132664.21</v>
      </c>
      <c r="H71" s="575">
        <v>38875005.100000001</v>
      </c>
      <c r="I71" s="575">
        <v>40818807.100000001</v>
      </c>
      <c r="J71" s="575">
        <v>0</v>
      </c>
    </row>
    <row r="72" spans="1:10" ht="18.600000000000001" customHeight="1" x14ac:dyDescent="0.2">
      <c r="A72" s="570">
        <v>7</v>
      </c>
      <c r="B72" s="1112" t="s">
        <v>3694</v>
      </c>
      <c r="C72" s="1113"/>
      <c r="D72" s="1113"/>
      <c r="E72" s="1113"/>
      <c r="F72" s="1113"/>
      <c r="G72" s="1113"/>
      <c r="H72" s="1113"/>
      <c r="I72" s="1113"/>
      <c r="J72" s="1114"/>
    </row>
    <row r="73" spans="1:10" ht="14.4" customHeight="1" x14ac:dyDescent="0.2">
      <c r="A73" s="571" t="s">
        <v>1386</v>
      </c>
      <c r="B73" s="591" t="s">
        <v>3681</v>
      </c>
      <c r="C73" s="592"/>
      <c r="D73" s="592"/>
      <c r="E73" s="592"/>
      <c r="F73" s="593"/>
      <c r="G73" s="573">
        <v>0</v>
      </c>
      <c r="H73" s="573">
        <v>0</v>
      </c>
      <c r="I73" s="573">
        <v>1943802</v>
      </c>
      <c r="J73" s="573">
        <v>0</v>
      </c>
    </row>
    <row r="74" spans="1:10" ht="15" customHeight="1" x14ac:dyDescent="0.2">
      <c r="A74" s="571" t="s">
        <v>1388</v>
      </c>
      <c r="B74" s="591" t="s">
        <v>1442</v>
      </c>
      <c r="C74" s="592"/>
      <c r="D74" s="592"/>
      <c r="E74" s="592"/>
      <c r="F74" s="593"/>
      <c r="G74" s="573"/>
      <c r="H74" s="573"/>
      <c r="I74" s="573"/>
      <c r="J74" s="573"/>
    </row>
    <row r="75" spans="1:10" x14ac:dyDescent="0.2">
      <c r="A75" s="571" t="s">
        <v>1390</v>
      </c>
      <c r="B75" s="591" t="s">
        <v>1443</v>
      </c>
      <c r="C75" s="592"/>
      <c r="D75" s="592"/>
      <c r="E75" s="592"/>
      <c r="F75" s="593"/>
      <c r="G75" s="573">
        <v>0</v>
      </c>
      <c r="H75" s="573">
        <v>0</v>
      </c>
      <c r="I75" s="573">
        <v>0</v>
      </c>
      <c r="J75" s="573">
        <v>0</v>
      </c>
    </row>
    <row r="76" spans="1:10" ht="15" customHeight="1" x14ac:dyDescent="0.2">
      <c r="A76" s="571" t="s">
        <v>1392</v>
      </c>
      <c r="B76" s="591" t="s">
        <v>1444</v>
      </c>
      <c r="C76" s="592"/>
      <c r="D76" s="592"/>
      <c r="E76" s="592"/>
      <c r="F76" s="593"/>
      <c r="G76" s="573"/>
      <c r="H76" s="573"/>
      <c r="I76" s="573"/>
      <c r="J76" s="573"/>
    </row>
    <row r="77" spans="1:10" ht="15" customHeight="1" x14ac:dyDescent="0.2">
      <c r="A77" s="571" t="s">
        <v>1394</v>
      </c>
      <c r="B77" s="591" t="s">
        <v>1445</v>
      </c>
      <c r="C77" s="592"/>
      <c r="D77" s="592"/>
      <c r="E77" s="592"/>
      <c r="F77" s="593"/>
      <c r="G77" s="573"/>
      <c r="H77" s="573"/>
      <c r="I77" s="573"/>
      <c r="J77" s="573"/>
    </row>
    <row r="78" spans="1:10" x14ac:dyDescent="0.2">
      <c r="A78" s="571" t="s">
        <v>1396</v>
      </c>
      <c r="B78" s="591" t="s">
        <v>1446</v>
      </c>
      <c r="C78" s="592"/>
      <c r="D78" s="592"/>
      <c r="E78" s="592"/>
      <c r="F78" s="593"/>
      <c r="G78" s="573"/>
      <c r="H78" s="573"/>
      <c r="I78" s="573"/>
      <c r="J78" s="573"/>
    </row>
    <row r="79" spans="1:10" ht="15" customHeight="1" x14ac:dyDescent="0.2">
      <c r="A79" s="571" t="s">
        <v>1398</v>
      </c>
      <c r="B79" s="591" t="s">
        <v>1447</v>
      </c>
      <c r="C79" s="592"/>
      <c r="D79" s="592"/>
      <c r="E79" s="592"/>
      <c r="F79" s="593"/>
      <c r="G79" s="573"/>
      <c r="H79" s="573"/>
      <c r="I79" s="573"/>
      <c r="J79" s="573"/>
    </row>
    <row r="80" spans="1:10" ht="15" customHeight="1" x14ac:dyDescent="0.2">
      <c r="A80" s="571" t="s">
        <v>1400</v>
      </c>
      <c r="B80" s="591" t="s">
        <v>1448</v>
      </c>
      <c r="C80" s="592"/>
      <c r="D80" s="592"/>
      <c r="E80" s="592"/>
      <c r="F80" s="593"/>
      <c r="G80" s="573"/>
      <c r="H80" s="573"/>
      <c r="I80" s="573"/>
      <c r="J80" s="573"/>
    </row>
    <row r="81" spans="1:10" ht="15" customHeight="1" x14ac:dyDescent="0.2">
      <c r="A81" s="571" t="s">
        <v>1402</v>
      </c>
      <c r="B81" s="594" t="s">
        <v>1449</v>
      </c>
      <c r="C81" s="595"/>
      <c r="D81" s="595"/>
      <c r="E81" s="595"/>
      <c r="F81" s="596"/>
      <c r="G81" s="573">
        <v>0</v>
      </c>
      <c r="H81" s="573">
        <v>0</v>
      </c>
      <c r="I81" s="573">
        <v>1943802</v>
      </c>
      <c r="J81" s="573">
        <v>0</v>
      </c>
    </row>
    <row r="82" spans="1:10" ht="15" customHeight="1" x14ac:dyDescent="0.2">
      <c r="A82" s="571" t="s">
        <v>1404</v>
      </c>
      <c r="B82" s="1121" t="s">
        <v>3691</v>
      </c>
      <c r="C82" s="1122"/>
      <c r="D82" s="1122"/>
      <c r="E82" s="1122"/>
      <c r="F82" s="1123"/>
      <c r="G82" s="573">
        <v>132664.21</v>
      </c>
      <c r="H82" s="573">
        <v>38875005.100000001</v>
      </c>
      <c r="I82" s="573">
        <v>38875005.100000001</v>
      </c>
      <c r="J82" s="573">
        <v>0</v>
      </c>
    </row>
    <row r="83" spans="1:10" ht="24" customHeight="1" x14ac:dyDescent="0.2">
      <c r="A83" s="570">
        <v>8</v>
      </c>
      <c r="B83" s="1112" t="s">
        <v>3695</v>
      </c>
      <c r="C83" s="1113"/>
      <c r="D83" s="1113"/>
      <c r="E83" s="1113"/>
      <c r="F83" s="1113"/>
      <c r="G83" s="1113"/>
      <c r="H83" s="1113"/>
      <c r="I83" s="1113"/>
      <c r="J83" s="1114"/>
    </row>
    <row r="84" spans="1:10" ht="14.4" customHeight="1" x14ac:dyDescent="0.2">
      <c r="A84" s="571" t="s">
        <v>1386</v>
      </c>
      <c r="B84" s="1115" t="s">
        <v>1450</v>
      </c>
      <c r="C84" s="1116"/>
      <c r="D84" s="1116"/>
      <c r="E84" s="1116"/>
      <c r="F84" s="1117"/>
      <c r="G84" s="581">
        <v>45912.579999999994</v>
      </c>
      <c r="H84" s="581">
        <v>25970914.099999998</v>
      </c>
      <c r="I84" s="581">
        <v>25970914.099999998</v>
      </c>
      <c r="J84" s="581">
        <v>0</v>
      </c>
    </row>
    <row r="85" spans="1:10" ht="14.4" customHeight="1" x14ac:dyDescent="0.2">
      <c r="A85" s="571" t="s">
        <v>1388</v>
      </c>
      <c r="B85" s="1118" t="s">
        <v>1451</v>
      </c>
      <c r="C85" s="1124"/>
      <c r="D85" s="1124"/>
      <c r="E85" s="1124"/>
      <c r="F85" s="1125"/>
      <c r="G85" s="597">
        <v>122588.62999999999</v>
      </c>
      <c r="H85" s="597">
        <v>17154699.240000002</v>
      </c>
      <c r="I85" s="597">
        <v>19098501.240000002</v>
      </c>
      <c r="J85" s="583">
        <v>0</v>
      </c>
    </row>
    <row r="86" spans="1:10" ht="29.4" customHeight="1" x14ac:dyDescent="0.2">
      <c r="A86" s="571" t="s">
        <v>1390</v>
      </c>
      <c r="B86" s="1118" t="s">
        <v>3682</v>
      </c>
      <c r="C86" s="1124"/>
      <c r="D86" s="1124"/>
      <c r="E86" s="1124"/>
      <c r="F86" s="1125"/>
      <c r="G86" s="573"/>
      <c r="H86" s="573"/>
      <c r="I86" s="573"/>
      <c r="J86" s="573"/>
    </row>
    <row r="87" spans="1:10" x14ac:dyDescent="0.2">
      <c r="A87" s="571" t="s">
        <v>1392</v>
      </c>
      <c r="B87" s="598" t="s">
        <v>1452</v>
      </c>
      <c r="C87" s="599"/>
      <c r="D87" s="599"/>
      <c r="E87" s="599"/>
      <c r="F87" s="600"/>
      <c r="G87" s="573">
        <v>0</v>
      </c>
      <c r="H87" s="573">
        <v>8816214.8599999957</v>
      </c>
      <c r="I87" s="573">
        <v>6872412.8599999957</v>
      </c>
      <c r="J87" s="573">
        <v>0</v>
      </c>
    </row>
    <row r="88" spans="1:10" ht="14.4" customHeight="1" x14ac:dyDescent="0.2">
      <c r="A88" s="571" t="s">
        <v>1394</v>
      </c>
      <c r="B88" s="598" t="s">
        <v>1453</v>
      </c>
      <c r="C88" s="599"/>
      <c r="D88" s="599"/>
      <c r="E88" s="599"/>
      <c r="F88" s="600"/>
      <c r="G88" s="573"/>
      <c r="H88" s="573"/>
      <c r="I88" s="573"/>
      <c r="J88" s="573"/>
    </row>
    <row r="89" spans="1:10" x14ac:dyDescent="0.2">
      <c r="A89" s="571" t="s">
        <v>1396</v>
      </c>
      <c r="B89" s="1115" t="s">
        <v>3683</v>
      </c>
      <c r="C89" s="1116"/>
      <c r="D89" s="1116"/>
      <c r="E89" s="1116"/>
      <c r="F89" s="1117"/>
      <c r="G89" s="573"/>
      <c r="H89" s="573"/>
      <c r="I89" s="573"/>
      <c r="J89" s="573"/>
    </row>
    <row r="90" spans="1:10" ht="15.6" customHeight="1" x14ac:dyDescent="0.2">
      <c r="A90" s="571" t="s">
        <v>1398</v>
      </c>
      <c r="B90" s="1115" t="s">
        <v>3684</v>
      </c>
      <c r="C90" s="1116"/>
      <c r="D90" s="1116"/>
      <c r="E90" s="1116"/>
      <c r="F90" s="1117"/>
      <c r="G90" s="573"/>
      <c r="H90" s="573"/>
      <c r="I90" s="573"/>
      <c r="J90" s="573"/>
    </row>
    <row r="91" spans="1:10" ht="15" customHeight="1" x14ac:dyDescent="0.2">
      <c r="A91" s="571" t="s">
        <v>1400</v>
      </c>
      <c r="B91" s="1118" t="s">
        <v>1454</v>
      </c>
      <c r="C91" s="1119"/>
      <c r="D91" s="1119"/>
      <c r="E91" s="1119"/>
      <c r="F91" s="1120"/>
      <c r="G91" s="597">
        <v>0</v>
      </c>
      <c r="H91" s="601"/>
      <c r="I91" s="601"/>
      <c r="J91" s="583">
        <v>0</v>
      </c>
    </row>
    <row r="92" spans="1:10" x14ac:dyDescent="0.2">
      <c r="A92" s="571" t="s">
        <v>1402</v>
      </c>
      <c r="B92" s="598" t="s">
        <v>1455</v>
      </c>
      <c r="C92" s="599"/>
      <c r="D92" s="599"/>
      <c r="E92" s="599"/>
      <c r="F92" s="600"/>
      <c r="G92" s="597">
        <v>0</v>
      </c>
      <c r="H92" s="597">
        <v>0</v>
      </c>
      <c r="I92" s="597">
        <v>0</v>
      </c>
      <c r="J92" s="583">
        <v>0</v>
      </c>
    </row>
    <row r="93" spans="1:10" ht="15" customHeight="1" x14ac:dyDescent="0.2">
      <c r="A93" s="571" t="s">
        <v>1404</v>
      </c>
      <c r="B93" s="598" t="s">
        <v>1456</v>
      </c>
      <c r="C93" s="599"/>
      <c r="D93" s="599"/>
      <c r="E93" s="599"/>
      <c r="F93" s="600"/>
      <c r="G93" s="573">
        <v>0</v>
      </c>
      <c r="H93" s="573">
        <v>0</v>
      </c>
      <c r="I93" s="573">
        <v>0</v>
      </c>
      <c r="J93" s="573">
        <v>0</v>
      </c>
    </row>
    <row r="94" spans="1:10" ht="15" customHeight="1" x14ac:dyDescent="0.2">
      <c r="A94" s="571" t="s">
        <v>1406</v>
      </c>
      <c r="B94" s="602" t="s">
        <v>1457</v>
      </c>
      <c r="C94" s="603"/>
      <c r="D94" s="603"/>
      <c r="E94" s="603"/>
      <c r="F94" s="604"/>
      <c r="G94" s="597">
        <v>0</v>
      </c>
      <c r="H94" s="597">
        <v>0</v>
      </c>
      <c r="I94" s="597">
        <v>0</v>
      </c>
      <c r="J94" s="597">
        <v>0</v>
      </c>
    </row>
    <row r="95" spans="1:10" x14ac:dyDescent="0.2">
      <c r="A95" s="570" t="s">
        <v>1458</v>
      </c>
      <c r="B95" s="1087" t="s">
        <v>1459</v>
      </c>
      <c r="C95" s="1088"/>
      <c r="D95" s="1088"/>
      <c r="E95" s="1088"/>
      <c r="F95" s="1088"/>
      <c r="G95" s="1088"/>
      <c r="H95" s="1088"/>
      <c r="I95" s="1088"/>
      <c r="J95" s="1089"/>
    </row>
    <row r="96" spans="1:10" x14ac:dyDescent="0.2">
      <c r="A96" s="1102">
        <v>9</v>
      </c>
      <c r="B96" s="1103" t="s">
        <v>314</v>
      </c>
      <c r="C96" s="1104"/>
      <c r="D96" s="1107" t="s">
        <v>1460</v>
      </c>
      <c r="E96" s="1103" t="s">
        <v>1461</v>
      </c>
      <c r="F96" s="1104"/>
      <c r="G96" s="1079" t="s">
        <v>1462</v>
      </c>
      <c r="H96" s="1080"/>
      <c r="I96" s="1080"/>
      <c r="J96" s="1081"/>
    </row>
    <row r="97" spans="1:10" x14ac:dyDescent="0.2">
      <c r="A97" s="1102"/>
      <c r="B97" s="1105"/>
      <c r="C97" s="1106"/>
      <c r="D97" s="1108"/>
      <c r="E97" s="1105"/>
      <c r="F97" s="1106"/>
      <c r="G97" s="579" t="s">
        <v>17</v>
      </c>
      <c r="H97" s="579" t="s">
        <v>18</v>
      </c>
      <c r="I97" s="579" t="s">
        <v>16</v>
      </c>
      <c r="J97" s="579" t="s">
        <v>316</v>
      </c>
    </row>
    <row r="98" spans="1:10" x14ac:dyDescent="0.2">
      <c r="A98" s="1102"/>
      <c r="B98" s="1079">
        <v>1</v>
      </c>
      <c r="C98" s="1081"/>
      <c r="D98" s="579">
        <v>2</v>
      </c>
      <c r="E98" s="1079">
        <v>3</v>
      </c>
      <c r="F98" s="1081"/>
      <c r="G98" s="579">
        <v>4</v>
      </c>
      <c r="H98" s="579">
        <v>5</v>
      </c>
      <c r="I98" s="579">
        <v>6</v>
      </c>
      <c r="J98" s="579">
        <v>7</v>
      </c>
    </row>
    <row r="99" spans="1:10" x14ac:dyDescent="0.2">
      <c r="A99" s="1095"/>
      <c r="B99" s="1092" t="s">
        <v>1463</v>
      </c>
      <c r="C99" s="1094"/>
      <c r="D99" s="572">
        <v>4410214</v>
      </c>
      <c r="E99" s="1061">
        <v>0</v>
      </c>
      <c r="F99" s="1062"/>
      <c r="G99" s="572">
        <v>4119218</v>
      </c>
      <c r="H99" s="572">
        <v>158332</v>
      </c>
      <c r="I99" s="572">
        <v>132664</v>
      </c>
      <c r="J99" s="574"/>
    </row>
    <row r="100" spans="1:10" x14ac:dyDescent="0.2">
      <c r="A100" s="1095"/>
      <c r="B100" s="1092" t="s">
        <v>1464</v>
      </c>
      <c r="C100" s="1094"/>
      <c r="D100" s="572">
        <v>21335831</v>
      </c>
      <c r="E100" s="1061">
        <v>13613091</v>
      </c>
      <c r="F100" s="1062"/>
      <c r="G100" s="572">
        <v>7722740</v>
      </c>
      <c r="H100" s="574"/>
      <c r="I100" s="572">
        <v>0</v>
      </c>
      <c r="J100" s="574"/>
    </row>
    <row r="101" spans="1:10" x14ac:dyDescent="0.2">
      <c r="A101" s="1095"/>
      <c r="B101" s="1092" t="s">
        <v>1465</v>
      </c>
      <c r="C101" s="1094"/>
      <c r="D101" s="572">
        <v>21335831</v>
      </c>
      <c r="E101" s="1061">
        <v>13617053</v>
      </c>
      <c r="F101" s="1062"/>
      <c r="G101" s="574"/>
      <c r="H101" s="572">
        <v>7718778</v>
      </c>
      <c r="I101" s="572">
        <v>0</v>
      </c>
      <c r="J101" s="574"/>
    </row>
    <row r="102" spans="1:10" x14ac:dyDescent="0.2">
      <c r="A102" s="1095"/>
      <c r="B102" s="1092" t="s">
        <v>316</v>
      </c>
      <c r="C102" s="1094"/>
      <c r="D102" s="572">
        <v>0</v>
      </c>
      <c r="E102" s="1061">
        <v>0</v>
      </c>
      <c r="F102" s="1062"/>
      <c r="G102" s="574"/>
      <c r="H102" s="574"/>
      <c r="I102" s="574"/>
      <c r="J102" s="572">
        <v>0</v>
      </c>
    </row>
    <row r="103" spans="1:10" x14ac:dyDescent="0.2">
      <c r="A103" s="1095"/>
      <c r="B103" s="1092" t="s">
        <v>455</v>
      </c>
      <c r="C103" s="1094"/>
      <c r="D103" s="572">
        <v>0</v>
      </c>
      <c r="E103" s="1061">
        <v>0</v>
      </c>
      <c r="F103" s="1062"/>
      <c r="G103" s="574"/>
      <c r="H103" s="574"/>
      <c r="I103" s="574"/>
      <c r="J103" s="574"/>
    </row>
    <row r="104" spans="1:10" x14ac:dyDescent="0.2">
      <c r="A104" s="1095"/>
      <c r="B104" s="1092" t="s">
        <v>1466</v>
      </c>
      <c r="C104" s="1094"/>
      <c r="D104" s="572">
        <v>0</v>
      </c>
      <c r="E104" s="1061">
        <v>0</v>
      </c>
      <c r="F104" s="1062"/>
      <c r="G104" s="574"/>
      <c r="H104" s="574"/>
      <c r="I104" s="574"/>
      <c r="J104" s="574"/>
    </row>
    <row r="105" spans="1:10" x14ac:dyDescent="0.2">
      <c r="A105" s="1095"/>
      <c r="B105" s="1092" t="s">
        <v>1467</v>
      </c>
      <c r="C105" s="1094"/>
      <c r="D105" s="572"/>
      <c r="E105" s="1061"/>
      <c r="F105" s="1062"/>
      <c r="G105" s="574"/>
      <c r="H105" s="574"/>
      <c r="I105" s="574"/>
      <c r="J105" s="574"/>
    </row>
    <row r="106" spans="1:10" x14ac:dyDescent="0.2">
      <c r="A106" s="1095"/>
      <c r="B106" s="1092" t="s">
        <v>1468</v>
      </c>
      <c r="C106" s="1094"/>
      <c r="D106" s="572"/>
      <c r="E106" s="1061"/>
      <c r="F106" s="1062"/>
      <c r="G106" s="574"/>
      <c r="H106" s="574"/>
      <c r="I106" s="574"/>
      <c r="J106" s="574"/>
    </row>
    <row r="107" spans="1:10" ht="31.5" customHeight="1" x14ac:dyDescent="0.2">
      <c r="A107" s="605" t="s">
        <v>1469</v>
      </c>
      <c r="B107" s="1084" t="s">
        <v>1470</v>
      </c>
      <c r="C107" s="1085"/>
      <c r="D107" s="1085"/>
      <c r="E107" s="1085"/>
      <c r="F107" s="1085"/>
      <c r="G107" s="1085"/>
      <c r="H107" s="1085"/>
      <c r="I107" s="1085"/>
      <c r="J107" s="1086"/>
    </row>
    <row r="108" spans="1:10" x14ac:dyDescent="0.2">
      <c r="A108" s="1101"/>
      <c r="B108" s="1070" t="s">
        <v>314</v>
      </c>
      <c r="C108" s="1071"/>
      <c r="D108" s="1072"/>
      <c r="E108" s="1070" t="s">
        <v>315</v>
      </c>
      <c r="F108" s="1072"/>
      <c r="G108" s="568" t="s">
        <v>16</v>
      </c>
      <c r="H108" s="568" t="s">
        <v>17</v>
      </c>
      <c r="I108" s="568" t="s">
        <v>18</v>
      </c>
      <c r="J108" s="568" t="s">
        <v>316</v>
      </c>
    </row>
    <row r="109" spans="1:10" x14ac:dyDescent="0.2">
      <c r="A109" s="1101"/>
      <c r="B109" s="1079">
        <v>1</v>
      </c>
      <c r="C109" s="1080"/>
      <c r="D109" s="1081"/>
      <c r="E109" s="1079">
        <v>2</v>
      </c>
      <c r="F109" s="1081"/>
      <c r="G109" s="579">
        <v>5</v>
      </c>
      <c r="H109" s="579">
        <v>3</v>
      </c>
      <c r="I109" s="579">
        <v>4</v>
      </c>
      <c r="J109" s="579">
        <v>6</v>
      </c>
    </row>
    <row r="110" spans="1:10" x14ac:dyDescent="0.2">
      <c r="A110" s="606">
        <v>10</v>
      </c>
      <c r="B110" s="1082" t="s">
        <v>1471</v>
      </c>
      <c r="C110" s="1096"/>
      <c r="D110" s="1083"/>
      <c r="E110" s="1099">
        <v>0</v>
      </c>
      <c r="F110" s="1100"/>
      <c r="G110" s="573">
        <v>0</v>
      </c>
      <c r="H110" s="573">
        <v>0</v>
      </c>
      <c r="I110" s="573">
        <v>0</v>
      </c>
      <c r="J110" s="573">
        <v>0</v>
      </c>
    </row>
    <row r="111" spans="1:10" x14ac:dyDescent="0.2">
      <c r="A111" s="606">
        <v>11</v>
      </c>
      <c r="B111" s="1082" t="s">
        <v>1472</v>
      </c>
      <c r="C111" s="1096"/>
      <c r="D111" s="1083"/>
      <c r="E111" s="1099">
        <v>0</v>
      </c>
      <c r="F111" s="1100"/>
      <c r="G111" s="573">
        <v>0</v>
      </c>
      <c r="H111" s="573">
        <v>0</v>
      </c>
      <c r="I111" s="573">
        <v>0</v>
      </c>
      <c r="J111" s="573">
        <v>0</v>
      </c>
    </row>
    <row r="112" spans="1:10" ht="15.75" customHeight="1" x14ac:dyDescent="0.2">
      <c r="A112" s="606">
        <v>12</v>
      </c>
      <c r="B112" s="1082" t="s">
        <v>1473</v>
      </c>
      <c r="C112" s="1096"/>
      <c r="D112" s="1083"/>
      <c r="E112" s="1097"/>
      <c r="F112" s="1098"/>
      <c r="G112" s="573"/>
      <c r="H112" s="573"/>
      <c r="I112" s="573"/>
      <c r="J112" s="573"/>
    </row>
    <row r="113" spans="1:10" ht="15" customHeight="1" x14ac:dyDescent="0.2">
      <c r="A113" s="606">
        <v>13</v>
      </c>
      <c r="B113" s="1082" t="s">
        <v>1474</v>
      </c>
      <c r="C113" s="1096"/>
      <c r="D113" s="1083"/>
      <c r="E113" s="1097"/>
      <c r="F113" s="1098"/>
      <c r="G113" s="573"/>
      <c r="H113" s="573"/>
      <c r="I113" s="573"/>
      <c r="J113" s="573"/>
    </row>
    <row r="114" spans="1:10" x14ac:dyDescent="0.2">
      <c r="A114" s="570">
        <v>14</v>
      </c>
      <c r="B114" s="1087" t="s">
        <v>1475</v>
      </c>
      <c r="C114" s="1088"/>
      <c r="D114" s="1088"/>
      <c r="E114" s="1088"/>
      <c r="F114" s="1088"/>
      <c r="G114" s="1088"/>
      <c r="H114" s="1088"/>
      <c r="I114" s="1088"/>
      <c r="J114" s="1089"/>
    </row>
    <row r="115" spans="1:10" x14ac:dyDescent="0.2">
      <c r="A115" s="1069"/>
      <c r="B115" s="1070" t="s">
        <v>314</v>
      </c>
      <c r="C115" s="1071"/>
      <c r="D115" s="1071"/>
      <c r="E115" s="1071"/>
      <c r="F115" s="1072"/>
      <c r="G115" s="1070" t="s">
        <v>1476</v>
      </c>
      <c r="H115" s="1072"/>
      <c r="I115" s="1070" t="s">
        <v>1477</v>
      </c>
      <c r="J115" s="1072"/>
    </row>
    <row r="116" spans="1:10" x14ac:dyDescent="0.2">
      <c r="A116" s="1069"/>
      <c r="B116" s="1070">
        <v>1</v>
      </c>
      <c r="C116" s="1071"/>
      <c r="D116" s="1071"/>
      <c r="E116" s="1071"/>
      <c r="F116" s="1072"/>
      <c r="G116" s="1070">
        <v>2</v>
      </c>
      <c r="H116" s="1072"/>
      <c r="I116" s="1070">
        <v>3</v>
      </c>
      <c r="J116" s="1072"/>
    </row>
    <row r="117" spans="1:10" x14ac:dyDescent="0.2">
      <c r="A117" s="1095"/>
      <c r="B117" s="1092" t="s">
        <v>1463</v>
      </c>
      <c r="C117" s="1093"/>
      <c r="D117" s="1093"/>
      <c r="E117" s="1093"/>
      <c r="F117" s="1094"/>
      <c r="G117" s="1061">
        <v>0</v>
      </c>
      <c r="H117" s="1062"/>
      <c r="I117" s="1061"/>
      <c r="J117" s="1062"/>
    </row>
    <row r="118" spans="1:10" x14ac:dyDescent="0.2">
      <c r="A118" s="1095"/>
      <c r="B118" s="1092" t="s">
        <v>1478</v>
      </c>
      <c r="C118" s="1093"/>
      <c r="D118" s="1093"/>
      <c r="E118" s="1093"/>
      <c r="F118" s="1094"/>
      <c r="G118" s="1061">
        <v>0</v>
      </c>
      <c r="H118" s="1062"/>
      <c r="I118" s="1061"/>
      <c r="J118" s="1062"/>
    </row>
    <row r="119" spans="1:10" x14ac:dyDescent="0.2">
      <c r="A119" s="1095"/>
      <c r="B119" s="1092" t="s">
        <v>1465</v>
      </c>
      <c r="C119" s="1093"/>
      <c r="D119" s="1093"/>
      <c r="E119" s="1093"/>
      <c r="F119" s="1094"/>
      <c r="G119" s="1061">
        <v>0</v>
      </c>
      <c r="H119" s="1062"/>
      <c r="I119" s="1061"/>
      <c r="J119" s="1062"/>
    </row>
    <row r="120" spans="1:10" x14ac:dyDescent="0.2">
      <c r="A120" s="1095"/>
      <c r="B120" s="1092" t="s">
        <v>316</v>
      </c>
      <c r="C120" s="1093"/>
      <c r="D120" s="1093"/>
      <c r="E120" s="1093"/>
      <c r="F120" s="1094"/>
      <c r="G120" s="1061">
        <v>0</v>
      </c>
      <c r="H120" s="1062"/>
      <c r="I120" s="1061"/>
      <c r="J120" s="1062"/>
    </row>
    <row r="121" spans="1:10" x14ac:dyDescent="0.2">
      <c r="A121" s="1095"/>
      <c r="B121" s="1058" t="s">
        <v>455</v>
      </c>
      <c r="C121" s="1059"/>
      <c r="D121" s="1059"/>
      <c r="E121" s="1059"/>
      <c r="F121" s="1060"/>
      <c r="G121" s="1061"/>
      <c r="H121" s="1062"/>
      <c r="I121" s="1061"/>
      <c r="J121" s="1062"/>
    </row>
    <row r="122" spans="1:10" x14ac:dyDescent="0.2">
      <c r="A122" s="605" t="s">
        <v>1479</v>
      </c>
      <c r="B122" s="1087" t="s">
        <v>1480</v>
      </c>
      <c r="C122" s="1088"/>
      <c r="D122" s="1088"/>
      <c r="E122" s="1088"/>
      <c r="F122" s="1088"/>
      <c r="G122" s="1088"/>
      <c r="H122" s="1088"/>
      <c r="I122" s="1088"/>
      <c r="J122" s="1089"/>
    </row>
    <row r="123" spans="1:10" x14ac:dyDescent="0.2">
      <c r="A123" s="605">
        <v>15</v>
      </c>
      <c r="B123" s="1087" t="s">
        <v>1481</v>
      </c>
      <c r="C123" s="1088"/>
      <c r="D123" s="1088"/>
      <c r="E123" s="1088"/>
      <c r="F123" s="1088"/>
      <c r="G123" s="1088"/>
      <c r="H123" s="1088"/>
      <c r="I123" s="1088"/>
      <c r="J123" s="1089"/>
    </row>
    <row r="124" spans="1:10" ht="30" customHeight="1" x14ac:dyDescent="0.2">
      <c r="A124" s="232"/>
      <c r="B124" s="1090" t="s">
        <v>1482</v>
      </c>
      <c r="C124" s="1091"/>
      <c r="D124" s="607" t="s">
        <v>16</v>
      </c>
      <c r="E124" s="607" t="s">
        <v>17</v>
      </c>
      <c r="F124" s="607" t="s">
        <v>18</v>
      </c>
      <c r="G124" s="607" t="s">
        <v>316</v>
      </c>
      <c r="H124" s="607" t="s">
        <v>455</v>
      </c>
      <c r="I124" s="607" t="s">
        <v>1467</v>
      </c>
      <c r="J124" s="608" t="s">
        <v>1483</v>
      </c>
    </row>
    <row r="125" spans="1:10" x14ac:dyDescent="0.2">
      <c r="A125" s="232"/>
      <c r="B125" s="1070">
        <v>1</v>
      </c>
      <c r="C125" s="1072"/>
      <c r="D125" s="568">
        <v>4</v>
      </c>
      <c r="E125" s="568">
        <v>2</v>
      </c>
      <c r="F125" s="568">
        <v>3</v>
      </c>
      <c r="G125" s="568">
        <v>5</v>
      </c>
      <c r="H125" s="585"/>
      <c r="I125" s="585"/>
      <c r="J125" s="585"/>
    </row>
    <row r="126" spans="1:10" x14ac:dyDescent="0.2">
      <c r="A126" s="609" t="s">
        <v>1386</v>
      </c>
      <c r="B126" s="1058" t="s">
        <v>1484</v>
      </c>
      <c r="C126" s="1060"/>
      <c r="D126" s="572"/>
      <c r="E126" s="572"/>
      <c r="F126" s="572"/>
      <c r="G126" s="572"/>
      <c r="H126" s="574"/>
      <c r="I126" s="574"/>
      <c r="J126" s="574"/>
    </row>
    <row r="127" spans="1:10" ht="15" customHeight="1" x14ac:dyDescent="0.2">
      <c r="A127" s="609" t="s">
        <v>1388</v>
      </c>
      <c r="B127" s="1082" t="s">
        <v>1485</v>
      </c>
      <c r="C127" s="1083"/>
      <c r="D127" s="572"/>
      <c r="E127" s="572"/>
      <c r="F127" s="572"/>
      <c r="G127" s="572"/>
      <c r="H127" s="574"/>
      <c r="I127" s="574"/>
      <c r="J127" s="574"/>
    </row>
    <row r="128" spans="1:10" ht="15" customHeight="1" x14ac:dyDescent="0.2">
      <c r="A128" s="609" t="s">
        <v>1390</v>
      </c>
      <c r="B128" s="1082" t="s">
        <v>1486</v>
      </c>
      <c r="C128" s="1083"/>
      <c r="D128" s="572"/>
      <c r="E128" s="572"/>
      <c r="F128" s="572"/>
      <c r="G128" s="572"/>
      <c r="H128" s="574"/>
      <c r="I128" s="574"/>
      <c r="J128" s="574"/>
    </row>
    <row r="129" spans="1:11" ht="15" customHeight="1" x14ac:dyDescent="0.2">
      <c r="A129" s="609" t="s">
        <v>1392</v>
      </c>
      <c r="B129" s="1082" t="s">
        <v>1487</v>
      </c>
      <c r="C129" s="1083"/>
      <c r="D129" s="572"/>
      <c r="E129" s="572"/>
      <c r="F129" s="572"/>
      <c r="G129" s="572"/>
      <c r="H129" s="574"/>
      <c r="I129" s="574"/>
      <c r="J129" s="574"/>
      <c r="K129" s="589"/>
    </row>
    <row r="130" spans="1:11" ht="15" customHeight="1" x14ac:dyDescent="0.2">
      <c r="A130" s="609" t="s">
        <v>1394</v>
      </c>
      <c r="B130" s="1082" t="s">
        <v>1488</v>
      </c>
      <c r="C130" s="1083"/>
      <c r="D130" s="572"/>
      <c r="E130" s="572"/>
      <c r="F130" s="572"/>
      <c r="G130" s="572"/>
      <c r="H130" s="572"/>
      <c r="I130" s="572"/>
      <c r="J130" s="572"/>
    </row>
    <row r="131" spans="1:11" ht="15" customHeight="1" x14ac:dyDescent="0.2">
      <c r="A131" s="609" t="s">
        <v>1396</v>
      </c>
      <c r="B131" s="1082" t="s">
        <v>1489</v>
      </c>
      <c r="C131" s="1083"/>
      <c r="D131" s="572"/>
      <c r="E131" s="572"/>
      <c r="F131" s="572"/>
      <c r="G131" s="572"/>
      <c r="H131" s="572"/>
      <c r="I131" s="572"/>
      <c r="J131" s="572"/>
    </row>
    <row r="132" spans="1:11" x14ac:dyDescent="0.2">
      <c r="A132" s="609" t="s">
        <v>1398</v>
      </c>
      <c r="B132" s="1058" t="s">
        <v>1490</v>
      </c>
      <c r="C132" s="1060"/>
      <c r="D132" s="572"/>
      <c r="E132" s="572"/>
      <c r="F132" s="572"/>
      <c r="G132" s="572"/>
      <c r="H132" s="572"/>
      <c r="I132" s="572"/>
      <c r="J132" s="572"/>
    </row>
    <row r="133" spans="1:11" ht="15" customHeight="1" x14ac:dyDescent="0.2">
      <c r="A133" s="605">
        <v>16</v>
      </c>
      <c r="B133" s="1084" t="s">
        <v>1491</v>
      </c>
      <c r="C133" s="1085"/>
      <c r="D133" s="1085"/>
      <c r="E133" s="1085"/>
      <c r="F133" s="1085"/>
      <c r="G133" s="1085"/>
      <c r="H133" s="1085"/>
      <c r="I133" s="1085"/>
      <c r="J133" s="1086"/>
    </row>
    <row r="134" spans="1:11" x14ac:dyDescent="0.2">
      <c r="A134" s="232"/>
      <c r="B134" s="1070" t="s">
        <v>1482</v>
      </c>
      <c r="C134" s="1071"/>
      <c r="D134" s="1072"/>
      <c r="E134" s="1070" t="s">
        <v>315</v>
      </c>
      <c r="F134" s="1072"/>
      <c r="G134" s="568" t="s">
        <v>16</v>
      </c>
      <c r="H134" s="568" t="s">
        <v>17</v>
      </c>
      <c r="I134" s="568" t="s">
        <v>18</v>
      </c>
      <c r="J134" s="568" t="s">
        <v>316</v>
      </c>
    </row>
    <row r="135" spans="1:11" x14ac:dyDescent="0.2">
      <c r="A135" s="232"/>
      <c r="B135" s="1079">
        <v>1</v>
      </c>
      <c r="C135" s="1080"/>
      <c r="D135" s="1081"/>
      <c r="E135" s="1079">
        <v>2</v>
      </c>
      <c r="F135" s="1081"/>
      <c r="G135" s="610">
        <v>5</v>
      </c>
      <c r="H135" s="610">
        <v>3</v>
      </c>
      <c r="I135" s="610">
        <v>4</v>
      </c>
      <c r="J135" s="610">
        <v>6</v>
      </c>
    </row>
    <row r="136" spans="1:11" x14ac:dyDescent="0.2">
      <c r="A136" s="571" t="s">
        <v>1386</v>
      </c>
      <c r="B136" s="1073" t="s">
        <v>1492</v>
      </c>
      <c r="C136" s="1074"/>
      <c r="D136" s="1075"/>
      <c r="E136" s="1061"/>
      <c r="F136" s="1062"/>
      <c r="G136" s="574"/>
      <c r="H136" s="574"/>
      <c r="I136" s="574"/>
      <c r="J136" s="574"/>
    </row>
    <row r="137" spans="1:11" x14ac:dyDescent="0.2">
      <c r="A137" s="571" t="s">
        <v>1388</v>
      </c>
      <c r="B137" s="1073" t="s">
        <v>1493</v>
      </c>
      <c r="C137" s="1074"/>
      <c r="D137" s="1075"/>
      <c r="E137" s="1061"/>
      <c r="F137" s="1062"/>
      <c r="G137" s="572"/>
      <c r="H137" s="572"/>
      <c r="I137" s="572"/>
      <c r="J137" s="572"/>
    </row>
    <row r="138" spans="1:11" ht="15" customHeight="1" x14ac:dyDescent="0.2">
      <c r="A138" s="571" t="s">
        <v>1390</v>
      </c>
      <c r="B138" s="1076" t="s">
        <v>1494</v>
      </c>
      <c r="C138" s="1077"/>
      <c r="D138" s="1078"/>
      <c r="E138" s="1061"/>
      <c r="F138" s="1062"/>
      <c r="G138" s="572"/>
      <c r="H138" s="572"/>
      <c r="I138" s="572"/>
      <c r="J138" s="572"/>
    </row>
    <row r="139" spans="1:11" ht="15" customHeight="1" x14ac:dyDescent="0.2">
      <c r="A139" s="605">
        <v>17</v>
      </c>
      <c r="B139" s="1066" t="s">
        <v>1495</v>
      </c>
      <c r="C139" s="1067"/>
      <c r="D139" s="1067"/>
      <c r="E139" s="1067"/>
      <c r="F139" s="1067"/>
      <c r="G139" s="1067"/>
      <c r="H139" s="1067"/>
      <c r="I139" s="1067"/>
      <c r="J139" s="1068"/>
    </row>
    <row r="140" spans="1:11" x14ac:dyDescent="0.2">
      <c r="A140" s="610" t="s">
        <v>1496</v>
      </c>
      <c r="B140" s="568" t="s">
        <v>1497</v>
      </c>
      <c r="C140" s="568" t="s">
        <v>1498</v>
      </c>
      <c r="D140" s="568" t="s">
        <v>315</v>
      </c>
      <c r="E140" s="1070" t="s">
        <v>1499</v>
      </c>
      <c r="F140" s="1072"/>
      <c r="G140" s="568" t="s">
        <v>16</v>
      </c>
      <c r="H140" s="568" t="s">
        <v>17</v>
      </c>
      <c r="I140" s="568" t="s">
        <v>18</v>
      </c>
      <c r="J140" s="568" t="s">
        <v>316</v>
      </c>
    </row>
    <row r="141" spans="1:11" x14ac:dyDescent="0.2">
      <c r="A141" s="568">
        <v>1</v>
      </c>
      <c r="B141" s="568">
        <v>2</v>
      </c>
      <c r="C141" s="568">
        <v>3</v>
      </c>
      <c r="D141" s="568">
        <v>4</v>
      </c>
      <c r="E141" s="1070">
        <v>5</v>
      </c>
      <c r="F141" s="1072"/>
      <c r="G141" s="568">
        <v>8</v>
      </c>
      <c r="H141" s="568">
        <v>6</v>
      </c>
      <c r="I141" s="568">
        <v>7</v>
      </c>
      <c r="J141" s="568">
        <v>9</v>
      </c>
    </row>
    <row r="142" spans="1:11" x14ac:dyDescent="0.2">
      <c r="A142" s="611"/>
      <c r="B142" s="568"/>
      <c r="C142" s="612"/>
      <c r="D142" s="572"/>
      <c r="E142" s="1061"/>
      <c r="F142" s="1062"/>
      <c r="G142" s="572"/>
      <c r="H142" s="572"/>
      <c r="I142" s="572"/>
      <c r="J142" s="572"/>
    </row>
    <row r="143" spans="1:11" ht="15" customHeight="1" x14ac:dyDescent="0.2">
      <c r="A143" s="605">
        <v>18</v>
      </c>
      <c r="B143" s="1066" t="s">
        <v>1500</v>
      </c>
      <c r="C143" s="1067"/>
      <c r="D143" s="1067"/>
      <c r="E143" s="1067"/>
      <c r="F143" s="1067"/>
      <c r="G143" s="1067"/>
      <c r="H143" s="1067"/>
      <c r="I143" s="1067"/>
      <c r="J143" s="1068"/>
    </row>
    <row r="144" spans="1:11" x14ac:dyDescent="0.2">
      <c r="A144" s="610" t="s">
        <v>1496</v>
      </c>
      <c r="B144" s="568" t="s">
        <v>1497</v>
      </c>
      <c r="C144" s="568" t="s">
        <v>1498</v>
      </c>
      <c r="D144" s="568" t="s">
        <v>315</v>
      </c>
      <c r="E144" s="1070" t="s">
        <v>1499</v>
      </c>
      <c r="F144" s="1072"/>
      <c r="G144" s="568" t="s">
        <v>16</v>
      </c>
      <c r="H144" s="568" t="s">
        <v>17</v>
      </c>
      <c r="I144" s="568" t="s">
        <v>18</v>
      </c>
      <c r="J144" s="568" t="s">
        <v>316</v>
      </c>
    </row>
    <row r="145" spans="1:10" x14ac:dyDescent="0.2">
      <c r="A145" s="568">
        <v>1</v>
      </c>
      <c r="B145" s="568">
        <v>2</v>
      </c>
      <c r="C145" s="568">
        <v>3</v>
      </c>
      <c r="D145" s="568">
        <v>4</v>
      </c>
      <c r="E145" s="1070">
        <v>5</v>
      </c>
      <c r="F145" s="1072"/>
      <c r="G145" s="568">
        <v>8</v>
      </c>
      <c r="H145" s="568">
        <v>6</v>
      </c>
      <c r="I145" s="568">
        <v>7</v>
      </c>
      <c r="J145" s="568">
        <v>9</v>
      </c>
    </row>
    <row r="146" spans="1:10" x14ac:dyDescent="0.2">
      <c r="A146" s="611"/>
      <c r="B146" s="612"/>
      <c r="C146" s="612"/>
      <c r="D146" s="572"/>
      <c r="E146" s="1061"/>
      <c r="F146" s="1062"/>
      <c r="G146" s="572"/>
      <c r="H146" s="572"/>
      <c r="I146" s="572"/>
      <c r="J146" s="572"/>
    </row>
    <row r="147" spans="1:10" ht="15" customHeight="1" x14ac:dyDescent="0.2">
      <c r="A147" s="605">
        <v>19</v>
      </c>
      <c r="B147" s="1066" t="s">
        <v>1501</v>
      </c>
      <c r="C147" s="1067"/>
      <c r="D147" s="1067"/>
      <c r="E147" s="1067"/>
      <c r="F147" s="1067"/>
      <c r="G147" s="1067"/>
      <c r="H147" s="1067"/>
      <c r="I147" s="1067"/>
      <c r="J147" s="1068"/>
    </row>
    <row r="148" spans="1:10" x14ac:dyDescent="0.2">
      <c r="A148" s="1069"/>
      <c r="B148" s="1070" t="s">
        <v>314</v>
      </c>
      <c r="C148" s="1071"/>
      <c r="D148" s="1071"/>
      <c r="E148" s="1071"/>
      <c r="F148" s="1072"/>
      <c r="G148" s="1070" t="s">
        <v>1476</v>
      </c>
      <c r="H148" s="1072"/>
      <c r="I148" s="1070" t="s">
        <v>1477</v>
      </c>
      <c r="J148" s="1072"/>
    </row>
    <row r="149" spans="1:10" x14ac:dyDescent="0.2">
      <c r="A149" s="1069"/>
      <c r="B149" s="1070">
        <v>1</v>
      </c>
      <c r="C149" s="1071"/>
      <c r="D149" s="1071"/>
      <c r="E149" s="1071"/>
      <c r="F149" s="1072"/>
      <c r="G149" s="1070">
        <v>2</v>
      </c>
      <c r="H149" s="1072"/>
      <c r="I149" s="1070">
        <v>3</v>
      </c>
      <c r="J149" s="1072"/>
    </row>
    <row r="150" spans="1:10" x14ac:dyDescent="0.2">
      <c r="A150" s="609" t="s">
        <v>1386</v>
      </c>
      <c r="B150" s="1058" t="s">
        <v>1478</v>
      </c>
      <c r="C150" s="1059"/>
      <c r="D150" s="1059"/>
      <c r="E150" s="1059"/>
      <c r="F150" s="1060"/>
      <c r="G150" s="1061"/>
      <c r="H150" s="1062"/>
      <c r="I150" s="1061"/>
      <c r="J150" s="1062"/>
    </row>
    <row r="151" spans="1:10" x14ac:dyDescent="0.2">
      <c r="A151" s="613" t="s">
        <v>1388</v>
      </c>
      <c r="B151" s="1063" t="s">
        <v>1502</v>
      </c>
      <c r="C151" s="1064"/>
      <c r="D151" s="1064"/>
      <c r="E151" s="1064"/>
      <c r="F151" s="1064"/>
      <c r="G151" s="1065"/>
      <c r="H151" s="1065"/>
      <c r="I151" s="1065"/>
      <c r="J151" s="1065"/>
    </row>
  </sheetData>
  <mergeCells count="235">
    <mergeCell ref="A8:A10"/>
    <mergeCell ref="B8:F8"/>
    <mergeCell ref="G8:J8"/>
    <mergeCell ref="B9:D9"/>
    <mergeCell ref="E9:F9"/>
    <mergeCell ref="A1:J1"/>
    <mergeCell ref="B2:J2"/>
    <mergeCell ref="B3:C3"/>
    <mergeCell ref="D3:J3"/>
    <mergeCell ref="B4:C4"/>
    <mergeCell ref="D4:J4"/>
    <mergeCell ref="B10:D10"/>
    <mergeCell ref="E10:F10"/>
    <mergeCell ref="B11:J11"/>
    <mergeCell ref="B12:D12"/>
    <mergeCell ref="E12:F12"/>
    <mergeCell ref="B13:D13"/>
    <mergeCell ref="E13:F13"/>
    <mergeCell ref="B5:C5"/>
    <mergeCell ref="D5:J5"/>
    <mergeCell ref="B6:C6"/>
    <mergeCell ref="D6:J6"/>
    <mergeCell ref="B7:J7"/>
    <mergeCell ref="B17:D17"/>
    <mergeCell ref="E17:F17"/>
    <mergeCell ref="B18:D18"/>
    <mergeCell ref="E18:F18"/>
    <mergeCell ref="B19:D19"/>
    <mergeCell ref="E19:F19"/>
    <mergeCell ref="B14:D14"/>
    <mergeCell ref="E14:F14"/>
    <mergeCell ref="B15:D15"/>
    <mergeCell ref="E15:F15"/>
    <mergeCell ref="B16:D16"/>
    <mergeCell ref="E16:F16"/>
    <mergeCell ref="B23:D23"/>
    <mergeCell ref="E23:F23"/>
    <mergeCell ref="B24:D24"/>
    <mergeCell ref="E24:F24"/>
    <mergeCell ref="B25:D25"/>
    <mergeCell ref="E25:F25"/>
    <mergeCell ref="B20:D20"/>
    <mergeCell ref="E20:F20"/>
    <mergeCell ref="B21:D21"/>
    <mergeCell ref="E21:F21"/>
    <mergeCell ref="B22:D22"/>
    <mergeCell ref="E22:F22"/>
    <mergeCell ref="B30:D30"/>
    <mergeCell ref="E30:F30"/>
    <mergeCell ref="B31:D31"/>
    <mergeCell ref="E31:F31"/>
    <mergeCell ref="B32:D32"/>
    <mergeCell ref="E32:F32"/>
    <mergeCell ref="B26:J26"/>
    <mergeCell ref="B27:D27"/>
    <mergeCell ref="E27:F27"/>
    <mergeCell ref="B28:D28"/>
    <mergeCell ref="E28:F28"/>
    <mergeCell ref="B29:D29"/>
    <mergeCell ref="E29:F29"/>
    <mergeCell ref="B36:D36"/>
    <mergeCell ref="E36:F36"/>
    <mergeCell ref="B37:D37"/>
    <mergeCell ref="E37:F37"/>
    <mergeCell ref="B38:D38"/>
    <mergeCell ref="E38:F38"/>
    <mergeCell ref="B33:D33"/>
    <mergeCell ref="E33:F33"/>
    <mergeCell ref="B34:D34"/>
    <mergeCell ref="E34:F34"/>
    <mergeCell ref="B35:D35"/>
    <mergeCell ref="E35:F35"/>
    <mergeCell ref="B44:J44"/>
    <mergeCell ref="B45:F45"/>
    <mergeCell ref="A46:A49"/>
    <mergeCell ref="B46:D49"/>
    <mergeCell ref="E46:F46"/>
    <mergeCell ref="E47:F47"/>
    <mergeCell ref="E48:F48"/>
    <mergeCell ref="E49:F49"/>
    <mergeCell ref="B39:D39"/>
    <mergeCell ref="E39:F39"/>
    <mergeCell ref="B40:D40"/>
    <mergeCell ref="E40:F40"/>
    <mergeCell ref="B41:J41"/>
    <mergeCell ref="A42:A43"/>
    <mergeCell ref="B42:D42"/>
    <mergeCell ref="E42:F42"/>
    <mergeCell ref="B43:D43"/>
    <mergeCell ref="E43:F43"/>
    <mergeCell ref="A55:A58"/>
    <mergeCell ref="B55:D58"/>
    <mergeCell ref="E55:F55"/>
    <mergeCell ref="E56:F56"/>
    <mergeCell ref="E57:F57"/>
    <mergeCell ref="E58:F58"/>
    <mergeCell ref="B50:D50"/>
    <mergeCell ref="E50:F50"/>
    <mergeCell ref="A51:A54"/>
    <mergeCell ref="B51:D54"/>
    <mergeCell ref="E51:F51"/>
    <mergeCell ref="E52:F52"/>
    <mergeCell ref="E53:F53"/>
    <mergeCell ref="E54:F54"/>
    <mergeCell ref="B63:F63"/>
    <mergeCell ref="B64:F64"/>
    <mergeCell ref="B65:F65"/>
    <mergeCell ref="B66:F66"/>
    <mergeCell ref="B67:F67"/>
    <mergeCell ref="B68:F68"/>
    <mergeCell ref="A59:A61"/>
    <mergeCell ref="B59:D61"/>
    <mergeCell ref="E59:F59"/>
    <mergeCell ref="E60:F60"/>
    <mergeCell ref="E61:F61"/>
    <mergeCell ref="B62:F62"/>
    <mergeCell ref="B69:F69"/>
    <mergeCell ref="B70:F70"/>
    <mergeCell ref="B71:F71"/>
    <mergeCell ref="B72:J72"/>
    <mergeCell ref="B89:F89"/>
    <mergeCell ref="B90:F90"/>
    <mergeCell ref="B91:F91"/>
    <mergeCell ref="B82:F82"/>
    <mergeCell ref="B83:J83"/>
    <mergeCell ref="B84:F84"/>
    <mergeCell ref="B85:F85"/>
    <mergeCell ref="B86:F86"/>
    <mergeCell ref="B95:J95"/>
    <mergeCell ref="A96:A98"/>
    <mergeCell ref="B96:C97"/>
    <mergeCell ref="D96:D97"/>
    <mergeCell ref="E96:F97"/>
    <mergeCell ref="G96:J96"/>
    <mergeCell ref="B98:C98"/>
    <mergeCell ref="E98:F98"/>
    <mergeCell ref="E103:F103"/>
    <mergeCell ref="B104:C104"/>
    <mergeCell ref="E104:F104"/>
    <mergeCell ref="B105:C105"/>
    <mergeCell ref="E105:F105"/>
    <mergeCell ref="B106:C106"/>
    <mergeCell ref="E106:F106"/>
    <mergeCell ref="A99:A106"/>
    <mergeCell ref="B99:C99"/>
    <mergeCell ref="E99:F99"/>
    <mergeCell ref="B100:C100"/>
    <mergeCell ref="E100:F100"/>
    <mergeCell ref="B101:C101"/>
    <mergeCell ref="E101:F101"/>
    <mergeCell ref="B102:C102"/>
    <mergeCell ref="E102:F102"/>
    <mergeCell ref="B103:C103"/>
    <mergeCell ref="B110:D110"/>
    <mergeCell ref="E110:F110"/>
    <mergeCell ref="B111:D111"/>
    <mergeCell ref="E111:F111"/>
    <mergeCell ref="B112:D112"/>
    <mergeCell ref="E112:F112"/>
    <mergeCell ref="B107:J107"/>
    <mergeCell ref="A108:A109"/>
    <mergeCell ref="B108:D108"/>
    <mergeCell ref="E108:F108"/>
    <mergeCell ref="B109:D109"/>
    <mergeCell ref="E109:F109"/>
    <mergeCell ref="B113:D113"/>
    <mergeCell ref="E113:F113"/>
    <mergeCell ref="B114:J114"/>
    <mergeCell ref="A115:A116"/>
    <mergeCell ref="B115:F115"/>
    <mergeCell ref="G115:H115"/>
    <mergeCell ref="I115:J115"/>
    <mergeCell ref="B116:F116"/>
    <mergeCell ref="G116:H116"/>
    <mergeCell ref="I116:J116"/>
    <mergeCell ref="A117:A121"/>
    <mergeCell ref="B117:F117"/>
    <mergeCell ref="G117:H117"/>
    <mergeCell ref="I117:J117"/>
    <mergeCell ref="B118:F118"/>
    <mergeCell ref="G118:H118"/>
    <mergeCell ref="I118:J118"/>
    <mergeCell ref="B119:F119"/>
    <mergeCell ref="G119:H119"/>
    <mergeCell ref="I119:J119"/>
    <mergeCell ref="B122:J122"/>
    <mergeCell ref="B123:J123"/>
    <mergeCell ref="B124:C124"/>
    <mergeCell ref="B125:C125"/>
    <mergeCell ref="B126:C126"/>
    <mergeCell ref="B127:C127"/>
    <mergeCell ref="B120:F120"/>
    <mergeCell ref="G120:H120"/>
    <mergeCell ref="I120:J120"/>
    <mergeCell ref="B121:F121"/>
    <mergeCell ref="G121:H121"/>
    <mergeCell ref="I121:J121"/>
    <mergeCell ref="B134:D134"/>
    <mergeCell ref="E134:F134"/>
    <mergeCell ref="B135:D135"/>
    <mergeCell ref="E135:F135"/>
    <mergeCell ref="B136:D136"/>
    <mergeCell ref="E136:F136"/>
    <mergeCell ref="B128:C128"/>
    <mergeCell ref="B129:C129"/>
    <mergeCell ref="B130:C130"/>
    <mergeCell ref="B131:C131"/>
    <mergeCell ref="B132:C132"/>
    <mergeCell ref="B133:J133"/>
    <mergeCell ref="E141:F141"/>
    <mergeCell ref="E142:F142"/>
    <mergeCell ref="B143:J143"/>
    <mergeCell ref="E144:F144"/>
    <mergeCell ref="E145:F145"/>
    <mergeCell ref="E146:F146"/>
    <mergeCell ref="B137:D137"/>
    <mergeCell ref="E137:F137"/>
    <mergeCell ref="B138:D138"/>
    <mergeCell ref="E138:F138"/>
    <mergeCell ref="B139:J139"/>
    <mergeCell ref="E140:F140"/>
    <mergeCell ref="B150:F150"/>
    <mergeCell ref="G150:H150"/>
    <mergeCell ref="I150:J150"/>
    <mergeCell ref="B151:F151"/>
    <mergeCell ref="G151:H151"/>
    <mergeCell ref="I151:J151"/>
    <mergeCell ref="B147:J147"/>
    <mergeCell ref="A148:A149"/>
    <mergeCell ref="B148:F148"/>
    <mergeCell ref="G148:H148"/>
    <mergeCell ref="I148:J148"/>
    <mergeCell ref="B149:F149"/>
    <mergeCell ref="G149:H149"/>
    <mergeCell ref="I149:J149"/>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7"/>
  <sheetViews>
    <sheetView workbookViewId="0"/>
  </sheetViews>
  <sheetFormatPr defaultColWidth="9.109375" defaultRowHeight="10.199999999999999" x14ac:dyDescent="0.2"/>
  <cols>
    <col min="1" max="1" width="3.5546875" style="11" customWidth="1"/>
    <col min="2" max="2" width="27" style="11" customWidth="1"/>
    <col min="3" max="3" width="17.6640625" style="11" bestFit="1" customWidth="1"/>
    <col min="4" max="5" width="13.88671875" style="11" bestFit="1" customWidth="1"/>
    <col min="6" max="6" width="11" style="11" bestFit="1" customWidth="1"/>
    <col min="7" max="8" width="12.6640625" style="11" bestFit="1" customWidth="1"/>
    <col min="9" max="10" width="13.88671875" style="11" bestFit="1" customWidth="1"/>
    <col min="11" max="11" width="11" style="11" bestFit="1" customWidth="1"/>
    <col min="12" max="13" width="12.6640625" style="11" bestFit="1" customWidth="1"/>
    <col min="14" max="14" width="13.88671875" style="11" bestFit="1" customWidth="1"/>
    <col min="15" max="15" width="13.109375" style="11" bestFit="1" customWidth="1"/>
    <col min="16" max="18" width="12.6640625" style="11" bestFit="1" customWidth="1"/>
    <col min="19" max="19" width="13.88671875" style="11" bestFit="1" customWidth="1"/>
    <col min="20" max="20" width="13.109375" style="11" bestFit="1" customWidth="1"/>
    <col min="21" max="23" width="12.6640625" style="11" bestFit="1" customWidth="1"/>
    <col min="24" max="25" width="13.88671875" style="11" bestFit="1" customWidth="1"/>
    <col min="26" max="26" width="11" style="11" bestFit="1" customWidth="1"/>
    <col min="27" max="28" width="12.6640625" style="11" bestFit="1" customWidth="1"/>
    <col min="29" max="30" width="13.88671875" style="11" bestFit="1" customWidth="1"/>
    <col min="31" max="31" width="11" style="11" bestFit="1" customWidth="1"/>
    <col min="32" max="33" width="12.6640625" style="11" bestFit="1" customWidth="1"/>
    <col min="34" max="34" width="13.88671875" style="11" bestFit="1" customWidth="1"/>
    <col min="35" max="35" width="14.44140625" style="11" bestFit="1" customWidth="1"/>
    <col min="36" max="38" width="11" style="11" bestFit="1" customWidth="1"/>
    <col min="39" max="63" width="9.33203125" style="11" bestFit="1" customWidth="1"/>
    <col min="64" max="65" width="14.44140625" style="11" bestFit="1" customWidth="1"/>
    <col min="66" max="66" width="12.6640625" style="11" bestFit="1" customWidth="1"/>
    <col min="67" max="68" width="13.109375" style="11" bestFit="1" customWidth="1"/>
    <col min="69" max="16384" width="9.109375" style="11"/>
  </cols>
  <sheetData>
    <row r="1" spans="1:68" ht="10.8" thickBot="1" x14ac:dyDescent="0.25"/>
    <row r="2" spans="1:68" ht="11.4" thickTop="1" thickBot="1" x14ac:dyDescent="0.25">
      <c r="A2" s="66"/>
      <c r="B2" s="66"/>
      <c r="C2" s="498" t="s">
        <v>347</v>
      </c>
      <c r="D2" s="463">
        <f>SUM(D5:D9999)</f>
        <v>4218128.9146000007</v>
      </c>
      <c r="E2" s="463">
        <f t="shared" ref="E2:AL2" si="0">SUM(E5:E9999)</f>
        <v>3348680.77</v>
      </c>
      <c r="F2" s="463">
        <f t="shared" si="0"/>
        <v>34940.68759999999</v>
      </c>
      <c r="G2" s="463">
        <f t="shared" si="0"/>
        <v>417253.72850000008</v>
      </c>
      <c r="H2" s="463">
        <f t="shared" si="0"/>
        <v>417253.72850000008</v>
      </c>
      <c r="I2" s="463">
        <f>SUM(I5:I9999)</f>
        <v>5037615.2319999998</v>
      </c>
      <c r="J2" s="463">
        <f t="shared" si="0"/>
        <v>4057558.7000000007</v>
      </c>
      <c r="K2" s="463">
        <f t="shared" si="0"/>
        <v>55549.74040000001</v>
      </c>
      <c r="L2" s="463">
        <f t="shared" si="0"/>
        <v>462253.3958</v>
      </c>
      <c r="M2" s="463">
        <f t="shared" si="0"/>
        <v>462253.3958</v>
      </c>
      <c r="N2" s="463">
        <f>SUM(N5:N9999)</f>
        <v>7150535.2697200002</v>
      </c>
      <c r="O2" s="463">
        <f t="shared" si="0"/>
        <v>5748383.1739999996</v>
      </c>
      <c r="P2" s="463">
        <f t="shared" si="0"/>
        <v>141109.85840000003</v>
      </c>
      <c r="Q2" s="463">
        <f t="shared" si="0"/>
        <v>630521.11866000004</v>
      </c>
      <c r="R2" s="463">
        <f t="shared" si="0"/>
        <v>630521.11866000004</v>
      </c>
      <c r="S2" s="463">
        <f>SUM(S5:S9999)</f>
        <v>7150535.2697200002</v>
      </c>
      <c r="T2" s="463">
        <f t="shared" si="0"/>
        <v>5748383.1739999996</v>
      </c>
      <c r="U2" s="463">
        <f t="shared" si="0"/>
        <v>141109.85840000003</v>
      </c>
      <c r="V2" s="463">
        <f t="shared" si="0"/>
        <v>630521.11866000004</v>
      </c>
      <c r="W2" s="463">
        <f t="shared" si="0"/>
        <v>630521.11866000004</v>
      </c>
      <c r="X2" s="463">
        <f>SUM(X5:X9999)</f>
        <v>6588737.6376</v>
      </c>
      <c r="Y2" s="463">
        <f t="shared" si="0"/>
        <v>5362317.62</v>
      </c>
      <c r="Z2" s="463">
        <f t="shared" si="0"/>
        <v>30473.368799999997</v>
      </c>
      <c r="AA2" s="463">
        <f t="shared" si="0"/>
        <v>597973.32440000004</v>
      </c>
      <c r="AB2" s="463">
        <f t="shared" si="0"/>
        <v>597973.32440000004</v>
      </c>
      <c r="AC2" s="463">
        <f>SUM(AC5:AC9999)</f>
        <v>5853050.2851999998</v>
      </c>
      <c r="AD2" s="463">
        <f t="shared" si="0"/>
        <v>4785767.8899999997</v>
      </c>
      <c r="AE2" s="463">
        <f t="shared" si="0"/>
        <v>75713.330000000016</v>
      </c>
      <c r="AF2" s="463">
        <f t="shared" si="0"/>
        <v>495784.53260000004</v>
      </c>
      <c r="AG2" s="463">
        <f t="shared" si="0"/>
        <v>495784.53260000004</v>
      </c>
      <c r="AH2" s="463">
        <f>SUM(AH5:AH9999)</f>
        <v>5195214.9595999988</v>
      </c>
      <c r="AI2" s="463">
        <f t="shared" si="0"/>
        <v>4303915.0199999996</v>
      </c>
      <c r="AJ2" s="463">
        <f t="shared" si="0"/>
        <v>51945.630799999992</v>
      </c>
      <c r="AK2" s="463">
        <f t="shared" si="0"/>
        <v>419677.15439999994</v>
      </c>
      <c r="AL2" s="463">
        <f t="shared" si="0"/>
        <v>419677.15439999994</v>
      </c>
      <c r="AM2" s="463">
        <f t="shared" ref="AM2:BK2" si="1">SUM(AM5:AM9999)</f>
        <v>1595009.1964</v>
      </c>
      <c r="AN2" s="463">
        <f t="shared" si="1"/>
        <v>1294595.7399999998</v>
      </c>
      <c r="AO2" s="463">
        <f t="shared" si="1"/>
        <v>36691.986799999999</v>
      </c>
      <c r="AP2" s="463">
        <f t="shared" si="1"/>
        <v>131860.73480000001</v>
      </c>
      <c r="AQ2" s="463">
        <f t="shared" si="1"/>
        <v>131860.73480000001</v>
      </c>
      <c r="AR2" s="463">
        <f t="shared" si="1"/>
        <v>0</v>
      </c>
      <c r="AS2" s="463">
        <f t="shared" si="1"/>
        <v>0</v>
      </c>
      <c r="AT2" s="463">
        <f t="shared" si="1"/>
        <v>0</v>
      </c>
      <c r="AU2" s="463">
        <f t="shared" si="1"/>
        <v>0</v>
      </c>
      <c r="AV2" s="463">
        <f t="shared" si="1"/>
        <v>0</v>
      </c>
      <c r="AW2" s="463">
        <f t="shared" si="1"/>
        <v>0</v>
      </c>
      <c r="AX2" s="463">
        <f t="shared" si="1"/>
        <v>0</v>
      </c>
      <c r="AY2" s="463">
        <f t="shared" si="1"/>
        <v>0</v>
      </c>
      <c r="AZ2" s="463">
        <f t="shared" si="1"/>
        <v>0</v>
      </c>
      <c r="BA2" s="463">
        <f t="shared" si="1"/>
        <v>0</v>
      </c>
      <c r="BB2" s="463">
        <f t="shared" si="1"/>
        <v>0</v>
      </c>
      <c r="BC2" s="463">
        <f t="shared" si="1"/>
        <v>0</v>
      </c>
      <c r="BD2" s="463">
        <f t="shared" si="1"/>
        <v>0</v>
      </c>
      <c r="BE2" s="463">
        <f t="shared" si="1"/>
        <v>0</v>
      </c>
      <c r="BF2" s="463">
        <f t="shared" si="1"/>
        <v>0</v>
      </c>
      <c r="BG2" s="463">
        <f t="shared" si="1"/>
        <v>0</v>
      </c>
      <c r="BH2" s="463">
        <f t="shared" si="1"/>
        <v>0</v>
      </c>
      <c r="BI2" s="463">
        <f t="shared" si="1"/>
        <v>0</v>
      </c>
      <c r="BJ2" s="463">
        <f t="shared" si="1"/>
        <v>0</v>
      </c>
      <c r="BK2" s="463">
        <f t="shared" si="1"/>
        <v>0</v>
      </c>
      <c r="BL2" s="463">
        <f>SUM(BL5:BL9995)</f>
        <v>42788826.764840007</v>
      </c>
      <c r="BM2" s="463">
        <f>SUM(BM5:BM9995)</f>
        <v>34649602.087999992</v>
      </c>
      <c r="BN2" s="463">
        <f>SUM(BN5:BN9995)</f>
        <v>567534.46120000002</v>
      </c>
      <c r="BO2" s="463">
        <f>SUM(BO5:BO9995)</f>
        <v>3785845.1078200005</v>
      </c>
      <c r="BP2" s="463">
        <f>SUM(BP5:BP9995)</f>
        <v>3785845.1078200005</v>
      </c>
    </row>
    <row r="3" spans="1:68" ht="11.4" thickTop="1" thickBot="1" x14ac:dyDescent="0.25">
      <c r="A3" s="464" t="s">
        <v>1503</v>
      </c>
      <c r="B3" s="464" t="s">
        <v>1504</v>
      </c>
      <c r="C3" s="464" t="s">
        <v>1505</v>
      </c>
      <c r="D3" s="1458">
        <v>43556</v>
      </c>
      <c r="E3" s="1458"/>
      <c r="F3" s="1458"/>
      <c r="G3" s="1458"/>
      <c r="H3" s="1459"/>
      <c r="I3" s="1460">
        <v>43586</v>
      </c>
      <c r="J3" s="1461"/>
      <c r="K3" s="1461"/>
      <c r="L3" s="1461"/>
      <c r="M3" s="1462"/>
      <c r="N3" s="1463">
        <v>43617</v>
      </c>
      <c r="O3" s="1464"/>
      <c r="P3" s="1464"/>
      <c r="Q3" s="1464"/>
      <c r="R3" s="1465"/>
      <c r="S3" s="1459">
        <v>43647</v>
      </c>
      <c r="T3" s="1466"/>
      <c r="U3" s="1466"/>
      <c r="V3" s="1466"/>
      <c r="W3" s="1467"/>
      <c r="X3" s="1468">
        <v>43678</v>
      </c>
      <c r="Y3" s="1469"/>
      <c r="Z3" s="1469"/>
      <c r="AA3" s="1469"/>
      <c r="AB3" s="1470"/>
      <c r="AC3" s="1187">
        <v>43709</v>
      </c>
      <c r="AD3" s="1188"/>
      <c r="AE3" s="1188"/>
      <c r="AF3" s="1188"/>
      <c r="AG3" s="1189"/>
      <c r="AH3" s="1455">
        <v>43739</v>
      </c>
      <c r="AI3" s="1456"/>
      <c r="AJ3" s="1456"/>
      <c r="AK3" s="1456"/>
      <c r="AL3" s="1457"/>
      <c r="AM3" s="1455">
        <v>43770</v>
      </c>
      <c r="AN3" s="1456"/>
      <c r="AO3" s="1456"/>
      <c r="AP3" s="1456"/>
      <c r="AQ3" s="1457"/>
      <c r="AR3" s="1455">
        <v>43800</v>
      </c>
      <c r="AS3" s="1456"/>
      <c r="AT3" s="1456"/>
      <c r="AU3" s="1456"/>
      <c r="AV3" s="1457"/>
      <c r="AW3" s="1455">
        <v>43831</v>
      </c>
      <c r="AX3" s="1456"/>
      <c r="AY3" s="1456"/>
      <c r="AZ3" s="1456"/>
      <c r="BA3" s="1457"/>
      <c r="BB3" s="1455">
        <v>43862</v>
      </c>
      <c r="BC3" s="1456"/>
      <c r="BD3" s="1456"/>
      <c r="BE3" s="1456"/>
      <c r="BF3" s="1457"/>
      <c r="BG3" s="1455">
        <v>43891</v>
      </c>
      <c r="BH3" s="1456"/>
      <c r="BI3" s="1456"/>
      <c r="BJ3" s="1456"/>
      <c r="BK3" s="1457"/>
      <c r="BL3" s="1187" t="s">
        <v>347</v>
      </c>
      <c r="BM3" s="1188"/>
      <c r="BN3" s="1188"/>
      <c r="BO3" s="1188"/>
      <c r="BP3" s="1189"/>
    </row>
    <row r="4" spans="1:68" ht="11.4" thickTop="1" thickBot="1" x14ac:dyDescent="0.25">
      <c r="A4" s="465" t="s">
        <v>1506</v>
      </c>
      <c r="B4" s="465" t="s">
        <v>274</v>
      </c>
      <c r="C4" s="465" t="s">
        <v>1506</v>
      </c>
      <c r="D4" s="466" t="s">
        <v>347</v>
      </c>
      <c r="E4" s="466" t="s">
        <v>369</v>
      </c>
      <c r="F4" s="466" t="s">
        <v>16</v>
      </c>
      <c r="G4" s="466" t="s">
        <v>17</v>
      </c>
      <c r="H4" s="466" t="s">
        <v>18</v>
      </c>
      <c r="I4" s="466" t="s">
        <v>347</v>
      </c>
      <c r="J4" s="466" t="s">
        <v>367</v>
      </c>
      <c r="K4" s="466" t="s">
        <v>16</v>
      </c>
      <c r="L4" s="466" t="s">
        <v>17</v>
      </c>
      <c r="M4" s="466" t="s">
        <v>18</v>
      </c>
      <c r="N4" s="466" t="s">
        <v>347</v>
      </c>
      <c r="O4" s="466" t="s">
        <v>367</v>
      </c>
      <c r="P4" s="466" t="s">
        <v>16</v>
      </c>
      <c r="Q4" s="466" t="s">
        <v>17</v>
      </c>
      <c r="R4" s="466" t="s">
        <v>18</v>
      </c>
      <c r="S4" s="466" t="s">
        <v>347</v>
      </c>
      <c r="T4" s="466" t="s">
        <v>367</v>
      </c>
      <c r="U4" s="466" t="s">
        <v>16</v>
      </c>
      <c r="V4" s="466" t="s">
        <v>17</v>
      </c>
      <c r="W4" s="466" t="s">
        <v>18</v>
      </c>
      <c r="X4" s="466" t="s">
        <v>347</v>
      </c>
      <c r="Y4" s="466" t="s">
        <v>367</v>
      </c>
      <c r="Z4" s="466" t="s">
        <v>16</v>
      </c>
      <c r="AA4" s="466" t="s">
        <v>17</v>
      </c>
      <c r="AB4" s="466" t="s">
        <v>18</v>
      </c>
      <c r="AC4" s="466" t="s">
        <v>347</v>
      </c>
      <c r="AD4" s="466" t="s">
        <v>367</v>
      </c>
      <c r="AE4" s="466" t="s">
        <v>16</v>
      </c>
      <c r="AF4" s="466" t="s">
        <v>17</v>
      </c>
      <c r="AG4" s="466" t="s">
        <v>18</v>
      </c>
      <c r="AH4" s="466" t="s">
        <v>347</v>
      </c>
      <c r="AI4" s="466" t="s">
        <v>367</v>
      </c>
      <c r="AJ4" s="466" t="s">
        <v>16</v>
      </c>
      <c r="AK4" s="466" t="s">
        <v>17</v>
      </c>
      <c r="AL4" s="466" t="s">
        <v>18</v>
      </c>
      <c r="AM4" s="466" t="s">
        <v>347</v>
      </c>
      <c r="AN4" s="466" t="s">
        <v>367</v>
      </c>
      <c r="AO4" s="466" t="s">
        <v>16</v>
      </c>
      <c r="AP4" s="466" t="s">
        <v>17</v>
      </c>
      <c r="AQ4" s="466" t="s">
        <v>18</v>
      </c>
      <c r="AR4" s="466" t="s">
        <v>347</v>
      </c>
      <c r="AS4" s="466" t="s">
        <v>367</v>
      </c>
      <c r="AT4" s="466" t="s">
        <v>16</v>
      </c>
      <c r="AU4" s="466" t="s">
        <v>17</v>
      </c>
      <c r="AV4" s="466" t="s">
        <v>18</v>
      </c>
      <c r="AW4" s="466" t="s">
        <v>347</v>
      </c>
      <c r="AX4" s="466" t="s">
        <v>367</v>
      </c>
      <c r="AY4" s="466" t="s">
        <v>16</v>
      </c>
      <c r="AZ4" s="466" t="s">
        <v>17</v>
      </c>
      <c r="BA4" s="466" t="s">
        <v>18</v>
      </c>
      <c r="BB4" s="466" t="s">
        <v>347</v>
      </c>
      <c r="BC4" s="466" t="s">
        <v>367</v>
      </c>
      <c r="BD4" s="466" t="s">
        <v>16</v>
      </c>
      <c r="BE4" s="466" t="s">
        <v>17</v>
      </c>
      <c r="BF4" s="466" t="s">
        <v>18</v>
      </c>
      <c r="BG4" s="466" t="s">
        <v>347</v>
      </c>
      <c r="BH4" s="466" t="s">
        <v>367</v>
      </c>
      <c r="BI4" s="466" t="s">
        <v>16</v>
      </c>
      <c r="BJ4" s="466" t="s">
        <v>17</v>
      </c>
      <c r="BK4" s="466" t="s">
        <v>18</v>
      </c>
      <c r="BL4" s="466" t="s">
        <v>347</v>
      </c>
      <c r="BM4" s="466" t="s">
        <v>367</v>
      </c>
      <c r="BN4" s="466" t="s">
        <v>16</v>
      </c>
      <c r="BO4" s="466" t="s">
        <v>17</v>
      </c>
      <c r="BP4" s="466" t="s">
        <v>18</v>
      </c>
    </row>
    <row r="5" spans="1:68" ht="12" customHeight="1" thickTop="1" x14ac:dyDescent="0.2">
      <c r="A5" s="467">
        <v>1</v>
      </c>
      <c r="B5" s="499" t="s">
        <v>49</v>
      </c>
      <c r="C5" s="499" t="s">
        <v>50</v>
      </c>
      <c r="D5" s="72">
        <f>+E5+F5+G5+H5</f>
        <v>43587.076000000008</v>
      </c>
      <c r="E5" s="72">
        <f>SUMIFS(SALE!$K$6:$K$10000,SALE!$A$6:$A$10000,$D$3,SALE!$D$6:$D$10000,$C$5:$C$499)</f>
        <v>36938.200000000004</v>
      </c>
      <c r="F5" s="72">
        <f>SUMIFS(SALE!$L$6:$L$10000,SALE!$A$6:$A$10000,$D$3,SALE!$D$6:$D$10000,$C$5:$C$499)</f>
        <v>0</v>
      </c>
      <c r="G5" s="72">
        <f>SUMIFS(SALE!$M$6:$M$10000,SALE!$A$6:$A$10000,$D$3,SALE!$D$6:$D$10000,$C$5:$C$499)</f>
        <v>3324.4380000000001</v>
      </c>
      <c r="H5" s="72">
        <f>SUMIFS(SALE!$N$6:$N$10000,SALE!$A$6:$A$10000,$D$3,SALE!$D$6:$D$10000,$C$5:$C$499)</f>
        <v>3324.4380000000001</v>
      </c>
      <c r="I5" s="72">
        <f>+J5+K5+L5+M5</f>
        <v>11734.981999999998</v>
      </c>
      <c r="J5" s="72">
        <f>SUMIFS(SALE!$K$6:$K$10000,SALE!$A$6:$A$10000,$I$3,SALE!$D$6:$D$10000,$C$5:$C$499)</f>
        <v>9944.9</v>
      </c>
      <c r="K5" s="72">
        <f>SUMIFS(SALE!$L$6:$L$10000,SALE!$A$6:$A$10000,$I$3,SALE!$D$6:$D$10000,$C$5:$C$499)</f>
        <v>0</v>
      </c>
      <c r="L5" s="72">
        <f>SUMIFS(SALE!$M$6:$M$10000,SALE!$A$6:$A$10000,$I$3,SALE!$D$6:$D$10000,$C$5:$C$499)</f>
        <v>895.04099999999994</v>
      </c>
      <c r="M5" s="72">
        <f>SUMIFS(SALE!$N$6:$N$10000,SALE!$A$6:$A$10000,$I$3,SALE!$D$6:$D$10000,$C$5:$C$499)</f>
        <v>895.04099999999994</v>
      </c>
      <c r="N5" s="72">
        <f>+O5+P5+Q5+R5</f>
        <v>10058.556</v>
      </c>
      <c r="O5" s="72">
        <f>SUMIFS(SALE!$K$6:$K$10000,SALE!$A$6:$A$10000,$N$3,SALE!$D$6:$D$10000,$C$5:$C$499)</f>
        <v>8524.2000000000007</v>
      </c>
      <c r="P5" s="72">
        <f>SUMIFS(SALE!$L$6:$L$10000,SALE!$A$6:$A$10000,$N$3,SALE!$D$6:$D$10000,$C$5:$C$499)</f>
        <v>0</v>
      </c>
      <c r="Q5" s="72">
        <f>SUMIFS(SALE!$M$6:$M$10000,SALE!$A$6:$A$10000,$N$3,SALE!$D$6:$D$10000,$C$5:$C$499)</f>
        <v>767.178</v>
      </c>
      <c r="R5" s="72">
        <f>SUMIFS(SALE!$N$6:$N$10000,SALE!$A$6:$A$10000,$N$3,SALE!$D$6:$D$10000,$C$5:$C$499)</f>
        <v>767.178</v>
      </c>
      <c r="S5" s="72">
        <f>+T5+U5+V5+W5</f>
        <v>10058.556</v>
      </c>
      <c r="T5" s="72">
        <f>SUMIFS(SALE!$K$6:$K$10000,SALE!$A$6:$A$10000,$N$3,SALE!$D$6:$D$10000,$C$5:$C$499)</f>
        <v>8524.2000000000007</v>
      </c>
      <c r="U5" s="72">
        <f>SUMIFS(SALE!$L$6:$L$10000,SALE!$A$6:$A$10000,$N$3,SALE!$D$6:$D$10000,$C$5:$C$499)</f>
        <v>0</v>
      </c>
      <c r="V5" s="72">
        <f>SUMIFS(SALE!$M$6:$M$10000,SALE!$A$6:$A$10000,$N$3,SALE!$D$6:$D$10000,$C$5:$C$499)</f>
        <v>767.178</v>
      </c>
      <c r="W5" s="72">
        <f>SUMIFS(SALE!$N$6:$N$10000,SALE!$A$6:$A$10000,$N$3,SALE!$D$6:$D$10000,$C$5:$C$499)</f>
        <v>767.178</v>
      </c>
      <c r="X5" s="72">
        <f>+Y5+Z5+AA5+AB5</f>
        <v>45934.072399999997</v>
      </c>
      <c r="Y5" s="72">
        <f>SUMIFS(SALE!$K$6:$K$10000,SALE!$A$6:$A$10000,$X$3,SALE!$D$6:$D$10000,$C$5:$C$499)</f>
        <v>38927.18</v>
      </c>
      <c r="Z5" s="72">
        <f>SUMIFS(SALE!$L$6:$L$10000,SALE!$A$6:$A$10000,$X$3,SALE!$D$6:$D$10000,$C$5:$C$499)</f>
        <v>0</v>
      </c>
      <c r="AA5" s="72">
        <f>SUMIFS(SALE!$M$6:$M$10000,SALE!$A$6:$A$10000,$X$3,SALE!$D$6:$D$10000,$C$5:$C$499)</f>
        <v>3503.4461999999994</v>
      </c>
      <c r="AB5" s="72">
        <f>SUMIFS(SALE!$N$6:$N$10000,SALE!$A$6:$A$10000,$X$3,SALE!$D$6:$D$10000,$C$5:$C$499)</f>
        <v>3503.4461999999994</v>
      </c>
      <c r="AC5" s="72">
        <f>+AD5+AE5+AF5+AG5</f>
        <v>30175.668000000001</v>
      </c>
      <c r="AD5" s="72">
        <f>SUMIFS(SALE!$K$6:$K$10000,SALE!$A$6:$A$10000,$AC$3,SALE!$D$6:$D$10000,$C$5:$C$499)</f>
        <v>25572.600000000002</v>
      </c>
      <c r="AE5" s="72">
        <f>SUMIFS(SALE!$L$6:$L$10000,SALE!$A$6:$A$10000,$AC$3,SALE!$D$6:$D$10000,$C$5:$C$499)</f>
        <v>0</v>
      </c>
      <c r="AF5" s="72">
        <f>SUMIFS(SALE!$M$6:$M$10000,SALE!$A$6:$A$10000,$AC$3,SALE!$D$6:$D$10000,$C$5:$C$499)</f>
        <v>2301.5340000000001</v>
      </c>
      <c r="AG5" s="72">
        <f>SUMIFS(SALE!$N$6:$N$10000,SALE!$A$6:$A$10000,$AC$3,SALE!$D$6:$D$10000,$C$5:$C$499)</f>
        <v>2301.5340000000001</v>
      </c>
      <c r="AH5" s="72">
        <f>+AI5+AJ5+AK5+AL5</f>
        <v>70012.096000000005</v>
      </c>
      <c r="AI5" s="72">
        <f>SUMIFS(SALE!$K$6:$K$10000,SALE!$A$6:$A$10000,$AH$3,SALE!$D$6:$D$10000,$C$5:$C$499)</f>
        <v>62510.8</v>
      </c>
      <c r="AJ5" s="72">
        <f>SUMIFS(SALE!$L$6:$L$10000,SALE!$A$6:$A$10000,$AH$3,SALE!$D$6:$D$10000,$C$5:$C$499)</f>
        <v>0</v>
      </c>
      <c r="AK5" s="72">
        <f>SUMIFS(SALE!$M$6:$M$10000,SALE!$A$6:$A$10000,$AH$3,SALE!$D$6:$D$10000,$C$5:$C$499)</f>
        <v>3750.6480000000001</v>
      </c>
      <c r="AL5" s="72">
        <f>SUMIFS(SALE!$N$6:$N$10000,SALE!$A$6:$A$10000,$AH$3,SALE!$D$6:$D$10000,$C$5:$C$499)</f>
        <v>3750.6480000000001</v>
      </c>
      <c r="AM5" s="72">
        <f>+AN5+AO5+AP5+AQ5</f>
        <v>16548.313599999998</v>
      </c>
      <c r="AN5" s="72">
        <f>SUMIFS(SALE!$K$6:$K$10000,SALE!$A$6:$A$10000,$AM$3,SALE!$D$6:$D$10000,$C$5:$C$499)</f>
        <v>14775.279999999999</v>
      </c>
      <c r="AO5" s="72">
        <f>SUMIFS(SALE!$L$6:$L$10000,SALE!$A$6:$A$10000,$AM$3,SALE!$D$6:$D$10000,$C$5:$C$499)</f>
        <v>0</v>
      </c>
      <c r="AP5" s="72">
        <f>SUMIFS(SALE!$M$6:$M$10000,SALE!$A$6:$A$10000,$AM$3,SALE!$D$6:$D$10000,$C$5:$C$499)</f>
        <v>886.51679999999999</v>
      </c>
      <c r="AQ5" s="72">
        <f>SUMIFS(SALE!$N$6:$N$10000,SALE!$A$6:$A$10000,$AM$3,SALE!$D$6:$D$10000,$C$5:$C$499)</f>
        <v>886.51679999999999</v>
      </c>
      <c r="AR5" s="72">
        <f>+AS5+AT5+AU5+AV5</f>
        <v>0</v>
      </c>
      <c r="AS5" s="72">
        <f>SUMIFS(SALE!$K$6:$K$10000,SALE!$A$6:$A$10000,$AR$3,SALE!$D$6:$D$10000,$C$5:$C$499)</f>
        <v>0</v>
      </c>
      <c r="AT5" s="72">
        <f>SUMIFS(SALE!$L$6:$L$10000,SALE!$A$6:$A$10000,$AR$3,SALE!$D$6:$D$10000,$C$5:$C$499)</f>
        <v>0</v>
      </c>
      <c r="AU5" s="72">
        <f>SUMIFS(SALE!$M$6:$M$10000,SALE!$A$6:$A$10000,$AR$3,SALE!$D$6:$D$10000,$C$5:$C$499)</f>
        <v>0</v>
      </c>
      <c r="AV5" s="72">
        <f>SUMIFS(SALE!$N$6:$N$10000,SALE!$A$6:$A$10000,$AR$3,SALE!$D$6:$D$10000,$C$5:$C$499)</f>
        <v>0</v>
      </c>
      <c r="AW5" s="72">
        <f>+AX5+AY5+AZ5+BA5</f>
        <v>0</v>
      </c>
      <c r="AX5" s="72">
        <f>SUMIFS(SALE!$K$6:$K$10000,SALE!$A$6:$A$10000,$AW$3,SALE!$D$6:$D$10000,$C$5:$C$499)</f>
        <v>0</v>
      </c>
      <c r="AY5" s="72">
        <f>SUMIFS(SALE!$L$6:$L$10000,SALE!$A$6:$A$10000,$AW$3,SALE!$D$6:$D$10000,$C$5:$C$499)</f>
        <v>0</v>
      </c>
      <c r="AZ5" s="72">
        <f>SUMIFS(SALE!$M$6:$M$10000,SALE!$A$6:$A$10000,$AW$3,SALE!$D$6:$D$10000,$C$5:$C$499)</f>
        <v>0</v>
      </c>
      <c r="BA5" s="72">
        <f>SUMIFS(SALE!$N$6:$N$10000,SALE!$A$6:$A$10000,$AW$3,SALE!$D$6:$D$10000,$C$5:$C$499)</f>
        <v>0</v>
      </c>
      <c r="BB5" s="72">
        <f>+BC5+BD5+BE5+BF5</f>
        <v>0</v>
      </c>
      <c r="BC5" s="72">
        <f>SUMIFS(SALE!$K$6:$K$10000,SALE!$A$6:$A$10000,$BB$3,SALE!$D$6:$D$10000,$C$5:$C$499)</f>
        <v>0</v>
      </c>
      <c r="BD5" s="72">
        <f>SUMIFS(SALE!$L$6:$L$10000,SALE!$A$6:$A$10000,$BB$3,SALE!$D$6:$D$10000,$C$5:$C$499)</f>
        <v>0</v>
      </c>
      <c r="BE5" s="72">
        <f>SUMIFS(SALE!$M$6:$M$10000,SALE!$A$6:$A$10000,$BB$3,SALE!$D$6:$D$10000,$C$5:$C$499)</f>
        <v>0</v>
      </c>
      <c r="BF5" s="72">
        <f>SUMIFS(SALE!$N$6:$N$10000,SALE!$A$6:$A$10000,$BB$3,SALE!$D$6:$D$10000,$C$5:$C$499)</f>
        <v>0</v>
      </c>
      <c r="BG5" s="72">
        <f>+BH5+BI5+BJ5+BK5</f>
        <v>0</v>
      </c>
      <c r="BH5" s="72">
        <f>SUMIFS(SALE!$K$6:$K$10000,SALE!$A$6:$A$10000,$BG$3,SALE!$D$6:$D$10000,$C$5:$C$499)</f>
        <v>0</v>
      </c>
      <c r="BI5" s="72">
        <f>SUMIFS(SALE!$L$6:$L$10000,SALE!$A$6:$A$10000,$BG$3,SALE!$D$6:$D$10000,$C$5:$C$499)</f>
        <v>0</v>
      </c>
      <c r="BJ5" s="72">
        <f>SUMIFS(SALE!$M$6:$M$10000,SALE!$A$6:$A$10000,$BG$3,SALE!$D$6:$D$10000,$C$5:$C$499)</f>
        <v>0</v>
      </c>
      <c r="BK5" s="72">
        <f>SUMIFS(SALE!$N$6:$N$10000,SALE!$A$6:$A$10000,$BG$3,SALE!$D$6:$D$10000,$C$5:$C$499)</f>
        <v>0</v>
      </c>
      <c r="BL5" s="72">
        <f>+D5+I5+N5+S5+X5+AC5+AH5+AM5+AR5+AW5+BB5+BG5</f>
        <v>238109.32</v>
      </c>
      <c r="BM5" s="72">
        <f t="shared" ref="BM5:BP5" si="2">+E5+J5+O5+T5+Y5+AD5+AI5+AN5+AS5+AX5+BC5+BH5</f>
        <v>205717.36000000002</v>
      </c>
      <c r="BN5" s="72">
        <f t="shared" si="2"/>
        <v>0</v>
      </c>
      <c r="BO5" s="72">
        <f t="shared" si="2"/>
        <v>16195.979999999998</v>
      </c>
      <c r="BP5" s="72">
        <f t="shared" si="2"/>
        <v>16195.979999999998</v>
      </c>
    </row>
    <row r="6" spans="1:68" x14ac:dyDescent="0.2">
      <c r="A6" s="467">
        <v>2</v>
      </c>
      <c r="B6" s="500" t="s">
        <v>70</v>
      </c>
      <c r="C6" s="499" t="s">
        <v>71</v>
      </c>
      <c r="D6" s="72">
        <f>+E6+F6+G6+H6</f>
        <v>17466.596000000001</v>
      </c>
      <c r="E6" s="72">
        <f>SUMIFS(SALE!$K$6:$K$10000,SALE!$A$6:$A$10000,$D$3,SALE!$D$6:$D$10000,$C$5:$C$499)</f>
        <v>14802.2</v>
      </c>
      <c r="F6" s="72">
        <f>SUMIFS(SALE!$L$6:$L$10000,SALE!$A$6:$A$10000,$D$3,SALE!$D$6:$D$10000,$C$5:$C$499)</f>
        <v>0</v>
      </c>
      <c r="G6" s="72">
        <f>SUMIFS(SALE!$M$6:$M$10000,SALE!$A$6:$A$10000,$D$3,SALE!$D$6:$D$10000,$C$5:$C$499)</f>
        <v>1332.1980000000001</v>
      </c>
      <c r="H6" s="72">
        <f>SUMIFS(SALE!$N$6:$N$10000,SALE!$A$6:$A$10000,$D$3,SALE!$D$6:$D$10000,$C$5:$C$499)</f>
        <v>1332.1980000000001</v>
      </c>
      <c r="I6" s="72">
        <f>+J6+K6+L6+M6</f>
        <v>3879.84</v>
      </c>
      <c r="J6" s="72">
        <f>SUMIFS(SALE!$K$6:$K$10000,SALE!$A$6:$A$10000,$I$3,SALE!$D$6:$D$10000,$C$5:$C$499)</f>
        <v>3288</v>
      </c>
      <c r="K6" s="72">
        <f>SUMIFS(SALE!$L$6:$L$10000,SALE!$A$6:$A$10000,$I$3,SALE!$D$6:$D$10000,$C$5:$C$499)</f>
        <v>0</v>
      </c>
      <c r="L6" s="72">
        <f>SUMIFS(SALE!$M$6:$M$10000,SALE!$A$6:$A$10000,$I$3,SALE!$D$6:$D$10000,$C$5:$C$499)</f>
        <v>295.92</v>
      </c>
      <c r="M6" s="72">
        <f>SUMIFS(SALE!$N$6:$N$10000,SALE!$A$6:$A$10000,$I$3,SALE!$D$6:$D$10000,$C$5:$C$499)</f>
        <v>295.92</v>
      </c>
      <c r="N6" s="72">
        <f>+O6+P6+Q6+R6</f>
        <v>5334.7800000000007</v>
      </c>
      <c r="O6" s="72">
        <f>SUMIFS(SALE!$K$6:$K$10000,SALE!$A$6:$A$10000,$N$3,SALE!$D$6:$D$10000,$C$5:$C$499)</f>
        <v>4521</v>
      </c>
      <c r="P6" s="72">
        <f>SUMIFS(SALE!$L$6:$L$10000,SALE!$A$6:$A$10000,$N$3,SALE!$D$6:$D$10000,$C$5:$C$499)</f>
        <v>0</v>
      </c>
      <c r="Q6" s="72">
        <f>SUMIFS(SALE!$M$6:$M$10000,SALE!$A$6:$A$10000,$N$3,SALE!$D$6:$D$10000,$C$5:$C$499)</f>
        <v>406.89</v>
      </c>
      <c r="R6" s="72">
        <f>SUMIFS(SALE!$N$6:$N$10000,SALE!$A$6:$A$10000,$N$3,SALE!$D$6:$D$10000,$C$5:$C$499)</f>
        <v>406.89</v>
      </c>
      <c r="S6" s="72">
        <f>+T6+U6+V6+W6</f>
        <v>5334.7800000000007</v>
      </c>
      <c r="T6" s="72">
        <f>SUMIFS(SALE!$K$6:$K$10000,SALE!$A$6:$A$10000,$N$3,SALE!$D$6:$D$10000,$C$5:$C$499)</f>
        <v>4521</v>
      </c>
      <c r="U6" s="72">
        <f>SUMIFS(SALE!$L$6:$L$10000,SALE!$A$6:$A$10000,$N$3,SALE!$D$6:$D$10000,$C$5:$C$499)</f>
        <v>0</v>
      </c>
      <c r="V6" s="72">
        <f>SUMIFS(SALE!$M$6:$M$10000,SALE!$A$6:$A$10000,$N$3,SALE!$D$6:$D$10000,$C$5:$C$499)</f>
        <v>406.89</v>
      </c>
      <c r="W6" s="72">
        <f>SUMIFS(SALE!$N$6:$N$10000,SALE!$A$6:$A$10000,$N$3,SALE!$D$6:$D$10000,$C$5:$C$499)</f>
        <v>406.89</v>
      </c>
      <c r="X6" s="72">
        <f>+Y6+Z6+AA6+AB6</f>
        <v>7390.34</v>
      </c>
      <c r="Y6" s="72">
        <f>SUMIFS(SALE!$K$6:$K$10000,SALE!$A$6:$A$10000,$X$3,SALE!$D$6:$D$10000,$C$5:$C$499)</f>
        <v>6263</v>
      </c>
      <c r="Z6" s="72">
        <f>SUMIFS(SALE!$L$6:$L$10000,SALE!$A$6:$A$10000,$X$3,SALE!$D$6:$D$10000,$C$5:$C$499)</f>
        <v>0</v>
      </c>
      <c r="AA6" s="72">
        <f>SUMIFS(SALE!$M$6:$M$10000,SALE!$A$6:$A$10000,$X$3,SALE!$D$6:$D$10000,$C$5:$C$499)</f>
        <v>563.67000000000007</v>
      </c>
      <c r="AB6" s="72">
        <f>SUMIFS(SALE!$N$6:$N$10000,SALE!$A$6:$A$10000,$X$3,SALE!$D$6:$D$10000,$C$5:$C$499)</f>
        <v>563.67000000000007</v>
      </c>
      <c r="AC6" s="72">
        <f>+AD6+AE6+AF6+AG6</f>
        <v>11702.060000000001</v>
      </c>
      <c r="AD6" s="72">
        <f>SUMIFS(SALE!$K$6:$K$10000,SALE!$A$6:$A$10000,$AC$3,SALE!$D$6:$D$10000,$C$5:$C$499)</f>
        <v>9917</v>
      </c>
      <c r="AE6" s="72">
        <f>SUMIFS(SALE!$L$6:$L$10000,SALE!$A$6:$A$10000,$AC$3,SALE!$D$6:$D$10000,$C$5:$C$499)</f>
        <v>0</v>
      </c>
      <c r="AF6" s="72">
        <f>SUMIFS(SALE!$M$6:$M$10000,SALE!$A$6:$A$10000,$AC$3,SALE!$D$6:$D$10000,$C$5:$C$499)</f>
        <v>892.53</v>
      </c>
      <c r="AG6" s="72">
        <f>SUMIFS(SALE!$N$6:$N$10000,SALE!$A$6:$A$10000,$AC$3,SALE!$D$6:$D$10000,$C$5:$C$499)</f>
        <v>892.53</v>
      </c>
      <c r="AH6" s="72">
        <f>+AI6+AJ6+AK6+AL6</f>
        <v>0</v>
      </c>
      <c r="AI6" s="72">
        <f>SUMIFS(SALE!$K$6:$K$10000,SALE!$A$6:$A$10000,$AH$3,SALE!$D$6:$D$10000,$C$5:$C$499)</f>
        <v>0</v>
      </c>
      <c r="AJ6" s="72">
        <f>SUMIFS(SALE!$L$6:$L$10000,SALE!$A$6:$A$10000,$AH$3,SALE!$D$6:$D$10000,$C$5:$C$499)</f>
        <v>0</v>
      </c>
      <c r="AK6" s="72">
        <f>SUMIFS(SALE!$M$6:$M$10000,SALE!$A$6:$A$10000,$AH$3,SALE!$D$6:$D$10000,$C$5:$C$499)</f>
        <v>0</v>
      </c>
      <c r="AL6" s="72">
        <f>SUMIFS(SALE!$N$6:$N$10000,SALE!$A$6:$A$10000,$AH$3,SALE!$D$6:$D$10000,$C$5:$C$499)</f>
        <v>0</v>
      </c>
      <c r="AM6" s="72">
        <f>+AN6+AO6+AP6+AQ6</f>
        <v>0</v>
      </c>
      <c r="AN6" s="72">
        <f>SUMIFS(SALE!$K$6:$K$10000,SALE!$A$6:$A$10000,$AM$3,SALE!$D$6:$D$10000,$C$5:$C$499)</f>
        <v>0</v>
      </c>
      <c r="AO6" s="72">
        <f>SUMIFS(SALE!$L$6:$L$10000,SALE!$A$6:$A$10000,$AM$3,SALE!$D$6:$D$10000,$C$5:$C$499)</f>
        <v>0</v>
      </c>
      <c r="AP6" s="72">
        <f>SUMIFS(SALE!$M$6:$M$10000,SALE!$A$6:$A$10000,$AM$3,SALE!$D$6:$D$10000,$C$5:$C$499)</f>
        <v>0</v>
      </c>
      <c r="AQ6" s="72">
        <f>SUMIFS(SALE!$N$6:$N$10000,SALE!$A$6:$A$10000,$AM$3,SALE!$D$6:$D$10000,$C$5:$C$499)</f>
        <v>0</v>
      </c>
      <c r="AR6" s="72">
        <f>+AS6+AT6+AU6+AV6</f>
        <v>0</v>
      </c>
      <c r="AS6" s="72">
        <f>SUMIFS(SALE!$K$6:$K$10000,SALE!$A$6:$A$10000,$AR$3,SALE!$D$6:$D$10000,$C$5:$C$499)</f>
        <v>0</v>
      </c>
      <c r="AT6" s="72">
        <f>SUMIFS(SALE!$L$6:$L$10000,SALE!$A$6:$A$10000,$AR$3,SALE!$D$6:$D$10000,$C$5:$C$499)</f>
        <v>0</v>
      </c>
      <c r="AU6" s="72">
        <f>SUMIFS(SALE!$M$6:$M$10000,SALE!$A$6:$A$10000,$AR$3,SALE!$D$6:$D$10000,$C$5:$C$499)</f>
        <v>0</v>
      </c>
      <c r="AV6" s="72">
        <f>SUMIFS(SALE!$N$6:$N$10000,SALE!$A$6:$A$10000,$AR$3,SALE!$D$6:$D$10000,$C$5:$C$499)</f>
        <v>0</v>
      </c>
      <c r="AW6" s="72">
        <f>+AX6+AY6+AZ6+BA6</f>
        <v>0</v>
      </c>
      <c r="AX6" s="72">
        <f>SUMIFS(SALE!$K$6:$K$10000,SALE!$A$6:$A$10000,$AW$3,SALE!$D$6:$D$10000,$C$5:$C$499)</f>
        <v>0</v>
      </c>
      <c r="AY6" s="72">
        <f>SUMIFS(SALE!$L$6:$L$10000,SALE!$A$6:$A$10000,$AW$3,SALE!$D$6:$D$10000,$C$5:$C$499)</f>
        <v>0</v>
      </c>
      <c r="AZ6" s="72">
        <f>SUMIFS(SALE!$M$6:$M$10000,SALE!$A$6:$A$10000,$AW$3,SALE!$D$6:$D$10000,$C$5:$C$499)</f>
        <v>0</v>
      </c>
      <c r="BA6" s="72">
        <f>SUMIFS(SALE!$N$6:$N$10000,SALE!$A$6:$A$10000,$AW$3,SALE!$D$6:$D$10000,$C$5:$C$499)</f>
        <v>0</v>
      </c>
      <c r="BB6" s="72">
        <f>+BC6+BD6+BE6+BF6</f>
        <v>0</v>
      </c>
      <c r="BC6" s="72">
        <f>SUMIFS(SALE!$K$6:$K$10000,SALE!$A$6:$A$10000,$BB$3,SALE!$D$6:$D$10000,$C$5:$C$499)</f>
        <v>0</v>
      </c>
      <c r="BD6" s="72">
        <f>SUMIFS(SALE!$L$6:$L$10000,SALE!$A$6:$A$10000,$BB$3,SALE!$D$6:$D$10000,$C$5:$C$499)</f>
        <v>0</v>
      </c>
      <c r="BE6" s="72">
        <f>SUMIFS(SALE!$M$6:$M$10000,SALE!$A$6:$A$10000,$BB$3,SALE!$D$6:$D$10000,$C$5:$C$499)</f>
        <v>0</v>
      </c>
      <c r="BF6" s="72">
        <f>SUMIFS(SALE!$N$6:$N$10000,SALE!$A$6:$A$10000,$BB$3,SALE!$D$6:$D$10000,$C$5:$C$499)</f>
        <v>0</v>
      </c>
      <c r="BG6" s="72">
        <f>+BH6+BI6+BJ6+BK6</f>
        <v>0</v>
      </c>
      <c r="BH6" s="72">
        <f>SUMIFS(SALE!$K$6:$K$10000,SALE!$A$6:$A$10000,$BG$3,SALE!$D$6:$D$10000,$C$5:$C$499)</f>
        <v>0</v>
      </c>
      <c r="BI6" s="72">
        <f>SUMIFS(SALE!$L$6:$L$10000,SALE!$A$6:$A$10000,$BG$3,SALE!$D$6:$D$10000,$C$5:$C$499)</f>
        <v>0</v>
      </c>
      <c r="BJ6" s="72">
        <f>SUMIFS(SALE!$M$6:$M$10000,SALE!$A$6:$A$10000,$BG$3,SALE!$D$6:$D$10000,$C$5:$C$499)</f>
        <v>0</v>
      </c>
      <c r="BK6" s="72">
        <f>SUMIFS(SALE!$N$6:$N$10000,SALE!$A$6:$A$10000,$BG$3,SALE!$D$6:$D$10000,$C$5:$C$499)</f>
        <v>0</v>
      </c>
      <c r="BL6" s="72">
        <f t="shared" ref="BL6:BL47" si="3">+D6+I6+N6+S6+X6+AC6+AH6+AM6+AR6+AW6+BB6+BG6</f>
        <v>51108.395999999993</v>
      </c>
      <c r="BM6" s="72">
        <f t="shared" ref="BM6:BM47" si="4">+E6+J6+O6+T6+Y6+AD6+AI6+AN6+AS6+AX6+BC6+BH6</f>
        <v>43312.2</v>
      </c>
      <c r="BN6" s="72">
        <f t="shared" ref="BN6:BN47" si="5">+F6+K6+P6+U6+Z6+AE6+AJ6+AO6+AT6+AY6+BD6+BI6</f>
        <v>0</v>
      </c>
      <c r="BO6" s="72">
        <f t="shared" ref="BO6:BO47" si="6">+G6+L6+Q6+V6+AA6+AF6+AK6+AP6+AU6+AZ6+BE6+BJ6</f>
        <v>3898.098</v>
      </c>
      <c r="BP6" s="72">
        <f t="shared" ref="BP6:BP47" si="7">+H6+M6+R6+W6+AB6+AG6+AL6+AQ6+AV6+BA6+BF6+BK6</f>
        <v>3898.098</v>
      </c>
    </row>
    <row r="7" spans="1:68" x14ac:dyDescent="0.2">
      <c r="A7" s="467">
        <v>3</v>
      </c>
      <c r="B7" s="500" t="s">
        <v>237</v>
      </c>
      <c r="C7" s="501" t="s">
        <v>238</v>
      </c>
      <c r="D7" s="72">
        <f t="shared" ref="D7:D35" si="8">+E7+F7+G7+H7</f>
        <v>0</v>
      </c>
      <c r="E7" s="72">
        <f>SUMIFS(SALE!$K$6:$K$10000,SALE!$A$6:$A$10000,$D$3,SALE!$D$6:$D$10000,$C$5:$C$499)</f>
        <v>0</v>
      </c>
      <c r="F7" s="72">
        <f>SUMIFS(SALE!$L$6:$L$10000,SALE!$A$6:$A$10000,$D$3,SALE!$D$6:$D$10000,$C$5:$C$499)</f>
        <v>0</v>
      </c>
      <c r="G7" s="72">
        <f>SUMIFS(SALE!$M$6:$M$10000,SALE!$A$6:$A$10000,$D$3,SALE!$D$6:$D$10000,$C$5:$C$499)</f>
        <v>0</v>
      </c>
      <c r="H7" s="72">
        <f>SUMIFS(SALE!$N$6:$N$10000,SALE!$A$6:$A$10000,$D$3,SALE!$D$6:$D$10000,$C$5:$C$499)</f>
        <v>0</v>
      </c>
      <c r="I7" s="72">
        <f t="shared" ref="I7:I35" si="9">+J7+K7+L7+M7</f>
        <v>0</v>
      </c>
      <c r="J7" s="72">
        <f>SUMIFS(SALE!$K$6:$K$10000,SALE!$A$6:$A$10000,$I$3,SALE!$D$6:$D$10000,$C$5:$C$499)</f>
        <v>0</v>
      </c>
      <c r="K7" s="72">
        <f>SUMIFS(SALE!$L$6:$L$10000,SALE!$A$6:$A$10000,$I$3,SALE!$D$6:$D$10000,$C$5:$C$499)</f>
        <v>0</v>
      </c>
      <c r="L7" s="72">
        <f>SUMIFS(SALE!$M$6:$M$10000,SALE!$A$6:$A$10000,$I$3,SALE!$D$6:$D$10000,$C$5:$C$499)</f>
        <v>0</v>
      </c>
      <c r="M7" s="72">
        <f>SUMIFS(SALE!$N$6:$N$10000,SALE!$A$6:$A$10000,$I$3,SALE!$D$6:$D$10000,$C$5:$C$499)</f>
        <v>0</v>
      </c>
      <c r="N7" s="72">
        <f t="shared" ref="N7:N35" si="10">+O7+P7+Q7+R7</f>
        <v>0</v>
      </c>
      <c r="O7" s="72">
        <f>SUMIFS(SALE!$K$6:$K$10000,SALE!$A$6:$A$10000,$N$3,SALE!$D$6:$D$10000,$C$5:$C$499)</f>
        <v>0</v>
      </c>
      <c r="P7" s="72">
        <f>SUMIFS(SALE!$L$6:$L$10000,SALE!$A$6:$A$10000,$N$3,SALE!$D$6:$D$10000,$C$5:$C$499)</f>
        <v>0</v>
      </c>
      <c r="Q7" s="72">
        <f>SUMIFS(SALE!$M$6:$M$10000,SALE!$A$6:$A$10000,$N$3,SALE!$D$6:$D$10000,$C$5:$C$499)</f>
        <v>0</v>
      </c>
      <c r="R7" s="72">
        <f>SUMIFS(SALE!$N$6:$N$10000,SALE!$A$6:$A$10000,$N$3,SALE!$D$6:$D$10000,$C$5:$C$499)</f>
        <v>0</v>
      </c>
      <c r="S7" s="72">
        <f t="shared" ref="S7:S35" si="11">+T7+U7+V7+W7</f>
        <v>0</v>
      </c>
      <c r="T7" s="72">
        <f>SUMIFS(SALE!$K$6:$K$10000,SALE!$A$6:$A$10000,$N$3,SALE!$D$6:$D$10000,$C$5:$C$499)</f>
        <v>0</v>
      </c>
      <c r="U7" s="72">
        <f>SUMIFS(SALE!$L$6:$L$10000,SALE!$A$6:$A$10000,$N$3,SALE!$D$6:$D$10000,$C$5:$C$499)</f>
        <v>0</v>
      </c>
      <c r="V7" s="72">
        <f>SUMIFS(SALE!$M$6:$M$10000,SALE!$A$6:$A$10000,$N$3,SALE!$D$6:$D$10000,$C$5:$C$499)</f>
        <v>0</v>
      </c>
      <c r="W7" s="72">
        <f>SUMIFS(SALE!$N$6:$N$10000,SALE!$A$6:$A$10000,$N$3,SALE!$D$6:$D$10000,$C$5:$C$499)</f>
        <v>0</v>
      </c>
      <c r="X7" s="72">
        <f t="shared" ref="X7:X35" si="12">+Y7+Z7+AA7+AB7</f>
        <v>0</v>
      </c>
      <c r="Y7" s="72">
        <f>SUMIFS(SALE!$K$6:$K$10000,SALE!$A$6:$A$10000,$X$3,SALE!$D$6:$D$10000,$C$5:$C$499)</f>
        <v>0</v>
      </c>
      <c r="Z7" s="72">
        <f>SUMIFS(SALE!$L$6:$L$10000,SALE!$A$6:$A$10000,$X$3,SALE!$D$6:$D$10000,$C$5:$C$499)</f>
        <v>0</v>
      </c>
      <c r="AA7" s="72">
        <f>SUMIFS(SALE!$M$6:$M$10000,SALE!$A$6:$A$10000,$X$3,SALE!$D$6:$D$10000,$C$5:$C$499)</f>
        <v>0</v>
      </c>
      <c r="AB7" s="72">
        <f>SUMIFS(SALE!$N$6:$N$10000,SALE!$A$6:$A$10000,$X$3,SALE!$D$6:$D$10000,$C$5:$C$499)</f>
        <v>0</v>
      </c>
      <c r="AC7" s="72">
        <f t="shared" ref="AC7:AC35" si="13">+AD7+AE7+AF7+AG7</f>
        <v>0</v>
      </c>
      <c r="AD7" s="72">
        <f>SUMIFS(SALE!$K$6:$K$10000,SALE!$A$6:$A$10000,$AC$3,SALE!$D$6:$D$10000,$C$5:$C$499)</f>
        <v>0</v>
      </c>
      <c r="AE7" s="72">
        <f>SUMIFS(SALE!$L$6:$L$10000,SALE!$A$6:$A$10000,$AC$3,SALE!$D$6:$D$10000,$C$5:$C$499)</f>
        <v>0</v>
      </c>
      <c r="AF7" s="72">
        <f>SUMIFS(SALE!$M$6:$M$10000,SALE!$A$6:$A$10000,$AC$3,SALE!$D$6:$D$10000,$C$5:$C$499)</f>
        <v>0</v>
      </c>
      <c r="AG7" s="72">
        <f>SUMIFS(SALE!$N$6:$N$10000,SALE!$A$6:$A$10000,$AC$3,SALE!$D$6:$D$10000,$C$5:$C$499)</f>
        <v>0</v>
      </c>
      <c r="AH7" s="72">
        <f t="shared" ref="AH7:AH35" si="14">+AI7+AJ7+AK7+AL7</f>
        <v>0</v>
      </c>
      <c r="AI7" s="72">
        <f>SUMIFS(SALE!$K$6:$K$10000,SALE!$A$6:$A$10000,$AH$3,SALE!$D$6:$D$10000,$C$5:$C$499)</f>
        <v>0</v>
      </c>
      <c r="AJ7" s="72">
        <f>SUMIFS(SALE!$L$6:$L$10000,SALE!$A$6:$A$10000,$AH$3,SALE!$D$6:$D$10000,$C$5:$C$499)</f>
        <v>0</v>
      </c>
      <c r="AK7" s="72">
        <f>SUMIFS(SALE!$M$6:$M$10000,SALE!$A$6:$A$10000,$AH$3,SALE!$D$6:$D$10000,$C$5:$C$499)</f>
        <v>0</v>
      </c>
      <c r="AL7" s="72">
        <f>SUMIFS(SALE!$N$6:$N$10000,SALE!$A$6:$A$10000,$AH$3,SALE!$D$6:$D$10000,$C$5:$C$499)</f>
        <v>0</v>
      </c>
      <c r="AM7" s="72">
        <f t="shared" ref="AM7:AM35" si="15">+AN7+AO7+AP7+AQ7</f>
        <v>0</v>
      </c>
      <c r="AN7" s="72">
        <f>SUMIFS(SALE!$K$6:$K$10000,SALE!$A$6:$A$10000,$AM$3,SALE!$D$6:$D$10000,$C$5:$C$499)</f>
        <v>0</v>
      </c>
      <c r="AO7" s="72">
        <f>SUMIFS(SALE!$L$6:$L$10000,SALE!$A$6:$A$10000,$AM$3,SALE!$D$6:$D$10000,$C$5:$C$499)</f>
        <v>0</v>
      </c>
      <c r="AP7" s="72">
        <f>SUMIFS(SALE!$M$6:$M$10000,SALE!$A$6:$A$10000,$AM$3,SALE!$D$6:$D$10000,$C$5:$C$499)</f>
        <v>0</v>
      </c>
      <c r="AQ7" s="72">
        <f>SUMIFS(SALE!$N$6:$N$10000,SALE!$A$6:$A$10000,$AM$3,SALE!$D$6:$D$10000,$C$5:$C$499)</f>
        <v>0</v>
      </c>
      <c r="AR7" s="72">
        <f t="shared" ref="AR7:AR35" si="16">+AS7+AT7+AU7+AV7</f>
        <v>0</v>
      </c>
      <c r="AS7" s="72">
        <f>SUMIFS(SALE!$K$6:$K$10000,SALE!$A$6:$A$10000,$AR$3,SALE!$D$6:$D$10000,$C$5:$C$499)</f>
        <v>0</v>
      </c>
      <c r="AT7" s="72">
        <f>SUMIFS(SALE!$L$6:$L$10000,SALE!$A$6:$A$10000,$AR$3,SALE!$D$6:$D$10000,$C$5:$C$499)</f>
        <v>0</v>
      </c>
      <c r="AU7" s="72">
        <f>SUMIFS(SALE!$M$6:$M$10000,SALE!$A$6:$A$10000,$AR$3,SALE!$D$6:$D$10000,$C$5:$C$499)</f>
        <v>0</v>
      </c>
      <c r="AV7" s="72">
        <f>SUMIFS(SALE!$N$6:$N$10000,SALE!$A$6:$A$10000,$AR$3,SALE!$D$6:$D$10000,$C$5:$C$499)</f>
        <v>0</v>
      </c>
      <c r="AW7" s="72">
        <f t="shared" ref="AW7:AW35" si="17">+AX7+AY7+AZ7+BA7</f>
        <v>0</v>
      </c>
      <c r="AX7" s="72">
        <f>SUMIFS(SALE!$K$6:$K$10000,SALE!$A$6:$A$10000,$AW$3,SALE!$D$6:$D$10000,$C$5:$C$499)</f>
        <v>0</v>
      </c>
      <c r="AY7" s="72">
        <f>SUMIFS(SALE!$L$6:$L$10000,SALE!$A$6:$A$10000,$AW$3,SALE!$D$6:$D$10000,$C$5:$C$499)</f>
        <v>0</v>
      </c>
      <c r="AZ7" s="72">
        <f>SUMIFS(SALE!$M$6:$M$10000,SALE!$A$6:$A$10000,$AW$3,SALE!$D$6:$D$10000,$C$5:$C$499)</f>
        <v>0</v>
      </c>
      <c r="BA7" s="72">
        <f>SUMIFS(SALE!$N$6:$N$10000,SALE!$A$6:$A$10000,$AW$3,SALE!$D$6:$D$10000,$C$5:$C$499)</f>
        <v>0</v>
      </c>
      <c r="BB7" s="72">
        <f t="shared" ref="BB7:BB35" si="18">+BC7+BD7+BE7+BF7</f>
        <v>0</v>
      </c>
      <c r="BC7" s="72">
        <f>SUMIFS(SALE!$K$6:$K$10000,SALE!$A$6:$A$10000,$BB$3,SALE!$D$6:$D$10000,$C$5:$C$499)</f>
        <v>0</v>
      </c>
      <c r="BD7" s="72">
        <f>SUMIFS(SALE!$L$6:$L$10000,SALE!$A$6:$A$10000,$BB$3,SALE!$D$6:$D$10000,$C$5:$C$499)</f>
        <v>0</v>
      </c>
      <c r="BE7" s="72">
        <f>SUMIFS(SALE!$M$6:$M$10000,SALE!$A$6:$A$10000,$BB$3,SALE!$D$6:$D$10000,$C$5:$C$499)</f>
        <v>0</v>
      </c>
      <c r="BF7" s="72">
        <f>SUMIFS(SALE!$N$6:$N$10000,SALE!$A$6:$A$10000,$BB$3,SALE!$D$6:$D$10000,$C$5:$C$499)</f>
        <v>0</v>
      </c>
      <c r="BG7" s="72">
        <f t="shared" ref="BG7:BG35" si="19">+BH7+BI7+BJ7+BK7</f>
        <v>0</v>
      </c>
      <c r="BH7" s="72">
        <f>SUMIFS(SALE!$K$6:$K$10000,SALE!$A$6:$A$10000,$BG$3,SALE!$D$6:$D$10000,$C$5:$C$499)</f>
        <v>0</v>
      </c>
      <c r="BI7" s="72">
        <f>SUMIFS(SALE!$L$6:$L$10000,SALE!$A$6:$A$10000,$BG$3,SALE!$D$6:$D$10000,$C$5:$C$499)</f>
        <v>0</v>
      </c>
      <c r="BJ7" s="72">
        <f>SUMIFS(SALE!$M$6:$M$10000,SALE!$A$6:$A$10000,$BG$3,SALE!$D$6:$D$10000,$C$5:$C$499)</f>
        <v>0</v>
      </c>
      <c r="BK7" s="72">
        <f>SUMIFS(SALE!$N$6:$N$10000,SALE!$A$6:$A$10000,$BG$3,SALE!$D$6:$D$10000,$C$5:$C$499)</f>
        <v>0</v>
      </c>
      <c r="BL7" s="72">
        <f t="shared" si="3"/>
        <v>0</v>
      </c>
      <c r="BM7" s="72">
        <f t="shared" si="4"/>
        <v>0</v>
      </c>
      <c r="BN7" s="72">
        <f t="shared" si="5"/>
        <v>0</v>
      </c>
      <c r="BO7" s="72">
        <f t="shared" si="6"/>
        <v>0</v>
      </c>
      <c r="BP7" s="72">
        <f t="shared" si="7"/>
        <v>0</v>
      </c>
    </row>
    <row r="8" spans="1:68" x14ac:dyDescent="0.2">
      <c r="A8" s="467">
        <v>4</v>
      </c>
      <c r="B8" s="502" t="s">
        <v>91</v>
      </c>
      <c r="C8" s="502" t="s">
        <v>92</v>
      </c>
      <c r="D8" s="72">
        <f t="shared" si="8"/>
        <v>14160</v>
      </c>
      <c r="E8" s="72">
        <f>SUMIFS(SALE!$K$6:$K$10000,SALE!$A$6:$A$10000,$D$3,SALE!$D$6:$D$10000,$C$5:$C$499)</f>
        <v>12000</v>
      </c>
      <c r="F8" s="72">
        <f>SUMIFS(SALE!$L$6:$L$10000,SALE!$A$6:$A$10000,$D$3,SALE!$D$6:$D$10000,$C$5:$C$499)</f>
        <v>0</v>
      </c>
      <c r="G8" s="72">
        <f>SUMIFS(SALE!$M$6:$M$10000,SALE!$A$6:$A$10000,$D$3,SALE!$D$6:$D$10000,$C$5:$C$499)</f>
        <v>1080</v>
      </c>
      <c r="H8" s="72">
        <f>SUMIFS(SALE!$N$6:$N$10000,SALE!$A$6:$A$10000,$D$3,SALE!$D$6:$D$10000,$C$5:$C$499)</f>
        <v>1080</v>
      </c>
      <c r="I8" s="72">
        <f t="shared" si="9"/>
        <v>6460.5</v>
      </c>
      <c r="J8" s="72">
        <f>SUMIFS(SALE!$K$6:$K$10000,SALE!$A$6:$A$10000,$I$3,SALE!$D$6:$D$10000,$C$5:$C$499)</f>
        <v>5475</v>
      </c>
      <c r="K8" s="72">
        <f>SUMIFS(SALE!$L$6:$L$10000,SALE!$A$6:$A$10000,$I$3,SALE!$D$6:$D$10000,$C$5:$C$499)</f>
        <v>0</v>
      </c>
      <c r="L8" s="72">
        <f>SUMIFS(SALE!$M$6:$M$10000,SALE!$A$6:$A$10000,$I$3,SALE!$D$6:$D$10000,$C$5:$C$499)</f>
        <v>492.75</v>
      </c>
      <c r="M8" s="72">
        <f>SUMIFS(SALE!$N$6:$N$10000,SALE!$A$6:$A$10000,$I$3,SALE!$D$6:$D$10000,$C$5:$C$499)</f>
        <v>492.75</v>
      </c>
      <c r="N8" s="72">
        <f t="shared" si="10"/>
        <v>11859</v>
      </c>
      <c r="O8" s="72">
        <f>SUMIFS(SALE!$K$6:$K$10000,SALE!$A$6:$A$10000,$N$3,SALE!$D$6:$D$10000,$C$5:$C$499)</f>
        <v>10050</v>
      </c>
      <c r="P8" s="72">
        <f>SUMIFS(SALE!$L$6:$L$10000,SALE!$A$6:$A$10000,$N$3,SALE!$D$6:$D$10000,$C$5:$C$499)</f>
        <v>0</v>
      </c>
      <c r="Q8" s="72">
        <f>SUMIFS(SALE!$M$6:$M$10000,SALE!$A$6:$A$10000,$N$3,SALE!$D$6:$D$10000,$C$5:$C$499)</f>
        <v>904.5</v>
      </c>
      <c r="R8" s="72">
        <f>SUMIFS(SALE!$N$6:$N$10000,SALE!$A$6:$A$10000,$N$3,SALE!$D$6:$D$10000,$C$5:$C$499)</f>
        <v>904.5</v>
      </c>
      <c r="S8" s="72">
        <f t="shared" si="11"/>
        <v>11859</v>
      </c>
      <c r="T8" s="72">
        <f>SUMIFS(SALE!$K$6:$K$10000,SALE!$A$6:$A$10000,$N$3,SALE!$D$6:$D$10000,$C$5:$C$499)</f>
        <v>10050</v>
      </c>
      <c r="U8" s="72">
        <f>SUMIFS(SALE!$L$6:$L$10000,SALE!$A$6:$A$10000,$N$3,SALE!$D$6:$D$10000,$C$5:$C$499)</f>
        <v>0</v>
      </c>
      <c r="V8" s="72">
        <f>SUMIFS(SALE!$M$6:$M$10000,SALE!$A$6:$A$10000,$N$3,SALE!$D$6:$D$10000,$C$5:$C$499)</f>
        <v>904.5</v>
      </c>
      <c r="W8" s="72">
        <f>SUMIFS(SALE!$N$6:$N$10000,SALE!$A$6:$A$10000,$N$3,SALE!$D$6:$D$10000,$C$5:$C$499)</f>
        <v>904.5</v>
      </c>
      <c r="X8" s="72">
        <f t="shared" si="12"/>
        <v>15930</v>
      </c>
      <c r="Y8" s="72">
        <f>SUMIFS(SALE!$K$6:$K$10000,SALE!$A$6:$A$10000,$X$3,SALE!$D$6:$D$10000,$C$5:$C$499)</f>
        <v>13500</v>
      </c>
      <c r="Z8" s="72">
        <f>SUMIFS(SALE!$L$6:$L$10000,SALE!$A$6:$A$10000,$X$3,SALE!$D$6:$D$10000,$C$5:$C$499)</f>
        <v>0</v>
      </c>
      <c r="AA8" s="72">
        <f>SUMIFS(SALE!$M$6:$M$10000,SALE!$A$6:$A$10000,$X$3,SALE!$D$6:$D$10000,$C$5:$C$499)</f>
        <v>1215</v>
      </c>
      <c r="AB8" s="72">
        <f>SUMIFS(SALE!$N$6:$N$10000,SALE!$A$6:$A$10000,$X$3,SALE!$D$6:$D$10000,$C$5:$C$499)</f>
        <v>1215</v>
      </c>
      <c r="AC8" s="72">
        <f t="shared" si="13"/>
        <v>6991.5</v>
      </c>
      <c r="AD8" s="72">
        <f>SUMIFS(SALE!$K$6:$K$10000,SALE!$A$6:$A$10000,$AC$3,SALE!$D$6:$D$10000,$C$5:$C$499)</f>
        <v>5925</v>
      </c>
      <c r="AE8" s="72">
        <f>SUMIFS(SALE!$L$6:$L$10000,SALE!$A$6:$A$10000,$AC$3,SALE!$D$6:$D$10000,$C$5:$C$499)</f>
        <v>0</v>
      </c>
      <c r="AF8" s="72">
        <f>SUMIFS(SALE!$M$6:$M$10000,SALE!$A$6:$A$10000,$AC$3,SALE!$D$6:$D$10000,$C$5:$C$499)</f>
        <v>533.25</v>
      </c>
      <c r="AG8" s="72">
        <f>SUMIFS(SALE!$N$6:$N$10000,SALE!$A$6:$A$10000,$AC$3,SALE!$D$6:$D$10000,$C$5:$C$499)</f>
        <v>533.25</v>
      </c>
      <c r="AH8" s="72">
        <f t="shared" si="14"/>
        <v>0</v>
      </c>
      <c r="AI8" s="72">
        <f>SUMIFS(SALE!$K$6:$K$10000,SALE!$A$6:$A$10000,$AH$3,SALE!$D$6:$D$10000,$C$5:$C$499)</f>
        <v>0</v>
      </c>
      <c r="AJ8" s="72">
        <f>SUMIFS(SALE!$L$6:$L$10000,SALE!$A$6:$A$10000,$AH$3,SALE!$D$6:$D$10000,$C$5:$C$499)</f>
        <v>0</v>
      </c>
      <c r="AK8" s="72">
        <f>SUMIFS(SALE!$M$6:$M$10000,SALE!$A$6:$A$10000,$AH$3,SALE!$D$6:$D$10000,$C$5:$C$499)</f>
        <v>0</v>
      </c>
      <c r="AL8" s="72">
        <f>SUMIFS(SALE!$N$6:$N$10000,SALE!$A$6:$A$10000,$AH$3,SALE!$D$6:$D$10000,$C$5:$C$499)</f>
        <v>0</v>
      </c>
      <c r="AM8" s="72">
        <f t="shared" si="15"/>
        <v>0</v>
      </c>
      <c r="AN8" s="72">
        <f>SUMIFS(SALE!$K$6:$K$10000,SALE!$A$6:$A$10000,$AM$3,SALE!$D$6:$D$10000,$C$5:$C$499)</f>
        <v>0</v>
      </c>
      <c r="AO8" s="72">
        <f>SUMIFS(SALE!$L$6:$L$10000,SALE!$A$6:$A$10000,$AM$3,SALE!$D$6:$D$10000,$C$5:$C$499)</f>
        <v>0</v>
      </c>
      <c r="AP8" s="72">
        <f>SUMIFS(SALE!$M$6:$M$10000,SALE!$A$6:$A$10000,$AM$3,SALE!$D$6:$D$10000,$C$5:$C$499)</f>
        <v>0</v>
      </c>
      <c r="AQ8" s="72">
        <f>SUMIFS(SALE!$N$6:$N$10000,SALE!$A$6:$A$10000,$AM$3,SALE!$D$6:$D$10000,$C$5:$C$499)</f>
        <v>0</v>
      </c>
      <c r="AR8" s="72">
        <f t="shared" si="16"/>
        <v>0</v>
      </c>
      <c r="AS8" s="72">
        <f>SUMIFS(SALE!$K$6:$K$10000,SALE!$A$6:$A$10000,$AR$3,SALE!$D$6:$D$10000,$C$5:$C$499)</f>
        <v>0</v>
      </c>
      <c r="AT8" s="72">
        <f>SUMIFS(SALE!$L$6:$L$10000,SALE!$A$6:$A$10000,$AR$3,SALE!$D$6:$D$10000,$C$5:$C$499)</f>
        <v>0</v>
      </c>
      <c r="AU8" s="72">
        <f>SUMIFS(SALE!$M$6:$M$10000,SALE!$A$6:$A$10000,$AR$3,SALE!$D$6:$D$10000,$C$5:$C$499)</f>
        <v>0</v>
      </c>
      <c r="AV8" s="72">
        <f>SUMIFS(SALE!$N$6:$N$10000,SALE!$A$6:$A$10000,$AR$3,SALE!$D$6:$D$10000,$C$5:$C$499)</f>
        <v>0</v>
      </c>
      <c r="AW8" s="72">
        <f t="shared" si="17"/>
        <v>0</v>
      </c>
      <c r="AX8" s="72">
        <f>SUMIFS(SALE!$K$6:$K$10000,SALE!$A$6:$A$10000,$AW$3,SALE!$D$6:$D$10000,$C$5:$C$499)</f>
        <v>0</v>
      </c>
      <c r="AY8" s="72">
        <f>SUMIFS(SALE!$L$6:$L$10000,SALE!$A$6:$A$10000,$AW$3,SALE!$D$6:$D$10000,$C$5:$C$499)</f>
        <v>0</v>
      </c>
      <c r="AZ8" s="72">
        <f>SUMIFS(SALE!$M$6:$M$10000,SALE!$A$6:$A$10000,$AW$3,SALE!$D$6:$D$10000,$C$5:$C$499)</f>
        <v>0</v>
      </c>
      <c r="BA8" s="72">
        <f>SUMIFS(SALE!$N$6:$N$10000,SALE!$A$6:$A$10000,$AW$3,SALE!$D$6:$D$10000,$C$5:$C$499)</f>
        <v>0</v>
      </c>
      <c r="BB8" s="72">
        <f t="shared" si="18"/>
        <v>0</v>
      </c>
      <c r="BC8" s="72">
        <f>SUMIFS(SALE!$K$6:$K$10000,SALE!$A$6:$A$10000,$BB$3,SALE!$D$6:$D$10000,$C$5:$C$499)</f>
        <v>0</v>
      </c>
      <c r="BD8" s="72">
        <f>SUMIFS(SALE!$L$6:$L$10000,SALE!$A$6:$A$10000,$BB$3,SALE!$D$6:$D$10000,$C$5:$C$499)</f>
        <v>0</v>
      </c>
      <c r="BE8" s="72">
        <f>SUMIFS(SALE!$M$6:$M$10000,SALE!$A$6:$A$10000,$BB$3,SALE!$D$6:$D$10000,$C$5:$C$499)</f>
        <v>0</v>
      </c>
      <c r="BF8" s="72">
        <f>SUMIFS(SALE!$N$6:$N$10000,SALE!$A$6:$A$10000,$BB$3,SALE!$D$6:$D$10000,$C$5:$C$499)</f>
        <v>0</v>
      </c>
      <c r="BG8" s="72">
        <f t="shared" si="19"/>
        <v>0</v>
      </c>
      <c r="BH8" s="72">
        <f>SUMIFS(SALE!$K$6:$K$10000,SALE!$A$6:$A$10000,$BG$3,SALE!$D$6:$D$10000,$C$5:$C$499)</f>
        <v>0</v>
      </c>
      <c r="BI8" s="72">
        <f>SUMIFS(SALE!$L$6:$L$10000,SALE!$A$6:$A$10000,$BG$3,SALE!$D$6:$D$10000,$C$5:$C$499)</f>
        <v>0</v>
      </c>
      <c r="BJ8" s="72">
        <f>SUMIFS(SALE!$M$6:$M$10000,SALE!$A$6:$A$10000,$BG$3,SALE!$D$6:$D$10000,$C$5:$C$499)</f>
        <v>0</v>
      </c>
      <c r="BK8" s="72">
        <f>SUMIFS(SALE!$N$6:$N$10000,SALE!$A$6:$A$10000,$BG$3,SALE!$D$6:$D$10000,$C$5:$C$499)</f>
        <v>0</v>
      </c>
      <c r="BL8" s="72">
        <f t="shared" si="3"/>
        <v>67260</v>
      </c>
      <c r="BM8" s="72">
        <f t="shared" si="4"/>
        <v>57000</v>
      </c>
      <c r="BN8" s="72">
        <f t="shared" si="5"/>
        <v>0</v>
      </c>
      <c r="BO8" s="72">
        <f t="shared" si="6"/>
        <v>5130</v>
      </c>
      <c r="BP8" s="72">
        <f t="shared" si="7"/>
        <v>5130</v>
      </c>
    </row>
    <row r="9" spans="1:68" x14ac:dyDescent="0.2">
      <c r="A9" s="467">
        <v>5</v>
      </c>
      <c r="B9" s="502" t="s">
        <v>124</v>
      </c>
      <c r="C9" s="502" t="s">
        <v>125</v>
      </c>
      <c r="D9" s="72">
        <f t="shared" si="8"/>
        <v>157596.84700000001</v>
      </c>
      <c r="E9" s="72">
        <f>SUMIFS(SALE!$K$6:$K$10000,SALE!$A$6:$A$10000,$D$3,SALE!$D$6:$D$10000,$C$5:$C$499)</f>
        <v>133556.65000000002</v>
      </c>
      <c r="F9" s="72">
        <f>SUMIFS(SALE!$L$6:$L$10000,SALE!$A$6:$A$10000,$D$3,SALE!$D$6:$D$10000,$C$5:$C$499)</f>
        <v>0</v>
      </c>
      <c r="G9" s="72">
        <f>SUMIFS(SALE!$M$6:$M$10000,SALE!$A$6:$A$10000,$D$3,SALE!$D$6:$D$10000,$C$5:$C$499)</f>
        <v>12020.098499999998</v>
      </c>
      <c r="H9" s="72">
        <f>SUMIFS(SALE!$N$6:$N$10000,SALE!$A$6:$A$10000,$D$3,SALE!$D$6:$D$10000,$C$5:$C$499)</f>
        <v>12020.098499999998</v>
      </c>
      <c r="I9" s="72">
        <f t="shared" si="9"/>
        <v>256898.97999999998</v>
      </c>
      <c r="J9" s="72">
        <f>SUMIFS(SALE!$K$6:$K$10000,SALE!$A$6:$A$10000,$I$3,SALE!$D$6:$D$10000,$C$5:$C$499)</f>
        <v>217711</v>
      </c>
      <c r="K9" s="72">
        <f>SUMIFS(SALE!$L$6:$L$10000,SALE!$A$6:$A$10000,$I$3,SALE!$D$6:$D$10000,$C$5:$C$499)</f>
        <v>0</v>
      </c>
      <c r="L9" s="72">
        <f>SUMIFS(SALE!$M$6:$M$10000,SALE!$A$6:$A$10000,$I$3,SALE!$D$6:$D$10000,$C$5:$C$499)</f>
        <v>19593.989999999998</v>
      </c>
      <c r="M9" s="72">
        <f>SUMIFS(SALE!$N$6:$N$10000,SALE!$A$6:$A$10000,$I$3,SALE!$D$6:$D$10000,$C$5:$C$499)</f>
        <v>19593.989999999998</v>
      </c>
      <c r="N9" s="72">
        <f t="shared" si="10"/>
        <v>465003.78</v>
      </c>
      <c r="O9" s="72">
        <f>SUMIFS(SALE!$K$6:$K$10000,SALE!$A$6:$A$10000,$N$3,SALE!$D$6:$D$10000,$C$5:$C$499)</f>
        <v>394071</v>
      </c>
      <c r="P9" s="72">
        <f>SUMIFS(SALE!$L$6:$L$10000,SALE!$A$6:$A$10000,$N$3,SALE!$D$6:$D$10000,$C$5:$C$499)</f>
        <v>0</v>
      </c>
      <c r="Q9" s="72">
        <f>SUMIFS(SALE!$M$6:$M$10000,SALE!$A$6:$A$10000,$N$3,SALE!$D$6:$D$10000,$C$5:$C$499)</f>
        <v>35466.39</v>
      </c>
      <c r="R9" s="72">
        <f>SUMIFS(SALE!$N$6:$N$10000,SALE!$A$6:$A$10000,$N$3,SALE!$D$6:$D$10000,$C$5:$C$499)</f>
        <v>35466.39</v>
      </c>
      <c r="S9" s="72">
        <f t="shared" si="11"/>
        <v>465003.78</v>
      </c>
      <c r="T9" s="72">
        <f>SUMIFS(SALE!$K$6:$K$10000,SALE!$A$6:$A$10000,$N$3,SALE!$D$6:$D$10000,$C$5:$C$499)</f>
        <v>394071</v>
      </c>
      <c r="U9" s="72">
        <f>SUMIFS(SALE!$L$6:$L$10000,SALE!$A$6:$A$10000,$N$3,SALE!$D$6:$D$10000,$C$5:$C$499)</f>
        <v>0</v>
      </c>
      <c r="V9" s="72">
        <f>SUMIFS(SALE!$M$6:$M$10000,SALE!$A$6:$A$10000,$N$3,SALE!$D$6:$D$10000,$C$5:$C$499)</f>
        <v>35466.39</v>
      </c>
      <c r="W9" s="72">
        <f>SUMIFS(SALE!$N$6:$N$10000,SALE!$A$6:$A$10000,$N$3,SALE!$D$6:$D$10000,$C$5:$C$499)</f>
        <v>35466.39</v>
      </c>
      <c r="X9" s="72">
        <f t="shared" si="12"/>
        <v>1803750.3599999999</v>
      </c>
      <c r="Y9" s="72">
        <f>SUMIFS(SALE!$K$6:$K$10000,SALE!$A$6:$A$10000,$X$3,SALE!$D$6:$D$10000,$C$5:$C$499)</f>
        <v>1528602</v>
      </c>
      <c r="Z9" s="72">
        <f>SUMIFS(SALE!$L$6:$L$10000,SALE!$A$6:$A$10000,$X$3,SALE!$D$6:$D$10000,$C$5:$C$499)</f>
        <v>0</v>
      </c>
      <c r="AA9" s="72">
        <f>SUMIFS(SALE!$M$6:$M$10000,SALE!$A$6:$A$10000,$X$3,SALE!$D$6:$D$10000,$C$5:$C$499)</f>
        <v>137574.18</v>
      </c>
      <c r="AB9" s="72">
        <f>SUMIFS(SALE!$N$6:$N$10000,SALE!$A$6:$A$10000,$X$3,SALE!$D$6:$D$10000,$C$5:$C$499)</f>
        <v>137574.18</v>
      </c>
      <c r="AC9" s="72">
        <f t="shared" si="13"/>
        <v>2019690.3599999999</v>
      </c>
      <c r="AD9" s="72">
        <f>SUMIFS(SALE!$K$6:$K$10000,SALE!$A$6:$A$10000,$AC$3,SALE!$D$6:$D$10000,$C$5:$C$499)</f>
        <v>1711602</v>
      </c>
      <c r="AE9" s="72">
        <f>SUMIFS(SALE!$L$6:$L$10000,SALE!$A$6:$A$10000,$AC$3,SALE!$D$6:$D$10000,$C$5:$C$499)</f>
        <v>0</v>
      </c>
      <c r="AF9" s="72">
        <f>SUMIFS(SALE!$M$6:$M$10000,SALE!$A$6:$A$10000,$AC$3,SALE!$D$6:$D$10000,$C$5:$C$499)</f>
        <v>154044.17999999996</v>
      </c>
      <c r="AG9" s="72">
        <f>SUMIFS(SALE!$N$6:$N$10000,SALE!$A$6:$A$10000,$AC$3,SALE!$D$6:$D$10000,$C$5:$C$499)</f>
        <v>154044.17999999996</v>
      </c>
      <c r="AH9" s="72">
        <f t="shared" si="14"/>
        <v>1026553.9199999999</v>
      </c>
      <c r="AI9" s="72">
        <f>SUMIFS(SALE!$K$6:$K$10000,SALE!$A$6:$A$10000,$AH$3,SALE!$D$6:$D$10000,$C$5:$C$499)</f>
        <v>916566</v>
      </c>
      <c r="AJ9" s="72">
        <f>SUMIFS(SALE!$L$6:$L$10000,SALE!$A$6:$A$10000,$AH$3,SALE!$D$6:$D$10000,$C$5:$C$499)</f>
        <v>0</v>
      </c>
      <c r="AK9" s="72">
        <f>SUMIFS(SALE!$M$6:$M$10000,SALE!$A$6:$A$10000,$AH$3,SALE!$D$6:$D$10000,$C$5:$C$499)</f>
        <v>54993.959999999992</v>
      </c>
      <c r="AL9" s="72">
        <f>SUMIFS(SALE!$N$6:$N$10000,SALE!$A$6:$A$10000,$AH$3,SALE!$D$6:$D$10000,$C$5:$C$499)</f>
        <v>54993.959999999992</v>
      </c>
      <c r="AM9" s="72">
        <f t="shared" si="15"/>
        <v>11965.2</v>
      </c>
      <c r="AN9" s="72">
        <f>SUMIFS(SALE!$K$6:$K$10000,SALE!$A$6:$A$10000,$AM$3,SALE!$D$6:$D$10000,$C$5:$C$499)</f>
        <v>10140</v>
      </c>
      <c r="AO9" s="72">
        <f>SUMIFS(SALE!$L$6:$L$10000,SALE!$A$6:$A$10000,$AM$3,SALE!$D$6:$D$10000,$C$5:$C$499)</f>
        <v>0</v>
      </c>
      <c r="AP9" s="72">
        <f>SUMIFS(SALE!$M$6:$M$10000,SALE!$A$6:$A$10000,$AM$3,SALE!$D$6:$D$10000,$C$5:$C$499)</f>
        <v>912.6</v>
      </c>
      <c r="AQ9" s="72">
        <f>SUMIFS(SALE!$N$6:$N$10000,SALE!$A$6:$A$10000,$AM$3,SALE!$D$6:$D$10000,$C$5:$C$499)</f>
        <v>912.6</v>
      </c>
      <c r="AR9" s="72">
        <f t="shared" si="16"/>
        <v>0</v>
      </c>
      <c r="AS9" s="72">
        <f>SUMIFS(SALE!$K$6:$K$10000,SALE!$A$6:$A$10000,$AR$3,SALE!$D$6:$D$10000,$C$5:$C$499)</f>
        <v>0</v>
      </c>
      <c r="AT9" s="72">
        <f>SUMIFS(SALE!$L$6:$L$10000,SALE!$A$6:$A$10000,$AR$3,SALE!$D$6:$D$10000,$C$5:$C$499)</f>
        <v>0</v>
      </c>
      <c r="AU9" s="72">
        <f>SUMIFS(SALE!$M$6:$M$10000,SALE!$A$6:$A$10000,$AR$3,SALE!$D$6:$D$10000,$C$5:$C$499)</f>
        <v>0</v>
      </c>
      <c r="AV9" s="72">
        <f>SUMIFS(SALE!$N$6:$N$10000,SALE!$A$6:$A$10000,$AR$3,SALE!$D$6:$D$10000,$C$5:$C$499)</f>
        <v>0</v>
      </c>
      <c r="AW9" s="72">
        <f t="shared" si="17"/>
        <v>0</v>
      </c>
      <c r="AX9" s="72">
        <f>SUMIFS(SALE!$K$6:$K$10000,SALE!$A$6:$A$10000,$AW$3,SALE!$D$6:$D$10000,$C$5:$C$499)</f>
        <v>0</v>
      </c>
      <c r="AY9" s="72">
        <f>SUMIFS(SALE!$L$6:$L$10000,SALE!$A$6:$A$10000,$AW$3,SALE!$D$6:$D$10000,$C$5:$C$499)</f>
        <v>0</v>
      </c>
      <c r="AZ9" s="72">
        <f>SUMIFS(SALE!$M$6:$M$10000,SALE!$A$6:$A$10000,$AW$3,SALE!$D$6:$D$10000,$C$5:$C$499)</f>
        <v>0</v>
      </c>
      <c r="BA9" s="72">
        <f>SUMIFS(SALE!$N$6:$N$10000,SALE!$A$6:$A$10000,$AW$3,SALE!$D$6:$D$10000,$C$5:$C$499)</f>
        <v>0</v>
      </c>
      <c r="BB9" s="72">
        <f t="shared" si="18"/>
        <v>0</v>
      </c>
      <c r="BC9" s="72">
        <f>SUMIFS(SALE!$K$6:$K$10000,SALE!$A$6:$A$10000,$BB$3,SALE!$D$6:$D$10000,$C$5:$C$499)</f>
        <v>0</v>
      </c>
      <c r="BD9" s="72">
        <f>SUMIFS(SALE!$L$6:$L$10000,SALE!$A$6:$A$10000,$BB$3,SALE!$D$6:$D$10000,$C$5:$C$499)</f>
        <v>0</v>
      </c>
      <c r="BE9" s="72">
        <f>SUMIFS(SALE!$M$6:$M$10000,SALE!$A$6:$A$10000,$BB$3,SALE!$D$6:$D$10000,$C$5:$C$499)</f>
        <v>0</v>
      </c>
      <c r="BF9" s="72">
        <f>SUMIFS(SALE!$N$6:$N$10000,SALE!$A$6:$A$10000,$BB$3,SALE!$D$6:$D$10000,$C$5:$C$499)</f>
        <v>0</v>
      </c>
      <c r="BG9" s="72">
        <f t="shared" si="19"/>
        <v>0</v>
      </c>
      <c r="BH9" s="72">
        <f>SUMIFS(SALE!$K$6:$K$10000,SALE!$A$6:$A$10000,$BG$3,SALE!$D$6:$D$10000,$C$5:$C$499)</f>
        <v>0</v>
      </c>
      <c r="BI9" s="72">
        <f>SUMIFS(SALE!$L$6:$L$10000,SALE!$A$6:$A$10000,$BG$3,SALE!$D$6:$D$10000,$C$5:$C$499)</f>
        <v>0</v>
      </c>
      <c r="BJ9" s="72">
        <f>SUMIFS(SALE!$M$6:$M$10000,SALE!$A$6:$A$10000,$BG$3,SALE!$D$6:$D$10000,$C$5:$C$499)</f>
        <v>0</v>
      </c>
      <c r="BK9" s="72">
        <f>SUMIFS(SALE!$N$6:$N$10000,SALE!$A$6:$A$10000,$BG$3,SALE!$D$6:$D$10000,$C$5:$C$499)</f>
        <v>0</v>
      </c>
      <c r="BL9" s="72">
        <f t="shared" si="3"/>
        <v>6206463.227</v>
      </c>
      <c r="BM9" s="72">
        <f t="shared" si="4"/>
        <v>5306319.6500000004</v>
      </c>
      <c r="BN9" s="72">
        <f t="shared" si="5"/>
        <v>0</v>
      </c>
      <c r="BO9" s="72">
        <f t="shared" si="6"/>
        <v>450071.78849999991</v>
      </c>
      <c r="BP9" s="72">
        <f t="shared" si="7"/>
        <v>450071.78849999991</v>
      </c>
    </row>
    <row r="10" spans="1:68" x14ac:dyDescent="0.2">
      <c r="A10" s="467">
        <v>6</v>
      </c>
      <c r="B10" s="499" t="s">
        <v>239</v>
      </c>
      <c r="C10" s="499" t="s">
        <v>240</v>
      </c>
      <c r="D10" s="72">
        <f t="shared" si="8"/>
        <v>0</v>
      </c>
      <c r="E10" s="72">
        <f>SUMIFS(SALE!$K$6:$K$10000,SALE!$A$6:$A$10000,$D$3,SALE!$D$6:$D$10000,$C$5:$C$499)</f>
        <v>0</v>
      </c>
      <c r="F10" s="72">
        <f>SUMIFS(SALE!$L$6:$L$10000,SALE!$A$6:$A$10000,$D$3,SALE!$D$6:$D$10000,$C$5:$C$499)</f>
        <v>0</v>
      </c>
      <c r="G10" s="72">
        <f>SUMIFS(SALE!$M$6:$M$10000,SALE!$A$6:$A$10000,$D$3,SALE!$D$6:$D$10000,$C$5:$C$499)</f>
        <v>0</v>
      </c>
      <c r="H10" s="72">
        <f>SUMIFS(SALE!$N$6:$N$10000,SALE!$A$6:$A$10000,$D$3,SALE!$D$6:$D$10000,$C$5:$C$499)</f>
        <v>0</v>
      </c>
      <c r="I10" s="72">
        <f t="shared" si="9"/>
        <v>0</v>
      </c>
      <c r="J10" s="72">
        <f>SUMIFS(SALE!$K$6:$K$10000,SALE!$A$6:$A$10000,$I$3,SALE!$D$6:$D$10000,$C$5:$C$499)</f>
        <v>0</v>
      </c>
      <c r="K10" s="72">
        <f>SUMIFS(SALE!$L$6:$L$10000,SALE!$A$6:$A$10000,$I$3,SALE!$D$6:$D$10000,$C$5:$C$499)</f>
        <v>0</v>
      </c>
      <c r="L10" s="72">
        <f>SUMIFS(SALE!$M$6:$M$10000,SALE!$A$6:$A$10000,$I$3,SALE!$D$6:$D$10000,$C$5:$C$499)</f>
        <v>0</v>
      </c>
      <c r="M10" s="72">
        <f>SUMIFS(SALE!$N$6:$N$10000,SALE!$A$6:$A$10000,$I$3,SALE!$D$6:$D$10000,$C$5:$C$499)</f>
        <v>0</v>
      </c>
      <c r="N10" s="72">
        <f t="shared" si="10"/>
        <v>0</v>
      </c>
      <c r="O10" s="72">
        <f>SUMIFS(SALE!$K$6:$K$10000,SALE!$A$6:$A$10000,$N$3,SALE!$D$6:$D$10000,$C$5:$C$499)</f>
        <v>0</v>
      </c>
      <c r="P10" s="72">
        <f>SUMIFS(SALE!$L$6:$L$10000,SALE!$A$6:$A$10000,$N$3,SALE!$D$6:$D$10000,$C$5:$C$499)</f>
        <v>0</v>
      </c>
      <c r="Q10" s="72">
        <f>SUMIFS(SALE!$M$6:$M$10000,SALE!$A$6:$A$10000,$N$3,SALE!$D$6:$D$10000,$C$5:$C$499)</f>
        <v>0</v>
      </c>
      <c r="R10" s="72">
        <f>SUMIFS(SALE!$N$6:$N$10000,SALE!$A$6:$A$10000,$N$3,SALE!$D$6:$D$10000,$C$5:$C$499)</f>
        <v>0</v>
      </c>
      <c r="S10" s="72">
        <f t="shared" si="11"/>
        <v>0</v>
      </c>
      <c r="T10" s="72">
        <f>SUMIFS(SALE!$K$6:$K$10000,SALE!$A$6:$A$10000,$N$3,SALE!$D$6:$D$10000,$C$5:$C$499)</f>
        <v>0</v>
      </c>
      <c r="U10" s="72">
        <f>SUMIFS(SALE!$L$6:$L$10000,SALE!$A$6:$A$10000,$N$3,SALE!$D$6:$D$10000,$C$5:$C$499)</f>
        <v>0</v>
      </c>
      <c r="V10" s="72">
        <f>SUMIFS(SALE!$M$6:$M$10000,SALE!$A$6:$A$10000,$N$3,SALE!$D$6:$D$10000,$C$5:$C$499)</f>
        <v>0</v>
      </c>
      <c r="W10" s="72">
        <f>SUMIFS(SALE!$N$6:$N$10000,SALE!$A$6:$A$10000,$N$3,SALE!$D$6:$D$10000,$C$5:$C$499)</f>
        <v>0</v>
      </c>
      <c r="X10" s="72">
        <f t="shared" si="12"/>
        <v>0</v>
      </c>
      <c r="Y10" s="72">
        <f>SUMIFS(SALE!$K$6:$K$10000,SALE!$A$6:$A$10000,$X$3,SALE!$D$6:$D$10000,$C$5:$C$499)</f>
        <v>0</v>
      </c>
      <c r="Z10" s="72">
        <f>SUMIFS(SALE!$L$6:$L$10000,SALE!$A$6:$A$10000,$X$3,SALE!$D$6:$D$10000,$C$5:$C$499)</f>
        <v>0</v>
      </c>
      <c r="AA10" s="72">
        <f>SUMIFS(SALE!$M$6:$M$10000,SALE!$A$6:$A$10000,$X$3,SALE!$D$6:$D$10000,$C$5:$C$499)</f>
        <v>0</v>
      </c>
      <c r="AB10" s="72">
        <f>SUMIFS(SALE!$N$6:$N$10000,SALE!$A$6:$A$10000,$X$3,SALE!$D$6:$D$10000,$C$5:$C$499)</f>
        <v>0</v>
      </c>
      <c r="AC10" s="72">
        <f t="shared" si="13"/>
        <v>0</v>
      </c>
      <c r="AD10" s="72">
        <f>SUMIFS(SALE!$K$6:$K$10000,SALE!$A$6:$A$10000,$AC$3,SALE!$D$6:$D$10000,$C$5:$C$499)</f>
        <v>0</v>
      </c>
      <c r="AE10" s="72">
        <f>SUMIFS(SALE!$L$6:$L$10000,SALE!$A$6:$A$10000,$AC$3,SALE!$D$6:$D$10000,$C$5:$C$499)</f>
        <v>0</v>
      </c>
      <c r="AF10" s="72">
        <f>SUMIFS(SALE!$M$6:$M$10000,SALE!$A$6:$A$10000,$AC$3,SALE!$D$6:$D$10000,$C$5:$C$499)</f>
        <v>0</v>
      </c>
      <c r="AG10" s="72">
        <f>SUMIFS(SALE!$N$6:$N$10000,SALE!$A$6:$A$10000,$AC$3,SALE!$D$6:$D$10000,$C$5:$C$499)</f>
        <v>0</v>
      </c>
      <c r="AH10" s="72">
        <f t="shared" si="14"/>
        <v>0</v>
      </c>
      <c r="AI10" s="72">
        <f>SUMIFS(SALE!$K$6:$K$10000,SALE!$A$6:$A$10000,$AH$3,SALE!$D$6:$D$10000,$C$5:$C$499)</f>
        <v>0</v>
      </c>
      <c r="AJ10" s="72">
        <f>SUMIFS(SALE!$L$6:$L$10000,SALE!$A$6:$A$10000,$AH$3,SALE!$D$6:$D$10000,$C$5:$C$499)</f>
        <v>0</v>
      </c>
      <c r="AK10" s="72">
        <f>SUMIFS(SALE!$M$6:$M$10000,SALE!$A$6:$A$10000,$AH$3,SALE!$D$6:$D$10000,$C$5:$C$499)</f>
        <v>0</v>
      </c>
      <c r="AL10" s="72">
        <f>SUMIFS(SALE!$N$6:$N$10000,SALE!$A$6:$A$10000,$AH$3,SALE!$D$6:$D$10000,$C$5:$C$499)</f>
        <v>0</v>
      </c>
      <c r="AM10" s="72">
        <f t="shared" si="15"/>
        <v>0</v>
      </c>
      <c r="AN10" s="72">
        <f>SUMIFS(SALE!$K$6:$K$10000,SALE!$A$6:$A$10000,$AM$3,SALE!$D$6:$D$10000,$C$5:$C$499)</f>
        <v>0</v>
      </c>
      <c r="AO10" s="72">
        <f>SUMIFS(SALE!$L$6:$L$10000,SALE!$A$6:$A$10000,$AM$3,SALE!$D$6:$D$10000,$C$5:$C$499)</f>
        <v>0</v>
      </c>
      <c r="AP10" s="72">
        <f>SUMIFS(SALE!$M$6:$M$10000,SALE!$A$6:$A$10000,$AM$3,SALE!$D$6:$D$10000,$C$5:$C$499)</f>
        <v>0</v>
      </c>
      <c r="AQ10" s="72">
        <f>SUMIFS(SALE!$N$6:$N$10000,SALE!$A$6:$A$10000,$AM$3,SALE!$D$6:$D$10000,$C$5:$C$499)</f>
        <v>0</v>
      </c>
      <c r="AR10" s="72">
        <f t="shared" si="16"/>
        <v>0</v>
      </c>
      <c r="AS10" s="72">
        <f>SUMIFS(SALE!$K$6:$K$10000,SALE!$A$6:$A$10000,$AR$3,SALE!$D$6:$D$10000,$C$5:$C$499)</f>
        <v>0</v>
      </c>
      <c r="AT10" s="72">
        <f>SUMIFS(SALE!$L$6:$L$10000,SALE!$A$6:$A$10000,$AR$3,SALE!$D$6:$D$10000,$C$5:$C$499)</f>
        <v>0</v>
      </c>
      <c r="AU10" s="72">
        <f>SUMIFS(SALE!$M$6:$M$10000,SALE!$A$6:$A$10000,$AR$3,SALE!$D$6:$D$10000,$C$5:$C$499)</f>
        <v>0</v>
      </c>
      <c r="AV10" s="72">
        <f>SUMIFS(SALE!$N$6:$N$10000,SALE!$A$6:$A$10000,$AR$3,SALE!$D$6:$D$10000,$C$5:$C$499)</f>
        <v>0</v>
      </c>
      <c r="AW10" s="72">
        <f t="shared" si="17"/>
        <v>0</v>
      </c>
      <c r="AX10" s="72">
        <f>SUMIFS(SALE!$K$6:$K$10000,SALE!$A$6:$A$10000,$AW$3,SALE!$D$6:$D$10000,$C$5:$C$499)</f>
        <v>0</v>
      </c>
      <c r="AY10" s="72">
        <f>SUMIFS(SALE!$L$6:$L$10000,SALE!$A$6:$A$10000,$AW$3,SALE!$D$6:$D$10000,$C$5:$C$499)</f>
        <v>0</v>
      </c>
      <c r="AZ10" s="72">
        <f>SUMIFS(SALE!$M$6:$M$10000,SALE!$A$6:$A$10000,$AW$3,SALE!$D$6:$D$10000,$C$5:$C$499)</f>
        <v>0</v>
      </c>
      <c r="BA10" s="72">
        <f>SUMIFS(SALE!$N$6:$N$10000,SALE!$A$6:$A$10000,$AW$3,SALE!$D$6:$D$10000,$C$5:$C$499)</f>
        <v>0</v>
      </c>
      <c r="BB10" s="72">
        <f t="shared" si="18"/>
        <v>0</v>
      </c>
      <c r="BC10" s="72">
        <f>SUMIFS(SALE!$K$6:$K$10000,SALE!$A$6:$A$10000,$BB$3,SALE!$D$6:$D$10000,$C$5:$C$499)</f>
        <v>0</v>
      </c>
      <c r="BD10" s="72">
        <f>SUMIFS(SALE!$L$6:$L$10000,SALE!$A$6:$A$10000,$BB$3,SALE!$D$6:$D$10000,$C$5:$C$499)</f>
        <v>0</v>
      </c>
      <c r="BE10" s="72">
        <f>SUMIFS(SALE!$M$6:$M$10000,SALE!$A$6:$A$10000,$BB$3,SALE!$D$6:$D$10000,$C$5:$C$499)</f>
        <v>0</v>
      </c>
      <c r="BF10" s="72">
        <f>SUMIFS(SALE!$N$6:$N$10000,SALE!$A$6:$A$10000,$BB$3,SALE!$D$6:$D$10000,$C$5:$C$499)</f>
        <v>0</v>
      </c>
      <c r="BG10" s="72">
        <f t="shared" si="19"/>
        <v>0</v>
      </c>
      <c r="BH10" s="72">
        <f>SUMIFS(SALE!$K$6:$K$10000,SALE!$A$6:$A$10000,$BG$3,SALE!$D$6:$D$10000,$C$5:$C$499)</f>
        <v>0</v>
      </c>
      <c r="BI10" s="72">
        <f>SUMIFS(SALE!$L$6:$L$10000,SALE!$A$6:$A$10000,$BG$3,SALE!$D$6:$D$10000,$C$5:$C$499)</f>
        <v>0</v>
      </c>
      <c r="BJ10" s="72">
        <f>SUMIFS(SALE!$M$6:$M$10000,SALE!$A$6:$A$10000,$BG$3,SALE!$D$6:$D$10000,$C$5:$C$499)</f>
        <v>0</v>
      </c>
      <c r="BK10" s="72">
        <f>SUMIFS(SALE!$N$6:$N$10000,SALE!$A$6:$A$10000,$BG$3,SALE!$D$6:$D$10000,$C$5:$C$499)</f>
        <v>0</v>
      </c>
      <c r="BL10" s="72">
        <f t="shared" si="3"/>
        <v>0</v>
      </c>
      <c r="BM10" s="72">
        <f t="shared" si="4"/>
        <v>0</v>
      </c>
      <c r="BN10" s="72">
        <f t="shared" si="5"/>
        <v>0</v>
      </c>
      <c r="BO10" s="72">
        <f t="shared" si="6"/>
        <v>0</v>
      </c>
      <c r="BP10" s="72">
        <f t="shared" si="7"/>
        <v>0</v>
      </c>
    </row>
    <row r="11" spans="1:68" x14ac:dyDescent="0.2">
      <c r="A11" s="467">
        <v>7</v>
      </c>
      <c r="B11" s="501" t="s">
        <v>54</v>
      </c>
      <c r="C11" s="503" t="s">
        <v>55</v>
      </c>
      <c r="D11" s="72">
        <f t="shared" si="8"/>
        <v>23342.760000000002</v>
      </c>
      <c r="E11" s="72">
        <f>SUMIFS(SALE!$K$6:$K$10000,SALE!$A$6:$A$10000,$D$3,SALE!$D$6:$D$10000,$C$5:$C$499)</f>
        <v>19782</v>
      </c>
      <c r="F11" s="72">
        <f>SUMIFS(SALE!$L$6:$L$10000,SALE!$A$6:$A$10000,$D$3,SALE!$D$6:$D$10000,$C$5:$C$499)</f>
        <v>0</v>
      </c>
      <c r="G11" s="72">
        <f>SUMIFS(SALE!$M$6:$M$10000,SALE!$A$6:$A$10000,$D$3,SALE!$D$6:$D$10000,$C$5:$C$499)</f>
        <v>1780.3799999999999</v>
      </c>
      <c r="H11" s="72">
        <f>SUMIFS(SALE!$N$6:$N$10000,SALE!$A$6:$A$10000,$D$3,SALE!$D$6:$D$10000,$C$5:$C$499)</f>
        <v>1780.3799999999999</v>
      </c>
      <c r="I11" s="72">
        <f t="shared" si="9"/>
        <v>0</v>
      </c>
      <c r="J11" s="72">
        <f>SUMIFS(SALE!$K$6:$K$10000,SALE!$A$6:$A$10000,$I$3,SALE!$D$6:$D$10000,$C$5:$C$499)</f>
        <v>0</v>
      </c>
      <c r="K11" s="72">
        <f>SUMIFS(SALE!$L$6:$L$10000,SALE!$A$6:$A$10000,$I$3,SALE!$D$6:$D$10000,$C$5:$C$499)</f>
        <v>0</v>
      </c>
      <c r="L11" s="72">
        <f>SUMIFS(SALE!$M$6:$M$10000,SALE!$A$6:$A$10000,$I$3,SALE!$D$6:$D$10000,$C$5:$C$499)</f>
        <v>0</v>
      </c>
      <c r="M11" s="72">
        <f>SUMIFS(SALE!$N$6:$N$10000,SALE!$A$6:$A$10000,$I$3,SALE!$D$6:$D$10000,$C$5:$C$499)</f>
        <v>0</v>
      </c>
      <c r="N11" s="72">
        <f t="shared" si="10"/>
        <v>0</v>
      </c>
      <c r="O11" s="72">
        <f>SUMIFS(SALE!$K$6:$K$10000,SALE!$A$6:$A$10000,$N$3,SALE!$D$6:$D$10000,$C$5:$C$499)</f>
        <v>0</v>
      </c>
      <c r="P11" s="72">
        <f>SUMIFS(SALE!$L$6:$L$10000,SALE!$A$6:$A$10000,$N$3,SALE!$D$6:$D$10000,$C$5:$C$499)</f>
        <v>0</v>
      </c>
      <c r="Q11" s="72">
        <f>SUMIFS(SALE!$M$6:$M$10000,SALE!$A$6:$A$10000,$N$3,SALE!$D$6:$D$10000,$C$5:$C$499)</f>
        <v>0</v>
      </c>
      <c r="R11" s="72">
        <f>SUMIFS(SALE!$N$6:$N$10000,SALE!$A$6:$A$10000,$N$3,SALE!$D$6:$D$10000,$C$5:$C$499)</f>
        <v>0</v>
      </c>
      <c r="S11" s="72">
        <f t="shared" si="11"/>
        <v>0</v>
      </c>
      <c r="T11" s="72">
        <f>SUMIFS(SALE!$K$6:$K$10000,SALE!$A$6:$A$10000,$N$3,SALE!$D$6:$D$10000,$C$5:$C$499)</f>
        <v>0</v>
      </c>
      <c r="U11" s="72">
        <f>SUMIFS(SALE!$L$6:$L$10000,SALE!$A$6:$A$10000,$N$3,SALE!$D$6:$D$10000,$C$5:$C$499)</f>
        <v>0</v>
      </c>
      <c r="V11" s="72">
        <f>SUMIFS(SALE!$M$6:$M$10000,SALE!$A$6:$A$10000,$N$3,SALE!$D$6:$D$10000,$C$5:$C$499)</f>
        <v>0</v>
      </c>
      <c r="W11" s="72">
        <f>SUMIFS(SALE!$N$6:$N$10000,SALE!$A$6:$A$10000,$N$3,SALE!$D$6:$D$10000,$C$5:$C$499)</f>
        <v>0</v>
      </c>
      <c r="X11" s="72">
        <f t="shared" si="12"/>
        <v>0</v>
      </c>
      <c r="Y11" s="72">
        <f>SUMIFS(SALE!$K$6:$K$10000,SALE!$A$6:$A$10000,$X$3,SALE!$D$6:$D$10000,$C$5:$C$499)</f>
        <v>0</v>
      </c>
      <c r="Z11" s="72">
        <f>SUMIFS(SALE!$L$6:$L$10000,SALE!$A$6:$A$10000,$X$3,SALE!$D$6:$D$10000,$C$5:$C$499)</f>
        <v>0</v>
      </c>
      <c r="AA11" s="72">
        <f>SUMIFS(SALE!$M$6:$M$10000,SALE!$A$6:$A$10000,$X$3,SALE!$D$6:$D$10000,$C$5:$C$499)</f>
        <v>0</v>
      </c>
      <c r="AB11" s="72">
        <f>SUMIFS(SALE!$N$6:$N$10000,SALE!$A$6:$A$10000,$X$3,SALE!$D$6:$D$10000,$C$5:$C$499)</f>
        <v>0</v>
      </c>
      <c r="AC11" s="72">
        <f t="shared" si="13"/>
        <v>0</v>
      </c>
      <c r="AD11" s="72">
        <f>SUMIFS(SALE!$K$6:$K$10000,SALE!$A$6:$A$10000,$AC$3,SALE!$D$6:$D$10000,$C$5:$C$499)</f>
        <v>0</v>
      </c>
      <c r="AE11" s="72">
        <f>SUMIFS(SALE!$L$6:$L$10000,SALE!$A$6:$A$10000,$AC$3,SALE!$D$6:$D$10000,$C$5:$C$499)</f>
        <v>0</v>
      </c>
      <c r="AF11" s="72">
        <f>SUMIFS(SALE!$M$6:$M$10000,SALE!$A$6:$A$10000,$AC$3,SALE!$D$6:$D$10000,$C$5:$C$499)</f>
        <v>0</v>
      </c>
      <c r="AG11" s="72">
        <f>SUMIFS(SALE!$N$6:$N$10000,SALE!$A$6:$A$10000,$AC$3,SALE!$D$6:$D$10000,$C$5:$C$499)</f>
        <v>0</v>
      </c>
      <c r="AH11" s="72">
        <f t="shared" si="14"/>
        <v>0</v>
      </c>
      <c r="AI11" s="72">
        <f>SUMIFS(SALE!$K$6:$K$10000,SALE!$A$6:$A$10000,$AH$3,SALE!$D$6:$D$10000,$C$5:$C$499)</f>
        <v>0</v>
      </c>
      <c r="AJ11" s="72">
        <f>SUMIFS(SALE!$L$6:$L$10000,SALE!$A$6:$A$10000,$AH$3,SALE!$D$6:$D$10000,$C$5:$C$499)</f>
        <v>0</v>
      </c>
      <c r="AK11" s="72">
        <f>SUMIFS(SALE!$M$6:$M$10000,SALE!$A$6:$A$10000,$AH$3,SALE!$D$6:$D$10000,$C$5:$C$499)</f>
        <v>0</v>
      </c>
      <c r="AL11" s="72">
        <f>SUMIFS(SALE!$N$6:$N$10000,SALE!$A$6:$A$10000,$AH$3,SALE!$D$6:$D$10000,$C$5:$C$499)</f>
        <v>0</v>
      </c>
      <c r="AM11" s="72">
        <f t="shared" si="15"/>
        <v>0</v>
      </c>
      <c r="AN11" s="72">
        <f>SUMIFS(SALE!$K$6:$K$10000,SALE!$A$6:$A$10000,$AM$3,SALE!$D$6:$D$10000,$C$5:$C$499)</f>
        <v>0</v>
      </c>
      <c r="AO11" s="72">
        <f>SUMIFS(SALE!$L$6:$L$10000,SALE!$A$6:$A$10000,$AM$3,SALE!$D$6:$D$10000,$C$5:$C$499)</f>
        <v>0</v>
      </c>
      <c r="AP11" s="72">
        <f>SUMIFS(SALE!$M$6:$M$10000,SALE!$A$6:$A$10000,$AM$3,SALE!$D$6:$D$10000,$C$5:$C$499)</f>
        <v>0</v>
      </c>
      <c r="AQ11" s="72">
        <f>SUMIFS(SALE!$N$6:$N$10000,SALE!$A$6:$A$10000,$AM$3,SALE!$D$6:$D$10000,$C$5:$C$499)</f>
        <v>0</v>
      </c>
      <c r="AR11" s="72">
        <f t="shared" si="16"/>
        <v>0</v>
      </c>
      <c r="AS11" s="72">
        <f>SUMIFS(SALE!$K$6:$K$10000,SALE!$A$6:$A$10000,$AR$3,SALE!$D$6:$D$10000,$C$5:$C$499)</f>
        <v>0</v>
      </c>
      <c r="AT11" s="72">
        <f>SUMIFS(SALE!$L$6:$L$10000,SALE!$A$6:$A$10000,$AR$3,SALE!$D$6:$D$10000,$C$5:$C$499)</f>
        <v>0</v>
      </c>
      <c r="AU11" s="72">
        <f>SUMIFS(SALE!$M$6:$M$10000,SALE!$A$6:$A$10000,$AR$3,SALE!$D$6:$D$10000,$C$5:$C$499)</f>
        <v>0</v>
      </c>
      <c r="AV11" s="72">
        <f>SUMIFS(SALE!$N$6:$N$10000,SALE!$A$6:$A$10000,$AR$3,SALE!$D$6:$D$10000,$C$5:$C$499)</f>
        <v>0</v>
      </c>
      <c r="AW11" s="72">
        <f t="shared" si="17"/>
        <v>0</v>
      </c>
      <c r="AX11" s="72">
        <f>SUMIFS(SALE!$K$6:$K$10000,SALE!$A$6:$A$10000,$AW$3,SALE!$D$6:$D$10000,$C$5:$C$499)</f>
        <v>0</v>
      </c>
      <c r="AY11" s="72">
        <f>SUMIFS(SALE!$L$6:$L$10000,SALE!$A$6:$A$10000,$AW$3,SALE!$D$6:$D$10000,$C$5:$C$499)</f>
        <v>0</v>
      </c>
      <c r="AZ11" s="72">
        <f>SUMIFS(SALE!$M$6:$M$10000,SALE!$A$6:$A$10000,$AW$3,SALE!$D$6:$D$10000,$C$5:$C$499)</f>
        <v>0</v>
      </c>
      <c r="BA11" s="72">
        <f>SUMIFS(SALE!$N$6:$N$10000,SALE!$A$6:$A$10000,$AW$3,SALE!$D$6:$D$10000,$C$5:$C$499)</f>
        <v>0</v>
      </c>
      <c r="BB11" s="72">
        <f t="shared" si="18"/>
        <v>0</v>
      </c>
      <c r="BC11" s="72">
        <f>SUMIFS(SALE!$K$6:$K$10000,SALE!$A$6:$A$10000,$BB$3,SALE!$D$6:$D$10000,$C$5:$C$499)</f>
        <v>0</v>
      </c>
      <c r="BD11" s="72">
        <f>SUMIFS(SALE!$L$6:$L$10000,SALE!$A$6:$A$10000,$BB$3,SALE!$D$6:$D$10000,$C$5:$C$499)</f>
        <v>0</v>
      </c>
      <c r="BE11" s="72">
        <f>SUMIFS(SALE!$M$6:$M$10000,SALE!$A$6:$A$10000,$BB$3,SALE!$D$6:$D$10000,$C$5:$C$499)</f>
        <v>0</v>
      </c>
      <c r="BF11" s="72">
        <f>SUMIFS(SALE!$N$6:$N$10000,SALE!$A$6:$A$10000,$BB$3,SALE!$D$6:$D$10000,$C$5:$C$499)</f>
        <v>0</v>
      </c>
      <c r="BG11" s="72">
        <f t="shared" si="19"/>
        <v>0</v>
      </c>
      <c r="BH11" s="72">
        <f>SUMIFS(SALE!$K$6:$K$10000,SALE!$A$6:$A$10000,$BG$3,SALE!$D$6:$D$10000,$C$5:$C$499)</f>
        <v>0</v>
      </c>
      <c r="BI11" s="72">
        <f>SUMIFS(SALE!$L$6:$L$10000,SALE!$A$6:$A$10000,$BG$3,SALE!$D$6:$D$10000,$C$5:$C$499)</f>
        <v>0</v>
      </c>
      <c r="BJ11" s="72">
        <f>SUMIFS(SALE!$M$6:$M$10000,SALE!$A$6:$A$10000,$BG$3,SALE!$D$6:$D$10000,$C$5:$C$499)</f>
        <v>0</v>
      </c>
      <c r="BK11" s="72">
        <f>SUMIFS(SALE!$N$6:$N$10000,SALE!$A$6:$A$10000,$BG$3,SALE!$D$6:$D$10000,$C$5:$C$499)</f>
        <v>0</v>
      </c>
      <c r="BL11" s="72">
        <f t="shared" si="3"/>
        <v>23342.760000000002</v>
      </c>
      <c r="BM11" s="72">
        <f t="shared" si="4"/>
        <v>19782</v>
      </c>
      <c r="BN11" s="72">
        <f t="shared" si="5"/>
        <v>0</v>
      </c>
      <c r="BO11" s="72">
        <f t="shared" si="6"/>
        <v>1780.3799999999999</v>
      </c>
      <c r="BP11" s="72">
        <f t="shared" si="7"/>
        <v>1780.3799999999999</v>
      </c>
    </row>
    <row r="12" spans="1:68" x14ac:dyDescent="0.2">
      <c r="A12" s="467">
        <v>8</v>
      </c>
      <c r="B12" s="501" t="s">
        <v>45</v>
      </c>
      <c r="C12" s="503" t="s">
        <v>46</v>
      </c>
      <c r="D12" s="72">
        <f t="shared" si="8"/>
        <v>344591.88360000006</v>
      </c>
      <c r="E12" s="72">
        <f>SUMIFS(SALE!$K$6:$K$10000,SALE!$A$6:$A$10000,$D$3,SALE!$D$6:$D$10000,$C$5:$C$499)</f>
        <v>292027.02</v>
      </c>
      <c r="F12" s="72">
        <f>SUMIFS(SALE!$L$6:$L$10000,SALE!$A$6:$A$10000,$D$3,SALE!$D$6:$D$10000,$C$5:$C$499)</f>
        <v>0</v>
      </c>
      <c r="G12" s="72">
        <f>SUMIFS(SALE!$M$6:$M$10000,SALE!$A$6:$A$10000,$D$3,SALE!$D$6:$D$10000,$C$5:$C$499)</f>
        <v>26282.431800000006</v>
      </c>
      <c r="H12" s="72">
        <f>SUMIFS(SALE!$N$6:$N$10000,SALE!$A$6:$A$10000,$D$3,SALE!$D$6:$D$10000,$C$5:$C$499)</f>
        <v>26282.431800000006</v>
      </c>
      <c r="I12" s="72">
        <f t="shared" si="9"/>
        <v>889932.56519999972</v>
      </c>
      <c r="J12" s="72">
        <f>SUMIFS(SALE!$K$6:$K$10000,SALE!$A$6:$A$10000,$I$3,SALE!$D$6:$D$10000,$C$5:$C$499)</f>
        <v>754180.13999999978</v>
      </c>
      <c r="K12" s="72">
        <f>SUMIFS(SALE!$L$6:$L$10000,SALE!$A$6:$A$10000,$I$3,SALE!$D$6:$D$10000,$C$5:$C$499)</f>
        <v>0</v>
      </c>
      <c r="L12" s="72">
        <f>SUMIFS(SALE!$M$6:$M$10000,SALE!$A$6:$A$10000,$I$3,SALE!$D$6:$D$10000,$C$5:$C$499)</f>
        <v>67876.212599999999</v>
      </c>
      <c r="M12" s="72">
        <f>SUMIFS(SALE!$N$6:$N$10000,SALE!$A$6:$A$10000,$I$3,SALE!$D$6:$D$10000,$C$5:$C$499)</f>
        <v>67876.212599999999</v>
      </c>
      <c r="N12" s="72">
        <f t="shared" si="10"/>
        <v>1147887.1614000001</v>
      </c>
      <c r="O12" s="72">
        <f>SUMIFS(SALE!$K$6:$K$10000,SALE!$A$6:$A$10000,$N$3,SALE!$D$6:$D$10000,$C$5:$C$499)</f>
        <v>972785.73</v>
      </c>
      <c r="P12" s="72">
        <f>SUMIFS(SALE!$L$6:$L$10000,SALE!$A$6:$A$10000,$N$3,SALE!$D$6:$D$10000,$C$5:$C$499)</f>
        <v>0</v>
      </c>
      <c r="Q12" s="72">
        <f>SUMIFS(SALE!$M$6:$M$10000,SALE!$A$6:$A$10000,$N$3,SALE!$D$6:$D$10000,$C$5:$C$499)</f>
        <v>87550.715699999986</v>
      </c>
      <c r="R12" s="72">
        <f>SUMIFS(SALE!$N$6:$N$10000,SALE!$A$6:$A$10000,$N$3,SALE!$D$6:$D$10000,$C$5:$C$499)</f>
        <v>87550.715699999986</v>
      </c>
      <c r="S12" s="72">
        <f t="shared" si="11"/>
        <v>1147887.1614000001</v>
      </c>
      <c r="T12" s="72">
        <f>SUMIFS(SALE!$K$6:$K$10000,SALE!$A$6:$A$10000,$N$3,SALE!$D$6:$D$10000,$C$5:$C$499)</f>
        <v>972785.73</v>
      </c>
      <c r="U12" s="72">
        <f>SUMIFS(SALE!$L$6:$L$10000,SALE!$A$6:$A$10000,$N$3,SALE!$D$6:$D$10000,$C$5:$C$499)</f>
        <v>0</v>
      </c>
      <c r="V12" s="72">
        <f>SUMIFS(SALE!$M$6:$M$10000,SALE!$A$6:$A$10000,$N$3,SALE!$D$6:$D$10000,$C$5:$C$499)</f>
        <v>87550.715699999986</v>
      </c>
      <c r="W12" s="72">
        <f>SUMIFS(SALE!$N$6:$N$10000,SALE!$A$6:$A$10000,$N$3,SALE!$D$6:$D$10000,$C$5:$C$499)</f>
        <v>87550.715699999986</v>
      </c>
      <c r="X12" s="72">
        <f t="shared" si="12"/>
        <v>724728.83639999991</v>
      </c>
      <c r="Y12" s="72">
        <f>SUMIFS(SALE!$K$6:$K$10000,SALE!$A$6:$A$10000,$X$3,SALE!$D$6:$D$10000,$C$5:$C$499)</f>
        <v>614176.98</v>
      </c>
      <c r="Z12" s="72">
        <f>SUMIFS(SALE!$L$6:$L$10000,SALE!$A$6:$A$10000,$X$3,SALE!$D$6:$D$10000,$C$5:$C$499)</f>
        <v>0</v>
      </c>
      <c r="AA12" s="72">
        <f>SUMIFS(SALE!$M$6:$M$10000,SALE!$A$6:$A$10000,$X$3,SALE!$D$6:$D$10000,$C$5:$C$499)</f>
        <v>55275.928199999995</v>
      </c>
      <c r="AB12" s="72">
        <f>SUMIFS(SALE!$N$6:$N$10000,SALE!$A$6:$A$10000,$X$3,SALE!$D$6:$D$10000,$C$5:$C$499)</f>
        <v>55275.928199999995</v>
      </c>
      <c r="AC12" s="72">
        <f t="shared" si="13"/>
        <v>639897.83399999992</v>
      </c>
      <c r="AD12" s="72">
        <f>SUMIFS(SALE!$K$6:$K$10000,SALE!$A$6:$A$10000,$AC$3,SALE!$D$6:$D$10000,$C$5:$C$499)</f>
        <v>542286.29999999993</v>
      </c>
      <c r="AE12" s="72">
        <f>SUMIFS(SALE!$L$6:$L$10000,SALE!$A$6:$A$10000,$AC$3,SALE!$D$6:$D$10000,$C$5:$C$499)</f>
        <v>0</v>
      </c>
      <c r="AF12" s="72">
        <f>SUMIFS(SALE!$M$6:$M$10000,SALE!$A$6:$A$10000,$AC$3,SALE!$D$6:$D$10000,$C$5:$C$499)</f>
        <v>48805.767000000014</v>
      </c>
      <c r="AG12" s="72">
        <f>SUMIFS(SALE!$N$6:$N$10000,SALE!$A$6:$A$10000,$AC$3,SALE!$D$6:$D$10000,$C$5:$C$499)</f>
        <v>48805.767000000014</v>
      </c>
      <c r="AH12" s="72">
        <f t="shared" si="14"/>
        <v>1091018.3004000001</v>
      </c>
      <c r="AI12" s="72">
        <f>SUMIFS(SALE!$K$6:$K$10000,SALE!$A$6:$A$10000,$AH$3,SALE!$D$6:$D$10000,$C$5:$C$499)</f>
        <v>924591.78</v>
      </c>
      <c r="AJ12" s="72">
        <f>SUMIFS(SALE!$L$6:$L$10000,SALE!$A$6:$A$10000,$AH$3,SALE!$D$6:$D$10000,$C$5:$C$499)</f>
        <v>0</v>
      </c>
      <c r="AK12" s="72">
        <f>SUMIFS(SALE!$M$6:$M$10000,SALE!$A$6:$A$10000,$AH$3,SALE!$D$6:$D$10000,$C$5:$C$499)</f>
        <v>83213.26019999999</v>
      </c>
      <c r="AL12" s="72">
        <f>SUMIFS(SALE!$N$6:$N$10000,SALE!$A$6:$A$10000,$AH$3,SALE!$D$6:$D$10000,$C$5:$C$499)</f>
        <v>83213.26019999999</v>
      </c>
      <c r="AM12" s="72">
        <f t="shared" si="15"/>
        <v>303204.61079999997</v>
      </c>
      <c r="AN12" s="72">
        <f>SUMIFS(SALE!$K$6:$K$10000,SALE!$A$6:$A$10000,$AM$3,SALE!$D$6:$D$10000,$C$5:$C$499)</f>
        <v>256953.06</v>
      </c>
      <c r="AO12" s="72">
        <f>SUMIFS(SALE!$L$6:$L$10000,SALE!$A$6:$A$10000,$AM$3,SALE!$D$6:$D$10000,$C$5:$C$499)</f>
        <v>0</v>
      </c>
      <c r="AP12" s="72">
        <f>SUMIFS(SALE!$M$6:$M$10000,SALE!$A$6:$A$10000,$AM$3,SALE!$D$6:$D$10000,$C$5:$C$499)</f>
        <v>23125.775399999999</v>
      </c>
      <c r="AQ12" s="72">
        <f>SUMIFS(SALE!$N$6:$N$10000,SALE!$A$6:$A$10000,$AM$3,SALE!$D$6:$D$10000,$C$5:$C$499)</f>
        <v>23125.775399999999</v>
      </c>
      <c r="AR12" s="72">
        <f t="shared" si="16"/>
        <v>0</v>
      </c>
      <c r="AS12" s="72">
        <f>SUMIFS(SALE!$K$6:$K$10000,SALE!$A$6:$A$10000,$AR$3,SALE!$D$6:$D$10000,$C$5:$C$499)</f>
        <v>0</v>
      </c>
      <c r="AT12" s="72">
        <f>SUMIFS(SALE!$L$6:$L$10000,SALE!$A$6:$A$10000,$AR$3,SALE!$D$6:$D$10000,$C$5:$C$499)</f>
        <v>0</v>
      </c>
      <c r="AU12" s="72">
        <f>SUMIFS(SALE!$M$6:$M$10000,SALE!$A$6:$A$10000,$AR$3,SALE!$D$6:$D$10000,$C$5:$C$499)</f>
        <v>0</v>
      </c>
      <c r="AV12" s="72">
        <f>SUMIFS(SALE!$N$6:$N$10000,SALE!$A$6:$A$10000,$AR$3,SALE!$D$6:$D$10000,$C$5:$C$499)</f>
        <v>0</v>
      </c>
      <c r="AW12" s="72">
        <f t="shared" si="17"/>
        <v>0</v>
      </c>
      <c r="AX12" s="72">
        <f>SUMIFS(SALE!$K$6:$K$10000,SALE!$A$6:$A$10000,$AW$3,SALE!$D$6:$D$10000,$C$5:$C$499)</f>
        <v>0</v>
      </c>
      <c r="AY12" s="72">
        <f>SUMIFS(SALE!$L$6:$L$10000,SALE!$A$6:$A$10000,$AW$3,SALE!$D$6:$D$10000,$C$5:$C$499)</f>
        <v>0</v>
      </c>
      <c r="AZ12" s="72">
        <f>SUMIFS(SALE!$M$6:$M$10000,SALE!$A$6:$A$10000,$AW$3,SALE!$D$6:$D$10000,$C$5:$C$499)</f>
        <v>0</v>
      </c>
      <c r="BA12" s="72">
        <f>SUMIFS(SALE!$N$6:$N$10000,SALE!$A$6:$A$10000,$AW$3,SALE!$D$6:$D$10000,$C$5:$C$499)</f>
        <v>0</v>
      </c>
      <c r="BB12" s="72">
        <f t="shared" si="18"/>
        <v>0</v>
      </c>
      <c r="BC12" s="72">
        <f>SUMIFS(SALE!$K$6:$K$10000,SALE!$A$6:$A$10000,$BB$3,SALE!$D$6:$D$10000,$C$5:$C$499)</f>
        <v>0</v>
      </c>
      <c r="BD12" s="72">
        <f>SUMIFS(SALE!$L$6:$L$10000,SALE!$A$6:$A$10000,$BB$3,SALE!$D$6:$D$10000,$C$5:$C$499)</f>
        <v>0</v>
      </c>
      <c r="BE12" s="72">
        <f>SUMIFS(SALE!$M$6:$M$10000,SALE!$A$6:$A$10000,$BB$3,SALE!$D$6:$D$10000,$C$5:$C$499)</f>
        <v>0</v>
      </c>
      <c r="BF12" s="72">
        <f>SUMIFS(SALE!$N$6:$N$10000,SALE!$A$6:$A$10000,$BB$3,SALE!$D$6:$D$10000,$C$5:$C$499)</f>
        <v>0</v>
      </c>
      <c r="BG12" s="72">
        <f t="shared" si="19"/>
        <v>0</v>
      </c>
      <c r="BH12" s="72">
        <f>SUMIFS(SALE!$K$6:$K$10000,SALE!$A$6:$A$10000,$BG$3,SALE!$D$6:$D$10000,$C$5:$C$499)</f>
        <v>0</v>
      </c>
      <c r="BI12" s="72">
        <f>SUMIFS(SALE!$L$6:$L$10000,SALE!$A$6:$A$10000,$BG$3,SALE!$D$6:$D$10000,$C$5:$C$499)</f>
        <v>0</v>
      </c>
      <c r="BJ12" s="72">
        <f>SUMIFS(SALE!$M$6:$M$10000,SALE!$A$6:$A$10000,$BG$3,SALE!$D$6:$D$10000,$C$5:$C$499)</f>
        <v>0</v>
      </c>
      <c r="BK12" s="72">
        <f>SUMIFS(SALE!$N$6:$N$10000,SALE!$A$6:$A$10000,$BG$3,SALE!$D$6:$D$10000,$C$5:$C$499)</f>
        <v>0</v>
      </c>
      <c r="BL12" s="72">
        <f t="shared" si="3"/>
        <v>6289148.3531999998</v>
      </c>
      <c r="BM12" s="72">
        <f t="shared" si="4"/>
        <v>5329786.7399999993</v>
      </c>
      <c r="BN12" s="72">
        <f t="shared" si="5"/>
        <v>0</v>
      </c>
      <c r="BO12" s="72">
        <f t="shared" si="6"/>
        <v>479680.80659999995</v>
      </c>
      <c r="BP12" s="72">
        <f t="shared" si="7"/>
        <v>479680.80659999995</v>
      </c>
    </row>
    <row r="13" spans="1:68" x14ac:dyDescent="0.2">
      <c r="A13" s="467">
        <v>9</v>
      </c>
      <c r="B13" s="499" t="s">
        <v>241</v>
      </c>
      <c r="C13" s="499" t="s">
        <v>242</v>
      </c>
      <c r="D13" s="72">
        <f t="shared" si="8"/>
        <v>0</v>
      </c>
      <c r="E13" s="72">
        <f>SUMIFS(SALE!$K$6:$K$10000,SALE!$A$6:$A$10000,$D$3,SALE!$D$6:$D$10000,$C$5:$C$499)</f>
        <v>0</v>
      </c>
      <c r="F13" s="72">
        <f>SUMIFS(SALE!$L$6:$L$10000,SALE!$A$6:$A$10000,$D$3,SALE!$D$6:$D$10000,$C$5:$C$499)</f>
        <v>0</v>
      </c>
      <c r="G13" s="72">
        <f>SUMIFS(SALE!$M$6:$M$10000,SALE!$A$6:$A$10000,$D$3,SALE!$D$6:$D$10000,$C$5:$C$499)</f>
        <v>0</v>
      </c>
      <c r="H13" s="72">
        <f>SUMIFS(SALE!$N$6:$N$10000,SALE!$A$6:$A$10000,$D$3,SALE!$D$6:$D$10000,$C$5:$C$499)</f>
        <v>0</v>
      </c>
      <c r="I13" s="72">
        <f t="shared" si="9"/>
        <v>0</v>
      </c>
      <c r="J13" s="72">
        <f>SUMIFS(SALE!$K$6:$K$10000,SALE!$A$6:$A$10000,$I$3,SALE!$D$6:$D$10000,$C$5:$C$499)</f>
        <v>0</v>
      </c>
      <c r="K13" s="72">
        <f>SUMIFS(SALE!$L$6:$L$10000,SALE!$A$6:$A$10000,$I$3,SALE!$D$6:$D$10000,$C$5:$C$499)</f>
        <v>0</v>
      </c>
      <c r="L13" s="72">
        <f>SUMIFS(SALE!$M$6:$M$10000,SALE!$A$6:$A$10000,$I$3,SALE!$D$6:$D$10000,$C$5:$C$499)</f>
        <v>0</v>
      </c>
      <c r="M13" s="72">
        <f>SUMIFS(SALE!$N$6:$N$10000,SALE!$A$6:$A$10000,$I$3,SALE!$D$6:$D$10000,$C$5:$C$499)</f>
        <v>0</v>
      </c>
      <c r="N13" s="72">
        <f t="shared" si="10"/>
        <v>0</v>
      </c>
      <c r="O13" s="72">
        <f>SUMIFS(SALE!$K$6:$K$10000,SALE!$A$6:$A$10000,$N$3,SALE!$D$6:$D$10000,$C$5:$C$499)</f>
        <v>0</v>
      </c>
      <c r="P13" s="72">
        <f>SUMIFS(SALE!$L$6:$L$10000,SALE!$A$6:$A$10000,$N$3,SALE!$D$6:$D$10000,$C$5:$C$499)</f>
        <v>0</v>
      </c>
      <c r="Q13" s="72">
        <f>SUMIFS(SALE!$M$6:$M$10000,SALE!$A$6:$A$10000,$N$3,SALE!$D$6:$D$10000,$C$5:$C$499)</f>
        <v>0</v>
      </c>
      <c r="R13" s="72">
        <f>SUMIFS(SALE!$N$6:$N$10000,SALE!$A$6:$A$10000,$N$3,SALE!$D$6:$D$10000,$C$5:$C$499)</f>
        <v>0</v>
      </c>
      <c r="S13" s="72">
        <f t="shared" si="11"/>
        <v>0</v>
      </c>
      <c r="T13" s="72">
        <f>SUMIFS(SALE!$K$6:$K$10000,SALE!$A$6:$A$10000,$N$3,SALE!$D$6:$D$10000,$C$5:$C$499)</f>
        <v>0</v>
      </c>
      <c r="U13" s="72">
        <f>SUMIFS(SALE!$L$6:$L$10000,SALE!$A$6:$A$10000,$N$3,SALE!$D$6:$D$10000,$C$5:$C$499)</f>
        <v>0</v>
      </c>
      <c r="V13" s="72">
        <f>SUMIFS(SALE!$M$6:$M$10000,SALE!$A$6:$A$10000,$N$3,SALE!$D$6:$D$10000,$C$5:$C$499)</f>
        <v>0</v>
      </c>
      <c r="W13" s="72">
        <f>SUMIFS(SALE!$N$6:$N$10000,SALE!$A$6:$A$10000,$N$3,SALE!$D$6:$D$10000,$C$5:$C$499)</f>
        <v>0</v>
      </c>
      <c r="X13" s="72">
        <f t="shared" si="12"/>
        <v>0</v>
      </c>
      <c r="Y13" s="72">
        <f>SUMIFS(SALE!$K$6:$K$10000,SALE!$A$6:$A$10000,$X$3,SALE!$D$6:$D$10000,$C$5:$C$499)</f>
        <v>0</v>
      </c>
      <c r="Z13" s="72">
        <f>SUMIFS(SALE!$L$6:$L$10000,SALE!$A$6:$A$10000,$X$3,SALE!$D$6:$D$10000,$C$5:$C$499)</f>
        <v>0</v>
      </c>
      <c r="AA13" s="72">
        <f>SUMIFS(SALE!$M$6:$M$10000,SALE!$A$6:$A$10000,$X$3,SALE!$D$6:$D$10000,$C$5:$C$499)</f>
        <v>0</v>
      </c>
      <c r="AB13" s="72">
        <f>SUMIFS(SALE!$N$6:$N$10000,SALE!$A$6:$A$10000,$X$3,SALE!$D$6:$D$10000,$C$5:$C$499)</f>
        <v>0</v>
      </c>
      <c r="AC13" s="72">
        <f t="shared" si="13"/>
        <v>0</v>
      </c>
      <c r="AD13" s="72">
        <f>SUMIFS(SALE!$K$6:$K$10000,SALE!$A$6:$A$10000,$AC$3,SALE!$D$6:$D$10000,$C$5:$C$499)</f>
        <v>0</v>
      </c>
      <c r="AE13" s="72">
        <f>SUMIFS(SALE!$L$6:$L$10000,SALE!$A$6:$A$10000,$AC$3,SALE!$D$6:$D$10000,$C$5:$C$499)</f>
        <v>0</v>
      </c>
      <c r="AF13" s="72">
        <f>SUMIFS(SALE!$M$6:$M$10000,SALE!$A$6:$A$10000,$AC$3,SALE!$D$6:$D$10000,$C$5:$C$499)</f>
        <v>0</v>
      </c>
      <c r="AG13" s="72">
        <f>SUMIFS(SALE!$N$6:$N$10000,SALE!$A$6:$A$10000,$AC$3,SALE!$D$6:$D$10000,$C$5:$C$499)</f>
        <v>0</v>
      </c>
      <c r="AH13" s="72">
        <f t="shared" si="14"/>
        <v>0</v>
      </c>
      <c r="AI13" s="72">
        <f>SUMIFS(SALE!$K$6:$K$10000,SALE!$A$6:$A$10000,$AH$3,SALE!$D$6:$D$10000,$C$5:$C$499)</f>
        <v>0</v>
      </c>
      <c r="AJ13" s="72">
        <f>SUMIFS(SALE!$L$6:$L$10000,SALE!$A$6:$A$10000,$AH$3,SALE!$D$6:$D$10000,$C$5:$C$499)</f>
        <v>0</v>
      </c>
      <c r="AK13" s="72">
        <f>SUMIFS(SALE!$M$6:$M$10000,SALE!$A$6:$A$10000,$AH$3,SALE!$D$6:$D$10000,$C$5:$C$499)</f>
        <v>0</v>
      </c>
      <c r="AL13" s="72">
        <f>SUMIFS(SALE!$N$6:$N$10000,SALE!$A$6:$A$10000,$AH$3,SALE!$D$6:$D$10000,$C$5:$C$499)</f>
        <v>0</v>
      </c>
      <c r="AM13" s="72">
        <f t="shared" si="15"/>
        <v>0</v>
      </c>
      <c r="AN13" s="72">
        <f>SUMIFS(SALE!$K$6:$K$10000,SALE!$A$6:$A$10000,$AM$3,SALE!$D$6:$D$10000,$C$5:$C$499)</f>
        <v>0</v>
      </c>
      <c r="AO13" s="72">
        <f>SUMIFS(SALE!$L$6:$L$10000,SALE!$A$6:$A$10000,$AM$3,SALE!$D$6:$D$10000,$C$5:$C$499)</f>
        <v>0</v>
      </c>
      <c r="AP13" s="72">
        <f>SUMIFS(SALE!$M$6:$M$10000,SALE!$A$6:$A$10000,$AM$3,SALE!$D$6:$D$10000,$C$5:$C$499)</f>
        <v>0</v>
      </c>
      <c r="AQ13" s="72">
        <f>SUMIFS(SALE!$N$6:$N$10000,SALE!$A$6:$A$10000,$AM$3,SALE!$D$6:$D$10000,$C$5:$C$499)</f>
        <v>0</v>
      </c>
      <c r="AR13" s="72">
        <f t="shared" si="16"/>
        <v>0</v>
      </c>
      <c r="AS13" s="72">
        <f>SUMIFS(SALE!$K$6:$K$10000,SALE!$A$6:$A$10000,$AR$3,SALE!$D$6:$D$10000,$C$5:$C$499)</f>
        <v>0</v>
      </c>
      <c r="AT13" s="72">
        <f>SUMIFS(SALE!$L$6:$L$10000,SALE!$A$6:$A$10000,$AR$3,SALE!$D$6:$D$10000,$C$5:$C$499)</f>
        <v>0</v>
      </c>
      <c r="AU13" s="72">
        <f>SUMIFS(SALE!$M$6:$M$10000,SALE!$A$6:$A$10000,$AR$3,SALE!$D$6:$D$10000,$C$5:$C$499)</f>
        <v>0</v>
      </c>
      <c r="AV13" s="72">
        <f>SUMIFS(SALE!$N$6:$N$10000,SALE!$A$6:$A$10000,$AR$3,SALE!$D$6:$D$10000,$C$5:$C$499)</f>
        <v>0</v>
      </c>
      <c r="AW13" s="72">
        <f t="shared" si="17"/>
        <v>0</v>
      </c>
      <c r="AX13" s="72">
        <f>SUMIFS(SALE!$K$6:$K$10000,SALE!$A$6:$A$10000,$AW$3,SALE!$D$6:$D$10000,$C$5:$C$499)</f>
        <v>0</v>
      </c>
      <c r="AY13" s="72">
        <f>SUMIFS(SALE!$L$6:$L$10000,SALE!$A$6:$A$10000,$AW$3,SALE!$D$6:$D$10000,$C$5:$C$499)</f>
        <v>0</v>
      </c>
      <c r="AZ13" s="72">
        <f>SUMIFS(SALE!$M$6:$M$10000,SALE!$A$6:$A$10000,$AW$3,SALE!$D$6:$D$10000,$C$5:$C$499)</f>
        <v>0</v>
      </c>
      <c r="BA13" s="72">
        <f>SUMIFS(SALE!$N$6:$N$10000,SALE!$A$6:$A$10000,$AW$3,SALE!$D$6:$D$10000,$C$5:$C$499)</f>
        <v>0</v>
      </c>
      <c r="BB13" s="72">
        <f t="shared" si="18"/>
        <v>0</v>
      </c>
      <c r="BC13" s="72">
        <f>SUMIFS(SALE!$K$6:$K$10000,SALE!$A$6:$A$10000,$BB$3,SALE!$D$6:$D$10000,$C$5:$C$499)</f>
        <v>0</v>
      </c>
      <c r="BD13" s="72">
        <f>SUMIFS(SALE!$L$6:$L$10000,SALE!$A$6:$A$10000,$BB$3,SALE!$D$6:$D$10000,$C$5:$C$499)</f>
        <v>0</v>
      </c>
      <c r="BE13" s="72">
        <f>SUMIFS(SALE!$M$6:$M$10000,SALE!$A$6:$A$10000,$BB$3,SALE!$D$6:$D$10000,$C$5:$C$499)</f>
        <v>0</v>
      </c>
      <c r="BF13" s="72">
        <f>SUMIFS(SALE!$N$6:$N$10000,SALE!$A$6:$A$10000,$BB$3,SALE!$D$6:$D$10000,$C$5:$C$499)</f>
        <v>0</v>
      </c>
      <c r="BG13" s="72">
        <f t="shared" si="19"/>
        <v>0</v>
      </c>
      <c r="BH13" s="72">
        <f>SUMIFS(SALE!$K$6:$K$10000,SALE!$A$6:$A$10000,$BG$3,SALE!$D$6:$D$10000,$C$5:$C$499)</f>
        <v>0</v>
      </c>
      <c r="BI13" s="72">
        <f>SUMIFS(SALE!$L$6:$L$10000,SALE!$A$6:$A$10000,$BG$3,SALE!$D$6:$D$10000,$C$5:$C$499)</f>
        <v>0</v>
      </c>
      <c r="BJ13" s="72">
        <f>SUMIFS(SALE!$M$6:$M$10000,SALE!$A$6:$A$10000,$BG$3,SALE!$D$6:$D$10000,$C$5:$C$499)</f>
        <v>0</v>
      </c>
      <c r="BK13" s="72">
        <f>SUMIFS(SALE!$N$6:$N$10000,SALE!$A$6:$A$10000,$BG$3,SALE!$D$6:$D$10000,$C$5:$C$499)</f>
        <v>0</v>
      </c>
      <c r="BL13" s="72">
        <f t="shared" si="3"/>
        <v>0</v>
      </c>
      <c r="BM13" s="72">
        <f t="shared" si="4"/>
        <v>0</v>
      </c>
      <c r="BN13" s="72">
        <f t="shared" si="5"/>
        <v>0</v>
      </c>
      <c r="BO13" s="72">
        <f t="shared" si="6"/>
        <v>0</v>
      </c>
      <c r="BP13" s="72">
        <f t="shared" si="7"/>
        <v>0</v>
      </c>
    </row>
    <row r="14" spans="1:68" x14ac:dyDescent="0.2">
      <c r="A14" s="467">
        <v>10</v>
      </c>
      <c r="B14" s="499" t="s">
        <v>28</v>
      </c>
      <c r="C14" s="499" t="s">
        <v>29</v>
      </c>
      <c r="D14" s="72">
        <f t="shared" si="8"/>
        <v>1066664.1920000003</v>
      </c>
      <c r="E14" s="72">
        <f>SUMIFS(SALE!$K$6:$K$10000,SALE!$A$6:$A$10000,$D$3,SALE!$D$6:$D$10000,$C$5:$C$499)</f>
        <v>833331.40000000014</v>
      </c>
      <c r="F14" s="72">
        <f>SUMIFS(SALE!$L$6:$L$10000,SALE!$A$6:$A$10000,$D$3,SALE!$D$6:$D$10000,$C$5:$C$499)</f>
        <v>0</v>
      </c>
      <c r="G14" s="72">
        <f>SUMIFS(SALE!$M$6:$M$10000,SALE!$A$6:$A$10000,$D$3,SALE!$D$6:$D$10000,$C$5:$C$499)</f>
        <v>116666.39600000004</v>
      </c>
      <c r="H14" s="72">
        <f>SUMIFS(SALE!$N$6:$N$10000,SALE!$A$6:$A$10000,$D$3,SALE!$D$6:$D$10000,$C$5:$C$499)</f>
        <v>116666.39600000004</v>
      </c>
      <c r="I14" s="72">
        <f t="shared" si="9"/>
        <v>1322167.4752000002</v>
      </c>
      <c r="J14" s="72">
        <f>SUMIFS(SALE!$K$6:$K$10000,SALE!$A$6:$A$10000,$I$3,SALE!$D$6:$D$10000,$C$5:$C$499)</f>
        <v>1032943.3400000003</v>
      </c>
      <c r="K14" s="72">
        <f>SUMIFS(SALE!$L$6:$L$10000,SALE!$A$6:$A$10000,$I$3,SALE!$D$6:$D$10000,$C$5:$C$499)</f>
        <v>0</v>
      </c>
      <c r="L14" s="72">
        <f>SUMIFS(SALE!$M$6:$M$10000,SALE!$A$6:$A$10000,$I$3,SALE!$D$6:$D$10000,$C$5:$C$499)</f>
        <v>144612.06760000004</v>
      </c>
      <c r="M14" s="72">
        <f>SUMIFS(SALE!$N$6:$N$10000,SALE!$A$6:$A$10000,$I$3,SALE!$D$6:$D$10000,$C$5:$C$499)</f>
        <v>144612.06760000004</v>
      </c>
      <c r="N14" s="72">
        <f t="shared" si="10"/>
        <v>863901.08160000003</v>
      </c>
      <c r="O14" s="72">
        <f>SUMIFS(SALE!$K$6:$K$10000,SALE!$A$6:$A$10000,$N$3,SALE!$D$6:$D$10000,$C$5:$C$499)</f>
        <v>674922.72000000009</v>
      </c>
      <c r="P14" s="72">
        <f>SUMIFS(SALE!$L$6:$L$10000,SALE!$A$6:$A$10000,$N$3,SALE!$D$6:$D$10000,$C$5:$C$499)</f>
        <v>0</v>
      </c>
      <c r="Q14" s="72">
        <f>SUMIFS(SALE!$M$6:$M$10000,SALE!$A$6:$A$10000,$N$3,SALE!$D$6:$D$10000,$C$5:$C$499)</f>
        <v>94489.180800000016</v>
      </c>
      <c r="R14" s="72">
        <f>SUMIFS(SALE!$N$6:$N$10000,SALE!$A$6:$A$10000,$N$3,SALE!$D$6:$D$10000,$C$5:$C$499)</f>
        <v>94489.180800000016</v>
      </c>
      <c r="S14" s="72">
        <f t="shared" si="11"/>
        <v>863901.08160000003</v>
      </c>
      <c r="T14" s="72">
        <f>SUMIFS(SALE!$K$6:$K$10000,SALE!$A$6:$A$10000,$N$3,SALE!$D$6:$D$10000,$C$5:$C$499)</f>
        <v>674922.72000000009</v>
      </c>
      <c r="U14" s="72">
        <f>SUMIFS(SALE!$L$6:$L$10000,SALE!$A$6:$A$10000,$N$3,SALE!$D$6:$D$10000,$C$5:$C$499)</f>
        <v>0</v>
      </c>
      <c r="V14" s="72">
        <f>SUMIFS(SALE!$M$6:$M$10000,SALE!$A$6:$A$10000,$N$3,SALE!$D$6:$D$10000,$C$5:$C$499)</f>
        <v>94489.180800000016</v>
      </c>
      <c r="W14" s="72">
        <f>SUMIFS(SALE!$N$6:$N$10000,SALE!$A$6:$A$10000,$N$3,SALE!$D$6:$D$10000,$C$5:$C$499)</f>
        <v>94489.180800000016</v>
      </c>
      <c r="X14" s="72">
        <f t="shared" si="12"/>
        <v>848478.59200000006</v>
      </c>
      <c r="Y14" s="72">
        <f>SUMIFS(SALE!$K$6:$K$10000,SALE!$A$6:$A$10000,$X$3,SALE!$D$6:$D$10000,$C$5:$C$499)</f>
        <v>662873.9</v>
      </c>
      <c r="Z14" s="72">
        <f>SUMIFS(SALE!$L$6:$L$10000,SALE!$A$6:$A$10000,$X$3,SALE!$D$6:$D$10000,$C$5:$C$499)</f>
        <v>0</v>
      </c>
      <c r="AA14" s="72">
        <f>SUMIFS(SALE!$M$6:$M$10000,SALE!$A$6:$A$10000,$X$3,SALE!$D$6:$D$10000,$C$5:$C$499)</f>
        <v>92802.346000000005</v>
      </c>
      <c r="AB14" s="72">
        <f>SUMIFS(SALE!$N$6:$N$10000,SALE!$A$6:$A$10000,$X$3,SALE!$D$6:$D$10000,$C$5:$C$499)</f>
        <v>92802.346000000005</v>
      </c>
      <c r="AC14" s="72">
        <f t="shared" si="13"/>
        <v>312018.61120000004</v>
      </c>
      <c r="AD14" s="72">
        <f>SUMIFS(SALE!$K$6:$K$10000,SALE!$A$6:$A$10000,$AC$3,SALE!$D$6:$D$10000,$C$5:$C$499)</f>
        <v>243764.54000000004</v>
      </c>
      <c r="AE14" s="72">
        <f>SUMIFS(SALE!$L$6:$L$10000,SALE!$A$6:$A$10000,$AC$3,SALE!$D$6:$D$10000,$C$5:$C$499)</f>
        <v>0</v>
      </c>
      <c r="AF14" s="72">
        <f>SUMIFS(SALE!$M$6:$M$10000,SALE!$A$6:$A$10000,$AC$3,SALE!$D$6:$D$10000,$C$5:$C$499)</f>
        <v>34127.035599999988</v>
      </c>
      <c r="AG14" s="72">
        <f>SUMIFS(SALE!$N$6:$N$10000,SALE!$A$6:$A$10000,$AC$3,SALE!$D$6:$D$10000,$C$5:$C$499)</f>
        <v>34127.035599999988</v>
      </c>
      <c r="AH14" s="72">
        <f t="shared" si="14"/>
        <v>239757.15840000001</v>
      </c>
      <c r="AI14" s="72">
        <f>SUMIFS(SALE!$K$6:$K$10000,SALE!$A$6:$A$10000,$AH$3,SALE!$D$6:$D$10000,$C$5:$C$499)</f>
        <v>187310.28000000003</v>
      </c>
      <c r="AJ14" s="72">
        <f>SUMIFS(SALE!$L$6:$L$10000,SALE!$A$6:$A$10000,$AH$3,SALE!$D$6:$D$10000,$C$5:$C$499)</f>
        <v>0</v>
      </c>
      <c r="AK14" s="72">
        <f>SUMIFS(SALE!$M$6:$M$10000,SALE!$A$6:$A$10000,$AH$3,SALE!$D$6:$D$10000,$C$5:$C$499)</f>
        <v>26223.439199999993</v>
      </c>
      <c r="AL14" s="72">
        <f>SUMIFS(SALE!$N$6:$N$10000,SALE!$A$6:$A$10000,$AH$3,SALE!$D$6:$D$10000,$C$5:$C$499)</f>
        <v>26223.439199999993</v>
      </c>
      <c r="AM14" s="72">
        <f t="shared" si="15"/>
        <v>27583.423999999999</v>
      </c>
      <c r="AN14" s="72">
        <f>SUMIFS(SALE!$K$6:$K$10000,SALE!$A$6:$A$10000,$AM$3,SALE!$D$6:$D$10000,$C$5:$C$499)</f>
        <v>21549.55</v>
      </c>
      <c r="AO14" s="72">
        <f>SUMIFS(SALE!$L$6:$L$10000,SALE!$A$6:$A$10000,$AM$3,SALE!$D$6:$D$10000,$C$5:$C$499)</f>
        <v>0</v>
      </c>
      <c r="AP14" s="72">
        <f>SUMIFS(SALE!$M$6:$M$10000,SALE!$A$6:$A$10000,$AM$3,SALE!$D$6:$D$10000,$C$5:$C$499)</f>
        <v>3016.9369999999999</v>
      </c>
      <c r="AQ14" s="72">
        <f>SUMIFS(SALE!$N$6:$N$10000,SALE!$A$6:$A$10000,$AM$3,SALE!$D$6:$D$10000,$C$5:$C$499)</f>
        <v>3016.9369999999999</v>
      </c>
      <c r="AR14" s="72">
        <f t="shared" si="16"/>
        <v>0</v>
      </c>
      <c r="AS14" s="72">
        <f>SUMIFS(SALE!$K$6:$K$10000,SALE!$A$6:$A$10000,$AR$3,SALE!$D$6:$D$10000,$C$5:$C$499)</f>
        <v>0</v>
      </c>
      <c r="AT14" s="72">
        <f>SUMIFS(SALE!$L$6:$L$10000,SALE!$A$6:$A$10000,$AR$3,SALE!$D$6:$D$10000,$C$5:$C$499)</f>
        <v>0</v>
      </c>
      <c r="AU14" s="72">
        <f>SUMIFS(SALE!$M$6:$M$10000,SALE!$A$6:$A$10000,$AR$3,SALE!$D$6:$D$10000,$C$5:$C$499)</f>
        <v>0</v>
      </c>
      <c r="AV14" s="72">
        <f>SUMIFS(SALE!$N$6:$N$10000,SALE!$A$6:$A$10000,$AR$3,SALE!$D$6:$D$10000,$C$5:$C$499)</f>
        <v>0</v>
      </c>
      <c r="AW14" s="72">
        <f t="shared" si="17"/>
        <v>0</v>
      </c>
      <c r="AX14" s="72">
        <f>SUMIFS(SALE!$K$6:$K$10000,SALE!$A$6:$A$10000,$AW$3,SALE!$D$6:$D$10000,$C$5:$C$499)</f>
        <v>0</v>
      </c>
      <c r="AY14" s="72">
        <f>SUMIFS(SALE!$L$6:$L$10000,SALE!$A$6:$A$10000,$AW$3,SALE!$D$6:$D$10000,$C$5:$C$499)</f>
        <v>0</v>
      </c>
      <c r="AZ14" s="72">
        <f>SUMIFS(SALE!$M$6:$M$10000,SALE!$A$6:$A$10000,$AW$3,SALE!$D$6:$D$10000,$C$5:$C$499)</f>
        <v>0</v>
      </c>
      <c r="BA14" s="72">
        <f>SUMIFS(SALE!$N$6:$N$10000,SALE!$A$6:$A$10000,$AW$3,SALE!$D$6:$D$10000,$C$5:$C$499)</f>
        <v>0</v>
      </c>
      <c r="BB14" s="72">
        <f t="shared" si="18"/>
        <v>0</v>
      </c>
      <c r="BC14" s="72">
        <f>SUMIFS(SALE!$K$6:$K$10000,SALE!$A$6:$A$10000,$BB$3,SALE!$D$6:$D$10000,$C$5:$C$499)</f>
        <v>0</v>
      </c>
      <c r="BD14" s="72">
        <f>SUMIFS(SALE!$L$6:$L$10000,SALE!$A$6:$A$10000,$BB$3,SALE!$D$6:$D$10000,$C$5:$C$499)</f>
        <v>0</v>
      </c>
      <c r="BE14" s="72">
        <f>SUMIFS(SALE!$M$6:$M$10000,SALE!$A$6:$A$10000,$BB$3,SALE!$D$6:$D$10000,$C$5:$C$499)</f>
        <v>0</v>
      </c>
      <c r="BF14" s="72">
        <f>SUMIFS(SALE!$N$6:$N$10000,SALE!$A$6:$A$10000,$BB$3,SALE!$D$6:$D$10000,$C$5:$C$499)</f>
        <v>0</v>
      </c>
      <c r="BG14" s="72">
        <f t="shared" si="19"/>
        <v>0</v>
      </c>
      <c r="BH14" s="72">
        <f>SUMIFS(SALE!$K$6:$K$10000,SALE!$A$6:$A$10000,$BG$3,SALE!$D$6:$D$10000,$C$5:$C$499)</f>
        <v>0</v>
      </c>
      <c r="BI14" s="72">
        <f>SUMIFS(SALE!$L$6:$L$10000,SALE!$A$6:$A$10000,$BG$3,SALE!$D$6:$D$10000,$C$5:$C$499)</f>
        <v>0</v>
      </c>
      <c r="BJ14" s="72">
        <f>SUMIFS(SALE!$M$6:$M$10000,SALE!$A$6:$A$10000,$BG$3,SALE!$D$6:$D$10000,$C$5:$C$499)</f>
        <v>0</v>
      </c>
      <c r="BK14" s="72">
        <f>SUMIFS(SALE!$N$6:$N$10000,SALE!$A$6:$A$10000,$BG$3,SALE!$D$6:$D$10000,$C$5:$C$499)</f>
        <v>0</v>
      </c>
      <c r="BL14" s="72">
        <f t="shared" si="3"/>
        <v>5544471.6160000004</v>
      </c>
      <c r="BM14" s="72">
        <f t="shared" si="4"/>
        <v>4331618.45</v>
      </c>
      <c r="BN14" s="72">
        <f t="shared" si="5"/>
        <v>0</v>
      </c>
      <c r="BO14" s="72">
        <f t="shared" si="6"/>
        <v>606426.5830000001</v>
      </c>
      <c r="BP14" s="72">
        <f t="shared" si="7"/>
        <v>606426.5830000001</v>
      </c>
    </row>
    <row r="15" spans="1:68" x14ac:dyDescent="0.2">
      <c r="A15" s="467">
        <v>11</v>
      </c>
      <c r="B15" s="499" t="s">
        <v>243</v>
      </c>
      <c r="C15" s="499" t="s">
        <v>244</v>
      </c>
      <c r="D15" s="72">
        <f t="shared" si="8"/>
        <v>0</v>
      </c>
      <c r="E15" s="72">
        <f>SUMIFS(SALE!$K$6:$K$10000,SALE!$A$6:$A$10000,$D$3,SALE!$D$6:$D$10000,$C$5:$C$499)</f>
        <v>0</v>
      </c>
      <c r="F15" s="72">
        <f>SUMIFS(SALE!$L$6:$L$10000,SALE!$A$6:$A$10000,$D$3,SALE!$D$6:$D$10000,$C$5:$C$499)</f>
        <v>0</v>
      </c>
      <c r="G15" s="72">
        <f>SUMIFS(SALE!$M$6:$M$10000,SALE!$A$6:$A$10000,$D$3,SALE!$D$6:$D$10000,$C$5:$C$499)</f>
        <v>0</v>
      </c>
      <c r="H15" s="72">
        <f>SUMIFS(SALE!$N$6:$N$10000,SALE!$A$6:$A$10000,$D$3,SALE!$D$6:$D$10000,$C$5:$C$499)</f>
        <v>0</v>
      </c>
      <c r="I15" s="72">
        <f t="shared" si="9"/>
        <v>0</v>
      </c>
      <c r="J15" s="72">
        <f>SUMIFS(SALE!$K$6:$K$10000,SALE!$A$6:$A$10000,$I$3,SALE!$D$6:$D$10000,$C$5:$C$499)</f>
        <v>0</v>
      </c>
      <c r="K15" s="72">
        <f>SUMIFS(SALE!$L$6:$L$10000,SALE!$A$6:$A$10000,$I$3,SALE!$D$6:$D$10000,$C$5:$C$499)</f>
        <v>0</v>
      </c>
      <c r="L15" s="72">
        <f>SUMIFS(SALE!$M$6:$M$10000,SALE!$A$6:$A$10000,$I$3,SALE!$D$6:$D$10000,$C$5:$C$499)</f>
        <v>0</v>
      </c>
      <c r="M15" s="72">
        <f>SUMIFS(SALE!$N$6:$N$10000,SALE!$A$6:$A$10000,$I$3,SALE!$D$6:$D$10000,$C$5:$C$499)</f>
        <v>0</v>
      </c>
      <c r="N15" s="72">
        <f t="shared" si="10"/>
        <v>0</v>
      </c>
      <c r="O15" s="72">
        <f>SUMIFS(SALE!$K$6:$K$10000,SALE!$A$6:$A$10000,$N$3,SALE!$D$6:$D$10000,$C$5:$C$499)</f>
        <v>0</v>
      </c>
      <c r="P15" s="72">
        <f>SUMIFS(SALE!$L$6:$L$10000,SALE!$A$6:$A$10000,$N$3,SALE!$D$6:$D$10000,$C$5:$C$499)</f>
        <v>0</v>
      </c>
      <c r="Q15" s="72">
        <f>SUMIFS(SALE!$M$6:$M$10000,SALE!$A$6:$A$10000,$N$3,SALE!$D$6:$D$10000,$C$5:$C$499)</f>
        <v>0</v>
      </c>
      <c r="R15" s="72">
        <f>SUMIFS(SALE!$N$6:$N$10000,SALE!$A$6:$A$10000,$N$3,SALE!$D$6:$D$10000,$C$5:$C$499)</f>
        <v>0</v>
      </c>
      <c r="S15" s="72">
        <f t="shared" si="11"/>
        <v>0</v>
      </c>
      <c r="T15" s="72">
        <f>SUMIFS(SALE!$K$6:$K$10000,SALE!$A$6:$A$10000,$N$3,SALE!$D$6:$D$10000,$C$5:$C$499)</f>
        <v>0</v>
      </c>
      <c r="U15" s="72">
        <f>SUMIFS(SALE!$L$6:$L$10000,SALE!$A$6:$A$10000,$N$3,SALE!$D$6:$D$10000,$C$5:$C$499)</f>
        <v>0</v>
      </c>
      <c r="V15" s="72">
        <f>SUMIFS(SALE!$M$6:$M$10000,SALE!$A$6:$A$10000,$N$3,SALE!$D$6:$D$10000,$C$5:$C$499)</f>
        <v>0</v>
      </c>
      <c r="W15" s="72">
        <f>SUMIFS(SALE!$N$6:$N$10000,SALE!$A$6:$A$10000,$N$3,SALE!$D$6:$D$10000,$C$5:$C$499)</f>
        <v>0</v>
      </c>
      <c r="X15" s="72">
        <f t="shared" si="12"/>
        <v>0</v>
      </c>
      <c r="Y15" s="72">
        <f>SUMIFS(SALE!$K$6:$K$10000,SALE!$A$6:$A$10000,$X$3,SALE!$D$6:$D$10000,$C$5:$C$499)</f>
        <v>0</v>
      </c>
      <c r="Z15" s="72">
        <f>SUMIFS(SALE!$L$6:$L$10000,SALE!$A$6:$A$10000,$X$3,SALE!$D$6:$D$10000,$C$5:$C$499)</f>
        <v>0</v>
      </c>
      <c r="AA15" s="72">
        <f>SUMIFS(SALE!$M$6:$M$10000,SALE!$A$6:$A$10000,$X$3,SALE!$D$6:$D$10000,$C$5:$C$499)</f>
        <v>0</v>
      </c>
      <c r="AB15" s="72">
        <f>SUMIFS(SALE!$N$6:$N$10000,SALE!$A$6:$A$10000,$X$3,SALE!$D$6:$D$10000,$C$5:$C$499)</f>
        <v>0</v>
      </c>
      <c r="AC15" s="72">
        <f t="shared" si="13"/>
        <v>0</v>
      </c>
      <c r="AD15" s="72">
        <f>SUMIFS(SALE!$K$6:$K$10000,SALE!$A$6:$A$10000,$AC$3,SALE!$D$6:$D$10000,$C$5:$C$499)</f>
        <v>0</v>
      </c>
      <c r="AE15" s="72">
        <f>SUMIFS(SALE!$L$6:$L$10000,SALE!$A$6:$A$10000,$AC$3,SALE!$D$6:$D$10000,$C$5:$C$499)</f>
        <v>0</v>
      </c>
      <c r="AF15" s="72">
        <f>SUMIFS(SALE!$M$6:$M$10000,SALE!$A$6:$A$10000,$AC$3,SALE!$D$6:$D$10000,$C$5:$C$499)</f>
        <v>0</v>
      </c>
      <c r="AG15" s="72">
        <f>SUMIFS(SALE!$N$6:$N$10000,SALE!$A$6:$A$10000,$AC$3,SALE!$D$6:$D$10000,$C$5:$C$499)</f>
        <v>0</v>
      </c>
      <c r="AH15" s="72">
        <f t="shared" si="14"/>
        <v>0</v>
      </c>
      <c r="AI15" s="72">
        <f>SUMIFS(SALE!$K$6:$K$10000,SALE!$A$6:$A$10000,$AH$3,SALE!$D$6:$D$10000,$C$5:$C$499)</f>
        <v>0</v>
      </c>
      <c r="AJ15" s="72">
        <f>SUMIFS(SALE!$L$6:$L$10000,SALE!$A$6:$A$10000,$AH$3,SALE!$D$6:$D$10000,$C$5:$C$499)</f>
        <v>0</v>
      </c>
      <c r="AK15" s="72">
        <f>SUMIFS(SALE!$M$6:$M$10000,SALE!$A$6:$A$10000,$AH$3,SALE!$D$6:$D$10000,$C$5:$C$499)</f>
        <v>0</v>
      </c>
      <c r="AL15" s="72">
        <f>SUMIFS(SALE!$N$6:$N$10000,SALE!$A$6:$A$10000,$AH$3,SALE!$D$6:$D$10000,$C$5:$C$499)</f>
        <v>0</v>
      </c>
      <c r="AM15" s="72">
        <f t="shared" si="15"/>
        <v>0</v>
      </c>
      <c r="AN15" s="72">
        <f>SUMIFS(SALE!$K$6:$K$10000,SALE!$A$6:$A$10000,$AM$3,SALE!$D$6:$D$10000,$C$5:$C$499)</f>
        <v>0</v>
      </c>
      <c r="AO15" s="72">
        <f>SUMIFS(SALE!$L$6:$L$10000,SALE!$A$6:$A$10000,$AM$3,SALE!$D$6:$D$10000,$C$5:$C$499)</f>
        <v>0</v>
      </c>
      <c r="AP15" s="72">
        <f>SUMIFS(SALE!$M$6:$M$10000,SALE!$A$6:$A$10000,$AM$3,SALE!$D$6:$D$10000,$C$5:$C$499)</f>
        <v>0</v>
      </c>
      <c r="AQ15" s="72">
        <f>SUMIFS(SALE!$N$6:$N$10000,SALE!$A$6:$A$10000,$AM$3,SALE!$D$6:$D$10000,$C$5:$C$499)</f>
        <v>0</v>
      </c>
      <c r="AR15" s="72">
        <f t="shared" si="16"/>
        <v>0</v>
      </c>
      <c r="AS15" s="72">
        <f>SUMIFS(SALE!$K$6:$K$10000,SALE!$A$6:$A$10000,$AR$3,SALE!$D$6:$D$10000,$C$5:$C$499)</f>
        <v>0</v>
      </c>
      <c r="AT15" s="72">
        <f>SUMIFS(SALE!$L$6:$L$10000,SALE!$A$6:$A$10000,$AR$3,SALE!$D$6:$D$10000,$C$5:$C$499)</f>
        <v>0</v>
      </c>
      <c r="AU15" s="72">
        <f>SUMIFS(SALE!$M$6:$M$10000,SALE!$A$6:$A$10000,$AR$3,SALE!$D$6:$D$10000,$C$5:$C$499)</f>
        <v>0</v>
      </c>
      <c r="AV15" s="72">
        <f>SUMIFS(SALE!$N$6:$N$10000,SALE!$A$6:$A$10000,$AR$3,SALE!$D$6:$D$10000,$C$5:$C$499)</f>
        <v>0</v>
      </c>
      <c r="AW15" s="72">
        <f t="shared" si="17"/>
        <v>0</v>
      </c>
      <c r="AX15" s="72">
        <f>SUMIFS(SALE!$K$6:$K$10000,SALE!$A$6:$A$10000,$AW$3,SALE!$D$6:$D$10000,$C$5:$C$499)</f>
        <v>0</v>
      </c>
      <c r="AY15" s="72">
        <f>SUMIFS(SALE!$L$6:$L$10000,SALE!$A$6:$A$10000,$AW$3,SALE!$D$6:$D$10000,$C$5:$C$499)</f>
        <v>0</v>
      </c>
      <c r="AZ15" s="72">
        <f>SUMIFS(SALE!$M$6:$M$10000,SALE!$A$6:$A$10000,$AW$3,SALE!$D$6:$D$10000,$C$5:$C$499)</f>
        <v>0</v>
      </c>
      <c r="BA15" s="72">
        <f>SUMIFS(SALE!$N$6:$N$10000,SALE!$A$6:$A$10000,$AW$3,SALE!$D$6:$D$10000,$C$5:$C$499)</f>
        <v>0</v>
      </c>
      <c r="BB15" s="72">
        <f t="shared" si="18"/>
        <v>0</v>
      </c>
      <c r="BC15" s="72">
        <f>SUMIFS(SALE!$K$6:$K$10000,SALE!$A$6:$A$10000,$BB$3,SALE!$D$6:$D$10000,$C$5:$C$499)</f>
        <v>0</v>
      </c>
      <c r="BD15" s="72">
        <f>SUMIFS(SALE!$L$6:$L$10000,SALE!$A$6:$A$10000,$BB$3,SALE!$D$6:$D$10000,$C$5:$C$499)</f>
        <v>0</v>
      </c>
      <c r="BE15" s="72">
        <f>SUMIFS(SALE!$M$6:$M$10000,SALE!$A$6:$A$10000,$BB$3,SALE!$D$6:$D$10000,$C$5:$C$499)</f>
        <v>0</v>
      </c>
      <c r="BF15" s="72">
        <f>SUMIFS(SALE!$N$6:$N$10000,SALE!$A$6:$A$10000,$BB$3,SALE!$D$6:$D$10000,$C$5:$C$499)</f>
        <v>0</v>
      </c>
      <c r="BG15" s="72">
        <f t="shared" si="19"/>
        <v>0</v>
      </c>
      <c r="BH15" s="72">
        <f>SUMIFS(SALE!$K$6:$K$10000,SALE!$A$6:$A$10000,$BG$3,SALE!$D$6:$D$10000,$C$5:$C$499)</f>
        <v>0</v>
      </c>
      <c r="BI15" s="72">
        <f>SUMIFS(SALE!$L$6:$L$10000,SALE!$A$6:$A$10000,$BG$3,SALE!$D$6:$D$10000,$C$5:$C$499)</f>
        <v>0</v>
      </c>
      <c r="BJ15" s="72">
        <f>SUMIFS(SALE!$M$6:$M$10000,SALE!$A$6:$A$10000,$BG$3,SALE!$D$6:$D$10000,$C$5:$C$499)</f>
        <v>0</v>
      </c>
      <c r="BK15" s="72">
        <f>SUMIFS(SALE!$N$6:$N$10000,SALE!$A$6:$A$10000,$BG$3,SALE!$D$6:$D$10000,$C$5:$C$499)</f>
        <v>0</v>
      </c>
      <c r="BL15" s="72">
        <f t="shared" si="3"/>
        <v>0</v>
      </c>
      <c r="BM15" s="72">
        <f t="shared" si="4"/>
        <v>0</v>
      </c>
      <c r="BN15" s="72">
        <f t="shared" si="5"/>
        <v>0</v>
      </c>
      <c r="BO15" s="72">
        <f t="shared" si="6"/>
        <v>0</v>
      </c>
      <c r="BP15" s="72">
        <f t="shared" si="7"/>
        <v>0</v>
      </c>
    </row>
    <row r="16" spans="1:68" x14ac:dyDescent="0.2">
      <c r="A16" s="467">
        <v>12</v>
      </c>
      <c r="B16" s="499" t="s">
        <v>155</v>
      </c>
      <c r="C16" s="499" t="s">
        <v>156</v>
      </c>
      <c r="D16" s="72">
        <f t="shared" si="8"/>
        <v>169205.76000000001</v>
      </c>
      <c r="E16" s="72">
        <f>SUMIFS(SALE!$K$6:$K$10000,SALE!$A$6:$A$10000,$D$3,SALE!$D$6:$D$10000,$C$5:$C$499)</f>
        <v>132192</v>
      </c>
      <c r="F16" s="72">
        <f>SUMIFS(SALE!$L$6:$L$10000,SALE!$A$6:$A$10000,$D$3,SALE!$D$6:$D$10000,$C$5:$C$499)</f>
        <v>0</v>
      </c>
      <c r="G16" s="72">
        <f>SUMIFS(SALE!$M$6:$M$10000,SALE!$A$6:$A$10000,$D$3,SALE!$D$6:$D$10000,$C$5:$C$499)</f>
        <v>18506.88</v>
      </c>
      <c r="H16" s="72">
        <f>SUMIFS(SALE!$N$6:$N$10000,SALE!$A$6:$A$10000,$D$3,SALE!$D$6:$D$10000,$C$5:$C$499)</f>
        <v>18506.88</v>
      </c>
      <c r="I16" s="72">
        <f t="shared" si="9"/>
        <v>1139676.5696</v>
      </c>
      <c r="J16" s="72">
        <f>SUMIFS(SALE!$K$6:$K$10000,SALE!$A$6:$A$10000,$I$3,SALE!$D$6:$D$10000,$C$5:$C$499)</f>
        <v>890372.32</v>
      </c>
      <c r="K16" s="72">
        <f>SUMIFS(SALE!$L$6:$L$10000,SALE!$A$6:$A$10000,$I$3,SALE!$D$6:$D$10000,$C$5:$C$499)</f>
        <v>0</v>
      </c>
      <c r="L16" s="72">
        <f>SUMIFS(SALE!$M$6:$M$10000,SALE!$A$6:$A$10000,$I$3,SALE!$D$6:$D$10000,$C$5:$C$499)</f>
        <v>124652.12480000001</v>
      </c>
      <c r="M16" s="72">
        <f>SUMIFS(SALE!$N$6:$N$10000,SALE!$A$6:$A$10000,$I$3,SALE!$D$6:$D$10000,$C$5:$C$499)</f>
        <v>124652.12480000001</v>
      </c>
      <c r="N16" s="72">
        <f t="shared" si="10"/>
        <v>1012498.8032</v>
      </c>
      <c r="O16" s="72">
        <f>SUMIFS(SALE!$K$6:$K$10000,SALE!$A$6:$A$10000,$N$3,SALE!$D$6:$D$10000,$C$5:$C$499)</f>
        <v>791014.69</v>
      </c>
      <c r="P16" s="72">
        <f>SUMIFS(SALE!$L$6:$L$10000,SALE!$A$6:$A$10000,$N$3,SALE!$D$6:$D$10000,$C$5:$C$499)</f>
        <v>0</v>
      </c>
      <c r="Q16" s="72">
        <f>SUMIFS(SALE!$M$6:$M$10000,SALE!$A$6:$A$10000,$N$3,SALE!$D$6:$D$10000,$C$5:$C$499)</f>
        <v>110742.0566</v>
      </c>
      <c r="R16" s="72">
        <f>SUMIFS(SALE!$N$6:$N$10000,SALE!$A$6:$A$10000,$N$3,SALE!$D$6:$D$10000,$C$5:$C$499)</f>
        <v>110742.0566</v>
      </c>
      <c r="S16" s="72">
        <f t="shared" si="11"/>
        <v>1012498.8032</v>
      </c>
      <c r="T16" s="72">
        <f>SUMIFS(SALE!$K$6:$K$10000,SALE!$A$6:$A$10000,$N$3,SALE!$D$6:$D$10000,$C$5:$C$499)</f>
        <v>791014.69</v>
      </c>
      <c r="U16" s="72">
        <f>SUMIFS(SALE!$L$6:$L$10000,SALE!$A$6:$A$10000,$N$3,SALE!$D$6:$D$10000,$C$5:$C$499)</f>
        <v>0</v>
      </c>
      <c r="V16" s="72">
        <f>SUMIFS(SALE!$M$6:$M$10000,SALE!$A$6:$A$10000,$N$3,SALE!$D$6:$D$10000,$C$5:$C$499)</f>
        <v>110742.0566</v>
      </c>
      <c r="W16" s="72">
        <f>SUMIFS(SALE!$N$6:$N$10000,SALE!$A$6:$A$10000,$N$3,SALE!$D$6:$D$10000,$C$5:$C$499)</f>
        <v>110742.0566</v>
      </c>
      <c r="X16" s="72">
        <f t="shared" si="12"/>
        <v>619913.63840000005</v>
      </c>
      <c r="Y16" s="72">
        <f>SUMIFS(SALE!$K$6:$K$10000,SALE!$A$6:$A$10000,$X$3,SALE!$D$6:$D$10000,$C$5:$C$499)</f>
        <v>484307.53</v>
      </c>
      <c r="Z16" s="72">
        <f>SUMIFS(SALE!$L$6:$L$10000,SALE!$A$6:$A$10000,$X$3,SALE!$D$6:$D$10000,$C$5:$C$499)</f>
        <v>0</v>
      </c>
      <c r="AA16" s="72">
        <f>SUMIFS(SALE!$M$6:$M$10000,SALE!$A$6:$A$10000,$X$3,SALE!$D$6:$D$10000,$C$5:$C$499)</f>
        <v>67803.054200000013</v>
      </c>
      <c r="AB16" s="72">
        <f>SUMIFS(SALE!$N$6:$N$10000,SALE!$A$6:$A$10000,$X$3,SALE!$D$6:$D$10000,$C$5:$C$499)</f>
        <v>67803.054200000013</v>
      </c>
      <c r="AC16" s="72">
        <f t="shared" si="13"/>
        <v>733425.15200000012</v>
      </c>
      <c r="AD16" s="72">
        <f>SUMIFS(SALE!$K$6:$K$10000,SALE!$A$6:$A$10000,$AC$3,SALE!$D$6:$D$10000,$C$5:$C$499)</f>
        <v>572988.4</v>
      </c>
      <c r="AE16" s="72">
        <f>SUMIFS(SALE!$L$6:$L$10000,SALE!$A$6:$A$10000,$AC$3,SALE!$D$6:$D$10000,$C$5:$C$499)</f>
        <v>0</v>
      </c>
      <c r="AF16" s="72">
        <f>SUMIFS(SALE!$M$6:$M$10000,SALE!$A$6:$A$10000,$AC$3,SALE!$D$6:$D$10000,$C$5:$C$499)</f>
        <v>80218.376000000018</v>
      </c>
      <c r="AG16" s="72">
        <f>SUMIFS(SALE!$N$6:$N$10000,SALE!$A$6:$A$10000,$AC$3,SALE!$D$6:$D$10000,$C$5:$C$499)</f>
        <v>80218.376000000018</v>
      </c>
      <c r="AH16" s="72">
        <f t="shared" si="14"/>
        <v>786168.32000000007</v>
      </c>
      <c r="AI16" s="72">
        <f>SUMIFS(SALE!$K$6:$K$10000,SALE!$A$6:$A$10000,$AH$3,SALE!$D$6:$D$10000,$C$5:$C$499)</f>
        <v>614194</v>
      </c>
      <c r="AJ16" s="72">
        <f>SUMIFS(SALE!$L$6:$L$10000,SALE!$A$6:$A$10000,$AH$3,SALE!$D$6:$D$10000,$C$5:$C$499)</f>
        <v>0</v>
      </c>
      <c r="AK16" s="72">
        <f>SUMIFS(SALE!$M$6:$M$10000,SALE!$A$6:$A$10000,$AH$3,SALE!$D$6:$D$10000,$C$5:$C$499)</f>
        <v>85987.159999999989</v>
      </c>
      <c r="AL16" s="72">
        <f>SUMIFS(SALE!$N$6:$N$10000,SALE!$A$6:$A$10000,$AH$3,SALE!$D$6:$D$10000,$C$5:$C$499)</f>
        <v>85987.159999999989</v>
      </c>
      <c r="AM16" s="72">
        <f t="shared" si="15"/>
        <v>368742.14400000003</v>
      </c>
      <c r="AN16" s="72">
        <f>SUMIFS(SALE!$K$6:$K$10000,SALE!$A$6:$A$10000,$AM$3,SALE!$D$6:$D$10000,$C$5:$C$499)</f>
        <v>288079.8</v>
      </c>
      <c r="AO16" s="72">
        <f>SUMIFS(SALE!$L$6:$L$10000,SALE!$A$6:$A$10000,$AM$3,SALE!$D$6:$D$10000,$C$5:$C$499)</f>
        <v>0</v>
      </c>
      <c r="AP16" s="72">
        <f>SUMIFS(SALE!$M$6:$M$10000,SALE!$A$6:$A$10000,$AM$3,SALE!$D$6:$D$10000,$C$5:$C$499)</f>
        <v>40331.172000000006</v>
      </c>
      <c r="AQ16" s="72">
        <f>SUMIFS(SALE!$N$6:$N$10000,SALE!$A$6:$A$10000,$AM$3,SALE!$D$6:$D$10000,$C$5:$C$499)</f>
        <v>40331.172000000006</v>
      </c>
      <c r="AR16" s="72">
        <f t="shared" si="16"/>
        <v>0</v>
      </c>
      <c r="AS16" s="72">
        <f>SUMIFS(SALE!$K$6:$K$10000,SALE!$A$6:$A$10000,$AR$3,SALE!$D$6:$D$10000,$C$5:$C$499)</f>
        <v>0</v>
      </c>
      <c r="AT16" s="72">
        <f>SUMIFS(SALE!$L$6:$L$10000,SALE!$A$6:$A$10000,$AR$3,SALE!$D$6:$D$10000,$C$5:$C$499)</f>
        <v>0</v>
      </c>
      <c r="AU16" s="72">
        <f>SUMIFS(SALE!$M$6:$M$10000,SALE!$A$6:$A$10000,$AR$3,SALE!$D$6:$D$10000,$C$5:$C$499)</f>
        <v>0</v>
      </c>
      <c r="AV16" s="72">
        <f>SUMIFS(SALE!$N$6:$N$10000,SALE!$A$6:$A$10000,$AR$3,SALE!$D$6:$D$10000,$C$5:$C$499)</f>
        <v>0</v>
      </c>
      <c r="AW16" s="72">
        <f t="shared" si="17"/>
        <v>0</v>
      </c>
      <c r="AX16" s="72">
        <f>SUMIFS(SALE!$K$6:$K$10000,SALE!$A$6:$A$10000,$AW$3,SALE!$D$6:$D$10000,$C$5:$C$499)</f>
        <v>0</v>
      </c>
      <c r="AY16" s="72">
        <f>SUMIFS(SALE!$L$6:$L$10000,SALE!$A$6:$A$10000,$AW$3,SALE!$D$6:$D$10000,$C$5:$C$499)</f>
        <v>0</v>
      </c>
      <c r="AZ16" s="72">
        <f>SUMIFS(SALE!$M$6:$M$10000,SALE!$A$6:$A$10000,$AW$3,SALE!$D$6:$D$10000,$C$5:$C$499)</f>
        <v>0</v>
      </c>
      <c r="BA16" s="72">
        <f>SUMIFS(SALE!$N$6:$N$10000,SALE!$A$6:$A$10000,$AW$3,SALE!$D$6:$D$10000,$C$5:$C$499)</f>
        <v>0</v>
      </c>
      <c r="BB16" s="72">
        <f t="shared" si="18"/>
        <v>0</v>
      </c>
      <c r="BC16" s="72">
        <f>SUMIFS(SALE!$K$6:$K$10000,SALE!$A$6:$A$10000,$BB$3,SALE!$D$6:$D$10000,$C$5:$C$499)</f>
        <v>0</v>
      </c>
      <c r="BD16" s="72">
        <f>SUMIFS(SALE!$L$6:$L$10000,SALE!$A$6:$A$10000,$BB$3,SALE!$D$6:$D$10000,$C$5:$C$499)</f>
        <v>0</v>
      </c>
      <c r="BE16" s="72">
        <f>SUMIFS(SALE!$M$6:$M$10000,SALE!$A$6:$A$10000,$BB$3,SALE!$D$6:$D$10000,$C$5:$C$499)</f>
        <v>0</v>
      </c>
      <c r="BF16" s="72">
        <f>SUMIFS(SALE!$N$6:$N$10000,SALE!$A$6:$A$10000,$BB$3,SALE!$D$6:$D$10000,$C$5:$C$499)</f>
        <v>0</v>
      </c>
      <c r="BG16" s="72">
        <f t="shared" si="19"/>
        <v>0</v>
      </c>
      <c r="BH16" s="72">
        <f>SUMIFS(SALE!$K$6:$K$10000,SALE!$A$6:$A$10000,$BG$3,SALE!$D$6:$D$10000,$C$5:$C$499)</f>
        <v>0</v>
      </c>
      <c r="BI16" s="72">
        <f>SUMIFS(SALE!$L$6:$L$10000,SALE!$A$6:$A$10000,$BG$3,SALE!$D$6:$D$10000,$C$5:$C$499)</f>
        <v>0</v>
      </c>
      <c r="BJ16" s="72">
        <f>SUMIFS(SALE!$M$6:$M$10000,SALE!$A$6:$A$10000,$BG$3,SALE!$D$6:$D$10000,$C$5:$C$499)</f>
        <v>0</v>
      </c>
      <c r="BK16" s="72">
        <f>SUMIFS(SALE!$N$6:$N$10000,SALE!$A$6:$A$10000,$BG$3,SALE!$D$6:$D$10000,$C$5:$C$499)</f>
        <v>0</v>
      </c>
      <c r="BL16" s="72">
        <f t="shared" si="3"/>
        <v>5842129.1904000007</v>
      </c>
      <c r="BM16" s="72">
        <f t="shared" si="4"/>
        <v>4564163.4299999988</v>
      </c>
      <c r="BN16" s="72">
        <f t="shared" si="5"/>
        <v>0</v>
      </c>
      <c r="BO16" s="72">
        <f t="shared" si="6"/>
        <v>638982.88020000013</v>
      </c>
      <c r="BP16" s="72">
        <f t="shared" si="7"/>
        <v>638982.88020000013</v>
      </c>
    </row>
    <row r="17" spans="1:68" x14ac:dyDescent="0.2">
      <c r="A17" s="467">
        <v>13</v>
      </c>
      <c r="B17" s="499" t="s">
        <v>73</v>
      </c>
      <c r="C17" s="499" t="s">
        <v>74</v>
      </c>
      <c r="D17" s="72">
        <f t="shared" si="8"/>
        <v>169920</v>
      </c>
      <c r="E17" s="72">
        <f>SUMIFS(SALE!$K$6:$K$10000,SALE!$A$6:$A$10000,$D$3,SALE!$D$6:$D$10000,$C$5:$C$499)</f>
        <v>144000</v>
      </c>
      <c r="F17" s="72">
        <f>SUMIFS(SALE!$L$6:$L$10000,SALE!$A$6:$A$10000,$D$3,SALE!$D$6:$D$10000,$C$5:$C$499)</f>
        <v>0</v>
      </c>
      <c r="G17" s="72">
        <f>SUMIFS(SALE!$M$6:$M$10000,SALE!$A$6:$A$10000,$D$3,SALE!$D$6:$D$10000,$C$5:$C$499)</f>
        <v>12960</v>
      </c>
      <c r="H17" s="72">
        <f>SUMIFS(SALE!$N$6:$N$10000,SALE!$A$6:$A$10000,$D$3,SALE!$D$6:$D$10000,$C$5:$C$499)</f>
        <v>12960</v>
      </c>
      <c r="I17" s="72">
        <f t="shared" si="9"/>
        <v>672600</v>
      </c>
      <c r="J17" s="72">
        <f>SUMIFS(SALE!$K$6:$K$10000,SALE!$A$6:$A$10000,$I$3,SALE!$D$6:$D$10000,$C$5:$C$499)</f>
        <v>570000</v>
      </c>
      <c r="K17" s="72">
        <f>SUMIFS(SALE!$L$6:$L$10000,SALE!$A$6:$A$10000,$I$3,SALE!$D$6:$D$10000,$C$5:$C$499)</f>
        <v>0</v>
      </c>
      <c r="L17" s="72">
        <f>SUMIFS(SALE!$M$6:$M$10000,SALE!$A$6:$A$10000,$I$3,SALE!$D$6:$D$10000,$C$5:$C$499)</f>
        <v>51300</v>
      </c>
      <c r="M17" s="72">
        <f>SUMIFS(SALE!$N$6:$N$10000,SALE!$A$6:$A$10000,$I$3,SALE!$D$6:$D$10000,$C$5:$C$499)</f>
        <v>51300</v>
      </c>
      <c r="N17" s="72">
        <f t="shared" si="10"/>
        <v>807120</v>
      </c>
      <c r="O17" s="72">
        <f>SUMIFS(SALE!$K$6:$K$10000,SALE!$A$6:$A$10000,$N$3,SALE!$D$6:$D$10000,$C$5:$C$499)</f>
        <v>684000</v>
      </c>
      <c r="P17" s="72">
        <f>SUMIFS(SALE!$L$6:$L$10000,SALE!$A$6:$A$10000,$N$3,SALE!$D$6:$D$10000,$C$5:$C$499)</f>
        <v>0</v>
      </c>
      <c r="Q17" s="72">
        <f>SUMIFS(SALE!$M$6:$M$10000,SALE!$A$6:$A$10000,$N$3,SALE!$D$6:$D$10000,$C$5:$C$499)</f>
        <v>61560</v>
      </c>
      <c r="R17" s="72">
        <f>SUMIFS(SALE!$N$6:$N$10000,SALE!$A$6:$A$10000,$N$3,SALE!$D$6:$D$10000,$C$5:$C$499)</f>
        <v>61560</v>
      </c>
      <c r="S17" s="72">
        <f t="shared" si="11"/>
        <v>807120</v>
      </c>
      <c r="T17" s="72">
        <f>SUMIFS(SALE!$K$6:$K$10000,SALE!$A$6:$A$10000,$N$3,SALE!$D$6:$D$10000,$C$5:$C$499)</f>
        <v>684000</v>
      </c>
      <c r="U17" s="72">
        <f>SUMIFS(SALE!$L$6:$L$10000,SALE!$A$6:$A$10000,$N$3,SALE!$D$6:$D$10000,$C$5:$C$499)</f>
        <v>0</v>
      </c>
      <c r="V17" s="72">
        <f>SUMIFS(SALE!$M$6:$M$10000,SALE!$A$6:$A$10000,$N$3,SALE!$D$6:$D$10000,$C$5:$C$499)</f>
        <v>61560</v>
      </c>
      <c r="W17" s="72">
        <f>SUMIFS(SALE!$N$6:$N$10000,SALE!$A$6:$A$10000,$N$3,SALE!$D$6:$D$10000,$C$5:$C$499)</f>
        <v>61560</v>
      </c>
      <c r="X17" s="72">
        <f t="shared" si="12"/>
        <v>630120</v>
      </c>
      <c r="Y17" s="72">
        <f>SUMIFS(SALE!$K$6:$K$10000,SALE!$A$6:$A$10000,$X$3,SALE!$D$6:$D$10000,$C$5:$C$499)</f>
        <v>534000</v>
      </c>
      <c r="Z17" s="72">
        <f>SUMIFS(SALE!$L$6:$L$10000,SALE!$A$6:$A$10000,$X$3,SALE!$D$6:$D$10000,$C$5:$C$499)</f>
        <v>0</v>
      </c>
      <c r="AA17" s="72">
        <f>SUMIFS(SALE!$M$6:$M$10000,SALE!$A$6:$A$10000,$X$3,SALE!$D$6:$D$10000,$C$5:$C$499)</f>
        <v>48060</v>
      </c>
      <c r="AB17" s="72">
        <f>SUMIFS(SALE!$N$6:$N$10000,SALE!$A$6:$A$10000,$X$3,SALE!$D$6:$D$10000,$C$5:$C$499)</f>
        <v>48060</v>
      </c>
      <c r="AC17" s="72">
        <f t="shared" si="13"/>
        <v>401177.78879999992</v>
      </c>
      <c r="AD17" s="72">
        <f>SUMIFS(SALE!$K$6:$K$10000,SALE!$A$6:$A$10000,$AC$3,SALE!$D$6:$D$10000,$C$5:$C$499)</f>
        <v>339981.16</v>
      </c>
      <c r="AE17" s="72">
        <f>SUMIFS(SALE!$L$6:$L$10000,SALE!$A$6:$A$10000,$AC$3,SALE!$D$6:$D$10000,$C$5:$C$499)</f>
        <v>0</v>
      </c>
      <c r="AF17" s="72">
        <f>SUMIFS(SALE!$M$6:$M$10000,SALE!$A$6:$A$10000,$AC$3,SALE!$D$6:$D$10000,$C$5:$C$499)</f>
        <v>30598.314399999999</v>
      </c>
      <c r="AG17" s="72">
        <f>SUMIFS(SALE!$N$6:$N$10000,SALE!$A$6:$A$10000,$AC$3,SALE!$D$6:$D$10000,$C$5:$C$499)</f>
        <v>30598.314399999999</v>
      </c>
      <c r="AH17" s="72">
        <f t="shared" si="14"/>
        <v>651360</v>
      </c>
      <c r="AI17" s="72">
        <f>SUMIFS(SALE!$K$6:$K$10000,SALE!$A$6:$A$10000,$AH$3,SALE!$D$6:$D$10000,$C$5:$C$499)</f>
        <v>552000</v>
      </c>
      <c r="AJ17" s="72">
        <f>SUMIFS(SALE!$L$6:$L$10000,SALE!$A$6:$A$10000,$AH$3,SALE!$D$6:$D$10000,$C$5:$C$499)</f>
        <v>0</v>
      </c>
      <c r="AK17" s="72">
        <f>SUMIFS(SALE!$M$6:$M$10000,SALE!$A$6:$A$10000,$AH$3,SALE!$D$6:$D$10000,$C$5:$C$499)</f>
        <v>49680</v>
      </c>
      <c r="AL17" s="72">
        <f>SUMIFS(SALE!$N$6:$N$10000,SALE!$A$6:$A$10000,$AH$3,SALE!$D$6:$D$10000,$C$5:$C$499)</f>
        <v>49680</v>
      </c>
      <c r="AM17" s="72">
        <f t="shared" si="15"/>
        <v>389400</v>
      </c>
      <c r="AN17" s="72">
        <f>SUMIFS(SALE!$K$6:$K$10000,SALE!$A$6:$A$10000,$AM$3,SALE!$D$6:$D$10000,$C$5:$C$499)</f>
        <v>330000</v>
      </c>
      <c r="AO17" s="72">
        <f>SUMIFS(SALE!$L$6:$L$10000,SALE!$A$6:$A$10000,$AM$3,SALE!$D$6:$D$10000,$C$5:$C$499)</f>
        <v>0</v>
      </c>
      <c r="AP17" s="72">
        <f>SUMIFS(SALE!$M$6:$M$10000,SALE!$A$6:$A$10000,$AM$3,SALE!$D$6:$D$10000,$C$5:$C$499)</f>
        <v>29700</v>
      </c>
      <c r="AQ17" s="72">
        <f>SUMIFS(SALE!$N$6:$N$10000,SALE!$A$6:$A$10000,$AM$3,SALE!$D$6:$D$10000,$C$5:$C$499)</f>
        <v>29700</v>
      </c>
      <c r="AR17" s="72">
        <f t="shared" si="16"/>
        <v>0</v>
      </c>
      <c r="AS17" s="72">
        <f>SUMIFS(SALE!$K$6:$K$10000,SALE!$A$6:$A$10000,$AR$3,SALE!$D$6:$D$10000,$C$5:$C$499)</f>
        <v>0</v>
      </c>
      <c r="AT17" s="72">
        <f>SUMIFS(SALE!$L$6:$L$10000,SALE!$A$6:$A$10000,$AR$3,SALE!$D$6:$D$10000,$C$5:$C$499)</f>
        <v>0</v>
      </c>
      <c r="AU17" s="72">
        <f>SUMIFS(SALE!$M$6:$M$10000,SALE!$A$6:$A$10000,$AR$3,SALE!$D$6:$D$10000,$C$5:$C$499)</f>
        <v>0</v>
      </c>
      <c r="AV17" s="72">
        <f>SUMIFS(SALE!$N$6:$N$10000,SALE!$A$6:$A$10000,$AR$3,SALE!$D$6:$D$10000,$C$5:$C$499)</f>
        <v>0</v>
      </c>
      <c r="AW17" s="72">
        <f t="shared" si="17"/>
        <v>0</v>
      </c>
      <c r="AX17" s="72">
        <f>SUMIFS(SALE!$K$6:$K$10000,SALE!$A$6:$A$10000,$AW$3,SALE!$D$6:$D$10000,$C$5:$C$499)</f>
        <v>0</v>
      </c>
      <c r="AY17" s="72">
        <f>SUMIFS(SALE!$L$6:$L$10000,SALE!$A$6:$A$10000,$AW$3,SALE!$D$6:$D$10000,$C$5:$C$499)</f>
        <v>0</v>
      </c>
      <c r="AZ17" s="72">
        <f>SUMIFS(SALE!$M$6:$M$10000,SALE!$A$6:$A$10000,$AW$3,SALE!$D$6:$D$10000,$C$5:$C$499)</f>
        <v>0</v>
      </c>
      <c r="BA17" s="72">
        <f>SUMIFS(SALE!$N$6:$N$10000,SALE!$A$6:$A$10000,$AW$3,SALE!$D$6:$D$10000,$C$5:$C$499)</f>
        <v>0</v>
      </c>
      <c r="BB17" s="72">
        <f t="shared" si="18"/>
        <v>0</v>
      </c>
      <c r="BC17" s="72">
        <f>SUMIFS(SALE!$K$6:$K$10000,SALE!$A$6:$A$10000,$BB$3,SALE!$D$6:$D$10000,$C$5:$C$499)</f>
        <v>0</v>
      </c>
      <c r="BD17" s="72">
        <f>SUMIFS(SALE!$L$6:$L$10000,SALE!$A$6:$A$10000,$BB$3,SALE!$D$6:$D$10000,$C$5:$C$499)</f>
        <v>0</v>
      </c>
      <c r="BE17" s="72">
        <f>SUMIFS(SALE!$M$6:$M$10000,SALE!$A$6:$A$10000,$BB$3,SALE!$D$6:$D$10000,$C$5:$C$499)</f>
        <v>0</v>
      </c>
      <c r="BF17" s="72">
        <f>SUMIFS(SALE!$N$6:$N$10000,SALE!$A$6:$A$10000,$BB$3,SALE!$D$6:$D$10000,$C$5:$C$499)</f>
        <v>0</v>
      </c>
      <c r="BG17" s="72">
        <f t="shared" si="19"/>
        <v>0</v>
      </c>
      <c r="BH17" s="72">
        <f>SUMIFS(SALE!$K$6:$K$10000,SALE!$A$6:$A$10000,$BG$3,SALE!$D$6:$D$10000,$C$5:$C$499)</f>
        <v>0</v>
      </c>
      <c r="BI17" s="72">
        <f>SUMIFS(SALE!$L$6:$L$10000,SALE!$A$6:$A$10000,$BG$3,SALE!$D$6:$D$10000,$C$5:$C$499)</f>
        <v>0</v>
      </c>
      <c r="BJ17" s="72">
        <f>SUMIFS(SALE!$M$6:$M$10000,SALE!$A$6:$A$10000,$BG$3,SALE!$D$6:$D$10000,$C$5:$C$499)</f>
        <v>0</v>
      </c>
      <c r="BK17" s="72">
        <f>SUMIFS(SALE!$N$6:$N$10000,SALE!$A$6:$A$10000,$BG$3,SALE!$D$6:$D$10000,$C$5:$C$499)</f>
        <v>0</v>
      </c>
      <c r="BL17" s="72">
        <f t="shared" si="3"/>
        <v>4528817.7887999993</v>
      </c>
      <c r="BM17" s="72">
        <f t="shared" si="4"/>
        <v>3837981.16</v>
      </c>
      <c r="BN17" s="72">
        <f t="shared" si="5"/>
        <v>0</v>
      </c>
      <c r="BO17" s="72">
        <f t="shared" si="6"/>
        <v>345418.31439999997</v>
      </c>
      <c r="BP17" s="72">
        <f t="shared" si="7"/>
        <v>345418.31439999997</v>
      </c>
    </row>
    <row r="18" spans="1:68" x14ac:dyDescent="0.2">
      <c r="A18" s="467">
        <v>14</v>
      </c>
      <c r="B18" s="504" t="s">
        <v>245</v>
      </c>
      <c r="C18" s="504" t="s">
        <v>246</v>
      </c>
      <c r="D18" s="72">
        <f t="shared" si="8"/>
        <v>0</v>
      </c>
      <c r="E18" s="72">
        <f>SUMIFS(SALE!$K$6:$K$10000,SALE!$A$6:$A$10000,$D$3,SALE!$D$6:$D$10000,$C$5:$C$499)</f>
        <v>0</v>
      </c>
      <c r="F18" s="72">
        <f>SUMIFS(SALE!$L$6:$L$10000,SALE!$A$6:$A$10000,$D$3,SALE!$D$6:$D$10000,$C$5:$C$499)</f>
        <v>0</v>
      </c>
      <c r="G18" s="72">
        <f>SUMIFS(SALE!$M$6:$M$10000,SALE!$A$6:$A$10000,$D$3,SALE!$D$6:$D$10000,$C$5:$C$499)</f>
        <v>0</v>
      </c>
      <c r="H18" s="72">
        <f>SUMIFS(SALE!$N$6:$N$10000,SALE!$A$6:$A$10000,$D$3,SALE!$D$6:$D$10000,$C$5:$C$499)</f>
        <v>0</v>
      </c>
      <c r="I18" s="72">
        <f t="shared" si="9"/>
        <v>0</v>
      </c>
      <c r="J18" s="72">
        <f>SUMIFS(SALE!$K$6:$K$10000,SALE!$A$6:$A$10000,$I$3,SALE!$D$6:$D$10000,$C$5:$C$499)</f>
        <v>0</v>
      </c>
      <c r="K18" s="72">
        <f>SUMIFS(SALE!$L$6:$L$10000,SALE!$A$6:$A$10000,$I$3,SALE!$D$6:$D$10000,$C$5:$C$499)</f>
        <v>0</v>
      </c>
      <c r="L18" s="72">
        <f>SUMIFS(SALE!$M$6:$M$10000,SALE!$A$6:$A$10000,$I$3,SALE!$D$6:$D$10000,$C$5:$C$499)</f>
        <v>0</v>
      </c>
      <c r="M18" s="72">
        <f>SUMIFS(SALE!$N$6:$N$10000,SALE!$A$6:$A$10000,$I$3,SALE!$D$6:$D$10000,$C$5:$C$499)</f>
        <v>0</v>
      </c>
      <c r="N18" s="72">
        <f t="shared" si="10"/>
        <v>0</v>
      </c>
      <c r="O18" s="72">
        <f>SUMIFS(SALE!$K$6:$K$10000,SALE!$A$6:$A$10000,$N$3,SALE!$D$6:$D$10000,$C$5:$C$499)</f>
        <v>0</v>
      </c>
      <c r="P18" s="72">
        <f>SUMIFS(SALE!$L$6:$L$10000,SALE!$A$6:$A$10000,$N$3,SALE!$D$6:$D$10000,$C$5:$C$499)</f>
        <v>0</v>
      </c>
      <c r="Q18" s="72">
        <f>SUMIFS(SALE!$M$6:$M$10000,SALE!$A$6:$A$10000,$N$3,SALE!$D$6:$D$10000,$C$5:$C$499)</f>
        <v>0</v>
      </c>
      <c r="R18" s="72">
        <f>SUMIFS(SALE!$N$6:$N$10000,SALE!$A$6:$A$10000,$N$3,SALE!$D$6:$D$10000,$C$5:$C$499)</f>
        <v>0</v>
      </c>
      <c r="S18" s="72">
        <f t="shared" si="11"/>
        <v>0</v>
      </c>
      <c r="T18" s="72">
        <f>SUMIFS(SALE!$K$6:$K$10000,SALE!$A$6:$A$10000,$N$3,SALE!$D$6:$D$10000,$C$5:$C$499)</f>
        <v>0</v>
      </c>
      <c r="U18" s="72">
        <f>SUMIFS(SALE!$L$6:$L$10000,SALE!$A$6:$A$10000,$N$3,SALE!$D$6:$D$10000,$C$5:$C$499)</f>
        <v>0</v>
      </c>
      <c r="V18" s="72">
        <f>SUMIFS(SALE!$M$6:$M$10000,SALE!$A$6:$A$10000,$N$3,SALE!$D$6:$D$10000,$C$5:$C$499)</f>
        <v>0</v>
      </c>
      <c r="W18" s="72">
        <f>SUMIFS(SALE!$N$6:$N$10000,SALE!$A$6:$A$10000,$N$3,SALE!$D$6:$D$10000,$C$5:$C$499)</f>
        <v>0</v>
      </c>
      <c r="X18" s="72">
        <f t="shared" si="12"/>
        <v>0</v>
      </c>
      <c r="Y18" s="72">
        <f>SUMIFS(SALE!$K$6:$K$10000,SALE!$A$6:$A$10000,$X$3,SALE!$D$6:$D$10000,$C$5:$C$499)</f>
        <v>0</v>
      </c>
      <c r="Z18" s="72">
        <f>SUMIFS(SALE!$L$6:$L$10000,SALE!$A$6:$A$10000,$X$3,SALE!$D$6:$D$10000,$C$5:$C$499)</f>
        <v>0</v>
      </c>
      <c r="AA18" s="72">
        <f>SUMIFS(SALE!$M$6:$M$10000,SALE!$A$6:$A$10000,$X$3,SALE!$D$6:$D$10000,$C$5:$C$499)</f>
        <v>0</v>
      </c>
      <c r="AB18" s="72">
        <f>SUMIFS(SALE!$N$6:$N$10000,SALE!$A$6:$A$10000,$X$3,SALE!$D$6:$D$10000,$C$5:$C$499)</f>
        <v>0</v>
      </c>
      <c r="AC18" s="72">
        <f t="shared" si="13"/>
        <v>0</v>
      </c>
      <c r="AD18" s="72">
        <f>SUMIFS(SALE!$K$6:$K$10000,SALE!$A$6:$A$10000,$AC$3,SALE!$D$6:$D$10000,$C$5:$C$499)</f>
        <v>0</v>
      </c>
      <c r="AE18" s="72">
        <f>SUMIFS(SALE!$L$6:$L$10000,SALE!$A$6:$A$10000,$AC$3,SALE!$D$6:$D$10000,$C$5:$C$499)</f>
        <v>0</v>
      </c>
      <c r="AF18" s="72">
        <f>SUMIFS(SALE!$M$6:$M$10000,SALE!$A$6:$A$10000,$AC$3,SALE!$D$6:$D$10000,$C$5:$C$499)</f>
        <v>0</v>
      </c>
      <c r="AG18" s="72">
        <f>SUMIFS(SALE!$N$6:$N$10000,SALE!$A$6:$A$10000,$AC$3,SALE!$D$6:$D$10000,$C$5:$C$499)</f>
        <v>0</v>
      </c>
      <c r="AH18" s="72">
        <f t="shared" si="14"/>
        <v>0</v>
      </c>
      <c r="AI18" s="72">
        <f>SUMIFS(SALE!$K$6:$K$10000,SALE!$A$6:$A$10000,$AH$3,SALE!$D$6:$D$10000,$C$5:$C$499)</f>
        <v>0</v>
      </c>
      <c r="AJ18" s="72">
        <f>SUMIFS(SALE!$L$6:$L$10000,SALE!$A$6:$A$10000,$AH$3,SALE!$D$6:$D$10000,$C$5:$C$499)</f>
        <v>0</v>
      </c>
      <c r="AK18" s="72">
        <f>SUMIFS(SALE!$M$6:$M$10000,SALE!$A$6:$A$10000,$AH$3,SALE!$D$6:$D$10000,$C$5:$C$499)</f>
        <v>0</v>
      </c>
      <c r="AL18" s="72">
        <f>SUMIFS(SALE!$N$6:$N$10000,SALE!$A$6:$A$10000,$AH$3,SALE!$D$6:$D$10000,$C$5:$C$499)</f>
        <v>0</v>
      </c>
      <c r="AM18" s="72">
        <f t="shared" si="15"/>
        <v>0</v>
      </c>
      <c r="AN18" s="72">
        <f>SUMIFS(SALE!$K$6:$K$10000,SALE!$A$6:$A$10000,$AM$3,SALE!$D$6:$D$10000,$C$5:$C$499)</f>
        <v>0</v>
      </c>
      <c r="AO18" s="72">
        <f>SUMIFS(SALE!$L$6:$L$10000,SALE!$A$6:$A$10000,$AM$3,SALE!$D$6:$D$10000,$C$5:$C$499)</f>
        <v>0</v>
      </c>
      <c r="AP18" s="72">
        <f>SUMIFS(SALE!$M$6:$M$10000,SALE!$A$6:$A$10000,$AM$3,SALE!$D$6:$D$10000,$C$5:$C$499)</f>
        <v>0</v>
      </c>
      <c r="AQ18" s="72">
        <f>SUMIFS(SALE!$N$6:$N$10000,SALE!$A$6:$A$10000,$AM$3,SALE!$D$6:$D$10000,$C$5:$C$499)</f>
        <v>0</v>
      </c>
      <c r="AR18" s="72">
        <f t="shared" si="16"/>
        <v>0</v>
      </c>
      <c r="AS18" s="72">
        <f>SUMIFS(SALE!$K$6:$K$10000,SALE!$A$6:$A$10000,$AR$3,SALE!$D$6:$D$10000,$C$5:$C$499)</f>
        <v>0</v>
      </c>
      <c r="AT18" s="72">
        <f>SUMIFS(SALE!$L$6:$L$10000,SALE!$A$6:$A$10000,$AR$3,SALE!$D$6:$D$10000,$C$5:$C$499)</f>
        <v>0</v>
      </c>
      <c r="AU18" s="72">
        <f>SUMIFS(SALE!$M$6:$M$10000,SALE!$A$6:$A$10000,$AR$3,SALE!$D$6:$D$10000,$C$5:$C$499)</f>
        <v>0</v>
      </c>
      <c r="AV18" s="72">
        <f>SUMIFS(SALE!$N$6:$N$10000,SALE!$A$6:$A$10000,$AR$3,SALE!$D$6:$D$10000,$C$5:$C$499)</f>
        <v>0</v>
      </c>
      <c r="AW18" s="72">
        <f t="shared" si="17"/>
        <v>0</v>
      </c>
      <c r="AX18" s="72">
        <f>SUMIFS(SALE!$K$6:$K$10000,SALE!$A$6:$A$10000,$AW$3,SALE!$D$6:$D$10000,$C$5:$C$499)</f>
        <v>0</v>
      </c>
      <c r="AY18" s="72">
        <f>SUMIFS(SALE!$L$6:$L$10000,SALE!$A$6:$A$10000,$AW$3,SALE!$D$6:$D$10000,$C$5:$C$499)</f>
        <v>0</v>
      </c>
      <c r="AZ18" s="72">
        <f>SUMIFS(SALE!$M$6:$M$10000,SALE!$A$6:$A$10000,$AW$3,SALE!$D$6:$D$10000,$C$5:$C$499)</f>
        <v>0</v>
      </c>
      <c r="BA18" s="72">
        <f>SUMIFS(SALE!$N$6:$N$10000,SALE!$A$6:$A$10000,$AW$3,SALE!$D$6:$D$10000,$C$5:$C$499)</f>
        <v>0</v>
      </c>
      <c r="BB18" s="72">
        <f t="shared" si="18"/>
        <v>0</v>
      </c>
      <c r="BC18" s="72">
        <f>SUMIFS(SALE!$K$6:$K$10000,SALE!$A$6:$A$10000,$BB$3,SALE!$D$6:$D$10000,$C$5:$C$499)</f>
        <v>0</v>
      </c>
      <c r="BD18" s="72">
        <f>SUMIFS(SALE!$L$6:$L$10000,SALE!$A$6:$A$10000,$BB$3,SALE!$D$6:$D$10000,$C$5:$C$499)</f>
        <v>0</v>
      </c>
      <c r="BE18" s="72">
        <f>SUMIFS(SALE!$M$6:$M$10000,SALE!$A$6:$A$10000,$BB$3,SALE!$D$6:$D$10000,$C$5:$C$499)</f>
        <v>0</v>
      </c>
      <c r="BF18" s="72">
        <f>SUMIFS(SALE!$N$6:$N$10000,SALE!$A$6:$A$10000,$BB$3,SALE!$D$6:$D$10000,$C$5:$C$499)</f>
        <v>0</v>
      </c>
      <c r="BG18" s="72">
        <f t="shared" si="19"/>
        <v>0</v>
      </c>
      <c r="BH18" s="72">
        <f>SUMIFS(SALE!$K$6:$K$10000,SALE!$A$6:$A$10000,$BG$3,SALE!$D$6:$D$10000,$C$5:$C$499)</f>
        <v>0</v>
      </c>
      <c r="BI18" s="72">
        <f>SUMIFS(SALE!$L$6:$L$10000,SALE!$A$6:$A$10000,$BG$3,SALE!$D$6:$D$10000,$C$5:$C$499)</f>
        <v>0</v>
      </c>
      <c r="BJ18" s="72">
        <f>SUMIFS(SALE!$M$6:$M$10000,SALE!$A$6:$A$10000,$BG$3,SALE!$D$6:$D$10000,$C$5:$C$499)</f>
        <v>0</v>
      </c>
      <c r="BK18" s="72">
        <f>SUMIFS(SALE!$N$6:$N$10000,SALE!$A$6:$A$10000,$BG$3,SALE!$D$6:$D$10000,$C$5:$C$499)</f>
        <v>0</v>
      </c>
      <c r="BL18" s="72">
        <f t="shared" si="3"/>
        <v>0</v>
      </c>
      <c r="BM18" s="72">
        <f t="shared" si="4"/>
        <v>0</v>
      </c>
      <c r="BN18" s="72">
        <f t="shared" si="5"/>
        <v>0</v>
      </c>
      <c r="BO18" s="72">
        <f t="shared" si="6"/>
        <v>0</v>
      </c>
      <c r="BP18" s="72">
        <f t="shared" si="7"/>
        <v>0</v>
      </c>
    </row>
    <row r="19" spans="1:68" x14ac:dyDescent="0.2">
      <c r="A19" s="467">
        <v>15</v>
      </c>
      <c r="B19" s="504" t="s">
        <v>247</v>
      </c>
      <c r="C19" s="504" t="s">
        <v>248</v>
      </c>
      <c r="D19" s="72">
        <f t="shared" si="8"/>
        <v>0</v>
      </c>
      <c r="E19" s="72">
        <f>SUMIFS(SALE!$K$6:$K$10000,SALE!$A$6:$A$10000,$D$3,SALE!$D$6:$D$10000,$C$5:$C$499)</f>
        <v>0</v>
      </c>
      <c r="F19" s="72">
        <f>SUMIFS(SALE!$L$6:$L$10000,SALE!$A$6:$A$10000,$D$3,SALE!$D$6:$D$10000,$C$5:$C$499)</f>
        <v>0</v>
      </c>
      <c r="G19" s="72">
        <f>SUMIFS(SALE!$M$6:$M$10000,SALE!$A$6:$A$10000,$D$3,SALE!$D$6:$D$10000,$C$5:$C$499)</f>
        <v>0</v>
      </c>
      <c r="H19" s="72">
        <f>SUMIFS(SALE!$N$6:$N$10000,SALE!$A$6:$A$10000,$D$3,SALE!$D$6:$D$10000,$C$5:$C$499)</f>
        <v>0</v>
      </c>
      <c r="I19" s="72">
        <f t="shared" si="9"/>
        <v>0</v>
      </c>
      <c r="J19" s="72">
        <f>SUMIFS(SALE!$K$6:$K$10000,SALE!$A$6:$A$10000,$I$3,SALE!$D$6:$D$10000,$C$5:$C$499)</f>
        <v>0</v>
      </c>
      <c r="K19" s="72">
        <f>SUMIFS(SALE!$L$6:$L$10000,SALE!$A$6:$A$10000,$I$3,SALE!$D$6:$D$10000,$C$5:$C$499)</f>
        <v>0</v>
      </c>
      <c r="L19" s="72">
        <f>SUMIFS(SALE!$M$6:$M$10000,SALE!$A$6:$A$10000,$I$3,SALE!$D$6:$D$10000,$C$5:$C$499)</f>
        <v>0</v>
      </c>
      <c r="M19" s="72">
        <f>SUMIFS(SALE!$N$6:$N$10000,SALE!$A$6:$A$10000,$I$3,SALE!$D$6:$D$10000,$C$5:$C$499)</f>
        <v>0</v>
      </c>
      <c r="N19" s="72">
        <f t="shared" si="10"/>
        <v>0</v>
      </c>
      <c r="O19" s="72">
        <f>SUMIFS(SALE!$K$6:$K$10000,SALE!$A$6:$A$10000,$N$3,SALE!$D$6:$D$10000,$C$5:$C$499)</f>
        <v>0</v>
      </c>
      <c r="P19" s="72">
        <f>SUMIFS(SALE!$L$6:$L$10000,SALE!$A$6:$A$10000,$N$3,SALE!$D$6:$D$10000,$C$5:$C$499)</f>
        <v>0</v>
      </c>
      <c r="Q19" s="72">
        <f>SUMIFS(SALE!$M$6:$M$10000,SALE!$A$6:$A$10000,$N$3,SALE!$D$6:$D$10000,$C$5:$C$499)</f>
        <v>0</v>
      </c>
      <c r="R19" s="72">
        <f>SUMIFS(SALE!$N$6:$N$10000,SALE!$A$6:$A$10000,$N$3,SALE!$D$6:$D$10000,$C$5:$C$499)</f>
        <v>0</v>
      </c>
      <c r="S19" s="72">
        <f t="shared" si="11"/>
        <v>0</v>
      </c>
      <c r="T19" s="72">
        <f>SUMIFS(SALE!$K$6:$K$10000,SALE!$A$6:$A$10000,$N$3,SALE!$D$6:$D$10000,$C$5:$C$499)</f>
        <v>0</v>
      </c>
      <c r="U19" s="72">
        <f>SUMIFS(SALE!$L$6:$L$10000,SALE!$A$6:$A$10000,$N$3,SALE!$D$6:$D$10000,$C$5:$C$499)</f>
        <v>0</v>
      </c>
      <c r="V19" s="72">
        <f>SUMIFS(SALE!$M$6:$M$10000,SALE!$A$6:$A$10000,$N$3,SALE!$D$6:$D$10000,$C$5:$C$499)</f>
        <v>0</v>
      </c>
      <c r="W19" s="72">
        <f>SUMIFS(SALE!$N$6:$N$10000,SALE!$A$6:$A$10000,$N$3,SALE!$D$6:$D$10000,$C$5:$C$499)</f>
        <v>0</v>
      </c>
      <c r="X19" s="72">
        <f t="shared" si="12"/>
        <v>0</v>
      </c>
      <c r="Y19" s="72">
        <f>SUMIFS(SALE!$K$6:$K$10000,SALE!$A$6:$A$10000,$X$3,SALE!$D$6:$D$10000,$C$5:$C$499)</f>
        <v>0</v>
      </c>
      <c r="Z19" s="72">
        <f>SUMIFS(SALE!$L$6:$L$10000,SALE!$A$6:$A$10000,$X$3,SALE!$D$6:$D$10000,$C$5:$C$499)</f>
        <v>0</v>
      </c>
      <c r="AA19" s="72">
        <f>SUMIFS(SALE!$M$6:$M$10000,SALE!$A$6:$A$10000,$X$3,SALE!$D$6:$D$10000,$C$5:$C$499)</f>
        <v>0</v>
      </c>
      <c r="AB19" s="72">
        <f>SUMIFS(SALE!$N$6:$N$10000,SALE!$A$6:$A$10000,$X$3,SALE!$D$6:$D$10000,$C$5:$C$499)</f>
        <v>0</v>
      </c>
      <c r="AC19" s="72">
        <f t="shared" si="13"/>
        <v>0</v>
      </c>
      <c r="AD19" s="72">
        <f>SUMIFS(SALE!$K$6:$K$10000,SALE!$A$6:$A$10000,$AC$3,SALE!$D$6:$D$10000,$C$5:$C$499)</f>
        <v>0</v>
      </c>
      <c r="AE19" s="72">
        <f>SUMIFS(SALE!$L$6:$L$10000,SALE!$A$6:$A$10000,$AC$3,SALE!$D$6:$D$10000,$C$5:$C$499)</f>
        <v>0</v>
      </c>
      <c r="AF19" s="72">
        <f>SUMIFS(SALE!$M$6:$M$10000,SALE!$A$6:$A$10000,$AC$3,SALE!$D$6:$D$10000,$C$5:$C$499)</f>
        <v>0</v>
      </c>
      <c r="AG19" s="72">
        <f>SUMIFS(SALE!$N$6:$N$10000,SALE!$A$6:$A$10000,$AC$3,SALE!$D$6:$D$10000,$C$5:$C$499)</f>
        <v>0</v>
      </c>
      <c r="AH19" s="72">
        <f t="shared" si="14"/>
        <v>0</v>
      </c>
      <c r="AI19" s="72">
        <f>SUMIFS(SALE!$K$6:$K$10000,SALE!$A$6:$A$10000,$AH$3,SALE!$D$6:$D$10000,$C$5:$C$499)</f>
        <v>0</v>
      </c>
      <c r="AJ19" s="72">
        <f>SUMIFS(SALE!$L$6:$L$10000,SALE!$A$6:$A$10000,$AH$3,SALE!$D$6:$D$10000,$C$5:$C$499)</f>
        <v>0</v>
      </c>
      <c r="AK19" s="72">
        <f>SUMIFS(SALE!$M$6:$M$10000,SALE!$A$6:$A$10000,$AH$3,SALE!$D$6:$D$10000,$C$5:$C$499)</f>
        <v>0</v>
      </c>
      <c r="AL19" s="72">
        <f>SUMIFS(SALE!$N$6:$N$10000,SALE!$A$6:$A$10000,$AH$3,SALE!$D$6:$D$10000,$C$5:$C$499)</f>
        <v>0</v>
      </c>
      <c r="AM19" s="72">
        <f t="shared" si="15"/>
        <v>0</v>
      </c>
      <c r="AN19" s="72">
        <f>SUMIFS(SALE!$K$6:$K$10000,SALE!$A$6:$A$10000,$AM$3,SALE!$D$6:$D$10000,$C$5:$C$499)</f>
        <v>0</v>
      </c>
      <c r="AO19" s="72">
        <f>SUMIFS(SALE!$L$6:$L$10000,SALE!$A$6:$A$10000,$AM$3,SALE!$D$6:$D$10000,$C$5:$C$499)</f>
        <v>0</v>
      </c>
      <c r="AP19" s="72">
        <f>SUMIFS(SALE!$M$6:$M$10000,SALE!$A$6:$A$10000,$AM$3,SALE!$D$6:$D$10000,$C$5:$C$499)</f>
        <v>0</v>
      </c>
      <c r="AQ19" s="72">
        <f>SUMIFS(SALE!$N$6:$N$10000,SALE!$A$6:$A$10000,$AM$3,SALE!$D$6:$D$10000,$C$5:$C$499)</f>
        <v>0</v>
      </c>
      <c r="AR19" s="72">
        <f t="shared" si="16"/>
        <v>0</v>
      </c>
      <c r="AS19" s="72">
        <f>SUMIFS(SALE!$K$6:$K$10000,SALE!$A$6:$A$10000,$AR$3,SALE!$D$6:$D$10000,$C$5:$C$499)</f>
        <v>0</v>
      </c>
      <c r="AT19" s="72">
        <f>SUMIFS(SALE!$L$6:$L$10000,SALE!$A$6:$A$10000,$AR$3,SALE!$D$6:$D$10000,$C$5:$C$499)</f>
        <v>0</v>
      </c>
      <c r="AU19" s="72">
        <f>SUMIFS(SALE!$M$6:$M$10000,SALE!$A$6:$A$10000,$AR$3,SALE!$D$6:$D$10000,$C$5:$C$499)</f>
        <v>0</v>
      </c>
      <c r="AV19" s="72">
        <f>SUMIFS(SALE!$N$6:$N$10000,SALE!$A$6:$A$10000,$AR$3,SALE!$D$6:$D$10000,$C$5:$C$499)</f>
        <v>0</v>
      </c>
      <c r="AW19" s="72">
        <f t="shared" si="17"/>
        <v>0</v>
      </c>
      <c r="AX19" s="72">
        <f>SUMIFS(SALE!$K$6:$K$10000,SALE!$A$6:$A$10000,$AW$3,SALE!$D$6:$D$10000,$C$5:$C$499)</f>
        <v>0</v>
      </c>
      <c r="AY19" s="72">
        <f>SUMIFS(SALE!$L$6:$L$10000,SALE!$A$6:$A$10000,$AW$3,SALE!$D$6:$D$10000,$C$5:$C$499)</f>
        <v>0</v>
      </c>
      <c r="AZ19" s="72">
        <f>SUMIFS(SALE!$M$6:$M$10000,SALE!$A$6:$A$10000,$AW$3,SALE!$D$6:$D$10000,$C$5:$C$499)</f>
        <v>0</v>
      </c>
      <c r="BA19" s="72">
        <f>SUMIFS(SALE!$N$6:$N$10000,SALE!$A$6:$A$10000,$AW$3,SALE!$D$6:$D$10000,$C$5:$C$499)</f>
        <v>0</v>
      </c>
      <c r="BB19" s="72">
        <f t="shared" si="18"/>
        <v>0</v>
      </c>
      <c r="BC19" s="72">
        <f>SUMIFS(SALE!$K$6:$K$10000,SALE!$A$6:$A$10000,$BB$3,SALE!$D$6:$D$10000,$C$5:$C$499)</f>
        <v>0</v>
      </c>
      <c r="BD19" s="72">
        <f>SUMIFS(SALE!$L$6:$L$10000,SALE!$A$6:$A$10000,$BB$3,SALE!$D$6:$D$10000,$C$5:$C$499)</f>
        <v>0</v>
      </c>
      <c r="BE19" s="72">
        <f>SUMIFS(SALE!$M$6:$M$10000,SALE!$A$6:$A$10000,$BB$3,SALE!$D$6:$D$10000,$C$5:$C$499)</f>
        <v>0</v>
      </c>
      <c r="BF19" s="72">
        <f>SUMIFS(SALE!$N$6:$N$10000,SALE!$A$6:$A$10000,$BB$3,SALE!$D$6:$D$10000,$C$5:$C$499)</f>
        <v>0</v>
      </c>
      <c r="BG19" s="72">
        <f t="shared" si="19"/>
        <v>0</v>
      </c>
      <c r="BH19" s="72">
        <f>SUMIFS(SALE!$K$6:$K$10000,SALE!$A$6:$A$10000,$BG$3,SALE!$D$6:$D$10000,$C$5:$C$499)</f>
        <v>0</v>
      </c>
      <c r="BI19" s="72">
        <f>SUMIFS(SALE!$L$6:$L$10000,SALE!$A$6:$A$10000,$BG$3,SALE!$D$6:$D$10000,$C$5:$C$499)</f>
        <v>0</v>
      </c>
      <c r="BJ19" s="72">
        <f>SUMIFS(SALE!$M$6:$M$10000,SALE!$A$6:$A$10000,$BG$3,SALE!$D$6:$D$10000,$C$5:$C$499)</f>
        <v>0</v>
      </c>
      <c r="BK19" s="72">
        <f>SUMIFS(SALE!$N$6:$N$10000,SALE!$A$6:$A$10000,$BG$3,SALE!$D$6:$D$10000,$C$5:$C$499)</f>
        <v>0</v>
      </c>
      <c r="BL19" s="72">
        <f t="shared" si="3"/>
        <v>0</v>
      </c>
      <c r="BM19" s="72">
        <f t="shared" si="4"/>
        <v>0</v>
      </c>
      <c r="BN19" s="72">
        <f t="shared" si="5"/>
        <v>0</v>
      </c>
      <c r="BO19" s="72">
        <f t="shared" si="6"/>
        <v>0</v>
      </c>
      <c r="BP19" s="72">
        <f t="shared" si="7"/>
        <v>0</v>
      </c>
    </row>
    <row r="20" spans="1:68" x14ac:dyDescent="0.2">
      <c r="A20" s="467">
        <v>16</v>
      </c>
      <c r="B20" s="502" t="s">
        <v>249</v>
      </c>
      <c r="C20" s="502" t="s">
        <v>250</v>
      </c>
      <c r="D20" s="72">
        <f t="shared" si="8"/>
        <v>0</v>
      </c>
      <c r="E20" s="72">
        <f>SUMIFS(SALE!$K$6:$K$10000,SALE!$A$6:$A$10000,$D$3,SALE!$D$6:$D$10000,$C$5:$C$499)</f>
        <v>0</v>
      </c>
      <c r="F20" s="72">
        <f>SUMIFS(SALE!$L$6:$L$10000,SALE!$A$6:$A$10000,$D$3,SALE!$D$6:$D$10000,$C$5:$C$499)</f>
        <v>0</v>
      </c>
      <c r="G20" s="72">
        <f>SUMIFS(SALE!$M$6:$M$10000,SALE!$A$6:$A$10000,$D$3,SALE!$D$6:$D$10000,$C$5:$C$499)</f>
        <v>0</v>
      </c>
      <c r="H20" s="72">
        <f>SUMIFS(SALE!$N$6:$N$10000,SALE!$A$6:$A$10000,$D$3,SALE!$D$6:$D$10000,$C$5:$C$499)</f>
        <v>0</v>
      </c>
      <c r="I20" s="72">
        <f t="shared" si="9"/>
        <v>0</v>
      </c>
      <c r="J20" s="72">
        <f>SUMIFS(SALE!$K$6:$K$10000,SALE!$A$6:$A$10000,$I$3,SALE!$D$6:$D$10000,$C$5:$C$499)</f>
        <v>0</v>
      </c>
      <c r="K20" s="72">
        <f>SUMIFS(SALE!$L$6:$L$10000,SALE!$A$6:$A$10000,$I$3,SALE!$D$6:$D$10000,$C$5:$C$499)</f>
        <v>0</v>
      </c>
      <c r="L20" s="72">
        <f>SUMIFS(SALE!$M$6:$M$10000,SALE!$A$6:$A$10000,$I$3,SALE!$D$6:$D$10000,$C$5:$C$499)</f>
        <v>0</v>
      </c>
      <c r="M20" s="72">
        <f>SUMIFS(SALE!$N$6:$N$10000,SALE!$A$6:$A$10000,$I$3,SALE!$D$6:$D$10000,$C$5:$C$499)</f>
        <v>0</v>
      </c>
      <c r="N20" s="72">
        <f t="shared" si="10"/>
        <v>0</v>
      </c>
      <c r="O20" s="72">
        <f>SUMIFS(SALE!$K$6:$K$10000,SALE!$A$6:$A$10000,$N$3,SALE!$D$6:$D$10000,$C$5:$C$499)</f>
        <v>0</v>
      </c>
      <c r="P20" s="72">
        <f>SUMIFS(SALE!$L$6:$L$10000,SALE!$A$6:$A$10000,$N$3,SALE!$D$6:$D$10000,$C$5:$C$499)</f>
        <v>0</v>
      </c>
      <c r="Q20" s="72">
        <f>SUMIFS(SALE!$M$6:$M$10000,SALE!$A$6:$A$10000,$N$3,SALE!$D$6:$D$10000,$C$5:$C$499)</f>
        <v>0</v>
      </c>
      <c r="R20" s="72">
        <f>SUMIFS(SALE!$N$6:$N$10000,SALE!$A$6:$A$10000,$N$3,SALE!$D$6:$D$10000,$C$5:$C$499)</f>
        <v>0</v>
      </c>
      <c r="S20" s="72">
        <f t="shared" si="11"/>
        <v>0</v>
      </c>
      <c r="T20" s="72">
        <f>SUMIFS(SALE!$K$6:$K$10000,SALE!$A$6:$A$10000,$N$3,SALE!$D$6:$D$10000,$C$5:$C$499)</f>
        <v>0</v>
      </c>
      <c r="U20" s="72">
        <f>SUMIFS(SALE!$L$6:$L$10000,SALE!$A$6:$A$10000,$N$3,SALE!$D$6:$D$10000,$C$5:$C$499)</f>
        <v>0</v>
      </c>
      <c r="V20" s="72">
        <f>SUMIFS(SALE!$M$6:$M$10000,SALE!$A$6:$A$10000,$N$3,SALE!$D$6:$D$10000,$C$5:$C$499)</f>
        <v>0</v>
      </c>
      <c r="W20" s="72">
        <f>SUMIFS(SALE!$N$6:$N$10000,SALE!$A$6:$A$10000,$N$3,SALE!$D$6:$D$10000,$C$5:$C$499)</f>
        <v>0</v>
      </c>
      <c r="X20" s="72">
        <f t="shared" si="12"/>
        <v>0</v>
      </c>
      <c r="Y20" s="72">
        <f>SUMIFS(SALE!$K$6:$K$10000,SALE!$A$6:$A$10000,$X$3,SALE!$D$6:$D$10000,$C$5:$C$499)</f>
        <v>0</v>
      </c>
      <c r="Z20" s="72">
        <f>SUMIFS(SALE!$L$6:$L$10000,SALE!$A$6:$A$10000,$X$3,SALE!$D$6:$D$10000,$C$5:$C$499)</f>
        <v>0</v>
      </c>
      <c r="AA20" s="72">
        <f>SUMIFS(SALE!$M$6:$M$10000,SALE!$A$6:$A$10000,$X$3,SALE!$D$6:$D$10000,$C$5:$C$499)</f>
        <v>0</v>
      </c>
      <c r="AB20" s="72">
        <f>SUMIFS(SALE!$N$6:$N$10000,SALE!$A$6:$A$10000,$X$3,SALE!$D$6:$D$10000,$C$5:$C$499)</f>
        <v>0</v>
      </c>
      <c r="AC20" s="72">
        <f t="shared" si="13"/>
        <v>0</v>
      </c>
      <c r="AD20" s="72">
        <f>SUMIFS(SALE!$K$6:$K$10000,SALE!$A$6:$A$10000,$AC$3,SALE!$D$6:$D$10000,$C$5:$C$499)</f>
        <v>0</v>
      </c>
      <c r="AE20" s="72">
        <f>SUMIFS(SALE!$L$6:$L$10000,SALE!$A$6:$A$10000,$AC$3,SALE!$D$6:$D$10000,$C$5:$C$499)</f>
        <v>0</v>
      </c>
      <c r="AF20" s="72">
        <f>SUMIFS(SALE!$M$6:$M$10000,SALE!$A$6:$A$10000,$AC$3,SALE!$D$6:$D$10000,$C$5:$C$499)</f>
        <v>0</v>
      </c>
      <c r="AG20" s="72">
        <f>SUMIFS(SALE!$N$6:$N$10000,SALE!$A$6:$A$10000,$AC$3,SALE!$D$6:$D$10000,$C$5:$C$499)</f>
        <v>0</v>
      </c>
      <c r="AH20" s="72">
        <f t="shared" si="14"/>
        <v>0</v>
      </c>
      <c r="AI20" s="72">
        <f>SUMIFS(SALE!$K$6:$K$10000,SALE!$A$6:$A$10000,$AH$3,SALE!$D$6:$D$10000,$C$5:$C$499)</f>
        <v>0</v>
      </c>
      <c r="AJ20" s="72">
        <f>SUMIFS(SALE!$L$6:$L$10000,SALE!$A$6:$A$10000,$AH$3,SALE!$D$6:$D$10000,$C$5:$C$499)</f>
        <v>0</v>
      </c>
      <c r="AK20" s="72">
        <f>SUMIFS(SALE!$M$6:$M$10000,SALE!$A$6:$A$10000,$AH$3,SALE!$D$6:$D$10000,$C$5:$C$499)</f>
        <v>0</v>
      </c>
      <c r="AL20" s="72">
        <f>SUMIFS(SALE!$N$6:$N$10000,SALE!$A$6:$A$10000,$AH$3,SALE!$D$6:$D$10000,$C$5:$C$499)</f>
        <v>0</v>
      </c>
      <c r="AM20" s="72">
        <f t="shared" si="15"/>
        <v>0</v>
      </c>
      <c r="AN20" s="72">
        <f>SUMIFS(SALE!$K$6:$K$10000,SALE!$A$6:$A$10000,$AM$3,SALE!$D$6:$D$10000,$C$5:$C$499)</f>
        <v>0</v>
      </c>
      <c r="AO20" s="72">
        <f>SUMIFS(SALE!$L$6:$L$10000,SALE!$A$6:$A$10000,$AM$3,SALE!$D$6:$D$10000,$C$5:$C$499)</f>
        <v>0</v>
      </c>
      <c r="AP20" s="72">
        <f>SUMIFS(SALE!$M$6:$M$10000,SALE!$A$6:$A$10000,$AM$3,SALE!$D$6:$D$10000,$C$5:$C$499)</f>
        <v>0</v>
      </c>
      <c r="AQ20" s="72">
        <f>SUMIFS(SALE!$N$6:$N$10000,SALE!$A$6:$A$10000,$AM$3,SALE!$D$6:$D$10000,$C$5:$C$499)</f>
        <v>0</v>
      </c>
      <c r="AR20" s="72">
        <f t="shared" si="16"/>
        <v>0</v>
      </c>
      <c r="AS20" s="72">
        <f>SUMIFS(SALE!$K$6:$K$10000,SALE!$A$6:$A$10000,$AR$3,SALE!$D$6:$D$10000,$C$5:$C$499)</f>
        <v>0</v>
      </c>
      <c r="AT20" s="72">
        <f>SUMIFS(SALE!$L$6:$L$10000,SALE!$A$6:$A$10000,$AR$3,SALE!$D$6:$D$10000,$C$5:$C$499)</f>
        <v>0</v>
      </c>
      <c r="AU20" s="72">
        <f>SUMIFS(SALE!$M$6:$M$10000,SALE!$A$6:$A$10000,$AR$3,SALE!$D$6:$D$10000,$C$5:$C$499)</f>
        <v>0</v>
      </c>
      <c r="AV20" s="72">
        <f>SUMIFS(SALE!$N$6:$N$10000,SALE!$A$6:$A$10000,$AR$3,SALE!$D$6:$D$10000,$C$5:$C$499)</f>
        <v>0</v>
      </c>
      <c r="AW20" s="72">
        <f t="shared" si="17"/>
        <v>0</v>
      </c>
      <c r="AX20" s="72">
        <f>SUMIFS(SALE!$K$6:$K$10000,SALE!$A$6:$A$10000,$AW$3,SALE!$D$6:$D$10000,$C$5:$C$499)</f>
        <v>0</v>
      </c>
      <c r="AY20" s="72">
        <f>SUMIFS(SALE!$L$6:$L$10000,SALE!$A$6:$A$10000,$AW$3,SALE!$D$6:$D$10000,$C$5:$C$499)</f>
        <v>0</v>
      </c>
      <c r="AZ20" s="72">
        <f>SUMIFS(SALE!$M$6:$M$10000,SALE!$A$6:$A$10000,$AW$3,SALE!$D$6:$D$10000,$C$5:$C$499)</f>
        <v>0</v>
      </c>
      <c r="BA20" s="72">
        <f>SUMIFS(SALE!$N$6:$N$10000,SALE!$A$6:$A$10000,$AW$3,SALE!$D$6:$D$10000,$C$5:$C$499)</f>
        <v>0</v>
      </c>
      <c r="BB20" s="72">
        <f t="shared" si="18"/>
        <v>0</v>
      </c>
      <c r="BC20" s="72">
        <f>SUMIFS(SALE!$K$6:$K$10000,SALE!$A$6:$A$10000,$BB$3,SALE!$D$6:$D$10000,$C$5:$C$499)</f>
        <v>0</v>
      </c>
      <c r="BD20" s="72">
        <f>SUMIFS(SALE!$L$6:$L$10000,SALE!$A$6:$A$10000,$BB$3,SALE!$D$6:$D$10000,$C$5:$C$499)</f>
        <v>0</v>
      </c>
      <c r="BE20" s="72">
        <f>SUMIFS(SALE!$M$6:$M$10000,SALE!$A$6:$A$10000,$BB$3,SALE!$D$6:$D$10000,$C$5:$C$499)</f>
        <v>0</v>
      </c>
      <c r="BF20" s="72">
        <f>SUMIFS(SALE!$N$6:$N$10000,SALE!$A$6:$A$10000,$BB$3,SALE!$D$6:$D$10000,$C$5:$C$499)</f>
        <v>0</v>
      </c>
      <c r="BG20" s="72">
        <f t="shared" si="19"/>
        <v>0</v>
      </c>
      <c r="BH20" s="72">
        <f>SUMIFS(SALE!$K$6:$K$10000,SALE!$A$6:$A$10000,$BG$3,SALE!$D$6:$D$10000,$C$5:$C$499)</f>
        <v>0</v>
      </c>
      <c r="BI20" s="72">
        <f>SUMIFS(SALE!$L$6:$L$10000,SALE!$A$6:$A$10000,$BG$3,SALE!$D$6:$D$10000,$C$5:$C$499)</f>
        <v>0</v>
      </c>
      <c r="BJ20" s="72">
        <f>SUMIFS(SALE!$M$6:$M$10000,SALE!$A$6:$A$10000,$BG$3,SALE!$D$6:$D$10000,$C$5:$C$499)</f>
        <v>0</v>
      </c>
      <c r="BK20" s="72">
        <f>SUMIFS(SALE!$N$6:$N$10000,SALE!$A$6:$A$10000,$BG$3,SALE!$D$6:$D$10000,$C$5:$C$499)</f>
        <v>0</v>
      </c>
      <c r="BL20" s="72">
        <f t="shared" si="3"/>
        <v>0</v>
      </c>
      <c r="BM20" s="72">
        <f t="shared" si="4"/>
        <v>0</v>
      </c>
      <c r="BN20" s="72">
        <f t="shared" si="5"/>
        <v>0</v>
      </c>
      <c r="BO20" s="72">
        <f t="shared" si="6"/>
        <v>0</v>
      </c>
      <c r="BP20" s="72">
        <f t="shared" si="7"/>
        <v>0</v>
      </c>
    </row>
    <row r="21" spans="1:68" x14ac:dyDescent="0.2">
      <c r="A21" s="467">
        <v>17</v>
      </c>
      <c r="B21" s="502" t="s">
        <v>65</v>
      </c>
      <c r="C21" s="502" t="s">
        <v>66</v>
      </c>
      <c r="D21" s="72">
        <f t="shared" si="8"/>
        <v>11821.995199999998</v>
      </c>
      <c r="E21" s="72">
        <f>SUMIFS(SALE!$K$6:$K$10000,SALE!$A$6:$A$10000,$D$3,SALE!$D$6:$D$10000,$C$5:$C$499)</f>
        <v>10018.64</v>
      </c>
      <c r="F21" s="72">
        <f>SUMIFS(SALE!$L$6:$L$10000,SALE!$A$6:$A$10000,$D$3,SALE!$D$6:$D$10000,$C$5:$C$499)</f>
        <v>0</v>
      </c>
      <c r="G21" s="72">
        <f>SUMIFS(SALE!$M$6:$M$10000,SALE!$A$6:$A$10000,$D$3,SALE!$D$6:$D$10000,$C$5:$C$499)</f>
        <v>901.67759999999998</v>
      </c>
      <c r="H21" s="72">
        <f>SUMIFS(SALE!$N$6:$N$10000,SALE!$A$6:$A$10000,$D$3,SALE!$D$6:$D$10000,$C$5:$C$499)</f>
        <v>901.67759999999998</v>
      </c>
      <c r="I21" s="72">
        <f t="shared" si="9"/>
        <v>0</v>
      </c>
      <c r="J21" s="72">
        <f>SUMIFS(SALE!$K$6:$K$10000,SALE!$A$6:$A$10000,$I$3,SALE!$D$6:$D$10000,$C$5:$C$499)</f>
        <v>0</v>
      </c>
      <c r="K21" s="72">
        <f>SUMIFS(SALE!$L$6:$L$10000,SALE!$A$6:$A$10000,$I$3,SALE!$D$6:$D$10000,$C$5:$C$499)</f>
        <v>0</v>
      </c>
      <c r="L21" s="72">
        <f>SUMIFS(SALE!$M$6:$M$10000,SALE!$A$6:$A$10000,$I$3,SALE!$D$6:$D$10000,$C$5:$C$499)</f>
        <v>0</v>
      </c>
      <c r="M21" s="72">
        <f>SUMIFS(SALE!$N$6:$N$10000,SALE!$A$6:$A$10000,$I$3,SALE!$D$6:$D$10000,$C$5:$C$499)</f>
        <v>0</v>
      </c>
      <c r="N21" s="72">
        <f t="shared" si="10"/>
        <v>0</v>
      </c>
      <c r="O21" s="72">
        <f>SUMIFS(SALE!$K$6:$K$10000,SALE!$A$6:$A$10000,$N$3,SALE!$D$6:$D$10000,$C$5:$C$499)</f>
        <v>0</v>
      </c>
      <c r="P21" s="72">
        <f>SUMIFS(SALE!$L$6:$L$10000,SALE!$A$6:$A$10000,$N$3,SALE!$D$6:$D$10000,$C$5:$C$499)</f>
        <v>0</v>
      </c>
      <c r="Q21" s="72">
        <f>SUMIFS(SALE!$M$6:$M$10000,SALE!$A$6:$A$10000,$N$3,SALE!$D$6:$D$10000,$C$5:$C$499)</f>
        <v>0</v>
      </c>
      <c r="R21" s="72">
        <f>SUMIFS(SALE!$N$6:$N$10000,SALE!$A$6:$A$10000,$N$3,SALE!$D$6:$D$10000,$C$5:$C$499)</f>
        <v>0</v>
      </c>
      <c r="S21" s="72">
        <f t="shared" si="11"/>
        <v>0</v>
      </c>
      <c r="T21" s="72">
        <f>SUMIFS(SALE!$K$6:$K$10000,SALE!$A$6:$A$10000,$N$3,SALE!$D$6:$D$10000,$C$5:$C$499)</f>
        <v>0</v>
      </c>
      <c r="U21" s="72">
        <f>SUMIFS(SALE!$L$6:$L$10000,SALE!$A$6:$A$10000,$N$3,SALE!$D$6:$D$10000,$C$5:$C$499)</f>
        <v>0</v>
      </c>
      <c r="V21" s="72">
        <f>SUMIFS(SALE!$M$6:$M$10000,SALE!$A$6:$A$10000,$N$3,SALE!$D$6:$D$10000,$C$5:$C$499)</f>
        <v>0</v>
      </c>
      <c r="W21" s="72">
        <f>SUMIFS(SALE!$N$6:$N$10000,SALE!$A$6:$A$10000,$N$3,SALE!$D$6:$D$10000,$C$5:$C$499)</f>
        <v>0</v>
      </c>
      <c r="X21" s="72">
        <f t="shared" si="12"/>
        <v>0</v>
      </c>
      <c r="Y21" s="72">
        <f>SUMIFS(SALE!$K$6:$K$10000,SALE!$A$6:$A$10000,$X$3,SALE!$D$6:$D$10000,$C$5:$C$499)</f>
        <v>0</v>
      </c>
      <c r="Z21" s="72">
        <f>SUMIFS(SALE!$L$6:$L$10000,SALE!$A$6:$A$10000,$X$3,SALE!$D$6:$D$10000,$C$5:$C$499)</f>
        <v>0</v>
      </c>
      <c r="AA21" s="72">
        <f>SUMIFS(SALE!$M$6:$M$10000,SALE!$A$6:$A$10000,$X$3,SALE!$D$6:$D$10000,$C$5:$C$499)</f>
        <v>0</v>
      </c>
      <c r="AB21" s="72">
        <f>SUMIFS(SALE!$N$6:$N$10000,SALE!$A$6:$A$10000,$X$3,SALE!$D$6:$D$10000,$C$5:$C$499)</f>
        <v>0</v>
      </c>
      <c r="AC21" s="72">
        <f t="shared" si="13"/>
        <v>0</v>
      </c>
      <c r="AD21" s="72">
        <f>SUMIFS(SALE!$K$6:$K$10000,SALE!$A$6:$A$10000,$AC$3,SALE!$D$6:$D$10000,$C$5:$C$499)</f>
        <v>0</v>
      </c>
      <c r="AE21" s="72">
        <f>SUMIFS(SALE!$L$6:$L$10000,SALE!$A$6:$A$10000,$AC$3,SALE!$D$6:$D$10000,$C$5:$C$499)</f>
        <v>0</v>
      </c>
      <c r="AF21" s="72">
        <f>SUMIFS(SALE!$M$6:$M$10000,SALE!$A$6:$A$10000,$AC$3,SALE!$D$6:$D$10000,$C$5:$C$499)</f>
        <v>0</v>
      </c>
      <c r="AG21" s="72">
        <f>SUMIFS(SALE!$N$6:$N$10000,SALE!$A$6:$A$10000,$AC$3,SALE!$D$6:$D$10000,$C$5:$C$499)</f>
        <v>0</v>
      </c>
      <c r="AH21" s="72">
        <f t="shared" si="14"/>
        <v>0</v>
      </c>
      <c r="AI21" s="72">
        <f>SUMIFS(SALE!$K$6:$K$10000,SALE!$A$6:$A$10000,$AH$3,SALE!$D$6:$D$10000,$C$5:$C$499)</f>
        <v>0</v>
      </c>
      <c r="AJ21" s="72">
        <f>SUMIFS(SALE!$L$6:$L$10000,SALE!$A$6:$A$10000,$AH$3,SALE!$D$6:$D$10000,$C$5:$C$499)</f>
        <v>0</v>
      </c>
      <c r="AK21" s="72">
        <f>SUMIFS(SALE!$M$6:$M$10000,SALE!$A$6:$A$10000,$AH$3,SALE!$D$6:$D$10000,$C$5:$C$499)</f>
        <v>0</v>
      </c>
      <c r="AL21" s="72">
        <f>SUMIFS(SALE!$N$6:$N$10000,SALE!$A$6:$A$10000,$AH$3,SALE!$D$6:$D$10000,$C$5:$C$499)</f>
        <v>0</v>
      </c>
      <c r="AM21" s="72">
        <f t="shared" si="15"/>
        <v>0</v>
      </c>
      <c r="AN21" s="72">
        <f>SUMIFS(SALE!$K$6:$K$10000,SALE!$A$6:$A$10000,$AM$3,SALE!$D$6:$D$10000,$C$5:$C$499)</f>
        <v>0</v>
      </c>
      <c r="AO21" s="72">
        <f>SUMIFS(SALE!$L$6:$L$10000,SALE!$A$6:$A$10000,$AM$3,SALE!$D$6:$D$10000,$C$5:$C$499)</f>
        <v>0</v>
      </c>
      <c r="AP21" s="72">
        <f>SUMIFS(SALE!$M$6:$M$10000,SALE!$A$6:$A$10000,$AM$3,SALE!$D$6:$D$10000,$C$5:$C$499)</f>
        <v>0</v>
      </c>
      <c r="AQ21" s="72">
        <f>SUMIFS(SALE!$N$6:$N$10000,SALE!$A$6:$A$10000,$AM$3,SALE!$D$6:$D$10000,$C$5:$C$499)</f>
        <v>0</v>
      </c>
      <c r="AR21" s="72">
        <f t="shared" si="16"/>
        <v>0</v>
      </c>
      <c r="AS21" s="72">
        <f>SUMIFS(SALE!$K$6:$K$10000,SALE!$A$6:$A$10000,$AR$3,SALE!$D$6:$D$10000,$C$5:$C$499)</f>
        <v>0</v>
      </c>
      <c r="AT21" s="72">
        <f>SUMIFS(SALE!$L$6:$L$10000,SALE!$A$6:$A$10000,$AR$3,SALE!$D$6:$D$10000,$C$5:$C$499)</f>
        <v>0</v>
      </c>
      <c r="AU21" s="72">
        <f>SUMIFS(SALE!$M$6:$M$10000,SALE!$A$6:$A$10000,$AR$3,SALE!$D$6:$D$10000,$C$5:$C$499)</f>
        <v>0</v>
      </c>
      <c r="AV21" s="72">
        <f>SUMIFS(SALE!$N$6:$N$10000,SALE!$A$6:$A$10000,$AR$3,SALE!$D$6:$D$10000,$C$5:$C$499)</f>
        <v>0</v>
      </c>
      <c r="AW21" s="72">
        <f t="shared" si="17"/>
        <v>0</v>
      </c>
      <c r="AX21" s="72">
        <f>SUMIFS(SALE!$K$6:$K$10000,SALE!$A$6:$A$10000,$AW$3,SALE!$D$6:$D$10000,$C$5:$C$499)</f>
        <v>0</v>
      </c>
      <c r="AY21" s="72">
        <f>SUMIFS(SALE!$L$6:$L$10000,SALE!$A$6:$A$10000,$AW$3,SALE!$D$6:$D$10000,$C$5:$C$499)</f>
        <v>0</v>
      </c>
      <c r="AZ21" s="72">
        <f>SUMIFS(SALE!$M$6:$M$10000,SALE!$A$6:$A$10000,$AW$3,SALE!$D$6:$D$10000,$C$5:$C$499)</f>
        <v>0</v>
      </c>
      <c r="BA21" s="72">
        <f>SUMIFS(SALE!$N$6:$N$10000,SALE!$A$6:$A$10000,$AW$3,SALE!$D$6:$D$10000,$C$5:$C$499)</f>
        <v>0</v>
      </c>
      <c r="BB21" s="72">
        <f t="shared" si="18"/>
        <v>0</v>
      </c>
      <c r="BC21" s="72">
        <f>SUMIFS(SALE!$K$6:$K$10000,SALE!$A$6:$A$10000,$BB$3,SALE!$D$6:$D$10000,$C$5:$C$499)</f>
        <v>0</v>
      </c>
      <c r="BD21" s="72">
        <f>SUMIFS(SALE!$L$6:$L$10000,SALE!$A$6:$A$10000,$BB$3,SALE!$D$6:$D$10000,$C$5:$C$499)</f>
        <v>0</v>
      </c>
      <c r="BE21" s="72">
        <f>SUMIFS(SALE!$M$6:$M$10000,SALE!$A$6:$A$10000,$BB$3,SALE!$D$6:$D$10000,$C$5:$C$499)</f>
        <v>0</v>
      </c>
      <c r="BF21" s="72">
        <f>SUMIFS(SALE!$N$6:$N$10000,SALE!$A$6:$A$10000,$BB$3,SALE!$D$6:$D$10000,$C$5:$C$499)</f>
        <v>0</v>
      </c>
      <c r="BG21" s="72">
        <f t="shared" si="19"/>
        <v>0</v>
      </c>
      <c r="BH21" s="72">
        <f>SUMIFS(SALE!$K$6:$K$10000,SALE!$A$6:$A$10000,$BG$3,SALE!$D$6:$D$10000,$C$5:$C$499)</f>
        <v>0</v>
      </c>
      <c r="BI21" s="72">
        <f>SUMIFS(SALE!$L$6:$L$10000,SALE!$A$6:$A$10000,$BG$3,SALE!$D$6:$D$10000,$C$5:$C$499)</f>
        <v>0</v>
      </c>
      <c r="BJ21" s="72">
        <f>SUMIFS(SALE!$M$6:$M$10000,SALE!$A$6:$A$10000,$BG$3,SALE!$D$6:$D$10000,$C$5:$C$499)</f>
        <v>0</v>
      </c>
      <c r="BK21" s="72">
        <f>SUMIFS(SALE!$N$6:$N$10000,SALE!$A$6:$A$10000,$BG$3,SALE!$D$6:$D$10000,$C$5:$C$499)</f>
        <v>0</v>
      </c>
      <c r="BL21" s="72">
        <f t="shared" si="3"/>
        <v>11821.995199999998</v>
      </c>
      <c r="BM21" s="72">
        <f t="shared" si="4"/>
        <v>10018.64</v>
      </c>
      <c r="BN21" s="72">
        <f t="shared" si="5"/>
        <v>0</v>
      </c>
      <c r="BO21" s="72">
        <f t="shared" si="6"/>
        <v>901.67759999999998</v>
      </c>
      <c r="BP21" s="72">
        <f t="shared" si="7"/>
        <v>901.67759999999998</v>
      </c>
    </row>
    <row r="22" spans="1:68" x14ac:dyDescent="0.2">
      <c r="A22" s="467">
        <v>18</v>
      </c>
      <c r="B22" s="499" t="s">
        <v>40</v>
      </c>
      <c r="C22" s="499" t="s">
        <v>41</v>
      </c>
      <c r="D22" s="72">
        <f t="shared" si="8"/>
        <v>446626.25279999996</v>
      </c>
      <c r="E22" s="72">
        <f>SUMIFS(SALE!$K$6:$K$10000,SALE!$A$6:$A$10000,$D$3,SALE!$D$6:$D$10000,$C$5:$C$499)</f>
        <v>348926.75999999995</v>
      </c>
      <c r="F22" s="72">
        <f>SUMIFS(SALE!$L$6:$L$10000,SALE!$A$6:$A$10000,$D$3,SALE!$D$6:$D$10000,$C$5:$C$499)</f>
        <v>0</v>
      </c>
      <c r="G22" s="72">
        <f>SUMIFS(SALE!$M$6:$M$10000,SALE!$A$6:$A$10000,$D$3,SALE!$D$6:$D$10000,$C$5:$C$499)</f>
        <v>48849.746399999996</v>
      </c>
      <c r="H22" s="72">
        <f>SUMIFS(SALE!$N$6:$N$10000,SALE!$A$6:$A$10000,$D$3,SALE!$D$6:$D$10000,$C$5:$C$499)</f>
        <v>48849.746399999996</v>
      </c>
      <c r="I22" s="72">
        <f t="shared" si="9"/>
        <v>279871.34720000002</v>
      </c>
      <c r="J22" s="72">
        <f>SUMIFS(SALE!$K$6:$K$10000,SALE!$A$6:$A$10000,$I$3,SALE!$D$6:$D$10000,$C$5:$C$499)</f>
        <v>218649.49</v>
      </c>
      <c r="K22" s="72">
        <f>SUMIFS(SALE!$L$6:$L$10000,SALE!$A$6:$A$10000,$I$3,SALE!$D$6:$D$10000,$C$5:$C$499)</f>
        <v>0</v>
      </c>
      <c r="L22" s="72">
        <f>SUMIFS(SALE!$M$6:$M$10000,SALE!$A$6:$A$10000,$I$3,SALE!$D$6:$D$10000,$C$5:$C$499)</f>
        <v>30610.928600000003</v>
      </c>
      <c r="M22" s="72">
        <f>SUMIFS(SALE!$N$6:$N$10000,SALE!$A$6:$A$10000,$I$3,SALE!$D$6:$D$10000,$C$5:$C$499)</f>
        <v>30610.928600000003</v>
      </c>
      <c r="N22" s="72">
        <f t="shared" si="10"/>
        <v>408198.42559999996</v>
      </c>
      <c r="O22" s="72">
        <f>SUMIFS(SALE!$K$6:$K$10000,SALE!$A$6:$A$10000,$N$3,SALE!$D$6:$D$10000,$C$5:$C$499)</f>
        <v>318905.01999999996</v>
      </c>
      <c r="P22" s="72">
        <f>SUMIFS(SALE!$L$6:$L$10000,SALE!$A$6:$A$10000,$N$3,SALE!$D$6:$D$10000,$C$5:$C$499)</f>
        <v>0</v>
      </c>
      <c r="Q22" s="72">
        <f>SUMIFS(SALE!$M$6:$M$10000,SALE!$A$6:$A$10000,$N$3,SALE!$D$6:$D$10000,$C$5:$C$499)</f>
        <v>44646.702799999999</v>
      </c>
      <c r="R22" s="72">
        <f>SUMIFS(SALE!$N$6:$N$10000,SALE!$A$6:$A$10000,$N$3,SALE!$D$6:$D$10000,$C$5:$C$499)</f>
        <v>44646.702799999999</v>
      </c>
      <c r="S22" s="72">
        <f t="shared" si="11"/>
        <v>408198.42559999996</v>
      </c>
      <c r="T22" s="72">
        <f>SUMIFS(SALE!$K$6:$K$10000,SALE!$A$6:$A$10000,$N$3,SALE!$D$6:$D$10000,$C$5:$C$499)</f>
        <v>318905.01999999996</v>
      </c>
      <c r="U22" s="72">
        <f>SUMIFS(SALE!$L$6:$L$10000,SALE!$A$6:$A$10000,$N$3,SALE!$D$6:$D$10000,$C$5:$C$499)</f>
        <v>0</v>
      </c>
      <c r="V22" s="72">
        <f>SUMIFS(SALE!$M$6:$M$10000,SALE!$A$6:$A$10000,$N$3,SALE!$D$6:$D$10000,$C$5:$C$499)</f>
        <v>44646.702799999999</v>
      </c>
      <c r="W22" s="72">
        <f>SUMIFS(SALE!$N$6:$N$10000,SALE!$A$6:$A$10000,$N$3,SALE!$D$6:$D$10000,$C$5:$C$499)</f>
        <v>44646.702799999999</v>
      </c>
      <c r="X22" s="72">
        <f t="shared" si="12"/>
        <v>398576.28159999999</v>
      </c>
      <c r="Y22" s="72">
        <f>SUMIFS(SALE!$K$6:$K$10000,SALE!$A$6:$A$10000,$X$3,SALE!$D$6:$D$10000,$C$5:$C$499)</f>
        <v>311387.71999999997</v>
      </c>
      <c r="Z22" s="72">
        <f>SUMIFS(SALE!$L$6:$L$10000,SALE!$A$6:$A$10000,$X$3,SALE!$D$6:$D$10000,$C$5:$C$499)</f>
        <v>0</v>
      </c>
      <c r="AA22" s="72">
        <f>SUMIFS(SALE!$M$6:$M$10000,SALE!$A$6:$A$10000,$X$3,SALE!$D$6:$D$10000,$C$5:$C$499)</f>
        <v>43594.2808</v>
      </c>
      <c r="AB22" s="72">
        <f>SUMIFS(SALE!$N$6:$N$10000,SALE!$A$6:$A$10000,$X$3,SALE!$D$6:$D$10000,$C$5:$C$499)</f>
        <v>43594.2808</v>
      </c>
      <c r="AC22" s="72">
        <f t="shared" si="13"/>
        <v>339381.98879999999</v>
      </c>
      <c r="AD22" s="72">
        <f>SUMIFS(SALE!$K$6:$K$10000,SALE!$A$6:$A$10000,$AC$3,SALE!$D$6:$D$10000,$C$5:$C$499)</f>
        <v>265142.21000000002</v>
      </c>
      <c r="AE22" s="72">
        <f>SUMIFS(SALE!$L$6:$L$10000,SALE!$A$6:$A$10000,$AC$3,SALE!$D$6:$D$10000,$C$5:$C$499)</f>
        <v>0</v>
      </c>
      <c r="AF22" s="72">
        <f>SUMIFS(SALE!$M$6:$M$10000,SALE!$A$6:$A$10000,$AC$3,SALE!$D$6:$D$10000,$C$5:$C$499)</f>
        <v>37119.8894</v>
      </c>
      <c r="AG22" s="72">
        <f>SUMIFS(SALE!$N$6:$N$10000,SALE!$A$6:$A$10000,$AC$3,SALE!$D$6:$D$10000,$C$5:$C$499)</f>
        <v>37119.8894</v>
      </c>
      <c r="AH22" s="72">
        <f t="shared" si="14"/>
        <v>491025.12639999989</v>
      </c>
      <c r="AI22" s="72">
        <f>SUMIFS(SALE!$K$6:$K$10000,SALE!$A$6:$A$10000,$AH$3,SALE!$D$6:$D$10000,$C$5:$C$499)</f>
        <v>383613.37999999995</v>
      </c>
      <c r="AJ22" s="72">
        <f>SUMIFS(SALE!$L$6:$L$10000,SALE!$A$6:$A$10000,$AH$3,SALE!$D$6:$D$10000,$C$5:$C$499)</f>
        <v>0</v>
      </c>
      <c r="AK22" s="72">
        <f>SUMIFS(SALE!$M$6:$M$10000,SALE!$A$6:$A$10000,$AH$3,SALE!$D$6:$D$10000,$C$5:$C$499)</f>
        <v>53705.873199999995</v>
      </c>
      <c r="AL22" s="72">
        <f>SUMIFS(SALE!$N$6:$N$10000,SALE!$A$6:$A$10000,$AH$3,SALE!$D$6:$D$10000,$C$5:$C$499)</f>
        <v>53705.873199999995</v>
      </c>
      <c r="AM22" s="72">
        <f t="shared" si="15"/>
        <v>184875.62239999996</v>
      </c>
      <c r="AN22" s="72">
        <f>SUMIFS(SALE!$K$6:$K$10000,SALE!$A$6:$A$10000,$AM$3,SALE!$D$6:$D$10000,$C$5:$C$499)</f>
        <v>144434.07999999999</v>
      </c>
      <c r="AO22" s="72">
        <f>SUMIFS(SALE!$L$6:$L$10000,SALE!$A$6:$A$10000,$AM$3,SALE!$D$6:$D$10000,$C$5:$C$499)</f>
        <v>0</v>
      </c>
      <c r="AP22" s="72">
        <f>SUMIFS(SALE!$M$6:$M$10000,SALE!$A$6:$A$10000,$AM$3,SALE!$D$6:$D$10000,$C$5:$C$499)</f>
        <v>20220.771199999999</v>
      </c>
      <c r="AQ22" s="72">
        <f>SUMIFS(SALE!$N$6:$N$10000,SALE!$A$6:$A$10000,$AM$3,SALE!$D$6:$D$10000,$C$5:$C$499)</f>
        <v>20220.771199999999</v>
      </c>
      <c r="AR22" s="72">
        <f t="shared" si="16"/>
        <v>0</v>
      </c>
      <c r="AS22" s="72">
        <f>SUMIFS(SALE!$K$6:$K$10000,SALE!$A$6:$A$10000,$AR$3,SALE!$D$6:$D$10000,$C$5:$C$499)</f>
        <v>0</v>
      </c>
      <c r="AT22" s="72">
        <f>SUMIFS(SALE!$L$6:$L$10000,SALE!$A$6:$A$10000,$AR$3,SALE!$D$6:$D$10000,$C$5:$C$499)</f>
        <v>0</v>
      </c>
      <c r="AU22" s="72">
        <f>SUMIFS(SALE!$M$6:$M$10000,SALE!$A$6:$A$10000,$AR$3,SALE!$D$6:$D$10000,$C$5:$C$499)</f>
        <v>0</v>
      </c>
      <c r="AV22" s="72">
        <f>SUMIFS(SALE!$N$6:$N$10000,SALE!$A$6:$A$10000,$AR$3,SALE!$D$6:$D$10000,$C$5:$C$499)</f>
        <v>0</v>
      </c>
      <c r="AW22" s="72">
        <f t="shared" si="17"/>
        <v>0</v>
      </c>
      <c r="AX22" s="72">
        <f>SUMIFS(SALE!$K$6:$K$10000,SALE!$A$6:$A$10000,$AW$3,SALE!$D$6:$D$10000,$C$5:$C$499)</f>
        <v>0</v>
      </c>
      <c r="AY22" s="72">
        <f>SUMIFS(SALE!$L$6:$L$10000,SALE!$A$6:$A$10000,$AW$3,SALE!$D$6:$D$10000,$C$5:$C$499)</f>
        <v>0</v>
      </c>
      <c r="AZ22" s="72">
        <f>SUMIFS(SALE!$M$6:$M$10000,SALE!$A$6:$A$10000,$AW$3,SALE!$D$6:$D$10000,$C$5:$C$499)</f>
        <v>0</v>
      </c>
      <c r="BA22" s="72">
        <f>SUMIFS(SALE!$N$6:$N$10000,SALE!$A$6:$A$10000,$AW$3,SALE!$D$6:$D$10000,$C$5:$C$499)</f>
        <v>0</v>
      </c>
      <c r="BB22" s="72">
        <f t="shared" si="18"/>
        <v>0</v>
      </c>
      <c r="BC22" s="72">
        <f>SUMIFS(SALE!$K$6:$K$10000,SALE!$A$6:$A$10000,$BB$3,SALE!$D$6:$D$10000,$C$5:$C$499)</f>
        <v>0</v>
      </c>
      <c r="BD22" s="72">
        <f>SUMIFS(SALE!$L$6:$L$10000,SALE!$A$6:$A$10000,$BB$3,SALE!$D$6:$D$10000,$C$5:$C$499)</f>
        <v>0</v>
      </c>
      <c r="BE22" s="72">
        <f>SUMIFS(SALE!$M$6:$M$10000,SALE!$A$6:$A$10000,$BB$3,SALE!$D$6:$D$10000,$C$5:$C$499)</f>
        <v>0</v>
      </c>
      <c r="BF22" s="72">
        <f>SUMIFS(SALE!$N$6:$N$10000,SALE!$A$6:$A$10000,$BB$3,SALE!$D$6:$D$10000,$C$5:$C$499)</f>
        <v>0</v>
      </c>
      <c r="BG22" s="72">
        <f t="shared" si="19"/>
        <v>0</v>
      </c>
      <c r="BH22" s="72">
        <f>SUMIFS(SALE!$K$6:$K$10000,SALE!$A$6:$A$10000,$BG$3,SALE!$D$6:$D$10000,$C$5:$C$499)</f>
        <v>0</v>
      </c>
      <c r="BI22" s="72">
        <f>SUMIFS(SALE!$L$6:$L$10000,SALE!$A$6:$A$10000,$BG$3,SALE!$D$6:$D$10000,$C$5:$C$499)</f>
        <v>0</v>
      </c>
      <c r="BJ22" s="72">
        <f>SUMIFS(SALE!$M$6:$M$10000,SALE!$A$6:$A$10000,$BG$3,SALE!$D$6:$D$10000,$C$5:$C$499)</f>
        <v>0</v>
      </c>
      <c r="BK22" s="72">
        <f>SUMIFS(SALE!$N$6:$N$10000,SALE!$A$6:$A$10000,$BG$3,SALE!$D$6:$D$10000,$C$5:$C$499)</f>
        <v>0</v>
      </c>
      <c r="BL22" s="72">
        <f t="shared" si="3"/>
        <v>2956753.4703999995</v>
      </c>
      <c r="BM22" s="72">
        <f t="shared" si="4"/>
        <v>2309963.6800000002</v>
      </c>
      <c r="BN22" s="72">
        <f t="shared" si="5"/>
        <v>0</v>
      </c>
      <c r="BO22" s="72">
        <f t="shared" si="6"/>
        <v>323394.89519999997</v>
      </c>
      <c r="BP22" s="72">
        <f t="shared" si="7"/>
        <v>323394.89519999997</v>
      </c>
    </row>
    <row r="23" spans="1:68" x14ac:dyDescent="0.2">
      <c r="A23" s="467">
        <v>19</v>
      </c>
      <c r="B23" s="499" t="s">
        <v>251</v>
      </c>
      <c r="C23" s="499" t="s">
        <v>252</v>
      </c>
      <c r="D23" s="72">
        <f t="shared" si="8"/>
        <v>0</v>
      </c>
      <c r="E23" s="72">
        <f>SUMIFS(SALE!$K$6:$K$10000,SALE!$A$6:$A$10000,$D$3,SALE!$D$6:$D$10000,$C$5:$C$499)</f>
        <v>0</v>
      </c>
      <c r="F23" s="72">
        <f>SUMIFS(SALE!$L$6:$L$10000,SALE!$A$6:$A$10000,$D$3,SALE!$D$6:$D$10000,$C$5:$C$499)</f>
        <v>0</v>
      </c>
      <c r="G23" s="72">
        <f>SUMIFS(SALE!$M$6:$M$10000,SALE!$A$6:$A$10000,$D$3,SALE!$D$6:$D$10000,$C$5:$C$499)</f>
        <v>0</v>
      </c>
      <c r="H23" s="72">
        <f>SUMIFS(SALE!$N$6:$N$10000,SALE!$A$6:$A$10000,$D$3,SALE!$D$6:$D$10000,$C$5:$C$499)</f>
        <v>0</v>
      </c>
      <c r="I23" s="72">
        <f t="shared" si="9"/>
        <v>0</v>
      </c>
      <c r="J23" s="72">
        <f>SUMIFS(SALE!$K$6:$K$10000,SALE!$A$6:$A$10000,$I$3,SALE!$D$6:$D$10000,$C$5:$C$499)</f>
        <v>0</v>
      </c>
      <c r="K23" s="72">
        <f>SUMIFS(SALE!$L$6:$L$10000,SALE!$A$6:$A$10000,$I$3,SALE!$D$6:$D$10000,$C$5:$C$499)</f>
        <v>0</v>
      </c>
      <c r="L23" s="72">
        <f>SUMIFS(SALE!$M$6:$M$10000,SALE!$A$6:$A$10000,$I$3,SALE!$D$6:$D$10000,$C$5:$C$499)</f>
        <v>0</v>
      </c>
      <c r="M23" s="72">
        <f>SUMIFS(SALE!$N$6:$N$10000,SALE!$A$6:$A$10000,$I$3,SALE!$D$6:$D$10000,$C$5:$C$499)</f>
        <v>0</v>
      </c>
      <c r="N23" s="72">
        <f t="shared" si="10"/>
        <v>0</v>
      </c>
      <c r="O23" s="72">
        <f>SUMIFS(SALE!$K$6:$K$10000,SALE!$A$6:$A$10000,$N$3,SALE!$D$6:$D$10000,$C$5:$C$499)</f>
        <v>0</v>
      </c>
      <c r="P23" s="72">
        <f>SUMIFS(SALE!$L$6:$L$10000,SALE!$A$6:$A$10000,$N$3,SALE!$D$6:$D$10000,$C$5:$C$499)</f>
        <v>0</v>
      </c>
      <c r="Q23" s="72">
        <f>SUMIFS(SALE!$M$6:$M$10000,SALE!$A$6:$A$10000,$N$3,SALE!$D$6:$D$10000,$C$5:$C$499)</f>
        <v>0</v>
      </c>
      <c r="R23" s="72">
        <f>SUMIFS(SALE!$N$6:$N$10000,SALE!$A$6:$A$10000,$N$3,SALE!$D$6:$D$10000,$C$5:$C$499)</f>
        <v>0</v>
      </c>
      <c r="S23" s="72">
        <f t="shared" si="11"/>
        <v>0</v>
      </c>
      <c r="T23" s="72">
        <f>SUMIFS(SALE!$K$6:$K$10000,SALE!$A$6:$A$10000,$N$3,SALE!$D$6:$D$10000,$C$5:$C$499)</f>
        <v>0</v>
      </c>
      <c r="U23" s="72">
        <f>SUMIFS(SALE!$L$6:$L$10000,SALE!$A$6:$A$10000,$N$3,SALE!$D$6:$D$10000,$C$5:$C$499)</f>
        <v>0</v>
      </c>
      <c r="V23" s="72">
        <f>SUMIFS(SALE!$M$6:$M$10000,SALE!$A$6:$A$10000,$N$3,SALE!$D$6:$D$10000,$C$5:$C$499)</f>
        <v>0</v>
      </c>
      <c r="W23" s="72">
        <f>SUMIFS(SALE!$N$6:$N$10000,SALE!$A$6:$A$10000,$N$3,SALE!$D$6:$D$10000,$C$5:$C$499)</f>
        <v>0</v>
      </c>
      <c r="X23" s="72">
        <f t="shared" si="12"/>
        <v>0</v>
      </c>
      <c r="Y23" s="72">
        <f>SUMIFS(SALE!$K$6:$K$10000,SALE!$A$6:$A$10000,$X$3,SALE!$D$6:$D$10000,$C$5:$C$499)</f>
        <v>0</v>
      </c>
      <c r="Z23" s="72">
        <f>SUMIFS(SALE!$L$6:$L$10000,SALE!$A$6:$A$10000,$X$3,SALE!$D$6:$D$10000,$C$5:$C$499)</f>
        <v>0</v>
      </c>
      <c r="AA23" s="72">
        <f>SUMIFS(SALE!$M$6:$M$10000,SALE!$A$6:$A$10000,$X$3,SALE!$D$6:$D$10000,$C$5:$C$499)</f>
        <v>0</v>
      </c>
      <c r="AB23" s="72">
        <f>SUMIFS(SALE!$N$6:$N$10000,SALE!$A$6:$A$10000,$X$3,SALE!$D$6:$D$10000,$C$5:$C$499)</f>
        <v>0</v>
      </c>
      <c r="AC23" s="72">
        <f t="shared" si="13"/>
        <v>0</v>
      </c>
      <c r="AD23" s="72">
        <f>SUMIFS(SALE!$K$6:$K$10000,SALE!$A$6:$A$10000,$AC$3,SALE!$D$6:$D$10000,$C$5:$C$499)</f>
        <v>0</v>
      </c>
      <c r="AE23" s="72">
        <f>SUMIFS(SALE!$L$6:$L$10000,SALE!$A$6:$A$10000,$AC$3,SALE!$D$6:$D$10000,$C$5:$C$499)</f>
        <v>0</v>
      </c>
      <c r="AF23" s="72">
        <f>SUMIFS(SALE!$M$6:$M$10000,SALE!$A$6:$A$10000,$AC$3,SALE!$D$6:$D$10000,$C$5:$C$499)</f>
        <v>0</v>
      </c>
      <c r="AG23" s="72">
        <f>SUMIFS(SALE!$N$6:$N$10000,SALE!$A$6:$A$10000,$AC$3,SALE!$D$6:$D$10000,$C$5:$C$499)</f>
        <v>0</v>
      </c>
      <c r="AH23" s="72">
        <f t="shared" si="14"/>
        <v>0</v>
      </c>
      <c r="AI23" s="72">
        <f>SUMIFS(SALE!$K$6:$K$10000,SALE!$A$6:$A$10000,$AH$3,SALE!$D$6:$D$10000,$C$5:$C$499)</f>
        <v>0</v>
      </c>
      <c r="AJ23" s="72">
        <f>SUMIFS(SALE!$L$6:$L$10000,SALE!$A$6:$A$10000,$AH$3,SALE!$D$6:$D$10000,$C$5:$C$499)</f>
        <v>0</v>
      </c>
      <c r="AK23" s="72">
        <f>SUMIFS(SALE!$M$6:$M$10000,SALE!$A$6:$A$10000,$AH$3,SALE!$D$6:$D$10000,$C$5:$C$499)</f>
        <v>0</v>
      </c>
      <c r="AL23" s="72">
        <f>SUMIFS(SALE!$N$6:$N$10000,SALE!$A$6:$A$10000,$AH$3,SALE!$D$6:$D$10000,$C$5:$C$499)</f>
        <v>0</v>
      </c>
      <c r="AM23" s="72">
        <f t="shared" si="15"/>
        <v>0</v>
      </c>
      <c r="AN23" s="72">
        <f>SUMIFS(SALE!$K$6:$K$10000,SALE!$A$6:$A$10000,$AM$3,SALE!$D$6:$D$10000,$C$5:$C$499)</f>
        <v>0</v>
      </c>
      <c r="AO23" s="72">
        <f>SUMIFS(SALE!$L$6:$L$10000,SALE!$A$6:$A$10000,$AM$3,SALE!$D$6:$D$10000,$C$5:$C$499)</f>
        <v>0</v>
      </c>
      <c r="AP23" s="72">
        <f>SUMIFS(SALE!$M$6:$M$10000,SALE!$A$6:$A$10000,$AM$3,SALE!$D$6:$D$10000,$C$5:$C$499)</f>
        <v>0</v>
      </c>
      <c r="AQ23" s="72">
        <f>SUMIFS(SALE!$N$6:$N$10000,SALE!$A$6:$A$10000,$AM$3,SALE!$D$6:$D$10000,$C$5:$C$499)</f>
        <v>0</v>
      </c>
      <c r="AR23" s="72">
        <f t="shared" si="16"/>
        <v>0</v>
      </c>
      <c r="AS23" s="72">
        <f>SUMIFS(SALE!$K$6:$K$10000,SALE!$A$6:$A$10000,$AR$3,SALE!$D$6:$D$10000,$C$5:$C$499)</f>
        <v>0</v>
      </c>
      <c r="AT23" s="72">
        <f>SUMIFS(SALE!$L$6:$L$10000,SALE!$A$6:$A$10000,$AR$3,SALE!$D$6:$D$10000,$C$5:$C$499)</f>
        <v>0</v>
      </c>
      <c r="AU23" s="72">
        <f>SUMIFS(SALE!$M$6:$M$10000,SALE!$A$6:$A$10000,$AR$3,SALE!$D$6:$D$10000,$C$5:$C$499)</f>
        <v>0</v>
      </c>
      <c r="AV23" s="72">
        <f>SUMIFS(SALE!$N$6:$N$10000,SALE!$A$6:$A$10000,$AR$3,SALE!$D$6:$D$10000,$C$5:$C$499)</f>
        <v>0</v>
      </c>
      <c r="AW23" s="72">
        <f t="shared" si="17"/>
        <v>0</v>
      </c>
      <c r="AX23" s="72">
        <f>SUMIFS(SALE!$K$6:$K$10000,SALE!$A$6:$A$10000,$AW$3,SALE!$D$6:$D$10000,$C$5:$C$499)</f>
        <v>0</v>
      </c>
      <c r="AY23" s="72">
        <f>SUMIFS(SALE!$L$6:$L$10000,SALE!$A$6:$A$10000,$AW$3,SALE!$D$6:$D$10000,$C$5:$C$499)</f>
        <v>0</v>
      </c>
      <c r="AZ23" s="72">
        <f>SUMIFS(SALE!$M$6:$M$10000,SALE!$A$6:$A$10000,$AW$3,SALE!$D$6:$D$10000,$C$5:$C$499)</f>
        <v>0</v>
      </c>
      <c r="BA23" s="72">
        <f>SUMIFS(SALE!$N$6:$N$10000,SALE!$A$6:$A$10000,$AW$3,SALE!$D$6:$D$10000,$C$5:$C$499)</f>
        <v>0</v>
      </c>
      <c r="BB23" s="72">
        <f t="shared" si="18"/>
        <v>0</v>
      </c>
      <c r="BC23" s="72">
        <f>SUMIFS(SALE!$K$6:$K$10000,SALE!$A$6:$A$10000,$BB$3,SALE!$D$6:$D$10000,$C$5:$C$499)</f>
        <v>0</v>
      </c>
      <c r="BD23" s="72">
        <f>SUMIFS(SALE!$L$6:$L$10000,SALE!$A$6:$A$10000,$BB$3,SALE!$D$6:$D$10000,$C$5:$C$499)</f>
        <v>0</v>
      </c>
      <c r="BE23" s="72">
        <f>SUMIFS(SALE!$M$6:$M$10000,SALE!$A$6:$A$10000,$BB$3,SALE!$D$6:$D$10000,$C$5:$C$499)</f>
        <v>0</v>
      </c>
      <c r="BF23" s="72">
        <f>SUMIFS(SALE!$N$6:$N$10000,SALE!$A$6:$A$10000,$BB$3,SALE!$D$6:$D$10000,$C$5:$C$499)</f>
        <v>0</v>
      </c>
      <c r="BG23" s="72">
        <f t="shared" si="19"/>
        <v>0</v>
      </c>
      <c r="BH23" s="72">
        <f>SUMIFS(SALE!$K$6:$K$10000,SALE!$A$6:$A$10000,$BG$3,SALE!$D$6:$D$10000,$C$5:$C$499)</f>
        <v>0</v>
      </c>
      <c r="BI23" s="72">
        <f>SUMIFS(SALE!$L$6:$L$10000,SALE!$A$6:$A$10000,$BG$3,SALE!$D$6:$D$10000,$C$5:$C$499)</f>
        <v>0</v>
      </c>
      <c r="BJ23" s="72">
        <f>SUMIFS(SALE!$M$6:$M$10000,SALE!$A$6:$A$10000,$BG$3,SALE!$D$6:$D$10000,$C$5:$C$499)</f>
        <v>0</v>
      </c>
      <c r="BK23" s="72">
        <f>SUMIFS(SALE!$N$6:$N$10000,SALE!$A$6:$A$10000,$BG$3,SALE!$D$6:$D$10000,$C$5:$C$499)</f>
        <v>0</v>
      </c>
      <c r="BL23" s="72">
        <f t="shared" si="3"/>
        <v>0</v>
      </c>
      <c r="BM23" s="72">
        <f t="shared" si="4"/>
        <v>0</v>
      </c>
      <c r="BN23" s="72">
        <f t="shared" si="5"/>
        <v>0</v>
      </c>
      <c r="BO23" s="72">
        <f t="shared" si="6"/>
        <v>0</v>
      </c>
      <c r="BP23" s="72">
        <f t="shared" si="7"/>
        <v>0</v>
      </c>
    </row>
    <row r="24" spans="1:68" x14ac:dyDescent="0.2">
      <c r="A24" s="467">
        <v>20</v>
      </c>
      <c r="B24" s="504" t="s">
        <v>253</v>
      </c>
      <c r="C24" s="504" t="s">
        <v>254</v>
      </c>
      <c r="D24" s="72">
        <f t="shared" si="8"/>
        <v>0</v>
      </c>
      <c r="E24" s="72">
        <f>SUMIFS(SALE!$K$6:$K$10000,SALE!$A$6:$A$10000,$D$3,SALE!$D$6:$D$10000,$C$5:$C$499)</f>
        <v>0</v>
      </c>
      <c r="F24" s="72">
        <f>SUMIFS(SALE!$L$6:$L$10000,SALE!$A$6:$A$10000,$D$3,SALE!$D$6:$D$10000,$C$5:$C$499)</f>
        <v>0</v>
      </c>
      <c r="G24" s="72">
        <f>SUMIFS(SALE!$M$6:$M$10000,SALE!$A$6:$A$10000,$D$3,SALE!$D$6:$D$10000,$C$5:$C$499)</f>
        <v>0</v>
      </c>
      <c r="H24" s="72">
        <f>SUMIFS(SALE!$N$6:$N$10000,SALE!$A$6:$A$10000,$D$3,SALE!$D$6:$D$10000,$C$5:$C$499)</f>
        <v>0</v>
      </c>
      <c r="I24" s="72">
        <f t="shared" si="9"/>
        <v>0</v>
      </c>
      <c r="J24" s="72">
        <f>SUMIFS(SALE!$K$6:$K$10000,SALE!$A$6:$A$10000,$I$3,SALE!$D$6:$D$10000,$C$5:$C$499)</f>
        <v>0</v>
      </c>
      <c r="K24" s="72">
        <f>SUMIFS(SALE!$L$6:$L$10000,SALE!$A$6:$A$10000,$I$3,SALE!$D$6:$D$10000,$C$5:$C$499)</f>
        <v>0</v>
      </c>
      <c r="L24" s="72">
        <f>SUMIFS(SALE!$M$6:$M$10000,SALE!$A$6:$A$10000,$I$3,SALE!$D$6:$D$10000,$C$5:$C$499)</f>
        <v>0</v>
      </c>
      <c r="M24" s="72">
        <f>SUMIFS(SALE!$N$6:$N$10000,SALE!$A$6:$A$10000,$I$3,SALE!$D$6:$D$10000,$C$5:$C$499)</f>
        <v>0</v>
      </c>
      <c r="N24" s="72">
        <f t="shared" si="10"/>
        <v>0</v>
      </c>
      <c r="O24" s="72">
        <f>SUMIFS(SALE!$K$6:$K$10000,SALE!$A$6:$A$10000,$N$3,SALE!$D$6:$D$10000,$C$5:$C$499)</f>
        <v>0</v>
      </c>
      <c r="P24" s="72">
        <f>SUMIFS(SALE!$L$6:$L$10000,SALE!$A$6:$A$10000,$N$3,SALE!$D$6:$D$10000,$C$5:$C$499)</f>
        <v>0</v>
      </c>
      <c r="Q24" s="72">
        <f>SUMIFS(SALE!$M$6:$M$10000,SALE!$A$6:$A$10000,$N$3,SALE!$D$6:$D$10000,$C$5:$C$499)</f>
        <v>0</v>
      </c>
      <c r="R24" s="72">
        <f>SUMIFS(SALE!$N$6:$N$10000,SALE!$A$6:$A$10000,$N$3,SALE!$D$6:$D$10000,$C$5:$C$499)</f>
        <v>0</v>
      </c>
      <c r="S24" s="72">
        <f t="shared" si="11"/>
        <v>0</v>
      </c>
      <c r="T24" s="72">
        <f>SUMIFS(SALE!$K$6:$K$10000,SALE!$A$6:$A$10000,$N$3,SALE!$D$6:$D$10000,$C$5:$C$499)</f>
        <v>0</v>
      </c>
      <c r="U24" s="72">
        <f>SUMIFS(SALE!$L$6:$L$10000,SALE!$A$6:$A$10000,$N$3,SALE!$D$6:$D$10000,$C$5:$C$499)</f>
        <v>0</v>
      </c>
      <c r="V24" s="72">
        <f>SUMIFS(SALE!$M$6:$M$10000,SALE!$A$6:$A$10000,$N$3,SALE!$D$6:$D$10000,$C$5:$C$499)</f>
        <v>0</v>
      </c>
      <c r="W24" s="72">
        <f>SUMIFS(SALE!$N$6:$N$10000,SALE!$A$6:$A$10000,$N$3,SALE!$D$6:$D$10000,$C$5:$C$499)</f>
        <v>0</v>
      </c>
      <c r="X24" s="72">
        <f t="shared" si="12"/>
        <v>0</v>
      </c>
      <c r="Y24" s="72">
        <f>SUMIFS(SALE!$K$6:$K$10000,SALE!$A$6:$A$10000,$X$3,SALE!$D$6:$D$10000,$C$5:$C$499)</f>
        <v>0</v>
      </c>
      <c r="Z24" s="72">
        <f>SUMIFS(SALE!$L$6:$L$10000,SALE!$A$6:$A$10000,$X$3,SALE!$D$6:$D$10000,$C$5:$C$499)</f>
        <v>0</v>
      </c>
      <c r="AA24" s="72">
        <f>SUMIFS(SALE!$M$6:$M$10000,SALE!$A$6:$A$10000,$X$3,SALE!$D$6:$D$10000,$C$5:$C$499)</f>
        <v>0</v>
      </c>
      <c r="AB24" s="72">
        <f>SUMIFS(SALE!$N$6:$N$10000,SALE!$A$6:$A$10000,$X$3,SALE!$D$6:$D$10000,$C$5:$C$499)</f>
        <v>0</v>
      </c>
      <c r="AC24" s="72">
        <f t="shared" si="13"/>
        <v>0</v>
      </c>
      <c r="AD24" s="72">
        <f>SUMIFS(SALE!$K$6:$K$10000,SALE!$A$6:$A$10000,$AC$3,SALE!$D$6:$D$10000,$C$5:$C$499)</f>
        <v>0</v>
      </c>
      <c r="AE24" s="72">
        <f>SUMIFS(SALE!$L$6:$L$10000,SALE!$A$6:$A$10000,$AC$3,SALE!$D$6:$D$10000,$C$5:$C$499)</f>
        <v>0</v>
      </c>
      <c r="AF24" s="72">
        <f>SUMIFS(SALE!$M$6:$M$10000,SALE!$A$6:$A$10000,$AC$3,SALE!$D$6:$D$10000,$C$5:$C$499)</f>
        <v>0</v>
      </c>
      <c r="AG24" s="72">
        <f>SUMIFS(SALE!$N$6:$N$10000,SALE!$A$6:$A$10000,$AC$3,SALE!$D$6:$D$10000,$C$5:$C$499)</f>
        <v>0</v>
      </c>
      <c r="AH24" s="72">
        <f t="shared" si="14"/>
        <v>0</v>
      </c>
      <c r="AI24" s="72">
        <f>SUMIFS(SALE!$K$6:$K$10000,SALE!$A$6:$A$10000,$AH$3,SALE!$D$6:$D$10000,$C$5:$C$499)</f>
        <v>0</v>
      </c>
      <c r="AJ24" s="72">
        <f>SUMIFS(SALE!$L$6:$L$10000,SALE!$A$6:$A$10000,$AH$3,SALE!$D$6:$D$10000,$C$5:$C$499)</f>
        <v>0</v>
      </c>
      <c r="AK24" s="72">
        <f>SUMIFS(SALE!$M$6:$M$10000,SALE!$A$6:$A$10000,$AH$3,SALE!$D$6:$D$10000,$C$5:$C$499)</f>
        <v>0</v>
      </c>
      <c r="AL24" s="72">
        <f>SUMIFS(SALE!$N$6:$N$10000,SALE!$A$6:$A$10000,$AH$3,SALE!$D$6:$D$10000,$C$5:$C$499)</f>
        <v>0</v>
      </c>
      <c r="AM24" s="72">
        <f t="shared" si="15"/>
        <v>0</v>
      </c>
      <c r="AN24" s="72">
        <f>SUMIFS(SALE!$K$6:$K$10000,SALE!$A$6:$A$10000,$AM$3,SALE!$D$6:$D$10000,$C$5:$C$499)</f>
        <v>0</v>
      </c>
      <c r="AO24" s="72">
        <f>SUMIFS(SALE!$L$6:$L$10000,SALE!$A$6:$A$10000,$AM$3,SALE!$D$6:$D$10000,$C$5:$C$499)</f>
        <v>0</v>
      </c>
      <c r="AP24" s="72">
        <f>SUMIFS(SALE!$M$6:$M$10000,SALE!$A$6:$A$10000,$AM$3,SALE!$D$6:$D$10000,$C$5:$C$499)</f>
        <v>0</v>
      </c>
      <c r="AQ24" s="72">
        <f>SUMIFS(SALE!$N$6:$N$10000,SALE!$A$6:$A$10000,$AM$3,SALE!$D$6:$D$10000,$C$5:$C$499)</f>
        <v>0</v>
      </c>
      <c r="AR24" s="72">
        <f t="shared" si="16"/>
        <v>0</v>
      </c>
      <c r="AS24" s="72">
        <f>SUMIFS(SALE!$K$6:$K$10000,SALE!$A$6:$A$10000,$AR$3,SALE!$D$6:$D$10000,$C$5:$C$499)</f>
        <v>0</v>
      </c>
      <c r="AT24" s="72">
        <f>SUMIFS(SALE!$L$6:$L$10000,SALE!$A$6:$A$10000,$AR$3,SALE!$D$6:$D$10000,$C$5:$C$499)</f>
        <v>0</v>
      </c>
      <c r="AU24" s="72">
        <f>SUMIFS(SALE!$M$6:$M$10000,SALE!$A$6:$A$10000,$AR$3,SALE!$D$6:$D$10000,$C$5:$C$499)</f>
        <v>0</v>
      </c>
      <c r="AV24" s="72">
        <f>SUMIFS(SALE!$N$6:$N$10000,SALE!$A$6:$A$10000,$AR$3,SALE!$D$6:$D$10000,$C$5:$C$499)</f>
        <v>0</v>
      </c>
      <c r="AW24" s="72">
        <f t="shared" si="17"/>
        <v>0</v>
      </c>
      <c r="AX24" s="72">
        <f>SUMIFS(SALE!$K$6:$K$10000,SALE!$A$6:$A$10000,$AW$3,SALE!$D$6:$D$10000,$C$5:$C$499)</f>
        <v>0</v>
      </c>
      <c r="AY24" s="72">
        <f>SUMIFS(SALE!$L$6:$L$10000,SALE!$A$6:$A$10000,$AW$3,SALE!$D$6:$D$10000,$C$5:$C$499)</f>
        <v>0</v>
      </c>
      <c r="AZ24" s="72">
        <f>SUMIFS(SALE!$M$6:$M$10000,SALE!$A$6:$A$10000,$AW$3,SALE!$D$6:$D$10000,$C$5:$C$499)</f>
        <v>0</v>
      </c>
      <c r="BA24" s="72">
        <f>SUMIFS(SALE!$N$6:$N$10000,SALE!$A$6:$A$10000,$AW$3,SALE!$D$6:$D$10000,$C$5:$C$499)</f>
        <v>0</v>
      </c>
      <c r="BB24" s="72">
        <f t="shared" si="18"/>
        <v>0</v>
      </c>
      <c r="BC24" s="72">
        <f>SUMIFS(SALE!$K$6:$K$10000,SALE!$A$6:$A$10000,$BB$3,SALE!$D$6:$D$10000,$C$5:$C$499)</f>
        <v>0</v>
      </c>
      <c r="BD24" s="72">
        <f>SUMIFS(SALE!$L$6:$L$10000,SALE!$A$6:$A$10000,$BB$3,SALE!$D$6:$D$10000,$C$5:$C$499)</f>
        <v>0</v>
      </c>
      <c r="BE24" s="72">
        <f>SUMIFS(SALE!$M$6:$M$10000,SALE!$A$6:$A$10000,$BB$3,SALE!$D$6:$D$10000,$C$5:$C$499)</f>
        <v>0</v>
      </c>
      <c r="BF24" s="72">
        <f>SUMIFS(SALE!$N$6:$N$10000,SALE!$A$6:$A$10000,$BB$3,SALE!$D$6:$D$10000,$C$5:$C$499)</f>
        <v>0</v>
      </c>
      <c r="BG24" s="72">
        <f t="shared" si="19"/>
        <v>0</v>
      </c>
      <c r="BH24" s="72">
        <f>SUMIFS(SALE!$K$6:$K$10000,SALE!$A$6:$A$10000,$BG$3,SALE!$D$6:$D$10000,$C$5:$C$499)</f>
        <v>0</v>
      </c>
      <c r="BI24" s="72">
        <f>SUMIFS(SALE!$L$6:$L$10000,SALE!$A$6:$A$10000,$BG$3,SALE!$D$6:$D$10000,$C$5:$C$499)</f>
        <v>0</v>
      </c>
      <c r="BJ24" s="72">
        <f>SUMIFS(SALE!$M$6:$M$10000,SALE!$A$6:$A$10000,$BG$3,SALE!$D$6:$D$10000,$C$5:$C$499)</f>
        <v>0</v>
      </c>
      <c r="BK24" s="72">
        <f>SUMIFS(SALE!$N$6:$N$10000,SALE!$A$6:$A$10000,$BG$3,SALE!$D$6:$D$10000,$C$5:$C$499)</f>
        <v>0</v>
      </c>
      <c r="BL24" s="72">
        <f t="shared" si="3"/>
        <v>0</v>
      </c>
      <c r="BM24" s="72">
        <f t="shared" si="4"/>
        <v>0</v>
      </c>
      <c r="BN24" s="72">
        <f t="shared" si="5"/>
        <v>0</v>
      </c>
      <c r="BO24" s="72">
        <f t="shared" si="6"/>
        <v>0</v>
      </c>
      <c r="BP24" s="72">
        <f t="shared" si="7"/>
        <v>0</v>
      </c>
    </row>
    <row r="25" spans="1:68" x14ac:dyDescent="0.2">
      <c r="A25" s="467">
        <v>21</v>
      </c>
      <c r="B25" s="499" t="s">
        <v>255</v>
      </c>
      <c r="C25" s="499" t="s">
        <v>256</v>
      </c>
      <c r="D25" s="72">
        <f t="shared" si="8"/>
        <v>0</v>
      </c>
      <c r="E25" s="72">
        <f>SUMIFS(SALE!$K$6:$K$10000,SALE!$A$6:$A$10000,$D$3,SALE!$D$6:$D$10000,$C$5:$C$499)</f>
        <v>0</v>
      </c>
      <c r="F25" s="72">
        <f>SUMIFS(SALE!$L$6:$L$10000,SALE!$A$6:$A$10000,$D$3,SALE!$D$6:$D$10000,$C$5:$C$499)</f>
        <v>0</v>
      </c>
      <c r="G25" s="72">
        <f>SUMIFS(SALE!$M$6:$M$10000,SALE!$A$6:$A$10000,$D$3,SALE!$D$6:$D$10000,$C$5:$C$499)</f>
        <v>0</v>
      </c>
      <c r="H25" s="72">
        <f>SUMIFS(SALE!$N$6:$N$10000,SALE!$A$6:$A$10000,$D$3,SALE!$D$6:$D$10000,$C$5:$C$499)</f>
        <v>0</v>
      </c>
      <c r="I25" s="72">
        <f t="shared" si="9"/>
        <v>0</v>
      </c>
      <c r="J25" s="72">
        <f>SUMIFS(SALE!$K$6:$K$10000,SALE!$A$6:$A$10000,$I$3,SALE!$D$6:$D$10000,$C$5:$C$499)</f>
        <v>0</v>
      </c>
      <c r="K25" s="72">
        <f>SUMIFS(SALE!$L$6:$L$10000,SALE!$A$6:$A$10000,$I$3,SALE!$D$6:$D$10000,$C$5:$C$499)</f>
        <v>0</v>
      </c>
      <c r="L25" s="72">
        <f>SUMIFS(SALE!$M$6:$M$10000,SALE!$A$6:$A$10000,$I$3,SALE!$D$6:$D$10000,$C$5:$C$499)</f>
        <v>0</v>
      </c>
      <c r="M25" s="72">
        <f>SUMIFS(SALE!$N$6:$N$10000,SALE!$A$6:$A$10000,$I$3,SALE!$D$6:$D$10000,$C$5:$C$499)</f>
        <v>0</v>
      </c>
      <c r="N25" s="72">
        <f t="shared" si="10"/>
        <v>0</v>
      </c>
      <c r="O25" s="72">
        <f>SUMIFS(SALE!$K$6:$K$10000,SALE!$A$6:$A$10000,$N$3,SALE!$D$6:$D$10000,$C$5:$C$499)</f>
        <v>0</v>
      </c>
      <c r="P25" s="72">
        <f>SUMIFS(SALE!$L$6:$L$10000,SALE!$A$6:$A$10000,$N$3,SALE!$D$6:$D$10000,$C$5:$C$499)</f>
        <v>0</v>
      </c>
      <c r="Q25" s="72">
        <f>SUMIFS(SALE!$M$6:$M$10000,SALE!$A$6:$A$10000,$N$3,SALE!$D$6:$D$10000,$C$5:$C$499)</f>
        <v>0</v>
      </c>
      <c r="R25" s="72">
        <f>SUMIFS(SALE!$N$6:$N$10000,SALE!$A$6:$A$10000,$N$3,SALE!$D$6:$D$10000,$C$5:$C$499)</f>
        <v>0</v>
      </c>
      <c r="S25" s="72">
        <f t="shared" si="11"/>
        <v>0</v>
      </c>
      <c r="T25" s="72">
        <f>SUMIFS(SALE!$K$6:$K$10000,SALE!$A$6:$A$10000,$N$3,SALE!$D$6:$D$10000,$C$5:$C$499)</f>
        <v>0</v>
      </c>
      <c r="U25" s="72">
        <f>SUMIFS(SALE!$L$6:$L$10000,SALE!$A$6:$A$10000,$N$3,SALE!$D$6:$D$10000,$C$5:$C$499)</f>
        <v>0</v>
      </c>
      <c r="V25" s="72">
        <f>SUMIFS(SALE!$M$6:$M$10000,SALE!$A$6:$A$10000,$N$3,SALE!$D$6:$D$10000,$C$5:$C$499)</f>
        <v>0</v>
      </c>
      <c r="W25" s="72">
        <f>SUMIFS(SALE!$N$6:$N$10000,SALE!$A$6:$A$10000,$N$3,SALE!$D$6:$D$10000,$C$5:$C$499)</f>
        <v>0</v>
      </c>
      <c r="X25" s="72">
        <f t="shared" si="12"/>
        <v>0</v>
      </c>
      <c r="Y25" s="72">
        <f>SUMIFS(SALE!$K$6:$K$10000,SALE!$A$6:$A$10000,$X$3,SALE!$D$6:$D$10000,$C$5:$C$499)</f>
        <v>0</v>
      </c>
      <c r="Z25" s="72">
        <f>SUMIFS(SALE!$L$6:$L$10000,SALE!$A$6:$A$10000,$X$3,SALE!$D$6:$D$10000,$C$5:$C$499)</f>
        <v>0</v>
      </c>
      <c r="AA25" s="72">
        <f>SUMIFS(SALE!$M$6:$M$10000,SALE!$A$6:$A$10000,$X$3,SALE!$D$6:$D$10000,$C$5:$C$499)</f>
        <v>0</v>
      </c>
      <c r="AB25" s="72">
        <f>SUMIFS(SALE!$N$6:$N$10000,SALE!$A$6:$A$10000,$X$3,SALE!$D$6:$D$10000,$C$5:$C$499)</f>
        <v>0</v>
      </c>
      <c r="AC25" s="72">
        <f t="shared" si="13"/>
        <v>0</v>
      </c>
      <c r="AD25" s="72">
        <f>SUMIFS(SALE!$K$6:$K$10000,SALE!$A$6:$A$10000,$AC$3,SALE!$D$6:$D$10000,$C$5:$C$499)</f>
        <v>0</v>
      </c>
      <c r="AE25" s="72">
        <f>SUMIFS(SALE!$L$6:$L$10000,SALE!$A$6:$A$10000,$AC$3,SALE!$D$6:$D$10000,$C$5:$C$499)</f>
        <v>0</v>
      </c>
      <c r="AF25" s="72">
        <f>SUMIFS(SALE!$M$6:$M$10000,SALE!$A$6:$A$10000,$AC$3,SALE!$D$6:$D$10000,$C$5:$C$499)</f>
        <v>0</v>
      </c>
      <c r="AG25" s="72">
        <f>SUMIFS(SALE!$N$6:$N$10000,SALE!$A$6:$A$10000,$AC$3,SALE!$D$6:$D$10000,$C$5:$C$499)</f>
        <v>0</v>
      </c>
      <c r="AH25" s="72">
        <f t="shared" si="14"/>
        <v>0</v>
      </c>
      <c r="AI25" s="72">
        <f>SUMIFS(SALE!$K$6:$K$10000,SALE!$A$6:$A$10000,$AH$3,SALE!$D$6:$D$10000,$C$5:$C$499)</f>
        <v>0</v>
      </c>
      <c r="AJ25" s="72">
        <f>SUMIFS(SALE!$L$6:$L$10000,SALE!$A$6:$A$10000,$AH$3,SALE!$D$6:$D$10000,$C$5:$C$499)</f>
        <v>0</v>
      </c>
      <c r="AK25" s="72">
        <f>SUMIFS(SALE!$M$6:$M$10000,SALE!$A$6:$A$10000,$AH$3,SALE!$D$6:$D$10000,$C$5:$C$499)</f>
        <v>0</v>
      </c>
      <c r="AL25" s="72">
        <f>SUMIFS(SALE!$N$6:$N$10000,SALE!$A$6:$A$10000,$AH$3,SALE!$D$6:$D$10000,$C$5:$C$499)</f>
        <v>0</v>
      </c>
      <c r="AM25" s="72">
        <f t="shared" si="15"/>
        <v>0</v>
      </c>
      <c r="AN25" s="72">
        <f>SUMIFS(SALE!$K$6:$K$10000,SALE!$A$6:$A$10000,$AM$3,SALE!$D$6:$D$10000,$C$5:$C$499)</f>
        <v>0</v>
      </c>
      <c r="AO25" s="72">
        <f>SUMIFS(SALE!$L$6:$L$10000,SALE!$A$6:$A$10000,$AM$3,SALE!$D$6:$D$10000,$C$5:$C$499)</f>
        <v>0</v>
      </c>
      <c r="AP25" s="72">
        <f>SUMIFS(SALE!$M$6:$M$10000,SALE!$A$6:$A$10000,$AM$3,SALE!$D$6:$D$10000,$C$5:$C$499)</f>
        <v>0</v>
      </c>
      <c r="AQ25" s="72">
        <f>SUMIFS(SALE!$N$6:$N$10000,SALE!$A$6:$A$10000,$AM$3,SALE!$D$6:$D$10000,$C$5:$C$499)</f>
        <v>0</v>
      </c>
      <c r="AR25" s="72">
        <f t="shared" si="16"/>
        <v>0</v>
      </c>
      <c r="AS25" s="72">
        <f>SUMIFS(SALE!$K$6:$K$10000,SALE!$A$6:$A$10000,$AR$3,SALE!$D$6:$D$10000,$C$5:$C$499)</f>
        <v>0</v>
      </c>
      <c r="AT25" s="72">
        <f>SUMIFS(SALE!$L$6:$L$10000,SALE!$A$6:$A$10000,$AR$3,SALE!$D$6:$D$10000,$C$5:$C$499)</f>
        <v>0</v>
      </c>
      <c r="AU25" s="72">
        <f>SUMIFS(SALE!$M$6:$M$10000,SALE!$A$6:$A$10000,$AR$3,SALE!$D$6:$D$10000,$C$5:$C$499)</f>
        <v>0</v>
      </c>
      <c r="AV25" s="72">
        <f>SUMIFS(SALE!$N$6:$N$10000,SALE!$A$6:$A$10000,$AR$3,SALE!$D$6:$D$10000,$C$5:$C$499)</f>
        <v>0</v>
      </c>
      <c r="AW25" s="72">
        <f t="shared" si="17"/>
        <v>0</v>
      </c>
      <c r="AX25" s="72">
        <f>SUMIFS(SALE!$K$6:$K$10000,SALE!$A$6:$A$10000,$AW$3,SALE!$D$6:$D$10000,$C$5:$C$499)</f>
        <v>0</v>
      </c>
      <c r="AY25" s="72">
        <f>SUMIFS(SALE!$L$6:$L$10000,SALE!$A$6:$A$10000,$AW$3,SALE!$D$6:$D$10000,$C$5:$C$499)</f>
        <v>0</v>
      </c>
      <c r="AZ25" s="72">
        <f>SUMIFS(SALE!$M$6:$M$10000,SALE!$A$6:$A$10000,$AW$3,SALE!$D$6:$D$10000,$C$5:$C$499)</f>
        <v>0</v>
      </c>
      <c r="BA25" s="72">
        <f>SUMIFS(SALE!$N$6:$N$10000,SALE!$A$6:$A$10000,$AW$3,SALE!$D$6:$D$10000,$C$5:$C$499)</f>
        <v>0</v>
      </c>
      <c r="BB25" s="72">
        <f t="shared" si="18"/>
        <v>0</v>
      </c>
      <c r="BC25" s="72">
        <f>SUMIFS(SALE!$K$6:$K$10000,SALE!$A$6:$A$10000,$BB$3,SALE!$D$6:$D$10000,$C$5:$C$499)</f>
        <v>0</v>
      </c>
      <c r="BD25" s="72">
        <f>SUMIFS(SALE!$L$6:$L$10000,SALE!$A$6:$A$10000,$BB$3,SALE!$D$6:$D$10000,$C$5:$C$499)</f>
        <v>0</v>
      </c>
      <c r="BE25" s="72">
        <f>SUMIFS(SALE!$M$6:$M$10000,SALE!$A$6:$A$10000,$BB$3,SALE!$D$6:$D$10000,$C$5:$C$499)</f>
        <v>0</v>
      </c>
      <c r="BF25" s="72">
        <f>SUMIFS(SALE!$N$6:$N$10000,SALE!$A$6:$A$10000,$BB$3,SALE!$D$6:$D$10000,$C$5:$C$499)</f>
        <v>0</v>
      </c>
      <c r="BG25" s="72">
        <f t="shared" si="19"/>
        <v>0</v>
      </c>
      <c r="BH25" s="72">
        <f>SUMIFS(SALE!$K$6:$K$10000,SALE!$A$6:$A$10000,$BG$3,SALE!$D$6:$D$10000,$C$5:$C$499)</f>
        <v>0</v>
      </c>
      <c r="BI25" s="72">
        <f>SUMIFS(SALE!$L$6:$L$10000,SALE!$A$6:$A$10000,$BG$3,SALE!$D$6:$D$10000,$C$5:$C$499)</f>
        <v>0</v>
      </c>
      <c r="BJ25" s="72">
        <f>SUMIFS(SALE!$M$6:$M$10000,SALE!$A$6:$A$10000,$BG$3,SALE!$D$6:$D$10000,$C$5:$C$499)</f>
        <v>0</v>
      </c>
      <c r="BK25" s="72">
        <f>SUMIFS(SALE!$N$6:$N$10000,SALE!$A$6:$A$10000,$BG$3,SALE!$D$6:$D$10000,$C$5:$C$499)</f>
        <v>0</v>
      </c>
      <c r="BL25" s="72">
        <f t="shared" si="3"/>
        <v>0</v>
      </c>
      <c r="BM25" s="72">
        <f t="shared" si="4"/>
        <v>0</v>
      </c>
      <c r="BN25" s="72">
        <f t="shared" si="5"/>
        <v>0</v>
      </c>
      <c r="BO25" s="72">
        <f t="shared" si="6"/>
        <v>0</v>
      </c>
      <c r="BP25" s="72">
        <f t="shared" si="7"/>
        <v>0</v>
      </c>
    </row>
    <row r="26" spans="1:68" x14ac:dyDescent="0.2">
      <c r="A26" s="467">
        <v>22</v>
      </c>
      <c r="B26" s="504" t="s">
        <v>229</v>
      </c>
      <c r="C26" s="504" t="s">
        <v>230</v>
      </c>
      <c r="D26" s="72">
        <f t="shared" si="8"/>
        <v>0</v>
      </c>
      <c r="E26" s="72">
        <f>SUMIFS(SALE!$K$6:$K$10000,SALE!$A$6:$A$10000,$D$3,SALE!$D$6:$D$10000,$C$5:$C$499)</f>
        <v>0</v>
      </c>
      <c r="F26" s="72">
        <f>SUMIFS(SALE!$L$6:$L$10000,SALE!$A$6:$A$10000,$D$3,SALE!$D$6:$D$10000,$C$5:$C$499)</f>
        <v>0</v>
      </c>
      <c r="G26" s="72">
        <f>SUMIFS(SALE!$M$6:$M$10000,SALE!$A$6:$A$10000,$D$3,SALE!$D$6:$D$10000,$C$5:$C$499)</f>
        <v>0</v>
      </c>
      <c r="H26" s="72">
        <f>SUMIFS(SALE!$N$6:$N$10000,SALE!$A$6:$A$10000,$D$3,SALE!$D$6:$D$10000,$C$5:$C$499)</f>
        <v>0</v>
      </c>
      <c r="I26" s="72">
        <f t="shared" si="9"/>
        <v>0</v>
      </c>
      <c r="J26" s="72">
        <f>SUMIFS(SALE!$K$6:$K$10000,SALE!$A$6:$A$10000,$I$3,SALE!$D$6:$D$10000,$C$5:$C$499)</f>
        <v>0</v>
      </c>
      <c r="K26" s="72">
        <f>SUMIFS(SALE!$L$6:$L$10000,SALE!$A$6:$A$10000,$I$3,SALE!$D$6:$D$10000,$C$5:$C$499)</f>
        <v>0</v>
      </c>
      <c r="L26" s="72">
        <f>SUMIFS(SALE!$M$6:$M$10000,SALE!$A$6:$A$10000,$I$3,SALE!$D$6:$D$10000,$C$5:$C$499)</f>
        <v>0</v>
      </c>
      <c r="M26" s="72">
        <f>SUMIFS(SALE!$N$6:$N$10000,SALE!$A$6:$A$10000,$I$3,SALE!$D$6:$D$10000,$C$5:$C$499)</f>
        <v>0</v>
      </c>
      <c r="N26" s="72">
        <f t="shared" si="10"/>
        <v>0</v>
      </c>
      <c r="O26" s="72">
        <f>SUMIFS(SALE!$K$6:$K$10000,SALE!$A$6:$A$10000,$N$3,SALE!$D$6:$D$10000,$C$5:$C$499)</f>
        <v>0</v>
      </c>
      <c r="P26" s="72">
        <f>SUMIFS(SALE!$L$6:$L$10000,SALE!$A$6:$A$10000,$N$3,SALE!$D$6:$D$10000,$C$5:$C$499)</f>
        <v>0</v>
      </c>
      <c r="Q26" s="72">
        <f>SUMIFS(SALE!$M$6:$M$10000,SALE!$A$6:$A$10000,$N$3,SALE!$D$6:$D$10000,$C$5:$C$499)</f>
        <v>0</v>
      </c>
      <c r="R26" s="72">
        <f>SUMIFS(SALE!$N$6:$N$10000,SALE!$A$6:$A$10000,$N$3,SALE!$D$6:$D$10000,$C$5:$C$499)</f>
        <v>0</v>
      </c>
      <c r="S26" s="72">
        <f t="shared" si="11"/>
        <v>0</v>
      </c>
      <c r="T26" s="72">
        <f>SUMIFS(SALE!$K$6:$K$10000,SALE!$A$6:$A$10000,$N$3,SALE!$D$6:$D$10000,$C$5:$C$499)</f>
        <v>0</v>
      </c>
      <c r="U26" s="72">
        <f>SUMIFS(SALE!$L$6:$L$10000,SALE!$A$6:$A$10000,$N$3,SALE!$D$6:$D$10000,$C$5:$C$499)</f>
        <v>0</v>
      </c>
      <c r="V26" s="72">
        <f>SUMIFS(SALE!$M$6:$M$10000,SALE!$A$6:$A$10000,$N$3,SALE!$D$6:$D$10000,$C$5:$C$499)</f>
        <v>0</v>
      </c>
      <c r="W26" s="72">
        <f>SUMIFS(SALE!$N$6:$N$10000,SALE!$A$6:$A$10000,$N$3,SALE!$D$6:$D$10000,$C$5:$C$499)</f>
        <v>0</v>
      </c>
      <c r="X26" s="72">
        <f t="shared" si="12"/>
        <v>0</v>
      </c>
      <c r="Y26" s="72">
        <f>SUMIFS(SALE!$K$6:$K$10000,SALE!$A$6:$A$10000,$X$3,SALE!$D$6:$D$10000,$C$5:$C$499)</f>
        <v>0</v>
      </c>
      <c r="Z26" s="72">
        <f>SUMIFS(SALE!$L$6:$L$10000,SALE!$A$6:$A$10000,$X$3,SALE!$D$6:$D$10000,$C$5:$C$499)</f>
        <v>0</v>
      </c>
      <c r="AA26" s="72">
        <f>SUMIFS(SALE!$M$6:$M$10000,SALE!$A$6:$A$10000,$X$3,SALE!$D$6:$D$10000,$C$5:$C$499)</f>
        <v>0</v>
      </c>
      <c r="AB26" s="72">
        <f>SUMIFS(SALE!$N$6:$N$10000,SALE!$A$6:$A$10000,$X$3,SALE!$D$6:$D$10000,$C$5:$C$499)</f>
        <v>0</v>
      </c>
      <c r="AC26" s="72">
        <f t="shared" si="13"/>
        <v>9379.7963999999993</v>
      </c>
      <c r="AD26" s="72">
        <f>SUMIFS(SALE!$K$6:$K$10000,SALE!$A$6:$A$10000,$AC$3,SALE!$D$6:$D$10000,$C$5:$C$499)</f>
        <v>7948.98</v>
      </c>
      <c r="AE26" s="72">
        <f>SUMIFS(SALE!$L$6:$L$10000,SALE!$A$6:$A$10000,$AC$3,SALE!$D$6:$D$10000,$C$5:$C$499)</f>
        <v>0</v>
      </c>
      <c r="AF26" s="72">
        <f>SUMIFS(SALE!$M$6:$M$10000,SALE!$A$6:$A$10000,$AC$3,SALE!$D$6:$D$10000,$C$5:$C$499)</f>
        <v>715.40820000000008</v>
      </c>
      <c r="AG26" s="72">
        <f>SUMIFS(SALE!$N$6:$N$10000,SALE!$A$6:$A$10000,$AC$3,SALE!$D$6:$D$10000,$C$5:$C$499)</f>
        <v>715.40820000000008</v>
      </c>
      <c r="AH26" s="72">
        <f t="shared" si="14"/>
        <v>0</v>
      </c>
      <c r="AI26" s="72">
        <f>SUMIFS(SALE!$K$6:$K$10000,SALE!$A$6:$A$10000,$AH$3,SALE!$D$6:$D$10000,$C$5:$C$499)</f>
        <v>0</v>
      </c>
      <c r="AJ26" s="72">
        <f>SUMIFS(SALE!$L$6:$L$10000,SALE!$A$6:$A$10000,$AH$3,SALE!$D$6:$D$10000,$C$5:$C$499)</f>
        <v>0</v>
      </c>
      <c r="AK26" s="72">
        <f>SUMIFS(SALE!$M$6:$M$10000,SALE!$A$6:$A$10000,$AH$3,SALE!$D$6:$D$10000,$C$5:$C$499)</f>
        <v>0</v>
      </c>
      <c r="AL26" s="72">
        <f>SUMIFS(SALE!$N$6:$N$10000,SALE!$A$6:$A$10000,$AH$3,SALE!$D$6:$D$10000,$C$5:$C$499)</f>
        <v>0</v>
      </c>
      <c r="AM26" s="72">
        <f t="shared" si="15"/>
        <v>0</v>
      </c>
      <c r="AN26" s="72">
        <f>SUMIFS(SALE!$K$6:$K$10000,SALE!$A$6:$A$10000,$AM$3,SALE!$D$6:$D$10000,$C$5:$C$499)</f>
        <v>0</v>
      </c>
      <c r="AO26" s="72">
        <f>SUMIFS(SALE!$L$6:$L$10000,SALE!$A$6:$A$10000,$AM$3,SALE!$D$6:$D$10000,$C$5:$C$499)</f>
        <v>0</v>
      </c>
      <c r="AP26" s="72">
        <f>SUMIFS(SALE!$M$6:$M$10000,SALE!$A$6:$A$10000,$AM$3,SALE!$D$6:$D$10000,$C$5:$C$499)</f>
        <v>0</v>
      </c>
      <c r="AQ26" s="72">
        <f>SUMIFS(SALE!$N$6:$N$10000,SALE!$A$6:$A$10000,$AM$3,SALE!$D$6:$D$10000,$C$5:$C$499)</f>
        <v>0</v>
      </c>
      <c r="AR26" s="72">
        <f t="shared" si="16"/>
        <v>0</v>
      </c>
      <c r="AS26" s="72">
        <f>SUMIFS(SALE!$K$6:$K$10000,SALE!$A$6:$A$10000,$AR$3,SALE!$D$6:$D$10000,$C$5:$C$499)</f>
        <v>0</v>
      </c>
      <c r="AT26" s="72">
        <f>SUMIFS(SALE!$L$6:$L$10000,SALE!$A$6:$A$10000,$AR$3,SALE!$D$6:$D$10000,$C$5:$C$499)</f>
        <v>0</v>
      </c>
      <c r="AU26" s="72">
        <f>SUMIFS(SALE!$M$6:$M$10000,SALE!$A$6:$A$10000,$AR$3,SALE!$D$6:$D$10000,$C$5:$C$499)</f>
        <v>0</v>
      </c>
      <c r="AV26" s="72">
        <f>SUMIFS(SALE!$N$6:$N$10000,SALE!$A$6:$A$10000,$AR$3,SALE!$D$6:$D$10000,$C$5:$C$499)</f>
        <v>0</v>
      </c>
      <c r="AW26" s="72">
        <f t="shared" si="17"/>
        <v>0</v>
      </c>
      <c r="AX26" s="72">
        <f>SUMIFS(SALE!$K$6:$K$10000,SALE!$A$6:$A$10000,$AW$3,SALE!$D$6:$D$10000,$C$5:$C$499)</f>
        <v>0</v>
      </c>
      <c r="AY26" s="72">
        <f>SUMIFS(SALE!$L$6:$L$10000,SALE!$A$6:$A$10000,$AW$3,SALE!$D$6:$D$10000,$C$5:$C$499)</f>
        <v>0</v>
      </c>
      <c r="AZ26" s="72">
        <f>SUMIFS(SALE!$M$6:$M$10000,SALE!$A$6:$A$10000,$AW$3,SALE!$D$6:$D$10000,$C$5:$C$499)</f>
        <v>0</v>
      </c>
      <c r="BA26" s="72">
        <f>SUMIFS(SALE!$N$6:$N$10000,SALE!$A$6:$A$10000,$AW$3,SALE!$D$6:$D$10000,$C$5:$C$499)</f>
        <v>0</v>
      </c>
      <c r="BB26" s="72">
        <f t="shared" si="18"/>
        <v>0</v>
      </c>
      <c r="BC26" s="72">
        <f>SUMIFS(SALE!$K$6:$K$10000,SALE!$A$6:$A$10000,$BB$3,SALE!$D$6:$D$10000,$C$5:$C$499)</f>
        <v>0</v>
      </c>
      <c r="BD26" s="72">
        <f>SUMIFS(SALE!$L$6:$L$10000,SALE!$A$6:$A$10000,$BB$3,SALE!$D$6:$D$10000,$C$5:$C$499)</f>
        <v>0</v>
      </c>
      <c r="BE26" s="72">
        <f>SUMIFS(SALE!$M$6:$M$10000,SALE!$A$6:$A$10000,$BB$3,SALE!$D$6:$D$10000,$C$5:$C$499)</f>
        <v>0</v>
      </c>
      <c r="BF26" s="72">
        <f>SUMIFS(SALE!$N$6:$N$10000,SALE!$A$6:$A$10000,$BB$3,SALE!$D$6:$D$10000,$C$5:$C$499)</f>
        <v>0</v>
      </c>
      <c r="BG26" s="72">
        <f t="shared" si="19"/>
        <v>0</v>
      </c>
      <c r="BH26" s="72">
        <f>SUMIFS(SALE!$K$6:$K$10000,SALE!$A$6:$A$10000,$BG$3,SALE!$D$6:$D$10000,$C$5:$C$499)</f>
        <v>0</v>
      </c>
      <c r="BI26" s="72">
        <f>SUMIFS(SALE!$L$6:$L$10000,SALE!$A$6:$A$10000,$BG$3,SALE!$D$6:$D$10000,$C$5:$C$499)</f>
        <v>0</v>
      </c>
      <c r="BJ26" s="72">
        <f>SUMIFS(SALE!$M$6:$M$10000,SALE!$A$6:$A$10000,$BG$3,SALE!$D$6:$D$10000,$C$5:$C$499)</f>
        <v>0</v>
      </c>
      <c r="BK26" s="72">
        <f>SUMIFS(SALE!$N$6:$N$10000,SALE!$A$6:$A$10000,$BG$3,SALE!$D$6:$D$10000,$C$5:$C$499)</f>
        <v>0</v>
      </c>
      <c r="BL26" s="72">
        <f t="shared" si="3"/>
        <v>9379.7963999999993</v>
      </c>
      <c r="BM26" s="72">
        <f t="shared" si="4"/>
        <v>7948.98</v>
      </c>
      <c r="BN26" s="72">
        <f t="shared" si="5"/>
        <v>0</v>
      </c>
      <c r="BO26" s="72">
        <f t="shared" si="6"/>
        <v>715.40820000000008</v>
      </c>
      <c r="BP26" s="72">
        <f t="shared" si="7"/>
        <v>715.40820000000008</v>
      </c>
    </row>
    <row r="27" spans="1:68" x14ac:dyDescent="0.2">
      <c r="A27" s="467">
        <v>23</v>
      </c>
      <c r="B27" s="499" t="s">
        <v>257</v>
      </c>
      <c r="C27" s="499" t="s">
        <v>258</v>
      </c>
      <c r="D27" s="72">
        <f t="shared" si="8"/>
        <v>0</v>
      </c>
      <c r="E27" s="72">
        <f>SUMIFS(SALE!$K$6:$K$10000,SALE!$A$6:$A$10000,$D$3,SALE!$D$6:$D$10000,$C$5:$C$499)</f>
        <v>0</v>
      </c>
      <c r="F27" s="72">
        <f>SUMIFS(SALE!$L$6:$L$10000,SALE!$A$6:$A$10000,$D$3,SALE!$D$6:$D$10000,$C$5:$C$499)</f>
        <v>0</v>
      </c>
      <c r="G27" s="72">
        <f>SUMIFS(SALE!$M$6:$M$10000,SALE!$A$6:$A$10000,$D$3,SALE!$D$6:$D$10000,$C$5:$C$499)</f>
        <v>0</v>
      </c>
      <c r="H27" s="72">
        <f>SUMIFS(SALE!$N$6:$N$10000,SALE!$A$6:$A$10000,$D$3,SALE!$D$6:$D$10000,$C$5:$C$499)</f>
        <v>0</v>
      </c>
      <c r="I27" s="72">
        <f t="shared" si="9"/>
        <v>0</v>
      </c>
      <c r="J27" s="72">
        <f>SUMIFS(SALE!$K$6:$K$10000,SALE!$A$6:$A$10000,$I$3,SALE!$D$6:$D$10000,$C$5:$C$499)</f>
        <v>0</v>
      </c>
      <c r="K27" s="72">
        <f>SUMIFS(SALE!$L$6:$L$10000,SALE!$A$6:$A$10000,$I$3,SALE!$D$6:$D$10000,$C$5:$C$499)</f>
        <v>0</v>
      </c>
      <c r="L27" s="72">
        <f>SUMIFS(SALE!$M$6:$M$10000,SALE!$A$6:$A$10000,$I$3,SALE!$D$6:$D$10000,$C$5:$C$499)</f>
        <v>0</v>
      </c>
      <c r="M27" s="72">
        <f>SUMIFS(SALE!$N$6:$N$10000,SALE!$A$6:$A$10000,$I$3,SALE!$D$6:$D$10000,$C$5:$C$499)</f>
        <v>0</v>
      </c>
      <c r="N27" s="72">
        <f t="shared" si="10"/>
        <v>0</v>
      </c>
      <c r="O27" s="72">
        <f>SUMIFS(SALE!$K$6:$K$10000,SALE!$A$6:$A$10000,$N$3,SALE!$D$6:$D$10000,$C$5:$C$499)</f>
        <v>0</v>
      </c>
      <c r="P27" s="72">
        <f>SUMIFS(SALE!$L$6:$L$10000,SALE!$A$6:$A$10000,$N$3,SALE!$D$6:$D$10000,$C$5:$C$499)</f>
        <v>0</v>
      </c>
      <c r="Q27" s="72">
        <f>SUMIFS(SALE!$M$6:$M$10000,SALE!$A$6:$A$10000,$N$3,SALE!$D$6:$D$10000,$C$5:$C$499)</f>
        <v>0</v>
      </c>
      <c r="R27" s="72">
        <f>SUMIFS(SALE!$N$6:$N$10000,SALE!$A$6:$A$10000,$N$3,SALE!$D$6:$D$10000,$C$5:$C$499)</f>
        <v>0</v>
      </c>
      <c r="S27" s="72">
        <f t="shared" si="11"/>
        <v>0</v>
      </c>
      <c r="T27" s="72">
        <f>SUMIFS(SALE!$K$6:$K$10000,SALE!$A$6:$A$10000,$N$3,SALE!$D$6:$D$10000,$C$5:$C$499)</f>
        <v>0</v>
      </c>
      <c r="U27" s="72">
        <f>SUMIFS(SALE!$L$6:$L$10000,SALE!$A$6:$A$10000,$N$3,SALE!$D$6:$D$10000,$C$5:$C$499)</f>
        <v>0</v>
      </c>
      <c r="V27" s="72">
        <f>SUMIFS(SALE!$M$6:$M$10000,SALE!$A$6:$A$10000,$N$3,SALE!$D$6:$D$10000,$C$5:$C$499)</f>
        <v>0</v>
      </c>
      <c r="W27" s="72">
        <f>SUMIFS(SALE!$N$6:$N$10000,SALE!$A$6:$A$10000,$N$3,SALE!$D$6:$D$10000,$C$5:$C$499)</f>
        <v>0</v>
      </c>
      <c r="X27" s="72">
        <f t="shared" si="12"/>
        <v>0</v>
      </c>
      <c r="Y27" s="72">
        <f>SUMIFS(SALE!$K$6:$K$10000,SALE!$A$6:$A$10000,$X$3,SALE!$D$6:$D$10000,$C$5:$C$499)</f>
        <v>0</v>
      </c>
      <c r="Z27" s="72">
        <f>SUMIFS(SALE!$L$6:$L$10000,SALE!$A$6:$A$10000,$X$3,SALE!$D$6:$D$10000,$C$5:$C$499)</f>
        <v>0</v>
      </c>
      <c r="AA27" s="72">
        <f>SUMIFS(SALE!$M$6:$M$10000,SALE!$A$6:$A$10000,$X$3,SALE!$D$6:$D$10000,$C$5:$C$499)</f>
        <v>0</v>
      </c>
      <c r="AB27" s="72">
        <f>SUMIFS(SALE!$N$6:$N$10000,SALE!$A$6:$A$10000,$X$3,SALE!$D$6:$D$10000,$C$5:$C$499)</f>
        <v>0</v>
      </c>
      <c r="AC27" s="72">
        <f t="shared" si="13"/>
        <v>0</v>
      </c>
      <c r="AD27" s="72">
        <f>SUMIFS(SALE!$K$6:$K$10000,SALE!$A$6:$A$10000,$AC$3,SALE!$D$6:$D$10000,$C$5:$C$499)</f>
        <v>0</v>
      </c>
      <c r="AE27" s="72">
        <f>SUMIFS(SALE!$L$6:$L$10000,SALE!$A$6:$A$10000,$AC$3,SALE!$D$6:$D$10000,$C$5:$C$499)</f>
        <v>0</v>
      </c>
      <c r="AF27" s="72">
        <f>SUMIFS(SALE!$M$6:$M$10000,SALE!$A$6:$A$10000,$AC$3,SALE!$D$6:$D$10000,$C$5:$C$499)</f>
        <v>0</v>
      </c>
      <c r="AG27" s="72">
        <f>SUMIFS(SALE!$N$6:$N$10000,SALE!$A$6:$A$10000,$AC$3,SALE!$D$6:$D$10000,$C$5:$C$499)</f>
        <v>0</v>
      </c>
      <c r="AH27" s="72">
        <f t="shared" si="14"/>
        <v>0</v>
      </c>
      <c r="AI27" s="72">
        <f>SUMIFS(SALE!$K$6:$K$10000,SALE!$A$6:$A$10000,$AH$3,SALE!$D$6:$D$10000,$C$5:$C$499)</f>
        <v>0</v>
      </c>
      <c r="AJ27" s="72">
        <f>SUMIFS(SALE!$L$6:$L$10000,SALE!$A$6:$A$10000,$AH$3,SALE!$D$6:$D$10000,$C$5:$C$499)</f>
        <v>0</v>
      </c>
      <c r="AK27" s="72">
        <f>SUMIFS(SALE!$M$6:$M$10000,SALE!$A$6:$A$10000,$AH$3,SALE!$D$6:$D$10000,$C$5:$C$499)</f>
        <v>0</v>
      </c>
      <c r="AL27" s="72">
        <f>SUMIFS(SALE!$N$6:$N$10000,SALE!$A$6:$A$10000,$AH$3,SALE!$D$6:$D$10000,$C$5:$C$499)</f>
        <v>0</v>
      </c>
      <c r="AM27" s="72">
        <f t="shared" si="15"/>
        <v>0</v>
      </c>
      <c r="AN27" s="72">
        <f>SUMIFS(SALE!$K$6:$K$10000,SALE!$A$6:$A$10000,$AM$3,SALE!$D$6:$D$10000,$C$5:$C$499)</f>
        <v>0</v>
      </c>
      <c r="AO27" s="72">
        <f>SUMIFS(SALE!$L$6:$L$10000,SALE!$A$6:$A$10000,$AM$3,SALE!$D$6:$D$10000,$C$5:$C$499)</f>
        <v>0</v>
      </c>
      <c r="AP27" s="72">
        <f>SUMIFS(SALE!$M$6:$M$10000,SALE!$A$6:$A$10000,$AM$3,SALE!$D$6:$D$10000,$C$5:$C$499)</f>
        <v>0</v>
      </c>
      <c r="AQ27" s="72">
        <f>SUMIFS(SALE!$N$6:$N$10000,SALE!$A$6:$A$10000,$AM$3,SALE!$D$6:$D$10000,$C$5:$C$499)</f>
        <v>0</v>
      </c>
      <c r="AR27" s="72">
        <f t="shared" si="16"/>
        <v>0</v>
      </c>
      <c r="AS27" s="72">
        <f>SUMIFS(SALE!$K$6:$K$10000,SALE!$A$6:$A$10000,$AR$3,SALE!$D$6:$D$10000,$C$5:$C$499)</f>
        <v>0</v>
      </c>
      <c r="AT27" s="72">
        <f>SUMIFS(SALE!$L$6:$L$10000,SALE!$A$6:$A$10000,$AR$3,SALE!$D$6:$D$10000,$C$5:$C$499)</f>
        <v>0</v>
      </c>
      <c r="AU27" s="72">
        <f>SUMIFS(SALE!$M$6:$M$10000,SALE!$A$6:$A$10000,$AR$3,SALE!$D$6:$D$10000,$C$5:$C$499)</f>
        <v>0</v>
      </c>
      <c r="AV27" s="72">
        <f>SUMIFS(SALE!$N$6:$N$10000,SALE!$A$6:$A$10000,$AR$3,SALE!$D$6:$D$10000,$C$5:$C$499)</f>
        <v>0</v>
      </c>
      <c r="AW27" s="72">
        <f t="shared" si="17"/>
        <v>0</v>
      </c>
      <c r="AX27" s="72">
        <f>SUMIFS(SALE!$K$6:$K$10000,SALE!$A$6:$A$10000,$AW$3,SALE!$D$6:$D$10000,$C$5:$C$499)</f>
        <v>0</v>
      </c>
      <c r="AY27" s="72">
        <f>SUMIFS(SALE!$L$6:$L$10000,SALE!$A$6:$A$10000,$AW$3,SALE!$D$6:$D$10000,$C$5:$C$499)</f>
        <v>0</v>
      </c>
      <c r="AZ27" s="72">
        <f>SUMIFS(SALE!$M$6:$M$10000,SALE!$A$6:$A$10000,$AW$3,SALE!$D$6:$D$10000,$C$5:$C$499)</f>
        <v>0</v>
      </c>
      <c r="BA27" s="72">
        <f>SUMIFS(SALE!$N$6:$N$10000,SALE!$A$6:$A$10000,$AW$3,SALE!$D$6:$D$10000,$C$5:$C$499)</f>
        <v>0</v>
      </c>
      <c r="BB27" s="72">
        <f t="shared" si="18"/>
        <v>0</v>
      </c>
      <c r="BC27" s="72">
        <f>SUMIFS(SALE!$K$6:$K$10000,SALE!$A$6:$A$10000,$BB$3,SALE!$D$6:$D$10000,$C$5:$C$499)</f>
        <v>0</v>
      </c>
      <c r="BD27" s="72">
        <f>SUMIFS(SALE!$L$6:$L$10000,SALE!$A$6:$A$10000,$BB$3,SALE!$D$6:$D$10000,$C$5:$C$499)</f>
        <v>0</v>
      </c>
      <c r="BE27" s="72">
        <f>SUMIFS(SALE!$M$6:$M$10000,SALE!$A$6:$A$10000,$BB$3,SALE!$D$6:$D$10000,$C$5:$C$499)</f>
        <v>0</v>
      </c>
      <c r="BF27" s="72">
        <f>SUMIFS(SALE!$N$6:$N$10000,SALE!$A$6:$A$10000,$BB$3,SALE!$D$6:$D$10000,$C$5:$C$499)</f>
        <v>0</v>
      </c>
      <c r="BG27" s="72">
        <f t="shared" si="19"/>
        <v>0</v>
      </c>
      <c r="BH27" s="72">
        <f>SUMIFS(SALE!$K$6:$K$10000,SALE!$A$6:$A$10000,$BG$3,SALE!$D$6:$D$10000,$C$5:$C$499)</f>
        <v>0</v>
      </c>
      <c r="BI27" s="72">
        <f>SUMIFS(SALE!$L$6:$L$10000,SALE!$A$6:$A$10000,$BG$3,SALE!$D$6:$D$10000,$C$5:$C$499)</f>
        <v>0</v>
      </c>
      <c r="BJ27" s="72">
        <f>SUMIFS(SALE!$M$6:$M$10000,SALE!$A$6:$A$10000,$BG$3,SALE!$D$6:$D$10000,$C$5:$C$499)</f>
        <v>0</v>
      </c>
      <c r="BK27" s="72">
        <f>SUMIFS(SALE!$N$6:$N$10000,SALE!$A$6:$A$10000,$BG$3,SALE!$D$6:$D$10000,$C$5:$C$499)</f>
        <v>0</v>
      </c>
      <c r="BL27" s="72">
        <f t="shared" si="3"/>
        <v>0</v>
      </c>
      <c r="BM27" s="72">
        <f t="shared" si="4"/>
        <v>0</v>
      </c>
      <c r="BN27" s="72">
        <f t="shared" si="5"/>
        <v>0</v>
      </c>
      <c r="BO27" s="72">
        <f t="shared" si="6"/>
        <v>0</v>
      </c>
      <c r="BP27" s="72">
        <f t="shared" si="7"/>
        <v>0</v>
      </c>
    </row>
    <row r="28" spans="1:68" x14ac:dyDescent="0.2">
      <c r="A28" s="467">
        <v>24</v>
      </c>
      <c r="B28" s="467" t="s">
        <v>259</v>
      </c>
      <c r="C28" s="467" t="s">
        <v>260</v>
      </c>
      <c r="D28" s="72">
        <f t="shared" si="8"/>
        <v>0</v>
      </c>
      <c r="E28" s="72">
        <f>SUMIFS(SALE!$K$6:$K$10000,SALE!$A$6:$A$10000,$D$3,SALE!$D$6:$D$10000,$C$5:$C$499)</f>
        <v>0</v>
      </c>
      <c r="F28" s="72">
        <f>SUMIFS(SALE!$L$6:$L$10000,SALE!$A$6:$A$10000,$D$3,SALE!$D$6:$D$10000,$C$5:$C$499)</f>
        <v>0</v>
      </c>
      <c r="G28" s="72">
        <f>SUMIFS(SALE!$M$6:$M$10000,SALE!$A$6:$A$10000,$D$3,SALE!$D$6:$D$10000,$C$5:$C$499)</f>
        <v>0</v>
      </c>
      <c r="H28" s="72">
        <f>SUMIFS(SALE!$N$6:$N$10000,SALE!$A$6:$A$10000,$D$3,SALE!$D$6:$D$10000,$C$5:$C$499)</f>
        <v>0</v>
      </c>
      <c r="I28" s="72">
        <f t="shared" si="9"/>
        <v>0</v>
      </c>
      <c r="J28" s="72">
        <f>SUMIFS(SALE!$K$6:$K$10000,SALE!$A$6:$A$10000,$I$3,SALE!$D$6:$D$10000,$C$5:$C$499)</f>
        <v>0</v>
      </c>
      <c r="K28" s="72">
        <f>SUMIFS(SALE!$L$6:$L$10000,SALE!$A$6:$A$10000,$I$3,SALE!$D$6:$D$10000,$C$5:$C$499)</f>
        <v>0</v>
      </c>
      <c r="L28" s="72">
        <f>SUMIFS(SALE!$M$6:$M$10000,SALE!$A$6:$A$10000,$I$3,SALE!$D$6:$D$10000,$C$5:$C$499)</f>
        <v>0</v>
      </c>
      <c r="M28" s="72">
        <f>SUMIFS(SALE!$N$6:$N$10000,SALE!$A$6:$A$10000,$I$3,SALE!$D$6:$D$10000,$C$5:$C$499)</f>
        <v>0</v>
      </c>
      <c r="N28" s="72">
        <f t="shared" si="10"/>
        <v>0</v>
      </c>
      <c r="O28" s="72">
        <f>SUMIFS(SALE!$K$6:$K$10000,SALE!$A$6:$A$10000,$N$3,SALE!$D$6:$D$10000,$C$5:$C$499)</f>
        <v>0</v>
      </c>
      <c r="P28" s="72">
        <f>SUMIFS(SALE!$L$6:$L$10000,SALE!$A$6:$A$10000,$N$3,SALE!$D$6:$D$10000,$C$5:$C$499)</f>
        <v>0</v>
      </c>
      <c r="Q28" s="72">
        <f>SUMIFS(SALE!$M$6:$M$10000,SALE!$A$6:$A$10000,$N$3,SALE!$D$6:$D$10000,$C$5:$C$499)</f>
        <v>0</v>
      </c>
      <c r="R28" s="72">
        <f>SUMIFS(SALE!$N$6:$N$10000,SALE!$A$6:$A$10000,$N$3,SALE!$D$6:$D$10000,$C$5:$C$499)</f>
        <v>0</v>
      </c>
      <c r="S28" s="72">
        <f t="shared" si="11"/>
        <v>0</v>
      </c>
      <c r="T28" s="72">
        <f>SUMIFS(SALE!$K$6:$K$10000,SALE!$A$6:$A$10000,$N$3,SALE!$D$6:$D$10000,$C$5:$C$499)</f>
        <v>0</v>
      </c>
      <c r="U28" s="72">
        <f>SUMIFS(SALE!$L$6:$L$10000,SALE!$A$6:$A$10000,$N$3,SALE!$D$6:$D$10000,$C$5:$C$499)</f>
        <v>0</v>
      </c>
      <c r="V28" s="72">
        <f>SUMIFS(SALE!$M$6:$M$10000,SALE!$A$6:$A$10000,$N$3,SALE!$D$6:$D$10000,$C$5:$C$499)</f>
        <v>0</v>
      </c>
      <c r="W28" s="72">
        <f>SUMIFS(SALE!$N$6:$N$10000,SALE!$A$6:$A$10000,$N$3,SALE!$D$6:$D$10000,$C$5:$C$499)</f>
        <v>0</v>
      </c>
      <c r="X28" s="72">
        <f t="shared" si="12"/>
        <v>0</v>
      </c>
      <c r="Y28" s="72">
        <f>SUMIFS(SALE!$K$6:$K$10000,SALE!$A$6:$A$10000,$X$3,SALE!$D$6:$D$10000,$C$5:$C$499)</f>
        <v>0</v>
      </c>
      <c r="Z28" s="72">
        <f>SUMIFS(SALE!$L$6:$L$10000,SALE!$A$6:$A$10000,$X$3,SALE!$D$6:$D$10000,$C$5:$C$499)</f>
        <v>0</v>
      </c>
      <c r="AA28" s="72">
        <f>SUMIFS(SALE!$M$6:$M$10000,SALE!$A$6:$A$10000,$X$3,SALE!$D$6:$D$10000,$C$5:$C$499)</f>
        <v>0</v>
      </c>
      <c r="AB28" s="72">
        <f>SUMIFS(SALE!$N$6:$N$10000,SALE!$A$6:$A$10000,$X$3,SALE!$D$6:$D$10000,$C$5:$C$499)</f>
        <v>0</v>
      </c>
      <c r="AC28" s="72">
        <f t="shared" si="13"/>
        <v>0</v>
      </c>
      <c r="AD28" s="72">
        <f>SUMIFS(SALE!$K$6:$K$10000,SALE!$A$6:$A$10000,$AC$3,SALE!$D$6:$D$10000,$C$5:$C$499)</f>
        <v>0</v>
      </c>
      <c r="AE28" s="72">
        <f>SUMIFS(SALE!$L$6:$L$10000,SALE!$A$6:$A$10000,$AC$3,SALE!$D$6:$D$10000,$C$5:$C$499)</f>
        <v>0</v>
      </c>
      <c r="AF28" s="72">
        <f>SUMIFS(SALE!$M$6:$M$10000,SALE!$A$6:$A$10000,$AC$3,SALE!$D$6:$D$10000,$C$5:$C$499)</f>
        <v>0</v>
      </c>
      <c r="AG28" s="72">
        <f>SUMIFS(SALE!$N$6:$N$10000,SALE!$A$6:$A$10000,$AC$3,SALE!$D$6:$D$10000,$C$5:$C$499)</f>
        <v>0</v>
      </c>
      <c r="AH28" s="72">
        <f t="shared" si="14"/>
        <v>0</v>
      </c>
      <c r="AI28" s="72">
        <f>SUMIFS(SALE!$K$6:$K$10000,SALE!$A$6:$A$10000,$AH$3,SALE!$D$6:$D$10000,$C$5:$C$499)</f>
        <v>0</v>
      </c>
      <c r="AJ28" s="72">
        <f>SUMIFS(SALE!$L$6:$L$10000,SALE!$A$6:$A$10000,$AH$3,SALE!$D$6:$D$10000,$C$5:$C$499)</f>
        <v>0</v>
      </c>
      <c r="AK28" s="72">
        <f>SUMIFS(SALE!$M$6:$M$10000,SALE!$A$6:$A$10000,$AH$3,SALE!$D$6:$D$10000,$C$5:$C$499)</f>
        <v>0</v>
      </c>
      <c r="AL28" s="72">
        <f>SUMIFS(SALE!$N$6:$N$10000,SALE!$A$6:$A$10000,$AH$3,SALE!$D$6:$D$10000,$C$5:$C$499)</f>
        <v>0</v>
      </c>
      <c r="AM28" s="72">
        <f t="shared" si="15"/>
        <v>0</v>
      </c>
      <c r="AN28" s="72">
        <f>SUMIFS(SALE!$K$6:$K$10000,SALE!$A$6:$A$10000,$AM$3,SALE!$D$6:$D$10000,$C$5:$C$499)</f>
        <v>0</v>
      </c>
      <c r="AO28" s="72">
        <f>SUMIFS(SALE!$L$6:$L$10000,SALE!$A$6:$A$10000,$AM$3,SALE!$D$6:$D$10000,$C$5:$C$499)</f>
        <v>0</v>
      </c>
      <c r="AP28" s="72">
        <f>SUMIFS(SALE!$M$6:$M$10000,SALE!$A$6:$A$10000,$AM$3,SALE!$D$6:$D$10000,$C$5:$C$499)</f>
        <v>0</v>
      </c>
      <c r="AQ28" s="72">
        <f>SUMIFS(SALE!$N$6:$N$10000,SALE!$A$6:$A$10000,$AM$3,SALE!$D$6:$D$10000,$C$5:$C$499)</f>
        <v>0</v>
      </c>
      <c r="AR28" s="72">
        <f t="shared" si="16"/>
        <v>0</v>
      </c>
      <c r="AS28" s="72">
        <f>SUMIFS(SALE!$K$6:$K$10000,SALE!$A$6:$A$10000,$AR$3,SALE!$D$6:$D$10000,$C$5:$C$499)</f>
        <v>0</v>
      </c>
      <c r="AT28" s="72">
        <f>SUMIFS(SALE!$L$6:$L$10000,SALE!$A$6:$A$10000,$AR$3,SALE!$D$6:$D$10000,$C$5:$C$499)</f>
        <v>0</v>
      </c>
      <c r="AU28" s="72">
        <f>SUMIFS(SALE!$M$6:$M$10000,SALE!$A$6:$A$10000,$AR$3,SALE!$D$6:$D$10000,$C$5:$C$499)</f>
        <v>0</v>
      </c>
      <c r="AV28" s="72">
        <f>SUMIFS(SALE!$N$6:$N$10000,SALE!$A$6:$A$10000,$AR$3,SALE!$D$6:$D$10000,$C$5:$C$499)</f>
        <v>0</v>
      </c>
      <c r="AW28" s="72">
        <f t="shared" si="17"/>
        <v>0</v>
      </c>
      <c r="AX28" s="72">
        <f>SUMIFS(SALE!$K$6:$K$10000,SALE!$A$6:$A$10000,$AW$3,SALE!$D$6:$D$10000,$C$5:$C$499)</f>
        <v>0</v>
      </c>
      <c r="AY28" s="72">
        <f>SUMIFS(SALE!$L$6:$L$10000,SALE!$A$6:$A$10000,$AW$3,SALE!$D$6:$D$10000,$C$5:$C$499)</f>
        <v>0</v>
      </c>
      <c r="AZ28" s="72">
        <f>SUMIFS(SALE!$M$6:$M$10000,SALE!$A$6:$A$10000,$AW$3,SALE!$D$6:$D$10000,$C$5:$C$499)</f>
        <v>0</v>
      </c>
      <c r="BA28" s="72">
        <f>SUMIFS(SALE!$N$6:$N$10000,SALE!$A$6:$A$10000,$AW$3,SALE!$D$6:$D$10000,$C$5:$C$499)</f>
        <v>0</v>
      </c>
      <c r="BB28" s="72">
        <f t="shared" si="18"/>
        <v>0</v>
      </c>
      <c r="BC28" s="72">
        <f>SUMIFS(SALE!$K$6:$K$10000,SALE!$A$6:$A$10000,$BB$3,SALE!$D$6:$D$10000,$C$5:$C$499)</f>
        <v>0</v>
      </c>
      <c r="BD28" s="72">
        <f>SUMIFS(SALE!$L$6:$L$10000,SALE!$A$6:$A$10000,$BB$3,SALE!$D$6:$D$10000,$C$5:$C$499)</f>
        <v>0</v>
      </c>
      <c r="BE28" s="72">
        <f>SUMIFS(SALE!$M$6:$M$10000,SALE!$A$6:$A$10000,$BB$3,SALE!$D$6:$D$10000,$C$5:$C$499)</f>
        <v>0</v>
      </c>
      <c r="BF28" s="72">
        <f>SUMIFS(SALE!$N$6:$N$10000,SALE!$A$6:$A$10000,$BB$3,SALE!$D$6:$D$10000,$C$5:$C$499)</f>
        <v>0</v>
      </c>
      <c r="BG28" s="72">
        <f t="shared" si="19"/>
        <v>0</v>
      </c>
      <c r="BH28" s="72">
        <f>SUMIFS(SALE!$K$6:$K$10000,SALE!$A$6:$A$10000,$BG$3,SALE!$D$6:$D$10000,$C$5:$C$499)</f>
        <v>0</v>
      </c>
      <c r="BI28" s="72">
        <f>SUMIFS(SALE!$L$6:$L$10000,SALE!$A$6:$A$10000,$BG$3,SALE!$D$6:$D$10000,$C$5:$C$499)</f>
        <v>0</v>
      </c>
      <c r="BJ28" s="72">
        <f>SUMIFS(SALE!$M$6:$M$10000,SALE!$A$6:$A$10000,$BG$3,SALE!$D$6:$D$10000,$C$5:$C$499)</f>
        <v>0</v>
      </c>
      <c r="BK28" s="72">
        <f>SUMIFS(SALE!$N$6:$N$10000,SALE!$A$6:$A$10000,$BG$3,SALE!$D$6:$D$10000,$C$5:$C$499)</f>
        <v>0</v>
      </c>
      <c r="BL28" s="72">
        <f t="shared" si="3"/>
        <v>0</v>
      </c>
      <c r="BM28" s="72">
        <f t="shared" si="4"/>
        <v>0</v>
      </c>
      <c r="BN28" s="72">
        <f t="shared" si="5"/>
        <v>0</v>
      </c>
      <c r="BO28" s="72">
        <f t="shared" si="6"/>
        <v>0</v>
      </c>
      <c r="BP28" s="72">
        <f t="shared" si="7"/>
        <v>0</v>
      </c>
    </row>
    <row r="29" spans="1:68" x14ac:dyDescent="0.2">
      <c r="A29" s="467">
        <v>25</v>
      </c>
      <c r="B29" s="504" t="s">
        <v>261</v>
      </c>
      <c r="C29" s="504" t="s">
        <v>262</v>
      </c>
      <c r="D29" s="72">
        <f t="shared" si="8"/>
        <v>0</v>
      </c>
      <c r="E29" s="72">
        <f>SUMIFS(SALE!$K$6:$K$10000,SALE!$A$6:$A$10000,$D$3,SALE!$D$6:$D$10000,$C$5:$C$499)</f>
        <v>0</v>
      </c>
      <c r="F29" s="72">
        <f>SUMIFS(SALE!$L$6:$L$10000,SALE!$A$6:$A$10000,$D$3,SALE!$D$6:$D$10000,$C$5:$C$499)</f>
        <v>0</v>
      </c>
      <c r="G29" s="72">
        <f>SUMIFS(SALE!$M$6:$M$10000,SALE!$A$6:$A$10000,$D$3,SALE!$D$6:$D$10000,$C$5:$C$499)</f>
        <v>0</v>
      </c>
      <c r="H29" s="72">
        <f>SUMIFS(SALE!$N$6:$N$10000,SALE!$A$6:$A$10000,$D$3,SALE!$D$6:$D$10000,$C$5:$C$499)</f>
        <v>0</v>
      </c>
      <c r="I29" s="72">
        <f t="shared" si="9"/>
        <v>0</v>
      </c>
      <c r="J29" s="72">
        <f>SUMIFS(SALE!$K$6:$K$10000,SALE!$A$6:$A$10000,$I$3,SALE!$D$6:$D$10000,$C$5:$C$499)</f>
        <v>0</v>
      </c>
      <c r="K29" s="72">
        <f>SUMIFS(SALE!$L$6:$L$10000,SALE!$A$6:$A$10000,$I$3,SALE!$D$6:$D$10000,$C$5:$C$499)</f>
        <v>0</v>
      </c>
      <c r="L29" s="72">
        <f>SUMIFS(SALE!$M$6:$M$10000,SALE!$A$6:$A$10000,$I$3,SALE!$D$6:$D$10000,$C$5:$C$499)</f>
        <v>0</v>
      </c>
      <c r="M29" s="72">
        <f>SUMIFS(SALE!$N$6:$N$10000,SALE!$A$6:$A$10000,$I$3,SALE!$D$6:$D$10000,$C$5:$C$499)</f>
        <v>0</v>
      </c>
      <c r="N29" s="72">
        <f t="shared" si="10"/>
        <v>0</v>
      </c>
      <c r="O29" s="72">
        <f>SUMIFS(SALE!$K$6:$K$10000,SALE!$A$6:$A$10000,$N$3,SALE!$D$6:$D$10000,$C$5:$C$499)</f>
        <v>0</v>
      </c>
      <c r="P29" s="72">
        <f>SUMIFS(SALE!$L$6:$L$10000,SALE!$A$6:$A$10000,$N$3,SALE!$D$6:$D$10000,$C$5:$C$499)</f>
        <v>0</v>
      </c>
      <c r="Q29" s="72">
        <f>SUMIFS(SALE!$M$6:$M$10000,SALE!$A$6:$A$10000,$N$3,SALE!$D$6:$D$10000,$C$5:$C$499)</f>
        <v>0</v>
      </c>
      <c r="R29" s="72">
        <f>SUMIFS(SALE!$N$6:$N$10000,SALE!$A$6:$A$10000,$N$3,SALE!$D$6:$D$10000,$C$5:$C$499)</f>
        <v>0</v>
      </c>
      <c r="S29" s="72">
        <f t="shared" si="11"/>
        <v>0</v>
      </c>
      <c r="T29" s="72">
        <f>SUMIFS(SALE!$K$6:$K$10000,SALE!$A$6:$A$10000,$N$3,SALE!$D$6:$D$10000,$C$5:$C$499)</f>
        <v>0</v>
      </c>
      <c r="U29" s="72">
        <f>SUMIFS(SALE!$L$6:$L$10000,SALE!$A$6:$A$10000,$N$3,SALE!$D$6:$D$10000,$C$5:$C$499)</f>
        <v>0</v>
      </c>
      <c r="V29" s="72">
        <f>SUMIFS(SALE!$M$6:$M$10000,SALE!$A$6:$A$10000,$N$3,SALE!$D$6:$D$10000,$C$5:$C$499)</f>
        <v>0</v>
      </c>
      <c r="W29" s="72">
        <f>SUMIFS(SALE!$N$6:$N$10000,SALE!$A$6:$A$10000,$N$3,SALE!$D$6:$D$10000,$C$5:$C$499)</f>
        <v>0</v>
      </c>
      <c r="X29" s="72">
        <f t="shared" si="12"/>
        <v>0</v>
      </c>
      <c r="Y29" s="72">
        <f>SUMIFS(SALE!$K$6:$K$10000,SALE!$A$6:$A$10000,$X$3,SALE!$D$6:$D$10000,$C$5:$C$499)</f>
        <v>0</v>
      </c>
      <c r="Z29" s="72">
        <f>SUMIFS(SALE!$L$6:$L$10000,SALE!$A$6:$A$10000,$X$3,SALE!$D$6:$D$10000,$C$5:$C$499)</f>
        <v>0</v>
      </c>
      <c r="AA29" s="72">
        <f>SUMIFS(SALE!$M$6:$M$10000,SALE!$A$6:$A$10000,$X$3,SALE!$D$6:$D$10000,$C$5:$C$499)</f>
        <v>0</v>
      </c>
      <c r="AB29" s="72">
        <f>SUMIFS(SALE!$N$6:$N$10000,SALE!$A$6:$A$10000,$X$3,SALE!$D$6:$D$10000,$C$5:$C$499)</f>
        <v>0</v>
      </c>
      <c r="AC29" s="72">
        <f t="shared" si="13"/>
        <v>0</v>
      </c>
      <c r="AD29" s="72">
        <f>SUMIFS(SALE!$K$6:$K$10000,SALE!$A$6:$A$10000,$AC$3,SALE!$D$6:$D$10000,$C$5:$C$499)</f>
        <v>0</v>
      </c>
      <c r="AE29" s="72">
        <f>SUMIFS(SALE!$L$6:$L$10000,SALE!$A$6:$A$10000,$AC$3,SALE!$D$6:$D$10000,$C$5:$C$499)</f>
        <v>0</v>
      </c>
      <c r="AF29" s="72">
        <f>SUMIFS(SALE!$M$6:$M$10000,SALE!$A$6:$A$10000,$AC$3,SALE!$D$6:$D$10000,$C$5:$C$499)</f>
        <v>0</v>
      </c>
      <c r="AG29" s="72">
        <f>SUMIFS(SALE!$N$6:$N$10000,SALE!$A$6:$A$10000,$AC$3,SALE!$D$6:$D$10000,$C$5:$C$499)</f>
        <v>0</v>
      </c>
      <c r="AH29" s="72">
        <f t="shared" si="14"/>
        <v>0</v>
      </c>
      <c r="AI29" s="72">
        <f>SUMIFS(SALE!$K$6:$K$10000,SALE!$A$6:$A$10000,$AH$3,SALE!$D$6:$D$10000,$C$5:$C$499)</f>
        <v>0</v>
      </c>
      <c r="AJ29" s="72">
        <f>SUMIFS(SALE!$L$6:$L$10000,SALE!$A$6:$A$10000,$AH$3,SALE!$D$6:$D$10000,$C$5:$C$499)</f>
        <v>0</v>
      </c>
      <c r="AK29" s="72">
        <f>SUMIFS(SALE!$M$6:$M$10000,SALE!$A$6:$A$10000,$AH$3,SALE!$D$6:$D$10000,$C$5:$C$499)</f>
        <v>0</v>
      </c>
      <c r="AL29" s="72">
        <f>SUMIFS(SALE!$N$6:$N$10000,SALE!$A$6:$A$10000,$AH$3,SALE!$D$6:$D$10000,$C$5:$C$499)</f>
        <v>0</v>
      </c>
      <c r="AM29" s="72">
        <f t="shared" si="15"/>
        <v>0</v>
      </c>
      <c r="AN29" s="72">
        <f>SUMIFS(SALE!$K$6:$K$10000,SALE!$A$6:$A$10000,$AM$3,SALE!$D$6:$D$10000,$C$5:$C$499)</f>
        <v>0</v>
      </c>
      <c r="AO29" s="72">
        <f>SUMIFS(SALE!$L$6:$L$10000,SALE!$A$6:$A$10000,$AM$3,SALE!$D$6:$D$10000,$C$5:$C$499)</f>
        <v>0</v>
      </c>
      <c r="AP29" s="72">
        <f>SUMIFS(SALE!$M$6:$M$10000,SALE!$A$6:$A$10000,$AM$3,SALE!$D$6:$D$10000,$C$5:$C$499)</f>
        <v>0</v>
      </c>
      <c r="AQ29" s="72">
        <f>SUMIFS(SALE!$N$6:$N$10000,SALE!$A$6:$A$10000,$AM$3,SALE!$D$6:$D$10000,$C$5:$C$499)</f>
        <v>0</v>
      </c>
      <c r="AR29" s="72">
        <f t="shared" si="16"/>
        <v>0</v>
      </c>
      <c r="AS29" s="72">
        <f>SUMIFS(SALE!$K$6:$K$10000,SALE!$A$6:$A$10000,$AR$3,SALE!$D$6:$D$10000,$C$5:$C$499)</f>
        <v>0</v>
      </c>
      <c r="AT29" s="72">
        <f>SUMIFS(SALE!$L$6:$L$10000,SALE!$A$6:$A$10000,$AR$3,SALE!$D$6:$D$10000,$C$5:$C$499)</f>
        <v>0</v>
      </c>
      <c r="AU29" s="72">
        <f>SUMIFS(SALE!$M$6:$M$10000,SALE!$A$6:$A$10000,$AR$3,SALE!$D$6:$D$10000,$C$5:$C$499)</f>
        <v>0</v>
      </c>
      <c r="AV29" s="72">
        <f>SUMIFS(SALE!$N$6:$N$10000,SALE!$A$6:$A$10000,$AR$3,SALE!$D$6:$D$10000,$C$5:$C$499)</f>
        <v>0</v>
      </c>
      <c r="AW29" s="72">
        <f t="shared" si="17"/>
        <v>0</v>
      </c>
      <c r="AX29" s="72">
        <f>SUMIFS(SALE!$K$6:$K$10000,SALE!$A$6:$A$10000,$AW$3,SALE!$D$6:$D$10000,$C$5:$C$499)</f>
        <v>0</v>
      </c>
      <c r="AY29" s="72">
        <f>SUMIFS(SALE!$L$6:$L$10000,SALE!$A$6:$A$10000,$AW$3,SALE!$D$6:$D$10000,$C$5:$C$499)</f>
        <v>0</v>
      </c>
      <c r="AZ29" s="72">
        <f>SUMIFS(SALE!$M$6:$M$10000,SALE!$A$6:$A$10000,$AW$3,SALE!$D$6:$D$10000,$C$5:$C$499)</f>
        <v>0</v>
      </c>
      <c r="BA29" s="72">
        <f>SUMIFS(SALE!$N$6:$N$10000,SALE!$A$6:$A$10000,$AW$3,SALE!$D$6:$D$10000,$C$5:$C$499)</f>
        <v>0</v>
      </c>
      <c r="BB29" s="72">
        <f t="shared" si="18"/>
        <v>0</v>
      </c>
      <c r="BC29" s="72">
        <f>SUMIFS(SALE!$K$6:$K$10000,SALE!$A$6:$A$10000,$BB$3,SALE!$D$6:$D$10000,$C$5:$C$499)</f>
        <v>0</v>
      </c>
      <c r="BD29" s="72">
        <f>SUMIFS(SALE!$L$6:$L$10000,SALE!$A$6:$A$10000,$BB$3,SALE!$D$6:$D$10000,$C$5:$C$499)</f>
        <v>0</v>
      </c>
      <c r="BE29" s="72">
        <f>SUMIFS(SALE!$M$6:$M$10000,SALE!$A$6:$A$10000,$BB$3,SALE!$D$6:$D$10000,$C$5:$C$499)</f>
        <v>0</v>
      </c>
      <c r="BF29" s="72">
        <f>SUMIFS(SALE!$N$6:$N$10000,SALE!$A$6:$A$10000,$BB$3,SALE!$D$6:$D$10000,$C$5:$C$499)</f>
        <v>0</v>
      </c>
      <c r="BG29" s="72">
        <f t="shared" si="19"/>
        <v>0</v>
      </c>
      <c r="BH29" s="72">
        <f>SUMIFS(SALE!$K$6:$K$10000,SALE!$A$6:$A$10000,$BG$3,SALE!$D$6:$D$10000,$C$5:$C$499)</f>
        <v>0</v>
      </c>
      <c r="BI29" s="72">
        <f>SUMIFS(SALE!$L$6:$L$10000,SALE!$A$6:$A$10000,$BG$3,SALE!$D$6:$D$10000,$C$5:$C$499)</f>
        <v>0</v>
      </c>
      <c r="BJ29" s="72">
        <f>SUMIFS(SALE!$M$6:$M$10000,SALE!$A$6:$A$10000,$BG$3,SALE!$D$6:$D$10000,$C$5:$C$499)</f>
        <v>0</v>
      </c>
      <c r="BK29" s="72">
        <f>SUMIFS(SALE!$N$6:$N$10000,SALE!$A$6:$A$10000,$BG$3,SALE!$D$6:$D$10000,$C$5:$C$499)</f>
        <v>0</v>
      </c>
      <c r="BL29" s="72">
        <f t="shared" si="3"/>
        <v>0</v>
      </c>
      <c r="BM29" s="72">
        <f t="shared" si="4"/>
        <v>0</v>
      </c>
      <c r="BN29" s="72">
        <f t="shared" si="5"/>
        <v>0</v>
      </c>
      <c r="BO29" s="72">
        <f t="shared" si="6"/>
        <v>0</v>
      </c>
      <c r="BP29" s="72">
        <f t="shared" si="7"/>
        <v>0</v>
      </c>
    </row>
    <row r="30" spans="1:68" x14ac:dyDescent="0.2">
      <c r="A30" s="467">
        <v>26</v>
      </c>
      <c r="B30" s="504" t="s">
        <v>224</v>
      </c>
      <c r="C30" s="504" t="s">
        <v>225</v>
      </c>
      <c r="D30" s="72">
        <f t="shared" si="8"/>
        <v>0</v>
      </c>
      <c r="E30" s="72">
        <f>SUMIFS(SALE!$K$6:$K$10000,SALE!$A$6:$A$10000,$D$3,SALE!$D$6:$D$10000,$C$5:$C$499)</f>
        <v>0</v>
      </c>
      <c r="F30" s="72">
        <f>SUMIFS(SALE!$L$6:$L$10000,SALE!$A$6:$A$10000,$D$3,SALE!$D$6:$D$10000,$C$5:$C$499)</f>
        <v>0</v>
      </c>
      <c r="G30" s="72">
        <f>SUMIFS(SALE!$M$6:$M$10000,SALE!$A$6:$A$10000,$D$3,SALE!$D$6:$D$10000,$C$5:$C$499)</f>
        <v>0</v>
      </c>
      <c r="H30" s="72">
        <f>SUMIFS(SALE!$N$6:$N$10000,SALE!$A$6:$A$10000,$D$3,SALE!$D$6:$D$10000,$C$5:$C$499)</f>
        <v>0</v>
      </c>
      <c r="I30" s="72">
        <f t="shared" si="9"/>
        <v>0</v>
      </c>
      <c r="J30" s="72">
        <f>SUMIFS(SALE!$K$6:$K$10000,SALE!$A$6:$A$10000,$I$3,SALE!$D$6:$D$10000,$C$5:$C$499)</f>
        <v>0</v>
      </c>
      <c r="K30" s="72">
        <f>SUMIFS(SALE!$L$6:$L$10000,SALE!$A$6:$A$10000,$I$3,SALE!$D$6:$D$10000,$C$5:$C$499)</f>
        <v>0</v>
      </c>
      <c r="L30" s="72">
        <f>SUMIFS(SALE!$M$6:$M$10000,SALE!$A$6:$A$10000,$I$3,SALE!$D$6:$D$10000,$C$5:$C$499)</f>
        <v>0</v>
      </c>
      <c r="M30" s="72">
        <f>SUMIFS(SALE!$N$6:$N$10000,SALE!$A$6:$A$10000,$I$3,SALE!$D$6:$D$10000,$C$5:$C$499)</f>
        <v>0</v>
      </c>
      <c r="N30" s="72">
        <f t="shared" si="10"/>
        <v>116330.44991999998</v>
      </c>
      <c r="O30" s="72">
        <f>SUMIFS(SALE!$K$6:$K$10000,SALE!$A$6:$A$10000,$N$3,SALE!$D$6:$D$10000,$C$5:$C$499)</f>
        <v>90883.16399999999</v>
      </c>
      <c r="P30" s="72">
        <f>SUMIFS(SALE!$L$6:$L$10000,SALE!$A$6:$A$10000,$N$3,SALE!$D$6:$D$10000,$C$5:$C$499)</f>
        <v>0</v>
      </c>
      <c r="Q30" s="72">
        <f>SUMIFS(SALE!$M$6:$M$10000,SALE!$A$6:$A$10000,$N$3,SALE!$D$6:$D$10000,$C$5:$C$499)</f>
        <v>12723.642960000001</v>
      </c>
      <c r="R30" s="72">
        <f>SUMIFS(SALE!$N$6:$N$10000,SALE!$A$6:$A$10000,$N$3,SALE!$D$6:$D$10000,$C$5:$C$499)</f>
        <v>12723.642960000001</v>
      </c>
      <c r="S30" s="72">
        <f t="shared" si="11"/>
        <v>116330.44991999998</v>
      </c>
      <c r="T30" s="72">
        <f>SUMIFS(SALE!$K$6:$K$10000,SALE!$A$6:$A$10000,$N$3,SALE!$D$6:$D$10000,$C$5:$C$499)</f>
        <v>90883.16399999999</v>
      </c>
      <c r="U30" s="72">
        <f>SUMIFS(SALE!$L$6:$L$10000,SALE!$A$6:$A$10000,$N$3,SALE!$D$6:$D$10000,$C$5:$C$499)</f>
        <v>0</v>
      </c>
      <c r="V30" s="72">
        <f>SUMIFS(SALE!$M$6:$M$10000,SALE!$A$6:$A$10000,$N$3,SALE!$D$6:$D$10000,$C$5:$C$499)</f>
        <v>12723.642960000001</v>
      </c>
      <c r="W30" s="72">
        <f>SUMIFS(SALE!$N$6:$N$10000,SALE!$A$6:$A$10000,$N$3,SALE!$D$6:$D$10000,$C$5:$C$499)</f>
        <v>12723.642960000001</v>
      </c>
      <c r="X30" s="72">
        <f t="shared" si="12"/>
        <v>76709.376000000004</v>
      </c>
      <c r="Y30" s="72">
        <f>SUMIFS(SALE!$K$6:$K$10000,SALE!$A$6:$A$10000,$X$3,SALE!$D$6:$D$10000,$C$5:$C$499)</f>
        <v>59929.2</v>
      </c>
      <c r="Z30" s="72">
        <f>SUMIFS(SALE!$L$6:$L$10000,SALE!$A$6:$A$10000,$X$3,SALE!$D$6:$D$10000,$C$5:$C$499)</f>
        <v>0</v>
      </c>
      <c r="AA30" s="72">
        <f>SUMIFS(SALE!$M$6:$M$10000,SALE!$A$6:$A$10000,$X$3,SALE!$D$6:$D$10000,$C$5:$C$499)</f>
        <v>8390.0879999999997</v>
      </c>
      <c r="AB30" s="72">
        <f>SUMIFS(SALE!$N$6:$N$10000,SALE!$A$6:$A$10000,$X$3,SALE!$D$6:$D$10000,$C$5:$C$499)</f>
        <v>8390.0879999999997</v>
      </c>
      <c r="AC30" s="72">
        <f t="shared" si="13"/>
        <v>137645.568</v>
      </c>
      <c r="AD30" s="72">
        <f>SUMIFS(SALE!$K$6:$K$10000,SALE!$A$6:$A$10000,$AC$3,SALE!$D$6:$D$10000,$C$5:$C$499)</f>
        <v>107535.6</v>
      </c>
      <c r="AE30" s="72">
        <f>SUMIFS(SALE!$L$6:$L$10000,SALE!$A$6:$A$10000,$AC$3,SALE!$D$6:$D$10000,$C$5:$C$499)</f>
        <v>0</v>
      </c>
      <c r="AF30" s="72">
        <f>SUMIFS(SALE!$M$6:$M$10000,SALE!$A$6:$A$10000,$AC$3,SALE!$D$6:$D$10000,$C$5:$C$499)</f>
        <v>15054.984</v>
      </c>
      <c r="AG30" s="72">
        <f>SUMIFS(SALE!$N$6:$N$10000,SALE!$A$6:$A$10000,$AC$3,SALE!$D$6:$D$10000,$C$5:$C$499)</f>
        <v>15054.984</v>
      </c>
      <c r="AH30" s="72">
        <f t="shared" si="14"/>
        <v>0</v>
      </c>
      <c r="AI30" s="72">
        <f>SUMIFS(SALE!$K$6:$K$10000,SALE!$A$6:$A$10000,$AH$3,SALE!$D$6:$D$10000,$C$5:$C$499)</f>
        <v>0</v>
      </c>
      <c r="AJ30" s="72">
        <f>SUMIFS(SALE!$L$6:$L$10000,SALE!$A$6:$A$10000,$AH$3,SALE!$D$6:$D$10000,$C$5:$C$499)</f>
        <v>0</v>
      </c>
      <c r="AK30" s="72">
        <f>SUMIFS(SALE!$M$6:$M$10000,SALE!$A$6:$A$10000,$AH$3,SALE!$D$6:$D$10000,$C$5:$C$499)</f>
        <v>0</v>
      </c>
      <c r="AL30" s="72">
        <f>SUMIFS(SALE!$N$6:$N$10000,SALE!$A$6:$A$10000,$AH$3,SALE!$D$6:$D$10000,$C$5:$C$499)</f>
        <v>0</v>
      </c>
      <c r="AM30" s="72">
        <f t="shared" si="15"/>
        <v>80412.36480000001</v>
      </c>
      <c r="AN30" s="72">
        <f>SUMIFS(SALE!$K$6:$K$10000,SALE!$A$6:$A$10000,$AM$3,SALE!$D$6:$D$10000,$C$5:$C$499)</f>
        <v>62822.16</v>
      </c>
      <c r="AO30" s="72">
        <f>SUMIFS(SALE!$L$6:$L$10000,SALE!$A$6:$A$10000,$AM$3,SALE!$D$6:$D$10000,$C$5:$C$499)</f>
        <v>0</v>
      </c>
      <c r="AP30" s="72">
        <f>SUMIFS(SALE!$M$6:$M$10000,SALE!$A$6:$A$10000,$AM$3,SALE!$D$6:$D$10000,$C$5:$C$499)</f>
        <v>8795.1023999999998</v>
      </c>
      <c r="AQ30" s="72">
        <f>SUMIFS(SALE!$N$6:$N$10000,SALE!$A$6:$A$10000,$AM$3,SALE!$D$6:$D$10000,$C$5:$C$499)</f>
        <v>8795.1023999999998</v>
      </c>
      <c r="AR30" s="72">
        <f t="shared" si="16"/>
        <v>0</v>
      </c>
      <c r="AS30" s="72">
        <f>SUMIFS(SALE!$K$6:$K$10000,SALE!$A$6:$A$10000,$AR$3,SALE!$D$6:$D$10000,$C$5:$C$499)</f>
        <v>0</v>
      </c>
      <c r="AT30" s="72">
        <f>SUMIFS(SALE!$L$6:$L$10000,SALE!$A$6:$A$10000,$AR$3,SALE!$D$6:$D$10000,$C$5:$C$499)</f>
        <v>0</v>
      </c>
      <c r="AU30" s="72">
        <f>SUMIFS(SALE!$M$6:$M$10000,SALE!$A$6:$A$10000,$AR$3,SALE!$D$6:$D$10000,$C$5:$C$499)</f>
        <v>0</v>
      </c>
      <c r="AV30" s="72">
        <f>SUMIFS(SALE!$N$6:$N$10000,SALE!$A$6:$A$10000,$AR$3,SALE!$D$6:$D$10000,$C$5:$C$499)</f>
        <v>0</v>
      </c>
      <c r="AW30" s="72">
        <f t="shared" si="17"/>
        <v>0</v>
      </c>
      <c r="AX30" s="72">
        <f>SUMIFS(SALE!$K$6:$K$10000,SALE!$A$6:$A$10000,$AW$3,SALE!$D$6:$D$10000,$C$5:$C$499)</f>
        <v>0</v>
      </c>
      <c r="AY30" s="72">
        <f>SUMIFS(SALE!$L$6:$L$10000,SALE!$A$6:$A$10000,$AW$3,SALE!$D$6:$D$10000,$C$5:$C$499)</f>
        <v>0</v>
      </c>
      <c r="AZ30" s="72">
        <f>SUMIFS(SALE!$M$6:$M$10000,SALE!$A$6:$A$10000,$AW$3,SALE!$D$6:$D$10000,$C$5:$C$499)</f>
        <v>0</v>
      </c>
      <c r="BA30" s="72">
        <f>SUMIFS(SALE!$N$6:$N$10000,SALE!$A$6:$A$10000,$AW$3,SALE!$D$6:$D$10000,$C$5:$C$499)</f>
        <v>0</v>
      </c>
      <c r="BB30" s="72">
        <f t="shared" si="18"/>
        <v>0</v>
      </c>
      <c r="BC30" s="72">
        <f>SUMIFS(SALE!$K$6:$K$10000,SALE!$A$6:$A$10000,$BB$3,SALE!$D$6:$D$10000,$C$5:$C$499)</f>
        <v>0</v>
      </c>
      <c r="BD30" s="72">
        <f>SUMIFS(SALE!$L$6:$L$10000,SALE!$A$6:$A$10000,$BB$3,SALE!$D$6:$D$10000,$C$5:$C$499)</f>
        <v>0</v>
      </c>
      <c r="BE30" s="72">
        <f>SUMIFS(SALE!$M$6:$M$10000,SALE!$A$6:$A$10000,$BB$3,SALE!$D$6:$D$10000,$C$5:$C$499)</f>
        <v>0</v>
      </c>
      <c r="BF30" s="72">
        <f>SUMIFS(SALE!$N$6:$N$10000,SALE!$A$6:$A$10000,$BB$3,SALE!$D$6:$D$10000,$C$5:$C$499)</f>
        <v>0</v>
      </c>
      <c r="BG30" s="72">
        <f t="shared" si="19"/>
        <v>0</v>
      </c>
      <c r="BH30" s="72">
        <f>SUMIFS(SALE!$K$6:$K$10000,SALE!$A$6:$A$10000,$BG$3,SALE!$D$6:$D$10000,$C$5:$C$499)</f>
        <v>0</v>
      </c>
      <c r="BI30" s="72">
        <f>SUMIFS(SALE!$L$6:$L$10000,SALE!$A$6:$A$10000,$BG$3,SALE!$D$6:$D$10000,$C$5:$C$499)</f>
        <v>0</v>
      </c>
      <c r="BJ30" s="72">
        <f>SUMIFS(SALE!$M$6:$M$10000,SALE!$A$6:$A$10000,$BG$3,SALE!$D$6:$D$10000,$C$5:$C$499)</f>
        <v>0</v>
      </c>
      <c r="BK30" s="72">
        <f>SUMIFS(SALE!$N$6:$N$10000,SALE!$A$6:$A$10000,$BG$3,SALE!$D$6:$D$10000,$C$5:$C$499)</f>
        <v>0</v>
      </c>
      <c r="BL30" s="72">
        <f t="shared" si="3"/>
        <v>527428.20863999997</v>
      </c>
      <c r="BM30" s="72">
        <f t="shared" si="4"/>
        <v>412053.28800000006</v>
      </c>
      <c r="BN30" s="72">
        <f t="shared" si="5"/>
        <v>0</v>
      </c>
      <c r="BO30" s="72">
        <f t="shared" si="6"/>
        <v>57687.460319999998</v>
      </c>
      <c r="BP30" s="72">
        <f t="shared" si="7"/>
        <v>57687.460319999998</v>
      </c>
    </row>
    <row r="31" spans="1:68" x14ac:dyDescent="0.2">
      <c r="A31" s="467">
        <v>27</v>
      </c>
      <c r="B31" s="500" t="s">
        <v>20</v>
      </c>
      <c r="C31" s="501" t="s">
        <v>21</v>
      </c>
      <c r="D31" s="72">
        <f t="shared" si="8"/>
        <v>1546322.9056000002</v>
      </c>
      <c r="E31" s="72">
        <f>SUMIFS(SALE!$K$6:$K$10000,SALE!$A$6:$A$10000,$D$3,SALE!$D$6:$D$10000,$C$5:$C$499)</f>
        <v>1208064.77</v>
      </c>
      <c r="F31" s="72">
        <f>SUMIFS(SALE!$L$6:$L$10000,SALE!$A$6:$A$10000,$D$3,SALE!$D$6:$D$10000,$C$5:$C$499)</f>
        <v>0</v>
      </c>
      <c r="G31" s="72">
        <f>SUMIFS(SALE!$M$6:$M$10000,SALE!$A$6:$A$10000,$D$3,SALE!$D$6:$D$10000,$C$5:$C$499)</f>
        <v>169129.06780000005</v>
      </c>
      <c r="H31" s="72">
        <f>SUMIFS(SALE!$N$6:$N$10000,SALE!$A$6:$A$10000,$D$3,SALE!$D$6:$D$10000,$C$5:$C$499)</f>
        <v>169129.06780000005</v>
      </c>
      <c r="I31" s="72">
        <f t="shared" si="9"/>
        <v>36133.760000000002</v>
      </c>
      <c r="J31" s="72">
        <f>SUMIFS(SALE!$K$6:$K$10000,SALE!$A$6:$A$10000,$I$3,SALE!$D$6:$D$10000,$C$5:$C$499)</f>
        <v>28229.5</v>
      </c>
      <c r="K31" s="72">
        <f>SUMIFS(SALE!$L$6:$L$10000,SALE!$A$6:$A$10000,$I$3,SALE!$D$6:$D$10000,$C$5:$C$499)</f>
        <v>0</v>
      </c>
      <c r="L31" s="72">
        <f>SUMIFS(SALE!$M$6:$M$10000,SALE!$A$6:$A$10000,$I$3,SALE!$D$6:$D$10000,$C$5:$C$499)</f>
        <v>3952.1299999999997</v>
      </c>
      <c r="M31" s="72">
        <f>SUMIFS(SALE!$N$6:$N$10000,SALE!$A$6:$A$10000,$I$3,SALE!$D$6:$D$10000,$C$5:$C$499)</f>
        <v>3952.1299999999997</v>
      </c>
      <c r="N31" s="72">
        <f t="shared" si="10"/>
        <v>731139.39200000011</v>
      </c>
      <c r="O31" s="72">
        <f>SUMIFS(SALE!$K$6:$K$10000,SALE!$A$6:$A$10000,$N$3,SALE!$D$6:$D$10000,$C$5:$C$499)</f>
        <v>571202.65</v>
      </c>
      <c r="P31" s="72">
        <f>SUMIFS(SALE!$L$6:$L$10000,SALE!$A$6:$A$10000,$N$3,SALE!$D$6:$D$10000,$C$5:$C$499)</f>
        <v>0</v>
      </c>
      <c r="Q31" s="72">
        <f>SUMIFS(SALE!$M$6:$M$10000,SALE!$A$6:$A$10000,$N$3,SALE!$D$6:$D$10000,$C$5:$C$499)</f>
        <v>79968.371000000014</v>
      </c>
      <c r="R31" s="72">
        <f>SUMIFS(SALE!$N$6:$N$10000,SALE!$A$6:$A$10000,$N$3,SALE!$D$6:$D$10000,$C$5:$C$499)</f>
        <v>79968.371000000014</v>
      </c>
      <c r="S31" s="72">
        <f t="shared" si="11"/>
        <v>731139.39200000011</v>
      </c>
      <c r="T31" s="72">
        <f>SUMIFS(SALE!$K$6:$K$10000,SALE!$A$6:$A$10000,$N$3,SALE!$D$6:$D$10000,$C$5:$C$499)</f>
        <v>571202.65</v>
      </c>
      <c r="U31" s="72">
        <f>SUMIFS(SALE!$L$6:$L$10000,SALE!$A$6:$A$10000,$N$3,SALE!$D$6:$D$10000,$C$5:$C$499)</f>
        <v>0</v>
      </c>
      <c r="V31" s="72">
        <f>SUMIFS(SALE!$M$6:$M$10000,SALE!$A$6:$A$10000,$N$3,SALE!$D$6:$D$10000,$C$5:$C$499)</f>
        <v>79968.371000000014</v>
      </c>
      <c r="W31" s="72">
        <f>SUMIFS(SALE!$N$6:$N$10000,SALE!$A$6:$A$10000,$N$3,SALE!$D$6:$D$10000,$C$5:$C$499)</f>
        <v>79968.371000000014</v>
      </c>
      <c r="X31" s="72">
        <f t="shared" si="12"/>
        <v>0</v>
      </c>
      <c r="Y31" s="72">
        <f>SUMIFS(SALE!$K$6:$K$10000,SALE!$A$6:$A$10000,$X$3,SALE!$D$6:$D$10000,$C$5:$C$499)</f>
        <v>0</v>
      </c>
      <c r="Z31" s="72">
        <f>SUMIFS(SALE!$L$6:$L$10000,SALE!$A$6:$A$10000,$X$3,SALE!$D$6:$D$10000,$C$5:$C$499)</f>
        <v>0</v>
      </c>
      <c r="AA31" s="72">
        <f>SUMIFS(SALE!$M$6:$M$10000,SALE!$A$6:$A$10000,$X$3,SALE!$D$6:$D$10000,$C$5:$C$499)</f>
        <v>0</v>
      </c>
      <c r="AB31" s="72">
        <f>SUMIFS(SALE!$N$6:$N$10000,SALE!$A$6:$A$10000,$X$3,SALE!$D$6:$D$10000,$C$5:$C$499)</f>
        <v>0</v>
      </c>
      <c r="AC31" s="72">
        <f t="shared" si="13"/>
        <v>4393.2579999999998</v>
      </c>
      <c r="AD31" s="72">
        <f>SUMIFS(SALE!$K$6:$K$10000,SALE!$A$6:$A$10000,$AC$3,SALE!$D$6:$D$10000,$C$5:$C$499)</f>
        <v>3723.1</v>
      </c>
      <c r="AE31" s="72">
        <f>SUMIFS(SALE!$L$6:$L$10000,SALE!$A$6:$A$10000,$AC$3,SALE!$D$6:$D$10000,$C$5:$C$499)</f>
        <v>0</v>
      </c>
      <c r="AF31" s="72">
        <f>SUMIFS(SALE!$M$6:$M$10000,SALE!$A$6:$A$10000,$AC$3,SALE!$D$6:$D$10000,$C$5:$C$499)</f>
        <v>335.07900000000001</v>
      </c>
      <c r="AG31" s="72">
        <f>SUMIFS(SALE!$N$6:$N$10000,SALE!$A$6:$A$10000,$AC$3,SALE!$D$6:$D$10000,$C$5:$C$499)</f>
        <v>335.07900000000001</v>
      </c>
      <c r="AH31" s="72">
        <f t="shared" si="14"/>
        <v>0</v>
      </c>
      <c r="AI31" s="72">
        <f>SUMIFS(SALE!$K$6:$K$10000,SALE!$A$6:$A$10000,$AH$3,SALE!$D$6:$D$10000,$C$5:$C$499)</f>
        <v>0</v>
      </c>
      <c r="AJ31" s="72">
        <f>SUMIFS(SALE!$L$6:$L$10000,SALE!$A$6:$A$10000,$AH$3,SALE!$D$6:$D$10000,$C$5:$C$499)</f>
        <v>0</v>
      </c>
      <c r="AK31" s="72">
        <f>SUMIFS(SALE!$M$6:$M$10000,SALE!$A$6:$A$10000,$AH$3,SALE!$D$6:$D$10000,$C$5:$C$499)</f>
        <v>0</v>
      </c>
      <c r="AL31" s="72">
        <f>SUMIFS(SALE!$N$6:$N$10000,SALE!$A$6:$A$10000,$AH$3,SALE!$D$6:$D$10000,$C$5:$C$499)</f>
        <v>0</v>
      </c>
      <c r="AM31" s="72">
        <f t="shared" si="15"/>
        <v>0</v>
      </c>
      <c r="AN31" s="72">
        <f>SUMIFS(SALE!$K$6:$K$10000,SALE!$A$6:$A$10000,$AM$3,SALE!$D$6:$D$10000,$C$5:$C$499)</f>
        <v>0</v>
      </c>
      <c r="AO31" s="72">
        <f>SUMIFS(SALE!$L$6:$L$10000,SALE!$A$6:$A$10000,$AM$3,SALE!$D$6:$D$10000,$C$5:$C$499)</f>
        <v>0</v>
      </c>
      <c r="AP31" s="72">
        <f>SUMIFS(SALE!$M$6:$M$10000,SALE!$A$6:$A$10000,$AM$3,SALE!$D$6:$D$10000,$C$5:$C$499)</f>
        <v>0</v>
      </c>
      <c r="AQ31" s="72">
        <f>SUMIFS(SALE!$N$6:$N$10000,SALE!$A$6:$A$10000,$AM$3,SALE!$D$6:$D$10000,$C$5:$C$499)</f>
        <v>0</v>
      </c>
      <c r="AR31" s="72">
        <f t="shared" si="16"/>
        <v>0</v>
      </c>
      <c r="AS31" s="72">
        <f>SUMIFS(SALE!$K$6:$K$10000,SALE!$A$6:$A$10000,$AR$3,SALE!$D$6:$D$10000,$C$5:$C$499)</f>
        <v>0</v>
      </c>
      <c r="AT31" s="72">
        <f>SUMIFS(SALE!$L$6:$L$10000,SALE!$A$6:$A$10000,$AR$3,SALE!$D$6:$D$10000,$C$5:$C$499)</f>
        <v>0</v>
      </c>
      <c r="AU31" s="72">
        <f>SUMIFS(SALE!$M$6:$M$10000,SALE!$A$6:$A$10000,$AR$3,SALE!$D$6:$D$10000,$C$5:$C$499)</f>
        <v>0</v>
      </c>
      <c r="AV31" s="72">
        <f>SUMIFS(SALE!$N$6:$N$10000,SALE!$A$6:$A$10000,$AR$3,SALE!$D$6:$D$10000,$C$5:$C$499)</f>
        <v>0</v>
      </c>
      <c r="AW31" s="72">
        <f t="shared" si="17"/>
        <v>0</v>
      </c>
      <c r="AX31" s="72">
        <f>SUMIFS(SALE!$K$6:$K$10000,SALE!$A$6:$A$10000,$AW$3,SALE!$D$6:$D$10000,$C$5:$C$499)</f>
        <v>0</v>
      </c>
      <c r="AY31" s="72">
        <f>SUMIFS(SALE!$L$6:$L$10000,SALE!$A$6:$A$10000,$AW$3,SALE!$D$6:$D$10000,$C$5:$C$499)</f>
        <v>0</v>
      </c>
      <c r="AZ31" s="72">
        <f>SUMIFS(SALE!$M$6:$M$10000,SALE!$A$6:$A$10000,$AW$3,SALE!$D$6:$D$10000,$C$5:$C$499)</f>
        <v>0</v>
      </c>
      <c r="BA31" s="72">
        <f>SUMIFS(SALE!$N$6:$N$10000,SALE!$A$6:$A$10000,$AW$3,SALE!$D$6:$D$10000,$C$5:$C$499)</f>
        <v>0</v>
      </c>
      <c r="BB31" s="72">
        <f t="shared" si="18"/>
        <v>0</v>
      </c>
      <c r="BC31" s="72">
        <f>SUMIFS(SALE!$K$6:$K$10000,SALE!$A$6:$A$10000,$BB$3,SALE!$D$6:$D$10000,$C$5:$C$499)</f>
        <v>0</v>
      </c>
      <c r="BD31" s="72">
        <f>SUMIFS(SALE!$L$6:$L$10000,SALE!$A$6:$A$10000,$BB$3,SALE!$D$6:$D$10000,$C$5:$C$499)</f>
        <v>0</v>
      </c>
      <c r="BE31" s="72">
        <f>SUMIFS(SALE!$M$6:$M$10000,SALE!$A$6:$A$10000,$BB$3,SALE!$D$6:$D$10000,$C$5:$C$499)</f>
        <v>0</v>
      </c>
      <c r="BF31" s="72">
        <f>SUMIFS(SALE!$N$6:$N$10000,SALE!$A$6:$A$10000,$BB$3,SALE!$D$6:$D$10000,$C$5:$C$499)</f>
        <v>0</v>
      </c>
      <c r="BG31" s="72">
        <f t="shared" si="19"/>
        <v>0</v>
      </c>
      <c r="BH31" s="72">
        <f>SUMIFS(SALE!$K$6:$K$10000,SALE!$A$6:$A$10000,$BG$3,SALE!$D$6:$D$10000,$C$5:$C$499)</f>
        <v>0</v>
      </c>
      <c r="BI31" s="72">
        <f>SUMIFS(SALE!$L$6:$L$10000,SALE!$A$6:$A$10000,$BG$3,SALE!$D$6:$D$10000,$C$5:$C$499)</f>
        <v>0</v>
      </c>
      <c r="BJ31" s="72">
        <f>SUMIFS(SALE!$M$6:$M$10000,SALE!$A$6:$A$10000,$BG$3,SALE!$D$6:$D$10000,$C$5:$C$499)</f>
        <v>0</v>
      </c>
      <c r="BK31" s="72">
        <f>SUMIFS(SALE!$N$6:$N$10000,SALE!$A$6:$A$10000,$BG$3,SALE!$D$6:$D$10000,$C$5:$C$499)</f>
        <v>0</v>
      </c>
      <c r="BL31" s="72">
        <f t="shared" si="3"/>
        <v>3049128.7076000003</v>
      </c>
      <c r="BM31" s="72">
        <f t="shared" si="4"/>
        <v>2382422.67</v>
      </c>
      <c r="BN31" s="72">
        <f t="shared" si="5"/>
        <v>0</v>
      </c>
      <c r="BO31" s="72">
        <f t="shared" si="6"/>
        <v>333353.01880000008</v>
      </c>
      <c r="BP31" s="72">
        <f t="shared" si="7"/>
        <v>333353.01880000008</v>
      </c>
    </row>
    <row r="32" spans="1:68" x14ac:dyDescent="0.2">
      <c r="A32" s="467">
        <v>29</v>
      </c>
      <c r="B32" s="467" t="s">
        <v>37</v>
      </c>
      <c r="C32" s="467" t="s">
        <v>38</v>
      </c>
      <c r="D32" s="72">
        <f t="shared" si="8"/>
        <v>17936</v>
      </c>
      <c r="E32" s="72">
        <f>SUMIFS(SALE!$K$6:$K$10000,SALE!$A$6:$A$10000,$D$3,SALE!$D$6:$D$10000,$C$5:$C$499)</f>
        <v>15200</v>
      </c>
      <c r="F32" s="72">
        <f>SUMIFS(SALE!$L$6:$L$10000,SALE!$A$6:$A$10000,$D$3,SALE!$D$6:$D$10000,$C$5:$C$499)</f>
        <v>0</v>
      </c>
      <c r="G32" s="72">
        <f>SUMIFS(SALE!$M$6:$M$10000,SALE!$A$6:$A$10000,$D$3,SALE!$D$6:$D$10000,$C$5:$C$499)</f>
        <v>1368</v>
      </c>
      <c r="H32" s="72">
        <f>SUMIFS(SALE!$N$6:$N$10000,SALE!$A$6:$A$10000,$D$3,SALE!$D$6:$D$10000,$C$5:$C$499)</f>
        <v>1368</v>
      </c>
      <c r="I32" s="72">
        <f t="shared" si="9"/>
        <v>0</v>
      </c>
      <c r="J32" s="72">
        <f>SUMIFS(SALE!$K$6:$K$10000,SALE!$A$6:$A$10000,$I$3,SALE!$D$6:$D$10000,$C$5:$C$499)</f>
        <v>0</v>
      </c>
      <c r="K32" s="72">
        <f>SUMIFS(SALE!$L$6:$L$10000,SALE!$A$6:$A$10000,$I$3,SALE!$D$6:$D$10000,$C$5:$C$499)</f>
        <v>0</v>
      </c>
      <c r="L32" s="72">
        <f>SUMIFS(SALE!$M$6:$M$10000,SALE!$A$6:$A$10000,$I$3,SALE!$D$6:$D$10000,$C$5:$C$499)</f>
        <v>0</v>
      </c>
      <c r="M32" s="72">
        <f>SUMIFS(SALE!$N$6:$N$10000,SALE!$A$6:$A$10000,$I$3,SALE!$D$6:$D$10000,$C$5:$C$499)</f>
        <v>0</v>
      </c>
      <c r="N32" s="72">
        <f t="shared" si="10"/>
        <v>0</v>
      </c>
      <c r="O32" s="72">
        <f>SUMIFS(SALE!$K$6:$K$10000,SALE!$A$6:$A$10000,$N$3,SALE!$D$6:$D$10000,$C$5:$C$499)</f>
        <v>0</v>
      </c>
      <c r="P32" s="72">
        <f>SUMIFS(SALE!$L$6:$L$10000,SALE!$A$6:$A$10000,$N$3,SALE!$D$6:$D$10000,$C$5:$C$499)</f>
        <v>0</v>
      </c>
      <c r="Q32" s="72">
        <f>SUMIFS(SALE!$M$6:$M$10000,SALE!$A$6:$A$10000,$N$3,SALE!$D$6:$D$10000,$C$5:$C$499)</f>
        <v>0</v>
      </c>
      <c r="R32" s="72">
        <f>SUMIFS(SALE!$N$6:$N$10000,SALE!$A$6:$A$10000,$N$3,SALE!$D$6:$D$10000,$C$5:$C$499)</f>
        <v>0</v>
      </c>
      <c r="S32" s="72">
        <f t="shared" si="11"/>
        <v>0</v>
      </c>
      <c r="T32" s="72">
        <f>SUMIFS(SALE!$K$6:$K$10000,SALE!$A$6:$A$10000,$N$3,SALE!$D$6:$D$10000,$C$5:$C$499)</f>
        <v>0</v>
      </c>
      <c r="U32" s="72">
        <f>SUMIFS(SALE!$L$6:$L$10000,SALE!$A$6:$A$10000,$N$3,SALE!$D$6:$D$10000,$C$5:$C$499)</f>
        <v>0</v>
      </c>
      <c r="V32" s="72">
        <f>SUMIFS(SALE!$M$6:$M$10000,SALE!$A$6:$A$10000,$N$3,SALE!$D$6:$D$10000,$C$5:$C$499)</f>
        <v>0</v>
      </c>
      <c r="W32" s="72">
        <f>SUMIFS(SALE!$N$6:$N$10000,SALE!$A$6:$A$10000,$N$3,SALE!$D$6:$D$10000,$C$5:$C$499)</f>
        <v>0</v>
      </c>
      <c r="X32" s="72">
        <f t="shared" si="12"/>
        <v>17487.599999999999</v>
      </c>
      <c r="Y32" s="72">
        <f>SUMIFS(SALE!$K$6:$K$10000,SALE!$A$6:$A$10000,$X$3,SALE!$D$6:$D$10000,$C$5:$C$499)</f>
        <v>14820</v>
      </c>
      <c r="Z32" s="72">
        <f>SUMIFS(SALE!$L$6:$L$10000,SALE!$A$6:$A$10000,$X$3,SALE!$D$6:$D$10000,$C$5:$C$499)</f>
        <v>0</v>
      </c>
      <c r="AA32" s="72">
        <f>SUMIFS(SALE!$M$6:$M$10000,SALE!$A$6:$A$10000,$X$3,SALE!$D$6:$D$10000,$C$5:$C$499)</f>
        <v>1333.8</v>
      </c>
      <c r="AB32" s="72">
        <f>SUMIFS(SALE!$N$6:$N$10000,SALE!$A$6:$A$10000,$X$3,SALE!$D$6:$D$10000,$C$5:$C$499)</f>
        <v>1333.8</v>
      </c>
      <c r="AC32" s="72">
        <f t="shared" si="13"/>
        <v>94836.6</v>
      </c>
      <c r="AD32" s="72">
        <f>SUMIFS(SALE!$K$6:$K$10000,SALE!$A$6:$A$10000,$AC$3,SALE!$D$6:$D$10000,$C$5:$C$499)</f>
        <v>80370</v>
      </c>
      <c r="AE32" s="72">
        <f>SUMIFS(SALE!$L$6:$L$10000,SALE!$A$6:$A$10000,$AC$3,SALE!$D$6:$D$10000,$C$5:$C$499)</f>
        <v>0</v>
      </c>
      <c r="AF32" s="72">
        <f>SUMIFS(SALE!$M$6:$M$10000,SALE!$A$6:$A$10000,$AC$3,SALE!$D$6:$D$10000,$C$5:$C$499)</f>
        <v>7233.2999999999993</v>
      </c>
      <c r="AG32" s="72">
        <f>SUMIFS(SALE!$N$6:$N$10000,SALE!$A$6:$A$10000,$AC$3,SALE!$D$6:$D$10000,$C$5:$C$499)</f>
        <v>7233.2999999999993</v>
      </c>
      <c r="AH32" s="72">
        <f t="shared" si="14"/>
        <v>66393.600000000006</v>
      </c>
      <c r="AI32" s="72">
        <f>SUMIFS(SALE!$K$6:$K$10000,SALE!$A$6:$A$10000,$AH$3,SALE!$D$6:$D$10000,$C$5:$C$499)</f>
        <v>59280</v>
      </c>
      <c r="AJ32" s="72">
        <f>SUMIFS(SALE!$L$6:$L$10000,SALE!$A$6:$A$10000,$AH$3,SALE!$D$6:$D$10000,$C$5:$C$499)</f>
        <v>0</v>
      </c>
      <c r="AK32" s="72">
        <f>SUMIFS(SALE!$M$6:$M$10000,SALE!$A$6:$A$10000,$AH$3,SALE!$D$6:$D$10000,$C$5:$C$499)</f>
        <v>3556.8</v>
      </c>
      <c r="AL32" s="72">
        <f>SUMIFS(SALE!$N$6:$N$10000,SALE!$A$6:$A$10000,$AH$3,SALE!$D$6:$D$10000,$C$5:$C$499)</f>
        <v>3556.8</v>
      </c>
      <c r="AM32" s="72">
        <f t="shared" si="15"/>
        <v>0</v>
      </c>
      <c r="AN32" s="72">
        <f>SUMIFS(SALE!$K$6:$K$10000,SALE!$A$6:$A$10000,$AM$3,SALE!$D$6:$D$10000,$C$5:$C$499)</f>
        <v>0</v>
      </c>
      <c r="AO32" s="72">
        <f>SUMIFS(SALE!$L$6:$L$10000,SALE!$A$6:$A$10000,$AM$3,SALE!$D$6:$D$10000,$C$5:$C$499)</f>
        <v>0</v>
      </c>
      <c r="AP32" s="72">
        <f>SUMIFS(SALE!$M$6:$M$10000,SALE!$A$6:$A$10000,$AM$3,SALE!$D$6:$D$10000,$C$5:$C$499)</f>
        <v>0</v>
      </c>
      <c r="AQ32" s="72">
        <f>SUMIFS(SALE!$N$6:$N$10000,SALE!$A$6:$A$10000,$AM$3,SALE!$D$6:$D$10000,$C$5:$C$499)</f>
        <v>0</v>
      </c>
      <c r="AR32" s="72">
        <f t="shared" si="16"/>
        <v>0</v>
      </c>
      <c r="AS32" s="72">
        <f>SUMIFS(SALE!$K$6:$K$10000,SALE!$A$6:$A$10000,$AR$3,SALE!$D$6:$D$10000,$C$5:$C$499)</f>
        <v>0</v>
      </c>
      <c r="AT32" s="72">
        <f>SUMIFS(SALE!$L$6:$L$10000,SALE!$A$6:$A$10000,$AR$3,SALE!$D$6:$D$10000,$C$5:$C$499)</f>
        <v>0</v>
      </c>
      <c r="AU32" s="72">
        <f>SUMIFS(SALE!$M$6:$M$10000,SALE!$A$6:$A$10000,$AR$3,SALE!$D$6:$D$10000,$C$5:$C$499)</f>
        <v>0</v>
      </c>
      <c r="AV32" s="72">
        <f>SUMIFS(SALE!$N$6:$N$10000,SALE!$A$6:$A$10000,$AR$3,SALE!$D$6:$D$10000,$C$5:$C$499)</f>
        <v>0</v>
      </c>
      <c r="AW32" s="72">
        <f t="shared" si="17"/>
        <v>0</v>
      </c>
      <c r="AX32" s="72">
        <f>SUMIFS(SALE!$K$6:$K$10000,SALE!$A$6:$A$10000,$AW$3,SALE!$D$6:$D$10000,$C$5:$C$499)</f>
        <v>0</v>
      </c>
      <c r="AY32" s="72">
        <f>SUMIFS(SALE!$L$6:$L$10000,SALE!$A$6:$A$10000,$AW$3,SALE!$D$6:$D$10000,$C$5:$C$499)</f>
        <v>0</v>
      </c>
      <c r="AZ32" s="72">
        <f>SUMIFS(SALE!$M$6:$M$10000,SALE!$A$6:$A$10000,$AW$3,SALE!$D$6:$D$10000,$C$5:$C$499)</f>
        <v>0</v>
      </c>
      <c r="BA32" s="72">
        <f>SUMIFS(SALE!$N$6:$N$10000,SALE!$A$6:$A$10000,$AW$3,SALE!$D$6:$D$10000,$C$5:$C$499)</f>
        <v>0</v>
      </c>
      <c r="BB32" s="72">
        <f t="shared" si="18"/>
        <v>0</v>
      </c>
      <c r="BC32" s="72">
        <f>SUMIFS(SALE!$K$6:$K$10000,SALE!$A$6:$A$10000,$BB$3,SALE!$D$6:$D$10000,$C$5:$C$499)</f>
        <v>0</v>
      </c>
      <c r="BD32" s="72">
        <f>SUMIFS(SALE!$L$6:$L$10000,SALE!$A$6:$A$10000,$BB$3,SALE!$D$6:$D$10000,$C$5:$C$499)</f>
        <v>0</v>
      </c>
      <c r="BE32" s="72">
        <f>SUMIFS(SALE!$M$6:$M$10000,SALE!$A$6:$A$10000,$BB$3,SALE!$D$6:$D$10000,$C$5:$C$499)</f>
        <v>0</v>
      </c>
      <c r="BF32" s="72">
        <f>SUMIFS(SALE!$N$6:$N$10000,SALE!$A$6:$A$10000,$BB$3,SALE!$D$6:$D$10000,$C$5:$C$499)</f>
        <v>0</v>
      </c>
      <c r="BG32" s="72">
        <f t="shared" si="19"/>
        <v>0</v>
      </c>
      <c r="BH32" s="72">
        <f>SUMIFS(SALE!$K$6:$K$10000,SALE!$A$6:$A$10000,$BG$3,SALE!$D$6:$D$10000,$C$5:$C$499)</f>
        <v>0</v>
      </c>
      <c r="BI32" s="72">
        <f>SUMIFS(SALE!$L$6:$L$10000,SALE!$A$6:$A$10000,$BG$3,SALE!$D$6:$D$10000,$C$5:$C$499)</f>
        <v>0</v>
      </c>
      <c r="BJ32" s="72">
        <f>SUMIFS(SALE!$M$6:$M$10000,SALE!$A$6:$A$10000,$BG$3,SALE!$D$6:$D$10000,$C$5:$C$499)</f>
        <v>0</v>
      </c>
      <c r="BK32" s="72">
        <f>SUMIFS(SALE!$N$6:$N$10000,SALE!$A$6:$A$10000,$BG$3,SALE!$D$6:$D$10000,$C$5:$C$499)</f>
        <v>0</v>
      </c>
      <c r="BL32" s="72">
        <f t="shared" si="3"/>
        <v>196653.80000000002</v>
      </c>
      <c r="BM32" s="72">
        <f t="shared" si="4"/>
        <v>169670</v>
      </c>
      <c r="BN32" s="72">
        <f t="shared" si="5"/>
        <v>0</v>
      </c>
      <c r="BO32" s="72">
        <f t="shared" si="6"/>
        <v>13491.899999999998</v>
      </c>
      <c r="BP32" s="72">
        <f t="shared" si="7"/>
        <v>13491.899999999998</v>
      </c>
    </row>
    <row r="33" spans="1:68" x14ac:dyDescent="0.2">
      <c r="A33" s="467">
        <v>30</v>
      </c>
      <c r="B33" s="499" t="s">
        <v>164</v>
      </c>
      <c r="C33" s="499" t="s">
        <v>165</v>
      </c>
      <c r="D33" s="72">
        <f t="shared" si="8"/>
        <v>4130</v>
      </c>
      <c r="E33" s="72">
        <f>SUMIFS(SALE!$K$6:$K$10000,SALE!$A$6:$A$10000,$D$3,SALE!$D$6:$D$10000,$C$5:$C$499)</f>
        <v>3500</v>
      </c>
      <c r="F33" s="72">
        <f>SUMIFS(SALE!$L$6:$L$10000,SALE!$A$6:$A$10000,$D$3,SALE!$D$6:$D$10000,$C$5:$C$499)</f>
        <v>0</v>
      </c>
      <c r="G33" s="72">
        <f>SUMIFS(SALE!$M$6:$M$10000,SALE!$A$6:$A$10000,$D$3,SALE!$D$6:$D$10000,$C$5:$C$499)</f>
        <v>315</v>
      </c>
      <c r="H33" s="72">
        <f>SUMIFS(SALE!$N$6:$N$10000,SALE!$A$6:$A$10000,$D$3,SALE!$D$6:$D$10000,$C$5:$C$499)</f>
        <v>315</v>
      </c>
      <c r="I33" s="72">
        <f t="shared" si="9"/>
        <v>0</v>
      </c>
      <c r="J33" s="72">
        <f>SUMIFS(SALE!$K$6:$K$10000,SALE!$A$6:$A$10000,$I$3,SALE!$D$6:$D$10000,$C$5:$C$499)</f>
        <v>0</v>
      </c>
      <c r="K33" s="72">
        <f>SUMIFS(SALE!$L$6:$L$10000,SALE!$A$6:$A$10000,$I$3,SALE!$D$6:$D$10000,$C$5:$C$499)</f>
        <v>0</v>
      </c>
      <c r="L33" s="72">
        <f>SUMIFS(SALE!$M$6:$M$10000,SALE!$A$6:$A$10000,$I$3,SALE!$D$6:$D$10000,$C$5:$C$499)</f>
        <v>0</v>
      </c>
      <c r="M33" s="72">
        <f>SUMIFS(SALE!$N$6:$N$10000,SALE!$A$6:$A$10000,$I$3,SALE!$D$6:$D$10000,$C$5:$C$499)</f>
        <v>0</v>
      </c>
      <c r="N33" s="72">
        <f t="shared" si="10"/>
        <v>0</v>
      </c>
      <c r="O33" s="72">
        <f>SUMIFS(SALE!$K$6:$K$10000,SALE!$A$6:$A$10000,$N$3,SALE!$D$6:$D$10000,$C$5:$C$499)</f>
        <v>0</v>
      </c>
      <c r="P33" s="72">
        <f>SUMIFS(SALE!$L$6:$L$10000,SALE!$A$6:$A$10000,$N$3,SALE!$D$6:$D$10000,$C$5:$C$499)</f>
        <v>0</v>
      </c>
      <c r="Q33" s="72">
        <f>SUMIFS(SALE!$M$6:$M$10000,SALE!$A$6:$A$10000,$N$3,SALE!$D$6:$D$10000,$C$5:$C$499)</f>
        <v>0</v>
      </c>
      <c r="R33" s="72">
        <f>SUMIFS(SALE!$N$6:$N$10000,SALE!$A$6:$A$10000,$N$3,SALE!$D$6:$D$10000,$C$5:$C$499)</f>
        <v>0</v>
      </c>
      <c r="S33" s="72">
        <f t="shared" si="11"/>
        <v>0</v>
      </c>
      <c r="T33" s="72">
        <f>SUMIFS(SALE!$K$6:$K$10000,SALE!$A$6:$A$10000,$N$3,SALE!$D$6:$D$10000,$C$5:$C$499)</f>
        <v>0</v>
      </c>
      <c r="U33" s="72">
        <f>SUMIFS(SALE!$L$6:$L$10000,SALE!$A$6:$A$10000,$N$3,SALE!$D$6:$D$10000,$C$5:$C$499)</f>
        <v>0</v>
      </c>
      <c r="V33" s="72">
        <f>SUMIFS(SALE!$M$6:$M$10000,SALE!$A$6:$A$10000,$N$3,SALE!$D$6:$D$10000,$C$5:$C$499)</f>
        <v>0</v>
      </c>
      <c r="W33" s="72">
        <f>SUMIFS(SALE!$N$6:$N$10000,SALE!$A$6:$A$10000,$N$3,SALE!$D$6:$D$10000,$C$5:$C$499)</f>
        <v>0</v>
      </c>
      <c r="X33" s="72">
        <f t="shared" si="12"/>
        <v>0</v>
      </c>
      <c r="Y33" s="72">
        <f>SUMIFS(SALE!$K$6:$K$10000,SALE!$A$6:$A$10000,$X$3,SALE!$D$6:$D$10000,$C$5:$C$499)</f>
        <v>0</v>
      </c>
      <c r="Z33" s="72">
        <f>SUMIFS(SALE!$L$6:$L$10000,SALE!$A$6:$A$10000,$X$3,SALE!$D$6:$D$10000,$C$5:$C$499)</f>
        <v>0</v>
      </c>
      <c r="AA33" s="72">
        <f>SUMIFS(SALE!$M$6:$M$10000,SALE!$A$6:$A$10000,$X$3,SALE!$D$6:$D$10000,$C$5:$C$499)</f>
        <v>0</v>
      </c>
      <c r="AB33" s="72">
        <f>SUMIFS(SALE!$N$6:$N$10000,SALE!$A$6:$A$10000,$X$3,SALE!$D$6:$D$10000,$C$5:$C$499)</f>
        <v>0</v>
      </c>
      <c r="AC33" s="72">
        <f t="shared" si="13"/>
        <v>0</v>
      </c>
      <c r="AD33" s="72">
        <f>SUMIFS(SALE!$K$6:$K$10000,SALE!$A$6:$A$10000,$AC$3,SALE!$D$6:$D$10000,$C$5:$C$499)</f>
        <v>0</v>
      </c>
      <c r="AE33" s="72">
        <f>SUMIFS(SALE!$L$6:$L$10000,SALE!$A$6:$A$10000,$AC$3,SALE!$D$6:$D$10000,$C$5:$C$499)</f>
        <v>0</v>
      </c>
      <c r="AF33" s="72">
        <f>SUMIFS(SALE!$M$6:$M$10000,SALE!$A$6:$A$10000,$AC$3,SALE!$D$6:$D$10000,$C$5:$C$499)</f>
        <v>0</v>
      </c>
      <c r="AG33" s="72">
        <f>SUMIFS(SALE!$N$6:$N$10000,SALE!$A$6:$A$10000,$AC$3,SALE!$D$6:$D$10000,$C$5:$C$499)</f>
        <v>0</v>
      </c>
      <c r="AH33" s="72">
        <f t="shared" si="14"/>
        <v>0</v>
      </c>
      <c r="AI33" s="72">
        <f>SUMIFS(SALE!$K$6:$K$10000,SALE!$A$6:$A$10000,$AH$3,SALE!$D$6:$D$10000,$C$5:$C$499)</f>
        <v>0</v>
      </c>
      <c r="AJ33" s="72">
        <f>SUMIFS(SALE!$L$6:$L$10000,SALE!$A$6:$A$10000,$AH$3,SALE!$D$6:$D$10000,$C$5:$C$499)</f>
        <v>0</v>
      </c>
      <c r="AK33" s="72">
        <f>SUMIFS(SALE!$M$6:$M$10000,SALE!$A$6:$A$10000,$AH$3,SALE!$D$6:$D$10000,$C$5:$C$499)</f>
        <v>0</v>
      </c>
      <c r="AL33" s="72">
        <f>SUMIFS(SALE!$N$6:$N$10000,SALE!$A$6:$A$10000,$AH$3,SALE!$D$6:$D$10000,$C$5:$C$499)</f>
        <v>0</v>
      </c>
      <c r="AM33" s="72">
        <f t="shared" si="15"/>
        <v>0</v>
      </c>
      <c r="AN33" s="72">
        <f>SUMIFS(SALE!$K$6:$K$10000,SALE!$A$6:$A$10000,$AM$3,SALE!$D$6:$D$10000,$C$5:$C$499)</f>
        <v>0</v>
      </c>
      <c r="AO33" s="72">
        <f>SUMIFS(SALE!$L$6:$L$10000,SALE!$A$6:$A$10000,$AM$3,SALE!$D$6:$D$10000,$C$5:$C$499)</f>
        <v>0</v>
      </c>
      <c r="AP33" s="72">
        <f>SUMIFS(SALE!$M$6:$M$10000,SALE!$A$6:$A$10000,$AM$3,SALE!$D$6:$D$10000,$C$5:$C$499)</f>
        <v>0</v>
      </c>
      <c r="AQ33" s="72">
        <f>SUMIFS(SALE!$N$6:$N$10000,SALE!$A$6:$A$10000,$AM$3,SALE!$D$6:$D$10000,$C$5:$C$499)</f>
        <v>0</v>
      </c>
      <c r="AR33" s="72">
        <f t="shared" si="16"/>
        <v>0</v>
      </c>
      <c r="AS33" s="72">
        <f>SUMIFS(SALE!$K$6:$K$10000,SALE!$A$6:$A$10000,$AR$3,SALE!$D$6:$D$10000,$C$5:$C$499)</f>
        <v>0</v>
      </c>
      <c r="AT33" s="72">
        <f>SUMIFS(SALE!$L$6:$L$10000,SALE!$A$6:$A$10000,$AR$3,SALE!$D$6:$D$10000,$C$5:$C$499)</f>
        <v>0</v>
      </c>
      <c r="AU33" s="72">
        <f>SUMIFS(SALE!$M$6:$M$10000,SALE!$A$6:$A$10000,$AR$3,SALE!$D$6:$D$10000,$C$5:$C$499)</f>
        <v>0</v>
      </c>
      <c r="AV33" s="72">
        <f>SUMIFS(SALE!$N$6:$N$10000,SALE!$A$6:$A$10000,$AR$3,SALE!$D$6:$D$10000,$C$5:$C$499)</f>
        <v>0</v>
      </c>
      <c r="AW33" s="72">
        <f t="shared" si="17"/>
        <v>0</v>
      </c>
      <c r="AX33" s="72">
        <f>SUMIFS(SALE!$K$6:$K$10000,SALE!$A$6:$A$10000,$AW$3,SALE!$D$6:$D$10000,$C$5:$C$499)</f>
        <v>0</v>
      </c>
      <c r="AY33" s="72">
        <f>SUMIFS(SALE!$L$6:$L$10000,SALE!$A$6:$A$10000,$AW$3,SALE!$D$6:$D$10000,$C$5:$C$499)</f>
        <v>0</v>
      </c>
      <c r="AZ33" s="72">
        <f>SUMIFS(SALE!$M$6:$M$10000,SALE!$A$6:$A$10000,$AW$3,SALE!$D$6:$D$10000,$C$5:$C$499)</f>
        <v>0</v>
      </c>
      <c r="BA33" s="72">
        <f>SUMIFS(SALE!$N$6:$N$10000,SALE!$A$6:$A$10000,$AW$3,SALE!$D$6:$D$10000,$C$5:$C$499)</f>
        <v>0</v>
      </c>
      <c r="BB33" s="72">
        <f t="shared" si="18"/>
        <v>0</v>
      </c>
      <c r="BC33" s="72">
        <f>SUMIFS(SALE!$K$6:$K$10000,SALE!$A$6:$A$10000,$BB$3,SALE!$D$6:$D$10000,$C$5:$C$499)</f>
        <v>0</v>
      </c>
      <c r="BD33" s="72">
        <f>SUMIFS(SALE!$L$6:$L$10000,SALE!$A$6:$A$10000,$BB$3,SALE!$D$6:$D$10000,$C$5:$C$499)</f>
        <v>0</v>
      </c>
      <c r="BE33" s="72">
        <f>SUMIFS(SALE!$M$6:$M$10000,SALE!$A$6:$A$10000,$BB$3,SALE!$D$6:$D$10000,$C$5:$C$499)</f>
        <v>0</v>
      </c>
      <c r="BF33" s="72">
        <f>SUMIFS(SALE!$N$6:$N$10000,SALE!$A$6:$A$10000,$BB$3,SALE!$D$6:$D$10000,$C$5:$C$499)</f>
        <v>0</v>
      </c>
      <c r="BG33" s="72">
        <f t="shared" si="19"/>
        <v>0</v>
      </c>
      <c r="BH33" s="72">
        <f>SUMIFS(SALE!$K$6:$K$10000,SALE!$A$6:$A$10000,$BG$3,SALE!$D$6:$D$10000,$C$5:$C$499)</f>
        <v>0</v>
      </c>
      <c r="BI33" s="72">
        <f>SUMIFS(SALE!$L$6:$L$10000,SALE!$A$6:$A$10000,$BG$3,SALE!$D$6:$D$10000,$C$5:$C$499)</f>
        <v>0</v>
      </c>
      <c r="BJ33" s="72">
        <f>SUMIFS(SALE!$M$6:$M$10000,SALE!$A$6:$A$10000,$BG$3,SALE!$D$6:$D$10000,$C$5:$C$499)</f>
        <v>0</v>
      </c>
      <c r="BK33" s="72">
        <f>SUMIFS(SALE!$N$6:$N$10000,SALE!$A$6:$A$10000,$BG$3,SALE!$D$6:$D$10000,$C$5:$C$499)</f>
        <v>0</v>
      </c>
      <c r="BL33" s="72">
        <f t="shared" si="3"/>
        <v>4130</v>
      </c>
      <c r="BM33" s="72">
        <f t="shared" si="4"/>
        <v>3500</v>
      </c>
      <c r="BN33" s="72">
        <f t="shared" si="5"/>
        <v>0</v>
      </c>
      <c r="BO33" s="72">
        <f t="shared" si="6"/>
        <v>315</v>
      </c>
      <c r="BP33" s="72">
        <f t="shared" si="7"/>
        <v>315</v>
      </c>
    </row>
    <row r="34" spans="1:68" x14ac:dyDescent="0.2">
      <c r="A34" s="467">
        <v>31</v>
      </c>
      <c r="B34" s="499" t="s">
        <v>167</v>
      </c>
      <c r="C34" s="499" t="s">
        <v>168</v>
      </c>
      <c r="D34" s="72">
        <f t="shared" si="8"/>
        <v>25027.788800000002</v>
      </c>
      <c r="E34" s="72">
        <f>SUMIFS(SALE!$K$6:$K$10000,SALE!$A$6:$A$10000,$D$3,SALE!$D$6:$D$10000,$C$5:$C$499)</f>
        <v>19552.96</v>
      </c>
      <c r="F34" s="72">
        <f>SUMIFS(SALE!$L$6:$L$10000,SALE!$A$6:$A$10000,$D$3,SALE!$D$6:$D$10000,$C$5:$C$499)</f>
        <v>0</v>
      </c>
      <c r="G34" s="72">
        <f>SUMIFS(SALE!$M$6:$M$10000,SALE!$A$6:$A$10000,$D$3,SALE!$D$6:$D$10000,$C$5:$C$499)</f>
        <v>2737.4143999999997</v>
      </c>
      <c r="H34" s="72">
        <f>SUMIFS(SALE!$N$6:$N$10000,SALE!$A$6:$A$10000,$D$3,SALE!$D$6:$D$10000,$C$5:$C$499)</f>
        <v>2737.4143999999997</v>
      </c>
      <c r="I34" s="72">
        <f t="shared" si="9"/>
        <v>164317.54239999998</v>
      </c>
      <c r="J34" s="72">
        <f>SUMIFS(SALE!$K$6:$K$10000,SALE!$A$6:$A$10000,$I$3,SALE!$D$6:$D$10000,$C$5:$C$499)</f>
        <v>128373.07999999997</v>
      </c>
      <c r="K34" s="72">
        <f>SUMIFS(SALE!$L$6:$L$10000,SALE!$A$6:$A$10000,$I$3,SALE!$D$6:$D$10000,$C$5:$C$499)</f>
        <v>0</v>
      </c>
      <c r="L34" s="72">
        <f>SUMIFS(SALE!$M$6:$M$10000,SALE!$A$6:$A$10000,$I$3,SALE!$D$6:$D$10000,$C$5:$C$499)</f>
        <v>17972.231200000002</v>
      </c>
      <c r="M34" s="72">
        <f>SUMIFS(SALE!$N$6:$N$10000,SALE!$A$6:$A$10000,$I$3,SALE!$D$6:$D$10000,$C$5:$C$499)</f>
        <v>17972.231200000002</v>
      </c>
      <c r="N34" s="72">
        <f t="shared" si="10"/>
        <v>926130.20160000015</v>
      </c>
      <c r="O34" s="72">
        <f>SUMIFS(SALE!$K$6:$K$10000,SALE!$A$6:$A$10000,$N$3,SALE!$D$6:$D$10000,$C$5:$C$499)</f>
        <v>723539.22000000009</v>
      </c>
      <c r="P34" s="72">
        <f>SUMIFS(SALE!$L$6:$L$10000,SALE!$A$6:$A$10000,$N$3,SALE!$D$6:$D$10000,$C$5:$C$499)</f>
        <v>0</v>
      </c>
      <c r="Q34" s="72">
        <f>SUMIFS(SALE!$M$6:$M$10000,SALE!$A$6:$A$10000,$N$3,SALE!$D$6:$D$10000,$C$5:$C$499)</f>
        <v>101295.49079999999</v>
      </c>
      <c r="R34" s="72">
        <f>SUMIFS(SALE!$N$6:$N$10000,SALE!$A$6:$A$10000,$N$3,SALE!$D$6:$D$10000,$C$5:$C$499)</f>
        <v>101295.49079999999</v>
      </c>
      <c r="S34" s="72">
        <f t="shared" si="11"/>
        <v>926130.20160000015</v>
      </c>
      <c r="T34" s="72">
        <f>SUMIFS(SALE!$K$6:$K$10000,SALE!$A$6:$A$10000,$N$3,SALE!$D$6:$D$10000,$C$5:$C$499)</f>
        <v>723539.22000000009</v>
      </c>
      <c r="U34" s="72">
        <f>SUMIFS(SALE!$L$6:$L$10000,SALE!$A$6:$A$10000,$N$3,SALE!$D$6:$D$10000,$C$5:$C$499)</f>
        <v>0</v>
      </c>
      <c r="V34" s="72">
        <f>SUMIFS(SALE!$M$6:$M$10000,SALE!$A$6:$A$10000,$N$3,SALE!$D$6:$D$10000,$C$5:$C$499)</f>
        <v>101295.49079999999</v>
      </c>
      <c r="W34" s="72">
        <f>SUMIFS(SALE!$N$6:$N$10000,SALE!$A$6:$A$10000,$N$3,SALE!$D$6:$D$10000,$C$5:$C$499)</f>
        <v>101295.49079999999</v>
      </c>
      <c r="X34" s="72">
        <f t="shared" si="12"/>
        <v>1260411.7120000003</v>
      </c>
      <c r="Y34" s="72">
        <f>SUMIFS(SALE!$K$6:$K$10000,SALE!$A$6:$A$10000,$X$3,SALE!$D$6:$D$10000,$C$5:$C$499)</f>
        <v>984696.65000000026</v>
      </c>
      <c r="Z34" s="72">
        <f>SUMIFS(SALE!$L$6:$L$10000,SALE!$A$6:$A$10000,$X$3,SALE!$D$6:$D$10000,$C$5:$C$499)</f>
        <v>0</v>
      </c>
      <c r="AA34" s="72">
        <f>SUMIFS(SALE!$M$6:$M$10000,SALE!$A$6:$A$10000,$X$3,SALE!$D$6:$D$10000,$C$5:$C$499)</f>
        <v>137857.53100000002</v>
      </c>
      <c r="AB34" s="72">
        <f>SUMIFS(SALE!$N$6:$N$10000,SALE!$A$6:$A$10000,$X$3,SALE!$D$6:$D$10000,$C$5:$C$499)</f>
        <v>137857.53100000002</v>
      </c>
      <c r="AC34" s="72">
        <f t="shared" si="13"/>
        <v>766216.0199999999</v>
      </c>
      <c r="AD34" s="72">
        <f>SUMIFS(SALE!$K$6:$K$10000,SALE!$A$6:$A$10000,$AC$3,SALE!$D$6:$D$10000,$C$5:$C$499)</f>
        <v>598606.24999999988</v>
      </c>
      <c r="AE34" s="72">
        <f>SUMIFS(SALE!$L$6:$L$10000,SALE!$A$6:$A$10000,$AC$3,SALE!$D$6:$D$10000,$C$5:$C$499)</f>
        <v>0</v>
      </c>
      <c r="AF34" s="72">
        <f>SUMIFS(SALE!$M$6:$M$10000,SALE!$A$6:$A$10000,$AC$3,SALE!$D$6:$D$10000,$C$5:$C$499)</f>
        <v>83804.88499999998</v>
      </c>
      <c r="AG34" s="72">
        <f>SUMIFS(SALE!$N$6:$N$10000,SALE!$A$6:$A$10000,$AC$3,SALE!$D$6:$D$10000,$C$5:$C$499)</f>
        <v>83804.88499999998</v>
      </c>
      <c r="AH34" s="72">
        <f t="shared" si="14"/>
        <v>535460.69759999996</v>
      </c>
      <c r="AI34" s="72">
        <f>SUMIFS(SALE!$K$6:$K$10000,SALE!$A$6:$A$10000,$AH$3,SALE!$D$6:$D$10000,$C$5:$C$499)</f>
        <v>418328.67</v>
      </c>
      <c r="AJ34" s="72">
        <f>SUMIFS(SALE!$L$6:$L$10000,SALE!$A$6:$A$10000,$AH$3,SALE!$D$6:$D$10000,$C$5:$C$499)</f>
        <v>0</v>
      </c>
      <c r="AK34" s="72">
        <f>SUMIFS(SALE!$M$6:$M$10000,SALE!$A$6:$A$10000,$AH$3,SALE!$D$6:$D$10000,$C$5:$C$499)</f>
        <v>58566.013800000001</v>
      </c>
      <c r="AL34" s="72">
        <f>SUMIFS(SALE!$N$6:$N$10000,SALE!$A$6:$A$10000,$AH$3,SALE!$D$6:$D$10000,$C$5:$C$499)</f>
        <v>58566.013800000001</v>
      </c>
      <c r="AM34" s="72">
        <f t="shared" si="15"/>
        <v>44542.720000000001</v>
      </c>
      <c r="AN34" s="72">
        <f>SUMIFS(SALE!$K$6:$K$10000,SALE!$A$6:$A$10000,$AM$3,SALE!$D$6:$D$10000,$C$5:$C$499)</f>
        <v>34799</v>
      </c>
      <c r="AO34" s="72">
        <f>SUMIFS(SALE!$L$6:$L$10000,SALE!$A$6:$A$10000,$AM$3,SALE!$D$6:$D$10000,$C$5:$C$499)</f>
        <v>0</v>
      </c>
      <c r="AP34" s="72">
        <f>SUMIFS(SALE!$M$6:$M$10000,SALE!$A$6:$A$10000,$AM$3,SALE!$D$6:$D$10000,$C$5:$C$499)</f>
        <v>4871.8600000000006</v>
      </c>
      <c r="AQ34" s="72">
        <f>SUMIFS(SALE!$N$6:$N$10000,SALE!$A$6:$A$10000,$AM$3,SALE!$D$6:$D$10000,$C$5:$C$499)</f>
        <v>4871.8600000000006</v>
      </c>
      <c r="AR34" s="72">
        <f t="shared" si="16"/>
        <v>0</v>
      </c>
      <c r="AS34" s="72">
        <f>SUMIFS(SALE!$K$6:$K$10000,SALE!$A$6:$A$10000,$AR$3,SALE!$D$6:$D$10000,$C$5:$C$499)</f>
        <v>0</v>
      </c>
      <c r="AT34" s="72">
        <f>SUMIFS(SALE!$L$6:$L$10000,SALE!$A$6:$A$10000,$AR$3,SALE!$D$6:$D$10000,$C$5:$C$499)</f>
        <v>0</v>
      </c>
      <c r="AU34" s="72">
        <f>SUMIFS(SALE!$M$6:$M$10000,SALE!$A$6:$A$10000,$AR$3,SALE!$D$6:$D$10000,$C$5:$C$499)</f>
        <v>0</v>
      </c>
      <c r="AV34" s="72">
        <f>SUMIFS(SALE!$N$6:$N$10000,SALE!$A$6:$A$10000,$AR$3,SALE!$D$6:$D$10000,$C$5:$C$499)</f>
        <v>0</v>
      </c>
      <c r="AW34" s="72">
        <f t="shared" si="17"/>
        <v>0</v>
      </c>
      <c r="AX34" s="72">
        <f>SUMIFS(SALE!$K$6:$K$10000,SALE!$A$6:$A$10000,$AW$3,SALE!$D$6:$D$10000,$C$5:$C$499)</f>
        <v>0</v>
      </c>
      <c r="AY34" s="72">
        <f>SUMIFS(SALE!$L$6:$L$10000,SALE!$A$6:$A$10000,$AW$3,SALE!$D$6:$D$10000,$C$5:$C$499)</f>
        <v>0</v>
      </c>
      <c r="AZ34" s="72">
        <f>SUMIFS(SALE!$M$6:$M$10000,SALE!$A$6:$A$10000,$AW$3,SALE!$D$6:$D$10000,$C$5:$C$499)</f>
        <v>0</v>
      </c>
      <c r="BA34" s="72">
        <f>SUMIFS(SALE!$N$6:$N$10000,SALE!$A$6:$A$10000,$AW$3,SALE!$D$6:$D$10000,$C$5:$C$499)</f>
        <v>0</v>
      </c>
      <c r="BB34" s="72">
        <f t="shared" si="18"/>
        <v>0</v>
      </c>
      <c r="BC34" s="72">
        <f>SUMIFS(SALE!$K$6:$K$10000,SALE!$A$6:$A$10000,$BB$3,SALE!$D$6:$D$10000,$C$5:$C$499)</f>
        <v>0</v>
      </c>
      <c r="BD34" s="72">
        <f>SUMIFS(SALE!$L$6:$L$10000,SALE!$A$6:$A$10000,$BB$3,SALE!$D$6:$D$10000,$C$5:$C$499)</f>
        <v>0</v>
      </c>
      <c r="BE34" s="72">
        <f>SUMIFS(SALE!$M$6:$M$10000,SALE!$A$6:$A$10000,$BB$3,SALE!$D$6:$D$10000,$C$5:$C$499)</f>
        <v>0</v>
      </c>
      <c r="BF34" s="72">
        <f>SUMIFS(SALE!$N$6:$N$10000,SALE!$A$6:$A$10000,$BB$3,SALE!$D$6:$D$10000,$C$5:$C$499)</f>
        <v>0</v>
      </c>
      <c r="BG34" s="72">
        <f t="shared" si="19"/>
        <v>0</v>
      </c>
      <c r="BH34" s="72">
        <f>SUMIFS(SALE!$K$6:$K$10000,SALE!$A$6:$A$10000,$BG$3,SALE!$D$6:$D$10000,$C$5:$C$499)</f>
        <v>0</v>
      </c>
      <c r="BI34" s="72">
        <f>SUMIFS(SALE!$L$6:$L$10000,SALE!$A$6:$A$10000,$BG$3,SALE!$D$6:$D$10000,$C$5:$C$499)</f>
        <v>0</v>
      </c>
      <c r="BJ34" s="72">
        <f>SUMIFS(SALE!$M$6:$M$10000,SALE!$A$6:$A$10000,$BG$3,SALE!$D$6:$D$10000,$C$5:$C$499)</f>
        <v>0</v>
      </c>
      <c r="BK34" s="72">
        <f>SUMIFS(SALE!$N$6:$N$10000,SALE!$A$6:$A$10000,$BG$3,SALE!$D$6:$D$10000,$C$5:$C$499)</f>
        <v>0</v>
      </c>
      <c r="BL34" s="72">
        <f t="shared" si="3"/>
        <v>4648236.8840000005</v>
      </c>
      <c r="BM34" s="72">
        <f t="shared" si="4"/>
        <v>3631435.0500000003</v>
      </c>
      <c r="BN34" s="72">
        <f t="shared" si="5"/>
        <v>0</v>
      </c>
      <c r="BO34" s="72">
        <f t="shared" si="6"/>
        <v>508400.91699999996</v>
      </c>
      <c r="BP34" s="72">
        <f t="shared" si="7"/>
        <v>508400.91699999996</v>
      </c>
    </row>
    <row r="35" spans="1:68" x14ac:dyDescent="0.2">
      <c r="A35" s="467">
        <v>32</v>
      </c>
      <c r="B35" s="499" t="s">
        <v>102</v>
      </c>
      <c r="C35" s="499" t="s">
        <v>103</v>
      </c>
      <c r="D35" s="72">
        <f t="shared" si="8"/>
        <v>159728.85759999999</v>
      </c>
      <c r="E35" s="72">
        <f>SUMIFS(SALE!$K$6:$K$10000,SALE!$A$6:$A$10000,$D$3,SALE!$D$6:$D$10000,$C$5:$C$499)</f>
        <v>124788.17</v>
      </c>
      <c r="F35" s="72">
        <f>SUMIFS(SALE!$L$6:$L$10000,SALE!$A$6:$A$10000,$D$3,SALE!$D$6:$D$10000,$C$5:$C$499)</f>
        <v>34940.68759999999</v>
      </c>
      <c r="G35" s="72">
        <f>SUMIFS(SALE!$M$6:$M$10000,SALE!$A$6:$A$10000,$D$3,SALE!$D$6:$D$10000,$C$5:$C$499)</f>
        <v>0</v>
      </c>
      <c r="H35" s="72">
        <f>SUMIFS(SALE!$N$6:$N$10000,SALE!$A$6:$A$10000,$D$3,SALE!$D$6:$D$10000,$C$5:$C$499)</f>
        <v>0</v>
      </c>
      <c r="I35" s="72">
        <f t="shared" si="9"/>
        <v>253941.67040000003</v>
      </c>
      <c r="J35" s="72">
        <f>SUMIFS(SALE!$K$6:$K$10000,SALE!$A$6:$A$10000,$I$3,SALE!$D$6:$D$10000,$C$5:$C$499)</f>
        <v>198391.93000000002</v>
      </c>
      <c r="K35" s="72">
        <f>SUMIFS(SALE!$L$6:$L$10000,SALE!$A$6:$A$10000,$I$3,SALE!$D$6:$D$10000,$C$5:$C$499)</f>
        <v>55549.74040000001</v>
      </c>
      <c r="L35" s="72">
        <f>SUMIFS(SALE!$M$6:$M$10000,SALE!$A$6:$A$10000,$I$3,SALE!$D$6:$D$10000,$C$5:$C$499)</f>
        <v>0</v>
      </c>
      <c r="M35" s="72">
        <f>SUMIFS(SALE!$N$6:$N$10000,SALE!$A$6:$A$10000,$I$3,SALE!$D$6:$D$10000,$C$5:$C$499)</f>
        <v>0</v>
      </c>
      <c r="N35" s="72">
        <f t="shared" si="10"/>
        <v>600848.35840000014</v>
      </c>
      <c r="O35" s="72">
        <f>SUMIFS(SALE!$K$6:$K$10000,SALE!$A$6:$A$10000,$N$3,SALE!$D$6:$D$10000,$C$5:$C$499)</f>
        <v>469412.78000000014</v>
      </c>
      <c r="P35" s="72">
        <f>SUMIFS(SALE!$L$6:$L$10000,SALE!$A$6:$A$10000,$N$3,SALE!$D$6:$D$10000,$C$5:$C$499)</f>
        <v>131435.57840000003</v>
      </c>
      <c r="Q35" s="72">
        <f>SUMIFS(SALE!$M$6:$M$10000,SALE!$A$6:$A$10000,$N$3,SALE!$D$6:$D$10000,$C$5:$C$499)</f>
        <v>0</v>
      </c>
      <c r="R35" s="72">
        <f>SUMIFS(SALE!$N$6:$N$10000,SALE!$A$6:$A$10000,$N$3,SALE!$D$6:$D$10000,$C$5:$C$499)</f>
        <v>0</v>
      </c>
      <c r="S35" s="72">
        <f t="shared" si="11"/>
        <v>600848.35840000014</v>
      </c>
      <c r="T35" s="72">
        <f>SUMIFS(SALE!$K$6:$K$10000,SALE!$A$6:$A$10000,$N$3,SALE!$D$6:$D$10000,$C$5:$C$499)</f>
        <v>469412.78000000014</v>
      </c>
      <c r="U35" s="72">
        <f>SUMIFS(SALE!$L$6:$L$10000,SALE!$A$6:$A$10000,$N$3,SALE!$D$6:$D$10000,$C$5:$C$499)</f>
        <v>131435.57840000003</v>
      </c>
      <c r="V35" s="72">
        <f>SUMIFS(SALE!$M$6:$M$10000,SALE!$A$6:$A$10000,$N$3,SALE!$D$6:$D$10000,$C$5:$C$499)</f>
        <v>0</v>
      </c>
      <c r="W35" s="72">
        <f>SUMIFS(SALE!$N$6:$N$10000,SALE!$A$6:$A$10000,$N$3,SALE!$D$6:$D$10000,$C$5:$C$499)</f>
        <v>0</v>
      </c>
      <c r="X35" s="72">
        <f t="shared" si="12"/>
        <v>97735.065600000002</v>
      </c>
      <c r="Y35" s="72">
        <f>SUMIFS(SALE!$K$6:$K$10000,SALE!$A$6:$A$10000,$X$3,SALE!$D$6:$D$10000,$C$5:$C$499)</f>
        <v>76355.520000000004</v>
      </c>
      <c r="Z35" s="72">
        <f>SUMIFS(SALE!$L$6:$L$10000,SALE!$A$6:$A$10000,$X$3,SALE!$D$6:$D$10000,$C$5:$C$499)</f>
        <v>21379.545599999998</v>
      </c>
      <c r="AA35" s="72">
        <f>SUMIFS(SALE!$M$6:$M$10000,SALE!$A$6:$A$10000,$X$3,SALE!$D$6:$D$10000,$C$5:$C$499)</f>
        <v>0</v>
      </c>
      <c r="AB35" s="72">
        <f>SUMIFS(SALE!$N$6:$N$10000,SALE!$A$6:$A$10000,$X$3,SALE!$D$6:$D$10000,$C$5:$C$499)</f>
        <v>0</v>
      </c>
      <c r="AC35" s="72">
        <f t="shared" si="13"/>
        <v>346118.08</v>
      </c>
      <c r="AD35" s="72">
        <f>SUMIFS(SALE!$K$6:$K$10000,SALE!$A$6:$A$10000,$AC$3,SALE!$D$6:$D$10000,$C$5:$C$499)</f>
        <v>270404.75</v>
      </c>
      <c r="AE35" s="72">
        <f>SUMIFS(SALE!$L$6:$L$10000,SALE!$A$6:$A$10000,$AC$3,SALE!$D$6:$D$10000,$C$5:$C$499)</f>
        <v>75713.330000000016</v>
      </c>
      <c r="AF35" s="72">
        <f>SUMIFS(SALE!$M$6:$M$10000,SALE!$A$6:$A$10000,$AC$3,SALE!$D$6:$D$10000,$C$5:$C$499)</f>
        <v>0</v>
      </c>
      <c r="AG35" s="72">
        <f>SUMIFS(SALE!$N$6:$N$10000,SALE!$A$6:$A$10000,$AC$3,SALE!$D$6:$D$10000,$C$5:$C$499)</f>
        <v>0</v>
      </c>
      <c r="AH35" s="72">
        <f t="shared" si="14"/>
        <v>210930.57279999997</v>
      </c>
      <c r="AI35" s="72">
        <f>SUMIFS(SALE!$K$6:$K$10000,SALE!$A$6:$A$10000,$AH$3,SALE!$D$6:$D$10000,$C$5:$C$499)</f>
        <v>164789.50999999998</v>
      </c>
      <c r="AJ35" s="72">
        <f>SUMIFS(SALE!$L$6:$L$10000,SALE!$A$6:$A$10000,$AH$3,SALE!$D$6:$D$10000,$C$5:$C$499)</f>
        <v>46141.062799999992</v>
      </c>
      <c r="AK35" s="72">
        <f>SUMIFS(SALE!$M$6:$M$10000,SALE!$A$6:$A$10000,$AH$3,SALE!$D$6:$D$10000,$C$5:$C$499)</f>
        <v>0</v>
      </c>
      <c r="AL35" s="72">
        <f>SUMIFS(SALE!$N$6:$N$10000,SALE!$A$6:$A$10000,$AH$3,SALE!$D$6:$D$10000,$C$5:$C$499)</f>
        <v>0</v>
      </c>
      <c r="AM35" s="72">
        <f t="shared" si="15"/>
        <v>150044.68479999999</v>
      </c>
      <c r="AN35" s="72">
        <f>SUMIFS(SALE!$K$6:$K$10000,SALE!$A$6:$A$10000,$AM$3,SALE!$D$6:$D$10000,$C$5:$C$499)</f>
        <v>117222.41</v>
      </c>
      <c r="AO35" s="72">
        <f>SUMIFS(SALE!$L$6:$L$10000,SALE!$A$6:$A$10000,$AM$3,SALE!$D$6:$D$10000,$C$5:$C$499)</f>
        <v>32822.274799999999</v>
      </c>
      <c r="AP35" s="72">
        <f>SUMIFS(SALE!$M$6:$M$10000,SALE!$A$6:$A$10000,$AM$3,SALE!$D$6:$D$10000,$C$5:$C$499)</f>
        <v>0</v>
      </c>
      <c r="AQ35" s="72">
        <f>SUMIFS(SALE!$N$6:$N$10000,SALE!$A$6:$A$10000,$AM$3,SALE!$D$6:$D$10000,$C$5:$C$499)</f>
        <v>0</v>
      </c>
      <c r="AR35" s="72">
        <f t="shared" si="16"/>
        <v>0</v>
      </c>
      <c r="AS35" s="72">
        <f>SUMIFS(SALE!$K$6:$K$10000,SALE!$A$6:$A$10000,$AR$3,SALE!$D$6:$D$10000,$C$5:$C$499)</f>
        <v>0</v>
      </c>
      <c r="AT35" s="72">
        <f>SUMIFS(SALE!$L$6:$L$10000,SALE!$A$6:$A$10000,$AR$3,SALE!$D$6:$D$10000,$C$5:$C$499)</f>
        <v>0</v>
      </c>
      <c r="AU35" s="72">
        <f>SUMIFS(SALE!$M$6:$M$10000,SALE!$A$6:$A$10000,$AR$3,SALE!$D$6:$D$10000,$C$5:$C$499)</f>
        <v>0</v>
      </c>
      <c r="AV35" s="72">
        <f>SUMIFS(SALE!$N$6:$N$10000,SALE!$A$6:$A$10000,$AR$3,SALE!$D$6:$D$10000,$C$5:$C$499)</f>
        <v>0</v>
      </c>
      <c r="AW35" s="72">
        <f t="shared" si="17"/>
        <v>0</v>
      </c>
      <c r="AX35" s="72">
        <f>SUMIFS(SALE!$K$6:$K$10000,SALE!$A$6:$A$10000,$AW$3,SALE!$D$6:$D$10000,$C$5:$C$499)</f>
        <v>0</v>
      </c>
      <c r="AY35" s="72">
        <f>SUMIFS(SALE!$L$6:$L$10000,SALE!$A$6:$A$10000,$AW$3,SALE!$D$6:$D$10000,$C$5:$C$499)</f>
        <v>0</v>
      </c>
      <c r="AZ35" s="72">
        <f>SUMIFS(SALE!$M$6:$M$10000,SALE!$A$6:$A$10000,$AW$3,SALE!$D$6:$D$10000,$C$5:$C$499)</f>
        <v>0</v>
      </c>
      <c r="BA35" s="72">
        <f>SUMIFS(SALE!$N$6:$N$10000,SALE!$A$6:$A$10000,$AW$3,SALE!$D$6:$D$10000,$C$5:$C$499)</f>
        <v>0</v>
      </c>
      <c r="BB35" s="72">
        <f t="shared" si="18"/>
        <v>0</v>
      </c>
      <c r="BC35" s="72">
        <f>SUMIFS(SALE!$K$6:$K$10000,SALE!$A$6:$A$10000,$BB$3,SALE!$D$6:$D$10000,$C$5:$C$499)</f>
        <v>0</v>
      </c>
      <c r="BD35" s="72">
        <f>SUMIFS(SALE!$L$6:$L$10000,SALE!$A$6:$A$10000,$BB$3,SALE!$D$6:$D$10000,$C$5:$C$499)</f>
        <v>0</v>
      </c>
      <c r="BE35" s="72">
        <f>SUMIFS(SALE!$M$6:$M$10000,SALE!$A$6:$A$10000,$BB$3,SALE!$D$6:$D$10000,$C$5:$C$499)</f>
        <v>0</v>
      </c>
      <c r="BF35" s="72">
        <f>SUMIFS(SALE!$N$6:$N$10000,SALE!$A$6:$A$10000,$BB$3,SALE!$D$6:$D$10000,$C$5:$C$499)</f>
        <v>0</v>
      </c>
      <c r="BG35" s="72">
        <f t="shared" si="19"/>
        <v>0</v>
      </c>
      <c r="BH35" s="72">
        <f>SUMIFS(SALE!$K$6:$K$10000,SALE!$A$6:$A$10000,$BG$3,SALE!$D$6:$D$10000,$C$5:$C$499)</f>
        <v>0</v>
      </c>
      <c r="BI35" s="72">
        <f>SUMIFS(SALE!$L$6:$L$10000,SALE!$A$6:$A$10000,$BG$3,SALE!$D$6:$D$10000,$C$5:$C$499)</f>
        <v>0</v>
      </c>
      <c r="BJ35" s="72">
        <f>SUMIFS(SALE!$M$6:$M$10000,SALE!$A$6:$A$10000,$BG$3,SALE!$D$6:$D$10000,$C$5:$C$499)</f>
        <v>0</v>
      </c>
      <c r="BK35" s="72">
        <f>SUMIFS(SALE!$N$6:$N$10000,SALE!$A$6:$A$10000,$BG$3,SALE!$D$6:$D$10000,$C$5:$C$499)</f>
        <v>0</v>
      </c>
      <c r="BL35" s="72">
        <f t="shared" si="3"/>
        <v>2420195.6480000005</v>
      </c>
      <c r="BM35" s="72">
        <f t="shared" si="4"/>
        <v>1890777.85</v>
      </c>
      <c r="BN35" s="72">
        <f t="shared" si="5"/>
        <v>529417.79800000007</v>
      </c>
      <c r="BO35" s="72">
        <f t="shared" si="6"/>
        <v>0</v>
      </c>
      <c r="BP35" s="72">
        <f t="shared" si="7"/>
        <v>0</v>
      </c>
    </row>
    <row r="36" spans="1:68" x14ac:dyDescent="0.2">
      <c r="A36" s="467">
        <v>33</v>
      </c>
      <c r="B36" s="499" t="s">
        <v>226</v>
      </c>
      <c r="C36" s="499" t="s">
        <v>227</v>
      </c>
      <c r="D36" s="72">
        <f t="shared" ref="D36:D40" si="20">+E36+F36+G36+H36</f>
        <v>0</v>
      </c>
      <c r="E36" s="72">
        <f>SUMIFS(SALE!$K$6:$K$10000,SALE!$A$6:$A$10000,$D$3,SALE!$D$6:$D$10000,$C$5:$C$499)</f>
        <v>0</v>
      </c>
      <c r="F36" s="72">
        <f>SUMIFS(SALE!$L$6:$L$10000,SALE!$A$6:$A$10000,$D$3,SALE!$D$6:$D$10000,$C$5:$C$499)</f>
        <v>0</v>
      </c>
      <c r="G36" s="72">
        <f>SUMIFS(SALE!$M$6:$M$10000,SALE!$A$6:$A$10000,$D$3,SALE!$D$6:$D$10000,$C$5:$C$499)</f>
        <v>0</v>
      </c>
      <c r="H36" s="72">
        <f>SUMIFS(SALE!$N$6:$N$10000,SALE!$A$6:$A$10000,$D$3,SALE!$D$6:$D$10000,$C$5:$C$499)</f>
        <v>0</v>
      </c>
      <c r="I36" s="72">
        <f t="shared" ref="I36:I40" si="21">+J36+K36+L36+M36</f>
        <v>0</v>
      </c>
      <c r="J36" s="72">
        <f>SUMIFS(SALE!$K$6:$K$10000,SALE!$A$6:$A$10000,$I$3,SALE!$D$6:$D$10000,$C$5:$C$499)</f>
        <v>0</v>
      </c>
      <c r="K36" s="72">
        <f>SUMIFS(SALE!$L$6:$L$10000,SALE!$A$6:$A$10000,$I$3,SALE!$D$6:$D$10000,$C$5:$C$499)</f>
        <v>0</v>
      </c>
      <c r="L36" s="72">
        <f>SUMIFS(SALE!$M$6:$M$10000,SALE!$A$6:$A$10000,$I$3,SALE!$D$6:$D$10000,$C$5:$C$499)</f>
        <v>0</v>
      </c>
      <c r="M36" s="72">
        <f>SUMIFS(SALE!$N$6:$N$10000,SALE!$A$6:$A$10000,$I$3,SALE!$D$6:$D$10000,$C$5:$C$499)</f>
        <v>0</v>
      </c>
      <c r="N36" s="72">
        <f t="shared" ref="N36:N40" si="22">+O36+P36+Q36+R36</f>
        <v>44225.279999999999</v>
      </c>
      <c r="O36" s="72">
        <f>SUMIFS(SALE!$K$6:$K$10000,SALE!$A$6:$A$10000,$N$3,SALE!$D$6:$D$10000,$C$5:$C$499)</f>
        <v>34551</v>
      </c>
      <c r="P36" s="72">
        <f>SUMIFS(SALE!$L$6:$L$10000,SALE!$A$6:$A$10000,$N$3,SALE!$D$6:$D$10000,$C$5:$C$499)</f>
        <v>9674.2799999999988</v>
      </c>
      <c r="Q36" s="72">
        <f>SUMIFS(SALE!$M$6:$M$10000,SALE!$A$6:$A$10000,$N$3,SALE!$D$6:$D$10000,$C$5:$C$499)</f>
        <v>0</v>
      </c>
      <c r="R36" s="72">
        <f>SUMIFS(SALE!$N$6:$N$10000,SALE!$A$6:$A$10000,$N$3,SALE!$D$6:$D$10000,$C$5:$C$499)</f>
        <v>0</v>
      </c>
      <c r="S36" s="72">
        <f t="shared" ref="S36:S40" si="23">+T36+U36+V36+W36</f>
        <v>44225.279999999999</v>
      </c>
      <c r="T36" s="72">
        <f>SUMIFS(SALE!$K$6:$K$10000,SALE!$A$6:$A$10000,$N$3,SALE!$D$6:$D$10000,$C$5:$C$499)</f>
        <v>34551</v>
      </c>
      <c r="U36" s="72">
        <f>SUMIFS(SALE!$L$6:$L$10000,SALE!$A$6:$A$10000,$N$3,SALE!$D$6:$D$10000,$C$5:$C$499)</f>
        <v>9674.2799999999988</v>
      </c>
      <c r="V36" s="72">
        <f>SUMIFS(SALE!$M$6:$M$10000,SALE!$A$6:$A$10000,$N$3,SALE!$D$6:$D$10000,$C$5:$C$499)</f>
        <v>0</v>
      </c>
      <c r="W36" s="72">
        <f>SUMIFS(SALE!$N$6:$N$10000,SALE!$A$6:$A$10000,$N$3,SALE!$D$6:$D$10000,$C$5:$C$499)</f>
        <v>0</v>
      </c>
      <c r="X36" s="72">
        <f t="shared" ref="X36:X40" si="24">+Y36+Z36+AA36+AB36</f>
        <v>41571.763200000001</v>
      </c>
      <c r="Y36" s="72">
        <f>SUMIFS(SALE!$K$6:$K$10000,SALE!$A$6:$A$10000,$X$3,SALE!$D$6:$D$10000,$C$5:$C$499)</f>
        <v>32477.940000000002</v>
      </c>
      <c r="Z36" s="72">
        <f>SUMIFS(SALE!$L$6:$L$10000,SALE!$A$6:$A$10000,$X$3,SALE!$D$6:$D$10000,$C$5:$C$499)</f>
        <v>9093.8231999999989</v>
      </c>
      <c r="AA36" s="72">
        <f>SUMIFS(SALE!$M$6:$M$10000,SALE!$A$6:$A$10000,$X$3,SALE!$D$6:$D$10000,$C$5:$C$499)</f>
        <v>0</v>
      </c>
      <c r="AB36" s="72">
        <f>SUMIFS(SALE!$N$6:$N$10000,SALE!$A$6:$A$10000,$X$3,SALE!$D$6:$D$10000,$C$5:$C$499)</f>
        <v>0</v>
      </c>
      <c r="AC36" s="72">
        <f t="shared" ref="AC36:AC40" si="25">+AD36+AE36+AF36+AG36</f>
        <v>0</v>
      </c>
      <c r="AD36" s="72">
        <f>SUMIFS(SALE!$K$6:$K$10000,SALE!$A$6:$A$10000,$AC$3,SALE!$D$6:$D$10000,$C$5:$C$499)</f>
        <v>0</v>
      </c>
      <c r="AE36" s="72">
        <f>SUMIFS(SALE!$L$6:$L$10000,SALE!$A$6:$A$10000,$AC$3,SALE!$D$6:$D$10000,$C$5:$C$499)</f>
        <v>0</v>
      </c>
      <c r="AF36" s="72">
        <f>SUMIFS(SALE!$M$6:$M$10000,SALE!$A$6:$A$10000,$AC$3,SALE!$D$6:$D$10000,$C$5:$C$499)</f>
        <v>0</v>
      </c>
      <c r="AG36" s="72">
        <f>SUMIFS(SALE!$N$6:$N$10000,SALE!$A$6:$A$10000,$AC$3,SALE!$D$6:$D$10000,$C$5:$C$499)</f>
        <v>0</v>
      </c>
      <c r="AH36" s="72">
        <f t="shared" ref="AH36:AH40" si="26">+AI36+AJ36+AK36+AL36</f>
        <v>26535.167999999998</v>
      </c>
      <c r="AI36" s="72">
        <f>SUMIFS(SALE!$K$6:$K$10000,SALE!$A$6:$A$10000,$AH$3,SALE!$D$6:$D$10000,$C$5:$C$499)</f>
        <v>20730.599999999999</v>
      </c>
      <c r="AJ36" s="72">
        <f>SUMIFS(SALE!$L$6:$L$10000,SALE!$A$6:$A$10000,$AH$3,SALE!$D$6:$D$10000,$C$5:$C$499)</f>
        <v>5804.5679999999993</v>
      </c>
      <c r="AK36" s="72">
        <f>SUMIFS(SALE!$M$6:$M$10000,SALE!$A$6:$A$10000,$AH$3,SALE!$D$6:$D$10000,$C$5:$C$499)</f>
        <v>0</v>
      </c>
      <c r="AL36" s="72">
        <f>SUMIFS(SALE!$N$6:$N$10000,SALE!$A$6:$A$10000,$AH$3,SALE!$D$6:$D$10000,$C$5:$C$499)</f>
        <v>0</v>
      </c>
      <c r="AM36" s="72">
        <f t="shared" ref="AM36:AM40" si="27">+AN36+AO36+AP36+AQ36</f>
        <v>17690.112000000001</v>
      </c>
      <c r="AN36" s="72">
        <f>SUMIFS(SALE!$K$6:$K$10000,SALE!$A$6:$A$10000,$AM$3,SALE!$D$6:$D$10000,$C$5:$C$499)</f>
        <v>13820.4</v>
      </c>
      <c r="AO36" s="72">
        <f>SUMIFS(SALE!$L$6:$L$10000,SALE!$A$6:$A$10000,$AM$3,SALE!$D$6:$D$10000,$C$5:$C$499)</f>
        <v>3869.7120000000004</v>
      </c>
      <c r="AP36" s="72">
        <f>SUMIFS(SALE!$M$6:$M$10000,SALE!$A$6:$A$10000,$AM$3,SALE!$D$6:$D$10000,$C$5:$C$499)</f>
        <v>0</v>
      </c>
      <c r="AQ36" s="72">
        <f>SUMIFS(SALE!$N$6:$N$10000,SALE!$A$6:$A$10000,$AM$3,SALE!$D$6:$D$10000,$C$5:$C$499)</f>
        <v>0</v>
      </c>
      <c r="AR36" s="72">
        <f t="shared" ref="AR36:AR40" si="28">+AS36+AT36+AU36+AV36</f>
        <v>0</v>
      </c>
      <c r="AS36" s="72">
        <f>SUMIFS(SALE!$K$6:$K$10000,SALE!$A$6:$A$10000,$AR$3,SALE!$D$6:$D$10000,$C$5:$C$499)</f>
        <v>0</v>
      </c>
      <c r="AT36" s="72">
        <f>SUMIFS(SALE!$L$6:$L$10000,SALE!$A$6:$A$10000,$AR$3,SALE!$D$6:$D$10000,$C$5:$C$499)</f>
        <v>0</v>
      </c>
      <c r="AU36" s="72">
        <f>SUMIFS(SALE!$M$6:$M$10000,SALE!$A$6:$A$10000,$AR$3,SALE!$D$6:$D$10000,$C$5:$C$499)</f>
        <v>0</v>
      </c>
      <c r="AV36" s="72">
        <f>SUMIFS(SALE!$N$6:$N$10000,SALE!$A$6:$A$10000,$AR$3,SALE!$D$6:$D$10000,$C$5:$C$499)</f>
        <v>0</v>
      </c>
      <c r="AW36" s="72">
        <f t="shared" ref="AW36:AW40" si="29">+AX36+AY36+AZ36+BA36</f>
        <v>0</v>
      </c>
      <c r="AX36" s="72">
        <f>SUMIFS(SALE!$K$6:$K$10000,SALE!$A$6:$A$10000,$AW$3,SALE!$D$6:$D$10000,$C$5:$C$499)</f>
        <v>0</v>
      </c>
      <c r="AY36" s="72">
        <f>SUMIFS(SALE!$L$6:$L$10000,SALE!$A$6:$A$10000,$AW$3,SALE!$D$6:$D$10000,$C$5:$C$499)</f>
        <v>0</v>
      </c>
      <c r="AZ36" s="72">
        <f>SUMIFS(SALE!$M$6:$M$10000,SALE!$A$6:$A$10000,$AW$3,SALE!$D$6:$D$10000,$C$5:$C$499)</f>
        <v>0</v>
      </c>
      <c r="BA36" s="72">
        <f>SUMIFS(SALE!$N$6:$N$10000,SALE!$A$6:$A$10000,$AW$3,SALE!$D$6:$D$10000,$C$5:$C$499)</f>
        <v>0</v>
      </c>
      <c r="BB36" s="72">
        <f t="shared" ref="BB36:BB40" si="30">+BC36+BD36+BE36+BF36</f>
        <v>0</v>
      </c>
      <c r="BC36" s="72">
        <f>SUMIFS(SALE!$K$6:$K$10000,SALE!$A$6:$A$10000,$BB$3,SALE!$D$6:$D$10000,$C$5:$C$499)</f>
        <v>0</v>
      </c>
      <c r="BD36" s="72">
        <f>SUMIFS(SALE!$L$6:$L$10000,SALE!$A$6:$A$10000,$BB$3,SALE!$D$6:$D$10000,$C$5:$C$499)</f>
        <v>0</v>
      </c>
      <c r="BE36" s="72">
        <f>SUMIFS(SALE!$M$6:$M$10000,SALE!$A$6:$A$10000,$BB$3,SALE!$D$6:$D$10000,$C$5:$C$499)</f>
        <v>0</v>
      </c>
      <c r="BF36" s="72">
        <f>SUMIFS(SALE!$N$6:$N$10000,SALE!$A$6:$A$10000,$BB$3,SALE!$D$6:$D$10000,$C$5:$C$499)</f>
        <v>0</v>
      </c>
      <c r="BG36" s="72">
        <f t="shared" ref="BG36:BG40" si="31">+BH36+BI36+BJ36+BK36</f>
        <v>0</v>
      </c>
      <c r="BH36" s="72">
        <f>SUMIFS(SALE!$K$6:$K$10000,SALE!$A$6:$A$10000,$BG$3,SALE!$D$6:$D$10000,$C$5:$C$499)</f>
        <v>0</v>
      </c>
      <c r="BI36" s="72">
        <f>SUMIFS(SALE!$L$6:$L$10000,SALE!$A$6:$A$10000,$BG$3,SALE!$D$6:$D$10000,$C$5:$C$499)</f>
        <v>0</v>
      </c>
      <c r="BJ36" s="72">
        <f>SUMIFS(SALE!$M$6:$M$10000,SALE!$A$6:$A$10000,$BG$3,SALE!$D$6:$D$10000,$C$5:$C$499)</f>
        <v>0</v>
      </c>
      <c r="BK36" s="72">
        <f>SUMIFS(SALE!$N$6:$N$10000,SALE!$A$6:$A$10000,$BG$3,SALE!$D$6:$D$10000,$C$5:$C$499)</f>
        <v>0</v>
      </c>
      <c r="BL36" s="72">
        <f t="shared" ref="BL36:BL40" si="32">+D36+I36+N36+S36+X36+AC36+AH36+AM36+AR36+AW36+BB36+BG36</f>
        <v>174247.60319999998</v>
      </c>
      <c r="BM36" s="72">
        <f t="shared" ref="BM36:BM40" si="33">+E36+J36+O36+T36+Y36+AD36+AI36+AN36+AS36+AX36+BC36+BH36</f>
        <v>136130.94</v>
      </c>
      <c r="BN36" s="72">
        <f t="shared" ref="BN36:BN40" si="34">+F36+K36+P36+U36+Z36+AE36+AJ36+AO36+AT36+AY36+BD36+BI36</f>
        <v>38116.663199999995</v>
      </c>
      <c r="BO36" s="72">
        <f t="shared" ref="BO36:BO40" si="35">+G36+L36+Q36+V36+AA36+AF36+AK36+AP36+AU36+AZ36+BE36+BJ36</f>
        <v>0</v>
      </c>
      <c r="BP36" s="72">
        <f t="shared" ref="BP36:BP40" si="36">+H36+M36+R36+W36+AB36+AG36+AL36+AQ36+AV36+BA36+BF36+BK36</f>
        <v>0</v>
      </c>
    </row>
    <row r="37" spans="1:68" x14ac:dyDescent="0.2">
      <c r="D37" s="72">
        <f t="shared" si="20"/>
        <v>0</v>
      </c>
      <c r="E37" s="72">
        <f>SUMIFS(SALE!$K$6:$K$10000,SALE!$A$6:$A$10000,$D$3,SALE!$D$6:$D$10000,$C$5:$C$499)</f>
        <v>0</v>
      </c>
      <c r="F37" s="72">
        <f>SUMIFS(SALE!$L$6:$L$10000,SALE!$A$6:$A$10000,$D$3,SALE!$D$6:$D$10000,$C$5:$C$499)</f>
        <v>0</v>
      </c>
      <c r="G37" s="72">
        <f>SUMIFS(SALE!$M$6:$M$10000,SALE!$A$6:$A$10000,$D$3,SALE!$D$6:$D$10000,$C$5:$C$499)</f>
        <v>0</v>
      </c>
      <c r="H37" s="72">
        <f>SUMIFS(SALE!$N$6:$N$10000,SALE!$A$6:$A$10000,$D$3,SALE!$D$6:$D$10000,$C$5:$C$499)</f>
        <v>0</v>
      </c>
      <c r="I37" s="72">
        <f t="shared" si="21"/>
        <v>0</v>
      </c>
      <c r="J37" s="72">
        <f>SUMIFS(SALE!$K$6:$K$10000,SALE!$A$6:$A$10000,$I$3,SALE!$D$6:$D$10000,$C$5:$C$499)</f>
        <v>0</v>
      </c>
      <c r="K37" s="72">
        <f>SUMIFS(SALE!$L$6:$L$10000,SALE!$A$6:$A$10000,$I$3,SALE!$D$6:$D$10000,$C$5:$C$499)</f>
        <v>0</v>
      </c>
      <c r="L37" s="72">
        <f>SUMIFS(SALE!$M$6:$M$10000,SALE!$A$6:$A$10000,$I$3,SALE!$D$6:$D$10000,$C$5:$C$499)</f>
        <v>0</v>
      </c>
      <c r="M37" s="72">
        <f>SUMIFS(SALE!$N$6:$N$10000,SALE!$A$6:$A$10000,$I$3,SALE!$D$6:$D$10000,$C$5:$C$499)</f>
        <v>0</v>
      </c>
      <c r="N37" s="72">
        <f t="shared" si="22"/>
        <v>0</v>
      </c>
      <c r="O37" s="72">
        <f>SUMIFS(SALE!$K$6:$K$10000,SALE!$A$6:$A$10000,$N$3,SALE!$D$6:$D$10000,$C$5:$C$499)</f>
        <v>0</v>
      </c>
      <c r="P37" s="72">
        <f>SUMIFS(SALE!$L$6:$L$10000,SALE!$A$6:$A$10000,$N$3,SALE!$D$6:$D$10000,$C$5:$C$499)</f>
        <v>0</v>
      </c>
      <c r="Q37" s="72">
        <f>SUMIFS(SALE!$M$6:$M$10000,SALE!$A$6:$A$10000,$N$3,SALE!$D$6:$D$10000,$C$5:$C$499)</f>
        <v>0</v>
      </c>
      <c r="R37" s="72">
        <f>SUMIFS(SALE!$N$6:$N$10000,SALE!$A$6:$A$10000,$N$3,SALE!$D$6:$D$10000,$C$5:$C$499)</f>
        <v>0</v>
      </c>
      <c r="S37" s="72">
        <f t="shared" si="23"/>
        <v>0</v>
      </c>
      <c r="T37" s="72">
        <f>SUMIFS(SALE!$K$6:$K$10000,SALE!$A$6:$A$10000,$N$3,SALE!$D$6:$D$10000,$C$5:$C$499)</f>
        <v>0</v>
      </c>
      <c r="U37" s="72">
        <f>SUMIFS(SALE!$L$6:$L$10000,SALE!$A$6:$A$10000,$N$3,SALE!$D$6:$D$10000,$C$5:$C$499)</f>
        <v>0</v>
      </c>
      <c r="V37" s="72">
        <f>SUMIFS(SALE!$M$6:$M$10000,SALE!$A$6:$A$10000,$N$3,SALE!$D$6:$D$10000,$C$5:$C$499)</f>
        <v>0</v>
      </c>
      <c r="W37" s="72">
        <f>SUMIFS(SALE!$N$6:$N$10000,SALE!$A$6:$A$10000,$N$3,SALE!$D$6:$D$10000,$C$5:$C$499)</f>
        <v>0</v>
      </c>
      <c r="X37" s="72">
        <f t="shared" si="24"/>
        <v>0</v>
      </c>
      <c r="Y37" s="72">
        <f>SUMIFS(SALE!$K$6:$K$10000,SALE!$A$6:$A$10000,$X$3,SALE!$D$6:$D$10000,$C$5:$C$499)</f>
        <v>0</v>
      </c>
      <c r="Z37" s="72">
        <f>SUMIFS(SALE!$L$6:$L$10000,SALE!$A$6:$A$10000,$X$3,SALE!$D$6:$D$10000,$C$5:$C$499)</f>
        <v>0</v>
      </c>
      <c r="AA37" s="72">
        <f>SUMIFS(SALE!$M$6:$M$10000,SALE!$A$6:$A$10000,$X$3,SALE!$D$6:$D$10000,$C$5:$C$499)</f>
        <v>0</v>
      </c>
      <c r="AB37" s="72">
        <f>SUMIFS(SALE!$N$6:$N$10000,SALE!$A$6:$A$10000,$X$3,SALE!$D$6:$D$10000,$C$5:$C$499)</f>
        <v>0</v>
      </c>
      <c r="AC37" s="72">
        <f t="shared" si="25"/>
        <v>0</v>
      </c>
      <c r="AD37" s="72">
        <f>SUMIFS(SALE!$K$6:$K$10000,SALE!$A$6:$A$10000,$AC$3,SALE!$D$6:$D$10000,$C$5:$C$499)</f>
        <v>0</v>
      </c>
      <c r="AE37" s="72">
        <f>SUMIFS(SALE!$L$6:$L$10000,SALE!$A$6:$A$10000,$AC$3,SALE!$D$6:$D$10000,$C$5:$C$499)</f>
        <v>0</v>
      </c>
      <c r="AF37" s="72">
        <f>SUMIFS(SALE!$M$6:$M$10000,SALE!$A$6:$A$10000,$AC$3,SALE!$D$6:$D$10000,$C$5:$C$499)</f>
        <v>0</v>
      </c>
      <c r="AG37" s="72">
        <f>SUMIFS(SALE!$N$6:$N$10000,SALE!$A$6:$A$10000,$AC$3,SALE!$D$6:$D$10000,$C$5:$C$499)</f>
        <v>0</v>
      </c>
      <c r="AH37" s="72">
        <f t="shared" si="26"/>
        <v>0</v>
      </c>
      <c r="AI37" s="72">
        <f>SUMIFS(SALE!$K$6:$K$10000,SALE!$A$6:$A$10000,$AH$3,SALE!$D$6:$D$10000,$C$5:$C$499)</f>
        <v>0</v>
      </c>
      <c r="AJ37" s="72">
        <f>SUMIFS(SALE!$L$6:$L$10000,SALE!$A$6:$A$10000,$AH$3,SALE!$D$6:$D$10000,$C$5:$C$499)</f>
        <v>0</v>
      </c>
      <c r="AK37" s="72">
        <f>SUMIFS(SALE!$M$6:$M$10000,SALE!$A$6:$A$10000,$AH$3,SALE!$D$6:$D$10000,$C$5:$C$499)</f>
        <v>0</v>
      </c>
      <c r="AL37" s="72">
        <f>SUMIFS(SALE!$N$6:$N$10000,SALE!$A$6:$A$10000,$AH$3,SALE!$D$6:$D$10000,$C$5:$C$499)</f>
        <v>0</v>
      </c>
      <c r="AM37" s="72">
        <f t="shared" si="27"/>
        <v>0</v>
      </c>
      <c r="AN37" s="72">
        <f>SUMIFS(SALE!$K$6:$K$10000,SALE!$A$6:$A$10000,$AM$3,SALE!$D$6:$D$10000,$C$5:$C$499)</f>
        <v>0</v>
      </c>
      <c r="AO37" s="72">
        <f>SUMIFS(SALE!$L$6:$L$10000,SALE!$A$6:$A$10000,$AM$3,SALE!$D$6:$D$10000,$C$5:$C$499)</f>
        <v>0</v>
      </c>
      <c r="AP37" s="72">
        <f>SUMIFS(SALE!$M$6:$M$10000,SALE!$A$6:$A$10000,$AM$3,SALE!$D$6:$D$10000,$C$5:$C$499)</f>
        <v>0</v>
      </c>
      <c r="AQ37" s="72">
        <f>SUMIFS(SALE!$N$6:$N$10000,SALE!$A$6:$A$10000,$AM$3,SALE!$D$6:$D$10000,$C$5:$C$499)</f>
        <v>0</v>
      </c>
      <c r="AR37" s="72">
        <f t="shared" si="28"/>
        <v>0</v>
      </c>
      <c r="AS37" s="72">
        <f>SUMIFS(SALE!$K$6:$K$10000,SALE!$A$6:$A$10000,$AR$3,SALE!$D$6:$D$10000,$C$5:$C$499)</f>
        <v>0</v>
      </c>
      <c r="AT37" s="72">
        <f>SUMIFS(SALE!$L$6:$L$10000,SALE!$A$6:$A$10000,$AR$3,SALE!$D$6:$D$10000,$C$5:$C$499)</f>
        <v>0</v>
      </c>
      <c r="AU37" s="72">
        <f>SUMIFS(SALE!$M$6:$M$10000,SALE!$A$6:$A$10000,$AR$3,SALE!$D$6:$D$10000,$C$5:$C$499)</f>
        <v>0</v>
      </c>
      <c r="AV37" s="72">
        <f>SUMIFS(SALE!$N$6:$N$10000,SALE!$A$6:$A$10000,$AR$3,SALE!$D$6:$D$10000,$C$5:$C$499)</f>
        <v>0</v>
      </c>
      <c r="AW37" s="72">
        <f t="shared" si="29"/>
        <v>0</v>
      </c>
      <c r="AX37" s="72">
        <f>SUMIFS(SALE!$K$6:$K$10000,SALE!$A$6:$A$10000,$AW$3,SALE!$D$6:$D$10000,$C$5:$C$499)</f>
        <v>0</v>
      </c>
      <c r="AY37" s="72">
        <f>SUMIFS(SALE!$L$6:$L$10000,SALE!$A$6:$A$10000,$AW$3,SALE!$D$6:$D$10000,$C$5:$C$499)</f>
        <v>0</v>
      </c>
      <c r="AZ37" s="72">
        <f>SUMIFS(SALE!$M$6:$M$10000,SALE!$A$6:$A$10000,$AW$3,SALE!$D$6:$D$10000,$C$5:$C$499)</f>
        <v>0</v>
      </c>
      <c r="BA37" s="72">
        <f>SUMIFS(SALE!$N$6:$N$10000,SALE!$A$6:$A$10000,$AW$3,SALE!$D$6:$D$10000,$C$5:$C$499)</f>
        <v>0</v>
      </c>
      <c r="BB37" s="72">
        <f t="shared" si="30"/>
        <v>0</v>
      </c>
      <c r="BC37" s="72">
        <f>SUMIFS(SALE!$K$6:$K$10000,SALE!$A$6:$A$10000,$BB$3,SALE!$D$6:$D$10000,$C$5:$C$499)</f>
        <v>0</v>
      </c>
      <c r="BD37" s="72">
        <f>SUMIFS(SALE!$L$6:$L$10000,SALE!$A$6:$A$10000,$BB$3,SALE!$D$6:$D$10000,$C$5:$C$499)</f>
        <v>0</v>
      </c>
      <c r="BE37" s="72">
        <f>SUMIFS(SALE!$M$6:$M$10000,SALE!$A$6:$A$10000,$BB$3,SALE!$D$6:$D$10000,$C$5:$C$499)</f>
        <v>0</v>
      </c>
      <c r="BF37" s="72">
        <f>SUMIFS(SALE!$N$6:$N$10000,SALE!$A$6:$A$10000,$BB$3,SALE!$D$6:$D$10000,$C$5:$C$499)</f>
        <v>0</v>
      </c>
      <c r="BG37" s="72">
        <f t="shared" si="31"/>
        <v>0</v>
      </c>
      <c r="BH37" s="72">
        <f>SUMIFS(SALE!$K$6:$K$10000,SALE!$A$6:$A$10000,$BG$3,SALE!$D$6:$D$10000,$C$5:$C$499)</f>
        <v>0</v>
      </c>
      <c r="BI37" s="72">
        <f>SUMIFS(SALE!$L$6:$L$10000,SALE!$A$6:$A$10000,$BG$3,SALE!$D$6:$D$10000,$C$5:$C$499)</f>
        <v>0</v>
      </c>
      <c r="BJ37" s="72">
        <f>SUMIFS(SALE!$M$6:$M$10000,SALE!$A$6:$A$10000,$BG$3,SALE!$D$6:$D$10000,$C$5:$C$499)</f>
        <v>0</v>
      </c>
      <c r="BK37" s="72">
        <f>SUMIFS(SALE!$N$6:$N$10000,SALE!$A$6:$A$10000,$BG$3,SALE!$D$6:$D$10000,$C$5:$C$499)</f>
        <v>0</v>
      </c>
      <c r="BL37" s="72">
        <f t="shared" si="32"/>
        <v>0</v>
      </c>
      <c r="BM37" s="72">
        <f t="shared" si="33"/>
        <v>0</v>
      </c>
      <c r="BN37" s="72">
        <f t="shared" si="34"/>
        <v>0</v>
      </c>
      <c r="BO37" s="72">
        <f t="shared" si="35"/>
        <v>0</v>
      </c>
      <c r="BP37" s="72">
        <f t="shared" si="36"/>
        <v>0</v>
      </c>
    </row>
    <row r="38" spans="1:68" x14ac:dyDescent="0.2">
      <c r="D38" s="72">
        <f t="shared" si="20"/>
        <v>0</v>
      </c>
      <c r="E38" s="72">
        <f>SUMIFS(SALE!$K$6:$K$10000,SALE!$A$6:$A$10000,$D$3,SALE!$D$6:$D$10000,$C$5:$C$499)</f>
        <v>0</v>
      </c>
      <c r="F38" s="72">
        <f>SUMIFS(SALE!$L$6:$L$10000,SALE!$A$6:$A$10000,$D$3,SALE!$D$6:$D$10000,$C$5:$C$499)</f>
        <v>0</v>
      </c>
      <c r="G38" s="72">
        <f>SUMIFS(SALE!$M$6:$M$10000,SALE!$A$6:$A$10000,$D$3,SALE!$D$6:$D$10000,$C$5:$C$499)</f>
        <v>0</v>
      </c>
      <c r="H38" s="72">
        <f>SUMIFS(SALE!$N$6:$N$10000,SALE!$A$6:$A$10000,$D$3,SALE!$D$6:$D$10000,$C$5:$C$499)</f>
        <v>0</v>
      </c>
      <c r="I38" s="72">
        <f t="shared" si="21"/>
        <v>0</v>
      </c>
      <c r="J38" s="72">
        <f>SUMIFS(SALE!$K$6:$K$10000,SALE!$A$6:$A$10000,$I$3,SALE!$D$6:$D$10000,$C$5:$C$499)</f>
        <v>0</v>
      </c>
      <c r="K38" s="72">
        <f>SUMIFS(SALE!$L$6:$L$10000,SALE!$A$6:$A$10000,$I$3,SALE!$D$6:$D$10000,$C$5:$C$499)</f>
        <v>0</v>
      </c>
      <c r="L38" s="72">
        <f>SUMIFS(SALE!$M$6:$M$10000,SALE!$A$6:$A$10000,$I$3,SALE!$D$6:$D$10000,$C$5:$C$499)</f>
        <v>0</v>
      </c>
      <c r="M38" s="72">
        <f>SUMIFS(SALE!$N$6:$N$10000,SALE!$A$6:$A$10000,$I$3,SALE!$D$6:$D$10000,$C$5:$C$499)</f>
        <v>0</v>
      </c>
      <c r="N38" s="72">
        <f t="shared" si="22"/>
        <v>0</v>
      </c>
      <c r="O38" s="72">
        <f>SUMIFS(SALE!$K$6:$K$10000,SALE!$A$6:$A$10000,$N$3,SALE!$D$6:$D$10000,$C$5:$C$499)</f>
        <v>0</v>
      </c>
      <c r="P38" s="72">
        <f>SUMIFS(SALE!$L$6:$L$10000,SALE!$A$6:$A$10000,$N$3,SALE!$D$6:$D$10000,$C$5:$C$499)</f>
        <v>0</v>
      </c>
      <c r="Q38" s="72">
        <f>SUMIFS(SALE!$M$6:$M$10000,SALE!$A$6:$A$10000,$N$3,SALE!$D$6:$D$10000,$C$5:$C$499)</f>
        <v>0</v>
      </c>
      <c r="R38" s="72">
        <f>SUMIFS(SALE!$N$6:$N$10000,SALE!$A$6:$A$10000,$N$3,SALE!$D$6:$D$10000,$C$5:$C$499)</f>
        <v>0</v>
      </c>
      <c r="S38" s="72">
        <f t="shared" si="23"/>
        <v>0</v>
      </c>
      <c r="T38" s="72">
        <f>SUMIFS(SALE!$K$6:$K$10000,SALE!$A$6:$A$10000,$N$3,SALE!$D$6:$D$10000,$C$5:$C$499)</f>
        <v>0</v>
      </c>
      <c r="U38" s="72">
        <f>SUMIFS(SALE!$L$6:$L$10000,SALE!$A$6:$A$10000,$N$3,SALE!$D$6:$D$10000,$C$5:$C$499)</f>
        <v>0</v>
      </c>
      <c r="V38" s="72">
        <f>SUMIFS(SALE!$M$6:$M$10000,SALE!$A$6:$A$10000,$N$3,SALE!$D$6:$D$10000,$C$5:$C$499)</f>
        <v>0</v>
      </c>
      <c r="W38" s="72">
        <f>SUMIFS(SALE!$N$6:$N$10000,SALE!$A$6:$A$10000,$N$3,SALE!$D$6:$D$10000,$C$5:$C$499)</f>
        <v>0</v>
      </c>
      <c r="X38" s="72">
        <f t="shared" si="24"/>
        <v>0</v>
      </c>
      <c r="Y38" s="72">
        <f>SUMIFS(SALE!$K$6:$K$10000,SALE!$A$6:$A$10000,$X$3,SALE!$D$6:$D$10000,$C$5:$C$499)</f>
        <v>0</v>
      </c>
      <c r="Z38" s="72">
        <f>SUMIFS(SALE!$L$6:$L$10000,SALE!$A$6:$A$10000,$X$3,SALE!$D$6:$D$10000,$C$5:$C$499)</f>
        <v>0</v>
      </c>
      <c r="AA38" s="72">
        <f>SUMIFS(SALE!$M$6:$M$10000,SALE!$A$6:$A$10000,$X$3,SALE!$D$6:$D$10000,$C$5:$C$499)</f>
        <v>0</v>
      </c>
      <c r="AB38" s="72">
        <f>SUMIFS(SALE!$N$6:$N$10000,SALE!$A$6:$A$10000,$X$3,SALE!$D$6:$D$10000,$C$5:$C$499)</f>
        <v>0</v>
      </c>
      <c r="AC38" s="72">
        <f t="shared" si="25"/>
        <v>0</v>
      </c>
      <c r="AD38" s="72">
        <f>SUMIFS(SALE!$K$6:$K$10000,SALE!$A$6:$A$10000,$AC$3,SALE!$D$6:$D$10000,$C$5:$C$499)</f>
        <v>0</v>
      </c>
      <c r="AE38" s="72">
        <f>SUMIFS(SALE!$L$6:$L$10000,SALE!$A$6:$A$10000,$AC$3,SALE!$D$6:$D$10000,$C$5:$C$499)</f>
        <v>0</v>
      </c>
      <c r="AF38" s="72">
        <f>SUMIFS(SALE!$M$6:$M$10000,SALE!$A$6:$A$10000,$AC$3,SALE!$D$6:$D$10000,$C$5:$C$499)</f>
        <v>0</v>
      </c>
      <c r="AG38" s="72">
        <f>SUMIFS(SALE!$N$6:$N$10000,SALE!$A$6:$A$10000,$AC$3,SALE!$D$6:$D$10000,$C$5:$C$499)</f>
        <v>0</v>
      </c>
      <c r="AH38" s="72">
        <f t="shared" si="26"/>
        <v>0</v>
      </c>
      <c r="AI38" s="72">
        <f>SUMIFS(SALE!$K$6:$K$10000,SALE!$A$6:$A$10000,$AH$3,SALE!$D$6:$D$10000,$C$5:$C$499)</f>
        <v>0</v>
      </c>
      <c r="AJ38" s="72">
        <f>SUMIFS(SALE!$L$6:$L$10000,SALE!$A$6:$A$10000,$AH$3,SALE!$D$6:$D$10000,$C$5:$C$499)</f>
        <v>0</v>
      </c>
      <c r="AK38" s="72">
        <f>SUMIFS(SALE!$M$6:$M$10000,SALE!$A$6:$A$10000,$AH$3,SALE!$D$6:$D$10000,$C$5:$C$499)</f>
        <v>0</v>
      </c>
      <c r="AL38" s="72">
        <f>SUMIFS(SALE!$N$6:$N$10000,SALE!$A$6:$A$10000,$AH$3,SALE!$D$6:$D$10000,$C$5:$C$499)</f>
        <v>0</v>
      </c>
      <c r="AM38" s="72">
        <f t="shared" si="27"/>
        <v>0</v>
      </c>
      <c r="AN38" s="72">
        <f>SUMIFS(SALE!$K$6:$K$10000,SALE!$A$6:$A$10000,$AM$3,SALE!$D$6:$D$10000,$C$5:$C$499)</f>
        <v>0</v>
      </c>
      <c r="AO38" s="72">
        <f>SUMIFS(SALE!$L$6:$L$10000,SALE!$A$6:$A$10000,$AM$3,SALE!$D$6:$D$10000,$C$5:$C$499)</f>
        <v>0</v>
      </c>
      <c r="AP38" s="72">
        <f>SUMIFS(SALE!$M$6:$M$10000,SALE!$A$6:$A$10000,$AM$3,SALE!$D$6:$D$10000,$C$5:$C$499)</f>
        <v>0</v>
      </c>
      <c r="AQ38" s="72">
        <f>SUMIFS(SALE!$N$6:$N$10000,SALE!$A$6:$A$10000,$AM$3,SALE!$D$6:$D$10000,$C$5:$C$499)</f>
        <v>0</v>
      </c>
      <c r="AR38" s="72">
        <f t="shared" si="28"/>
        <v>0</v>
      </c>
      <c r="AS38" s="72">
        <f>SUMIFS(SALE!$K$6:$K$10000,SALE!$A$6:$A$10000,$AR$3,SALE!$D$6:$D$10000,$C$5:$C$499)</f>
        <v>0</v>
      </c>
      <c r="AT38" s="72">
        <f>SUMIFS(SALE!$L$6:$L$10000,SALE!$A$6:$A$10000,$AR$3,SALE!$D$6:$D$10000,$C$5:$C$499)</f>
        <v>0</v>
      </c>
      <c r="AU38" s="72">
        <f>SUMIFS(SALE!$M$6:$M$10000,SALE!$A$6:$A$10000,$AR$3,SALE!$D$6:$D$10000,$C$5:$C$499)</f>
        <v>0</v>
      </c>
      <c r="AV38" s="72">
        <f>SUMIFS(SALE!$N$6:$N$10000,SALE!$A$6:$A$10000,$AR$3,SALE!$D$6:$D$10000,$C$5:$C$499)</f>
        <v>0</v>
      </c>
      <c r="AW38" s="72">
        <f t="shared" si="29"/>
        <v>0</v>
      </c>
      <c r="AX38" s="72">
        <f>SUMIFS(SALE!$K$6:$K$10000,SALE!$A$6:$A$10000,$AW$3,SALE!$D$6:$D$10000,$C$5:$C$499)</f>
        <v>0</v>
      </c>
      <c r="AY38" s="72">
        <f>SUMIFS(SALE!$L$6:$L$10000,SALE!$A$6:$A$10000,$AW$3,SALE!$D$6:$D$10000,$C$5:$C$499)</f>
        <v>0</v>
      </c>
      <c r="AZ38" s="72">
        <f>SUMIFS(SALE!$M$6:$M$10000,SALE!$A$6:$A$10000,$AW$3,SALE!$D$6:$D$10000,$C$5:$C$499)</f>
        <v>0</v>
      </c>
      <c r="BA38" s="72">
        <f>SUMIFS(SALE!$N$6:$N$10000,SALE!$A$6:$A$10000,$AW$3,SALE!$D$6:$D$10000,$C$5:$C$499)</f>
        <v>0</v>
      </c>
      <c r="BB38" s="72">
        <f t="shared" si="30"/>
        <v>0</v>
      </c>
      <c r="BC38" s="72">
        <f>SUMIFS(SALE!$K$6:$K$10000,SALE!$A$6:$A$10000,$BB$3,SALE!$D$6:$D$10000,$C$5:$C$499)</f>
        <v>0</v>
      </c>
      <c r="BD38" s="72">
        <f>SUMIFS(SALE!$L$6:$L$10000,SALE!$A$6:$A$10000,$BB$3,SALE!$D$6:$D$10000,$C$5:$C$499)</f>
        <v>0</v>
      </c>
      <c r="BE38" s="72">
        <f>SUMIFS(SALE!$M$6:$M$10000,SALE!$A$6:$A$10000,$BB$3,SALE!$D$6:$D$10000,$C$5:$C$499)</f>
        <v>0</v>
      </c>
      <c r="BF38" s="72">
        <f>SUMIFS(SALE!$N$6:$N$10000,SALE!$A$6:$A$10000,$BB$3,SALE!$D$6:$D$10000,$C$5:$C$499)</f>
        <v>0</v>
      </c>
      <c r="BG38" s="72">
        <f t="shared" si="31"/>
        <v>0</v>
      </c>
      <c r="BH38" s="72">
        <f>SUMIFS(SALE!$K$6:$K$10000,SALE!$A$6:$A$10000,$BG$3,SALE!$D$6:$D$10000,$C$5:$C$499)</f>
        <v>0</v>
      </c>
      <c r="BI38" s="72">
        <f>SUMIFS(SALE!$L$6:$L$10000,SALE!$A$6:$A$10000,$BG$3,SALE!$D$6:$D$10000,$C$5:$C$499)</f>
        <v>0</v>
      </c>
      <c r="BJ38" s="72">
        <f>SUMIFS(SALE!$M$6:$M$10000,SALE!$A$6:$A$10000,$BG$3,SALE!$D$6:$D$10000,$C$5:$C$499)</f>
        <v>0</v>
      </c>
      <c r="BK38" s="72">
        <f>SUMIFS(SALE!$N$6:$N$10000,SALE!$A$6:$A$10000,$BG$3,SALE!$D$6:$D$10000,$C$5:$C$499)</f>
        <v>0</v>
      </c>
      <c r="BL38" s="72">
        <f t="shared" si="32"/>
        <v>0</v>
      </c>
      <c r="BM38" s="72">
        <f t="shared" si="33"/>
        <v>0</v>
      </c>
      <c r="BN38" s="72">
        <f t="shared" si="34"/>
        <v>0</v>
      </c>
      <c r="BO38" s="72">
        <f t="shared" si="35"/>
        <v>0</v>
      </c>
      <c r="BP38" s="72">
        <f t="shared" si="36"/>
        <v>0</v>
      </c>
    </row>
    <row r="39" spans="1:68" x14ac:dyDescent="0.2">
      <c r="D39" s="72">
        <f t="shared" si="20"/>
        <v>0</v>
      </c>
      <c r="E39" s="72">
        <f>SUMIFS(SALE!$K$6:$K$10000,SALE!$A$6:$A$10000,$D$3,SALE!$D$6:$D$10000,$C$5:$C$499)</f>
        <v>0</v>
      </c>
      <c r="F39" s="72">
        <f>SUMIFS(SALE!$L$6:$L$10000,SALE!$A$6:$A$10000,$D$3,SALE!$D$6:$D$10000,$C$5:$C$499)</f>
        <v>0</v>
      </c>
      <c r="G39" s="72">
        <f>SUMIFS(SALE!$M$6:$M$10000,SALE!$A$6:$A$10000,$D$3,SALE!$D$6:$D$10000,$C$5:$C$499)</f>
        <v>0</v>
      </c>
      <c r="H39" s="72">
        <f>SUMIFS(SALE!$N$6:$N$10000,SALE!$A$6:$A$10000,$D$3,SALE!$D$6:$D$10000,$C$5:$C$499)</f>
        <v>0</v>
      </c>
      <c r="I39" s="72">
        <f t="shared" si="21"/>
        <v>0</v>
      </c>
      <c r="J39" s="72">
        <f>SUMIFS(SALE!$K$6:$K$10000,SALE!$A$6:$A$10000,$I$3,SALE!$D$6:$D$10000,$C$5:$C$499)</f>
        <v>0</v>
      </c>
      <c r="K39" s="72">
        <f>SUMIFS(SALE!$L$6:$L$10000,SALE!$A$6:$A$10000,$I$3,SALE!$D$6:$D$10000,$C$5:$C$499)</f>
        <v>0</v>
      </c>
      <c r="L39" s="72">
        <f>SUMIFS(SALE!$M$6:$M$10000,SALE!$A$6:$A$10000,$I$3,SALE!$D$6:$D$10000,$C$5:$C$499)</f>
        <v>0</v>
      </c>
      <c r="M39" s="72">
        <f>SUMIFS(SALE!$N$6:$N$10000,SALE!$A$6:$A$10000,$I$3,SALE!$D$6:$D$10000,$C$5:$C$499)</f>
        <v>0</v>
      </c>
      <c r="N39" s="72">
        <f t="shared" si="22"/>
        <v>0</v>
      </c>
      <c r="O39" s="72">
        <f>SUMIFS(SALE!$K$6:$K$10000,SALE!$A$6:$A$10000,$N$3,SALE!$D$6:$D$10000,$C$5:$C$499)</f>
        <v>0</v>
      </c>
      <c r="P39" s="72">
        <f>SUMIFS(SALE!$L$6:$L$10000,SALE!$A$6:$A$10000,$N$3,SALE!$D$6:$D$10000,$C$5:$C$499)</f>
        <v>0</v>
      </c>
      <c r="Q39" s="72">
        <f>SUMIFS(SALE!$M$6:$M$10000,SALE!$A$6:$A$10000,$N$3,SALE!$D$6:$D$10000,$C$5:$C$499)</f>
        <v>0</v>
      </c>
      <c r="R39" s="72">
        <f>SUMIFS(SALE!$N$6:$N$10000,SALE!$A$6:$A$10000,$N$3,SALE!$D$6:$D$10000,$C$5:$C$499)</f>
        <v>0</v>
      </c>
      <c r="S39" s="72">
        <f t="shared" si="23"/>
        <v>0</v>
      </c>
      <c r="T39" s="72">
        <f>SUMIFS(SALE!$K$6:$K$10000,SALE!$A$6:$A$10000,$N$3,SALE!$D$6:$D$10000,$C$5:$C$499)</f>
        <v>0</v>
      </c>
      <c r="U39" s="72">
        <f>SUMIFS(SALE!$L$6:$L$10000,SALE!$A$6:$A$10000,$N$3,SALE!$D$6:$D$10000,$C$5:$C$499)</f>
        <v>0</v>
      </c>
      <c r="V39" s="72">
        <f>SUMIFS(SALE!$M$6:$M$10000,SALE!$A$6:$A$10000,$N$3,SALE!$D$6:$D$10000,$C$5:$C$499)</f>
        <v>0</v>
      </c>
      <c r="W39" s="72">
        <f>SUMIFS(SALE!$N$6:$N$10000,SALE!$A$6:$A$10000,$N$3,SALE!$D$6:$D$10000,$C$5:$C$499)</f>
        <v>0</v>
      </c>
      <c r="X39" s="72">
        <f t="shared" si="24"/>
        <v>0</v>
      </c>
      <c r="Y39" s="72">
        <f>SUMIFS(SALE!$K$6:$K$10000,SALE!$A$6:$A$10000,$X$3,SALE!$D$6:$D$10000,$C$5:$C$499)</f>
        <v>0</v>
      </c>
      <c r="Z39" s="72">
        <f>SUMIFS(SALE!$L$6:$L$10000,SALE!$A$6:$A$10000,$X$3,SALE!$D$6:$D$10000,$C$5:$C$499)</f>
        <v>0</v>
      </c>
      <c r="AA39" s="72">
        <f>SUMIFS(SALE!$M$6:$M$10000,SALE!$A$6:$A$10000,$X$3,SALE!$D$6:$D$10000,$C$5:$C$499)</f>
        <v>0</v>
      </c>
      <c r="AB39" s="72">
        <f>SUMIFS(SALE!$N$6:$N$10000,SALE!$A$6:$A$10000,$X$3,SALE!$D$6:$D$10000,$C$5:$C$499)</f>
        <v>0</v>
      </c>
      <c r="AC39" s="72">
        <f t="shared" si="25"/>
        <v>0</v>
      </c>
      <c r="AD39" s="72">
        <f>SUMIFS(SALE!$K$6:$K$10000,SALE!$A$6:$A$10000,$AC$3,SALE!$D$6:$D$10000,$C$5:$C$499)</f>
        <v>0</v>
      </c>
      <c r="AE39" s="72">
        <f>SUMIFS(SALE!$L$6:$L$10000,SALE!$A$6:$A$10000,$AC$3,SALE!$D$6:$D$10000,$C$5:$C$499)</f>
        <v>0</v>
      </c>
      <c r="AF39" s="72">
        <f>SUMIFS(SALE!$M$6:$M$10000,SALE!$A$6:$A$10000,$AC$3,SALE!$D$6:$D$10000,$C$5:$C$499)</f>
        <v>0</v>
      </c>
      <c r="AG39" s="72">
        <f>SUMIFS(SALE!$N$6:$N$10000,SALE!$A$6:$A$10000,$AC$3,SALE!$D$6:$D$10000,$C$5:$C$499)</f>
        <v>0</v>
      </c>
      <c r="AH39" s="72">
        <f t="shared" si="26"/>
        <v>0</v>
      </c>
      <c r="AI39" s="72">
        <f>SUMIFS(SALE!$K$6:$K$10000,SALE!$A$6:$A$10000,$AH$3,SALE!$D$6:$D$10000,$C$5:$C$499)</f>
        <v>0</v>
      </c>
      <c r="AJ39" s="72">
        <f>SUMIFS(SALE!$L$6:$L$10000,SALE!$A$6:$A$10000,$AH$3,SALE!$D$6:$D$10000,$C$5:$C$499)</f>
        <v>0</v>
      </c>
      <c r="AK39" s="72">
        <f>SUMIFS(SALE!$M$6:$M$10000,SALE!$A$6:$A$10000,$AH$3,SALE!$D$6:$D$10000,$C$5:$C$499)</f>
        <v>0</v>
      </c>
      <c r="AL39" s="72">
        <f>SUMIFS(SALE!$N$6:$N$10000,SALE!$A$6:$A$10000,$AH$3,SALE!$D$6:$D$10000,$C$5:$C$499)</f>
        <v>0</v>
      </c>
      <c r="AM39" s="72">
        <f t="shared" si="27"/>
        <v>0</v>
      </c>
      <c r="AN39" s="72">
        <f>SUMIFS(SALE!$K$6:$K$10000,SALE!$A$6:$A$10000,$AM$3,SALE!$D$6:$D$10000,$C$5:$C$499)</f>
        <v>0</v>
      </c>
      <c r="AO39" s="72">
        <f>SUMIFS(SALE!$L$6:$L$10000,SALE!$A$6:$A$10000,$AM$3,SALE!$D$6:$D$10000,$C$5:$C$499)</f>
        <v>0</v>
      </c>
      <c r="AP39" s="72">
        <f>SUMIFS(SALE!$M$6:$M$10000,SALE!$A$6:$A$10000,$AM$3,SALE!$D$6:$D$10000,$C$5:$C$499)</f>
        <v>0</v>
      </c>
      <c r="AQ39" s="72">
        <f>SUMIFS(SALE!$N$6:$N$10000,SALE!$A$6:$A$10000,$AM$3,SALE!$D$6:$D$10000,$C$5:$C$499)</f>
        <v>0</v>
      </c>
      <c r="AR39" s="72">
        <f t="shared" si="28"/>
        <v>0</v>
      </c>
      <c r="AS39" s="72">
        <f>SUMIFS(SALE!$K$6:$K$10000,SALE!$A$6:$A$10000,$AR$3,SALE!$D$6:$D$10000,$C$5:$C$499)</f>
        <v>0</v>
      </c>
      <c r="AT39" s="72">
        <f>SUMIFS(SALE!$L$6:$L$10000,SALE!$A$6:$A$10000,$AR$3,SALE!$D$6:$D$10000,$C$5:$C$499)</f>
        <v>0</v>
      </c>
      <c r="AU39" s="72">
        <f>SUMIFS(SALE!$M$6:$M$10000,SALE!$A$6:$A$10000,$AR$3,SALE!$D$6:$D$10000,$C$5:$C$499)</f>
        <v>0</v>
      </c>
      <c r="AV39" s="72">
        <f>SUMIFS(SALE!$N$6:$N$10000,SALE!$A$6:$A$10000,$AR$3,SALE!$D$6:$D$10000,$C$5:$C$499)</f>
        <v>0</v>
      </c>
      <c r="AW39" s="72">
        <f t="shared" si="29"/>
        <v>0</v>
      </c>
      <c r="AX39" s="72">
        <f>SUMIFS(SALE!$K$6:$K$10000,SALE!$A$6:$A$10000,$AW$3,SALE!$D$6:$D$10000,$C$5:$C$499)</f>
        <v>0</v>
      </c>
      <c r="AY39" s="72">
        <f>SUMIFS(SALE!$L$6:$L$10000,SALE!$A$6:$A$10000,$AW$3,SALE!$D$6:$D$10000,$C$5:$C$499)</f>
        <v>0</v>
      </c>
      <c r="AZ39" s="72">
        <f>SUMIFS(SALE!$M$6:$M$10000,SALE!$A$6:$A$10000,$AW$3,SALE!$D$6:$D$10000,$C$5:$C$499)</f>
        <v>0</v>
      </c>
      <c r="BA39" s="72">
        <f>SUMIFS(SALE!$N$6:$N$10000,SALE!$A$6:$A$10000,$AW$3,SALE!$D$6:$D$10000,$C$5:$C$499)</f>
        <v>0</v>
      </c>
      <c r="BB39" s="72">
        <f t="shared" si="30"/>
        <v>0</v>
      </c>
      <c r="BC39" s="72">
        <f>SUMIFS(SALE!$K$6:$K$10000,SALE!$A$6:$A$10000,$BB$3,SALE!$D$6:$D$10000,$C$5:$C$499)</f>
        <v>0</v>
      </c>
      <c r="BD39" s="72">
        <f>SUMIFS(SALE!$L$6:$L$10000,SALE!$A$6:$A$10000,$BB$3,SALE!$D$6:$D$10000,$C$5:$C$499)</f>
        <v>0</v>
      </c>
      <c r="BE39" s="72">
        <f>SUMIFS(SALE!$M$6:$M$10000,SALE!$A$6:$A$10000,$BB$3,SALE!$D$6:$D$10000,$C$5:$C$499)</f>
        <v>0</v>
      </c>
      <c r="BF39" s="72">
        <f>SUMIFS(SALE!$N$6:$N$10000,SALE!$A$6:$A$10000,$BB$3,SALE!$D$6:$D$10000,$C$5:$C$499)</f>
        <v>0</v>
      </c>
      <c r="BG39" s="72">
        <f t="shared" si="31"/>
        <v>0</v>
      </c>
      <c r="BH39" s="72">
        <f>SUMIFS(SALE!$K$6:$K$10000,SALE!$A$6:$A$10000,$BG$3,SALE!$D$6:$D$10000,$C$5:$C$499)</f>
        <v>0</v>
      </c>
      <c r="BI39" s="72">
        <f>SUMIFS(SALE!$L$6:$L$10000,SALE!$A$6:$A$10000,$BG$3,SALE!$D$6:$D$10000,$C$5:$C$499)</f>
        <v>0</v>
      </c>
      <c r="BJ39" s="72">
        <f>SUMIFS(SALE!$M$6:$M$10000,SALE!$A$6:$A$10000,$BG$3,SALE!$D$6:$D$10000,$C$5:$C$499)</f>
        <v>0</v>
      </c>
      <c r="BK39" s="72">
        <f>SUMIFS(SALE!$N$6:$N$10000,SALE!$A$6:$A$10000,$BG$3,SALE!$D$6:$D$10000,$C$5:$C$499)</f>
        <v>0</v>
      </c>
      <c r="BL39" s="72">
        <f t="shared" si="32"/>
        <v>0</v>
      </c>
      <c r="BM39" s="72">
        <f t="shared" si="33"/>
        <v>0</v>
      </c>
      <c r="BN39" s="72">
        <f t="shared" si="34"/>
        <v>0</v>
      </c>
      <c r="BO39" s="72">
        <f t="shared" si="35"/>
        <v>0</v>
      </c>
      <c r="BP39" s="72">
        <f t="shared" si="36"/>
        <v>0</v>
      </c>
    </row>
    <row r="40" spans="1:68" x14ac:dyDescent="0.2">
      <c r="D40" s="72">
        <f t="shared" si="20"/>
        <v>0</v>
      </c>
      <c r="E40" s="72">
        <f>SUMIFS(SALE!$K$6:$K$10000,SALE!$A$6:$A$10000,$D$3,SALE!$D$6:$D$10000,$C$5:$C$499)</f>
        <v>0</v>
      </c>
      <c r="F40" s="72">
        <f>SUMIFS(SALE!$L$6:$L$10000,SALE!$A$6:$A$10000,$D$3,SALE!$D$6:$D$10000,$C$5:$C$499)</f>
        <v>0</v>
      </c>
      <c r="G40" s="72">
        <f>SUMIFS(SALE!$M$6:$M$10000,SALE!$A$6:$A$10000,$D$3,SALE!$D$6:$D$10000,$C$5:$C$499)</f>
        <v>0</v>
      </c>
      <c r="H40" s="72">
        <f>SUMIFS(SALE!$N$6:$N$10000,SALE!$A$6:$A$10000,$D$3,SALE!$D$6:$D$10000,$C$5:$C$499)</f>
        <v>0</v>
      </c>
      <c r="I40" s="72">
        <f t="shared" si="21"/>
        <v>0</v>
      </c>
      <c r="J40" s="72">
        <f>SUMIFS(SALE!$K$6:$K$10000,SALE!$A$6:$A$10000,$I$3,SALE!$D$6:$D$10000,$C$5:$C$499)</f>
        <v>0</v>
      </c>
      <c r="K40" s="72">
        <f>SUMIFS(SALE!$L$6:$L$10000,SALE!$A$6:$A$10000,$I$3,SALE!$D$6:$D$10000,$C$5:$C$499)</f>
        <v>0</v>
      </c>
      <c r="L40" s="72">
        <f>SUMIFS(SALE!$M$6:$M$10000,SALE!$A$6:$A$10000,$I$3,SALE!$D$6:$D$10000,$C$5:$C$499)</f>
        <v>0</v>
      </c>
      <c r="M40" s="72">
        <f>SUMIFS(SALE!$N$6:$N$10000,SALE!$A$6:$A$10000,$I$3,SALE!$D$6:$D$10000,$C$5:$C$499)</f>
        <v>0</v>
      </c>
      <c r="N40" s="72">
        <f t="shared" si="22"/>
        <v>0</v>
      </c>
      <c r="O40" s="72">
        <f>SUMIFS(SALE!$K$6:$K$10000,SALE!$A$6:$A$10000,$N$3,SALE!$D$6:$D$10000,$C$5:$C$499)</f>
        <v>0</v>
      </c>
      <c r="P40" s="72">
        <f>SUMIFS(SALE!$L$6:$L$10000,SALE!$A$6:$A$10000,$N$3,SALE!$D$6:$D$10000,$C$5:$C$499)</f>
        <v>0</v>
      </c>
      <c r="Q40" s="72">
        <f>SUMIFS(SALE!$M$6:$M$10000,SALE!$A$6:$A$10000,$N$3,SALE!$D$6:$D$10000,$C$5:$C$499)</f>
        <v>0</v>
      </c>
      <c r="R40" s="72">
        <f>SUMIFS(SALE!$N$6:$N$10000,SALE!$A$6:$A$10000,$N$3,SALE!$D$6:$D$10000,$C$5:$C$499)</f>
        <v>0</v>
      </c>
      <c r="S40" s="72">
        <f t="shared" si="23"/>
        <v>0</v>
      </c>
      <c r="T40" s="72">
        <f>SUMIFS(SALE!$K$6:$K$10000,SALE!$A$6:$A$10000,$N$3,SALE!$D$6:$D$10000,$C$5:$C$499)</f>
        <v>0</v>
      </c>
      <c r="U40" s="72">
        <f>SUMIFS(SALE!$L$6:$L$10000,SALE!$A$6:$A$10000,$N$3,SALE!$D$6:$D$10000,$C$5:$C$499)</f>
        <v>0</v>
      </c>
      <c r="V40" s="72">
        <f>SUMIFS(SALE!$M$6:$M$10000,SALE!$A$6:$A$10000,$N$3,SALE!$D$6:$D$10000,$C$5:$C$499)</f>
        <v>0</v>
      </c>
      <c r="W40" s="72">
        <f>SUMIFS(SALE!$N$6:$N$10000,SALE!$A$6:$A$10000,$N$3,SALE!$D$6:$D$10000,$C$5:$C$499)</f>
        <v>0</v>
      </c>
      <c r="X40" s="72">
        <f t="shared" si="24"/>
        <v>0</v>
      </c>
      <c r="Y40" s="72">
        <f>SUMIFS(SALE!$K$6:$K$10000,SALE!$A$6:$A$10000,$X$3,SALE!$D$6:$D$10000,$C$5:$C$499)</f>
        <v>0</v>
      </c>
      <c r="Z40" s="72">
        <f>SUMIFS(SALE!$L$6:$L$10000,SALE!$A$6:$A$10000,$X$3,SALE!$D$6:$D$10000,$C$5:$C$499)</f>
        <v>0</v>
      </c>
      <c r="AA40" s="72">
        <f>SUMIFS(SALE!$M$6:$M$10000,SALE!$A$6:$A$10000,$X$3,SALE!$D$6:$D$10000,$C$5:$C$499)</f>
        <v>0</v>
      </c>
      <c r="AB40" s="72">
        <f>SUMIFS(SALE!$N$6:$N$10000,SALE!$A$6:$A$10000,$X$3,SALE!$D$6:$D$10000,$C$5:$C$499)</f>
        <v>0</v>
      </c>
      <c r="AC40" s="72">
        <f t="shared" si="25"/>
        <v>0</v>
      </c>
      <c r="AD40" s="72">
        <f>SUMIFS(SALE!$K$6:$K$10000,SALE!$A$6:$A$10000,$AC$3,SALE!$D$6:$D$10000,$C$5:$C$499)</f>
        <v>0</v>
      </c>
      <c r="AE40" s="72">
        <f>SUMIFS(SALE!$L$6:$L$10000,SALE!$A$6:$A$10000,$AC$3,SALE!$D$6:$D$10000,$C$5:$C$499)</f>
        <v>0</v>
      </c>
      <c r="AF40" s="72">
        <f>SUMIFS(SALE!$M$6:$M$10000,SALE!$A$6:$A$10000,$AC$3,SALE!$D$6:$D$10000,$C$5:$C$499)</f>
        <v>0</v>
      </c>
      <c r="AG40" s="72">
        <f>SUMIFS(SALE!$N$6:$N$10000,SALE!$A$6:$A$10000,$AC$3,SALE!$D$6:$D$10000,$C$5:$C$499)</f>
        <v>0</v>
      </c>
      <c r="AH40" s="72">
        <f t="shared" si="26"/>
        <v>0</v>
      </c>
      <c r="AI40" s="72">
        <f>SUMIFS(SALE!$K$6:$K$10000,SALE!$A$6:$A$10000,$AH$3,SALE!$D$6:$D$10000,$C$5:$C$499)</f>
        <v>0</v>
      </c>
      <c r="AJ40" s="72">
        <f>SUMIFS(SALE!$L$6:$L$10000,SALE!$A$6:$A$10000,$AH$3,SALE!$D$6:$D$10000,$C$5:$C$499)</f>
        <v>0</v>
      </c>
      <c r="AK40" s="72">
        <f>SUMIFS(SALE!$M$6:$M$10000,SALE!$A$6:$A$10000,$AH$3,SALE!$D$6:$D$10000,$C$5:$C$499)</f>
        <v>0</v>
      </c>
      <c r="AL40" s="72">
        <f>SUMIFS(SALE!$N$6:$N$10000,SALE!$A$6:$A$10000,$AH$3,SALE!$D$6:$D$10000,$C$5:$C$499)</f>
        <v>0</v>
      </c>
      <c r="AM40" s="72">
        <f t="shared" si="27"/>
        <v>0</v>
      </c>
      <c r="AN40" s="72">
        <f>SUMIFS(SALE!$K$6:$K$10000,SALE!$A$6:$A$10000,$AM$3,SALE!$D$6:$D$10000,$C$5:$C$499)</f>
        <v>0</v>
      </c>
      <c r="AO40" s="72">
        <f>SUMIFS(SALE!$L$6:$L$10000,SALE!$A$6:$A$10000,$AM$3,SALE!$D$6:$D$10000,$C$5:$C$499)</f>
        <v>0</v>
      </c>
      <c r="AP40" s="72">
        <f>SUMIFS(SALE!$M$6:$M$10000,SALE!$A$6:$A$10000,$AM$3,SALE!$D$6:$D$10000,$C$5:$C$499)</f>
        <v>0</v>
      </c>
      <c r="AQ40" s="72">
        <f>SUMIFS(SALE!$N$6:$N$10000,SALE!$A$6:$A$10000,$AM$3,SALE!$D$6:$D$10000,$C$5:$C$499)</f>
        <v>0</v>
      </c>
      <c r="AR40" s="72">
        <f t="shared" si="28"/>
        <v>0</v>
      </c>
      <c r="AS40" s="72">
        <f>SUMIFS(SALE!$K$6:$K$10000,SALE!$A$6:$A$10000,$AR$3,SALE!$D$6:$D$10000,$C$5:$C$499)</f>
        <v>0</v>
      </c>
      <c r="AT40" s="72">
        <f>SUMIFS(SALE!$L$6:$L$10000,SALE!$A$6:$A$10000,$AR$3,SALE!$D$6:$D$10000,$C$5:$C$499)</f>
        <v>0</v>
      </c>
      <c r="AU40" s="72">
        <f>SUMIFS(SALE!$M$6:$M$10000,SALE!$A$6:$A$10000,$AR$3,SALE!$D$6:$D$10000,$C$5:$C$499)</f>
        <v>0</v>
      </c>
      <c r="AV40" s="72">
        <f>SUMIFS(SALE!$N$6:$N$10000,SALE!$A$6:$A$10000,$AR$3,SALE!$D$6:$D$10000,$C$5:$C$499)</f>
        <v>0</v>
      </c>
      <c r="AW40" s="72">
        <f t="shared" si="29"/>
        <v>0</v>
      </c>
      <c r="AX40" s="72">
        <f>SUMIFS(SALE!$K$6:$K$10000,SALE!$A$6:$A$10000,$AW$3,SALE!$D$6:$D$10000,$C$5:$C$499)</f>
        <v>0</v>
      </c>
      <c r="AY40" s="72">
        <f>SUMIFS(SALE!$L$6:$L$10000,SALE!$A$6:$A$10000,$AW$3,SALE!$D$6:$D$10000,$C$5:$C$499)</f>
        <v>0</v>
      </c>
      <c r="AZ40" s="72">
        <f>SUMIFS(SALE!$M$6:$M$10000,SALE!$A$6:$A$10000,$AW$3,SALE!$D$6:$D$10000,$C$5:$C$499)</f>
        <v>0</v>
      </c>
      <c r="BA40" s="72">
        <f>SUMIFS(SALE!$N$6:$N$10000,SALE!$A$6:$A$10000,$AW$3,SALE!$D$6:$D$10000,$C$5:$C$499)</f>
        <v>0</v>
      </c>
      <c r="BB40" s="72">
        <f t="shared" si="30"/>
        <v>0</v>
      </c>
      <c r="BC40" s="72">
        <f>SUMIFS(SALE!$K$6:$K$10000,SALE!$A$6:$A$10000,$BB$3,SALE!$D$6:$D$10000,$C$5:$C$499)</f>
        <v>0</v>
      </c>
      <c r="BD40" s="72">
        <f>SUMIFS(SALE!$L$6:$L$10000,SALE!$A$6:$A$10000,$BB$3,SALE!$D$6:$D$10000,$C$5:$C$499)</f>
        <v>0</v>
      </c>
      <c r="BE40" s="72">
        <f>SUMIFS(SALE!$M$6:$M$10000,SALE!$A$6:$A$10000,$BB$3,SALE!$D$6:$D$10000,$C$5:$C$499)</f>
        <v>0</v>
      </c>
      <c r="BF40" s="72">
        <f>SUMIFS(SALE!$N$6:$N$10000,SALE!$A$6:$A$10000,$BB$3,SALE!$D$6:$D$10000,$C$5:$C$499)</f>
        <v>0</v>
      </c>
      <c r="BG40" s="72">
        <f t="shared" si="31"/>
        <v>0</v>
      </c>
      <c r="BH40" s="72">
        <f>SUMIFS(SALE!$K$6:$K$10000,SALE!$A$6:$A$10000,$BG$3,SALE!$D$6:$D$10000,$C$5:$C$499)</f>
        <v>0</v>
      </c>
      <c r="BI40" s="72">
        <f>SUMIFS(SALE!$L$6:$L$10000,SALE!$A$6:$A$10000,$BG$3,SALE!$D$6:$D$10000,$C$5:$C$499)</f>
        <v>0</v>
      </c>
      <c r="BJ40" s="72">
        <f>SUMIFS(SALE!$M$6:$M$10000,SALE!$A$6:$A$10000,$BG$3,SALE!$D$6:$D$10000,$C$5:$C$499)</f>
        <v>0</v>
      </c>
      <c r="BK40" s="72">
        <f>SUMIFS(SALE!$N$6:$N$10000,SALE!$A$6:$A$10000,$BG$3,SALE!$D$6:$D$10000,$C$5:$C$499)</f>
        <v>0</v>
      </c>
      <c r="BL40" s="72">
        <f t="shared" si="32"/>
        <v>0</v>
      </c>
      <c r="BM40" s="72">
        <f t="shared" si="33"/>
        <v>0</v>
      </c>
      <c r="BN40" s="72">
        <f t="shared" si="34"/>
        <v>0</v>
      </c>
      <c r="BO40" s="72">
        <f t="shared" si="35"/>
        <v>0</v>
      </c>
      <c r="BP40" s="72">
        <f t="shared" si="36"/>
        <v>0</v>
      </c>
    </row>
    <row r="41" spans="1:68" x14ac:dyDescent="0.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f t="shared" si="3"/>
        <v>0</v>
      </c>
      <c r="BM41" s="72">
        <f t="shared" si="4"/>
        <v>0</v>
      </c>
      <c r="BN41" s="72">
        <f t="shared" si="5"/>
        <v>0</v>
      </c>
      <c r="BO41" s="72">
        <f t="shared" si="6"/>
        <v>0</v>
      </c>
      <c r="BP41" s="72">
        <f t="shared" si="7"/>
        <v>0</v>
      </c>
    </row>
    <row r="42" spans="1:68" x14ac:dyDescent="0.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f t="shared" si="3"/>
        <v>0</v>
      </c>
      <c r="BM42" s="72">
        <f t="shared" si="4"/>
        <v>0</v>
      </c>
      <c r="BN42" s="72">
        <f t="shared" si="5"/>
        <v>0</v>
      </c>
      <c r="BO42" s="72">
        <f t="shared" si="6"/>
        <v>0</v>
      </c>
      <c r="BP42" s="72">
        <f t="shared" si="7"/>
        <v>0</v>
      </c>
    </row>
    <row r="43" spans="1:68" x14ac:dyDescent="0.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f t="shared" si="3"/>
        <v>0</v>
      </c>
      <c r="BM43" s="72">
        <f t="shared" si="4"/>
        <v>0</v>
      </c>
      <c r="BN43" s="72">
        <f t="shared" si="5"/>
        <v>0</v>
      </c>
      <c r="BO43" s="72">
        <f t="shared" si="6"/>
        <v>0</v>
      </c>
      <c r="BP43" s="72">
        <f t="shared" si="7"/>
        <v>0</v>
      </c>
    </row>
    <row r="44" spans="1:68" x14ac:dyDescent="0.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f t="shared" si="3"/>
        <v>0</v>
      </c>
      <c r="BM44" s="72">
        <f t="shared" si="4"/>
        <v>0</v>
      </c>
      <c r="BN44" s="72">
        <f t="shared" si="5"/>
        <v>0</v>
      </c>
      <c r="BO44" s="72">
        <f t="shared" si="6"/>
        <v>0</v>
      </c>
      <c r="BP44" s="72">
        <f t="shared" si="7"/>
        <v>0</v>
      </c>
    </row>
    <row r="45" spans="1:68" x14ac:dyDescent="0.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f t="shared" si="3"/>
        <v>0</v>
      </c>
      <c r="BM45" s="72">
        <f t="shared" si="4"/>
        <v>0</v>
      </c>
      <c r="BN45" s="72">
        <f t="shared" si="5"/>
        <v>0</v>
      </c>
      <c r="BO45" s="72">
        <f t="shared" si="6"/>
        <v>0</v>
      </c>
      <c r="BP45" s="72">
        <f t="shared" si="7"/>
        <v>0</v>
      </c>
    </row>
    <row r="46" spans="1:68" x14ac:dyDescent="0.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f t="shared" si="3"/>
        <v>0</v>
      </c>
      <c r="BM46" s="72">
        <f t="shared" si="4"/>
        <v>0</v>
      </c>
      <c r="BN46" s="72">
        <f t="shared" si="5"/>
        <v>0</v>
      </c>
      <c r="BO46" s="72">
        <f t="shared" si="6"/>
        <v>0</v>
      </c>
      <c r="BP46" s="72">
        <f t="shared" si="7"/>
        <v>0</v>
      </c>
    </row>
    <row r="47" spans="1:68" x14ac:dyDescent="0.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f t="shared" si="3"/>
        <v>0</v>
      </c>
      <c r="BM47" s="72">
        <f t="shared" si="4"/>
        <v>0</v>
      </c>
      <c r="BN47" s="72">
        <f t="shared" si="5"/>
        <v>0</v>
      </c>
      <c r="BO47" s="72">
        <f t="shared" si="6"/>
        <v>0</v>
      </c>
      <c r="BP47" s="72">
        <f t="shared" si="7"/>
        <v>0</v>
      </c>
    </row>
  </sheetData>
  <mergeCells count="13">
    <mergeCell ref="BL3:BP3"/>
    <mergeCell ref="AH3:AL3"/>
    <mergeCell ref="D3:H3"/>
    <mergeCell ref="I3:M3"/>
    <mergeCell ref="N3:R3"/>
    <mergeCell ref="S3:W3"/>
    <mergeCell ref="X3:AB3"/>
    <mergeCell ref="AC3:AG3"/>
    <mergeCell ref="AM3:AQ3"/>
    <mergeCell ref="AR3:AV3"/>
    <mergeCell ref="AW3:BA3"/>
    <mergeCell ref="BB3:BF3"/>
    <mergeCell ref="BG3:BK3"/>
  </mergeCells>
  <conditionalFormatting sqref="C11:C12">
    <cfRule type="duplicateValues" dxfId="188" priority="2"/>
  </conditionalFormatting>
  <conditionalFormatting sqref="B11:B12">
    <cfRule type="duplicateValues" dxfId="187" priority="5"/>
  </conditionalFormatting>
  <conditionalFormatting sqref="C11:C12">
    <cfRule type="duplicateValues" dxfId="186" priority="4"/>
  </conditionalFormatting>
  <conditionalFormatting sqref="C11:C12">
    <cfRule type="duplicateValues" dxfId="185" priority="3"/>
  </conditionalFormatting>
  <conditionalFormatting sqref="B5:C35">
    <cfRule type="duplicateValues" dxfId="184" priority="1"/>
  </conditionalFormatting>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347"/>
  <sheetViews>
    <sheetView workbookViewId="0"/>
  </sheetViews>
  <sheetFormatPr defaultColWidth="9.109375" defaultRowHeight="10.199999999999999" x14ac:dyDescent="0.2"/>
  <cols>
    <col min="1" max="1" width="12.109375" style="11" bestFit="1" customWidth="1"/>
    <col min="2" max="2" width="24.77734375" style="11" customWidth="1"/>
    <col min="3" max="4" width="13.109375" style="11" bestFit="1" customWidth="1"/>
    <col min="5" max="7" width="11" style="11" bestFit="1" customWidth="1"/>
    <col min="8" max="8" width="13.88671875" style="11" bestFit="1" customWidth="1"/>
    <col min="9" max="9" width="13.109375" style="11" bestFit="1" customWidth="1"/>
    <col min="10" max="12" width="12.6640625" style="11" bestFit="1" customWidth="1"/>
    <col min="13" max="14" width="13.109375" style="11" bestFit="1" customWidth="1"/>
    <col min="15" max="17" width="11" style="11" bestFit="1" customWidth="1"/>
    <col min="18" max="18" width="13.88671875" style="11" bestFit="1" customWidth="1"/>
    <col min="19" max="19" width="13.109375" style="11" bestFit="1" customWidth="1"/>
    <col min="20" max="20" width="11" style="11" bestFit="1" customWidth="1"/>
    <col min="21" max="22" width="12.6640625" style="11" bestFit="1" customWidth="1"/>
    <col min="23" max="23" width="13.88671875" style="11" bestFit="1" customWidth="1"/>
    <col min="24" max="24" width="13.109375" style="11" bestFit="1" customWidth="1"/>
    <col min="25" max="25" width="9.88671875" style="11" bestFit="1" customWidth="1"/>
    <col min="26" max="27" width="11" style="11" bestFit="1" customWidth="1"/>
    <col min="28" max="28" width="13.88671875" style="11" bestFit="1" customWidth="1"/>
    <col min="29" max="29" width="13.109375" style="11" bestFit="1" customWidth="1"/>
    <col min="30" max="32" width="11" style="11" bestFit="1" customWidth="1"/>
    <col min="33" max="34" width="13.88671875" style="11" bestFit="1" customWidth="1"/>
    <col min="35" max="37" width="12.6640625" style="11" bestFit="1" customWidth="1"/>
    <col min="38" max="62" width="9.33203125" style="11" bestFit="1" customWidth="1"/>
    <col min="63" max="63" width="15.77734375" style="11" bestFit="1" customWidth="1"/>
    <col min="64" max="64" width="14.44140625" style="11" bestFit="1" customWidth="1"/>
    <col min="65" max="65" width="12.6640625" style="11" bestFit="1" customWidth="1"/>
    <col min="66" max="67" width="13.109375" style="11" bestFit="1" customWidth="1"/>
    <col min="68" max="16384" width="9.109375" style="11"/>
  </cols>
  <sheetData>
    <row r="1" spans="1:67" ht="11.4" thickTop="1" thickBot="1" x14ac:dyDescent="0.25">
      <c r="A1" s="505"/>
      <c r="B1" s="506" t="s">
        <v>347</v>
      </c>
      <c r="C1" s="463">
        <f>SUM(C4:C10000)</f>
        <v>5598821.5953999991</v>
      </c>
      <c r="D1" s="463">
        <f t="shared" ref="D1:AK1" si="0">SUM(D4:D10000)</f>
        <v>4595380.58</v>
      </c>
      <c r="E1" s="463">
        <f t="shared" si="0"/>
        <v>89585.376799999998</v>
      </c>
      <c r="F1" s="463">
        <f t="shared" si="0"/>
        <v>456927.81930000003</v>
      </c>
      <c r="G1" s="463">
        <f t="shared" si="0"/>
        <v>456927.81930000003</v>
      </c>
      <c r="H1" s="463">
        <f>SUM(H4:H10000)</f>
        <v>5594920.3707999997</v>
      </c>
      <c r="I1" s="463">
        <f t="shared" si="0"/>
        <v>4583377.6599999992</v>
      </c>
      <c r="J1" s="463">
        <f t="shared" si="0"/>
        <v>139070.23000000001</v>
      </c>
      <c r="K1" s="463">
        <f t="shared" si="0"/>
        <v>436236.24039999995</v>
      </c>
      <c r="L1" s="463">
        <f t="shared" si="0"/>
        <v>436236.24039999995</v>
      </c>
      <c r="M1" s="463">
        <f>SUM(M4:M10000)</f>
        <v>5598821.5953999991</v>
      </c>
      <c r="N1" s="463">
        <f t="shared" si="0"/>
        <v>4595380.58</v>
      </c>
      <c r="O1" s="463">
        <f t="shared" si="0"/>
        <v>89585.376799999998</v>
      </c>
      <c r="P1" s="463">
        <f t="shared" si="0"/>
        <v>456927.81930000003</v>
      </c>
      <c r="Q1" s="463">
        <f t="shared" si="0"/>
        <v>456927.81930000003</v>
      </c>
      <c r="R1" s="463">
        <f>SUM(R4:R10000)</f>
        <v>7738989.4287999999</v>
      </c>
      <c r="S1" s="463">
        <f t="shared" si="0"/>
        <v>6370302.5599999996</v>
      </c>
      <c r="T1" s="463">
        <f t="shared" si="0"/>
        <v>69285.56</v>
      </c>
      <c r="U1" s="463">
        <f t="shared" si="0"/>
        <v>649700.6544</v>
      </c>
      <c r="V1" s="463">
        <f t="shared" si="0"/>
        <v>649700.6544</v>
      </c>
      <c r="W1" s="463">
        <f>SUM(W4:W10000)</f>
        <v>5173852.6940000001</v>
      </c>
      <c r="X1" s="463">
        <f t="shared" si="0"/>
        <v>4354870.6500000004</v>
      </c>
      <c r="Y1" s="463">
        <f t="shared" si="0"/>
        <v>10977.877199999999</v>
      </c>
      <c r="Z1" s="463">
        <f t="shared" si="0"/>
        <v>404002.0834</v>
      </c>
      <c r="AA1" s="463">
        <f t="shared" si="0"/>
        <v>404002.0834</v>
      </c>
      <c r="AB1" s="463">
        <f>SUM(AB4:AB10000)</f>
        <v>4631116.2966</v>
      </c>
      <c r="AC1" s="463">
        <f t="shared" si="0"/>
        <v>3808835.2200000007</v>
      </c>
      <c r="AD1" s="463">
        <f t="shared" si="0"/>
        <v>57463.603599999988</v>
      </c>
      <c r="AE1" s="463">
        <f t="shared" si="0"/>
        <v>382408.7365</v>
      </c>
      <c r="AF1" s="463">
        <f t="shared" si="0"/>
        <v>382408.7365</v>
      </c>
      <c r="AG1" s="463">
        <f>SUM(AG4:AG10000)</f>
        <v>5522929.9991999995</v>
      </c>
      <c r="AH1" s="463">
        <f t="shared" si="0"/>
        <v>4591964.9399999995</v>
      </c>
      <c r="AI1" s="463">
        <f t="shared" si="0"/>
        <v>176954.97999999998</v>
      </c>
      <c r="AJ1" s="463">
        <f t="shared" si="0"/>
        <v>377005.03960000008</v>
      </c>
      <c r="AK1" s="463">
        <f t="shared" si="0"/>
        <v>377005.03960000008</v>
      </c>
      <c r="AL1" s="463">
        <f>SUM(AL4:AL10000)</f>
        <v>3990244.8932000003</v>
      </c>
      <c r="AM1" s="463">
        <f t="shared" ref="AM1:AP1" si="1">SUM(AM4:AM10000)</f>
        <v>3306535.1300000004</v>
      </c>
      <c r="AN1" s="463">
        <f t="shared" si="1"/>
        <v>28467.498000000003</v>
      </c>
      <c r="AO1" s="463">
        <f t="shared" si="1"/>
        <v>327621.13260000001</v>
      </c>
      <c r="AP1" s="463">
        <f t="shared" si="1"/>
        <v>327621.13260000001</v>
      </c>
      <c r="AQ1" s="463">
        <f>SUM(AQ4:AQ10000)</f>
        <v>3921997.6685999995</v>
      </c>
      <c r="AR1" s="463">
        <f t="shared" ref="AR1:AU1" si="2">SUM(AR4:AR10000)</f>
        <v>3249709.8699999996</v>
      </c>
      <c r="AS1" s="463">
        <f t="shared" si="2"/>
        <v>46090.3992</v>
      </c>
      <c r="AT1" s="463">
        <f t="shared" si="2"/>
        <v>313098.6997</v>
      </c>
      <c r="AU1" s="463">
        <f t="shared" si="2"/>
        <v>313098.6997</v>
      </c>
      <c r="AV1" s="463">
        <f>SUM(AV4:AV10000)</f>
        <v>2191782.4721999997</v>
      </c>
      <c r="AW1" s="463">
        <f t="shared" ref="AW1:AZ1" si="3">SUM(AW4:AW10000)</f>
        <v>1803627.34</v>
      </c>
      <c r="AX1" s="463">
        <f t="shared" si="3"/>
        <v>23052.937600000001</v>
      </c>
      <c r="AY1" s="463">
        <f t="shared" si="3"/>
        <v>182551.09729999999</v>
      </c>
      <c r="AZ1" s="463">
        <f t="shared" si="3"/>
        <v>182551.09729999999</v>
      </c>
      <c r="BA1" s="463">
        <f>SUM(BA4:BA10000)</f>
        <v>0</v>
      </c>
      <c r="BB1" s="463">
        <f t="shared" ref="BB1:BE1" si="4">SUM(BB4:BB10000)</f>
        <v>0</v>
      </c>
      <c r="BC1" s="463">
        <f t="shared" si="4"/>
        <v>0</v>
      </c>
      <c r="BD1" s="463">
        <f t="shared" si="4"/>
        <v>0</v>
      </c>
      <c r="BE1" s="463">
        <f t="shared" si="4"/>
        <v>0</v>
      </c>
      <c r="BF1" s="463">
        <f>SUM(BF4:BF10000)</f>
        <v>0</v>
      </c>
      <c r="BG1" s="463">
        <f t="shared" ref="BG1:BJ1" si="5">SUM(BG4:BG10000)</f>
        <v>0</v>
      </c>
      <c r="BH1" s="463">
        <f t="shared" si="5"/>
        <v>0</v>
      </c>
      <c r="BI1" s="463">
        <f t="shared" si="5"/>
        <v>0</v>
      </c>
      <c r="BJ1" s="463">
        <f t="shared" si="5"/>
        <v>0</v>
      </c>
      <c r="BK1" s="463">
        <f>SUM(BK4:BK9994)</f>
        <v>49963477.014200024</v>
      </c>
      <c r="BL1" s="463">
        <f>SUM(BL4:BL9994)</f>
        <v>41259984.529999994</v>
      </c>
      <c r="BM1" s="463">
        <f>SUM(BM4:BM9994)</f>
        <v>730533.83920000005</v>
      </c>
      <c r="BN1" s="463">
        <f>SUM(BN4:BN9994)</f>
        <v>3986479.3224999979</v>
      </c>
      <c r="BO1" s="463">
        <f>SUM(BO4:BO9994)</f>
        <v>3986479.3224999979</v>
      </c>
    </row>
    <row r="2" spans="1:67" ht="15" customHeight="1" thickTop="1" thickBot="1" x14ac:dyDescent="0.25">
      <c r="A2" s="505"/>
      <c r="B2" s="506"/>
      <c r="C2" s="1458">
        <v>43556</v>
      </c>
      <c r="D2" s="1458"/>
      <c r="E2" s="1458"/>
      <c r="F2" s="1458"/>
      <c r="G2" s="1459"/>
      <c r="H2" s="1460">
        <v>43586</v>
      </c>
      <c r="I2" s="1461"/>
      <c r="J2" s="1461"/>
      <c r="K2" s="1461"/>
      <c r="L2" s="1462"/>
      <c r="M2" s="1463">
        <v>43617</v>
      </c>
      <c r="N2" s="1464"/>
      <c r="O2" s="1464"/>
      <c r="P2" s="1464"/>
      <c r="Q2" s="1465"/>
      <c r="R2" s="1459">
        <v>43647</v>
      </c>
      <c r="S2" s="1466"/>
      <c r="T2" s="1466"/>
      <c r="U2" s="1466"/>
      <c r="V2" s="1467"/>
      <c r="W2" s="1468">
        <v>43678</v>
      </c>
      <c r="X2" s="1469"/>
      <c r="Y2" s="1469"/>
      <c r="Z2" s="1469"/>
      <c r="AA2" s="1470"/>
      <c r="AB2" s="1187">
        <v>43709</v>
      </c>
      <c r="AC2" s="1188"/>
      <c r="AD2" s="1188"/>
      <c r="AE2" s="1188"/>
      <c r="AF2" s="1189"/>
      <c r="AG2" s="1455">
        <v>43739</v>
      </c>
      <c r="AH2" s="1456"/>
      <c r="AI2" s="1456"/>
      <c r="AJ2" s="1456"/>
      <c r="AK2" s="1457"/>
      <c r="AL2" s="1455">
        <v>43770</v>
      </c>
      <c r="AM2" s="1456"/>
      <c r="AN2" s="1456"/>
      <c r="AO2" s="1456"/>
      <c r="AP2" s="1457"/>
      <c r="AQ2" s="1455">
        <v>43800</v>
      </c>
      <c r="AR2" s="1456"/>
      <c r="AS2" s="1456"/>
      <c r="AT2" s="1456"/>
      <c r="AU2" s="1457"/>
      <c r="AV2" s="1455">
        <v>43831</v>
      </c>
      <c r="AW2" s="1456"/>
      <c r="AX2" s="1456"/>
      <c r="AY2" s="1456"/>
      <c r="AZ2" s="1457"/>
      <c r="BA2" s="1455">
        <v>43862</v>
      </c>
      <c r="BB2" s="1456"/>
      <c r="BC2" s="1456"/>
      <c r="BD2" s="1456"/>
      <c r="BE2" s="1457"/>
      <c r="BF2" s="1455">
        <v>43891</v>
      </c>
      <c r="BG2" s="1456"/>
      <c r="BH2" s="1456"/>
      <c r="BI2" s="1456"/>
      <c r="BJ2" s="1457"/>
      <c r="BK2" s="1187" t="s">
        <v>347</v>
      </c>
      <c r="BL2" s="1188"/>
      <c r="BM2" s="1188"/>
      <c r="BN2" s="1188"/>
      <c r="BO2" s="1189"/>
    </row>
    <row r="3" spans="1:67" ht="11.4" thickTop="1" thickBot="1" x14ac:dyDescent="0.25">
      <c r="A3" s="507" t="s">
        <v>9</v>
      </c>
      <c r="B3" s="508" t="s">
        <v>368</v>
      </c>
      <c r="C3" s="466" t="s">
        <v>347</v>
      </c>
      <c r="D3" s="466" t="s">
        <v>369</v>
      </c>
      <c r="E3" s="466" t="s">
        <v>16</v>
      </c>
      <c r="F3" s="466" t="s">
        <v>17</v>
      </c>
      <c r="G3" s="466" t="s">
        <v>18</v>
      </c>
      <c r="H3" s="466" t="s">
        <v>347</v>
      </c>
      <c r="I3" s="466" t="s">
        <v>367</v>
      </c>
      <c r="J3" s="466" t="s">
        <v>16</v>
      </c>
      <c r="K3" s="466" t="s">
        <v>17</v>
      </c>
      <c r="L3" s="466" t="s">
        <v>18</v>
      </c>
      <c r="M3" s="466" t="s">
        <v>347</v>
      </c>
      <c r="N3" s="466" t="s">
        <v>367</v>
      </c>
      <c r="O3" s="466" t="s">
        <v>16</v>
      </c>
      <c r="P3" s="466" t="s">
        <v>17</v>
      </c>
      <c r="Q3" s="466" t="s">
        <v>18</v>
      </c>
      <c r="R3" s="466" t="s">
        <v>347</v>
      </c>
      <c r="S3" s="466" t="s">
        <v>367</v>
      </c>
      <c r="T3" s="466" t="s">
        <v>16</v>
      </c>
      <c r="U3" s="466" t="s">
        <v>17</v>
      </c>
      <c r="V3" s="466" t="s">
        <v>18</v>
      </c>
      <c r="W3" s="466" t="s">
        <v>347</v>
      </c>
      <c r="X3" s="466" t="s">
        <v>367</v>
      </c>
      <c r="Y3" s="466" t="s">
        <v>16</v>
      </c>
      <c r="Z3" s="466" t="s">
        <v>17</v>
      </c>
      <c r="AA3" s="466" t="s">
        <v>18</v>
      </c>
      <c r="AB3" s="466" t="s">
        <v>347</v>
      </c>
      <c r="AC3" s="466" t="s">
        <v>367</v>
      </c>
      <c r="AD3" s="466" t="s">
        <v>16</v>
      </c>
      <c r="AE3" s="466" t="s">
        <v>17</v>
      </c>
      <c r="AF3" s="466" t="s">
        <v>18</v>
      </c>
      <c r="AG3" s="466" t="s">
        <v>347</v>
      </c>
      <c r="AH3" s="466" t="s">
        <v>367</v>
      </c>
      <c r="AI3" s="466" t="s">
        <v>16</v>
      </c>
      <c r="AJ3" s="466" t="s">
        <v>17</v>
      </c>
      <c r="AK3" s="466" t="s">
        <v>18</v>
      </c>
      <c r="AL3" s="466" t="s">
        <v>347</v>
      </c>
      <c r="AM3" s="466" t="s">
        <v>367</v>
      </c>
      <c r="AN3" s="466" t="s">
        <v>16</v>
      </c>
      <c r="AO3" s="466" t="s">
        <v>17</v>
      </c>
      <c r="AP3" s="466" t="s">
        <v>18</v>
      </c>
      <c r="AQ3" s="466" t="s">
        <v>347</v>
      </c>
      <c r="AR3" s="466" t="s">
        <v>367</v>
      </c>
      <c r="AS3" s="466" t="s">
        <v>16</v>
      </c>
      <c r="AT3" s="466" t="s">
        <v>17</v>
      </c>
      <c r="AU3" s="466" t="s">
        <v>18</v>
      </c>
      <c r="AV3" s="466" t="s">
        <v>347</v>
      </c>
      <c r="AW3" s="466" t="s">
        <v>367</v>
      </c>
      <c r="AX3" s="466" t="s">
        <v>16</v>
      </c>
      <c r="AY3" s="466" t="s">
        <v>17</v>
      </c>
      <c r="AZ3" s="466" t="s">
        <v>18</v>
      </c>
      <c r="BA3" s="466" t="s">
        <v>347</v>
      </c>
      <c r="BB3" s="466" t="s">
        <v>367</v>
      </c>
      <c r="BC3" s="466" t="s">
        <v>16</v>
      </c>
      <c r="BD3" s="466" t="s">
        <v>17</v>
      </c>
      <c r="BE3" s="466" t="s">
        <v>18</v>
      </c>
      <c r="BF3" s="466" t="s">
        <v>347</v>
      </c>
      <c r="BG3" s="466" t="s">
        <v>367</v>
      </c>
      <c r="BH3" s="466" t="s">
        <v>16</v>
      </c>
      <c r="BI3" s="466" t="s">
        <v>17</v>
      </c>
      <c r="BJ3" s="466" t="s">
        <v>18</v>
      </c>
      <c r="BK3" s="466" t="s">
        <v>347</v>
      </c>
      <c r="BL3" s="466" t="s">
        <v>367</v>
      </c>
      <c r="BM3" s="466" t="s">
        <v>16</v>
      </c>
      <c r="BN3" s="466" t="s">
        <v>17</v>
      </c>
      <c r="BO3" s="466" t="s">
        <v>18</v>
      </c>
    </row>
    <row r="4" spans="1:67" x14ac:dyDescent="0.2">
      <c r="A4" s="509">
        <v>2501</v>
      </c>
      <c r="B4" s="467" t="s">
        <v>1177</v>
      </c>
      <c r="C4" s="510">
        <f>+D4+E4+F4+G4</f>
        <v>0</v>
      </c>
      <c r="D4" s="510">
        <f>SUMIFS(PURCHASE!$K$6:$K$10008,PURCHASE!$A$6:$A$10008,$M$2,PURCHASE!$H$6:$H$10008,$A$4:$A$2700)</f>
        <v>0</v>
      </c>
      <c r="E4" s="510">
        <f>SUMIFS(PURCHASE!$L$6:$L$10008,PURCHASE!$A$6:$A$10008,$M$2,PURCHASE!$H$6:$H$10008,$A$4:$A$2700)</f>
        <v>0</v>
      </c>
      <c r="F4" s="510">
        <f>SUMIFS(PURCHASE!$M$6:$M$10008,PURCHASE!$A$6:$A$10008,$M$2,PURCHASE!$H$6:$H$10008,$A$4:$A$2700)</f>
        <v>0</v>
      </c>
      <c r="G4" s="510">
        <f>SUMIFS(PURCHASE!$N$6:$N$10008,PURCHASE!$A$6:$A$10008,$M$2,PURCHASE!$H$6:$H$10008,$A$4:$A$2700)</f>
        <v>0</v>
      </c>
      <c r="H4" s="510">
        <f>+I4+J4+K4+L4</f>
        <v>0</v>
      </c>
      <c r="I4" s="510">
        <f>SUMIFS(PURCHASE!$K$6:$K$10008,PURCHASE!$A$6:$A$10008,$H$2,PURCHASE!$H$6:$H$10008,$A$4:$A$2700)</f>
        <v>0</v>
      </c>
      <c r="J4" s="510">
        <f>SUMIFS(PURCHASE!$L$6:$L$10008,PURCHASE!$A$6:$A$10008,$H$2,PURCHASE!$H$6:$H$10008,$A$4:$A$2700)</f>
        <v>0</v>
      </c>
      <c r="K4" s="510">
        <f>SUMIFS(PURCHASE!$M$6:$M$10008,PURCHASE!$A$6:$A$10008,$H$2,PURCHASE!$H$6:$H$10008,$A$4:$A$2700)</f>
        <v>0</v>
      </c>
      <c r="L4" s="510">
        <f>SUMIFS(PURCHASE!$N$6:$N$10008,PURCHASE!$A$6:$A$10008,$H$2,PURCHASE!$H$6:$H$10008,$A$4:$A$2700)</f>
        <v>0</v>
      </c>
      <c r="M4" s="510">
        <f>+N4+O4+P4+Q4</f>
        <v>0</v>
      </c>
      <c r="N4" s="510">
        <f>SUMIFS(PURCHASE!$K$6:$K$10008,PURCHASE!$A$6:$A$10008,$M$2,PURCHASE!$H$6:$H$10008,$A$4:$A$2700)</f>
        <v>0</v>
      </c>
      <c r="O4" s="510">
        <f>SUMIFS(PURCHASE!$L$6:$L$10008,PURCHASE!$A$6:$A$10008,$M$2,PURCHASE!$H$6:$H$10008,$A$4:$A$2700)</f>
        <v>0</v>
      </c>
      <c r="P4" s="510">
        <f>SUMIFS(PURCHASE!$M$6:$M$10008,PURCHASE!$A$6:$A$10008,$M$2,PURCHASE!$H$6:$H$10008,$A$4:$A$2700)</f>
        <v>0</v>
      </c>
      <c r="Q4" s="510">
        <f>SUMIFS(PURCHASE!$N$6:$N$10008,PURCHASE!$A$6:$A$10008,$M$2,PURCHASE!$H$6:$H$10008,$A$4:$A$2700)</f>
        <v>0</v>
      </c>
      <c r="R4" s="510">
        <f>+S4+T4+U4+V4</f>
        <v>0</v>
      </c>
      <c r="S4" s="510">
        <f>SUMIFS(PURCHASE!$K$6:$K$10008,PURCHASE!$A$6:$A$10008,$R$2,PURCHASE!$H$6:$H$10008,$A$4:$A$2700)</f>
        <v>0</v>
      </c>
      <c r="T4" s="510">
        <f>SUMIFS(PURCHASE!$L$6:$L$10008,PURCHASE!$A$6:$A$10008,$R$2,PURCHASE!$H$6:$H$10008,$A$4:$A$2700)</f>
        <v>0</v>
      </c>
      <c r="U4" s="510">
        <f>SUMIFS(PURCHASE!$M$6:$M$10008,PURCHASE!$A$6:$A$10008,$R$2,PURCHASE!$H$6:$H$10008,$A$4:$A$2700)</f>
        <v>0</v>
      </c>
      <c r="V4" s="510">
        <f>SUMIFS(PURCHASE!$N$6:$N$10008,PURCHASE!$A$6:$A$10008,$R$2,PURCHASE!$H$6:$H$10008,$A$4:$A$2700)</f>
        <v>0</v>
      </c>
      <c r="W4" s="510">
        <f>+X4+Y4+Z4+AA4</f>
        <v>0</v>
      </c>
      <c r="X4" s="510">
        <f>SUMIFS(PURCHASE!$K$6:$K$10008,PURCHASE!$A$6:$A$10008,$W$2,PURCHASE!$H$6:$H$10008,$A$4:$A$2700)</f>
        <v>0</v>
      </c>
      <c r="Y4" s="510">
        <f>SUMIFS(PURCHASE!$L$6:$L$10008,PURCHASE!$A$6:$A$10008,$W$2,PURCHASE!$H$6:$H$10008,$A$4:$A$2700)</f>
        <v>0</v>
      </c>
      <c r="Z4" s="510">
        <f>SUMIFS(PURCHASE!$M$6:$M$10008,PURCHASE!$A$6:$A$10008,$W$2,PURCHASE!$H$6:$H$10008,$A$4:$A$2700)</f>
        <v>0</v>
      </c>
      <c r="AA4" s="510">
        <f>SUMIFS(PURCHASE!$N$6:$N$10008,PURCHASE!$A$6:$A$10008,$W$2,PURCHASE!$H$6:$H$10008,$A$4:$A$2700)</f>
        <v>0</v>
      </c>
      <c r="AB4" s="510">
        <f>+AC4+AD4+AE4+AF4</f>
        <v>0</v>
      </c>
      <c r="AC4" s="510">
        <f>SUMIFS(PURCHASE!$K$6:$K$10008,PURCHASE!$A$6:$A$10008,$AB$2,PURCHASE!$H$6:$H$10008,$A$4:$A$2700)</f>
        <v>0</v>
      </c>
      <c r="AD4" s="510">
        <f>SUMIFS(PURCHASE!$L$6:$L$10008,PURCHASE!$A$6:$A$10008,$AB$2,PURCHASE!$H$6:$H$10008,$A$4:$A$2700)</f>
        <v>0</v>
      </c>
      <c r="AE4" s="510">
        <f>SUMIFS(PURCHASE!$M$6:$M$10008,PURCHASE!$A$6:$A$10008,$AB$2,PURCHASE!$H$6:$H$10008,$A$4:$A$2700)</f>
        <v>0</v>
      </c>
      <c r="AF4" s="510">
        <f>SUMIFS(PURCHASE!$N$6:$N$10008,PURCHASE!$A$6:$A$10008,$AB$2,PURCHASE!$H$6:$H$10008,$A$4:$A$2700)</f>
        <v>0</v>
      </c>
      <c r="AG4" s="510">
        <f>+AH4+AI4+AJ4+AK4</f>
        <v>0</v>
      </c>
      <c r="AH4" s="510">
        <f>SUMIFS(PURCHASE!$K$6:$K$10008,PURCHASE!$A$6:$A$10008,$AG$2,PURCHASE!$H$6:$H$10008,$A$4:$A$2700)</f>
        <v>0</v>
      </c>
      <c r="AI4" s="510">
        <f>SUMIFS(PURCHASE!$L$6:$L$10008,PURCHASE!$A$6:$A$10008,$AG$2,PURCHASE!$H$6:$H$10008,$A$4:$A$2700)</f>
        <v>0</v>
      </c>
      <c r="AJ4" s="510">
        <f>SUMIFS(PURCHASE!$M$6:$M$10008,PURCHASE!$A$6:$A$10008,$AG$2,PURCHASE!$H$6:$H$10008,$A$4:$A$2700)</f>
        <v>0</v>
      </c>
      <c r="AK4" s="510">
        <f>SUMIFS(PURCHASE!$N$6:$N$10008,PURCHASE!$A$6:$A$10008,$AG$2,PURCHASE!$H$6:$H$10008,$A$4:$A$2700)</f>
        <v>0</v>
      </c>
      <c r="AL4" s="510">
        <f>+AM4+AN4+AO4+AP4</f>
        <v>0</v>
      </c>
      <c r="AM4" s="510">
        <f>SUMIFS(PURCHASE!$K$6:$K$10008,PURCHASE!$A$6:$A$10008,$AL$2,PURCHASE!$H$6:$H$10008,$A$4:$A$2700)</f>
        <v>0</v>
      </c>
      <c r="AN4" s="510">
        <f>SUMIFS(PURCHASE!$L$6:$L$10008,PURCHASE!$A$6:$A$10008,$AL$2,PURCHASE!$H$6:$H$10008,$A$4:$A$2700)</f>
        <v>0</v>
      </c>
      <c r="AO4" s="510">
        <f>SUMIFS(PURCHASE!$M$6:$M$10008,PURCHASE!$A$6:$A$10008,$AL$2,PURCHASE!$H$6:$H$10008,$A$4:$A$2700)</f>
        <v>0</v>
      </c>
      <c r="AP4" s="510">
        <f>SUMIFS(PURCHASE!$N$6:$N$10008,PURCHASE!$A$6:$A$10008,$AL$2,PURCHASE!$H$6:$H$10008,$A$4:$A$2700)</f>
        <v>0</v>
      </c>
      <c r="AQ4" s="510">
        <f>+AR4+AS4+AT4+AU4</f>
        <v>0</v>
      </c>
      <c r="AR4" s="510">
        <f>SUMIFS(PURCHASE!$K$6:$K$10008,PURCHASE!$A$6:$A$10008,$AQ$2,PURCHASE!$H$6:$H$10008,$A$4:$A$2700)</f>
        <v>0</v>
      </c>
      <c r="AS4" s="510">
        <f>SUMIFS(PURCHASE!$L$6:$L$10008,PURCHASE!$A$6:$A$10008,$AQ$2,PURCHASE!$H$6:$H$10008,$A$4:$A$2700)</f>
        <v>0</v>
      </c>
      <c r="AT4" s="510">
        <f>SUMIFS(PURCHASE!$M$6:$M$10008,PURCHASE!$A$6:$A$10008,$AQ$2,PURCHASE!$H$6:$H$10008,$A$4:$A$2700)</f>
        <v>0</v>
      </c>
      <c r="AU4" s="510">
        <f>SUMIFS(PURCHASE!$N$6:$N$10008,PURCHASE!$A$6:$A$10008,$AQ$2,PURCHASE!$H$6:$H$10008,$A$4:$A$2700)</f>
        <v>0</v>
      </c>
      <c r="AV4" s="510">
        <f>+AW4+AX4+AY4+AZ4</f>
        <v>0</v>
      </c>
      <c r="AW4" s="510">
        <f>SUMIFS(PURCHASE!$K$6:$K$10008,PURCHASE!$A$6:$A$10008,$AV$2,PURCHASE!$H$6:$H$10008,$A$4:$A$2700)</f>
        <v>0</v>
      </c>
      <c r="AX4" s="510">
        <f>SUMIFS(PURCHASE!$L$6:$L$10008,PURCHASE!$A$6:$A$10008,$AV$2,PURCHASE!$H$6:$H$10008,$A$4:$A$2700)</f>
        <v>0</v>
      </c>
      <c r="AY4" s="510">
        <f>SUMIFS(PURCHASE!$M$6:$M$10008,PURCHASE!$A$6:$A$10008,$AV$2,PURCHASE!$H$6:$H$10008,$A$4:$A$2700)</f>
        <v>0</v>
      </c>
      <c r="AZ4" s="510">
        <f>SUMIFS(PURCHASE!$N$6:$N$10008,PURCHASE!$A$6:$A$10008,$AV$2,PURCHASE!$H$6:$H$10008,$A$4:$A$2700)</f>
        <v>0</v>
      </c>
      <c r="BA4" s="510">
        <f>+BB4+BC4+BD4+BE4</f>
        <v>0</v>
      </c>
      <c r="BB4" s="510">
        <f>SUMIFS(PURCHASE!$K$6:$K$10008,PURCHASE!$A$6:$A$10008,$BA$2,PURCHASE!$H$6:$H$10008,$A$4:$A$2700)</f>
        <v>0</v>
      </c>
      <c r="BC4" s="510">
        <f>SUMIFS(PURCHASE!$L$6:$L$10008,PURCHASE!$A$6:$A$10008,$BA$2,PURCHASE!$H$6:$H$10008,$A$4:$A$2700)</f>
        <v>0</v>
      </c>
      <c r="BD4" s="510">
        <f>SUMIFS(PURCHASE!$M$6:$M$10008,PURCHASE!$A$6:$A$10008,$BA$2,PURCHASE!$H$6:$H$10008,$A$4:$A$2700)</f>
        <v>0</v>
      </c>
      <c r="BE4" s="510">
        <f>SUMIFS(PURCHASE!$N$6:$N$10008,PURCHASE!$A$6:$A$10008,$BA$2,PURCHASE!$H$6:$H$10008,$A$4:$A$2700)</f>
        <v>0</v>
      </c>
      <c r="BF4" s="510">
        <f>+BG4+BH4+BI4+BJ4</f>
        <v>0</v>
      </c>
      <c r="BG4" s="510">
        <f>SUMIFS(PURCHASE!$K$6:$K$10008,PURCHASE!$A$6:$A$10008,$BF$2,PURCHASE!$H$6:$H$10008,$A$4:$A$2700)</f>
        <v>0</v>
      </c>
      <c r="BH4" s="510">
        <f>SUMIFS(PURCHASE!$L$6:$L$10008,PURCHASE!$A$6:$A$10008,$BF$2,PURCHASE!$H$6:$H$10008,$A$4:$A$2700)</f>
        <v>0</v>
      </c>
      <c r="BI4" s="510">
        <f>SUMIFS(PURCHASE!$M$6:$M$10008,PURCHASE!$A$6:$A$10008,$BF$2,PURCHASE!$H$6:$H$10008,$A$4:$A$2700)</f>
        <v>0</v>
      </c>
      <c r="BJ4" s="510">
        <f>SUMIFS(PURCHASE!$N$6:$N$10008,PURCHASE!$A$6:$A$10008,$BF$2,PURCHASE!$H$6:$H$10008,$A$4:$A$2700)</f>
        <v>0</v>
      </c>
      <c r="BK4" s="72">
        <f t="shared" ref="BK4:BK67" si="6">+C4+H4+M4+R4+W4+AB4+AG4+AL4+AQ4+AV4+BA4+BF4</f>
        <v>0</v>
      </c>
      <c r="BL4" s="72">
        <f t="shared" ref="BL4:BL67" si="7">+D4+I4+N4+S4+X4+AC4+AH4+AM4+AR4+AW4+BB4+BG4</f>
        <v>0</v>
      </c>
      <c r="BM4" s="72">
        <f t="shared" ref="BM4:BM67" si="8">+E4+J4+O4+T4+Y4+AD4+AI4+AN4+AS4+AX4+BC4+BH4</f>
        <v>0</v>
      </c>
      <c r="BN4" s="72">
        <f t="shared" ref="BN4:BN67" si="9">+F4+K4+P4+U4+Z4+AE4+AJ4+AO4+AT4+AY4+BD4+BI4</f>
        <v>0</v>
      </c>
      <c r="BO4" s="72">
        <f t="shared" ref="BO4:BO67" si="10">+G4+L4+Q4+V4+AA4+AF4+AK4+AP4+AU4+AZ4+BE4+BJ4</f>
        <v>0</v>
      </c>
    </row>
    <row r="5" spans="1:67" x14ac:dyDescent="0.2">
      <c r="A5" s="511">
        <v>2508</v>
      </c>
      <c r="B5" s="467" t="s">
        <v>1179</v>
      </c>
      <c r="C5" s="512">
        <f t="shared" ref="C5:C68" si="11">+D5+E5+F5+G5</f>
        <v>0</v>
      </c>
      <c r="D5" s="512">
        <f>SUMIFS(PURCHASE!$K$6:$K$10008,PURCHASE!$A$6:$A$10008,$M$2,PURCHASE!$H$6:$H$10008,$A$4:$A$2700)</f>
        <v>0</v>
      </c>
      <c r="E5" s="512">
        <f>SUMIFS(PURCHASE!$L$6:$L$10008,PURCHASE!$A$6:$A$10008,$M$2,PURCHASE!$H$6:$H$10008,$A$4:$A$2700)</f>
        <v>0</v>
      </c>
      <c r="F5" s="512">
        <f>SUMIFS(PURCHASE!$M$6:$M$10008,PURCHASE!$A$6:$A$10008,$M$2,PURCHASE!$H$6:$H$10008,$A$4:$A$2700)</f>
        <v>0</v>
      </c>
      <c r="G5" s="512">
        <f>SUMIFS(PURCHASE!$N$6:$N$10008,PURCHASE!$A$6:$A$10008,$M$2,PURCHASE!$H$6:$H$10008,$A$4:$A$2700)</f>
        <v>0</v>
      </c>
      <c r="H5" s="512">
        <f t="shared" ref="H5:H68" si="12">+I5+J5+K5+L5</f>
        <v>0</v>
      </c>
      <c r="I5" s="512">
        <f>SUMIFS(PURCHASE!$K$6:$K$10008,PURCHASE!$A$6:$A$10008,$H$2,PURCHASE!$H$6:$H$10008,$A$4:$A$2700)</f>
        <v>0</v>
      </c>
      <c r="J5" s="512">
        <f>SUMIFS(PURCHASE!$L$6:$L$10008,PURCHASE!$A$6:$A$10008,$H$2,PURCHASE!$H$6:$H$10008,$A$4:$A$2700)</f>
        <v>0</v>
      </c>
      <c r="K5" s="512">
        <f>SUMIFS(PURCHASE!$M$6:$M$10008,PURCHASE!$A$6:$A$10008,$H$2,PURCHASE!$H$6:$H$10008,$A$4:$A$2700)</f>
        <v>0</v>
      </c>
      <c r="L5" s="512">
        <f>SUMIFS(PURCHASE!$N$6:$N$10008,PURCHASE!$A$6:$A$10008,$H$2,PURCHASE!$H$6:$H$10008,$A$4:$A$2700)</f>
        <v>0</v>
      </c>
      <c r="M5" s="512">
        <f t="shared" ref="M5:M68" si="13">+N5+O5+P5+Q5</f>
        <v>0</v>
      </c>
      <c r="N5" s="512">
        <f>SUMIFS(PURCHASE!$K$6:$K$10008,PURCHASE!$A$6:$A$10008,$M$2,PURCHASE!$H$6:$H$10008,$A$4:$A$2700)</f>
        <v>0</v>
      </c>
      <c r="O5" s="512">
        <f>SUMIFS(PURCHASE!$L$6:$L$10008,PURCHASE!$A$6:$A$10008,$M$2,PURCHASE!$H$6:$H$10008,$A$4:$A$2700)</f>
        <v>0</v>
      </c>
      <c r="P5" s="512">
        <f>SUMIFS(PURCHASE!$M$6:$M$10008,PURCHASE!$A$6:$A$10008,$M$2,PURCHASE!$H$6:$H$10008,$A$4:$A$2700)</f>
        <v>0</v>
      </c>
      <c r="Q5" s="512">
        <f>SUMIFS(PURCHASE!$N$6:$N$10008,PURCHASE!$A$6:$A$10008,$M$2,PURCHASE!$H$6:$H$10008,$A$4:$A$2700)</f>
        <v>0</v>
      </c>
      <c r="R5" s="512">
        <f t="shared" ref="R5:R68" si="14">+S5+T5+U5+V5</f>
        <v>0</v>
      </c>
      <c r="S5" s="512">
        <f>SUMIFS(PURCHASE!$K$6:$K$10008,PURCHASE!$A$6:$A$10008,$R$2,PURCHASE!$H$6:$H$10008,$A$4:$A$2700)</f>
        <v>0</v>
      </c>
      <c r="T5" s="512">
        <f>SUMIFS(PURCHASE!$L$6:$L$10008,PURCHASE!$A$6:$A$10008,$R$2,PURCHASE!$H$6:$H$10008,$A$4:$A$2700)</f>
        <v>0</v>
      </c>
      <c r="U5" s="512">
        <f>SUMIFS(PURCHASE!$M$6:$M$10008,PURCHASE!$A$6:$A$10008,$R$2,PURCHASE!$H$6:$H$10008,$A$4:$A$2700)</f>
        <v>0</v>
      </c>
      <c r="V5" s="512">
        <f>SUMIFS(PURCHASE!$N$6:$N$10008,PURCHASE!$A$6:$A$10008,$R$2,PURCHASE!$H$6:$H$10008,$A$4:$A$2700)</f>
        <v>0</v>
      </c>
      <c r="W5" s="512">
        <f t="shared" ref="W5:W68" si="15">+X5+Y5+Z5+AA5</f>
        <v>0</v>
      </c>
      <c r="X5" s="512">
        <f>SUMIFS(PURCHASE!$K$6:$K$10008,PURCHASE!$A$6:$A$10008,$W$2,PURCHASE!$H$6:$H$10008,$A$4:$A$2700)</f>
        <v>0</v>
      </c>
      <c r="Y5" s="512">
        <f>SUMIFS(PURCHASE!$L$6:$L$10008,PURCHASE!$A$6:$A$10008,$W$2,PURCHASE!$H$6:$H$10008,$A$4:$A$2700)</f>
        <v>0</v>
      </c>
      <c r="Z5" s="512">
        <f>SUMIFS(PURCHASE!$M$6:$M$10008,PURCHASE!$A$6:$A$10008,$W$2,PURCHASE!$H$6:$H$10008,$A$4:$A$2700)</f>
        <v>0</v>
      </c>
      <c r="AA5" s="512">
        <f>SUMIFS(PURCHASE!$N$6:$N$10008,PURCHASE!$A$6:$A$10008,$W$2,PURCHASE!$H$6:$H$10008,$A$4:$A$2700)</f>
        <v>0</v>
      </c>
      <c r="AB5" s="512">
        <f t="shared" ref="AB5:AB68" si="16">+AC5+AD5+AE5+AF5</f>
        <v>0</v>
      </c>
      <c r="AC5" s="512">
        <f>SUMIFS(PURCHASE!$K$6:$K$10008,PURCHASE!$A$6:$A$10008,$AB$2,PURCHASE!$H$6:$H$10008,$A$4:$A$2700)</f>
        <v>0</v>
      </c>
      <c r="AD5" s="512">
        <f>SUMIFS(PURCHASE!$L$6:$L$10008,PURCHASE!$A$6:$A$10008,$AB$2,PURCHASE!$H$6:$H$10008,$A$4:$A$2700)</f>
        <v>0</v>
      </c>
      <c r="AE5" s="512">
        <f>SUMIFS(PURCHASE!$M$6:$M$10008,PURCHASE!$A$6:$A$10008,$AB$2,PURCHASE!$H$6:$H$10008,$A$4:$A$2700)</f>
        <v>0</v>
      </c>
      <c r="AF5" s="512">
        <f>SUMIFS(PURCHASE!$N$6:$N$10008,PURCHASE!$A$6:$A$10008,$AB$2,PURCHASE!$H$6:$H$10008,$A$4:$A$2700)</f>
        <v>0</v>
      </c>
      <c r="AG5" s="512">
        <f t="shared" ref="AG5:AG68" si="17">+AH5+AI5+AJ5+AK5</f>
        <v>0</v>
      </c>
      <c r="AH5" s="512">
        <f>SUMIFS(PURCHASE!$K$6:$K$10008,PURCHASE!$A$6:$A$10008,$AG$2,PURCHASE!$H$6:$H$10008,$A$4:$A$2700)</f>
        <v>0</v>
      </c>
      <c r="AI5" s="512">
        <f>SUMIFS(PURCHASE!$L$6:$L$10008,PURCHASE!$A$6:$A$10008,$AG$2,PURCHASE!$H$6:$H$10008,$A$4:$A$2700)</f>
        <v>0</v>
      </c>
      <c r="AJ5" s="512">
        <f>SUMIFS(PURCHASE!$M$6:$M$10008,PURCHASE!$A$6:$A$10008,$AG$2,PURCHASE!$H$6:$H$10008,$A$4:$A$2700)</f>
        <v>0</v>
      </c>
      <c r="AK5" s="512">
        <f>SUMIFS(PURCHASE!$N$6:$N$10008,PURCHASE!$A$6:$A$10008,$AG$2,PURCHASE!$H$6:$H$10008,$A$4:$A$2700)</f>
        <v>0</v>
      </c>
      <c r="AL5" s="512">
        <f t="shared" ref="AL5:AL68" si="18">+AM5+AN5+AO5+AP5</f>
        <v>0</v>
      </c>
      <c r="AM5" s="512">
        <f>SUMIFS(PURCHASE!$K$6:$K$10008,PURCHASE!$A$6:$A$10008,$AL$2,PURCHASE!$H$6:$H$10008,$A$4:$A$2700)</f>
        <v>0</v>
      </c>
      <c r="AN5" s="512">
        <f>SUMIFS(PURCHASE!$L$6:$L$10008,PURCHASE!$A$6:$A$10008,$AL$2,PURCHASE!$H$6:$H$10008,$A$4:$A$2700)</f>
        <v>0</v>
      </c>
      <c r="AO5" s="512">
        <f>SUMIFS(PURCHASE!$M$6:$M$10008,PURCHASE!$A$6:$A$10008,$AL$2,PURCHASE!$H$6:$H$10008,$A$4:$A$2700)</f>
        <v>0</v>
      </c>
      <c r="AP5" s="512">
        <f>SUMIFS(PURCHASE!$N$6:$N$10008,PURCHASE!$A$6:$A$10008,$AL$2,PURCHASE!$H$6:$H$10008,$A$4:$A$2700)</f>
        <v>0</v>
      </c>
      <c r="AQ5" s="512">
        <f t="shared" ref="AQ5:AQ68" si="19">+AR5+AS5+AT5+AU5</f>
        <v>2520</v>
      </c>
      <c r="AR5" s="512">
        <f>SUMIFS(PURCHASE!$K$6:$K$10008,PURCHASE!$A$6:$A$10008,$AQ$2,PURCHASE!$H$6:$H$10008,$A$4:$A$2700)</f>
        <v>2400</v>
      </c>
      <c r="AS5" s="512">
        <f>SUMIFS(PURCHASE!$L$6:$L$10008,PURCHASE!$A$6:$A$10008,$AQ$2,PURCHASE!$H$6:$H$10008,$A$4:$A$2700)</f>
        <v>0</v>
      </c>
      <c r="AT5" s="512">
        <f>SUMIFS(PURCHASE!$M$6:$M$10008,PURCHASE!$A$6:$A$10008,$AQ$2,PURCHASE!$H$6:$H$10008,$A$4:$A$2700)</f>
        <v>60</v>
      </c>
      <c r="AU5" s="512">
        <f>SUMIFS(PURCHASE!$N$6:$N$10008,PURCHASE!$A$6:$A$10008,$AQ$2,PURCHASE!$H$6:$H$10008,$A$4:$A$2700)</f>
        <v>60</v>
      </c>
      <c r="AV5" s="512">
        <f t="shared" ref="AV5:AV68" si="20">+AW5+AX5+AY5+AZ5</f>
        <v>0</v>
      </c>
      <c r="AW5" s="512">
        <f>SUMIFS(PURCHASE!$K$6:$K$10008,PURCHASE!$A$6:$A$10008,$AV$2,PURCHASE!$H$6:$H$10008,$A$4:$A$2700)</f>
        <v>0</v>
      </c>
      <c r="AX5" s="512">
        <f>SUMIFS(PURCHASE!$L$6:$L$10008,PURCHASE!$A$6:$A$10008,$AV$2,PURCHASE!$H$6:$H$10008,$A$4:$A$2700)</f>
        <v>0</v>
      </c>
      <c r="AY5" s="512">
        <f>SUMIFS(PURCHASE!$M$6:$M$10008,PURCHASE!$A$6:$A$10008,$AV$2,PURCHASE!$H$6:$H$10008,$A$4:$A$2700)</f>
        <v>0</v>
      </c>
      <c r="AZ5" s="512">
        <f>SUMIFS(PURCHASE!$N$6:$N$10008,PURCHASE!$A$6:$A$10008,$AV$2,PURCHASE!$H$6:$H$10008,$A$4:$A$2700)</f>
        <v>0</v>
      </c>
      <c r="BA5" s="512">
        <f t="shared" ref="BA5:BA68" si="21">+BB5+BC5+BD5+BE5</f>
        <v>0</v>
      </c>
      <c r="BB5" s="512">
        <f>SUMIFS(PURCHASE!$K$6:$K$10008,PURCHASE!$A$6:$A$10008,$BA$2,PURCHASE!$H$6:$H$10008,$A$4:$A$2700)</f>
        <v>0</v>
      </c>
      <c r="BC5" s="512">
        <f>SUMIFS(PURCHASE!$L$6:$L$10008,PURCHASE!$A$6:$A$10008,$BA$2,PURCHASE!$H$6:$H$10008,$A$4:$A$2700)</f>
        <v>0</v>
      </c>
      <c r="BD5" s="512">
        <f>SUMIFS(PURCHASE!$M$6:$M$10008,PURCHASE!$A$6:$A$10008,$BA$2,PURCHASE!$H$6:$H$10008,$A$4:$A$2700)</f>
        <v>0</v>
      </c>
      <c r="BE5" s="512">
        <f>SUMIFS(PURCHASE!$N$6:$N$10008,PURCHASE!$A$6:$A$10008,$BA$2,PURCHASE!$H$6:$H$10008,$A$4:$A$2700)</f>
        <v>0</v>
      </c>
      <c r="BF5" s="512">
        <f t="shared" ref="BF5:BF68" si="22">+BG5+BH5+BI5+BJ5</f>
        <v>0</v>
      </c>
      <c r="BG5" s="512">
        <f>SUMIFS(PURCHASE!$K$6:$K$10008,PURCHASE!$A$6:$A$10008,$BF$2,PURCHASE!$H$6:$H$10008,$A$4:$A$2700)</f>
        <v>0</v>
      </c>
      <c r="BH5" s="512">
        <f>SUMIFS(PURCHASE!$L$6:$L$10008,PURCHASE!$A$6:$A$10008,$BF$2,PURCHASE!$H$6:$H$10008,$A$4:$A$2700)</f>
        <v>0</v>
      </c>
      <c r="BI5" s="512">
        <f>SUMIFS(PURCHASE!$M$6:$M$10008,PURCHASE!$A$6:$A$10008,$BF$2,PURCHASE!$H$6:$H$10008,$A$4:$A$2700)</f>
        <v>0</v>
      </c>
      <c r="BJ5" s="512">
        <f>SUMIFS(PURCHASE!$N$6:$N$10008,PURCHASE!$A$6:$A$10008,$BF$2,PURCHASE!$H$6:$H$10008,$A$4:$A$2700)</f>
        <v>0</v>
      </c>
      <c r="BK5" s="72">
        <f t="shared" si="6"/>
        <v>2520</v>
      </c>
      <c r="BL5" s="72">
        <f t="shared" si="7"/>
        <v>2400</v>
      </c>
      <c r="BM5" s="72">
        <f t="shared" si="8"/>
        <v>0</v>
      </c>
      <c r="BN5" s="72">
        <f t="shared" si="9"/>
        <v>60</v>
      </c>
      <c r="BO5" s="72">
        <f t="shared" si="10"/>
        <v>60</v>
      </c>
    </row>
    <row r="6" spans="1:67" x14ac:dyDescent="0.2">
      <c r="A6" s="511">
        <v>2509</v>
      </c>
      <c r="B6" s="467" t="s">
        <v>1180</v>
      </c>
      <c r="C6" s="512">
        <f t="shared" si="11"/>
        <v>336</v>
      </c>
      <c r="D6" s="512">
        <f>SUMIFS(PURCHASE!$K$6:$K$10008,PURCHASE!$A$6:$A$10008,$M$2,PURCHASE!$H$6:$H$10008,$A$4:$A$2700)</f>
        <v>320</v>
      </c>
      <c r="E6" s="512">
        <f>SUMIFS(PURCHASE!$L$6:$L$10008,PURCHASE!$A$6:$A$10008,$M$2,PURCHASE!$H$6:$H$10008,$A$4:$A$2700)</f>
        <v>0</v>
      </c>
      <c r="F6" s="512">
        <f>SUMIFS(PURCHASE!$M$6:$M$10008,PURCHASE!$A$6:$A$10008,$M$2,PURCHASE!$H$6:$H$10008,$A$4:$A$2700)</f>
        <v>8</v>
      </c>
      <c r="G6" s="512">
        <f>SUMIFS(PURCHASE!$N$6:$N$10008,PURCHASE!$A$6:$A$10008,$M$2,PURCHASE!$H$6:$H$10008,$A$4:$A$2700)</f>
        <v>8</v>
      </c>
      <c r="H6" s="512">
        <f t="shared" si="12"/>
        <v>0</v>
      </c>
      <c r="I6" s="512">
        <f>SUMIFS(PURCHASE!$K$6:$K$10008,PURCHASE!$A$6:$A$10008,$H$2,PURCHASE!$H$6:$H$10008,$A$4:$A$2700)</f>
        <v>0</v>
      </c>
      <c r="J6" s="512">
        <f>SUMIFS(PURCHASE!$L$6:$L$10008,PURCHASE!$A$6:$A$10008,$H$2,PURCHASE!$H$6:$H$10008,$A$4:$A$2700)</f>
        <v>0</v>
      </c>
      <c r="K6" s="512">
        <f>SUMIFS(PURCHASE!$M$6:$M$10008,PURCHASE!$A$6:$A$10008,$H$2,PURCHASE!$H$6:$H$10008,$A$4:$A$2700)</f>
        <v>0</v>
      </c>
      <c r="L6" s="512">
        <f>SUMIFS(PURCHASE!$N$6:$N$10008,PURCHASE!$A$6:$A$10008,$H$2,PURCHASE!$H$6:$H$10008,$A$4:$A$2700)</f>
        <v>0</v>
      </c>
      <c r="M6" s="512">
        <f t="shared" si="13"/>
        <v>336</v>
      </c>
      <c r="N6" s="512">
        <f>SUMIFS(PURCHASE!$K$6:$K$10008,PURCHASE!$A$6:$A$10008,$M$2,PURCHASE!$H$6:$H$10008,$A$4:$A$2700)</f>
        <v>320</v>
      </c>
      <c r="O6" s="512">
        <f>SUMIFS(PURCHASE!$L$6:$L$10008,PURCHASE!$A$6:$A$10008,$M$2,PURCHASE!$H$6:$H$10008,$A$4:$A$2700)</f>
        <v>0</v>
      </c>
      <c r="P6" s="512">
        <f>SUMIFS(PURCHASE!$M$6:$M$10008,PURCHASE!$A$6:$A$10008,$M$2,PURCHASE!$H$6:$H$10008,$A$4:$A$2700)</f>
        <v>8</v>
      </c>
      <c r="Q6" s="512">
        <f>SUMIFS(PURCHASE!$N$6:$N$10008,PURCHASE!$A$6:$A$10008,$M$2,PURCHASE!$H$6:$H$10008,$A$4:$A$2700)</f>
        <v>8</v>
      </c>
      <c r="R6" s="512">
        <f t="shared" si="14"/>
        <v>0</v>
      </c>
      <c r="S6" s="512">
        <f>SUMIFS(PURCHASE!$K$6:$K$10008,PURCHASE!$A$6:$A$10008,$R$2,PURCHASE!$H$6:$H$10008,$A$4:$A$2700)</f>
        <v>0</v>
      </c>
      <c r="T6" s="512">
        <f>SUMIFS(PURCHASE!$L$6:$L$10008,PURCHASE!$A$6:$A$10008,$R$2,PURCHASE!$H$6:$H$10008,$A$4:$A$2700)</f>
        <v>0</v>
      </c>
      <c r="U6" s="512">
        <f>SUMIFS(PURCHASE!$M$6:$M$10008,PURCHASE!$A$6:$A$10008,$R$2,PURCHASE!$H$6:$H$10008,$A$4:$A$2700)</f>
        <v>0</v>
      </c>
      <c r="V6" s="512">
        <f>SUMIFS(PURCHASE!$N$6:$N$10008,PURCHASE!$A$6:$A$10008,$R$2,PURCHASE!$H$6:$H$10008,$A$4:$A$2700)</f>
        <v>0</v>
      </c>
      <c r="W6" s="512">
        <f t="shared" si="15"/>
        <v>0</v>
      </c>
      <c r="X6" s="512">
        <f>SUMIFS(PURCHASE!$K$6:$K$10008,PURCHASE!$A$6:$A$10008,$W$2,PURCHASE!$H$6:$H$10008,$A$4:$A$2700)</f>
        <v>0</v>
      </c>
      <c r="Y6" s="512">
        <f>SUMIFS(PURCHASE!$L$6:$L$10008,PURCHASE!$A$6:$A$10008,$W$2,PURCHASE!$H$6:$H$10008,$A$4:$A$2700)</f>
        <v>0</v>
      </c>
      <c r="Z6" s="512">
        <f>SUMIFS(PURCHASE!$M$6:$M$10008,PURCHASE!$A$6:$A$10008,$W$2,PURCHASE!$H$6:$H$10008,$A$4:$A$2700)</f>
        <v>0</v>
      </c>
      <c r="AA6" s="512">
        <f>SUMIFS(PURCHASE!$N$6:$N$10008,PURCHASE!$A$6:$A$10008,$W$2,PURCHASE!$H$6:$H$10008,$A$4:$A$2700)</f>
        <v>0</v>
      </c>
      <c r="AB6" s="512">
        <f t="shared" si="16"/>
        <v>0</v>
      </c>
      <c r="AC6" s="512">
        <f>SUMIFS(PURCHASE!$K$6:$K$10008,PURCHASE!$A$6:$A$10008,$AB$2,PURCHASE!$H$6:$H$10008,$A$4:$A$2700)</f>
        <v>0</v>
      </c>
      <c r="AD6" s="512">
        <f>SUMIFS(PURCHASE!$L$6:$L$10008,PURCHASE!$A$6:$A$10008,$AB$2,PURCHASE!$H$6:$H$10008,$A$4:$A$2700)</f>
        <v>0</v>
      </c>
      <c r="AE6" s="512">
        <f>SUMIFS(PURCHASE!$M$6:$M$10008,PURCHASE!$A$6:$A$10008,$AB$2,PURCHASE!$H$6:$H$10008,$A$4:$A$2700)</f>
        <v>0</v>
      </c>
      <c r="AF6" s="512">
        <f>SUMIFS(PURCHASE!$N$6:$N$10008,PURCHASE!$A$6:$A$10008,$AB$2,PURCHASE!$H$6:$H$10008,$A$4:$A$2700)</f>
        <v>0</v>
      </c>
      <c r="AG6" s="512">
        <f t="shared" si="17"/>
        <v>0</v>
      </c>
      <c r="AH6" s="512">
        <f>SUMIFS(PURCHASE!$K$6:$K$10008,PURCHASE!$A$6:$A$10008,$AG$2,PURCHASE!$H$6:$H$10008,$A$4:$A$2700)</f>
        <v>0</v>
      </c>
      <c r="AI6" s="512">
        <f>SUMIFS(PURCHASE!$L$6:$L$10008,PURCHASE!$A$6:$A$10008,$AG$2,PURCHASE!$H$6:$H$10008,$A$4:$A$2700)</f>
        <v>0</v>
      </c>
      <c r="AJ6" s="512">
        <f>SUMIFS(PURCHASE!$M$6:$M$10008,PURCHASE!$A$6:$A$10008,$AG$2,PURCHASE!$H$6:$H$10008,$A$4:$A$2700)</f>
        <v>0</v>
      </c>
      <c r="AK6" s="512">
        <f>SUMIFS(PURCHASE!$N$6:$N$10008,PURCHASE!$A$6:$A$10008,$AG$2,PURCHASE!$H$6:$H$10008,$A$4:$A$2700)</f>
        <v>0</v>
      </c>
      <c r="AL6" s="512">
        <f t="shared" si="18"/>
        <v>0</v>
      </c>
      <c r="AM6" s="512">
        <f>SUMIFS(PURCHASE!$K$6:$K$10008,PURCHASE!$A$6:$A$10008,$AL$2,PURCHASE!$H$6:$H$10008,$A$4:$A$2700)</f>
        <v>0</v>
      </c>
      <c r="AN6" s="512">
        <f>SUMIFS(PURCHASE!$L$6:$L$10008,PURCHASE!$A$6:$A$10008,$AL$2,PURCHASE!$H$6:$H$10008,$A$4:$A$2700)</f>
        <v>0</v>
      </c>
      <c r="AO6" s="512">
        <f>SUMIFS(PURCHASE!$M$6:$M$10008,PURCHASE!$A$6:$A$10008,$AL$2,PURCHASE!$H$6:$H$10008,$A$4:$A$2700)</f>
        <v>0</v>
      </c>
      <c r="AP6" s="512">
        <f>SUMIFS(PURCHASE!$N$6:$N$10008,PURCHASE!$A$6:$A$10008,$AL$2,PURCHASE!$H$6:$H$10008,$A$4:$A$2700)</f>
        <v>0</v>
      </c>
      <c r="AQ6" s="512">
        <f t="shared" si="19"/>
        <v>0</v>
      </c>
      <c r="AR6" s="512">
        <f>SUMIFS(PURCHASE!$K$6:$K$10008,PURCHASE!$A$6:$A$10008,$AQ$2,PURCHASE!$H$6:$H$10008,$A$4:$A$2700)</f>
        <v>0</v>
      </c>
      <c r="AS6" s="512">
        <f>SUMIFS(PURCHASE!$L$6:$L$10008,PURCHASE!$A$6:$A$10008,$AQ$2,PURCHASE!$H$6:$H$10008,$A$4:$A$2700)</f>
        <v>0</v>
      </c>
      <c r="AT6" s="512">
        <f>SUMIFS(PURCHASE!$M$6:$M$10008,PURCHASE!$A$6:$A$10008,$AQ$2,PURCHASE!$H$6:$H$10008,$A$4:$A$2700)</f>
        <v>0</v>
      </c>
      <c r="AU6" s="512">
        <f>SUMIFS(PURCHASE!$N$6:$N$10008,PURCHASE!$A$6:$A$10008,$AQ$2,PURCHASE!$H$6:$H$10008,$A$4:$A$2700)</f>
        <v>0</v>
      </c>
      <c r="AV6" s="512">
        <f t="shared" si="20"/>
        <v>0</v>
      </c>
      <c r="AW6" s="512">
        <f>SUMIFS(PURCHASE!$K$6:$K$10008,PURCHASE!$A$6:$A$10008,$AV$2,PURCHASE!$H$6:$H$10008,$A$4:$A$2700)</f>
        <v>0</v>
      </c>
      <c r="AX6" s="512">
        <f>SUMIFS(PURCHASE!$L$6:$L$10008,PURCHASE!$A$6:$A$10008,$AV$2,PURCHASE!$H$6:$H$10008,$A$4:$A$2700)</f>
        <v>0</v>
      </c>
      <c r="AY6" s="512">
        <f>SUMIFS(PURCHASE!$M$6:$M$10008,PURCHASE!$A$6:$A$10008,$AV$2,PURCHASE!$H$6:$H$10008,$A$4:$A$2700)</f>
        <v>0</v>
      </c>
      <c r="AZ6" s="512">
        <f>SUMIFS(PURCHASE!$N$6:$N$10008,PURCHASE!$A$6:$A$10008,$AV$2,PURCHASE!$H$6:$H$10008,$A$4:$A$2700)</f>
        <v>0</v>
      </c>
      <c r="BA6" s="512">
        <f t="shared" si="21"/>
        <v>0</v>
      </c>
      <c r="BB6" s="512">
        <f>SUMIFS(PURCHASE!$K$6:$K$10008,PURCHASE!$A$6:$A$10008,$BA$2,PURCHASE!$H$6:$H$10008,$A$4:$A$2700)</f>
        <v>0</v>
      </c>
      <c r="BC6" s="512">
        <f>SUMIFS(PURCHASE!$L$6:$L$10008,PURCHASE!$A$6:$A$10008,$BA$2,PURCHASE!$H$6:$H$10008,$A$4:$A$2700)</f>
        <v>0</v>
      </c>
      <c r="BD6" s="512">
        <f>SUMIFS(PURCHASE!$M$6:$M$10008,PURCHASE!$A$6:$A$10008,$BA$2,PURCHASE!$H$6:$H$10008,$A$4:$A$2700)</f>
        <v>0</v>
      </c>
      <c r="BE6" s="512">
        <f>SUMIFS(PURCHASE!$N$6:$N$10008,PURCHASE!$A$6:$A$10008,$BA$2,PURCHASE!$H$6:$H$10008,$A$4:$A$2700)</f>
        <v>0</v>
      </c>
      <c r="BF6" s="512">
        <f t="shared" si="22"/>
        <v>0</v>
      </c>
      <c r="BG6" s="512">
        <f>SUMIFS(PURCHASE!$K$6:$K$10008,PURCHASE!$A$6:$A$10008,$BF$2,PURCHASE!$H$6:$H$10008,$A$4:$A$2700)</f>
        <v>0</v>
      </c>
      <c r="BH6" s="512">
        <f>SUMIFS(PURCHASE!$L$6:$L$10008,PURCHASE!$A$6:$A$10008,$BF$2,PURCHASE!$H$6:$H$10008,$A$4:$A$2700)</f>
        <v>0</v>
      </c>
      <c r="BI6" s="512">
        <f>SUMIFS(PURCHASE!$M$6:$M$10008,PURCHASE!$A$6:$A$10008,$BF$2,PURCHASE!$H$6:$H$10008,$A$4:$A$2700)</f>
        <v>0</v>
      </c>
      <c r="BJ6" s="512">
        <f>SUMIFS(PURCHASE!$N$6:$N$10008,PURCHASE!$A$6:$A$10008,$BF$2,PURCHASE!$H$6:$H$10008,$A$4:$A$2700)</f>
        <v>0</v>
      </c>
      <c r="BK6" s="72">
        <f t="shared" si="6"/>
        <v>672</v>
      </c>
      <c r="BL6" s="72">
        <f t="shared" si="7"/>
        <v>640</v>
      </c>
      <c r="BM6" s="72">
        <f t="shared" si="8"/>
        <v>0</v>
      </c>
      <c r="BN6" s="72">
        <f t="shared" si="9"/>
        <v>16</v>
      </c>
      <c r="BO6" s="72">
        <f t="shared" si="10"/>
        <v>16</v>
      </c>
    </row>
    <row r="7" spans="1:67" x14ac:dyDescent="0.2">
      <c r="A7" s="511">
        <v>2520</v>
      </c>
      <c r="B7" s="467" t="s">
        <v>1181</v>
      </c>
      <c r="C7" s="512">
        <f t="shared" si="11"/>
        <v>0</v>
      </c>
      <c r="D7" s="512">
        <f>SUMIFS(PURCHASE!$K$6:$K$10008,PURCHASE!$A$6:$A$10008,$M$2,PURCHASE!$H$6:$H$10008,$A$4:$A$2700)</f>
        <v>0</v>
      </c>
      <c r="E7" s="512">
        <f>SUMIFS(PURCHASE!$L$6:$L$10008,PURCHASE!$A$6:$A$10008,$M$2,PURCHASE!$H$6:$H$10008,$A$4:$A$2700)</f>
        <v>0</v>
      </c>
      <c r="F7" s="512">
        <f>SUMIFS(PURCHASE!$M$6:$M$10008,PURCHASE!$A$6:$A$10008,$M$2,PURCHASE!$H$6:$H$10008,$A$4:$A$2700)</f>
        <v>0</v>
      </c>
      <c r="G7" s="512">
        <f>SUMIFS(PURCHASE!$N$6:$N$10008,PURCHASE!$A$6:$A$10008,$M$2,PURCHASE!$H$6:$H$10008,$A$4:$A$2700)</f>
        <v>0</v>
      </c>
      <c r="H7" s="512">
        <f t="shared" si="12"/>
        <v>0</v>
      </c>
      <c r="I7" s="512">
        <f>SUMIFS(PURCHASE!$K$6:$K$10008,PURCHASE!$A$6:$A$10008,$H$2,PURCHASE!$H$6:$H$10008,$A$4:$A$2700)</f>
        <v>0</v>
      </c>
      <c r="J7" s="512">
        <f>SUMIFS(PURCHASE!$L$6:$L$10008,PURCHASE!$A$6:$A$10008,$H$2,PURCHASE!$H$6:$H$10008,$A$4:$A$2700)</f>
        <v>0</v>
      </c>
      <c r="K7" s="512">
        <f>SUMIFS(PURCHASE!$M$6:$M$10008,PURCHASE!$A$6:$A$10008,$H$2,PURCHASE!$H$6:$H$10008,$A$4:$A$2700)</f>
        <v>0</v>
      </c>
      <c r="L7" s="512">
        <f>SUMIFS(PURCHASE!$N$6:$N$10008,PURCHASE!$A$6:$A$10008,$H$2,PURCHASE!$H$6:$H$10008,$A$4:$A$2700)</f>
        <v>0</v>
      </c>
      <c r="M7" s="512">
        <f t="shared" si="13"/>
        <v>0</v>
      </c>
      <c r="N7" s="512">
        <f>SUMIFS(PURCHASE!$K$6:$K$10008,PURCHASE!$A$6:$A$10008,$M$2,PURCHASE!$H$6:$H$10008,$A$4:$A$2700)</f>
        <v>0</v>
      </c>
      <c r="O7" s="512">
        <f>SUMIFS(PURCHASE!$L$6:$L$10008,PURCHASE!$A$6:$A$10008,$M$2,PURCHASE!$H$6:$H$10008,$A$4:$A$2700)</f>
        <v>0</v>
      </c>
      <c r="P7" s="512">
        <f>SUMIFS(PURCHASE!$M$6:$M$10008,PURCHASE!$A$6:$A$10008,$M$2,PURCHASE!$H$6:$H$10008,$A$4:$A$2700)</f>
        <v>0</v>
      </c>
      <c r="Q7" s="512">
        <f>SUMIFS(PURCHASE!$N$6:$N$10008,PURCHASE!$A$6:$A$10008,$M$2,PURCHASE!$H$6:$H$10008,$A$4:$A$2700)</f>
        <v>0</v>
      </c>
      <c r="R7" s="512">
        <f t="shared" si="14"/>
        <v>0</v>
      </c>
      <c r="S7" s="512">
        <f>SUMIFS(PURCHASE!$K$6:$K$10008,PURCHASE!$A$6:$A$10008,$R$2,PURCHASE!$H$6:$H$10008,$A$4:$A$2700)</f>
        <v>0</v>
      </c>
      <c r="T7" s="512">
        <f>SUMIFS(PURCHASE!$L$6:$L$10008,PURCHASE!$A$6:$A$10008,$R$2,PURCHASE!$H$6:$H$10008,$A$4:$A$2700)</f>
        <v>0</v>
      </c>
      <c r="U7" s="512">
        <f>SUMIFS(PURCHASE!$M$6:$M$10008,PURCHASE!$A$6:$A$10008,$R$2,PURCHASE!$H$6:$H$10008,$A$4:$A$2700)</f>
        <v>0</v>
      </c>
      <c r="V7" s="512">
        <f>SUMIFS(PURCHASE!$N$6:$N$10008,PURCHASE!$A$6:$A$10008,$R$2,PURCHASE!$H$6:$H$10008,$A$4:$A$2700)</f>
        <v>0</v>
      </c>
      <c r="W7" s="512">
        <f t="shared" si="15"/>
        <v>0</v>
      </c>
      <c r="X7" s="512">
        <f>SUMIFS(PURCHASE!$K$6:$K$10008,PURCHASE!$A$6:$A$10008,$W$2,PURCHASE!$H$6:$H$10008,$A$4:$A$2700)</f>
        <v>0</v>
      </c>
      <c r="Y7" s="512">
        <f>SUMIFS(PURCHASE!$L$6:$L$10008,PURCHASE!$A$6:$A$10008,$W$2,PURCHASE!$H$6:$H$10008,$A$4:$A$2700)</f>
        <v>0</v>
      </c>
      <c r="Z7" s="512">
        <f>SUMIFS(PURCHASE!$M$6:$M$10008,PURCHASE!$A$6:$A$10008,$W$2,PURCHASE!$H$6:$H$10008,$A$4:$A$2700)</f>
        <v>0</v>
      </c>
      <c r="AA7" s="512">
        <f>SUMIFS(PURCHASE!$N$6:$N$10008,PURCHASE!$A$6:$A$10008,$W$2,PURCHASE!$H$6:$H$10008,$A$4:$A$2700)</f>
        <v>0</v>
      </c>
      <c r="AB7" s="512">
        <f t="shared" si="16"/>
        <v>0</v>
      </c>
      <c r="AC7" s="512">
        <f>SUMIFS(PURCHASE!$K$6:$K$10008,PURCHASE!$A$6:$A$10008,$AB$2,PURCHASE!$H$6:$H$10008,$A$4:$A$2700)</f>
        <v>0</v>
      </c>
      <c r="AD7" s="512">
        <f>SUMIFS(PURCHASE!$L$6:$L$10008,PURCHASE!$A$6:$A$10008,$AB$2,PURCHASE!$H$6:$H$10008,$A$4:$A$2700)</f>
        <v>0</v>
      </c>
      <c r="AE7" s="512">
        <f>SUMIFS(PURCHASE!$M$6:$M$10008,PURCHASE!$A$6:$A$10008,$AB$2,PURCHASE!$H$6:$H$10008,$A$4:$A$2700)</f>
        <v>0</v>
      </c>
      <c r="AF7" s="512">
        <f>SUMIFS(PURCHASE!$N$6:$N$10008,PURCHASE!$A$6:$A$10008,$AB$2,PURCHASE!$H$6:$H$10008,$A$4:$A$2700)</f>
        <v>0</v>
      </c>
      <c r="AG7" s="512">
        <f t="shared" si="17"/>
        <v>0</v>
      </c>
      <c r="AH7" s="512">
        <f>SUMIFS(PURCHASE!$K$6:$K$10008,PURCHASE!$A$6:$A$10008,$AG$2,PURCHASE!$H$6:$H$10008,$A$4:$A$2700)</f>
        <v>0</v>
      </c>
      <c r="AI7" s="512">
        <f>SUMIFS(PURCHASE!$L$6:$L$10008,PURCHASE!$A$6:$A$10008,$AG$2,PURCHASE!$H$6:$H$10008,$A$4:$A$2700)</f>
        <v>0</v>
      </c>
      <c r="AJ7" s="512">
        <f>SUMIFS(PURCHASE!$M$6:$M$10008,PURCHASE!$A$6:$A$10008,$AG$2,PURCHASE!$H$6:$H$10008,$A$4:$A$2700)</f>
        <v>0</v>
      </c>
      <c r="AK7" s="512">
        <f>SUMIFS(PURCHASE!$N$6:$N$10008,PURCHASE!$A$6:$A$10008,$AG$2,PURCHASE!$H$6:$H$10008,$A$4:$A$2700)</f>
        <v>0</v>
      </c>
      <c r="AL7" s="512">
        <f t="shared" si="18"/>
        <v>94.5</v>
      </c>
      <c r="AM7" s="512">
        <f>SUMIFS(PURCHASE!$K$6:$K$10008,PURCHASE!$A$6:$A$10008,$AL$2,PURCHASE!$H$6:$H$10008,$A$4:$A$2700)</f>
        <v>90</v>
      </c>
      <c r="AN7" s="512">
        <f>SUMIFS(PURCHASE!$L$6:$L$10008,PURCHASE!$A$6:$A$10008,$AL$2,PURCHASE!$H$6:$H$10008,$A$4:$A$2700)</f>
        <v>0</v>
      </c>
      <c r="AO7" s="512">
        <f>SUMIFS(PURCHASE!$M$6:$M$10008,PURCHASE!$A$6:$A$10008,$AL$2,PURCHASE!$H$6:$H$10008,$A$4:$A$2700)</f>
        <v>2.25</v>
      </c>
      <c r="AP7" s="512">
        <f>SUMIFS(PURCHASE!$N$6:$N$10008,PURCHASE!$A$6:$A$10008,$AL$2,PURCHASE!$H$6:$H$10008,$A$4:$A$2700)</f>
        <v>2.25</v>
      </c>
      <c r="AQ7" s="512">
        <f t="shared" si="19"/>
        <v>0</v>
      </c>
      <c r="AR7" s="512">
        <f>SUMIFS(PURCHASE!$K$6:$K$10008,PURCHASE!$A$6:$A$10008,$AQ$2,PURCHASE!$H$6:$H$10008,$A$4:$A$2700)</f>
        <v>0</v>
      </c>
      <c r="AS7" s="512">
        <f>SUMIFS(PURCHASE!$L$6:$L$10008,PURCHASE!$A$6:$A$10008,$AQ$2,PURCHASE!$H$6:$H$10008,$A$4:$A$2700)</f>
        <v>0</v>
      </c>
      <c r="AT7" s="512">
        <f>SUMIFS(PURCHASE!$M$6:$M$10008,PURCHASE!$A$6:$A$10008,$AQ$2,PURCHASE!$H$6:$H$10008,$A$4:$A$2700)</f>
        <v>0</v>
      </c>
      <c r="AU7" s="512">
        <f>SUMIFS(PURCHASE!$N$6:$N$10008,PURCHASE!$A$6:$A$10008,$AQ$2,PURCHASE!$H$6:$H$10008,$A$4:$A$2700)</f>
        <v>0</v>
      </c>
      <c r="AV7" s="512">
        <f t="shared" si="20"/>
        <v>0</v>
      </c>
      <c r="AW7" s="512">
        <f>SUMIFS(PURCHASE!$K$6:$K$10008,PURCHASE!$A$6:$A$10008,$AV$2,PURCHASE!$H$6:$H$10008,$A$4:$A$2700)</f>
        <v>0</v>
      </c>
      <c r="AX7" s="512">
        <f>SUMIFS(PURCHASE!$L$6:$L$10008,PURCHASE!$A$6:$A$10008,$AV$2,PURCHASE!$H$6:$H$10008,$A$4:$A$2700)</f>
        <v>0</v>
      </c>
      <c r="AY7" s="512">
        <f>SUMIFS(PURCHASE!$M$6:$M$10008,PURCHASE!$A$6:$A$10008,$AV$2,PURCHASE!$H$6:$H$10008,$A$4:$A$2700)</f>
        <v>0</v>
      </c>
      <c r="AZ7" s="512">
        <f>SUMIFS(PURCHASE!$N$6:$N$10008,PURCHASE!$A$6:$A$10008,$AV$2,PURCHASE!$H$6:$H$10008,$A$4:$A$2700)</f>
        <v>0</v>
      </c>
      <c r="BA7" s="512">
        <f t="shared" si="21"/>
        <v>0</v>
      </c>
      <c r="BB7" s="512">
        <f>SUMIFS(PURCHASE!$K$6:$K$10008,PURCHASE!$A$6:$A$10008,$BA$2,PURCHASE!$H$6:$H$10008,$A$4:$A$2700)</f>
        <v>0</v>
      </c>
      <c r="BC7" s="512">
        <f>SUMIFS(PURCHASE!$L$6:$L$10008,PURCHASE!$A$6:$A$10008,$BA$2,PURCHASE!$H$6:$H$10008,$A$4:$A$2700)</f>
        <v>0</v>
      </c>
      <c r="BD7" s="512">
        <f>SUMIFS(PURCHASE!$M$6:$M$10008,PURCHASE!$A$6:$A$10008,$BA$2,PURCHASE!$H$6:$H$10008,$A$4:$A$2700)</f>
        <v>0</v>
      </c>
      <c r="BE7" s="512">
        <f>SUMIFS(PURCHASE!$N$6:$N$10008,PURCHASE!$A$6:$A$10008,$BA$2,PURCHASE!$H$6:$H$10008,$A$4:$A$2700)</f>
        <v>0</v>
      </c>
      <c r="BF7" s="512">
        <f t="shared" si="22"/>
        <v>0</v>
      </c>
      <c r="BG7" s="512">
        <f>SUMIFS(PURCHASE!$K$6:$K$10008,PURCHASE!$A$6:$A$10008,$BF$2,PURCHASE!$H$6:$H$10008,$A$4:$A$2700)</f>
        <v>0</v>
      </c>
      <c r="BH7" s="512">
        <f>SUMIFS(PURCHASE!$L$6:$L$10008,PURCHASE!$A$6:$A$10008,$BF$2,PURCHASE!$H$6:$H$10008,$A$4:$A$2700)</f>
        <v>0</v>
      </c>
      <c r="BI7" s="512">
        <f>SUMIFS(PURCHASE!$M$6:$M$10008,PURCHASE!$A$6:$A$10008,$BF$2,PURCHASE!$H$6:$H$10008,$A$4:$A$2700)</f>
        <v>0</v>
      </c>
      <c r="BJ7" s="512">
        <f>SUMIFS(PURCHASE!$N$6:$N$10008,PURCHASE!$A$6:$A$10008,$BF$2,PURCHASE!$H$6:$H$10008,$A$4:$A$2700)</f>
        <v>0</v>
      </c>
      <c r="BK7" s="72">
        <f t="shared" si="6"/>
        <v>94.5</v>
      </c>
      <c r="BL7" s="72">
        <f t="shared" si="7"/>
        <v>90</v>
      </c>
      <c r="BM7" s="72">
        <f t="shared" si="8"/>
        <v>0</v>
      </c>
      <c r="BN7" s="72">
        <f t="shared" si="9"/>
        <v>2.25</v>
      </c>
      <c r="BO7" s="72">
        <f t="shared" si="10"/>
        <v>2.25</v>
      </c>
    </row>
    <row r="8" spans="1:67" x14ac:dyDescent="0.2">
      <c r="A8" s="511">
        <v>2523</v>
      </c>
      <c r="B8" s="467" t="s">
        <v>1183</v>
      </c>
      <c r="C8" s="512">
        <f t="shared" si="11"/>
        <v>0</v>
      </c>
      <c r="D8" s="512">
        <f>SUMIFS(PURCHASE!$K$6:$K$10008,PURCHASE!$A$6:$A$10008,$M$2,PURCHASE!$H$6:$H$10008,$A$4:$A$2700)</f>
        <v>0</v>
      </c>
      <c r="E8" s="512">
        <f>SUMIFS(PURCHASE!$L$6:$L$10008,PURCHASE!$A$6:$A$10008,$M$2,PURCHASE!$H$6:$H$10008,$A$4:$A$2700)</f>
        <v>0</v>
      </c>
      <c r="F8" s="512">
        <f>SUMIFS(PURCHASE!$M$6:$M$10008,PURCHASE!$A$6:$A$10008,$M$2,PURCHASE!$H$6:$H$10008,$A$4:$A$2700)</f>
        <v>0</v>
      </c>
      <c r="G8" s="512">
        <f>SUMIFS(PURCHASE!$N$6:$N$10008,PURCHASE!$A$6:$A$10008,$M$2,PURCHASE!$H$6:$H$10008,$A$4:$A$2700)</f>
        <v>0</v>
      </c>
      <c r="H8" s="512">
        <f t="shared" si="12"/>
        <v>0</v>
      </c>
      <c r="I8" s="512">
        <f>SUMIFS(PURCHASE!$K$6:$K$10008,PURCHASE!$A$6:$A$10008,$H$2,PURCHASE!$H$6:$H$10008,$A$4:$A$2700)</f>
        <v>0</v>
      </c>
      <c r="J8" s="512">
        <f>SUMIFS(PURCHASE!$L$6:$L$10008,PURCHASE!$A$6:$A$10008,$H$2,PURCHASE!$H$6:$H$10008,$A$4:$A$2700)</f>
        <v>0</v>
      </c>
      <c r="K8" s="512">
        <f>SUMIFS(PURCHASE!$M$6:$M$10008,PURCHASE!$A$6:$A$10008,$H$2,PURCHASE!$H$6:$H$10008,$A$4:$A$2700)</f>
        <v>0</v>
      </c>
      <c r="L8" s="512">
        <f>SUMIFS(PURCHASE!$N$6:$N$10008,PURCHASE!$A$6:$A$10008,$H$2,PURCHASE!$H$6:$H$10008,$A$4:$A$2700)</f>
        <v>0</v>
      </c>
      <c r="M8" s="512">
        <f t="shared" si="13"/>
        <v>0</v>
      </c>
      <c r="N8" s="512">
        <f>SUMIFS(PURCHASE!$K$6:$K$10008,PURCHASE!$A$6:$A$10008,$M$2,PURCHASE!$H$6:$H$10008,$A$4:$A$2700)</f>
        <v>0</v>
      </c>
      <c r="O8" s="512">
        <f>SUMIFS(PURCHASE!$L$6:$L$10008,PURCHASE!$A$6:$A$10008,$M$2,PURCHASE!$H$6:$H$10008,$A$4:$A$2700)</f>
        <v>0</v>
      </c>
      <c r="P8" s="512">
        <f>SUMIFS(PURCHASE!$M$6:$M$10008,PURCHASE!$A$6:$A$10008,$M$2,PURCHASE!$H$6:$H$10008,$A$4:$A$2700)</f>
        <v>0</v>
      </c>
      <c r="Q8" s="512">
        <f>SUMIFS(PURCHASE!$N$6:$N$10008,PURCHASE!$A$6:$A$10008,$M$2,PURCHASE!$H$6:$H$10008,$A$4:$A$2700)</f>
        <v>0</v>
      </c>
      <c r="R8" s="512">
        <f t="shared" si="14"/>
        <v>0</v>
      </c>
      <c r="S8" s="512">
        <f>SUMIFS(PURCHASE!$K$6:$K$10008,PURCHASE!$A$6:$A$10008,$R$2,PURCHASE!$H$6:$H$10008,$A$4:$A$2700)</f>
        <v>0</v>
      </c>
      <c r="T8" s="512">
        <f>SUMIFS(PURCHASE!$L$6:$L$10008,PURCHASE!$A$6:$A$10008,$R$2,PURCHASE!$H$6:$H$10008,$A$4:$A$2700)</f>
        <v>0</v>
      </c>
      <c r="U8" s="512">
        <f>SUMIFS(PURCHASE!$M$6:$M$10008,PURCHASE!$A$6:$A$10008,$R$2,PURCHASE!$H$6:$H$10008,$A$4:$A$2700)</f>
        <v>0</v>
      </c>
      <c r="V8" s="512">
        <f>SUMIFS(PURCHASE!$N$6:$N$10008,PURCHASE!$A$6:$A$10008,$R$2,PURCHASE!$H$6:$H$10008,$A$4:$A$2700)</f>
        <v>0</v>
      </c>
      <c r="W8" s="512">
        <f t="shared" si="15"/>
        <v>0</v>
      </c>
      <c r="X8" s="512">
        <f>SUMIFS(PURCHASE!$K$6:$K$10008,PURCHASE!$A$6:$A$10008,$W$2,PURCHASE!$H$6:$H$10008,$A$4:$A$2700)</f>
        <v>0</v>
      </c>
      <c r="Y8" s="512">
        <f>SUMIFS(PURCHASE!$L$6:$L$10008,PURCHASE!$A$6:$A$10008,$W$2,PURCHASE!$H$6:$H$10008,$A$4:$A$2700)</f>
        <v>0</v>
      </c>
      <c r="Z8" s="512">
        <f>SUMIFS(PURCHASE!$M$6:$M$10008,PURCHASE!$A$6:$A$10008,$W$2,PURCHASE!$H$6:$H$10008,$A$4:$A$2700)</f>
        <v>0</v>
      </c>
      <c r="AA8" s="512">
        <f>SUMIFS(PURCHASE!$N$6:$N$10008,PURCHASE!$A$6:$A$10008,$W$2,PURCHASE!$H$6:$H$10008,$A$4:$A$2700)</f>
        <v>0</v>
      </c>
      <c r="AB8" s="512">
        <f t="shared" si="16"/>
        <v>0</v>
      </c>
      <c r="AC8" s="512">
        <f>SUMIFS(PURCHASE!$K$6:$K$10008,PURCHASE!$A$6:$A$10008,$AB$2,PURCHASE!$H$6:$H$10008,$A$4:$A$2700)</f>
        <v>0</v>
      </c>
      <c r="AD8" s="512">
        <f>SUMIFS(PURCHASE!$L$6:$L$10008,PURCHASE!$A$6:$A$10008,$AB$2,PURCHASE!$H$6:$H$10008,$A$4:$A$2700)</f>
        <v>0</v>
      </c>
      <c r="AE8" s="512">
        <f>SUMIFS(PURCHASE!$M$6:$M$10008,PURCHASE!$A$6:$A$10008,$AB$2,PURCHASE!$H$6:$H$10008,$A$4:$A$2700)</f>
        <v>0</v>
      </c>
      <c r="AF8" s="512">
        <f>SUMIFS(PURCHASE!$N$6:$N$10008,PURCHASE!$A$6:$A$10008,$AB$2,PURCHASE!$H$6:$H$10008,$A$4:$A$2700)</f>
        <v>0</v>
      </c>
      <c r="AG8" s="512">
        <f t="shared" si="17"/>
        <v>0</v>
      </c>
      <c r="AH8" s="512">
        <f>SUMIFS(PURCHASE!$K$6:$K$10008,PURCHASE!$A$6:$A$10008,$AG$2,PURCHASE!$H$6:$H$10008,$A$4:$A$2700)</f>
        <v>0</v>
      </c>
      <c r="AI8" s="512">
        <f>SUMIFS(PURCHASE!$L$6:$L$10008,PURCHASE!$A$6:$A$10008,$AG$2,PURCHASE!$H$6:$H$10008,$A$4:$A$2700)</f>
        <v>0</v>
      </c>
      <c r="AJ8" s="512">
        <f>SUMIFS(PURCHASE!$M$6:$M$10008,PURCHASE!$A$6:$A$10008,$AG$2,PURCHASE!$H$6:$H$10008,$A$4:$A$2700)</f>
        <v>0</v>
      </c>
      <c r="AK8" s="512">
        <f>SUMIFS(PURCHASE!$N$6:$N$10008,PURCHASE!$A$6:$A$10008,$AG$2,PURCHASE!$H$6:$H$10008,$A$4:$A$2700)</f>
        <v>0</v>
      </c>
      <c r="AL8" s="512">
        <f t="shared" si="18"/>
        <v>0</v>
      </c>
      <c r="AM8" s="512">
        <f>SUMIFS(PURCHASE!$K$6:$K$10008,PURCHASE!$A$6:$A$10008,$AL$2,PURCHASE!$H$6:$H$10008,$A$4:$A$2700)</f>
        <v>0</v>
      </c>
      <c r="AN8" s="512">
        <f>SUMIFS(PURCHASE!$L$6:$L$10008,PURCHASE!$A$6:$A$10008,$AL$2,PURCHASE!$H$6:$H$10008,$A$4:$A$2700)</f>
        <v>0</v>
      </c>
      <c r="AO8" s="512">
        <f>SUMIFS(PURCHASE!$M$6:$M$10008,PURCHASE!$A$6:$A$10008,$AL$2,PURCHASE!$H$6:$H$10008,$A$4:$A$2700)</f>
        <v>0</v>
      </c>
      <c r="AP8" s="512">
        <f>SUMIFS(PURCHASE!$N$6:$N$10008,PURCHASE!$A$6:$A$10008,$AL$2,PURCHASE!$H$6:$H$10008,$A$4:$A$2700)</f>
        <v>0</v>
      </c>
      <c r="AQ8" s="512">
        <f t="shared" si="19"/>
        <v>0</v>
      </c>
      <c r="AR8" s="512">
        <f>SUMIFS(PURCHASE!$K$6:$K$10008,PURCHASE!$A$6:$A$10008,$AQ$2,PURCHASE!$H$6:$H$10008,$A$4:$A$2700)</f>
        <v>0</v>
      </c>
      <c r="AS8" s="512">
        <f>SUMIFS(PURCHASE!$L$6:$L$10008,PURCHASE!$A$6:$A$10008,$AQ$2,PURCHASE!$H$6:$H$10008,$A$4:$A$2700)</f>
        <v>0</v>
      </c>
      <c r="AT8" s="512">
        <f>SUMIFS(PURCHASE!$M$6:$M$10008,PURCHASE!$A$6:$A$10008,$AQ$2,PURCHASE!$H$6:$H$10008,$A$4:$A$2700)</f>
        <v>0</v>
      </c>
      <c r="AU8" s="512">
        <f>SUMIFS(PURCHASE!$N$6:$N$10008,PURCHASE!$A$6:$A$10008,$AQ$2,PURCHASE!$H$6:$H$10008,$A$4:$A$2700)</f>
        <v>0</v>
      </c>
      <c r="AV8" s="512">
        <f t="shared" si="20"/>
        <v>0</v>
      </c>
      <c r="AW8" s="512">
        <f>SUMIFS(PURCHASE!$K$6:$K$10008,PURCHASE!$A$6:$A$10008,$AV$2,PURCHASE!$H$6:$H$10008,$A$4:$A$2700)</f>
        <v>0</v>
      </c>
      <c r="AX8" s="512">
        <f>SUMIFS(PURCHASE!$L$6:$L$10008,PURCHASE!$A$6:$A$10008,$AV$2,PURCHASE!$H$6:$H$10008,$A$4:$A$2700)</f>
        <v>0</v>
      </c>
      <c r="AY8" s="512">
        <f>SUMIFS(PURCHASE!$M$6:$M$10008,PURCHASE!$A$6:$A$10008,$AV$2,PURCHASE!$H$6:$H$10008,$A$4:$A$2700)</f>
        <v>0</v>
      </c>
      <c r="AZ8" s="512">
        <f>SUMIFS(PURCHASE!$N$6:$N$10008,PURCHASE!$A$6:$A$10008,$AV$2,PURCHASE!$H$6:$H$10008,$A$4:$A$2700)</f>
        <v>0</v>
      </c>
      <c r="BA8" s="512">
        <f t="shared" si="21"/>
        <v>0</v>
      </c>
      <c r="BB8" s="512">
        <f>SUMIFS(PURCHASE!$K$6:$K$10008,PURCHASE!$A$6:$A$10008,$BA$2,PURCHASE!$H$6:$H$10008,$A$4:$A$2700)</f>
        <v>0</v>
      </c>
      <c r="BC8" s="512">
        <f>SUMIFS(PURCHASE!$L$6:$L$10008,PURCHASE!$A$6:$A$10008,$BA$2,PURCHASE!$H$6:$H$10008,$A$4:$A$2700)</f>
        <v>0</v>
      </c>
      <c r="BD8" s="512">
        <f>SUMIFS(PURCHASE!$M$6:$M$10008,PURCHASE!$A$6:$A$10008,$BA$2,PURCHASE!$H$6:$H$10008,$A$4:$A$2700)</f>
        <v>0</v>
      </c>
      <c r="BE8" s="512">
        <f>SUMIFS(PURCHASE!$N$6:$N$10008,PURCHASE!$A$6:$A$10008,$BA$2,PURCHASE!$H$6:$H$10008,$A$4:$A$2700)</f>
        <v>0</v>
      </c>
      <c r="BF8" s="512">
        <f t="shared" si="22"/>
        <v>0</v>
      </c>
      <c r="BG8" s="512">
        <f>SUMIFS(PURCHASE!$K$6:$K$10008,PURCHASE!$A$6:$A$10008,$BF$2,PURCHASE!$H$6:$H$10008,$A$4:$A$2700)</f>
        <v>0</v>
      </c>
      <c r="BH8" s="512">
        <f>SUMIFS(PURCHASE!$L$6:$L$10008,PURCHASE!$A$6:$A$10008,$BF$2,PURCHASE!$H$6:$H$10008,$A$4:$A$2700)</f>
        <v>0</v>
      </c>
      <c r="BI8" s="512">
        <f>SUMIFS(PURCHASE!$M$6:$M$10008,PURCHASE!$A$6:$A$10008,$BF$2,PURCHASE!$H$6:$H$10008,$A$4:$A$2700)</f>
        <v>0</v>
      </c>
      <c r="BJ8" s="512">
        <f>SUMIFS(PURCHASE!$N$6:$N$10008,PURCHASE!$A$6:$A$10008,$BF$2,PURCHASE!$H$6:$H$10008,$A$4:$A$2700)</f>
        <v>0</v>
      </c>
      <c r="BK8" s="72">
        <f t="shared" si="6"/>
        <v>0</v>
      </c>
      <c r="BL8" s="72">
        <f t="shared" si="7"/>
        <v>0</v>
      </c>
      <c r="BM8" s="72">
        <f t="shared" si="8"/>
        <v>0</v>
      </c>
      <c r="BN8" s="72">
        <f t="shared" si="9"/>
        <v>0</v>
      </c>
      <c r="BO8" s="72">
        <f t="shared" si="10"/>
        <v>0</v>
      </c>
    </row>
    <row r="9" spans="1:67" x14ac:dyDescent="0.2">
      <c r="A9" s="511">
        <v>2710</v>
      </c>
      <c r="B9" s="467" t="s">
        <v>1184</v>
      </c>
      <c r="C9" s="512">
        <f t="shared" si="11"/>
        <v>0</v>
      </c>
      <c r="D9" s="512">
        <f>SUMIFS(PURCHASE!$K$6:$K$10008,PURCHASE!$A$6:$A$10008,$M$2,PURCHASE!$H$6:$H$10008,$A$4:$A$2700)</f>
        <v>0</v>
      </c>
      <c r="E9" s="512">
        <f>SUMIFS(PURCHASE!$L$6:$L$10008,PURCHASE!$A$6:$A$10008,$M$2,PURCHASE!$H$6:$H$10008,$A$4:$A$2700)</f>
        <v>0</v>
      </c>
      <c r="F9" s="512">
        <f>SUMIFS(PURCHASE!$M$6:$M$10008,PURCHASE!$A$6:$A$10008,$M$2,PURCHASE!$H$6:$H$10008,$A$4:$A$2700)</f>
        <v>0</v>
      </c>
      <c r="G9" s="512">
        <f>SUMIFS(PURCHASE!$N$6:$N$10008,PURCHASE!$A$6:$A$10008,$M$2,PURCHASE!$H$6:$H$10008,$A$4:$A$2700)</f>
        <v>0</v>
      </c>
      <c r="H9" s="512">
        <f t="shared" si="12"/>
        <v>19257.599999999999</v>
      </c>
      <c r="I9" s="512">
        <f>SUMIFS(PURCHASE!$K$6:$K$10008,PURCHASE!$A$6:$A$10008,$H$2,PURCHASE!$H$6:$H$10008,$A$4:$A$2700)</f>
        <v>16320</v>
      </c>
      <c r="J9" s="512">
        <f>SUMIFS(PURCHASE!$L$6:$L$10008,PURCHASE!$A$6:$A$10008,$H$2,PURCHASE!$H$6:$H$10008,$A$4:$A$2700)</f>
        <v>0</v>
      </c>
      <c r="K9" s="512">
        <f>SUMIFS(PURCHASE!$M$6:$M$10008,PURCHASE!$A$6:$A$10008,$H$2,PURCHASE!$H$6:$H$10008,$A$4:$A$2700)</f>
        <v>1468.8</v>
      </c>
      <c r="L9" s="512">
        <f>SUMIFS(PURCHASE!$N$6:$N$10008,PURCHASE!$A$6:$A$10008,$H$2,PURCHASE!$H$6:$H$10008,$A$4:$A$2700)</f>
        <v>1468.8</v>
      </c>
      <c r="M9" s="512">
        <f t="shared" si="13"/>
        <v>0</v>
      </c>
      <c r="N9" s="512">
        <f>SUMIFS(PURCHASE!$K$6:$K$10008,PURCHASE!$A$6:$A$10008,$M$2,PURCHASE!$H$6:$H$10008,$A$4:$A$2700)</f>
        <v>0</v>
      </c>
      <c r="O9" s="512">
        <f>SUMIFS(PURCHASE!$L$6:$L$10008,PURCHASE!$A$6:$A$10008,$M$2,PURCHASE!$H$6:$H$10008,$A$4:$A$2700)</f>
        <v>0</v>
      </c>
      <c r="P9" s="512">
        <f>SUMIFS(PURCHASE!$M$6:$M$10008,PURCHASE!$A$6:$A$10008,$M$2,PURCHASE!$H$6:$H$10008,$A$4:$A$2700)</f>
        <v>0</v>
      </c>
      <c r="Q9" s="512">
        <f>SUMIFS(PURCHASE!$N$6:$N$10008,PURCHASE!$A$6:$A$10008,$M$2,PURCHASE!$H$6:$H$10008,$A$4:$A$2700)</f>
        <v>0</v>
      </c>
      <c r="R9" s="512">
        <f t="shared" si="14"/>
        <v>0</v>
      </c>
      <c r="S9" s="512">
        <f>SUMIFS(PURCHASE!$K$6:$K$10008,PURCHASE!$A$6:$A$10008,$R$2,PURCHASE!$H$6:$H$10008,$A$4:$A$2700)</f>
        <v>0</v>
      </c>
      <c r="T9" s="512">
        <f>SUMIFS(PURCHASE!$L$6:$L$10008,PURCHASE!$A$6:$A$10008,$R$2,PURCHASE!$H$6:$H$10008,$A$4:$A$2700)</f>
        <v>0</v>
      </c>
      <c r="U9" s="512">
        <f>SUMIFS(PURCHASE!$M$6:$M$10008,PURCHASE!$A$6:$A$10008,$R$2,PURCHASE!$H$6:$H$10008,$A$4:$A$2700)</f>
        <v>0</v>
      </c>
      <c r="V9" s="512">
        <f>SUMIFS(PURCHASE!$N$6:$N$10008,PURCHASE!$A$6:$A$10008,$R$2,PURCHASE!$H$6:$H$10008,$A$4:$A$2700)</f>
        <v>0</v>
      </c>
      <c r="W9" s="512">
        <f t="shared" si="15"/>
        <v>0</v>
      </c>
      <c r="X9" s="512">
        <f>SUMIFS(PURCHASE!$K$6:$K$10008,PURCHASE!$A$6:$A$10008,$W$2,PURCHASE!$H$6:$H$10008,$A$4:$A$2700)</f>
        <v>0</v>
      </c>
      <c r="Y9" s="512">
        <f>SUMIFS(PURCHASE!$L$6:$L$10008,PURCHASE!$A$6:$A$10008,$W$2,PURCHASE!$H$6:$H$10008,$A$4:$A$2700)</f>
        <v>0</v>
      </c>
      <c r="Z9" s="512">
        <f>SUMIFS(PURCHASE!$M$6:$M$10008,PURCHASE!$A$6:$A$10008,$W$2,PURCHASE!$H$6:$H$10008,$A$4:$A$2700)</f>
        <v>0</v>
      </c>
      <c r="AA9" s="512">
        <f>SUMIFS(PURCHASE!$N$6:$N$10008,PURCHASE!$A$6:$A$10008,$W$2,PURCHASE!$H$6:$H$10008,$A$4:$A$2700)</f>
        <v>0</v>
      </c>
      <c r="AB9" s="512">
        <f t="shared" si="16"/>
        <v>19257.599999999999</v>
      </c>
      <c r="AC9" s="512">
        <f>SUMIFS(PURCHASE!$K$6:$K$10008,PURCHASE!$A$6:$A$10008,$AB$2,PURCHASE!$H$6:$H$10008,$A$4:$A$2700)</f>
        <v>16320</v>
      </c>
      <c r="AD9" s="512">
        <f>SUMIFS(PURCHASE!$L$6:$L$10008,PURCHASE!$A$6:$A$10008,$AB$2,PURCHASE!$H$6:$H$10008,$A$4:$A$2700)</f>
        <v>0</v>
      </c>
      <c r="AE9" s="512">
        <f>SUMIFS(PURCHASE!$M$6:$M$10008,PURCHASE!$A$6:$A$10008,$AB$2,PURCHASE!$H$6:$H$10008,$A$4:$A$2700)</f>
        <v>1468.8</v>
      </c>
      <c r="AF9" s="512">
        <f>SUMIFS(PURCHASE!$N$6:$N$10008,PURCHASE!$A$6:$A$10008,$AB$2,PURCHASE!$H$6:$H$10008,$A$4:$A$2700)</f>
        <v>1468.8</v>
      </c>
      <c r="AG9" s="512">
        <f t="shared" si="17"/>
        <v>0</v>
      </c>
      <c r="AH9" s="512">
        <f>SUMIFS(PURCHASE!$K$6:$K$10008,PURCHASE!$A$6:$A$10008,$AG$2,PURCHASE!$H$6:$H$10008,$A$4:$A$2700)</f>
        <v>0</v>
      </c>
      <c r="AI9" s="512">
        <f>SUMIFS(PURCHASE!$L$6:$L$10008,PURCHASE!$A$6:$A$10008,$AG$2,PURCHASE!$H$6:$H$10008,$A$4:$A$2700)</f>
        <v>0</v>
      </c>
      <c r="AJ9" s="512">
        <f>SUMIFS(PURCHASE!$M$6:$M$10008,PURCHASE!$A$6:$A$10008,$AG$2,PURCHASE!$H$6:$H$10008,$A$4:$A$2700)</f>
        <v>0</v>
      </c>
      <c r="AK9" s="512">
        <f>SUMIFS(PURCHASE!$N$6:$N$10008,PURCHASE!$A$6:$A$10008,$AG$2,PURCHASE!$H$6:$H$10008,$A$4:$A$2700)</f>
        <v>0</v>
      </c>
      <c r="AL9" s="512">
        <f t="shared" si="18"/>
        <v>0</v>
      </c>
      <c r="AM9" s="512">
        <f>SUMIFS(PURCHASE!$K$6:$K$10008,PURCHASE!$A$6:$A$10008,$AL$2,PURCHASE!$H$6:$H$10008,$A$4:$A$2700)</f>
        <v>0</v>
      </c>
      <c r="AN9" s="512">
        <f>SUMIFS(PURCHASE!$L$6:$L$10008,PURCHASE!$A$6:$A$10008,$AL$2,PURCHASE!$H$6:$H$10008,$A$4:$A$2700)</f>
        <v>0</v>
      </c>
      <c r="AO9" s="512">
        <f>SUMIFS(PURCHASE!$M$6:$M$10008,PURCHASE!$A$6:$A$10008,$AL$2,PURCHASE!$H$6:$H$10008,$A$4:$A$2700)</f>
        <v>0</v>
      </c>
      <c r="AP9" s="512">
        <f>SUMIFS(PURCHASE!$N$6:$N$10008,PURCHASE!$A$6:$A$10008,$AL$2,PURCHASE!$H$6:$H$10008,$A$4:$A$2700)</f>
        <v>0</v>
      </c>
      <c r="AQ9" s="512">
        <f t="shared" si="19"/>
        <v>19257.599999999999</v>
      </c>
      <c r="AR9" s="512">
        <f>SUMIFS(PURCHASE!$K$6:$K$10008,PURCHASE!$A$6:$A$10008,$AQ$2,PURCHASE!$H$6:$H$10008,$A$4:$A$2700)</f>
        <v>16320</v>
      </c>
      <c r="AS9" s="512">
        <f>SUMIFS(PURCHASE!$L$6:$L$10008,PURCHASE!$A$6:$A$10008,$AQ$2,PURCHASE!$H$6:$H$10008,$A$4:$A$2700)</f>
        <v>0</v>
      </c>
      <c r="AT9" s="512">
        <f>SUMIFS(PURCHASE!$M$6:$M$10008,PURCHASE!$A$6:$A$10008,$AQ$2,PURCHASE!$H$6:$H$10008,$A$4:$A$2700)</f>
        <v>1468.8</v>
      </c>
      <c r="AU9" s="512">
        <f>SUMIFS(PURCHASE!$N$6:$N$10008,PURCHASE!$A$6:$A$10008,$AQ$2,PURCHASE!$H$6:$H$10008,$A$4:$A$2700)</f>
        <v>1468.8</v>
      </c>
      <c r="AV9" s="512">
        <f t="shared" si="20"/>
        <v>0</v>
      </c>
      <c r="AW9" s="512">
        <f>SUMIFS(PURCHASE!$K$6:$K$10008,PURCHASE!$A$6:$A$10008,$AV$2,PURCHASE!$H$6:$H$10008,$A$4:$A$2700)</f>
        <v>0</v>
      </c>
      <c r="AX9" s="512">
        <f>SUMIFS(PURCHASE!$L$6:$L$10008,PURCHASE!$A$6:$A$10008,$AV$2,PURCHASE!$H$6:$H$10008,$A$4:$A$2700)</f>
        <v>0</v>
      </c>
      <c r="AY9" s="512">
        <f>SUMIFS(PURCHASE!$M$6:$M$10008,PURCHASE!$A$6:$A$10008,$AV$2,PURCHASE!$H$6:$H$10008,$A$4:$A$2700)</f>
        <v>0</v>
      </c>
      <c r="AZ9" s="512">
        <f>SUMIFS(PURCHASE!$N$6:$N$10008,PURCHASE!$A$6:$A$10008,$AV$2,PURCHASE!$H$6:$H$10008,$A$4:$A$2700)</f>
        <v>0</v>
      </c>
      <c r="BA9" s="512">
        <f t="shared" si="21"/>
        <v>0</v>
      </c>
      <c r="BB9" s="512">
        <f>SUMIFS(PURCHASE!$K$6:$K$10008,PURCHASE!$A$6:$A$10008,$BA$2,PURCHASE!$H$6:$H$10008,$A$4:$A$2700)</f>
        <v>0</v>
      </c>
      <c r="BC9" s="512">
        <f>SUMIFS(PURCHASE!$L$6:$L$10008,PURCHASE!$A$6:$A$10008,$BA$2,PURCHASE!$H$6:$H$10008,$A$4:$A$2700)</f>
        <v>0</v>
      </c>
      <c r="BD9" s="512">
        <f>SUMIFS(PURCHASE!$M$6:$M$10008,PURCHASE!$A$6:$A$10008,$BA$2,PURCHASE!$H$6:$H$10008,$A$4:$A$2700)</f>
        <v>0</v>
      </c>
      <c r="BE9" s="512">
        <f>SUMIFS(PURCHASE!$N$6:$N$10008,PURCHASE!$A$6:$A$10008,$BA$2,PURCHASE!$H$6:$H$10008,$A$4:$A$2700)</f>
        <v>0</v>
      </c>
      <c r="BF9" s="512">
        <f t="shared" si="22"/>
        <v>0</v>
      </c>
      <c r="BG9" s="512">
        <f>SUMIFS(PURCHASE!$K$6:$K$10008,PURCHASE!$A$6:$A$10008,$BF$2,PURCHASE!$H$6:$H$10008,$A$4:$A$2700)</f>
        <v>0</v>
      </c>
      <c r="BH9" s="512">
        <f>SUMIFS(PURCHASE!$L$6:$L$10008,PURCHASE!$A$6:$A$10008,$BF$2,PURCHASE!$H$6:$H$10008,$A$4:$A$2700)</f>
        <v>0</v>
      </c>
      <c r="BI9" s="512">
        <f>SUMIFS(PURCHASE!$M$6:$M$10008,PURCHASE!$A$6:$A$10008,$BF$2,PURCHASE!$H$6:$H$10008,$A$4:$A$2700)</f>
        <v>0</v>
      </c>
      <c r="BJ9" s="512">
        <f>SUMIFS(PURCHASE!$N$6:$N$10008,PURCHASE!$A$6:$A$10008,$BF$2,PURCHASE!$H$6:$H$10008,$A$4:$A$2700)</f>
        <v>0</v>
      </c>
      <c r="BK9" s="72">
        <f t="shared" si="6"/>
        <v>57772.799999999996</v>
      </c>
      <c r="BL9" s="72">
        <f t="shared" si="7"/>
        <v>48960</v>
      </c>
      <c r="BM9" s="72">
        <f t="shared" si="8"/>
        <v>0</v>
      </c>
      <c r="BN9" s="72">
        <f t="shared" si="9"/>
        <v>4406.3999999999996</v>
      </c>
      <c r="BO9" s="72">
        <f t="shared" si="10"/>
        <v>4406.3999999999996</v>
      </c>
    </row>
    <row r="10" spans="1:67" x14ac:dyDescent="0.2">
      <c r="A10" s="511">
        <v>3208</v>
      </c>
      <c r="B10" s="467" t="s">
        <v>1186</v>
      </c>
      <c r="C10" s="512">
        <f t="shared" si="11"/>
        <v>43216.320000000007</v>
      </c>
      <c r="D10" s="512">
        <f>SUMIFS(PURCHASE!$K$6:$K$10008,PURCHASE!$A$6:$A$10008,$M$2,PURCHASE!$H$6:$H$10008,$A$4:$A$2700)</f>
        <v>36624</v>
      </c>
      <c r="E10" s="512">
        <f>SUMIFS(PURCHASE!$L$6:$L$10008,PURCHASE!$A$6:$A$10008,$M$2,PURCHASE!$H$6:$H$10008,$A$4:$A$2700)</f>
        <v>0</v>
      </c>
      <c r="F10" s="512">
        <f>SUMIFS(PURCHASE!$M$6:$M$10008,PURCHASE!$A$6:$A$10008,$M$2,PURCHASE!$H$6:$H$10008,$A$4:$A$2700)</f>
        <v>3296.1600000000003</v>
      </c>
      <c r="G10" s="512">
        <f>SUMIFS(PURCHASE!$N$6:$N$10008,PURCHASE!$A$6:$A$10008,$M$2,PURCHASE!$H$6:$H$10008,$A$4:$A$2700)</f>
        <v>3296.1600000000003</v>
      </c>
      <c r="H10" s="512">
        <f t="shared" si="12"/>
        <v>36178.800000000003</v>
      </c>
      <c r="I10" s="512">
        <f>SUMIFS(PURCHASE!$K$6:$K$10008,PURCHASE!$A$6:$A$10008,$H$2,PURCHASE!$H$6:$H$10008,$A$4:$A$2700)</f>
        <v>30660</v>
      </c>
      <c r="J10" s="512">
        <f>SUMIFS(PURCHASE!$L$6:$L$10008,PURCHASE!$A$6:$A$10008,$H$2,PURCHASE!$H$6:$H$10008,$A$4:$A$2700)</f>
        <v>0</v>
      </c>
      <c r="K10" s="512">
        <f>SUMIFS(PURCHASE!$M$6:$M$10008,PURCHASE!$A$6:$A$10008,$H$2,PURCHASE!$H$6:$H$10008,$A$4:$A$2700)</f>
        <v>2759.4</v>
      </c>
      <c r="L10" s="512">
        <f>SUMIFS(PURCHASE!$N$6:$N$10008,PURCHASE!$A$6:$A$10008,$H$2,PURCHASE!$H$6:$H$10008,$A$4:$A$2700)</f>
        <v>2759.4</v>
      </c>
      <c r="M10" s="512">
        <f t="shared" si="13"/>
        <v>43216.320000000007</v>
      </c>
      <c r="N10" s="512">
        <f>SUMIFS(PURCHASE!$K$6:$K$10008,PURCHASE!$A$6:$A$10008,$M$2,PURCHASE!$H$6:$H$10008,$A$4:$A$2700)</f>
        <v>36624</v>
      </c>
      <c r="O10" s="512">
        <f>SUMIFS(PURCHASE!$L$6:$L$10008,PURCHASE!$A$6:$A$10008,$M$2,PURCHASE!$H$6:$H$10008,$A$4:$A$2700)</f>
        <v>0</v>
      </c>
      <c r="P10" s="512">
        <f>SUMIFS(PURCHASE!$M$6:$M$10008,PURCHASE!$A$6:$A$10008,$M$2,PURCHASE!$H$6:$H$10008,$A$4:$A$2700)</f>
        <v>3296.1600000000003</v>
      </c>
      <c r="Q10" s="512">
        <f>SUMIFS(PURCHASE!$N$6:$N$10008,PURCHASE!$A$6:$A$10008,$M$2,PURCHASE!$H$6:$H$10008,$A$4:$A$2700)</f>
        <v>3296.1600000000003</v>
      </c>
      <c r="R10" s="512">
        <f t="shared" si="14"/>
        <v>1398.3000000000002</v>
      </c>
      <c r="S10" s="512">
        <f>SUMIFS(PURCHASE!$K$6:$K$10008,PURCHASE!$A$6:$A$10008,$R$2,PURCHASE!$H$6:$H$10008,$A$4:$A$2700)</f>
        <v>1185</v>
      </c>
      <c r="T10" s="512">
        <f>SUMIFS(PURCHASE!$L$6:$L$10008,PURCHASE!$A$6:$A$10008,$R$2,PURCHASE!$H$6:$H$10008,$A$4:$A$2700)</f>
        <v>0</v>
      </c>
      <c r="U10" s="512">
        <f>SUMIFS(PURCHASE!$M$6:$M$10008,PURCHASE!$A$6:$A$10008,$R$2,PURCHASE!$H$6:$H$10008,$A$4:$A$2700)</f>
        <v>106.64999999999999</v>
      </c>
      <c r="V10" s="512">
        <f>SUMIFS(PURCHASE!$N$6:$N$10008,PURCHASE!$A$6:$A$10008,$R$2,PURCHASE!$H$6:$H$10008,$A$4:$A$2700)</f>
        <v>106.64999999999999</v>
      </c>
      <c r="W10" s="512">
        <f t="shared" si="15"/>
        <v>0</v>
      </c>
      <c r="X10" s="512">
        <f>SUMIFS(PURCHASE!$K$6:$K$10008,PURCHASE!$A$6:$A$10008,$W$2,PURCHASE!$H$6:$H$10008,$A$4:$A$2700)</f>
        <v>0</v>
      </c>
      <c r="Y10" s="512">
        <f>SUMIFS(PURCHASE!$L$6:$L$10008,PURCHASE!$A$6:$A$10008,$W$2,PURCHASE!$H$6:$H$10008,$A$4:$A$2700)</f>
        <v>0</v>
      </c>
      <c r="Z10" s="512">
        <f>SUMIFS(PURCHASE!$M$6:$M$10008,PURCHASE!$A$6:$A$10008,$W$2,PURCHASE!$H$6:$H$10008,$A$4:$A$2700)</f>
        <v>0</v>
      </c>
      <c r="AA10" s="512">
        <f>SUMIFS(PURCHASE!$N$6:$N$10008,PURCHASE!$A$6:$A$10008,$W$2,PURCHASE!$H$6:$H$10008,$A$4:$A$2700)</f>
        <v>0</v>
      </c>
      <c r="AB10" s="512">
        <f t="shared" si="16"/>
        <v>17136.920400000003</v>
      </c>
      <c r="AC10" s="512">
        <f>SUMIFS(PURCHASE!$K$6:$K$10008,PURCHASE!$A$6:$A$10008,$AB$2,PURCHASE!$H$6:$H$10008,$A$4:$A$2700)</f>
        <v>14522.78</v>
      </c>
      <c r="AD10" s="512">
        <f>SUMIFS(PURCHASE!$L$6:$L$10008,PURCHASE!$A$6:$A$10008,$AB$2,PURCHASE!$H$6:$H$10008,$A$4:$A$2700)</f>
        <v>0</v>
      </c>
      <c r="AE10" s="512">
        <f>SUMIFS(PURCHASE!$M$6:$M$10008,PURCHASE!$A$6:$A$10008,$AB$2,PURCHASE!$H$6:$H$10008,$A$4:$A$2700)</f>
        <v>1307.0702000000001</v>
      </c>
      <c r="AF10" s="512">
        <f>SUMIFS(PURCHASE!$N$6:$N$10008,PURCHASE!$A$6:$A$10008,$AB$2,PURCHASE!$H$6:$H$10008,$A$4:$A$2700)</f>
        <v>1307.0702000000001</v>
      </c>
      <c r="AG10" s="512">
        <f t="shared" si="17"/>
        <v>5338.32</v>
      </c>
      <c r="AH10" s="512">
        <f>SUMIFS(PURCHASE!$K$6:$K$10008,PURCHASE!$A$6:$A$10008,$AG$2,PURCHASE!$H$6:$H$10008,$A$4:$A$2700)</f>
        <v>4524</v>
      </c>
      <c r="AI10" s="512">
        <f>SUMIFS(PURCHASE!$L$6:$L$10008,PURCHASE!$A$6:$A$10008,$AG$2,PURCHASE!$H$6:$H$10008,$A$4:$A$2700)</f>
        <v>0</v>
      </c>
      <c r="AJ10" s="512">
        <f>SUMIFS(PURCHASE!$M$6:$M$10008,PURCHASE!$A$6:$A$10008,$AG$2,PURCHASE!$H$6:$H$10008,$A$4:$A$2700)</f>
        <v>407.16</v>
      </c>
      <c r="AK10" s="512">
        <f>SUMIFS(PURCHASE!$N$6:$N$10008,PURCHASE!$A$6:$A$10008,$AG$2,PURCHASE!$H$6:$H$10008,$A$4:$A$2700)</f>
        <v>407.16</v>
      </c>
      <c r="AL10" s="512">
        <f t="shared" si="18"/>
        <v>29480.659800000001</v>
      </c>
      <c r="AM10" s="512">
        <f>SUMIFS(PURCHASE!$K$6:$K$10008,PURCHASE!$A$6:$A$10008,$AL$2,PURCHASE!$H$6:$H$10008,$A$4:$A$2700)</f>
        <v>24983.61</v>
      </c>
      <c r="AN10" s="512">
        <f>SUMIFS(PURCHASE!$L$6:$L$10008,PURCHASE!$A$6:$A$10008,$AL$2,PURCHASE!$H$6:$H$10008,$A$4:$A$2700)</f>
        <v>0</v>
      </c>
      <c r="AO10" s="512">
        <f>SUMIFS(PURCHASE!$M$6:$M$10008,PURCHASE!$A$6:$A$10008,$AL$2,PURCHASE!$H$6:$H$10008,$A$4:$A$2700)</f>
        <v>2248.5249000000003</v>
      </c>
      <c r="AP10" s="512">
        <f>SUMIFS(PURCHASE!$N$6:$N$10008,PURCHASE!$A$6:$A$10008,$AL$2,PURCHASE!$H$6:$H$10008,$A$4:$A$2700)</f>
        <v>2248.5249000000003</v>
      </c>
      <c r="AQ10" s="512">
        <f t="shared" si="19"/>
        <v>12344.298600000002</v>
      </c>
      <c r="AR10" s="512">
        <f>SUMIFS(PURCHASE!$K$6:$K$10008,PURCHASE!$A$6:$A$10008,$AQ$2,PURCHASE!$H$6:$H$10008,$A$4:$A$2700)</f>
        <v>10461.27</v>
      </c>
      <c r="AS10" s="512">
        <f>SUMIFS(PURCHASE!$L$6:$L$10008,PURCHASE!$A$6:$A$10008,$AQ$2,PURCHASE!$H$6:$H$10008,$A$4:$A$2700)</f>
        <v>0</v>
      </c>
      <c r="AT10" s="512">
        <f>SUMIFS(PURCHASE!$M$6:$M$10008,PURCHASE!$A$6:$A$10008,$AQ$2,PURCHASE!$H$6:$H$10008,$A$4:$A$2700)</f>
        <v>941.51429999999993</v>
      </c>
      <c r="AU10" s="512">
        <f>SUMIFS(PURCHASE!$N$6:$N$10008,PURCHASE!$A$6:$A$10008,$AQ$2,PURCHASE!$H$6:$H$10008,$A$4:$A$2700)</f>
        <v>941.51429999999993</v>
      </c>
      <c r="AV10" s="512">
        <f t="shared" si="20"/>
        <v>0</v>
      </c>
      <c r="AW10" s="512">
        <f>SUMIFS(PURCHASE!$K$6:$K$10008,PURCHASE!$A$6:$A$10008,$AV$2,PURCHASE!$H$6:$H$10008,$A$4:$A$2700)</f>
        <v>0</v>
      </c>
      <c r="AX10" s="512">
        <f>SUMIFS(PURCHASE!$L$6:$L$10008,PURCHASE!$A$6:$A$10008,$AV$2,PURCHASE!$H$6:$H$10008,$A$4:$A$2700)</f>
        <v>0</v>
      </c>
      <c r="AY10" s="512">
        <f>SUMIFS(PURCHASE!$M$6:$M$10008,PURCHASE!$A$6:$A$10008,$AV$2,PURCHASE!$H$6:$H$10008,$A$4:$A$2700)</f>
        <v>0</v>
      </c>
      <c r="AZ10" s="512">
        <f>SUMIFS(PURCHASE!$N$6:$N$10008,PURCHASE!$A$6:$A$10008,$AV$2,PURCHASE!$H$6:$H$10008,$A$4:$A$2700)</f>
        <v>0</v>
      </c>
      <c r="BA10" s="512">
        <f t="shared" si="21"/>
        <v>0</v>
      </c>
      <c r="BB10" s="512">
        <f>SUMIFS(PURCHASE!$K$6:$K$10008,PURCHASE!$A$6:$A$10008,$BA$2,PURCHASE!$H$6:$H$10008,$A$4:$A$2700)</f>
        <v>0</v>
      </c>
      <c r="BC10" s="512">
        <f>SUMIFS(PURCHASE!$L$6:$L$10008,PURCHASE!$A$6:$A$10008,$BA$2,PURCHASE!$H$6:$H$10008,$A$4:$A$2700)</f>
        <v>0</v>
      </c>
      <c r="BD10" s="512">
        <f>SUMIFS(PURCHASE!$M$6:$M$10008,PURCHASE!$A$6:$A$10008,$BA$2,PURCHASE!$H$6:$H$10008,$A$4:$A$2700)</f>
        <v>0</v>
      </c>
      <c r="BE10" s="512">
        <f>SUMIFS(PURCHASE!$N$6:$N$10008,PURCHASE!$A$6:$A$10008,$BA$2,PURCHASE!$H$6:$H$10008,$A$4:$A$2700)</f>
        <v>0</v>
      </c>
      <c r="BF10" s="512">
        <f t="shared" si="22"/>
        <v>0</v>
      </c>
      <c r="BG10" s="512">
        <f>SUMIFS(PURCHASE!$K$6:$K$10008,PURCHASE!$A$6:$A$10008,$BF$2,PURCHASE!$H$6:$H$10008,$A$4:$A$2700)</f>
        <v>0</v>
      </c>
      <c r="BH10" s="512">
        <f>SUMIFS(PURCHASE!$L$6:$L$10008,PURCHASE!$A$6:$A$10008,$BF$2,PURCHASE!$H$6:$H$10008,$A$4:$A$2700)</f>
        <v>0</v>
      </c>
      <c r="BI10" s="512">
        <f>SUMIFS(PURCHASE!$M$6:$M$10008,PURCHASE!$A$6:$A$10008,$BF$2,PURCHASE!$H$6:$H$10008,$A$4:$A$2700)</f>
        <v>0</v>
      </c>
      <c r="BJ10" s="512">
        <f>SUMIFS(PURCHASE!$N$6:$N$10008,PURCHASE!$A$6:$A$10008,$BF$2,PURCHASE!$H$6:$H$10008,$A$4:$A$2700)</f>
        <v>0</v>
      </c>
      <c r="BK10" s="72">
        <f t="shared" si="6"/>
        <v>188309.93880000003</v>
      </c>
      <c r="BL10" s="72">
        <f t="shared" si="7"/>
        <v>159584.66</v>
      </c>
      <c r="BM10" s="72">
        <f t="shared" si="8"/>
        <v>0</v>
      </c>
      <c r="BN10" s="72">
        <f t="shared" si="9"/>
        <v>14362.639400000002</v>
      </c>
      <c r="BO10" s="72">
        <f t="shared" si="10"/>
        <v>14362.639400000002</v>
      </c>
    </row>
    <row r="11" spans="1:67" x14ac:dyDescent="0.2">
      <c r="A11" s="511">
        <v>3209</v>
      </c>
      <c r="B11" s="467" t="s">
        <v>1187</v>
      </c>
      <c r="C11" s="512">
        <f t="shared" si="11"/>
        <v>0</v>
      </c>
      <c r="D11" s="512">
        <f>SUMIFS(PURCHASE!$K$6:$K$10008,PURCHASE!$A$6:$A$10008,$M$2,PURCHASE!$H$6:$H$10008,$A$4:$A$2700)</f>
        <v>0</v>
      </c>
      <c r="E11" s="512">
        <f>SUMIFS(PURCHASE!$L$6:$L$10008,PURCHASE!$A$6:$A$10008,$M$2,PURCHASE!$H$6:$H$10008,$A$4:$A$2700)</f>
        <v>0</v>
      </c>
      <c r="F11" s="512">
        <f>SUMIFS(PURCHASE!$M$6:$M$10008,PURCHASE!$A$6:$A$10008,$M$2,PURCHASE!$H$6:$H$10008,$A$4:$A$2700)</f>
        <v>0</v>
      </c>
      <c r="G11" s="512">
        <f>SUMIFS(PURCHASE!$N$6:$N$10008,PURCHASE!$A$6:$A$10008,$M$2,PURCHASE!$H$6:$H$10008,$A$4:$A$2700)</f>
        <v>0</v>
      </c>
      <c r="H11" s="512">
        <f t="shared" si="12"/>
        <v>0</v>
      </c>
      <c r="I11" s="512">
        <f>SUMIFS(PURCHASE!$K$6:$K$10008,PURCHASE!$A$6:$A$10008,$H$2,PURCHASE!$H$6:$H$10008,$A$4:$A$2700)</f>
        <v>0</v>
      </c>
      <c r="J11" s="512">
        <f>SUMIFS(PURCHASE!$L$6:$L$10008,PURCHASE!$A$6:$A$10008,$H$2,PURCHASE!$H$6:$H$10008,$A$4:$A$2700)</f>
        <v>0</v>
      </c>
      <c r="K11" s="512">
        <f>SUMIFS(PURCHASE!$M$6:$M$10008,PURCHASE!$A$6:$A$10008,$H$2,PURCHASE!$H$6:$H$10008,$A$4:$A$2700)</f>
        <v>0</v>
      </c>
      <c r="L11" s="512">
        <f>SUMIFS(PURCHASE!$N$6:$N$10008,PURCHASE!$A$6:$A$10008,$H$2,PURCHASE!$H$6:$H$10008,$A$4:$A$2700)</f>
        <v>0</v>
      </c>
      <c r="M11" s="512">
        <f t="shared" si="13"/>
        <v>0</v>
      </c>
      <c r="N11" s="512">
        <f>SUMIFS(PURCHASE!$K$6:$K$10008,PURCHASE!$A$6:$A$10008,$M$2,PURCHASE!$H$6:$H$10008,$A$4:$A$2700)</f>
        <v>0</v>
      </c>
      <c r="O11" s="512">
        <f>SUMIFS(PURCHASE!$L$6:$L$10008,PURCHASE!$A$6:$A$10008,$M$2,PURCHASE!$H$6:$H$10008,$A$4:$A$2700)</f>
        <v>0</v>
      </c>
      <c r="P11" s="512">
        <f>SUMIFS(PURCHASE!$M$6:$M$10008,PURCHASE!$A$6:$A$10008,$M$2,PURCHASE!$H$6:$H$10008,$A$4:$A$2700)</f>
        <v>0</v>
      </c>
      <c r="Q11" s="512">
        <f>SUMIFS(PURCHASE!$N$6:$N$10008,PURCHASE!$A$6:$A$10008,$M$2,PURCHASE!$H$6:$H$10008,$A$4:$A$2700)</f>
        <v>0</v>
      </c>
      <c r="R11" s="512">
        <f t="shared" si="14"/>
        <v>0</v>
      </c>
      <c r="S11" s="512">
        <f>SUMIFS(PURCHASE!$K$6:$K$10008,PURCHASE!$A$6:$A$10008,$R$2,PURCHASE!$H$6:$H$10008,$A$4:$A$2700)</f>
        <v>0</v>
      </c>
      <c r="T11" s="512">
        <f>SUMIFS(PURCHASE!$L$6:$L$10008,PURCHASE!$A$6:$A$10008,$R$2,PURCHASE!$H$6:$H$10008,$A$4:$A$2700)</f>
        <v>0</v>
      </c>
      <c r="U11" s="512">
        <f>SUMIFS(PURCHASE!$M$6:$M$10008,PURCHASE!$A$6:$A$10008,$R$2,PURCHASE!$H$6:$H$10008,$A$4:$A$2700)</f>
        <v>0</v>
      </c>
      <c r="V11" s="512">
        <f>SUMIFS(PURCHASE!$N$6:$N$10008,PURCHASE!$A$6:$A$10008,$R$2,PURCHASE!$H$6:$H$10008,$A$4:$A$2700)</f>
        <v>0</v>
      </c>
      <c r="W11" s="512">
        <f t="shared" si="15"/>
        <v>0</v>
      </c>
      <c r="X11" s="512">
        <f>SUMIFS(PURCHASE!$K$6:$K$10008,PURCHASE!$A$6:$A$10008,$W$2,PURCHASE!$H$6:$H$10008,$A$4:$A$2700)</f>
        <v>0</v>
      </c>
      <c r="Y11" s="512">
        <f>SUMIFS(PURCHASE!$L$6:$L$10008,PURCHASE!$A$6:$A$10008,$W$2,PURCHASE!$H$6:$H$10008,$A$4:$A$2700)</f>
        <v>0</v>
      </c>
      <c r="Z11" s="512">
        <f>SUMIFS(PURCHASE!$M$6:$M$10008,PURCHASE!$A$6:$A$10008,$W$2,PURCHASE!$H$6:$H$10008,$A$4:$A$2700)</f>
        <v>0</v>
      </c>
      <c r="AA11" s="512">
        <f>SUMIFS(PURCHASE!$N$6:$N$10008,PURCHASE!$A$6:$A$10008,$W$2,PURCHASE!$H$6:$H$10008,$A$4:$A$2700)</f>
        <v>0</v>
      </c>
      <c r="AB11" s="512">
        <f t="shared" si="16"/>
        <v>106.19999999999999</v>
      </c>
      <c r="AC11" s="512">
        <f>SUMIFS(PURCHASE!$K$6:$K$10008,PURCHASE!$A$6:$A$10008,$AB$2,PURCHASE!$H$6:$H$10008,$A$4:$A$2700)</f>
        <v>90</v>
      </c>
      <c r="AD11" s="512">
        <f>SUMIFS(PURCHASE!$L$6:$L$10008,PURCHASE!$A$6:$A$10008,$AB$2,PURCHASE!$H$6:$H$10008,$A$4:$A$2700)</f>
        <v>0</v>
      </c>
      <c r="AE11" s="512">
        <f>SUMIFS(PURCHASE!$M$6:$M$10008,PURCHASE!$A$6:$A$10008,$AB$2,PURCHASE!$H$6:$H$10008,$A$4:$A$2700)</f>
        <v>8.1</v>
      </c>
      <c r="AF11" s="512">
        <f>SUMIFS(PURCHASE!$N$6:$N$10008,PURCHASE!$A$6:$A$10008,$AB$2,PURCHASE!$H$6:$H$10008,$A$4:$A$2700)</f>
        <v>8.1</v>
      </c>
      <c r="AG11" s="512">
        <f t="shared" si="17"/>
        <v>0</v>
      </c>
      <c r="AH11" s="512">
        <f>SUMIFS(PURCHASE!$K$6:$K$10008,PURCHASE!$A$6:$A$10008,$AG$2,PURCHASE!$H$6:$H$10008,$A$4:$A$2700)</f>
        <v>0</v>
      </c>
      <c r="AI11" s="512">
        <f>SUMIFS(PURCHASE!$L$6:$L$10008,PURCHASE!$A$6:$A$10008,$AG$2,PURCHASE!$H$6:$H$10008,$A$4:$A$2700)</f>
        <v>0</v>
      </c>
      <c r="AJ11" s="512">
        <f>SUMIFS(PURCHASE!$M$6:$M$10008,PURCHASE!$A$6:$A$10008,$AG$2,PURCHASE!$H$6:$H$10008,$A$4:$A$2700)</f>
        <v>0</v>
      </c>
      <c r="AK11" s="512">
        <f>SUMIFS(PURCHASE!$N$6:$N$10008,PURCHASE!$A$6:$A$10008,$AG$2,PURCHASE!$H$6:$H$10008,$A$4:$A$2700)</f>
        <v>0</v>
      </c>
      <c r="AL11" s="512">
        <f t="shared" si="18"/>
        <v>3949.7314000000001</v>
      </c>
      <c r="AM11" s="512">
        <f>SUMIFS(PURCHASE!$K$6:$K$10008,PURCHASE!$A$6:$A$10008,$AL$2,PURCHASE!$H$6:$H$10008,$A$4:$A$2700)</f>
        <v>3347.23</v>
      </c>
      <c r="AN11" s="512">
        <f>SUMIFS(PURCHASE!$L$6:$L$10008,PURCHASE!$A$6:$A$10008,$AL$2,PURCHASE!$H$6:$H$10008,$A$4:$A$2700)</f>
        <v>0</v>
      </c>
      <c r="AO11" s="512">
        <f>SUMIFS(PURCHASE!$M$6:$M$10008,PURCHASE!$A$6:$A$10008,$AL$2,PURCHASE!$H$6:$H$10008,$A$4:$A$2700)</f>
        <v>301.25069999999999</v>
      </c>
      <c r="AP11" s="512">
        <f>SUMIFS(PURCHASE!$N$6:$N$10008,PURCHASE!$A$6:$A$10008,$AL$2,PURCHASE!$H$6:$H$10008,$A$4:$A$2700)</f>
        <v>301.25069999999999</v>
      </c>
      <c r="AQ11" s="512">
        <f t="shared" si="19"/>
        <v>4859.6647999999996</v>
      </c>
      <c r="AR11" s="512">
        <f>SUMIFS(PURCHASE!$K$6:$K$10008,PURCHASE!$A$6:$A$10008,$AQ$2,PURCHASE!$H$6:$H$10008,$A$4:$A$2700)</f>
        <v>4118.3599999999997</v>
      </c>
      <c r="AS11" s="512">
        <f>SUMIFS(PURCHASE!$L$6:$L$10008,PURCHASE!$A$6:$A$10008,$AQ$2,PURCHASE!$H$6:$H$10008,$A$4:$A$2700)</f>
        <v>0</v>
      </c>
      <c r="AT11" s="512">
        <f>SUMIFS(PURCHASE!$M$6:$M$10008,PURCHASE!$A$6:$A$10008,$AQ$2,PURCHASE!$H$6:$H$10008,$A$4:$A$2700)</f>
        <v>370.6524</v>
      </c>
      <c r="AU11" s="512">
        <f>SUMIFS(PURCHASE!$N$6:$N$10008,PURCHASE!$A$6:$A$10008,$AQ$2,PURCHASE!$H$6:$H$10008,$A$4:$A$2700)</f>
        <v>370.6524</v>
      </c>
      <c r="AV11" s="512">
        <f t="shared" si="20"/>
        <v>0</v>
      </c>
      <c r="AW11" s="512">
        <f>SUMIFS(PURCHASE!$K$6:$K$10008,PURCHASE!$A$6:$A$10008,$AV$2,PURCHASE!$H$6:$H$10008,$A$4:$A$2700)</f>
        <v>0</v>
      </c>
      <c r="AX11" s="512">
        <f>SUMIFS(PURCHASE!$L$6:$L$10008,PURCHASE!$A$6:$A$10008,$AV$2,PURCHASE!$H$6:$H$10008,$A$4:$A$2700)</f>
        <v>0</v>
      </c>
      <c r="AY11" s="512">
        <f>SUMIFS(PURCHASE!$M$6:$M$10008,PURCHASE!$A$6:$A$10008,$AV$2,PURCHASE!$H$6:$H$10008,$A$4:$A$2700)</f>
        <v>0</v>
      </c>
      <c r="AZ11" s="512">
        <f>SUMIFS(PURCHASE!$N$6:$N$10008,PURCHASE!$A$6:$A$10008,$AV$2,PURCHASE!$H$6:$H$10008,$A$4:$A$2700)</f>
        <v>0</v>
      </c>
      <c r="BA11" s="512">
        <f t="shared" si="21"/>
        <v>0</v>
      </c>
      <c r="BB11" s="512">
        <f>SUMIFS(PURCHASE!$K$6:$K$10008,PURCHASE!$A$6:$A$10008,$BA$2,PURCHASE!$H$6:$H$10008,$A$4:$A$2700)</f>
        <v>0</v>
      </c>
      <c r="BC11" s="512">
        <f>SUMIFS(PURCHASE!$L$6:$L$10008,PURCHASE!$A$6:$A$10008,$BA$2,PURCHASE!$H$6:$H$10008,$A$4:$A$2700)</f>
        <v>0</v>
      </c>
      <c r="BD11" s="512">
        <f>SUMIFS(PURCHASE!$M$6:$M$10008,PURCHASE!$A$6:$A$10008,$BA$2,PURCHASE!$H$6:$H$10008,$A$4:$A$2700)</f>
        <v>0</v>
      </c>
      <c r="BE11" s="512">
        <f>SUMIFS(PURCHASE!$N$6:$N$10008,PURCHASE!$A$6:$A$10008,$BA$2,PURCHASE!$H$6:$H$10008,$A$4:$A$2700)</f>
        <v>0</v>
      </c>
      <c r="BF11" s="512">
        <f t="shared" si="22"/>
        <v>0</v>
      </c>
      <c r="BG11" s="512">
        <f>SUMIFS(PURCHASE!$K$6:$K$10008,PURCHASE!$A$6:$A$10008,$BF$2,PURCHASE!$H$6:$H$10008,$A$4:$A$2700)</f>
        <v>0</v>
      </c>
      <c r="BH11" s="512">
        <f>SUMIFS(PURCHASE!$L$6:$L$10008,PURCHASE!$A$6:$A$10008,$BF$2,PURCHASE!$H$6:$H$10008,$A$4:$A$2700)</f>
        <v>0</v>
      </c>
      <c r="BI11" s="512">
        <f>SUMIFS(PURCHASE!$M$6:$M$10008,PURCHASE!$A$6:$A$10008,$BF$2,PURCHASE!$H$6:$H$10008,$A$4:$A$2700)</f>
        <v>0</v>
      </c>
      <c r="BJ11" s="512">
        <f>SUMIFS(PURCHASE!$N$6:$N$10008,PURCHASE!$A$6:$A$10008,$BF$2,PURCHASE!$H$6:$H$10008,$A$4:$A$2700)</f>
        <v>0</v>
      </c>
      <c r="BK11" s="72">
        <f t="shared" si="6"/>
        <v>8915.5962</v>
      </c>
      <c r="BL11" s="72">
        <f t="shared" si="7"/>
        <v>7555.59</v>
      </c>
      <c r="BM11" s="72">
        <f t="shared" si="8"/>
        <v>0</v>
      </c>
      <c r="BN11" s="72">
        <f t="shared" si="9"/>
        <v>680.00310000000002</v>
      </c>
      <c r="BO11" s="72">
        <f t="shared" si="10"/>
        <v>680.00310000000002</v>
      </c>
    </row>
    <row r="12" spans="1:67" x14ac:dyDescent="0.2">
      <c r="A12" s="511">
        <v>3214</v>
      </c>
      <c r="B12" s="467" t="s">
        <v>1188</v>
      </c>
      <c r="C12" s="512">
        <f t="shared" si="11"/>
        <v>0</v>
      </c>
      <c r="D12" s="512">
        <f>SUMIFS(PURCHASE!$K$6:$K$10008,PURCHASE!$A$6:$A$10008,$M$2,PURCHASE!$H$6:$H$10008,$A$4:$A$2700)</f>
        <v>0</v>
      </c>
      <c r="E12" s="512">
        <f>SUMIFS(PURCHASE!$L$6:$L$10008,PURCHASE!$A$6:$A$10008,$M$2,PURCHASE!$H$6:$H$10008,$A$4:$A$2700)</f>
        <v>0</v>
      </c>
      <c r="F12" s="512">
        <f>SUMIFS(PURCHASE!$M$6:$M$10008,PURCHASE!$A$6:$A$10008,$M$2,PURCHASE!$H$6:$H$10008,$A$4:$A$2700)</f>
        <v>0</v>
      </c>
      <c r="G12" s="512">
        <f>SUMIFS(PURCHASE!$N$6:$N$10008,PURCHASE!$A$6:$A$10008,$M$2,PURCHASE!$H$6:$H$10008,$A$4:$A$2700)</f>
        <v>0</v>
      </c>
      <c r="H12" s="512">
        <f t="shared" si="12"/>
        <v>0</v>
      </c>
      <c r="I12" s="512">
        <f>SUMIFS(PURCHASE!$K$6:$K$10008,PURCHASE!$A$6:$A$10008,$H$2,PURCHASE!$H$6:$H$10008,$A$4:$A$2700)</f>
        <v>0</v>
      </c>
      <c r="J12" s="512">
        <f>SUMIFS(PURCHASE!$L$6:$L$10008,PURCHASE!$A$6:$A$10008,$H$2,PURCHASE!$H$6:$H$10008,$A$4:$A$2700)</f>
        <v>0</v>
      </c>
      <c r="K12" s="512">
        <f>SUMIFS(PURCHASE!$M$6:$M$10008,PURCHASE!$A$6:$A$10008,$H$2,PURCHASE!$H$6:$H$10008,$A$4:$A$2700)</f>
        <v>0</v>
      </c>
      <c r="L12" s="512">
        <f>SUMIFS(PURCHASE!$N$6:$N$10008,PURCHASE!$A$6:$A$10008,$H$2,PURCHASE!$H$6:$H$10008,$A$4:$A$2700)</f>
        <v>0</v>
      </c>
      <c r="M12" s="512">
        <f t="shared" si="13"/>
        <v>0</v>
      </c>
      <c r="N12" s="512">
        <f>SUMIFS(PURCHASE!$K$6:$K$10008,PURCHASE!$A$6:$A$10008,$M$2,PURCHASE!$H$6:$H$10008,$A$4:$A$2700)</f>
        <v>0</v>
      </c>
      <c r="O12" s="512">
        <f>SUMIFS(PURCHASE!$L$6:$L$10008,PURCHASE!$A$6:$A$10008,$M$2,PURCHASE!$H$6:$H$10008,$A$4:$A$2700)</f>
        <v>0</v>
      </c>
      <c r="P12" s="512">
        <f>SUMIFS(PURCHASE!$M$6:$M$10008,PURCHASE!$A$6:$A$10008,$M$2,PURCHASE!$H$6:$H$10008,$A$4:$A$2700)</f>
        <v>0</v>
      </c>
      <c r="Q12" s="512">
        <f>SUMIFS(PURCHASE!$N$6:$N$10008,PURCHASE!$A$6:$A$10008,$M$2,PURCHASE!$H$6:$H$10008,$A$4:$A$2700)</f>
        <v>0</v>
      </c>
      <c r="R12" s="512">
        <f t="shared" si="14"/>
        <v>0</v>
      </c>
      <c r="S12" s="512">
        <f>SUMIFS(PURCHASE!$K$6:$K$10008,PURCHASE!$A$6:$A$10008,$R$2,PURCHASE!$H$6:$H$10008,$A$4:$A$2700)</f>
        <v>0</v>
      </c>
      <c r="T12" s="512">
        <f>SUMIFS(PURCHASE!$L$6:$L$10008,PURCHASE!$A$6:$A$10008,$R$2,PURCHASE!$H$6:$H$10008,$A$4:$A$2700)</f>
        <v>0</v>
      </c>
      <c r="U12" s="512">
        <f>SUMIFS(PURCHASE!$M$6:$M$10008,PURCHASE!$A$6:$A$10008,$R$2,PURCHASE!$H$6:$H$10008,$A$4:$A$2700)</f>
        <v>0</v>
      </c>
      <c r="V12" s="512">
        <f>SUMIFS(PURCHASE!$N$6:$N$10008,PURCHASE!$A$6:$A$10008,$R$2,PURCHASE!$H$6:$H$10008,$A$4:$A$2700)</f>
        <v>0</v>
      </c>
      <c r="W12" s="512">
        <f t="shared" si="15"/>
        <v>0</v>
      </c>
      <c r="X12" s="512">
        <f>SUMIFS(PURCHASE!$K$6:$K$10008,PURCHASE!$A$6:$A$10008,$W$2,PURCHASE!$H$6:$H$10008,$A$4:$A$2700)</f>
        <v>0</v>
      </c>
      <c r="Y12" s="512">
        <f>SUMIFS(PURCHASE!$L$6:$L$10008,PURCHASE!$A$6:$A$10008,$W$2,PURCHASE!$H$6:$H$10008,$A$4:$A$2700)</f>
        <v>0</v>
      </c>
      <c r="Z12" s="512">
        <f>SUMIFS(PURCHASE!$M$6:$M$10008,PURCHASE!$A$6:$A$10008,$W$2,PURCHASE!$H$6:$H$10008,$A$4:$A$2700)</f>
        <v>0</v>
      </c>
      <c r="AA12" s="512">
        <f>SUMIFS(PURCHASE!$N$6:$N$10008,PURCHASE!$A$6:$A$10008,$W$2,PURCHASE!$H$6:$H$10008,$A$4:$A$2700)</f>
        <v>0</v>
      </c>
      <c r="AB12" s="512">
        <f t="shared" si="16"/>
        <v>0</v>
      </c>
      <c r="AC12" s="512">
        <f>SUMIFS(PURCHASE!$K$6:$K$10008,PURCHASE!$A$6:$A$10008,$AB$2,PURCHASE!$H$6:$H$10008,$A$4:$A$2700)</f>
        <v>0</v>
      </c>
      <c r="AD12" s="512">
        <f>SUMIFS(PURCHASE!$L$6:$L$10008,PURCHASE!$A$6:$A$10008,$AB$2,PURCHASE!$H$6:$H$10008,$A$4:$A$2700)</f>
        <v>0</v>
      </c>
      <c r="AE12" s="512">
        <f>SUMIFS(PURCHASE!$M$6:$M$10008,PURCHASE!$A$6:$A$10008,$AB$2,PURCHASE!$H$6:$H$10008,$A$4:$A$2700)</f>
        <v>0</v>
      </c>
      <c r="AF12" s="512">
        <f>SUMIFS(PURCHASE!$N$6:$N$10008,PURCHASE!$A$6:$A$10008,$AB$2,PURCHASE!$H$6:$H$10008,$A$4:$A$2700)</f>
        <v>0</v>
      </c>
      <c r="AG12" s="512">
        <f t="shared" si="17"/>
        <v>0</v>
      </c>
      <c r="AH12" s="512">
        <f>SUMIFS(PURCHASE!$K$6:$K$10008,PURCHASE!$A$6:$A$10008,$AG$2,PURCHASE!$H$6:$H$10008,$A$4:$A$2700)</f>
        <v>0</v>
      </c>
      <c r="AI12" s="512">
        <f>SUMIFS(PURCHASE!$L$6:$L$10008,PURCHASE!$A$6:$A$10008,$AG$2,PURCHASE!$H$6:$H$10008,$A$4:$A$2700)</f>
        <v>0</v>
      </c>
      <c r="AJ12" s="512">
        <f>SUMIFS(PURCHASE!$M$6:$M$10008,PURCHASE!$A$6:$A$10008,$AG$2,PURCHASE!$H$6:$H$10008,$A$4:$A$2700)</f>
        <v>0</v>
      </c>
      <c r="AK12" s="512">
        <f>SUMIFS(PURCHASE!$N$6:$N$10008,PURCHASE!$A$6:$A$10008,$AG$2,PURCHASE!$H$6:$H$10008,$A$4:$A$2700)</f>
        <v>0</v>
      </c>
      <c r="AL12" s="512">
        <f t="shared" si="18"/>
        <v>0</v>
      </c>
      <c r="AM12" s="512">
        <f>SUMIFS(PURCHASE!$K$6:$K$10008,PURCHASE!$A$6:$A$10008,$AL$2,PURCHASE!$H$6:$H$10008,$A$4:$A$2700)</f>
        <v>0</v>
      </c>
      <c r="AN12" s="512">
        <f>SUMIFS(PURCHASE!$L$6:$L$10008,PURCHASE!$A$6:$A$10008,$AL$2,PURCHASE!$H$6:$H$10008,$A$4:$A$2700)</f>
        <v>0</v>
      </c>
      <c r="AO12" s="512">
        <f>SUMIFS(PURCHASE!$M$6:$M$10008,PURCHASE!$A$6:$A$10008,$AL$2,PURCHASE!$H$6:$H$10008,$A$4:$A$2700)</f>
        <v>0</v>
      </c>
      <c r="AP12" s="512">
        <f>SUMIFS(PURCHASE!$N$6:$N$10008,PURCHASE!$A$6:$A$10008,$AL$2,PURCHASE!$H$6:$H$10008,$A$4:$A$2700)</f>
        <v>0</v>
      </c>
      <c r="AQ12" s="512">
        <f t="shared" si="19"/>
        <v>0</v>
      </c>
      <c r="AR12" s="512">
        <f>SUMIFS(PURCHASE!$K$6:$K$10008,PURCHASE!$A$6:$A$10008,$AQ$2,PURCHASE!$H$6:$H$10008,$A$4:$A$2700)</f>
        <v>0</v>
      </c>
      <c r="AS12" s="512">
        <f>SUMIFS(PURCHASE!$L$6:$L$10008,PURCHASE!$A$6:$A$10008,$AQ$2,PURCHASE!$H$6:$H$10008,$A$4:$A$2700)</f>
        <v>0</v>
      </c>
      <c r="AT12" s="512">
        <f>SUMIFS(PURCHASE!$M$6:$M$10008,PURCHASE!$A$6:$A$10008,$AQ$2,PURCHASE!$H$6:$H$10008,$A$4:$A$2700)</f>
        <v>0</v>
      </c>
      <c r="AU12" s="512">
        <f>SUMIFS(PURCHASE!$N$6:$N$10008,PURCHASE!$A$6:$A$10008,$AQ$2,PURCHASE!$H$6:$H$10008,$A$4:$A$2700)</f>
        <v>0</v>
      </c>
      <c r="AV12" s="512">
        <f t="shared" si="20"/>
        <v>0</v>
      </c>
      <c r="AW12" s="512">
        <f>SUMIFS(PURCHASE!$K$6:$K$10008,PURCHASE!$A$6:$A$10008,$AV$2,PURCHASE!$H$6:$H$10008,$A$4:$A$2700)</f>
        <v>0</v>
      </c>
      <c r="AX12" s="512">
        <f>SUMIFS(PURCHASE!$L$6:$L$10008,PURCHASE!$A$6:$A$10008,$AV$2,PURCHASE!$H$6:$H$10008,$A$4:$A$2700)</f>
        <v>0</v>
      </c>
      <c r="AY12" s="512">
        <f>SUMIFS(PURCHASE!$M$6:$M$10008,PURCHASE!$A$6:$A$10008,$AV$2,PURCHASE!$H$6:$H$10008,$A$4:$A$2700)</f>
        <v>0</v>
      </c>
      <c r="AZ12" s="512">
        <f>SUMIFS(PURCHASE!$N$6:$N$10008,PURCHASE!$A$6:$A$10008,$AV$2,PURCHASE!$H$6:$H$10008,$A$4:$A$2700)</f>
        <v>0</v>
      </c>
      <c r="BA12" s="512">
        <f t="shared" si="21"/>
        <v>0</v>
      </c>
      <c r="BB12" s="512">
        <f>SUMIFS(PURCHASE!$K$6:$K$10008,PURCHASE!$A$6:$A$10008,$BA$2,PURCHASE!$H$6:$H$10008,$A$4:$A$2700)</f>
        <v>0</v>
      </c>
      <c r="BC12" s="512">
        <f>SUMIFS(PURCHASE!$L$6:$L$10008,PURCHASE!$A$6:$A$10008,$BA$2,PURCHASE!$H$6:$H$10008,$A$4:$A$2700)</f>
        <v>0</v>
      </c>
      <c r="BD12" s="512">
        <f>SUMIFS(PURCHASE!$M$6:$M$10008,PURCHASE!$A$6:$A$10008,$BA$2,PURCHASE!$H$6:$H$10008,$A$4:$A$2700)</f>
        <v>0</v>
      </c>
      <c r="BE12" s="512">
        <f>SUMIFS(PURCHASE!$N$6:$N$10008,PURCHASE!$A$6:$A$10008,$BA$2,PURCHASE!$H$6:$H$10008,$A$4:$A$2700)</f>
        <v>0</v>
      </c>
      <c r="BF12" s="512">
        <f t="shared" si="22"/>
        <v>0</v>
      </c>
      <c r="BG12" s="512">
        <f>SUMIFS(PURCHASE!$K$6:$K$10008,PURCHASE!$A$6:$A$10008,$BF$2,PURCHASE!$H$6:$H$10008,$A$4:$A$2700)</f>
        <v>0</v>
      </c>
      <c r="BH12" s="512">
        <f>SUMIFS(PURCHASE!$L$6:$L$10008,PURCHASE!$A$6:$A$10008,$BF$2,PURCHASE!$H$6:$H$10008,$A$4:$A$2700)</f>
        <v>0</v>
      </c>
      <c r="BI12" s="512">
        <f>SUMIFS(PURCHASE!$M$6:$M$10008,PURCHASE!$A$6:$A$10008,$BF$2,PURCHASE!$H$6:$H$10008,$A$4:$A$2700)</f>
        <v>0</v>
      </c>
      <c r="BJ12" s="512">
        <f>SUMIFS(PURCHASE!$N$6:$N$10008,PURCHASE!$A$6:$A$10008,$BF$2,PURCHASE!$H$6:$H$10008,$A$4:$A$2700)</f>
        <v>0</v>
      </c>
      <c r="BK12" s="72">
        <f t="shared" si="6"/>
        <v>0</v>
      </c>
      <c r="BL12" s="72">
        <f t="shared" si="7"/>
        <v>0</v>
      </c>
      <c r="BM12" s="72">
        <f t="shared" si="8"/>
        <v>0</v>
      </c>
      <c r="BN12" s="72">
        <f t="shared" si="9"/>
        <v>0</v>
      </c>
      <c r="BO12" s="72">
        <f t="shared" si="10"/>
        <v>0</v>
      </c>
    </row>
    <row r="13" spans="1:67" x14ac:dyDescent="0.2">
      <c r="A13" s="511">
        <v>3213</v>
      </c>
      <c r="B13" s="467" t="s">
        <v>1187</v>
      </c>
      <c r="C13" s="512">
        <f t="shared" si="11"/>
        <v>0</v>
      </c>
      <c r="D13" s="512">
        <f>SUMIFS(PURCHASE!$K$6:$K$10008,PURCHASE!$A$6:$A$10008,$M$2,PURCHASE!$H$6:$H$10008,$A$4:$A$2700)</f>
        <v>0</v>
      </c>
      <c r="E13" s="512">
        <f>SUMIFS(PURCHASE!$L$6:$L$10008,PURCHASE!$A$6:$A$10008,$M$2,PURCHASE!$H$6:$H$10008,$A$4:$A$2700)</f>
        <v>0</v>
      </c>
      <c r="F13" s="512">
        <f>SUMIFS(PURCHASE!$M$6:$M$10008,PURCHASE!$A$6:$A$10008,$M$2,PURCHASE!$H$6:$H$10008,$A$4:$A$2700)</f>
        <v>0</v>
      </c>
      <c r="G13" s="512">
        <f>SUMIFS(PURCHASE!$N$6:$N$10008,PURCHASE!$A$6:$A$10008,$M$2,PURCHASE!$H$6:$H$10008,$A$4:$A$2700)</f>
        <v>0</v>
      </c>
      <c r="H13" s="512">
        <f t="shared" si="12"/>
        <v>0</v>
      </c>
      <c r="I13" s="512">
        <f>SUMIFS(PURCHASE!$K$6:$K$10008,PURCHASE!$A$6:$A$10008,$H$2,PURCHASE!$H$6:$H$10008,$A$4:$A$2700)</f>
        <v>0</v>
      </c>
      <c r="J13" s="512">
        <f>SUMIFS(PURCHASE!$L$6:$L$10008,PURCHASE!$A$6:$A$10008,$H$2,PURCHASE!$H$6:$H$10008,$A$4:$A$2700)</f>
        <v>0</v>
      </c>
      <c r="K13" s="512">
        <f>SUMIFS(PURCHASE!$M$6:$M$10008,PURCHASE!$A$6:$A$10008,$H$2,PURCHASE!$H$6:$H$10008,$A$4:$A$2700)</f>
        <v>0</v>
      </c>
      <c r="L13" s="512">
        <f>SUMIFS(PURCHASE!$N$6:$N$10008,PURCHASE!$A$6:$A$10008,$H$2,PURCHASE!$H$6:$H$10008,$A$4:$A$2700)</f>
        <v>0</v>
      </c>
      <c r="M13" s="512">
        <f t="shared" si="13"/>
        <v>0</v>
      </c>
      <c r="N13" s="512">
        <f>SUMIFS(PURCHASE!$K$6:$K$10008,PURCHASE!$A$6:$A$10008,$M$2,PURCHASE!$H$6:$H$10008,$A$4:$A$2700)</f>
        <v>0</v>
      </c>
      <c r="O13" s="512">
        <f>SUMIFS(PURCHASE!$L$6:$L$10008,PURCHASE!$A$6:$A$10008,$M$2,PURCHASE!$H$6:$H$10008,$A$4:$A$2700)</f>
        <v>0</v>
      </c>
      <c r="P13" s="512">
        <f>SUMIFS(PURCHASE!$M$6:$M$10008,PURCHASE!$A$6:$A$10008,$M$2,PURCHASE!$H$6:$H$10008,$A$4:$A$2700)</f>
        <v>0</v>
      </c>
      <c r="Q13" s="512">
        <f>SUMIFS(PURCHASE!$N$6:$N$10008,PURCHASE!$A$6:$A$10008,$M$2,PURCHASE!$H$6:$H$10008,$A$4:$A$2700)</f>
        <v>0</v>
      </c>
      <c r="R13" s="512">
        <f t="shared" si="14"/>
        <v>0</v>
      </c>
      <c r="S13" s="512">
        <f>SUMIFS(PURCHASE!$K$6:$K$10008,PURCHASE!$A$6:$A$10008,$R$2,PURCHASE!$H$6:$H$10008,$A$4:$A$2700)</f>
        <v>0</v>
      </c>
      <c r="T13" s="512">
        <f>SUMIFS(PURCHASE!$L$6:$L$10008,PURCHASE!$A$6:$A$10008,$R$2,PURCHASE!$H$6:$H$10008,$A$4:$A$2700)</f>
        <v>0</v>
      </c>
      <c r="U13" s="512">
        <f>SUMIFS(PURCHASE!$M$6:$M$10008,PURCHASE!$A$6:$A$10008,$R$2,PURCHASE!$H$6:$H$10008,$A$4:$A$2700)</f>
        <v>0</v>
      </c>
      <c r="V13" s="512">
        <f>SUMIFS(PURCHASE!$N$6:$N$10008,PURCHASE!$A$6:$A$10008,$R$2,PURCHASE!$H$6:$H$10008,$A$4:$A$2700)</f>
        <v>0</v>
      </c>
      <c r="W13" s="512">
        <f t="shared" si="15"/>
        <v>0</v>
      </c>
      <c r="X13" s="512">
        <f>SUMIFS(PURCHASE!$K$6:$K$10008,PURCHASE!$A$6:$A$10008,$W$2,PURCHASE!$H$6:$H$10008,$A$4:$A$2700)</f>
        <v>0</v>
      </c>
      <c r="Y13" s="512">
        <f>SUMIFS(PURCHASE!$L$6:$L$10008,PURCHASE!$A$6:$A$10008,$W$2,PURCHASE!$H$6:$H$10008,$A$4:$A$2700)</f>
        <v>0</v>
      </c>
      <c r="Z13" s="512">
        <f>SUMIFS(PURCHASE!$M$6:$M$10008,PURCHASE!$A$6:$A$10008,$W$2,PURCHASE!$H$6:$H$10008,$A$4:$A$2700)</f>
        <v>0</v>
      </c>
      <c r="AA13" s="512">
        <f>SUMIFS(PURCHASE!$N$6:$N$10008,PURCHASE!$A$6:$A$10008,$W$2,PURCHASE!$H$6:$H$10008,$A$4:$A$2700)</f>
        <v>0</v>
      </c>
      <c r="AB13" s="512">
        <f t="shared" si="16"/>
        <v>40.002000000000002</v>
      </c>
      <c r="AC13" s="512">
        <f>SUMIFS(PURCHASE!$K$6:$K$10008,PURCHASE!$A$6:$A$10008,$AB$2,PURCHASE!$H$6:$H$10008,$A$4:$A$2700)</f>
        <v>33.9</v>
      </c>
      <c r="AD13" s="512">
        <f>SUMIFS(PURCHASE!$L$6:$L$10008,PURCHASE!$A$6:$A$10008,$AB$2,PURCHASE!$H$6:$H$10008,$A$4:$A$2700)</f>
        <v>0</v>
      </c>
      <c r="AE13" s="512">
        <f>SUMIFS(PURCHASE!$M$6:$M$10008,PURCHASE!$A$6:$A$10008,$AB$2,PURCHASE!$H$6:$H$10008,$A$4:$A$2700)</f>
        <v>3.0509999999999997</v>
      </c>
      <c r="AF13" s="512">
        <f>SUMIFS(PURCHASE!$N$6:$N$10008,PURCHASE!$A$6:$A$10008,$AB$2,PURCHASE!$H$6:$H$10008,$A$4:$A$2700)</f>
        <v>3.0509999999999997</v>
      </c>
      <c r="AG13" s="512">
        <f t="shared" si="17"/>
        <v>0</v>
      </c>
      <c r="AH13" s="512">
        <f>SUMIFS(PURCHASE!$K$6:$K$10008,PURCHASE!$A$6:$A$10008,$AG$2,PURCHASE!$H$6:$H$10008,$A$4:$A$2700)</f>
        <v>0</v>
      </c>
      <c r="AI13" s="512">
        <f>SUMIFS(PURCHASE!$L$6:$L$10008,PURCHASE!$A$6:$A$10008,$AG$2,PURCHASE!$H$6:$H$10008,$A$4:$A$2700)</f>
        <v>0</v>
      </c>
      <c r="AJ13" s="512">
        <f>SUMIFS(PURCHASE!$M$6:$M$10008,PURCHASE!$A$6:$A$10008,$AG$2,PURCHASE!$H$6:$H$10008,$A$4:$A$2700)</f>
        <v>0</v>
      </c>
      <c r="AK13" s="512">
        <f>SUMIFS(PURCHASE!$N$6:$N$10008,PURCHASE!$A$6:$A$10008,$AG$2,PURCHASE!$H$6:$H$10008,$A$4:$A$2700)</f>
        <v>0</v>
      </c>
      <c r="AL13" s="512">
        <f t="shared" si="18"/>
        <v>0</v>
      </c>
      <c r="AM13" s="512">
        <f>SUMIFS(PURCHASE!$K$6:$K$10008,PURCHASE!$A$6:$A$10008,$AL$2,PURCHASE!$H$6:$H$10008,$A$4:$A$2700)</f>
        <v>0</v>
      </c>
      <c r="AN13" s="512">
        <f>SUMIFS(PURCHASE!$L$6:$L$10008,PURCHASE!$A$6:$A$10008,$AL$2,PURCHASE!$H$6:$H$10008,$A$4:$A$2700)</f>
        <v>0</v>
      </c>
      <c r="AO13" s="512">
        <f>SUMIFS(PURCHASE!$M$6:$M$10008,PURCHASE!$A$6:$A$10008,$AL$2,PURCHASE!$H$6:$H$10008,$A$4:$A$2700)</f>
        <v>0</v>
      </c>
      <c r="AP13" s="512">
        <f>SUMIFS(PURCHASE!$N$6:$N$10008,PURCHASE!$A$6:$A$10008,$AL$2,PURCHASE!$H$6:$H$10008,$A$4:$A$2700)</f>
        <v>0</v>
      </c>
      <c r="AQ13" s="512">
        <f t="shared" si="19"/>
        <v>0</v>
      </c>
      <c r="AR13" s="512">
        <f>SUMIFS(PURCHASE!$K$6:$K$10008,PURCHASE!$A$6:$A$10008,$AQ$2,PURCHASE!$H$6:$H$10008,$A$4:$A$2700)</f>
        <v>0</v>
      </c>
      <c r="AS13" s="512">
        <f>SUMIFS(PURCHASE!$L$6:$L$10008,PURCHASE!$A$6:$A$10008,$AQ$2,PURCHASE!$H$6:$H$10008,$A$4:$A$2700)</f>
        <v>0</v>
      </c>
      <c r="AT13" s="512">
        <f>SUMIFS(PURCHASE!$M$6:$M$10008,PURCHASE!$A$6:$A$10008,$AQ$2,PURCHASE!$H$6:$H$10008,$A$4:$A$2700)</f>
        <v>0</v>
      </c>
      <c r="AU13" s="512">
        <f>SUMIFS(PURCHASE!$N$6:$N$10008,PURCHASE!$A$6:$A$10008,$AQ$2,PURCHASE!$H$6:$H$10008,$A$4:$A$2700)</f>
        <v>0</v>
      </c>
      <c r="AV13" s="512">
        <f t="shared" si="20"/>
        <v>0</v>
      </c>
      <c r="AW13" s="512">
        <f>SUMIFS(PURCHASE!$K$6:$K$10008,PURCHASE!$A$6:$A$10008,$AV$2,PURCHASE!$H$6:$H$10008,$A$4:$A$2700)</f>
        <v>0</v>
      </c>
      <c r="AX13" s="512">
        <f>SUMIFS(PURCHASE!$L$6:$L$10008,PURCHASE!$A$6:$A$10008,$AV$2,PURCHASE!$H$6:$H$10008,$A$4:$A$2700)</f>
        <v>0</v>
      </c>
      <c r="AY13" s="512">
        <f>SUMIFS(PURCHASE!$M$6:$M$10008,PURCHASE!$A$6:$A$10008,$AV$2,PURCHASE!$H$6:$H$10008,$A$4:$A$2700)</f>
        <v>0</v>
      </c>
      <c r="AZ13" s="512">
        <f>SUMIFS(PURCHASE!$N$6:$N$10008,PURCHASE!$A$6:$A$10008,$AV$2,PURCHASE!$H$6:$H$10008,$A$4:$A$2700)</f>
        <v>0</v>
      </c>
      <c r="BA13" s="512">
        <f t="shared" si="21"/>
        <v>0</v>
      </c>
      <c r="BB13" s="512">
        <f>SUMIFS(PURCHASE!$K$6:$K$10008,PURCHASE!$A$6:$A$10008,$BA$2,PURCHASE!$H$6:$H$10008,$A$4:$A$2700)</f>
        <v>0</v>
      </c>
      <c r="BC13" s="512">
        <f>SUMIFS(PURCHASE!$L$6:$L$10008,PURCHASE!$A$6:$A$10008,$BA$2,PURCHASE!$H$6:$H$10008,$A$4:$A$2700)</f>
        <v>0</v>
      </c>
      <c r="BD13" s="512">
        <f>SUMIFS(PURCHASE!$M$6:$M$10008,PURCHASE!$A$6:$A$10008,$BA$2,PURCHASE!$H$6:$H$10008,$A$4:$A$2700)</f>
        <v>0</v>
      </c>
      <c r="BE13" s="512">
        <f>SUMIFS(PURCHASE!$N$6:$N$10008,PURCHASE!$A$6:$A$10008,$BA$2,PURCHASE!$H$6:$H$10008,$A$4:$A$2700)</f>
        <v>0</v>
      </c>
      <c r="BF13" s="512">
        <f t="shared" si="22"/>
        <v>0</v>
      </c>
      <c r="BG13" s="512">
        <f>SUMIFS(PURCHASE!$K$6:$K$10008,PURCHASE!$A$6:$A$10008,$BF$2,PURCHASE!$H$6:$H$10008,$A$4:$A$2700)</f>
        <v>0</v>
      </c>
      <c r="BH13" s="512">
        <f>SUMIFS(PURCHASE!$L$6:$L$10008,PURCHASE!$A$6:$A$10008,$BF$2,PURCHASE!$H$6:$H$10008,$A$4:$A$2700)</f>
        <v>0</v>
      </c>
      <c r="BI13" s="512">
        <f>SUMIFS(PURCHASE!$M$6:$M$10008,PURCHASE!$A$6:$A$10008,$BF$2,PURCHASE!$H$6:$H$10008,$A$4:$A$2700)</f>
        <v>0</v>
      </c>
      <c r="BJ13" s="512">
        <f>SUMIFS(PURCHASE!$N$6:$N$10008,PURCHASE!$A$6:$A$10008,$BF$2,PURCHASE!$H$6:$H$10008,$A$4:$A$2700)</f>
        <v>0</v>
      </c>
      <c r="BK13" s="72">
        <f t="shared" si="6"/>
        <v>40.002000000000002</v>
      </c>
      <c r="BL13" s="72">
        <f t="shared" si="7"/>
        <v>33.9</v>
      </c>
      <c r="BM13" s="72">
        <f t="shared" si="8"/>
        <v>0</v>
      </c>
      <c r="BN13" s="72">
        <f t="shared" si="9"/>
        <v>3.0509999999999997</v>
      </c>
      <c r="BO13" s="72">
        <f t="shared" si="10"/>
        <v>3.0509999999999997</v>
      </c>
    </row>
    <row r="14" spans="1:67" x14ac:dyDescent="0.2">
      <c r="A14" s="511">
        <v>3403</v>
      </c>
      <c r="B14" s="467" t="s">
        <v>1189</v>
      </c>
      <c r="C14" s="512">
        <f t="shared" si="11"/>
        <v>0</v>
      </c>
      <c r="D14" s="512">
        <f>SUMIFS(PURCHASE!$K$6:$K$10008,PURCHASE!$A$6:$A$10008,$M$2,PURCHASE!$H$6:$H$10008,$A$4:$A$2700)</f>
        <v>0</v>
      </c>
      <c r="E14" s="512">
        <f>SUMIFS(PURCHASE!$L$6:$L$10008,PURCHASE!$A$6:$A$10008,$M$2,PURCHASE!$H$6:$H$10008,$A$4:$A$2700)</f>
        <v>0</v>
      </c>
      <c r="F14" s="512">
        <f>SUMIFS(PURCHASE!$M$6:$M$10008,PURCHASE!$A$6:$A$10008,$M$2,PURCHASE!$H$6:$H$10008,$A$4:$A$2700)</f>
        <v>0</v>
      </c>
      <c r="G14" s="512">
        <f>SUMIFS(PURCHASE!$N$6:$N$10008,PURCHASE!$A$6:$A$10008,$M$2,PURCHASE!$H$6:$H$10008,$A$4:$A$2700)</f>
        <v>0</v>
      </c>
      <c r="H14" s="512">
        <f t="shared" si="12"/>
        <v>0</v>
      </c>
      <c r="I14" s="512">
        <f>SUMIFS(PURCHASE!$K$6:$K$10008,PURCHASE!$A$6:$A$10008,$H$2,PURCHASE!$H$6:$H$10008,$A$4:$A$2700)</f>
        <v>0</v>
      </c>
      <c r="J14" s="512">
        <f>SUMIFS(PURCHASE!$L$6:$L$10008,PURCHASE!$A$6:$A$10008,$H$2,PURCHASE!$H$6:$H$10008,$A$4:$A$2700)</f>
        <v>0</v>
      </c>
      <c r="K14" s="512">
        <f>SUMIFS(PURCHASE!$M$6:$M$10008,PURCHASE!$A$6:$A$10008,$H$2,PURCHASE!$H$6:$H$10008,$A$4:$A$2700)</f>
        <v>0</v>
      </c>
      <c r="L14" s="512">
        <f>SUMIFS(PURCHASE!$N$6:$N$10008,PURCHASE!$A$6:$A$10008,$H$2,PURCHASE!$H$6:$H$10008,$A$4:$A$2700)</f>
        <v>0</v>
      </c>
      <c r="M14" s="512">
        <f t="shared" si="13"/>
        <v>0</v>
      </c>
      <c r="N14" s="512">
        <f>SUMIFS(PURCHASE!$K$6:$K$10008,PURCHASE!$A$6:$A$10008,$M$2,PURCHASE!$H$6:$H$10008,$A$4:$A$2700)</f>
        <v>0</v>
      </c>
      <c r="O14" s="512">
        <f>SUMIFS(PURCHASE!$L$6:$L$10008,PURCHASE!$A$6:$A$10008,$M$2,PURCHASE!$H$6:$H$10008,$A$4:$A$2700)</f>
        <v>0</v>
      </c>
      <c r="P14" s="512">
        <f>SUMIFS(PURCHASE!$M$6:$M$10008,PURCHASE!$A$6:$A$10008,$M$2,PURCHASE!$H$6:$H$10008,$A$4:$A$2700)</f>
        <v>0</v>
      </c>
      <c r="Q14" s="512">
        <f>SUMIFS(PURCHASE!$N$6:$N$10008,PURCHASE!$A$6:$A$10008,$M$2,PURCHASE!$H$6:$H$10008,$A$4:$A$2700)</f>
        <v>0</v>
      </c>
      <c r="R14" s="512">
        <f t="shared" si="14"/>
        <v>0</v>
      </c>
      <c r="S14" s="512">
        <f>SUMIFS(PURCHASE!$K$6:$K$10008,PURCHASE!$A$6:$A$10008,$R$2,PURCHASE!$H$6:$H$10008,$A$4:$A$2700)</f>
        <v>0</v>
      </c>
      <c r="T14" s="512">
        <f>SUMIFS(PURCHASE!$L$6:$L$10008,PURCHASE!$A$6:$A$10008,$R$2,PURCHASE!$H$6:$H$10008,$A$4:$A$2700)</f>
        <v>0</v>
      </c>
      <c r="U14" s="512">
        <f>SUMIFS(PURCHASE!$M$6:$M$10008,PURCHASE!$A$6:$A$10008,$R$2,PURCHASE!$H$6:$H$10008,$A$4:$A$2700)</f>
        <v>0</v>
      </c>
      <c r="V14" s="512">
        <f>SUMIFS(PURCHASE!$N$6:$N$10008,PURCHASE!$A$6:$A$10008,$R$2,PURCHASE!$H$6:$H$10008,$A$4:$A$2700)</f>
        <v>0</v>
      </c>
      <c r="W14" s="512">
        <f t="shared" si="15"/>
        <v>0</v>
      </c>
      <c r="X14" s="512">
        <f>SUMIFS(PURCHASE!$K$6:$K$10008,PURCHASE!$A$6:$A$10008,$W$2,PURCHASE!$H$6:$H$10008,$A$4:$A$2700)</f>
        <v>0</v>
      </c>
      <c r="Y14" s="512">
        <f>SUMIFS(PURCHASE!$L$6:$L$10008,PURCHASE!$A$6:$A$10008,$W$2,PURCHASE!$H$6:$H$10008,$A$4:$A$2700)</f>
        <v>0</v>
      </c>
      <c r="Z14" s="512">
        <f>SUMIFS(PURCHASE!$M$6:$M$10008,PURCHASE!$A$6:$A$10008,$W$2,PURCHASE!$H$6:$H$10008,$A$4:$A$2700)</f>
        <v>0</v>
      </c>
      <c r="AA14" s="512">
        <f>SUMIFS(PURCHASE!$N$6:$N$10008,PURCHASE!$A$6:$A$10008,$W$2,PURCHASE!$H$6:$H$10008,$A$4:$A$2700)</f>
        <v>0</v>
      </c>
      <c r="AB14" s="512">
        <f t="shared" si="16"/>
        <v>0</v>
      </c>
      <c r="AC14" s="512">
        <f>SUMIFS(PURCHASE!$K$6:$K$10008,PURCHASE!$A$6:$A$10008,$AB$2,PURCHASE!$H$6:$H$10008,$A$4:$A$2700)</f>
        <v>0</v>
      </c>
      <c r="AD14" s="512">
        <f>SUMIFS(PURCHASE!$L$6:$L$10008,PURCHASE!$A$6:$A$10008,$AB$2,PURCHASE!$H$6:$H$10008,$A$4:$A$2700)</f>
        <v>0</v>
      </c>
      <c r="AE14" s="512">
        <f>SUMIFS(PURCHASE!$M$6:$M$10008,PURCHASE!$A$6:$A$10008,$AB$2,PURCHASE!$H$6:$H$10008,$A$4:$A$2700)</f>
        <v>0</v>
      </c>
      <c r="AF14" s="512">
        <f>SUMIFS(PURCHASE!$N$6:$N$10008,PURCHASE!$A$6:$A$10008,$AB$2,PURCHASE!$H$6:$H$10008,$A$4:$A$2700)</f>
        <v>0</v>
      </c>
      <c r="AG14" s="512">
        <f t="shared" si="17"/>
        <v>0</v>
      </c>
      <c r="AH14" s="512">
        <f>SUMIFS(PURCHASE!$K$6:$K$10008,PURCHASE!$A$6:$A$10008,$AG$2,PURCHASE!$H$6:$H$10008,$A$4:$A$2700)</f>
        <v>0</v>
      </c>
      <c r="AI14" s="512">
        <f>SUMIFS(PURCHASE!$L$6:$L$10008,PURCHASE!$A$6:$A$10008,$AG$2,PURCHASE!$H$6:$H$10008,$A$4:$A$2700)</f>
        <v>0</v>
      </c>
      <c r="AJ14" s="512">
        <f>SUMIFS(PURCHASE!$M$6:$M$10008,PURCHASE!$A$6:$A$10008,$AG$2,PURCHASE!$H$6:$H$10008,$A$4:$A$2700)</f>
        <v>0</v>
      </c>
      <c r="AK14" s="512">
        <f>SUMIFS(PURCHASE!$N$6:$N$10008,PURCHASE!$A$6:$A$10008,$AG$2,PURCHASE!$H$6:$H$10008,$A$4:$A$2700)</f>
        <v>0</v>
      </c>
      <c r="AL14" s="512">
        <f t="shared" si="18"/>
        <v>0</v>
      </c>
      <c r="AM14" s="512">
        <f>SUMIFS(PURCHASE!$K$6:$K$10008,PURCHASE!$A$6:$A$10008,$AL$2,PURCHASE!$H$6:$H$10008,$A$4:$A$2700)</f>
        <v>0</v>
      </c>
      <c r="AN14" s="512">
        <f>SUMIFS(PURCHASE!$L$6:$L$10008,PURCHASE!$A$6:$A$10008,$AL$2,PURCHASE!$H$6:$H$10008,$A$4:$A$2700)</f>
        <v>0</v>
      </c>
      <c r="AO14" s="512">
        <f>SUMIFS(PURCHASE!$M$6:$M$10008,PURCHASE!$A$6:$A$10008,$AL$2,PURCHASE!$H$6:$H$10008,$A$4:$A$2700)</f>
        <v>0</v>
      </c>
      <c r="AP14" s="512">
        <f>SUMIFS(PURCHASE!$N$6:$N$10008,PURCHASE!$A$6:$A$10008,$AL$2,PURCHASE!$H$6:$H$10008,$A$4:$A$2700)</f>
        <v>0</v>
      </c>
      <c r="AQ14" s="512">
        <f t="shared" si="19"/>
        <v>0</v>
      </c>
      <c r="AR14" s="512">
        <f>SUMIFS(PURCHASE!$K$6:$K$10008,PURCHASE!$A$6:$A$10008,$AQ$2,PURCHASE!$H$6:$H$10008,$A$4:$A$2700)</f>
        <v>0</v>
      </c>
      <c r="AS14" s="512">
        <f>SUMIFS(PURCHASE!$L$6:$L$10008,PURCHASE!$A$6:$A$10008,$AQ$2,PURCHASE!$H$6:$H$10008,$A$4:$A$2700)</f>
        <v>0</v>
      </c>
      <c r="AT14" s="512">
        <f>SUMIFS(PURCHASE!$M$6:$M$10008,PURCHASE!$A$6:$A$10008,$AQ$2,PURCHASE!$H$6:$H$10008,$A$4:$A$2700)</f>
        <v>0</v>
      </c>
      <c r="AU14" s="512">
        <f>SUMIFS(PURCHASE!$N$6:$N$10008,PURCHASE!$A$6:$A$10008,$AQ$2,PURCHASE!$H$6:$H$10008,$A$4:$A$2700)</f>
        <v>0</v>
      </c>
      <c r="AV14" s="512">
        <f t="shared" si="20"/>
        <v>0</v>
      </c>
      <c r="AW14" s="512">
        <f>SUMIFS(PURCHASE!$K$6:$K$10008,PURCHASE!$A$6:$A$10008,$AV$2,PURCHASE!$H$6:$H$10008,$A$4:$A$2700)</f>
        <v>0</v>
      </c>
      <c r="AX14" s="512">
        <f>SUMIFS(PURCHASE!$L$6:$L$10008,PURCHASE!$A$6:$A$10008,$AV$2,PURCHASE!$H$6:$H$10008,$A$4:$A$2700)</f>
        <v>0</v>
      </c>
      <c r="AY14" s="512">
        <f>SUMIFS(PURCHASE!$M$6:$M$10008,PURCHASE!$A$6:$A$10008,$AV$2,PURCHASE!$H$6:$H$10008,$A$4:$A$2700)</f>
        <v>0</v>
      </c>
      <c r="AZ14" s="512">
        <f>SUMIFS(PURCHASE!$N$6:$N$10008,PURCHASE!$A$6:$A$10008,$AV$2,PURCHASE!$H$6:$H$10008,$A$4:$A$2700)</f>
        <v>0</v>
      </c>
      <c r="BA14" s="512">
        <f t="shared" si="21"/>
        <v>0</v>
      </c>
      <c r="BB14" s="512">
        <f>SUMIFS(PURCHASE!$K$6:$K$10008,PURCHASE!$A$6:$A$10008,$BA$2,PURCHASE!$H$6:$H$10008,$A$4:$A$2700)</f>
        <v>0</v>
      </c>
      <c r="BC14" s="512">
        <f>SUMIFS(PURCHASE!$L$6:$L$10008,PURCHASE!$A$6:$A$10008,$BA$2,PURCHASE!$H$6:$H$10008,$A$4:$A$2700)</f>
        <v>0</v>
      </c>
      <c r="BD14" s="512">
        <f>SUMIFS(PURCHASE!$M$6:$M$10008,PURCHASE!$A$6:$A$10008,$BA$2,PURCHASE!$H$6:$H$10008,$A$4:$A$2700)</f>
        <v>0</v>
      </c>
      <c r="BE14" s="512">
        <f>SUMIFS(PURCHASE!$N$6:$N$10008,PURCHASE!$A$6:$A$10008,$BA$2,PURCHASE!$H$6:$H$10008,$A$4:$A$2700)</f>
        <v>0</v>
      </c>
      <c r="BF14" s="512">
        <f t="shared" si="22"/>
        <v>0</v>
      </c>
      <c r="BG14" s="512">
        <f>SUMIFS(PURCHASE!$K$6:$K$10008,PURCHASE!$A$6:$A$10008,$BF$2,PURCHASE!$H$6:$H$10008,$A$4:$A$2700)</f>
        <v>0</v>
      </c>
      <c r="BH14" s="512">
        <f>SUMIFS(PURCHASE!$L$6:$L$10008,PURCHASE!$A$6:$A$10008,$BF$2,PURCHASE!$H$6:$H$10008,$A$4:$A$2700)</f>
        <v>0</v>
      </c>
      <c r="BI14" s="512">
        <f>SUMIFS(PURCHASE!$M$6:$M$10008,PURCHASE!$A$6:$A$10008,$BF$2,PURCHASE!$H$6:$H$10008,$A$4:$A$2700)</f>
        <v>0</v>
      </c>
      <c r="BJ14" s="512">
        <f>SUMIFS(PURCHASE!$N$6:$N$10008,PURCHASE!$A$6:$A$10008,$BF$2,PURCHASE!$H$6:$H$10008,$A$4:$A$2700)</f>
        <v>0</v>
      </c>
      <c r="BK14" s="72">
        <f t="shared" si="6"/>
        <v>0</v>
      </c>
      <c r="BL14" s="72">
        <f t="shared" si="7"/>
        <v>0</v>
      </c>
      <c r="BM14" s="72">
        <f t="shared" si="8"/>
        <v>0</v>
      </c>
      <c r="BN14" s="72">
        <f t="shared" si="9"/>
        <v>0</v>
      </c>
      <c r="BO14" s="72">
        <f t="shared" si="10"/>
        <v>0</v>
      </c>
    </row>
    <row r="15" spans="1:67" x14ac:dyDescent="0.2">
      <c r="A15" s="511">
        <v>3405</v>
      </c>
      <c r="B15" s="467" t="s">
        <v>1190</v>
      </c>
      <c r="C15" s="512">
        <f t="shared" si="11"/>
        <v>0</v>
      </c>
      <c r="D15" s="512">
        <f>SUMIFS(PURCHASE!$K$6:$K$10008,PURCHASE!$A$6:$A$10008,$M$2,PURCHASE!$H$6:$H$10008,$A$4:$A$2700)</f>
        <v>0</v>
      </c>
      <c r="E15" s="512">
        <f>SUMIFS(PURCHASE!$L$6:$L$10008,PURCHASE!$A$6:$A$10008,$M$2,PURCHASE!$H$6:$H$10008,$A$4:$A$2700)</f>
        <v>0</v>
      </c>
      <c r="F15" s="512">
        <f>SUMIFS(PURCHASE!$M$6:$M$10008,PURCHASE!$A$6:$A$10008,$M$2,PURCHASE!$H$6:$H$10008,$A$4:$A$2700)</f>
        <v>0</v>
      </c>
      <c r="G15" s="512">
        <f>SUMIFS(PURCHASE!$N$6:$N$10008,PURCHASE!$A$6:$A$10008,$M$2,PURCHASE!$H$6:$H$10008,$A$4:$A$2700)</f>
        <v>0</v>
      </c>
      <c r="H15" s="512">
        <f t="shared" si="12"/>
        <v>0</v>
      </c>
      <c r="I15" s="512">
        <f>SUMIFS(PURCHASE!$K$6:$K$10008,PURCHASE!$A$6:$A$10008,$H$2,PURCHASE!$H$6:$H$10008,$A$4:$A$2700)</f>
        <v>0</v>
      </c>
      <c r="J15" s="512">
        <f>SUMIFS(PURCHASE!$L$6:$L$10008,PURCHASE!$A$6:$A$10008,$H$2,PURCHASE!$H$6:$H$10008,$A$4:$A$2700)</f>
        <v>0</v>
      </c>
      <c r="K15" s="512">
        <f>SUMIFS(PURCHASE!$M$6:$M$10008,PURCHASE!$A$6:$A$10008,$H$2,PURCHASE!$H$6:$H$10008,$A$4:$A$2700)</f>
        <v>0</v>
      </c>
      <c r="L15" s="512">
        <f>SUMIFS(PURCHASE!$N$6:$N$10008,PURCHASE!$A$6:$A$10008,$H$2,PURCHASE!$H$6:$H$10008,$A$4:$A$2700)</f>
        <v>0</v>
      </c>
      <c r="M15" s="512">
        <f t="shared" si="13"/>
        <v>0</v>
      </c>
      <c r="N15" s="512">
        <f>SUMIFS(PURCHASE!$K$6:$K$10008,PURCHASE!$A$6:$A$10008,$M$2,PURCHASE!$H$6:$H$10008,$A$4:$A$2700)</f>
        <v>0</v>
      </c>
      <c r="O15" s="512">
        <f>SUMIFS(PURCHASE!$L$6:$L$10008,PURCHASE!$A$6:$A$10008,$M$2,PURCHASE!$H$6:$H$10008,$A$4:$A$2700)</f>
        <v>0</v>
      </c>
      <c r="P15" s="512">
        <f>SUMIFS(PURCHASE!$M$6:$M$10008,PURCHASE!$A$6:$A$10008,$M$2,PURCHASE!$H$6:$H$10008,$A$4:$A$2700)</f>
        <v>0</v>
      </c>
      <c r="Q15" s="512">
        <f>SUMIFS(PURCHASE!$N$6:$N$10008,PURCHASE!$A$6:$A$10008,$M$2,PURCHASE!$H$6:$H$10008,$A$4:$A$2700)</f>
        <v>0</v>
      </c>
      <c r="R15" s="512">
        <f t="shared" si="14"/>
        <v>0</v>
      </c>
      <c r="S15" s="512">
        <f>SUMIFS(PURCHASE!$K$6:$K$10008,PURCHASE!$A$6:$A$10008,$R$2,PURCHASE!$H$6:$H$10008,$A$4:$A$2700)</f>
        <v>0</v>
      </c>
      <c r="T15" s="512">
        <f>SUMIFS(PURCHASE!$L$6:$L$10008,PURCHASE!$A$6:$A$10008,$R$2,PURCHASE!$H$6:$H$10008,$A$4:$A$2700)</f>
        <v>0</v>
      </c>
      <c r="U15" s="512">
        <f>SUMIFS(PURCHASE!$M$6:$M$10008,PURCHASE!$A$6:$A$10008,$R$2,PURCHASE!$H$6:$H$10008,$A$4:$A$2700)</f>
        <v>0</v>
      </c>
      <c r="V15" s="512">
        <f>SUMIFS(PURCHASE!$N$6:$N$10008,PURCHASE!$A$6:$A$10008,$R$2,PURCHASE!$H$6:$H$10008,$A$4:$A$2700)</f>
        <v>0</v>
      </c>
      <c r="W15" s="512">
        <f t="shared" si="15"/>
        <v>0</v>
      </c>
      <c r="X15" s="512">
        <f>SUMIFS(PURCHASE!$K$6:$K$10008,PURCHASE!$A$6:$A$10008,$W$2,PURCHASE!$H$6:$H$10008,$A$4:$A$2700)</f>
        <v>0</v>
      </c>
      <c r="Y15" s="512">
        <f>SUMIFS(PURCHASE!$L$6:$L$10008,PURCHASE!$A$6:$A$10008,$W$2,PURCHASE!$H$6:$H$10008,$A$4:$A$2700)</f>
        <v>0</v>
      </c>
      <c r="Z15" s="512">
        <f>SUMIFS(PURCHASE!$M$6:$M$10008,PURCHASE!$A$6:$A$10008,$W$2,PURCHASE!$H$6:$H$10008,$A$4:$A$2700)</f>
        <v>0</v>
      </c>
      <c r="AA15" s="512">
        <f>SUMIFS(PURCHASE!$N$6:$N$10008,PURCHASE!$A$6:$A$10008,$W$2,PURCHASE!$H$6:$H$10008,$A$4:$A$2700)</f>
        <v>0</v>
      </c>
      <c r="AB15" s="512">
        <f t="shared" si="16"/>
        <v>419.97380000000004</v>
      </c>
      <c r="AC15" s="512">
        <f>SUMIFS(PURCHASE!$K$6:$K$10008,PURCHASE!$A$6:$A$10008,$AB$2,PURCHASE!$H$6:$H$10008,$A$4:$A$2700)</f>
        <v>355.91</v>
      </c>
      <c r="AD15" s="512">
        <f>SUMIFS(PURCHASE!$L$6:$L$10008,PURCHASE!$A$6:$A$10008,$AB$2,PURCHASE!$H$6:$H$10008,$A$4:$A$2700)</f>
        <v>0</v>
      </c>
      <c r="AE15" s="512">
        <f>SUMIFS(PURCHASE!$M$6:$M$10008,PURCHASE!$A$6:$A$10008,$AB$2,PURCHASE!$H$6:$H$10008,$A$4:$A$2700)</f>
        <v>32.0319</v>
      </c>
      <c r="AF15" s="512">
        <f>SUMIFS(PURCHASE!$N$6:$N$10008,PURCHASE!$A$6:$A$10008,$AB$2,PURCHASE!$H$6:$H$10008,$A$4:$A$2700)</f>
        <v>32.0319</v>
      </c>
      <c r="AG15" s="512">
        <f t="shared" si="17"/>
        <v>0</v>
      </c>
      <c r="AH15" s="512">
        <f>SUMIFS(PURCHASE!$K$6:$K$10008,PURCHASE!$A$6:$A$10008,$AG$2,PURCHASE!$H$6:$H$10008,$A$4:$A$2700)</f>
        <v>0</v>
      </c>
      <c r="AI15" s="512">
        <f>SUMIFS(PURCHASE!$L$6:$L$10008,PURCHASE!$A$6:$A$10008,$AG$2,PURCHASE!$H$6:$H$10008,$A$4:$A$2700)</f>
        <v>0</v>
      </c>
      <c r="AJ15" s="512">
        <f>SUMIFS(PURCHASE!$M$6:$M$10008,PURCHASE!$A$6:$A$10008,$AG$2,PURCHASE!$H$6:$H$10008,$A$4:$A$2700)</f>
        <v>0</v>
      </c>
      <c r="AK15" s="512">
        <f>SUMIFS(PURCHASE!$N$6:$N$10008,PURCHASE!$A$6:$A$10008,$AG$2,PURCHASE!$H$6:$H$10008,$A$4:$A$2700)</f>
        <v>0</v>
      </c>
      <c r="AL15" s="512">
        <f t="shared" si="18"/>
        <v>0</v>
      </c>
      <c r="AM15" s="512">
        <f>SUMIFS(PURCHASE!$K$6:$K$10008,PURCHASE!$A$6:$A$10008,$AL$2,PURCHASE!$H$6:$H$10008,$A$4:$A$2700)</f>
        <v>0</v>
      </c>
      <c r="AN15" s="512">
        <f>SUMIFS(PURCHASE!$L$6:$L$10008,PURCHASE!$A$6:$A$10008,$AL$2,PURCHASE!$H$6:$H$10008,$A$4:$A$2700)</f>
        <v>0</v>
      </c>
      <c r="AO15" s="512">
        <f>SUMIFS(PURCHASE!$M$6:$M$10008,PURCHASE!$A$6:$A$10008,$AL$2,PURCHASE!$H$6:$H$10008,$A$4:$A$2700)</f>
        <v>0</v>
      </c>
      <c r="AP15" s="512">
        <f>SUMIFS(PURCHASE!$N$6:$N$10008,PURCHASE!$A$6:$A$10008,$AL$2,PURCHASE!$H$6:$H$10008,$A$4:$A$2700)</f>
        <v>0</v>
      </c>
      <c r="AQ15" s="512">
        <f t="shared" si="19"/>
        <v>0</v>
      </c>
      <c r="AR15" s="512">
        <f>SUMIFS(PURCHASE!$K$6:$K$10008,PURCHASE!$A$6:$A$10008,$AQ$2,PURCHASE!$H$6:$H$10008,$A$4:$A$2700)</f>
        <v>0</v>
      </c>
      <c r="AS15" s="512">
        <f>SUMIFS(PURCHASE!$L$6:$L$10008,PURCHASE!$A$6:$A$10008,$AQ$2,PURCHASE!$H$6:$H$10008,$A$4:$A$2700)</f>
        <v>0</v>
      </c>
      <c r="AT15" s="512">
        <f>SUMIFS(PURCHASE!$M$6:$M$10008,PURCHASE!$A$6:$A$10008,$AQ$2,PURCHASE!$H$6:$H$10008,$A$4:$A$2700)</f>
        <v>0</v>
      </c>
      <c r="AU15" s="512">
        <f>SUMIFS(PURCHASE!$N$6:$N$10008,PURCHASE!$A$6:$A$10008,$AQ$2,PURCHASE!$H$6:$H$10008,$A$4:$A$2700)</f>
        <v>0</v>
      </c>
      <c r="AV15" s="512">
        <f t="shared" si="20"/>
        <v>0</v>
      </c>
      <c r="AW15" s="512">
        <f>SUMIFS(PURCHASE!$K$6:$K$10008,PURCHASE!$A$6:$A$10008,$AV$2,PURCHASE!$H$6:$H$10008,$A$4:$A$2700)</f>
        <v>0</v>
      </c>
      <c r="AX15" s="512">
        <f>SUMIFS(PURCHASE!$L$6:$L$10008,PURCHASE!$A$6:$A$10008,$AV$2,PURCHASE!$H$6:$H$10008,$A$4:$A$2700)</f>
        <v>0</v>
      </c>
      <c r="AY15" s="512">
        <f>SUMIFS(PURCHASE!$M$6:$M$10008,PURCHASE!$A$6:$A$10008,$AV$2,PURCHASE!$H$6:$H$10008,$A$4:$A$2700)</f>
        <v>0</v>
      </c>
      <c r="AZ15" s="512">
        <f>SUMIFS(PURCHASE!$N$6:$N$10008,PURCHASE!$A$6:$A$10008,$AV$2,PURCHASE!$H$6:$H$10008,$A$4:$A$2700)</f>
        <v>0</v>
      </c>
      <c r="BA15" s="512">
        <f t="shared" si="21"/>
        <v>0</v>
      </c>
      <c r="BB15" s="512">
        <f>SUMIFS(PURCHASE!$K$6:$K$10008,PURCHASE!$A$6:$A$10008,$BA$2,PURCHASE!$H$6:$H$10008,$A$4:$A$2700)</f>
        <v>0</v>
      </c>
      <c r="BC15" s="512">
        <f>SUMIFS(PURCHASE!$L$6:$L$10008,PURCHASE!$A$6:$A$10008,$BA$2,PURCHASE!$H$6:$H$10008,$A$4:$A$2700)</f>
        <v>0</v>
      </c>
      <c r="BD15" s="512">
        <f>SUMIFS(PURCHASE!$M$6:$M$10008,PURCHASE!$A$6:$A$10008,$BA$2,PURCHASE!$H$6:$H$10008,$A$4:$A$2700)</f>
        <v>0</v>
      </c>
      <c r="BE15" s="512">
        <f>SUMIFS(PURCHASE!$N$6:$N$10008,PURCHASE!$A$6:$A$10008,$BA$2,PURCHASE!$H$6:$H$10008,$A$4:$A$2700)</f>
        <v>0</v>
      </c>
      <c r="BF15" s="512">
        <f t="shared" si="22"/>
        <v>0</v>
      </c>
      <c r="BG15" s="512">
        <f>SUMIFS(PURCHASE!$K$6:$K$10008,PURCHASE!$A$6:$A$10008,$BF$2,PURCHASE!$H$6:$H$10008,$A$4:$A$2700)</f>
        <v>0</v>
      </c>
      <c r="BH15" s="512">
        <f>SUMIFS(PURCHASE!$L$6:$L$10008,PURCHASE!$A$6:$A$10008,$BF$2,PURCHASE!$H$6:$H$10008,$A$4:$A$2700)</f>
        <v>0</v>
      </c>
      <c r="BI15" s="512">
        <f>SUMIFS(PURCHASE!$M$6:$M$10008,PURCHASE!$A$6:$A$10008,$BF$2,PURCHASE!$H$6:$H$10008,$A$4:$A$2700)</f>
        <v>0</v>
      </c>
      <c r="BJ15" s="512">
        <f>SUMIFS(PURCHASE!$N$6:$N$10008,PURCHASE!$A$6:$A$10008,$BF$2,PURCHASE!$H$6:$H$10008,$A$4:$A$2700)</f>
        <v>0</v>
      </c>
      <c r="BK15" s="72">
        <f t="shared" si="6"/>
        <v>419.97380000000004</v>
      </c>
      <c r="BL15" s="72">
        <f t="shared" si="7"/>
        <v>355.91</v>
      </c>
      <c r="BM15" s="72">
        <f t="shared" si="8"/>
        <v>0</v>
      </c>
      <c r="BN15" s="72">
        <f t="shared" si="9"/>
        <v>32.0319</v>
      </c>
      <c r="BO15" s="72">
        <f t="shared" si="10"/>
        <v>32.0319</v>
      </c>
    </row>
    <row r="16" spans="1:67" x14ac:dyDescent="0.2">
      <c r="A16" s="511">
        <v>85051110</v>
      </c>
      <c r="B16" s="467" t="s">
        <v>1191</v>
      </c>
      <c r="C16" s="512">
        <f t="shared" si="11"/>
        <v>8156.16</v>
      </c>
      <c r="D16" s="512">
        <f>SUMIFS(PURCHASE!$K$6:$K$10008,PURCHASE!$A$6:$A$10008,$M$2,PURCHASE!$H$6:$H$10008,$A$4:$A$2700)</f>
        <v>6912</v>
      </c>
      <c r="E16" s="512">
        <f>SUMIFS(PURCHASE!$L$6:$L$10008,PURCHASE!$A$6:$A$10008,$M$2,PURCHASE!$H$6:$H$10008,$A$4:$A$2700)</f>
        <v>0</v>
      </c>
      <c r="F16" s="512">
        <f>SUMIFS(PURCHASE!$M$6:$M$10008,PURCHASE!$A$6:$A$10008,$M$2,PURCHASE!$H$6:$H$10008,$A$4:$A$2700)</f>
        <v>622.08000000000004</v>
      </c>
      <c r="G16" s="512">
        <f>SUMIFS(PURCHASE!$N$6:$N$10008,PURCHASE!$A$6:$A$10008,$M$2,PURCHASE!$H$6:$H$10008,$A$4:$A$2700)</f>
        <v>622.08000000000004</v>
      </c>
      <c r="H16" s="512">
        <f t="shared" si="12"/>
        <v>0</v>
      </c>
      <c r="I16" s="512">
        <f>SUMIFS(PURCHASE!$K$6:$K$10008,PURCHASE!$A$6:$A$10008,$H$2,PURCHASE!$H$6:$H$10008,$A$4:$A$2700)</f>
        <v>0</v>
      </c>
      <c r="J16" s="512">
        <f>SUMIFS(PURCHASE!$L$6:$L$10008,PURCHASE!$A$6:$A$10008,$H$2,PURCHASE!$H$6:$H$10008,$A$4:$A$2700)</f>
        <v>0</v>
      </c>
      <c r="K16" s="512">
        <f>SUMIFS(PURCHASE!$M$6:$M$10008,PURCHASE!$A$6:$A$10008,$H$2,PURCHASE!$H$6:$H$10008,$A$4:$A$2700)</f>
        <v>0</v>
      </c>
      <c r="L16" s="512">
        <f>SUMIFS(PURCHASE!$N$6:$N$10008,PURCHASE!$A$6:$A$10008,$H$2,PURCHASE!$H$6:$H$10008,$A$4:$A$2700)</f>
        <v>0</v>
      </c>
      <c r="M16" s="512">
        <f t="shared" si="13"/>
        <v>8156.16</v>
      </c>
      <c r="N16" s="512">
        <f>SUMIFS(PURCHASE!$K$6:$K$10008,PURCHASE!$A$6:$A$10008,$M$2,PURCHASE!$H$6:$H$10008,$A$4:$A$2700)</f>
        <v>6912</v>
      </c>
      <c r="O16" s="512">
        <f>SUMIFS(PURCHASE!$L$6:$L$10008,PURCHASE!$A$6:$A$10008,$M$2,PURCHASE!$H$6:$H$10008,$A$4:$A$2700)</f>
        <v>0</v>
      </c>
      <c r="P16" s="512">
        <f>SUMIFS(PURCHASE!$M$6:$M$10008,PURCHASE!$A$6:$A$10008,$M$2,PURCHASE!$H$6:$H$10008,$A$4:$A$2700)</f>
        <v>622.08000000000004</v>
      </c>
      <c r="Q16" s="512">
        <f>SUMIFS(PURCHASE!$N$6:$N$10008,PURCHASE!$A$6:$A$10008,$M$2,PURCHASE!$H$6:$H$10008,$A$4:$A$2700)</f>
        <v>622.08000000000004</v>
      </c>
      <c r="R16" s="512">
        <f t="shared" si="14"/>
        <v>0</v>
      </c>
      <c r="S16" s="512">
        <f>SUMIFS(PURCHASE!$K$6:$K$10008,PURCHASE!$A$6:$A$10008,$R$2,PURCHASE!$H$6:$H$10008,$A$4:$A$2700)</f>
        <v>0</v>
      </c>
      <c r="T16" s="512">
        <f>SUMIFS(PURCHASE!$L$6:$L$10008,PURCHASE!$A$6:$A$10008,$R$2,PURCHASE!$H$6:$H$10008,$A$4:$A$2700)</f>
        <v>0</v>
      </c>
      <c r="U16" s="512">
        <f>SUMIFS(PURCHASE!$M$6:$M$10008,PURCHASE!$A$6:$A$10008,$R$2,PURCHASE!$H$6:$H$10008,$A$4:$A$2700)</f>
        <v>0</v>
      </c>
      <c r="V16" s="512">
        <f>SUMIFS(PURCHASE!$N$6:$N$10008,PURCHASE!$A$6:$A$10008,$R$2,PURCHASE!$H$6:$H$10008,$A$4:$A$2700)</f>
        <v>0</v>
      </c>
      <c r="W16" s="512">
        <f t="shared" si="15"/>
        <v>0</v>
      </c>
      <c r="X16" s="512">
        <f>SUMIFS(PURCHASE!$K$6:$K$10008,PURCHASE!$A$6:$A$10008,$W$2,PURCHASE!$H$6:$H$10008,$A$4:$A$2700)</f>
        <v>0</v>
      </c>
      <c r="Y16" s="512">
        <f>SUMIFS(PURCHASE!$L$6:$L$10008,PURCHASE!$A$6:$A$10008,$W$2,PURCHASE!$H$6:$H$10008,$A$4:$A$2700)</f>
        <v>0</v>
      </c>
      <c r="Z16" s="512">
        <f>SUMIFS(PURCHASE!$M$6:$M$10008,PURCHASE!$A$6:$A$10008,$W$2,PURCHASE!$H$6:$H$10008,$A$4:$A$2700)</f>
        <v>0</v>
      </c>
      <c r="AA16" s="512">
        <f>SUMIFS(PURCHASE!$N$6:$N$10008,PURCHASE!$A$6:$A$10008,$W$2,PURCHASE!$H$6:$H$10008,$A$4:$A$2700)</f>
        <v>0</v>
      </c>
      <c r="AB16" s="512">
        <f t="shared" si="16"/>
        <v>0</v>
      </c>
      <c r="AC16" s="512">
        <f>SUMIFS(PURCHASE!$K$6:$K$10008,PURCHASE!$A$6:$A$10008,$AB$2,PURCHASE!$H$6:$H$10008,$A$4:$A$2700)</f>
        <v>0</v>
      </c>
      <c r="AD16" s="512">
        <f>SUMIFS(PURCHASE!$L$6:$L$10008,PURCHASE!$A$6:$A$10008,$AB$2,PURCHASE!$H$6:$H$10008,$A$4:$A$2700)</f>
        <v>0</v>
      </c>
      <c r="AE16" s="512">
        <f>SUMIFS(PURCHASE!$M$6:$M$10008,PURCHASE!$A$6:$A$10008,$AB$2,PURCHASE!$H$6:$H$10008,$A$4:$A$2700)</f>
        <v>0</v>
      </c>
      <c r="AF16" s="512">
        <f>SUMIFS(PURCHASE!$N$6:$N$10008,PURCHASE!$A$6:$A$10008,$AB$2,PURCHASE!$H$6:$H$10008,$A$4:$A$2700)</f>
        <v>0</v>
      </c>
      <c r="AG16" s="512">
        <f t="shared" si="17"/>
        <v>0</v>
      </c>
      <c r="AH16" s="512">
        <f>SUMIFS(PURCHASE!$K$6:$K$10008,PURCHASE!$A$6:$A$10008,$AG$2,PURCHASE!$H$6:$H$10008,$A$4:$A$2700)</f>
        <v>0</v>
      </c>
      <c r="AI16" s="512">
        <f>SUMIFS(PURCHASE!$L$6:$L$10008,PURCHASE!$A$6:$A$10008,$AG$2,PURCHASE!$H$6:$H$10008,$A$4:$A$2700)</f>
        <v>0</v>
      </c>
      <c r="AJ16" s="512">
        <f>SUMIFS(PURCHASE!$M$6:$M$10008,PURCHASE!$A$6:$A$10008,$AG$2,PURCHASE!$H$6:$H$10008,$A$4:$A$2700)</f>
        <v>0</v>
      </c>
      <c r="AK16" s="512">
        <f>SUMIFS(PURCHASE!$N$6:$N$10008,PURCHASE!$A$6:$A$10008,$AG$2,PURCHASE!$H$6:$H$10008,$A$4:$A$2700)</f>
        <v>0</v>
      </c>
      <c r="AL16" s="512">
        <f t="shared" si="18"/>
        <v>0</v>
      </c>
      <c r="AM16" s="512">
        <f>SUMIFS(PURCHASE!$K$6:$K$10008,PURCHASE!$A$6:$A$10008,$AL$2,PURCHASE!$H$6:$H$10008,$A$4:$A$2700)</f>
        <v>0</v>
      </c>
      <c r="AN16" s="512">
        <f>SUMIFS(PURCHASE!$L$6:$L$10008,PURCHASE!$A$6:$A$10008,$AL$2,PURCHASE!$H$6:$H$10008,$A$4:$A$2700)</f>
        <v>0</v>
      </c>
      <c r="AO16" s="512">
        <f>SUMIFS(PURCHASE!$M$6:$M$10008,PURCHASE!$A$6:$A$10008,$AL$2,PURCHASE!$H$6:$H$10008,$A$4:$A$2700)</f>
        <v>0</v>
      </c>
      <c r="AP16" s="512">
        <f>SUMIFS(PURCHASE!$N$6:$N$10008,PURCHASE!$A$6:$A$10008,$AL$2,PURCHASE!$H$6:$H$10008,$A$4:$A$2700)</f>
        <v>0</v>
      </c>
      <c r="AQ16" s="512">
        <f t="shared" si="19"/>
        <v>0</v>
      </c>
      <c r="AR16" s="512">
        <f>SUMIFS(PURCHASE!$K$6:$K$10008,PURCHASE!$A$6:$A$10008,$AQ$2,PURCHASE!$H$6:$H$10008,$A$4:$A$2700)</f>
        <v>0</v>
      </c>
      <c r="AS16" s="512">
        <f>SUMIFS(PURCHASE!$L$6:$L$10008,PURCHASE!$A$6:$A$10008,$AQ$2,PURCHASE!$H$6:$H$10008,$A$4:$A$2700)</f>
        <v>0</v>
      </c>
      <c r="AT16" s="512">
        <f>SUMIFS(PURCHASE!$M$6:$M$10008,PURCHASE!$A$6:$A$10008,$AQ$2,PURCHASE!$H$6:$H$10008,$A$4:$A$2700)</f>
        <v>0</v>
      </c>
      <c r="AU16" s="512">
        <f>SUMIFS(PURCHASE!$N$6:$N$10008,PURCHASE!$A$6:$A$10008,$AQ$2,PURCHASE!$H$6:$H$10008,$A$4:$A$2700)</f>
        <v>0</v>
      </c>
      <c r="AV16" s="512">
        <f t="shared" si="20"/>
        <v>0</v>
      </c>
      <c r="AW16" s="512">
        <f>SUMIFS(PURCHASE!$K$6:$K$10008,PURCHASE!$A$6:$A$10008,$AV$2,PURCHASE!$H$6:$H$10008,$A$4:$A$2700)</f>
        <v>0</v>
      </c>
      <c r="AX16" s="512">
        <f>SUMIFS(PURCHASE!$L$6:$L$10008,PURCHASE!$A$6:$A$10008,$AV$2,PURCHASE!$H$6:$H$10008,$A$4:$A$2700)</f>
        <v>0</v>
      </c>
      <c r="AY16" s="512">
        <f>SUMIFS(PURCHASE!$M$6:$M$10008,PURCHASE!$A$6:$A$10008,$AV$2,PURCHASE!$H$6:$H$10008,$A$4:$A$2700)</f>
        <v>0</v>
      </c>
      <c r="AZ16" s="512">
        <f>SUMIFS(PURCHASE!$N$6:$N$10008,PURCHASE!$A$6:$A$10008,$AV$2,PURCHASE!$H$6:$H$10008,$A$4:$A$2700)</f>
        <v>0</v>
      </c>
      <c r="BA16" s="512">
        <f t="shared" si="21"/>
        <v>0</v>
      </c>
      <c r="BB16" s="512">
        <f>SUMIFS(PURCHASE!$K$6:$K$10008,PURCHASE!$A$6:$A$10008,$BA$2,PURCHASE!$H$6:$H$10008,$A$4:$A$2700)</f>
        <v>0</v>
      </c>
      <c r="BC16" s="512">
        <f>SUMIFS(PURCHASE!$L$6:$L$10008,PURCHASE!$A$6:$A$10008,$BA$2,PURCHASE!$H$6:$H$10008,$A$4:$A$2700)</f>
        <v>0</v>
      </c>
      <c r="BD16" s="512">
        <f>SUMIFS(PURCHASE!$M$6:$M$10008,PURCHASE!$A$6:$A$10008,$BA$2,PURCHASE!$H$6:$H$10008,$A$4:$A$2700)</f>
        <v>0</v>
      </c>
      <c r="BE16" s="512">
        <f>SUMIFS(PURCHASE!$N$6:$N$10008,PURCHASE!$A$6:$A$10008,$BA$2,PURCHASE!$H$6:$H$10008,$A$4:$A$2700)</f>
        <v>0</v>
      </c>
      <c r="BF16" s="512">
        <f t="shared" si="22"/>
        <v>0</v>
      </c>
      <c r="BG16" s="512">
        <f>SUMIFS(PURCHASE!$K$6:$K$10008,PURCHASE!$A$6:$A$10008,$BF$2,PURCHASE!$H$6:$H$10008,$A$4:$A$2700)</f>
        <v>0</v>
      </c>
      <c r="BH16" s="512">
        <f>SUMIFS(PURCHASE!$L$6:$L$10008,PURCHASE!$A$6:$A$10008,$BF$2,PURCHASE!$H$6:$H$10008,$A$4:$A$2700)</f>
        <v>0</v>
      </c>
      <c r="BI16" s="512">
        <f>SUMIFS(PURCHASE!$M$6:$M$10008,PURCHASE!$A$6:$A$10008,$BF$2,PURCHASE!$H$6:$H$10008,$A$4:$A$2700)</f>
        <v>0</v>
      </c>
      <c r="BJ16" s="512">
        <f>SUMIFS(PURCHASE!$N$6:$N$10008,PURCHASE!$A$6:$A$10008,$BF$2,PURCHASE!$H$6:$H$10008,$A$4:$A$2700)</f>
        <v>0</v>
      </c>
      <c r="BK16" s="72">
        <f t="shared" si="6"/>
        <v>16312.32</v>
      </c>
      <c r="BL16" s="72">
        <f t="shared" si="7"/>
        <v>13824</v>
      </c>
      <c r="BM16" s="72">
        <f t="shared" si="8"/>
        <v>0</v>
      </c>
      <c r="BN16" s="72">
        <f t="shared" si="9"/>
        <v>1244.1600000000001</v>
      </c>
      <c r="BO16" s="72">
        <f t="shared" si="10"/>
        <v>1244.1600000000001</v>
      </c>
    </row>
    <row r="17" spans="1:67" x14ac:dyDescent="0.2">
      <c r="A17" s="511">
        <v>3808</v>
      </c>
      <c r="B17" s="467" t="s">
        <v>1192</v>
      </c>
      <c r="C17" s="512">
        <f t="shared" si="11"/>
        <v>0</v>
      </c>
      <c r="D17" s="512">
        <f>SUMIFS(PURCHASE!$K$6:$K$10008,PURCHASE!$A$6:$A$10008,$M$2,PURCHASE!$H$6:$H$10008,$A$4:$A$2700)</f>
        <v>0</v>
      </c>
      <c r="E17" s="512">
        <f>SUMIFS(PURCHASE!$L$6:$L$10008,PURCHASE!$A$6:$A$10008,$M$2,PURCHASE!$H$6:$H$10008,$A$4:$A$2700)</f>
        <v>0</v>
      </c>
      <c r="F17" s="512">
        <f>SUMIFS(PURCHASE!$M$6:$M$10008,PURCHASE!$A$6:$A$10008,$M$2,PURCHASE!$H$6:$H$10008,$A$4:$A$2700)</f>
        <v>0</v>
      </c>
      <c r="G17" s="512">
        <f>SUMIFS(PURCHASE!$N$6:$N$10008,PURCHASE!$A$6:$A$10008,$M$2,PURCHASE!$H$6:$H$10008,$A$4:$A$2700)</f>
        <v>0</v>
      </c>
      <c r="H17" s="512">
        <f t="shared" si="12"/>
        <v>0</v>
      </c>
      <c r="I17" s="512">
        <f>SUMIFS(PURCHASE!$K$6:$K$10008,PURCHASE!$A$6:$A$10008,$H$2,PURCHASE!$H$6:$H$10008,$A$4:$A$2700)</f>
        <v>0</v>
      </c>
      <c r="J17" s="512">
        <f>SUMIFS(PURCHASE!$L$6:$L$10008,PURCHASE!$A$6:$A$10008,$H$2,PURCHASE!$H$6:$H$10008,$A$4:$A$2700)</f>
        <v>0</v>
      </c>
      <c r="K17" s="512">
        <f>SUMIFS(PURCHASE!$M$6:$M$10008,PURCHASE!$A$6:$A$10008,$H$2,PURCHASE!$H$6:$H$10008,$A$4:$A$2700)</f>
        <v>0</v>
      </c>
      <c r="L17" s="512">
        <f>SUMIFS(PURCHASE!$N$6:$N$10008,PURCHASE!$A$6:$A$10008,$H$2,PURCHASE!$H$6:$H$10008,$A$4:$A$2700)</f>
        <v>0</v>
      </c>
      <c r="M17" s="512">
        <f t="shared" si="13"/>
        <v>0</v>
      </c>
      <c r="N17" s="512">
        <f>SUMIFS(PURCHASE!$K$6:$K$10008,PURCHASE!$A$6:$A$10008,$M$2,PURCHASE!$H$6:$H$10008,$A$4:$A$2700)</f>
        <v>0</v>
      </c>
      <c r="O17" s="512">
        <f>SUMIFS(PURCHASE!$L$6:$L$10008,PURCHASE!$A$6:$A$10008,$M$2,PURCHASE!$H$6:$H$10008,$A$4:$A$2700)</f>
        <v>0</v>
      </c>
      <c r="P17" s="512">
        <f>SUMIFS(PURCHASE!$M$6:$M$10008,PURCHASE!$A$6:$A$10008,$M$2,PURCHASE!$H$6:$H$10008,$A$4:$A$2700)</f>
        <v>0</v>
      </c>
      <c r="Q17" s="512">
        <f>SUMIFS(PURCHASE!$N$6:$N$10008,PURCHASE!$A$6:$A$10008,$M$2,PURCHASE!$H$6:$H$10008,$A$4:$A$2700)</f>
        <v>0</v>
      </c>
      <c r="R17" s="512">
        <f t="shared" si="14"/>
        <v>0</v>
      </c>
      <c r="S17" s="512">
        <f>SUMIFS(PURCHASE!$K$6:$K$10008,PURCHASE!$A$6:$A$10008,$R$2,PURCHASE!$H$6:$H$10008,$A$4:$A$2700)</f>
        <v>0</v>
      </c>
      <c r="T17" s="512">
        <f>SUMIFS(PURCHASE!$L$6:$L$10008,PURCHASE!$A$6:$A$10008,$R$2,PURCHASE!$H$6:$H$10008,$A$4:$A$2700)</f>
        <v>0</v>
      </c>
      <c r="U17" s="512">
        <f>SUMIFS(PURCHASE!$M$6:$M$10008,PURCHASE!$A$6:$A$10008,$R$2,PURCHASE!$H$6:$H$10008,$A$4:$A$2700)</f>
        <v>0</v>
      </c>
      <c r="V17" s="512">
        <f>SUMIFS(PURCHASE!$N$6:$N$10008,PURCHASE!$A$6:$A$10008,$R$2,PURCHASE!$H$6:$H$10008,$A$4:$A$2700)</f>
        <v>0</v>
      </c>
      <c r="W17" s="512">
        <f t="shared" si="15"/>
        <v>764.6400000000001</v>
      </c>
      <c r="X17" s="512">
        <f>SUMIFS(PURCHASE!$K$6:$K$10008,PURCHASE!$A$6:$A$10008,$W$2,PURCHASE!$H$6:$H$10008,$A$4:$A$2700)</f>
        <v>648</v>
      </c>
      <c r="Y17" s="512">
        <f>SUMIFS(PURCHASE!$L$6:$L$10008,PURCHASE!$A$6:$A$10008,$W$2,PURCHASE!$H$6:$H$10008,$A$4:$A$2700)</f>
        <v>0</v>
      </c>
      <c r="Z17" s="512">
        <f>SUMIFS(PURCHASE!$M$6:$M$10008,PURCHASE!$A$6:$A$10008,$W$2,PURCHASE!$H$6:$H$10008,$A$4:$A$2700)</f>
        <v>58.320000000000007</v>
      </c>
      <c r="AA17" s="512">
        <f>SUMIFS(PURCHASE!$N$6:$N$10008,PURCHASE!$A$6:$A$10008,$W$2,PURCHASE!$H$6:$H$10008,$A$4:$A$2700)</f>
        <v>58.320000000000007</v>
      </c>
      <c r="AB17" s="512">
        <f t="shared" si="16"/>
        <v>0</v>
      </c>
      <c r="AC17" s="512">
        <f>SUMIFS(PURCHASE!$K$6:$K$10008,PURCHASE!$A$6:$A$10008,$AB$2,PURCHASE!$H$6:$H$10008,$A$4:$A$2700)</f>
        <v>0</v>
      </c>
      <c r="AD17" s="512">
        <f>SUMIFS(PURCHASE!$L$6:$L$10008,PURCHASE!$A$6:$A$10008,$AB$2,PURCHASE!$H$6:$H$10008,$A$4:$A$2700)</f>
        <v>0</v>
      </c>
      <c r="AE17" s="512">
        <f>SUMIFS(PURCHASE!$M$6:$M$10008,PURCHASE!$A$6:$A$10008,$AB$2,PURCHASE!$H$6:$H$10008,$A$4:$A$2700)</f>
        <v>0</v>
      </c>
      <c r="AF17" s="512">
        <f>SUMIFS(PURCHASE!$N$6:$N$10008,PURCHASE!$A$6:$A$10008,$AB$2,PURCHASE!$H$6:$H$10008,$A$4:$A$2700)</f>
        <v>0</v>
      </c>
      <c r="AG17" s="512">
        <f t="shared" si="17"/>
        <v>0</v>
      </c>
      <c r="AH17" s="512">
        <f>SUMIFS(PURCHASE!$K$6:$K$10008,PURCHASE!$A$6:$A$10008,$AG$2,PURCHASE!$H$6:$H$10008,$A$4:$A$2700)</f>
        <v>0</v>
      </c>
      <c r="AI17" s="512">
        <f>SUMIFS(PURCHASE!$L$6:$L$10008,PURCHASE!$A$6:$A$10008,$AG$2,PURCHASE!$H$6:$H$10008,$A$4:$A$2700)</f>
        <v>0</v>
      </c>
      <c r="AJ17" s="512">
        <f>SUMIFS(PURCHASE!$M$6:$M$10008,PURCHASE!$A$6:$A$10008,$AG$2,PURCHASE!$H$6:$H$10008,$A$4:$A$2700)</f>
        <v>0</v>
      </c>
      <c r="AK17" s="512">
        <f>SUMIFS(PURCHASE!$N$6:$N$10008,PURCHASE!$A$6:$A$10008,$AG$2,PURCHASE!$H$6:$H$10008,$A$4:$A$2700)</f>
        <v>0</v>
      </c>
      <c r="AL17" s="512">
        <f t="shared" si="18"/>
        <v>0</v>
      </c>
      <c r="AM17" s="512">
        <f>SUMIFS(PURCHASE!$K$6:$K$10008,PURCHASE!$A$6:$A$10008,$AL$2,PURCHASE!$H$6:$H$10008,$A$4:$A$2700)</f>
        <v>0</v>
      </c>
      <c r="AN17" s="512">
        <f>SUMIFS(PURCHASE!$L$6:$L$10008,PURCHASE!$A$6:$A$10008,$AL$2,PURCHASE!$H$6:$H$10008,$A$4:$A$2700)</f>
        <v>0</v>
      </c>
      <c r="AO17" s="512">
        <f>SUMIFS(PURCHASE!$M$6:$M$10008,PURCHASE!$A$6:$A$10008,$AL$2,PURCHASE!$H$6:$H$10008,$A$4:$A$2700)</f>
        <v>0</v>
      </c>
      <c r="AP17" s="512">
        <f>SUMIFS(PURCHASE!$N$6:$N$10008,PURCHASE!$A$6:$A$10008,$AL$2,PURCHASE!$H$6:$H$10008,$A$4:$A$2700)</f>
        <v>0</v>
      </c>
      <c r="AQ17" s="512">
        <f t="shared" si="19"/>
        <v>0</v>
      </c>
      <c r="AR17" s="512">
        <f>SUMIFS(PURCHASE!$K$6:$K$10008,PURCHASE!$A$6:$A$10008,$AQ$2,PURCHASE!$H$6:$H$10008,$A$4:$A$2700)</f>
        <v>0</v>
      </c>
      <c r="AS17" s="512">
        <f>SUMIFS(PURCHASE!$L$6:$L$10008,PURCHASE!$A$6:$A$10008,$AQ$2,PURCHASE!$H$6:$H$10008,$A$4:$A$2700)</f>
        <v>0</v>
      </c>
      <c r="AT17" s="512">
        <f>SUMIFS(PURCHASE!$M$6:$M$10008,PURCHASE!$A$6:$A$10008,$AQ$2,PURCHASE!$H$6:$H$10008,$A$4:$A$2700)</f>
        <v>0</v>
      </c>
      <c r="AU17" s="512">
        <f>SUMIFS(PURCHASE!$N$6:$N$10008,PURCHASE!$A$6:$A$10008,$AQ$2,PURCHASE!$H$6:$H$10008,$A$4:$A$2700)</f>
        <v>0</v>
      </c>
      <c r="AV17" s="512">
        <f t="shared" si="20"/>
        <v>764.6400000000001</v>
      </c>
      <c r="AW17" s="512">
        <f>SUMIFS(PURCHASE!$K$6:$K$10008,PURCHASE!$A$6:$A$10008,$AV$2,PURCHASE!$H$6:$H$10008,$A$4:$A$2700)</f>
        <v>648</v>
      </c>
      <c r="AX17" s="512">
        <f>SUMIFS(PURCHASE!$L$6:$L$10008,PURCHASE!$A$6:$A$10008,$AV$2,PURCHASE!$H$6:$H$10008,$A$4:$A$2700)</f>
        <v>0</v>
      </c>
      <c r="AY17" s="512">
        <f>SUMIFS(PURCHASE!$M$6:$M$10008,PURCHASE!$A$6:$A$10008,$AV$2,PURCHASE!$H$6:$H$10008,$A$4:$A$2700)</f>
        <v>58.320000000000007</v>
      </c>
      <c r="AZ17" s="512">
        <f>SUMIFS(PURCHASE!$N$6:$N$10008,PURCHASE!$A$6:$A$10008,$AV$2,PURCHASE!$H$6:$H$10008,$A$4:$A$2700)</f>
        <v>58.320000000000007</v>
      </c>
      <c r="BA17" s="512">
        <f t="shared" si="21"/>
        <v>0</v>
      </c>
      <c r="BB17" s="512">
        <f>SUMIFS(PURCHASE!$K$6:$K$10008,PURCHASE!$A$6:$A$10008,$BA$2,PURCHASE!$H$6:$H$10008,$A$4:$A$2700)</f>
        <v>0</v>
      </c>
      <c r="BC17" s="512">
        <f>SUMIFS(PURCHASE!$L$6:$L$10008,PURCHASE!$A$6:$A$10008,$BA$2,PURCHASE!$H$6:$H$10008,$A$4:$A$2700)</f>
        <v>0</v>
      </c>
      <c r="BD17" s="512">
        <f>SUMIFS(PURCHASE!$M$6:$M$10008,PURCHASE!$A$6:$A$10008,$BA$2,PURCHASE!$H$6:$H$10008,$A$4:$A$2700)</f>
        <v>0</v>
      </c>
      <c r="BE17" s="512">
        <f>SUMIFS(PURCHASE!$N$6:$N$10008,PURCHASE!$A$6:$A$10008,$BA$2,PURCHASE!$H$6:$H$10008,$A$4:$A$2700)</f>
        <v>0</v>
      </c>
      <c r="BF17" s="512">
        <f t="shared" si="22"/>
        <v>0</v>
      </c>
      <c r="BG17" s="512">
        <f>SUMIFS(PURCHASE!$K$6:$K$10008,PURCHASE!$A$6:$A$10008,$BF$2,PURCHASE!$H$6:$H$10008,$A$4:$A$2700)</f>
        <v>0</v>
      </c>
      <c r="BH17" s="512">
        <f>SUMIFS(PURCHASE!$L$6:$L$10008,PURCHASE!$A$6:$A$10008,$BF$2,PURCHASE!$H$6:$H$10008,$A$4:$A$2700)</f>
        <v>0</v>
      </c>
      <c r="BI17" s="512">
        <f>SUMIFS(PURCHASE!$M$6:$M$10008,PURCHASE!$A$6:$A$10008,$BF$2,PURCHASE!$H$6:$H$10008,$A$4:$A$2700)</f>
        <v>0</v>
      </c>
      <c r="BJ17" s="512">
        <f>SUMIFS(PURCHASE!$N$6:$N$10008,PURCHASE!$A$6:$A$10008,$BF$2,PURCHASE!$H$6:$H$10008,$A$4:$A$2700)</f>
        <v>0</v>
      </c>
      <c r="BK17" s="72">
        <f t="shared" si="6"/>
        <v>1529.2800000000002</v>
      </c>
      <c r="BL17" s="72">
        <f t="shared" si="7"/>
        <v>1296</v>
      </c>
      <c r="BM17" s="72">
        <f t="shared" si="8"/>
        <v>0</v>
      </c>
      <c r="BN17" s="72">
        <f t="shared" si="9"/>
        <v>116.64000000000001</v>
      </c>
      <c r="BO17" s="72">
        <f t="shared" si="10"/>
        <v>116.64000000000001</v>
      </c>
    </row>
    <row r="18" spans="1:67" x14ac:dyDescent="0.2">
      <c r="A18" s="511">
        <v>3813</v>
      </c>
      <c r="B18" s="467" t="s">
        <v>1193</v>
      </c>
      <c r="C18" s="512">
        <f t="shared" si="11"/>
        <v>8956.2000000000007</v>
      </c>
      <c r="D18" s="512">
        <f>SUMIFS(PURCHASE!$K$6:$K$10008,PURCHASE!$A$6:$A$10008,$M$2,PURCHASE!$H$6:$H$10008,$A$4:$A$2700)</f>
        <v>7590</v>
      </c>
      <c r="E18" s="512">
        <f>SUMIFS(PURCHASE!$L$6:$L$10008,PURCHASE!$A$6:$A$10008,$M$2,PURCHASE!$H$6:$H$10008,$A$4:$A$2700)</f>
        <v>0</v>
      </c>
      <c r="F18" s="512">
        <f>SUMIFS(PURCHASE!$M$6:$M$10008,PURCHASE!$A$6:$A$10008,$M$2,PURCHASE!$H$6:$H$10008,$A$4:$A$2700)</f>
        <v>683.1</v>
      </c>
      <c r="G18" s="512">
        <f>SUMIFS(PURCHASE!$N$6:$N$10008,PURCHASE!$A$6:$A$10008,$M$2,PURCHASE!$H$6:$H$10008,$A$4:$A$2700)</f>
        <v>683.1</v>
      </c>
      <c r="H18" s="512">
        <f t="shared" si="12"/>
        <v>0</v>
      </c>
      <c r="I18" s="512">
        <f>SUMIFS(PURCHASE!$K$6:$K$10008,PURCHASE!$A$6:$A$10008,$H$2,PURCHASE!$H$6:$H$10008,$A$4:$A$2700)</f>
        <v>0</v>
      </c>
      <c r="J18" s="512">
        <f>SUMIFS(PURCHASE!$L$6:$L$10008,PURCHASE!$A$6:$A$10008,$H$2,PURCHASE!$H$6:$H$10008,$A$4:$A$2700)</f>
        <v>0</v>
      </c>
      <c r="K18" s="512">
        <f>SUMIFS(PURCHASE!$M$6:$M$10008,PURCHASE!$A$6:$A$10008,$H$2,PURCHASE!$H$6:$H$10008,$A$4:$A$2700)</f>
        <v>0</v>
      </c>
      <c r="L18" s="512">
        <f>SUMIFS(PURCHASE!$N$6:$N$10008,PURCHASE!$A$6:$A$10008,$H$2,PURCHASE!$H$6:$H$10008,$A$4:$A$2700)</f>
        <v>0</v>
      </c>
      <c r="M18" s="512">
        <f t="shared" si="13"/>
        <v>8956.2000000000007</v>
      </c>
      <c r="N18" s="512">
        <f>SUMIFS(PURCHASE!$K$6:$K$10008,PURCHASE!$A$6:$A$10008,$M$2,PURCHASE!$H$6:$H$10008,$A$4:$A$2700)</f>
        <v>7590</v>
      </c>
      <c r="O18" s="512">
        <f>SUMIFS(PURCHASE!$L$6:$L$10008,PURCHASE!$A$6:$A$10008,$M$2,PURCHASE!$H$6:$H$10008,$A$4:$A$2700)</f>
        <v>0</v>
      </c>
      <c r="P18" s="512">
        <f>SUMIFS(PURCHASE!$M$6:$M$10008,PURCHASE!$A$6:$A$10008,$M$2,PURCHASE!$H$6:$H$10008,$A$4:$A$2700)</f>
        <v>683.1</v>
      </c>
      <c r="Q18" s="512">
        <f>SUMIFS(PURCHASE!$N$6:$N$10008,PURCHASE!$A$6:$A$10008,$M$2,PURCHASE!$H$6:$H$10008,$A$4:$A$2700)</f>
        <v>683.1</v>
      </c>
      <c r="R18" s="512">
        <f t="shared" si="14"/>
        <v>0</v>
      </c>
      <c r="S18" s="512">
        <f>SUMIFS(PURCHASE!$K$6:$K$10008,PURCHASE!$A$6:$A$10008,$R$2,PURCHASE!$H$6:$H$10008,$A$4:$A$2700)</f>
        <v>0</v>
      </c>
      <c r="T18" s="512">
        <f>SUMIFS(PURCHASE!$L$6:$L$10008,PURCHASE!$A$6:$A$10008,$R$2,PURCHASE!$H$6:$H$10008,$A$4:$A$2700)</f>
        <v>0</v>
      </c>
      <c r="U18" s="512">
        <f>SUMIFS(PURCHASE!$M$6:$M$10008,PURCHASE!$A$6:$A$10008,$R$2,PURCHASE!$H$6:$H$10008,$A$4:$A$2700)</f>
        <v>0</v>
      </c>
      <c r="V18" s="512">
        <f>SUMIFS(PURCHASE!$N$6:$N$10008,PURCHASE!$A$6:$A$10008,$R$2,PURCHASE!$H$6:$H$10008,$A$4:$A$2700)</f>
        <v>0</v>
      </c>
      <c r="W18" s="512">
        <f t="shared" si="15"/>
        <v>0</v>
      </c>
      <c r="X18" s="512">
        <f>SUMIFS(PURCHASE!$K$6:$K$10008,PURCHASE!$A$6:$A$10008,$W$2,PURCHASE!$H$6:$H$10008,$A$4:$A$2700)</f>
        <v>0</v>
      </c>
      <c r="Y18" s="512">
        <f>SUMIFS(PURCHASE!$L$6:$L$10008,PURCHASE!$A$6:$A$10008,$W$2,PURCHASE!$H$6:$H$10008,$A$4:$A$2700)</f>
        <v>0</v>
      </c>
      <c r="Z18" s="512">
        <f>SUMIFS(PURCHASE!$M$6:$M$10008,PURCHASE!$A$6:$A$10008,$W$2,PURCHASE!$H$6:$H$10008,$A$4:$A$2700)</f>
        <v>0</v>
      </c>
      <c r="AA18" s="512">
        <f>SUMIFS(PURCHASE!$N$6:$N$10008,PURCHASE!$A$6:$A$10008,$W$2,PURCHASE!$H$6:$H$10008,$A$4:$A$2700)</f>
        <v>0</v>
      </c>
      <c r="AB18" s="512">
        <f t="shared" si="16"/>
        <v>0</v>
      </c>
      <c r="AC18" s="512">
        <f>SUMIFS(PURCHASE!$K$6:$K$10008,PURCHASE!$A$6:$A$10008,$AB$2,PURCHASE!$H$6:$H$10008,$A$4:$A$2700)</f>
        <v>0</v>
      </c>
      <c r="AD18" s="512">
        <f>SUMIFS(PURCHASE!$L$6:$L$10008,PURCHASE!$A$6:$A$10008,$AB$2,PURCHASE!$H$6:$H$10008,$A$4:$A$2700)</f>
        <v>0</v>
      </c>
      <c r="AE18" s="512">
        <f>SUMIFS(PURCHASE!$M$6:$M$10008,PURCHASE!$A$6:$A$10008,$AB$2,PURCHASE!$H$6:$H$10008,$A$4:$A$2700)</f>
        <v>0</v>
      </c>
      <c r="AF18" s="512">
        <f>SUMIFS(PURCHASE!$N$6:$N$10008,PURCHASE!$A$6:$A$10008,$AB$2,PURCHASE!$H$6:$H$10008,$A$4:$A$2700)</f>
        <v>0</v>
      </c>
      <c r="AG18" s="512">
        <f t="shared" si="17"/>
        <v>9428.2000000000007</v>
      </c>
      <c r="AH18" s="512">
        <f>SUMIFS(PURCHASE!$K$6:$K$10008,PURCHASE!$A$6:$A$10008,$AG$2,PURCHASE!$H$6:$H$10008,$A$4:$A$2700)</f>
        <v>7990</v>
      </c>
      <c r="AI18" s="512">
        <f>SUMIFS(PURCHASE!$L$6:$L$10008,PURCHASE!$A$6:$A$10008,$AG$2,PURCHASE!$H$6:$H$10008,$A$4:$A$2700)</f>
        <v>0</v>
      </c>
      <c r="AJ18" s="512">
        <f>SUMIFS(PURCHASE!$M$6:$M$10008,PURCHASE!$A$6:$A$10008,$AG$2,PURCHASE!$H$6:$H$10008,$A$4:$A$2700)</f>
        <v>719.1</v>
      </c>
      <c r="AK18" s="512">
        <f>SUMIFS(PURCHASE!$N$6:$N$10008,PURCHASE!$A$6:$A$10008,$AG$2,PURCHASE!$H$6:$H$10008,$A$4:$A$2700)</f>
        <v>719.1</v>
      </c>
      <c r="AL18" s="512">
        <f t="shared" si="18"/>
        <v>0</v>
      </c>
      <c r="AM18" s="512">
        <f>SUMIFS(PURCHASE!$K$6:$K$10008,PURCHASE!$A$6:$A$10008,$AL$2,PURCHASE!$H$6:$H$10008,$A$4:$A$2700)</f>
        <v>0</v>
      </c>
      <c r="AN18" s="512">
        <f>SUMIFS(PURCHASE!$L$6:$L$10008,PURCHASE!$A$6:$A$10008,$AL$2,PURCHASE!$H$6:$H$10008,$A$4:$A$2700)</f>
        <v>0</v>
      </c>
      <c r="AO18" s="512">
        <f>SUMIFS(PURCHASE!$M$6:$M$10008,PURCHASE!$A$6:$A$10008,$AL$2,PURCHASE!$H$6:$H$10008,$A$4:$A$2700)</f>
        <v>0</v>
      </c>
      <c r="AP18" s="512">
        <f>SUMIFS(PURCHASE!$N$6:$N$10008,PURCHASE!$A$6:$A$10008,$AL$2,PURCHASE!$H$6:$H$10008,$A$4:$A$2700)</f>
        <v>0</v>
      </c>
      <c r="AQ18" s="512">
        <f t="shared" si="19"/>
        <v>0</v>
      </c>
      <c r="AR18" s="512">
        <f>SUMIFS(PURCHASE!$K$6:$K$10008,PURCHASE!$A$6:$A$10008,$AQ$2,PURCHASE!$H$6:$H$10008,$A$4:$A$2700)</f>
        <v>0</v>
      </c>
      <c r="AS18" s="512">
        <f>SUMIFS(PURCHASE!$L$6:$L$10008,PURCHASE!$A$6:$A$10008,$AQ$2,PURCHASE!$H$6:$H$10008,$A$4:$A$2700)</f>
        <v>0</v>
      </c>
      <c r="AT18" s="512">
        <f>SUMIFS(PURCHASE!$M$6:$M$10008,PURCHASE!$A$6:$A$10008,$AQ$2,PURCHASE!$H$6:$H$10008,$A$4:$A$2700)</f>
        <v>0</v>
      </c>
      <c r="AU18" s="512">
        <f>SUMIFS(PURCHASE!$N$6:$N$10008,PURCHASE!$A$6:$A$10008,$AQ$2,PURCHASE!$H$6:$H$10008,$A$4:$A$2700)</f>
        <v>0</v>
      </c>
      <c r="AV18" s="512">
        <f t="shared" si="20"/>
        <v>0</v>
      </c>
      <c r="AW18" s="512">
        <f>SUMIFS(PURCHASE!$K$6:$K$10008,PURCHASE!$A$6:$A$10008,$AV$2,PURCHASE!$H$6:$H$10008,$A$4:$A$2700)</f>
        <v>0</v>
      </c>
      <c r="AX18" s="512">
        <f>SUMIFS(PURCHASE!$L$6:$L$10008,PURCHASE!$A$6:$A$10008,$AV$2,PURCHASE!$H$6:$H$10008,$A$4:$A$2700)</f>
        <v>0</v>
      </c>
      <c r="AY18" s="512">
        <f>SUMIFS(PURCHASE!$M$6:$M$10008,PURCHASE!$A$6:$A$10008,$AV$2,PURCHASE!$H$6:$H$10008,$A$4:$A$2700)</f>
        <v>0</v>
      </c>
      <c r="AZ18" s="512">
        <f>SUMIFS(PURCHASE!$N$6:$N$10008,PURCHASE!$A$6:$A$10008,$AV$2,PURCHASE!$H$6:$H$10008,$A$4:$A$2700)</f>
        <v>0</v>
      </c>
      <c r="BA18" s="512">
        <f t="shared" si="21"/>
        <v>0</v>
      </c>
      <c r="BB18" s="512">
        <f>SUMIFS(PURCHASE!$K$6:$K$10008,PURCHASE!$A$6:$A$10008,$BA$2,PURCHASE!$H$6:$H$10008,$A$4:$A$2700)</f>
        <v>0</v>
      </c>
      <c r="BC18" s="512">
        <f>SUMIFS(PURCHASE!$L$6:$L$10008,PURCHASE!$A$6:$A$10008,$BA$2,PURCHASE!$H$6:$H$10008,$A$4:$A$2700)</f>
        <v>0</v>
      </c>
      <c r="BD18" s="512">
        <f>SUMIFS(PURCHASE!$M$6:$M$10008,PURCHASE!$A$6:$A$10008,$BA$2,PURCHASE!$H$6:$H$10008,$A$4:$A$2700)</f>
        <v>0</v>
      </c>
      <c r="BE18" s="512">
        <f>SUMIFS(PURCHASE!$N$6:$N$10008,PURCHASE!$A$6:$A$10008,$BA$2,PURCHASE!$H$6:$H$10008,$A$4:$A$2700)</f>
        <v>0</v>
      </c>
      <c r="BF18" s="512">
        <f t="shared" si="22"/>
        <v>0</v>
      </c>
      <c r="BG18" s="512">
        <f>SUMIFS(PURCHASE!$K$6:$K$10008,PURCHASE!$A$6:$A$10008,$BF$2,PURCHASE!$H$6:$H$10008,$A$4:$A$2700)</f>
        <v>0</v>
      </c>
      <c r="BH18" s="512">
        <f>SUMIFS(PURCHASE!$L$6:$L$10008,PURCHASE!$A$6:$A$10008,$BF$2,PURCHASE!$H$6:$H$10008,$A$4:$A$2700)</f>
        <v>0</v>
      </c>
      <c r="BI18" s="512">
        <f>SUMIFS(PURCHASE!$M$6:$M$10008,PURCHASE!$A$6:$A$10008,$BF$2,PURCHASE!$H$6:$H$10008,$A$4:$A$2700)</f>
        <v>0</v>
      </c>
      <c r="BJ18" s="512">
        <f>SUMIFS(PURCHASE!$N$6:$N$10008,PURCHASE!$A$6:$A$10008,$BF$2,PURCHASE!$H$6:$H$10008,$A$4:$A$2700)</f>
        <v>0</v>
      </c>
      <c r="BK18" s="72">
        <f t="shared" si="6"/>
        <v>27340.600000000002</v>
      </c>
      <c r="BL18" s="72">
        <f t="shared" si="7"/>
        <v>23170</v>
      </c>
      <c r="BM18" s="72">
        <f t="shared" si="8"/>
        <v>0</v>
      </c>
      <c r="BN18" s="72">
        <f t="shared" si="9"/>
        <v>2085.3000000000002</v>
      </c>
      <c r="BO18" s="72">
        <f t="shared" si="10"/>
        <v>2085.3000000000002</v>
      </c>
    </row>
    <row r="19" spans="1:67" x14ac:dyDescent="0.2">
      <c r="A19" s="511">
        <v>3814</v>
      </c>
      <c r="B19" s="467" t="s">
        <v>1186</v>
      </c>
      <c r="C19" s="512">
        <f t="shared" si="11"/>
        <v>0</v>
      </c>
      <c r="D19" s="512">
        <f>SUMIFS(PURCHASE!$K$6:$K$10008,PURCHASE!$A$6:$A$10008,$M$2,PURCHASE!$H$6:$H$10008,$A$4:$A$2700)</f>
        <v>0</v>
      </c>
      <c r="E19" s="512">
        <f>SUMIFS(PURCHASE!$L$6:$L$10008,PURCHASE!$A$6:$A$10008,$M$2,PURCHASE!$H$6:$H$10008,$A$4:$A$2700)</f>
        <v>0</v>
      </c>
      <c r="F19" s="512">
        <f>SUMIFS(PURCHASE!$M$6:$M$10008,PURCHASE!$A$6:$A$10008,$M$2,PURCHASE!$H$6:$H$10008,$A$4:$A$2700)</f>
        <v>0</v>
      </c>
      <c r="G19" s="512">
        <f>SUMIFS(PURCHASE!$N$6:$N$10008,PURCHASE!$A$6:$A$10008,$M$2,PURCHASE!$H$6:$H$10008,$A$4:$A$2700)</f>
        <v>0</v>
      </c>
      <c r="H19" s="512">
        <f t="shared" si="12"/>
        <v>0</v>
      </c>
      <c r="I19" s="512">
        <f>SUMIFS(PURCHASE!$K$6:$K$10008,PURCHASE!$A$6:$A$10008,$H$2,PURCHASE!$H$6:$H$10008,$A$4:$A$2700)</f>
        <v>0</v>
      </c>
      <c r="J19" s="512">
        <f>SUMIFS(PURCHASE!$L$6:$L$10008,PURCHASE!$A$6:$A$10008,$H$2,PURCHASE!$H$6:$H$10008,$A$4:$A$2700)</f>
        <v>0</v>
      </c>
      <c r="K19" s="512">
        <f>SUMIFS(PURCHASE!$M$6:$M$10008,PURCHASE!$A$6:$A$10008,$H$2,PURCHASE!$H$6:$H$10008,$A$4:$A$2700)</f>
        <v>0</v>
      </c>
      <c r="L19" s="512">
        <f>SUMIFS(PURCHASE!$N$6:$N$10008,PURCHASE!$A$6:$A$10008,$H$2,PURCHASE!$H$6:$H$10008,$A$4:$A$2700)</f>
        <v>0</v>
      </c>
      <c r="M19" s="512">
        <f t="shared" si="13"/>
        <v>0</v>
      </c>
      <c r="N19" s="512">
        <f>SUMIFS(PURCHASE!$K$6:$K$10008,PURCHASE!$A$6:$A$10008,$M$2,PURCHASE!$H$6:$H$10008,$A$4:$A$2700)</f>
        <v>0</v>
      </c>
      <c r="O19" s="512">
        <f>SUMIFS(PURCHASE!$L$6:$L$10008,PURCHASE!$A$6:$A$10008,$M$2,PURCHASE!$H$6:$H$10008,$A$4:$A$2700)</f>
        <v>0</v>
      </c>
      <c r="P19" s="512">
        <f>SUMIFS(PURCHASE!$M$6:$M$10008,PURCHASE!$A$6:$A$10008,$M$2,PURCHASE!$H$6:$H$10008,$A$4:$A$2700)</f>
        <v>0</v>
      </c>
      <c r="Q19" s="512">
        <f>SUMIFS(PURCHASE!$N$6:$N$10008,PURCHASE!$A$6:$A$10008,$M$2,PURCHASE!$H$6:$H$10008,$A$4:$A$2700)</f>
        <v>0</v>
      </c>
      <c r="R19" s="512">
        <f t="shared" si="14"/>
        <v>0</v>
      </c>
      <c r="S19" s="512">
        <f>SUMIFS(PURCHASE!$K$6:$K$10008,PURCHASE!$A$6:$A$10008,$R$2,PURCHASE!$H$6:$H$10008,$A$4:$A$2700)</f>
        <v>0</v>
      </c>
      <c r="T19" s="512">
        <f>SUMIFS(PURCHASE!$L$6:$L$10008,PURCHASE!$A$6:$A$10008,$R$2,PURCHASE!$H$6:$H$10008,$A$4:$A$2700)</f>
        <v>0</v>
      </c>
      <c r="U19" s="512">
        <f>SUMIFS(PURCHASE!$M$6:$M$10008,PURCHASE!$A$6:$A$10008,$R$2,PURCHASE!$H$6:$H$10008,$A$4:$A$2700)</f>
        <v>0</v>
      </c>
      <c r="V19" s="512">
        <f>SUMIFS(PURCHASE!$N$6:$N$10008,PURCHASE!$A$6:$A$10008,$R$2,PURCHASE!$H$6:$H$10008,$A$4:$A$2700)</f>
        <v>0</v>
      </c>
      <c r="W19" s="512">
        <f t="shared" si="15"/>
        <v>0</v>
      </c>
      <c r="X19" s="512">
        <f>SUMIFS(PURCHASE!$K$6:$K$10008,PURCHASE!$A$6:$A$10008,$W$2,PURCHASE!$H$6:$H$10008,$A$4:$A$2700)</f>
        <v>0</v>
      </c>
      <c r="Y19" s="512">
        <f>SUMIFS(PURCHASE!$L$6:$L$10008,PURCHASE!$A$6:$A$10008,$W$2,PURCHASE!$H$6:$H$10008,$A$4:$A$2700)</f>
        <v>0</v>
      </c>
      <c r="Z19" s="512">
        <f>SUMIFS(PURCHASE!$M$6:$M$10008,PURCHASE!$A$6:$A$10008,$W$2,PURCHASE!$H$6:$H$10008,$A$4:$A$2700)</f>
        <v>0</v>
      </c>
      <c r="AA19" s="512">
        <f>SUMIFS(PURCHASE!$N$6:$N$10008,PURCHASE!$A$6:$A$10008,$W$2,PURCHASE!$H$6:$H$10008,$A$4:$A$2700)</f>
        <v>0</v>
      </c>
      <c r="AB19" s="512">
        <f t="shared" si="16"/>
        <v>0</v>
      </c>
      <c r="AC19" s="512">
        <f>SUMIFS(PURCHASE!$K$6:$K$10008,PURCHASE!$A$6:$A$10008,$AB$2,PURCHASE!$H$6:$H$10008,$A$4:$A$2700)</f>
        <v>0</v>
      </c>
      <c r="AD19" s="512">
        <f>SUMIFS(PURCHASE!$L$6:$L$10008,PURCHASE!$A$6:$A$10008,$AB$2,PURCHASE!$H$6:$H$10008,$A$4:$A$2700)</f>
        <v>0</v>
      </c>
      <c r="AE19" s="512">
        <f>SUMIFS(PURCHASE!$M$6:$M$10008,PURCHASE!$A$6:$A$10008,$AB$2,PURCHASE!$H$6:$H$10008,$A$4:$A$2700)</f>
        <v>0</v>
      </c>
      <c r="AF19" s="512">
        <f>SUMIFS(PURCHASE!$N$6:$N$10008,PURCHASE!$A$6:$A$10008,$AB$2,PURCHASE!$H$6:$H$10008,$A$4:$A$2700)</f>
        <v>0</v>
      </c>
      <c r="AG19" s="512">
        <f t="shared" si="17"/>
        <v>0</v>
      </c>
      <c r="AH19" s="512">
        <f>SUMIFS(PURCHASE!$K$6:$K$10008,PURCHASE!$A$6:$A$10008,$AG$2,PURCHASE!$H$6:$H$10008,$A$4:$A$2700)</f>
        <v>0</v>
      </c>
      <c r="AI19" s="512">
        <f>SUMIFS(PURCHASE!$L$6:$L$10008,PURCHASE!$A$6:$A$10008,$AG$2,PURCHASE!$H$6:$H$10008,$A$4:$A$2700)</f>
        <v>0</v>
      </c>
      <c r="AJ19" s="512">
        <f>SUMIFS(PURCHASE!$M$6:$M$10008,PURCHASE!$A$6:$A$10008,$AG$2,PURCHASE!$H$6:$H$10008,$A$4:$A$2700)</f>
        <v>0</v>
      </c>
      <c r="AK19" s="512">
        <f>SUMIFS(PURCHASE!$N$6:$N$10008,PURCHASE!$A$6:$A$10008,$AG$2,PURCHASE!$H$6:$H$10008,$A$4:$A$2700)</f>
        <v>0</v>
      </c>
      <c r="AL19" s="512">
        <f t="shared" si="18"/>
        <v>0</v>
      </c>
      <c r="AM19" s="512">
        <f>SUMIFS(PURCHASE!$K$6:$K$10008,PURCHASE!$A$6:$A$10008,$AL$2,PURCHASE!$H$6:$H$10008,$A$4:$A$2700)</f>
        <v>0</v>
      </c>
      <c r="AN19" s="512">
        <f>SUMIFS(PURCHASE!$L$6:$L$10008,PURCHASE!$A$6:$A$10008,$AL$2,PURCHASE!$H$6:$H$10008,$A$4:$A$2700)</f>
        <v>0</v>
      </c>
      <c r="AO19" s="512">
        <f>SUMIFS(PURCHASE!$M$6:$M$10008,PURCHASE!$A$6:$A$10008,$AL$2,PURCHASE!$H$6:$H$10008,$A$4:$A$2700)</f>
        <v>0</v>
      </c>
      <c r="AP19" s="512">
        <f>SUMIFS(PURCHASE!$N$6:$N$10008,PURCHASE!$A$6:$A$10008,$AL$2,PURCHASE!$H$6:$H$10008,$A$4:$A$2700)</f>
        <v>0</v>
      </c>
      <c r="AQ19" s="512">
        <f t="shared" si="19"/>
        <v>0</v>
      </c>
      <c r="AR19" s="512">
        <f>SUMIFS(PURCHASE!$K$6:$K$10008,PURCHASE!$A$6:$A$10008,$AQ$2,PURCHASE!$H$6:$H$10008,$A$4:$A$2700)</f>
        <v>0</v>
      </c>
      <c r="AS19" s="512">
        <f>SUMIFS(PURCHASE!$L$6:$L$10008,PURCHASE!$A$6:$A$10008,$AQ$2,PURCHASE!$H$6:$H$10008,$A$4:$A$2700)</f>
        <v>0</v>
      </c>
      <c r="AT19" s="512">
        <f>SUMIFS(PURCHASE!$M$6:$M$10008,PURCHASE!$A$6:$A$10008,$AQ$2,PURCHASE!$H$6:$H$10008,$A$4:$A$2700)</f>
        <v>0</v>
      </c>
      <c r="AU19" s="512">
        <f>SUMIFS(PURCHASE!$N$6:$N$10008,PURCHASE!$A$6:$A$10008,$AQ$2,PURCHASE!$H$6:$H$10008,$A$4:$A$2700)</f>
        <v>0</v>
      </c>
      <c r="AV19" s="512">
        <f t="shared" si="20"/>
        <v>0</v>
      </c>
      <c r="AW19" s="512">
        <f>SUMIFS(PURCHASE!$K$6:$K$10008,PURCHASE!$A$6:$A$10008,$AV$2,PURCHASE!$H$6:$H$10008,$A$4:$A$2700)</f>
        <v>0</v>
      </c>
      <c r="AX19" s="512">
        <f>SUMIFS(PURCHASE!$L$6:$L$10008,PURCHASE!$A$6:$A$10008,$AV$2,PURCHASE!$H$6:$H$10008,$A$4:$A$2700)</f>
        <v>0</v>
      </c>
      <c r="AY19" s="512">
        <f>SUMIFS(PURCHASE!$M$6:$M$10008,PURCHASE!$A$6:$A$10008,$AV$2,PURCHASE!$H$6:$H$10008,$A$4:$A$2700)</f>
        <v>0</v>
      </c>
      <c r="AZ19" s="512">
        <f>SUMIFS(PURCHASE!$N$6:$N$10008,PURCHASE!$A$6:$A$10008,$AV$2,PURCHASE!$H$6:$H$10008,$A$4:$A$2700)</f>
        <v>0</v>
      </c>
      <c r="BA19" s="512">
        <f t="shared" si="21"/>
        <v>0</v>
      </c>
      <c r="BB19" s="512">
        <f>SUMIFS(PURCHASE!$K$6:$K$10008,PURCHASE!$A$6:$A$10008,$BA$2,PURCHASE!$H$6:$H$10008,$A$4:$A$2700)</f>
        <v>0</v>
      </c>
      <c r="BC19" s="512">
        <f>SUMIFS(PURCHASE!$L$6:$L$10008,PURCHASE!$A$6:$A$10008,$BA$2,PURCHASE!$H$6:$H$10008,$A$4:$A$2700)</f>
        <v>0</v>
      </c>
      <c r="BD19" s="512">
        <f>SUMIFS(PURCHASE!$M$6:$M$10008,PURCHASE!$A$6:$A$10008,$BA$2,PURCHASE!$H$6:$H$10008,$A$4:$A$2700)</f>
        <v>0</v>
      </c>
      <c r="BE19" s="512">
        <f>SUMIFS(PURCHASE!$N$6:$N$10008,PURCHASE!$A$6:$A$10008,$BA$2,PURCHASE!$H$6:$H$10008,$A$4:$A$2700)</f>
        <v>0</v>
      </c>
      <c r="BF19" s="512">
        <f t="shared" si="22"/>
        <v>0</v>
      </c>
      <c r="BG19" s="512">
        <f>SUMIFS(PURCHASE!$K$6:$K$10008,PURCHASE!$A$6:$A$10008,$BF$2,PURCHASE!$H$6:$H$10008,$A$4:$A$2700)</f>
        <v>0</v>
      </c>
      <c r="BH19" s="512">
        <f>SUMIFS(PURCHASE!$L$6:$L$10008,PURCHASE!$A$6:$A$10008,$BF$2,PURCHASE!$H$6:$H$10008,$A$4:$A$2700)</f>
        <v>0</v>
      </c>
      <c r="BI19" s="512">
        <f>SUMIFS(PURCHASE!$M$6:$M$10008,PURCHASE!$A$6:$A$10008,$BF$2,PURCHASE!$H$6:$H$10008,$A$4:$A$2700)</f>
        <v>0</v>
      </c>
      <c r="BJ19" s="512">
        <f>SUMIFS(PURCHASE!$N$6:$N$10008,PURCHASE!$A$6:$A$10008,$BF$2,PURCHASE!$H$6:$H$10008,$A$4:$A$2700)</f>
        <v>0</v>
      </c>
      <c r="BK19" s="72">
        <f t="shared" si="6"/>
        <v>0</v>
      </c>
      <c r="BL19" s="72">
        <f t="shared" si="7"/>
        <v>0</v>
      </c>
      <c r="BM19" s="72">
        <f t="shared" si="8"/>
        <v>0</v>
      </c>
      <c r="BN19" s="72">
        <f t="shared" si="9"/>
        <v>0</v>
      </c>
      <c r="BO19" s="72">
        <f t="shared" si="10"/>
        <v>0</v>
      </c>
    </row>
    <row r="20" spans="1:67" x14ac:dyDescent="0.2">
      <c r="A20" s="509">
        <v>3820</v>
      </c>
      <c r="B20" s="467" t="s">
        <v>1194</v>
      </c>
      <c r="C20" s="512">
        <f t="shared" si="11"/>
        <v>0</v>
      </c>
      <c r="D20" s="512">
        <f>SUMIFS(PURCHASE!$K$6:$K$10008,PURCHASE!$A$6:$A$10008,$M$2,PURCHASE!$H$6:$H$10008,$A$4:$A$2700)</f>
        <v>0</v>
      </c>
      <c r="E20" s="512">
        <f>SUMIFS(PURCHASE!$L$6:$L$10008,PURCHASE!$A$6:$A$10008,$M$2,PURCHASE!$H$6:$H$10008,$A$4:$A$2700)</f>
        <v>0</v>
      </c>
      <c r="F20" s="512">
        <f>SUMIFS(PURCHASE!$M$6:$M$10008,PURCHASE!$A$6:$A$10008,$M$2,PURCHASE!$H$6:$H$10008,$A$4:$A$2700)</f>
        <v>0</v>
      </c>
      <c r="G20" s="512">
        <f>SUMIFS(PURCHASE!$N$6:$N$10008,PURCHASE!$A$6:$A$10008,$M$2,PURCHASE!$H$6:$H$10008,$A$4:$A$2700)</f>
        <v>0</v>
      </c>
      <c r="H20" s="512">
        <f t="shared" si="12"/>
        <v>0</v>
      </c>
      <c r="I20" s="512">
        <f>SUMIFS(PURCHASE!$K$6:$K$10008,PURCHASE!$A$6:$A$10008,$H$2,PURCHASE!$H$6:$H$10008,$A$4:$A$2700)</f>
        <v>0</v>
      </c>
      <c r="J20" s="512">
        <f>SUMIFS(PURCHASE!$L$6:$L$10008,PURCHASE!$A$6:$A$10008,$H$2,PURCHASE!$H$6:$H$10008,$A$4:$A$2700)</f>
        <v>0</v>
      </c>
      <c r="K20" s="512">
        <f>SUMIFS(PURCHASE!$M$6:$M$10008,PURCHASE!$A$6:$A$10008,$H$2,PURCHASE!$H$6:$H$10008,$A$4:$A$2700)</f>
        <v>0</v>
      </c>
      <c r="L20" s="512">
        <f>SUMIFS(PURCHASE!$N$6:$N$10008,PURCHASE!$A$6:$A$10008,$H$2,PURCHASE!$H$6:$H$10008,$A$4:$A$2700)</f>
        <v>0</v>
      </c>
      <c r="M20" s="512">
        <f t="shared" si="13"/>
        <v>0</v>
      </c>
      <c r="N20" s="512">
        <f>SUMIFS(PURCHASE!$K$6:$K$10008,PURCHASE!$A$6:$A$10008,$M$2,PURCHASE!$H$6:$H$10008,$A$4:$A$2700)</f>
        <v>0</v>
      </c>
      <c r="O20" s="512">
        <f>SUMIFS(PURCHASE!$L$6:$L$10008,PURCHASE!$A$6:$A$10008,$M$2,PURCHASE!$H$6:$H$10008,$A$4:$A$2700)</f>
        <v>0</v>
      </c>
      <c r="P20" s="512">
        <f>SUMIFS(PURCHASE!$M$6:$M$10008,PURCHASE!$A$6:$A$10008,$M$2,PURCHASE!$H$6:$H$10008,$A$4:$A$2700)</f>
        <v>0</v>
      </c>
      <c r="Q20" s="512">
        <f>SUMIFS(PURCHASE!$N$6:$N$10008,PURCHASE!$A$6:$A$10008,$M$2,PURCHASE!$H$6:$H$10008,$A$4:$A$2700)</f>
        <v>0</v>
      </c>
      <c r="R20" s="512">
        <f t="shared" si="14"/>
        <v>0</v>
      </c>
      <c r="S20" s="512">
        <f>SUMIFS(PURCHASE!$K$6:$K$10008,PURCHASE!$A$6:$A$10008,$R$2,PURCHASE!$H$6:$H$10008,$A$4:$A$2700)</f>
        <v>0</v>
      </c>
      <c r="T20" s="512">
        <f>SUMIFS(PURCHASE!$L$6:$L$10008,PURCHASE!$A$6:$A$10008,$R$2,PURCHASE!$H$6:$H$10008,$A$4:$A$2700)</f>
        <v>0</v>
      </c>
      <c r="U20" s="512">
        <f>SUMIFS(PURCHASE!$M$6:$M$10008,PURCHASE!$A$6:$A$10008,$R$2,PURCHASE!$H$6:$H$10008,$A$4:$A$2700)</f>
        <v>0</v>
      </c>
      <c r="V20" s="512">
        <f>SUMIFS(PURCHASE!$N$6:$N$10008,PURCHASE!$A$6:$A$10008,$R$2,PURCHASE!$H$6:$H$10008,$A$4:$A$2700)</f>
        <v>0</v>
      </c>
      <c r="W20" s="512">
        <f t="shared" si="15"/>
        <v>0</v>
      </c>
      <c r="X20" s="512">
        <f>SUMIFS(PURCHASE!$K$6:$K$10008,PURCHASE!$A$6:$A$10008,$W$2,PURCHASE!$H$6:$H$10008,$A$4:$A$2700)</f>
        <v>0</v>
      </c>
      <c r="Y20" s="512">
        <f>SUMIFS(PURCHASE!$L$6:$L$10008,PURCHASE!$A$6:$A$10008,$W$2,PURCHASE!$H$6:$H$10008,$A$4:$A$2700)</f>
        <v>0</v>
      </c>
      <c r="Z20" s="512">
        <f>SUMIFS(PURCHASE!$M$6:$M$10008,PURCHASE!$A$6:$A$10008,$W$2,PURCHASE!$H$6:$H$10008,$A$4:$A$2700)</f>
        <v>0</v>
      </c>
      <c r="AA20" s="512">
        <f>SUMIFS(PURCHASE!$N$6:$N$10008,PURCHASE!$A$6:$A$10008,$W$2,PURCHASE!$H$6:$H$10008,$A$4:$A$2700)</f>
        <v>0</v>
      </c>
      <c r="AB20" s="512">
        <f t="shared" si="16"/>
        <v>0</v>
      </c>
      <c r="AC20" s="512">
        <f>SUMIFS(PURCHASE!$K$6:$K$10008,PURCHASE!$A$6:$A$10008,$AB$2,PURCHASE!$H$6:$H$10008,$A$4:$A$2700)</f>
        <v>0</v>
      </c>
      <c r="AD20" s="512">
        <f>SUMIFS(PURCHASE!$L$6:$L$10008,PURCHASE!$A$6:$A$10008,$AB$2,PURCHASE!$H$6:$H$10008,$A$4:$A$2700)</f>
        <v>0</v>
      </c>
      <c r="AE20" s="512">
        <f>SUMIFS(PURCHASE!$M$6:$M$10008,PURCHASE!$A$6:$A$10008,$AB$2,PURCHASE!$H$6:$H$10008,$A$4:$A$2700)</f>
        <v>0</v>
      </c>
      <c r="AF20" s="512">
        <f>SUMIFS(PURCHASE!$N$6:$N$10008,PURCHASE!$A$6:$A$10008,$AB$2,PURCHASE!$H$6:$H$10008,$A$4:$A$2700)</f>
        <v>0</v>
      </c>
      <c r="AG20" s="512">
        <f t="shared" si="17"/>
        <v>0</v>
      </c>
      <c r="AH20" s="512">
        <f>SUMIFS(PURCHASE!$K$6:$K$10008,PURCHASE!$A$6:$A$10008,$AG$2,PURCHASE!$H$6:$H$10008,$A$4:$A$2700)</f>
        <v>0</v>
      </c>
      <c r="AI20" s="512">
        <f>SUMIFS(PURCHASE!$L$6:$L$10008,PURCHASE!$A$6:$A$10008,$AG$2,PURCHASE!$H$6:$H$10008,$A$4:$A$2700)</f>
        <v>0</v>
      </c>
      <c r="AJ20" s="512">
        <f>SUMIFS(PURCHASE!$M$6:$M$10008,PURCHASE!$A$6:$A$10008,$AG$2,PURCHASE!$H$6:$H$10008,$A$4:$A$2700)</f>
        <v>0</v>
      </c>
      <c r="AK20" s="512">
        <f>SUMIFS(PURCHASE!$N$6:$N$10008,PURCHASE!$A$6:$A$10008,$AG$2,PURCHASE!$H$6:$H$10008,$A$4:$A$2700)</f>
        <v>0</v>
      </c>
      <c r="AL20" s="512">
        <f t="shared" si="18"/>
        <v>0</v>
      </c>
      <c r="AM20" s="512">
        <f>SUMIFS(PURCHASE!$K$6:$K$10008,PURCHASE!$A$6:$A$10008,$AL$2,PURCHASE!$H$6:$H$10008,$A$4:$A$2700)</f>
        <v>0</v>
      </c>
      <c r="AN20" s="512">
        <f>SUMIFS(PURCHASE!$L$6:$L$10008,PURCHASE!$A$6:$A$10008,$AL$2,PURCHASE!$H$6:$H$10008,$A$4:$A$2700)</f>
        <v>0</v>
      </c>
      <c r="AO20" s="512">
        <f>SUMIFS(PURCHASE!$M$6:$M$10008,PURCHASE!$A$6:$A$10008,$AL$2,PURCHASE!$H$6:$H$10008,$A$4:$A$2700)</f>
        <v>0</v>
      </c>
      <c r="AP20" s="512">
        <f>SUMIFS(PURCHASE!$N$6:$N$10008,PURCHASE!$A$6:$A$10008,$AL$2,PURCHASE!$H$6:$H$10008,$A$4:$A$2700)</f>
        <v>0</v>
      </c>
      <c r="AQ20" s="512">
        <f t="shared" si="19"/>
        <v>0</v>
      </c>
      <c r="AR20" s="512">
        <f>SUMIFS(PURCHASE!$K$6:$K$10008,PURCHASE!$A$6:$A$10008,$AQ$2,PURCHASE!$H$6:$H$10008,$A$4:$A$2700)</f>
        <v>0</v>
      </c>
      <c r="AS20" s="512">
        <f>SUMIFS(PURCHASE!$L$6:$L$10008,PURCHASE!$A$6:$A$10008,$AQ$2,PURCHASE!$H$6:$H$10008,$A$4:$A$2700)</f>
        <v>0</v>
      </c>
      <c r="AT20" s="512">
        <f>SUMIFS(PURCHASE!$M$6:$M$10008,PURCHASE!$A$6:$A$10008,$AQ$2,PURCHASE!$H$6:$H$10008,$A$4:$A$2700)</f>
        <v>0</v>
      </c>
      <c r="AU20" s="512">
        <f>SUMIFS(PURCHASE!$N$6:$N$10008,PURCHASE!$A$6:$A$10008,$AQ$2,PURCHASE!$H$6:$H$10008,$A$4:$A$2700)</f>
        <v>0</v>
      </c>
      <c r="AV20" s="512">
        <f t="shared" si="20"/>
        <v>0</v>
      </c>
      <c r="AW20" s="512">
        <f>SUMIFS(PURCHASE!$K$6:$K$10008,PURCHASE!$A$6:$A$10008,$AV$2,PURCHASE!$H$6:$H$10008,$A$4:$A$2700)</f>
        <v>0</v>
      </c>
      <c r="AX20" s="512">
        <f>SUMIFS(PURCHASE!$L$6:$L$10008,PURCHASE!$A$6:$A$10008,$AV$2,PURCHASE!$H$6:$H$10008,$A$4:$A$2700)</f>
        <v>0</v>
      </c>
      <c r="AY20" s="512">
        <f>SUMIFS(PURCHASE!$M$6:$M$10008,PURCHASE!$A$6:$A$10008,$AV$2,PURCHASE!$H$6:$H$10008,$A$4:$A$2700)</f>
        <v>0</v>
      </c>
      <c r="AZ20" s="512">
        <f>SUMIFS(PURCHASE!$N$6:$N$10008,PURCHASE!$A$6:$A$10008,$AV$2,PURCHASE!$H$6:$H$10008,$A$4:$A$2700)</f>
        <v>0</v>
      </c>
      <c r="BA20" s="512">
        <f t="shared" si="21"/>
        <v>0</v>
      </c>
      <c r="BB20" s="512">
        <f>SUMIFS(PURCHASE!$K$6:$K$10008,PURCHASE!$A$6:$A$10008,$BA$2,PURCHASE!$H$6:$H$10008,$A$4:$A$2700)</f>
        <v>0</v>
      </c>
      <c r="BC20" s="512">
        <f>SUMIFS(PURCHASE!$L$6:$L$10008,PURCHASE!$A$6:$A$10008,$BA$2,PURCHASE!$H$6:$H$10008,$A$4:$A$2700)</f>
        <v>0</v>
      </c>
      <c r="BD20" s="512">
        <f>SUMIFS(PURCHASE!$M$6:$M$10008,PURCHASE!$A$6:$A$10008,$BA$2,PURCHASE!$H$6:$H$10008,$A$4:$A$2700)</f>
        <v>0</v>
      </c>
      <c r="BE20" s="512">
        <f>SUMIFS(PURCHASE!$N$6:$N$10008,PURCHASE!$A$6:$A$10008,$BA$2,PURCHASE!$H$6:$H$10008,$A$4:$A$2700)</f>
        <v>0</v>
      </c>
      <c r="BF20" s="512">
        <f t="shared" si="22"/>
        <v>0</v>
      </c>
      <c r="BG20" s="512">
        <f>SUMIFS(PURCHASE!$K$6:$K$10008,PURCHASE!$A$6:$A$10008,$BF$2,PURCHASE!$H$6:$H$10008,$A$4:$A$2700)</f>
        <v>0</v>
      </c>
      <c r="BH20" s="512">
        <f>SUMIFS(PURCHASE!$L$6:$L$10008,PURCHASE!$A$6:$A$10008,$BF$2,PURCHASE!$H$6:$H$10008,$A$4:$A$2700)</f>
        <v>0</v>
      </c>
      <c r="BI20" s="512">
        <f>SUMIFS(PURCHASE!$M$6:$M$10008,PURCHASE!$A$6:$A$10008,$BF$2,PURCHASE!$H$6:$H$10008,$A$4:$A$2700)</f>
        <v>0</v>
      </c>
      <c r="BJ20" s="512">
        <f>SUMIFS(PURCHASE!$N$6:$N$10008,PURCHASE!$A$6:$A$10008,$BF$2,PURCHASE!$H$6:$H$10008,$A$4:$A$2700)</f>
        <v>0</v>
      </c>
      <c r="BK20" s="72">
        <f t="shared" si="6"/>
        <v>0</v>
      </c>
      <c r="BL20" s="72">
        <f t="shared" si="7"/>
        <v>0</v>
      </c>
      <c r="BM20" s="72">
        <f t="shared" si="8"/>
        <v>0</v>
      </c>
      <c r="BN20" s="72">
        <f t="shared" si="9"/>
        <v>0</v>
      </c>
      <c r="BO20" s="72">
        <f t="shared" si="10"/>
        <v>0</v>
      </c>
    </row>
    <row r="21" spans="1:67" x14ac:dyDescent="0.2">
      <c r="A21" s="511">
        <v>3824</v>
      </c>
      <c r="B21" s="513" t="s">
        <v>1195</v>
      </c>
      <c r="C21" s="512">
        <f t="shared" si="11"/>
        <v>5947.2000000000007</v>
      </c>
      <c r="D21" s="512">
        <f>SUMIFS(PURCHASE!$K$6:$K$10008,PURCHASE!$A$6:$A$10008,$M$2,PURCHASE!$H$6:$H$10008,$A$4:$A$2700)</f>
        <v>5040</v>
      </c>
      <c r="E21" s="512">
        <f>SUMIFS(PURCHASE!$L$6:$L$10008,PURCHASE!$A$6:$A$10008,$M$2,PURCHASE!$H$6:$H$10008,$A$4:$A$2700)</f>
        <v>0</v>
      </c>
      <c r="F21" s="512">
        <f>SUMIFS(PURCHASE!$M$6:$M$10008,PURCHASE!$A$6:$A$10008,$M$2,PURCHASE!$H$6:$H$10008,$A$4:$A$2700)</f>
        <v>453.59999999999997</v>
      </c>
      <c r="G21" s="512">
        <f>SUMIFS(PURCHASE!$N$6:$N$10008,PURCHASE!$A$6:$A$10008,$M$2,PURCHASE!$H$6:$H$10008,$A$4:$A$2700)</f>
        <v>453.59999999999997</v>
      </c>
      <c r="H21" s="512">
        <f t="shared" si="12"/>
        <v>10195.200000000001</v>
      </c>
      <c r="I21" s="512">
        <f>SUMIFS(PURCHASE!$K$6:$K$10008,PURCHASE!$A$6:$A$10008,$H$2,PURCHASE!$H$6:$H$10008,$A$4:$A$2700)</f>
        <v>8640</v>
      </c>
      <c r="J21" s="512">
        <f>SUMIFS(PURCHASE!$L$6:$L$10008,PURCHASE!$A$6:$A$10008,$H$2,PURCHASE!$H$6:$H$10008,$A$4:$A$2700)</f>
        <v>0</v>
      </c>
      <c r="K21" s="512">
        <f>SUMIFS(PURCHASE!$M$6:$M$10008,PURCHASE!$A$6:$A$10008,$H$2,PURCHASE!$H$6:$H$10008,$A$4:$A$2700)</f>
        <v>777.6</v>
      </c>
      <c r="L21" s="512">
        <f>SUMIFS(PURCHASE!$N$6:$N$10008,PURCHASE!$A$6:$A$10008,$H$2,PURCHASE!$H$6:$H$10008,$A$4:$A$2700)</f>
        <v>777.6</v>
      </c>
      <c r="M21" s="512">
        <f t="shared" si="13"/>
        <v>5947.2000000000007</v>
      </c>
      <c r="N21" s="512">
        <f>SUMIFS(PURCHASE!$K$6:$K$10008,PURCHASE!$A$6:$A$10008,$M$2,PURCHASE!$H$6:$H$10008,$A$4:$A$2700)</f>
        <v>5040</v>
      </c>
      <c r="O21" s="512">
        <f>SUMIFS(PURCHASE!$L$6:$L$10008,PURCHASE!$A$6:$A$10008,$M$2,PURCHASE!$H$6:$H$10008,$A$4:$A$2700)</f>
        <v>0</v>
      </c>
      <c r="P21" s="512">
        <f>SUMIFS(PURCHASE!$M$6:$M$10008,PURCHASE!$A$6:$A$10008,$M$2,PURCHASE!$H$6:$H$10008,$A$4:$A$2700)</f>
        <v>453.59999999999997</v>
      </c>
      <c r="Q21" s="512">
        <f>SUMIFS(PURCHASE!$N$6:$N$10008,PURCHASE!$A$6:$A$10008,$M$2,PURCHASE!$H$6:$H$10008,$A$4:$A$2700)</f>
        <v>453.59999999999997</v>
      </c>
      <c r="R21" s="512">
        <f t="shared" si="14"/>
        <v>0</v>
      </c>
      <c r="S21" s="512">
        <f>SUMIFS(PURCHASE!$K$6:$K$10008,PURCHASE!$A$6:$A$10008,$R$2,PURCHASE!$H$6:$H$10008,$A$4:$A$2700)</f>
        <v>0</v>
      </c>
      <c r="T21" s="512">
        <f>SUMIFS(PURCHASE!$L$6:$L$10008,PURCHASE!$A$6:$A$10008,$R$2,PURCHASE!$H$6:$H$10008,$A$4:$A$2700)</f>
        <v>0</v>
      </c>
      <c r="U21" s="512">
        <f>SUMIFS(PURCHASE!$M$6:$M$10008,PURCHASE!$A$6:$A$10008,$R$2,PURCHASE!$H$6:$H$10008,$A$4:$A$2700)</f>
        <v>0</v>
      </c>
      <c r="V21" s="512">
        <f>SUMIFS(PURCHASE!$N$6:$N$10008,PURCHASE!$A$6:$A$10008,$R$2,PURCHASE!$H$6:$H$10008,$A$4:$A$2700)</f>
        <v>0</v>
      </c>
      <c r="W21" s="512">
        <f t="shared" si="15"/>
        <v>0</v>
      </c>
      <c r="X21" s="512">
        <f>SUMIFS(PURCHASE!$K$6:$K$10008,PURCHASE!$A$6:$A$10008,$W$2,PURCHASE!$H$6:$H$10008,$A$4:$A$2700)</f>
        <v>0</v>
      </c>
      <c r="Y21" s="512">
        <f>SUMIFS(PURCHASE!$L$6:$L$10008,PURCHASE!$A$6:$A$10008,$W$2,PURCHASE!$H$6:$H$10008,$A$4:$A$2700)</f>
        <v>0</v>
      </c>
      <c r="Z21" s="512">
        <f>SUMIFS(PURCHASE!$M$6:$M$10008,PURCHASE!$A$6:$A$10008,$W$2,PURCHASE!$H$6:$H$10008,$A$4:$A$2700)</f>
        <v>0</v>
      </c>
      <c r="AA21" s="512">
        <f>SUMIFS(PURCHASE!$N$6:$N$10008,PURCHASE!$A$6:$A$10008,$W$2,PURCHASE!$H$6:$H$10008,$A$4:$A$2700)</f>
        <v>0</v>
      </c>
      <c r="AB21" s="512">
        <f t="shared" si="16"/>
        <v>0</v>
      </c>
      <c r="AC21" s="512">
        <f>SUMIFS(PURCHASE!$K$6:$K$10008,PURCHASE!$A$6:$A$10008,$AB$2,PURCHASE!$H$6:$H$10008,$A$4:$A$2700)</f>
        <v>0</v>
      </c>
      <c r="AD21" s="512">
        <f>SUMIFS(PURCHASE!$L$6:$L$10008,PURCHASE!$A$6:$A$10008,$AB$2,PURCHASE!$H$6:$H$10008,$A$4:$A$2700)</f>
        <v>0</v>
      </c>
      <c r="AE21" s="512">
        <f>SUMIFS(PURCHASE!$M$6:$M$10008,PURCHASE!$A$6:$A$10008,$AB$2,PURCHASE!$H$6:$H$10008,$A$4:$A$2700)</f>
        <v>0</v>
      </c>
      <c r="AF21" s="512">
        <f>SUMIFS(PURCHASE!$N$6:$N$10008,PURCHASE!$A$6:$A$10008,$AB$2,PURCHASE!$H$6:$H$10008,$A$4:$A$2700)</f>
        <v>0</v>
      </c>
      <c r="AG21" s="512">
        <f t="shared" si="17"/>
        <v>0</v>
      </c>
      <c r="AH21" s="512">
        <f>SUMIFS(PURCHASE!$K$6:$K$10008,PURCHASE!$A$6:$A$10008,$AG$2,PURCHASE!$H$6:$H$10008,$A$4:$A$2700)</f>
        <v>0</v>
      </c>
      <c r="AI21" s="512">
        <f>SUMIFS(PURCHASE!$L$6:$L$10008,PURCHASE!$A$6:$A$10008,$AG$2,PURCHASE!$H$6:$H$10008,$A$4:$A$2700)</f>
        <v>0</v>
      </c>
      <c r="AJ21" s="512">
        <f>SUMIFS(PURCHASE!$M$6:$M$10008,PURCHASE!$A$6:$A$10008,$AG$2,PURCHASE!$H$6:$H$10008,$A$4:$A$2700)</f>
        <v>0</v>
      </c>
      <c r="AK21" s="512">
        <f>SUMIFS(PURCHASE!$N$6:$N$10008,PURCHASE!$A$6:$A$10008,$AG$2,PURCHASE!$H$6:$H$10008,$A$4:$A$2700)</f>
        <v>0</v>
      </c>
      <c r="AL21" s="512">
        <f t="shared" si="18"/>
        <v>0</v>
      </c>
      <c r="AM21" s="512">
        <f>SUMIFS(PURCHASE!$K$6:$K$10008,PURCHASE!$A$6:$A$10008,$AL$2,PURCHASE!$H$6:$H$10008,$A$4:$A$2700)</f>
        <v>0</v>
      </c>
      <c r="AN21" s="512">
        <f>SUMIFS(PURCHASE!$L$6:$L$10008,PURCHASE!$A$6:$A$10008,$AL$2,PURCHASE!$H$6:$H$10008,$A$4:$A$2700)</f>
        <v>0</v>
      </c>
      <c r="AO21" s="512">
        <f>SUMIFS(PURCHASE!$M$6:$M$10008,PURCHASE!$A$6:$A$10008,$AL$2,PURCHASE!$H$6:$H$10008,$A$4:$A$2700)</f>
        <v>0</v>
      </c>
      <c r="AP21" s="512">
        <f>SUMIFS(PURCHASE!$N$6:$N$10008,PURCHASE!$A$6:$A$10008,$AL$2,PURCHASE!$H$6:$H$10008,$A$4:$A$2700)</f>
        <v>0</v>
      </c>
      <c r="AQ21" s="512">
        <f t="shared" si="19"/>
        <v>0</v>
      </c>
      <c r="AR21" s="512">
        <f>SUMIFS(PURCHASE!$K$6:$K$10008,PURCHASE!$A$6:$A$10008,$AQ$2,PURCHASE!$H$6:$H$10008,$A$4:$A$2700)</f>
        <v>0</v>
      </c>
      <c r="AS21" s="512">
        <f>SUMIFS(PURCHASE!$L$6:$L$10008,PURCHASE!$A$6:$A$10008,$AQ$2,PURCHASE!$H$6:$H$10008,$A$4:$A$2700)</f>
        <v>0</v>
      </c>
      <c r="AT21" s="512">
        <f>SUMIFS(PURCHASE!$M$6:$M$10008,PURCHASE!$A$6:$A$10008,$AQ$2,PURCHASE!$H$6:$H$10008,$A$4:$A$2700)</f>
        <v>0</v>
      </c>
      <c r="AU21" s="512">
        <f>SUMIFS(PURCHASE!$N$6:$N$10008,PURCHASE!$A$6:$A$10008,$AQ$2,PURCHASE!$H$6:$H$10008,$A$4:$A$2700)</f>
        <v>0</v>
      </c>
      <c r="AV21" s="512">
        <f t="shared" si="20"/>
        <v>0</v>
      </c>
      <c r="AW21" s="512">
        <f>SUMIFS(PURCHASE!$K$6:$K$10008,PURCHASE!$A$6:$A$10008,$AV$2,PURCHASE!$H$6:$H$10008,$A$4:$A$2700)</f>
        <v>0</v>
      </c>
      <c r="AX21" s="512">
        <f>SUMIFS(PURCHASE!$L$6:$L$10008,PURCHASE!$A$6:$A$10008,$AV$2,PURCHASE!$H$6:$H$10008,$A$4:$A$2700)</f>
        <v>0</v>
      </c>
      <c r="AY21" s="512">
        <f>SUMIFS(PURCHASE!$M$6:$M$10008,PURCHASE!$A$6:$A$10008,$AV$2,PURCHASE!$H$6:$H$10008,$A$4:$A$2700)</f>
        <v>0</v>
      </c>
      <c r="AZ21" s="512">
        <f>SUMIFS(PURCHASE!$N$6:$N$10008,PURCHASE!$A$6:$A$10008,$AV$2,PURCHASE!$H$6:$H$10008,$A$4:$A$2700)</f>
        <v>0</v>
      </c>
      <c r="BA21" s="512">
        <f t="shared" si="21"/>
        <v>0</v>
      </c>
      <c r="BB21" s="512">
        <f>SUMIFS(PURCHASE!$K$6:$K$10008,PURCHASE!$A$6:$A$10008,$BA$2,PURCHASE!$H$6:$H$10008,$A$4:$A$2700)</f>
        <v>0</v>
      </c>
      <c r="BC21" s="512">
        <f>SUMIFS(PURCHASE!$L$6:$L$10008,PURCHASE!$A$6:$A$10008,$BA$2,PURCHASE!$H$6:$H$10008,$A$4:$A$2700)</f>
        <v>0</v>
      </c>
      <c r="BD21" s="512">
        <f>SUMIFS(PURCHASE!$M$6:$M$10008,PURCHASE!$A$6:$A$10008,$BA$2,PURCHASE!$H$6:$H$10008,$A$4:$A$2700)</f>
        <v>0</v>
      </c>
      <c r="BE21" s="512">
        <f>SUMIFS(PURCHASE!$N$6:$N$10008,PURCHASE!$A$6:$A$10008,$BA$2,PURCHASE!$H$6:$H$10008,$A$4:$A$2700)</f>
        <v>0</v>
      </c>
      <c r="BF21" s="512">
        <f t="shared" si="22"/>
        <v>0</v>
      </c>
      <c r="BG21" s="512">
        <f>SUMIFS(PURCHASE!$K$6:$K$10008,PURCHASE!$A$6:$A$10008,$BF$2,PURCHASE!$H$6:$H$10008,$A$4:$A$2700)</f>
        <v>0</v>
      </c>
      <c r="BH21" s="512">
        <f>SUMIFS(PURCHASE!$L$6:$L$10008,PURCHASE!$A$6:$A$10008,$BF$2,PURCHASE!$H$6:$H$10008,$A$4:$A$2700)</f>
        <v>0</v>
      </c>
      <c r="BI21" s="512">
        <f>SUMIFS(PURCHASE!$M$6:$M$10008,PURCHASE!$A$6:$A$10008,$BF$2,PURCHASE!$H$6:$H$10008,$A$4:$A$2700)</f>
        <v>0</v>
      </c>
      <c r="BJ21" s="512">
        <f>SUMIFS(PURCHASE!$N$6:$N$10008,PURCHASE!$A$6:$A$10008,$BF$2,PURCHASE!$H$6:$H$10008,$A$4:$A$2700)</f>
        <v>0</v>
      </c>
      <c r="BK21" s="72">
        <f t="shared" si="6"/>
        <v>22089.600000000002</v>
      </c>
      <c r="BL21" s="72">
        <f t="shared" si="7"/>
        <v>18720</v>
      </c>
      <c r="BM21" s="72">
        <f t="shared" si="8"/>
        <v>0</v>
      </c>
      <c r="BN21" s="72">
        <f t="shared" si="9"/>
        <v>1684.8</v>
      </c>
      <c r="BO21" s="72">
        <f t="shared" si="10"/>
        <v>1684.8</v>
      </c>
    </row>
    <row r="22" spans="1:67" x14ac:dyDescent="0.2">
      <c r="A22" s="511">
        <v>3917</v>
      </c>
      <c r="B22" s="467" t="s">
        <v>1196</v>
      </c>
      <c r="C22" s="512">
        <f t="shared" si="11"/>
        <v>1062</v>
      </c>
      <c r="D22" s="512">
        <f>SUMIFS(PURCHASE!$K$6:$K$10008,PURCHASE!$A$6:$A$10008,$M$2,PURCHASE!$H$6:$H$10008,$A$4:$A$2700)</f>
        <v>900</v>
      </c>
      <c r="E22" s="512">
        <f>SUMIFS(PURCHASE!$L$6:$L$10008,PURCHASE!$A$6:$A$10008,$M$2,PURCHASE!$H$6:$H$10008,$A$4:$A$2700)</f>
        <v>0</v>
      </c>
      <c r="F22" s="512">
        <f>SUMIFS(PURCHASE!$M$6:$M$10008,PURCHASE!$A$6:$A$10008,$M$2,PURCHASE!$H$6:$H$10008,$A$4:$A$2700)</f>
        <v>81</v>
      </c>
      <c r="G22" s="512">
        <f>SUMIFS(PURCHASE!$N$6:$N$10008,PURCHASE!$A$6:$A$10008,$M$2,PURCHASE!$H$6:$H$10008,$A$4:$A$2700)</f>
        <v>81</v>
      </c>
      <c r="H22" s="512">
        <f t="shared" si="12"/>
        <v>0</v>
      </c>
      <c r="I22" s="512">
        <f>SUMIFS(PURCHASE!$K$6:$K$10008,PURCHASE!$A$6:$A$10008,$H$2,PURCHASE!$H$6:$H$10008,$A$4:$A$2700)</f>
        <v>0</v>
      </c>
      <c r="J22" s="512">
        <f>SUMIFS(PURCHASE!$L$6:$L$10008,PURCHASE!$A$6:$A$10008,$H$2,PURCHASE!$H$6:$H$10008,$A$4:$A$2700)</f>
        <v>0</v>
      </c>
      <c r="K22" s="512">
        <f>SUMIFS(PURCHASE!$M$6:$M$10008,PURCHASE!$A$6:$A$10008,$H$2,PURCHASE!$H$6:$H$10008,$A$4:$A$2700)</f>
        <v>0</v>
      </c>
      <c r="L22" s="512">
        <f>SUMIFS(PURCHASE!$N$6:$N$10008,PURCHASE!$A$6:$A$10008,$H$2,PURCHASE!$H$6:$H$10008,$A$4:$A$2700)</f>
        <v>0</v>
      </c>
      <c r="M22" s="512">
        <f t="shared" si="13"/>
        <v>1062</v>
      </c>
      <c r="N22" s="512">
        <f>SUMIFS(PURCHASE!$K$6:$K$10008,PURCHASE!$A$6:$A$10008,$M$2,PURCHASE!$H$6:$H$10008,$A$4:$A$2700)</f>
        <v>900</v>
      </c>
      <c r="O22" s="512">
        <f>SUMIFS(PURCHASE!$L$6:$L$10008,PURCHASE!$A$6:$A$10008,$M$2,PURCHASE!$H$6:$H$10008,$A$4:$A$2700)</f>
        <v>0</v>
      </c>
      <c r="P22" s="512">
        <f>SUMIFS(PURCHASE!$M$6:$M$10008,PURCHASE!$A$6:$A$10008,$M$2,PURCHASE!$H$6:$H$10008,$A$4:$A$2700)</f>
        <v>81</v>
      </c>
      <c r="Q22" s="512">
        <f>SUMIFS(PURCHASE!$N$6:$N$10008,PURCHASE!$A$6:$A$10008,$M$2,PURCHASE!$H$6:$H$10008,$A$4:$A$2700)</f>
        <v>81</v>
      </c>
      <c r="R22" s="512">
        <f t="shared" si="14"/>
        <v>0</v>
      </c>
      <c r="S22" s="512">
        <f>SUMIFS(PURCHASE!$K$6:$K$10008,PURCHASE!$A$6:$A$10008,$R$2,PURCHASE!$H$6:$H$10008,$A$4:$A$2700)</f>
        <v>0</v>
      </c>
      <c r="T22" s="512">
        <f>SUMIFS(PURCHASE!$L$6:$L$10008,PURCHASE!$A$6:$A$10008,$R$2,PURCHASE!$H$6:$H$10008,$A$4:$A$2700)</f>
        <v>0</v>
      </c>
      <c r="U22" s="512">
        <f>SUMIFS(PURCHASE!$M$6:$M$10008,PURCHASE!$A$6:$A$10008,$R$2,PURCHASE!$H$6:$H$10008,$A$4:$A$2700)</f>
        <v>0</v>
      </c>
      <c r="V22" s="512">
        <f>SUMIFS(PURCHASE!$N$6:$N$10008,PURCHASE!$A$6:$A$10008,$R$2,PURCHASE!$H$6:$H$10008,$A$4:$A$2700)</f>
        <v>0</v>
      </c>
      <c r="W22" s="512">
        <f t="shared" si="15"/>
        <v>1274.4000000000001</v>
      </c>
      <c r="X22" s="512">
        <f>SUMIFS(PURCHASE!$K$6:$K$10008,PURCHASE!$A$6:$A$10008,$W$2,PURCHASE!$H$6:$H$10008,$A$4:$A$2700)</f>
        <v>1080</v>
      </c>
      <c r="Y22" s="512">
        <f>SUMIFS(PURCHASE!$L$6:$L$10008,PURCHASE!$A$6:$A$10008,$W$2,PURCHASE!$H$6:$H$10008,$A$4:$A$2700)</f>
        <v>0</v>
      </c>
      <c r="Z22" s="512">
        <f>SUMIFS(PURCHASE!$M$6:$M$10008,PURCHASE!$A$6:$A$10008,$W$2,PURCHASE!$H$6:$H$10008,$A$4:$A$2700)</f>
        <v>97.2</v>
      </c>
      <c r="AA22" s="512">
        <f>SUMIFS(PURCHASE!$N$6:$N$10008,PURCHASE!$A$6:$A$10008,$W$2,PURCHASE!$H$6:$H$10008,$A$4:$A$2700)</f>
        <v>97.2</v>
      </c>
      <c r="AB22" s="512">
        <f t="shared" si="16"/>
        <v>1099.0048000000002</v>
      </c>
      <c r="AC22" s="512">
        <f>SUMIFS(PURCHASE!$K$6:$K$10008,PURCHASE!$A$6:$A$10008,$AB$2,PURCHASE!$H$6:$H$10008,$A$4:$A$2700)</f>
        <v>931.36</v>
      </c>
      <c r="AD22" s="512">
        <f>SUMIFS(PURCHASE!$L$6:$L$10008,PURCHASE!$A$6:$A$10008,$AB$2,PURCHASE!$H$6:$H$10008,$A$4:$A$2700)</f>
        <v>0</v>
      </c>
      <c r="AE22" s="512">
        <f>SUMIFS(PURCHASE!$M$6:$M$10008,PURCHASE!$A$6:$A$10008,$AB$2,PURCHASE!$H$6:$H$10008,$A$4:$A$2700)</f>
        <v>83.822400000000016</v>
      </c>
      <c r="AF22" s="512">
        <f>SUMIFS(PURCHASE!$N$6:$N$10008,PURCHASE!$A$6:$A$10008,$AB$2,PURCHASE!$H$6:$H$10008,$A$4:$A$2700)</f>
        <v>83.822400000000016</v>
      </c>
      <c r="AG22" s="512">
        <f t="shared" si="17"/>
        <v>0</v>
      </c>
      <c r="AH22" s="512">
        <f>SUMIFS(PURCHASE!$K$6:$K$10008,PURCHASE!$A$6:$A$10008,$AG$2,PURCHASE!$H$6:$H$10008,$A$4:$A$2700)</f>
        <v>0</v>
      </c>
      <c r="AI22" s="512">
        <f>SUMIFS(PURCHASE!$L$6:$L$10008,PURCHASE!$A$6:$A$10008,$AG$2,PURCHASE!$H$6:$H$10008,$A$4:$A$2700)</f>
        <v>0</v>
      </c>
      <c r="AJ22" s="512">
        <f>SUMIFS(PURCHASE!$M$6:$M$10008,PURCHASE!$A$6:$A$10008,$AG$2,PURCHASE!$H$6:$H$10008,$A$4:$A$2700)</f>
        <v>0</v>
      </c>
      <c r="AK22" s="512">
        <f>SUMIFS(PURCHASE!$N$6:$N$10008,PURCHASE!$A$6:$A$10008,$AG$2,PURCHASE!$H$6:$H$10008,$A$4:$A$2700)</f>
        <v>0</v>
      </c>
      <c r="AL22" s="512">
        <f t="shared" si="18"/>
        <v>7537.3054000000002</v>
      </c>
      <c r="AM22" s="512">
        <f>SUMIFS(PURCHASE!$K$6:$K$10008,PURCHASE!$A$6:$A$10008,$AL$2,PURCHASE!$H$6:$H$10008,$A$4:$A$2700)</f>
        <v>6387.53</v>
      </c>
      <c r="AN22" s="512">
        <f>SUMIFS(PURCHASE!$L$6:$L$10008,PURCHASE!$A$6:$A$10008,$AL$2,PURCHASE!$H$6:$H$10008,$A$4:$A$2700)</f>
        <v>0</v>
      </c>
      <c r="AO22" s="512">
        <f>SUMIFS(PURCHASE!$M$6:$M$10008,PURCHASE!$A$6:$A$10008,$AL$2,PURCHASE!$H$6:$H$10008,$A$4:$A$2700)</f>
        <v>574.8877</v>
      </c>
      <c r="AP22" s="512">
        <f>SUMIFS(PURCHASE!$N$6:$N$10008,PURCHASE!$A$6:$A$10008,$AL$2,PURCHASE!$H$6:$H$10008,$A$4:$A$2700)</f>
        <v>574.8877</v>
      </c>
      <c r="AQ22" s="512">
        <f t="shared" si="19"/>
        <v>1921.04</v>
      </c>
      <c r="AR22" s="512">
        <f>SUMIFS(PURCHASE!$K$6:$K$10008,PURCHASE!$A$6:$A$10008,$AQ$2,PURCHASE!$H$6:$H$10008,$A$4:$A$2700)</f>
        <v>1628</v>
      </c>
      <c r="AS22" s="512">
        <f>SUMIFS(PURCHASE!$L$6:$L$10008,PURCHASE!$A$6:$A$10008,$AQ$2,PURCHASE!$H$6:$H$10008,$A$4:$A$2700)</f>
        <v>0</v>
      </c>
      <c r="AT22" s="512">
        <f>SUMIFS(PURCHASE!$M$6:$M$10008,PURCHASE!$A$6:$A$10008,$AQ$2,PURCHASE!$H$6:$H$10008,$A$4:$A$2700)</f>
        <v>146.51999999999998</v>
      </c>
      <c r="AU22" s="512">
        <f>SUMIFS(PURCHASE!$N$6:$N$10008,PURCHASE!$A$6:$A$10008,$AQ$2,PURCHASE!$H$6:$H$10008,$A$4:$A$2700)</f>
        <v>146.51999999999998</v>
      </c>
      <c r="AV22" s="512">
        <f t="shared" si="20"/>
        <v>127.44</v>
      </c>
      <c r="AW22" s="512">
        <f>SUMIFS(PURCHASE!$K$6:$K$10008,PURCHASE!$A$6:$A$10008,$AV$2,PURCHASE!$H$6:$H$10008,$A$4:$A$2700)</f>
        <v>108</v>
      </c>
      <c r="AX22" s="512">
        <f>SUMIFS(PURCHASE!$L$6:$L$10008,PURCHASE!$A$6:$A$10008,$AV$2,PURCHASE!$H$6:$H$10008,$A$4:$A$2700)</f>
        <v>0</v>
      </c>
      <c r="AY22" s="512">
        <f>SUMIFS(PURCHASE!$M$6:$M$10008,PURCHASE!$A$6:$A$10008,$AV$2,PURCHASE!$H$6:$H$10008,$A$4:$A$2700)</f>
        <v>9.7200000000000006</v>
      </c>
      <c r="AZ22" s="512">
        <f>SUMIFS(PURCHASE!$N$6:$N$10008,PURCHASE!$A$6:$A$10008,$AV$2,PURCHASE!$H$6:$H$10008,$A$4:$A$2700)</f>
        <v>9.7200000000000006</v>
      </c>
      <c r="BA22" s="512">
        <f t="shared" si="21"/>
        <v>0</v>
      </c>
      <c r="BB22" s="512">
        <f>SUMIFS(PURCHASE!$K$6:$K$10008,PURCHASE!$A$6:$A$10008,$BA$2,PURCHASE!$H$6:$H$10008,$A$4:$A$2700)</f>
        <v>0</v>
      </c>
      <c r="BC22" s="512">
        <f>SUMIFS(PURCHASE!$L$6:$L$10008,PURCHASE!$A$6:$A$10008,$BA$2,PURCHASE!$H$6:$H$10008,$A$4:$A$2700)</f>
        <v>0</v>
      </c>
      <c r="BD22" s="512">
        <f>SUMIFS(PURCHASE!$M$6:$M$10008,PURCHASE!$A$6:$A$10008,$BA$2,PURCHASE!$H$6:$H$10008,$A$4:$A$2700)</f>
        <v>0</v>
      </c>
      <c r="BE22" s="512">
        <f>SUMIFS(PURCHASE!$N$6:$N$10008,PURCHASE!$A$6:$A$10008,$BA$2,PURCHASE!$H$6:$H$10008,$A$4:$A$2700)</f>
        <v>0</v>
      </c>
      <c r="BF22" s="512">
        <f t="shared" si="22"/>
        <v>0</v>
      </c>
      <c r="BG22" s="512">
        <f>SUMIFS(PURCHASE!$K$6:$K$10008,PURCHASE!$A$6:$A$10008,$BF$2,PURCHASE!$H$6:$H$10008,$A$4:$A$2700)</f>
        <v>0</v>
      </c>
      <c r="BH22" s="512">
        <f>SUMIFS(PURCHASE!$L$6:$L$10008,PURCHASE!$A$6:$A$10008,$BF$2,PURCHASE!$H$6:$H$10008,$A$4:$A$2700)</f>
        <v>0</v>
      </c>
      <c r="BI22" s="512">
        <f>SUMIFS(PURCHASE!$M$6:$M$10008,PURCHASE!$A$6:$A$10008,$BF$2,PURCHASE!$H$6:$H$10008,$A$4:$A$2700)</f>
        <v>0</v>
      </c>
      <c r="BJ22" s="512">
        <f>SUMIFS(PURCHASE!$N$6:$N$10008,PURCHASE!$A$6:$A$10008,$BF$2,PURCHASE!$H$6:$H$10008,$A$4:$A$2700)</f>
        <v>0</v>
      </c>
      <c r="BK22" s="72">
        <f t="shared" si="6"/>
        <v>14083.190200000003</v>
      </c>
      <c r="BL22" s="72">
        <f t="shared" si="7"/>
        <v>11934.89</v>
      </c>
      <c r="BM22" s="72">
        <f t="shared" si="8"/>
        <v>0</v>
      </c>
      <c r="BN22" s="72">
        <f t="shared" si="9"/>
        <v>1074.1501000000001</v>
      </c>
      <c r="BO22" s="72">
        <f t="shared" si="10"/>
        <v>1074.1501000000001</v>
      </c>
    </row>
    <row r="23" spans="1:67" x14ac:dyDescent="0.2">
      <c r="A23" s="511">
        <v>3919</v>
      </c>
      <c r="B23" s="467" t="s">
        <v>1197</v>
      </c>
      <c r="C23" s="512">
        <f t="shared" si="11"/>
        <v>0</v>
      </c>
      <c r="D23" s="512">
        <f>SUMIFS(PURCHASE!$K$6:$K$10008,PURCHASE!$A$6:$A$10008,$M$2,PURCHASE!$H$6:$H$10008,$A$4:$A$2700)</f>
        <v>0</v>
      </c>
      <c r="E23" s="512">
        <f>SUMIFS(PURCHASE!$L$6:$L$10008,PURCHASE!$A$6:$A$10008,$M$2,PURCHASE!$H$6:$H$10008,$A$4:$A$2700)</f>
        <v>0</v>
      </c>
      <c r="F23" s="512">
        <f>SUMIFS(PURCHASE!$M$6:$M$10008,PURCHASE!$A$6:$A$10008,$M$2,PURCHASE!$H$6:$H$10008,$A$4:$A$2700)</f>
        <v>0</v>
      </c>
      <c r="G23" s="512">
        <f>SUMIFS(PURCHASE!$N$6:$N$10008,PURCHASE!$A$6:$A$10008,$M$2,PURCHASE!$H$6:$H$10008,$A$4:$A$2700)</f>
        <v>0</v>
      </c>
      <c r="H23" s="512">
        <f t="shared" si="12"/>
        <v>0</v>
      </c>
      <c r="I23" s="512">
        <f>SUMIFS(PURCHASE!$K$6:$K$10008,PURCHASE!$A$6:$A$10008,$H$2,PURCHASE!$H$6:$H$10008,$A$4:$A$2700)</f>
        <v>0</v>
      </c>
      <c r="J23" s="512">
        <f>SUMIFS(PURCHASE!$L$6:$L$10008,PURCHASE!$A$6:$A$10008,$H$2,PURCHASE!$H$6:$H$10008,$A$4:$A$2700)</f>
        <v>0</v>
      </c>
      <c r="K23" s="512">
        <f>SUMIFS(PURCHASE!$M$6:$M$10008,PURCHASE!$A$6:$A$10008,$H$2,PURCHASE!$H$6:$H$10008,$A$4:$A$2700)</f>
        <v>0</v>
      </c>
      <c r="L23" s="512">
        <f>SUMIFS(PURCHASE!$N$6:$N$10008,PURCHASE!$A$6:$A$10008,$H$2,PURCHASE!$H$6:$H$10008,$A$4:$A$2700)</f>
        <v>0</v>
      </c>
      <c r="M23" s="512">
        <f t="shared" si="13"/>
        <v>0</v>
      </c>
      <c r="N23" s="512">
        <f>SUMIFS(PURCHASE!$K$6:$K$10008,PURCHASE!$A$6:$A$10008,$M$2,PURCHASE!$H$6:$H$10008,$A$4:$A$2700)</f>
        <v>0</v>
      </c>
      <c r="O23" s="512">
        <f>SUMIFS(PURCHASE!$L$6:$L$10008,PURCHASE!$A$6:$A$10008,$M$2,PURCHASE!$H$6:$H$10008,$A$4:$A$2700)</f>
        <v>0</v>
      </c>
      <c r="P23" s="512">
        <f>SUMIFS(PURCHASE!$M$6:$M$10008,PURCHASE!$A$6:$A$10008,$M$2,PURCHASE!$H$6:$H$10008,$A$4:$A$2700)</f>
        <v>0</v>
      </c>
      <c r="Q23" s="512">
        <f>SUMIFS(PURCHASE!$N$6:$N$10008,PURCHASE!$A$6:$A$10008,$M$2,PURCHASE!$H$6:$H$10008,$A$4:$A$2700)</f>
        <v>0</v>
      </c>
      <c r="R23" s="512">
        <f t="shared" si="14"/>
        <v>25433.778999999999</v>
      </c>
      <c r="S23" s="512">
        <f>SUMIFS(PURCHASE!$K$6:$K$10008,PURCHASE!$A$6:$A$10008,$R$2,PURCHASE!$H$6:$H$10008,$A$4:$A$2700)</f>
        <v>21554.05</v>
      </c>
      <c r="T23" s="512">
        <f>SUMIFS(PURCHASE!$L$6:$L$10008,PURCHASE!$A$6:$A$10008,$R$2,PURCHASE!$H$6:$H$10008,$A$4:$A$2700)</f>
        <v>0</v>
      </c>
      <c r="U23" s="512">
        <f>SUMIFS(PURCHASE!$M$6:$M$10008,PURCHASE!$A$6:$A$10008,$R$2,PURCHASE!$H$6:$H$10008,$A$4:$A$2700)</f>
        <v>1939.8645000000001</v>
      </c>
      <c r="V23" s="512">
        <f>SUMIFS(PURCHASE!$N$6:$N$10008,PURCHASE!$A$6:$A$10008,$R$2,PURCHASE!$H$6:$H$10008,$A$4:$A$2700)</f>
        <v>1939.8645000000001</v>
      </c>
      <c r="W23" s="512">
        <f t="shared" si="15"/>
        <v>108678</v>
      </c>
      <c r="X23" s="512">
        <f>SUMIFS(PURCHASE!$K$6:$K$10008,PURCHASE!$A$6:$A$10008,$W$2,PURCHASE!$H$6:$H$10008,$A$4:$A$2700)</f>
        <v>92100</v>
      </c>
      <c r="Y23" s="512">
        <f>SUMIFS(PURCHASE!$L$6:$L$10008,PURCHASE!$A$6:$A$10008,$W$2,PURCHASE!$H$6:$H$10008,$A$4:$A$2700)</f>
        <v>0</v>
      </c>
      <c r="Z23" s="512">
        <f>SUMIFS(PURCHASE!$M$6:$M$10008,PURCHASE!$A$6:$A$10008,$W$2,PURCHASE!$H$6:$H$10008,$A$4:$A$2700)</f>
        <v>8289</v>
      </c>
      <c r="AA23" s="512">
        <f>SUMIFS(PURCHASE!$N$6:$N$10008,PURCHASE!$A$6:$A$10008,$W$2,PURCHASE!$H$6:$H$10008,$A$4:$A$2700)</f>
        <v>8289</v>
      </c>
      <c r="AB23" s="512">
        <f t="shared" si="16"/>
        <v>102519.698</v>
      </c>
      <c r="AC23" s="512">
        <f>SUMIFS(PURCHASE!$K$6:$K$10008,PURCHASE!$A$6:$A$10008,$AB$2,PURCHASE!$H$6:$H$10008,$A$4:$A$2700)</f>
        <v>86881.1</v>
      </c>
      <c r="AD23" s="512">
        <f>SUMIFS(PURCHASE!$L$6:$L$10008,PURCHASE!$A$6:$A$10008,$AB$2,PURCHASE!$H$6:$H$10008,$A$4:$A$2700)</f>
        <v>0</v>
      </c>
      <c r="AE23" s="512">
        <f>SUMIFS(PURCHASE!$M$6:$M$10008,PURCHASE!$A$6:$A$10008,$AB$2,PURCHASE!$H$6:$H$10008,$A$4:$A$2700)</f>
        <v>7819.2990000000009</v>
      </c>
      <c r="AF23" s="512">
        <f>SUMIFS(PURCHASE!$N$6:$N$10008,PURCHASE!$A$6:$A$10008,$AB$2,PURCHASE!$H$6:$H$10008,$A$4:$A$2700)</f>
        <v>7819.2990000000009</v>
      </c>
      <c r="AG23" s="512">
        <f t="shared" si="17"/>
        <v>57035.3</v>
      </c>
      <c r="AH23" s="512">
        <f>SUMIFS(PURCHASE!$K$6:$K$10008,PURCHASE!$A$6:$A$10008,$AG$2,PURCHASE!$H$6:$H$10008,$A$4:$A$2700)</f>
        <v>48335</v>
      </c>
      <c r="AI23" s="512">
        <f>SUMIFS(PURCHASE!$L$6:$L$10008,PURCHASE!$A$6:$A$10008,$AG$2,PURCHASE!$H$6:$H$10008,$A$4:$A$2700)</f>
        <v>0</v>
      </c>
      <c r="AJ23" s="512">
        <f>SUMIFS(PURCHASE!$M$6:$M$10008,PURCHASE!$A$6:$A$10008,$AG$2,PURCHASE!$H$6:$H$10008,$A$4:$A$2700)</f>
        <v>4350.1499999999996</v>
      </c>
      <c r="AK23" s="512">
        <f>SUMIFS(PURCHASE!$N$6:$N$10008,PURCHASE!$A$6:$A$10008,$AG$2,PURCHASE!$H$6:$H$10008,$A$4:$A$2700)</f>
        <v>4350.1499999999996</v>
      </c>
      <c r="AL23" s="512">
        <f t="shared" si="18"/>
        <v>0</v>
      </c>
      <c r="AM23" s="512">
        <f>SUMIFS(PURCHASE!$K$6:$K$10008,PURCHASE!$A$6:$A$10008,$AL$2,PURCHASE!$H$6:$H$10008,$A$4:$A$2700)</f>
        <v>0</v>
      </c>
      <c r="AN23" s="512">
        <f>SUMIFS(PURCHASE!$L$6:$L$10008,PURCHASE!$A$6:$A$10008,$AL$2,PURCHASE!$H$6:$H$10008,$A$4:$A$2700)</f>
        <v>0</v>
      </c>
      <c r="AO23" s="512">
        <f>SUMIFS(PURCHASE!$M$6:$M$10008,PURCHASE!$A$6:$A$10008,$AL$2,PURCHASE!$H$6:$H$10008,$A$4:$A$2700)</f>
        <v>0</v>
      </c>
      <c r="AP23" s="512">
        <f>SUMIFS(PURCHASE!$N$6:$N$10008,PURCHASE!$A$6:$A$10008,$AL$2,PURCHASE!$H$6:$H$10008,$A$4:$A$2700)</f>
        <v>0</v>
      </c>
      <c r="AQ23" s="512">
        <f t="shared" si="19"/>
        <v>56876</v>
      </c>
      <c r="AR23" s="512">
        <f>SUMIFS(PURCHASE!$K$6:$K$10008,PURCHASE!$A$6:$A$10008,$AQ$2,PURCHASE!$H$6:$H$10008,$A$4:$A$2700)</f>
        <v>48200</v>
      </c>
      <c r="AS23" s="512">
        <f>SUMIFS(PURCHASE!$L$6:$L$10008,PURCHASE!$A$6:$A$10008,$AQ$2,PURCHASE!$H$6:$H$10008,$A$4:$A$2700)</f>
        <v>0</v>
      </c>
      <c r="AT23" s="512">
        <f>SUMIFS(PURCHASE!$M$6:$M$10008,PURCHASE!$A$6:$A$10008,$AQ$2,PURCHASE!$H$6:$H$10008,$A$4:$A$2700)</f>
        <v>4338</v>
      </c>
      <c r="AU23" s="512">
        <f>SUMIFS(PURCHASE!$N$6:$N$10008,PURCHASE!$A$6:$A$10008,$AQ$2,PURCHASE!$H$6:$H$10008,$A$4:$A$2700)</f>
        <v>4338</v>
      </c>
      <c r="AV23" s="512">
        <f t="shared" si="20"/>
        <v>0</v>
      </c>
      <c r="AW23" s="512">
        <f>SUMIFS(PURCHASE!$K$6:$K$10008,PURCHASE!$A$6:$A$10008,$AV$2,PURCHASE!$H$6:$H$10008,$A$4:$A$2700)</f>
        <v>0</v>
      </c>
      <c r="AX23" s="512">
        <f>SUMIFS(PURCHASE!$L$6:$L$10008,PURCHASE!$A$6:$A$10008,$AV$2,PURCHASE!$H$6:$H$10008,$A$4:$A$2700)</f>
        <v>0</v>
      </c>
      <c r="AY23" s="512">
        <f>SUMIFS(PURCHASE!$M$6:$M$10008,PURCHASE!$A$6:$A$10008,$AV$2,PURCHASE!$H$6:$H$10008,$A$4:$A$2700)</f>
        <v>0</v>
      </c>
      <c r="AZ23" s="512">
        <f>SUMIFS(PURCHASE!$N$6:$N$10008,PURCHASE!$A$6:$A$10008,$AV$2,PURCHASE!$H$6:$H$10008,$A$4:$A$2700)</f>
        <v>0</v>
      </c>
      <c r="BA23" s="512">
        <f t="shared" si="21"/>
        <v>0</v>
      </c>
      <c r="BB23" s="512">
        <f>SUMIFS(PURCHASE!$K$6:$K$10008,PURCHASE!$A$6:$A$10008,$BA$2,PURCHASE!$H$6:$H$10008,$A$4:$A$2700)</f>
        <v>0</v>
      </c>
      <c r="BC23" s="512">
        <f>SUMIFS(PURCHASE!$L$6:$L$10008,PURCHASE!$A$6:$A$10008,$BA$2,PURCHASE!$H$6:$H$10008,$A$4:$A$2700)</f>
        <v>0</v>
      </c>
      <c r="BD23" s="512">
        <f>SUMIFS(PURCHASE!$M$6:$M$10008,PURCHASE!$A$6:$A$10008,$BA$2,PURCHASE!$H$6:$H$10008,$A$4:$A$2700)</f>
        <v>0</v>
      </c>
      <c r="BE23" s="512">
        <f>SUMIFS(PURCHASE!$N$6:$N$10008,PURCHASE!$A$6:$A$10008,$BA$2,PURCHASE!$H$6:$H$10008,$A$4:$A$2700)</f>
        <v>0</v>
      </c>
      <c r="BF23" s="512">
        <f t="shared" si="22"/>
        <v>0</v>
      </c>
      <c r="BG23" s="512">
        <f>SUMIFS(PURCHASE!$K$6:$K$10008,PURCHASE!$A$6:$A$10008,$BF$2,PURCHASE!$H$6:$H$10008,$A$4:$A$2700)</f>
        <v>0</v>
      </c>
      <c r="BH23" s="512">
        <f>SUMIFS(PURCHASE!$L$6:$L$10008,PURCHASE!$A$6:$A$10008,$BF$2,PURCHASE!$H$6:$H$10008,$A$4:$A$2700)</f>
        <v>0</v>
      </c>
      <c r="BI23" s="512">
        <f>SUMIFS(PURCHASE!$M$6:$M$10008,PURCHASE!$A$6:$A$10008,$BF$2,PURCHASE!$H$6:$H$10008,$A$4:$A$2700)</f>
        <v>0</v>
      </c>
      <c r="BJ23" s="512">
        <f>SUMIFS(PURCHASE!$N$6:$N$10008,PURCHASE!$A$6:$A$10008,$BF$2,PURCHASE!$H$6:$H$10008,$A$4:$A$2700)</f>
        <v>0</v>
      </c>
      <c r="BK23" s="72">
        <f t="shared" si="6"/>
        <v>350542.777</v>
      </c>
      <c r="BL23" s="72">
        <f t="shared" si="7"/>
        <v>297070.15000000002</v>
      </c>
      <c r="BM23" s="72">
        <f t="shared" si="8"/>
        <v>0</v>
      </c>
      <c r="BN23" s="72">
        <f t="shared" si="9"/>
        <v>26736.313500000004</v>
      </c>
      <c r="BO23" s="72">
        <f t="shared" si="10"/>
        <v>26736.313500000004</v>
      </c>
    </row>
    <row r="24" spans="1:67" x14ac:dyDescent="0.2">
      <c r="A24" s="511">
        <v>3920</v>
      </c>
      <c r="B24" s="467" t="s">
        <v>1198</v>
      </c>
      <c r="C24" s="512">
        <f t="shared" si="11"/>
        <v>0</v>
      </c>
      <c r="D24" s="512">
        <f>SUMIFS(PURCHASE!$K$6:$K$10008,PURCHASE!$A$6:$A$10008,$M$2,PURCHASE!$H$6:$H$10008,$A$4:$A$2700)</f>
        <v>0</v>
      </c>
      <c r="E24" s="512">
        <f>SUMIFS(PURCHASE!$L$6:$L$10008,PURCHASE!$A$6:$A$10008,$M$2,PURCHASE!$H$6:$H$10008,$A$4:$A$2700)</f>
        <v>0</v>
      </c>
      <c r="F24" s="512">
        <f>SUMIFS(PURCHASE!$M$6:$M$10008,PURCHASE!$A$6:$A$10008,$M$2,PURCHASE!$H$6:$H$10008,$A$4:$A$2700)</f>
        <v>0</v>
      </c>
      <c r="G24" s="512">
        <f>SUMIFS(PURCHASE!$N$6:$N$10008,PURCHASE!$A$6:$A$10008,$M$2,PURCHASE!$H$6:$H$10008,$A$4:$A$2700)</f>
        <v>0</v>
      </c>
      <c r="H24" s="512">
        <f t="shared" si="12"/>
        <v>0</v>
      </c>
      <c r="I24" s="512">
        <f>SUMIFS(PURCHASE!$K$6:$K$10008,PURCHASE!$A$6:$A$10008,$H$2,PURCHASE!$H$6:$H$10008,$A$4:$A$2700)</f>
        <v>0</v>
      </c>
      <c r="J24" s="512">
        <f>SUMIFS(PURCHASE!$L$6:$L$10008,PURCHASE!$A$6:$A$10008,$H$2,PURCHASE!$H$6:$H$10008,$A$4:$A$2700)</f>
        <v>0</v>
      </c>
      <c r="K24" s="512">
        <f>SUMIFS(PURCHASE!$M$6:$M$10008,PURCHASE!$A$6:$A$10008,$H$2,PURCHASE!$H$6:$H$10008,$A$4:$A$2700)</f>
        <v>0</v>
      </c>
      <c r="L24" s="512">
        <f>SUMIFS(PURCHASE!$N$6:$N$10008,PURCHASE!$A$6:$A$10008,$H$2,PURCHASE!$H$6:$H$10008,$A$4:$A$2700)</f>
        <v>0</v>
      </c>
      <c r="M24" s="512">
        <f t="shared" si="13"/>
        <v>0</v>
      </c>
      <c r="N24" s="512">
        <f>SUMIFS(PURCHASE!$K$6:$K$10008,PURCHASE!$A$6:$A$10008,$M$2,PURCHASE!$H$6:$H$10008,$A$4:$A$2700)</f>
        <v>0</v>
      </c>
      <c r="O24" s="512">
        <f>SUMIFS(PURCHASE!$L$6:$L$10008,PURCHASE!$A$6:$A$10008,$M$2,PURCHASE!$H$6:$H$10008,$A$4:$A$2700)</f>
        <v>0</v>
      </c>
      <c r="P24" s="512">
        <f>SUMIFS(PURCHASE!$M$6:$M$10008,PURCHASE!$A$6:$A$10008,$M$2,PURCHASE!$H$6:$H$10008,$A$4:$A$2700)</f>
        <v>0</v>
      </c>
      <c r="Q24" s="512">
        <f>SUMIFS(PURCHASE!$N$6:$N$10008,PURCHASE!$A$6:$A$10008,$M$2,PURCHASE!$H$6:$H$10008,$A$4:$A$2700)</f>
        <v>0</v>
      </c>
      <c r="R24" s="512">
        <f t="shared" si="14"/>
        <v>0</v>
      </c>
      <c r="S24" s="512">
        <f>SUMIFS(PURCHASE!$K$6:$K$10008,PURCHASE!$A$6:$A$10008,$R$2,PURCHASE!$H$6:$H$10008,$A$4:$A$2700)</f>
        <v>0</v>
      </c>
      <c r="T24" s="512">
        <f>SUMIFS(PURCHASE!$L$6:$L$10008,PURCHASE!$A$6:$A$10008,$R$2,PURCHASE!$H$6:$H$10008,$A$4:$A$2700)</f>
        <v>0</v>
      </c>
      <c r="U24" s="512">
        <f>SUMIFS(PURCHASE!$M$6:$M$10008,PURCHASE!$A$6:$A$10008,$R$2,PURCHASE!$H$6:$H$10008,$A$4:$A$2700)</f>
        <v>0</v>
      </c>
      <c r="V24" s="512">
        <f>SUMIFS(PURCHASE!$N$6:$N$10008,PURCHASE!$A$6:$A$10008,$R$2,PURCHASE!$H$6:$H$10008,$A$4:$A$2700)</f>
        <v>0</v>
      </c>
      <c r="W24" s="512">
        <f t="shared" si="15"/>
        <v>0</v>
      </c>
      <c r="X24" s="512">
        <f>SUMIFS(PURCHASE!$K$6:$K$10008,PURCHASE!$A$6:$A$10008,$W$2,PURCHASE!$H$6:$H$10008,$A$4:$A$2700)</f>
        <v>0</v>
      </c>
      <c r="Y24" s="512">
        <f>SUMIFS(PURCHASE!$L$6:$L$10008,PURCHASE!$A$6:$A$10008,$W$2,PURCHASE!$H$6:$H$10008,$A$4:$A$2700)</f>
        <v>0</v>
      </c>
      <c r="Z24" s="512">
        <f>SUMIFS(PURCHASE!$M$6:$M$10008,PURCHASE!$A$6:$A$10008,$W$2,PURCHASE!$H$6:$H$10008,$A$4:$A$2700)</f>
        <v>0</v>
      </c>
      <c r="AA24" s="512">
        <f>SUMIFS(PURCHASE!$N$6:$N$10008,PURCHASE!$A$6:$A$10008,$W$2,PURCHASE!$H$6:$H$10008,$A$4:$A$2700)</f>
        <v>0</v>
      </c>
      <c r="AB24" s="512">
        <f t="shared" si="16"/>
        <v>0</v>
      </c>
      <c r="AC24" s="512">
        <f>SUMIFS(PURCHASE!$K$6:$K$10008,PURCHASE!$A$6:$A$10008,$AB$2,PURCHASE!$H$6:$H$10008,$A$4:$A$2700)</f>
        <v>0</v>
      </c>
      <c r="AD24" s="512">
        <f>SUMIFS(PURCHASE!$L$6:$L$10008,PURCHASE!$A$6:$A$10008,$AB$2,PURCHASE!$H$6:$H$10008,$A$4:$A$2700)</f>
        <v>0</v>
      </c>
      <c r="AE24" s="512">
        <f>SUMIFS(PURCHASE!$M$6:$M$10008,PURCHASE!$A$6:$A$10008,$AB$2,PURCHASE!$H$6:$H$10008,$A$4:$A$2700)</f>
        <v>0</v>
      </c>
      <c r="AF24" s="512">
        <f>SUMIFS(PURCHASE!$N$6:$N$10008,PURCHASE!$A$6:$A$10008,$AB$2,PURCHASE!$H$6:$H$10008,$A$4:$A$2700)</f>
        <v>0</v>
      </c>
      <c r="AG24" s="512">
        <f t="shared" si="17"/>
        <v>0</v>
      </c>
      <c r="AH24" s="512">
        <f>SUMIFS(PURCHASE!$K$6:$K$10008,PURCHASE!$A$6:$A$10008,$AG$2,PURCHASE!$H$6:$H$10008,$A$4:$A$2700)</f>
        <v>0</v>
      </c>
      <c r="AI24" s="512">
        <f>SUMIFS(PURCHASE!$L$6:$L$10008,PURCHASE!$A$6:$A$10008,$AG$2,PURCHASE!$H$6:$H$10008,$A$4:$A$2700)</f>
        <v>0</v>
      </c>
      <c r="AJ24" s="512">
        <f>SUMIFS(PURCHASE!$M$6:$M$10008,PURCHASE!$A$6:$A$10008,$AG$2,PURCHASE!$H$6:$H$10008,$A$4:$A$2700)</f>
        <v>0</v>
      </c>
      <c r="AK24" s="512">
        <f>SUMIFS(PURCHASE!$N$6:$N$10008,PURCHASE!$A$6:$A$10008,$AG$2,PURCHASE!$H$6:$H$10008,$A$4:$A$2700)</f>
        <v>0</v>
      </c>
      <c r="AL24" s="512">
        <f t="shared" si="18"/>
        <v>0</v>
      </c>
      <c r="AM24" s="512">
        <f>SUMIFS(PURCHASE!$K$6:$K$10008,PURCHASE!$A$6:$A$10008,$AL$2,PURCHASE!$H$6:$H$10008,$A$4:$A$2700)</f>
        <v>0</v>
      </c>
      <c r="AN24" s="512">
        <f>SUMIFS(PURCHASE!$L$6:$L$10008,PURCHASE!$A$6:$A$10008,$AL$2,PURCHASE!$H$6:$H$10008,$A$4:$A$2700)</f>
        <v>0</v>
      </c>
      <c r="AO24" s="512">
        <f>SUMIFS(PURCHASE!$M$6:$M$10008,PURCHASE!$A$6:$A$10008,$AL$2,PURCHASE!$H$6:$H$10008,$A$4:$A$2700)</f>
        <v>0</v>
      </c>
      <c r="AP24" s="512">
        <f>SUMIFS(PURCHASE!$N$6:$N$10008,PURCHASE!$A$6:$A$10008,$AL$2,PURCHASE!$H$6:$H$10008,$A$4:$A$2700)</f>
        <v>0</v>
      </c>
      <c r="AQ24" s="512">
        <f t="shared" si="19"/>
        <v>188.8</v>
      </c>
      <c r="AR24" s="512">
        <f>SUMIFS(PURCHASE!$K$6:$K$10008,PURCHASE!$A$6:$A$10008,$AQ$2,PURCHASE!$H$6:$H$10008,$A$4:$A$2700)</f>
        <v>160</v>
      </c>
      <c r="AS24" s="512">
        <f>SUMIFS(PURCHASE!$L$6:$L$10008,PURCHASE!$A$6:$A$10008,$AQ$2,PURCHASE!$H$6:$H$10008,$A$4:$A$2700)</f>
        <v>0</v>
      </c>
      <c r="AT24" s="512">
        <f>SUMIFS(PURCHASE!$M$6:$M$10008,PURCHASE!$A$6:$A$10008,$AQ$2,PURCHASE!$H$6:$H$10008,$A$4:$A$2700)</f>
        <v>14.4</v>
      </c>
      <c r="AU24" s="512">
        <f>SUMIFS(PURCHASE!$N$6:$N$10008,PURCHASE!$A$6:$A$10008,$AQ$2,PURCHASE!$H$6:$H$10008,$A$4:$A$2700)</f>
        <v>14.4</v>
      </c>
      <c r="AV24" s="512">
        <f t="shared" si="20"/>
        <v>0</v>
      </c>
      <c r="AW24" s="512">
        <f>SUMIFS(PURCHASE!$K$6:$K$10008,PURCHASE!$A$6:$A$10008,$AV$2,PURCHASE!$H$6:$H$10008,$A$4:$A$2700)</f>
        <v>0</v>
      </c>
      <c r="AX24" s="512">
        <f>SUMIFS(PURCHASE!$L$6:$L$10008,PURCHASE!$A$6:$A$10008,$AV$2,PURCHASE!$H$6:$H$10008,$A$4:$A$2700)</f>
        <v>0</v>
      </c>
      <c r="AY24" s="512">
        <f>SUMIFS(PURCHASE!$M$6:$M$10008,PURCHASE!$A$6:$A$10008,$AV$2,PURCHASE!$H$6:$H$10008,$A$4:$A$2700)</f>
        <v>0</v>
      </c>
      <c r="AZ24" s="512">
        <f>SUMIFS(PURCHASE!$N$6:$N$10008,PURCHASE!$A$6:$A$10008,$AV$2,PURCHASE!$H$6:$H$10008,$A$4:$A$2700)</f>
        <v>0</v>
      </c>
      <c r="BA24" s="512">
        <f t="shared" si="21"/>
        <v>0</v>
      </c>
      <c r="BB24" s="512">
        <f>SUMIFS(PURCHASE!$K$6:$K$10008,PURCHASE!$A$6:$A$10008,$BA$2,PURCHASE!$H$6:$H$10008,$A$4:$A$2700)</f>
        <v>0</v>
      </c>
      <c r="BC24" s="512">
        <f>SUMIFS(PURCHASE!$L$6:$L$10008,PURCHASE!$A$6:$A$10008,$BA$2,PURCHASE!$H$6:$H$10008,$A$4:$A$2700)</f>
        <v>0</v>
      </c>
      <c r="BD24" s="512">
        <f>SUMIFS(PURCHASE!$M$6:$M$10008,PURCHASE!$A$6:$A$10008,$BA$2,PURCHASE!$H$6:$H$10008,$A$4:$A$2700)</f>
        <v>0</v>
      </c>
      <c r="BE24" s="512">
        <f>SUMIFS(PURCHASE!$N$6:$N$10008,PURCHASE!$A$6:$A$10008,$BA$2,PURCHASE!$H$6:$H$10008,$A$4:$A$2700)</f>
        <v>0</v>
      </c>
      <c r="BF24" s="512">
        <f t="shared" si="22"/>
        <v>0</v>
      </c>
      <c r="BG24" s="512">
        <f>SUMIFS(PURCHASE!$K$6:$K$10008,PURCHASE!$A$6:$A$10008,$BF$2,PURCHASE!$H$6:$H$10008,$A$4:$A$2700)</f>
        <v>0</v>
      </c>
      <c r="BH24" s="512">
        <f>SUMIFS(PURCHASE!$L$6:$L$10008,PURCHASE!$A$6:$A$10008,$BF$2,PURCHASE!$H$6:$H$10008,$A$4:$A$2700)</f>
        <v>0</v>
      </c>
      <c r="BI24" s="512">
        <f>SUMIFS(PURCHASE!$M$6:$M$10008,PURCHASE!$A$6:$A$10008,$BF$2,PURCHASE!$H$6:$H$10008,$A$4:$A$2700)</f>
        <v>0</v>
      </c>
      <c r="BJ24" s="512">
        <f>SUMIFS(PURCHASE!$N$6:$N$10008,PURCHASE!$A$6:$A$10008,$BF$2,PURCHASE!$H$6:$H$10008,$A$4:$A$2700)</f>
        <v>0</v>
      </c>
      <c r="BK24" s="72">
        <f t="shared" si="6"/>
        <v>188.8</v>
      </c>
      <c r="BL24" s="72">
        <f t="shared" si="7"/>
        <v>160</v>
      </c>
      <c r="BM24" s="72">
        <f t="shared" si="8"/>
        <v>0</v>
      </c>
      <c r="BN24" s="72">
        <f t="shared" si="9"/>
        <v>14.4</v>
      </c>
      <c r="BO24" s="72">
        <f t="shared" si="10"/>
        <v>14.4</v>
      </c>
    </row>
    <row r="25" spans="1:67" x14ac:dyDescent="0.2">
      <c r="A25" s="511">
        <v>3924</v>
      </c>
      <c r="B25" s="467" t="s">
        <v>1199</v>
      </c>
      <c r="C25" s="512">
        <f t="shared" si="11"/>
        <v>0</v>
      </c>
      <c r="D25" s="512">
        <f>SUMIFS(PURCHASE!$K$6:$K$10008,PURCHASE!$A$6:$A$10008,$M$2,PURCHASE!$H$6:$H$10008,$A$4:$A$2700)</f>
        <v>0</v>
      </c>
      <c r="E25" s="512">
        <f>SUMIFS(PURCHASE!$L$6:$L$10008,PURCHASE!$A$6:$A$10008,$M$2,PURCHASE!$H$6:$H$10008,$A$4:$A$2700)</f>
        <v>0</v>
      </c>
      <c r="F25" s="512">
        <f>SUMIFS(PURCHASE!$M$6:$M$10008,PURCHASE!$A$6:$A$10008,$M$2,PURCHASE!$H$6:$H$10008,$A$4:$A$2700)</f>
        <v>0</v>
      </c>
      <c r="G25" s="512">
        <f>SUMIFS(PURCHASE!$N$6:$N$10008,PURCHASE!$A$6:$A$10008,$M$2,PURCHASE!$H$6:$H$10008,$A$4:$A$2700)</f>
        <v>0</v>
      </c>
      <c r="H25" s="512">
        <f t="shared" si="12"/>
        <v>0</v>
      </c>
      <c r="I25" s="512">
        <f>SUMIFS(PURCHASE!$K$6:$K$10008,PURCHASE!$A$6:$A$10008,$H$2,PURCHASE!$H$6:$H$10008,$A$4:$A$2700)</f>
        <v>0</v>
      </c>
      <c r="J25" s="512">
        <f>SUMIFS(PURCHASE!$L$6:$L$10008,PURCHASE!$A$6:$A$10008,$H$2,PURCHASE!$H$6:$H$10008,$A$4:$A$2700)</f>
        <v>0</v>
      </c>
      <c r="K25" s="512">
        <f>SUMIFS(PURCHASE!$M$6:$M$10008,PURCHASE!$A$6:$A$10008,$H$2,PURCHASE!$H$6:$H$10008,$A$4:$A$2700)</f>
        <v>0</v>
      </c>
      <c r="L25" s="512">
        <f>SUMIFS(PURCHASE!$N$6:$N$10008,PURCHASE!$A$6:$A$10008,$H$2,PURCHASE!$H$6:$H$10008,$A$4:$A$2700)</f>
        <v>0</v>
      </c>
      <c r="M25" s="512">
        <f t="shared" si="13"/>
        <v>0</v>
      </c>
      <c r="N25" s="512">
        <f>SUMIFS(PURCHASE!$K$6:$K$10008,PURCHASE!$A$6:$A$10008,$M$2,PURCHASE!$H$6:$H$10008,$A$4:$A$2700)</f>
        <v>0</v>
      </c>
      <c r="O25" s="512">
        <f>SUMIFS(PURCHASE!$L$6:$L$10008,PURCHASE!$A$6:$A$10008,$M$2,PURCHASE!$H$6:$H$10008,$A$4:$A$2700)</f>
        <v>0</v>
      </c>
      <c r="P25" s="512">
        <f>SUMIFS(PURCHASE!$M$6:$M$10008,PURCHASE!$A$6:$A$10008,$M$2,PURCHASE!$H$6:$H$10008,$A$4:$A$2700)</f>
        <v>0</v>
      </c>
      <c r="Q25" s="512">
        <f>SUMIFS(PURCHASE!$N$6:$N$10008,PURCHASE!$A$6:$A$10008,$M$2,PURCHASE!$H$6:$H$10008,$A$4:$A$2700)</f>
        <v>0</v>
      </c>
      <c r="R25" s="512">
        <f t="shared" si="14"/>
        <v>0</v>
      </c>
      <c r="S25" s="512">
        <f>SUMIFS(PURCHASE!$K$6:$K$10008,PURCHASE!$A$6:$A$10008,$R$2,PURCHASE!$H$6:$H$10008,$A$4:$A$2700)</f>
        <v>0</v>
      </c>
      <c r="T25" s="512">
        <f>SUMIFS(PURCHASE!$L$6:$L$10008,PURCHASE!$A$6:$A$10008,$R$2,PURCHASE!$H$6:$H$10008,$A$4:$A$2700)</f>
        <v>0</v>
      </c>
      <c r="U25" s="512">
        <f>SUMIFS(PURCHASE!$M$6:$M$10008,PURCHASE!$A$6:$A$10008,$R$2,PURCHASE!$H$6:$H$10008,$A$4:$A$2700)</f>
        <v>0</v>
      </c>
      <c r="V25" s="512">
        <f>SUMIFS(PURCHASE!$N$6:$N$10008,PURCHASE!$A$6:$A$10008,$R$2,PURCHASE!$H$6:$H$10008,$A$4:$A$2700)</f>
        <v>0</v>
      </c>
      <c r="W25" s="512">
        <f t="shared" si="15"/>
        <v>0</v>
      </c>
      <c r="X25" s="512">
        <f>SUMIFS(PURCHASE!$K$6:$K$10008,PURCHASE!$A$6:$A$10008,$W$2,PURCHASE!$H$6:$H$10008,$A$4:$A$2700)</f>
        <v>0</v>
      </c>
      <c r="Y25" s="512">
        <f>SUMIFS(PURCHASE!$L$6:$L$10008,PURCHASE!$A$6:$A$10008,$W$2,PURCHASE!$H$6:$H$10008,$A$4:$A$2700)</f>
        <v>0</v>
      </c>
      <c r="Z25" s="512">
        <f>SUMIFS(PURCHASE!$M$6:$M$10008,PURCHASE!$A$6:$A$10008,$W$2,PURCHASE!$H$6:$H$10008,$A$4:$A$2700)</f>
        <v>0</v>
      </c>
      <c r="AA25" s="512">
        <f>SUMIFS(PURCHASE!$N$6:$N$10008,PURCHASE!$A$6:$A$10008,$W$2,PURCHASE!$H$6:$H$10008,$A$4:$A$2700)</f>
        <v>0</v>
      </c>
      <c r="AB25" s="512">
        <f t="shared" si="16"/>
        <v>212.39999999999998</v>
      </c>
      <c r="AC25" s="512">
        <f>SUMIFS(PURCHASE!$K$6:$K$10008,PURCHASE!$A$6:$A$10008,$AB$2,PURCHASE!$H$6:$H$10008,$A$4:$A$2700)</f>
        <v>180</v>
      </c>
      <c r="AD25" s="512">
        <f>SUMIFS(PURCHASE!$L$6:$L$10008,PURCHASE!$A$6:$A$10008,$AB$2,PURCHASE!$H$6:$H$10008,$A$4:$A$2700)</f>
        <v>0</v>
      </c>
      <c r="AE25" s="512">
        <f>SUMIFS(PURCHASE!$M$6:$M$10008,PURCHASE!$A$6:$A$10008,$AB$2,PURCHASE!$H$6:$H$10008,$A$4:$A$2700)</f>
        <v>16.2</v>
      </c>
      <c r="AF25" s="512">
        <f>SUMIFS(PURCHASE!$N$6:$N$10008,PURCHASE!$A$6:$A$10008,$AB$2,PURCHASE!$H$6:$H$10008,$A$4:$A$2700)</f>
        <v>16.2</v>
      </c>
      <c r="AG25" s="512">
        <f t="shared" si="17"/>
        <v>0</v>
      </c>
      <c r="AH25" s="512">
        <f>SUMIFS(PURCHASE!$K$6:$K$10008,PURCHASE!$A$6:$A$10008,$AG$2,PURCHASE!$H$6:$H$10008,$A$4:$A$2700)</f>
        <v>0</v>
      </c>
      <c r="AI25" s="512">
        <f>SUMIFS(PURCHASE!$L$6:$L$10008,PURCHASE!$A$6:$A$10008,$AG$2,PURCHASE!$H$6:$H$10008,$A$4:$A$2700)</f>
        <v>0</v>
      </c>
      <c r="AJ25" s="512">
        <f>SUMIFS(PURCHASE!$M$6:$M$10008,PURCHASE!$A$6:$A$10008,$AG$2,PURCHASE!$H$6:$H$10008,$A$4:$A$2700)</f>
        <v>0</v>
      </c>
      <c r="AK25" s="512">
        <f>SUMIFS(PURCHASE!$N$6:$N$10008,PURCHASE!$A$6:$A$10008,$AG$2,PURCHASE!$H$6:$H$10008,$A$4:$A$2700)</f>
        <v>0</v>
      </c>
      <c r="AL25" s="512">
        <f t="shared" si="18"/>
        <v>94.4</v>
      </c>
      <c r="AM25" s="512">
        <f>SUMIFS(PURCHASE!$K$6:$K$10008,PURCHASE!$A$6:$A$10008,$AL$2,PURCHASE!$H$6:$H$10008,$A$4:$A$2700)</f>
        <v>80</v>
      </c>
      <c r="AN25" s="512">
        <f>SUMIFS(PURCHASE!$L$6:$L$10008,PURCHASE!$A$6:$A$10008,$AL$2,PURCHASE!$H$6:$H$10008,$A$4:$A$2700)</f>
        <v>0</v>
      </c>
      <c r="AO25" s="512">
        <f>SUMIFS(PURCHASE!$M$6:$M$10008,PURCHASE!$A$6:$A$10008,$AL$2,PURCHASE!$H$6:$H$10008,$A$4:$A$2700)</f>
        <v>7.1999999999999993</v>
      </c>
      <c r="AP25" s="512">
        <f>SUMIFS(PURCHASE!$N$6:$N$10008,PURCHASE!$A$6:$A$10008,$AL$2,PURCHASE!$H$6:$H$10008,$A$4:$A$2700)</f>
        <v>7.1999999999999993</v>
      </c>
      <c r="AQ25" s="512">
        <f t="shared" si="19"/>
        <v>59</v>
      </c>
      <c r="AR25" s="512">
        <f>SUMIFS(PURCHASE!$K$6:$K$10008,PURCHASE!$A$6:$A$10008,$AQ$2,PURCHASE!$H$6:$H$10008,$A$4:$A$2700)</f>
        <v>50</v>
      </c>
      <c r="AS25" s="512">
        <f>SUMIFS(PURCHASE!$L$6:$L$10008,PURCHASE!$A$6:$A$10008,$AQ$2,PURCHASE!$H$6:$H$10008,$A$4:$A$2700)</f>
        <v>0</v>
      </c>
      <c r="AT25" s="512">
        <f>SUMIFS(PURCHASE!$M$6:$M$10008,PURCHASE!$A$6:$A$10008,$AQ$2,PURCHASE!$H$6:$H$10008,$A$4:$A$2700)</f>
        <v>4.5</v>
      </c>
      <c r="AU25" s="512">
        <f>SUMIFS(PURCHASE!$N$6:$N$10008,PURCHASE!$A$6:$A$10008,$AQ$2,PURCHASE!$H$6:$H$10008,$A$4:$A$2700)</f>
        <v>4.5</v>
      </c>
      <c r="AV25" s="512">
        <f t="shared" si="20"/>
        <v>0</v>
      </c>
      <c r="AW25" s="512">
        <f>SUMIFS(PURCHASE!$K$6:$K$10008,PURCHASE!$A$6:$A$10008,$AV$2,PURCHASE!$H$6:$H$10008,$A$4:$A$2700)</f>
        <v>0</v>
      </c>
      <c r="AX25" s="512">
        <f>SUMIFS(PURCHASE!$L$6:$L$10008,PURCHASE!$A$6:$A$10008,$AV$2,PURCHASE!$H$6:$H$10008,$A$4:$A$2700)</f>
        <v>0</v>
      </c>
      <c r="AY25" s="512">
        <f>SUMIFS(PURCHASE!$M$6:$M$10008,PURCHASE!$A$6:$A$10008,$AV$2,PURCHASE!$H$6:$H$10008,$A$4:$A$2700)</f>
        <v>0</v>
      </c>
      <c r="AZ25" s="512">
        <f>SUMIFS(PURCHASE!$N$6:$N$10008,PURCHASE!$A$6:$A$10008,$AV$2,PURCHASE!$H$6:$H$10008,$A$4:$A$2700)</f>
        <v>0</v>
      </c>
      <c r="BA25" s="512">
        <f t="shared" si="21"/>
        <v>0</v>
      </c>
      <c r="BB25" s="512">
        <f>SUMIFS(PURCHASE!$K$6:$K$10008,PURCHASE!$A$6:$A$10008,$BA$2,PURCHASE!$H$6:$H$10008,$A$4:$A$2700)</f>
        <v>0</v>
      </c>
      <c r="BC25" s="512">
        <f>SUMIFS(PURCHASE!$L$6:$L$10008,PURCHASE!$A$6:$A$10008,$BA$2,PURCHASE!$H$6:$H$10008,$A$4:$A$2700)</f>
        <v>0</v>
      </c>
      <c r="BD25" s="512">
        <f>SUMIFS(PURCHASE!$M$6:$M$10008,PURCHASE!$A$6:$A$10008,$BA$2,PURCHASE!$H$6:$H$10008,$A$4:$A$2700)</f>
        <v>0</v>
      </c>
      <c r="BE25" s="512">
        <f>SUMIFS(PURCHASE!$N$6:$N$10008,PURCHASE!$A$6:$A$10008,$BA$2,PURCHASE!$H$6:$H$10008,$A$4:$A$2700)</f>
        <v>0</v>
      </c>
      <c r="BF25" s="512">
        <f t="shared" si="22"/>
        <v>0</v>
      </c>
      <c r="BG25" s="512">
        <f>SUMIFS(PURCHASE!$K$6:$K$10008,PURCHASE!$A$6:$A$10008,$BF$2,PURCHASE!$H$6:$H$10008,$A$4:$A$2700)</f>
        <v>0</v>
      </c>
      <c r="BH25" s="512">
        <f>SUMIFS(PURCHASE!$L$6:$L$10008,PURCHASE!$A$6:$A$10008,$BF$2,PURCHASE!$H$6:$H$10008,$A$4:$A$2700)</f>
        <v>0</v>
      </c>
      <c r="BI25" s="512">
        <f>SUMIFS(PURCHASE!$M$6:$M$10008,PURCHASE!$A$6:$A$10008,$BF$2,PURCHASE!$H$6:$H$10008,$A$4:$A$2700)</f>
        <v>0</v>
      </c>
      <c r="BJ25" s="512">
        <f>SUMIFS(PURCHASE!$N$6:$N$10008,PURCHASE!$A$6:$A$10008,$BF$2,PURCHASE!$H$6:$H$10008,$A$4:$A$2700)</f>
        <v>0</v>
      </c>
      <c r="BK25" s="72">
        <f t="shared" si="6"/>
        <v>365.79999999999995</v>
      </c>
      <c r="BL25" s="72">
        <f t="shared" si="7"/>
        <v>310</v>
      </c>
      <c r="BM25" s="72">
        <f t="shared" si="8"/>
        <v>0</v>
      </c>
      <c r="BN25" s="72">
        <f t="shared" si="9"/>
        <v>27.9</v>
      </c>
      <c r="BO25" s="72">
        <f t="shared" si="10"/>
        <v>27.9</v>
      </c>
    </row>
    <row r="26" spans="1:67" x14ac:dyDescent="0.2">
      <c r="A26" s="511">
        <v>3925</v>
      </c>
      <c r="B26" s="467" t="s">
        <v>1200</v>
      </c>
      <c r="C26" s="512">
        <f t="shared" si="11"/>
        <v>0</v>
      </c>
      <c r="D26" s="512">
        <f>SUMIFS(PURCHASE!$K$6:$K$10008,PURCHASE!$A$6:$A$10008,$M$2,PURCHASE!$H$6:$H$10008,$A$4:$A$2700)</f>
        <v>0</v>
      </c>
      <c r="E26" s="512">
        <f>SUMIFS(PURCHASE!$L$6:$L$10008,PURCHASE!$A$6:$A$10008,$M$2,PURCHASE!$H$6:$H$10008,$A$4:$A$2700)</f>
        <v>0</v>
      </c>
      <c r="F26" s="512">
        <f>SUMIFS(PURCHASE!$M$6:$M$10008,PURCHASE!$A$6:$A$10008,$M$2,PURCHASE!$H$6:$H$10008,$A$4:$A$2700)</f>
        <v>0</v>
      </c>
      <c r="G26" s="512">
        <f>SUMIFS(PURCHASE!$N$6:$N$10008,PURCHASE!$A$6:$A$10008,$M$2,PURCHASE!$H$6:$H$10008,$A$4:$A$2700)</f>
        <v>0</v>
      </c>
      <c r="H26" s="512">
        <f t="shared" si="12"/>
        <v>0</v>
      </c>
      <c r="I26" s="512">
        <f>SUMIFS(PURCHASE!$K$6:$K$10008,PURCHASE!$A$6:$A$10008,$H$2,PURCHASE!$H$6:$H$10008,$A$4:$A$2700)</f>
        <v>0</v>
      </c>
      <c r="J26" s="512">
        <f>SUMIFS(PURCHASE!$L$6:$L$10008,PURCHASE!$A$6:$A$10008,$H$2,PURCHASE!$H$6:$H$10008,$A$4:$A$2700)</f>
        <v>0</v>
      </c>
      <c r="K26" s="512">
        <f>SUMIFS(PURCHASE!$M$6:$M$10008,PURCHASE!$A$6:$A$10008,$H$2,PURCHASE!$H$6:$H$10008,$A$4:$A$2700)</f>
        <v>0</v>
      </c>
      <c r="L26" s="512">
        <f>SUMIFS(PURCHASE!$N$6:$N$10008,PURCHASE!$A$6:$A$10008,$H$2,PURCHASE!$H$6:$H$10008,$A$4:$A$2700)</f>
        <v>0</v>
      </c>
      <c r="M26" s="512">
        <f t="shared" si="13"/>
        <v>0</v>
      </c>
      <c r="N26" s="512">
        <f>SUMIFS(PURCHASE!$K$6:$K$10008,PURCHASE!$A$6:$A$10008,$M$2,PURCHASE!$H$6:$H$10008,$A$4:$A$2700)</f>
        <v>0</v>
      </c>
      <c r="O26" s="512">
        <f>SUMIFS(PURCHASE!$L$6:$L$10008,PURCHASE!$A$6:$A$10008,$M$2,PURCHASE!$H$6:$H$10008,$A$4:$A$2700)</f>
        <v>0</v>
      </c>
      <c r="P26" s="512">
        <f>SUMIFS(PURCHASE!$M$6:$M$10008,PURCHASE!$A$6:$A$10008,$M$2,PURCHASE!$H$6:$H$10008,$A$4:$A$2700)</f>
        <v>0</v>
      </c>
      <c r="Q26" s="512">
        <f>SUMIFS(PURCHASE!$N$6:$N$10008,PURCHASE!$A$6:$A$10008,$M$2,PURCHASE!$H$6:$H$10008,$A$4:$A$2700)</f>
        <v>0</v>
      </c>
      <c r="R26" s="512">
        <f t="shared" si="14"/>
        <v>0</v>
      </c>
      <c r="S26" s="512">
        <f>SUMIFS(PURCHASE!$K$6:$K$10008,PURCHASE!$A$6:$A$10008,$R$2,PURCHASE!$H$6:$H$10008,$A$4:$A$2700)</f>
        <v>0</v>
      </c>
      <c r="T26" s="512">
        <f>SUMIFS(PURCHASE!$L$6:$L$10008,PURCHASE!$A$6:$A$10008,$R$2,PURCHASE!$H$6:$H$10008,$A$4:$A$2700)</f>
        <v>0</v>
      </c>
      <c r="U26" s="512">
        <f>SUMIFS(PURCHASE!$M$6:$M$10008,PURCHASE!$A$6:$A$10008,$R$2,PURCHASE!$H$6:$H$10008,$A$4:$A$2700)</f>
        <v>0</v>
      </c>
      <c r="V26" s="512">
        <f>SUMIFS(PURCHASE!$N$6:$N$10008,PURCHASE!$A$6:$A$10008,$R$2,PURCHASE!$H$6:$H$10008,$A$4:$A$2700)</f>
        <v>0</v>
      </c>
      <c r="W26" s="512">
        <f t="shared" si="15"/>
        <v>0</v>
      </c>
      <c r="X26" s="512">
        <f>SUMIFS(PURCHASE!$K$6:$K$10008,PURCHASE!$A$6:$A$10008,$W$2,PURCHASE!$H$6:$H$10008,$A$4:$A$2700)</f>
        <v>0</v>
      </c>
      <c r="Y26" s="512">
        <f>SUMIFS(PURCHASE!$L$6:$L$10008,PURCHASE!$A$6:$A$10008,$W$2,PURCHASE!$H$6:$H$10008,$A$4:$A$2700)</f>
        <v>0</v>
      </c>
      <c r="Z26" s="512">
        <f>SUMIFS(PURCHASE!$M$6:$M$10008,PURCHASE!$A$6:$A$10008,$W$2,PURCHASE!$H$6:$H$10008,$A$4:$A$2700)</f>
        <v>0</v>
      </c>
      <c r="AA26" s="512">
        <f>SUMIFS(PURCHASE!$N$6:$N$10008,PURCHASE!$A$6:$A$10008,$W$2,PURCHASE!$H$6:$H$10008,$A$4:$A$2700)</f>
        <v>0</v>
      </c>
      <c r="AB26" s="512">
        <f t="shared" si="16"/>
        <v>0</v>
      </c>
      <c r="AC26" s="512">
        <f>SUMIFS(PURCHASE!$K$6:$K$10008,PURCHASE!$A$6:$A$10008,$AB$2,PURCHASE!$H$6:$H$10008,$A$4:$A$2700)</f>
        <v>0</v>
      </c>
      <c r="AD26" s="512">
        <f>SUMIFS(PURCHASE!$L$6:$L$10008,PURCHASE!$A$6:$A$10008,$AB$2,PURCHASE!$H$6:$H$10008,$A$4:$A$2700)</f>
        <v>0</v>
      </c>
      <c r="AE26" s="512">
        <f>SUMIFS(PURCHASE!$M$6:$M$10008,PURCHASE!$A$6:$A$10008,$AB$2,PURCHASE!$H$6:$H$10008,$A$4:$A$2700)</f>
        <v>0</v>
      </c>
      <c r="AF26" s="512">
        <f>SUMIFS(PURCHASE!$N$6:$N$10008,PURCHASE!$A$6:$A$10008,$AB$2,PURCHASE!$H$6:$H$10008,$A$4:$A$2700)</f>
        <v>0</v>
      </c>
      <c r="AG26" s="512">
        <f t="shared" si="17"/>
        <v>0</v>
      </c>
      <c r="AH26" s="512">
        <f>SUMIFS(PURCHASE!$K$6:$K$10008,PURCHASE!$A$6:$A$10008,$AG$2,PURCHASE!$H$6:$H$10008,$A$4:$A$2700)</f>
        <v>0</v>
      </c>
      <c r="AI26" s="512">
        <f>SUMIFS(PURCHASE!$L$6:$L$10008,PURCHASE!$A$6:$A$10008,$AG$2,PURCHASE!$H$6:$H$10008,$A$4:$A$2700)</f>
        <v>0</v>
      </c>
      <c r="AJ26" s="512">
        <f>SUMIFS(PURCHASE!$M$6:$M$10008,PURCHASE!$A$6:$A$10008,$AG$2,PURCHASE!$H$6:$H$10008,$A$4:$A$2700)</f>
        <v>0</v>
      </c>
      <c r="AK26" s="512">
        <f>SUMIFS(PURCHASE!$N$6:$N$10008,PURCHASE!$A$6:$A$10008,$AG$2,PURCHASE!$H$6:$H$10008,$A$4:$A$2700)</f>
        <v>0</v>
      </c>
      <c r="AL26" s="512">
        <f t="shared" si="18"/>
        <v>0</v>
      </c>
      <c r="AM26" s="512">
        <f>SUMIFS(PURCHASE!$K$6:$K$10008,PURCHASE!$A$6:$A$10008,$AL$2,PURCHASE!$H$6:$H$10008,$A$4:$A$2700)</f>
        <v>0</v>
      </c>
      <c r="AN26" s="512">
        <f>SUMIFS(PURCHASE!$L$6:$L$10008,PURCHASE!$A$6:$A$10008,$AL$2,PURCHASE!$H$6:$H$10008,$A$4:$A$2700)</f>
        <v>0</v>
      </c>
      <c r="AO26" s="512">
        <f>SUMIFS(PURCHASE!$M$6:$M$10008,PURCHASE!$A$6:$A$10008,$AL$2,PURCHASE!$H$6:$H$10008,$A$4:$A$2700)</f>
        <v>0</v>
      </c>
      <c r="AP26" s="512">
        <f>SUMIFS(PURCHASE!$N$6:$N$10008,PURCHASE!$A$6:$A$10008,$AL$2,PURCHASE!$H$6:$H$10008,$A$4:$A$2700)</f>
        <v>0</v>
      </c>
      <c r="AQ26" s="512">
        <f t="shared" si="19"/>
        <v>0</v>
      </c>
      <c r="AR26" s="512">
        <f>SUMIFS(PURCHASE!$K$6:$K$10008,PURCHASE!$A$6:$A$10008,$AQ$2,PURCHASE!$H$6:$H$10008,$A$4:$A$2700)</f>
        <v>0</v>
      </c>
      <c r="AS26" s="512">
        <f>SUMIFS(PURCHASE!$L$6:$L$10008,PURCHASE!$A$6:$A$10008,$AQ$2,PURCHASE!$H$6:$H$10008,$A$4:$A$2700)</f>
        <v>0</v>
      </c>
      <c r="AT26" s="512">
        <f>SUMIFS(PURCHASE!$M$6:$M$10008,PURCHASE!$A$6:$A$10008,$AQ$2,PURCHASE!$H$6:$H$10008,$A$4:$A$2700)</f>
        <v>0</v>
      </c>
      <c r="AU26" s="512">
        <f>SUMIFS(PURCHASE!$N$6:$N$10008,PURCHASE!$A$6:$A$10008,$AQ$2,PURCHASE!$H$6:$H$10008,$A$4:$A$2700)</f>
        <v>0</v>
      </c>
      <c r="AV26" s="512">
        <f t="shared" si="20"/>
        <v>0</v>
      </c>
      <c r="AW26" s="512">
        <f>SUMIFS(PURCHASE!$K$6:$K$10008,PURCHASE!$A$6:$A$10008,$AV$2,PURCHASE!$H$6:$H$10008,$A$4:$A$2700)</f>
        <v>0</v>
      </c>
      <c r="AX26" s="512">
        <f>SUMIFS(PURCHASE!$L$6:$L$10008,PURCHASE!$A$6:$A$10008,$AV$2,PURCHASE!$H$6:$H$10008,$A$4:$A$2700)</f>
        <v>0</v>
      </c>
      <c r="AY26" s="512">
        <f>SUMIFS(PURCHASE!$M$6:$M$10008,PURCHASE!$A$6:$A$10008,$AV$2,PURCHASE!$H$6:$H$10008,$A$4:$A$2700)</f>
        <v>0</v>
      </c>
      <c r="AZ26" s="512">
        <f>SUMIFS(PURCHASE!$N$6:$N$10008,PURCHASE!$A$6:$A$10008,$AV$2,PURCHASE!$H$6:$H$10008,$A$4:$A$2700)</f>
        <v>0</v>
      </c>
      <c r="BA26" s="512">
        <f t="shared" si="21"/>
        <v>0</v>
      </c>
      <c r="BB26" s="512">
        <f>SUMIFS(PURCHASE!$K$6:$K$10008,PURCHASE!$A$6:$A$10008,$BA$2,PURCHASE!$H$6:$H$10008,$A$4:$A$2700)</f>
        <v>0</v>
      </c>
      <c r="BC26" s="512">
        <f>SUMIFS(PURCHASE!$L$6:$L$10008,PURCHASE!$A$6:$A$10008,$BA$2,PURCHASE!$H$6:$H$10008,$A$4:$A$2700)</f>
        <v>0</v>
      </c>
      <c r="BD26" s="512">
        <f>SUMIFS(PURCHASE!$M$6:$M$10008,PURCHASE!$A$6:$A$10008,$BA$2,PURCHASE!$H$6:$H$10008,$A$4:$A$2700)</f>
        <v>0</v>
      </c>
      <c r="BE26" s="512">
        <f>SUMIFS(PURCHASE!$N$6:$N$10008,PURCHASE!$A$6:$A$10008,$BA$2,PURCHASE!$H$6:$H$10008,$A$4:$A$2700)</f>
        <v>0</v>
      </c>
      <c r="BF26" s="512">
        <f t="shared" si="22"/>
        <v>0</v>
      </c>
      <c r="BG26" s="512">
        <f>SUMIFS(PURCHASE!$K$6:$K$10008,PURCHASE!$A$6:$A$10008,$BF$2,PURCHASE!$H$6:$H$10008,$A$4:$A$2700)</f>
        <v>0</v>
      </c>
      <c r="BH26" s="512">
        <f>SUMIFS(PURCHASE!$L$6:$L$10008,PURCHASE!$A$6:$A$10008,$BF$2,PURCHASE!$H$6:$H$10008,$A$4:$A$2700)</f>
        <v>0</v>
      </c>
      <c r="BI26" s="512">
        <f>SUMIFS(PURCHASE!$M$6:$M$10008,PURCHASE!$A$6:$A$10008,$BF$2,PURCHASE!$H$6:$H$10008,$A$4:$A$2700)</f>
        <v>0</v>
      </c>
      <c r="BJ26" s="512">
        <f>SUMIFS(PURCHASE!$N$6:$N$10008,PURCHASE!$A$6:$A$10008,$BF$2,PURCHASE!$H$6:$H$10008,$A$4:$A$2700)</f>
        <v>0</v>
      </c>
      <c r="BK26" s="72">
        <f t="shared" si="6"/>
        <v>0</v>
      </c>
      <c r="BL26" s="72">
        <f t="shared" si="7"/>
        <v>0</v>
      </c>
      <c r="BM26" s="72">
        <f t="shared" si="8"/>
        <v>0</v>
      </c>
      <c r="BN26" s="72">
        <f t="shared" si="9"/>
        <v>0</v>
      </c>
      <c r="BO26" s="72">
        <f t="shared" si="10"/>
        <v>0</v>
      </c>
    </row>
    <row r="27" spans="1:67" x14ac:dyDescent="0.2">
      <c r="A27" s="511">
        <v>3926</v>
      </c>
      <c r="B27" s="467" t="s">
        <v>1201</v>
      </c>
      <c r="C27" s="512">
        <f t="shared" si="11"/>
        <v>0</v>
      </c>
      <c r="D27" s="512">
        <f>SUMIFS(PURCHASE!$K$6:$K$10008,PURCHASE!$A$6:$A$10008,$M$2,PURCHASE!$H$6:$H$10008,$A$4:$A$2700)</f>
        <v>0</v>
      </c>
      <c r="E27" s="512">
        <f>SUMIFS(PURCHASE!$L$6:$L$10008,PURCHASE!$A$6:$A$10008,$M$2,PURCHASE!$H$6:$H$10008,$A$4:$A$2700)</f>
        <v>0</v>
      </c>
      <c r="F27" s="512">
        <f>SUMIFS(PURCHASE!$M$6:$M$10008,PURCHASE!$A$6:$A$10008,$M$2,PURCHASE!$H$6:$H$10008,$A$4:$A$2700)</f>
        <v>0</v>
      </c>
      <c r="G27" s="512">
        <f>SUMIFS(PURCHASE!$N$6:$N$10008,PURCHASE!$A$6:$A$10008,$M$2,PURCHASE!$H$6:$H$10008,$A$4:$A$2700)</f>
        <v>0</v>
      </c>
      <c r="H27" s="512">
        <f t="shared" si="12"/>
        <v>0</v>
      </c>
      <c r="I27" s="512">
        <f>SUMIFS(PURCHASE!$K$6:$K$10008,PURCHASE!$A$6:$A$10008,$H$2,PURCHASE!$H$6:$H$10008,$A$4:$A$2700)</f>
        <v>0</v>
      </c>
      <c r="J27" s="512">
        <f>SUMIFS(PURCHASE!$L$6:$L$10008,PURCHASE!$A$6:$A$10008,$H$2,PURCHASE!$H$6:$H$10008,$A$4:$A$2700)</f>
        <v>0</v>
      </c>
      <c r="K27" s="512">
        <f>SUMIFS(PURCHASE!$M$6:$M$10008,PURCHASE!$A$6:$A$10008,$H$2,PURCHASE!$H$6:$H$10008,$A$4:$A$2700)</f>
        <v>0</v>
      </c>
      <c r="L27" s="512">
        <f>SUMIFS(PURCHASE!$N$6:$N$10008,PURCHASE!$A$6:$A$10008,$H$2,PURCHASE!$H$6:$H$10008,$A$4:$A$2700)</f>
        <v>0</v>
      </c>
      <c r="M27" s="512">
        <f t="shared" si="13"/>
        <v>0</v>
      </c>
      <c r="N27" s="512">
        <f>SUMIFS(PURCHASE!$K$6:$K$10008,PURCHASE!$A$6:$A$10008,$M$2,PURCHASE!$H$6:$H$10008,$A$4:$A$2700)</f>
        <v>0</v>
      </c>
      <c r="O27" s="512">
        <f>SUMIFS(PURCHASE!$L$6:$L$10008,PURCHASE!$A$6:$A$10008,$M$2,PURCHASE!$H$6:$H$10008,$A$4:$A$2700)</f>
        <v>0</v>
      </c>
      <c r="P27" s="512">
        <f>SUMIFS(PURCHASE!$M$6:$M$10008,PURCHASE!$A$6:$A$10008,$M$2,PURCHASE!$H$6:$H$10008,$A$4:$A$2700)</f>
        <v>0</v>
      </c>
      <c r="Q27" s="512">
        <f>SUMIFS(PURCHASE!$N$6:$N$10008,PURCHASE!$A$6:$A$10008,$M$2,PURCHASE!$H$6:$H$10008,$A$4:$A$2700)</f>
        <v>0</v>
      </c>
      <c r="R27" s="512">
        <f t="shared" si="14"/>
        <v>0</v>
      </c>
      <c r="S27" s="512">
        <f>SUMIFS(PURCHASE!$K$6:$K$10008,PURCHASE!$A$6:$A$10008,$R$2,PURCHASE!$H$6:$H$10008,$A$4:$A$2700)</f>
        <v>0</v>
      </c>
      <c r="T27" s="512">
        <f>SUMIFS(PURCHASE!$L$6:$L$10008,PURCHASE!$A$6:$A$10008,$R$2,PURCHASE!$H$6:$H$10008,$A$4:$A$2700)</f>
        <v>0</v>
      </c>
      <c r="U27" s="512">
        <f>SUMIFS(PURCHASE!$M$6:$M$10008,PURCHASE!$A$6:$A$10008,$R$2,PURCHASE!$H$6:$H$10008,$A$4:$A$2700)</f>
        <v>0</v>
      </c>
      <c r="V27" s="512">
        <f>SUMIFS(PURCHASE!$N$6:$N$10008,PURCHASE!$A$6:$A$10008,$R$2,PURCHASE!$H$6:$H$10008,$A$4:$A$2700)</f>
        <v>0</v>
      </c>
      <c r="W27" s="512">
        <f t="shared" si="15"/>
        <v>0</v>
      </c>
      <c r="X27" s="512">
        <f>SUMIFS(PURCHASE!$K$6:$K$10008,PURCHASE!$A$6:$A$10008,$W$2,PURCHASE!$H$6:$H$10008,$A$4:$A$2700)</f>
        <v>0</v>
      </c>
      <c r="Y27" s="512">
        <f>SUMIFS(PURCHASE!$L$6:$L$10008,PURCHASE!$A$6:$A$10008,$W$2,PURCHASE!$H$6:$H$10008,$A$4:$A$2700)</f>
        <v>0</v>
      </c>
      <c r="Z27" s="512">
        <f>SUMIFS(PURCHASE!$M$6:$M$10008,PURCHASE!$A$6:$A$10008,$W$2,PURCHASE!$H$6:$H$10008,$A$4:$A$2700)</f>
        <v>0</v>
      </c>
      <c r="AA27" s="512">
        <f>SUMIFS(PURCHASE!$N$6:$N$10008,PURCHASE!$A$6:$A$10008,$W$2,PURCHASE!$H$6:$H$10008,$A$4:$A$2700)</f>
        <v>0</v>
      </c>
      <c r="AB27" s="512">
        <f t="shared" si="16"/>
        <v>1483.2600000000002</v>
      </c>
      <c r="AC27" s="512">
        <f>SUMIFS(PURCHASE!$K$6:$K$10008,PURCHASE!$A$6:$A$10008,$AB$2,PURCHASE!$H$6:$H$10008,$A$4:$A$2700)</f>
        <v>1257</v>
      </c>
      <c r="AD27" s="512">
        <f>SUMIFS(PURCHASE!$L$6:$L$10008,PURCHASE!$A$6:$A$10008,$AB$2,PURCHASE!$H$6:$H$10008,$A$4:$A$2700)</f>
        <v>0</v>
      </c>
      <c r="AE27" s="512">
        <f>SUMIFS(PURCHASE!$M$6:$M$10008,PURCHASE!$A$6:$A$10008,$AB$2,PURCHASE!$H$6:$H$10008,$A$4:$A$2700)</f>
        <v>113.13000000000001</v>
      </c>
      <c r="AF27" s="512">
        <f>SUMIFS(PURCHASE!$N$6:$N$10008,PURCHASE!$A$6:$A$10008,$AB$2,PURCHASE!$H$6:$H$10008,$A$4:$A$2700)</f>
        <v>113.13000000000001</v>
      </c>
      <c r="AG27" s="512">
        <f t="shared" si="17"/>
        <v>0</v>
      </c>
      <c r="AH27" s="512">
        <f>SUMIFS(PURCHASE!$K$6:$K$10008,PURCHASE!$A$6:$A$10008,$AG$2,PURCHASE!$H$6:$H$10008,$A$4:$A$2700)</f>
        <v>0</v>
      </c>
      <c r="AI27" s="512">
        <f>SUMIFS(PURCHASE!$L$6:$L$10008,PURCHASE!$A$6:$A$10008,$AG$2,PURCHASE!$H$6:$H$10008,$A$4:$A$2700)</f>
        <v>0</v>
      </c>
      <c r="AJ27" s="512">
        <f>SUMIFS(PURCHASE!$M$6:$M$10008,PURCHASE!$A$6:$A$10008,$AG$2,PURCHASE!$H$6:$H$10008,$A$4:$A$2700)</f>
        <v>0</v>
      </c>
      <c r="AK27" s="512">
        <f>SUMIFS(PURCHASE!$N$6:$N$10008,PURCHASE!$A$6:$A$10008,$AG$2,PURCHASE!$H$6:$H$10008,$A$4:$A$2700)</f>
        <v>0</v>
      </c>
      <c r="AL27" s="512">
        <f t="shared" si="18"/>
        <v>873.2</v>
      </c>
      <c r="AM27" s="512">
        <f>SUMIFS(PURCHASE!$K$6:$K$10008,PURCHASE!$A$6:$A$10008,$AL$2,PURCHASE!$H$6:$H$10008,$A$4:$A$2700)</f>
        <v>740</v>
      </c>
      <c r="AN27" s="512">
        <f>SUMIFS(PURCHASE!$L$6:$L$10008,PURCHASE!$A$6:$A$10008,$AL$2,PURCHASE!$H$6:$H$10008,$A$4:$A$2700)</f>
        <v>0</v>
      </c>
      <c r="AO27" s="512">
        <f>SUMIFS(PURCHASE!$M$6:$M$10008,PURCHASE!$A$6:$A$10008,$AL$2,PURCHASE!$H$6:$H$10008,$A$4:$A$2700)</f>
        <v>66.600000000000009</v>
      </c>
      <c r="AP27" s="512">
        <f>SUMIFS(PURCHASE!$N$6:$N$10008,PURCHASE!$A$6:$A$10008,$AL$2,PURCHASE!$H$6:$H$10008,$A$4:$A$2700)</f>
        <v>66.600000000000009</v>
      </c>
      <c r="AQ27" s="512">
        <f t="shared" si="19"/>
        <v>269.74799999999999</v>
      </c>
      <c r="AR27" s="512">
        <f>SUMIFS(PURCHASE!$K$6:$K$10008,PURCHASE!$A$6:$A$10008,$AQ$2,PURCHASE!$H$6:$H$10008,$A$4:$A$2700)</f>
        <v>228.6</v>
      </c>
      <c r="AS27" s="512">
        <f>SUMIFS(PURCHASE!$L$6:$L$10008,PURCHASE!$A$6:$A$10008,$AQ$2,PURCHASE!$H$6:$H$10008,$A$4:$A$2700)</f>
        <v>0</v>
      </c>
      <c r="AT27" s="512">
        <f>SUMIFS(PURCHASE!$M$6:$M$10008,PURCHASE!$A$6:$A$10008,$AQ$2,PURCHASE!$H$6:$H$10008,$A$4:$A$2700)</f>
        <v>20.574000000000002</v>
      </c>
      <c r="AU27" s="512">
        <f>SUMIFS(PURCHASE!$N$6:$N$10008,PURCHASE!$A$6:$A$10008,$AQ$2,PURCHASE!$H$6:$H$10008,$A$4:$A$2700)</f>
        <v>20.574000000000002</v>
      </c>
      <c r="AV27" s="512">
        <f t="shared" si="20"/>
        <v>0</v>
      </c>
      <c r="AW27" s="512">
        <f>SUMIFS(PURCHASE!$K$6:$K$10008,PURCHASE!$A$6:$A$10008,$AV$2,PURCHASE!$H$6:$H$10008,$A$4:$A$2700)</f>
        <v>0</v>
      </c>
      <c r="AX27" s="512">
        <f>SUMIFS(PURCHASE!$L$6:$L$10008,PURCHASE!$A$6:$A$10008,$AV$2,PURCHASE!$H$6:$H$10008,$A$4:$A$2700)</f>
        <v>0</v>
      </c>
      <c r="AY27" s="512">
        <f>SUMIFS(PURCHASE!$M$6:$M$10008,PURCHASE!$A$6:$A$10008,$AV$2,PURCHASE!$H$6:$H$10008,$A$4:$A$2700)</f>
        <v>0</v>
      </c>
      <c r="AZ27" s="512">
        <f>SUMIFS(PURCHASE!$N$6:$N$10008,PURCHASE!$A$6:$A$10008,$AV$2,PURCHASE!$H$6:$H$10008,$A$4:$A$2700)</f>
        <v>0</v>
      </c>
      <c r="BA27" s="512">
        <f t="shared" si="21"/>
        <v>0</v>
      </c>
      <c r="BB27" s="512">
        <f>SUMIFS(PURCHASE!$K$6:$K$10008,PURCHASE!$A$6:$A$10008,$BA$2,PURCHASE!$H$6:$H$10008,$A$4:$A$2700)</f>
        <v>0</v>
      </c>
      <c r="BC27" s="512">
        <f>SUMIFS(PURCHASE!$L$6:$L$10008,PURCHASE!$A$6:$A$10008,$BA$2,PURCHASE!$H$6:$H$10008,$A$4:$A$2700)</f>
        <v>0</v>
      </c>
      <c r="BD27" s="512">
        <f>SUMIFS(PURCHASE!$M$6:$M$10008,PURCHASE!$A$6:$A$10008,$BA$2,PURCHASE!$H$6:$H$10008,$A$4:$A$2700)</f>
        <v>0</v>
      </c>
      <c r="BE27" s="512">
        <f>SUMIFS(PURCHASE!$N$6:$N$10008,PURCHASE!$A$6:$A$10008,$BA$2,PURCHASE!$H$6:$H$10008,$A$4:$A$2700)</f>
        <v>0</v>
      </c>
      <c r="BF27" s="512">
        <f t="shared" si="22"/>
        <v>0</v>
      </c>
      <c r="BG27" s="512">
        <f>SUMIFS(PURCHASE!$K$6:$K$10008,PURCHASE!$A$6:$A$10008,$BF$2,PURCHASE!$H$6:$H$10008,$A$4:$A$2700)</f>
        <v>0</v>
      </c>
      <c r="BH27" s="512">
        <f>SUMIFS(PURCHASE!$L$6:$L$10008,PURCHASE!$A$6:$A$10008,$BF$2,PURCHASE!$H$6:$H$10008,$A$4:$A$2700)</f>
        <v>0</v>
      </c>
      <c r="BI27" s="512">
        <f>SUMIFS(PURCHASE!$M$6:$M$10008,PURCHASE!$A$6:$A$10008,$BF$2,PURCHASE!$H$6:$H$10008,$A$4:$A$2700)</f>
        <v>0</v>
      </c>
      <c r="BJ27" s="512">
        <f>SUMIFS(PURCHASE!$N$6:$N$10008,PURCHASE!$A$6:$A$10008,$BF$2,PURCHASE!$H$6:$H$10008,$A$4:$A$2700)</f>
        <v>0</v>
      </c>
      <c r="BK27" s="72">
        <f t="shared" si="6"/>
        <v>2626.2080000000001</v>
      </c>
      <c r="BL27" s="72">
        <f t="shared" si="7"/>
        <v>2225.6</v>
      </c>
      <c r="BM27" s="72">
        <f t="shared" si="8"/>
        <v>0</v>
      </c>
      <c r="BN27" s="72">
        <f t="shared" si="9"/>
        <v>200.30400000000003</v>
      </c>
      <c r="BO27" s="72">
        <f t="shared" si="10"/>
        <v>200.30400000000003</v>
      </c>
    </row>
    <row r="28" spans="1:67" x14ac:dyDescent="0.2">
      <c r="A28" s="511">
        <v>4417</v>
      </c>
      <c r="B28" s="467" t="s">
        <v>1202</v>
      </c>
      <c r="C28" s="512">
        <f t="shared" si="11"/>
        <v>0</v>
      </c>
      <c r="D28" s="512">
        <f>SUMIFS(PURCHASE!$K$6:$K$10008,PURCHASE!$A$6:$A$10008,$M$2,PURCHASE!$H$6:$H$10008,$A$4:$A$2700)</f>
        <v>0</v>
      </c>
      <c r="E28" s="512">
        <f>SUMIFS(PURCHASE!$L$6:$L$10008,PURCHASE!$A$6:$A$10008,$M$2,PURCHASE!$H$6:$H$10008,$A$4:$A$2700)</f>
        <v>0</v>
      </c>
      <c r="F28" s="512">
        <f>SUMIFS(PURCHASE!$M$6:$M$10008,PURCHASE!$A$6:$A$10008,$M$2,PURCHASE!$H$6:$H$10008,$A$4:$A$2700)</f>
        <v>0</v>
      </c>
      <c r="G28" s="512">
        <f>SUMIFS(PURCHASE!$N$6:$N$10008,PURCHASE!$A$6:$A$10008,$M$2,PURCHASE!$H$6:$H$10008,$A$4:$A$2700)</f>
        <v>0</v>
      </c>
      <c r="H28" s="512">
        <f t="shared" si="12"/>
        <v>3066.5600000000004</v>
      </c>
      <c r="I28" s="512">
        <f>SUMIFS(PURCHASE!$K$6:$K$10008,PURCHASE!$A$6:$A$10008,$H$2,PURCHASE!$H$6:$H$10008,$A$4:$A$2700)</f>
        <v>2738</v>
      </c>
      <c r="J28" s="512">
        <f>SUMIFS(PURCHASE!$L$6:$L$10008,PURCHASE!$A$6:$A$10008,$H$2,PURCHASE!$H$6:$H$10008,$A$4:$A$2700)</f>
        <v>0</v>
      </c>
      <c r="K28" s="512">
        <f>SUMIFS(PURCHASE!$M$6:$M$10008,PURCHASE!$A$6:$A$10008,$H$2,PURCHASE!$H$6:$H$10008,$A$4:$A$2700)</f>
        <v>164.28</v>
      </c>
      <c r="L28" s="512">
        <f>SUMIFS(PURCHASE!$N$6:$N$10008,PURCHASE!$A$6:$A$10008,$H$2,PURCHASE!$H$6:$H$10008,$A$4:$A$2700)</f>
        <v>164.28</v>
      </c>
      <c r="M28" s="512">
        <f t="shared" si="13"/>
        <v>0</v>
      </c>
      <c r="N28" s="512">
        <f>SUMIFS(PURCHASE!$K$6:$K$10008,PURCHASE!$A$6:$A$10008,$M$2,PURCHASE!$H$6:$H$10008,$A$4:$A$2700)</f>
        <v>0</v>
      </c>
      <c r="O28" s="512">
        <f>SUMIFS(PURCHASE!$L$6:$L$10008,PURCHASE!$A$6:$A$10008,$M$2,PURCHASE!$H$6:$H$10008,$A$4:$A$2700)</f>
        <v>0</v>
      </c>
      <c r="P28" s="512">
        <f>SUMIFS(PURCHASE!$M$6:$M$10008,PURCHASE!$A$6:$A$10008,$M$2,PURCHASE!$H$6:$H$10008,$A$4:$A$2700)</f>
        <v>0</v>
      </c>
      <c r="Q28" s="512">
        <f>SUMIFS(PURCHASE!$N$6:$N$10008,PURCHASE!$A$6:$A$10008,$M$2,PURCHASE!$H$6:$H$10008,$A$4:$A$2700)</f>
        <v>0</v>
      </c>
      <c r="R28" s="512">
        <f t="shared" si="14"/>
        <v>0</v>
      </c>
      <c r="S28" s="512">
        <f>SUMIFS(PURCHASE!$K$6:$K$10008,PURCHASE!$A$6:$A$10008,$R$2,PURCHASE!$H$6:$H$10008,$A$4:$A$2700)</f>
        <v>0</v>
      </c>
      <c r="T28" s="512">
        <f>SUMIFS(PURCHASE!$L$6:$L$10008,PURCHASE!$A$6:$A$10008,$R$2,PURCHASE!$H$6:$H$10008,$A$4:$A$2700)</f>
        <v>0</v>
      </c>
      <c r="U28" s="512">
        <f>SUMIFS(PURCHASE!$M$6:$M$10008,PURCHASE!$A$6:$A$10008,$R$2,PURCHASE!$H$6:$H$10008,$A$4:$A$2700)</f>
        <v>0</v>
      </c>
      <c r="V28" s="512">
        <f>SUMIFS(PURCHASE!$N$6:$N$10008,PURCHASE!$A$6:$A$10008,$R$2,PURCHASE!$H$6:$H$10008,$A$4:$A$2700)</f>
        <v>0</v>
      </c>
      <c r="W28" s="512">
        <f t="shared" si="15"/>
        <v>0</v>
      </c>
      <c r="X28" s="512">
        <f>SUMIFS(PURCHASE!$K$6:$K$10008,PURCHASE!$A$6:$A$10008,$W$2,PURCHASE!$H$6:$H$10008,$A$4:$A$2700)</f>
        <v>0</v>
      </c>
      <c r="Y28" s="512">
        <f>SUMIFS(PURCHASE!$L$6:$L$10008,PURCHASE!$A$6:$A$10008,$W$2,PURCHASE!$H$6:$H$10008,$A$4:$A$2700)</f>
        <v>0</v>
      </c>
      <c r="Z28" s="512">
        <f>SUMIFS(PURCHASE!$M$6:$M$10008,PURCHASE!$A$6:$A$10008,$W$2,PURCHASE!$H$6:$H$10008,$A$4:$A$2700)</f>
        <v>0</v>
      </c>
      <c r="AA28" s="512">
        <f>SUMIFS(PURCHASE!$N$6:$N$10008,PURCHASE!$A$6:$A$10008,$W$2,PURCHASE!$H$6:$H$10008,$A$4:$A$2700)</f>
        <v>0</v>
      </c>
      <c r="AB28" s="512">
        <f t="shared" si="16"/>
        <v>0</v>
      </c>
      <c r="AC28" s="512">
        <f>SUMIFS(PURCHASE!$K$6:$K$10008,PURCHASE!$A$6:$A$10008,$AB$2,PURCHASE!$H$6:$H$10008,$A$4:$A$2700)</f>
        <v>0</v>
      </c>
      <c r="AD28" s="512">
        <f>SUMIFS(PURCHASE!$L$6:$L$10008,PURCHASE!$A$6:$A$10008,$AB$2,PURCHASE!$H$6:$H$10008,$A$4:$A$2700)</f>
        <v>0</v>
      </c>
      <c r="AE28" s="512">
        <f>SUMIFS(PURCHASE!$M$6:$M$10008,PURCHASE!$A$6:$A$10008,$AB$2,PURCHASE!$H$6:$H$10008,$A$4:$A$2700)</f>
        <v>0</v>
      </c>
      <c r="AF28" s="512">
        <f>SUMIFS(PURCHASE!$N$6:$N$10008,PURCHASE!$A$6:$A$10008,$AB$2,PURCHASE!$H$6:$H$10008,$A$4:$A$2700)</f>
        <v>0</v>
      </c>
      <c r="AG28" s="512">
        <f t="shared" si="17"/>
        <v>0</v>
      </c>
      <c r="AH28" s="512">
        <f>SUMIFS(PURCHASE!$K$6:$K$10008,PURCHASE!$A$6:$A$10008,$AG$2,PURCHASE!$H$6:$H$10008,$A$4:$A$2700)</f>
        <v>0</v>
      </c>
      <c r="AI28" s="512">
        <f>SUMIFS(PURCHASE!$L$6:$L$10008,PURCHASE!$A$6:$A$10008,$AG$2,PURCHASE!$H$6:$H$10008,$A$4:$A$2700)</f>
        <v>0</v>
      </c>
      <c r="AJ28" s="512">
        <f>SUMIFS(PURCHASE!$M$6:$M$10008,PURCHASE!$A$6:$A$10008,$AG$2,PURCHASE!$H$6:$H$10008,$A$4:$A$2700)</f>
        <v>0</v>
      </c>
      <c r="AK28" s="512">
        <f>SUMIFS(PURCHASE!$N$6:$N$10008,PURCHASE!$A$6:$A$10008,$AG$2,PURCHASE!$H$6:$H$10008,$A$4:$A$2700)</f>
        <v>0</v>
      </c>
      <c r="AL28" s="512">
        <f t="shared" si="18"/>
        <v>0</v>
      </c>
      <c r="AM28" s="512">
        <f>SUMIFS(PURCHASE!$K$6:$K$10008,PURCHASE!$A$6:$A$10008,$AL$2,PURCHASE!$H$6:$H$10008,$A$4:$A$2700)</f>
        <v>0</v>
      </c>
      <c r="AN28" s="512">
        <f>SUMIFS(PURCHASE!$L$6:$L$10008,PURCHASE!$A$6:$A$10008,$AL$2,PURCHASE!$H$6:$H$10008,$A$4:$A$2700)</f>
        <v>0</v>
      </c>
      <c r="AO28" s="512">
        <f>SUMIFS(PURCHASE!$M$6:$M$10008,PURCHASE!$A$6:$A$10008,$AL$2,PURCHASE!$H$6:$H$10008,$A$4:$A$2700)</f>
        <v>0</v>
      </c>
      <c r="AP28" s="512">
        <f>SUMIFS(PURCHASE!$N$6:$N$10008,PURCHASE!$A$6:$A$10008,$AL$2,PURCHASE!$H$6:$H$10008,$A$4:$A$2700)</f>
        <v>0</v>
      </c>
      <c r="AQ28" s="512">
        <f t="shared" si="19"/>
        <v>0</v>
      </c>
      <c r="AR28" s="512">
        <f>SUMIFS(PURCHASE!$K$6:$K$10008,PURCHASE!$A$6:$A$10008,$AQ$2,PURCHASE!$H$6:$H$10008,$A$4:$A$2700)</f>
        <v>0</v>
      </c>
      <c r="AS28" s="512">
        <f>SUMIFS(PURCHASE!$L$6:$L$10008,PURCHASE!$A$6:$A$10008,$AQ$2,PURCHASE!$H$6:$H$10008,$A$4:$A$2700)</f>
        <v>0</v>
      </c>
      <c r="AT28" s="512">
        <f>SUMIFS(PURCHASE!$M$6:$M$10008,PURCHASE!$A$6:$A$10008,$AQ$2,PURCHASE!$H$6:$H$10008,$A$4:$A$2700)</f>
        <v>0</v>
      </c>
      <c r="AU28" s="512">
        <f>SUMIFS(PURCHASE!$N$6:$N$10008,PURCHASE!$A$6:$A$10008,$AQ$2,PURCHASE!$H$6:$H$10008,$A$4:$A$2700)</f>
        <v>0</v>
      </c>
      <c r="AV28" s="512">
        <f t="shared" si="20"/>
        <v>0</v>
      </c>
      <c r="AW28" s="512">
        <f>SUMIFS(PURCHASE!$K$6:$K$10008,PURCHASE!$A$6:$A$10008,$AV$2,PURCHASE!$H$6:$H$10008,$A$4:$A$2700)</f>
        <v>0</v>
      </c>
      <c r="AX28" s="512">
        <f>SUMIFS(PURCHASE!$L$6:$L$10008,PURCHASE!$A$6:$A$10008,$AV$2,PURCHASE!$H$6:$H$10008,$A$4:$A$2700)</f>
        <v>0</v>
      </c>
      <c r="AY28" s="512">
        <f>SUMIFS(PURCHASE!$M$6:$M$10008,PURCHASE!$A$6:$A$10008,$AV$2,PURCHASE!$H$6:$H$10008,$A$4:$A$2700)</f>
        <v>0</v>
      </c>
      <c r="AZ28" s="512">
        <f>SUMIFS(PURCHASE!$N$6:$N$10008,PURCHASE!$A$6:$A$10008,$AV$2,PURCHASE!$H$6:$H$10008,$A$4:$A$2700)</f>
        <v>0</v>
      </c>
      <c r="BA28" s="512">
        <f t="shared" si="21"/>
        <v>0</v>
      </c>
      <c r="BB28" s="512">
        <f>SUMIFS(PURCHASE!$K$6:$K$10008,PURCHASE!$A$6:$A$10008,$BA$2,PURCHASE!$H$6:$H$10008,$A$4:$A$2700)</f>
        <v>0</v>
      </c>
      <c r="BC28" s="512">
        <f>SUMIFS(PURCHASE!$L$6:$L$10008,PURCHASE!$A$6:$A$10008,$BA$2,PURCHASE!$H$6:$H$10008,$A$4:$A$2700)</f>
        <v>0</v>
      </c>
      <c r="BD28" s="512">
        <f>SUMIFS(PURCHASE!$M$6:$M$10008,PURCHASE!$A$6:$A$10008,$BA$2,PURCHASE!$H$6:$H$10008,$A$4:$A$2700)</f>
        <v>0</v>
      </c>
      <c r="BE28" s="512">
        <f>SUMIFS(PURCHASE!$N$6:$N$10008,PURCHASE!$A$6:$A$10008,$BA$2,PURCHASE!$H$6:$H$10008,$A$4:$A$2700)</f>
        <v>0</v>
      </c>
      <c r="BF28" s="512">
        <f t="shared" si="22"/>
        <v>0</v>
      </c>
      <c r="BG28" s="512">
        <f>SUMIFS(PURCHASE!$K$6:$K$10008,PURCHASE!$A$6:$A$10008,$BF$2,PURCHASE!$H$6:$H$10008,$A$4:$A$2700)</f>
        <v>0</v>
      </c>
      <c r="BH28" s="512">
        <f>SUMIFS(PURCHASE!$L$6:$L$10008,PURCHASE!$A$6:$A$10008,$BF$2,PURCHASE!$H$6:$H$10008,$A$4:$A$2700)</f>
        <v>0</v>
      </c>
      <c r="BI28" s="512">
        <f>SUMIFS(PURCHASE!$M$6:$M$10008,PURCHASE!$A$6:$A$10008,$BF$2,PURCHASE!$H$6:$H$10008,$A$4:$A$2700)</f>
        <v>0</v>
      </c>
      <c r="BJ28" s="512">
        <f>SUMIFS(PURCHASE!$N$6:$N$10008,PURCHASE!$A$6:$A$10008,$BF$2,PURCHASE!$H$6:$H$10008,$A$4:$A$2700)</f>
        <v>0</v>
      </c>
      <c r="BK28" s="72">
        <f t="shared" si="6"/>
        <v>3066.5600000000004</v>
      </c>
      <c r="BL28" s="72">
        <f t="shared" si="7"/>
        <v>2738</v>
      </c>
      <c r="BM28" s="72">
        <f t="shared" si="8"/>
        <v>0</v>
      </c>
      <c r="BN28" s="72">
        <f t="shared" si="9"/>
        <v>164.28</v>
      </c>
      <c r="BO28" s="72">
        <f t="shared" si="10"/>
        <v>164.28</v>
      </c>
    </row>
    <row r="29" spans="1:67" x14ac:dyDescent="0.2">
      <c r="A29" s="511">
        <v>4820</v>
      </c>
      <c r="B29" s="467" t="s">
        <v>1203</v>
      </c>
      <c r="C29" s="512">
        <f t="shared" si="11"/>
        <v>106.19999999999999</v>
      </c>
      <c r="D29" s="512">
        <f>SUMIFS(PURCHASE!$K$6:$K$10008,PURCHASE!$A$6:$A$10008,$M$2,PURCHASE!$H$6:$H$10008,$A$4:$A$2700)</f>
        <v>90</v>
      </c>
      <c r="E29" s="512">
        <f>SUMIFS(PURCHASE!$L$6:$L$10008,PURCHASE!$A$6:$A$10008,$M$2,PURCHASE!$H$6:$H$10008,$A$4:$A$2700)</f>
        <v>0</v>
      </c>
      <c r="F29" s="512">
        <f>SUMIFS(PURCHASE!$M$6:$M$10008,PURCHASE!$A$6:$A$10008,$M$2,PURCHASE!$H$6:$H$10008,$A$4:$A$2700)</f>
        <v>8.1</v>
      </c>
      <c r="G29" s="512">
        <f>SUMIFS(PURCHASE!$N$6:$N$10008,PURCHASE!$A$6:$A$10008,$M$2,PURCHASE!$H$6:$H$10008,$A$4:$A$2700)</f>
        <v>8.1</v>
      </c>
      <c r="H29" s="512">
        <f t="shared" si="12"/>
        <v>0</v>
      </c>
      <c r="I29" s="512">
        <f>SUMIFS(PURCHASE!$K$6:$K$10008,PURCHASE!$A$6:$A$10008,$H$2,PURCHASE!$H$6:$H$10008,$A$4:$A$2700)</f>
        <v>0</v>
      </c>
      <c r="J29" s="512">
        <f>SUMIFS(PURCHASE!$L$6:$L$10008,PURCHASE!$A$6:$A$10008,$H$2,PURCHASE!$H$6:$H$10008,$A$4:$A$2700)</f>
        <v>0</v>
      </c>
      <c r="K29" s="512">
        <f>SUMIFS(PURCHASE!$M$6:$M$10008,PURCHASE!$A$6:$A$10008,$H$2,PURCHASE!$H$6:$H$10008,$A$4:$A$2700)</f>
        <v>0</v>
      </c>
      <c r="L29" s="512">
        <f>SUMIFS(PURCHASE!$N$6:$N$10008,PURCHASE!$A$6:$A$10008,$H$2,PURCHASE!$H$6:$H$10008,$A$4:$A$2700)</f>
        <v>0</v>
      </c>
      <c r="M29" s="512">
        <f t="shared" si="13"/>
        <v>106.19999999999999</v>
      </c>
      <c r="N29" s="512">
        <f>SUMIFS(PURCHASE!$K$6:$K$10008,PURCHASE!$A$6:$A$10008,$M$2,PURCHASE!$H$6:$H$10008,$A$4:$A$2700)</f>
        <v>90</v>
      </c>
      <c r="O29" s="512">
        <f>SUMIFS(PURCHASE!$L$6:$L$10008,PURCHASE!$A$6:$A$10008,$M$2,PURCHASE!$H$6:$H$10008,$A$4:$A$2700)</f>
        <v>0</v>
      </c>
      <c r="P29" s="512">
        <f>SUMIFS(PURCHASE!$M$6:$M$10008,PURCHASE!$A$6:$A$10008,$M$2,PURCHASE!$H$6:$H$10008,$A$4:$A$2700)</f>
        <v>8.1</v>
      </c>
      <c r="Q29" s="512">
        <f>SUMIFS(PURCHASE!$N$6:$N$10008,PURCHASE!$A$6:$A$10008,$M$2,PURCHASE!$H$6:$H$10008,$A$4:$A$2700)</f>
        <v>8.1</v>
      </c>
      <c r="R29" s="512">
        <f t="shared" si="14"/>
        <v>0</v>
      </c>
      <c r="S29" s="512">
        <f>SUMIFS(PURCHASE!$K$6:$K$10008,PURCHASE!$A$6:$A$10008,$R$2,PURCHASE!$H$6:$H$10008,$A$4:$A$2700)</f>
        <v>0</v>
      </c>
      <c r="T29" s="512">
        <f>SUMIFS(PURCHASE!$L$6:$L$10008,PURCHASE!$A$6:$A$10008,$R$2,PURCHASE!$H$6:$H$10008,$A$4:$A$2700)</f>
        <v>0</v>
      </c>
      <c r="U29" s="512">
        <f>SUMIFS(PURCHASE!$M$6:$M$10008,PURCHASE!$A$6:$A$10008,$R$2,PURCHASE!$H$6:$H$10008,$A$4:$A$2700)</f>
        <v>0</v>
      </c>
      <c r="V29" s="512">
        <f>SUMIFS(PURCHASE!$N$6:$N$10008,PURCHASE!$A$6:$A$10008,$R$2,PURCHASE!$H$6:$H$10008,$A$4:$A$2700)</f>
        <v>0</v>
      </c>
      <c r="W29" s="512">
        <f t="shared" si="15"/>
        <v>0</v>
      </c>
      <c r="X29" s="512">
        <f>SUMIFS(PURCHASE!$K$6:$K$10008,PURCHASE!$A$6:$A$10008,$W$2,PURCHASE!$H$6:$H$10008,$A$4:$A$2700)</f>
        <v>0</v>
      </c>
      <c r="Y29" s="512">
        <f>SUMIFS(PURCHASE!$L$6:$L$10008,PURCHASE!$A$6:$A$10008,$W$2,PURCHASE!$H$6:$H$10008,$A$4:$A$2700)</f>
        <v>0</v>
      </c>
      <c r="Z29" s="512">
        <f>SUMIFS(PURCHASE!$M$6:$M$10008,PURCHASE!$A$6:$A$10008,$W$2,PURCHASE!$H$6:$H$10008,$A$4:$A$2700)</f>
        <v>0</v>
      </c>
      <c r="AA29" s="512">
        <f>SUMIFS(PURCHASE!$N$6:$N$10008,PURCHASE!$A$6:$A$10008,$W$2,PURCHASE!$H$6:$H$10008,$A$4:$A$2700)</f>
        <v>0</v>
      </c>
      <c r="AB29" s="512">
        <f t="shared" si="16"/>
        <v>354</v>
      </c>
      <c r="AC29" s="512">
        <f>SUMIFS(PURCHASE!$K$6:$K$10008,PURCHASE!$A$6:$A$10008,$AB$2,PURCHASE!$H$6:$H$10008,$A$4:$A$2700)</f>
        <v>300</v>
      </c>
      <c r="AD29" s="512">
        <f>SUMIFS(PURCHASE!$L$6:$L$10008,PURCHASE!$A$6:$A$10008,$AB$2,PURCHASE!$H$6:$H$10008,$A$4:$A$2700)</f>
        <v>0</v>
      </c>
      <c r="AE29" s="512">
        <f>SUMIFS(PURCHASE!$M$6:$M$10008,PURCHASE!$A$6:$A$10008,$AB$2,PURCHASE!$H$6:$H$10008,$A$4:$A$2700)</f>
        <v>27</v>
      </c>
      <c r="AF29" s="512">
        <f>SUMIFS(PURCHASE!$N$6:$N$10008,PURCHASE!$A$6:$A$10008,$AB$2,PURCHASE!$H$6:$H$10008,$A$4:$A$2700)</f>
        <v>27</v>
      </c>
      <c r="AG29" s="512">
        <f t="shared" si="17"/>
        <v>0</v>
      </c>
      <c r="AH29" s="512">
        <f>SUMIFS(PURCHASE!$K$6:$K$10008,PURCHASE!$A$6:$A$10008,$AG$2,PURCHASE!$H$6:$H$10008,$A$4:$A$2700)</f>
        <v>0</v>
      </c>
      <c r="AI29" s="512">
        <f>SUMIFS(PURCHASE!$L$6:$L$10008,PURCHASE!$A$6:$A$10008,$AG$2,PURCHASE!$H$6:$H$10008,$A$4:$A$2700)</f>
        <v>0</v>
      </c>
      <c r="AJ29" s="512">
        <f>SUMIFS(PURCHASE!$M$6:$M$10008,PURCHASE!$A$6:$A$10008,$AG$2,PURCHASE!$H$6:$H$10008,$A$4:$A$2700)</f>
        <v>0</v>
      </c>
      <c r="AK29" s="512">
        <f>SUMIFS(PURCHASE!$N$6:$N$10008,PURCHASE!$A$6:$A$10008,$AG$2,PURCHASE!$H$6:$H$10008,$A$4:$A$2700)</f>
        <v>0</v>
      </c>
      <c r="AL29" s="512">
        <f t="shared" si="18"/>
        <v>0</v>
      </c>
      <c r="AM29" s="512">
        <f>SUMIFS(PURCHASE!$K$6:$K$10008,PURCHASE!$A$6:$A$10008,$AL$2,PURCHASE!$H$6:$H$10008,$A$4:$A$2700)</f>
        <v>0</v>
      </c>
      <c r="AN29" s="512">
        <f>SUMIFS(PURCHASE!$L$6:$L$10008,PURCHASE!$A$6:$A$10008,$AL$2,PURCHASE!$H$6:$H$10008,$A$4:$A$2700)</f>
        <v>0</v>
      </c>
      <c r="AO29" s="512">
        <f>SUMIFS(PURCHASE!$M$6:$M$10008,PURCHASE!$A$6:$A$10008,$AL$2,PURCHASE!$H$6:$H$10008,$A$4:$A$2700)</f>
        <v>0</v>
      </c>
      <c r="AP29" s="512">
        <f>SUMIFS(PURCHASE!$N$6:$N$10008,PURCHASE!$A$6:$A$10008,$AL$2,PURCHASE!$H$6:$H$10008,$A$4:$A$2700)</f>
        <v>0</v>
      </c>
      <c r="AQ29" s="512">
        <f t="shared" si="19"/>
        <v>0</v>
      </c>
      <c r="AR29" s="512">
        <f>SUMIFS(PURCHASE!$K$6:$K$10008,PURCHASE!$A$6:$A$10008,$AQ$2,PURCHASE!$H$6:$H$10008,$A$4:$A$2700)</f>
        <v>0</v>
      </c>
      <c r="AS29" s="512">
        <f>SUMIFS(PURCHASE!$L$6:$L$10008,PURCHASE!$A$6:$A$10008,$AQ$2,PURCHASE!$H$6:$H$10008,$A$4:$A$2700)</f>
        <v>0</v>
      </c>
      <c r="AT29" s="512">
        <f>SUMIFS(PURCHASE!$M$6:$M$10008,PURCHASE!$A$6:$A$10008,$AQ$2,PURCHASE!$H$6:$H$10008,$A$4:$A$2700)</f>
        <v>0</v>
      </c>
      <c r="AU29" s="512">
        <f>SUMIFS(PURCHASE!$N$6:$N$10008,PURCHASE!$A$6:$A$10008,$AQ$2,PURCHASE!$H$6:$H$10008,$A$4:$A$2700)</f>
        <v>0</v>
      </c>
      <c r="AV29" s="512">
        <f t="shared" si="20"/>
        <v>0</v>
      </c>
      <c r="AW29" s="512">
        <f>SUMIFS(PURCHASE!$K$6:$K$10008,PURCHASE!$A$6:$A$10008,$AV$2,PURCHASE!$H$6:$H$10008,$A$4:$A$2700)</f>
        <v>0</v>
      </c>
      <c r="AX29" s="512">
        <f>SUMIFS(PURCHASE!$L$6:$L$10008,PURCHASE!$A$6:$A$10008,$AV$2,PURCHASE!$H$6:$H$10008,$A$4:$A$2700)</f>
        <v>0</v>
      </c>
      <c r="AY29" s="512">
        <f>SUMIFS(PURCHASE!$M$6:$M$10008,PURCHASE!$A$6:$A$10008,$AV$2,PURCHASE!$H$6:$H$10008,$A$4:$A$2700)</f>
        <v>0</v>
      </c>
      <c r="AZ29" s="512">
        <f>SUMIFS(PURCHASE!$N$6:$N$10008,PURCHASE!$A$6:$A$10008,$AV$2,PURCHASE!$H$6:$H$10008,$A$4:$A$2700)</f>
        <v>0</v>
      </c>
      <c r="BA29" s="512">
        <f t="shared" si="21"/>
        <v>0</v>
      </c>
      <c r="BB29" s="512">
        <f>SUMIFS(PURCHASE!$K$6:$K$10008,PURCHASE!$A$6:$A$10008,$BA$2,PURCHASE!$H$6:$H$10008,$A$4:$A$2700)</f>
        <v>0</v>
      </c>
      <c r="BC29" s="512">
        <f>SUMIFS(PURCHASE!$L$6:$L$10008,PURCHASE!$A$6:$A$10008,$BA$2,PURCHASE!$H$6:$H$10008,$A$4:$A$2700)</f>
        <v>0</v>
      </c>
      <c r="BD29" s="512">
        <f>SUMIFS(PURCHASE!$M$6:$M$10008,PURCHASE!$A$6:$A$10008,$BA$2,PURCHASE!$H$6:$H$10008,$A$4:$A$2700)</f>
        <v>0</v>
      </c>
      <c r="BE29" s="512">
        <f>SUMIFS(PURCHASE!$N$6:$N$10008,PURCHASE!$A$6:$A$10008,$BA$2,PURCHASE!$H$6:$H$10008,$A$4:$A$2700)</f>
        <v>0</v>
      </c>
      <c r="BF29" s="512">
        <f t="shared" si="22"/>
        <v>0</v>
      </c>
      <c r="BG29" s="512">
        <f>SUMIFS(PURCHASE!$K$6:$K$10008,PURCHASE!$A$6:$A$10008,$BF$2,PURCHASE!$H$6:$H$10008,$A$4:$A$2700)</f>
        <v>0</v>
      </c>
      <c r="BH29" s="512">
        <f>SUMIFS(PURCHASE!$L$6:$L$10008,PURCHASE!$A$6:$A$10008,$BF$2,PURCHASE!$H$6:$H$10008,$A$4:$A$2700)</f>
        <v>0</v>
      </c>
      <c r="BI29" s="512">
        <f>SUMIFS(PURCHASE!$M$6:$M$10008,PURCHASE!$A$6:$A$10008,$BF$2,PURCHASE!$H$6:$H$10008,$A$4:$A$2700)</f>
        <v>0</v>
      </c>
      <c r="BJ29" s="512">
        <f>SUMIFS(PURCHASE!$N$6:$N$10008,PURCHASE!$A$6:$A$10008,$BF$2,PURCHASE!$H$6:$H$10008,$A$4:$A$2700)</f>
        <v>0</v>
      </c>
      <c r="BK29" s="72">
        <f t="shared" si="6"/>
        <v>566.4</v>
      </c>
      <c r="BL29" s="72">
        <f t="shared" si="7"/>
        <v>480</v>
      </c>
      <c r="BM29" s="72">
        <f t="shared" si="8"/>
        <v>0</v>
      </c>
      <c r="BN29" s="72">
        <f t="shared" si="9"/>
        <v>43.2</v>
      </c>
      <c r="BO29" s="72">
        <f t="shared" si="10"/>
        <v>43.2</v>
      </c>
    </row>
    <row r="30" spans="1:67" x14ac:dyDescent="0.2">
      <c r="A30" s="511">
        <v>5407</v>
      </c>
      <c r="B30" s="467" t="s">
        <v>1204</v>
      </c>
      <c r="C30" s="512">
        <f t="shared" si="11"/>
        <v>12303.900000000001</v>
      </c>
      <c r="D30" s="512">
        <f>SUMIFS(PURCHASE!$K$6:$K$10008,PURCHASE!$A$6:$A$10008,$M$2,PURCHASE!$H$6:$H$10008,$A$4:$A$2700)</f>
        <v>11718</v>
      </c>
      <c r="E30" s="512">
        <f>SUMIFS(PURCHASE!$L$6:$L$10008,PURCHASE!$A$6:$A$10008,$M$2,PURCHASE!$H$6:$H$10008,$A$4:$A$2700)</f>
        <v>0</v>
      </c>
      <c r="F30" s="512">
        <f>SUMIFS(PURCHASE!$M$6:$M$10008,PURCHASE!$A$6:$A$10008,$M$2,PURCHASE!$H$6:$H$10008,$A$4:$A$2700)</f>
        <v>292.95000000000005</v>
      </c>
      <c r="G30" s="512">
        <f>SUMIFS(PURCHASE!$N$6:$N$10008,PURCHASE!$A$6:$A$10008,$M$2,PURCHASE!$H$6:$H$10008,$A$4:$A$2700)</f>
        <v>292.95000000000005</v>
      </c>
      <c r="H30" s="512">
        <f t="shared" si="12"/>
        <v>15878.099999999999</v>
      </c>
      <c r="I30" s="512">
        <f>SUMIFS(PURCHASE!$K$6:$K$10008,PURCHASE!$A$6:$A$10008,$H$2,PURCHASE!$H$6:$H$10008,$A$4:$A$2700)</f>
        <v>15122</v>
      </c>
      <c r="J30" s="512">
        <f>SUMIFS(PURCHASE!$L$6:$L$10008,PURCHASE!$A$6:$A$10008,$H$2,PURCHASE!$H$6:$H$10008,$A$4:$A$2700)</f>
        <v>0</v>
      </c>
      <c r="K30" s="512">
        <f>SUMIFS(PURCHASE!$M$6:$M$10008,PURCHASE!$A$6:$A$10008,$H$2,PURCHASE!$H$6:$H$10008,$A$4:$A$2700)</f>
        <v>378.05</v>
      </c>
      <c r="L30" s="512">
        <f>SUMIFS(PURCHASE!$N$6:$N$10008,PURCHASE!$A$6:$A$10008,$H$2,PURCHASE!$H$6:$H$10008,$A$4:$A$2700)</f>
        <v>378.05</v>
      </c>
      <c r="M30" s="512">
        <f t="shared" si="13"/>
        <v>12303.900000000001</v>
      </c>
      <c r="N30" s="512">
        <f>SUMIFS(PURCHASE!$K$6:$K$10008,PURCHASE!$A$6:$A$10008,$M$2,PURCHASE!$H$6:$H$10008,$A$4:$A$2700)</f>
        <v>11718</v>
      </c>
      <c r="O30" s="512">
        <f>SUMIFS(PURCHASE!$L$6:$L$10008,PURCHASE!$A$6:$A$10008,$M$2,PURCHASE!$H$6:$H$10008,$A$4:$A$2700)</f>
        <v>0</v>
      </c>
      <c r="P30" s="512">
        <f>SUMIFS(PURCHASE!$M$6:$M$10008,PURCHASE!$A$6:$A$10008,$M$2,PURCHASE!$H$6:$H$10008,$A$4:$A$2700)</f>
        <v>292.95000000000005</v>
      </c>
      <c r="Q30" s="512">
        <f>SUMIFS(PURCHASE!$N$6:$N$10008,PURCHASE!$A$6:$A$10008,$M$2,PURCHASE!$H$6:$H$10008,$A$4:$A$2700)</f>
        <v>292.95000000000005</v>
      </c>
      <c r="R30" s="512">
        <f t="shared" si="14"/>
        <v>0</v>
      </c>
      <c r="S30" s="512">
        <f>SUMIFS(PURCHASE!$K$6:$K$10008,PURCHASE!$A$6:$A$10008,$R$2,PURCHASE!$H$6:$H$10008,$A$4:$A$2700)</f>
        <v>0</v>
      </c>
      <c r="T30" s="512">
        <f>SUMIFS(PURCHASE!$L$6:$L$10008,PURCHASE!$A$6:$A$10008,$R$2,PURCHASE!$H$6:$H$10008,$A$4:$A$2700)</f>
        <v>0</v>
      </c>
      <c r="U30" s="512">
        <f>SUMIFS(PURCHASE!$M$6:$M$10008,PURCHASE!$A$6:$A$10008,$R$2,PURCHASE!$H$6:$H$10008,$A$4:$A$2700)</f>
        <v>0</v>
      </c>
      <c r="V30" s="512">
        <f>SUMIFS(PURCHASE!$N$6:$N$10008,PURCHASE!$A$6:$A$10008,$R$2,PURCHASE!$H$6:$H$10008,$A$4:$A$2700)</f>
        <v>0</v>
      </c>
      <c r="W30" s="512">
        <f t="shared" si="15"/>
        <v>14646.45</v>
      </c>
      <c r="X30" s="512">
        <f>SUMIFS(PURCHASE!$K$6:$K$10008,PURCHASE!$A$6:$A$10008,$W$2,PURCHASE!$H$6:$H$10008,$A$4:$A$2700)</f>
        <v>13949</v>
      </c>
      <c r="Y30" s="512">
        <f>SUMIFS(PURCHASE!$L$6:$L$10008,PURCHASE!$A$6:$A$10008,$W$2,PURCHASE!$H$6:$H$10008,$A$4:$A$2700)</f>
        <v>0</v>
      </c>
      <c r="Z30" s="512">
        <f>SUMIFS(PURCHASE!$M$6:$M$10008,PURCHASE!$A$6:$A$10008,$W$2,PURCHASE!$H$6:$H$10008,$A$4:$A$2700)</f>
        <v>348.72500000000002</v>
      </c>
      <c r="AA30" s="512">
        <f>SUMIFS(PURCHASE!$N$6:$N$10008,PURCHASE!$A$6:$A$10008,$W$2,PURCHASE!$H$6:$H$10008,$A$4:$A$2700)</f>
        <v>348.72500000000002</v>
      </c>
      <c r="AB30" s="512">
        <f t="shared" si="16"/>
        <v>18427.5</v>
      </c>
      <c r="AC30" s="512">
        <f>SUMIFS(PURCHASE!$K$6:$K$10008,PURCHASE!$A$6:$A$10008,$AB$2,PURCHASE!$H$6:$H$10008,$A$4:$A$2700)</f>
        <v>17550</v>
      </c>
      <c r="AD30" s="512">
        <f>SUMIFS(PURCHASE!$L$6:$L$10008,PURCHASE!$A$6:$A$10008,$AB$2,PURCHASE!$H$6:$H$10008,$A$4:$A$2700)</f>
        <v>0</v>
      </c>
      <c r="AE30" s="512">
        <f>SUMIFS(PURCHASE!$M$6:$M$10008,PURCHASE!$A$6:$A$10008,$AB$2,PURCHASE!$H$6:$H$10008,$A$4:$A$2700)</f>
        <v>438.75</v>
      </c>
      <c r="AF30" s="512">
        <f>SUMIFS(PURCHASE!$N$6:$N$10008,PURCHASE!$A$6:$A$10008,$AB$2,PURCHASE!$H$6:$H$10008,$A$4:$A$2700)</f>
        <v>438.75</v>
      </c>
      <c r="AG30" s="512">
        <f t="shared" si="17"/>
        <v>0</v>
      </c>
      <c r="AH30" s="512">
        <f>SUMIFS(PURCHASE!$K$6:$K$10008,PURCHASE!$A$6:$A$10008,$AG$2,PURCHASE!$H$6:$H$10008,$A$4:$A$2700)</f>
        <v>0</v>
      </c>
      <c r="AI30" s="512">
        <f>SUMIFS(PURCHASE!$L$6:$L$10008,PURCHASE!$A$6:$A$10008,$AG$2,PURCHASE!$H$6:$H$10008,$A$4:$A$2700)</f>
        <v>0</v>
      </c>
      <c r="AJ30" s="512">
        <f>SUMIFS(PURCHASE!$M$6:$M$10008,PURCHASE!$A$6:$A$10008,$AG$2,PURCHASE!$H$6:$H$10008,$A$4:$A$2700)</f>
        <v>0</v>
      </c>
      <c r="AK30" s="512">
        <f>SUMIFS(PURCHASE!$N$6:$N$10008,PURCHASE!$A$6:$A$10008,$AG$2,PURCHASE!$H$6:$H$10008,$A$4:$A$2700)</f>
        <v>0</v>
      </c>
      <c r="AL30" s="512">
        <f t="shared" si="18"/>
        <v>2467.5</v>
      </c>
      <c r="AM30" s="512">
        <f>SUMIFS(PURCHASE!$K$6:$K$10008,PURCHASE!$A$6:$A$10008,$AL$2,PURCHASE!$H$6:$H$10008,$A$4:$A$2700)</f>
        <v>2350</v>
      </c>
      <c r="AN30" s="512">
        <f>SUMIFS(PURCHASE!$L$6:$L$10008,PURCHASE!$A$6:$A$10008,$AL$2,PURCHASE!$H$6:$H$10008,$A$4:$A$2700)</f>
        <v>0</v>
      </c>
      <c r="AO30" s="512">
        <f>SUMIFS(PURCHASE!$M$6:$M$10008,PURCHASE!$A$6:$A$10008,$AL$2,PURCHASE!$H$6:$H$10008,$A$4:$A$2700)</f>
        <v>58.75</v>
      </c>
      <c r="AP30" s="512">
        <f>SUMIFS(PURCHASE!$N$6:$N$10008,PURCHASE!$A$6:$A$10008,$AL$2,PURCHASE!$H$6:$H$10008,$A$4:$A$2700)</f>
        <v>58.75</v>
      </c>
      <c r="AQ30" s="512">
        <f t="shared" si="19"/>
        <v>0</v>
      </c>
      <c r="AR30" s="512">
        <f>SUMIFS(PURCHASE!$K$6:$K$10008,PURCHASE!$A$6:$A$10008,$AQ$2,PURCHASE!$H$6:$H$10008,$A$4:$A$2700)</f>
        <v>0</v>
      </c>
      <c r="AS30" s="512">
        <f>SUMIFS(PURCHASE!$L$6:$L$10008,PURCHASE!$A$6:$A$10008,$AQ$2,PURCHASE!$H$6:$H$10008,$A$4:$A$2700)</f>
        <v>0</v>
      </c>
      <c r="AT30" s="512">
        <f>SUMIFS(PURCHASE!$M$6:$M$10008,PURCHASE!$A$6:$A$10008,$AQ$2,PURCHASE!$H$6:$H$10008,$A$4:$A$2700)</f>
        <v>0</v>
      </c>
      <c r="AU30" s="512">
        <f>SUMIFS(PURCHASE!$N$6:$N$10008,PURCHASE!$A$6:$A$10008,$AQ$2,PURCHASE!$H$6:$H$10008,$A$4:$A$2700)</f>
        <v>0</v>
      </c>
      <c r="AV30" s="512">
        <f t="shared" si="20"/>
        <v>14175</v>
      </c>
      <c r="AW30" s="512">
        <f>SUMIFS(PURCHASE!$K$6:$K$10008,PURCHASE!$A$6:$A$10008,$AV$2,PURCHASE!$H$6:$H$10008,$A$4:$A$2700)</f>
        <v>13500</v>
      </c>
      <c r="AX30" s="512">
        <f>SUMIFS(PURCHASE!$L$6:$L$10008,PURCHASE!$A$6:$A$10008,$AV$2,PURCHASE!$H$6:$H$10008,$A$4:$A$2700)</f>
        <v>0</v>
      </c>
      <c r="AY30" s="512">
        <f>SUMIFS(PURCHASE!$M$6:$M$10008,PURCHASE!$A$6:$A$10008,$AV$2,PURCHASE!$H$6:$H$10008,$A$4:$A$2700)</f>
        <v>337.5</v>
      </c>
      <c r="AZ30" s="512">
        <f>SUMIFS(PURCHASE!$N$6:$N$10008,PURCHASE!$A$6:$A$10008,$AV$2,PURCHASE!$H$6:$H$10008,$A$4:$A$2700)</f>
        <v>337.5</v>
      </c>
      <c r="BA30" s="512">
        <f t="shared" si="21"/>
        <v>0</v>
      </c>
      <c r="BB30" s="512">
        <f>SUMIFS(PURCHASE!$K$6:$K$10008,PURCHASE!$A$6:$A$10008,$BA$2,PURCHASE!$H$6:$H$10008,$A$4:$A$2700)</f>
        <v>0</v>
      </c>
      <c r="BC30" s="512">
        <f>SUMIFS(PURCHASE!$L$6:$L$10008,PURCHASE!$A$6:$A$10008,$BA$2,PURCHASE!$H$6:$H$10008,$A$4:$A$2700)</f>
        <v>0</v>
      </c>
      <c r="BD30" s="512">
        <f>SUMIFS(PURCHASE!$M$6:$M$10008,PURCHASE!$A$6:$A$10008,$BA$2,PURCHASE!$H$6:$H$10008,$A$4:$A$2700)</f>
        <v>0</v>
      </c>
      <c r="BE30" s="512">
        <f>SUMIFS(PURCHASE!$N$6:$N$10008,PURCHASE!$A$6:$A$10008,$BA$2,PURCHASE!$H$6:$H$10008,$A$4:$A$2700)</f>
        <v>0</v>
      </c>
      <c r="BF30" s="512">
        <f t="shared" si="22"/>
        <v>0</v>
      </c>
      <c r="BG30" s="512">
        <f>SUMIFS(PURCHASE!$K$6:$K$10008,PURCHASE!$A$6:$A$10008,$BF$2,PURCHASE!$H$6:$H$10008,$A$4:$A$2700)</f>
        <v>0</v>
      </c>
      <c r="BH30" s="512">
        <f>SUMIFS(PURCHASE!$L$6:$L$10008,PURCHASE!$A$6:$A$10008,$BF$2,PURCHASE!$H$6:$H$10008,$A$4:$A$2700)</f>
        <v>0</v>
      </c>
      <c r="BI30" s="512">
        <f>SUMIFS(PURCHASE!$M$6:$M$10008,PURCHASE!$A$6:$A$10008,$BF$2,PURCHASE!$H$6:$H$10008,$A$4:$A$2700)</f>
        <v>0</v>
      </c>
      <c r="BJ30" s="512">
        <f>SUMIFS(PURCHASE!$N$6:$N$10008,PURCHASE!$A$6:$A$10008,$BF$2,PURCHASE!$H$6:$H$10008,$A$4:$A$2700)</f>
        <v>0</v>
      </c>
      <c r="BK30" s="72">
        <f t="shared" si="6"/>
        <v>90202.35</v>
      </c>
      <c r="BL30" s="72">
        <f t="shared" si="7"/>
        <v>85907</v>
      </c>
      <c r="BM30" s="72">
        <f t="shared" si="8"/>
        <v>0</v>
      </c>
      <c r="BN30" s="72">
        <f t="shared" si="9"/>
        <v>2147.6750000000002</v>
      </c>
      <c r="BO30" s="72">
        <f t="shared" si="10"/>
        <v>2147.6750000000002</v>
      </c>
    </row>
    <row r="31" spans="1:67" x14ac:dyDescent="0.2">
      <c r="A31" s="511">
        <v>6804</v>
      </c>
      <c r="B31" s="467" t="s">
        <v>1206</v>
      </c>
      <c r="C31" s="512">
        <f t="shared" si="11"/>
        <v>0</v>
      </c>
      <c r="D31" s="512">
        <f>SUMIFS(PURCHASE!$K$6:$K$10008,PURCHASE!$A$6:$A$10008,$M$2,PURCHASE!$H$6:$H$10008,$A$4:$A$2700)</f>
        <v>0</v>
      </c>
      <c r="E31" s="512">
        <f>SUMIFS(PURCHASE!$L$6:$L$10008,PURCHASE!$A$6:$A$10008,$M$2,PURCHASE!$H$6:$H$10008,$A$4:$A$2700)</f>
        <v>0</v>
      </c>
      <c r="F31" s="512">
        <f>SUMIFS(PURCHASE!$M$6:$M$10008,PURCHASE!$A$6:$A$10008,$M$2,PURCHASE!$H$6:$H$10008,$A$4:$A$2700)</f>
        <v>0</v>
      </c>
      <c r="G31" s="512">
        <f>SUMIFS(PURCHASE!$N$6:$N$10008,PURCHASE!$A$6:$A$10008,$M$2,PURCHASE!$H$6:$H$10008,$A$4:$A$2700)</f>
        <v>0</v>
      </c>
      <c r="H31" s="512">
        <f t="shared" si="12"/>
        <v>0</v>
      </c>
      <c r="I31" s="512">
        <f>SUMIFS(PURCHASE!$K$6:$K$10008,PURCHASE!$A$6:$A$10008,$H$2,PURCHASE!$H$6:$H$10008,$A$4:$A$2700)</f>
        <v>0</v>
      </c>
      <c r="J31" s="512">
        <f>SUMIFS(PURCHASE!$L$6:$L$10008,PURCHASE!$A$6:$A$10008,$H$2,PURCHASE!$H$6:$H$10008,$A$4:$A$2700)</f>
        <v>0</v>
      </c>
      <c r="K31" s="512">
        <f>SUMIFS(PURCHASE!$M$6:$M$10008,PURCHASE!$A$6:$A$10008,$H$2,PURCHASE!$H$6:$H$10008,$A$4:$A$2700)</f>
        <v>0</v>
      </c>
      <c r="L31" s="512">
        <f>SUMIFS(PURCHASE!$N$6:$N$10008,PURCHASE!$A$6:$A$10008,$H$2,PURCHASE!$H$6:$H$10008,$A$4:$A$2700)</f>
        <v>0</v>
      </c>
      <c r="M31" s="512">
        <f t="shared" si="13"/>
        <v>0</v>
      </c>
      <c r="N31" s="512">
        <f>SUMIFS(PURCHASE!$K$6:$K$10008,PURCHASE!$A$6:$A$10008,$M$2,PURCHASE!$H$6:$H$10008,$A$4:$A$2700)</f>
        <v>0</v>
      </c>
      <c r="O31" s="512">
        <f>SUMIFS(PURCHASE!$L$6:$L$10008,PURCHASE!$A$6:$A$10008,$M$2,PURCHASE!$H$6:$H$10008,$A$4:$A$2700)</f>
        <v>0</v>
      </c>
      <c r="P31" s="512">
        <f>SUMIFS(PURCHASE!$M$6:$M$10008,PURCHASE!$A$6:$A$10008,$M$2,PURCHASE!$H$6:$H$10008,$A$4:$A$2700)</f>
        <v>0</v>
      </c>
      <c r="Q31" s="512">
        <f>SUMIFS(PURCHASE!$N$6:$N$10008,PURCHASE!$A$6:$A$10008,$M$2,PURCHASE!$H$6:$H$10008,$A$4:$A$2700)</f>
        <v>0</v>
      </c>
      <c r="R31" s="512">
        <f t="shared" si="14"/>
        <v>0</v>
      </c>
      <c r="S31" s="512">
        <f>SUMIFS(PURCHASE!$K$6:$K$10008,PURCHASE!$A$6:$A$10008,$R$2,PURCHASE!$H$6:$H$10008,$A$4:$A$2700)</f>
        <v>0</v>
      </c>
      <c r="T31" s="512">
        <f>SUMIFS(PURCHASE!$L$6:$L$10008,PURCHASE!$A$6:$A$10008,$R$2,PURCHASE!$H$6:$H$10008,$A$4:$A$2700)</f>
        <v>0</v>
      </c>
      <c r="U31" s="512">
        <f>SUMIFS(PURCHASE!$M$6:$M$10008,PURCHASE!$A$6:$A$10008,$R$2,PURCHASE!$H$6:$H$10008,$A$4:$A$2700)</f>
        <v>0</v>
      </c>
      <c r="V31" s="512">
        <f>SUMIFS(PURCHASE!$N$6:$N$10008,PURCHASE!$A$6:$A$10008,$R$2,PURCHASE!$H$6:$H$10008,$A$4:$A$2700)</f>
        <v>0</v>
      </c>
      <c r="W31" s="512">
        <f t="shared" si="15"/>
        <v>0</v>
      </c>
      <c r="X31" s="512">
        <f>SUMIFS(PURCHASE!$K$6:$K$10008,PURCHASE!$A$6:$A$10008,$W$2,PURCHASE!$H$6:$H$10008,$A$4:$A$2700)</f>
        <v>0</v>
      </c>
      <c r="Y31" s="512">
        <f>SUMIFS(PURCHASE!$L$6:$L$10008,PURCHASE!$A$6:$A$10008,$W$2,PURCHASE!$H$6:$H$10008,$A$4:$A$2700)</f>
        <v>0</v>
      </c>
      <c r="Z31" s="512">
        <f>SUMIFS(PURCHASE!$M$6:$M$10008,PURCHASE!$A$6:$A$10008,$W$2,PURCHASE!$H$6:$H$10008,$A$4:$A$2700)</f>
        <v>0</v>
      </c>
      <c r="AA31" s="512">
        <f>SUMIFS(PURCHASE!$N$6:$N$10008,PURCHASE!$A$6:$A$10008,$W$2,PURCHASE!$H$6:$H$10008,$A$4:$A$2700)</f>
        <v>0</v>
      </c>
      <c r="AB31" s="512">
        <f t="shared" si="16"/>
        <v>141.62</v>
      </c>
      <c r="AC31" s="512">
        <f>SUMIFS(PURCHASE!$K$6:$K$10008,PURCHASE!$A$6:$A$10008,$AB$2,PURCHASE!$H$6:$H$10008,$A$4:$A$2700)</f>
        <v>120</v>
      </c>
      <c r="AD31" s="512">
        <f>SUMIFS(PURCHASE!$L$6:$L$10008,PURCHASE!$A$6:$A$10008,$AB$2,PURCHASE!$H$6:$H$10008,$A$4:$A$2700)</f>
        <v>0</v>
      </c>
      <c r="AE31" s="512">
        <f>SUMIFS(PURCHASE!$M$6:$M$10008,PURCHASE!$A$6:$A$10008,$AB$2,PURCHASE!$H$6:$H$10008,$A$4:$A$2700)</f>
        <v>10.809999999999999</v>
      </c>
      <c r="AF31" s="512">
        <f>SUMIFS(PURCHASE!$N$6:$N$10008,PURCHASE!$A$6:$A$10008,$AB$2,PURCHASE!$H$6:$H$10008,$A$4:$A$2700)</f>
        <v>10.809999999999999</v>
      </c>
      <c r="AG31" s="512">
        <f t="shared" si="17"/>
        <v>0</v>
      </c>
      <c r="AH31" s="512">
        <f>SUMIFS(PURCHASE!$K$6:$K$10008,PURCHASE!$A$6:$A$10008,$AG$2,PURCHASE!$H$6:$H$10008,$A$4:$A$2700)</f>
        <v>0</v>
      </c>
      <c r="AI31" s="512">
        <f>SUMIFS(PURCHASE!$L$6:$L$10008,PURCHASE!$A$6:$A$10008,$AG$2,PURCHASE!$H$6:$H$10008,$A$4:$A$2700)</f>
        <v>0</v>
      </c>
      <c r="AJ31" s="512">
        <f>SUMIFS(PURCHASE!$M$6:$M$10008,PURCHASE!$A$6:$A$10008,$AG$2,PURCHASE!$H$6:$H$10008,$A$4:$A$2700)</f>
        <v>0</v>
      </c>
      <c r="AK31" s="512">
        <f>SUMIFS(PURCHASE!$N$6:$N$10008,PURCHASE!$A$6:$A$10008,$AG$2,PURCHASE!$H$6:$H$10008,$A$4:$A$2700)</f>
        <v>0</v>
      </c>
      <c r="AL31" s="512">
        <f t="shared" si="18"/>
        <v>118</v>
      </c>
      <c r="AM31" s="512">
        <f>SUMIFS(PURCHASE!$K$6:$K$10008,PURCHASE!$A$6:$A$10008,$AL$2,PURCHASE!$H$6:$H$10008,$A$4:$A$2700)</f>
        <v>100</v>
      </c>
      <c r="AN31" s="512">
        <f>SUMIFS(PURCHASE!$L$6:$L$10008,PURCHASE!$A$6:$A$10008,$AL$2,PURCHASE!$H$6:$H$10008,$A$4:$A$2700)</f>
        <v>0</v>
      </c>
      <c r="AO31" s="512">
        <f>SUMIFS(PURCHASE!$M$6:$M$10008,PURCHASE!$A$6:$A$10008,$AL$2,PURCHASE!$H$6:$H$10008,$A$4:$A$2700)</f>
        <v>9</v>
      </c>
      <c r="AP31" s="512">
        <f>SUMIFS(PURCHASE!$N$6:$N$10008,PURCHASE!$A$6:$A$10008,$AL$2,PURCHASE!$H$6:$H$10008,$A$4:$A$2700)</f>
        <v>9</v>
      </c>
      <c r="AQ31" s="512">
        <f t="shared" si="19"/>
        <v>0</v>
      </c>
      <c r="AR31" s="512">
        <f>SUMIFS(PURCHASE!$K$6:$K$10008,PURCHASE!$A$6:$A$10008,$AQ$2,PURCHASE!$H$6:$H$10008,$A$4:$A$2700)</f>
        <v>0</v>
      </c>
      <c r="AS31" s="512">
        <f>SUMIFS(PURCHASE!$L$6:$L$10008,PURCHASE!$A$6:$A$10008,$AQ$2,PURCHASE!$H$6:$H$10008,$A$4:$A$2700)</f>
        <v>0</v>
      </c>
      <c r="AT31" s="512">
        <f>SUMIFS(PURCHASE!$M$6:$M$10008,PURCHASE!$A$6:$A$10008,$AQ$2,PURCHASE!$H$6:$H$10008,$A$4:$A$2700)</f>
        <v>0</v>
      </c>
      <c r="AU31" s="512">
        <f>SUMIFS(PURCHASE!$N$6:$N$10008,PURCHASE!$A$6:$A$10008,$AQ$2,PURCHASE!$H$6:$H$10008,$A$4:$A$2700)</f>
        <v>0</v>
      </c>
      <c r="AV31" s="512">
        <f t="shared" si="20"/>
        <v>0</v>
      </c>
      <c r="AW31" s="512">
        <f>SUMIFS(PURCHASE!$K$6:$K$10008,PURCHASE!$A$6:$A$10008,$AV$2,PURCHASE!$H$6:$H$10008,$A$4:$A$2700)</f>
        <v>0</v>
      </c>
      <c r="AX31" s="512">
        <f>SUMIFS(PURCHASE!$L$6:$L$10008,PURCHASE!$A$6:$A$10008,$AV$2,PURCHASE!$H$6:$H$10008,$A$4:$A$2700)</f>
        <v>0</v>
      </c>
      <c r="AY31" s="512">
        <f>SUMIFS(PURCHASE!$M$6:$M$10008,PURCHASE!$A$6:$A$10008,$AV$2,PURCHASE!$H$6:$H$10008,$A$4:$A$2700)</f>
        <v>0</v>
      </c>
      <c r="AZ31" s="512">
        <f>SUMIFS(PURCHASE!$N$6:$N$10008,PURCHASE!$A$6:$A$10008,$AV$2,PURCHASE!$H$6:$H$10008,$A$4:$A$2700)</f>
        <v>0</v>
      </c>
      <c r="BA31" s="512">
        <f t="shared" si="21"/>
        <v>0</v>
      </c>
      <c r="BB31" s="512">
        <f>SUMIFS(PURCHASE!$K$6:$K$10008,PURCHASE!$A$6:$A$10008,$BA$2,PURCHASE!$H$6:$H$10008,$A$4:$A$2700)</f>
        <v>0</v>
      </c>
      <c r="BC31" s="512">
        <f>SUMIFS(PURCHASE!$L$6:$L$10008,PURCHASE!$A$6:$A$10008,$BA$2,PURCHASE!$H$6:$H$10008,$A$4:$A$2700)</f>
        <v>0</v>
      </c>
      <c r="BD31" s="512">
        <f>SUMIFS(PURCHASE!$M$6:$M$10008,PURCHASE!$A$6:$A$10008,$BA$2,PURCHASE!$H$6:$H$10008,$A$4:$A$2700)</f>
        <v>0</v>
      </c>
      <c r="BE31" s="512">
        <f>SUMIFS(PURCHASE!$N$6:$N$10008,PURCHASE!$A$6:$A$10008,$BA$2,PURCHASE!$H$6:$H$10008,$A$4:$A$2700)</f>
        <v>0</v>
      </c>
      <c r="BF31" s="512">
        <f t="shared" si="22"/>
        <v>0</v>
      </c>
      <c r="BG31" s="512">
        <f>SUMIFS(PURCHASE!$K$6:$K$10008,PURCHASE!$A$6:$A$10008,$BF$2,PURCHASE!$H$6:$H$10008,$A$4:$A$2700)</f>
        <v>0</v>
      </c>
      <c r="BH31" s="512">
        <f>SUMIFS(PURCHASE!$L$6:$L$10008,PURCHASE!$A$6:$A$10008,$BF$2,PURCHASE!$H$6:$H$10008,$A$4:$A$2700)</f>
        <v>0</v>
      </c>
      <c r="BI31" s="512">
        <f>SUMIFS(PURCHASE!$M$6:$M$10008,PURCHASE!$A$6:$A$10008,$BF$2,PURCHASE!$H$6:$H$10008,$A$4:$A$2700)</f>
        <v>0</v>
      </c>
      <c r="BJ31" s="512">
        <f>SUMIFS(PURCHASE!$N$6:$N$10008,PURCHASE!$A$6:$A$10008,$BF$2,PURCHASE!$H$6:$H$10008,$A$4:$A$2700)</f>
        <v>0</v>
      </c>
      <c r="BK31" s="72">
        <f t="shared" si="6"/>
        <v>259.62</v>
      </c>
      <c r="BL31" s="72">
        <f t="shared" si="7"/>
        <v>220</v>
      </c>
      <c r="BM31" s="72">
        <f t="shared" si="8"/>
        <v>0</v>
      </c>
      <c r="BN31" s="72">
        <f t="shared" si="9"/>
        <v>19.809999999999999</v>
      </c>
      <c r="BO31" s="72">
        <f t="shared" si="10"/>
        <v>19.809999999999999</v>
      </c>
    </row>
    <row r="32" spans="1:67" x14ac:dyDescent="0.2">
      <c r="A32" s="511">
        <v>6805</v>
      </c>
      <c r="B32" s="467" t="s">
        <v>1207</v>
      </c>
      <c r="C32" s="512">
        <f t="shared" si="11"/>
        <v>0</v>
      </c>
      <c r="D32" s="512">
        <f>SUMIFS(PURCHASE!$K$6:$K$10008,PURCHASE!$A$6:$A$10008,$M$2,PURCHASE!$H$6:$H$10008,$A$4:$A$2700)</f>
        <v>0</v>
      </c>
      <c r="E32" s="512">
        <f>SUMIFS(PURCHASE!$L$6:$L$10008,PURCHASE!$A$6:$A$10008,$M$2,PURCHASE!$H$6:$H$10008,$A$4:$A$2700)</f>
        <v>0</v>
      </c>
      <c r="F32" s="512">
        <f>SUMIFS(PURCHASE!$M$6:$M$10008,PURCHASE!$A$6:$A$10008,$M$2,PURCHASE!$H$6:$H$10008,$A$4:$A$2700)</f>
        <v>0</v>
      </c>
      <c r="G32" s="512">
        <f>SUMIFS(PURCHASE!$N$6:$N$10008,PURCHASE!$A$6:$A$10008,$M$2,PURCHASE!$H$6:$H$10008,$A$4:$A$2700)</f>
        <v>0</v>
      </c>
      <c r="H32" s="512">
        <f t="shared" si="12"/>
        <v>0</v>
      </c>
      <c r="I32" s="512">
        <f>SUMIFS(PURCHASE!$K$6:$K$10008,PURCHASE!$A$6:$A$10008,$H$2,PURCHASE!$H$6:$H$10008,$A$4:$A$2700)</f>
        <v>0</v>
      </c>
      <c r="J32" s="512">
        <f>SUMIFS(PURCHASE!$L$6:$L$10008,PURCHASE!$A$6:$A$10008,$H$2,PURCHASE!$H$6:$H$10008,$A$4:$A$2700)</f>
        <v>0</v>
      </c>
      <c r="K32" s="512">
        <f>SUMIFS(PURCHASE!$M$6:$M$10008,PURCHASE!$A$6:$A$10008,$H$2,PURCHASE!$H$6:$H$10008,$A$4:$A$2700)</f>
        <v>0</v>
      </c>
      <c r="L32" s="512">
        <f>SUMIFS(PURCHASE!$N$6:$N$10008,PURCHASE!$A$6:$A$10008,$H$2,PURCHASE!$H$6:$H$10008,$A$4:$A$2700)</f>
        <v>0</v>
      </c>
      <c r="M32" s="512">
        <f t="shared" si="13"/>
        <v>0</v>
      </c>
      <c r="N32" s="512">
        <f>SUMIFS(PURCHASE!$K$6:$K$10008,PURCHASE!$A$6:$A$10008,$M$2,PURCHASE!$H$6:$H$10008,$A$4:$A$2700)</f>
        <v>0</v>
      </c>
      <c r="O32" s="512">
        <f>SUMIFS(PURCHASE!$L$6:$L$10008,PURCHASE!$A$6:$A$10008,$M$2,PURCHASE!$H$6:$H$10008,$A$4:$A$2700)</f>
        <v>0</v>
      </c>
      <c r="P32" s="512">
        <f>SUMIFS(PURCHASE!$M$6:$M$10008,PURCHASE!$A$6:$A$10008,$M$2,PURCHASE!$H$6:$H$10008,$A$4:$A$2700)</f>
        <v>0</v>
      </c>
      <c r="Q32" s="512">
        <f>SUMIFS(PURCHASE!$N$6:$N$10008,PURCHASE!$A$6:$A$10008,$M$2,PURCHASE!$H$6:$H$10008,$A$4:$A$2700)</f>
        <v>0</v>
      </c>
      <c r="R32" s="512">
        <f t="shared" si="14"/>
        <v>0</v>
      </c>
      <c r="S32" s="512">
        <f>SUMIFS(PURCHASE!$K$6:$K$10008,PURCHASE!$A$6:$A$10008,$R$2,PURCHASE!$H$6:$H$10008,$A$4:$A$2700)</f>
        <v>0</v>
      </c>
      <c r="T32" s="512">
        <f>SUMIFS(PURCHASE!$L$6:$L$10008,PURCHASE!$A$6:$A$10008,$R$2,PURCHASE!$H$6:$H$10008,$A$4:$A$2700)</f>
        <v>0</v>
      </c>
      <c r="U32" s="512">
        <f>SUMIFS(PURCHASE!$M$6:$M$10008,PURCHASE!$A$6:$A$10008,$R$2,PURCHASE!$H$6:$H$10008,$A$4:$A$2700)</f>
        <v>0</v>
      </c>
      <c r="V32" s="512">
        <f>SUMIFS(PURCHASE!$N$6:$N$10008,PURCHASE!$A$6:$A$10008,$R$2,PURCHASE!$H$6:$H$10008,$A$4:$A$2700)</f>
        <v>0</v>
      </c>
      <c r="W32" s="512">
        <f t="shared" si="15"/>
        <v>0</v>
      </c>
      <c r="X32" s="512">
        <f>SUMIFS(PURCHASE!$K$6:$K$10008,PURCHASE!$A$6:$A$10008,$W$2,PURCHASE!$H$6:$H$10008,$A$4:$A$2700)</f>
        <v>0</v>
      </c>
      <c r="Y32" s="512">
        <f>SUMIFS(PURCHASE!$L$6:$L$10008,PURCHASE!$A$6:$A$10008,$W$2,PURCHASE!$H$6:$H$10008,$A$4:$A$2700)</f>
        <v>0</v>
      </c>
      <c r="Z32" s="512">
        <f>SUMIFS(PURCHASE!$M$6:$M$10008,PURCHASE!$A$6:$A$10008,$W$2,PURCHASE!$H$6:$H$10008,$A$4:$A$2700)</f>
        <v>0</v>
      </c>
      <c r="AA32" s="512">
        <f>SUMIFS(PURCHASE!$N$6:$N$10008,PURCHASE!$A$6:$A$10008,$W$2,PURCHASE!$H$6:$H$10008,$A$4:$A$2700)</f>
        <v>0</v>
      </c>
      <c r="AB32" s="512">
        <f t="shared" si="16"/>
        <v>649</v>
      </c>
      <c r="AC32" s="512">
        <f>SUMIFS(PURCHASE!$K$6:$K$10008,PURCHASE!$A$6:$A$10008,$AB$2,PURCHASE!$H$6:$H$10008,$A$4:$A$2700)</f>
        <v>550</v>
      </c>
      <c r="AD32" s="512">
        <f>SUMIFS(PURCHASE!$L$6:$L$10008,PURCHASE!$A$6:$A$10008,$AB$2,PURCHASE!$H$6:$H$10008,$A$4:$A$2700)</f>
        <v>0</v>
      </c>
      <c r="AE32" s="512">
        <f>SUMIFS(PURCHASE!$M$6:$M$10008,PURCHASE!$A$6:$A$10008,$AB$2,PURCHASE!$H$6:$H$10008,$A$4:$A$2700)</f>
        <v>49.5</v>
      </c>
      <c r="AF32" s="512">
        <f>SUMIFS(PURCHASE!$N$6:$N$10008,PURCHASE!$A$6:$A$10008,$AB$2,PURCHASE!$H$6:$H$10008,$A$4:$A$2700)</f>
        <v>49.5</v>
      </c>
      <c r="AG32" s="512">
        <f t="shared" si="17"/>
        <v>0</v>
      </c>
      <c r="AH32" s="512">
        <f>SUMIFS(PURCHASE!$K$6:$K$10008,PURCHASE!$A$6:$A$10008,$AG$2,PURCHASE!$H$6:$H$10008,$A$4:$A$2700)</f>
        <v>0</v>
      </c>
      <c r="AI32" s="512">
        <f>SUMIFS(PURCHASE!$L$6:$L$10008,PURCHASE!$A$6:$A$10008,$AG$2,PURCHASE!$H$6:$H$10008,$A$4:$A$2700)</f>
        <v>0</v>
      </c>
      <c r="AJ32" s="512">
        <f>SUMIFS(PURCHASE!$M$6:$M$10008,PURCHASE!$A$6:$A$10008,$AG$2,PURCHASE!$H$6:$H$10008,$A$4:$A$2700)</f>
        <v>0</v>
      </c>
      <c r="AK32" s="512">
        <f>SUMIFS(PURCHASE!$N$6:$N$10008,PURCHASE!$A$6:$A$10008,$AG$2,PURCHASE!$H$6:$H$10008,$A$4:$A$2700)</f>
        <v>0</v>
      </c>
      <c r="AL32" s="512">
        <f t="shared" si="18"/>
        <v>552.28</v>
      </c>
      <c r="AM32" s="512">
        <f>SUMIFS(PURCHASE!$K$6:$K$10008,PURCHASE!$A$6:$A$10008,$AL$2,PURCHASE!$H$6:$H$10008,$A$4:$A$2700)</f>
        <v>468</v>
      </c>
      <c r="AN32" s="512">
        <f>SUMIFS(PURCHASE!$L$6:$L$10008,PURCHASE!$A$6:$A$10008,$AL$2,PURCHASE!$H$6:$H$10008,$A$4:$A$2700)</f>
        <v>0</v>
      </c>
      <c r="AO32" s="512">
        <f>SUMIFS(PURCHASE!$M$6:$M$10008,PURCHASE!$A$6:$A$10008,$AL$2,PURCHASE!$H$6:$H$10008,$A$4:$A$2700)</f>
        <v>42.14</v>
      </c>
      <c r="AP32" s="512">
        <f>SUMIFS(PURCHASE!$N$6:$N$10008,PURCHASE!$A$6:$A$10008,$AL$2,PURCHASE!$H$6:$H$10008,$A$4:$A$2700)</f>
        <v>42.14</v>
      </c>
      <c r="AQ32" s="512">
        <f t="shared" si="19"/>
        <v>590</v>
      </c>
      <c r="AR32" s="512">
        <f>SUMIFS(PURCHASE!$K$6:$K$10008,PURCHASE!$A$6:$A$10008,$AQ$2,PURCHASE!$H$6:$H$10008,$A$4:$A$2700)</f>
        <v>500</v>
      </c>
      <c r="AS32" s="512">
        <f>SUMIFS(PURCHASE!$L$6:$L$10008,PURCHASE!$A$6:$A$10008,$AQ$2,PURCHASE!$H$6:$H$10008,$A$4:$A$2700)</f>
        <v>0</v>
      </c>
      <c r="AT32" s="512">
        <f>SUMIFS(PURCHASE!$M$6:$M$10008,PURCHASE!$A$6:$A$10008,$AQ$2,PURCHASE!$H$6:$H$10008,$A$4:$A$2700)</f>
        <v>45</v>
      </c>
      <c r="AU32" s="512">
        <f>SUMIFS(PURCHASE!$N$6:$N$10008,PURCHASE!$A$6:$A$10008,$AQ$2,PURCHASE!$H$6:$H$10008,$A$4:$A$2700)</f>
        <v>45</v>
      </c>
      <c r="AV32" s="512">
        <f t="shared" si="20"/>
        <v>0</v>
      </c>
      <c r="AW32" s="512">
        <f>SUMIFS(PURCHASE!$K$6:$K$10008,PURCHASE!$A$6:$A$10008,$AV$2,PURCHASE!$H$6:$H$10008,$A$4:$A$2700)</f>
        <v>0</v>
      </c>
      <c r="AX32" s="512">
        <f>SUMIFS(PURCHASE!$L$6:$L$10008,PURCHASE!$A$6:$A$10008,$AV$2,PURCHASE!$H$6:$H$10008,$A$4:$A$2700)</f>
        <v>0</v>
      </c>
      <c r="AY32" s="512">
        <f>SUMIFS(PURCHASE!$M$6:$M$10008,PURCHASE!$A$6:$A$10008,$AV$2,PURCHASE!$H$6:$H$10008,$A$4:$A$2700)</f>
        <v>0</v>
      </c>
      <c r="AZ32" s="512">
        <f>SUMIFS(PURCHASE!$N$6:$N$10008,PURCHASE!$A$6:$A$10008,$AV$2,PURCHASE!$H$6:$H$10008,$A$4:$A$2700)</f>
        <v>0</v>
      </c>
      <c r="BA32" s="512">
        <f t="shared" si="21"/>
        <v>0</v>
      </c>
      <c r="BB32" s="512">
        <f>SUMIFS(PURCHASE!$K$6:$K$10008,PURCHASE!$A$6:$A$10008,$BA$2,PURCHASE!$H$6:$H$10008,$A$4:$A$2700)</f>
        <v>0</v>
      </c>
      <c r="BC32" s="512">
        <f>SUMIFS(PURCHASE!$L$6:$L$10008,PURCHASE!$A$6:$A$10008,$BA$2,PURCHASE!$H$6:$H$10008,$A$4:$A$2700)</f>
        <v>0</v>
      </c>
      <c r="BD32" s="512">
        <f>SUMIFS(PURCHASE!$M$6:$M$10008,PURCHASE!$A$6:$A$10008,$BA$2,PURCHASE!$H$6:$H$10008,$A$4:$A$2700)</f>
        <v>0</v>
      </c>
      <c r="BE32" s="512">
        <f>SUMIFS(PURCHASE!$N$6:$N$10008,PURCHASE!$A$6:$A$10008,$BA$2,PURCHASE!$H$6:$H$10008,$A$4:$A$2700)</f>
        <v>0</v>
      </c>
      <c r="BF32" s="512">
        <f t="shared" si="22"/>
        <v>0</v>
      </c>
      <c r="BG32" s="512">
        <f>SUMIFS(PURCHASE!$K$6:$K$10008,PURCHASE!$A$6:$A$10008,$BF$2,PURCHASE!$H$6:$H$10008,$A$4:$A$2700)</f>
        <v>0</v>
      </c>
      <c r="BH32" s="512">
        <f>SUMIFS(PURCHASE!$L$6:$L$10008,PURCHASE!$A$6:$A$10008,$BF$2,PURCHASE!$H$6:$H$10008,$A$4:$A$2700)</f>
        <v>0</v>
      </c>
      <c r="BI32" s="512">
        <f>SUMIFS(PURCHASE!$M$6:$M$10008,PURCHASE!$A$6:$A$10008,$BF$2,PURCHASE!$H$6:$H$10008,$A$4:$A$2700)</f>
        <v>0</v>
      </c>
      <c r="BJ32" s="512">
        <f>SUMIFS(PURCHASE!$N$6:$N$10008,PURCHASE!$A$6:$A$10008,$BF$2,PURCHASE!$H$6:$H$10008,$A$4:$A$2700)</f>
        <v>0</v>
      </c>
      <c r="BK32" s="72">
        <f t="shared" si="6"/>
        <v>1791.28</v>
      </c>
      <c r="BL32" s="72">
        <f t="shared" si="7"/>
        <v>1518</v>
      </c>
      <c r="BM32" s="72">
        <f t="shared" si="8"/>
        <v>0</v>
      </c>
      <c r="BN32" s="72">
        <f t="shared" si="9"/>
        <v>136.63999999999999</v>
      </c>
      <c r="BO32" s="72">
        <f t="shared" si="10"/>
        <v>136.63999999999999</v>
      </c>
    </row>
    <row r="33" spans="1:67" x14ac:dyDescent="0.2">
      <c r="A33" s="511">
        <v>6810</v>
      </c>
      <c r="B33" s="467" t="s">
        <v>1208</v>
      </c>
      <c r="C33" s="512">
        <f t="shared" si="11"/>
        <v>0</v>
      </c>
      <c r="D33" s="512">
        <f>SUMIFS(PURCHASE!$K$6:$K$10008,PURCHASE!$A$6:$A$10008,$M$2,PURCHASE!$H$6:$H$10008,$A$4:$A$2700)</f>
        <v>0</v>
      </c>
      <c r="E33" s="512">
        <f>SUMIFS(PURCHASE!$L$6:$L$10008,PURCHASE!$A$6:$A$10008,$M$2,PURCHASE!$H$6:$H$10008,$A$4:$A$2700)</f>
        <v>0</v>
      </c>
      <c r="F33" s="512">
        <f>SUMIFS(PURCHASE!$M$6:$M$10008,PURCHASE!$A$6:$A$10008,$M$2,PURCHASE!$H$6:$H$10008,$A$4:$A$2700)</f>
        <v>0</v>
      </c>
      <c r="G33" s="512">
        <f>SUMIFS(PURCHASE!$N$6:$N$10008,PURCHASE!$A$6:$A$10008,$M$2,PURCHASE!$H$6:$H$10008,$A$4:$A$2700)</f>
        <v>0</v>
      </c>
      <c r="H33" s="512">
        <f t="shared" si="12"/>
        <v>0</v>
      </c>
      <c r="I33" s="512">
        <f>SUMIFS(PURCHASE!$K$6:$K$10008,PURCHASE!$A$6:$A$10008,$H$2,PURCHASE!$H$6:$H$10008,$A$4:$A$2700)</f>
        <v>0</v>
      </c>
      <c r="J33" s="512">
        <f>SUMIFS(PURCHASE!$L$6:$L$10008,PURCHASE!$A$6:$A$10008,$H$2,PURCHASE!$H$6:$H$10008,$A$4:$A$2700)</f>
        <v>0</v>
      </c>
      <c r="K33" s="512">
        <f>SUMIFS(PURCHASE!$M$6:$M$10008,PURCHASE!$A$6:$A$10008,$H$2,PURCHASE!$H$6:$H$10008,$A$4:$A$2700)</f>
        <v>0</v>
      </c>
      <c r="L33" s="512">
        <f>SUMIFS(PURCHASE!$N$6:$N$10008,PURCHASE!$A$6:$A$10008,$H$2,PURCHASE!$H$6:$H$10008,$A$4:$A$2700)</f>
        <v>0</v>
      </c>
      <c r="M33" s="512">
        <f t="shared" si="13"/>
        <v>0</v>
      </c>
      <c r="N33" s="512">
        <f>SUMIFS(PURCHASE!$K$6:$K$10008,PURCHASE!$A$6:$A$10008,$M$2,PURCHASE!$H$6:$H$10008,$A$4:$A$2700)</f>
        <v>0</v>
      </c>
      <c r="O33" s="512">
        <f>SUMIFS(PURCHASE!$L$6:$L$10008,PURCHASE!$A$6:$A$10008,$M$2,PURCHASE!$H$6:$H$10008,$A$4:$A$2700)</f>
        <v>0</v>
      </c>
      <c r="P33" s="512">
        <f>SUMIFS(PURCHASE!$M$6:$M$10008,PURCHASE!$A$6:$A$10008,$M$2,PURCHASE!$H$6:$H$10008,$A$4:$A$2700)</f>
        <v>0</v>
      </c>
      <c r="Q33" s="512">
        <f>SUMIFS(PURCHASE!$N$6:$N$10008,PURCHASE!$A$6:$A$10008,$M$2,PURCHASE!$H$6:$H$10008,$A$4:$A$2700)</f>
        <v>0</v>
      </c>
      <c r="R33" s="512">
        <f t="shared" si="14"/>
        <v>0</v>
      </c>
      <c r="S33" s="512">
        <f>SUMIFS(PURCHASE!$K$6:$K$10008,PURCHASE!$A$6:$A$10008,$R$2,PURCHASE!$H$6:$H$10008,$A$4:$A$2700)</f>
        <v>0</v>
      </c>
      <c r="T33" s="512">
        <f>SUMIFS(PURCHASE!$L$6:$L$10008,PURCHASE!$A$6:$A$10008,$R$2,PURCHASE!$H$6:$H$10008,$A$4:$A$2700)</f>
        <v>0</v>
      </c>
      <c r="U33" s="512">
        <f>SUMIFS(PURCHASE!$M$6:$M$10008,PURCHASE!$A$6:$A$10008,$R$2,PURCHASE!$H$6:$H$10008,$A$4:$A$2700)</f>
        <v>0</v>
      </c>
      <c r="V33" s="512">
        <f>SUMIFS(PURCHASE!$N$6:$N$10008,PURCHASE!$A$6:$A$10008,$R$2,PURCHASE!$H$6:$H$10008,$A$4:$A$2700)</f>
        <v>0</v>
      </c>
      <c r="W33" s="512">
        <f t="shared" si="15"/>
        <v>0</v>
      </c>
      <c r="X33" s="512">
        <f>SUMIFS(PURCHASE!$K$6:$K$10008,PURCHASE!$A$6:$A$10008,$W$2,PURCHASE!$H$6:$H$10008,$A$4:$A$2700)</f>
        <v>0</v>
      </c>
      <c r="Y33" s="512">
        <f>SUMIFS(PURCHASE!$L$6:$L$10008,PURCHASE!$A$6:$A$10008,$W$2,PURCHASE!$H$6:$H$10008,$A$4:$A$2700)</f>
        <v>0</v>
      </c>
      <c r="Z33" s="512">
        <f>SUMIFS(PURCHASE!$M$6:$M$10008,PURCHASE!$A$6:$A$10008,$W$2,PURCHASE!$H$6:$H$10008,$A$4:$A$2700)</f>
        <v>0</v>
      </c>
      <c r="AA33" s="512">
        <f>SUMIFS(PURCHASE!$N$6:$N$10008,PURCHASE!$A$6:$A$10008,$W$2,PURCHASE!$H$6:$H$10008,$A$4:$A$2700)</f>
        <v>0</v>
      </c>
      <c r="AB33" s="512">
        <f t="shared" si="16"/>
        <v>0</v>
      </c>
      <c r="AC33" s="512">
        <f>SUMIFS(PURCHASE!$K$6:$K$10008,PURCHASE!$A$6:$A$10008,$AB$2,PURCHASE!$H$6:$H$10008,$A$4:$A$2700)</f>
        <v>0</v>
      </c>
      <c r="AD33" s="512">
        <f>SUMIFS(PURCHASE!$L$6:$L$10008,PURCHASE!$A$6:$A$10008,$AB$2,PURCHASE!$H$6:$H$10008,$A$4:$A$2700)</f>
        <v>0</v>
      </c>
      <c r="AE33" s="512">
        <f>SUMIFS(PURCHASE!$M$6:$M$10008,PURCHASE!$A$6:$A$10008,$AB$2,PURCHASE!$H$6:$H$10008,$A$4:$A$2700)</f>
        <v>0</v>
      </c>
      <c r="AF33" s="512">
        <f>SUMIFS(PURCHASE!$N$6:$N$10008,PURCHASE!$A$6:$A$10008,$AB$2,PURCHASE!$H$6:$H$10008,$A$4:$A$2700)</f>
        <v>0</v>
      </c>
      <c r="AG33" s="512">
        <f t="shared" si="17"/>
        <v>0</v>
      </c>
      <c r="AH33" s="512">
        <f>SUMIFS(PURCHASE!$K$6:$K$10008,PURCHASE!$A$6:$A$10008,$AG$2,PURCHASE!$H$6:$H$10008,$A$4:$A$2700)</f>
        <v>0</v>
      </c>
      <c r="AI33" s="512">
        <f>SUMIFS(PURCHASE!$L$6:$L$10008,PURCHASE!$A$6:$A$10008,$AG$2,PURCHASE!$H$6:$H$10008,$A$4:$A$2700)</f>
        <v>0</v>
      </c>
      <c r="AJ33" s="512">
        <f>SUMIFS(PURCHASE!$M$6:$M$10008,PURCHASE!$A$6:$A$10008,$AG$2,PURCHASE!$H$6:$H$10008,$A$4:$A$2700)</f>
        <v>0</v>
      </c>
      <c r="AK33" s="512">
        <f>SUMIFS(PURCHASE!$N$6:$N$10008,PURCHASE!$A$6:$A$10008,$AG$2,PURCHASE!$H$6:$H$10008,$A$4:$A$2700)</f>
        <v>0</v>
      </c>
      <c r="AL33" s="512">
        <f t="shared" si="18"/>
        <v>0</v>
      </c>
      <c r="AM33" s="512">
        <f>SUMIFS(PURCHASE!$K$6:$K$10008,PURCHASE!$A$6:$A$10008,$AL$2,PURCHASE!$H$6:$H$10008,$A$4:$A$2700)</f>
        <v>0</v>
      </c>
      <c r="AN33" s="512">
        <f>SUMIFS(PURCHASE!$L$6:$L$10008,PURCHASE!$A$6:$A$10008,$AL$2,PURCHASE!$H$6:$H$10008,$A$4:$A$2700)</f>
        <v>0</v>
      </c>
      <c r="AO33" s="512">
        <f>SUMIFS(PURCHASE!$M$6:$M$10008,PURCHASE!$A$6:$A$10008,$AL$2,PURCHASE!$H$6:$H$10008,$A$4:$A$2700)</f>
        <v>0</v>
      </c>
      <c r="AP33" s="512">
        <f>SUMIFS(PURCHASE!$N$6:$N$10008,PURCHASE!$A$6:$A$10008,$AL$2,PURCHASE!$H$6:$H$10008,$A$4:$A$2700)</f>
        <v>0</v>
      </c>
      <c r="AQ33" s="512">
        <f t="shared" si="19"/>
        <v>0</v>
      </c>
      <c r="AR33" s="512">
        <f>SUMIFS(PURCHASE!$K$6:$K$10008,PURCHASE!$A$6:$A$10008,$AQ$2,PURCHASE!$H$6:$H$10008,$A$4:$A$2700)</f>
        <v>0</v>
      </c>
      <c r="AS33" s="512">
        <f>SUMIFS(PURCHASE!$L$6:$L$10008,PURCHASE!$A$6:$A$10008,$AQ$2,PURCHASE!$H$6:$H$10008,$A$4:$A$2700)</f>
        <v>0</v>
      </c>
      <c r="AT33" s="512">
        <f>SUMIFS(PURCHASE!$M$6:$M$10008,PURCHASE!$A$6:$A$10008,$AQ$2,PURCHASE!$H$6:$H$10008,$A$4:$A$2700)</f>
        <v>0</v>
      </c>
      <c r="AU33" s="512">
        <f>SUMIFS(PURCHASE!$N$6:$N$10008,PURCHASE!$A$6:$A$10008,$AQ$2,PURCHASE!$H$6:$H$10008,$A$4:$A$2700)</f>
        <v>0</v>
      </c>
      <c r="AV33" s="512">
        <f t="shared" si="20"/>
        <v>0</v>
      </c>
      <c r="AW33" s="512">
        <f>SUMIFS(PURCHASE!$K$6:$K$10008,PURCHASE!$A$6:$A$10008,$AV$2,PURCHASE!$H$6:$H$10008,$A$4:$A$2700)</f>
        <v>0</v>
      </c>
      <c r="AX33" s="512">
        <f>SUMIFS(PURCHASE!$L$6:$L$10008,PURCHASE!$A$6:$A$10008,$AV$2,PURCHASE!$H$6:$H$10008,$A$4:$A$2700)</f>
        <v>0</v>
      </c>
      <c r="AY33" s="512">
        <f>SUMIFS(PURCHASE!$M$6:$M$10008,PURCHASE!$A$6:$A$10008,$AV$2,PURCHASE!$H$6:$H$10008,$A$4:$A$2700)</f>
        <v>0</v>
      </c>
      <c r="AZ33" s="512">
        <f>SUMIFS(PURCHASE!$N$6:$N$10008,PURCHASE!$A$6:$A$10008,$AV$2,PURCHASE!$H$6:$H$10008,$A$4:$A$2700)</f>
        <v>0</v>
      </c>
      <c r="BA33" s="512">
        <f t="shared" si="21"/>
        <v>0</v>
      </c>
      <c r="BB33" s="512">
        <f>SUMIFS(PURCHASE!$K$6:$K$10008,PURCHASE!$A$6:$A$10008,$BA$2,PURCHASE!$H$6:$H$10008,$A$4:$A$2700)</f>
        <v>0</v>
      </c>
      <c r="BC33" s="512">
        <f>SUMIFS(PURCHASE!$L$6:$L$10008,PURCHASE!$A$6:$A$10008,$BA$2,PURCHASE!$H$6:$H$10008,$A$4:$A$2700)</f>
        <v>0</v>
      </c>
      <c r="BD33" s="512">
        <f>SUMIFS(PURCHASE!$M$6:$M$10008,PURCHASE!$A$6:$A$10008,$BA$2,PURCHASE!$H$6:$H$10008,$A$4:$A$2700)</f>
        <v>0</v>
      </c>
      <c r="BE33" s="512">
        <f>SUMIFS(PURCHASE!$N$6:$N$10008,PURCHASE!$A$6:$A$10008,$BA$2,PURCHASE!$H$6:$H$10008,$A$4:$A$2700)</f>
        <v>0</v>
      </c>
      <c r="BF33" s="512">
        <f t="shared" si="22"/>
        <v>0</v>
      </c>
      <c r="BG33" s="512">
        <f>SUMIFS(PURCHASE!$K$6:$K$10008,PURCHASE!$A$6:$A$10008,$BF$2,PURCHASE!$H$6:$H$10008,$A$4:$A$2700)</f>
        <v>0</v>
      </c>
      <c r="BH33" s="512">
        <f>SUMIFS(PURCHASE!$L$6:$L$10008,PURCHASE!$A$6:$A$10008,$BF$2,PURCHASE!$H$6:$H$10008,$A$4:$A$2700)</f>
        <v>0</v>
      </c>
      <c r="BI33" s="512">
        <f>SUMIFS(PURCHASE!$M$6:$M$10008,PURCHASE!$A$6:$A$10008,$BF$2,PURCHASE!$H$6:$H$10008,$A$4:$A$2700)</f>
        <v>0</v>
      </c>
      <c r="BJ33" s="512">
        <f>SUMIFS(PURCHASE!$N$6:$N$10008,PURCHASE!$A$6:$A$10008,$BF$2,PURCHASE!$H$6:$H$10008,$A$4:$A$2700)</f>
        <v>0</v>
      </c>
      <c r="BK33" s="72">
        <f t="shared" si="6"/>
        <v>0</v>
      </c>
      <c r="BL33" s="72">
        <f t="shared" si="7"/>
        <v>0</v>
      </c>
      <c r="BM33" s="72">
        <f t="shared" si="8"/>
        <v>0</v>
      </c>
      <c r="BN33" s="72">
        <f t="shared" si="9"/>
        <v>0</v>
      </c>
      <c r="BO33" s="72">
        <f t="shared" si="10"/>
        <v>0</v>
      </c>
    </row>
    <row r="34" spans="1:67" x14ac:dyDescent="0.2">
      <c r="A34" s="511">
        <v>7210</v>
      </c>
      <c r="B34" s="467" t="s">
        <v>1209</v>
      </c>
      <c r="C34" s="512">
        <f t="shared" si="11"/>
        <v>0</v>
      </c>
      <c r="D34" s="512">
        <f>SUMIFS(PURCHASE!$K$6:$K$10008,PURCHASE!$A$6:$A$10008,$M$2,PURCHASE!$H$6:$H$10008,$A$4:$A$2700)</f>
        <v>0</v>
      </c>
      <c r="E34" s="512">
        <f>SUMIFS(PURCHASE!$L$6:$L$10008,PURCHASE!$A$6:$A$10008,$M$2,PURCHASE!$H$6:$H$10008,$A$4:$A$2700)</f>
        <v>0</v>
      </c>
      <c r="F34" s="512">
        <f>SUMIFS(PURCHASE!$M$6:$M$10008,PURCHASE!$A$6:$A$10008,$M$2,PURCHASE!$H$6:$H$10008,$A$4:$A$2700)</f>
        <v>0</v>
      </c>
      <c r="G34" s="512">
        <f>SUMIFS(PURCHASE!$N$6:$N$10008,PURCHASE!$A$6:$A$10008,$M$2,PURCHASE!$H$6:$H$10008,$A$4:$A$2700)</f>
        <v>0</v>
      </c>
      <c r="H34" s="512">
        <f t="shared" si="12"/>
        <v>0</v>
      </c>
      <c r="I34" s="512">
        <f>SUMIFS(PURCHASE!$K$6:$K$10008,PURCHASE!$A$6:$A$10008,$H$2,PURCHASE!$H$6:$H$10008,$A$4:$A$2700)</f>
        <v>0</v>
      </c>
      <c r="J34" s="512">
        <f>SUMIFS(PURCHASE!$L$6:$L$10008,PURCHASE!$A$6:$A$10008,$H$2,PURCHASE!$H$6:$H$10008,$A$4:$A$2700)</f>
        <v>0</v>
      </c>
      <c r="K34" s="512">
        <f>SUMIFS(PURCHASE!$M$6:$M$10008,PURCHASE!$A$6:$A$10008,$H$2,PURCHASE!$H$6:$H$10008,$A$4:$A$2700)</f>
        <v>0</v>
      </c>
      <c r="L34" s="512">
        <f>SUMIFS(PURCHASE!$N$6:$N$10008,PURCHASE!$A$6:$A$10008,$H$2,PURCHASE!$H$6:$H$10008,$A$4:$A$2700)</f>
        <v>0</v>
      </c>
      <c r="M34" s="512">
        <f t="shared" si="13"/>
        <v>0</v>
      </c>
      <c r="N34" s="512">
        <f>SUMIFS(PURCHASE!$K$6:$K$10008,PURCHASE!$A$6:$A$10008,$M$2,PURCHASE!$H$6:$H$10008,$A$4:$A$2700)</f>
        <v>0</v>
      </c>
      <c r="O34" s="512">
        <f>SUMIFS(PURCHASE!$L$6:$L$10008,PURCHASE!$A$6:$A$10008,$M$2,PURCHASE!$H$6:$H$10008,$A$4:$A$2700)</f>
        <v>0</v>
      </c>
      <c r="P34" s="512">
        <f>SUMIFS(PURCHASE!$M$6:$M$10008,PURCHASE!$A$6:$A$10008,$M$2,PURCHASE!$H$6:$H$10008,$A$4:$A$2700)</f>
        <v>0</v>
      </c>
      <c r="Q34" s="512">
        <f>SUMIFS(PURCHASE!$N$6:$N$10008,PURCHASE!$A$6:$A$10008,$M$2,PURCHASE!$H$6:$H$10008,$A$4:$A$2700)</f>
        <v>0</v>
      </c>
      <c r="R34" s="512">
        <f t="shared" si="14"/>
        <v>0</v>
      </c>
      <c r="S34" s="512">
        <f>SUMIFS(PURCHASE!$K$6:$K$10008,PURCHASE!$A$6:$A$10008,$R$2,PURCHASE!$H$6:$H$10008,$A$4:$A$2700)</f>
        <v>0</v>
      </c>
      <c r="T34" s="512">
        <f>SUMIFS(PURCHASE!$L$6:$L$10008,PURCHASE!$A$6:$A$10008,$R$2,PURCHASE!$H$6:$H$10008,$A$4:$A$2700)</f>
        <v>0</v>
      </c>
      <c r="U34" s="512">
        <f>SUMIFS(PURCHASE!$M$6:$M$10008,PURCHASE!$A$6:$A$10008,$R$2,PURCHASE!$H$6:$H$10008,$A$4:$A$2700)</f>
        <v>0</v>
      </c>
      <c r="V34" s="512">
        <f>SUMIFS(PURCHASE!$N$6:$N$10008,PURCHASE!$A$6:$A$10008,$R$2,PURCHASE!$H$6:$H$10008,$A$4:$A$2700)</f>
        <v>0</v>
      </c>
      <c r="W34" s="512">
        <f t="shared" si="15"/>
        <v>0</v>
      </c>
      <c r="X34" s="512">
        <f>SUMIFS(PURCHASE!$K$6:$K$10008,PURCHASE!$A$6:$A$10008,$W$2,PURCHASE!$H$6:$H$10008,$A$4:$A$2700)</f>
        <v>0</v>
      </c>
      <c r="Y34" s="512">
        <f>SUMIFS(PURCHASE!$L$6:$L$10008,PURCHASE!$A$6:$A$10008,$W$2,PURCHASE!$H$6:$H$10008,$A$4:$A$2700)</f>
        <v>0</v>
      </c>
      <c r="Z34" s="512">
        <f>SUMIFS(PURCHASE!$M$6:$M$10008,PURCHASE!$A$6:$A$10008,$W$2,PURCHASE!$H$6:$H$10008,$A$4:$A$2700)</f>
        <v>0</v>
      </c>
      <c r="AA34" s="512">
        <f>SUMIFS(PURCHASE!$N$6:$N$10008,PURCHASE!$A$6:$A$10008,$W$2,PURCHASE!$H$6:$H$10008,$A$4:$A$2700)</f>
        <v>0</v>
      </c>
      <c r="AB34" s="512">
        <f t="shared" si="16"/>
        <v>0</v>
      </c>
      <c r="AC34" s="512">
        <f>SUMIFS(PURCHASE!$K$6:$K$10008,PURCHASE!$A$6:$A$10008,$AB$2,PURCHASE!$H$6:$H$10008,$A$4:$A$2700)</f>
        <v>0</v>
      </c>
      <c r="AD34" s="512">
        <f>SUMIFS(PURCHASE!$L$6:$L$10008,PURCHASE!$A$6:$A$10008,$AB$2,PURCHASE!$H$6:$H$10008,$A$4:$A$2700)</f>
        <v>0</v>
      </c>
      <c r="AE34" s="512">
        <f>SUMIFS(PURCHASE!$M$6:$M$10008,PURCHASE!$A$6:$A$10008,$AB$2,PURCHASE!$H$6:$H$10008,$A$4:$A$2700)</f>
        <v>0</v>
      </c>
      <c r="AF34" s="512">
        <f>SUMIFS(PURCHASE!$N$6:$N$10008,PURCHASE!$A$6:$A$10008,$AB$2,PURCHASE!$H$6:$H$10008,$A$4:$A$2700)</f>
        <v>0</v>
      </c>
      <c r="AG34" s="512">
        <f t="shared" si="17"/>
        <v>0</v>
      </c>
      <c r="AH34" s="512">
        <f>SUMIFS(PURCHASE!$K$6:$K$10008,PURCHASE!$A$6:$A$10008,$AG$2,PURCHASE!$H$6:$H$10008,$A$4:$A$2700)</f>
        <v>0</v>
      </c>
      <c r="AI34" s="512">
        <f>SUMIFS(PURCHASE!$L$6:$L$10008,PURCHASE!$A$6:$A$10008,$AG$2,PURCHASE!$H$6:$H$10008,$A$4:$A$2700)</f>
        <v>0</v>
      </c>
      <c r="AJ34" s="512">
        <f>SUMIFS(PURCHASE!$M$6:$M$10008,PURCHASE!$A$6:$A$10008,$AG$2,PURCHASE!$H$6:$H$10008,$A$4:$A$2700)</f>
        <v>0</v>
      </c>
      <c r="AK34" s="512">
        <f>SUMIFS(PURCHASE!$N$6:$N$10008,PURCHASE!$A$6:$A$10008,$AG$2,PURCHASE!$H$6:$H$10008,$A$4:$A$2700)</f>
        <v>0</v>
      </c>
      <c r="AL34" s="512">
        <f t="shared" si="18"/>
        <v>0</v>
      </c>
      <c r="AM34" s="512">
        <f>SUMIFS(PURCHASE!$K$6:$K$10008,PURCHASE!$A$6:$A$10008,$AL$2,PURCHASE!$H$6:$H$10008,$A$4:$A$2700)</f>
        <v>0</v>
      </c>
      <c r="AN34" s="512">
        <f>SUMIFS(PURCHASE!$L$6:$L$10008,PURCHASE!$A$6:$A$10008,$AL$2,PURCHASE!$H$6:$H$10008,$A$4:$A$2700)</f>
        <v>0</v>
      </c>
      <c r="AO34" s="512">
        <f>SUMIFS(PURCHASE!$M$6:$M$10008,PURCHASE!$A$6:$A$10008,$AL$2,PURCHASE!$H$6:$H$10008,$A$4:$A$2700)</f>
        <v>0</v>
      </c>
      <c r="AP34" s="512">
        <f>SUMIFS(PURCHASE!$N$6:$N$10008,PURCHASE!$A$6:$A$10008,$AL$2,PURCHASE!$H$6:$H$10008,$A$4:$A$2700)</f>
        <v>0</v>
      </c>
      <c r="AQ34" s="512">
        <f t="shared" si="19"/>
        <v>54280</v>
      </c>
      <c r="AR34" s="512">
        <f>SUMIFS(PURCHASE!$K$6:$K$10008,PURCHASE!$A$6:$A$10008,$AQ$2,PURCHASE!$H$6:$H$10008,$A$4:$A$2700)</f>
        <v>46000</v>
      </c>
      <c r="AS34" s="512">
        <f>SUMIFS(PURCHASE!$L$6:$L$10008,PURCHASE!$A$6:$A$10008,$AQ$2,PURCHASE!$H$6:$H$10008,$A$4:$A$2700)</f>
        <v>0</v>
      </c>
      <c r="AT34" s="512">
        <f>SUMIFS(PURCHASE!$M$6:$M$10008,PURCHASE!$A$6:$A$10008,$AQ$2,PURCHASE!$H$6:$H$10008,$A$4:$A$2700)</f>
        <v>4140</v>
      </c>
      <c r="AU34" s="512">
        <f>SUMIFS(PURCHASE!$N$6:$N$10008,PURCHASE!$A$6:$A$10008,$AQ$2,PURCHASE!$H$6:$H$10008,$A$4:$A$2700)</f>
        <v>4140</v>
      </c>
      <c r="AV34" s="512">
        <f t="shared" si="20"/>
        <v>0</v>
      </c>
      <c r="AW34" s="512">
        <f>SUMIFS(PURCHASE!$K$6:$K$10008,PURCHASE!$A$6:$A$10008,$AV$2,PURCHASE!$H$6:$H$10008,$A$4:$A$2700)</f>
        <v>0</v>
      </c>
      <c r="AX34" s="512">
        <f>SUMIFS(PURCHASE!$L$6:$L$10008,PURCHASE!$A$6:$A$10008,$AV$2,PURCHASE!$H$6:$H$10008,$A$4:$A$2700)</f>
        <v>0</v>
      </c>
      <c r="AY34" s="512">
        <f>SUMIFS(PURCHASE!$M$6:$M$10008,PURCHASE!$A$6:$A$10008,$AV$2,PURCHASE!$H$6:$H$10008,$A$4:$A$2700)</f>
        <v>0</v>
      </c>
      <c r="AZ34" s="512">
        <f>SUMIFS(PURCHASE!$N$6:$N$10008,PURCHASE!$A$6:$A$10008,$AV$2,PURCHASE!$H$6:$H$10008,$A$4:$A$2700)</f>
        <v>0</v>
      </c>
      <c r="BA34" s="512">
        <f t="shared" si="21"/>
        <v>0</v>
      </c>
      <c r="BB34" s="512">
        <f>SUMIFS(PURCHASE!$K$6:$K$10008,PURCHASE!$A$6:$A$10008,$BA$2,PURCHASE!$H$6:$H$10008,$A$4:$A$2700)</f>
        <v>0</v>
      </c>
      <c r="BC34" s="512">
        <f>SUMIFS(PURCHASE!$L$6:$L$10008,PURCHASE!$A$6:$A$10008,$BA$2,PURCHASE!$H$6:$H$10008,$A$4:$A$2700)</f>
        <v>0</v>
      </c>
      <c r="BD34" s="512">
        <f>SUMIFS(PURCHASE!$M$6:$M$10008,PURCHASE!$A$6:$A$10008,$BA$2,PURCHASE!$H$6:$H$10008,$A$4:$A$2700)</f>
        <v>0</v>
      </c>
      <c r="BE34" s="512">
        <f>SUMIFS(PURCHASE!$N$6:$N$10008,PURCHASE!$A$6:$A$10008,$BA$2,PURCHASE!$H$6:$H$10008,$A$4:$A$2700)</f>
        <v>0</v>
      </c>
      <c r="BF34" s="512">
        <f t="shared" si="22"/>
        <v>0</v>
      </c>
      <c r="BG34" s="512">
        <f>SUMIFS(PURCHASE!$K$6:$K$10008,PURCHASE!$A$6:$A$10008,$BF$2,PURCHASE!$H$6:$H$10008,$A$4:$A$2700)</f>
        <v>0</v>
      </c>
      <c r="BH34" s="512">
        <f>SUMIFS(PURCHASE!$L$6:$L$10008,PURCHASE!$A$6:$A$10008,$BF$2,PURCHASE!$H$6:$H$10008,$A$4:$A$2700)</f>
        <v>0</v>
      </c>
      <c r="BI34" s="512">
        <f>SUMIFS(PURCHASE!$M$6:$M$10008,PURCHASE!$A$6:$A$10008,$BF$2,PURCHASE!$H$6:$H$10008,$A$4:$A$2700)</f>
        <v>0</v>
      </c>
      <c r="BJ34" s="512">
        <f>SUMIFS(PURCHASE!$N$6:$N$10008,PURCHASE!$A$6:$A$10008,$BF$2,PURCHASE!$H$6:$H$10008,$A$4:$A$2700)</f>
        <v>0</v>
      </c>
      <c r="BK34" s="72">
        <f t="shared" si="6"/>
        <v>54280</v>
      </c>
      <c r="BL34" s="72">
        <f t="shared" si="7"/>
        <v>46000</v>
      </c>
      <c r="BM34" s="72">
        <f t="shared" si="8"/>
        <v>0</v>
      </c>
      <c r="BN34" s="72">
        <f t="shared" si="9"/>
        <v>4140</v>
      </c>
      <c r="BO34" s="72">
        <f t="shared" si="10"/>
        <v>4140</v>
      </c>
    </row>
    <row r="35" spans="1:67" x14ac:dyDescent="0.2">
      <c r="A35" s="509">
        <v>7307</v>
      </c>
      <c r="B35" s="467" t="s">
        <v>1210</v>
      </c>
      <c r="C35" s="512">
        <f t="shared" si="11"/>
        <v>0</v>
      </c>
      <c r="D35" s="512">
        <f>SUMIFS(PURCHASE!$K$6:$K$10008,PURCHASE!$A$6:$A$10008,$M$2,PURCHASE!$H$6:$H$10008,$A$4:$A$2700)</f>
        <v>0</v>
      </c>
      <c r="E35" s="512">
        <f>SUMIFS(PURCHASE!$L$6:$L$10008,PURCHASE!$A$6:$A$10008,$M$2,PURCHASE!$H$6:$H$10008,$A$4:$A$2700)</f>
        <v>0</v>
      </c>
      <c r="F35" s="512">
        <f>SUMIFS(PURCHASE!$M$6:$M$10008,PURCHASE!$A$6:$A$10008,$M$2,PURCHASE!$H$6:$H$10008,$A$4:$A$2700)</f>
        <v>0</v>
      </c>
      <c r="G35" s="512">
        <f>SUMIFS(PURCHASE!$N$6:$N$10008,PURCHASE!$A$6:$A$10008,$M$2,PURCHASE!$H$6:$H$10008,$A$4:$A$2700)</f>
        <v>0</v>
      </c>
      <c r="H35" s="512">
        <f t="shared" si="12"/>
        <v>0</v>
      </c>
      <c r="I35" s="512">
        <f>SUMIFS(PURCHASE!$K$6:$K$10008,PURCHASE!$A$6:$A$10008,$H$2,PURCHASE!$H$6:$H$10008,$A$4:$A$2700)</f>
        <v>0</v>
      </c>
      <c r="J35" s="512">
        <f>SUMIFS(PURCHASE!$L$6:$L$10008,PURCHASE!$A$6:$A$10008,$H$2,PURCHASE!$H$6:$H$10008,$A$4:$A$2700)</f>
        <v>0</v>
      </c>
      <c r="K35" s="512">
        <f>SUMIFS(PURCHASE!$M$6:$M$10008,PURCHASE!$A$6:$A$10008,$H$2,PURCHASE!$H$6:$H$10008,$A$4:$A$2700)</f>
        <v>0</v>
      </c>
      <c r="L35" s="512">
        <f>SUMIFS(PURCHASE!$N$6:$N$10008,PURCHASE!$A$6:$A$10008,$H$2,PURCHASE!$H$6:$H$10008,$A$4:$A$2700)</f>
        <v>0</v>
      </c>
      <c r="M35" s="512">
        <f t="shared" si="13"/>
        <v>0</v>
      </c>
      <c r="N35" s="512">
        <f>SUMIFS(PURCHASE!$K$6:$K$10008,PURCHASE!$A$6:$A$10008,$M$2,PURCHASE!$H$6:$H$10008,$A$4:$A$2700)</f>
        <v>0</v>
      </c>
      <c r="O35" s="512">
        <f>SUMIFS(PURCHASE!$L$6:$L$10008,PURCHASE!$A$6:$A$10008,$M$2,PURCHASE!$H$6:$H$10008,$A$4:$A$2700)</f>
        <v>0</v>
      </c>
      <c r="P35" s="512">
        <f>SUMIFS(PURCHASE!$M$6:$M$10008,PURCHASE!$A$6:$A$10008,$M$2,PURCHASE!$H$6:$H$10008,$A$4:$A$2700)</f>
        <v>0</v>
      </c>
      <c r="Q35" s="512">
        <f>SUMIFS(PURCHASE!$N$6:$N$10008,PURCHASE!$A$6:$A$10008,$M$2,PURCHASE!$H$6:$H$10008,$A$4:$A$2700)</f>
        <v>0</v>
      </c>
      <c r="R35" s="512">
        <f t="shared" si="14"/>
        <v>0</v>
      </c>
      <c r="S35" s="512">
        <f>SUMIFS(PURCHASE!$K$6:$K$10008,PURCHASE!$A$6:$A$10008,$R$2,PURCHASE!$H$6:$H$10008,$A$4:$A$2700)</f>
        <v>0</v>
      </c>
      <c r="T35" s="512">
        <f>SUMIFS(PURCHASE!$L$6:$L$10008,PURCHASE!$A$6:$A$10008,$R$2,PURCHASE!$H$6:$H$10008,$A$4:$A$2700)</f>
        <v>0</v>
      </c>
      <c r="U35" s="512">
        <f>SUMIFS(PURCHASE!$M$6:$M$10008,PURCHASE!$A$6:$A$10008,$R$2,PURCHASE!$H$6:$H$10008,$A$4:$A$2700)</f>
        <v>0</v>
      </c>
      <c r="V35" s="512">
        <f>SUMIFS(PURCHASE!$N$6:$N$10008,PURCHASE!$A$6:$A$10008,$R$2,PURCHASE!$H$6:$H$10008,$A$4:$A$2700)</f>
        <v>0</v>
      </c>
      <c r="W35" s="512">
        <f t="shared" si="15"/>
        <v>0</v>
      </c>
      <c r="X35" s="512">
        <f>SUMIFS(PURCHASE!$K$6:$K$10008,PURCHASE!$A$6:$A$10008,$W$2,PURCHASE!$H$6:$H$10008,$A$4:$A$2700)</f>
        <v>0</v>
      </c>
      <c r="Y35" s="512">
        <f>SUMIFS(PURCHASE!$L$6:$L$10008,PURCHASE!$A$6:$A$10008,$W$2,PURCHASE!$H$6:$H$10008,$A$4:$A$2700)</f>
        <v>0</v>
      </c>
      <c r="Z35" s="512">
        <f>SUMIFS(PURCHASE!$M$6:$M$10008,PURCHASE!$A$6:$A$10008,$W$2,PURCHASE!$H$6:$H$10008,$A$4:$A$2700)</f>
        <v>0</v>
      </c>
      <c r="AA35" s="512">
        <f>SUMIFS(PURCHASE!$N$6:$N$10008,PURCHASE!$A$6:$A$10008,$W$2,PURCHASE!$H$6:$H$10008,$A$4:$A$2700)</f>
        <v>0</v>
      </c>
      <c r="AB35" s="512">
        <f t="shared" si="16"/>
        <v>0</v>
      </c>
      <c r="AC35" s="512">
        <f>SUMIFS(PURCHASE!$K$6:$K$10008,PURCHASE!$A$6:$A$10008,$AB$2,PURCHASE!$H$6:$H$10008,$A$4:$A$2700)</f>
        <v>0</v>
      </c>
      <c r="AD35" s="512">
        <f>SUMIFS(PURCHASE!$L$6:$L$10008,PURCHASE!$A$6:$A$10008,$AB$2,PURCHASE!$H$6:$H$10008,$A$4:$A$2700)</f>
        <v>0</v>
      </c>
      <c r="AE35" s="512">
        <f>SUMIFS(PURCHASE!$M$6:$M$10008,PURCHASE!$A$6:$A$10008,$AB$2,PURCHASE!$H$6:$H$10008,$A$4:$A$2700)</f>
        <v>0</v>
      </c>
      <c r="AF35" s="512">
        <f>SUMIFS(PURCHASE!$N$6:$N$10008,PURCHASE!$A$6:$A$10008,$AB$2,PURCHASE!$H$6:$H$10008,$A$4:$A$2700)</f>
        <v>0</v>
      </c>
      <c r="AG35" s="512">
        <f t="shared" si="17"/>
        <v>0</v>
      </c>
      <c r="AH35" s="512">
        <f>SUMIFS(PURCHASE!$K$6:$K$10008,PURCHASE!$A$6:$A$10008,$AG$2,PURCHASE!$H$6:$H$10008,$A$4:$A$2700)</f>
        <v>0</v>
      </c>
      <c r="AI35" s="512">
        <f>SUMIFS(PURCHASE!$L$6:$L$10008,PURCHASE!$A$6:$A$10008,$AG$2,PURCHASE!$H$6:$H$10008,$A$4:$A$2700)</f>
        <v>0</v>
      </c>
      <c r="AJ35" s="512">
        <f>SUMIFS(PURCHASE!$M$6:$M$10008,PURCHASE!$A$6:$A$10008,$AG$2,PURCHASE!$H$6:$H$10008,$A$4:$A$2700)</f>
        <v>0</v>
      </c>
      <c r="AK35" s="512">
        <f>SUMIFS(PURCHASE!$N$6:$N$10008,PURCHASE!$A$6:$A$10008,$AG$2,PURCHASE!$H$6:$H$10008,$A$4:$A$2700)</f>
        <v>0</v>
      </c>
      <c r="AL35" s="512">
        <f t="shared" si="18"/>
        <v>1336.35</v>
      </c>
      <c r="AM35" s="512">
        <f>SUMIFS(PURCHASE!$K$6:$K$10008,PURCHASE!$A$6:$A$10008,$AL$2,PURCHASE!$H$6:$H$10008,$A$4:$A$2700)</f>
        <v>1132.5</v>
      </c>
      <c r="AN35" s="512">
        <f>SUMIFS(PURCHASE!$L$6:$L$10008,PURCHASE!$A$6:$A$10008,$AL$2,PURCHASE!$H$6:$H$10008,$A$4:$A$2700)</f>
        <v>0</v>
      </c>
      <c r="AO35" s="512">
        <f>SUMIFS(PURCHASE!$M$6:$M$10008,PURCHASE!$A$6:$A$10008,$AL$2,PURCHASE!$H$6:$H$10008,$A$4:$A$2700)</f>
        <v>101.92500000000001</v>
      </c>
      <c r="AP35" s="512">
        <f>SUMIFS(PURCHASE!$N$6:$N$10008,PURCHASE!$A$6:$A$10008,$AL$2,PURCHASE!$H$6:$H$10008,$A$4:$A$2700)</f>
        <v>101.92500000000001</v>
      </c>
      <c r="AQ35" s="512">
        <f t="shared" si="19"/>
        <v>1176.3656000000001</v>
      </c>
      <c r="AR35" s="512">
        <f>SUMIFS(PURCHASE!$K$6:$K$10008,PURCHASE!$A$6:$A$10008,$AQ$2,PURCHASE!$H$6:$H$10008,$A$4:$A$2700)</f>
        <v>996.92000000000007</v>
      </c>
      <c r="AS35" s="512">
        <f>SUMIFS(PURCHASE!$L$6:$L$10008,PURCHASE!$A$6:$A$10008,$AQ$2,PURCHASE!$H$6:$H$10008,$A$4:$A$2700)</f>
        <v>0</v>
      </c>
      <c r="AT35" s="512">
        <f>SUMIFS(PURCHASE!$M$6:$M$10008,PURCHASE!$A$6:$A$10008,$AQ$2,PURCHASE!$H$6:$H$10008,$A$4:$A$2700)</f>
        <v>89.722799999999992</v>
      </c>
      <c r="AU35" s="512">
        <f>SUMIFS(PURCHASE!$N$6:$N$10008,PURCHASE!$A$6:$A$10008,$AQ$2,PURCHASE!$H$6:$H$10008,$A$4:$A$2700)</f>
        <v>89.722799999999992</v>
      </c>
      <c r="AV35" s="512">
        <f t="shared" si="20"/>
        <v>0</v>
      </c>
      <c r="AW35" s="512">
        <f>SUMIFS(PURCHASE!$K$6:$K$10008,PURCHASE!$A$6:$A$10008,$AV$2,PURCHASE!$H$6:$H$10008,$A$4:$A$2700)</f>
        <v>0</v>
      </c>
      <c r="AX35" s="512">
        <f>SUMIFS(PURCHASE!$L$6:$L$10008,PURCHASE!$A$6:$A$10008,$AV$2,PURCHASE!$H$6:$H$10008,$A$4:$A$2700)</f>
        <v>0</v>
      </c>
      <c r="AY35" s="512">
        <f>SUMIFS(PURCHASE!$M$6:$M$10008,PURCHASE!$A$6:$A$10008,$AV$2,PURCHASE!$H$6:$H$10008,$A$4:$A$2700)</f>
        <v>0</v>
      </c>
      <c r="AZ35" s="512">
        <f>SUMIFS(PURCHASE!$N$6:$N$10008,PURCHASE!$A$6:$A$10008,$AV$2,PURCHASE!$H$6:$H$10008,$A$4:$A$2700)</f>
        <v>0</v>
      </c>
      <c r="BA35" s="512">
        <f t="shared" si="21"/>
        <v>0</v>
      </c>
      <c r="BB35" s="512">
        <f>SUMIFS(PURCHASE!$K$6:$K$10008,PURCHASE!$A$6:$A$10008,$BA$2,PURCHASE!$H$6:$H$10008,$A$4:$A$2700)</f>
        <v>0</v>
      </c>
      <c r="BC35" s="512">
        <f>SUMIFS(PURCHASE!$L$6:$L$10008,PURCHASE!$A$6:$A$10008,$BA$2,PURCHASE!$H$6:$H$10008,$A$4:$A$2700)</f>
        <v>0</v>
      </c>
      <c r="BD35" s="512">
        <f>SUMIFS(PURCHASE!$M$6:$M$10008,PURCHASE!$A$6:$A$10008,$BA$2,PURCHASE!$H$6:$H$10008,$A$4:$A$2700)</f>
        <v>0</v>
      </c>
      <c r="BE35" s="512">
        <f>SUMIFS(PURCHASE!$N$6:$N$10008,PURCHASE!$A$6:$A$10008,$BA$2,PURCHASE!$H$6:$H$10008,$A$4:$A$2700)</f>
        <v>0</v>
      </c>
      <c r="BF35" s="512">
        <f t="shared" si="22"/>
        <v>0</v>
      </c>
      <c r="BG35" s="512">
        <f>SUMIFS(PURCHASE!$K$6:$K$10008,PURCHASE!$A$6:$A$10008,$BF$2,PURCHASE!$H$6:$H$10008,$A$4:$A$2700)</f>
        <v>0</v>
      </c>
      <c r="BH35" s="512">
        <f>SUMIFS(PURCHASE!$L$6:$L$10008,PURCHASE!$A$6:$A$10008,$BF$2,PURCHASE!$H$6:$H$10008,$A$4:$A$2700)</f>
        <v>0</v>
      </c>
      <c r="BI35" s="512">
        <f>SUMIFS(PURCHASE!$M$6:$M$10008,PURCHASE!$A$6:$A$10008,$BF$2,PURCHASE!$H$6:$H$10008,$A$4:$A$2700)</f>
        <v>0</v>
      </c>
      <c r="BJ35" s="512">
        <f>SUMIFS(PURCHASE!$N$6:$N$10008,PURCHASE!$A$6:$A$10008,$BF$2,PURCHASE!$H$6:$H$10008,$A$4:$A$2700)</f>
        <v>0</v>
      </c>
      <c r="BK35" s="72">
        <f t="shared" si="6"/>
        <v>2512.7156</v>
      </c>
      <c r="BL35" s="72">
        <f t="shared" si="7"/>
        <v>2129.42</v>
      </c>
      <c r="BM35" s="72">
        <f t="shared" si="8"/>
        <v>0</v>
      </c>
      <c r="BN35" s="72">
        <f t="shared" si="9"/>
        <v>191.64780000000002</v>
      </c>
      <c r="BO35" s="72">
        <f t="shared" si="10"/>
        <v>191.64780000000002</v>
      </c>
    </row>
    <row r="36" spans="1:67" x14ac:dyDescent="0.2">
      <c r="A36" s="509">
        <v>7317</v>
      </c>
      <c r="B36" s="467" t="s">
        <v>1210</v>
      </c>
      <c r="C36" s="512">
        <f t="shared" si="11"/>
        <v>442.5</v>
      </c>
      <c r="D36" s="512">
        <f>SUMIFS(PURCHASE!$K$6:$K$10008,PURCHASE!$A$6:$A$10008,$M$2,PURCHASE!$H$6:$H$10008,$A$4:$A$2700)</f>
        <v>375</v>
      </c>
      <c r="E36" s="512">
        <f>SUMIFS(PURCHASE!$L$6:$L$10008,PURCHASE!$A$6:$A$10008,$M$2,PURCHASE!$H$6:$H$10008,$A$4:$A$2700)</f>
        <v>0</v>
      </c>
      <c r="F36" s="512">
        <f>SUMIFS(PURCHASE!$M$6:$M$10008,PURCHASE!$A$6:$A$10008,$M$2,PURCHASE!$H$6:$H$10008,$A$4:$A$2700)</f>
        <v>33.75</v>
      </c>
      <c r="G36" s="512">
        <f>SUMIFS(PURCHASE!$N$6:$N$10008,PURCHASE!$A$6:$A$10008,$M$2,PURCHASE!$H$6:$H$10008,$A$4:$A$2700)</f>
        <v>33.75</v>
      </c>
      <c r="H36" s="512">
        <f t="shared" si="12"/>
        <v>231.51600000000002</v>
      </c>
      <c r="I36" s="512">
        <f>SUMIFS(PURCHASE!$K$6:$K$10008,PURCHASE!$A$6:$A$10008,$H$2,PURCHASE!$H$6:$H$10008,$A$4:$A$2700)</f>
        <v>196.2</v>
      </c>
      <c r="J36" s="512">
        <f>SUMIFS(PURCHASE!$L$6:$L$10008,PURCHASE!$A$6:$A$10008,$H$2,PURCHASE!$H$6:$H$10008,$A$4:$A$2700)</f>
        <v>0</v>
      </c>
      <c r="K36" s="512">
        <f>SUMIFS(PURCHASE!$M$6:$M$10008,PURCHASE!$A$6:$A$10008,$H$2,PURCHASE!$H$6:$H$10008,$A$4:$A$2700)</f>
        <v>17.658000000000001</v>
      </c>
      <c r="L36" s="512">
        <f>SUMIFS(PURCHASE!$N$6:$N$10008,PURCHASE!$A$6:$A$10008,$H$2,PURCHASE!$H$6:$H$10008,$A$4:$A$2700)</f>
        <v>17.658000000000001</v>
      </c>
      <c r="M36" s="512">
        <f t="shared" si="13"/>
        <v>442.5</v>
      </c>
      <c r="N36" s="512">
        <f>SUMIFS(PURCHASE!$K$6:$K$10008,PURCHASE!$A$6:$A$10008,$M$2,PURCHASE!$H$6:$H$10008,$A$4:$A$2700)</f>
        <v>375</v>
      </c>
      <c r="O36" s="512">
        <f>SUMIFS(PURCHASE!$L$6:$L$10008,PURCHASE!$A$6:$A$10008,$M$2,PURCHASE!$H$6:$H$10008,$A$4:$A$2700)</f>
        <v>0</v>
      </c>
      <c r="P36" s="512">
        <f>SUMIFS(PURCHASE!$M$6:$M$10008,PURCHASE!$A$6:$A$10008,$M$2,PURCHASE!$H$6:$H$10008,$A$4:$A$2700)</f>
        <v>33.75</v>
      </c>
      <c r="Q36" s="512">
        <f>SUMIFS(PURCHASE!$N$6:$N$10008,PURCHASE!$A$6:$A$10008,$M$2,PURCHASE!$H$6:$H$10008,$A$4:$A$2700)</f>
        <v>33.75</v>
      </c>
      <c r="R36" s="512">
        <f t="shared" si="14"/>
        <v>0</v>
      </c>
      <c r="S36" s="512">
        <f>SUMIFS(PURCHASE!$K$6:$K$10008,PURCHASE!$A$6:$A$10008,$R$2,PURCHASE!$H$6:$H$10008,$A$4:$A$2700)</f>
        <v>0</v>
      </c>
      <c r="T36" s="512">
        <f>SUMIFS(PURCHASE!$L$6:$L$10008,PURCHASE!$A$6:$A$10008,$R$2,PURCHASE!$H$6:$H$10008,$A$4:$A$2700)</f>
        <v>0</v>
      </c>
      <c r="U36" s="512">
        <f>SUMIFS(PURCHASE!$M$6:$M$10008,PURCHASE!$A$6:$A$10008,$R$2,PURCHASE!$H$6:$H$10008,$A$4:$A$2700)</f>
        <v>0</v>
      </c>
      <c r="V36" s="512">
        <f>SUMIFS(PURCHASE!$N$6:$N$10008,PURCHASE!$A$6:$A$10008,$R$2,PURCHASE!$H$6:$H$10008,$A$4:$A$2700)</f>
        <v>0</v>
      </c>
      <c r="W36" s="512">
        <f t="shared" si="15"/>
        <v>0</v>
      </c>
      <c r="X36" s="512">
        <f>SUMIFS(PURCHASE!$K$6:$K$10008,PURCHASE!$A$6:$A$10008,$W$2,PURCHASE!$H$6:$H$10008,$A$4:$A$2700)</f>
        <v>0</v>
      </c>
      <c r="Y36" s="512">
        <f>SUMIFS(PURCHASE!$L$6:$L$10008,PURCHASE!$A$6:$A$10008,$W$2,PURCHASE!$H$6:$H$10008,$A$4:$A$2700)</f>
        <v>0</v>
      </c>
      <c r="Z36" s="512">
        <f>SUMIFS(PURCHASE!$M$6:$M$10008,PURCHASE!$A$6:$A$10008,$W$2,PURCHASE!$H$6:$H$10008,$A$4:$A$2700)</f>
        <v>0</v>
      </c>
      <c r="AA36" s="512">
        <f>SUMIFS(PURCHASE!$N$6:$N$10008,PURCHASE!$A$6:$A$10008,$W$2,PURCHASE!$H$6:$H$10008,$A$4:$A$2700)</f>
        <v>0</v>
      </c>
      <c r="AB36" s="512">
        <f t="shared" si="16"/>
        <v>0</v>
      </c>
      <c r="AC36" s="512">
        <f>SUMIFS(PURCHASE!$K$6:$K$10008,PURCHASE!$A$6:$A$10008,$AB$2,PURCHASE!$H$6:$H$10008,$A$4:$A$2700)</f>
        <v>0</v>
      </c>
      <c r="AD36" s="512">
        <f>SUMIFS(PURCHASE!$L$6:$L$10008,PURCHASE!$A$6:$A$10008,$AB$2,PURCHASE!$H$6:$H$10008,$A$4:$A$2700)</f>
        <v>0</v>
      </c>
      <c r="AE36" s="512">
        <f>SUMIFS(PURCHASE!$M$6:$M$10008,PURCHASE!$A$6:$A$10008,$AB$2,PURCHASE!$H$6:$H$10008,$A$4:$A$2700)</f>
        <v>0</v>
      </c>
      <c r="AF36" s="512">
        <f>SUMIFS(PURCHASE!$N$6:$N$10008,PURCHASE!$A$6:$A$10008,$AB$2,PURCHASE!$H$6:$H$10008,$A$4:$A$2700)</f>
        <v>0</v>
      </c>
      <c r="AG36" s="512">
        <f t="shared" si="17"/>
        <v>0</v>
      </c>
      <c r="AH36" s="512">
        <f>SUMIFS(PURCHASE!$K$6:$K$10008,PURCHASE!$A$6:$A$10008,$AG$2,PURCHASE!$H$6:$H$10008,$A$4:$A$2700)</f>
        <v>0</v>
      </c>
      <c r="AI36" s="512">
        <f>SUMIFS(PURCHASE!$L$6:$L$10008,PURCHASE!$A$6:$A$10008,$AG$2,PURCHASE!$H$6:$H$10008,$A$4:$A$2700)</f>
        <v>0</v>
      </c>
      <c r="AJ36" s="512">
        <f>SUMIFS(PURCHASE!$M$6:$M$10008,PURCHASE!$A$6:$A$10008,$AG$2,PURCHASE!$H$6:$H$10008,$A$4:$A$2700)</f>
        <v>0</v>
      </c>
      <c r="AK36" s="512">
        <f>SUMIFS(PURCHASE!$N$6:$N$10008,PURCHASE!$A$6:$A$10008,$AG$2,PURCHASE!$H$6:$H$10008,$A$4:$A$2700)</f>
        <v>0</v>
      </c>
      <c r="AL36" s="512">
        <f t="shared" si="18"/>
        <v>3960.67</v>
      </c>
      <c r="AM36" s="512">
        <f>SUMIFS(PURCHASE!$K$6:$K$10008,PURCHASE!$A$6:$A$10008,$AL$2,PURCHASE!$H$6:$H$10008,$A$4:$A$2700)</f>
        <v>3356.5</v>
      </c>
      <c r="AN36" s="512">
        <f>SUMIFS(PURCHASE!$L$6:$L$10008,PURCHASE!$A$6:$A$10008,$AL$2,PURCHASE!$H$6:$H$10008,$A$4:$A$2700)</f>
        <v>0</v>
      </c>
      <c r="AO36" s="512">
        <f>SUMIFS(PURCHASE!$M$6:$M$10008,PURCHASE!$A$6:$A$10008,$AL$2,PURCHASE!$H$6:$H$10008,$A$4:$A$2700)</f>
        <v>302.08499999999998</v>
      </c>
      <c r="AP36" s="512">
        <f>SUMIFS(PURCHASE!$N$6:$N$10008,PURCHASE!$A$6:$A$10008,$AL$2,PURCHASE!$H$6:$H$10008,$A$4:$A$2700)</f>
        <v>302.08499999999998</v>
      </c>
      <c r="AQ36" s="512">
        <f t="shared" si="19"/>
        <v>697.38000000000011</v>
      </c>
      <c r="AR36" s="512">
        <f>SUMIFS(PURCHASE!$K$6:$K$10008,PURCHASE!$A$6:$A$10008,$AQ$2,PURCHASE!$H$6:$H$10008,$A$4:$A$2700)</f>
        <v>591</v>
      </c>
      <c r="AS36" s="512">
        <f>SUMIFS(PURCHASE!$L$6:$L$10008,PURCHASE!$A$6:$A$10008,$AQ$2,PURCHASE!$H$6:$H$10008,$A$4:$A$2700)</f>
        <v>0</v>
      </c>
      <c r="AT36" s="512">
        <f>SUMIFS(PURCHASE!$M$6:$M$10008,PURCHASE!$A$6:$A$10008,$AQ$2,PURCHASE!$H$6:$H$10008,$A$4:$A$2700)</f>
        <v>53.19</v>
      </c>
      <c r="AU36" s="512">
        <f>SUMIFS(PURCHASE!$N$6:$N$10008,PURCHASE!$A$6:$A$10008,$AQ$2,PURCHASE!$H$6:$H$10008,$A$4:$A$2700)</f>
        <v>53.19</v>
      </c>
      <c r="AV36" s="512">
        <f t="shared" si="20"/>
        <v>0</v>
      </c>
      <c r="AW36" s="512">
        <f>SUMIFS(PURCHASE!$K$6:$K$10008,PURCHASE!$A$6:$A$10008,$AV$2,PURCHASE!$H$6:$H$10008,$A$4:$A$2700)</f>
        <v>0</v>
      </c>
      <c r="AX36" s="512">
        <f>SUMIFS(PURCHASE!$L$6:$L$10008,PURCHASE!$A$6:$A$10008,$AV$2,PURCHASE!$H$6:$H$10008,$A$4:$A$2700)</f>
        <v>0</v>
      </c>
      <c r="AY36" s="512">
        <f>SUMIFS(PURCHASE!$M$6:$M$10008,PURCHASE!$A$6:$A$10008,$AV$2,PURCHASE!$H$6:$H$10008,$A$4:$A$2700)</f>
        <v>0</v>
      </c>
      <c r="AZ36" s="512">
        <f>SUMIFS(PURCHASE!$N$6:$N$10008,PURCHASE!$A$6:$A$10008,$AV$2,PURCHASE!$H$6:$H$10008,$A$4:$A$2700)</f>
        <v>0</v>
      </c>
      <c r="BA36" s="512">
        <f t="shared" si="21"/>
        <v>0</v>
      </c>
      <c r="BB36" s="512">
        <f>SUMIFS(PURCHASE!$K$6:$K$10008,PURCHASE!$A$6:$A$10008,$BA$2,PURCHASE!$H$6:$H$10008,$A$4:$A$2700)</f>
        <v>0</v>
      </c>
      <c r="BC36" s="512">
        <f>SUMIFS(PURCHASE!$L$6:$L$10008,PURCHASE!$A$6:$A$10008,$BA$2,PURCHASE!$H$6:$H$10008,$A$4:$A$2700)</f>
        <v>0</v>
      </c>
      <c r="BD36" s="512">
        <f>SUMIFS(PURCHASE!$M$6:$M$10008,PURCHASE!$A$6:$A$10008,$BA$2,PURCHASE!$H$6:$H$10008,$A$4:$A$2700)</f>
        <v>0</v>
      </c>
      <c r="BE36" s="512">
        <f>SUMIFS(PURCHASE!$N$6:$N$10008,PURCHASE!$A$6:$A$10008,$BA$2,PURCHASE!$H$6:$H$10008,$A$4:$A$2700)</f>
        <v>0</v>
      </c>
      <c r="BF36" s="512">
        <f t="shared" si="22"/>
        <v>0</v>
      </c>
      <c r="BG36" s="512">
        <f>SUMIFS(PURCHASE!$K$6:$K$10008,PURCHASE!$A$6:$A$10008,$BF$2,PURCHASE!$H$6:$H$10008,$A$4:$A$2700)</f>
        <v>0</v>
      </c>
      <c r="BH36" s="512">
        <f>SUMIFS(PURCHASE!$L$6:$L$10008,PURCHASE!$A$6:$A$10008,$BF$2,PURCHASE!$H$6:$H$10008,$A$4:$A$2700)</f>
        <v>0</v>
      </c>
      <c r="BI36" s="512">
        <f>SUMIFS(PURCHASE!$M$6:$M$10008,PURCHASE!$A$6:$A$10008,$BF$2,PURCHASE!$H$6:$H$10008,$A$4:$A$2700)</f>
        <v>0</v>
      </c>
      <c r="BJ36" s="512">
        <f>SUMIFS(PURCHASE!$N$6:$N$10008,PURCHASE!$A$6:$A$10008,$BF$2,PURCHASE!$H$6:$H$10008,$A$4:$A$2700)</f>
        <v>0</v>
      </c>
      <c r="BK36" s="72">
        <f t="shared" si="6"/>
        <v>5774.5659999999998</v>
      </c>
      <c r="BL36" s="72">
        <f t="shared" si="7"/>
        <v>4893.7</v>
      </c>
      <c r="BM36" s="72">
        <f t="shared" si="8"/>
        <v>0</v>
      </c>
      <c r="BN36" s="72">
        <f t="shared" si="9"/>
        <v>440.43299999999999</v>
      </c>
      <c r="BO36" s="72">
        <f t="shared" si="10"/>
        <v>440.43299999999999</v>
      </c>
    </row>
    <row r="37" spans="1:67" x14ac:dyDescent="0.2">
      <c r="A37" s="511">
        <v>7318</v>
      </c>
      <c r="B37" s="500" t="s">
        <v>1211</v>
      </c>
      <c r="C37" s="512">
        <f t="shared" si="11"/>
        <v>3080.7439999999997</v>
      </c>
      <c r="D37" s="512">
        <f>SUMIFS(PURCHASE!$K$6:$K$10008,PURCHASE!$A$6:$A$10008,$M$2,PURCHASE!$H$6:$H$10008,$A$4:$A$2700)</f>
        <v>2610.8000000000002</v>
      </c>
      <c r="E37" s="512">
        <f>SUMIFS(PURCHASE!$L$6:$L$10008,PURCHASE!$A$6:$A$10008,$M$2,PURCHASE!$H$6:$H$10008,$A$4:$A$2700)</f>
        <v>0</v>
      </c>
      <c r="F37" s="512">
        <f>SUMIFS(PURCHASE!$M$6:$M$10008,PURCHASE!$A$6:$A$10008,$M$2,PURCHASE!$H$6:$H$10008,$A$4:$A$2700)</f>
        <v>234.97199999999998</v>
      </c>
      <c r="G37" s="512">
        <f>SUMIFS(PURCHASE!$N$6:$N$10008,PURCHASE!$A$6:$A$10008,$M$2,PURCHASE!$H$6:$H$10008,$A$4:$A$2700)</f>
        <v>234.97199999999998</v>
      </c>
      <c r="H37" s="512">
        <f t="shared" si="12"/>
        <v>1128.08</v>
      </c>
      <c r="I37" s="512">
        <f>SUMIFS(PURCHASE!$K$6:$K$10008,PURCHASE!$A$6:$A$10008,$H$2,PURCHASE!$H$6:$H$10008,$A$4:$A$2700)</f>
        <v>956</v>
      </c>
      <c r="J37" s="512">
        <f>SUMIFS(PURCHASE!$L$6:$L$10008,PURCHASE!$A$6:$A$10008,$H$2,PURCHASE!$H$6:$H$10008,$A$4:$A$2700)</f>
        <v>0</v>
      </c>
      <c r="K37" s="512">
        <f>SUMIFS(PURCHASE!$M$6:$M$10008,PURCHASE!$A$6:$A$10008,$H$2,PURCHASE!$H$6:$H$10008,$A$4:$A$2700)</f>
        <v>86.039999999999992</v>
      </c>
      <c r="L37" s="512">
        <f>SUMIFS(PURCHASE!$N$6:$N$10008,PURCHASE!$A$6:$A$10008,$H$2,PURCHASE!$H$6:$H$10008,$A$4:$A$2700)</f>
        <v>86.039999999999992</v>
      </c>
      <c r="M37" s="512">
        <f t="shared" si="13"/>
        <v>3080.7439999999997</v>
      </c>
      <c r="N37" s="512">
        <f>SUMIFS(PURCHASE!$K$6:$K$10008,PURCHASE!$A$6:$A$10008,$M$2,PURCHASE!$H$6:$H$10008,$A$4:$A$2700)</f>
        <v>2610.8000000000002</v>
      </c>
      <c r="O37" s="512">
        <f>SUMIFS(PURCHASE!$L$6:$L$10008,PURCHASE!$A$6:$A$10008,$M$2,PURCHASE!$H$6:$H$10008,$A$4:$A$2700)</f>
        <v>0</v>
      </c>
      <c r="P37" s="512">
        <f>SUMIFS(PURCHASE!$M$6:$M$10008,PURCHASE!$A$6:$A$10008,$M$2,PURCHASE!$H$6:$H$10008,$A$4:$A$2700)</f>
        <v>234.97199999999998</v>
      </c>
      <c r="Q37" s="512">
        <f>SUMIFS(PURCHASE!$N$6:$N$10008,PURCHASE!$A$6:$A$10008,$M$2,PURCHASE!$H$6:$H$10008,$A$4:$A$2700)</f>
        <v>234.97199999999998</v>
      </c>
      <c r="R37" s="512">
        <f t="shared" si="14"/>
        <v>46020</v>
      </c>
      <c r="S37" s="512">
        <f>SUMIFS(PURCHASE!$K$6:$K$10008,PURCHASE!$A$6:$A$10008,$R$2,PURCHASE!$H$6:$H$10008,$A$4:$A$2700)</f>
        <v>39000</v>
      </c>
      <c r="T37" s="512">
        <f>SUMIFS(PURCHASE!$L$6:$L$10008,PURCHASE!$A$6:$A$10008,$R$2,PURCHASE!$H$6:$H$10008,$A$4:$A$2700)</f>
        <v>0</v>
      </c>
      <c r="U37" s="512">
        <f>SUMIFS(PURCHASE!$M$6:$M$10008,PURCHASE!$A$6:$A$10008,$R$2,PURCHASE!$H$6:$H$10008,$A$4:$A$2700)</f>
        <v>3510</v>
      </c>
      <c r="V37" s="512">
        <f>SUMIFS(PURCHASE!$N$6:$N$10008,PURCHASE!$A$6:$A$10008,$R$2,PURCHASE!$H$6:$H$10008,$A$4:$A$2700)</f>
        <v>3510</v>
      </c>
      <c r="W37" s="512">
        <f t="shared" si="15"/>
        <v>23777</v>
      </c>
      <c r="X37" s="512">
        <f>SUMIFS(PURCHASE!$K$6:$K$10008,PURCHASE!$A$6:$A$10008,$W$2,PURCHASE!$H$6:$H$10008,$A$4:$A$2700)</f>
        <v>20150</v>
      </c>
      <c r="Y37" s="512">
        <f>SUMIFS(PURCHASE!$L$6:$L$10008,PURCHASE!$A$6:$A$10008,$W$2,PURCHASE!$H$6:$H$10008,$A$4:$A$2700)</f>
        <v>0</v>
      </c>
      <c r="Z37" s="512">
        <f>SUMIFS(PURCHASE!$M$6:$M$10008,PURCHASE!$A$6:$A$10008,$W$2,PURCHASE!$H$6:$H$10008,$A$4:$A$2700)</f>
        <v>1813.5</v>
      </c>
      <c r="AA37" s="512">
        <f>SUMIFS(PURCHASE!$N$6:$N$10008,PURCHASE!$A$6:$A$10008,$W$2,PURCHASE!$H$6:$H$10008,$A$4:$A$2700)</f>
        <v>1813.5</v>
      </c>
      <c r="AB37" s="512">
        <f t="shared" si="16"/>
        <v>122.72</v>
      </c>
      <c r="AC37" s="512">
        <f>SUMIFS(PURCHASE!$K$6:$K$10008,PURCHASE!$A$6:$A$10008,$AB$2,PURCHASE!$H$6:$H$10008,$A$4:$A$2700)</f>
        <v>104</v>
      </c>
      <c r="AD37" s="512">
        <f>SUMIFS(PURCHASE!$L$6:$L$10008,PURCHASE!$A$6:$A$10008,$AB$2,PURCHASE!$H$6:$H$10008,$A$4:$A$2700)</f>
        <v>0</v>
      </c>
      <c r="AE37" s="512">
        <f>SUMIFS(PURCHASE!$M$6:$M$10008,PURCHASE!$A$6:$A$10008,$AB$2,PURCHASE!$H$6:$H$10008,$A$4:$A$2700)</f>
        <v>9.36</v>
      </c>
      <c r="AF37" s="512">
        <f>SUMIFS(PURCHASE!$N$6:$N$10008,PURCHASE!$A$6:$A$10008,$AB$2,PURCHASE!$H$6:$H$10008,$A$4:$A$2700)</f>
        <v>9.36</v>
      </c>
      <c r="AG37" s="512">
        <f t="shared" si="17"/>
        <v>0</v>
      </c>
      <c r="AH37" s="512">
        <f>SUMIFS(PURCHASE!$K$6:$K$10008,PURCHASE!$A$6:$A$10008,$AG$2,PURCHASE!$H$6:$H$10008,$A$4:$A$2700)</f>
        <v>0</v>
      </c>
      <c r="AI37" s="512">
        <f>SUMIFS(PURCHASE!$L$6:$L$10008,PURCHASE!$A$6:$A$10008,$AG$2,PURCHASE!$H$6:$H$10008,$A$4:$A$2700)</f>
        <v>0</v>
      </c>
      <c r="AJ37" s="512">
        <f>SUMIFS(PURCHASE!$M$6:$M$10008,PURCHASE!$A$6:$A$10008,$AG$2,PURCHASE!$H$6:$H$10008,$A$4:$A$2700)</f>
        <v>0</v>
      </c>
      <c r="AK37" s="512">
        <f>SUMIFS(PURCHASE!$N$6:$N$10008,PURCHASE!$A$6:$A$10008,$AG$2,PURCHASE!$H$6:$H$10008,$A$4:$A$2700)</f>
        <v>0</v>
      </c>
      <c r="AL37" s="512">
        <f t="shared" si="18"/>
        <v>2212.5</v>
      </c>
      <c r="AM37" s="512">
        <f>SUMIFS(PURCHASE!$K$6:$K$10008,PURCHASE!$A$6:$A$10008,$AL$2,PURCHASE!$H$6:$H$10008,$A$4:$A$2700)</f>
        <v>1875</v>
      </c>
      <c r="AN37" s="512">
        <f>SUMIFS(PURCHASE!$L$6:$L$10008,PURCHASE!$A$6:$A$10008,$AL$2,PURCHASE!$H$6:$H$10008,$A$4:$A$2700)</f>
        <v>0</v>
      </c>
      <c r="AO37" s="512">
        <f>SUMIFS(PURCHASE!$M$6:$M$10008,PURCHASE!$A$6:$A$10008,$AL$2,PURCHASE!$H$6:$H$10008,$A$4:$A$2700)</f>
        <v>168.75</v>
      </c>
      <c r="AP37" s="512">
        <f>SUMIFS(PURCHASE!$N$6:$N$10008,PURCHASE!$A$6:$A$10008,$AL$2,PURCHASE!$H$6:$H$10008,$A$4:$A$2700)</f>
        <v>168.75</v>
      </c>
      <c r="AQ37" s="512">
        <f t="shared" si="19"/>
        <v>10465.239999999998</v>
      </c>
      <c r="AR37" s="512">
        <f>SUMIFS(PURCHASE!$K$6:$K$10008,PURCHASE!$A$6:$A$10008,$AQ$2,PURCHASE!$H$6:$H$10008,$A$4:$A$2700)</f>
        <v>8878</v>
      </c>
      <c r="AS37" s="512">
        <f>SUMIFS(PURCHASE!$L$6:$L$10008,PURCHASE!$A$6:$A$10008,$AQ$2,PURCHASE!$H$6:$H$10008,$A$4:$A$2700)</f>
        <v>0</v>
      </c>
      <c r="AT37" s="512">
        <f>SUMIFS(PURCHASE!$M$6:$M$10008,PURCHASE!$A$6:$A$10008,$AQ$2,PURCHASE!$H$6:$H$10008,$A$4:$A$2700)</f>
        <v>793.61999999999989</v>
      </c>
      <c r="AU37" s="512">
        <f>SUMIFS(PURCHASE!$N$6:$N$10008,PURCHASE!$A$6:$A$10008,$AQ$2,PURCHASE!$H$6:$H$10008,$A$4:$A$2700)</f>
        <v>793.61999999999989</v>
      </c>
      <c r="AV37" s="512">
        <f t="shared" si="20"/>
        <v>0</v>
      </c>
      <c r="AW37" s="512">
        <f>SUMIFS(PURCHASE!$K$6:$K$10008,PURCHASE!$A$6:$A$10008,$AV$2,PURCHASE!$H$6:$H$10008,$A$4:$A$2700)</f>
        <v>0</v>
      </c>
      <c r="AX37" s="512">
        <f>SUMIFS(PURCHASE!$L$6:$L$10008,PURCHASE!$A$6:$A$10008,$AV$2,PURCHASE!$H$6:$H$10008,$A$4:$A$2700)</f>
        <v>0</v>
      </c>
      <c r="AY37" s="512">
        <f>SUMIFS(PURCHASE!$M$6:$M$10008,PURCHASE!$A$6:$A$10008,$AV$2,PURCHASE!$H$6:$H$10008,$A$4:$A$2700)</f>
        <v>0</v>
      </c>
      <c r="AZ37" s="512">
        <f>SUMIFS(PURCHASE!$N$6:$N$10008,PURCHASE!$A$6:$A$10008,$AV$2,PURCHASE!$H$6:$H$10008,$A$4:$A$2700)</f>
        <v>0</v>
      </c>
      <c r="BA37" s="512">
        <f t="shared" si="21"/>
        <v>0</v>
      </c>
      <c r="BB37" s="512">
        <f>SUMIFS(PURCHASE!$K$6:$K$10008,PURCHASE!$A$6:$A$10008,$BA$2,PURCHASE!$H$6:$H$10008,$A$4:$A$2700)</f>
        <v>0</v>
      </c>
      <c r="BC37" s="512">
        <f>SUMIFS(PURCHASE!$L$6:$L$10008,PURCHASE!$A$6:$A$10008,$BA$2,PURCHASE!$H$6:$H$10008,$A$4:$A$2700)</f>
        <v>0</v>
      </c>
      <c r="BD37" s="512">
        <f>SUMIFS(PURCHASE!$M$6:$M$10008,PURCHASE!$A$6:$A$10008,$BA$2,PURCHASE!$H$6:$H$10008,$A$4:$A$2700)</f>
        <v>0</v>
      </c>
      <c r="BE37" s="512">
        <f>SUMIFS(PURCHASE!$N$6:$N$10008,PURCHASE!$A$6:$A$10008,$BA$2,PURCHASE!$H$6:$H$10008,$A$4:$A$2700)</f>
        <v>0</v>
      </c>
      <c r="BF37" s="512">
        <f t="shared" si="22"/>
        <v>0</v>
      </c>
      <c r="BG37" s="512">
        <f>SUMIFS(PURCHASE!$K$6:$K$10008,PURCHASE!$A$6:$A$10008,$BF$2,PURCHASE!$H$6:$H$10008,$A$4:$A$2700)</f>
        <v>0</v>
      </c>
      <c r="BH37" s="512">
        <f>SUMIFS(PURCHASE!$L$6:$L$10008,PURCHASE!$A$6:$A$10008,$BF$2,PURCHASE!$H$6:$H$10008,$A$4:$A$2700)</f>
        <v>0</v>
      </c>
      <c r="BI37" s="512">
        <f>SUMIFS(PURCHASE!$M$6:$M$10008,PURCHASE!$A$6:$A$10008,$BF$2,PURCHASE!$H$6:$H$10008,$A$4:$A$2700)</f>
        <v>0</v>
      </c>
      <c r="BJ37" s="512">
        <f>SUMIFS(PURCHASE!$N$6:$N$10008,PURCHASE!$A$6:$A$10008,$BF$2,PURCHASE!$H$6:$H$10008,$A$4:$A$2700)</f>
        <v>0</v>
      </c>
      <c r="BK37" s="72">
        <f t="shared" si="6"/>
        <v>89887.027999999991</v>
      </c>
      <c r="BL37" s="72">
        <f t="shared" si="7"/>
        <v>76184.600000000006</v>
      </c>
      <c r="BM37" s="72">
        <f t="shared" si="8"/>
        <v>0</v>
      </c>
      <c r="BN37" s="72">
        <f t="shared" si="9"/>
        <v>6851.2139999999999</v>
      </c>
      <c r="BO37" s="72">
        <f t="shared" si="10"/>
        <v>6851.2139999999999</v>
      </c>
    </row>
    <row r="38" spans="1:67" x14ac:dyDescent="0.2">
      <c r="A38" s="511">
        <v>7324</v>
      </c>
      <c r="B38" s="467" t="s">
        <v>1210</v>
      </c>
      <c r="C38" s="512">
        <f t="shared" si="11"/>
        <v>0</v>
      </c>
      <c r="D38" s="512">
        <f>SUMIFS(PURCHASE!$K$6:$K$10008,PURCHASE!$A$6:$A$10008,$M$2,PURCHASE!$H$6:$H$10008,$A$4:$A$2700)</f>
        <v>0</v>
      </c>
      <c r="E38" s="512">
        <f>SUMIFS(PURCHASE!$L$6:$L$10008,PURCHASE!$A$6:$A$10008,$M$2,PURCHASE!$H$6:$H$10008,$A$4:$A$2700)</f>
        <v>0</v>
      </c>
      <c r="F38" s="512">
        <f>SUMIFS(PURCHASE!$M$6:$M$10008,PURCHASE!$A$6:$A$10008,$M$2,PURCHASE!$H$6:$H$10008,$A$4:$A$2700)</f>
        <v>0</v>
      </c>
      <c r="G38" s="512">
        <f>SUMIFS(PURCHASE!$N$6:$N$10008,PURCHASE!$A$6:$A$10008,$M$2,PURCHASE!$H$6:$H$10008,$A$4:$A$2700)</f>
        <v>0</v>
      </c>
      <c r="H38" s="512">
        <f t="shared" si="12"/>
        <v>0</v>
      </c>
      <c r="I38" s="512">
        <f>SUMIFS(PURCHASE!$K$6:$K$10008,PURCHASE!$A$6:$A$10008,$H$2,PURCHASE!$H$6:$H$10008,$A$4:$A$2700)</f>
        <v>0</v>
      </c>
      <c r="J38" s="512">
        <f>SUMIFS(PURCHASE!$L$6:$L$10008,PURCHASE!$A$6:$A$10008,$H$2,PURCHASE!$H$6:$H$10008,$A$4:$A$2700)</f>
        <v>0</v>
      </c>
      <c r="K38" s="512">
        <f>SUMIFS(PURCHASE!$M$6:$M$10008,PURCHASE!$A$6:$A$10008,$H$2,PURCHASE!$H$6:$H$10008,$A$4:$A$2700)</f>
        <v>0</v>
      </c>
      <c r="L38" s="512">
        <f>SUMIFS(PURCHASE!$N$6:$N$10008,PURCHASE!$A$6:$A$10008,$H$2,PURCHASE!$H$6:$H$10008,$A$4:$A$2700)</f>
        <v>0</v>
      </c>
      <c r="M38" s="512">
        <f t="shared" si="13"/>
        <v>0</v>
      </c>
      <c r="N38" s="512">
        <f>SUMIFS(PURCHASE!$K$6:$K$10008,PURCHASE!$A$6:$A$10008,$M$2,PURCHASE!$H$6:$H$10008,$A$4:$A$2700)</f>
        <v>0</v>
      </c>
      <c r="O38" s="512">
        <f>SUMIFS(PURCHASE!$L$6:$L$10008,PURCHASE!$A$6:$A$10008,$M$2,PURCHASE!$H$6:$H$10008,$A$4:$A$2700)</f>
        <v>0</v>
      </c>
      <c r="P38" s="512">
        <f>SUMIFS(PURCHASE!$M$6:$M$10008,PURCHASE!$A$6:$A$10008,$M$2,PURCHASE!$H$6:$H$10008,$A$4:$A$2700)</f>
        <v>0</v>
      </c>
      <c r="Q38" s="512">
        <f>SUMIFS(PURCHASE!$N$6:$N$10008,PURCHASE!$A$6:$A$10008,$M$2,PURCHASE!$H$6:$H$10008,$A$4:$A$2700)</f>
        <v>0</v>
      </c>
      <c r="R38" s="512">
        <f t="shared" si="14"/>
        <v>0</v>
      </c>
      <c r="S38" s="512">
        <f>SUMIFS(PURCHASE!$K$6:$K$10008,PURCHASE!$A$6:$A$10008,$R$2,PURCHASE!$H$6:$H$10008,$A$4:$A$2700)</f>
        <v>0</v>
      </c>
      <c r="T38" s="512">
        <f>SUMIFS(PURCHASE!$L$6:$L$10008,PURCHASE!$A$6:$A$10008,$R$2,PURCHASE!$H$6:$H$10008,$A$4:$A$2700)</f>
        <v>0</v>
      </c>
      <c r="U38" s="512">
        <f>SUMIFS(PURCHASE!$M$6:$M$10008,PURCHASE!$A$6:$A$10008,$R$2,PURCHASE!$H$6:$H$10008,$A$4:$A$2700)</f>
        <v>0</v>
      </c>
      <c r="V38" s="512">
        <f>SUMIFS(PURCHASE!$N$6:$N$10008,PURCHASE!$A$6:$A$10008,$R$2,PURCHASE!$H$6:$H$10008,$A$4:$A$2700)</f>
        <v>0</v>
      </c>
      <c r="W38" s="512">
        <f t="shared" si="15"/>
        <v>0</v>
      </c>
      <c r="X38" s="512">
        <f>SUMIFS(PURCHASE!$K$6:$K$10008,PURCHASE!$A$6:$A$10008,$W$2,PURCHASE!$H$6:$H$10008,$A$4:$A$2700)</f>
        <v>0</v>
      </c>
      <c r="Y38" s="512">
        <f>SUMIFS(PURCHASE!$L$6:$L$10008,PURCHASE!$A$6:$A$10008,$W$2,PURCHASE!$H$6:$H$10008,$A$4:$A$2700)</f>
        <v>0</v>
      </c>
      <c r="Z38" s="512">
        <f>SUMIFS(PURCHASE!$M$6:$M$10008,PURCHASE!$A$6:$A$10008,$W$2,PURCHASE!$H$6:$H$10008,$A$4:$A$2700)</f>
        <v>0</v>
      </c>
      <c r="AA38" s="512">
        <f>SUMIFS(PURCHASE!$N$6:$N$10008,PURCHASE!$A$6:$A$10008,$W$2,PURCHASE!$H$6:$H$10008,$A$4:$A$2700)</f>
        <v>0</v>
      </c>
      <c r="AB38" s="512">
        <f t="shared" si="16"/>
        <v>0</v>
      </c>
      <c r="AC38" s="512">
        <f>SUMIFS(PURCHASE!$K$6:$K$10008,PURCHASE!$A$6:$A$10008,$AB$2,PURCHASE!$H$6:$H$10008,$A$4:$A$2700)</f>
        <v>0</v>
      </c>
      <c r="AD38" s="512">
        <f>SUMIFS(PURCHASE!$L$6:$L$10008,PURCHASE!$A$6:$A$10008,$AB$2,PURCHASE!$H$6:$H$10008,$A$4:$A$2700)</f>
        <v>0</v>
      </c>
      <c r="AE38" s="512">
        <f>SUMIFS(PURCHASE!$M$6:$M$10008,PURCHASE!$A$6:$A$10008,$AB$2,PURCHASE!$H$6:$H$10008,$A$4:$A$2700)</f>
        <v>0</v>
      </c>
      <c r="AF38" s="512">
        <f>SUMIFS(PURCHASE!$N$6:$N$10008,PURCHASE!$A$6:$A$10008,$AB$2,PURCHASE!$H$6:$H$10008,$A$4:$A$2700)</f>
        <v>0</v>
      </c>
      <c r="AG38" s="512">
        <f t="shared" si="17"/>
        <v>0</v>
      </c>
      <c r="AH38" s="512">
        <f>SUMIFS(PURCHASE!$K$6:$K$10008,PURCHASE!$A$6:$A$10008,$AG$2,PURCHASE!$H$6:$H$10008,$A$4:$A$2700)</f>
        <v>0</v>
      </c>
      <c r="AI38" s="512">
        <f>SUMIFS(PURCHASE!$L$6:$L$10008,PURCHASE!$A$6:$A$10008,$AG$2,PURCHASE!$H$6:$H$10008,$A$4:$A$2700)</f>
        <v>0</v>
      </c>
      <c r="AJ38" s="512">
        <f>SUMIFS(PURCHASE!$M$6:$M$10008,PURCHASE!$A$6:$A$10008,$AG$2,PURCHASE!$H$6:$H$10008,$A$4:$A$2700)</f>
        <v>0</v>
      </c>
      <c r="AK38" s="512">
        <f>SUMIFS(PURCHASE!$N$6:$N$10008,PURCHASE!$A$6:$A$10008,$AG$2,PURCHASE!$H$6:$H$10008,$A$4:$A$2700)</f>
        <v>0</v>
      </c>
      <c r="AL38" s="512">
        <f t="shared" si="18"/>
        <v>0</v>
      </c>
      <c r="AM38" s="512">
        <f>SUMIFS(PURCHASE!$K$6:$K$10008,PURCHASE!$A$6:$A$10008,$AL$2,PURCHASE!$H$6:$H$10008,$A$4:$A$2700)</f>
        <v>0</v>
      </c>
      <c r="AN38" s="512">
        <f>SUMIFS(PURCHASE!$L$6:$L$10008,PURCHASE!$A$6:$A$10008,$AL$2,PURCHASE!$H$6:$H$10008,$A$4:$A$2700)</f>
        <v>0</v>
      </c>
      <c r="AO38" s="512">
        <f>SUMIFS(PURCHASE!$M$6:$M$10008,PURCHASE!$A$6:$A$10008,$AL$2,PURCHASE!$H$6:$H$10008,$A$4:$A$2700)</f>
        <v>0</v>
      </c>
      <c r="AP38" s="512">
        <f>SUMIFS(PURCHASE!$N$6:$N$10008,PURCHASE!$A$6:$A$10008,$AL$2,PURCHASE!$H$6:$H$10008,$A$4:$A$2700)</f>
        <v>0</v>
      </c>
      <c r="AQ38" s="512">
        <f t="shared" si="19"/>
        <v>0</v>
      </c>
      <c r="AR38" s="512">
        <f>SUMIFS(PURCHASE!$K$6:$K$10008,PURCHASE!$A$6:$A$10008,$AQ$2,PURCHASE!$H$6:$H$10008,$A$4:$A$2700)</f>
        <v>0</v>
      </c>
      <c r="AS38" s="512">
        <f>SUMIFS(PURCHASE!$L$6:$L$10008,PURCHASE!$A$6:$A$10008,$AQ$2,PURCHASE!$H$6:$H$10008,$A$4:$A$2700)</f>
        <v>0</v>
      </c>
      <c r="AT38" s="512">
        <f>SUMIFS(PURCHASE!$M$6:$M$10008,PURCHASE!$A$6:$A$10008,$AQ$2,PURCHASE!$H$6:$H$10008,$A$4:$A$2700)</f>
        <v>0</v>
      </c>
      <c r="AU38" s="512">
        <f>SUMIFS(PURCHASE!$N$6:$N$10008,PURCHASE!$A$6:$A$10008,$AQ$2,PURCHASE!$H$6:$H$10008,$A$4:$A$2700)</f>
        <v>0</v>
      </c>
      <c r="AV38" s="512">
        <f t="shared" si="20"/>
        <v>0</v>
      </c>
      <c r="AW38" s="512">
        <f>SUMIFS(PURCHASE!$K$6:$K$10008,PURCHASE!$A$6:$A$10008,$AV$2,PURCHASE!$H$6:$H$10008,$A$4:$A$2700)</f>
        <v>0</v>
      </c>
      <c r="AX38" s="512">
        <f>SUMIFS(PURCHASE!$L$6:$L$10008,PURCHASE!$A$6:$A$10008,$AV$2,PURCHASE!$H$6:$H$10008,$A$4:$A$2700)</f>
        <v>0</v>
      </c>
      <c r="AY38" s="512">
        <f>SUMIFS(PURCHASE!$M$6:$M$10008,PURCHASE!$A$6:$A$10008,$AV$2,PURCHASE!$H$6:$H$10008,$A$4:$A$2700)</f>
        <v>0</v>
      </c>
      <c r="AZ38" s="512">
        <f>SUMIFS(PURCHASE!$N$6:$N$10008,PURCHASE!$A$6:$A$10008,$AV$2,PURCHASE!$H$6:$H$10008,$A$4:$A$2700)</f>
        <v>0</v>
      </c>
      <c r="BA38" s="512">
        <f t="shared" si="21"/>
        <v>0</v>
      </c>
      <c r="BB38" s="512">
        <f>SUMIFS(PURCHASE!$K$6:$K$10008,PURCHASE!$A$6:$A$10008,$BA$2,PURCHASE!$H$6:$H$10008,$A$4:$A$2700)</f>
        <v>0</v>
      </c>
      <c r="BC38" s="512">
        <f>SUMIFS(PURCHASE!$L$6:$L$10008,PURCHASE!$A$6:$A$10008,$BA$2,PURCHASE!$H$6:$H$10008,$A$4:$A$2700)</f>
        <v>0</v>
      </c>
      <c r="BD38" s="512">
        <f>SUMIFS(PURCHASE!$M$6:$M$10008,PURCHASE!$A$6:$A$10008,$BA$2,PURCHASE!$H$6:$H$10008,$A$4:$A$2700)</f>
        <v>0</v>
      </c>
      <c r="BE38" s="512">
        <f>SUMIFS(PURCHASE!$N$6:$N$10008,PURCHASE!$A$6:$A$10008,$BA$2,PURCHASE!$H$6:$H$10008,$A$4:$A$2700)</f>
        <v>0</v>
      </c>
      <c r="BF38" s="512">
        <f t="shared" si="22"/>
        <v>0</v>
      </c>
      <c r="BG38" s="512">
        <f>SUMIFS(PURCHASE!$K$6:$K$10008,PURCHASE!$A$6:$A$10008,$BF$2,PURCHASE!$H$6:$H$10008,$A$4:$A$2700)</f>
        <v>0</v>
      </c>
      <c r="BH38" s="512">
        <f>SUMIFS(PURCHASE!$L$6:$L$10008,PURCHASE!$A$6:$A$10008,$BF$2,PURCHASE!$H$6:$H$10008,$A$4:$A$2700)</f>
        <v>0</v>
      </c>
      <c r="BI38" s="512">
        <f>SUMIFS(PURCHASE!$M$6:$M$10008,PURCHASE!$A$6:$A$10008,$BF$2,PURCHASE!$H$6:$H$10008,$A$4:$A$2700)</f>
        <v>0</v>
      </c>
      <c r="BJ38" s="512">
        <f>SUMIFS(PURCHASE!$N$6:$N$10008,PURCHASE!$A$6:$A$10008,$BF$2,PURCHASE!$H$6:$H$10008,$A$4:$A$2700)</f>
        <v>0</v>
      </c>
      <c r="BK38" s="72">
        <f t="shared" si="6"/>
        <v>0</v>
      </c>
      <c r="BL38" s="72">
        <f t="shared" si="7"/>
        <v>0</v>
      </c>
      <c r="BM38" s="72">
        <f t="shared" si="8"/>
        <v>0</v>
      </c>
      <c r="BN38" s="72">
        <f t="shared" si="9"/>
        <v>0</v>
      </c>
      <c r="BO38" s="72">
        <f t="shared" si="10"/>
        <v>0</v>
      </c>
    </row>
    <row r="39" spans="1:67" x14ac:dyDescent="0.2">
      <c r="A39" s="511">
        <v>7409</v>
      </c>
      <c r="B39" s="467" t="s">
        <v>1212</v>
      </c>
      <c r="C39" s="512">
        <f t="shared" si="11"/>
        <v>0</v>
      </c>
      <c r="D39" s="512">
        <f>SUMIFS(PURCHASE!$K$6:$K$10008,PURCHASE!$A$6:$A$10008,$M$2,PURCHASE!$H$6:$H$10008,$A$4:$A$2700)</f>
        <v>0</v>
      </c>
      <c r="E39" s="512">
        <f>SUMIFS(PURCHASE!$L$6:$L$10008,PURCHASE!$A$6:$A$10008,$M$2,PURCHASE!$H$6:$H$10008,$A$4:$A$2700)</f>
        <v>0</v>
      </c>
      <c r="F39" s="512">
        <f>SUMIFS(PURCHASE!$M$6:$M$10008,PURCHASE!$A$6:$A$10008,$M$2,PURCHASE!$H$6:$H$10008,$A$4:$A$2700)</f>
        <v>0</v>
      </c>
      <c r="G39" s="512">
        <f>SUMIFS(PURCHASE!$N$6:$N$10008,PURCHASE!$A$6:$A$10008,$M$2,PURCHASE!$H$6:$H$10008,$A$4:$A$2700)</f>
        <v>0</v>
      </c>
      <c r="H39" s="512">
        <f t="shared" si="12"/>
        <v>0</v>
      </c>
      <c r="I39" s="512">
        <f>SUMIFS(PURCHASE!$K$6:$K$10008,PURCHASE!$A$6:$A$10008,$H$2,PURCHASE!$H$6:$H$10008,$A$4:$A$2700)</f>
        <v>0</v>
      </c>
      <c r="J39" s="512">
        <f>SUMIFS(PURCHASE!$L$6:$L$10008,PURCHASE!$A$6:$A$10008,$H$2,PURCHASE!$H$6:$H$10008,$A$4:$A$2700)</f>
        <v>0</v>
      </c>
      <c r="K39" s="512">
        <f>SUMIFS(PURCHASE!$M$6:$M$10008,PURCHASE!$A$6:$A$10008,$H$2,PURCHASE!$H$6:$H$10008,$A$4:$A$2700)</f>
        <v>0</v>
      </c>
      <c r="L39" s="512">
        <f>SUMIFS(PURCHASE!$N$6:$N$10008,PURCHASE!$A$6:$A$10008,$H$2,PURCHASE!$H$6:$H$10008,$A$4:$A$2700)</f>
        <v>0</v>
      </c>
      <c r="M39" s="512">
        <f t="shared" si="13"/>
        <v>0</v>
      </c>
      <c r="N39" s="512">
        <f>SUMIFS(PURCHASE!$K$6:$K$10008,PURCHASE!$A$6:$A$10008,$M$2,PURCHASE!$H$6:$H$10008,$A$4:$A$2700)</f>
        <v>0</v>
      </c>
      <c r="O39" s="512">
        <f>SUMIFS(PURCHASE!$L$6:$L$10008,PURCHASE!$A$6:$A$10008,$M$2,PURCHASE!$H$6:$H$10008,$A$4:$A$2700)</f>
        <v>0</v>
      </c>
      <c r="P39" s="512">
        <f>SUMIFS(PURCHASE!$M$6:$M$10008,PURCHASE!$A$6:$A$10008,$M$2,PURCHASE!$H$6:$H$10008,$A$4:$A$2700)</f>
        <v>0</v>
      </c>
      <c r="Q39" s="512">
        <f>SUMIFS(PURCHASE!$N$6:$N$10008,PURCHASE!$A$6:$A$10008,$M$2,PURCHASE!$H$6:$H$10008,$A$4:$A$2700)</f>
        <v>0</v>
      </c>
      <c r="R39" s="512">
        <f t="shared" si="14"/>
        <v>0</v>
      </c>
      <c r="S39" s="512">
        <f>SUMIFS(PURCHASE!$K$6:$K$10008,PURCHASE!$A$6:$A$10008,$R$2,PURCHASE!$H$6:$H$10008,$A$4:$A$2700)</f>
        <v>0</v>
      </c>
      <c r="T39" s="512">
        <f>SUMIFS(PURCHASE!$L$6:$L$10008,PURCHASE!$A$6:$A$10008,$R$2,PURCHASE!$H$6:$H$10008,$A$4:$A$2700)</f>
        <v>0</v>
      </c>
      <c r="U39" s="512">
        <f>SUMIFS(PURCHASE!$M$6:$M$10008,PURCHASE!$A$6:$A$10008,$R$2,PURCHASE!$H$6:$H$10008,$A$4:$A$2700)</f>
        <v>0</v>
      </c>
      <c r="V39" s="512">
        <f>SUMIFS(PURCHASE!$N$6:$N$10008,PURCHASE!$A$6:$A$10008,$R$2,PURCHASE!$H$6:$H$10008,$A$4:$A$2700)</f>
        <v>0</v>
      </c>
      <c r="W39" s="512">
        <f t="shared" si="15"/>
        <v>0</v>
      </c>
      <c r="X39" s="512">
        <f>SUMIFS(PURCHASE!$K$6:$K$10008,PURCHASE!$A$6:$A$10008,$W$2,PURCHASE!$H$6:$H$10008,$A$4:$A$2700)</f>
        <v>0</v>
      </c>
      <c r="Y39" s="512">
        <f>SUMIFS(PURCHASE!$L$6:$L$10008,PURCHASE!$A$6:$A$10008,$W$2,PURCHASE!$H$6:$H$10008,$A$4:$A$2700)</f>
        <v>0</v>
      </c>
      <c r="Z39" s="512">
        <f>SUMIFS(PURCHASE!$M$6:$M$10008,PURCHASE!$A$6:$A$10008,$W$2,PURCHASE!$H$6:$H$10008,$A$4:$A$2700)</f>
        <v>0</v>
      </c>
      <c r="AA39" s="512">
        <f>SUMIFS(PURCHASE!$N$6:$N$10008,PURCHASE!$A$6:$A$10008,$W$2,PURCHASE!$H$6:$H$10008,$A$4:$A$2700)</f>
        <v>0</v>
      </c>
      <c r="AB39" s="512">
        <f t="shared" si="16"/>
        <v>0</v>
      </c>
      <c r="AC39" s="512">
        <f>SUMIFS(PURCHASE!$K$6:$K$10008,PURCHASE!$A$6:$A$10008,$AB$2,PURCHASE!$H$6:$H$10008,$A$4:$A$2700)</f>
        <v>0</v>
      </c>
      <c r="AD39" s="512">
        <f>SUMIFS(PURCHASE!$L$6:$L$10008,PURCHASE!$A$6:$A$10008,$AB$2,PURCHASE!$H$6:$H$10008,$A$4:$A$2700)</f>
        <v>0</v>
      </c>
      <c r="AE39" s="512">
        <f>SUMIFS(PURCHASE!$M$6:$M$10008,PURCHASE!$A$6:$A$10008,$AB$2,PURCHASE!$H$6:$H$10008,$A$4:$A$2700)</f>
        <v>0</v>
      </c>
      <c r="AF39" s="512">
        <f>SUMIFS(PURCHASE!$N$6:$N$10008,PURCHASE!$A$6:$A$10008,$AB$2,PURCHASE!$H$6:$H$10008,$A$4:$A$2700)</f>
        <v>0</v>
      </c>
      <c r="AG39" s="512">
        <f t="shared" si="17"/>
        <v>0</v>
      </c>
      <c r="AH39" s="512">
        <f>SUMIFS(PURCHASE!$K$6:$K$10008,PURCHASE!$A$6:$A$10008,$AG$2,PURCHASE!$H$6:$H$10008,$A$4:$A$2700)</f>
        <v>0</v>
      </c>
      <c r="AI39" s="512">
        <f>SUMIFS(PURCHASE!$L$6:$L$10008,PURCHASE!$A$6:$A$10008,$AG$2,PURCHASE!$H$6:$H$10008,$A$4:$A$2700)</f>
        <v>0</v>
      </c>
      <c r="AJ39" s="512">
        <f>SUMIFS(PURCHASE!$M$6:$M$10008,PURCHASE!$A$6:$A$10008,$AG$2,PURCHASE!$H$6:$H$10008,$A$4:$A$2700)</f>
        <v>0</v>
      </c>
      <c r="AK39" s="512">
        <f>SUMIFS(PURCHASE!$N$6:$N$10008,PURCHASE!$A$6:$A$10008,$AG$2,PURCHASE!$H$6:$H$10008,$A$4:$A$2700)</f>
        <v>0</v>
      </c>
      <c r="AL39" s="512">
        <f t="shared" si="18"/>
        <v>0</v>
      </c>
      <c r="AM39" s="512">
        <f>SUMIFS(PURCHASE!$K$6:$K$10008,PURCHASE!$A$6:$A$10008,$AL$2,PURCHASE!$H$6:$H$10008,$A$4:$A$2700)</f>
        <v>0</v>
      </c>
      <c r="AN39" s="512">
        <f>SUMIFS(PURCHASE!$L$6:$L$10008,PURCHASE!$A$6:$A$10008,$AL$2,PURCHASE!$H$6:$H$10008,$A$4:$A$2700)</f>
        <v>0</v>
      </c>
      <c r="AO39" s="512">
        <f>SUMIFS(PURCHASE!$M$6:$M$10008,PURCHASE!$A$6:$A$10008,$AL$2,PURCHASE!$H$6:$H$10008,$A$4:$A$2700)</f>
        <v>0</v>
      </c>
      <c r="AP39" s="512">
        <f>SUMIFS(PURCHASE!$N$6:$N$10008,PURCHASE!$A$6:$A$10008,$AL$2,PURCHASE!$H$6:$H$10008,$A$4:$A$2700)</f>
        <v>0</v>
      </c>
      <c r="AQ39" s="512">
        <f t="shared" si="19"/>
        <v>14822.530999999999</v>
      </c>
      <c r="AR39" s="512">
        <f>SUMIFS(PURCHASE!$K$6:$K$10008,PURCHASE!$A$6:$A$10008,$AQ$2,PURCHASE!$H$6:$H$10008,$A$4:$A$2700)</f>
        <v>12561.45</v>
      </c>
      <c r="AS39" s="512">
        <f>SUMIFS(PURCHASE!$L$6:$L$10008,PURCHASE!$A$6:$A$10008,$AQ$2,PURCHASE!$H$6:$H$10008,$A$4:$A$2700)</f>
        <v>0</v>
      </c>
      <c r="AT39" s="512">
        <f>SUMIFS(PURCHASE!$M$6:$M$10008,PURCHASE!$A$6:$A$10008,$AQ$2,PURCHASE!$H$6:$H$10008,$A$4:$A$2700)</f>
        <v>1130.5405000000001</v>
      </c>
      <c r="AU39" s="512">
        <f>SUMIFS(PURCHASE!$N$6:$N$10008,PURCHASE!$A$6:$A$10008,$AQ$2,PURCHASE!$H$6:$H$10008,$A$4:$A$2700)</f>
        <v>1130.5405000000001</v>
      </c>
      <c r="AV39" s="512">
        <f t="shared" si="20"/>
        <v>0</v>
      </c>
      <c r="AW39" s="512">
        <f>SUMIFS(PURCHASE!$K$6:$K$10008,PURCHASE!$A$6:$A$10008,$AV$2,PURCHASE!$H$6:$H$10008,$A$4:$A$2700)</f>
        <v>0</v>
      </c>
      <c r="AX39" s="512">
        <f>SUMIFS(PURCHASE!$L$6:$L$10008,PURCHASE!$A$6:$A$10008,$AV$2,PURCHASE!$H$6:$H$10008,$A$4:$A$2700)</f>
        <v>0</v>
      </c>
      <c r="AY39" s="512">
        <f>SUMIFS(PURCHASE!$M$6:$M$10008,PURCHASE!$A$6:$A$10008,$AV$2,PURCHASE!$H$6:$H$10008,$A$4:$A$2700)</f>
        <v>0</v>
      </c>
      <c r="AZ39" s="512">
        <f>SUMIFS(PURCHASE!$N$6:$N$10008,PURCHASE!$A$6:$A$10008,$AV$2,PURCHASE!$H$6:$H$10008,$A$4:$A$2700)</f>
        <v>0</v>
      </c>
      <c r="BA39" s="512">
        <f t="shared" si="21"/>
        <v>0</v>
      </c>
      <c r="BB39" s="512">
        <f>SUMIFS(PURCHASE!$K$6:$K$10008,PURCHASE!$A$6:$A$10008,$BA$2,PURCHASE!$H$6:$H$10008,$A$4:$A$2700)</f>
        <v>0</v>
      </c>
      <c r="BC39" s="512">
        <f>SUMIFS(PURCHASE!$L$6:$L$10008,PURCHASE!$A$6:$A$10008,$BA$2,PURCHASE!$H$6:$H$10008,$A$4:$A$2700)</f>
        <v>0</v>
      </c>
      <c r="BD39" s="512">
        <f>SUMIFS(PURCHASE!$M$6:$M$10008,PURCHASE!$A$6:$A$10008,$BA$2,PURCHASE!$H$6:$H$10008,$A$4:$A$2700)</f>
        <v>0</v>
      </c>
      <c r="BE39" s="512">
        <f>SUMIFS(PURCHASE!$N$6:$N$10008,PURCHASE!$A$6:$A$10008,$BA$2,PURCHASE!$H$6:$H$10008,$A$4:$A$2700)</f>
        <v>0</v>
      </c>
      <c r="BF39" s="512">
        <f t="shared" si="22"/>
        <v>0</v>
      </c>
      <c r="BG39" s="512">
        <f>SUMIFS(PURCHASE!$K$6:$K$10008,PURCHASE!$A$6:$A$10008,$BF$2,PURCHASE!$H$6:$H$10008,$A$4:$A$2700)</f>
        <v>0</v>
      </c>
      <c r="BH39" s="512">
        <f>SUMIFS(PURCHASE!$L$6:$L$10008,PURCHASE!$A$6:$A$10008,$BF$2,PURCHASE!$H$6:$H$10008,$A$4:$A$2700)</f>
        <v>0</v>
      </c>
      <c r="BI39" s="512">
        <f>SUMIFS(PURCHASE!$M$6:$M$10008,PURCHASE!$A$6:$A$10008,$BF$2,PURCHASE!$H$6:$H$10008,$A$4:$A$2700)</f>
        <v>0</v>
      </c>
      <c r="BJ39" s="512">
        <f>SUMIFS(PURCHASE!$N$6:$N$10008,PURCHASE!$A$6:$A$10008,$BF$2,PURCHASE!$H$6:$H$10008,$A$4:$A$2700)</f>
        <v>0</v>
      </c>
      <c r="BK39" s="72">
        <f t="shared" si="6"/>
        <v>14822.530999999999</v>
      </c>
      <c r="BL39" s="72">
        <f t="shared" si="7"/>
        <v>12561.45</v>
      </c>
      <c r="BM39" s="72">
        <f t="shared" si="8"/>
        <v>0</v>
      </c>
      <c r="BN39" s="72">
        <f t="shared" si="9"/>
        <v>1130.5405000000001</v>
      </c>
      <c r="BO39" s="72">
        <f t="shared" si="10"/>
        <v>1130.5405000000001</v>
      </c>
    </row>
    <row r="40" spans="1:67" x14ac:dyDescent="0.2">
      <c r="A40" s="511">
        <v>7412</v>
      </c>
      <c r="B40" s="467" t="s">
        <v>1213</v>
      </c>
      <c r="C40" s="512">
        <f t="shared" si="11"/>
        <v>0</v>
      </c>
      <c r="D40" s="512">
        <f>SUMIFS(PURCHASE!$K$6:$K$10008,PURCHASE!$A$6:$A$10008,$M$2,PURCHASE!$H$6:$H$10008,$A$4:$A$2700)</f>
        <v>0</v>
      </c>
      <c r="E40" s="512">
        <f>SUMIFS(PURCHASE!$L$6:$L$10008,PURCHASE!$A$6:$A$10008,$M$2,PURCHASE!$H$6:$H$10008,$A$4:$A$2700)</f>
        <v>0</v>
      </c>
      <c r="F40" s="512">
        <f>SUMIFS(PURCHASE!$M$6:$M$10008,PURCHASE!$A$6:$A$10008,$M$2,PURCHASE!$H$6:$H$10008,$A$4:$A$2700)</f>
        <v>0</v>
      </c>
      <c r="G40" s="512">
        <f>SUMIFS(PURCHASE!$N$6:$N$10008,PURCHASE!$A$6:$A$10008,$M$2,PURCHASE!$H$6:$H$10008,$A$4:$A$2700)</f>
        <v>0</v>
      </c>
      <c r="H40" s="512">
        <f t="shared" si="12"/>
        <v>0</v>
      </c>
      <c r="I40" s="512">
        <f>SUMIFS(PURCHASE!$K$6:$K$10008,PURCHASE!$A$6:$A$10008,$H$2,PURCHASE!$H$6:$H$10008,$A$4:$A$2700)</f>
        <v>0</v>
      </c>
      <c r="J40" s="512">
        <f>SUMIFS(PURCHASE!$L$6:$L$10008,PURCHASE!$A$6:$A$10008,$H$2,PURCHASE!$H$6:$H$10008,$A$4:$A$2700)</f>
        <v>0</v>
      </c>
      <c r="K40" s="512">
        <f>SUMIFS(PURCHASE!$M$6:$M$10008,PURCHASE!$A$6:$A$10008,$H$2,PURCHASE!$H$6:$H$10008,$A$4:$A$2700)</f>
        <v>0</v>
      </c>
      <c r="L40" s="512">
        <f>SUMIFS(PURCHASE!$N$6:$N$10008,PURCHASE!$A$6:$A$10008,$H$2,PURCHASE!$H$6:$H$10008,$A$4:$A$2700)</f>
        <v>0</v>
      </c>
      <c r="M40" s="512">
        <f t="shared" si="13"/>
        <v>0</v>
      </c>
      <c r="N40" s="512">
        <f>SUMIFS(PURCHASE!$K$6:$K$10008,PURCHASE!$A$6:$A$10008,$M$2,PURCHASE!$H$6:$H$10008,$A$4:$A$2700)</f>
        <v>0</v>
      </c>
      <c r="O40" s="512">
        <f>SUMIFS(PURCHASE!$L$6:$L$10008,PURCHASE!$A$6:$A$10008,$M$2,PURCHASE!$H$6:$H$10008,$A$4:$A$2700)</f>
        <v>0</v>
      </c>
      <c r="P40" s="512">
        <f>SUMIFS(PURCHASE!$M$6:$M$10008,PURCHASE!$A$6:$A$10008,$M$2,PURCHASE!$H$6:$H$10008,$A$4:$A$2700)</f>
        <v>0</v>
      </c>
      <c r="Q40" s="512">
        <f>SUMIFS(PURCHASE!$N$6:$N$10008,PURCHASE!$A$6:$A$10008,$M$2,PURCHASE!$H$6:$H$10008,$A$4:$A$2700)</f>
        <v>0</v>
      </c>
      <c r="R40" s="512">
        <f t="shared" si="14"/>
        <v>0</v>
      </c>
      <c r="S40" s="512">
        <f>SUMIFS(PURCHASE!$K$6:$K$10008,PURCHASE!$A$6:$A$10008,$R$2,PURCHASE!$H$6:$H$10008,$A$4:$A$2700)</f>
        <v>0</v>
      </c>
      <c r="T40" s="512">
        <f>SUMIFS(PURCHASE!$L$6:$L$10008,PURCHASE!$A$6:$A$10008,$R$2,PURCHASE!$H$6:$H$10008,$A$4:$A$2700)</f>
        <v>0</v>
      </c>
      <c r="U40" s="512">
        <f>SUMIFS(PURCHASE!$M$6:$M$10008,PURCHASE!$A$6:$A$10008,$R$2,PURCHASE!$H$6:$H$10008,$A$4:$A$2700)</f>
        <v>0</v>
      </c>
      <c r="V40" s="512">
        <f>SUMIFS(PURCHASE!$N$6:$N$10008,PURCHASE!$A$6:$A$10008,$R$2,PURCHASE!$H$6:$H$10008,$A$4:$A$2700)</f>
        <v>0</v>
      </c>
      <c r="W40" s="512">
        <f t="shared" si="15"/>
        <v>0</v>
      </c>
      <c r="X40" s="512">
        <f>SUMIFS(PURCHASE!$K$6:$K$10008,PURCHASE!$A$6:$A$10008,$W$2,PURCHASE!$H$6:$H$10008,$A$4:$A$2700)</f>
        <v>0</v>
      </c>
      <c r="Y40" s="512">
        <f>SUMIFS(PURCHASE!$L$6:$L$10008,PURCHASE!$A$6:$A$10008,$W$2,PURCHASE!$H$6:$H$10008,$A$4:$A$2700)</f>
        <v>0</v>
      </c>
      <c r="Z40" s="512">
        <f>SUMIFS(PURCHASE!$M$6:$M$10008,PURCHASE!$A$6:$A$10008,$W$2,PURCHASE!$H$6:$H$10008,$A$4:$A$2700)</f>
        <v>0</v>
      </c>
      <c r="AA40" s="512">
        <f>SUMIFS(PURCHASE!$N$6:$N$10008,PURCHASE!$A$6:$A$10008,$W$2,PURCHASE!$H$6:$H$10008,$A$4:$A$2700)</f>
        <v>0</v>
      </c>
      <c r="AB40" s="512">
        <f t="shared" si="16"/>
        <v>0</v>
      </c>
      <c r="AC40" s="512">
        <f>SUMIFS(PURCHASE!$K$6:$K$10008,PURCHASE!$A$6:$A$10008,$AB$2,PURCHASE!$H$6:$H$10008,$A$4:$A$2700)</f>
        <v>0</v>
      </c>
      <c r="AD40" s="512">
        <f>SUMIFS(PURCHASE!$L$6:$L$10008,PURCHASE!$A$6:$A$10008,$AB$2,PURCHASE!$H$6:$H$10008,$A$4:$A$2700)</f>
        <v>0</v>
      </c>
      <c r="AE40" s="512">
        <f>SUMIFS(PURCHASE!$M$6:$M$10008,PURCHASE!$A$6:$A$10008,$AB$2,PURCHASE!$H$6:$H$10008,$A$4:$A$2700)</f>
        <v>0</v>
      </c>
      <c r="AF40" s="512">
        <f>SUMIFS(PURCHASE!$N$6:$N$10008,PURCHASE!$A$6:$A$10008,$AB$2,PURCHASE!$H$6:$H$10008,$A$4:$A$2700)</f>
        <v>0</v>
      </c>
      <c r="AG40" s="512">
        <f t="shared" si="17"/>
        <v>0</v>
      </c>
      <c r="AH40" s="512">
        <f>SUMIFS(PURCHASE!$K$6:$K$10008,PURCHASE!$A$6:$A$10008,$AG$2,PURCHASE!$H$6:$H$10008,$A$4:$A$2700)</f>
        <v>0</v>
      </c>
      <c r="AI40" s="512">
        <f>SUMIFS(PURCHASE!$L$6:$L$10008,PURCHASE!$A$6:$A$10008,$AG$2,PURCHASE!$H$6:$H$10008,$A$4:$A$2700)</f>
        <v>0</v>
      </c>
      <c r="AJ40" s="512">
        <f>SUMIFS(PURCHASE!$M$6:$M$10008,PURCHASE!$A$6:$A$10008,$AG$2,PURCHASE!$H$6:$H$10008,$A$4:$A$2700)</f>
        <v>0</v>
      </c>
      <c r="AK40" s="512">
        <f>SUMIFS(PURCHASE!$N$6:$N$10008,PURCHASE!$A$6:$A$10008,$AG$2,PURCHASE!$H$6:$H$10008,$A$4:$A$2700)</f>
        <v>0</v>
      </c>
      <c r="AL40" s="512">
        <f t="shared" si="18"/>
        <v>0</v>
      </c>
      <c r="AM40" s="512">
        <f>SUMIFS(PURCHASE!$K$6:$K$10008,PURCHASE!$A$6:$A$10008,$AL$2,PURCHASE!$H$6:$H$10008,$A$4:$A$2700)</f>
        <v>0</v>
      </c>
      <c r="AN40" s="512">
        <f>SUMIFS(PURCHASE!$L$6:$L$10008,PURCHASE!$A$6:$A$10008,$AL$2,PURCHASE!$H$6:$H$10008,$A$4:$A$2700)</f>
        <v>0</v>
      </c>
      <c r="AO40" s="512">
        <f>SUMIFS(PURCHASE!$M$6:$M$10008,PURCHASE!$A$6:$A$10008,$AL$2,PURCHASE!$H$6:$H$10008,$A$4:$A$2700)</f>
        <v>0</v>
      </c>
      <c r="AP40" s="512">
        <f>SUMIFS(PURCHASE!$N$6:$N$10008,PURCHASE!$A$6:$A$10008,$AL$2,PURCHASE!$H$6:$H$10008,$A$4:$A$2700)</f>
        <v>0</v>
      </c>
      <c r="AQ40" s="512">
        <f t="shared" si="19"/>
        <v>0</v>
      </c>
      <c r="AR40" s="512">
        <f>SUMIFS(PURCHASE!$K$6:$K$10008,PURCHASE!$A$6:$A$10008,$AQ$2,PURCHASE!$H$6:$H$10008,$A$4:$A$2700)</f>
        <v>0</v>
      </c>
      <c r="AS40" s="512">
        <f>SUMIFS(PURCHASE!$L$6:$L$10008,PURCHASE!$A$6:$A$10008,$AQ$2,PURCHASE!$H$6:$H$10008,$A$4:$A$2700)</f>
        <v>0</v>
      </c>
      <c r="AT40" s="512">
        <f>SUMIFS(PURCHASE!$M$6:$M$10008,PURCHASE!$A$6:$A$10008,$AQ$2,PURCHASE!$H$6:$H$10008,$A$4:$A$2700)</f>
        <v>0</v>
      </c>
      <c r="AU40" s="512">
        <f>SUMIFS(PURCHASE!$N$6:$N$10008,PURCHASE!$A$6:$A$10008,$AQ$2,PURCHASE!$H$6:$H$10008,$A$4:$A$2700)</f>
        <v>0</v>
      </c>
      <c r="AV40" s="512">
        <f t="shared" si="20"/>
        <v>0</v>
      </c>
      <c r="AW40" s="512">
        <f>SUMIFS(PURCHASE!$K$6:$K$10008,PURCHASE!$A$6:$A$10008,$AV$2,PURCHASE!$H$6:$H$10008,$A$4:$A$2700)</f>
        <v>0</v>
      </c>
      <c r="AX40" s="512">
        <f>SUMIFS(PURCHASE!$L$6:$L$10008,PURCHASE!$A$6:$A$10008,$AV$2,PURCHASE!$H$6:$H$10008,$A$4:$A$2700)</f>
        <v>0</v>
      </c>
      <c r="AY40" s="512">
        <f>SUMIFS(PURCHASE!$M$6:$M$10008,PURCHASE!$A$6:$A$10008,$AV$2,PURCHASE!$H$6:$H$10008,$A$4:$A$2700)</f>
        <v>0</v>
      </c>
      <c r="AZ40" s="512">
        <f>SUMIFS(PURCHASE!$N$6:$N$10008,PURCHASE!$A$6:$A$10008,$AV$2,PURCHASE!$H$6:$H$10008,$A$4:$A$2700)</f>
        <v>0</v>
      </c>
      <c r="BA40" s="512">
        <f t="shared" si="21"/>
        <v>0</v>
      </c>
      <c r="BB40" s="512">
        <f>SUMIFS(PURCHASE!$K$6:$K$10008,PURCHASE!$A$6:$A$10008,$BA$2,PURCHASE!$H$6:$H$10008,$A$4:$A$2700)</f>
        <v>0</v>
      </c>
      <c r="BC40" s="512">
        <f>SUMIFS(PURCHASE!$L$6:$L$10008,PURCHASE!$A$6:$A$10008,$BA$2,PURCHASE!$H$6:$H$10008,$A$4:$A$2700)</f>
        <v>0</v>
      </c>
      <c r="BD40" s="512">
        <f>SUMIFS(PURCHASE!$M$6:$M$10008,PURCHASE!$A$6:$A$10008,$BA$2,PURCHASE!$H$6:$H$10008,$A$4:$A$2700)</f>
        <v>0</v>
      </c>
      <c r="BE40" s="512">
        <f>SUMIFS(PURCHASE!$N$6:$N$10008,PURCHASE!$A$6:$A$10008,$BA$2,PURCHASE!$H$6:$H$10008,$A$4:$A$2700)</f>
        <v>0</v>
      </c>
      <c r="BF40" s="512">
        <f t="shared" si="22"/>
        <v>0</v>
      </c>
      <c r="BG40" s="512">
        <f>SUMIFS(PURCHASE!$K$6:$K$10008,PURCHASE!$A$6:$A$10008,$BF$2,PURCHASE!$H$6:$H$10008,$A$4:$A$2700)</f>
        <v>0</v>
      </c>
      <c r="BH40" s="512">
        <f>SUMIFS(PURCHASE!$L$6:$L$10008,PURCHASE!$A$6:$A$10008,$BF$2,PURCHASE!$H$6:$H$10008,$A$4:$A$2700)</f>
        <v>0</v>
      </c>
      <c r="BI40" s="512">
        <f>SUMIFS(PURCHASE!$M$6:$M$10008,PURCHASE!$A$6:$A$10008,$BF$2,PURCHASE!$H$6:$H$10008,$A$4:$A$2700)</f>
        <v>0</v>
      </c>
      <c r="BJ40" s="512">
        <f>SUMIFS(PURCHASE!$N$6:$N$10008,PURCHASE!$A$6:$A$10008,$BF$2,PURCHASE!$H$6:$H$10008,$A$4:$A$2700)</f>
        <v>0</v>
      </c>
      <c r="BK40" s="72">
        <f t="shared" si="6"/>
        <v>0</v>
      </c>
      <c r="BL40" s="72">
        <f t="shared" si="7"/>
        <v>0</v>
      </c>
      <c r="BM40" s="72">
        <f t="shared" si="8"/>
        <v>0</v>
      </c>
      <c r="BN40" s="72">
        <f t="shared" si="9"/>
        <v>0</v>
      </c>
      <c r="BO40" s="72">
        <f t="shared" si="10"/>
        <v>0</v>
      </c>
    </row>
    <row r="41" spans="1:67" x14ac:dyDescent="0.2">
      <c r="A41" s="511">
        <v>7616</v>
      </c>
      <c r="B41" s="467" t="s">
        <v>1214</v>
      </c>
      <c r="C41" s="512">
        <f t="shared" si="11"/>
        <v>0</v>
      </c>
      <c r="D41" s="512">
        <f>SUMIFS(PURCHASE!$K$6:$K$10008,PURCHASE!$A$6:$A$10008,$M$2,PURCHASE!$H$6:$H$10008,$A$4:$A$2700)</f>
        <v>0</v>
      </c>
      <c r="E41" s="512">
        <f>SUMIFS(PURCHASE!$L$6:$L$10008,PURCHASE!$A$6:$A$10008,$M$2,PURCHASE!$H$6:$H$10008,$A$4:$A$2700)</f>
        <v>0</v>
      </c>
      <c r="F41" s="512">
        <f>SUMIFS(PURCHASE!$M$6:$M$10008,PURCHASE!$A$6:$A$10008,$M$2,PURCHASE!$H$6:$H$10008,$A$4:$A$2700)</f>
        <v>0</v>
      </c>
      <c r="G41" s="512">
        <f>SUMIFS(PURCHASE!$N$6:$N$10008,PURCHASE!$A$6:$A$10008,$M$2,PURCHASE!$H$6:$H$10008,$A$4:$A$2700)</f>
        <v>0</v>
      </c>
      <c r="H41" s="512">
        <f t="shared" si="12"/>
        <v>0</v>
      </c>
      <c r="I41" s="512">
        <f>SUMIFS(PURCHASE!$K$6:$K$10008,PURCHASE!$A$6:$A$10008,$H$2,PURCHASE!$H$6:$H$10008,$A$4:$A$2700)</f>
        <v>0</v>
      </c>
      <c r="J41" s="512">
        <f>SUMIFS(PURCHASE!$L$6:$L$10008,PURCHASE!$A$6:$A$10008,$H$2,PURCHASE!$H$6:$H$10008,$A$4:$A$2700)</f>
        <v>0</v>
      </c>
      <c r="K41" s="512">
        <f>SUMIFS(PURCHASE!$M$6:$M$10008,PURCHASE!$A$6:$A$10008,$H$2,PURCHASE!$H$6:$H$10008,$A$4:$A$2700)</f>
        <v>0</v>
      </c>
      <c r="L41" s="512">
        <f>SUMIFS(PURCHASE!$N$6:$N$10008,PURCHASE!$A$6:$A$10008,$H$2,PURCHASE!$H$6:$H$10008,$A$4:$A$2700)</f>
        <v>0</v>
      </c>
      <c r="M41" s="512">
        <f t="shared" si="13"/>
        <v>0</v>
      </c>
      <c r="N41" s="512">
        <f>SUMIFS(PURCHASE!$K$6:$K$10008,PURCHASE!$A$6:$A$10008,$M$2,PURCHASE!$H$6:$H$10008,$A$4:$A$2700)</f>
        <v>0</v>
      </c>
      <c r="O41" s="512">
        <f>SUMIFS(PURCHASE!$L$6:$L$10008,PURCHASE!$A$6:$A$10008,$M$2,PURCHASE!$H$6:$H$10008,$A$4:$A$2700)</f>
        <v>0</v>
      </c>
      <c r="P41" s="512">
        <f>SUMIFS(PURCHASE!$M$6:$M$10008,PURCHASE!$A$6:$A$10008,$M$2,PURCHASE!$H$6:$H$10008,$A$4:$A$2700)</f>
        <v>0</v>
      </c>
      <c r="Q41" s="512">
        <f>SUMIFS(PURCHASE!$N$6:$N$10008,PURCHASE!$A$6:$A$10008,$M$2,PURCHASE!$H$6:$H$10008,$A$4:$A$2700)</f>
        <v>0</v>
      </c>
      <c r="R41" s="512">
        <f t="shared" si="14"/>
        <v>0</v>
      </c>
      <c r="S41" s="512">
        <f>SUMIFS(PURCHASE!$K$6:$K$10008,PURCHASE!$A$6:$A$10008,$R$2,PURCHASE!$H$6:$H$10008,$A$4:$A$2700)</f>
        <v>0</v>
      </c>
      <c r="T41" s="512">
        <f>SUMIFS(PURCHASE!$L$6:$L$10008,PURCHASE!$A$6:$A$10008,$R$2,PURCHASE!$H$6:$H$10008,$A$4:$A$2700)</f>
        <v>0</v>
      </c>
      <c r="U41" s="512">
        <f>SUMIFS(PURCHASE!$M$6:$M$10008,PURCHASE!$A$6:$A$10008,$R$2,PURCHASE!$H$6:$H$10008,$A$4:$A$2700)</f>
        <v>0</v>
      </c>
      <c r="V41" s="512">
        <f>SUMIFS(PURCHASE!$N$6:$N$10008,PURCHASE!$A$6:$A$10008,$R$2,PURCHASE!$H$6:$H$10008,$A$4:$A$2700)</f>
        <v>0</v>
      </c>
      <c r="W41" s="512">
        <f t="shared" si="15"/>
        <v>0</v>
      </c>
      <c r="X41" s="512">
        <f>SUMIFS(PURCHASE!$K$6:$K$10008,PURCHASE!$A$6:$A$10008,$W$2,PURCHASE!$H$6:$H$10008,$A$4:$A$2700)</f>
        <v>0</v>
      </c>
      <c r="Y41" s="512">
        <f>SUMIFS(PURCHASE!$L$6:$L$10008,PURCHASE!$A$6:$A$10008,$W$2,PURCHASE!$H$6:$H$10008,$A$4:$A$2700)</f>
        <v>0</v>
      </c>
      <c r="Z41" s="512">
        <f>SUMIFS(PURCHASE!$M$6:$M$10008,PURCHASE!$A$6:$A$10008,$W$2,PURCHASE!$H$6:$H$10008,$A$4:$A$2700)</f>
        <v>0</v>
      </c>
      <c r="AA41" s="512">
        <f>SUMIFS(PURCHASE!$N$6:$N$10008,PURCHASE!$A$6:$A$10008,$W$2,PURCHASE!$H$6:$H$10008,$A$4:$A$2700)</f>
        <v>0</v>
      </c>
      <c r="AB41" s="512">
        <f t="shared" si="16"/>
        <v>0</v>
      </c>
      <c r="AC41" s="512">
        <f>SUMIFS(PURCHASE!$K$6:$K$10008,PURCHASE!$A$6:$A$10008,$AB$2,PURCHASE!$H$6:$H$10008,$A$4:$A$2700)</f>
        <v>0</v>
      </c>
      <c r="AD41" s="512">
        <f>SUMIFS(PURCHASE!$L$6:$L$10008,PURCHASE!$A$6:$A$10008,$AB$2,PURCHASE!$H$6:$H$10008,$A$4:$A$2700)</f>
        <v>0</v>
      </c>
      <c r="AE41" s="512">
        <f>SUMIFS(PURCHASE!$M$6:$M$10008,PURCHASE!$A$6:$A$10008,$AB$2,PURCHASE!$H$6:$H$10008,$A$4:$A$2700)</f>
        <v>0</v>
      </c>
      <c r="AF41" s="512">
        <f>SUMIFS(PURCHASE!$N$6:$N$10008,PURCHASE!$A$6:$A$10008,$AB$2,PURCHASE!$H$6:$H$10008,$A$4:$A$2700)</f>
        <v>0</v>
      </c>
      <c r="AG41" s="512">
        <f t="shared" si="17"/>
        <v>0</v>
      </c>
      <c r="AH41" s="512">
        <f>SUMIFS(PURCHASE!$K$6:$K$10008,PURCHASE!$A$6:$A$10008,$AG$2,PURCHASE!$H$6:$H$10008,$A$4:$A$2700)</f>
        <v>0</v>
      </c>
      <c r="AI41" s="512">
        <f>SUMIFS(PURCHASE!$L$6:$L$10008,PURCHASE!$A$6:$A$10008,$AG$2,PURCHASE!$H$6:$H$10008,$A$4:$A$2700)</f>
        <v>0</v>
      </c>
      <c r="AJ41" s="512">
        <f>SUMIFS(PURCHASE!$M$6:$M$10008,PURCHASE!$A$6:$A$10008,$AG$2,PURCHASE!$H$6:$H$10008,$A$4:$A$2700)</f>
        <v>0</v>
      </c>
      <c r="AK41" s="512">
        <f>SUMIFS(PURCHASE!$N$6:$N$10008,PURCHASE!$A$6:$A$10008,$AG$2,PURCHASE!$H$6:$H$10008,$A$4:$A$2700)</f>
        <v>0</v>
      </c>
      <c r="AL41" s="512">
        <f t="shared" si="18"/>
        <v>0</v>
      </c>
      <c r="AM41" s="512">
        <f>SUMIFS(PURCHASE!$K$6:$K$10008,PURCHASE!$A$6:$A$10008,$AL$2,PURCHASE!$H$6:$H$10008,$A$4:$A$2700)</f>
        <v>0</v>
      </c>
      <c r="AN41" s="512">
        <f>SUMIFS(PURCHASE!$L$6:$L$10008,PURCHASE!$A$6:$A$10008,$AL$2,PURCHASE!$H$6:$H$10008,$A$4:$A$2700)</f>
        <v>0</v>
      </c>
      <c r="AO41" s="512">
        <f>SUMIFS(PURCHASE!$M$6:$M$10008,PURCHASE!$A$6:$A$10008,$AL$2,PURCHASE!$H$6:$H$10008,$A$4:$A$2700)</f>
        <v>0</v>
      </c>
      <c r="AP41" s="512">
        <f>SUMIFS(PURCHASE!$N$6:$N$10008,PURCHASE!$A$6:$A$10008,$AL$2,PURCHASE!$H$6:$H$10008,$A$4:$A$2700)</f>
        <v>0</v>
      </c>
      <c r="AQ41" s="512">
        <f t="shared" si="19"/>
        <v>0</v>
      </c>
      <c r="AR41" s="512">
        <f>SUMIFS(PURCHASE!$K$6:$K$10008,PURCHASE!$A$6:$A$10008,$AQ$2,PURCHASE!$H$6:$H$10008,$A$4:$A$2700)</f>
        <v>0</v>
      </c>
      <c r="AS41" s="512">
        <f>SUMIFS(PURCHASE!$L$6:$L$10008,PURCHASE!$A$6:$A$10008,$AQ$2,PURCHASE!$H$6:$H$10008,$A$4:$A$2700)</f>
        <v>0</v>
      </c>
      <c r="AT41" s="512">
        <f>SUMIFS(PURCHASE!$M$6:$M$10008,PURCHASE!$A$6:$A$10008,$AQ$2,PURCHASE!$H$6:$H$10008,$A$4:$A$2700)</f>
        <v>0</v>
      </c>
      <c r="AU41" s="512">
        <f>SUMIFS(PURCHASE!$N$6:$N$10008,PURCHASE!$A$6:$A$10008,$AQ$2,PURCHASE!$H$6:$H$10008,$A$4:$A$2700)</f>
        <v>0</v>
      </c>
      <c r="AV41" s="512">
        <f t="shared" si="20"/>
        <v>0</v>
      </c>
      <c r="AW41" s="512">
        <f>SUMIFS(PURCHASE!$K$6:$K$10008,PURCHASE!$A$6:$A$10008,$AV$2,PURCHASE!$H$6:$H$10008,$A$4:$A$2700)</f>
        <v>0</v>
      </c>
      <c r="AX41" s="512">
        <f>SUMIFS(PURCHASE!$L$6:$L$10008,PURCHASE!$A$6:$A$10008,$AV$2,PURCHASE!$H$6:$H$10008,$A$4:$A$2700)</f>
        <v>0</v>
      </c>
      <c r="AY41" s="512">
        <f>SUMIFS(PURCHASE!$M$6:$M$10008,PURCHASE!$A$6:$A$10008,$AV$2,PURCHASE!$H$6:$H$10008,$A$4:$A$2700)</f>
        <v>0</v>
      </c>
      <c r="AZ41" s="512">
        <f>SUMIFS(PURCHASE!$N$6:$N$10008,PURCHASE!$A$6:$A$10008,$AV$2,PURCHASE!$H$6:$H$10008,$A$4:$A$2700)</f>
        <v>0</v>
      </c>
      <c r="BA41" s="512">
        <f t="shared" si="21"/>
        <v>0</v>
      </c>
      <c r="BB41" s="512">
        <f>SUMIFS(PURCHASE!$K$6:$K$10008,PURCHASE!$A$6:$A$10008,$BA$2,PURCHASE!$H$6:$H$10008,$A$4:$A$2700)</f>
        <v>0</v>
      </c>
      <c r="BC41" s="512">
        <f>SUMIFS(PURCHASE!$L$6:$L$10008,PURCHASE!$A$6:$A$10008,$BA$2,PURCHASE!$H$6:$H$10008,$A$4:$A$2700)</f>
        <v>0</v>
      </c>
      <c r="BD41" s="512">
        <f>SUMIFS(PURCHASE!$M$6:$M$10008,PURCHASE!$A$6:$A$10008,$BA$2,PURCHASE!$H$6:$H$10008,$A$4:$A$2700)</f>
        <v>0</v>
      </c>
      <c r="BE41" s="512">
        <f>SUMIFS(PURCHASE!$N$6:$N$10008,PURCHASE!$A$6:$A$10008,$BA$2,PURCHASE!$H$6:$H$10008,$A$4:$A$2700)</f>
        <v>0</v>
      </c>
      <c r="BF41" s="512">
        <f t="shared" si="22"/>
        <v>0</v>
      </c>
      <c r="BG41" s="512">
        <f>SUMIFS(PURCHASE!$K$6:$K$10008,PURCHASE!$A$6:$A$10008,$BF$2,PURCHASE!$H$6:$H$10008,$A$4:$A$2700)</f>
        <v>0</v>
      </c>
      <c r="BH41" s="512">
        <f>SUMIFS(PURCHASE!$L$6:$L$10008,PURCHASE!$A$6:$A$10008,$BF$2,PURCHASE!$H$6:$H$10008,$A$4:$A$2700)</f>
        <v>0</v>
      </c>
      <c r="BI41" s="512">
        <f>SUMIFS(PURCHASE!$M$6:$M$10008,PURCHASE!$A$6:$A$10008,$BF$2,PURCHASE!$H$6:$H$10008,$A$4:$A$2700)</f>
        <v>0</v>
      </c>
      <c r="BJ41" s="512">
        <f>SUMIFS(PURCHASE!$N$6:$N$10008,PURCHASE!$A$6:$A$10008,$BF$2,PURCHASE!$H$6:$H$10008,$A$4:$A$2700)</f>
        <v>0</v>
      </c>
      <c r="BK41" s="72">
        <f t="shared" si="6"/>
        <v>0</v>
      </c>
      <c r="BL41" s="72">
        <f t="shared" si="7"/>
        <v>0</v>
      </c>
      <c r="BM41" s="72">
        <f t="shared" si="8"/>
        <v>0</v>
      </c>
      <c r="BN41" s="72">
        <f t="shared" si="9"/>
        <v>0</v>
      </c>
      <c r="BO41" s="72">
        <f t="shared" si="10"/>
        <v>0</v>
      </c>
    </row>
    <row r="42" spans="1:67" x14ac:dyDescent="0.2">
      <c r="A42" s="511">
        <v>8202</v>
      </c>
      <c r="B42" s="467" t="s">
        <v>1215</v>
      </c>
      <c r="C42" s="512">
        <f t="shared" si="11"/>
        <v>47.2</v>
      </c>
      <c r="D42" s="512">
        <f>SUMIFS(PURCHASE!$K$6:$K$10008,PURCHASE!$A$6:$A$10008,$M$2,PURCHASE!$H$6:$H$10008,$A$4:$A$2700)</f>
        <v>40</v>
      </c>
      <c r="E42" s="512">
        <f>SUMIFS(PURCHASE!$L$6:$L$10008,PURCHASE!$A$6:$A$10008,$M$2,PURCHASE!$H$6:$H$10008,$A$4:$A$2700)</f>
        <v>0</v>
      </c>
      <c r="F42" s="512">
        <f>SUMIFS(PURCHASE!$M$6:$M$10008,PURCHASE!$A$6:$A$10008,$M$2,PURCHASE!$H$6:$H$10008,$A$4:$A$2700)</f>
        <v>3.6</v>
      </c>
      <c r="G42" s="512">
        <f>SUMIFS(PURCHASE!$N$6:$N$10008,PURCHASE!$A$6:$A$10008,$M$2,PURCHASE!$H$6:$H$10008,$A$4:$A$2700)</f>
        <v>3.6</v>
      </c>
      <c r="H42" s="512">
        <f t="shared" si="12"/>
        <v>0</v>
      </c>
      <c r="I42" s="512">
        <f>SUMIFS(PURCHASE!$K$6:$K$10008,PURCHASE!$A$6:$A$10008,$H$2,PURCHASE!$H$6:$H$10008,$A$4:$A$2700)</f>
        <v>0</v>
      </c>
      <c r="J42" s="512">
        <f>SUMIFS(PURCHASE!$L$6:$L$10008,PURCHASE!$A$6:$A$10008,$H$2,PURCHASE!$H$6:$H$10008,$A$4:$A$2700)</f>
        <v>0</v>
      </c>
      <c r="K42" s="512">
        <f>SUMIFS(PURCHASE!$M$6:$M$10008,PURCHASE!$A$6:$A$10008,$H$2,PURCHASE!$H$6:$H$10008,$A$4:$A$2700)</f>
        <v>0</v>
      </c>
      <c r="L42" s="512">
        <f>SUMIFS(PURCHASE!$N$6:$N$10008,PURCHASE!$A$6:$A$10008,$H$2,PURCHASE!$H$6:$H$10008,$A$4:$A$2700)</f>
        <v>0</v>
      </c>
      <c r="M42" s="512">
        <f t="shared" si="13"/>
        <v>47.2</v>
      </c>
      <c r="N42" s="512">
        <f>SUMIFS(PURCHASE!$K$6:$K$10008,PURCHASE!$A$6:$A$10008,$M$2,PURCHASE!$H$6:$H$10008,$A$4:$A$2700)</f>
        <v>40</v>
      </c>
      <c r="O42" s="512">
        <f>SUMIFS(PURCHASE!$L$6:$L$10008,PURCHASE!$A$6:$A$10008,$M$2,PURCHASE!$H$6:$H$10008,$A$4:$A$2700)</f>
        <v>0</v>
      </c>
      <c r="P42" s="512">
        <f>SUMIFS(PURCHASE!$M$6:$M$10008,PURCHASE!$A$6:$A$10008,$M$2,PURCHASE!$H$6:$H$10008,$A$4:$A$2700)</f>
        <v>3.6</v>
      </c>
      <c r="Q42" s="512">
        <f>SUMIFS(PURCHASE!$N$6:$N$10008,PURCHASE!$A$6:$A$10008,$M$2,PURCHASE!$H$6:$H$10008,$A$4:$A$2700)</f>
        <v>3.6</v>
      </c>
      <c r="R42" s="512">
        <f t="shared" si="14"/>
        <v>0</v>
      </c>
      <c r="S42" s="512">
        <f>SUMIFS(PURCHASE!$K$6:$K$10008,PURCHASE!$A$6:$A$10008,$R$2,PURCHASE!$H$6:$H$10008,$A$4:$A$2700)</f>
        <v>0</v>
      </c>
      <c r="T42" s="512">
        <f>SUMIFS(PURCHASE!$L$6:$L$10008,PURCHASE!$A$6:$A$10008,$R$2,PURCHASE!$H$6:$H$10008,$A$4:$A$2700)</f>
        <v>0</v>
      </c>
      <c r="U42" s="512">
        <f>SUMIFS(PURCHASE!$M$6:$M$10008,PURCHASE!$A$6:$A$10008,$R$2,PURCHASE!$H$6:$H$10008,$A$4:$A$2700)</f>
        <v>0</v>
      </c>
      <c r="V42" s="512">
        <f>SUMIFS(PURCHASE!$N$6:$N$10008,PURCHASE!$A$6:$A$10008,$R$2,PURCHASE!$H$6:$H$10008,$A$4:$A$2700)</f>
        <v>0</v>
      </c>
      <c r="W42" s="512">
        <f t="shared" si="15"/>
        <v>0</v>
      </c>
      <c r="X42" s="512">
        <f>SUMIFS(PURCHASE!$K$6:$K$10008,PURCHASE!$A$6:$A$10008,$W$2,PURCHASE!$H$6:$H$10008,$A$4:$A$2700)</f>
        <v>0</v>
      </c>
      <c r="Y42" s="512">
        <f>SUMIFS(PURCHASE!$L$6:$L$10008,PURCHASE!$A$6:$A$10008,$W$2,PURCHASE!$H$6:$H$10008,$A$4:$A$2700)</f>
        <v>0</v>
      </c>
      <c r="Z42" s="512">
        <f>SUMIFS(PURCHASE!$M$6:$M$10008,PURCHASE!$A$6:$A$10008,$W$2,PURCHASE!$H$6:$H$10008,$A$4:$A$2700)</f>
        <v>0</v>
      </c>
      <c r="AA42" s="512">
        <f>SUMIFS(PURCHASE!$N$6:$N$10008,PURCHASE!$A$6:$A$10008,$W$2,PURCHASE!$H$6:$H$10008,$A$4:$A$2700)</f>
        <v>0</v>
      </c>
      <c r="AB42" s="512">
        <f t="shared" si="16"/>
        <v>17.700000000000003</v>
      </c>
      <c r="AC42" s="512">
        <f>SUMIFS(PURCHASE!$K$6:$K$10008,PURCHASE!$A$6:$A$10008,$AB$2,PURCHASE!$H$6:$H$10008,$A$4:$A$2700)</f>
        <v>15</v>
      </c>
      <c r="AD42" s="512">
        <f>SUMIFS(PURCHASE!$L$6:$L$10008,PURCHASE!$A$6:$A$10008,$AB$2,PURCHASE!$H$6:$H$10008,$A$4:$A$2700)</f>
        <v>0</v>
      </c>
      <c r="AE42" s="512">
        <f>SUMIFS(PURCHASE!$M$6:$M$10008,PURCHASE!$A$6:$A$10008,$AB$2,PURCHASE!$H$6:$H$10008,$A$4:$A$2700)</f>
        <v>1.3499999999999999</v>
      </c>
      <c r="AF42" s="512">
        <f>SUMIFS(PURCHASE!$N$6:$N$10008,PURCHASE!$A$6:$A$10008,$AB$2,PURCHASE!$H$6:$H$10008,$A$4:$A$2700)</f>
        <v>1.3499999999999999</v>
      </c>
      <c r="AG42" s="512">
        <f t="shared" si="17"/>
        <v>0</v>
      </c>
      <c r="AH42" s="512">
        <f>SUMIFS(PURCHASE!$K$6:$K$10008,PURCHASE!$A$6:$A$10008,$AG$2,PURCHASE!$H$6:$H$10008,$A$4:$A$2700)</f>
        <v>0</v>
      </c>
      <c r="AI42" s="512">
        <f>SUMIFS(PURCHASE!$L$6:$L$10008,PURCHASE!$A$6:$A$10008,$AG$2,PURCHASE!$H$6:$H$10008,$A$4:$A$2700)</f>
        <v>0</v>
      </c>
      <c r="AJ42" s="512">
        <f>SUMIFS(PURCHASE!$M$6:$M$10008,PURCHASE!$A$6:$A$10008,$AG$2,PURCHASE!$H$6:$H$10008,$A$4:$A$2700)</f>
        <v>0</v>
      </c>
      <c r="AK42" s="512">
        <f>SUMIFS(PURCHASE!$N$6:$N$10008,PURCHASE!$A$6:$A$10008,$AG$2,PURCHASE!$H$6:$H$10008,$A$4:$A$2700)</f>
        <v>0</v>
      </c>
      <c r="AL42" s="512">
        <f t="shared" si="18"/>
        <v>41.3</v>
      </c>
      <c r="AM42" s="512">
        <f>SUMIFS(PURCHASE!$K$6:$K$10008,PURCHASE!$A$6:$A$10008,$AL$2,PURCHASE!$H$6:$H$10008,$A$4:$A$2700)</f>
        <v>35</v>
      </c>
      <c r="AN42" s="512">
        <f>SUMIFS(PURCHASE!$L$6:$L$10008,PURCHASE!$A$6:$A$10008,$AL$2,PURCHASE!$H$6:$H$10008,$A$4:$A$2700)</f>
        <v>0</v>
      </c>
      <c r="AO42" s="512">
        <f>SUMIFS(PURCHASE!$M$6:$M$10008,PURCHASE!$A$6:$A$10008,$AL$2,PURCHASE!$H$6:$H$10008,$A$4:$A$2700)</f>
        <v>3.15</v>
      </c>
      <c r="AP42" s="512">
        <f>SUMIFS(PURCHASE!$N$6:$N$10008,PURCHASE!$A$6:$A$10008,$AL$2,PURCHASE!$H$6:$H$10008,$A$4:$A$2700)</f>
        <v>3.15</v>
      </c>
      <c r="AQ42" s="512">
        <f t="shared" si="19"/>
        <v>0</v>
      </c>
      <c r="AR42" s="512">
        <f>SUMIFS(PURCHASE!$K$6:$K$10008,PURCHASE!$A$6:$A$10008,$AQ$2,PURCHASE!$H$6:$H$10008,$A$4:$A$2700)</f>
        <v>0</v>
      </c>
      <c r="AS42" s="512">
        <f>SUMIFS(PURCHASE!$L$6:$L$10008,PURCHASE!$A$6:$A$10008,$AQ$2,PURCHASE!$H$6:$H$10008,$A$4:$A$2700)</f>
        <v>0</v>
      </c>
      <c r="AT42" s="512">
        <f>SUMIFS(PURCHASE!$M$6:$M$10008,PURCHASE!$A$6:$A$10008,$AQ$2,PURCHASE!$H$6:$H$10008,$A$4:$A$2700)</f>
        <v>0</v>
      </c>
      <c r="AU42" s="512">
        <f>SUMIFS(PURCHASE!$N$6:$N$10008,PURCHASE!$A$6:$A$10008,$AQ$2,PURCHASE!$H$6:$H$10008,$A$4:$A$2700)</f>
        <v>0</v>
      </c>
      <c r="AV42" s="512">
        <f t="shared" si="20"/>
        <v>0</v>
      </c>
      <c r="AW42" s="512">
        <f>SUMIFS(PURCHASE!$K$6:$K$10008,PURCHASE!$A$6:$A$10008,$AV$2,PURCHASE!$H$6:$H$10008,$A$4:$A$2700)</f>
        <v>0</v>
      </c>
      <c r="AX42" s="512">
        <f>SUMIFS(PURCHASE!$L$6:$L$10008,PURCHASE!$A$6:$A$10008,$AV$2,PURCHASE!$H$6:$H$10008,$A$4:$A$2700)</f>
        <v>0</v>
      </c>
      <c r="AY42" s="512">
        <f>SUMIFS(PURCHASE!$M$6:$M$10008,PURCHASE!$A$6:$A$10008,$AV$2,PURCHASE!$H$6:$H$10008,$A$4:$A$2700)</f>
        <v>0</v>
      </c>
      <c r="AZ42" s="512">
        <f>SUMIFS(PURCHASE!$N$6:$N$10008,PURCHASE!$A$6:$A$10008,$AV$2,PURCHASE!$H$6:$H$10008,$A$4:$A$2700)</f>
        <v>0</v>
      </c>
      <c r="BA42" s="512">
        <f t="shared" si="21"/>
        <v>0</v>
      </c>
      <c r="BB42" s="512">
        <f>SUMIFS(PURCHASE!$K$6:$K$10008,PURCHASE!$A$6:$A$10008,$BA$2,PURCHASE!$H$6:$H$10008,$A$4:$A$2700)</f>
        <v>0</v>
      </c>
      <c r="BC42" s="512">
        <f>SUMIFS(PURCHASE!$L$6:$L$10008,PURCHASE!$A$6:$A$10008,$BA$2,PURCHASE!$H$6:$H$10008,$A$4:$A$2700)</f>
        <v>0</v>
      </c>
      <c r="BD42" s="512">
        <f>SUMIFS(PURCHASE!$M$6:$M$10008,PURCHASE!$A$6:$A$10008,$BA$2,PURCHASE!$H$6:$H$10008,$A$4:$A$2700)</f>
        <v>0</v>
      </c>
      <c r="BE42" s="512">
        <f>SUMIFS(PURCHASE!$N$6:$N$10008,PURCHASE!$A$6:$A$10008,$BA$2,PURCHASE!$H$6:$H$10008,$A$4:$A$2700)</f>
        <v>0</v>
      </c>
      <c r="BF42" s="512">
        <f t="shared" si="22"/>
        <v>0</v>
      </c>
      <c r="BG42" s="512">
        <f>SUMIFS(PURCHASE!$K$6:$K$10008,PURCHASE!$A$6:$A$10008,$BF$2,PURCHASE!$H$6:$H$10008,$A$4:$A$2700)</f>
        <v>0</v>
      </c>
      <c r="BH42" s="512">
        <f>SUMIFS(PURCHASE!$L$6:$L$10008,PURCHASE!$A$6:$A$10008,$BF$2,PURCHASE!$H$6:$H$10008,$A$4:$A$2700)</f>
        <v>0</v>
      </c>
      <c r="BI42" s="512">
        <f>SUMIFS(PURCHASE!$M$6:$M$10008,PURCHASE!$A$6:$A$10008,$BF$2,PURCHASE!$H$6:$H$10008,$A$4:$A$2700)</f>
        <v>0</v>
      </c>
      <c r="BJ42" s="512">
        <f>SUMIFS(PURCHASE!$N$6:$N$10008,PURCHASE!$A$6:$A$10008,$BF$2,PURCHASE!$H$6:$H$10008,$A$4:$A$2700)</f>
        <v>0</v>
      </c>
      <c r="BK42" s="72">
        <f t="shared" si="6"/>
        <v>153.4</v>
      </c>
      <c r="BL42" s="72">
        <f t="shared" si="7"/>
        <v>130</v>
      </c>
      <c r="BM42" s="72">
        <f t="shared" si="8"/>
        <v>0</v>
      </c>
      <c r="BN42" s="72">
        <f t="shared" si="9"/>
        <v>11.700000000000001</v>
      </c>
      <c r="BO42" s="72">
        <f t="shared" si="10"/>
        <v>11.700000000000001</v>
      </c>
    </row>
    <row r="43" spans="1:67" x14ac:dyDescent="0.2">
      <c r="A43" s="511">
        <v>8203</v>
      </c>
      <c r="B43" s="467" t="s">
        <v>1216</v>
      </c>
      <c r="C43" s="512">
        <f t="shared" si="11"/>
        <v>0</v>
      </c>
      <c r="D43" s="512">
        <f>SUMIFS(PURCHASE!$K$6:$K$10008,PURCHASE!$A$6:$A$10008,$M$2,PURCHASE!$H$6:$H$10008,$A$4:$A$2700)</f>
        <v>0</v>
      </c>
      <c r="E43" s="512">
        <f>SUMIFS(PURCHASE!$L$6:$L$10008,PURCHASE!$A$6:$A$10008,$M$2,PURCHASE!$H$6:$H$10008,$A$4:$A$2700)</f>
        <v>0</v>
      </c>
      <c r="F43" s="512">
        <f>SUMIFS(PURCHASE!$M$6:$M$10008,PURCHASE!$A$6:$A$10008,$M$2,PURCHASE!$H$6:$H$10008,$A$4:$A$2700)</f>
        <v>0</v>
      </c>
      <c r="G43" s="512">
        <f>SUMIFS(PURCHASE!$N$6:$N$10008,PURCHASE!$A$6:$A$10008,$M$2,PURCHASE!$H$6:$H$10008,$A$4:$A$2700)</f>
        <v>0</v>
      </c>
      <c r="H43" s="512">
        <f t="shared" si="12"/>
        <v>240.97959999999998</v>
      </c>
      <c r="I43" s="512">
        <f>SUMIFS(PURCHASE!$K$6:$K$10008,PURCHASE!$A$6:$A$10008,$H$2,PURCHASE!$H$6:$H$10008,$A$4:$A$2700)</f>
        <v>204.22</v>
      </c>
      <c r="J43" s="512">
        <f>SUMIFS(PURCHASE!$L$6:$L$10008,PURCHASE!$A$6:$A$10008,$H$2,PURCHASE!$H$6:$H$10008,$A$4:$A$2700)</f>
        <v>0</v>
      </c>
      <c r="K43" s="512">
        <f>SUMIFS(PURCHASE!$M$6:$M$10008,PURCHASE!$A$6:$A$10008,$H$2,PURCHASE!$H$6:$H$10008,$A$4:$A$2700)</f>
        <v>18.379799999999999</v>
      </c>
      <c r="L43" s="512">
        <f>SUMIFS(PURCHASE!$N$6:$N$10008,PURCHASE!$A$6:$A$10008,$H$2,PURCHASE!$H$6:$H$10008,$A$4:$A$2700)</f>
        <v>18.379799999999999</v>
      </c>
      <c r="M43" s="512">
        <f t="shared" si="13"/>
        <v>0</v>
      </c>
      <c r="N43" s="512">
        <f>SUMIFS(PURCHASE!$K$6:$K$10008,PURCHASE!$A$6:$A$10008,$M$2,PURCHASE!$H$6:$H$10008,$A$4:$A$2700)</f>
        <v>0</v>
      </c>
      <c r="O43" s="512">
        <f>SUMIFS(PURCHASE!$L$6:$L$10008,PURCHASE!$A$6:$A$10008,$M$2,PURCHASE!$H$6:$H$10008,$A$4:$A$2700)</f>
        <v>0</v>
      </c>
      <c r="P43" s="512">
        <f>SUMIFS(PURCHASE!$M$6:$M$10008,PURCHASE!$A$6:$A$10008,$M$2,PURCHASE!$H$6:$H$10008,$A$4:$A$2700)</f>
        <v>0</v>
      </c>
      <c r="Q43" s="512">
        <f>SUMIFS(PURCHASE!$N$6:$N$10008,PURCHASE!$A$6:$A$10008,$M$2,PURCHASE!$H$6:$H$10008,$A$4:$A$2700)</f>
        <v>0</v>
      </c>
      <c r="R43" s="512">
        <f t="shared" si="14"/>
        <v>0</v>
      </c>
      <c r="S43" s="512">
        <f>SUMIFS(PURCHASE!$K$6:$K$10008,PURCHASE!$A$6:$A$10008,$R$2,PURCHASE!$H$6:$H$10008,$A$4:$A$2700)</f>
        <v>0</v>
      </c>
      <c r="T43" s="512">
        <f>SUMIFS(PURCHASE!$L$6:$L$10008,PURCHASE!$A$6:$A$10008,$R$2,PURCHASE!$H$6:$H$10008,$A$4:$A$2700)</f>
        <v>0</v>
      </c>
      <c r="U43" s="512">
        <f>SUMIFS(PURCHASE!$M$6:$M$10008,PURCHASE!$A$6:$A$10008,$R$2,PURCHASE!$H$6:$H$10008,$A$4:$A$2700)</f>
        <v>0</v>
      </c>
      <c r="V43" s="512">
        <f>SUMIFS(PURCHASE!$N$6:$N$10008,PURCHASE!$A$6:$A$10008,$R$2,PURCHASE!$H$6:$H$10008,$A$4:$A$2700)</f>
        <v>0</v>
      </c>
      <c r="W43" s="512">
        <f t="shared" si="15"/>
        <v>0</v>
      </c>
      <c r="X43" s="512">
        <f>SUMIFS(PURCHASE!$K$6:$K$10008,PURCHASE!$A$6:$A$10008,$W$2,PURCHASE!$H$6:$H$10008,$A$4:$A$2700)</f>
        <v>0</v>
      </c>
      <c r="Y43" s="512">
        <f>SUMIFS(PURCHASE!$L$6:$L$10008,PURCHASE!$A$6:$A$10008,$W$2,PURCHASE!$H$6:$H$10008,$A$4:$A$2700)</f>
        <v>0</v>
      </c>
      <c r="Z43" s="512">
        <f>SUMIFS(PURCHASE!$M$6:$M$10008,PURCHASE!$A$6:$A$10008,$W$2,PURCHASE!$H$6:$H$10008,$A$4:$A$2700)</f>
        <v>0</v>
      </c>
      <c r="AA43" s="512">
        <f>SUMIFS(PURCHASE!$N$6:$N$10008,PURCHASE!$A$6:$A$10008,$W$2,PURCHASE!$H$6:$H$10008,$A$4:$A$2700)</f>
        <v>0</v>
      </c>
      <c r="AB43" s="512">
        <f t="shared" si="16"/>
        <v>129.80000000000001</v>
      </c>
      <c r="AC43" s="512">
        <f>SUMIFS(PURCHASE!$K$6:$K$10008,PURCHASE!$A$6:$A$10008,$AB$2,PURCHASE!$H$6:$H$10008,$A$4:$A$2700)</f>
        <v>110</v>
      </c>
      <c r="AD43" s="512">
        <f>SUMIFS(PURCHASE!$L$6:$L$10008,PURCHASE!$A$6:$A$10008,$AB$2,PURCHASE!$H$6:$H$10008,$A$4:$A$2700)</f>
        <v>0</v>
      </c>
      <c r="AE43" s="512">
        <f>SUMIFS(PURCHASE!$M$6:$M$10008,PURCHASE!$A$6:$A$10008,$AB$2,PURCHASE!$H$6:$H$10008,$A$4:$A$2700)</f>
        <v>9.9</v>
      </c>
      <c r="AF43" s="512">
        <f>SUMIFS(PURCHASE!$N$6:$N$10008,PURCHASE!$A$6:$A$10008,$AB$2,PURCHASE!$H$6:$H$10008,$A$4:$A$2700)</f>
        <v>9.9</v>
      </c>
      <c r="AG43" s="512">
        <f t="shared" si="17"/>
        <v>0</v>
      </c>
      <c r="AH43" s="512">
        <f>SUMIFS(PURCHASE!$K$6:$K$10008,PURCHASE!$A$6:$A$10008,$AG$2,PURCHASE!$H$6:$H$10008,$A$4:$A$2700)</f>
        <v>0</v>
      </c>
      <c r="AI43" s="512">
        <f>SUMIFS(PURCHASE!$L$6:$L$10008,PURCHASE!$A$6:$A$10008,$AG$2,PURCHASE!$H$6:$H$10008,$A$4:$A$2700)</f>
        <v>0</v>
      </c>
      <c r="AJ43" s="512">
        <f>SUMIFS(PURCHASE!$M$6:$M$10008,PURCHASE!$A$6:$A$10008,$AG$2,PURCHASE!$H$6:$H$10008,$A$4:$A$2700)</f>
        <v>0</v>
      </c>
      <c r="AK43" s="512">
        <f>SUMIFS(PURCHASE!$N$6:$N$10008,PURCHASE!$A$6:$A$10008,$AG$2,PURCHASE!$H$6:$H$10008,$A$4:$A$2700)</f>
        <v>0</v>
      </c>
      <c r="AL43" s="512">
        <f t="shared" si="18"/>
        <v>295.9794</v>
      </c>
      <c r="AM43" s="512">
        <f>SUMIFS(PURCHASE!$K$6:$K$10008,PURCHASE!$A$6:$A$10008,$AL$2,PURCHASE!$H$6:$H$10008,$A$4:$A$2700)</f>
        <v>250.83</v>
      </c>
      <c r="AN43" s="512">
        <f>SUMIFS(PURCHASE!$L$6:$L$10008,PURCHASE!$A$6:$A$10008,$AL$2,PURCHASE!$H$6:$H$10008,$A$4:$A$2700)</f>
        <v>0</v>
      </c>
      <c r="AO43" s="512">
        <f>SUMIFS(PURCHASE!$M$6:$M$10008,PURCHASE!$A$6:$A$10008,$AL$2,PURCHASE!$H$6:$H$10008,$A$4:$A$2700)</f>
        <v>22.5747</v>
      </c>
      <c r="AP43" s="512">
        <f>SUMIFS(PURCHASE!$N$6:$N$10008,PURCHASE!$A$6:$A$10008,$AL$2,PURCHASE!$H$6:$H$10008,$A$4:$A$2700)</f>
        <v>22.5747</v>
      </c>
      <c r="AQ43" s="512">
        <f t="shared" si="19"/>
        <v>0</v>
      </c>
      <c r="AR43" s="512">
        <f>SUMIFS(PURCHASE!$K$6:$K$10008,PURCHASE!$A$6:$A$10008,$AQ$2,PURCHASE!$H$6:$H$10008,$A$4:$A$2700)</f>
        <v>0</v>
      </c>
      <c r="AS43" s="512">
        <f>SUMIFS(PURCHASE!$L$6:$L$10008,PURCHASE!$A$6:$A$10008,$AQ$2,PURCHASE!$H$6:$H$10008,$A$4:$A$2700)</f>
        <v>0</v>
      </c>
      <c r="AT43" s="512">
        <f>SUMIFS(PURCHASE!$M$6:$M$10008,PURCHASE!$A$6:$A$10008,$AQ$2,PURCHASE!$H$6:$H$10008,$A$4:$A$2700)</f>
        <v>0</v>
      </c>
      <c r="AU43" s="512">
        <f>SUMIFS(PURCHASE!$N$6:$N$10008,PURCHASE!$A$6:$A$10008,$AQ$2,PURCHASE!$H$6:$H$10008,$A$4:$A$2700)</f>
        <v>0</v>
      </c>
      <c r="AV43" s="512">
        <f t="shared" si="20"/>
        <v>0</v>
      </c>
      <c r="AW43" s="512">
        <f>SUMIFS(PURCHASE!$K$6:$K$10008,PURCHASE!$A$6:$A$10008,$AV$2,PURCHASE!$H$6:$H$10008,$A$4:$A$2700)</f>
        <v>0</v>
      </c>
      <c r="AX43" s="512">
        <f>SUMIFS(PURCHASE!$L$6:$L$10008,PURCHASE!$A$6:$A$10008,$AV$2,PURCHASE!$H$6:$H$10008,$A$4:$A$2700)</f>
        <v>0</v>
      </c>
      <c r="AY43" s="512">
        <f>SUMIFS(PURCHASE!$M$6:$M$10008,PURCHASE!$A$6:$A$10008,$AV$2,PURCHASE!$H$6:$H$10008,$A$4:$A$2700)</f>
        <v>0</v>
      </c>
      <c r="AZ43" s="512">
        <f>SUMIFS(PURCHASE!$N$6:$N$10008,PURCHASE!$A$6:$A$10008,$AV$2,PURCHASE!$H$6:$H$10008,$A$4:$A$2700)</f>
        <v>0</v>
      </c>
      <c r="BA43" s="512">
        <f t="shared" si="21"/>
        <v>0</v>
      </c>
      <c r="BB43" s="512">
        <f>SUMIFS(PURCHASE!$K$6:$K$10008,PURCHASE!$A$6:$A$10008,$BA$2,PURCHASE!$H$6:$H$10008,$A$4:$A$2700)</f>
        <v>0</v>
      </c>
      <c r="BC43" s="512">
        <f>SUMIFS(PURCHASE!$L$6:$L$10008,PURCHASE!$A$6:$A$10008,$BA$2,PURCHASE!$H$6:$H$10008,$A$4:$A$2700)</f>
        <v>0</v>
      </c>
      <c r="BD43" s="512">
        <f>SUMIFS(PURCHASE!$M$6:$M$10008,PURCHASE!$A$6:$A$10008,$BA$2,PURCHASE!$H$6:$H$10008,$A$4:$A$2700)</f>
        <v>0</v>
      </c>
      <c r="BE43" s="512">
        <f>SUMIFS(PURCHASE!$N$6:$N$10008,PURCHASE!$A$6:$A$10008,$BA$2,PURCHASE!$H$6:$H$10008,$A$4:$A$2700)</f>
        <v>0</v>
      </c>
      <c r="BF43" s="512">
        <f t="shared" si="22"/>
        <v>0</v>
      </c>
      <c r="BG43" s="512">
        <f>SUMIFS(PURCHASE!$K$6:$K$10008,PURCHASE!$A$6:$A$10008,$BF$2,PURCHASE!$H$6:$H$10008,$A$4:$A$2700)</f>
        <v>0</v>
      </c>
      <c r="BH43" s="512">
        <f>SUMIFS(PURCHASE!$L$6:$L$10008,PURCHASE!$A$6:$A$10008,$BF$2,PURCHASE!$H$6:$H$10008,$A$4:$A$2700)</f>
        <v>0</v>
      </c>
      <c r="BI43" s="512">
        <f>SUMIFS(PURCHASE!$M$6:$M$10008,PURCHASE!$A$6:$A$10008,$BF$2,PURCHASE!$H$6:$H$10008,$A$4:$A$2700)</f>
        <v>0</v>
      </c>
      <c r="BJ43" s="512">
        <f>SUMIFS(PURCHASE!$N$6:$N$10008,PURCHASE!$A$6:$A$10008,$BF$2,PURCHASE!$H$6:$H$10008,$A$4:$A$2700)</f>
        <v>0</v>
      </c>
      <c r="BK43" s="72">
        <f t="shared" si="6"/>
        <v>666.75900000000001</v>
      </c>
      <c r="BL43" s="72">
        <f t="shared" si="7"/>
        <v>565.05000000000007</v>
      </c>
      <c r="BM43" s="72">
        <f t="shared" si="8"/>
        <v>0</v>
      </c>
      <c r="BN43" s="72">
        <f t="shared" si="9"/>
        <v>50.854500000000002</v>
      </c>
      <c r="BO43" s="72">
        <f t="shared" si="10"/>
        <v>50.854500000000002</v>
      </c>
    </row>
    <row r="44" spans="1:67" x14ac:dyDescent="0.2">
      <c r="A44" s="509">
        <v>8204</v>
      </c>
      <c r="B44" s="467" t="s">
        <v>1216</v>
      </c>
      <c r="C44" s="512">
        <f t="shared" si="11"/>
        <v>0</v>
      </c>
      <c r="D44" s="512">
        <f>SUMIFS(PURCHASE!$K$6:$K$10008,PURCHASE!$A$6:$A$10008,$M$2,PURCHASE!$H$6:$H$10008,$A$4:$A$2700)</f>
        <v>0</v>
      </c>
      <c r="E44" s="512">
        <f>SUMIFS(PURCHASE!$L$6:$L$10008,PURCHASE!$A$6:$A$10008,$M$2,PURCHASE!$H$6:$H$10008,$A$4:$A$2700)</f>
        <v>0</v>
      </c>
      <c r="F44" s="512">
        <f>SUMIFS(PURCHASE!$M$6:$M$10008,PURCHASE!$A$6:$A$10008,$M$2,PURCHASE!$H$6:$H$10008,$A$4:$A$2700)</f>
        <v>0</v>
      </c>
      <c r="G44" s="512">
        <f>SUMIFS(PURCHASE!$N$6:$N$10008,PURCHASE!$A$6:$A$10008,$M$2,PURCHASE!$H$6:$H$10008,$A$4:$A$2700)</f>
        <v>0</v>
      </c>
      <c r="H44" s="512">
        <f t="shared" si="12"/>
        <v>0</v>
      </c>
      <c r="I44" s="512">
        <f>SUMIFS(PURCHASE!$K$6:$K$10008,PURCHASE!$A$6:$A$10008,$H$2,PURCHASE!$H$6:$H$10008,$A$4:$A$2700)</f>
        <v>0</v>
      </c>
      <c r="J44" s="512">
        <f>SUMIFS(PURCHASE!$L$6:$L$10008,PURCHASE!$A$6:$A$10008,$H$2,PURCHASE!$H$6:$H$10008,$A$4:$A$2700)</f>
        <v>0</v>
      </c>
      <c r="K44" s="512">
        <f>SUMIFS(PURCHASE!$M$6:$M$10008,PURCHASE!$A$6:$A$10008,$H$2,PURCHASE!$H$6:$H$10008,$A$4:$A$2700)</f>
        <v>0</v>
      </c>
      <c r="L44" s="512">
        <f>SUMIFS(PURCHASE!$N$6:$N$10008,PURCHASE!$A$6:$A$10008,$H$2,PURCHASE!$H$6:$H$10008,$A$4:$A$2700)</f>
        <v>0</v>
      </c>
      <c r="M44" s="512">
        <f t="shared" si="13"/>
        <v>0</v>
      </c>
      <c r="N44" s="512">
        <f>SUMIFS(PURCHASE!$K$6:$K$10008,PURCHASE!$A$6:$A$10008,$M$2,PURCHASE!$H$6:$H$10008,$A$4:$A$2700)</f>
        <v>0</v>
      </c>
      <c r="O44" s="512">
        <f>SUMIFS(PURCHASE!$L$6:$L$10008,PURCHASE!$A$6:$A$10008,$M$2,PURCHASE!$H$6:$H$10008,$A$4:$A$2700)</f>
        <v>0</v>
      </c>
      <c r="P44" s="512">
        <f>SUMIFS(PURCHASE!$M$6:$M$10008,PURCHASE!$A$6:$A$10008,$M$2,PURCHASE!$H$6:$H$10008,$A$4:$A$2700)</f>
        <v>0</v>
      </c>
      <c r="Q44" s="512">
        <f>SUMIFS(PURCHASE!$N$6:$N$10008,PURCHASE!$A$6:$A$10008,$M$2,PURCHASE!$H$6:$H$10008,$A$4:$A$2700)</f>
        <v>0</v>
      </c>
      <c r="R44" s="512">
        <f t="shared" si="14"/>
        <v>0</v>
      </c>
      <c r="S44" s="512">
        <f>SUMIFS(PURCHASE!$K$6:$K$10008,PURCHASE!$A$6:$A$10008,$R$2,PURCHASE!$H$6:$H$10008,$A$4:$A$2700)</f>
        <v>0</v>
      </c>
      <c r="T44" s="512">
        <f>SUMIFS(PURCHASE!$L$6:$L$10008,PURCHASE!$A$6:$A$10008,$R$2,PURCHASE!$H$6:$H$10008,$A$4:$A$2700)</f>
        <v>0</v>
      </c>
      <c r="U44" s="512">
        <f>SUMIFS(PURCHASE!$M$6:$M$10008,PURCHASE!$A$6:$A$10008,$R$2,PURCHASE!$H$6:$H$10008,$A$4:$A$2700)</f>
        <v>0</v>
      </c>
      <c r="V44" s="512">
        <f>SUMIFS(PURCHASE!$N$6:$N$10008,PURCHASE!$A$6:$A$10008,$R$2,PURCHASE!$H$6:$H$10008,$A$4:$A$2700)</f>
        <v>0</v>
      </c>
      <c r="W44" s="512">
        <f t="shared" si="15"/>
        <v>0</v>
      </c>
      <c r="X44" s="512">
        <f>SUMIFS(PURCHASE!$K$6:$K$10008,PURCHASE!$A$6:$A$10008,$W$2,PURCHASE!$H$6:$H$10008,$A$4:$A$2700)</f>
        <v>0</v>
      </c>
      <c r="Y44" s="512">
        <f>SUMIFS(PURCHASE!$L$6:$L$10008,PURCHASE!$A$6:$A$10008,$W$2,PURCHASE!$H$6:$H$10008,$A$4:$A$2700)</f>
        <v>0</v>
      </c>
      <c r="Z44" s="512">
        <f>SUMIFS(PURCHASE!$M$6:$M$10008,PURCHASE!$A$6:$A$10008,$W$2,PURCHASE!$H$6:$H$10008,$A$4:$A$2700)</f>
        <v>0</v>
      </c>
      <c r="AA44" s="512">
        <f>SUMIFS(PURCHASE!$N$6:$N$10008,PURCHASE!$A$6:$A$10008,$W$2,PURCHASE!$H$6:$H$10008,$A$4:$A$2700)</f>
        <v>0</v>
      </c>
      <c r="AB44" s="512">
        <f t="shared" si="16"/>
        <v>506.57400000000001</v>
      </c>
      <c r="AC44" s="512">
        <f>SUMIFS(PURCHASE!$K$6:$K$10008,PURCHASE!$A$6:$A$10008,$AB$2,PURCHASE!$H$6:$H$10008,$A$4:$A$2700)</f>
        <v>429.3</v>
      </c>
      <c r="AD44" s="512">
        <f>SUMIFS(PURCHASE!$L$6:$L$10008,PURCHASE!$A$6:$A$10008,$AB$2,PURCHASE!$H$6:$H$10008,$A$4:$A$2700)</f>
        <v>0</v>
      </c>
      <c r="AE44" s="512">
        <f>SUMIFS(PURCHASE!$M$6:$M$10008,PURCHASE!$A$6:$A$10008,$AB$2,PURCHASE!$H$6:$H$10008,$A$4:$A$2700)</f>
        <v>38.637</v>
      </c>
      <c r="AF44" s="512">
        <f>SUMIFS(PURCHASE!$N$6:$N$10008,PURCHASE!$A$6:$A$10008,$AB$2,PURCHASE!$H$6:$H$10008,$A$4:$A$2700)</f>
        <v>38.637</v>
      </c>
      <c r="AG44" s="512">
        <f t="shared" si="17"/>
        <v>0</v>
      </c>
      <c r="AH44" s="512">
        <f>SUMIFS(PURCHASE!$K$6:$K$10008,PURCHASE!$A$6:$A$10008,$AG$2,PURCHASE!$H$6:$H$10008,$A$4:$A$2700)</f>
        <v>0</v>
      </c>
      <c r="AI44" s="512">
        <f>SUMIFS(PURCHASE!$L$6:$L$10008,PURCHASE!$A$6:$A$10008,$AG$2,PURCHASE!$H$6:$H$10008,$A$4:$A$2700)</f>
        <v>0</v>
      </c>
      <c r="AJ44" s="512">
        <f>SUMIFS(PURCHASE!$M$6:$M$10008,PURCHASE!$A$6:$A$10008,$AG$2,PURCHASE!$H$6:$H$10008,$A$4:$A$2700)</f>
        <v>0</v>
      </c>
      <c r="AK44" s="512">
        <f>SUMIFS(PURCHASE!$N$6:$N$10008,PURCHASE!$A$6:$A$10008,$AG$2,PURCHASE!$H$6:$H$10008,$A$4:$A$2700)</f>
        <v>0</v>
      </c>
      <c r="AL44" s="512">
        <f t="shared" si="18"/>
        <v>0</v>
      </c>
      <c r="AM44" s="512">
        <f>SUMIFS(PURCHASE!$K$6:$K$10008,PURCHASE!$A$6:$A$10008,$AL$2,PURCHASE!$H$6:$H$10008,$A$4:$A$2700)</f>
        <v>0</v>
      </c>
      <c r="AN44" s="512">
        <f>SUMIFS(PURCHASE!$L$6:$L$10008,PURCHASE!$A$6:$A$10008,$AL$2,PURCHASE!$H$6:$H$10008,$A$4:$A$2700)</f>
        <v>0</v>
      </c>
      <c r="AO44" s="512">
        <f>SUMIFS(PURCHASE!$M$6:$M$10008,PURCHASE!$A$6:$A$10008,$AL$2,PURCHASE!$H$6:$H$10008,$A$4:$A$2700)</f>
        <v>0</v>
      </c>
      <c r="AP44" s="512">
        <f>SUMIFS(PURCHASE!$N$6:$N$10008,PURCHASE!$A$6:$A$10008,$AL$2,PURCHASE!$H$6:$H$10008,$A$4:$A$2700)</f>
        <v>0</v>
      </c>
      <c r="AQ44" s="512">
        <f t="shared" si="19"/>
        <v>1094.096</v>
      </c>
      <c r="AR44" s="512">
        <f>SUMIFS(PURCHASE!$K$6:$K$10008,PURCHASE!$A$6:$A$10008,$AQ$2,PURCHASE!$H$6:$H$10008,$A$4:$A$2700)</f>
        <v>927.2</v>
      </c>
      <c r="AS44" s="512">
        <f>SUMIFS(PURCHASE!$L$6:$L$10008,PURCHASE!$A$6:$A$10008,$AQ$2,PURCHASE!$H$6:$H$10008,$A$4:$A$2700)</f>
        <v>0</v>
      </c>
      <c r="AT44" s="512">
        <f>SUMIFS(PURCHASE!$M$6:$M$10008,PURCHASE!$A$6:$A$10008,$AQ$2,PURCHASE!$H$6:$H$10008,$A$4:$A$2700)</f>
        <v>83.448000000000008</v>
      </c>
      <c r="AU44" s="512">
        <f>SUMIFS(PURCHASE!$N$6:$N$10008,PURCHASE!$A$6:$A$10008,$AQ$2,PURCHASE!$H$6:$H$10008,$A$4:$A$2700)</f>
        <v>83.448000000000008</v>
      </c>
      <c r="AV44" s="512">
        <f t="shared" si="20"/>
        <v>0</v>
      </c>
      <c r="AW44" s="512">
        <f>SUMIFS(PURCHASE!$K$6:$K$10008,PURCHASE!$A$6:$A$10008,$AV$2,PURCHASE!$H$6:$H$10008,$A$4:$A$2700)</f>
        <v>0</v>
      </c>
      <c r="AX44" s="512">
        <f>SUMIFS(PURCHASE!$L$6:$L$10008,PURCHASE!$A$6:$A$10008,$AV$2,PURCHASE!$H$6:$H$10008,$A$4:$A$2700)</f>
        <v>0</v>
      </c>
      <c r="AY44" s="512">
        <f>SUMIFS(PURCHASE!$M$6:$M$10008,PURCHASE!$A$6:$A$10008,$AV$2,PURCHASE!$H$6:$H$10008,$A$4:$A$2700)</f>
        <v>0</v>
      </c>
      <c r="AZ44" s="512">
        <f>SUMIFS(PURCHASE!$N$6:$N$10008,PURCHASE!$A$6:$A$10008,$AV$2,PURCHASE!$H$6:$H$10008,$A$4:$A$2700)</f>
        <v>0</v>
      </c>
      <c r="BA44" s="512">
        <f t="shared" si="21"/>
        <v>0</v>
      </c>
      <c r="BB44" s="512">
        <f>SUMIFS(PURCHASE!$K$6:$K$10008,PURCHASE!$A$6:$A$10008,$BA$2,PURCHASE!$H$6:$H$10008,$A$4:$A$2700)</f>
        <v>0</v>
      </c>
      <c r="BC44" s="512">
        <f>SUMIFS(PURCHASE!$L$6:$L$10008,PURCHASE!$A$6:$A$10008,$BA$2,PURCHASE!$H$6:$H$10008,$A$4:$A$2700)</f>
        <v>0</v>
      </c>
      <c r="BD44" s="512">
        <f>SUMIFS(PURCHASE!$M$6:$M$10008,PURCHASE!$A$6:$A$10008,$BA$2,PURCHASE!$H$6:$H$10008,$A$4:$A$2700)</f>
        <v>0</v>
      </c>
      <c r="BE44" s="512">
        <f>SUMIFS(PURCHASE!$N$6:$N$10008,PURCHASE!$A$6:$A$10008,$BA$2,PURCHASE!$H$6:$H$10008,$A$4:$A$2700)</f>
        <v>0</v>
      </c>
      <c r="BF44" s="512">
        <f t="shared" si="22"/>
        <v>0</v>
      </c>
      <c r="BG44" s="512">
        <f>SUMIFS(PURCHASE!$K$6:$K$10008,PURCHASE!$A$6:$A$10008,$BF$2,PURCHASE!$H$6:$H$10008,$A$4:$A$2700)</f>
        <v>0</v>
      </c>
      <c r="BH44" s="512">
        <f>SUMIFS(PURCHASE!$L$6:$L$10008,PURCHASE!$A$6:$A$10008,$BF$2,PURCHASE!$H$6:$H$10008,$A$4:$A$2700)</f>
        <v>0</v>
      </c>
      <c r="BI44" s="512">
        <f>SUMIFS(PURCHASE!$M$6:$M$10008,PURCHASE!$A$6:$A$10008,$BF$2,PURCHASE!$H$6:$H$10008,$A$4:$A$2700)</f>
        <v>0</v>
      </c>
      <c r="BJ44" s="512">
        <f>SUMIFS(PURCHASE!$N$6:$N$10008,PURCHASE!$A$6:$A$10008,$BF$2,PURCHASE!$H$6:$H$10008,$A$4:$A$2700)</f>
        <v>0</v>
      </c>
      <c r="BK44" s="72">
        <f t="shared" si="6"/>
        <v>1600.67</v>
      </c>
      <c r="BL44" s="72">
        <f t="shared" si="7"/>
        <v>1356.5</v>
      </c>
      <c r="BM44" s="72">
        <f t="shared" si="8"/>
        <v>0</v>
      </c>
      <c r="BN44" s="72">
        <f t="shared" si="9"/>
        <v>122.08500000000001</v>
      </c>
      <c r="BO44" s="72">
        <f t="shared" si="10"/>
        <v>122.08500000000001</v>
      </c>
    </row>
    <row r="45" spans="1:67" x14ac:dyDescent="0.2">
      <c r="A45" s="511">
        <v>8205</v>
      </c>
      <c r="B45" s="467" t="s">
        <v>1217</v>
      </c>
      <c r="C45" s="512">
        <f t="shared" si="11"/>
        <v>70.800000000000011</v>
      </c>
      <c r="D45" s="512">
        <f>SUMIFS(PURCHASE!$K$6:$K$10008,PURCHASE!$A$6:$A$10008,$M$2,PURCHASE!$H$6:$H$10008,$A$4:$A$2700)</f>
        <v>60</v>
      </c>
      <c r="E45" s="512">
        <f>SUMIFS(PURCHASE!$L$6:$L$10008,PURCHASE!$A$6:$A$10008,$M$2,PURCHASE!$H$6:$H$10008,$A$4:$A$2700)</f>
        <v>0</v>
      </c>
      <c r="F45" s="512">
        <f>SUMIFS(PURCHASE!$M$6:$M$10008,PURCHASE!$A$6:$A$10008,$M$2,PURCHASE!$H$6:$H$10008,$A$4:$A$2700)</f>
        <v>5.3999999999999995</v>
      </c>
      <c r="G45" s="512">
        <f>SUMIFS(PURCHASE!$N$6:$N$10008,PURCHASE!$A$6:$A$10008,$M$2,PURCHASE!$H$6:$H$10008,$A$4:$A$2700)</f>
        <v>5.3999999999999995</v>
      </c>
      <c r="H45" s="512">
        <f t="shared" si="12"/>
        <v>89.68</v>
      </c>
      <c r="I45" s="512">
        <f>SUMIFS(PURCHASE!$K$6:$K$10008,PURCHASE!$A$6:$A$10008,$H$2,PURCHASE!$H$6:$H$10008,$A$4:$A$2700)</f>
        <v>76</v>
      </c>
      <c r="J45" s="512">
        <f>SUMIFS(PURCHASE!$L$6:$L$10008,PURCHASE!$A$6:$A$10008,$H$2,PURCHASE!$H$6:$H$10008,$A$4:$A$2700)</f>
        <v>0</v>
      </c>
      <c r="K45" s="512">
        <f>SUMIFS(PURCHASE!$M$6:$M$10008,PURCHASE!$A$6:$A$10008,$H$2,PURCHASE!$H$6:$H$10008,$A$4:$A$2700)</f>
        <v>6.84</v>
      </c>
      <c r="L45" s="512">
        <f>SUMIFS(PURCHASE!$N$6:$N$10008,PURCHASE!$A$6:$A$10008,$H$2,PURCHASE!$H$6:$H$10008,$A$4:$A$2700)</f>
        <v>6.84</v>
      </c>
      <c r="M45" s="512">
        <f t="shared" si="13"/>
        <v>70.800000000000011</v>
      </c>
      <c r="N45" s="512">
        <f>SUMIFS(PURCHASE!$K$6:$K$10008,PURCHASE!$A$6:$A$10008,$M$2,PURCHASE!$H$6:$H$10008,$A$4:$A$2700)</f>
        <v>60</v>
      </c>
      <c r="O45" s="512">
        <f>SUMIFS(PURCHASE!$L$6:$L$10008,PURCHASE!$A$6:$A$10008,$M$2,PURCHASE!$H$6:$H$10008,$A$4:$A$2700)</f>
        <v>0</v>
      </c>
      <c r="P45" s="512">
        <f>SUMIFS(PURCHASE!$M$6:$M$10008,PURCHASE!$A$6:$A$10008,$M$2,PURCHASE!$H$6:$H$10008,$A$4:$A$2700)</f>
        <v>5.3999999999999995</v>
      </c>
      <c r="Q45" s="512">
        <f>SUMIFS(PURCHASE!$N$6:$N$10008,PURCHASE!$A$6:$A$10008,$M$2,PURCHASE!$H$6:$H$10008,$A$4:$A$2700)</f>
        <v>5.3999999999999995</v>
      </c>
      <c r="R45" s="512">
        <f t="shared" si="14"/>
        <v>0</v>
      </c>
      <c r="S45" s="512">
        <f>SUMIFS(PURCHASE!$K$6:$K$10008,PURCHASE!$A$6:$A$10008,$R$2,PURCHASE!$H$6:$H$10008,$A$4:$A$2700)</f>
        <v>0</v>
      </c>
      <c r="T45" s="512">
        <f>SUMIFS(PURCHASE!$L$6:$L$10008,PURCHASE!$A$6:$A$10008,$R$2,PURCHASE!$H$6:$H$10008,$A$4:$A$2700)</f>
        <v>0</v>
      </c>
      <c r="U45" s="512">
        <f>SUMIFS(PURCHASE!$M$6:$M$10008,PURCHASE!$A$6:$A$10008,$R$2,PURCHASE!$H$6:$H$10008,$A$4:$A$2700)</f>
        <v>0</v>
      </c>
      <c r="V45" s="512">
        <f>SUMIFS(PURCHASE!$N$6:$N$10008,PURCHASE!$A$6:$A$10008,$R$2,PURCHASE!$H$6:$H$10008,$A$4:$A$2700)</f>
        <v>0</v>
      </c>
      <c r="W45" s="512">
        <f t="shared" si="15"/>
        <v>0</v>
      </c>
      <c r="X45" s="512">
        <f>SUMIFS(PURCHASE!$K$6:$K$10008,PURCHASE!$A$6:$A$10008,$W$2,PURCHASE!$H$6:$H$10008,$A$4:$A$2700)</f>
        <v>0</v>
      </c>
      <c r="Y45" s="512">
        <f>SUMIFS(PURCHASE!$L$6:$L$10008,PURCHASE!$A$6:$A$10008,$W$2,PURCHASE!$H$6:$H$10008,$A$4:$A$2700)</f>
        <v>0</v>
      </c>
      <c r="Z45" s="512">
        <f>SUMIFS(PURCHASE!$M$6:$M$10008,PURCHASE!$A$6:$A$10008,$W$2,PURCHASE!$H$6:$H$10008,$A$4:$A$2700)</f>
        <v>0</v>
      </c>
      <c r="AA45" s="512">
        <f>SUMIFS(PURCHASE!$N$6:$N$10008,PURCHASE!$A$6:$A$10008,$W$2,PURCHASE!$H$6:$H$10008,$A$4:$A$2700)</f>
        <v>0</v>
      </c>
      <c r="AB45" s="512">
        <f t="shared" si="16"/>
        <v>161.19980000000004</v>
      </c>
      <c r="AC45" s="512">
        <f>SUMIFS(PURCHASE!$K$6:$K$10008,PURCHASE!$A$6:$A$10008,$AB$2,PURCHASE!$H$6:$H$10008,$A$4:$A$2700)</f>
        <v>136.61000000000001</v>
      </c>
      <c r="AD45" s="512">
        <f>SUMIFS(PURCHASE!$L$6:$L$10008,PURCHASE!$A$6:$A$10008,$AB$2,PURCHASE!$H$6:$H$10008,$A$4:$A$2700)</f>
        <v>0</v>
      </c>
      <c r="AE45" s="512">
        <f>SUMIFS(PURCHASE!$M$6:$M$10008,PURCHASE!$A$6:$A$10008,$AB$2,PURCHASE!$H$6:$H$10008,$A$4:$A$2700)</f>
        <v>12.2949</v>
      </c>
      <c r="AF45" s="512">
        <f>SUMIFS(PURCHASE!$N$6:$N$10008,PURCHASE!$A$6:$A$10008,$AB$2,PURCHASE!$H$6:$H$10008,$A$4:$A$2700)</f>
        <v>12.2949</v>
      </c>
      <c r="AG45" s="512">
        <f t="shared" si="17"/>
        <v>0</v>
      </c>
      <c r="AH45" s="512">
        <f>SUMIFS(PURCHASE!$K$6:$K$10008,PURCHASE!$A$6:$A$10008,$AG$2,PURCHASE!$H$6:$H$10008,$A$4:$A$2700)</f>
        <v>0</v>
      </c>
      <c r="AI45" s="512">
        <f>SUMIFS(PURCHASE!$L$6:$L$10008,PURCHASE!$A$6:$A$10008,$AG$2,PURCHASE!$H$6:$H$10008,$A$4:$A$2700)</f>
        <v>0</v>
      </c>
      <c r="AJ45" s="512">
        <f>SUMIFS(PURCHASE!$M$6:$M$10008,PURCHASE!$A$6:$A$10008,$AG$2,PURCHASE!$H$6:$H$10008,$A$4:$A$2700)</f>
        <v>0</v>
      </c>
      <c r="AK45" s="512">
        <f>SUMIFS(PURCHASE!$N$6:$N$10008,PURCHASE!$A$6:$A$10008,$AG$2,PURCHASE!$H$6:$H$10008,$A$4:$A$2700)</f>
        <v>0</v>
      </c>
      <c r="AL45" s="512">
        <f t="shared" si="18"/>
        <v>54.999800000000008</v>
      </c>
      <c r="AM45" s="512">
        <f>SUMIFS(PURCHASE!$K$6:$K$10008,PURCHASE!$A$6:$A$10008,$AL$2,PURCHASE!$H$6:$H$10008,$A$4:$A$2700)</f>
        <v>46.61</v>
      </c>
      <c r="AN45" s="512">
        <f>SUMIFS(PURCHASE!$L$6:$L$10008,PURCHASE!$A$6:$A$10008,$AL$2,PURCHASE!$H$6:$H$10008,$A$4:$A$2700)</f>
        <v>0</v>
      </c>
      <c r="AO45" s="512">
        <f>SUMIFS(PURCHASE!$M$6:$M$10008,PURCHASE!$A$6:$A$10008,$AL$2,PURCHASE!$H$6:$H$10008,$A$4:$A$2700)</f>
        <v>4.1949000000000005</v>
      </c>
      <c r="AP45" s="512">
        <f>SUMIFS(PURCHASE!$N$6:$N$10008,PURCHASE!$A$6:$A$10008,$AL$2,PURCHASE!$H$6:$H$10008,$A$4:$A$2700)</f>
        <v>4.1949000000000005</v>
      </c>
      <c r="AQ45" s="512">
        <f t="shared" si="19"/>
        <v>113.28</v>
      </c>
      <c r="AR45" s="512">
        <f>SUMIFS(PURCHASE!$K$6:$K$10008,PURCHASE!$A$6:$A$10008,$AQ$2,PURCHASE!$H$6:$H$10008,$A$4:$A$2700)</f>
        <v>96</v>
      </c>
      <c r="AS45" s="512">
        <f>SUMIFS(PURCHASE!$L$6:$L$10008,PURCHASE!$A$6:$A$10008,$AQ$2,PURCHASE!$H$6:$H$10008,$A$4:$A$2700)</f>
        <v>0</v>
      </c>
      <c r="AT45" s="512">
        <f>SUMIFS(PURCHASE!$M$6:$M$10008,PURCHASE!$A$6:$A$10008,$AQ$2,PURCHASE!$H$6:$H$10008,$A$4:$A$2700)</f>
        <v>8.64</v>
      </c>
      <c r="AU45" s="512">
        <f>SUMIFS(PURCHASE!$N$6:$N$10008,PURCHASE!$A$6:$A$10008,$AQ$2,PURCHASE!$H$6:$H$10008,$A$4:$A$2700)</f>
        <v>8.64</v>
      </c>
      <c r="AV45" s="512">
        <f t="shared" si="20"/>
        <v>0</v>
      </c>
      <c r="AW45" s="512">
        <f>SUMIFS(PURCHASE!$K$6:$K$10008,PURCHASE!$A$6:$A$10008,$AV$2,PURCHASE!$H$6:$H$10008,$A$4:$A$2700)</f>
        <v>0</v>
      </c>
      <c r="AX45" s="512">
        <f>SUMIFS(PURCHASE!$L$6:$L$10008,PURCHASE!$A$6:$A$10008,$AV$2,PURCHASE!$H$6:$H$10008,$A$4:$A$2700)</f>
        <v>0</v>
      </c>
      <c r="AY45" s="512">
        <f>SUMIFS(PURCHASE!$M$6:$M$10008,PURCHASE!$A$6:$A$10008,$AV$2,PURCHASE!$H$6:$H$10008,$A$4:$A$2700)</f>
        <v>0</v>
      </c>
      <c r="AZ45" s="512">
        <f>SUMIFS(PURCHASE!$N$6:$N$10008,PURCHASE!$A$6:$A$10008,$AV$2,PURCHASE!$H$6:$H$10008,$A$4:$A$2700)</f>
        <v>0</v>
      </c>
      <c r="BA45" s="512">
        <f t="shared" si="21"/>
        <v>0</v>
      </c>
      <c r="BB45" s="512">
        <f>SUMIFS(PURCHASE!$K$6:$K$10008,PURCHASE!$A$6:$A$10008,$BA$2,PURCHASE!$H$6:$H$10008,$A$4:$A$2700)</f>
        <v>0</v>
      </c>
      <c r="BC45" s="512">
        <f>SUMIFS(PURCHASE!$L$6:$L$10008,PURCHASE!$A$6:$A$10008,$BA$2,PURCHASE!$H$6:$H$10008,$A$4:$A$2700)</f>
        <v>0</v>
      </c>
      <c r="BD45" s="512">
        <f>SUMIFS(PURCHASE!$M$6:$M$10008,PURCHASE!$A$6:$A$10008,$BA$2,PURCHASE!$H$6:$H$10008,$A$4:$A$2700)</f>
        <v>0</v>
      </c>
      <c r="BE45" s="512">
        <f>SUMIFS(PURCHASE!$N$6:$N$10008,PURCHASE!$A$6:$A$10008,$BA$2,PURCHASE!$H$6:$H$10008,$A$4:$A$2700)</f>
        <v>0</v>
      </c>
      <c r="BF45" s="512">
        <f t="shared" si="22"/>
        <v>0</v>
      </c>
      <c r="BG45" s="512">
        <f>SUMIFS(PURCHASE!$K$6:$K$10008,PURCHASE!$A$6:$A$10008,$BF$2,PURCHASE!$H$6:$H$10008,$A$4:$A$2700)</f>
        <v>0</v>
      </c>
      <c r="BH45" s="512">
        <f>SUMIFS(PURCHASE!$L$6:$L$10008,PURCHASE!$A$6:$A$10008,$BF$2,PURCHASE!$H$6:$H$10008,$A$4:$A$2700)</f>
        <v>0</v>
      </c>
      <c r="BI45" s="512">
        <f>SUMIFS(PURCHASE!$M$6:$M$10008,PURCHASE!$A$6:$A$10008,$BF$2,PURCHASE!$H$6:$H$10008,$A$4:$A$2700)</f>
        <v>0</v>
      </c>
      <c r="BJ45" s="512">
        <f>SUMIFS(PURCHASE!$N$6:$N$10008,PURCHASE!$A$6:$A$10008,$BF$2,PURCHASE!$H$6:$H$10008,$A$4:$A$2700)</f>
        <v>0</v>
      </c>
      <c r="BK45" s="72">
        <f t="shared" si="6"/>
        <v>560.75960000000009</v>
      </c>
      <c r="BL45" s="72">
        <f t="shared" si="7"/>
        <v>475.22</v>
      </c>
      <c r="BM45" s="72">
        <f t="shared" si="8"/>
        <v>0</v>
      </c>
      <c r="BN45" s="72">
        <f t="shared" si="9"/>
        <v>42.769800000000004</v>
      </c>
      <c r="BO45" s="72">
        <f t="shared" si="10"/>
        <v>42.769800000000004</v>
      </c>
    </row>
    <row r="46" spans="1:67" x14ac:dyDescent="0.2">
      <c r="A46" s="511">
        <v>8207</v>
      </c>
      <c r="B46" s="467" t="s">
        <v>1218</v>
      </c>
      <c r="C46" s="512">
        <f t="shared" si="11"/>
        <v>853.84800000000007</v>
      </c>
      <c r="D46" s="512">
        <f>SUMIFS(PURCHASE!$K$6:$K$10008,PURCHASE!$A$6:$A$10008,$M$2,PURCHASE!$H$6:$H$10008,$A$4:$A$2700)</f>
        <v>723.6</v>
      </c>
      <c r="E46" s="512">
        <f>SUMIFS(PURCHASE!$L$6:$L$10008,PURCHASE!$A$6:$A$10008,$M$2,PURCHASE!$H$6:$H$10008,$A$4:$A$2700)</f>
        <v>0</v>
      </c>
      <c r="F46" s="512">
        <f>SUMIFS(PURCHASE!$M$6:$M$10008,PURCHASE!$A$6:$A$10008,$M$2,PURCHASE!$H$6:$H$10008,$A$4:$A$2700)</f>
        <v>65.124000000000009</v>
      </c>
      <c r="G46" s="512">
        <f>SUMIFS(PURCHASE!$N$6:$N$10008,PURCHASE!$A$6:$A$10008,$M$2,PURCHASE!$H$6:$H$10008,$A$4:$A$2700)</f>
        <v>65.124000000000009</v>
      </c>
      <c r="H46" s="512">
        <f t="shared" si="12"/>
        <v>0</v>
      </c>
      <c r="I46" s="512">
        <f>SUMIFS(PURCHASE!$K$6:$K$10008,PURCHASE!$A$6:$A$10008,$H$2,PURCHASE!$H$6:$H$10008,$A$4:$A$2700)</f>
        <v>0</v>
      </c>
      <c r="J46" s="512">
        <f>SUMIFS(PURCHASE!$L$6:$L$10008,PURCHASE!$A$6:$A$10008,$H$2,PURCHASE!$H$6:$H$10008,$A$4:$A$2700)</f>
        <v>0</v>
      </c>
      <c r="K46" s="512">
        <f>SUMIFS(PURCHASE!$M$6:$M$10008,PURCHASE!$A$6:$A$10008,$H$2,PURCHASE!$H$6:$H$10008,$A$4:$A$2700)</f>
        <v>0</v>
      </c>
      <c r="L46" s="512">
        <f>SUMIFS(PURCHASE!$N$6:$N$10008,PURCHASE!$A$6:$A$10008,$H$2,PURCHASE!$H$6:$H$10008,$A$4:$A$2700)</f>
        <v>0</v>
      </c>
      <c r="M46" s="512">
        <f t="shared" si="13"/>
        <v>853.84800000000007</v>
      </c>
      <c r="N46" s="512">
        <f>SUMIFS(PURCHASE!$K$6:$K$10008,PURCHASE!$A$6:$A$10008,$M$2,PURCHASE!$H$6:$H$10008,$A$4:$A$2700)</f>
        <v>723.6</v>
      </c>
      <c r="O46" s="512">
        <f>SUMIFS(PURCHASE!$L$6:$L$10008,PURCHASE!$A$6:$A$10008,$M$2,PURCHASE!$H$6:$H$10008,$A$4:$A$2700)</f>
        <v>0</v>
      </c>
      <c r="P46" s="512">
        <f>SUMIFS(PURCHASE!$M$6:$M$10008,PURCHASE!$A$6:$A$10008,$M$2,PURCHASE!$H$6:$H$10008,$A$4:$A$2700)</f>
        <v>65.124000000000009</v>
      </c>
      <c r="Q46" s="512">
        <f>SUMIFS(PURCHASE!$N$6:$N$10008,PURCHASE!$A$6:$A$10008,$M$2,PURCHASE!$H$6:$H$10008,$A$4:$A$2700)</f>
        <v>65.124000000000009</v>
      </c>
      <c r="R46" s="512">
        <f t="shared" si="14"/>
        <v>0</v>
      </c>
      <c r="S46" s="512">
        <f>SUMIFS(PURCHASE!$K$6:$K$10008,PURCHASE!$A$6:$A$10008,$R$2,PURCHASE!$H$6:$H$10008,$A$4:$A$2700)</f>
        <v>0</v>
      </c>
      <c r="T46" s="512">
        <f>SUMIFS(PURCHASE!$L$6:$L$10008,PURCHASE!$A$6:$A$10008,$R$2,PURCHASE!$H$6:$H$10008,$A$4:$A$2700)</f>
        <v>0</v>
      </c>
      <c r="U46" s="512">
        <f>SUMIFS(PURCHASE!$M$6:$M$10008,PURCHASE!$A$6:$A$10008,$R$2,PURCHASE!$H$6:$H$10008,$A$4:$A$2700)</f>
        <v>0</v>
      </c>
      <c r="V46" s="512">
        <f>SUMIFS(PURCHASE!$N$6:$N$10008,PURCHASE!$A$6:$A$10008,$R$2,PURCHASE!$H$6:$H$10008,$A$4:$A$2700)</f>
        <v>0</v>
      </c>
      <c r="W46" s="512">
        <f t="shared" si="15"/>
        <v>0</v>
      </c>
      <c r="X46" s="512">
        <f>SUMIFS(PURCHASE!$K$6:$K$10008,PURCHASE!$A$6:$A$10008,$W$2,PURCHASE!$H$6:$H$10008,$A$4:$A$2700)</f>
        <v>0</v>
      </c>
      <c r="Y46" s="512">
        <f>SUMIFS(PURCHASE!$L$6:$L$10008,PURCHASE!$A$6:$A$10008,$W$2,PURCHASE!$H$6:$H$10008,$A$4:$A$2700)</f>
        <v>0</v>
      </c>
      <c r="Z46" s="512">
        <f>SUMIFS(PURCHASE!$M$6:$M$10008,PURCHASE!$A$6:$A$10008,$W$2,PURCHASE!$H$6:$H$10008,$A$4:$A$2700)</f>
        <v>0</v>
      </c>
      <c r="AA46" s="512">
        <f>SUMIFS(PURCHASE!$N$6:$N$10008,PURCHASE!$A$6:$A$10008,$W$2,PURCHASE!$H$6:$H$10008,$A$4:$A$2700)</f>
        <v>0</v>
      </c>
      <c r="AB46" s="512">
        <f t="shared" si="16"/>
        <v>141.60000000000002</v>
      </c>
      <c r="AC46" s="512">
        <f>SUMIFS(PURCHASE!$K$6:$K$10008,PURCHASE!$A$6:$A$10008,$AB$2,PURCHASE!$H$6:$H$10008,$A$4:$A$2700)</f>
        <v>120</v>
      </c>
      <c r="AD46" s="512">
        <f>SUMIFS(PURCHASE!$L$6:$L$10008,PURCHASE!$A$6:$A$10008,$AB$2,PURCHASE!$H$6:$H$10008,$A$4:$A$2700)</f>
        <v>0</v>
      </c>
      <c r="AE46" s="512">
        <f>SUMIFS(PURCHASE!$M$6:$M$10008,PURCHASE!$A$6:$A$10008,$AB$2,PURCHASE!$H$6:$H$10008,$A$4:$A$2700)</f>
        <v>10.799999999999999</v>
      </c>
      <c r="AF46" s="512">
        <f>SUMIFS(PURCHASE!$N$6:$N$10008,PURCHASE!$A$6:$A$10008,$AB$2,PURCHASE!$H$6:$H$10008,$A$4:$A$2700)</f>
        <v>10.799999999999999</v>
      </c>
      <c r="AG46" s="512">
        <f t="shared" si="17"/>
        <v>0</v>
      </c>
      <c r="AH46" s="512">
        <f>SUMIFS(PURCHASE!$K$6:$K$10008,PURCHASE!$A$6:$A$10008,$AG$2,PURCHASE!$H$6:$H$10008,$A$4:$A$2700)</f>
        <v>0</v>
      </c>
      <c r="AI46" s="512">
        <f>SUMIFS(PURCHASE!$L$6:$L$10008,PURCHASE!$A$6:$A$10008,$AG$2,PURCHASE!$H$6:$H$10008,$A$4:$A$2700)</f>
        <v>0</v>
      </c>
      <c r="AJ46" s="512">
        <f>SUMIFS(PURCHASE!$M$6:$M$10008,PURCHASE!$A$6:$A$10008,$AG$2,PURCHASE!$H$6:$H$10008,$A$4:$A$2700)</f>
        <v>0</v>
      </c>
      <c r="AK46" s="512">
        <f>SUMIFS(PURCHASE!$N$6:$N$10008,PURCHASE!$A$6:$A$10008,$AG$2,PURCHASE!$H$6:$H$10008,$A$4:$A$2700)</f>
        <v>0</v>
      </c>
      <c r="AL46" s="512">
        <f t="shared" si="18"/>
        <v>187.62</v>
      </c>
      <c r="AM46" s="512">
        <f>SUMIFS(PURCHASE!$K$6:$K$10008,PURCHASE!$A$6:$A$10008,$AL$2,PURCHASE!$H$6:$H$10008,$A$4:$A$2700)</f>
        <v>159</v>
      </c>
      <c r="AN46" s="512">
        <f>SUMIFS(PURCHASE!$L$6:$L$10008,PURCHASE!$A$6:$A$10008,$AL$2,PURCHASE!$H$6:$H$10008,$A$4:$A$2700)</f>
        <v>0</v>
      </c>
      <c r="AO46" s="512">
        <f>SUMIFS(PURCHASE!$M$6:$M$10008,PURCHASE!$A$6:$A$10008,$AL$2,PURCHASE!$H$6:$H$10008,$A$4:$A$2700)</f>
        <v>14.309999999999999</v>
      </c>
      <c r="AP46" s="512">
        <f>SUMIFS(PURCHASE!$N$6:$N$10008,PURCHASE!$A$6:$A$10008,$AL$2,PURCHASE!$H$6:$H$10008,$A$4:$A$2700)</f>
        <v>14.309999999999999</v>
      </c>
      <c r="AQ46" s="512">
        <f t="shared" si="19"/>
        <v>0</v>
      </c>
      <c r="AR46" s="512">
        <f>SUMIFS(PURCHASE!$K$6:$K$10008,PURCHASE!$A$6:$A$10008,$AQ$2,PURCHASE!$H$6:$H$10008,$A$4:$A$2700)</f>
        <v>0</v>
      </c>
      <c r="AS46" s="512">
        <f>SUMIFS(PURCHASE!$L$6:$L$10008,PURCHASE!$A$6:$A$10008,$AQ$2,PURCHASE!$H$6:$H$10008,$A$4:$A$2700)</f>
        <v>0</v>
      </c>
      <c r="AT46" s="512">
        <f>SUMIFS(PURCHASE!$M$6:$M$10008,PURCHASE!$A$6:$A$10008,$AQ$2,PURCHASE!$H$6:$H$10008,$A$4:$A$2700)</f>
        <v>0</v>
      </c>
      <c r="AU46" s="512">
        <f>SUMIFS(PURCHASE!$N$6:$N$10008,PURCHASE!$A$6:$A$10008,$AQ$2,PURCHASE!$H$6:$H$10008,$A$4:$A$2700)</f>
        <v>0</v>
      </c>
      <c r="AV46" s="512">
        <f t="shared" si="20"/>
        <v>0</v>
      </c>
      <c r="AW46" s="512">
        <f>SUMIFS(PURCHASE!$K$6:$K$10008,PURCHASE!$A$6:$A$10008,$AV$2,PURCHASE!$H$6:$H$10008,$A$4:$A$2700)</f>
        <v>0</v>
      </c>
      <c r="AX46" s="512">
        <f>SUMIFS(PURCHASE!$L$6:$L$10008,PURCHASE!$A$6:$A$10008,$AV$2,PURCHASE!$H$6:$H$10008,$A$4:$A$2700)</f>
        <v>0</v>
      </c>
      <c r="AY46" s="512">
        <f>SUMIFS(PURCHASE!$M$6:$M$10008,PURCHASE!$A$6:$A$10008,$AV$2,PURCHASE!$H$6:$H$10008,$A$4:$A$2700)</f>
        <v>0</v>
      </c>
      <c r="AZ46" s="512">
        <f>SUMIFS(PURCHASE!$N$6:$N$10008,PURCHASE!$A$6:$A$10008,$AV$2,PURCHASE!$H$6:$H$10008,$A$4:$A$2700)</f>
        <v>0</v>
      </c>
      <c r="BA46" s="512">
        <f t="shared" si="21"/>
        <v>0</v>
      </c>
      <c r="BB46" s="512">
        <f>SUMIFS(PURCHASE!$K$6:$K$10008,PURCHASE!$A$6:$A$10008,$BA$2,PURCHASE!$H$6:$H$10008,$A$4:$A$2700)</f>
        <v>0</v>
      </c>
      <c r="BC46" s="512">
        <f>SUMIFS(PURCHASE!$L$6:$L$10008,PURCHASE!$A$6:$A$10008,$BA$2,PURCHASE!$H$6:$H$10008,$A$4:$A$2700)</f>
        <v>0</v>
      </c>
      <c r="BD46" s="512">
        <f>SUMIFS(PURCHASE!$M$6:$M$10008,PURCHASE!$A$6:$A$10008,$BA$2,PURCHASE!$H$6:$H$10008,$A$4:$A$2700)</f>
        <v>0</v>
      </c>
      <c r="BE46" s="512">
        <f>SUMIFS(PURCHASE!$N$6:$N$10008,PURCHASE!$A$6:$A$10008,$BA$2,PURCHASE!$H$6:$H$10008,$A$4:$A$2700)</f>
        <v>0</v>
      </c>
      <c r="BF46" s="512">
        <f t="shared" si="22"/>
        <v>0</v>
      </c>
      <c r="BG46" s="512">
        <f>SUMIFS(PURCHASE!$K$6:$K$10008,PURCHASE!$A$6:$A$10008,$BF$2,PURCHASE!$H$6:$H$10008,$A$4:$A$2700)</f>
        <v>0</v>
      </c>
      <c r="BH46" s="512">
        <f>SUMIFS(PURCHASE!$L$6:$L$10008,PURCHASE!$A$6:$A$10008,$BF$2,PURCHASE!$H$6:$H$10008,$A$4:$A$2700)</f>
        <v>0</v>
      </c>
      <c r="BI46" s="512">
        <f>SUMIFS(PURCHASE!$M$6:$M$10008,PURCHASE!$A$6:$A$10008,$BF$2,PURCHASE!$H$6:$H$10008,$A$4:$A$2700)</f>
        <v>0</v>
      </c>
      <c r="BJ46" s="512">
        <f>SUMIFS(PURCHASE!$N$6:$N$10008,PURCHASE!$A$6:$A$10008,$BF$2,PURCHASE!$H$6:$H$10008,$A$4:$A$2700)</f>
        <v>0</v>
      </c>
      <c r="BK46" s="72">
        <f t="shared" si="6"/>
        <v>2036.9160000000002</v>
      </c>
      <c r="BL46" s="72">
        <f t="shared" si="7"/>
        <v>1726.2</v>
      </c>
      <c r="BM46" s="72">
        <f t="shared" si="8"/>
        <v>0</v>
      </c>
      <c r="BN46" s="72">
        <f t="shared" si="9"/>
        <v>155.35800000000003</v>
      </c>
      <c r="BO46" s="72">
        <f t="shared" si="10"/>
        <v>155.35800000000003</v>
      </c>
    </row>
    <row r="47" spans="1:67" x14ac:dyDescent="0.2">
      <c r="A47" s="511">
        <v>8211</v>
      </c>
      <c r="B47" s="467" t="s">
        <v>1219</v>
      </c>
      <c r="C47" s="512">
        <f t="shared" si="11"/>
        <v>0</v>
      </c>
      <c r="D47" s="512">
        <f>SUMIFS(PURCHASE!$K$6:$K$10008,PURCHASE!$A$6:$A$10008,$M$2,PURCHASE!$H$6:$H$10008,$A$4:$A$2700)</f>
        <v>0</v>
      </c>
      <c r="E47" s="512">
        <f>SUMIFS(PURCHASE!$L$6:$L$10008,PURCHASE!$A$6:$A$10008,$M$2,PURCHASE!$H$6:$H$10008,$A$4:$A$2700)</f>
        <v>0</v>
      </c>
      <c r="F47" s="512">
        <f>SUMIFS(PURCHASE!$M$6:$M$10008,PURCHASE!$A$6:$A$10008,$M$2,PURCHASE!$H$6:$H$10008,$A$4:$A$2700)</f>
        <v>0</v>
      </c>
      <c r="G47" s="512">
        <f>SUMIFS(PURCHASE!$N$6:$N$10008,PURCHASE!$A$6:$A$10008,$M$2,PURCHASE!$H$6:$H$10008,$A$4:$A$2700)</f>
        <v>0</v>
      </c>
      <c r="H47" s="512">
        <f t="shared" si="12"/>
        <v>0</v>
      </c>
      <c r="I47" s="512">
        <f>SUMIFS(PURCHASE!$K$6:$K$10008,PURCHASE!$A$6:$A$10008,$H$2,PURCHASE!$H$6:$H$10008,$A$4:$A$2700)</f>
        <v>0</v>
      </c>
      <c r="J47" s="512">
        <f>SUMIFS(PURCHASE!$L$6:$L$10008,PURCHASE!$A$6:$A$10008,$H$2,PURCHASE!$H$6:$H$10008,$A$4:$A$2700)</f>
        <v>0</v>
      </c>
      <c r="K47" s="512">
        <f>SUMIFS(PURCHASE!$M$6:$M$10008,PURCHASE!$A$6:$A$10008,$H$2,PURCHASE!$H$6:$H$10008,$A$4:$A$2700)</f>
        <v>0</v>
      </c>
      <c r="L47" s="512">
        <f>SUMIFS(PURCHASE!$N$6:$N$10008,PURCHASE!$A$6:$A$10008,$H$2,PURCHASE!$H$6:$H$10008,$A$4:$A$2700)</f>
        <v>0</v>
      </c>
      <c r="M47" s="512">
        <f t="shared" si="13"/>
        <v>0</v>
      </c>
      <c r="N47" s="512">
        <f>SUMIFS(PURCHASE!$K$6:$K$10008,PURCHASE!$A$6:$A$10008,$M$2,PURCHASE!$H$6:$H$10008,$A$4:$A$2700)</f>
        <v>0</v>
      </c>
      <c r="O47" s="512">
        <f>SUMIFS(PURCHASE!$L$6:$L$10008,PURCHASE!$A$6:$A$10008,$M$2,PURCHASE!$H$6:$H$10008,$A$4:$A$2700)</f>
        <v>0</v>
      </c>
      <c r="P47" s="512">
        <f>SUMIFS(PURCHASE!$M$6:$M$10008,PURCHASE!$A$6:$A$10008,$M$2,PURCHASE!$H$6:$H$10008,$A$4:$A$2700)</f>
        <v>0</v>
      </c>
      <c r="Q47" s="512">
        <f>SUMIFS(PURCHASE!$N$6:$N$10008,PURCHASE!$A$6:$A$10008,$M$2,PURCHASE!$H$6:$H$10008,$A$4:$A$2700)</f>
        <v>0</v>
      </c>
      <c r="R47" s="512">
        <f t="shared" si="14"/>
        <v>0</v>
      </c>
      <c r="S47" s="512">
        <f>SUMIFS(PURCHASE!$K$6:$K$10008,PURCHASE!$A$6:$A$10008,$R$2,PURCHASE!$H$6:$H$10008,$A$4:$A$2700)</f>
        <v>0</v>
      </c>
      <c r="T47" s="512">
        <f>SUMIFS(PURCHASE!$L$6:$L$10008,PURCHASE!$A$6:$A$10008,$R$2,PURCHASE!$H$6:$H$10008,$A$4:$A$2700)</f>
        <v>0</v>
      </c>
      <c r="U47" s="512">
        <f>SUMIFS(PURCHASE!$M$6:$M$10008,PURCHASE!$A$6:$A$10008,$R$2,PURCHASE!$H$6:$H$10008,$A$4:$A$2700)</f>
        <v>0</v>
      </c>
      <c r="V47" s="512">
        <f>SUMIFS(PURCHASE!$N$6:$N$10008,PURCHASE!$A$6:$A$10008,$R$2,PURCHASE!$H$6:$H$10008,$A$4:$A$2700)</f>
        <v>0</v>
      </c>
      <c r="W47" s="512">
        <f t="shared" si="15"/>
        <v>0</v>
      </c>
      <c r="X47" s="512">
        <f>SUMIFS(PURCHASE!$K$6:$K$10008,PURCHASE!$A$6:$A$10008,$W$2,PURCHASE!$H$6:$H$10008,$A$4:$A$2700)</f>
        <v>0</v>
      </c>
      <c r="Y47" s="512">
        <f>SUMIFS(PURCHASE!$L$6:$L$10008,PURCHASE!$A$6:$A$10008,$W$2,PURCHASE!$H$6:$H$10008,$A$4:$A$2700)</f>
        <v>0</v>
      </c>
      <c r="Z47" s="512">
        <f>SUMIFS(PURCHASE!$M$6:$M$10008,PURCHASE!$A$6:$A$10008,$W$2,PURCHASE!$H$6:$H$10008,$A$4:$A$2700)</f>
        <v>0</v>
      </c>
      <c r="AA47" s="512">
        <f>SUMIFS(PURCHASE!$N$6:$N$10008,PURCHASE!$A$6:$A$10008,$W$2,PURCHASE!$H$6:$H$10008,$A$4:$A$2700)</f>
        <v>0</v>
      </c>
      <c r="AB47" s="512">
        <f t="shared" si="16"/>
        <v>0</v>
      </c>
      <c r="AC47" s="512">
        <f>SUMIFS(PURCHASE!$K$6:$K$10008,PURCHASE!$A$6:$A$10008,$AB$2,PURCHASE!$H$6:$H$10008,$A$4:$A$2700)</f>
        <v>0</v>
      </c>
      <c r="AD47" s="512">
        <f>SUMIFS(PURCHASE!$L$6:$L$10008,PURCHASE!$A$6:$A$10008,$AB$2,PURCHASE!$H$6:$H$10008,$A$4:$A$2700)</f>
        <v>0</v>
      </c>
      <c r="AE47" s="512">
        <f>SUMIFS(PURCHASE!$M$6:$M$10008,PURCHASE!$A$6:$A$10008,$AB$2,PURCHASE!$H$6:$H$10008,$A$4:$A$2700)</f>
        <v>0</v>
      </c>
      <c r="AF47" s="512">
        <f>SUMIFS(PURCHASE!$N$6:$N$10008,PURCHASE!$A$6:$A$10008,$AB$2,PURCHASE!$H$6:$H$10008,$A$4:$A$2700)</f>
        <v>0</v>
      </c>
      <c r="AG47" s="512">
        <f t="shared" si="17"/>
        <v>0</v>
      </c>
      <c r="AH47" s="512">
        <f>SUMIFS(PURCHASE!$K$6:$K$10008,PURCHASE!$A$6:$A$10008,$AG$2,PURCHASE!$H$6:$H$10008,$A$4:$A$2700)</f>
        <v>0</v>
      </c>
      <c r="AI47" s="512">
        <f>SUMIFS(PURCHASE!$L$6:$L$10008,PURCHASE!$A$6:$A$10008,$AG$2,PURCHASE!$H$6:$H$10008,$A$4:$A$2700)</f>
        <v>0</v>
      </c>
      <c r="AJ47" s="512">
        <f>SUMIFS(PURCHASE!$M$6:$M$10008,PURCHASE!$A$6:$A$10008,$AG$2,PURCHASE!$H$6:$H$10008,$A$4:$A$2700)</f>
        <v>0</v>
      </c>
      <c r="AK47" s="512">
        <f>SUMIFS(PURCHASE!$N$6:$N$10008,PURCHASE!$A$6:$A$10008,$AG$2,PURCHASE!$H$6:$H$10008,$A$4:$A$2700)</f>
        <v>0</v>
      </c>
      <c r="AL47" s="512">
        <f t="shared" si="18"/>
        <v>0</v>
      </c>
      <c r="AM47" s="512">
        <f>SUMIFS(PURCHASE!$K$6:$K$10008,PURCHASE!$A$6:$A$10008,$AL$2,PURCHASE!$H$6:$H$10008,$A$4:$A$2700)</f>
        <v>0</v>
      </c>
      <c r="AN47" s="512">
        <f>SUMIFS(PURCHASE!$L$6:$L$10008,PURCHASE!$A$6:$A$10008,$AL$2,PURCHASE!$H$6:$H$10008,$A$4:$A$2700)</f>
        <v>0</v>
      </c>
      <c r="AO47" s="512">
        <f>SUMIFS(PURCHASE!$M$6:$M$10008,PURCHASE!$A$6:$A$10008,$AL$2,PURCHASE!$H$6:$H$10008,$A$4:$A$2700)</f>
        <v>0</v>
      </c>
      <c r="AP47" s="512">
        <f>SUMIFS(PURCHASE!$N$6:$N$10008,PURCHASE!$A$6:$A$10008,$AL$2,PURCHASE!$H$6:$H$10008,$A$4:$A$2700)</f>
        <v>0</v>
      </c>
      <c r="AQ47" s="512">
        <f t="shared" si="19"/>
        <v>0</v>
      </c>
      <c r="AR47" s="512">
        <f>SUMIFS(PURCHASE!$K$6:$K$10008,PURCHASE!$A$6:$A$10008,$AQ$2,PURCHASE!$H$6:$H$10008,$A$4:$A$2700)</f>
        <v>0</v>
      </c>
      <c r="AS47" s="512">
        <f>SUMIFS(PURCHASE!$L$6:$L$10008,PURCHASE!$A$6:$A$10008,$AQ$2,PURCHASE!$H$6:$H$10008,$A$4:$A$2700)</f>
        <v>0</v>
      </c>
      <c r="AT47" s="512">
        <f>SUMIFS(PURCHASE!$M$6:$M$10008,PURCHASE!$A$6:$A$10008,$AQ$2,PURCHASE!$H$6:$H$10008,$A$4:$A$2700)</f>
        <v>0</v>
      </c>
      <c r="AU47" s="512">
        <f>SUMIFS(PURCHASE!$N$6:$N$10008,PURCHASE!$A$6:$A$10008,$AQ$2,PURCHASE!$H$6:$H$10008,$A$4:$A$2700)</f>
        <v>0</v>
      </c>
      <c r="AV47" s="512">
        <f t="shared" si="20"/>
        <v>0</v>
      </c>
      <c r="AW47" s="512">
        <f>SUMIFS(PURCHASE!$K$6:$K$10008,PURCHASE!$A$6:$A$10008,$AV$2,PURCHASE!$H$6:$H$10008,$A$4:$A$2700)</f>
        <v>0</v>
      </c>
      <c r="AX47" s="512">
        <f>SUMIFS(PURCHASE!$L$6:$L$10008,PURCHASE!$A$6:$A$10008,$AV$2,PURCHASE!$H$6:$H$10008,$A$4:$A$2700)</f>
        <v>0</v>
      </c>
      <c r="AY47" s="512">
        <f>SUMIFS(PURCHASE!$M$6:$M$10008,PURCHASE!$A$6:$A$10008,$AV$2,PURCHASE!$H$6:$H$10008,$A$4:$A$2700)</f>
        <v>0</v>
      </c>
      <c r="AZ47" s="512">
        <f>SUMIFS(PURCHASE!$N$6:$N$10008,PURCHASE!$A$6:$A$10008,$AV$2,PURCHASE!$H$6:$H$10008,$A$4:$A$2700)</f>
        <v>0</v>
      </c>
      <c r="BA47" s="512">
        <f t="shared" si="21"/>
        <v>0</v>
      </c>
      <c r="BB47" s="512">
        <f>SUMIFS(PURCHASE!$K$6:$K$10008,PURCHASE!$A$6:$A$10008,$BA$2,PURCHASE!$H$6:$H$10008,$A$4:$A$2700)</f>
        <v>0</v>
      </c>
      <c r="BC47" s="512">
        <f>SUMIFS(PURCHASE!$L$6:$L$10008,PURCHASE!$A$6:$A$10008,$BA$2,PURCHASE!$H$6:$H$10008,$A$4:$A$2700)</f>
        <v>0</v>
      </c>
      <c r="BD47" s="512">
        <f>SUMIFS(PURCHASE!$M$6:$M$10008,PURCHASE!$A$6:$A$10008,$BA$2,PURCHASE!$H$6:$H$10008,$A$4:$A$2700)</f>
        <v>0</v>
      </c>
      <c r="BE47" s="512">
        <f>SUMIFS(PURCHASE!$N$6:$N$10008,PURCHASE!$A$6:$A$10008,$BA$2,PURCHASE!$H$6:$H$10008,$A$4:$A$2700)</f>
        <v>0</v>
      </c>
      <c r="BF47" s="512">
        <f t="shared" si="22"/>
        <v>0</v>
      </c>
      <c r="BG47" s="512">
        <f>SUMIFS(PURCHASE!$K$6:$K$10008,PURCHASE!$A$6:$A$10008,$BF$2,PURCHASE!$H$6:$H$10008,$A$4:$A$2700)</f>
        <v>0</v>
      </c>
      <c r="BH47" s="512">
        <f>SUMIFS(PURCHASE!$L$6:$L$10008,PURCHASE!$A$6:$A$10008,$BF$2,PURCHASE!$H$6:$H$10008,$A$4:$A$2700)</f>
        <v>0</v>
      </c>
      <c r="BI47" s="512">
        <f>SUMIFS(PURCHASE!$M$6:$M$10008,PURCHASE!$A$6:$A$10008,$BF$2,PURCHASE!$H$6:$H$10008,$A$4:$A$2700)</f>
        <v>0</v>
      </c>
      <c r="BJ47" s="512">
        <f>SUMIFS(PURCHASE!$N$6:$N$10008,PURCHASE!$A$6:$A$10008,$BF$2,PURCHASE!$H$6:$H$10008,$A$4:$A$2700)</f>
        <v>0</v>
      </c>
      <c r="BK47" s="72">
        <f t="shared" si="6"/>
        <v>0</v>
      </c>
      <c r="BL47" s="72">
        <f t="shared" si="7"/>
        <v>0</v>
      </c>
      <c r="BM47" s="72">
        <f t="shared" si="8"/>
        <v>0</v>
      </c>
      <c r="BN47" s="72">
        <f t="shared" si="9"/>
        <v>0</v>
      </c>
      <c r="BO47" s="72">
        <f t="shared" si="10"/>
        <v>0</v>
      </c>
    </row>
    <row r="48" spans="1:67" x14ac:dyDescent="0.2">
      <c r="A48" s="511">
        <v>8301</v>
      </c>
      <c r="B48" s="467" t="s">
        <v>1220</v>
      </c>
      <c r="C48" s="512">
        <f t="shared" si="11"/>
        <v>0</v>
      </c>
      <c r="D48" s="512">
        <f>SUMIFS(PURCHASE!$K$6:$K$10008,PURCHASE!$A$6:$A$10008,$M$2,PURCHASE!$H$6:$H$10008,$A$4:$A$2700)</f>
        <v>0</v>
      </c>
      <c r="E48" s="512">
        <f>SUMIFS(PURCHASE!$L$6:$L$10008,PURCHASE!$A$6:$A$10008,$M$2,PURCHASE!$H$6:$H$10008,$A$4:$A$2700)</f>
        <v>0</v>
      </c>
      <c r="F48" s="512">
        <f>SUMIFS(PURCHASE!$M$6:$M$10008,PURCHASE!$A$6:$A$10008,$M$2,PURCHASE!$H$6:$H$10008,$A$4:$A$2700)</f>
        <v>0</v>
      </c>
      <c r="G48" s="512">
        <f>SUMIFS(PURCHASE!$N$6:$N$10008,PURCHASE!$A$6:$A$10008,$M$2,PURCHASE!$H$6:$H$10008,$A$4:$A$2700)</f>
        <v>0</v>
      </c>
      <c r="H48" s="512">
        <f t="shared" si="12"/>
        <v>0</v>
      </c>
      <c r="I48" s="512">
        <f>SUMIFS(PURCHASE!$K$6:$K$10008,PURCHASE!$A$6:$A$10008,$H$2,PURCHASE!$H$6:$H$10008,$A$4:$A$2700)</f>
        <v>0</v>
      </c>
      <c r="J48" s="512">
        <f>SUMIFS(PURCHASE!$L$6:$L$10008,PURCHASE!$A$6:$A$10008,$H$2,PURCHASE!$H$6:$H$10008,$A$4:$A$2700)</f>
        <v>0</v>
      </c>
      <c r="K48" s="512">
        <f>SUMIFS(PURCHASE!$M$6:$M$10008,PURCHASE!$A$6:$A$10008,$H$2,PURCHASE!$H$6:$H$10008,$A$4:$A$2700)</f>
        <v>0</v>
      </c>
      <c r="L48" s="512">
        <f>SUMIFS(PURCHASE!$N$6:$N$10008,PURCHASE!$A$6:$A$10008,$H$2,PURCHASE!$H$6:$H$10008,$A$4:$A$2700)</f>
        <v>0</v>
      </c>
      <c r="M48" s="512">
        <f t="shared" si="13"/>
        <v>0</v>
      </c>
      <c r="N48" s="512">
        <f>SUMIFS(PURCHASE!$K$6:$K$10008,PURCHASE!$A$6:$A$10008,$M$2,PURCHASE!$H$6:$H$10008,$A$4:$A$2700)</f>
        <v>0</v>
      </c>
      <c r="O48" s="512">
        <f>SUMIFS(PURCHASE!$L$6:$L$10008,PURCHASE!$A$6:$A$10008,$M$2,PURCHASE!$H$6:$H$10008,$A$4:$A$2700)</f>
        <v>0</v>
      </c>
      <c r="P48" s="512">
        <f>SUMIFS(PURCHASE!$M$6:$M$10008,PURCHASE!$A$6:$A$10008,$M$2,PURCHASE!$H$6:$H$10008,$A$4:$A$2700)</f>
        <v>0</v>
      </c>
      <c r="Q48" s="512">
        <f>SUMIFS(PURCHASE!$N$6:$N$10008,PURCHASE!$A$6:$A$10008,$M$2,PURCHASE!$H$6:$H$10008,$A$4:$A$2700)</f>
        <v>0</v>
      </c>
      <c r="R48" s="512">
        <f t="shared" si="14"/>
        <v>0</v>
      </c>
      <c r="S48" s="512">
        <f>SUMIFS(PURCHASE!$K$6:$K$10008,PURCHASE!$A$6:$A$10008,$R$2,PURCHASE!$H$6:$H$10008,$A$4:$A$2700)</f>
        <v>0</v>
      </c>
      <c r="T48" s="512">
        <f>SUMIFS(PURCHASE!$L$6:$L$10008,PURCHASE!$A$6:$A$10008,$R$2,PURCHASE!$H$6:$H$10008,$A$4:$A$2700)</f>
        <v>0</v>
      </c>
      <c r="U48" s="512">
        <f>SUMIFS(PURCHASE!$M$6:$M$10008,PURCHASE!$A$6:$A$10008,$R$2,PURCHASE!$H$6:$H$10008,$A$4:$A$2700)</f>
        <v>0</v>
      </c>
      <c r="V48" s="512">
        <f>SUMIFS(PURCHASE!$N$6:$N$10008,PURCHASE!$A$6:$A$10008,$R$2,PURCHASE!$H$6:$H$10008,$A$4:$A$2700)</f>
        <v>0</v>
      </c>
      <c r="W48" s="512">
        <f t="shared" si="15"/>
        <v>0</v>
      </c>
      <c r="X48" s="512">
        <f>SUMIFS(PURCHASE!$K$6:$K$10008,PURCHASE!$A$6:$A$10008,$W$2,PURCHASE!$H$6:$H$10008,$A$4:$A$2700)</f>
        <v>0</v>
      </c>
      <c r="Y48" s="512">
        <f>SUMIFS(PURCHASE!$L$6:$L$10008,PURCHASE!$A$6:$A$10008,$W$2,PURCHASE!$H$6:$H$10008,$A$4:$A$2700)</f>
        <v>0</v>
      </c>
      <c r="Z48" s="512">
        <f>SUMIFS(PURCHASE!$M$6:$M$10008,PURCHASE!$A$6:$A$10008,$W$2,PURCHASE!$H$6:$H$10008,$A$4:$A$2700)</f>
        <v>0</v>
      </c>
      <c r="AA48" s="512">
        <f>SUMIFS(PURCHASE!$N$6:$N$10008,PURCHASE!$A$6:$A$10008,$W$2,PURCHASE!$H$6:$H$10008,$A$4:$A$2700)</f>
        <v>0</v>
      </c>
      <c r="AB48" s="512">
        <f t="shared" si="16"/>
        <v>94.4</v>
      </c>
      <c r="AC48" s="512">
        <f>SUMIFS(PURCHASE!$K$6:$K$10008,PURCHASE!$A$6:$A$10008,$AB$2,PURCHASE!$H$6:$H$10008,$A$4:$A$2700)</f>
        <v>80</v>
      </c>
      <c r="AD48" s="512">
        <f>SUMIFS(PURCHASE!$L$6:$L$10008,PURCHASE!$A$6:$A$10008,$AB$2,PURCHASE!$H$6:$H$10008,$A$4:$A$2700)</f>
        <v>0</v>
      </c>
      <c r="AE48" s="512">
        <f>SUMIFS(PURCHASE!$M$6:$M$10008,PURCHASE!$A$6:$A$10008,$AB$2,PURCHASE!$H$6:$H$10008,$A$4:$A$2700)</f>
        <v>7.2</v>
      </c>
      <c r="AF48" s="512">
        <f>SUMIFS(PURCHASE!$N$6:$N$10008,PURCHASE!$A$6:$A$10008,$AB$2,PURCHASE!$H$6:$H$10008,$A$4:$A$2700)</f>
        <v>7.2</v>
      </c>
      <c r="AG48" s="512">
        <f t="shared" si="17"/>
        <v>0</v>
      </c>
      <c r="AH48" s="512">
        <f>SUMIFS(PURCHASE!$K$6:$K$10008,PURCHASE!$A$6:$A$10008,$AG$2,PURCHASE!$H$6:$H$10008,$A$4:$A$2700)</f>
        <v>0</v>
      </c>
      <c r="AI48" s="512">
        <f>SUMIFS(PURCHASE!$L$6:$L$10008,PURCHASE!$A$6:$A$10008,$AG$2,PURCHASE!$H$6:$H$10008,$A$4:$A$2700)</f>
        <v>0</v>
      </c>
      <c r="AJ48" s="512">
        <f>SUMIFS(PURCHASE!$M$6:$M$10008,PURCHASE!$A$6:$A$10008,$AG$2,PURCHASE!$H$6:$H$10008,$A$4:$A$2700)</f>
        <v>0</v>
      </c>
      <c r="AK48" s="512">
        <f>SUMIFS(PURCHASE!$N$6:$N$10008,PURCHASE!$A$6:$A$10008,$AG$2,PURCHASE!$H$6:$H$10008,$A$4:$A$2700)</f>
        <v>0</v>
      </c>
      <c r="AL48" s="512">
        <f t="shared" si="18"/>
        <v>0</v>
      </c>
      <c r="AM48" s="512">
        <f>SUMIFS(PURCHASE!$K$6:$K$10008,PURCHASE!$A$6:$A$10008,$AL$2,PURCHASE!$H$6:$H$10008,$A$4:$A$2700)</f>
        <v>0</v>
      </c>
      <c r="AN48" s="512">
        <f>SUMIFS(PURCHASE!$L$6:$L$10008,PURCHASE!$A$6:$A$10008,$AL$2,PURCHASE!$H$6:$H$10008,$A$4:$A$2700)</f>
        <v>0</v>
      </c>
      <c r="AO48" s="512">
        <f>SUMIFS(PURCHASE!$M$6:$M$10008,PURCHASE!$A$6:$A$10008,$AL$2,PURCHASE!$H$6:$H$10008,$A$4:$A$2700)</f>
        <v>0</v>
      </c>
      <c r="AP48" s="512">
        <f>SUMIFS(PURCHASE!$N$6:$N$10008,PURCHASE!$A$6:$A$10008,$AL$2,PURCHASE!$H$6:$H$10008,$A$4:$A$2700)</f>
        <v>0</v>
      </c>
      <c r="AQ48" s="512">
        <f t="shared" si="19"/>
        <v>448.4</v>
      </c>
      <c r="AR48" s="512">
        <f>SUMIFS(PURCHASE!$K$6:$K$10008,PURCHASE!$A$6:$A$10008,$AQ$2,PURCHASE!$H$6:$H$10008,$A$4:$A$2700)</f>
        <v>380</v>
      </c>
      <c r="AS48" s="512">
        <f>SUMIFS(PURCHASE!$L$6:$L$10008,PURCHASE!$A$6:$A$10008,$AQ$2,PURCHASE!$H$6:$H$10008,$A$4:$A$2700)</f>
        <v>0</v>
      </c>
      <c r="AT48" s="512">
        <f>SUMIFS(PURCHASE!$M$6:$M$10008,PURCHASE!$A$6:$A$10008,$AQ$2,PURCHASE!$H$6:$H$10008,$A$4:$A$2700)</f>
        <v>34.199999999999996</v>
      </c>
      <c r="AU48" s="512">
        <f>SUMIFS(PURCHASE!$N$6:$N$10008,PURCHASE!$A$6:$A$10008,$AQ$2,PURCHASE!$H$6:$H$10008,$A$4:$A$2700)</f>
        <v>34.199999999999996</v>
      </c>
      <c r="AV48" s="512">
        <f t="shared" si="20"/>
        <v>0</v>
      </c>
      <c r="AW48" s="512">
        <f>SUMIFS(PURCHASE!$K$6:$K$10008,PURCHASE!$A$6:$A$10008,$AV$2,PURCHASE!$H$6:$H$10008,$A$4:$A$2700)</f>
        <v>0</v>
      </c>
      <c r="AX48" s="512">
        <f>SUMIFS(PURCHASE!$L$6:$L$10008,PURCHASE!$A$6:$A$10008,$AV$2,PURCHASE!$H$6:$H$10008,$A$4:$A$2700)</f>
        <v>0</v>
      </c>
      <c r="AY48" s="512">
        <f>SUMIFS(PURCHASE!$M$6:$M$10008,PURCHASE!$A$6:$A$10008,$AV$2,PURCHASE!$H$6:$H$10008,$A$4:$A$2700)</f>
        <v>0</v>
      </c>
      <c r="AZ48" s="512">
        <f>SUMIFS(PURCHASE!$N$6:$N$10008,PURCHASE!$A$6:$A$10008,$AV$2,PURCHASE!$H$6:$H$10008,$A$4:$A$2700)</f>
        <v>0</v>
      </c>
      <c r="BA48" s="512">
        <f t="shared" si="21"/>
        <v>0</v>
      </c>
      <c r="BB48" s="512">
        <f>SUMIFS(PURCHASE!$K$6:$K$10008,PURCHASE!$A$6:$A$10008,$BA$2,PURCHASE!$H$6:$H$10008,$A$4:$A$2700)</f>
        <v>0</v>
      </c>
      <c r="BC48" s="512">
        <f>SUMIFS(PURCHASE!$L$6:$L$10008,PURCHASE!$A$6:$A$10008,$BA$2,PURCHASE!$H$6:$H$10008,$A$4:$A$2700)</f>
        <v>0</v>
      </c>
      <c r="BD48" s="512">
        <f>SUMIFS(PURCHASE!$M$6:$M$10008,PURCHASE!$A$6:$A$10008,$BA$2,PURCHASE!$H$6:$H$10008,$A$4:$A$2700)</f>
        <v>0</v>
      </c>
      <c r="BE48" s="512">
        <f>SUMIFS(PURCHASE!$N$6:$N$10008,PURCHASE!$A$6:$A$10008,$BA$2,PURCHASE!$H$6:$H$10008,$A$4:$A$2700)</f>
        <v>0</v>
      </c>
      <c r="BF48" s="512">
        <f t="shared" si="22"/>
        <v>0</v>
      </c>
      <c r="BG48" s="512">
        <f>SUMIFS(PURCHASE!$K$6:$K$10008,PURCHASE!$A$6:$A$10008,$BF$2,PURCHASE!$H$6:$H$10008,$A$4:$A$2700)</f>
        <v>0</v>
      </c>
      <c r="BH48" s="512">
        <f>SUMIFS(PURCHASE!$L$6:$L$10008,PURCHASE!$A$6:$A$10008,$BF$2,PURCHASE!$H$6:$H$10008,$A$4:$A$2700)</f>
        <v>0</v>
      </c>
      <c r="BI48" s="512">
        <f>SUMIFS(PURCHASE!$M$6:$M$10008,PURCHASE!$A$6:$A$10008,$BF$2,PURCHASE!$H$6:$H$10008,$A$4:$A$2700)</f>
        <v>0</v>
      </c>
      <c r="BJ48" s="512">
        <f>SUMIFS(PURCHASE!$N$6:$N$10008,PURCHASE!$A$6:$A$10008,$BF$2,PURCHASE!$H$6:$H$10008,$A$4:$A$2700)</f>
        <v>0</v>
      </c>
      <c r="BK48" s="72">
        <f t="shared" si="6"/>
        <v>542.79999999999995</v>
      </c>
      <c r="BL48" s="72">
        <f t="shared" si="7"/>
        <v>460</v>
      </c>
      <c r="BM48" s="72">
        <f t="shared" si="8"/>
        <v>0</v>
      </c>
      <c r="BN48" s="72">
        <f t="shared" si="9"/>
        <v>41.4</v>
      </c>
      <c r="BO48" s="72">
        <f t="shared" si="10"/>
        <v>41.4</v>
      </c>
    </row>
    <row r="49" spans="1:67" x14ac:dyDescent="0.2">
      <c r="A49" s="511">
        <v>8302</v>
      </c>
      <c r="B49" s="467" t="s">
        <v>1220</v>
      </c>
      <c r="C49" s="512">
        <f t="shared" si="11"/>
        <v>809.48</v>
      </c>
      <c r="D49" s="512">
        <f>SUMIFS(PURCHASE!$K$6:$K$10008,PURCHASE!$A$6:$A$10008,$M$2,PURCHASE!$H$6:$H$10008,$A$4:$A$2700)</f>
        <v>686</v>
      </c>
      <c r="E49" s="512">
        <f>SUMIFS(PURCHASE!$L$6:$L$10008,PURCHASE!$A$6:$A$10008,$M$2,PURCHASE!$H$6:$H$10008,$A$4:$A$2700)</f>
        <v>0</v>
      </c>
      <c r="F49" s="512">
        <f>SUMIFS(PURCHASE!$M$6:$M$10008,PURCHASE!$A$6:$A$10008,$M$2,PURCHASE!$H$6:$H$10008,$A$4:$A$2700)</f>
        <v>61.74</v>
      </c>
      <c r="G49" s="512">
        <f>SUMIFS(PURCHASE!$N$6:$N$10008,PURCHASE!$A$6:$A$10008,$M$2,PURCHASE!$H$6:$H$10008,$A$4:$A$2700)</f>
        <v>61.74</v>
      </c>
      <c r="H49" s="512">
        <f t="shared" si="12"/>
        <v>0</v>
      </c>
      <c r="I49" s="512">
        <f>SUMIFS(PURCHASE!$K$6:$K$10008,PURCHASE!$A$6:$A$10008,$H$2,PURCHASE!$H$6:$H$10008,$A$4:$A$2700)</f>
        <v>0</v>
      </c>
      <c r="J49" s="512">
        <f>SUMIFS(PURCHASE!$L$6:$L$10008,PURCHASE!$A$6:$A$10008,$H$2,PURCHASE!$H$6:$H$10008,$A$4:$A$2700)</f>
        <v>0</v>
      </c>
      <c r="K49" s="512">
        <f>SUMIFS(PURCHASE!$M$6:$M$10008,PURCHASE!$A$6:$A$10008,$H$2,PURCHASE!$H$6:$H$10008,$A$4:$A$2700)</f>
        <v>0</v>
      </c>
      <c r="L49" s="512">
        <f>SUMIFS(PURCHASE!$N$6:$N$10008,PURCHASE!$A$6:$A$10008,$H$2,PURCHASE!$H$6:$H$10008,$A$4:$A$2700)</f>
        <v>0</v>
      </c>
      <c r="M49" s="512">
        <f t="shared" si="13"/>
        <v>809.48</v>
      </c>
      <c r="N49" s="512">
        <f>SUMIFS(PURCHASE!$K$6:$K$10008,PURCHASE!$A$6:$A$10008,$M$2,PURCHASE!$H$6:$H$10008,$A$4:$A$2700)</f>
        <v>686</v>
      </c>
      <c r="O49" s="512">
        <f>SUMIFS(PURCHASE!$L$6:$L$10008,PURCHASE!$A$6:$A$10008,$M$2,PURCHASE!$H$6:$H$10008,$A$4:$A$2700)</f>
        <v>0</v>
      </c>
      <c r="P49" s="512">
        <f>SUMIFS(PURCHASE!$M$6:$M$10008,PURCHASE!$A$6:$A$10008,$M$2,PURCHASE!$H$6:$H$10008,$A$4:$A$2700)</f>
        <v>61.74</v>
      </c>
      <c r="Q49" s="512">
        <f>SUMIFS(PURCHASE!$N$6:$N$10008,PURCHASE!$A$6:$A$10008,$M$2,PURCHASE!$H$6:$H$10008,$A$4:$A$2700)</f>
        <v>61.74</v>
      </c>
      <c r="R49" s="512">
        <f t="shared" si="14"/>
        <v>0</v>
      </c>
      <c r="S49" s="512">
        <f>SUMIFS(PURCHASE!$K$6:$K$10008,PURCHASE!$A$6:$A$10008,$R$2,PURCHASE!$H$6:$H$10008,$A$4:$A$2700)</f>
        <v>0</v>
      </c>
      <c r="T49" s="512">
        <f>SUMIFS(PURCHASE!$L$6:$L$10008,PURCHASE!$A$6:$A$10008,$R$2,PURCHASE!$H$6:$H$10008,$A$4:$A$2700)</f>
        <v>0</v>
      </c>
      <c r="U49" s="512">
        <f>SUMIFS(PURCHASE!$M$6:$M$10008,PURCHASE!$A$6:$A$10008,$R$2,PURCHASE!$H$6:$H$10008,$A$4:$A$2700)</f>
        <v>0</v>
      </c>
      <c r="V49" s="512">
        <f>SUMIFS(PURCHASE!$N$6:$N$10008,PURCHASE!$A$6:$A$10008,$R$2,PURCHASE!$H$6:$H$10008,$A$4:$A$2700)</f>
        <v>0</v>
      </c>
      <c r="W49" s="512">
        <f t="shared" si="15"/>
        <v>0</v>
      </c>
      <c r="X49" s="512">
        <f>SUMIFS(PURCHASE!$K$6:$K$10008,PURCHASE!$A$6:$A$10008,$W$2,PURCHASE!$H$6:$H$10008,$A$4:$A$2700)</f>
        <v>0</v>
      </c>
      <c r="Y49" s="512">
        <f>SUMIFS(PURCHASE!$L$6:$L$10008,PURCHASE!$A$6:$A$10008,$W$2,PURCHASE!$H$6:$H$10008,$A$4:$A$2700)</f>
        <v>0</v>
      </c>
      <c r="Z49" s="512">
        <f>SUMIFS(PURCHASE!$M$6:$M$10008,PURCHASE!$A$6:$A$10008,$W$2,PURCHASE!$H$6:$H$10008,$A$4:$A$2700)</f>
        <v>0</v>
      </c>
      <c r="AA49" s="512">
        <f>SUMIFS(PURCHASE!$N$6:$N$10008,PURCHASE!$A$6:$A$10008,$W$2,PURCHASE!$H$6:$H$10008,$A$4:$A$2700)</f>
        <v>0</v>
      </c>
      <c r="AB49" s="512">
        <f t="shared" si="16"/>
        <v>153.39999999999998</v>
      </c>
      <c r="AC49" s="512">
        <f>SUMIFS(PURCHASE!$K$6:$K$10008,PURCHASE!$A$6:$A$10008,$AB$2,PURCHASE!$H$6:$H$10008,$A$4:$A$2700)</f>
        <v>130</v>
      </c>
      <c r="AD49" s="512">
        <f>SUMIFS(PURCHASE!$L$6:$L$10008,PURCHASE!$A$6:$A$10008,$AB$2,PURCHASE!$H$6:$H$10008,$A$4:$A$2700)</f>
        <v>0</v>
      </c>
      <c r="AE49" s="512">
        <f>SUMIFS(PURCHASE!$M$6:$M$10008,PURCHASE!$A$6:$A$10008,$AB$2,PURCHASE!$H$6:$H$10008,$A$4:$A$2700)</f>
        <v>11.700000000000001</v>
      </c>
      <c r="AF49" s="512">
        <f>SUMIFS(PURCHASE!$N$6:$N$10008,PURCHASE!$A$6:$A$10008,$AB$2,PURCHASE!$H$6:$H$10008,$A$4:$A$2700)</f>
        <v>11.700000000000001</v>
      </c>
      <c r="AG49" s="512">
        <f t="shared" si="17"/>
        <v>0</v>
      </c>
      <c r="AH49" s="512">
        <f>SUMIFS(PURCHASE!$K$6:$K$10008,PURCHASE!$A$6:$A$10008,$AG$2,PURCHASE!$H$6:$H$10008,$A$4:$A$2700)</f>
        <v>0</v>
      </c>
      <c r="AI49" s="512">
        <f>SUMIFS(PURCHASE!$L$6:$L$10008,PURCHASE!$A$6:$A$10008,$AG$2,PURCHASE!$H$6:$H$10008,$A$4:$A$2700)</f>
        <v>0</v>
      </c>
      <c r="AJ49" s="512">
        <f>SUMIFS(PURCHASE!$M$6:$M$10008,PURCHASE!$A$6:$A$10008,$AG$2,PURCHASE!$H$6:$H$10008,$A$4:$A$2700)</f>
        <v>0</v>
      </c>
      <c r="AK49" s="512">
        <f>SUMIFS(PURCHASE!$N$6:$N$10008,PURCHASE!$A$6:$A$10008,$AG$2,PURCHASE!$H$6:$H$10008,$A$4:$A$2700)</f>
        <v>0</v>
      </c>
      <c r="AL49" s="512">
        <f t="shared" si="18"/>
        <v>0</v>
      </c>
      <c r="AM49" s="512">
        <f>SUMIFS(PURCHASE!$K$6:$K$10008,PURCHASE!$A$6:$A$10008,$AL$2,PURCHASE!$H$6:$H$10008,$A$4:$A$2700)</f>
        <v>0</v>
      </c>
      <c r="AN49" s="512">
        <f>SUMIFS(PURCHASE!$L$6:$L$10008,PURCHASE!$A$6:$A$10008,$AL$2,PURCHASE!$H$6:$H$10008,$A$4:$A$2700)</f>
        <v>0</v>
      </c>
      <c r="AO49" s="512">
        <f>SUMIFS(PURCHASE!$M$6:$M$10008,PURCHASE!$A$6:$A$10008,$AL$2,PURCHASE!$H$6:$H$10008,$A$4:$A$2700)</f>
        <v>0</v>
      </c>
      <c r="AP49" s="512">
        <f>SUMIFS(PURCHASE!$N$6:$N$10008,PURCHASE!$A$6:$A$10008,$AL$2,PURCHASE!$H$6:$H$10008,$A$4:$A$2700)</f>
        <v>0</v>
      </c>
      <c r="AQ49" s="512">
        <f t="shared" si="19"/>
        <v>0</v>
      </c>
      <c r="AR49" s="512">
        <f>SUMIFS(PURCHASE!$K$6:$K$10008,PURCHASE!$A$6:$A$10008,$AQ$2,PURCHASE!$H$6:$H$10008,$A$4:$A$2700)</f>
        <v>0</v>
      </c>
      <c r="AS49" s="512">
        <f>SUMIFS(PURCHASE!$L$6:$L$10008,PURCHASE!$A$6:$A$10008,$AQ$2,PURCHASE!$H$6:$H$10008,$A$4:$A$2700)</f>
        <v>0</v>
      </c>
      <c r="AT49" s="512">
        <f>SUMIFS(PURCHASE!$M$6:$M$10008,PURCHASE!$A$6:$A$10008,$AQ$2,PURCHASE!$H$6:$H$10008,$A$4:$A$2700)</f>
        <v>0</v>
      </c>
      <c r="AU49" s="512">
        <f>SUMIFS(PURCHASE!$N$6:$N$10008,PURCHASE!$A$6:$A$10008,$AQ$2,PURCHASE!$H$6:$H$10008,$A$4:$A$2700)</f>
        <v>0</v>
      </c>
      <c r="AV49" s="512">
        <f t="shared" si="20"/>
        <v>0</v>
      </c>
      <c r="AW49" s="512">
        <f>SUMIFS(PURCHASE!$K$6:$K$10008,PURCHASE!$A$6:$A$10008,$AV$2,PURCHASE!$H$6:$H$10008,$A$4:$A$2700)</f>
        <v>0</v>
      </c>
      <c r="AX49" s="512">
        <f>SUMIFS(PURCHASE!$L$6:$L$10008,PURCHASE!$A$6:$A$10008,$AV$2,PURCHASE!$H$6:$H$10008,$A$4:$A$2700)</f>
        <v>0</v>
      </c>
      <c r="AY49" s="512">
        <f>SUMIFS(PURCHASE!$M$6:$M$10008,PURCHASE!$A$6:$A$10008,$AV$2,PURCHASE!$H$6:$H$10008,$A$4:$A$2700)</f>
        <v>0</v>
      </c>
      <c r="AZ49" s="512">
        <f>SUMIFS(PURCHASE!$N$6:$N$10008,PURCHASE!$A$6:$A$10008,$AV$2,PURCHASE!$H$6:$H$10008,$A$4:$A$2700)</f>
        <v>0</v>
      </c>
      <c r="BA49" s="512">
        <f t="shared" si="21"/>
        <v>0</v>
      </c>
      <c r="BB49" s="512">
        <f>SUMIFS(PURCHASE!$K$6:$K$10008,PURCHASE!$A$6:$A$10008,$BA$2,PURCHASE!$H$6:$H$10008,$A$4:$A$2700)</f>
        <v>0</v>
      </c>
      <c r="BC49" s="512">
        <f>SUMIFS(PURCHASE!$L$6:$L$10008,PURCHASE!$A$6:$A$10008,$BA$2,PURCHASE!$H$6:$H$10008,$A$4:$A$2700)</f>
        <v>0</v>
      </c>
      <c r="BD49" s="512">
        <f>SUMIFS(PURCHASE!$M$6:$M$10008,PURCHASE!$A$6:$A$10008,$BA$2,PURCHASE!$H$6:$H$10008,$A$4:$A$2700)</f>
        <v>0</v>
      </c>
      <c r="BE49" s="512">
        <f>SUMIFS(PURCHASE!$N$6:$N$10008,PURCHASE!$A$6:$A$10008,$BA$2,PURCHASE!$H$6:$H$10008,$A$4:$A$2700)</f>
        <v>0</v>
      </c>
      <c r="BF49" s="512">
        <f t="shared" si="22"/>
        <v>0</v>
      </c>
      <c r="BG49" s="512">
        <f>SUMIFS(PURCHASE!$K$6:$K$10008,PURCHASE!$A$6:$A$10008,$BF$2,PURCHASE!$H$6:$H$10008,$A$4:$A$2700)</f>
        <v>0</v>
      </c>
      <c r="BH49" s="512">
        <f>SUMIFS(PURCHASE!$L$6:$L$10008,PURCHASE!$A$6:$A$10008,$BF$2,PURCHASE!$H$6:$H$10008,$A$4:$A$2700)</f>
        <v>0</v>
      </c>
      <c r="BI49" s="512">
        <f>SUMIFS(PURCHASE!$M$6:$M$10008,PURCHASE!$A$6:$A$10008,$BF$2,PURCHASE!$H$6:$H$10008,$A$4:$A$2700)</f>
        <v>0</v>
      </c>
      <c r="BJ49" s="512">
        <f>SUMIFS(PURCHASE!$N$6:$N$10008,PURCHASE!$A$6:$A$10008,$BF$2,PURCHASE!$H$6:$H$10008,$A$4:$A$2700)</f>
        <v>0</v>
      </c>
      <c r="BK49" s="72">
        <f t="shared" si="6"/>
        <v>1772.3600000000001</v>
      </c>
      <c r="BL49" s="72">
        <f t="shared" si="7"/>
        <v>1502</v>
      </c>
      <c r="BM49" s="72">
        <f t="shared" si="8"/>
        <v>0</v>
      </c>
      <c r="BN49" s="72">
        <f t="shared" si="9"/>
        <v>135.18</v>
      </c>
      <c r="BO49" s="72">
        <f t="shared" si="10"/>
        <v>135.18</v>
      </c>
    </row>
    <row r="50" spans="1:67" x14ac:dyDescent="0.2">
      <c r="A50" s="509">
        <v>8409</v>
      </c>
      <c r="B50" s="467" t="s">
        <v>1194</v>
      </c>
      <c r="C50" s="512">
        <f t="shared" si="11"/>
        <v>0</v>
      </c>
      <c r="D50" s="512">
        <f>SUMIFS(PURCHASE!$K$6:$K$10008,PURCHASE!$A$6:$A$10008,$M$2,PURCHASE!$H$6:$H$10008,$A$4:$A$2700)</f>
        <v>0</v>
      </c>
      <c r="E50" s="512">
        <f>SUMIFS(PURCHASE!$L$6:$L$10008,PURCHASE!$A$6:$A$10008,$M$2,PURCHASE!$H$6:$H$10008,$A$4:$A$2700)</f>
        <v>0</v>
      </c>
      <c r="F50" s="512">
        <f>SUMIFS(PURCHASE!$M$6:$M$10008,PURCHASE!$A$6:$A$10008,$M$2,PURCHASE!$H$6:$H$10008,$A$4:$A$2700)</f>
        <v>0</v>
      </c>
      <c r="G50" s="512">
        <f>SUMIFS(PURCHASE!$N$6:$N$10008,PURCHASE!$A$6:$A$10008,$M$2,PURCHASE!$H$6:$H$10008,$A$4:$A$2700)</f>
        <v>0</v>
      </c>
      <c r="H50" s="512">
        <f t="shared" si="12"/>
        <v>0</v>
      </c>
      <c r="I50" s="512">
        <f>SUMIFS(PURCHASE!$K$6:$K$10008,PURCHASE!$A$6:$A$10008,$H$2,PURCHASE!$H$6:$H$10008,$A$4:$A$2700)</f>
        <v>0</v>
      </c>
      <c r="J50" s="512">
        <f>SUMIFS(PURCHASE!$L$6:$L$10008,PURCHASE!$A$6:$A$10008,$H$2,PURCHASE!$H$6:$H$10008,$A$4:$A$2700)</f>
        <v>0</v>
      </c>
      <c r="K50" s="512">
        <f>SUMIFS(PURCHASE!$M$6:$M$10008,PURCHASE!$A$6:$A$10008,$H$2,PURCHASE!$H$6:$H$10008,$A$4:$A$2700)</f>
        <v>0</v>
      </c>
      <c r="L50" s="512">
        <f>SUMIFS(PURCHASE!$N$6:$N$10008,PURCHASE!$A$6:$A$10008,$H$2,PURCHASE!$H$6:$H$10008,$A$4:$A$2700)</f>
        <v>0</v>
      </c>
      <c r="M50" s="512">
        <f t="shared" si="13"/>
        <v>0</v>
      </c>
      <c r="N50" s="512">
        <f>SUMIFS(PURCHASE!$K$6:$K$10008,PURCHASE!$A$6:$A$10008,$M$2,PURCHASE!$H$6:$H$10008,$A$4:$A$2700)</f>
        <v>0</v>
      </c>
      <c r="O50" s="512">
        <f>SUMIFS(PURCHASE!$L$6:$L$10008,PURCHASE!$A$6:$A$10008,$M$2,PURCHASE!$H$6:$H$10008,$A$4:$A$2700)</f>
        <v>0</v>
      </c>
      <c r="P50" s="512">
        <f>SUMIFS(PURCHASE!$M$6:$M$10008,PURCHASE!$A$6:$A$10008,$M$2,PURCHASE!$H$6:$H$10008,$A$4:$A$2700)</f>
        <v>0</v>
      </c>
      <c r="Q50" s="512">
        <f>SUMIFS(PURCHASE!$N$6:$N$10008,PURCHASE!$A$6:$A$10008,$M$2,PURCHASE!$H$6:$H$10008,$A$4:$A$2700)</f>
        <v>0</v>
      </c>
      <c r="R50" s="512">
        <f t="shared" si="14"/>
        <v>0</v>
      </c>
      <c r="S50" s="512">
        <f>SUMIFS(PURCHASE!$K$6:$K$10008,PURCHASE!$A$6:$A$10008,$R$2,PURCHASE!$H$6:$H$10008,$A$4:$A$2700)</f>
        <v>0</v>
      </c>
      <c r="T50" s="512">
        <f>SUMIFS(PURCHASE!$L$6:$L$10008,PURCHASE!$A$6:$A$10008,$R$2,PURCHASE!$H$6:$H$10008,$A$4:$A$2700)</f>
        <v>0</v>
      </c>
      <c r="U50" s="512">
        <f>SUMIFS(PURCHASE!$M$6:$M$10008,PURCHASE!$A$6:$A$10008,$R$2,PURCHASE!$H$6:$H$10008,$A$4:$A$2700)</f>
        <v>0</v>
      </c>
      <c r="V50" s="512">
        <f>SUMIFS(PURCHASE!$N$6:$N$10008,PURCHASE!$A$6:$A$10008,$R$2,PURCHASE!$H$6:$H$10008,$A$4:$A$2700)</f>
        <v>0</v>
      </c>
      <c r="W50" s="512">
        <f t="shared" si="15"/>
        <v>0</v>
      </c>
      <c r="X50" s="512">
        <f>SUMIFS(PURCHASE!$K$6:$K$10008,PURCHASE!$A$6:$A$10008,$W$2,PURCHASE!$H$6:$H$10008,$A$4:$A$2700)</f>
        <v>0</v>
      </c>
      <c r="Y50" s="512">
        <f>SUMIFS(PURCHASE!$L$6:$L$10008,PURCHASE!$A$6:$A$10008,$W$2,PURCHASE!$H$6:$H$10008,$A$4:$A$2700)</f>
        <v>0</v>
      </c>
      <c r="Z50" s="512">
        <f>SUMIFS(PURCHASE!$M$6:$M$10008,PURCHASE!$A$6:$A$10008,$W$2,PURCHASE!$H$6:$H$10008,$A$4:$A$2700)</f>
        <v>0</v>
      </c>
      <c r="AA50" s="512">
        <f>SUMIFS(PURCHASE!$N$6:$N$10008,PURCHASE!$A$6:$A$10008,$W$2,PURCHASE!$H$6:$H$10008,$A$4:$A$2700)</f>
        <v>0</v>
      </c>
      <c r="AB50" s="512">
        <f t="shared" si="16"/>
        <v>0</v>
      </c>
      <c r="AC50" s="512">
        <f>SUMIFS(PURCHASE!$K$6:$K$10008,PURCHASE!$A$6:$A$10008,$AB$2,PURCHASE!$H$6:$H$10008,$A$4:$A$2700)</f>
        <v>0</v>
      </c>
      <c r="AD50" s="512">
        <f>SUMIFS(PURCHASE!$L$6:$L$10008,PURCHASE!$A$6:$A$10008,$AB$2,PURCHASE!$H$6:$H$10008,$A$4:$A$2700)</f>
        <v>0</v>
      </c>
      <c r="AE50" s="512">
        <f>SUMIFS(PURCHASE!$M$6:$M$10008,PURCHASE!$A$6:$A$10008,$AB$2,PURCHASE!$H$6:$H$10008,$A$4:$A$2700)</f>
        <v>0</v>
      </c>
      <c r="AF50" s="512">
        <f>SUMIFS(PURCHASE!$N$6:$N$10008,PURCHASE!$A$6:$A$10008,$AB$2,PURCHASE!$H$6:$H$10008,$A$4:$A$2700)</f>
        <v>0</v>
      </c>
      <c r="AG50" s="512">
        <f t="shared" si="17"/>
        <v>0</v>
      </c>
      <c r="AH50" s="512">
        <f>SUMIFS(PURCHASE!$K$6:$K$10008,PURCHASE!$A$6:$A$10008,$AG$2,PURCHASE!$H$6:$H$10008,$A$4:$A$2700)</f>
        <v>0</v>
      </c>
      <c r="AI50" s="512">
        <f>SUMIFS(PURCHASE!$L$6:$L$10008,PURCHASE!$A$6:$A$10008,$AG$2,PURCHASE!$H$6:$H$10008,$A$4:$A$2700)</f>
        <v>0</v>
      </c>
      <c r="AJ50" s="512">
        <f>SUMIFS(PURCHASE!$M$6:$M$10008,PURCHASE!$A$6:$A$10008,$AG$2,PURCHASE!$H$6:$H$10008,$A$4:$A$2700)</f>
        <v>0</v>
      </c>
      <c r="AK50" s="512">
        <f>SUMIFS(PURCHASE!$N$6:$N$10008,PURCHASE!$A$6:$A$10008,$AG$2,PURCHASE!$H$6:$H$10008,$A$4:$A$2700)</f>
        <v>0</v>
      </c>
      <c r="AL50" s="512">
        <f t="shared" si="18"/>
        <v>0</v>
      </c>
      <c r="AM50" s="512">
        <f>SUMIFS(PURCHASE!$K$6:$K$10008,PURCHASE!$A$6:$A$10008,$AL$2,PURCHASE!$H$6:$H$10008,$A$4:$A$2700)</f>
        <v>0</v>
      </c>
      <c r="AN50" s="512">
        <f>SUMIFS(PURCHASE!$L$6:$L$10008,PURCHASE!$A$6:$A$10008,$AL$2,PURCHASE!$H$6:$H$10008,$A$4:$A$2700)</f>
        <v>0</v>
      </c>
      <c r="AO50" s="512">
        <f>SUMIFS(PURCHASE!$M$6:$M$10008,PURCHASE!$A$6:$A$10008,$AL$2,PURCHASE!$H$6:$H$10008,$A$4:$A$2700)</f>
        <v>0</v>
      </c>
      <c r="AP50" s="512">
        <f>SUMIFS(PURCHASE!$N$6:$N$10008,PURCHASE!$A$6:$A$10008,$AL$2,PURCHASE!$H$6:$H$10008,$A$4:$A$2700)</f>
        <v>0</v>
      </c>
      <c r="AQ50" s="512">
        <f t="shared" si="19"/>
        <v>0</v>
      </c>
      <c r="AR50" s="512">
        <f>SUMIFS(PURCHASE!$K$6:$K$10008,PURCHASE!$A$6:$A$10008,$AQ$2,PURCHASE!$H$6:$H$10008,$A$4:$A$2700)</f>
        <v>0</v>
      </c>
      <c r="AS50" s="512">
        <f>SUMIFS(PURCHASE!$L$6:$L$10008,PURCHASE!$A$6:$A$10008,$AQ$2,PURCHASE!$H$6:$H$10008,$A$4:$A$2700)</f>
        <v>0</v>
      </c>
      <c r="AT50" s="512">
        <f>SUMIFS(PURCHASE!$M$6:$M$10008,PURCHASE!$A$6:$A$10008,$AQ$2,PURCHASE!$H$6:$H$10008,$A$4:$A$2700)</f>
        <v>0</v>
      </c>
      <c r="AU50" s="512">
        <f>SUMIFS(PURCHASE!$N$6:$N$10008,PURCHASE!$A$6:$A$10008,$AQ$2,PURCHASE!$H$6:$H$10008,$A$4:$A$2700)</f>
        <v>0</v>
      </c>
      <c r="AV50" s="512">
        <f t="shared" si="20"/>
        <v>0</v>
      </c>
      <c r="AW50" s="512">
        <f>SUMIFS(PURCHASE!$K$6:$K$10008,PURCHASE!$A$6:$A$10008,$AV$2,PURCHASE!$H$6:$H$10008,$A$4:$A$2700)</f>
        <v>0</v>
      </c>
      <c r="AX50" s="512">
        <f>SUMIFS(PURCHASE!$L$6:$L$10008,PURCHASE!$A$6:$A$10008,$AV$2,PURCHASE!$H$6:$H$10008,$A$4:$A$2700)</f>
        <v>0</v>
      </c>
      <c r="AY50" s="512">
        <f>SUMIFS(PURCHASE!$M$6:$M$10008,PURCHASE!$A$6:$A$10008,$AV$2,PURCHASE!$H$6:$H$10008,$A$4:$A$2700)</f>
        <v>0</v>
      </c>
      <c r="AZ50" s="512">
        <f>SUMIFS(PURCHASE!$N$6:$N$10008,PURCHASE!$A$6:$A$10008,$AV$2,PURCHASE!$H$6:$H$10008,$A$4:$A$2700)</f>
        <v>0</v>
      </c>
      <c r="BA50" s="512">
        <f t="shared" si="21"/>
        <v>0</v>
      </c>
      <c r="BB50" s="512">
        <f>SUMIFS(PURCHASE!$K$6:$K$10008,PURCHASE!$A$6:$A$10008,$BA$2,PURCHASE!$H$6:$H$10008,$A$4:$A$2700)</f>
        <v>0</v>
      </c>
      <c r="BC50" s="512">
        <f>SUMIFS(PURCHASE!$L$6:$L$10008,PURCHASE!$A$6:$A$10008,$BA$2,PURCHASE!$H$6:$H$10008,$A$4:$A$2700)</f>
        <v>0</v>
      </c>
      <c r="BD50" s="512">
        <f>SUMIFS(PURCHASE!$M$6:$M$10008,PURCHASE!$A$6:$A$10008,$BA$2,PURCHASE!$H$6:$H$10008,$A$4:$A$2700)</f>
        <v>0</v>
      </c>
      <c r="BE50" s="512">
        <f>SUMIFS(PURCHASE!$N$6:$N$10008,PURCHASE!$A$6:$A$10008,$BA$2,PURCHASE!$H$6:$H$10008,$A$4:$A$2700)</f>
        <v>0</v>
      </c>
      <c r="BF50" s="512">
        <f t="shared" si="22"/>
        <v>0</v>
      </c>
      <c r="BG50" s="512">
        <f>SUMIFS(PURCHASE!$K$6:$K$10008,PURCHASE!$A$6:$A$10008,$BF$2,PURCHASE!$H$6:$H$10008,$A$4:$A$2700)</f>
        <v>0</v>
      </c>
      <c r="BH50" s="512">
        <f>SUMIFS(PURCHASE!$L$6:$L$10008,PURCHASE!$A$6:$A$10008,$BF$2,PURCHASE!$H$6:$H$10008,$A$4:$A$2700)</f>
        <v>0</v>
      </c>
      <c r="BI50" s="512">
        <f>SUMIFS(PURCHASE!$M$6:$M$10008,PURCHASE!$A$6:$A$10008,$BF$2,PURCHASE!$H$6:$H$10008,$A$4:$A$2700)</f>
        <v>0</v>
      </c>
      <c r="BJ50" s="512">
        <f>SUMIFS(PURCHASE!$N$6:$N$10008,PURCHASE!$A$6:$A$10008,$BF$2,PURCHASE!$H$6:$H$10008,$A$4:$A$2700)</f>
        <v>0</v>
      </c>
      <c r="BK50" s="72">
        <f t="shared" si="6"/>
        <v>0</v>
      </c>
      <c r="BL50" s="72">
        <f t="shared" si="7"/>
        <v>0</v>
      </c>
      <c r="BM50" s="72">
        <f t="shared" si="8"/>
        <v>0</v>
      </c>
      <c r="BN50" s="72">
        <f t="shared" si="9"/>
        <v>0</v>
      </c>
      <c r="BO50" s="72">
        <f t="shared" si="10"/>
        <v>0</v>
      </c>
    </row>
    <row r="51" spans="1:67" x14ac:dyDescent="0.2">
      <c r="A51" s="511">
        <v>8414</v>
      </c>
      <c r="B51" s="467" t="s">
        <v>1222</v>
      </c>
      <c r="C51" s="512">
        <f t="shared" si="11"/>
        <v>7493</v>
      </c>
      <c r="D51" s="512">
        <f>SUMIFS(PURCHASE!$K$6:$K$10008,PURCHASE!$A$6:$A$10008,$M$2,PURCHASE!$H$6:$H$10008,$A$4:$A$2700)</f>
        <v>6350</v>
      </c>
      <c r="E51" s="512">
        <f>SUMIFS(PURCHASE!$L$6:$L$10008,PURCHASE!$A$6:$A$10008,$M$2,PURCHASE!$H$6:$H$10008,$A$4:$A$2700)</f>
        <v>0</v>
      </c>
      <c r="F51" s="512">
        <f>SUMIFS(PURCHASE!$M$6:$M$10008,PURCHASE!$A$6:$A$10008,$M$2,PURCHASE!$H$6:$H$10008,$A$4:$A$2700)</f>
        <v>571.5</v>
      </c>
      <c r="G51" s="512">
        <f>SUMIFS(PURCHASE!$N$6:$N$10008,PURCHASE!$A$6:$A$10008,$M$2,PURCHASE!$H$6:$H$10008,$A$4:$A$2700)</f>
        <v>571.5</v>
      </c>
      <c r="H51" s="512">
        <f t="shared" si="12"/>
        <v>0</v>
      </c>
      <c r="I51" s="512">
        <f>SUMIFS(PURCHASE!$K$6:$K$10008,PURCHASE!$A$6:$A$10008,$H$2,PURCHASE!$H$6:$H$10008,$A$4:$A$2700)</f>
        <v>0</v>
      </c>
      <c r="J51" s="512">
        <f>SUMIFS(PURCHASE!$L$6:$L$10008,PURCHASE!$A$6:$A$10008,$H$2,PURCHASE!$H$6:$H$10008,$A$4:$A$2700)</f>
        <v>0</v>
      </c>
      <c r="K51" s="512">
        <f>SUMIFS(PURCHASE!$M$6:$M$10008,PURCHASE!$A$6:$A$10008,$H$2,PURCHASE!$H$6:$H$10008,$A$4:$A$2700)</f>
        <v>0</v>
      </c>
      <c r="L51" s="512">
        <f>SUMIFS(PURCHASE!$N$6:$N$10008,PURCHASE!$A$6:$A$10008,$H$2,PURCHASE!$H$6:$H$10008,$A$4:$A$2700)</f>
        <v>0</v>
      </c>
      <c r="M51" s="512">
        <f t="shared" si="13"/>
        <v>7493</v>
      </c>
      <c r="N51" s="512">
        <f>SUMIFS(PURCHASE!$K$6:$K$10008,PURCHASE!$A$6:$A$10008,$M$2,PURCHASE!$H$6:$H$10008,$A$4:$A$2700)</f>
        <v>6350</v>
      </c>
      <c r="O51" s="512">
        <f>SUMIFS(PURCHASE!$L$6:$L$10008,PURCHASE!$A$6:$A$10008,$M$2,PURCHASE!$H$6:$H$10008,$A$4:$A$2700)</f>
        <v>0</v>
      </c>
      <c r="P51" s="512">
        <f>SUMIFS(PURCHASE!$M$6:$M$10008,PURCHASE!$A$6:$A$10008,$M$2,PURCHASE!$H$6:$H$10008,$A$4:$A$2700)</f>
        <v>571.5</v>
      </c>
      <c r="Q51" s="512">
        <f>SUMIFS(PURCHASE!$N$6:$N$10008,PURCHASE!$A$6:$A$10008,$M$2,PURCHASE!$H$6:$H$10008,$A$4:$A$2700)</f>
        <v>571.5</v>
      </c>
      <c r="R51" s="512">
        <f t="shared" si="14"/>
        <v>0</v>
      </c>
      <c r="S51" s="512">
        <f>SUMIFS(PURCHASE!$K$6:$K$10008,PURCHASE!$A$6:$A$10008,$R$2,PURCHASE!$H$6:$H$10008,$A$4:$A$2700)</f>
        <v>0</v>
      </c>
      <c r="T51" s="512">
        <f>SUMIFS(PURCHASE!$L$6:$L$10008,PURCHASE!$A$6:$A$10008,$R$2,PURCHASE!$H$6:$H$10008,$A$4:$A$2700)</f>
        <v>0</v>
      </c>
      <c r="U51" s="512">
        <f>SUMIFS(PURCHASE!$M$6:$M$10008,PURCHASE!$A$6:$A$10008,$R$2,PURCHASE!$H$6:$H$10008,$A$4:$A$2700)</f>
        <v>0</v>
      </c>
      <c r="V51" s="512">
        <f>SUMIFS(PURCHASE!$N$6:$N$10008,PURCHASE!$A$6:$A$10008,$R$2,PURCHASE!$H$6:$H$10008,$A$4:$A$2700)</f>
        <v>0</v>
      </c>
      <c r="W51" s="512">
        <f t="shared" si="15"/>
        <v>8614</v>
      </c>
      <c r="X51" s="512">
        <f>SUMIFS(PURCHASE!$K$6:$K$10008,PURCHASE!$A$6:$A$10008,$W$2,PURCHASE!$H$6:$H$10008,$A$4:$A$2700)</f>
        <v>7300</v>
      </c>
      <c r="Y51" s="512">
        <f>SUMIFS(PURCHASE!$L$6:$L$10008,PURCHASE!$A$6:$A$10008,$W$2,PURCHASE!$H$6:$H$10008,$A$4:$A$2700)</f>
        <v>0</v>
      </c>
      <c r="Z51" s="512">
        <f>SUMIFS(PURCHASE!$M$6:$M$10008,PURCHASE!$A$6:$A$10008,$W$2,PURCHASE!$H$6:$H$10008,$A$4:$A$2700)</f>
        <v>657</v>
      </c>
      <c r="AA51" s="512">
        <f>SUMIFS(PURCHASE!$N$6:$N$10008,PURCHASE!$A$6:$A$10008,$W$2,PURCHASE!$H$6:$H$10008,$A$4:$A$2700)</f>
        <v>657</v>
      </c>
      <c r="AB51" s="512">
        <f t="shared" si="16"/>
        <v>0</v>
      </c>
      <c r="AC51" s="512">
        <f>SUMIFS(PURCHASE!$K$6:$K$10008,PURCHASE!$A$6:$A$10008,$AB$2,PURCHASE!$H$6:$H$10008,$A$4:$A$2700)</f>
        <v>0</v>
      </c>
      <c r="AD51" s="512">
        <f>SUMIFS(PURCHASE!$L$6:$L$10008,PURCHASE!$A$6:$A$10008,$AB$2,PURCHASE!$H$6:$H$10008,$A$4:$A$2700)</f>
        <v>0</v>
      </c>
      <c r="AE51" s="512">
        <f>SUMIFS(PURCHASE!$M$6:$M$10008,PURCHASE!$A$6:$A$10008,$AB$2,PURCHASE!$H$6:$H$10008,$A$4:$A$2700)</f>
        <v>0</v>
      </c>
      <c r="AF51" s="512">
        <f>SUMIFS(PURCHASE!$N$6:$N$10008,PURCHASE!$A$6:$A$10008,$AB$2,PURCHASE!$H$6:$H$10008,$A$4:$A$2700)</f>
        <v>0</v>
      </c>
      <c r="AG51" s="512">
        <f t="shared" si="17"/>
        <v>0</v>
      </c>
      <c r="AH51" s="512">
        <f>SUMIFS(PURCHASE!$K$6:$K$10008,PURCHASE!$A$6:$A$10008,$AG$2,PURCHASE!$H$6:$H$10008,$A$4:$A$2700)</f>
        <v>0</v>
      </c>
      <c r="AI51" s="512">
        <f>SUMIFS(PURCHASE!$L$6:$L$10008,PURCHASE!$A$6:$A$10008,$AG$2,PURCHASE!$H$6:$H$10008,$A$4:$A$2700)</f>
        <v>0</v>
      </c>
      <c r="AJ51" s="512">
        <f>SUMIFS(PURCHASE!$M$6:$M$10008,PURCHASE!$A$6:$A$10008,$AG$2,PURCHASE!$H$6:$H$10008,$A$4:$A$2700)</f>
        <v>0</v>
      </c>
      <c r="AK51" s="512">
        <f>SUMIFS(PURCHASE!$N$6:$N$10008,PURCHASE!$A$6:$A$10008,$AG$2,PURCHASE!$H$6:$H$10008,$A$4:$A$2700)</f>
        <v>0</v>
      </c>
      <c r="AL51" s="512">
        <f t="shared" si="18"/>
        <v>0</v>
      </c>
      <c r="AM51" s="512">
        <f>SUMIFS(PURCHASE!$K$6:$K$10008,PURCHASE!$A$6:$A$10008,$AL$2,PURCHASE!$H$6:$H$10008,$A$4:$A$2700)</f>
        <v>0</v>
      </c>
      <c r="AN51" s="512">
        <f>SUMIFS(PURCHASE!$L$6:$L$10008,PURCHASE!$A$6:$A$10008,$AL$2,PURCHASE!$H$6:$H$10008,$A$4:$A$2700)</f>
        <v>0</v>
      </c>
      <c r="AO51" s="512">
        <f>SUMIFS(PURCHASE!$M$6:$M$10008,PURCHASE!$A$6:$A$10008,$AL$2,PURCHASE!$H$6:$H$10008,$A$4:$A$2700)</f>
        <v>0</v>
      </c>
      <c r="AP51" s="512">
        <f>SUMIFS(PURCHASE!$N$6:$N$10008,PURCHASE!$A$6:$A$10008,$AL$2,PURCHASE!$H$6:$H$10008,$A$4:$A$2700)</f>
        <v>0</v>
      </c>
      <c r="AQ51" s="512">
        <f t="shared" si="19"/>
        <v>0</v>
      </c>
      <c r="AR51" s="512">
        <f>SUMIFS(PURCHASE!$K$6:$K$10008,PURCHASE!$A$6:$A$10008,$AQ$2,PURCHASE!$H$6:$H$10008,$A$4:$A$2700)</f>
        <v>0</v>
      </c>
      <c r="AS51" s="512">
        <f>SUMIFS(PURCHASE!$L$6:$L$10008,PURCHASE!$A$6:$A$10008,$AQ$2,PURCHASE!$H$6:$H$10008,$A$4:$A$2700)</f>
        <v>0</v>
      </c>
      <c r="AT51" s="512">
        <f>SUMIFS(PURCHASE!$M$6:$M$10008,PURCHASE!$A$6:$A$10008,$AQ$2,PURCHASE!$H$6:$H$10008,$A$4:$A$2700)</f>
        <v>0</v>
      </c>
      <c r="AU51" s="512">
        <f>SUMIFS(PURCHASE!$N$6:$N$10008,PURCHASE!$A$6:$A$10008,$AQ$2,PURCHASE!$H$6:$H$10008,$A$4:$A$2700)</f>
        <v>0</v>
      </c>
      <c r="AV51" s="512">
        <f t="shared" si="20"/>
        <v>0</v>
      </c>
      <c r="AW51" s="512">
        <f>SUMIFS(PURCHASE!$K$6:$K$10008,PURCHASE!$A$6:$A$10008,$AV$2,PURCHASE!$H$6:$H$10008,$A$4:$A$2700)</f>
        <v>0</v>
      </c>
      <c r="AX51" s="512">
        <f>SUMIFS(PURCHASE!$L$6:$L$10008,PURCHASE!$A$6:$A$10008,$AV$2,PURCHASE!$H$6:$H$10008,$A$4:$A$2700)</f>
        <v>0</v>
      </c>
      <c r="AY51" s="512">
        <f>SUMIFS(PURCHASE!$M$6:$M$10008,PURCHASE!$A$6:$A$10008,$AV$2,PURCHASE!$H$6:$H$10008,$A$4:$A$2700)</f>
        <v>0</v>
      </c>
      <c r="AZ51" s="512">
        <f>SUMIFS(PURCHASE!$N$6:$N$10008,PURCHASE!$A$6:$A$10008,$AV$2,PURCHASE!$H$6:$H$10008,$A$4:$A$2700)</f>
        <v>0</v>
      </c>
      <c r="BA51" s="512">
        <f t="shared" si="21"/>
        <v>0</v>
      </c>
      <c r="BB51" s="512">
        <f>SUMIFS(PURCHASE!$K$6:$K$10008,PURCHASE!$A$6:$A$10008,$BA$2,PURCHASE!$H$6:$H$10008,$A$4:$A$2700)</f>
        <v>0</v>
      </c>
      <c r="BC51" s="512">
        <f>SUMIFS(PURCHASE!$L$6:$L$10008,PURCHASE!$A$6:$A$10008,$BA$2,PURCHASE!$H$6:$H$10008,$A$4:$A$2700)</f>
        <v>0</v>
      </c>
      <c r="BD51" s="512">
        <f>SUMIFS(PURCHASE!$M$6:$M$10008,PURCHASE!$A$6:$A$10008,$BA$2,PURCHASE!$H$6:$H$10008,$A$4:$A$2700)</f>
        <v>0</v>
      </c>
      <c r="BE51" s="512">
        <f>SUMIFS(PURCHASE!$N$6:$N$10008,PURCHASE!$A$6:$A$10008,$BA$2,PURCHASE!$H$6:$H$10008,$A$4:$A$2700)</f>
        <v>0</v>
      </c>
      <c r="BF51" s="512">
        <f t="shared" si="22"/>
        <v>0</v>
      </c>
      <c r="BG51" s="512">
        <f>SUMIFS(PURCHASE!$K$6:$K$10008,PURCHASE!$A$6:$A$10008,$BF$2,PURCHASE!$H$6:$H$10008,$A$4:$A$2700)</f>
        <v>0</v>
      </c>
      <c r="BH51" s="512">
        <f>SUMIFS(PURCHASE!$L$6:$L$10008,PURCHASE!$A$6:$A$10008,$BF$2,PURCHASE!$H$6:$H$10008,$A$4:$A$2700)</f>
        <v>0</v>
      </c>
      <c r="BI51" s="512">
        <f>SUMIFS(PURCHASE!$M$6:$M$10008,PURCHASE!$A$6:$A$10008,$BF$2,PURCHASE!$H$6:$H$10008,$A$4:$A$2700)</f>
        <v>0</v>
      </c>
      <c r="BJ51" s="512">
        <f>SUMIFS(PURCHASE!$N$6:$N$10008,PURCHASE!$A$6:$A$10008,$BF$2,PURCHASE!$H$6:$H$10008,$A$4:$A$2700)</f>
        <v>0</v>
      </c>
      <c r="BK51" s="72">
        <f t="shared" si="6"/>
        <v>23600</v>
      </c>
      <c r="BL51" s="72">
        <f t="shared" si="7"/>
        <v>20000</v>
      </c>
      <c r="BM51" s="72">
        <f t="shared" si="8"/>
        <v>0</v>
      </c>
      <c r="BN51" s="72">
        <f t="shared" si="9"/>
        <v>1800</v>
      </c>
      <c r="BO51" s="72">
        <f t="shared" si="10"/>
        <v>1800</v>
      </c>
    </row>
    <row r="52" spans="1:67" x14ac:dyDescent="0.2">
      <c r="A52" s="509">
        <v>8421</v>
      </c>
      <c r="B52" s="467" t="s">
        <v>1223</v>
      </c>
      <c r="C52" s="512">
        <f t="shared" si="11"/>
        <v>0</v>
      </c>
      <c r="D52" s="512">
        <f>SUMIFS(PURCHASE!$K$6:$K$10008,PURCHASE!$A$6:$A$10008,$M$2,PURCHASE!$H$6:$H$10008,$A$4:$A$2700)</f>
        <v>0</v>
      </c>
      <c r="E52" s="512">
        <f>SUMIFS(PURCHASE!$L$6:$L$10008,PURCHASE!$A$6:$A$10008,$M$2,PURCHASE!$H$6:$H$10008,$A$4:$A$2700)</f>
        <v>0</v>
      </c>
      <c r="F52" s="512">
        <f>SUMIFS(PURCHASE!$M$6:$M$10008,PURCHASE!$A$6:$A$10008,$M$2,PURCHASE!$H$6:$H$10008,$A$4:$A$2700)</f>
        <v>0</v>
      </c>
      <c r="G52" s="512">
        <f>SUMIFS(PURCHASE!$N$6:$N$10008,PURCHASE!$A$6:$A$10008,$M$2,PURCHASE!$H$6:$H$10008,$A$4:$A$2700)</f>
        <v>0</v>
      </c>
      <c r="H52" s="512">
        <f t="shared" si="12"/>
        <v>0</v>
      </c>
      <c r="I52" s="512">
        <f>SUMIFS(PURCHASE!$K$6:$K$10008,PURCHASE!$A$6:$A$10008,$H$2,PURCHASE!$H$6:$H$10008,$A$4:$A$2700)</f>
        <v>0</v>
      </c>
      <c r="J52" s="512">
        <f>SUMIFS(PURCHASE!$L$6:$L$10008,PURCHASE!$A$6:$A$10008,$H$2,PURCHASE!$H$6:$H$10008,$A$4:$A$2700)</f>
        <v>0</v>
      </c>
      <c r="K52" s="512">
        <f>SUMIFS(PURCHASE!$M$6:$M$10008,PURCHASE!$A$6:$A$10008,$H$2,PURCHASE!$H$6:$H$10008,$A$4:$A$2700)</f>
        <v>0</v>
      </c>
      <c r="L52" s="512">
        <f>SUMIFS(PURCHASE!$N$6:$N$10008,PURCHASE!$A$6:$A$10008,$H$2,PURCHASE!$H$6:$H$10008,$A$4:$A$2700)</f>
        <v>0</v>
      </c>
      <c r="M52" s="512">
        <f t="shared" si="13"/>
        <v>0</v>
      </c>
      <c r="N52" s="512">
        <f>SUMIFS(PURCHASE!$K$6:$K$10008,PURCHASE!$A$6:$A$10008,$M$2,PURCHASE!$H$6:$H$10008,$A$4:$A$2700)</f>
        <v>0</v>
      </c>
      <c r="O52" s="512">
        <f>SUMIFS(PURCHASE!$L$6:$L$10008,PURCHASE!$A$6:$A$10008,$M$2,PURCHASE!$H$6:$H$10008,$A$4:$A$2700)</f>
        <v>0</v>
      </c>
      <c r="P52" s="512">
        <f>SUMIFS(PURCHASE!$M$6:$M$10008,PURCHASE!$A$6:$A$10008,$M$2,PURCHASE!$H$6:$H$10008,$A$4:$A$2700)</f>
        <v>0</v>
      </c>
      <c r="Q52" s="512">
        <f>SUMIFS(PURCHASE!$N$6:$N$10008,PURCHASE!$A$6:$A$10008,$M$2,PURCHASE!$H$6:$H$10008,$A$4:$A$2700)</f>
        <v>0</v>
      </c>
      <c r="R52" s="512">
        <f t="shared" si="14"/>
        <v>0</v>
      </c>
      <c r="S52" s="512">
        <f>SUMIFS(PURCHASE!$K$6:$K$10008,PURCHASE!$A$6:$A$10008,$R$2,PURCHASE!$H$6:$H$10008,$A$4:$A$2700)</f>
        <v>0</v>
      </c>
      <c r="T52" s="512">
        <f>SUMIFS(PURCHASE!$L$6:$L$10008,PURCHASE!$A$6:$A$10008,$R$2,PURCHASE!$H$6:$H$10008,$A$4:$A$2700)</f>
        <v>0</v>
      </c>
      <c r="U52" s="512">
        <f>SUMIFS(PURCHASE!$M$6:$M$10008,PURCHASE!$A$6:$A$10008,$R$2,PURCHASE!$H$6:$H$10008,$A$4:$A$2700)</f>
        <v>0</v>
      </c>
      <c r="V52" s="512">
        <f>SUMIFS(PURCHASE!$N$6:$N$10008,PURCHASE!$A$6:$A$10008,$R$2,PURCHASE!$H$6:$H$10008,$A$4:$A$2700)</f>
        <v>0</v>
      </c>
      <c r="W52" s="512">
        <f t="shared" si="15"/>
        <v>0</v>
      </c>
      <c r="X52" s="512">
        <f>SUMIFS(PURCHASE!$K$6:$K$10008,PURCHASE!$A$6:$A$10008,$W$2,PURCHASE!$H$6:$H$10008,$A$4:$A$2700)</f>
        <v>0</v>
      </c>
      <c r="Y52" s="512">
        <f>SUMIFS(PURCHASE!$L$6:$L$10008,PURCHASE!$A$6:$A$10008,$W$2,PURCHASE!$H$6:$H$10008,$A$4:$A$2700)</f>
        <v>0</v>
      </c>
      <c r="Z52" s="512">
        <f>SUMIFS(PURCHASE!$M$6:$M$10008,PURCHASE!$A$6:$A$10008,$W$2,PURCHASE!$H$6:$H$10008,$A$4:$A$2700)</f>
        <v>0</v>
      </c>
      <c r="AA52" s="512">
        <f>SUMIFS(PURCHASE!$N$6:$N$10008,PURCHASE!$A$6:$A$10008,$W$2,PURCHASE!$H$6:$H$10008,$A$4:$A$2700)</f>
        <v>0</v>
      </c>
      <c r="AB52" s="512">
        <f t="shared" si="16"/>
        <v>0</v>
      </c>
      <c r="AC52" s="512">
        <f>SUMIFS(PURCHASE!$K$6:$K$10008,PURCHASE!$A$6:$A$10008,$AB$2,PURCHASE!$H$6:$H$10008,$A$4:$A$2700)</f>
        <v>0</v>
      </c>
      <c r="AD52" s="512">
        <f>SUMIFS(PURCHASE!$L$6:$L$10008,PURCHASE!$A$6:$A$10008,$AB$2,PURCHASE!$H$6:$H$10008,$A$4:$A$2700)</f>
        <v>0</v>
      </c>
      <c r="AE52" s="512">
        <f>SUMIFS(PURCHASE!$M$6:$M$10008,PURCHASE!$A$6:$A$10008,$AB$2,PURCHASE!$H$6:$H$10008,$A$4:$A$2700)</f>
        <v>0</v>
      </c>
      <c r="AF52" s="512">
        <f>SUMIFS(PURCHASE!$N$6:$N$10008,PURCHASE!$A$6:$A$10008,$AB$2,PURCHASE!$H$6:$H$10008,$A$4:$A$2700)</f>
        <v>0</v>
      </c>
      <c r="AG52" s="512">
        <f t="shared" si="17"/>
        <v>0</v>
      </c>
      <c r="AH52" s="512">
        <f>SUMIFS(PURCHASE!$K$6:$K$10008,PURCHASE!$A$6:$A$10008,$AG$2,PURCHASE!$H$6:$H$10008,$A$4:$A$2700)</f>
        <v>0</v>
      </c>
      <c r="AI52" s="512">
        <f>SUMIFS(PURCHASE!$L$6:$L$10008,PURCHASE!$A$6:$A$10008,$AG$2,PURCHASE!$H$6:$H$10008,$A$4:$A$2700)</f>
        <v>0</v>
      </c>
      <c r="AJ52" s="512">
        <f>SUMIFS(PURCHASE!$M$6:$M$10008,PURCHASE!$A$6:$A$10008,$AG$2,PURCHASE!$H$6:$H$10008,$A$4:$A$2700)</f>
        <v>0</v>
      </c>
      <c r="AK52" s="512">
        <f>SUMIFS(PURCHASE!$N$6:$N$10008,PURCHASE!$A$6:$A$10008,$AG$2,PURCHASE!$H$6:$H$10008,$A$4:$A$2700)</f>
        <v>0</v>
      </c>
      <c r="AL52" s="512">
        <f t="shared" si="18"/>
        <v>0</v>
      </c>
      <c r="AM52" s="512">
        <f>SUMIFS(PURCHASE!$K$6:$K$10008,PURCHASE!$A$6:$A$10008,$AL$2,PURCHASE!$H$6:$H$10008,$A$4:$A$2700)</f>
        <v>0</v>
      </c>
      <c r="AN52" s="512">
        <f>SUMIFS(PURCHASE!$L$6:$L$10008,PURCHASE!$A$6:$A$10008,$AL$2,PURCHASE!$H$6:$H$10008,$A$4:$A$2700)</f>
        <v>0</v>
      </c>
      <c r="AO52" s="512">
        <f>SUMIFS(PURCHASE!$M$6:$M$10008,PURCHASE!$A$6:$A$10008,$AL$2,PURCHASE!$H$6:$H$10008,$A$4:$A$2700)</f>
        <v>0</v>
      </c>
      <c r="AP52" s="512">
        <f>SUMIFS(PURCHASE!$N$6:$N$10008,PURCHASE!$A$6:$A$10008,$AL$2,PURCHASE!$H$6:$H$10008,$A$4:$A$2700)</f>
        <v>0</v>
      </c>
      <c r="AQ52" s="512">
        <f t="shared" si="19"/>
        <v>0</v>
      </c>
      <c r="AR52" s="512">
        <f>SUMIFS(PURCHASE!$K$6:$K$10008,PURCHASE!$A$6:$A$10008,$AQ$2,PURCHASE!$H$6:$H$10008,$A$4:$A$2700)</f>
        <v>0</v>
      </c>
      <c r="AS52" s="512">
        <f>SUMIFS(PURCHASE!$L$6:$L$10008,PURCHASE!$A$6:$A$10008,$AQ$2,PURCHASE!$H$6:$H$10008,$A$4:$A$2700)</f>
        <v>0</v>
      </c>
      <c r="AT52" s="512">
        <f>SUMIFS(PURCHASE!$M$6:$M$10008,PURCHASE!$A$6:$A$10008,$AQ$2,PURCHASE!$H$6:$H$10008,$A$4:$A$2700)</f>
        <v>0</v>
      </c>
      <c r="AU52" s="512">
        <f>SUMIFS(PURCHASE!$N$6:$N$10008,PURCHASE!$A$6:$A$10008,$AQ$2,PURCHASE!$H$6:$H$10008,$A$4:$A$2700)</f>
        <v>0</v>
      </c>
      <c r="AV52" s="512">
        <f t="shared" si="20"/>
        <v>0</v>
      </c>
      <c r="AW52" s="512">
        <f>SUMIFS(PURCHASE!$K$6:$K$10008,PURCHASE!$A$6:$A$10008,$AV$2,PURCHASE!$H$6:$H$10008,$A$4:$A$2700)</f>
        <v>0</v>
      </c>
      <c r="AX52" s="512">
        <f>SUMIFS(PURCHASE!$L$6:$L$10008,PURCHASE!$A$6:$A$10008,$AV$2,PURCHASE!$H$6:$H$10008,$A$4:$A$2700)</f>
        <v>0</v>
      </c>
      <c r="AY52" s="512">
        <f>SUMIFS(PURCHASE!$M$6:$M$10008,PURCHASE!$A$6:$A$10008,$AV$2,PURCHASE!$H$6:$H$10008,$A$4:$A$2700)</f>
        <v>0</v>
      </c>
      <c r="AZ52" s="512">
        <f>SUMIFS(PURCHASE!$N$6:$N$10008,PURCHASE!$A$6:$A$10008,$AV$2,PURCHASE!$H$6:$H$10008,$A$4:$A$2700)</f>
        <v>0</v>
      </c>
      <c r="BA52" s="512">
        <f t="shared" si="21"/>
        <v>0</v>
      </c>
      <c r="BB52" s="512">
        <f>SUMIFS(PURCHASE!$K$6:$K$10008,PURCHASE!$A$6:$A$10008,$BA$2,PURCHASE!$H$6:$H$10008,$A$4:$A$2700)</f>
        <v>0</v>
      </c>
      <c r="BC52" s="512">
        <f>SUMIFS(PURCHASE!$L$6:$L$10008,PURCHASE!$A$6:$A$10008,$BA$2,PURCHASE!$H$6:$H$10008,$A$4:$A$2700)</f>
        <v>0</v>
      </c>
      <c r="BD52" s="512">
        <f>SUMIFS(PURCHASE!$M$6:$M$10008,PURCHASE!$A$6:$A$10008,$BA$2,PURCHASE!$H$6:$H$10008,$A$4:$A$2700)</f>
        <v>0</v>
      </c>
      <c r="BE52" s="512">
        <f>SUMIFS(PURCHASE!$N$6:$N$10008,PURCHASE!$A$6:$A$10008,$BA$2,PURCHASE!$H$6:$H$10008,$A$4:$A$2700)</f>
        <v>0</v>
      </c>
      <c r="BF52" s="512">
        <f t="shared" si="22"/>
        <v>0</v>
      </c>
      <c r="BG52" s="512">
        <f>SUMIFS(PURCHASE!$K$6:$K$10008,PURCHASE!$A$6:$A$10008,$BF$2,PURCHASE!$H$6:$H$10008,$A$4:$A$2700)</f>
        <v>0</v>
      </c>
      <c r="BH52" s="512">
        <f>SUMIFS(PURCHASE!$L$6:$L$10008,PURCHASE!$A$6:$A$10008,$BF$2,PURCHASE!$H$6:$H$10008,$A$4:$A$2700)</f>
        <v>0</v>
      </c>
      <c r="BI52" s="512">
        <f>SUMIFS(PURCHASE!$M$6:$M$10008,PURCHASE!$A$6:$A$10008,$BF$2,PURCHASE!$H$6:$H$10008,$A$4:$A$2700)</f>
        <v>0</v>
      </c>
      <c r="BJ52" s="512">
        <f>SUMIFS(PURCHASE!$N$6:$N$10008,PURCHASE!$A$6:$A$10008,$BF$2,PURCHASE!$H$6:$H$10008,$A$4:$A$2700)</f>
        <v>0</v>
      </c>
      <c r="BK52" s="72">
        <f t="shared" si="6"/>
        <v>0</v>
      </c>
      <c r="BL52" s="72">
        <f t="shared" si="7"/>
        <v>0</v>
      </c>
      <c r="BM52" s="72">
        <f t="shared" si="8"/>
        <v>0</v>
      </c>
      <c r="BN52" s="72">
        <f t="shared" si="9"/>
        <v>0</v>
      </c>
      <c r="BO52" s="72">
        <f t="shared" si="10"/>
        <v>0</v>
      </c>
    </row>
    <row r="53" spans="1:67" x14ac:dyDescent="0.2">
      <c r="A53" s="511">
        <v>8467</v>
      </c>
      <c r="B53" s="500" t="s">
        <v>1224</v>
      </c>
      <c r="C53" s="512">
        <f t="shared" si="11"/>
        <v>0</v>
      </c>
      <c r="D53" s="512">
        <f>SUMIFS(PURCHASE!$K$6:$K$10008,PURCHASE!$A$6:$A$10008,$M$2,PURCHASE!$H$6:$H$10008,$A$4:$A$2700)</f>
        <v>0</v>
      </c>
      <c r="E53" s="512">
        <f>SUMIFS(PURCHASE!$L$6:$L$10008,PURCHASE!$A$6:$A$10008,$M$2,PURCHASE!$H$6:$H$10008,$A$4:$A$2700)</f>
        <v>0</v>
      </c>
      <c r="F53" s="512">
        <f>SUMIFS(PURCHASE!$M$6:$M$10008,PURCHASE!$A$6:$A$10008,$M$2,PURCHASE!$H$6:$H$10008,$A$4:$A$2700)</f>
        <v>0</v>
      </c>
      <c r="G53" s="512">
        <f>SUMIFS(PURCHASE!$N$6:$N$10008,PURCHASE!$A$6:$A$10008,$M$2,PURCHASE!$H$6:$H$10008,$A$4:$A$2700)</f>
        <v>0</v>
      </c>
      <c r="H53" s="512">
        <f t="shared" si="12"/>
        <v>0</v>
      </c>
      <c r="I53" s="512">
        <f>SUMIFS(PURCHASE!$K$6:$K$10008,PURCHASE!$A$6:$A$10008,$H$2,PURCHASE!$H$6:$H$10008,$A$4:$A$2700)</f>
        <v>0</v>
      </c>
      <c r="J53" s="512">
        <f>SUMIFS(PURCHASE!$L$6:$L$10008,PURCHASE!$A$6:$A$10008,$H$2,PURCHASE!$H$6:$H$10008,$A$4:$A$2700)</f>
        <v>0</v>
      </c>
      <c r="K53" s="512">
        <f>SUMIFS(PURCHASE!$M$6:$M$10008,PURCHASE!$A$6:$A$10008,$H$2,PURCHASE!$H$6:$H$10008,$A$4:$A$2700)</f>
        <v>0</v>
      </c>
      <c r="L53" s="512">
        <f>SUMIFS(PURCHASE!$N$6:$N$10008,PURCHASE!$A$6:$A$10008,$H$2,PURCHASE!$H$6:$H$10008,$A$4:$A$2700)</f>
        <v>0</v>
      </c>
      <c r="M53" s="512">
        <f t="shared" si="13"/>
        <v>0</v>
      </c>
      <c r="N53" s="512">
        <f>SUMIFS(PURCHASE!$K$6:$K$10008,PURCHASE!$A$6:$A$10008,$M$2,PURCHASE!$H$6:$H$10008,$A$4:$A$2700)</f>
        <v>0</v>
      </c>
      <c r="O53" s="512">
        <f>SUMIFS(PURCHASE!$L$6:$L$10008,PURCHASE!$A$6:$A$10008,$M$2,PURCHASE!$H$6:$H$10008,$A$4:$A$2700)</f>
        <v>0</v>
      </c>
      <c r="P53" s="512">
        <f>SUMIFS(PURCHASE!$M$6:$M$10008,PURCHASE!$A$6:$A$10008,$M$2,PURCHASE!$H$6:$H$10008,$A$4:$A$2700)</f>
        <v>0</v>
      </c>
      <c r="Q53" s="512">
        <f>SUMIFS(PURCHASE!$N$6:$N$10008,PURCHASE!$A$6:$A$10008,$M$2,PURCHASE!$H$6:$H$10008,$A$4:$A$2700)</f>
        <v>0</v>
      </c>
      <c r="R53" s="512">
        <f t="shared" si="14"/>
        <v>0</v>
      </c>
      <c r="S53" s="512">
        <f>SUMIFS(PURCHASE!$K$6:$K$10008,PURCHASE!$A$6:$A$10008,$R$2,PURCHASE!$H$6:$H$10008,$A$4:$A$2700)</f>
        <v>0</v>
      </c>
      <c r="T53" s="512">
        <f>SUMIFS(PURCHASE!$L$6:$L$10008,PURCHASE!$A$6:$A$10008,$R$2,PURCHASE!$H$6:$H$10008,$A$4:$A$2700)</f>
        <v>0</v>
      </c>
      <c r="U53" s="512">
        <f>SUMIFS(PURCHASE!$M$6:$M$10008,PURCHASE!$A$6:$A$10008,$R$2,PURCHASE!$H$6:$H$10008,$A$4:$A$2700)</f>
        <v>0</v>
      </c>
      <c r="V53" s="512">
        <f>SUMIFS(PURCHASE!$N$6:$N$10008,PURCHASE!$A$6:$A$10008,$R$2,PURCHASE!$H$6:$H$10008,$A$4:$A$2700)</f>
        <v>0</v>
      </c>
      <c r="W53" s="512">
        <f t="shared" si="15"/>
        <v>0</v>
      </c>
      <c r="X53" s="512">
        <f>SUMIFS(PURCHASE!$K$6:$K$10008,PURCHASE!$A$6:$A$10008,$W$2,PURCHASE!$H$6:$H$10008,$A$4:$A$2700)</f>
        <v>0</v>
      </c>
      <c r="Y53" s="512">
        <f>SUMIFS(PURCHASE!$L$6:$L$10008,PURCHASE!$A$6:$A$10008,$W$2,PURCHASE!$H$6:$H$10008,$A$4:$A$2700)</f>
        <v>0</v>
      </c>
      <c r="Z53" s="512">
        <f>SUMIFS(PURCHASE!$M$6:$M$10008,PURCHASE!$A$6:$A$10008,$W$2,PURCHASE!$H$6:$H$10008,$A$4:$A$2700)</f>
        <v>0</v>
      </c>
      <c r="AA53" s="512">
        <f>SUMIFS(PURCHASE!$N$6:$N$10008,PURCHASE!$A$6:$A$10008,$W$2,PURCHASE!$H$6:$H$10008,$A$4:$A$2700)</f>
        <v>0</v>
      </c>
      <c r="AB53" s="512">
        <f t="shared" si="16"/>
        <v>3127</v>
      </c>
      <c r="AC53" s="512">
        <f>SUMIFS(PURCHASE!$K$6:$K$10008,PURCHASE!$A$6:$A$10008,$AB$2,PURCHASE!$H$6:$H$10008,$A$4:$A$2700)</f>
        <v>2650</v>
      </c>
      <c r="AD53" s="512">
        <f>SUMIFS(PURCHASE!$L$6:$L$10008,PURCHASE!$A$6:$A$10008,$AB$2,PURCHASE!$H$6:$H$10008,$A$4:$A$2700)</f>
        <v>0</v>
      </c>
      <c r="AE53" s="512">
        <f>SUMIFS(PURCHASE!$M$6:$M$10008,PURCHASE!$A$6:$A$10008,$AB$2,PURCHASE!$H$6:$H$10008,$A$4:$A$2700)</f>
        <v>238.5</v>
      </c>
      <c r="AF53" s="512">
        <f>SUMIFS(PURCHASE!$N$6:$N$10008,PURCHASE!$A$6:$A$10008,$AB$2,PURCHASE!$H$6:$H$10008,$A$4:$A$2700)</f>
        <v>238.5</v>
      </c>
      <c r="AG53" s="512">
        <f t="shared" si="17"/>
        <v>0</v>
      </c>
      <c r="AH53" s="512">
        <f>SUMIFS(PURCHASE!$K$6:$K$10008,PURCHASE!$A$6:$A$10008,$AG$2,PURCHASE!$H$6:$H$10008,$A$4:$A$2700)</f>
        <v>0</v>
      </c>
      <c r="AI53" s="512">
        <f>SUMIFS(PURCHASE!$L$6:$L$10008,PURCHASE!$A$6:$A$10008,$AG$2,PURCHASE!$H$6:$H$10008,$A$4:$A$2700)</f>
        <v>0</v>
      </c>
      <c r="AJ53" s="512">
        <f>SUMIFS(PURCHASE!$M$6:$M$10008,PURCHASE!$A$6:$A$10008,$AG$2,PURCHASE!$H$6:$H$10008,$A$4:$A$2700)</f>
        <v>0</v>
      </c>
      <c r="AK53" s="512">
        <f>SUMIFS(PURCHASE!$N$6:$N$10008,PURCHASE!$A$6:$A$10008,$AG$2,PURCHASE!$H$6:$H$10008,$A$4:$A$2700)</f>
        <v>0</v>
      </c>
      <c r="AL53" s="512">
        <f t="shared" si="18"/>
        <v>0</v>
      </c>
      <c r="AM53" s="512">
        <f>SUMIFS(PURCHASE!$K$6:$K$10008,PURCHASE!$A$6:$A$10008,$AL$2,PURCHASE!$H$6:$H$10008,$A$4:$A$2700)</f>
        <v>0</v>
      </c>
      <c r="AN53" s="512">
        <f>SUMIFS(PURCHASE!$L$6:$L$10008,PURCHASE!$A$6:$A$10008,$AL$2,PURCHASE!$H$6:$H$10008,$A$4:$A$2700)</f>
        <v>0</v>
      </c>
      <c r="AO53" s="512">
        <f>SUMIFS(PURCHASE!$M$6:$M$10008,PURCHASE!$A$6:$A$10008,$AL$2,PURCHASE!$H$6:$H$10008,$A$4:$A$2700)</f>
        <v>0</v>
      </c>
      <c r="AP53" s="512">
        <f>SUMIFS(PURCHASE!$N$6:$N$10008,PURCHASE!$A$6:$A$10008,$AL$2,PURCHASE!$H$6:$H$10008,$A$4:$A$2700)</f>
        <v>0</v>
      </c>
      <c r="AQ53" s="512">
        <f t="shared" si="19"/>
        <v>0</v>
      </c>
      <c r="AR53" s="512">
        <f>SUMIFS(PURCHASE!$K$6:$K$10008,PURCHASE!$A$6:$A$10008,$AQ$2,PURCHASE!$H$6:$H$10008,$A$4:$A$2700)</f>
        <v>0</v>
      </c>
      <c r="AS53" s="512">
        <f>SUMIFS(PURCHASE!$L$6:$L$10008,PURCHASE!$A$6:$A$10008,$AQ$2,PURCHASE!$H$6:$H$10008,$A$4:$A$2700)</f>
        <v>0</v>
      </c>
      <c r="AT53" s="512">
        <f>SUMIFS(PURCHASE!$M$6:$M$10008,PURCHASE!$A$6:$A$10008,$AQ$2,PURCHASE!$H$6:$H$10008,$A$4:$A$2700)</f>
        <v>0</v>
      </c>
      <c r="AU53" s="512">
        <f>SUMIFS(PURCHASE!$N$6:$N$10008,PURCHASE!$A$6:$A$10008,$AQ$2,PURCHASE!$H$6:$H$10008,$A$4:$A$2700)</f>
        <v>0</v>
      </c>
      <c r="AV53" s="512">
        <f t="shared" si="20"/>
        <v>0</v>
      </c>
      <c r="AW53" s="512">
        <f>SUMIFS(PURCHASE!$K$6:$K$10008,PURCHASE!$A$6:$A$10008,$AV$2,PURCHASE!$H$6:$H$10008,$A$4:$A$2700)</f>
        <v>0</v>
      </c>
      <c r="AX53" s="512">
        <f>SUMIFS(PURCHASE!$L$6:$L$10008,PURCHASE!$A$6:$A$10008,$AV$2,PURCHASE!$H$6:$H$10008,$A$4:$A$2700)</f>
        <v>0</v>
      </c>
      <c r="AY53" s="512">
        <f>SUMIFS(PURCHASE!$M$6:$M$10008,PURCHASE!$A$6:$A$10008,$AV$2,PURCHASE!$H$6:$H$10008,$A$4:$A$2700)</f>
        <v>0</v>
      </c>
      <c r="AZ53" s="512">
        <f>SUMIFS(PURCHASE!$N$6:$N$10008,PURCHASE!$A$6:$A$10008,$AV$2,PURCHASE!$H$6:$H$10008,$A$4:$A$2700)</f>
        <v>0</v>
      </c>
      <c r="BA53" s="512">
        <f t="shared" si="21"/>
        <v>0</v>
      </c>
      <c r="BB53" s="512">
        <f>SUMIFS(PURCHASE!$K$6:$K$10008,PURCHASE!$A$6:$A$10008,$BA$2,PURCHASE!$H$6:$H$10008,$A$4:$A$2700)</f>
        <v>0</v>
      </c>
      <c r="BC53" s="512">
        <f>SUMIFS(PURCHASE!$L$6:$L$10008,PURCHASE!$A$6:$A$10008,$BA$2,PURCHASE!$H$6:$H$10008,$A$4:$A$2700)</f>
        <v>0</v>
      </c>
      <c r="BD53" s="512">
        <f>SUMIFS(PURCHASE!$M$6:$M$10008,PURCHASE!$A$6:$A$10008,$BA$2,PURCHASE!$H$6:$H$10008,$A$4:$A$2700)</f>
        <v>0</v>
      </c>
      <c r="BE53" s="512">
        <f>SUMIFS(PURCHASE!$N$6:$N$10008,PURCHASE!$A$6:$A$10008,$BA$2,PURCHASE!$H$6:$H$10008,$A$4:$A$2700)</f>
        <v>0</v>
      </c>
      <c r="BF53" s="512">
        <f t="shared" si="22"/>
        <v>0</v>
      </c>
      <c r="BG53" s="512">
        <f>SUMIFS(PURCHASE!$K$6:$K$10008,PURCHASE!$A$6:$A$10008,$BF$2,PURCHASE!$H$6:$H$10008,$A$4:$A$2700)</f>
        <v>0</v>
      </c>
      <c r="BH53" s="512">
        <f>SUMIFS(PURCHASE!$L$6:$L$10008,PURCHASE!$A$6:$A$10008,$BF$2,PURCHASE!$H$6:$H$10008,$A$4:$A$2700)</f>
        <v>0</v>
      </c>
      <c r="BI53" s="512">
        <f>SUMIFS(PURCHASE!$M$6:$M$10008,PURCHASE!$A$6:$A$10008,$BF$2,PURCHASE!$H$6:$H$10008,$A$4:$A$2700)</f>
        <v>0</v>
      </c>
      <c r="BJ53" s="512">
        <f>SUMIFS(PURCHASE!$N$6:$N$10008,PURCHASE!$A$6:$A$10008,$BF$2,PURCHASE!$H$6:$H$10008,$A$4:$A$2700)</f>
        <v>0</v>
      </c>
      <c r="BK53" s="72">
        <f t="shared" si="6"/>
        <v>3127</v>
      </c>
      <c r="BL53" s="72">
        <f t="shared" si="7"/>
        <v>2650</v>
      </c>
      <c r="BM53" s="72">
        <f t="shared" si="8"/>
        <v>0</v>
      </c>
      <c r="BN53" s="72">
        <f t="shared" si="9"/>
        <v>238.5</v>
      </c>
      <c r="BO53" s="72">
        <f t="shared" si="10"/>
        <v>238.5</v>
      </c>
    </row>
    <row r="54" spans="1:67" x14ac:dyDescent="0.2">
      <c r="A54" s="511">
        <v>8481</v>
      </c>
      <c r="B54" s="500" t="s">
        <v>1224</v>
      </c>
      <c r="C54" s="512">
        <f t="shared" si="11"/>
        <v>0</v>
      </c>
      <c r="D54" s="512">
        <f>SUMIFS(PURCHASE!$K$6:$K$10008,PURCHASE!$A$6:$A$10008,$M$2,PURCHASE!$H$6:$H$10008,$A$4:$A$2700)</f>
        <v>0</v>
      </c>
      <c r="E54" s="512">
        <f>SUMIFS(PURCHASE!$L$6:$L$10008,PURCHASE!$A$6:$A$10008,$M$2,PURCHASE!$H$6:$H$10008,$A$4:$A$2700)</f>
        <v>0</v>
      </c>
      <c r="F54" s="512">
        <f>SUMIFS(PURCHASE!$M$6:$M$10008,PURCHASE!$A$6:$A$10008,$M$2,PURCHASE!$H$6:$H$10008,$A$4:$A$2700)</f>
        <v>0</v>
      </c>
      <c r="G54" s="512">
        <f>SUMIFS(PURCHASE!$N$6:$N$10008,PURCHASE!$A$6:$A$10008,$M$2,PURCHASE!$H$6:$H$10008,$A$4:$A$2700)</f>
        <v>0</v>
      </c>
      <c r="H54" s="512">
        <f t="shared" si="12"/>
        <v>12525.7</v>
      </c>
      <c r="I54" s="512">
        <f>SUMIFS(PURCHASE!$K$6:$K$10008,PURCHASE!$A$6:$A$10008,$H$2,PURCHASE!$H$6:$H$10008,$A$4:$A$2700)</f>
        <v>10615</v>
      </c>
      <c r="J54" s="512">
        <f>SUMIFS(PURCHASE!$L$6:$L$10008,PURCHASE!$A$6:$A$10008,$H$2,PURCHASE!$H$6:$H$10008,$A$4:$A$2700)</f>
        <v>0</v>
      </c>
      <c r="K54" s="512">
        <f>SUMIFS(PURCHASE!$M$6:$M$10008,PURCHASE!$A$6:$A$10008,$H$2,PURCHASE!$H$6:$H$10008,$A$4:$A$2700)</f>
        <v>955.35</v>
      </c>
      <c r="L54" s="512">
        <f>SUMIFS(PURCHASE!$N$6:$N$10008,PURCHASE!$A$6:$A$10008,$H$2,PURCHASE!$H$6:$H$10008,$A$4:$A$2700)</f>
        <v>955.35</v>
      </c>
      <c r="M54" s="512">
        <f t="shared" si="13"/>
        <v>0</v>
      </c>
      <c r="N54" s="512">
        <f>SUMIFS(PURCHASE!$K$6:$K$10008,PURCHASE!$A$6:$A$10008,$M$2,PURCHASE!$H$6:$H$10008,$A$4:$A$2700)</f>
        <v>0</v>
      </c>
      <c r="O54" s="512">
        <f>SUMIFS(PURCHASE!$L$6:$L$10008,PURCHASE!$A$6:$A$10008,$M$2,PURCHASE!$H$6:$H$10008,$A$4:$A$2700)</f>
        <v>0</v>
      </c>
      <c r="P54" s="512">
        <f>SUMIFS(PURCHASE!$M$6:$M$10008,PURCHASE!$A$6:$A$10008,$M$2,PURCHASE!$H$6:$H$10008,$A$4:$A$2700)</f>
        <v>0</v>
      </c>
      <c r="Q54" s="512">
        <f>SUMIFS(PURCHASE!$N$6:$N$10008,PURCHASE!$A$6:$A$10008,$M$2,PURCHASE!$H$6:$H$10008,$A$4:$A$2700)</f>
        <v>0</v>
      </c>
      <c r="R54" s="512">
        <f t="shared" si="14"/>
        <v>0</v>
      </c>
      <c r="S54" s="512">
        <f>SUMIFS(PURCHASE!$K$6:$K$10008,PURCHASE!$A$6:$A$10008,$R$2,PURCHASE!$H$6:$H$10008,$A$4:$A$2700)</f>
        <v>0</v>
      </c>
      <c r="T54" s="512">
        <f>SUMIFS(PURCHASE!$L$6:$L$10008,PURCHASE!$A$6:$A$10008,$R$2,PURCHASE!$H$6:$H$10008,$A$4:$A$2700)</f>
        <v>0</v>
      </c>
      <c r="U54" s="512">
        <f>SUMIFS(PURCHASE!$M$6:$M$10008,PURCHASE!$A$6:$A$10008,$R$2,PURCHASE!$H$6:$H$10008,$A$4:$A$2700)</f>
        <v>0</v>
      </c>
      <c r="V54" s="512">
        <f>SUMIFS(PURCHASE!$N$6:$N$10008,PURCHASE!$A$6:$A$10008,$R$2,PURCHASE!$H$6:$H$10008,$A$4:$A$2700)</f>
        <v>0</v>
      </c>
      <c r="W54" s="512">
        <f t="shared" si="15"/>
        <v>0</v>
      </c>
      <c r="X54" s="512">
        <f>SUMIFS(PURCHASE!$K$6:$K$10008,PURCHASE!$A$6:$A$10008,$W$2,PURCHASE!$H$6:$H$10008,$A$4:$A$2700)</f>
        <v>0</v>
      </c>
      <c r="Y54" s="512">
        <f>SUMIFS(PURCHASE!$L$6:$L$10008,PURCHASE!$A$6:$A$10008,$W$2,PURCHASE!$H$6:$H$10008,$A$4:$A$2700)</f>
        <v>0</v>
      </c>
      <c r="Z54" s="512">
        <f>SUMIFS(PURCHASE!$M$6:$M$10008,PURCHASE!$A$6:$A$10008,$W$2,PURCHASE!$H$6:$H$10008,$A$4:$A$2700)</f>
        <v>0</v>
      </c>
      <c r="AA54" s="512">
        <f>SUMIFS(PURCHASE!$N$6:$N$10008,PURCHASE!$A$6:$A$10008,$W$2,PURCHASE!$H$6:$H$10008,$A$4:$A$2700)</f>
        <v>0</v>
      </c>
      <c r="AB54" s="512">
        <f t="shared" si="16"/>
        <v>377.6</v>
      </c>
      <c r="AC54" s="512">
        <f>SUMIFS(PURCHASE!$K$6:$K$10008,PURCHASE!$A$6:$A$10008,$AB$2,PURCHASE!$H$6:$H$10008,$A$4:$A$2700)</f>
        <v>320</v>
      </c>
      <c r="AD54" s="512">
        <f>SUMIFS(PURCHASE!$L$6:$L$10008,PURCHASE!$A$6:$A$10008,$AB$2,PURCHASE!$H$6:$H$10008,$A$4:$A$2700)</f>
        <v>0</v>
      </c>
      <c r="AE54" s="512">
        <f>SUMIFS(PURCHASE!$M$6:$M$10008,PURCHASE!$A$6:$A$10008,$AB$2,PURCHASE!$H$6:$H$10008,$A$4:$A$2700)</f>
        <v>28.8</v>
      </c>
      <c r="AF54" s="512">
        <f>SUMIFS(PURCHASE!$N$6:$N$10008,PURCHASE!$A$6:$A$10008,$AB$2,PURCHASE!$H$6:$H$10008,$A$4:$A$2700)</f>
        <v>28.8</v>
      </c>
      <c r="AG54" s="512">
        <f t="shared" si="17"/>
        <v>0</v>
      </c>
      <c r="AH54" s="512">
        <f>SUMIFS(PURCHASE!$K$6:$K$10008,PURCHASE!$A$6:$A$10008,$AG$2,PURCHASE!$H$6:$H$10008,$A$4:$A$2700)</f>
        <v>0</v>
      </c>
      <c r="AI54" s="512">
        <f>SUMIFS(PURCHASE!$L$6:$L$10008,PURCHASE!$A$6:$A$10008,$AG$2,PURCHASE!$H$6:$H$10008,$A$4:$A$2700)</f>
        <v>0</v>
      </c>
      <c r="AJ54" s="512">
        <f>SUMIFS(PURCHASE!$M$6:$M$10008,PURCHASE!$A$6:$A$10008,$AG$2,PURCHASE!$H$6:$H$10008,$A$4:$A$2700)</f>
        <v>0</v>
      </c>
      <c r="AK54" s="512">
        <f>SUMIFS(PURCHASE!$N$6:$N$10008,PURCHASE!$A$6:$A$10008,$AG$2,PURCHASE!$H$6:$H$10008,$A$4:$A$2700)</f>
        <v>0</v>
      </c>
      <c r="AL54" s="512">
        <f t="shared" si="18"/>
        <v>5071.6399999999994</v>
      </c>
      <c r="AM54" s="512">
        <f>SUMIFS(PURCHASE!$K$6:$K$10008,PURCHASE!$A$6:$A$10008,$AL$2,PURCHASE!$H$6:$H$10008,$A$4:$A$2700)</f>
        <v>4298</v>
      </c>
      <c r="AN54" s="512">
        <f>SUMIFS(PURCHASE!$L$6:$L$10008,PURCHASE!$A$6:$A$10008,$AL$2,PURCHASE!$H$6:$H$10008,$A$4:$A$2700)</f>
        <v>0</v>
      </c>
      <c r="AO54" s="512">
        <f>SUMIFS(PURCHASE!$M$6:$M$10008,PURCHASE!$A$6:$A$10008,$AL$2,PURCHASE!$H$6:$H$10008,$A$4:$A$2700)</f>
        <v>386.82</v>
      </c>
      <c r="AP54" s="512">
        <f>SUMIFS(PURCHASE!$N$6:$N$10008,PURCHASE!$A$6:$A$10008,$AL$2,PURCHASE!$H$6:$H$10008,$A$4:$A$2700)</f>
        <v>386.82</v>
      </c>
      <c r="AQ54" s="512">
        <f t="shared" si="19"/>
        <v>6337.898000000001</v>
      </c>
      <c r="AR54" s="512">
        <f>SUMIFS(PURCHASE!$K$6:$K$10008,PURCHASE!$A$6:$A$10008,$AQ$2,PURCHASE!$H$6:$H$10008,$A$4:$A$2700)</f>
        <v>5371.1</v>
      </c>
      <c r="AS54" s="512">
        <f>SUMIFS(PURCHASE!$L$6:$L$10008,PURCHASE!$A$6:$A$10008,$AQ$2,PURCHASE!$H$6:$H$10008,$A$4:$A$2700)</f>
        <v>0</v>
      </c>
      <c r="AT54" s="512">
        <f>SUMIFS(PURCHASE!$M$6:$M$10008,PURCHASE!$A$6:$A$10008,$AQ$2,PURCHASE!$H$6:$H$10008,$A$4:$A$2700)</f>
        <v>483.399</v>
      </c>
      <c r="AU54" s="512">
        <f>SUMIFS(PURCHASE!$N$6:$N$10008,PURCHASE!$A$6:$A$10008,$AQ$2,PURCHASE!$H$6:$H$10008,$A$4:$A$2700)</f>
        <v>483.399</v>
      </c>
      <c r="AV54" s="512">
        <f t="shared" si="20"/>
        <v>0</v>
      </c>
      <c r="AW54" s="512">
        <f>SUMIFS(PURCHASE!$K$6:$K$10008,PURCHASE!$A$6:$A$10008,$AV$2,PURCHASE!$H$6:$H$10008,$A$4:$A$2700)</f>
        <v>0</v>
      </c>
      <c r="AX54" s="512">
        <f>SUMIFS(PURCHASE!$L$6:$L$10008,PURCHASE!$A$6:$A$10008,$AV$2,PURCHASE!$H$6:$H$10008,$A$4:$A$2700)</f>
        <v>0</v>
      </c>
      <c r="AY54" s="512">
        <f>SUMIFS(PURCHASE!$M$6:$M$10008,PURCHASE!$A$6:$A$10008,$AV$2,PURCHASE!$H$6:$H$10008,$A$4:$A$2700)</f>
        <v>0</v>
      </c>
      <c r="AZ54" s="512">
        <f>SUMIFS(PURCHASE!$N$6:$N$10008,PURCHASE!$A$6:$A$10008,$AV$2,PURCHASE!$H$6:$H$10008,$A$4:$A$2700)</f>
        <v>0</v>
      </c>
      <c r="BA54" s="512">
        <f t="shared" si="21"/>
        <v>0</v>
      </c>
      <c r="BB54" s="512">
        <f>SUMIFS(PURCHASE!$K$6:$K$10008,PURCHASE!$A$6:$A$10008,$BA$2,PURCHASE!$H$6:$H$10008,$A$4:$A$2700)</f>
        <v>0</v>
      </c>
      <c r="BC54" s="512">
        <f>SUMIFS(PURCHASE!$L$6:$L$10008,PURCHASE!$A$6:$A$10008,$BA$2,PURCHASE!$H$6:$H$10008,$A$4:$A$2700)</f>
        <v>0</v>
      </c>
      <c r="BD54" s="512">
        <f>SUMIFS(PURCHASE!$M$6:$M$10008,PURCHASE!$A$6:$A$10008,$BA$2,PURCHASE!$H$6:$H$10008,$A$4:$A$2700)</f>
        <v>0</v>
      </c>
      <c r="BE54" s="512">
        <f>SUMIFS(PURCHASE!$N$6:$N$10008,PURCHASE!$A$6:$A$10008,$BA$2,PURCHASE!$H$6:$H$10008,$A$4:$A$2700)</f>
        <v>0</v>
      </c>
      <c r="BF54" s="512">
        <f t="shared" si="22"/>
        <v>0</v>
      </c>
      <c r="BG54" s="512">
        <f>SUMIFS(PURCHASE!$K$6:$K$10008,PURCHASE!$A$6:$A$10008,$BF$2,PURCHASE!$H$6:$H$10008,$A$4:$A$2700)</f>
        <v>0</v>
      </c>
      <c r="BH54" s="512">
        <f>SUMIFS(PURCHASE!$L$6:$L$10008,PURCHASE!$A$6:$A$10008,$BF$2,PURCHASE!$H$6:$H$10008,$A$4:$A$2700)</f>
        <v>0</v>
      </c>
      <c r="BI54" s="512">
        <f>SUMIFS(PURCHASE!$M$6:$M$10008,PURCHASE!$A$6:$A$10008,$BF$2,PURCHASE!$H$6:$H$10008,$A$4:$A$2700)</f>
        <v>0</v>
      </c>
      <c r="BJ54" s="512">
        <f>SUMIFS(PURCHASE!$N$6:$N$10008,PURCHASE!$A$6:$A$10008,$BF$2,PURCHASE!$H$6:$H$10008,$A$4:$A$2700)</f>
        <v>0</v>
      </c>
      <c r="BK54" s="72">
        <f t="shared" si="6"/>
        <v>24312.838000000003</v>
      </c>
      <c r="BL54" s="72">
        <f t="shared" si="7"/>
        <v>20604.099999999999</v>
      </c>
      <c r="BM54" s="72">
        <f t="shared" si="8"/>
        <v>0</v>
      </c>
      <c r="BN54" s="72">
        <f t="shared" si="9"/>
        <v>1854.3690000000001</v>
      </c>
      <c r="BO54" s="72">
        <f t="shared" si="10"/>
        <v>1854.3690000000001</v>
      </c>
    </row>
    <row r="55" spans="1:67" x14ac:dyDescent="0.2">
      <c r="A55" s="511">
        <v>8487</v>
      </c>
      <c r="B55" s="467" t="s">
        <v>1225</v>
      </c>
      <c r="C55" s="512">
        <f t="shared" si="11"/>
        <v>0</v>
      </c>
      <c r="D55" s="512">
        <f>SUMIFS(PURCHASE!$K$6:$K$10008,PURCHASE!$A$6:$A$10008,$M$2,PURCHASE!$H$6:$H$10008,$A$4:$A$2700)</f>
        <v>0</v>
      </c>
      <c r="E55" s="512">
        <f>SUMIFS(PURCHASE!$L$6:$L$10008,PURCHASE!$A$6:$A$10008,$M$2,PURCHASE!$H$6:$H$10008,$A$4:$A$2700)</f>
        <v>0</v>
      </c>
      <c r="F55" s="512">
        <f>SUMIFS(PURCHASE!$M$6:$M$10008,PURCHASE!$A$6:$A$10008,$M$2,PURCHASE!$H$6:$H$10008,$A$4:$A$2700)</f>
        <v>0</v>
      </c>
      <c r="G55" s="512">
        <f>SUMIFS(PURCHASE!$N$6:$N$10008,PURCHASE!$A$6:$A$10008,$M$2,PURCHASE!$H$6:$H$10008,$A$4:$A$2700)</f>
        <v>0</v>
      </c>
      <c r="H55" s="512">
        <f t="shared" si="12"/>
        <v>469.40400000000005</v>
      </c>
      <c r="I55" s="512">
        <f>SUMIFS(PURCHASE!$K$6:$K$10008,PURCHASE!$A$6:$A$10008,$H$2,PURCHASE!$H$6:$H$10008,$A$4:$A$2700)</f>
        <v>397.8</v>
      </c>
      <c r="J55" s="512">
        <f>SUMIFS(PURCHASE!$L$6:$L$10008,PURCHASE!$A$6:$A$10008,$H$2,PURCHASE!$H$6:$H$10008,$A$4:$A$2700)</f>
        <v>0</v>
      </c>
      <c r="K55" s="512">
        <f>SUMIFS(PURCHASE!$M$6:$M$10008,PURCHASE!$A$6:$A$10008,$H$2,PURCHASE!$H$6:$H$10008,$A$4:$A$2700)</f>
        <v>35.802</v>
      </c>
      <c r="L55" s="512">
        <f>SUMIFS(PURCHASE!$N$6:$N$10008,PURCHASE!$A$6:$A$10008,$H$2,PURCHASE!$H$6:$H$10008,$A$4:$A$2700)</f>
        <v>35.802</v>
      </c>
      <c r="M55" s="512">
        <f t="shared" si="13"/>
        <v>0</v>
      </c>
      <c r="N55" s="512">
        <f>SUMIFS(PURCHASE!$K$6:$K$10008,PURCHASE!$A$6:$A$10008,$M$2,PURCHASE!$H$6:$H$10008,$A$4:$A$2700)</f>
        <v>0</v>
      </c>
      <c r="O55" s="512">
        <f>SUMIFS(PURCHASE!$L$6:$L$10008,PURCHASE!$A$6:$A$10008,$M$2,PURCHASE!$H$6:$H$10008,$A$4:$A$2700)</f>
        <v>0</v>
      </c>
      <c r="P55" s="512">
        <f>SUMIFS(PURCHASE!$M$6:$M$10008,PURCHASE!$A$6:$A$10008,$M$2,PURCHASE!$H$6:$H$10008,$A$4:$A$2700)</f>
        <v>0</v>
      </c>
      <c r="Q55" s="512">
        <f>SUMIFS(PURCHASE!$N$6:$N$10008,PURCHASE!$A$6:$A$10008,$M$2,PURCHASE!$H$6:$H$10008,$A$4:$A$2700)</f>
        <v>0</v>
      </c>
      <c r="R55" s="512">
        <f t="shared" si="14"/>
        <v>0</v>
      </c>
      <c r="S55" s="512">
        <f>SUMIFS(PURCHASE!$K$6:$K$10008,PURCHASE!$A$6:$A$10008,$R$2,PURCHASE!$H$6:$H$10008,$A$4:$A$2700)</f>
        <v>0</v>
      </c>
      <c r="T55" s="512">
        <f>SUMIFS(PURCHASE!$L$6:$L$10008,PURCHASE!$A$6:$A$10008,$R$2,PURCHASE!$H$6:$H$10008,$A$4:$A$2700)</f>
        <v>0</v>
      </c>
      <c r="U55" s="512">
        <f>SUMIFS(PURCHASE!$M$6:$M$10008,PURCHASE!$A$6:$A$10008,$R$2,PURCHASE!$H$6:$H$10008,$A$4:$A$2700)</f>
        <v>0</v>
      </c>
      <c r="V55" s="512">
        <f>SUMIFS(PURCHASE!$N$6:$N$10008,PURCHASE!$A$6:$A$10008,$R$2,PURCHASE!$H$6:$H$10008,$A$4:$A$2700)</f>
        <v>0</v>
      </c>
      <c r="W55" s="512">
        <f t="shared" si="15"/>
        <v>0</v>
      </c>
      <c r="X55" s="512">
        <f>SUMIFS(PURCHASE!$K$6:$K$10008,PURCHASE!$A$6:$A$10008,$W$2,PURCHASE!$H$6:$H$10008,$A$4:$A$2700)</f>
        <v>0</v>
      </c>
      <c r="Y55" s="512">
        <f>SUMIFS(PURCHASE!$L$6:$L$10008,PURCHASE!$A$6:$A$10008,$W$2,PURCHASE!$H$6:$H$10008,$A$4:$A$2700)</f>
        <v>0</v>
      </c>
      <c r="Z55" s="512">
        <f>SUMIFS(PURCHASE!$M$6:$M$10008,PURCHASE!$A$6:$A$10008,$W$2,PURCHASE!$H$6:$H$10008,$A$4:$A$2700)</f>
        <v>0</v>
      </c>
      <c r="AA55" s="512">
        <f>SUMIFS(PURCHASE!$N$6:$N$10008,PURCHASE!$A$6:$A$10008,$W$2,PURCHASE!$H$6:$H$10008,$A$4:$A$2700)</f>
        <v>0</v>
      </c>
      <c r="AB55" s="512">
        <f t="shared" si="16"/>
        <v>0</v>
      </c>
      <c r="AC55" s="512">
        <f>SUMIFS(PURCHASE!$K$6:$K$10008,PURCHASE!$A$6:$A$10008,$AB$2,PURCHASE!$H$6:$H$10008,$A$4:$A$2700)</f>
        <v>0</v>
      </c>
      <c r="AD55" s="512">
        <f>SUMIFS(PURCHASE!$L$6:$L$10008,PURCHASE!$A$6:$A$10008,$AB$2,PURCHASE!$H$6:$H$10008,$A$4:$A$2700)</f>
        <v>0</v>
      </c>
      <c r="AE55" s="512">
        <f>SUMIFS(PURCHASE!$M$6:$M$10008,PURCHASE!$A$6:$A$10008,$AB$2,PURCHASE!$H$6:$H$10008,$A$4:$A$2700)</f>
        <v>0</v>
      </c>
      <c r="AF55" s="512">
        <f>SUMIFS(PURCHASE!$N$6:$N$10008,PURCHASE!$A$6:$A$10008,$AB$2,PURCHASE!$H$6:$H$10008,$A$4:$A$2700)</f>
        <v>0</v>
      </c>
      <c r="AG55" s="512">
        <f t="shared" si="17"/>
        <v>0</v>
      </c>
      <c r="AH55" s="512">
        <f>SUMIFS(PURCHASE!$K$6:$K$10008,PURCHASE!$A$6:$A$10008,$AG$2,PURCHASE!$H$6:$H$10008,$A$4:$A$2700)</f>
        <v>0</v>
      </c>
      <c r="AI55" s="512">
        <f>SUMIFS(PURCHASE!$L$6:$L$10008,PURCHASE!$A$6:$A$10008,$AG$2,PURCHASE!$H$6:$H$10008,$A$4:$A$2700)</f>
        <v>0</v>
      </c>
      <c r="AJ55" s="512">
        <f>SUMIFS(PURCHASE!$M$6:$M$10008,PURCHASE!$A$6:$A$10008,$AG$2,PURCHASE!$H$6:$H$10008,$A$4:$A$2700)</f>
        <v>0</v>
      </c>
      <c r="AK55" s="512">
        <f>SUMIFS(PURCHASE!$N$6:$N$10008,PURCHASE!$A$6:$A$10008,$AG$2,PURCHASE!$H$6:$H$10008,$A$4:$A$2700)</f>
        <v>0</v>
      </c>
      <c r="AL55" s="512">
        <f t="shared" si="18"/>
        <v>784.22799999999995</v>
      </c>
      <c r="AM55" s="512">
        <f>SUMIFS(PURCHASE!$K$6:$K$10008,PURCHASE!$A$6:$A$10008,$AL$2,PURCHASE!$H$6:$H$10008,$A$4:$A$2700)</f>
        <v>664.6</v>
      </c>
      <c r="AN55" s="512">
        <f>SUMIFS(PURCHASE!$L$6:$L$10008,PURCHASE!$A$6:$A$10008,$AL$2,PURCHASE!$H$6:$H$10008,$A$4:$A$2700)</f>
        <v>0</v>
      </c>
      <c r="AO55" s="512">
        <f>SUMIFS(PURCHASE!$M$6:$M$10008,PURCHASE!$A$6:$A$10008,$AL$2,PURCHASE!$H$6:$H$10008,$A$4:$A$2700)</f>
        <v>59.814</v>
      </c>
      <c r="AP55" s="512">
        <f>SUMIFS(PURCHASE!$N$6:$N$10008,PURCHASE!$A$6:$A$10008,$AL$2,PURCHASE!$H$6:$H$10008,$A$4:$A$2700)</f>
        <v>59.814</v>
      </c>
      <c r="AQ55" s="512">
        <f t="shared" si="19"/>
        <v>369.10399999999998</v>
      </c>
      <c r="AR55" s="512">
        <f>SUMIFS(PURCHASE!$K$6:$K$10008,PURCHASE!$A$6:$A$10008,$AQ$2,PURCHASE!$H$6:$H$10008,$A$4:$A$2700)</f>
        <v>312.8</v>
      </c>
      <c r="AS55" s="512">
        <f>SUMIFS(PURCHASE!$L$6:$L$10008,PURCHASE!$A$6:$A$10008,$AQ$2,PURCHASE!$H$6:$H$10008,$A$4:$A$2700)</f>
        <v>0</v>
      </c>
      <c r="AT55" s="512">
        <f>SUMIFS(PURCHASE!$M$6:$M$10008,PURCHASE!$A$6:$A$10008,$AQ$2,PURCHASE!$H$6:$H$10008,$A$4:$A$2700)</f>
        <v>28.152000000000001</v>
      </c>
      <c r="AU55" s="512">
        <f>SUMIFS(PURCHASE!$N$6:$N$10008,PURCHASE!$A$6:$A$10008,$AQ$2,PURCHASE!$H$6:$H$10008,$A$4:$A$2700)</f>
        <v>28.152000000000001</v>
      </c>
      <c r="AV55" s="512">
        <f t="shared" si="20"/>
        <v>0</v>
      </c>
      <c r="AW55" s="512">
        <f>SUMIFS(PURCHASE!$K$6:$K$10008,PURCHASE!$A$6:$A$10008,$AV$2,PURCHASE!$H$6:$H$10008,$A$4:$A$2700)</f>
        <v>0</v>
      </c>
      <c r="AX55" s="512">
        <f>SUMIFS(PURCHASE!$L$6:$L$10008,PURCHASE!$A$6:$A$10008,$AV$2,PURCHASE!$H$6:$H$10008,$A$4:$A$2700)</f>
        <v>0</v>
      </c>
      <c r="AY55" s="512">
        <f>SUMIFS(PURCHASE!$M$6:$M$10008,PURCHASE!$A$6:$A$10008,$AV$2,PURCHASE!$H$6:$H$10008,$A$4:$A$2700)</f>
        <v>0</v>
      </c>
      <c r="AZ55" s="512">
        <f>SUMIFS(PURCHASE!$N$6:$N$10008,PURCHASE!$A$6:$A$10008,$AV$2,PURCHASE!$H$6:$H$10008,$A$4:$A$2700)</f>
        <v>0</v>
      </c>
      <c r="BA55" s="512">
        <f t="shared" si="21"/>
        <v>0</v>
      </c>
      <c r="BB55" s="512">
        <f>SUMIFS(PURCHASE!$K$6:$K$10008,PURCHASE!$A$6:$A$10008,$BA$2,PURCHASE!$H$6:$H$10008,$A$4:$A$2700)</f>
        <v>0</v>
      </c>
      <c r="BC55" s="512">
        <f>SUMIFS(PURCHASE!$L$6:$L$10008,PURCHASE!$A$6:$A$10008,$BA$2,PURCHASE!$H$6:$H$10008,$A$4:$A$2700)</f>
        <v>0</v>
      </c>
      <c r="BD55" s="512">
        <f>SUMIFS(PURCHASE!$M$6:$M$10008,PURCHASE!$A$6:$A$10008,$BA$2,PURCHASE!$H$6:$H$10008,$A$4:$A$2700)</f>
        <v>0</v>
      </c>
      <c r="BE55" s="512">
        <f>SUMIFS(PURCHASE!$N$6:$N$10008,PURCHASE!$A$6:$A$10008,$BA$2,PURCHASE!$H$6:$H$10008,$A$4:$A$2700)</f>
        <v>0</v>
      </c>
      <c r="BF55" s="512">
        <f t="shared" si="22"/>
        <v>0</v>
      </c>
      <c r="BG55" s="512">
        <f>SUMIFS(PURCHASE!$K$6:$K$10008,PURCHASE!$A$6:$A$10008,$BF$2,PURCHASE!$H$6:$H$10008,$A$4:$A$2700)</f>
        <v>0</v>
      </c>
      <c r="BH55" s="512">
        <f>SUMIFS(PURCHASE!$L$6:$L$10008,PURCHASE!$A$6:$A$10008,$BF$2,PURCHASE!$H$6:$H$10008,$A$4:$A$2700)</f>
        <v>0</v>
      </c>
      <c r="BI55" s="512">
        <f>SUMIFS(PURCHASE!$M$6:$M$10008,PURCHASE!$A$6:$A$10008,$BF$2,PURCHASE!$H$6:$H$10008,$A$4:$A$2700)</f>
        <v>0</v>
      </c>
      <c r="BJ55" s="512">
        <f>SUMIFS(PURCHASE!$N$6:$N$10008,PURCHASE!$A$6:$A$10008,$BF$2,PURCHASE!$H$6:$H$10008,$A$4:$A$2700)</f>
        <v>0</v>
      </c>
      <c r="BK55" s="72">
        <f t="shared" si="6"/>
        <v>1622.7360000000001</v>
      </c>
      <c r="BL55" s="72">
        <f t="shared" si="7"/>
        <v>1375.2</v>
      </c>
      <c r="BM55" s="72">
        <f t="shared" si="8"/>
        <v>0</v>
      </c>
      <c r="BN55" s="72">
        <f t="shared" si="9"/>
        <v>123.768</v>
      </c>
      <c r="BO55" s="72">
        <f t="shared" si="10"/>
        <v>123.768</v>
      </c>
    </row>
    <row r="56" spans="1:67" x14ac:dyDescent="0.2">
      <c r="A56" s="511">
        <v>8506</v>
      </c>
      <c r="B56" s="467" t="s">
        <v>1226</v>
      </c>
      <c r="C56" s="512">
        <f t="shared" si="11"/>
        <v>0</v>
      </c>
      <c r="D56" s="512">
        <f>SUMIFS(PURCHASE!$K$6:$K$10008,PURCHASE!$A$6:$A$10008,$M$2,PURCHASE!$H$6:$H$10008,$A$4:$A$2700)</f>
        <v>0</v>
      </c>
      <c r="E56" s="512">
        <f>SUMIFS(PURCHASE!$L$6:$L$10008,PURCHASE!$A$6:$A$10008,$M$2,PURCHASE!$H$6:$H$10008,$A$4:$A$2700)</f>
        <v>0</v>
      </c>
      <c r="F56" s="512">
        <f>SUMIFS(PURCHASE!$M$6:$M$10008,PURCHASE!$A$6:$A$10008,$M$2,PURCHASE!$H$6:$H$10008,$A$4:$A$2700)</f>
        <v>0</v>
      </c>
      <c r="G56" s="512">
        <f>SUMIFS(PURCHASE!$N$6:$N$10008,PURCHASE!$A$6:$A$10008,$M$2,PURCHASE!$H$6:$H$10008,$A$4:$A$2700)</f>
        <v>0</v>
      </c>
      <c r="H56" s="512">
        <f t="shared" si="12"/>
        <v>129.80000000000001</v>
      </c>
      <c r="I56" s="512">
        <f>SUMIFS(PURCHASE!$K$6:$K$10008,PURCHASE!$A$6:$A$10008,$H$2,PURCHASE!$H$6:$H$10008,$A$4:$A$2700)</f>
        <v>110</v>
      </c>
      <c r="J56" s="512">
        <f>SUMIFS(PURCHASE!$L$6:$L$10008,PURCHASE!$A$6:$A$10008,$H$2,PURCHASE!$H$6:$H$10008,$A$4:$A$2700)</f>
        <v>0</v>
      </c>
      <c r="K56" s="512">
        <f>SUMIFS(PURCHASE!$M$6:$M$10008,PURCHASE!$A$6:$A$10008,$H$2,PURCHASE!$H$6:$H$10008,$A$4:$A$2700)</f>
        <v>9.9</v>
      </c>
      <c r="L56" s="512">
        <f>SUMIFS(PURCHASE!$N$6:$N$10008,PURCHASE!$A$6:$A$10008,$H$2,PURCHASE!$H$6:$H$10008,$A$4:$A$2700)</f>
        <v>9.9</v>
      </c>
      <c r="M56" s="512">
        <f t="shared" si="13"/>
        <v>0</v>
      </c>
      <c r="N56" s="512">
        <f>SUMIFS(PURCHASE!$K$6:$K$10008,PURCHASE!$A$6:$A$10008,$M$2,PURCHASE!$H$6:$H$10008,$A$4:$A$2700)</f>
        <v>0</v>
      </c>
      <c r="O56" s="512">
        <f>SUMIFS(PURCHASE!$L$6:$L$10008,PURCHASE!$A$6:$A$10008,$M$2,PURCHASE!$H$6:$H$10008,$A$4:$A$2700)</f>
        <v>0</v>
      </c>
      <c r="P56" s="512">
        <f>SUMIFS(PURCHASE!$M$6:$M$10008,PURCHASE!$A$6:$A$10008,$M$2,PURCHASE!$H$6:$H$10008,$A$4:$A$2700)</f>
        <v>0</v>
      </c>
      <c r="Q56" s="512">
        <f>SUMIFS(PURCHASE!$N$6:$N$10008,PURCHASE!$A$6:$A$10008,$M$2,PURCHASE!$H$6:$H$10008,$A$4:$A$2700)</f>
        <v>0</v>
      </c>
      <c r="R56" s="512">
        <f t="shared" si="14"/>
        <v>0</v>
      </c>
      <c r="S56" s="512">
        <f>SUMIFS(PURCHASE!$K$6:$K$10008,PURCHASE!$A$6:$A$10008,$R$2,PURCHASE!$H$6:$H$10008,$A$4:$A$2700)</f>
        <v>0</v>
      </c>
      <c r="T56" s="512">
        <f>SUMIFS(PURCHASE!$L$6:$L$10008,PURCHASE!$A$6:$A$10008,$R$2,PURCHASE!$H$6:$H$10008,$A$4:$A$2700)</f>
        <v>0</v>
      </c>
      <c r="U56" s="512">
        <f>SUMIFS(PURCHASE!$M$6:$M$10008,PURCHASE!$A$6:$A$10008,$R$2,PURCHASE!$H$6:$H$10008,$A$4:$A$2700)</f>
        <v>0</v>
      </c>
      <c r="V56" s="512">
        <f>SUMIFS(PURCHASE!$N$6:$N$10008,PURCHASE!$A$6:$A$10008,$R$2,PURCHASE!$H$6:$H$10008,$A$4:$A$2700)</f>
        <v>0</v>
      </c>
      <c r="W56" s="512">
        <f t="shared" si="15"/>
        <v>0</v>
      </c>
      <c r="X56" s="512">
        <f>SUMIFS(PURCHASE!$K$6:$K$10008,PURCHASE!$A$6:$A$10008,$W$2,PURCHASE!$H$6:$H$10008,$A$4:$A$2700)</f>
        <v>0</v>
      </c>
      <c r="Y56" s="512">
        <f>SUMIFS(PURCHASE!$L$6:$L$10008,PURCHASE!$A$6:$A$10008,$W$2,PURCHASE!$H$6:$H$10008,$A$4:$A$2700)</f>
        <v>0</v>
      </c>
      <c r="Z56" s="512">
        <f>SUMIFS(PURCHASE!$M$6:$M$10008,PURCHASE!$A$6:$A$10008,$W$2,PURCHASE!$H$6:$H$10008,$A$4:$A$2700)</f>
        <v>0</v>
      </c>
      <c r="AA56" s="512">
        <f>SUMIFS(PURCHASE!$N$6:$N$10008,PURCHASE!$A$6:$A$10008,$W$2,PURCHASE!$H$6:$H$10008,$A$4:$A$2700)</f>
        <v>0</v>
      </c>
      <c r="AB56" s="512">
        <f t="shared" si="16"/>
        <v>0</v>
      </c>
      <c r="AC56" s="512">
        <f>SUMIFS(PURCHASE!$K$6:$K$10008,PURCHASE!$A$6:$A$10008,$AB$2,PURCHASE!$H$6:$H$10008,$A$4:$A$2700)</f>
        <v>0</v>
      </c>
      <c r="AD56" s="512">
        <f>SUMIFS(PURCHASE!$L$6:$L$10008,PURCHASE!$A$6:$A$10008,$AB$2,PURCHASE!$H$6:$H$10008,$A$4:$A$2700)</f>
        <v>0</v>
      </c>
      <c r="AE56" s="512">
        <f>SUMIFS(PURCHASE!$M$6:$M$10008,PURCHASE!$A$6:$A$10008,$AB$2,PURCHASE!$H$6:$H$10008,$A$4:$A$2700)</f>
        <v>0</v>
      </c>
      <c r="AF56" s="512">
        <f>SUMIFS(PURCHASE!$N$6:$N$10008,PURCHASE!$A$6:$A$10008,$AB$2,PURCHASE!$H$6:$H$10008,$A$4:$A$2700)</f>
        <v>0</v>
      </c>
      <c r="AG56" s="512">
        <f t="shared" si="17"/>
        <v>0</v>
      </c>
      <c r="AH56" s="512">
        <f>SUMIFS(PURCHASE!$K$6:$K$10008,PURCHASE!$A$6:$A$10008,$AG$2,PURCHASE!$H$6:$H$10008,$A$4:$A$2700)</f>
        <v>0</v>
      </c>
      <c r="AI56" s="512">
        <f>SUMIFS(PURCHASE!$L$6:$L$10008,PURCHASE!$A$6:$A$10008,$AG$2,PURCHASE!$H$6:$H$10008,$A$4:$A$2700)</f>
        <v>0</v>
      </c>
      <c r="AJ56" s="512">
        <f>SUMIFS(PURCHASE!$M$6:$M$10008,PURCHASE!$A$6:$A$10008,$AG$2,PURCHASE!$H$6:$H$10008,$A$4:$A$2700)</f>
        <v>0</v>
      </c>
      <c r="AK56" s="512">
        <f>SUMIFS(PURCHASE!$N$6:$N$10008,PURCHASE!$A$6:$A$10008,$AG$2,PURCHASE!$H$6:$H$10008,$A$4:$A$2700)</f>
        <v>0</v>
      </c>
      <c r="AL56" s="512">
        <f t="shared" si="18"/>
        <v>153.39999999999998</v>
      </c>
      <c r="AM56" s="512">
        <f>SUMIFS(PURCHASE!$K$6:$K$10008,PURCHASE!$A$6:$A$10008,$AL$2,PURCHASE!$H$6:$H$10008,$A$4:$A$2700)</f>
        <v>130</v>
      </c>
      <c r="AN56" s="512">
        <f>SUMIFS(PURCHASE!$L$6:$L$10008,PURCHASE!$A$6:$A$10008,$AL$2,PURCHASE!$H$6:$H$10008,$A$4:$A$2700)</f>
        <v>0</v>
      </c>
      <c r="AO56" s="512">
        <f>SUMIFS(PURCHASE!$M$6:$M$10008,PURCHASE!$A$6:$A$10008,$AL$2,PURCHASE!$H$6:$H$10008,$A$4:$A$2700)</f>
        <v>11.700000000000001</v>
      </c>
      <c r="AP56" s="512">
        <f>SUMIFS(PURCHASE!$N$6:$N$10008,PURCHASE!$A$6:$A$10008,$AL$2,PURCHASE!$H$6:$H$10008,$A$4:$A$2700)</f>
        <v>11.700000000000001</v>
      </c>
      <c r="AQ56" s="512">
        <f t="shared" si="19"/>
        <v>0</v>
      </c>
      <c r="AR56" s="512">
        <f>SUMIFS(PURCHASE!$K$6:$K$10008,PURCHASE!$A$6:$A$10008,$AQ$2,PURCHASE!$H$6:$H$10008,$A$4:$A$2700)</f>
        <v>0</v>
      </c>
      <c r="AS56" s="512">
        <f>SUMIFS(PURCHASE!$L$6:$L$10008,PURCHASE!$A$6:$A$10008,$AQ$2,PURCHASE!$H$6:$H$10008,$A$4:$A$2700)</f>
        <v>0</v>
      </c>
      <c r="AT56" s="512">
        <f>SUMIFS(PURCHASE!$M$6:$M$10008,PURCHASE!$A$6:$A$10008,$AQ$2,PURCHASE!$H$6:$H$10008,$A$4:$A$2700)</f>
        <v>0</v>
      </c>
      <c r="AU56" s="512">
        <f>SUMIFS(PURCHASE!$N$6:$N$10008,PURCHASE!$A$6:$A$10008,$AQ$2,PURCHASE!$H$6:$H$10008,$A$4:$A$2700)</f>
        <v>0</v>
      </c>
      <c r="AV56" s="512">
        <f t="shared" si="20"/>
        <v>0</v>
      </c>
      <c r="AW56" s="512">
        <f>SUMIFS(PURCHASE!$K$6:$K$10008,PURCHASE!$A$6:$A$10008,$AV$2,PURCHASE!$H$6:$H$10008,$A$4:$A$2700)</f>
        <v>0</v>
      </c>
      <c r="AX56" s="512">
        <f>SUMIFS(PURCHASE!$L$6:$L$10008,PURCHASE!$A$6:$A$10008,$AV$2,PURCHASE!$H$6:$H$10008,$A$4:$A$2700)</f>
        <v>0</v>
      </c>
      <c r="AY56" s="512">
        <f>SUMIFS(PURCHASE!$M$6:$M$10008,PURCHASE!$A$6:$A$10008,$AV$2,PURCHASE!$H$6:$H$10008,$A$4:$A$2700)</f>
        <v>0</v>
      </c>
      <c r="AZ56" s="512">
        <f>SUMIFS(PURCHASE!$N$6:$N$10008,PURCHASE!$A$6:$A$10008,$AV$2,PURCHASE!$H$6:$H$10008,$A$4:$A$2700)</f>
        <v>0</v>
      </c>
      <c r="BA56" s="512">
        <f t="shared" si="21"/>
        <v>0</v>
      </c>
      <c r="BB56" s="512">
        <f>SUMIFS(PURCHASE!$K$6:$K$10008,PURCHASE!$A$6:$A$10008,$BA$2,PURCHASE!$H$6:$H$10008,$A$4:$A$2700)</f>
        <v>0</v>
      </c>
      <c r="BC56" s="512">
        <f>SUMIFS(PURCHASE!$L$6:$L$10008,PURCHASE!$A$6:$A$10008,$BA$2,PURCHASE!$H$6:$H$10008,$A$4:$A$2700)</f>
        <v>0</v>
      </c>
      <c r="BD56" s="512">
        <f>SUMIFS(PURCHASE!$M$6:$M$10008,PURCHASE!$A$6:$A$10008,$BA$2,PURCHASE!$H$6:$H$10008,$A$4:$A$2700)</f>
        <v>0</v>
      </c>
      <c r="BE56" s="512">
        <f>SUMIFS(PURCHASE!$N$6:$N$10008,PURCHASE!$A$6:$A$10008,$BA$2,PURCHASE!$H$6:$H$10008,$A$4:$A$2700)</f>
        <v>0</v>
      </c>
      <c r="BF56" s="512">
        <f t="shared" si="22"/>
        <v>0</v>
      </c>
      <c r="BG56" s="512">
        <f>SUMIFS(PURCHASE!$K$6:$K$10008,PURCHASE!$A$6:$A$10008,$BF$2,PURCHASE!$H$6:$H$10008,$A$4:$A$2700)</f>
        <v>0</v>
      </c>
      <c r="BH56" s="512">
        <f>SUMIFS(PURCHASE!$L$6:$L$10008,PURCHASE!$A$6:$A$10008,$BF$2,PURCHASE!$H$6:$H$10008,$A$4:$A$2700)</f>
        <v>0</v>
      </c>
      <c r="BI56" s="512">
        <f>SUMIFS(PURCHASE!$M$6:$M$10008,PURCHASE!$A$6:$A$10008,$BF$2,PURCHASE!$H$6:$H$10008,$A$4:$A$2700)</f>
        <v>0</v>
      </c>
      <c r="BJ56" s="512">
        <f>SUMIFS(PURCHASE!$N$6:$N$10008,PURCHASE!$A$6:$A$10008,$BF$2,PURCHASE!$H$6:$H$10008,$A$4:$A$2700)</f>
        <v>0</v>
      </c>
      <c r="BK56" s="72">
        <f t="shared" si="6"/>
        <v>283.2</v>
      </c>
      <c r="BL56" s="72">
        <f t="shared" si="7"/>
        <v>240</v>
      </c>
      <c r="BM56" s="72">
        <f t="shared" si="8"/>
        <v>0</v>
      </c>
      <c r="BN56" s="72">
        <f t="shared" si="9"/>
        <v>21.6</v>
      </c>
      <c r="BO56" s="72">
        <f t="shared" si="10"/>
        <v>21.6</v>
      </c>
    </row>
    <row r="57" spans="1:67" x14ac:dyDescent="0.2">
      <c r="A57" s="511">
        <v>8504</v>
      </c>
      <c r="B57" s="467" t="s">
        <v>1226</v>
      </c>
      <c r="C57" s="512">
        <f t="shared" si="11"/>
        <v>0</v>
      </c>
      <c r="D57" s="512">
        <f>SUMIFS(PURCHASE!$K$6:$K$10008,PURCHASE!$A$6:$A$10008,$M$2,PURCHASE!$H$6:$H$10008,$A$4:$A$2700)</f>
        <v>0</v>
      </c>
      <c r="E57" s="512">
        <f>SUMIFS(PURCHASE!$L$6:$L$10008,PURCHASE!$A$6:$A$10008,$M$2,PURCHASE!$H$6:$H$10008,$A$4:$A$2700)</f>
        <v>0</v>
      </c>
      <c r="F57" s="512">
        <f>SUMIFS(PURCHASE!$M$6:$M$10008,PURCHASE!$A$6:$A$10008,$M$2,PURCHASE!$H$6:$H$10008,$A$4:$A$2700)</f>
        <v>0</v>
      </c>
      <c r="G57" s="512">
        <f>SUMIFS(PURCHASE!$N$6:$N$10008,PURCHASE!$A$6:$A$10008,$M$2,PURCHASE!$H$6:$H$10008,$A$4:$A$2700)</f>
        <v>0</v>
      </c>
      <c r="H57" s="512">
        <f t="shared" si="12"/>
        <v>0</v>
      </c>
      <c r="I57" s="512">
        <f>SUMIFS(PURCHASE!$K$6:$K$10008,PURCHASE!$A$6:$A$10008,$H$2,PURCHASE!$H$6:$H$10008,$A$4:$A$2700)</f>
        <v>0</v>
      </c>
      <c r="J57" s="512">
        <f>SUMIFS(PURCHASE!$L$6:$L$10008,PURCHASE!$A$6:$A$10008,$H$2,PURCHASE!$H$6:$H$10008,$A$4:$A$2700)</f>
        <v>0</v>
      </c>
      <c r="K57" s="512">
        <f>SUMIFS(PURCHASE!$M$6:$M$10008,PURCHASE!$A$6:$A$10008,$H$2,PURCHASE!$H$6:$H$10008,$A$4:$A$2700)</f>
        <v>0</v>
      </c>
      <c r="L57" s="512">
        <f>SUMIFS(PURCHASE!$N$6:$N$10008,PURCHASE!$A$6:$A$10008,$H$2,PURCHASE!$H$6:$H$10008,$A$4:$A$2700)</f>
        <v>0</v>
      </c>
      <c r="M57" s="512">
        <f t="shared" si="13"/>
        <v>0</v>
      </c>
      <c r="N57" s="512">
        <f>SUMIFS(PURCHASE!$K$6:$K$10008,PURCHASE!$A$6:$A$10008,$M$2,PURCHASE!$H$6:$H$10008,$A$4:$A$2700)</f>
        <v>0</v>
      </c>
      <c r="O57" s="512">
        <f>SUMIFS(PURCHASE!$L$6:$L$10008,PURCHASE!$A$6:$A$10008,$M$2,PURCHASE!$H$6:$H$10008,$A$4:$A$2700)</f>
        <v>0</v>
      </c>
      <c r="P57" s="512">
        <f>SUMIFS(PURCHASE!$M$6:$M$10008,PURCHASE!$A$6:$A$10008,$M$2,PURCHASE!$H$6:$H$10008,$A$4:$A$2700)</f>
        <v>0</v>
      </c>
      <c r="Q57" s="512">
        <f>SUMIFS(PURCHASE!$N$6:$N$10008,PURCHASE!$A$6:$A$10008,$M$2,PURCHASE!$H$6:$H$10008,$A$4:$A$2700)</f>
        <v>0</v>
      </c>
      <c r="R57" s="512">
        <f t="shared" si="14"/>
        <v>0</v>
      </c>
      <c r="S57" s="512">
        <f>SUMIFS(PURCHASE!$K$6:$K$10008,PURCHASE!$A$6:$A$10008,$R$2,PURCHASE!$H$6:$H$10008,$A$4:$A$2700)</f>
        <v>0</v>
      </c>
      <c r="T57" s="512">
        <f>SUMIFS(PURCHASE!$L$6:$L$10008,PURCHASE!$A$6:$A$10008,$R$2,PURCHASE!$H$6:$H$10008,$A$4:$A$2700)</f>
        <v>0</v>
      </c>
      <c r="U57" s="512">
        <f>SUMIFS(PURCHASE!$M$6:$M$10008,PURCHASE!$A$6:$A$10008,$R$2,PURCHASE!$H$6:$H$10008,$A$4:$A$2700)</f>
        <v>0</v>
      </c>
      <c r="V57" s="512">
        <f>SUMIFS(PURCHASE!$N$6:$N$10008,PURCHASE!$A$6:$A$10008,$R$2,PURCHASE!$H$6:$H$10008,$A$4:$A$2700)</f>
        <v>0</v>
      </c>
      <c r="W57" s="512">
        <f t="shared" si="15"/>
        <v>0</v>
      </c>
      <c r="X57" s="512">
        <f>SUMIFS(PURCHASE!$K$6:$K$10008,PURCHASE!$A$6:$A$10008,$W$2,PURCHASE!$H$6:$H$10008,$A$4:$A$2700)</f>
        <v>0</v>
      </c>
      <c r="Y57" s="512">
        <f>SUMIFS(PURCHASE!$L$6:$L$10008,PURCHASE!$A$6:$A$10008,$W$2,PURCHASE!$H$6:$H$10008,$A$4:$A$2700)</f>
        <v>0</v>
      </c>
      <c r="Z57" s="512">
        <f>SUMIFS(PURCHASE!$M$6:$M$10008,PURCHASE!$A$6:$A$10008,$W$2,PURCHASE!$H$6:$H$10008,$A$4:$A$2700)</f>
        <v>0</v>
      </c>
      <c r="AA57" s="512">
        <f>SUMIFS(PURCHASE!$N$6:$N$10008,PURCHASE!$A$6:$A$10008,$W$2,PURCHASE!$H$6:$H$10008,$A$4:$A$2700)</f>
        <v>0</v>
      </c>
      <c r="AB57" s="512">
        <f t="shared" si="16"/>
        <v>1121</v>
      </c>
      <c r="AC57" s="512">
        <f>SUMIFS(PURCHASE!$K$6:$K$10008,PURCHASE!$A$6:$A$10008,$AB$2,PURCHASE!$H$6:$H$10008,$A$4:$A$2700)</f>
        <v>950</v>
      </c>
      <c r="AD57" s="512">
        <f>SUMIFS(PURCHASE!$L$6:$L$10008,PURCHASE!$A$6:$A$10008,$AB$2,PURCHASE!$H$6:$H$10008,$A$4:$A$2700)</f>
        <v>0</v>
      </c>
      <c r="AE57" s="512">
        <f>SUMIFS(PURCHASE!$M$6:$M$10008,PURCHASE!$A$6:$A$10008,$AB$2,PURCHASE!$H$6:$H$10008,$A$4:$A$2700)</f>
        <v>85.5</v>
      </c>
      <c r="AF57" s="512">
        <f>SUMIFS(PURCHASE!$N$6:$N$10008,PURCHASE!$A$6:$A$10008,$AB$2,PURCHASE!$H$6:$H$10008,$A$4:$A$2700)</f>
        <v>85.5</v>
      </c>
      <c r="AG57" s="512">
        <f t="shared" si="17"/>
        <v>0</v>
      </c>
      <c r="AH57" s="512">
        <f>SUMIFS(PURCHASE!$K$6:$K$10008,PURCHASE!$A$6:$A$10008,$AG$2,PURCHASE!$H$6:$H$10008,$A$4:$A$2700)</f>
        <v>0</v>
      </c>
      <c r="AI57" s="512">
        <f>SUMIFS(PURCHASE!$L$6:$L$10008,PURCHASE!$A$6:$A$10008,$AG$2,PURCHASE!$H$6:$H$10008,$A$4:$A$2700)</f>
        <v>0</v>
      </c>
      <c r="AJ57" s="512">
        <f>SUMIFS(PURCHASE!$M$6:$M$10008,PURCHASE!$A$6:$A$10008,$AG$2,PURCHASE!$H$6:$H$10008,$A$4:$A$2700)</f>
        <v>0</v>
      </c>
      <c r="AK57" s="512">
        <f>SUMIFS(PURCHASE!$N$6:$N$10008,PURCHASE!$A$6:$A$10008,$AG$2,PURCHASE!$H$6:$H$10008,$A$4:$A$2700)</f>
        <v>0</v>
      </c>
      <c r="AL57" s="512">
        <f t="shared" si="18"/>
        <v>0</v>
      </c>
      <c r="AM57" s="512">
        <f>SUMIFS(PURCHASE!$K$6:$K$10008,PURCHASE!$A$6:$A$10008,$AL$2,PURCHASE!$H$6:$H$10008,$A$4:$A$2700)</f>
        <v>0</v>
      </c>
      <c r="AN57" s="512">
        <f>SUMIFS(PURCHASE!$L$6:$L$10008,PURCHASE!$A$6:$A$10008,$AL$2,PURCHASE!$H$6:$H$10008,$A$4:$A$2700)</f>
        <v>0</v>
      </c>
      <c r="AO57" s="512">
        <f>SUMIFS(PURCHASE!$M$6:$M$10008,PURCHASE!$A$6:$A$10008,$AL$2,PURCHASE!$H$6:$H$10008,$A$4:$A$2700)</f>
        <v>0</v>
      </c>
      <c r="AP57" s="512">
        <f>SUMIFS(PURCHASE!$N$6:$N$10008,PURCHASE!$A$6:$A$10008,$AL$2,PURCHASE!$H$6:$H$10008,$A$4:$A$2700)</f>
        <v>0</v>
      </c>
      <c r="AQ57" s="512">
        <f t="shared" si="19"/>
        <v>0</v>
      </c>
      <c r="AR57" s="512">
        <f>SUMIFS(PURCHASE!$K$6:$K$10008,PURCHASE!$A$6:$A$10008,$AQ$2,PURCHASE!$H$6:$H$10008,$A$4:$A$2700)</f>
        <v>0</v>
      </c>
      <c r="AS57" s="512">
        <f>SUMIFS(PURCHASE!$L$6:$L$10008,PURCHASE!$A$6:$A$10008,$AQ$2,PURCHASE!$H$6:$H$10008,$A$4:$A$2700)</f>
        <v>0</v>
      </c>
      <c r="AT57" s="512">
        <f>SUMIFS(PURCHASE!$M$6:$M$10008,PURCHASE!$A$6:$A$10008,$AQ$2,PURCHASE!$H$6:$H$10008,$A$4:$A$2700)</f>
        <v>0</v>
      </c>
      <c r="AU57" s="512">
        <f>SUMIFS(PURCHASE!$N$6:$N$10008,PURCHASE!$A$6:$A$10008,$AQ$2,PURCHASE!$H$6:$H$10008,$A$4:$A$2700)</f>
        <v>0</v>
      </c>
      <c r="AV57" s="512">
        <f t="shared" si="20"/>
        <v>0</v>
      </c>
      <c r="AW57" s="512">
        <f>SUMIFS(PURCHASE!$K$6:$K$10008,PURCHASE!$A$6:$A$10008,$AV$2,PURCHASE!$H$6:$H$10008,$A$4:$A$2700)</f>
        <v>0</v>
      </c>
      <c r="AX57" s="512">
        <f>SUMIFS(PURCHASE!$L$6:$L$10008,PURCHASE!$A$6:$A$10008,$AV$2,PURCHASE!$H$6:$H$10008,$A$4:$A$2700)</f>
        <v>0</v>
      </c>
      <c r="AY57" s="512">
        <f>SUMIFS(PURCHASE!$M$6:$M$10008,PURCHASE!$A$6:$A$10008,$AV$2,PURCHASE!$H$6:$H$10008,$A$4:$A$2700)</f>
        <v>0</v>
      </c>
      <c r="AZ57" s="512">
        <f>SUMIFS(PURCHASE!$N$6:$N$10008,PURCHASE!$A$6:$A$10008,$AV$2,PURCHASE!$H$6:$H$10008,$A$4:$A$2700)</f>
        <v>0</v>
      </c>
      <c r="BA57" s="512">
        <f t="shared" si="21"/>
        <v>0</v>
      </c>
      <c r="BB57" s="512">
        <f>SUMIFS(PURCHASE!$K$6:$K$10008,PURCHASE!$A$6:$A$10008,$BA$2,PURCHASE!$H$6:$H$10008,$A$4:$A$2700)</f>
        <v>0</v>
      </c>
      <c r="BC57" s="512">
        <f>SUMIFS(PURCHASE!$L$6:$L$10008,PURCHASE!$A$6:$A$10008,$BA$2,PURCHASE!$H$6:$H$10008,$A$4:$A$2700)</f>
        <v>0</v>
      </c>
      <c r="BD57" s="512">
        <f>SUMIFS(PURCHASE!$M$6:$M$10008,PURCHASE!$A$6:$A$10008,$BA$2,PURCHASE!$H$6:$H$10008,$A$4:$A$2700)</f>
        <v>0</v>
      </c>
      <c r="BE57" s="512">
        <f>SUMIFS(PURCHASE!$N$6:$N$10008,PURCHASE!$A$6:$A$10008,$BA$2,PURCHASE!$H$6:$H$10008,$A$4:$A$2700)</f>
        <v>0</v>
      </c>
      <c r="BF57" s="512">
        <f t="shared" si="22"/>
        <v>0</v>
      </c>
      <c r="BG57" s="512">
        <f>SUMIFS(PURCHASE!$K$6:$K$10008,PURCHASE!$A$6:$A$10008,$BF$2,PURCHASE!$H$6:$H$10008,$A$4:$A$2700)</f>
        <v>0</v>
      </c>
      <c r="BH57" s="512">
        <f>SUMIFS(PURCHASE!$L$6:$L$10008,PURCHASE!$A$6:$A$10008,$BF$2,PURCHASE!$H$6:$H$10008,$A$4:$A$2700)</f>
        <v>0</v>
      </c>
      <c r="BI57" s="512">
        <f>SUMIFS(PURCHASE!$M$6:$M$10008,PURCHASE!$A$6:$A$10008,$BF$2,PURCHASE!$H$6:$H$10008,$A$4:$A$2700)</f>
        <v>0</v>
      </c>
      <c r="BJ57" s="512">
        <f>SUMIFS(PURCHASE!$N$6:$N$10008,PURCHASE!$A$6:$A$10008,$BF$2,PURCHASE!$H$6:$H$10008,$A$4:$A$2700)</f>
        <v>0</v>
      </c>
      <c r="BK57" s="72">
        <f t="shared" si="6"/>
        <v>1121</v>
      </c>
      <c r="BL57" s="72">
        <f t="shared" si="7"/>
        <v>950</v>
      </c>
      <c r="BM57" s="72">
        <f t="shared" si="8"/>
        <v>0</v>
      </c>
      <c r="BN57" s="72">
        <f t="shared" si="9"/>
        <v>85.5</v>
      </c>
      <c r="BO57" s="72">
        <f t="shared" si="10"/>
        <v>85.5</v>
      </c>
    </row>
    <row r="58" spans="1:67" x14ac:dyDescent="0.2">
      <c r="A58" s="511">
        <v>8515</v>
      </c>
      <c r="B58" s="467" t="s">
        <v>1227</v>
      </c>
      <c r="C58" s="512">
        <f t="shared" si="11"/>
        <v>0</v>
      </c>
      <c r="D58" s="512">
        <f>SUMIFS(PURCHASE!$K$6:$K$10008,PURCHASE!$A$6:$A$10008,$M$2,PURCHASE!$H$6:$H$10008,$A$4:$A$2700)</f>
        <v>0</v>
      </c>
      <c r="E58" s="512">
        <f>SUMIFS(PURCHASE!$L$6:$L$10008,PURCHASE!$A$6:$A$10008,$M$2,PURCHASE!$H$6:$H$10008,$A$4:$A$2700)</f>
        <v>0</v>
      </c>
      <c r="F58" s="512">
        <f>SUMIFS(PURCHASE!$M$6:$M$10008,PURCHASE!$A$6:$A$10008,$M$2,PURCHASE!$H$6:$H$10008,$A$4:$A$2700)</f>
        <v>0</v>
      </c>
      <c r="G58" s="512">
        <f>SUMIFS(PURCHASE!$N$6:$N$10008,PURCHASE!$A$6:$A$10008,$M$2,PURCHASE!$H$6:$H$10008,$A$4:$A$2700)</f>
        <v>0</v>
      </c>
      <c r="H58" s="512">
        <f t="shared" si="12"/>
        <v>0</v>
      </c>
      <c r="I58" s="512">
        <f>SUMIFS(PURCHASE!$K$6:$K$10008,PURCHASE!$A$6:$A$10008,$H$2,PURCHASE!$H$6:$H$10008,$A$4:$A$2700)</f>
        <v>0</v>
      </c>
      <c r="J58" s="512">
        <f>SUMIFS(PURCHASE!$L$6:$L$10008,PURCHASE!$A$6:$A$10008,$H$2,PURCHASE!$H$6:$H$10008,$A$4:$A$2700)</f>
        <v>0</v>
      </c>
      <c r="K58" s="512">
        <f>SUMIFS(PURCHASE!$M$6:$M$10008,PURCHASE!$A$6:$A$10008,$H$2,PURCHASE!$H$6:$H$10008,$A$4:$A$2700)</f>
        <v>0</v>
      </c>
      <c r="L58" s="512">
        <f>SUMIFS(PURCHASE!$N$6:$N$10008,PURCHASE!$A$6:$A$10008,$H$2,PURCHASE!$H$6:$H$10008,$A$4:$A$2700)</f>
        <v>0</v>
      </c>
      <c r="M58" s="512">
        <f t="shared" si="13"/>
        <v>0</v>
      </c>
      <c r="N58" s="512">
        <f>SUMIFS(PURCHASE!$K$6:$K$10008,PURCHASE!$A$6:$A$10008,$M$2,PURCHASE!$H$6:$H$10008,$A$4:$A$2700)</f>
        <v>0</v>
      </c>
      <c r="O58" s="512">
        <f>SUMIFS(PURCHASE!$L$6:$L$10008,PURCHASE!$A$6:$A$10008,$M$2,PURCHASE!$H$6:$H$10008,$A$4:$A$2700)</f>
        <v>0</v>
      </c>
      <c r="P58" s="512">
        <f>SUMIFS(PURCHASE!$M$6:$M$10008,PURCHASE!$A$6:$A$10008,$M$2,PURCHASE!$H$6:$H$10008,$A$4:$A$2700)</f>
        <v>0</v>
      </c>
      <c r="Q58" s="512">
        <f>SUMIFS(PURCHASE!$N$6:$N$10008,PURCHASE!$A$6:$A$10008,$M$2,PURCHASE!$H$6:$H$10008,$A$4:$A$2700)</f>
        <v>0</v>
      </c>
      <c r="R58" s="512">
        <f t="shared" si="14"/>
        <v>0</v>
      </c>
      <c r="S58" s="512">
        <f>SUMIFS(PURCHASE!$K$6:$K$10008,PURCHASE!$A$6:$A$10008,$R$2,PURCHASE!$H$6:$H$10008,$A$4:$A$2700)</f>
        <v>0</v>
      </c>
      <c r="T58" s="512">
        <f>SUMIFS(PURCHASE!$L$6:$L$10008,PURCHASE!$A$6:$A$10008,$R$2,PURCHASE!$H$6:$H$10008,$A$4:$A$2700)</f>
        <v>0</v>
      </c>
      <c r="U58" s="512">
        <f>SUMIFS(PURCHASE!$M$6:$M$10008,PURCHASE!$A$6:$A$10008,$R$2,PURCHASE!$H$6:$H$10008,$A$4:$A$2700)</f>
        <v>0</v>
      </c>
      <c r="V58" s="512">
        <f>SUMIFS(PURCHASE!$N$6:$N$10008,PURCHASE!$A$6:$A$10008,$R$2,PURCHASE!$H$6:$H$10008,$A$4:$A$2700)</f>
        <v>0</v>
      </c>
      <c r="W58" s="512">
        <f t="shared" si="15"/>
        <v>0</v>
      </c>
      <c r="X58" s="512">
        <f>SUMIFS(PURCHASE!$K$6:$K$10008,PURCHASE!$A$6:$A$10008,$W$2,PURCHASE!$H$6:$H$10008,$A$4:$A$2700)</f>
        <v>0</v>
      </c>
      <c r="Y58" s="512">
        <f>SUMIFS(PURCHASE!$L$6:$L$10008,PURCHASE!$A$6:$A$10008,$W$2,PURCHASE!$H$6:$H$10008,$A$4:$A$2700)</f>
        <v>0</v>
      </c>
      <c r="Z58" s="512">
        <f>SUMIFS(PURCHASE!$M$6:$M$10008,PURCHASE!$A$6:$A$10008,$W$2,PURCHASE!$H$6:$H$10008,$A$4:$A$2700)</f>
        <v>0</v>
      </c>
      <c r="AA58" s="512">
        <f>SUMIFS(PURCHASE!$N$6:$N$10008,PURCHASE!$A$6:$A$10008,$W$2,PURCHASE!$H$6:$H$10008,$A$4:$A$2700)</f>
        <v>0</v>
      </c>
      <c r="AB58" s="512">
        <f t="shared" si="16"/>
        <v>0</v>
      </c>
      <c r="AC58" s="512">
        <f>SUMIFS(PURCHASE!$K$6:$K$10008,PURCHASE!$A$6:$A$10008,$AB$2,PURCHASE!$H$6:$H$10008,$A$4:$A$2700)</f>
        <v>0</v>
      </c>
      <c r="AD58" s="512">
        <f>SUMIFS(PURCHASE!$L$6:$L$10008,PURCHASE!$A$6:$A$10008,$AB$2,PURCHASE!$H$6:$H$10008,$A$4:$A$2700)</f>
        <v>0</v>
      </c>
      <c r="AE58" s="512">
        <f>SUMIFS(PURCHASE!$M$6:$M$10008,PURCHASE!$A$6:$A$10008,$AB$2,PURCHASE!$H$6:$H$10008,$A$4:$A$2700)</f>
        <v>0</v>
      </c>
      <c r="AF58" s="512">
        <f>SUMIFS(PURCHASE!$N$6:$N$10008,PURCHASE!$A$6:$A$10008,$AB$2,PURCHASE!$H$6:$H$10008,$A$4:$A$2700)</f>
        <v>0</v>
      </c>
      <c r="AG58" s="512">
        <f t="shared" si="17"/>
        <v>0</v>
      </c>
      <c r="AH58" s="512">
        <f>SUMIFS(PURCHASE!$K$6:$K$10008,PURCHASE!$A$6:$A$10008,$AG$2,PURCHASE!$H$6:$H$10008,$A$4:$A$2700)</f>
        <v>0</v>
      </c>
      <c r="AI58" s="512">
        <f>SUMIFS(PURCHASE!$L$6:$L$10008,PURCHASE!$A$6:$A$10008,$AG$2,PURCHASE!$H$6:$H$10008,$A$4:$A$2700)</f>
        <v>0</v>
      </c>
      <c r="AJ58" s="512">
        <f>SUMIFS(PURCHASE!$M$6:$M$10008,PURCHASE!$A$6:$A$10008,$AG$2,PURCHASE!$H$6:$H$10008,$A$4:$A$2700)</f>
        <v>0</v>
      </c>
      <c r="AK58" s="512">
        <f>SUMIFS(PURCHASE!$N$6:$N$10008,PURCHASE!$A$6:$A$10008,$AG$2,PURCHASE!$H$6:$H$10008,$A$4:$A$2700)</f>
        <v>0</v>
      </c>
      <c r="AL58" s="512">
        <f t="shared" si="18"/>
        <v>0</v>
      </c>
      <c r="AM58" s="512">
        <f>SUMIFS(PURCHASE!$K$6:$K$10008,PURCHASE!$A$6:$A$10008,$AL$2,PURCHASE!$H$6:$H$10008,$A$4:$A$2700)</f>
        <v>0</v>
      </c>
      <c r="AN58" s="512">
        <f>SUMIFS(PURCHASE!$L$6:$L$10008,PURCHASE!$A$6:$A$10008,$AL$2,PURCHASE!$H$6:$H$10008,$A$4:$A$2700)</f>
        <v>0</v>
      </c>
      <c r="AO58" s="512">
        <f>SUMIFS(PURCHASE!$M$6:$M$10008,PURCHASE!$A$6:$A$10008,$AL$2,PURCHASE!$H$6:$H$10008,$A$4:$A$2700)</f>
        <v>0</v>
      </c>
      <c r="AP58" s="512">
        <f>SUMIFS(PURCHASE!$N$6:$N$10008,PURCHASE!$A$6:$A$10008,$AL$2,PURCHASE!$H$6:$H$10008,$A$4:$A$2700)</f>
        <v>0</v>
      </c>
      <c r="AQ58" s="512">
        <f t="shared" si="19"/>
        <v>0</v>
      </c>
      <c r="AR58" s="512">
        <f>SUMIFS(PURCHASE!$K$6:$K$10008,PURCHASE!$A$6:$A$10008,$AQ$2,PURCHASE!$H$6:$H$10008,$A$4:$A$2700)</f>
        <v>0</v>
      </c>
      <c r="AS58" s="512">
        <f>SUMIFS(PURCHASE!$L$6:$L$10008,PURCHASE!$A$6:$A$10008,$AQ$2,PURCHASE!$H$6:$H$10008,$A$4:$A$2700)</f>
        <v>0</v>
      </c>
      <c r="AT58" s="512">
        <f>SUMIFS(PURCHASE!$M$6:$M$10008,PURCHASE!$A$6:$A$10008,$AQ$2,PURCHASE!$H$6:$H$10008,$A$4:$A$2700)</f>
        <v>0</v>
      </c>
      <c r="AU58" s="512">
        <f>SUMIFS(PURCHASE!$N$6:$N$10008,PURCHASE!$A$6:$A$10008,$AQ$2,PURCHASE!$H$6:$H$10008,$A$4:$A$2700)</f>
        <v>0</v>
      </c>
      <c r="AV58" s="512">
        <f t="shared" si="20"/>
        <v>0</v>
      </c>
      <c r="AW58" s="512">
        <f>SUMIFS(PURCHASE!$K$6:$K$10008,PURCHASE!$A$6:$A$10008,$AV$2,PURCHASE!$H$6:$H$10008,$A$4:$A$2700)</f>
        <v>0</v>
      </c>
      <c r="AX58" s="512">
        <f>SUMIFS(PURCHASE!$L$6:$L$10008,PURCHASE!$A$6:$A$10008,$AV$2,PURCHASE!$H$6:$H$10008,$A$4:$A$2700)</f>
        <v>0</v>
      </c>
      <c r="AY58" s="512">
        <f>SUMIFS(PURCHASE!$M$6:$M$10008,PURCHASE!$A$6:$A$10008,$AV$2,PURCHASE!$H$6:$H$10008,$A$4:$A$2700)</f>
        <v>0</v>
      </c>
      <c r="AZ58" s="512">
        <f>SUMIFS(PURCHASE!$N$6:$N$10008,PURCHASE!$A$6:$A$10008,$AV$2,PURCHASE!$H$6:$H$10008,$A$4:$A$2700)</f>
        <v>0</v>
      </c>
      <c r="BA58" s="512">
        <f t="shared" si="21"/>
        <v>0</v>
      </c>
      <c r="BB58" s="512">
        <f>SUMIFS(PURCHASE!$K$6:$K$10008,PURCHASE!$A$6:$A$10008,$BA$2,PURCHASE!$H$6:$H$10008,$A$4:$A$2700)</f>
        <v>0</v>
      </c>
      <c r="BC58" s="512">
        <f>SUMIFS(PURCHASE!$L$6:$L$10008,PURCHASE!$A$6:$A$10008,$BA$2,PURCHASE!$H$6:$H$10008,$A$4:$A$2700)</f>
        <v>0</v>
      </c>
      <c r="BD58" s="512">
        <f>SUMIFS(PURCHASE!$M$6:$M$10008,PURCHASE!$A$6:$A$10008,$BA$2,PURCHASE!$H$6:$H$10008,$A$4:$A$2700)</f>
        <v>0</v>
      </c>
      <c r="BE58" s="512">
        <f>SUMIFS(PURCHASE!$N$6:$N$10008,PURCHASE!$A$6:$A$10008,$BA$2,PURCHASE!$H$6:$H$10008,$A$4:$A$2700)</f>
        <v>0</v>
      </c>
      <c r="BF58" s="512">
        <f t="shared" si="22"/>
        <v>0</v>
      </c>
      <c r="BG58" s="512">
        <f>SUMIFS(PURCHASE!$K$6:$K$10008,PURCHASE!$A$6:$A$10008,$BF$2,PURCHASE!$H$6:$H$10008,$A$4:$A$2700)</f>
        <v>0</v>
      </c>
      <c r="BH58" s="512">
        <f>SUMIFS(PURCHASE!$L$6:$L$10008,PURCHASE!$A$6:$A$10008,$BF$2,PURCHASE!$H$6:$H$10008,$A$4:$A$2700)</f>
        <v>0</v>
      </c>
      <c r="BI58" s="512">
        <f>SUMIFS(PURCHASE!$M$6:$M$10008,PURCHASE!$A$6:$A$10008,$BF$2,PURCHASE!$H$6:$H$10008,$A$4:$A$2700)</f>
        <v>0</v>
      </c>
      <c r="BJ58" s="512">
        <f>SUMIFS(PURCHASE!$N$6:$N$10008,PURCHASE!$A$6:$A$10008,$BF$2,PURCHASE!$H$6:$H$10008,$A$4:$A$2700)</f>
        <v>0</v>
      </c>
      <c r="BK58" s="72">
        <f t="shared" si="6"/>
        <v>0</v>
      </c>
      <c r="BL58" s="72">
        <f t="shared" si="7"/>
        <v>0</v>
      </c>
      <c r="BM58" s="72">
        <f t="shared" si="8"/>
        <v>0</v>
      </c>
      <c r="BN58" s="72">
        <f t="shared" si="9"/>
        <v>0</v>
      </c>
      <c r="BO58" s="72">
        <f t="shared" si="10"/>
        <v>0</v>
      </c>
    </row>
    <row r="59" spans="1:67" x14ac:dyDescent="0.2">
      <c r="A59" s="511">
        <v>8517</v>
      </c>
      <c r="B59" s="467" t="s">
        <v>1228</v>
      </c>
      <c r="C59" s="512">
        <f t="shared" si="11"/>
        <v>0</v>
      </c>
      <c r="D59" s="512">
        <f>SUMIFS(PURCHASE!$K$6:$K$10008,PURCHASE!$A$6:$A$10008,$M$2,PURCHASE!$H$6:$H$10008,$A$4:$A$2700)</f>
        <v>0</v>
      </c>
      <c r="E59" s="512">
        <f>SUMIFS(PURCHASE!$L$6:$L$10008,PURCHASE!$A$6:$A$10008,$M$2,PURCHASE!$H$6:$H$10008,$A$4:$A$2700)</f>
        <v>0</v>
      </c>
      <c r="F59" s="512">
        <f>SUMIFS(PURCHASE!$M$6:$M$10008,PURCHASE!$A$6:$A$10008,$M$2,PURCHASE!$H$6:$H$10008,$A$4:$A$2700)</f>
        <v>0</v>
      </c>
      <c r="G59" s="512">
        <f>SUMIFS(PURCHASE!$N$6:$N$10008,PURCHASE!$A$6:$A$10008,$M$2,PURCHASE!$H$6:$H$10008,$A$4:$A$2700)</f>
        <v>0</v>
      </c>
      <c r="H59" s="512">
        <f t="shared" si="12"/>
        <v>0</v>
      </c>
      <c r="I59" s="512">
        <f>SUMIFS(PURCHASE!$K$6:$K$10008,PURCHASE!$A$6:$A$10008,$H$2,PURCHASE!$H$6:$H$10008,$A$4:$A$2700)</f>
        <v>0</v>
      </c>
      <c r="J59" s="512">
        <f>SUMIFS(PURCHASE!$L$6:$L$10008,PURCHASE!$A$6:$A$10008,$H$2,PURCHASE!$H$6:$H$10008,$A$4:$A$2700)</f>
        <v>0</v>
      </c>
      <c r="K59" s="512">
        <f>SUMIFS(PURCHASE!$M$6:$M$10008,PURCHASE!$A$6:$A$10008,$H$2,PURCHASE!$H$6:$H$10008,$A$4:$A$2700)</f>
        <v>0</v>
      </c>
      <c r="L59" s="512">
        <f>SUMIFS(PURCHASE!$N$6:$N$10008,PURCHASE!$A$6:$A$10008,$H$2,PURCHASE!$H$6:$H$10008,$A$4:$A$2700)</f>
        <v>0</v>
      </c>
      <c r="M59" s="512">
        <f t="shared" si="13"/>
        <v>0</v>
      </c>
      <c r="N59" s="512">
        <f>SUMIFS(PURCHASE!$K$6:$K$10008,PURCHASE!$A$6:$A$10008,$M$2,PURCHASE!$H$6:$H$10008,$A$4:$A$2700)</f>
        <v>0</v>
      </c>
      <c r="O59" s="512">
        <f>SUMIFS(PURCHASE!$L$6:$L$10008,PURCHASE!$A$6:$A$10008,$M$2,PURCHASE!$H$6:$H$10008,$A$4:$A$2700)</f>
        <v>0</v>
      </c>
      <c r="P59" s="512">
        <f>SUMIFS(PURCHASE!$M$6:$M$10008,PURCHASE!$A$6:$A$10008,$M$2,PURCHASE!$H$6:$H$10008,$A$4:$A$2700)</f>
        <v>0</v>
      </c>
      <c r="Q59" s="512">
        <f>SUMIFS(PURCHASE!$N$6:$N$10008,PURCHASE!$A$6:$A$10008,$M$2,PURCHASE!$H$6:$H$10008,$A$4:$A$2700)</f>
        <v>0</v>
      </c>
      <c r="R59" s="512">
        <f t="shared" si="14"/>
        <v>0</v>
      </c>
      <c r="S59" s="512">
        <f>SUMIFS(PURCHASE!$K$6:$K$10008,PURCHASE!$A$6:$A$10008,$R$2,PURCHASE!$H$6:$H$10008,$A$4:$A$2700)</f>
        <v>0</v>
      </c>
      <c r="T59" s="512">
        <f>SUMIFS(PURCHASE!$L$6:$L$10008,PURCHASE!$A$6:$A$10008,$R$2,PURCHASE!$H$6:$H$10008,$A$4:$A$2700)</f>
        <v>0</v>
      </c>
      <c r="U59" s="512">
        <f>SUMIFS(PURCHASE!$M$6:$M$10008,PURCHASE!$A$6:$A$10008,$R$2,PURCHASE!$H$6:$H$10008,$A$4:$A$2700)</f>
        <v>0</v>
      </c>
      <c r="V59" s="512">
        <f>SUMIFS(PURCHASE!$N$6:$N$10008,PURCHASE!$A$6:$A$10008,$R$2,PURCHASE!$H$6:$H$10008,$A$4:$A$2700)</f>
        <v>0</v>
      </c>
      <c r="W59" s="512">
        <f t="shared" si="15"/>
        <v>0</v>
      </c>
      <c r="X59" s="512">
        <f>SUMIFS(PURCHASE!$K$6:$K$10008,PURCHASE!$A$6:$A$10008,$W$2,PURCHASE!$H$6:$H$10008,$A$4:$A$2700)</f>
        <v>0</v>
      </c>
      <c r="Y59" s="512">
        <f>SUMIFS(PURCHASE!$L$6:$L$10008,PURCHASE!$A$6:$A$10008,$W$2,PURCHASE!$H$6:$H$10008,$A$4:$A$2700)</f>
        <v>0</v>
      </c>
      <c r="Z59" s="512">
        <f>SUMIFS(PURCHASE!$M$6:$M$10008,PURCHASE!$A$6:$A$10008,$W$2,PURCHASE!$H$6:$H$10008,$A$4:$A$2700)</f>
        <v>0</v>
      </c>
      <c r="AA59" s="512">
        <f>SUMIFS(PURCHASE!$N$6:$N$10008,PURCHASE!$A$6:$A$10008,$W$2,PURCHASE!$H$6:$H$10008,$A$4:$A$2700)</f>
        <v>0</v>
      </c>
      <c r="AB59" s="512">
        <f t="shared" si="16"/>
        <v>0</v>
      </c>
      <c r="AC59" s="512">
        <f>SUMIFS(PURCHASE!$K$6:$K$10008,PURCHASE!$A$6:$A$10008,$AB$2,PURCHASE!$H$6:$H$10008,$A$4:$A$2700)</f>
        <v>0</v>
      </c>
      <c r="AD59" s="512">
        <f>SUMIFS(PURCHASE!$L$6:$L$10008,PURCHASE!$A$6:$A$10008,$AB$2,PURCHASE!$H$6:$H$10008,$A$4:$A$2700)</f>
        <v>0</v>
      </c>
      <c r="AE59" s="512">
        <f>SUMIFS(PURCHASE!$M$6:$M$10008,PURCHASE!$A$6:$A$10008,$AB$2,PURCHASE!$H$6:$H$10008,$A$4:$A$2700)</f>
        <v>0</v>
      </c>
      <c r="AF59" s="512">
        <f>SUMIFS(PURCHASE!$N$6:$N$10008,PURCHASE!$A$6:$A$10008,$AB$2,PURCHASE!$H$6:$H$10008,$A$4:$A$2700)</f>
        <v>0</v>
      </c>
      <c r="AG59" s="512">
        <f t="shared" si="17"/>
        <v>0</v>
      </c>
      <c r="AH59" s="512">
        <f>SUMIFS(PURCHASE!$K$6:$K$10008,PURCHASE!$A$6:$A$10008,$AG$2,PURCHASE!$H$6:$H$10008,$A$4:$A$2700)</f>
        <v>0</v>
      </c>
      <c r="AI59" s="512">
        <f>SUMIFS(PURCHASE!$L$6:$L$10008,PURCHASE!$A$6:$A$10008,$AG$2,PURCHASE!$H$6:$H$10008,$A$4:$A$2700)</f>
        <v>0</v>
      </c>
      <c r="AJ59" s="512">
        <f>SUMIFS(PURCHASE!$M$6:$M$10008,PURCHASE!$A$6:$A$10008,$AG$2,PURCHASE!$H$6:$H$10008,$A$4:$A$2700)</f>
        <v>0</v>
      </c>
      <c r="AK59" s="512">
        <f>SUMIFS(PURCHASE!$N$6:$N$10008,PURCHASE!$A$6:$A$10008,$AG$2,PURCHASE!$H$6:$H$10008,$A$4:$A$2700)</f>
        <v>0</v>
      </c>
      <c r="AL59" s="512">
        <f t="shared" si="18"/>
        <v>0</v>
      </c>
      <c r="AM59" s="512">
        <f>SUMIFS(PURCHASE!$K$6:$K$10008,PURCHASE!$A$6:$A$10008,$AL$2,PURCHASE!$H$6:$H$10008,$A$4:$A$2700)</f>
        <v>0</v>
      </c>
      <c r="AN59" s="512">
        <f>SUMIFS(PURCHASE!$L$6:$L$10008,PURCHASE!$A$6:$A$10008,$AL$2,PURCHASE!$H$6:$H$10008,$A$4:$A$2700)</f>
        <v>0</v>
      </c>
      <c r="AO59" s="512">
        <f>SUMIFS(PURCHASE!$M$6:$M$10008,PURCHASE!$A$6:$A$10008,$AL$2,PURCHASE!$H$6:$H$10008,$A$4:$A$2700)</f>
        <v>0</v>
      </c>
      <c r="AP59" s="512">
        <f>SUMIFS(PURCHASE!$N$6:$N$10008,PURCHASE!$A$6:$A$10008,$AL$2,PURCHASE!$H$6:$H$10008,$A$4:$A$2700)</f>
        <v>0</v>
      </c>
      <c r="AQ59" s="512">
        <f t="shared" si="19"/>
        <v>0</v>
      </c>
      <c r="AR59" s="512">
        <f>SUMIFS(PURCHASE!$K$6:$K$10008,PURCHASE!$A$6:$A$10008,$AQ$2,PURCHASE!$H$6:$H$10008,$A$4:$A$2700)</f>
        <v>0</v>
      </c>
      <c r="AS59" s="512">
        <f>SUMIFS(PURCHASE!$L$6:$L$10008,PURCHASE!$A$6:$A$10008,$AQ$2,PURCHASE!$H$6:$H$10008,$A$4:$A$2700)</f>
        <v>0</v>
      </c>
      <c r="AT59" s="512">
        <f>SUMIFS(PURCHASE!$M$6:$M$10008,PURCHASE!$A$6:$A$10008,$AQ$2,PURCHASE!$H$6:$H$10008,$A$4:$A$2700)</f>
        <v>0</v>
      </c>
      <c r="AU59" s="512">
        <f>SUMIFS(PURCHASE!$N$6:$N$10008,PURCHASE!$A$6:$A$10008,$AQ$2,PURCHASE!$H$6:$H$10008,$A$4:$A$2700)</f>
        <v>0</v>
      </c>
      <c r="AV59" s="512">
        <f t="shared" si="20"/>
        <v>0</v>
      </c>
      <c r="AW59" s="512">
        <f>SUMIFS(PURCHASE!$K$6:$K$10008,PURCHASE!$A$6:$A$10008,$AV$2,PURCHASE!$H$6:$H$10008,$A$4:$A$2700)</f>
        <v>0</v>
      </c>
      <c r="AX59" s="512">
        <f>SUMIFS(PURCHASE!$L$6:$L$10008,PURCHASE!$A$6:$A$10008,$AV$2,PURCHASE!$H$6:$H$10008,$A$4:$A$2700)</f>
        <v>0</v>
      </c>
      <c r="AY59" s="512">
        <f>SUMIFS(PURCHASE!$M$6:$M$10008,PURCHASE!$A$6:$A$10008,$AV$2,PURCHASE!$H$6:$H$10008,$A$4:$A$2700)</f>
        <v>0</v>
      </c>
      <c r="AZ59" s="512">
        <f>SUMIFS(PURCHASE!$N$6:$N$10008,PURCHASE!$A$6:$A$10008,$AV$2,PURCHASE!$H$6:$H$10008,$A$4:$A$2700)</f>
        <v>0</v>
      </c>
      <c r="BA59" s="512">
        <f t="shared" si="21"/>
        <v>0</v>
      </c>
      <c r="BB59" s="512">
        <f>SUMIFS(PURCHASE!$K$6:$K$10008,PURCHASE!$A$6:$A$10008,$BA$2,PURCHASE!$H$6:$H$10008,$A$4:$A$2700)</f>
        <v>0</v>
      </c>
      <c r="BC59" s="512">
        <f>SUMIFS(PURCHASE!$L$6:$L$10008,PURCHASE!$A$6:$A$10008,$BA$2,PURCHASE!$H$6:$H$10008,$A$4:$A$2700)</f>
        <v>0</v>
      </c>
      <c r="BD59" s="512">
        <f>SUMIFS(PURCHASE!$M$6:$M$10008,PURCHASE!$A$6:$A$10008,$BA$2,PURCHASE!$H$6:$H$10008,$A$4:$A$2700)</f>
        <v>0</v>
      </c>
      <c r="BE59" s="512">
        <f>SUMIFS(PURCHASE!$N$6:$N$10008,PURCHASE!$A$6:$A$10008,$BA$2,PURCHASE!$H$6:$H$10008,$A$4:$A$2700)</f>
        <v>0</v>
      </c>
      <c r="BF59" s="512">
        <f t="shared" si="22"/>
        <v>0</v>
      </c>
      <c r="BG59" s="512">
        <f>SUMIFS(PURCHASE!$K$6:$K$10008,PURCHASE!$A$6:$A$10008,$BF$2,PURCHASE!$H$6:$H$10008,$A$4:$A$2700)</f>
        <v>0</v>
      </c>
      <c r="BH59" s="512">
        <f>SUMIFS(PURCHASE!$L$6:$L$10008,PURCHASE!$A$6:$A$10008,$BF$2,PURCHASE!$H$6:$H$10008,$A$4:$A$2700)</f>
        <v>0</v>
      </c>
      <c r="BI59" s="512">
        <f>SUMIFS(PURCHASE!$M$6:$M$10008,PURCHASE!$A$6:$A$10008,$BF$2,PURCHASE!$H$6:$H$10008,$A$4:$A$2700)</f>
        <v>0</v>
      </c>
      <c r="BJ59" s="512">
        <f>SUMIFS(PURCHASE!$N$6:$N$10008,PURCHASE!$A$6:$A$10008,$BF$2,PURCHASE!$H$6:$H$10008,$A$4:$A$2700)</f>
        <v>0</v>
      </c>
      <c r="BK59" s="72">
        <f t="shared" si="6"/>
        <v>0</v>
      </c>
      <c r="BL59" s="72">
        <f t="shared" si="7"/>
        <v>0</v>
      </c>
      <c r="BM59" s="72">
        <f t="shared" si="8"/>
        <v>0</v>
      </c>
      <c r="BN59" s="72">
        <f t="shared" si="9"/>
        <v>0</v>
      </c>
      <c r="BO59" s="72">
        <f t="shared" si="10"/>
        <v>0</v>
      </c>
    </row>
    <row r="60" spans="1:67" x14ac:dyDescent="0.2">
      <c r="A60" s="511">
        <v>8532</v>
      </c>
      <c r="B60" s="500" t="s">
        <v>1229</v>
      </c>
      <c r="C60" s="512">
        <f t="shared" si="11"/>
        <v>0</v>
      </c>
      <c r="D60" s="512">
        <f>SUMIFS(PURCHASE!$K$6:$K$10008,PURCHASE!$A$6:$A$10008,$M$2,PURCHASE!$H$6:$H$10008,$A$4:$A$2700)</f>
        <v>0</v>
      </c>
      <c r="E60" s="512">
        <f>SUMIFS(PURCHASE!$L$6:$L$10008,PURCHASE!$A$6:$A$10008,$M$2,PURCHASE!$H$6:$H$10008,$A$4:$A$2700)</f>
        <v>0</v>
      </c>
      <c r="F60" s="512">
        <f>SUMIFS(PURCHASE!$M$6:$M$10008,PURCHASE!$A$6:$A$10008,$M$2,PURCHASE!$H$6:$H$10008,$A$4:$A$2700)</f>
        <v>0</v>
      </c>
      <c r="G60" s="512">
        <f>SUMIFS(PURCHASE!$N$6:$N$10008,PURCHASE!$A$6:$A$10008,$M$2,PURCHASE!$H$6:$H$10008,$A$4:$A$2700)</f>
        <v>0</v>
      </c>
      <c r="H60" s="512">
        <f t="shared" si="12"/>
        <v>212.39999999999998</v>
      </c>
      <c r="I60" s="512">
        <f>SUMIFS(PURCHASE!$K$6:$K$10008,PURCHASE!$A$6:$A$10008,$H$2,PURCHASE!$H$6:$H$10008,$A$4:$A$2700)</f>
        <v>180</v>
      </c>
      <c r="J60" s="512">
        <f>SUMIFS(PURCHASE!$L$6:$L$10008,PURCHASE!$A$6:$A$10008,$H$2,PURCHASE!$H$6:$H$10008,$A$4:$A$2700)</f>
        <v>0</v>
      </c>
      <c r="K60" s="512">
        <f>SUMIFS(PURCHASE!$M$6:$M$10008,PURCHASE!$A$6:$A$10008,$H$2,PURCHASE!$H$6:$H$10008,$A$4:$A$2700)</f>
        <v>16.2</v>
      </c>
      <c r="L60" s="512">
        <f>SUMIFS(PURCHASE!$N$6:$N$10008,PURCHASE!$A$6:$A$10008,$H$2,PURCHASE!$H$6:$H$10008,$A$4:$A$2700)</f>
        <v>16.2</v>
      </c>
      <c r="M60" s="512">
        <f t="shared" si="13"/>
        <v>0</v>
      </c>
      <c r="N60" s="512">
        <f>SUMIFS(PURCHASE!$K$6:$K$10008,PURCHASE!$A$6:$A$10008,$M$2,PURCHASE!$H$6:$H$10008,$A$4:$A$2700)</f>
        <v>0</v>
      </c>
      <c r="O60" s="512">
        <f>SUMIFS(PURCHASE!$L$6:$L$10008,PURCHASE!$A$6:$A$10008,$M$2,PURCHASE!$H$6:$H$10008,$A$4:$A$2700)</f>
        <v>0</v>
      </c>
      <c r="P60" s="512">
        <f>SUMIFS(PURCHASE!$M$6:$M$10008,PURCHASE!$A$6:$A$10008,$M$2,PURCHASE!$H$6:$H$10008,$A$4:$A$2700)</f>
        <v>0</v>
      </c>
      <c r="Q60" s="512">
        <f>SUMIFS(PURCHASE!$N$6:$N$10008,PURCHASE!$A$6:$A$10008,$M$2,PURCHASE!$H$6:$H$10008,$A$4:$A$2700)</f>
        <v>0</v>
      </c>
      <c r="R60" s="512">
        <f t="shared" si="14"/>
        <v>0</v>
      </c>
      <c r="S60" s="512">
        <f>SUMIFS(PURCHASE!$K$6:$K$10008,PURCHASE!$A$6:$A$10008,$R$2,PURCHASE!$H$6:$H$10008,$A$4:$A$2700)</f>
        <v>0</v>
      </c>
      <c r="T60" s="512">
        <f>SUMIFS(PURCHASE!$L$6:$L$10008,PURCHASE!$A$6:$A$10008,$R$2,PURCHASE!$H$6:$H$10008,$A$4:$A$2700)</f>
        <v>0</v>
      </c>
      <c r="U60" s="512">
        <f>SUMIFS(PURCHASE!$M$6:$M$10008,PURCHASE!$A$6:$A$10008,$R$2,PURCHASE!$H$6:$H$10008,$A$4:$A$2700)</f>
        <v>0</v>
      </c>
      <c r="V60" s="512">
        <f>SUMIFS(PURCHASE!$N$6:$N$10008,PURCHASE!$A$6:$A$10008,$R$2,PURCHASE!$H$6:$H$10008,$A$4:$A$2700)</f>
        <v>0</v>
      </c>
      <c r="W60" s="512">
        <f t="shared" si="15"/>
        <v>0</v>
      </c>
      <c r="X60" s="512">
        <f>SUMIFS(PURCHASE!$K$6:$K$10008,PURCHASE!$A$6:$A$10008,$W$2,PURCHASE!$H$6:$H$10008,$A$4:$A$2700)</f>
        <v>0</v>
      </c>
      <c r="Y60" s="512">
        <f>SUMIFS(PURCHASE!$L$6:$L$10008,PURCHASE!$A$6:$A$10008,$W$2,PURCHASE!$H$6:$H$10008,$A$4:$A$2700)</f>
        <v>0</v>
      </c>
      <c r="Z60" s="512">
        <f>SUMIFS(PURCHASE!$M$6:$M$10008,PURCHASE!$A$6:$A$10008,$W$2,PURCHASE!$H$6:$H$10008,$A$4:$A$2700)</f>
        <v>0</v>
      </c>
      <c r="AA60" s="512">
        <f>SUMIFS(PURCHASE!$N$6:$N$10008,PURCHASE!$A$6:$A$10008,$W$2,PURCHASE!$H$6:$H$10008,$A$4:$A$2700)</f>
        <v>0</v>
      </c>
      <c r="AB60" s="512">
        <f t="shared" si="16"/>
        <v>0</v>
      </c>
      <c r="AC60" s="512">
        <f>SUMIFS(PURCHASE!$K$6:$K$10008,PURCHASE!$A$6:$A$10008,$AB$2,PURCHASE!$H$6:$H$10008,$A$4:$A$2700)</f>
        <v>0</v>
      </c>
      <c r="AD60" s="512">
        <f>SUMIFS(PURCHASE!$L$6:$L$10008,PURCHASE!$A$6:$A$10008,$AB$2,PURCHASE!$H$6:$H$10008,$A$4:$A$2700)</f>
        <v>0</v>
      </c>
      <c r="AE60" s="512">
        <f>SUMIFS(PURCHASE!$M$6:$M$10008,PURCHASE!$A$6:$A$10008,$AB$2,PURCHASE!$H$6:$H$10008,$A$4:$A$2700)</f>
        <v>0</v>
      </c>
      <c r="AF60" s="512">
        <f>SUMIFS(PURCHASE!$N$6:$N$10008,PURCHASE!$A$6:$A$10008,$AB$2,PURCHASE!$H$6:$H$10008,$A$4:$A$2700)</f>
        <v>0</v>
      </c>
      <c r="AG60" s="512">
        <f t="shared" si="17"/>
        <v>0</v>
      </c>
      <c r="AH60" s="512">
        <f>SUMIFS(PURCHASE!$K$6:$K$10008,PURCHASE!$A$6:$A$10008,$AG$2,PURCHASE!$H$6:$H$10008,$A$4:$A$2700)</f>
        <v>0</v>
      </c>
      <c r="AI60" s="512">
        <f>SUMIFS(PURCHASE!$L$6:$L$10008,PURCHASE!$A$6:$A$10008,$AG$2,PURCHASE!$H$6:$H$10008,$A$4:$A$2700)</f>
        <v>0</v>
      </c>
      <c r="AJ60" s="512">
        <f>SUMIFS(PURCHASE!$M$6:$M$10008,PURCHASE!$A$6:$A$10008,$AG$2,PURCHASE!$H$6:$H$10008,$A$4:$A$2700)</f>
        <v>0</v>
      </c>
      <c r="AK60" s="512">
        <f>SUMIFS(PURCHASE!$N$6:$N$10008,PURCHASE!$A$6:$A$10008,$AG$2,PURCHASE!$H$6:$H$10008,$A$4:$A$2700)</f>
        <v>0</v>
      </c>
      <c r="AL60" s="512">
        <f t="shared" si="18"/>
        <v>283.20000000000005</v>
      </c>
      <c r="AM60" s="512">
        <f>SUMIFS(PURCHASE!$K$6:$K$10008,PURCHASE!$A$6:$A$10008,$AL$2,PURCHASE!$H$6:$H$10008,$A$4:$A$2700)</f>
        <v>240</v>
      </c>
      <c r="AN60" s="512">
        <f>SUMIFS(PURCHASE!$L$6:$L$10008,PURCHASE!$A$6:$A$10008,$AL$2,PURCHASE!$H$6:$H$10008,$A$4:$A$2700)</f>
        <v>0</v>
      </c>
      <c r="AO60" s="512">
        <f>SUMIFS(PURCHASE!$M$6:$M$10008,PURCHASE!$A$6:$A$10008,$AL$2,PURCHASE!$H$6:$H$10008,$A$4:$A$2700)</f>
        <v>21.6</v>
      </c>
      <c r="AP60" s="512">
        <f>SUMIFS(PURCHASE!$N$6:$N$10008,PURCHASE!$A$6:$A$10008,$AL$2,PURCHASE!$H$6:$H$10008,$A$4:$A$2700)</f>
        <v>21.6</v>
      </c>
      <c r="AQ60" s="512">
        <f t="shared" si="19"/>
        <v>0</v>
      </c>
      <c r="AR60" s="512">
        <f>SUMIFS(PURCHASE!$K$6:$K$10008,PURCHASE!$A$6:$A$10008,$AQ$2,PURCHASE!$H$6:$H$10008,$A$4:$A$2700)</f>
        <v>0</v>
      </c>
      <c r="AS60" s="512">
        <f>SUMIFS(PURCHASE!$L$6:$L$10008,PURCHASE!$A$6:$A$10008,$AQ$2,PURCHASE!$H$6:$H$10008,$A$4:$A$2700)</f>
        <v>0</v>
      </c>
      <c r="AT60" s="512">
        <f>SUMIFS(PURCHASE!$M$6:$M$10008,PURCHASE!$A$6:$A$10008,$AQ$2,PURCHASE!$H$6:$H$10008,$A$4:$A$2700)</f>
        <v>0</v>
      </c>
      <c r="AU60" s="512">
        <f>SUMIFS(PURCHASE!$N$6:$N$10008,PURCHASE!$A$6:$A$10008,$AQ$2,PURCHASE!$H$6:$H$10008,$A$4:$A$2700)</f>
        <v>0</v>
      </c>
      <c r="AV60" s="512">
        <f t="shared" si="20"/>
        <v>0</v>
      </c>
      <c r="AW60" s="512">
        <f>SUMIFS(PURCHASE!$K$6:$K$10008,PURCHASE!$A$6:$A$10008,$AV$2,PURCHASE!$H$6:$H$10008,$A$4:$A$2700)</f>
        <v>0</v>
      </c>
      <c r="AX60" s="512">
        <f>SUMIFS(PURCHASE!$L$6:$L$10008,PURCHASE!$A$6:$A$10008,$AV$2,PURCHASE!$H$6:$H$10008,$A$4:$A$2700)</f>
        <v>0</v>
      </c>
      <c r="AY60" s="512">
        <f>SUMIFS(PURCHASE!$M$6:$M$10008,PURCHASE!$A$6:$A$10008,$AV$2,PURCHASE!$H$6:$H$10008,$A$4:$A$2700)</f>
        <v>0</v>
      </c>
      <c r="AZ60" s="512">
        <f>SUMIFS(PURCHASE!$N$6:$N$10008,PURCHASE!$A$6:$A$10008,$AV$2,PURCHASE!$H$6:$H$10008,$A$4:$A$2700)</f>
        <v>0</v>
      </c>
      <c r="BA60" s="512">
        <f t="shared" si="21"/>
        <v>0</v>
      </c>
      <c r="BB60" s="512">
        <f>SUMIFS(PURCHASE!$K$6:$K$10008,PURCHASE!$A$6:$A$10008,$BA$2,PURCHASE!$H$6:$H$10008,$A$4:$A$2700)</f>
        <v>0</v>
      </c>
      <c r="BC60" s="512">
        <f>SUMIFS(PURCHASE!$L$6:$L$10008,PURCHASE!$A$6:$A$10008,$BA$2,PURCHASE!$H$6:$H$10008,$A$4:$A$2700)</f>
        <v>0</v>
      </c>
      <c r="BD60" s="512">
        <f>SUMIFS(PURCHASE!$M$6:$M$10008,PURCHASE!$A$6:$A$10008,$BA$2,PURCHASE!$H$6:$H$10008,$A$4:$A$2700)</f>
        <v>0</v>
      </c>
      <c r="BE60" s="512">
        <f>SUMIFS(PURCHASE!$N$6:$N$10008,PURCHASE!$A$6:$A$10008,$BA$2,PURCHASE!$H$6:$H$10008,$A$4:$A$2700)</f>
        <v>0</v>
      </c>
      <c r="BF60" s="512">
        <f t="shared" si="22"/>
        <v>0</v>
      </c>
      <c r="BG60" s="512">
        <f>SUMIFS(PURCHASE!$K$6:$K$10008,PURCHASE!$A$6:$A$10008,$BF$2,PURCHASE!$H$6:$H$10008,$A$4:$A$2700)</f>
        <v>0</v>
      </c>
      <c r="BH60" s="512">
        <f>SUMIFS(PURCHASE!$L$6:$L$10008,PURCHASE!$A$6:$A$10008,$BF$2,PURCHASE!$H$6:$H$10008,$A$4:$A$2700)</f>
        <v>0</v>
      </c>
      <c r="BI60" s="512">
        <f>SUMIFS(PURCHASE!$M$6:$M$10008,PURCHASE!$A$6:$A$10008,$BF$2,PURCHASE!$H$6:$H$10008,$A$4:$A$2700)</f>
        <v>0</v>
      </c>
      <c r="BJ60" s="512">
        <f>SUMIFS(PURCHASE!$N$6:$N$10008,PURCHASE!$A$6:$A$10008,$BF$2,PURCHASE!$H$6:$H$10008,$A$4:$A$2700)</f>
        <v>0</v>
      </c>
      <c r="BK60" s="72">
        <f t="shared" si="6"/>
        <v>495.6</v>
      </c>
      <c r="BL60" s="72">
        <f t="shared" si="7"/>
        <v>420</v>
      </c>
      <c r="BM60" s="72">
        <f t="shared" si="8"/>
        <v>0</v>
      </c>
      <c r="BN60" s="72">
        <f t="shared" si="9"/>
        <v>37.799999999999997</v>
      </c>
      <c r="BO60" s="72">
        <f t="shared" si="10"/>
        <v>37.799999999999997</v>
      </c>
    </row>
    <row r="61" spans="1:67" x14ac:dyDescent="0.2">
      <c r="A61" s="511">
        <v>8535</v>
      </c>
      <c r="B61" s="467" t="s">
        <v>1230</v>
      </c>
      <c r="C61" s="512">
        <f t="shared" si="11"/>
        <v>0</v>
      </c>
      <c r="D61" s="512">
        <f>SUMIFS(PURCHASE!$K$6:$K$10008,PURCHASE!$A$6:$A$10008,$M$2,PURCHASE!$H$6:$H$10008,$A$4:$A$2700)</f>
        <v>0</v>
      </c>
      <c r="E61" s="512">
        <f>SUMIFS(PURCHASE!$L$6:$L$10008,PURCHASE!$A$6:$A$10008,$M$2,PURCHASE!$H$6:$H$10008,$A$4:$A$2700)</f>
        <v>0</v>
      </c>
      <c r="F61" s="512">
        <f>SUMIFS(PURCHASE!$M$6:$M$10008,PURCHASE!$A$6:$A$10008,$M$2,PURCHASE!$H$6:$H$10008,$A$4:$A$2700)</f>
        <v>0</v>
      </c>
      <c r="G61" s="512">
        <f>SUMIFS(PURCHASE!$N$6:$N$10008,PURCHASE!$A$6:$A$10008,$M$2,PURCHASE!$H$6:$H$10008,$A$4:$A$2700)</f>
        <v>0</v>
      </c>
      <c r="H61" s="512">
        <f t="shared" si="12"/>
        <v>0</v>
      </c>
      <c r="I61" s="512">
        <f>SUMIFS(PURCHASE!$K$6:$K$10008,PURCHASE!$A$6:$A$10008,$H$2,PURCHASE!$H$6:$H$10008,$A$4:$A$2700)</f>
        <v>0</v>
      </c>
      <c r="J61" s="512">
        <f>SUMIFS(PURCHASE!$L$6:$L$10008,PURCHASE!$A$6:$A$10008,$H$2,PURCHASE!$H$6:$H$10008,$A$4:$A$2700)</f>
        <v>0</v>
      </c>
      <c r="K61" s="512">
        <f>SUMIFS(PURCHASE!$M$6:$M$10008,PURCHASE!$A$6:$A$10008,$H$2,PURCHASE!$H$6:$H$10008,$A$4:$A$2700)</f>
        <v>0</v>
      </c>
      <c r="L61" s="512">
        <f>SUMIFS(PURCHASE!$N$6:$N$10008,PURCHASE!$A$6:$A$10008,$H$2,PURCHASE!$H$6:$H$10008,$A$4:$A$2700)</f>
        <v>0</v>
      </c>
      <c r="M61" s="512">
        <f t="shared" si="13"/>
        <v>0</v>
      </c>
      <c r="N61" s="512">
        <f>SUMIFS(PURCHASE!$K$6:$K$10008,PURCHASE!$A$6:$A$10008,$M$2,PURCHASE!$H$6:$H$10008,$A$4:$A$2700)</f>
        <v>0</v>
      </c>
      <c r="O61" s="512">
        <f>SUMIFS(PURCHASE!$L$6:$L$10008,PURCHASE!$A$6:$A$10008,$M$2,PURCHASE!$H$6:$H$10008,$A$4:$A$2700)</f>
        <v>0</v>
      </c>
      <c r="P61" s="512">
        <f>SUMIFS(PURCHASE!$M$6:$M$10008,PURCHASE!$A$6:$A$10008,$M$2,PURCHASE!$H$6:$H$10008,$A$4:$A$2700)</f>
        <v>0</v>
      </c>
      <c r="Q61" s="512">
        <f>SUMIFS(PURCHASE!$N$6:$N$10008,PURCHASE!$A$6:$A$10008,$M$2,PURCHASE!$H$6:$H$10008,$A$4:$A$2700)</f>
        <v>0</v>
      </c>
      <c r="R61" s="512">
        <f t="shared" si="14"/>
        <v>0</v>
      </c>
      <c r="S61" s="512">
        <f>SUMIFS(PURCHASE!$K$6:$K$10008,PURCHASE!$A$6:$A$10008,$R$2,PURCHASE!$H$6:$H$10008,$A$4:$A$2700)</f>
        <v>0</v>
      </c>
      <c r="T61" s="512">
        <f>SUMIFS(PURCHASE!$L$6:$L$10008,PURCHASE!$A$6:$A$10008,$R$2,PURCHASE!$H$6:$H$10008,$A$4:$A$2700)</f>
        <v>0</v>
      </c>
      <c r="U61" s="512">
        <f>SUMIFS(PURCHASE!$M$6:$M$10008,PURCHASE!$A$6:$A$10008,$R$2,PURCHASE!$H$6:$H$10008,$A$4:$A$2700)</f>
        <v>0</v>
      </c>
      <c r="V61" s="512">
        <f>SUMIFS(PURCHASE!$N$6:$N$10008,PURCHASE!$A$6:$A$10008,$R$2,PURCHASE!$H$6:$H$10008,$A$4:$A$2700)</f>
        <v>0</v>
      </c>
      <c r="W61" s="512">
        <f t="shared" si="15"/>
        <v>0</v>
      </c>
      <c r="X61" s="512">
        <f>SUMIFS(PURCHASE!$K$6:$K$10008,PURCHASE!$A$6:$A$10008,$W$2,PURCHASE!$H$6:$H$10008,$A$4:$A$2700)</f>
        <v>0</v>
      </c>
      <c r="Y61" s="512">
        <f>SUMIFS(PURCHASE!$L$6:$L$10008,PURCHASE!$A$6:$A$10008,$W$2,PURCHASE!$H$6:$H$10008,$A$4:$A$2700)</f>
        <v>0</v>
      </c>
      <c r="Z61" s="512">
        <f>SUMIFS(PURCHASE!$M$6:$M$10008,PURCHASE!$A$6:$A$10008,$W$2,PURCHASE!$H$6:$H$10008,$A$4:$A$2700)</f>
        <v>0</v>
      </c>
      <c r="AA61" s="512">
        <f>SUMIFS(PURCHASE!$N$6:$N$10008,PURCHASE!$A$6:$A$10008,$W$2,PURCHASE!$H$6:$H$10008,$A$4:$A$2700)</f>
        <v>0</v>
      </c>
      <c r="AB61" s="512">
        <f t="shared" si="16"/>
        <v>0</v>
      </c>
      <c r="AC61" s="512">
        <f>SUMIFS(PURCHASE!$K$6:$K$10008,PURCHASE!$A$6:$A$10008,$AB$2,PURCHASE!$H$6:$H$10008,$A$4:$A$2700)</f>
        <v>0</v>
      </c>
      <c r="AD61" s="512">
        <f>SUMIFS(PURCHASE!$L$6:$L$10008,PURCHASE!$A$6:$A$10008,$AB$2,PURCHASE!$H$6:$H$10008,$A$4:$A$2700)</f>
        <v>0</v>
      </c>
      <c r="AE61" s="512">
        <f>SUMIFS(PURCHASE!$M$6:$M$10008,PURCHASE!$A$6:$A$10008,$AB$2,PURCHASE!$H$6:$H$10008,$A$4:$A$2700)</f>
        <v>0</v>
      </c>
      <c r="AF61" s="512">
        <f>SUMIFS(PURCHASE!$N$6:$N$10008,PURCHASE!$A$6:$A$10008,$AB$2,PURCHASE!$H$6:$H$10008,$A$4:$A$2700)</f>
        <v>0</v>
      </c>
      <c r="AG61" s="512">
        <f t="shared" si="17"/>
        <v>0</v>
      </c>
      <c r="AH61" s="512">
        <f>SUMIFS(PURCHASE!$K$6:$K$10008,PURCHASE!$A$6:$A$10008,$AG$2,PURCHASE!$H$6:$H$10008,$A$4:$A$2700)</f>
        <v>0</v>
      </c>
      <c r="AI61" s="512">
        <f>SUMIFS(PURCHASE!$L$6:$L$10008,PURCHASE!$A$6:$A$10008,$AG$2,PURCHASE!$H$6:$H$10008,$A$4:$A$2700)</f>
        <v>0</v>
      </c>
      <c r="AJ61" s="512">
        <f>SUMIFS(PURCHASE!$M$6:$M$10008,PURCHASE!$A$6:$A$10008,$AG$2,PURCHASE!$H$6:$H$10008,$A$4:$A$2700)</f>
        <v>0</v>
      </c>
      <c r="AK61" s="512">
        <f>SUMIFS(PURCHASE!$N$6:$N$10008,PURCHASE!$A$6:$A$10008,$AG$2,PURCHASE!$H$6:$H$10008,$A$4:$A$2700)</f>
        <v>0</v>
      </c>
      <c r="AL61" s="512">
        <f t="shared" si="18"/>
        <v>0</v>
      </c>
      <c r="AM61" s="512">
        <f>SUMIFS(PURCHASE!$K$6:$K$10008,PURCHASE!$A$6:$A$10008,$AL$2,PURCHASE!$H$6:$H$10008,$A$4:$A$2700)</f>
        <v>0</v>
      </c>
      <c r="AN61" s="512">
        <f>SUMIFS(PURCHASE!$L$6:$L$10008,PURCHASE!$A$6:$A$10008,$AL$2,PURCHASE!$H$6:$H$10008,$A$4:$A$2700)</f>
        <v>0</v>
      </c>
      <c r="AO61" s="512">
        <f>SUMIFS(PURCHASE!$M$6:$M$10008,PURCHASE!$A$6:$A$10008,$AL$2,PURCHASE!$H$6:$H$10008,$A$4:$A$2700)</f>
        <v>0</v>
      </c>
      <c r="AP61" s="512">
        <f>SUMIFS(PURCHASE!$N$6:$N$10008,PURCHASE!$A$6:$A$10008,$AL$2,PURCHASE!$H$6:$H$10008,$A$4:$A$2700)</f>
        <v>0</v>
      </c>
      <c r="AQ61" s="512">
        <f t="shared" si="19"/>
        <v>778.8</v>
      </c>
      <c r="AR61" s="512">
        <f>SUMIFS(PURCHASE!$K$6:$K$10008,PURCHASE!$A$6:$A$10008,$AQ$2,PURCHASE!$H$6:$H$10008,$A$4:$A$2700)</f>
        <v>660</v>
      </c>
      <c r="AS61" s="512">
        <f>SUMIFS(PURCHASE!$L$6:$L$10008,PURCHASE!$A$6:$A$10008,$AQ$2,PURCHASE!$H$6:$H$10008,$A$4:$A$2700)</f>
        <v>0</v>
      </c>
      <c r="AT61" s="512">
        <f>SUMIFS(PURCHASE!$M$6:$M$10008,PURCHASE!$A$6:$A$10008,$AQ$2,PURCHASE!$H$6:$H$10008,$A$4:$A$2700)</f>
        <v>59.4</v>
      </c>
      <c r="AU61" s="512">
        <f>SUMIFS(PURCHASE!$N$6:$N$10008,PURCHASE!$A$6:$A$10008,$AQ$2,PURCHASE!$H$6:$H$10008,$A$4:$A$2700)</f>
        <v>59.4</v>
      </c>
      <c r="AV61" s="512">
        <f t="shared" si="20"/>
        <v>0</v>
      </c>
      <c r="AW61" s="512">
        <f>SUMIFS(PURCHASE!$K$6:$K$10008,PURCHASE!$A$6:$A$10008,$AV$2,PURCHASE!$H$6:$H$10008,$A$4:$A$2700)</f>
        <v>0</v>
      </c>
      <c r="AX61" s="512">
        <f>SUMIFS(PURCHASE!$L$6:$L$10008,PURCHASE!$A$6:$A$10008,$AV$2,PURCHASE!$H$6:$H$10008,$A$4:$A$2700)</f>
        <v>0</v>
      </c>
      <c r="AY61" s="512">
        <f>SUMIFS(PURCHASE!$M$6:$M$10008,PURCHASE!$A$6:$A$10008,$AV$2,PURCHASE!$H$6:$H$10008,$A$4:$A$2700)</f>
        <v>0</v>
      </c>
      <c r="AZ61" s="512">
        <f>SUMIFS(PURCHASE!$N$6:$N$10008,PURCHASE!$A$6:$A$10008,$AV$2,PURCHASE!$H$6:$H$10008,$A$4:$A$2700)</f>
        <v>0</v>
      </c>
      <c r="BA61" s="512">
        <f t="shared" si="21"/>
        <v>0</v>
      </c>
      <c r="BB61" s="512">
        <f>SUMIFS(PURCHASE!$K$6:$K$10008,PURCHASE!$A$6:$A$10008,$BA$2,PURCHASE!$H$6:$H$10008,$A$4:$A$2700)</f>
        <v>0</v>
      </c>
      <c r="BC61" s="512">
        <f>SUMIFS(PURCHASE!$L$6:$L$10008,PURCHASE!$A$6:$A$10008,$BA$2,PURCHASE!$H$6:$H$10008,$A$4:$A$2700)</f>
        <v>0</v>
      </c>
      <c r="BD61" s="512">
        <f>SUMIFS(PURCHASE!$M$6:$M$10008,PURCHASE!$A$6:$A$10008,$BA$2,PURCHASE!$H$6:$H$10008,$A$4:$A$2700)</f>
        <v>0</v>
      </c>
      <c r="BE61" s="512">
        <f>SUMIFS(PURCHASE!$N$6:$N$10008,PURCHASE!$A$6:$A$10008,$BA$2,PURCHASE!$H$6:$H$10008,$A$4:$A$2700)</f>
        <v>0</v>
      </c>
      <c r="BF61" s="512">
        <f t="shared" si="22"/>
        <v>0</v>
      </c>
      <c r="BG61" s="512">
        <f>SUMIFS(PURCHASE!$K$6:$K$10008,PURCHASE!$A$6:$A$10008,$BF$2,PURCHASE!$H$6:$H$10008,$A$4:$A$2700)</f>
        <v>0</v>
      </c>
      <c r="BH61" s="512">
        <f>SUMIFS(PURCHASE!$L$6:$L$10008,PURCHASE!$A$6:$A$10008,$BF$2,PURCHASE!$H$6:$H$10008,$A$4:$A$2700)</f>
        <v>0</v>
      </c>
      <c r="BI61" s="512">
        <f>SUMIFS(PURCHASE!$M$6:$M$10008,PURCHASE!$A$6:$A$10008,$BF$2,PURCHASE!$H$6:$H$10008,$A$4:$A$2700)</f>
        <v>0</v>
      </c>
      <c r="BJ61" s="512">
        <f>SUMIFS(PURCHASE!$N$6:$N$10008,PURCHASE!$A$6:$A$10008,$BF$2,PURCHASE!$H$6:$H$10008,$A$4:$A$2700)</f>
        <v>0</v>
      </c>
      <c r="BK61" s="72">
        <f t="shared" si="6"/>
        <v>778.8</v>
      </c>
      <c r="BL61" s="72">
        <f t="shared" si="7"/>
        <v>660</v>
      </c>
      <c r="BM61" s="72">
        <f t="shared" si="8"/>
        <v>0</v>
      </c>
      <c r="BN61" s="72">
        <f t="shared" si="9"/>
        <v>59.4</v>
      </c>
      <c r="BO61" s="72">
        <f t="shared" si="10"/>
        <v>59.4</v>
      </c>
    </row>
    <row r="62" spans="1:67" x14ac:dyDescent="0.2">
      <c r="A62" s="511">
        <v>8536</v>
      </c>
      <c r="B62" s="467" t="s">
        <v>1231</v>
      </c>
      <c r="C62" s="512">
        <f t="shared" si="11"/>
        <v>100.30000000000001</v>
      </c>
      <c r="D62" s="512">
        <f>SUMIFS(PURCHASE!$K$6:$K$10008,PURCHASE!$A$6:$A$10008,$M$2,PURCHASE!$H$6:$H$10008,$A$4:$A$2700)</f>
        <v>85</v>
      </c>
      <c r="E62" s="512">
        <f>SUMIFS(PURCHASE!$L$6:$L$10008,PURCHASE!$A$6:$A$10008,$M$2,PURCHASE!$H$6:$H$10008,$A$4:$A$2700)</f>
        <v>0</v>
      </c>
      <c r="F62" s="512">
        <f>SUMIFS(PURCHASE!$M$6:$M$10008,PURCHASE!$A$6:$A$10008,$M$2,PURCHASE!$H$6:$H$10008,$A$4:$A$2700)</f>
        <v>7.6499999999999995</v>
      </c>
      <c r="G62" s="512">
        <f>SUMIFS(PURCHASE!$N$6:$N$10008,PURCHASE!$A$6:$A$10008,$M$2,PURCHASE!$H$6:$H$10008,$A$4:$A$2700)</f>
        <v>7.6499999999999995</v>
      </c>
      <c r="H62" s="512">
        <f t="shared" si="12"/>
        <v>669.46119999999996</v>
      </c>
      <c r="I62" s="512">
        <f>SUMIFS(PURCHASE!$K$6:$K$10008,PURCHASE!$A$6:$A$10008,$H$2,PURCHASE!$H$6:$H$10008,$A$4:$A$2700)</f>
        <v>567.33999999999992</v>
      </c>
      <c r="J62" s="512">
        <f>SUMIFS(PURCHASE!$L$6:$L$10008,PURCHASE!$A$6:$A$10008,$H$2,PURCHASE!$H$6:$H$10008,$A$4:$A$2700)</f>
        <v>0</v>
      </c>
      <c r="K62" s="512">
        <f>SUMIFS(PURCHASE!$M$6:$M$10008,PURCHASE!$A$6:$A$10008,$H$2,PURCHASE!$H$6:$H$10008,$A$4:$A$2700)</f>
        <v>51.060599999999994</v>
      </c>
      <c r="L62" s="512">
        <f>SUMIFS(PURCHASE!$N$6:$N$10008,PURCHASE!$A$6:$A$10008,$H$2,PURCHASE!$H$6:$H$10008,$A$4:$A$2700)</f>
        <v>51.060599999999994</v>
      </c>
      <c r="M62" s="512">
        <f t="shared" si="13"/>
        <v>100.30000000000001</v>
      </c>
      <c r="N62" s="512">
        <f>SUMIFS(PURCHASE!$K$6:$K$10008,PURCHASE!$A$6:$A$10008,$M$2,PURCHASE!$H$6:$H$10008,$A$4:$A$2700)</f>
        <v>85</v>
      </c>
      <c r="O62" s="512">
        <f>SUMIFS(PURCHASE!$L$6:$L$10008,PURCHASE!$A$6:$A$10008,$M$2,PURCHASE!$H$6:$H$10008,$A$4:$A$2700)</f>
        <v>0</v>
      </c>
      <c r="P62" s="512">
        <f>SUMIFS(PURCHASE!$M$6:$M$10008,PURCHASE!$A$6:$A$10008,$M$2,PURCHASE!$H$6:$H$10008,$A$4:$A$2700)</f>
        <v>7.6499999999999995</v>
      </c>
      <c r="Q62" s="512">
        <f>SUMIFS(PURCHASE!$N$6:$N$10008,PURCHASE!$A$6:$A$10008,$M$2,PURCHASE!$H$6:$H$10008,$A$4:$A$2700)</f>
        <v>7.6499999999999995</v>
      </c>
      <c r="R62" s="512">
        <f t="shared" si="14"/>
        <v>0</v>
      </c>
      <c r="S62" s="512">
        <f>SUMIFS(PURCHASE!$K$6:$K$10008,PURCHASE!$A$6:$A$10008,$R$2,PURCHASE!$H$6:$H$10008,$A$4:$A$2700)</f>
        <v>0</v>
      </c>
      <c r="T62" s="512">
        <f>SUMIFS(PURCHASE!$L$6:$L$10008,PURCHASE!$A$6:$A$10008,$R$2,PURCHASE!$H$6:$H$10008,$A$4:$A$2700)</f>
        <v>0</v>
      </c>
      <c r="U62" s="512">
        <f>SUMIFS(PURCHASE!$M$6:$M$10008,PURCHASE!$A$6:$A$10008,$R$2,PURCHASE!$H$6:$H$10008,$A$4:$A$2700)</f>
        <v>0</v>
      </c>
      <c r="V62" s="512">
        <f>SUMIFS(PURCHASE!$N$6:$N$10008,PURCHASE!$A$6:$A$10008,$R$2,PURCHASE!$H$6:$H$10008,$A$4:$A$2700)</f>
        <v>0</v>
      </c>
      <c r="W62" s="512">
        <f t="shared" si="15"/>
        <v>0</v>
      </c>
      <c r="X62" s="512">
        <f>SUMIFS(PURCHASE!$K$6:$K$10008,PURCHASE!$A$6:$A$10008,$W$2,PURCHASE!$H$6:$H$10008,$A$4:$A$2700)</f>
        <v>0</v>
      </c>
      <c r="Y62" s="512">
        <f>SUMIFS(PURCHASE!$L$6:$L$10008,PURCHASE!$A$6:$A$10008,$W$2,PURCHASE!$H$6:$H$10008,$A$4:$A$2700)</f>
        <v>0</v>
      </c>
      <c r="Z62" s="512">
        <f>SUMIFS(PURCHASE!$M$6:$M$10008,PURCHASE!$A$6:$A$10008,$W$2,PURCHASE!$H$6:$H$10008,$A$4:$A$2700)</f>
        <v>0</v>
      </c>
      <c r="AA62" s="512">
        <f>SUMIFS(PURCHASE!$N$6:$N$10008,PURCHASE!$A$6:$A$10008,$W$2,PURCHASE!$H$6:$H$10008,$A$4:$A$2700)</f>
        <v>0</v>
      </c>
      <c r="AB62" s="512">
        <f t="shared" si="16"/>
        <v>0</v>
      </c>
      <c r="AC62" s="512">
        <f>SUMIFS(PURCHASE!$K$6:$K$10008,PURCHASE!$A$6:$A$10008,$AB$2,PURCHASE!$H$6:$H$10008,$A$4:$A$2700)</f>
        <v>0</v>
      </c>
      <c r="AD62" s="512">
        <f>SUMIFS(PURCHASE!$L$6:$L$10008,PURCHASE!$A$6:$A$10008,$AB$2,PURCHASE!$H$6:$H$10008,$A$4:$A$2700)</f>
        <v>0</v>
      </c>
      <c r="AE62" s="512">
        <f>SUMIFS(PURCHASE!$M$6:$M$10008,PURCHASE!$A$6:$A$10008,$AB$2,PURCHASE!$H$6:$H$10008,$A$4:$A$2700)</f>
        <v>0</v>
      </c>
      <c r="AF62" s="512">
        <f>SUMIFS(PURCHASE!$N$6:$N$10008,PURCHASE!$A$6:$A$10008,$AB$2,PURCHASE!$H$6:$H$10008,$A$4:$A$2700)</f>
        <v>0</v>
      </c>
      <c r="AG62" s="512">
        <f t="shared" si="17"/>
        <v>2000.1</v>
      </c>
      <c r="AH62" s="512">
        <f>SUMIFS(PURCHASE!$K$6:$K$10008,PURCHASE!$A$6:$A$10008,$AG$2,PURCHASE!$H$6:$H$10008,$A$4:$A$2700)</f>
        <v>1695</v>
      </c>
      <c r="AI62" s="512">
        <f>SUMIFS(PURCHASE!$L$6:$L$10008,PURCHASE!$A$6:$A$10008,$AG$2,PURCHASE!$H$6:$H$10008,$A$4:$A$2700)</f>
        <v>0</v>
      </c>
      <c r="AJ62" s="512">
        <f>SUMIFS(PURCHASE!$M$6:$M$10008,PURCHASE!$A$6:$A$10008,$AG$2,PURCHASE!$H$6:$H$10008,$A$4:$A$2700)</f>
        <v>152.54999999999998</v>
      </c>
      <c r="AK62" s="512">
        <f>SUMIFS(PURCHASE!$N$6:$N$10008,PURCHASE!$A$6:$A$10008,$AG$2,PURCHASE!$H$6:$H$10008,$A$4:$A$2700)</f>
        <v>152.54999999999998</v>
      </c>
      <c r="AL62" s="512">
        <f t="shared" si="18"/>
        <v>9477.2880000000005</v>
      </c>
      <c r="AM62" s="512">
        <f>SUMIFS(PURCHASE!$K$6:$K$10008,PURCHASE!$A$6:$A$10008,$AL$2,PURCHASE!$H$6:$H$10008,$A$4:$A$2700)</f>
        <v>8031.6</v>
      </c>
      <c r="AN62" s="512">
        <f>SUMIFS(PURCHASE!$L$6:$L$10008,PURCHASE!$A$6:$A$10008,$AL$2,PURCHASE!$H$6:$H$10008,$A$4:$A$2700)</f>
        <v>0</v>
      </c>
      <c r="AO62" s="512">
        <f>SUMIFS(PURCHASE!$M$6:$M$10008,PURCHASE!$A$6:$A$10008,$AL$2,PURCHASE!$H$6:$H$10008,$A$4:$A$2700)</f>
        <v>722.84400000000005</v>
      </c>
      <c r="AP62" s="512">
        <f>SUMIFS(PURCHASE!$N$6:$N$10008,PURCHASE!$A$6:$A$10008,$AL$2,PURCHASE!$H$6:$H$10008,$A$4:$A$2700)</f>
        <v>722.84400000000005</v>
      </c>
      <c r="AQ62" s="512">
        <f t="shared" si="19"/>
        <v>7122.2640000000001</v>
      </c>
      <c r="AR62" s="512">
        <f>SUMIFS(PURCHASE!$K$6:$K$10008,PURCHASE!$A$6:$A$10008,$AQ$2,PURCHASE!$H$6:$H$10008,$A$4:$A$2700)</f>
        <v>6035.8</v>
      </c>
      <c r="AS62" s="512">
        <f>SUMIFS(PURCHASE!$L$6:$L$10008,PURCHASE!$A$6:$A$10008,$AQ$2,PURCHASE!$H$6:$H$10008,$A$4:$A$2700)</f>
        <v>0</v>
      </c>
      <c r="AT62" s="512">
        <f>SUMIFS(PURCHASE!$M$6:$M$10008,PURCHASE!$A$6:$A$10008,$AQ$2,PURCHASE!$H$6:$H$10008,$A$4:$A$2700)</f>
        <v>543.23199999999997</v>
      </c>
      <c r="AU62" s="512">
        <f>SUMIFS(PURCHASE!$N$6:$N$10008,PURCHASE!$A$6:$A$10008,$AQ$2,PURCHASE!$H$6:$H$10008,$A$4:$A$2700)</f>
        <v>543.23199999999997</v>
      </c>
      <c r="AV62" s="512">
        <f t="shared" si="20"/>
        <v>715.1271999999999</v>
      </c>
      <c r="AW62" s="512">
        <f>SUMIFS(PURCHASE!$K$6:$K$10008,PURCHASE!$A$6:$A$10008,$AV$2,PURCHASE!$H$6:$H$10008,$A$4:$A$2700)</f>
        <v>606.04</v>
      </c>
      <c r="AX62" s="512">
        <f>SUMIFS(PURCHASE!$L$6:$L$10008,PURCHASE!$A$6:$A$10008,$AV$2,PURCHASE!$H$6:$H$10008,$A$4:$A$2700)</f>
        <v>0</v>
      </c>
      <c r="AY62" s="512">
        <f>SUMIFS(PURCHASE!$M$6:$M$10008,PURCHASE!$A$6:$A$10008,$AV$2,PURCHASE!$H$6:$H$10008,$A$4:$A$2700)</f>
        <v>54.543599999999998</v>
      </c>
      <c r="AZ62" s="512">
        <f>SUMIFS(PURCHASE!$N$6:$N$10008,PURCHASE!$A$6:$A$10008,$AV$2,PURCHASE!$H$6:$H$10008,$A$4:$A$2700)</f>
        <v>54.543599999999998</v>
      </c>
      <c r="BA62" s="512">
        <f t="shared" si="21"/>
        <v>0</v>
      </c>
      <c r="BB62" s="512">
        <f>SUMIFS(PURCHASE!$K$6:$K$10008,PURCHASE!$A$6:$A$10008,$BA$2,PURCHASE!$H$6:$H$10008,$A$4:$A$2700)</f>
        <v>0</v>
      </c>
      <c r="BC62" s="512">
        <f>SUMIFS(PURCHASE!$L$6:$L$10008,PURCHASE!$A$6:$A$10008,$BA$2,PURCHASE!$H$6:$H$10008,$A$4:$A$2700)</f>
        <v>0</v>
      </c>
      <c r="BD62" s="512">
        <f>SUMIFS(PURCHASE!$M$6:$M$10008,PURCHASE!$A$6:$A$10008,$BA$2,PURCHASE!$H$6:$H$10008,$A$4:$A$2700)</f>
        <v>0</v>
      </c>
      <c r="BE62" s="512">
        <f>SUMIFS(PURCHASE!$N$6:$N$10008,PURCHASE!$A$6:$A$10008,$BA$2,PURCHASE!$H$6:$H$10008,$A$4:$A$2700)</f>
        <v>0</v>
      </c>
      <c r="BF62" s="512">
        <f t="shared" si="22"/>
        <v>0</v>
      </c>
      <c r="BG62" s="512">
        <f>SUMIFS(PURCHASE!$K$6:$K$10008,PURCHASE!$A$6:$A$10008,$BF$2,PURCHASE!$H$6:$H$10008,$A$4:$A$2700)</f>
        <v>0</v>
      </c>
      <c r="BH62" s="512">
        <f>SUMIFS(PURCHASE!$L$6:$L$10008,PURCHASE!$A$6:$A$10008,$BF$2,PURCHASE!$H$6:$H$10008,$A$4:$A$2700)</f>
        <v>0</v>
      </c>
      <c r="BI62" s="512">
        <f>SUMIFS(PURCHASE!$M$6:$M$10008,PURCHASE!$A$6:$A$10008,$BF$2,PURCHASE!$H$6:$H$10008,$A$4:$A$2700)</f>
        <v>0</v>
      </c>
      <c r="BJ62" s="512">
        <f>SUMIFS(PURCHASE!$N$6:$N$10008,PURCHASE!$A$6:$A$10008,$BF$2,PURCHASE!$H$6:$H$10008,$A$4:$A$2700)</f>
        <v>0</v>
      </c>
      <c r="BK62" s="72">
        <f t="shared" si="6"/>
        <v>20184.840399999997</v>
      </c>
      <c r="BL62" s="72">
        <f t="shared" si="7"/>
        <v>17105.780000000002</v>
      </c>
      <c r="BM62" s="72">
        <f t="shared" si="8"/>
        <v>0</v>
      </c>
      <c r="BN62" s="72">
        <f t="shared" si="9"/>
        <v>1539.5301999999999</v>
      </c>
      <c r="BO62" s="72">
        <f t="shared" si="10"/>
        <v>1539.5301999999999</v>
      </c>
    </row>
    <row r="63" spans="1:67" x14ac:dyDescent="0.2">
      <c r="A63" s="511">
        <v>8538</v>
      </c>
      <c r="B63" s="467" t="s">
        <v>1232</v>
      </c>
      <c r="C63" s="512">
        <f t="shared" si="11"/>
        <v>82.6</v>
      </c>
      <c r="D63" s="512">
        <f>SUMIFS(PURCHASE!$K$6:$K$10008,PURCHASE!$A$6:$A$10008,$M$2,PURCHASE!$H$6:$H$10008,$A$4:$A$2700)</f>
        <v>70</v>
      </c>
      <c r="E63" s="512">
        <f>SUMIFS(PURCHASE!$L$6:$L$10008,PURCHASE!$A$6:$A$10008,$M$2,PURCHASE!$H$6:$H$10008,$A$4:$A$2700)</f>
        <v>0</v>
      </c>
      <c r="F63" s="512">
        <f>SUMIFS(PURCHASE!$M$6:$M$10008,PURCHASE!$A$6:$A$10008,$M$2,PURCHASE!$H$6:$H$10008,$A$4:$A$2700)</f>
        <v>6.3</v>
      </c>
      <c r="G63" s="512">
        <f>SUMIFS(PURCHASE!$N$6:$N$10008,PURCHASE!$A$6:$A$10008,$M$2,PURCHASE!$H$6:$H$10008,$A$4:$A$2700)</f>
        <v>6.3</v>
      </c>
      <c r="H63" s="512">
        <f t="shared" si="12"/>
        <v>212.39999999999998</v>
      </c>
      <c r="I63" s="512">
        <f>SUMIFS(PURCHASE!$K$6:$K$10008,PURCHASE!$A$6:$A$10008,$H$2,PURCHASE!$H$6:$H$10008,$A$4:$A$2700)</f>
        <v>180</v>
      </c>
      <c r="J63" s="512">
        <f>SUMIFS(PURCHASE!$L$6:$L$10008,PURCHASE!$A$6:$A$10008,$H$2,PURCHASE!$H$6:$H$10008,$A$4:$A$2700)</f>
        <v>0</v>
      </c>
      <c r="K63" s="512">
        <f>SUMIFS(PURCHASE!$M$6:$M$10008,PURCHASE!$A$6:$A$10008,$H$2,PURCHASE!$H$6:$H$10008,$A$4:$A$2700)</f>
        <v>16.2</v>
      </c>
      <c r="L63" s="512">
        <f>SUMIFS(PURCHASE!$N$6:$N$10008,PURCHASE!$A$6:$A$10008,$H$2,PURCHASE!$H$6:$H$10008,$A$4:$A$2700)</f>
        <v>16.2</v>
      </c>
      <c r="M63" s="512">
        <f t="shared" si="13"/>
        <v>82.6</v>
      </c>
      <c r="N63" s="512">
        <f>SUMIFS(PURCHASE!$K$6:$K$10008,PURCHASE!$A$6:$A$10008,$M$2,PURCHASE!$H$6:$H$10008,$A$4:$A$2700)</f>
        <v>70</v>
      </c>
      <c r="O63" s="512">
        <f>SUMIFS(PURCHASE!$L$6:$L$10008,PURCHASE!$A$6:$A$10008,$M$2,PURCHASE!$H$6:$H$10008,$A$4:$A$2700)</f>
        <v>0</v>
      </c>
      <c r="P63" s="512">
        <f>SUMIFS(PURCHASE!$M$6:$M$10008,PURCHASE!$A$6:$A$10008,$M$2,PURCHASE!$H$6:$H$10008,$A$4:$A$2700)</f>
        <v>6.3</v>
      </c>
      <c r="Q63" s="512">
        <f>SUMIFS(PURCHASE!$N$6:$N$10008,PURCHASE!$A$6:$A$10008,$M$2,PURCHASE!$H$6:$H$10008,$A$4:$A$2700)</f>
        <v>6.3</v>
      </c>
      <c r="R63" s="512">
        <f t="shared" si="14"/>
        <v>0</v>
      </c>
      <c r="S63" s="512">
        <f>SUMIFS(PURCHASE!$K$6:$K$10008,PURCHASE!$A$6:$A$10008,$R$2,PURCHASE!$H$6:$H$10008,$A$4:$A$2700)</f>
        <v>0</v>
      </c>
      <c r="T63" s="512">
        <f>SUMIFS(PURCHASE!$L$6:$L$10008,PURCHASE!$A$6:$A$10008,$R$2,PURCHASE!$H$6:$H$10008,$A$4:$A$2700)</f>
        <v>0</v>
      </c>
      <c r="U63" s="512">
        <f>SUMIFS(PURCHASE!$M$6:$M$10008,PURCHASE!$A$6:$A$10008,$R$2,PURCHASE!$H$6:$H$10008,$A$4:$A$2700)</f>
        <v>0</v>
      </c>
      <c r="V63" s="512">
        <f>SUMIFS(PURCHASE!$N$6:$N$10008,PURCHASE!$A$6:$A$10008,$R$2,PURCHASE!$H$6:$H$10008,$A$4:$A$2700)</f>
        <v>0</v>
      </c>
      <c r="W63" s="512">
        <f t="shared" si="15"/>
        <v>0</v>
      </c>
      <c r="X63" s="512">
        <f>SUMIFS(PURCHASE!$K$6:$K$10008,PURCHASE!$A$6:$A$10008,$W$2,PURCHASE!$H$6:$H$10008,$A$4:$A$2700)</f>
        <v>0</v>
      </c>
      <c r="Y63" s="512">
        <f>SUMIFS(PURCHASE!$L$6:$L$10008,PURCHASE!$A$6:$A$10008,$W$2,PURCHASE!$H$6:$H$10008,$A$4:$A$2700)</f>
        <v>0</v>
      </c>
      <c r="Z63" s="512">
        <f>SUMIFS(PURCHASE!$M$6:$M$10008,PURCHASE!$A$6:$A$10008,$W$2,PURCHASE!$H$6:$H$10008,$A$4:$A$2700)</f>
        <v>0</v>
      </c>
      <c r="AA63" s="512">
        <f>SUMIFS(PURCHASE!$N$6:$N$10008,PURCHASE!$A$6:$A$10008,$W$2,PURCHASE!$H$6:$H$10008,$A$4:$A$2700)</f>
        <v>0</v>
      </c>
      <c r="AB63" s="512">
        <f t="shared" si="16"/>
        <v>0</v>
      </c>
      <c r="AC63" s="512">
        <f>SUMIFS(PURCHASE!$K$6:$K$10008,PURCHASE!$A$6:$A$10008,$AB$2,PURCHASE!$H$6:$H$10008,$A$4:$A$2700)</f>
        <v>0</v>
      </c>
      <c r="AD63" s="512">
        <f>SUMIFS(PURCHASE!$L$6:$L$10008,PURCHASE!$A$6:$A$10008,$AB$2,PURCHASE!$H$6:$H$10008,$A$4:$A$2700)</f>
        <v>0</v>
      </c>
      <c r="AE63" s="512">
        <f>SUMIFS(PURCHASE!$M$6:$M$10008,PURCHASE!$A$6:$A$10008,$AB$2,PURCHASE!$H$6:$H$10008,$A$4:$A$2700)</f>
        <v>0</v>
      </c>
      <c r="AF63" s="512">
        <f>SUMIFS(PURCHASE!$N$6:$N$10008,PURCHASE!$A$6:$A$10008,$AB$2,PURCHASE!$H$6:$H$10008,$A$4:$A$2700)</f>
        <v>0</v>
      </c>
      <c r="AG63" s="512">
        <f t="shared" si="17"/>
        <v>0</v>
      </c>
      <c r="AH63" s="512">
        <f>SUMIFS(PURCHASE!$K$6:$K$10008,PURCHASE!$A$6:$A$10008,$AG$2,PURCHASE!$H$6:$H$10008,$A$4:$A$2700)</f>
        <v>0</v>
      </c>
      <c r="AI63" s="512">
        <f>SUMIFS(PURCHASE!$L$6:$L$10008,PURCHASE!$A$6:$A$10008,$AG$2,PURCHASE!$H$6:$H$10008,$A$4:$A$2700)</f>
        <v>0</v>
      </c>
      <c r="AJ63" s="512">
        <f>SUMIFS(PURCHASE!$M$6:$M$10008,PURCHASE!$A$6:$A$10008,$AG$2,PURCHASE!$H$6:$H$10008,$A$4:$A$2700)</f>
        <v>0</v>
      </c>
      <c r="AK63" s="512">
        <f>SUMIFS(PURCHASE!$N$6:$N$10008,PURCHASE!$A$6:$A$10008,$AG$2,PURCHASE!$H$6:$H$10008,$A$4:$A$2700)</f>
        <v>0</v>
      </c>
      <c r="AL63" s="512">
        <f t="shared" si="18"/>
        <v>70.800000000000011</v>
      </c>
      <c r="AM63" s="512">
        <f>SUMIFS(PURCHASE!$K$6:$K$10008,PURCHASE!$A$6:$A$10008,$AL$2,PURCHASE!$H$6:$H$10008,$A$4:$A$2700)</f>
        <v>60</v>
      </c>
      <c r="AN63" s="512">
        <f>SUMIFS(PURCHASE!$L$6:$L$10008,PURCHASE!$A$6:$A$10008,$AL$2,PURCHASE!$H$6:$H$10008,$A$4:$A$2700)</f>
        <v>0</v>
      </c>
      <c r="AO63" s="512">
        <f>SUMIFS(PURCHASE!$M$6:$M$10008,PURCHASE!$A$6:$A$10008,$AL$2,PURCHASE!$H$6:$H$10008,$A$4:$A$2700)</f>
        <v>5.3999999999999995</v>
      </c>
      <c r="AP63" s="512">
        <f>SUMIFS(PURCHASE!$N$6:$N$10008,PURCHASE!$A$6:$A$10008,$AL$2,PURCHASE!$H$6:$H$10008,$A$4:$A$2700)</f>
        <v>5.3999999999999995</v>
      </c>
      <c r="AQ63" s="512">
        <f t="shared" si="19"/>
        <v>12980.472000000002</v>
      </c>
      <c r="AR63" s="512">
        <f>SUMIFS(PURCHASE!$K$6:$K$10008,PURCHASE!$A$6:$A$10008,$AQ$2,PURCHASE!$H$6:$H$10008,$A$4:$A$2700)</f>
        <v>11000.400000000001</v>
      </c>
      <c r="AS63" s="512">
        <f>SUMIFS(PURCHASE!$L$6:$L$10008,PURCHASE!$A$6:$A$10008,$AQ$2,PURCHASE!$H$6:$H$10008,$A$4:$A$2700)</f>
        <v>0</v>
      </c>
      <c r="AT63" s="512">
        <f>SUMIFS(PURCHASE!$M$6:$M$10008,PURCHASE!$A$6:$A$10008,$AQ$2,PURCHASE!$H$6:$H$10008,$A$4:$A$2700)</f>
        <v>990.03599999999994</v>
      </c>
      <c r="AU63" s="512">
        <f>SUMIFS(PURCHASE!$N$6:$N$10008,PURCHASE!$A$6:$A$10008,$AQ$2,PURCHASE!$H$6:$H$10008,$A$4:$A$2700)</f>
        <v>990.03599999999994</v>
      </c>
      <c r="AV63" s="512">
        <f t="shared" si="20"/>
        <v>176.292</v>
      </c>
      <c r="AW63" s="512">
        <f>SUMIFS(PURCHASE!$K$6:$K$10008,PURCHASE!$A$6:$A$10008,$AV$2,PURCHASE!$H$6:$H$10008,$A$4:$A$2700)</f>
        <v>149.4</v>
      </c>
      <c r="AX63" s="512">
        <f>SUMIFS(PURCHASE!$L$6:$L$10008,PURCHASE!$A$6:$A$10008,$AV$2,PURCHASE!$H$6:$H$10008,$A$4:$A$2700)</f>
        <v>0</v>
      </c>
      <c r="AY63" s="512">
        <f>SUMIFS(PURCHASE!$M$6:$M$10008,PURCHASE!$A$6:$A$10008,$AV$2,PURCHASE!$H$6:$H$10008,$A$4:$A$2700)</f>
        <v>13.446</v>
      </c>
      <c r="AZ63" s="512">
        <f>SUMIFS(PURCHASE!$N$6:$N$10008,PURCHASE!$A$6:$A$10008,$AV$2,PURCHASE!$H$6:$H$10008,$A$4:$A$2700)</f>
        <v>13.446</v>
      </c>
      <c r="BA63" s="512">
        <f t="shared" si="21"/>
        <v>0</v>
      </c>
      <c r="BB63" s="512">
        <f>SUMIFS(PURCHASE!$K$6:$K$10008,PURCHASE!$A$6:$A$10008,$BA$2,PURCHASE!$H$6:$H$10008,$A$4:$A$2700)</f>
        <v>0</v>
      </c>
      <c r="BC63" s="512">
        <f>SUMIFS(PURCHASE!$L$6:$L$10008,PURCHASE!$A$6:$A$10008,$BA$2,PURCHASE!$H$6:$H$10008,$A$4:$A$2700)</f>
        <v>0</v>
      </c>
      <c r="BD63" s="512">
        <f>SUMIFS(PURCHASE!$M$6:$M$10008,PURCHASE!$A$6:$A$10008,$BA$2,PURCHASE!$H$6:$H$10008,$A$4:$A$2700)</f>
        <v>0</v>
      </c>
      <c r="BE63" s="512">
        <f>SUMIFS(PURCHASE!$N$6:$N$10008,PURCHASE!$A$6:$A$10008,$BA$2,PURCHASE!$H$6:$H$10008,$A$4:$A$2700)</f>
        <v>0</v>
      </c>
      <c r="BF63" s="512">
        <f t="shared" si="22"/>
        <v>0</v>
      </c>
      <c r="BG63" s="512">
        <f>SUMIFS(PURCHASE!$K$6:$K$10008,PURCHASE!$A$6:$A$10008,$BF$2,PURCHASE!$H$6:$H$10008,$A$4:$A$2700)</f>
        <v>0</v>
      </c>
      <c r="BH63" s="512">
        <f>SUMIFS(PURCHASE!$L$6:$L$10008,PURCHASE!$A$6:$A$10008,$BF$2,PURCHASE!$H$6:$H$10008,$A$4:$A$2700)</f>
        <v>0</v>
      </c>
      <c r="BI63" s="512">
        <f>SUMIFS(PURCHASE!$M$6:$M$10008,PURCHASE!$A$6:$A$10008,$BF$2,PURCHASE!$H$6:$H$10008,$A$4:$A$2700)</f>
        <v>0</v>
      </c>
      <c r="BJ63" s="512">
        <f>SUMIFS(PURCHASE!$N$6:$N$10008,PURCHASE!$A$6:$A$10008,$BF$2,PURCHASE!$H$6:$H$10008,$A$4:$A$2700)</f>
        <v>0</v>
      </c>
      <c r="BK63" s="72">
        <f t="shared" si="6"/>
        <v>13605.164000000001</v>
      </c>
      <c r="BL63" s="72">
        <f t="shared" si="7"/>
        <v>11529.800000000001</v>
      </c>
      <c r="BM63" s="72">
        <f t="shared" si="8"/>
        <v>0</v>
      </c>
      <c r="BN63" s="72">
        <f t="shared" si="9"/>
        <v>1037.6819999999998</v>
      </c>
      <c r="BO63" s="72">
        <f t="shared" si="10"/>
        <v>1037.6819999999998</v>
      </c>
    </row>
    <row r="64" spans="1:67" x14ac:dyDescent="0.2">
      <c r="A64" s="511">
        <v>8539</v>
      </c>
      <c r="B64" s="467" t="s">
        <v>1233</v>
      </c>
      <c r="C64" s="512">
        <f t="shared" si="11"/>
        <v>0</v>
      </c>
      <c r="D64" s="512">
        <f>SUMIFS(PURCHASE!$K$6:$K$10008,PURCHASE!$A$6:$A$10008,$M$2,PURCHASE!$H$6:$H$10008,$A$4:$A$2700)</f>
        <v>0</v>
      </c>
      <c r="E64" s="512">
        <f>SUMIFS(PURCHASE!$L$6:$L$10008,PURCHASE!$A$6:$A$10008,$M$2,PURCHASE!$H$6:$H$10008,$A$4:$A$2700)</f>
        <v>0</v>
      </c>
      <c r="F64" s="512">
        <f>SUMIFS(PURCHASE!$M$6:$M$10008,PURCHASE!$A$6:$A$10008,$M$2,PURCHASE!$H$6:$H$10008,$A$4:$A$2700)</f>
        <v>0</v>
      </c>
      <c r="G64" s="512">
        <f>SUMIFS(PURCHASE!$N$6:$N$10008,PURCHASE!$A$6:$A$10008,$M$2,PURCHASE!$H$6:$H$10008,$A$4:$A$2700)</f>
        <v>0</v>
      </c>
      <c r="H64" s="512">
        <f t="shared" si="12"/>
        <v>0</v>
      </c>
      <c r="I64" s="512">
        <f>SUMIFS(PURCHASE!$K$6:$K$10008,PURCHASE!$A$6:$A$10008,$H$2,PURCHASE!$H$6:$H$10008,$A$4:$A$2700)</f>
        <v>0</v>
      </c>
      <c r="J64" s="512">
        <f>SUMIFS(PURCHASE!$L$6:$L$10008,PURCHASE!$A$6:$A$10008,$H$2,PURCHASE!$H$6:$H$10008,$A$4:$A$2700)</f>
        <v>0</v>
      </c>
      <c r="K64" s="512">
        <f>SUMIFS(PURCHASE!$M$6:$M$10008,PURCHASE!$A$6:$A$10008,$H$2,PURCHASE!$H$6:$H$10008,$A$4:$A$2700)</f>
        <v>0</v>
      </c>
      <c r="L64" s="512">
        <f>SUMIFS(PURCHASE!$N$6:$N$10008,PURCHASE!$A$6:$A$10008,$H$2,PURCHASE!$H$6:$H$10008,$A$4:$A$2700)</f>
        <v>0</v>
      </c>
      <c r="M64" s="512">
        <f t="shared" si="13"/>
        <v>0</v>
      </c>
      <c r="N64" s="512">
        <f>SUMIFS(PURCHASE!$K$6:$K$10008,PURCHASE!$A$6:$A$10008,$M$2,PURCHASE!$H$6:$H$10008,$A$4:$A$2700)</f>
        <v>0</v>
      </c>
      <c r="O64" s="512">
        <f>SUMIFS(PURCHASE!$L$6:$L$10008,PURCHASE!$A$6:$A$10008,$M$2,PURCHASE!$H$6:$H$10008,$A$4:$A$2700)</f>
        <v>0</v>
      </c>
      <c r="P64" s="512">
        <f>SUMIFS(PURCHASE!$M$6:$M$10008,PURCHASE!$A$6:$A$10008,$M$2,PURCHASE!$H$6:$H$10008,$A$4:$A$2700)</f>
        <v>0</v>
      </c>
      <c r="Q64" s="512">
        <f>SUMIFS(PURCHASE!$N$6:$N$10008,PURCHASE!$A$6:$A$10008,$M$2,PURCHASE!$H$6:$H$10008,$A$4:$A$2700)</f>
        <v>0</v>
      </c>
      <c r="R64" s="512">
        <f t="shared" si="14"/>
        <v>0</v>
      </c>
      <c r="S64" s="512">
        <f>SUMIFS(PURCHASE!$K$6:$K$10008,PURCHASE!$A$6:$A$10008,$R$2,PURCHASE!$H$6:$H$10008,$A$4:$A$2700)</f>
        <v>0</v>
      </c>
      <c r="T64" s="512">
        <f>SUMIFS(PURCHASE!$L$6:$L$10008,PURCHASE!$A$6:$A$10008,$R$2,PURCHASE!$H$6:$H$10008,$A$4:$A$2700)</f>
        <v>0</v>
      </c>
      <c r="U64" s="512">
        <f>SUMIFS(PURCHASE!$M$6:$M$10008,PURCHASE!$A$6:$A$10008,$R$2,PURCHASE!$H$6:$H$10008,$A$4:$A$2700)</f>
        <v>0</v>
      </c>
      <c r="V64" s="512">
        <f>SUMIFS(PURCHASE!$N$6:$N$10008,PURCHASE!$A$6:$A$10008,$R$2,PURCHASE!$H$6:$H$10008,$A$4:$A$2700)</f>
        <v>0</v>
      </c>
      <c r="W64" s="512">
        <f t="shared" si="15"/>
        <v>0</v>
      </c>
      <c r="X64" s="512">
        <f>SUMIFS(PURCHASE!$K$6:$K$10008,PURCHASE!$A$6:$A$10008,$W$2,PURCHASE!$H$6:$H$10008,$A$4:$A$2700)</f>
        <v>0</v>
      </c>
      <c r="Y64" s="512">
        <f>SUMIFS(PURCHASE!$L$6:$L$10008,PURCHASE!$A$6:$A$10008,$W$2,PURCHASE!$H$6:$H$10008,$A$4:$A$2700)</f>
        <v>0</v>
      </c>
      <c r="Z64" s="512">
        <f>SUMIFS(PURCHASE!$M$6:$M$10008,PURCHASE!$A$6:$A$10008,$W$2,PURCHASE!$H$6:$H$10008,$A$4:$A$2700)</f>
        <v>0</v>
      </c>
      <c r="AA64" s="512">
        <f>SUMIFS(PURCHASE!$N$6:$N$10008,PURCHASE!$A$6:$A$10008,$W$2,PURCHASE!$H$6:$H$10008,$A$4:$A$2700)</f>
        <v>0</v>
      </c>
      <c r="AB64" s="512">
        <f t="shared" si="16"/>
        <v>0</v>
      </c>
      <c r="AC64" s="512">
        <f>SUMIFS(PURCHASE!$K$6:$K$10008,PURCHASE!$A$6:$A$10008,$AB$2,PURCHASE!$H$6:$H$10008,$A$4:$A$2700)</f>
        <v>0</v>
      </c>
      <c r="AD64" s="512">
        <f>SUMIFS(PURCHASE!$L$6:$L$10008,PURCHASE!$A$6:$A$10008,$AB$2,PURCHASE!$H$6:$H$10008,$A$4:$A$2700)</f>
        <v>0</v>
      </c>
      <c r="AE64" s="512">
        <f>SUMIFS(PURCHASE!$M$6:$M$10008,PURCHASE!$A$6:$A$10008,$AB$2,PURCHASE!$H$6:$H$10008,$A$4:$A$2700)</f>
        <v>0</v>
      </c>
      <c r="AF64" s="512">
        <f>SUMIFS(PURCHASE!$N$6:$N$10008,PURCHASE!$A$6:$A$10008,$AB$2,PURCHASE!$H$6:$H$10008,$A$4:$A$2700)</f>
        <v>0</v>
      </c>
      <c r="AG64" s="512">
        <f t="shared" si="17"/>
        <v>0</v>
      </c>
      <c r="AH64" s="512">
        <f>SUMIFS(PURCHASE!$K$6:$K$10008,PURCHASE!$A$6:$A$10008,$AG$2,PURCHASE!$H$6:$H$10008,$A$4:$A$2700)</f>
        <v>0</v>
      </c>
      <c r="AI64" s="512">
        <f>SUMIFS(PURCHASE!$L$6:$L$10008,PURCHASE!$A$6:$A$10008,$AG$2,PURCHASE!$H$6:$H$10008,$A$4:$A$2700)</f>
        <v>0</v>
      </c>
      <c r="AJ64" s="512">
        <f>SUMIFS(PURCHASE!$M$6:$M$10008,PURCHASE!$A$6:$A$10008,$AG$2,PURCHASE!$H$6:$H$10008,$A$4:$A$2700)</f>
        <v>0</v>
      </c>
      <c r="AK64" s="512">
        <f>SUMIFS(PURCHASE!$N$6:$N$10008,PURCHASE!$A$6:$A$10008,$AG$2,PURCHASE!$H$6:$H$10008,$A$4:$A$2700)</f>
        <v>0</v>
      </c>
      <c r="AL64" s="512">
        <f t="shared" si="18"/>
        <v>0</v>
      </c>
      <c r="AM64" s="512">
        <f>SUMIFS(PURCHASE!$K$6:$K$10008,PURCHASE!$A$6:$A$10008,$AL$2,PURCHASE!$H$6:$H$10008,$A$4:$A$2700)</f>
        <v>0</v>
      </c>
      <c r="AN64" s="512">
        <f>SUMIFS(PURCHASE!$L$6:$L$10008,PURCHASE!$A$6:$A$10008,$AL$2,PURCHASE!$H$6:$H$10008,$A$4:$A$2700)</f>
        <v>0</v>
      </c>
      <c r="AO64" s="512">
        <f>SUMIFS(PURCHASE!$M$6:$M$10008,PURCHASE!$A$6:$A$10008,$AL$2,PURCHASE!$H$6:$H$10008,$A$4:$A$2700)</f>
        <v>0</v>
      </c>
      <c r="AP64" s="512">
        <f>SUMIFS(PURCHASE!$N$6:$N$10008,PURCHASE!$A$6:$A$10008,$AL$2,PURCHASE!$H$6:$H$10008,$A$4:$A$2700)</f>
        <v>0</v>
      </c>
      <c r="AQ64" s="512">
        <f t="shared" si="19"/>
        <v>0</v>
      </c>
      <c r="AR64" s="512">
        <f>SUMIFS(PURCHASE!$K$6:$K$10008,PURCHASE!$A$6:$A$10008,$AQ$2,PURCHASE!$H$6:$H$10008,$A$4:$A$2700)</f>
        <v>0</v>
      </c>
      <c r="AS64" s="512">
        <f>SUMIFS(PURCHASE!$L$6:$L$10008,PURCHASE!$A$6:$A$10008,$AQ$2,PURCHASE!$H$6:$H$10008,$A$4:$A$2700)</f>
        <v>0</v>
      </c>
      <c r="AT64" s="512">
        <f>SUMIFS(PURCHASE!$M$6:$M$10008,PURCHASE!$A$6:$A$10008,$AQ$2,PURCHASE!$H$6:$H$10008,$A$4:$A$2700)</f>
        <v>0</v>
      </c>
      <c r="AU64" s="512">
        <f>SUMIFS(PURCHASE!$N$6:$N$10008,PURCHASE!$A$6:$A$10008,$AQ$2,PURCHASE!$H$6:$H$10008,$A$4:$A$2700)</f>
        <v>0</v>
      </c>
      <c r="AV64" s="512">
        <f t="shared" si="20"/>
        <v>0</v>
      </c>
      <c r="AW64" s="512">
        <f>SUMIFS(PURCHASE!$K$6:$K$10008,PURCHASE!$A$6:$A$10008,$AV$2,PURCHASE!$H$6:$H$10008,$A$4:$A$2700)</f>
        <v>0</v>
      </c>
      <c r="AX64" s="512">
        <f>SUMIFS(PURCHASE!$L$6:$L$10008,PURCHASE!$A$6:$A$10008,$AV$2,PURCHASE!$H$6:$H$10008,$A$4:$A$2700)</f>
        <v>0</v>
      </c>
      <c r="AY64" s="512">
        <f>SUMIFS(PURCHASE!$M$6:$M$10008,PURCHASE!$A$6:$A$10008,$AV$2,PURCHASE!$H$6:$H$10008,$A$4:$A$2700)</f>
        <v>0</v>
      </c>
      <c r="AZ64" s="512">
        <f>SUMIFS(PURCHASE!$N$6:$N$10008,PURCHASE!$A$6:$A$10008,$AV$2,PURCHASE!$H$6:$H$10008,$A$4:$A$2700)</f>
        <v>0</v>
      </c>
      <c r="BA64" s="512">
        <f t="shared" si="21"/>
        <v>0</v>
      </c>
      <c r="BB64" s="512">
        <f>SUMIFS(PURCHASE!$K$6:$K$10008,PURCHASE!$A$6:$A$10008,$BA$2,PURCHASE!$H$6:$H$10008,$A$4:$A$2700)</f>
        <v>0</v>
      </c>
      <c r="BC64" s="512">
        <f>SUMIFS(PURCHASE!$L$6:$L$10008,PURCHASE!$A$6:$A$10008,$BA$2,PURCHASE!$H$6:$H$10008,$A$4:$A$2700)</f>
        <v>0</v>
      </c>
      <c r="BD64" s="512">
        <f>SUMIFS(PURCHASE!$M$6:$M$10008,PURCHASE!$A$6:$A$10008,$BA$2,PURCHASE!$H$6:$H$10008,$A$4:$A$2700)</f>
        <v>0</v>
      </c>
      <c r="BE64" s="512">
        <f>SUMIFS(PURCHASE!$N$6:$N$10008,PURCHASE!$A$6:$A$10008,$BA$2,PURCHASE!$H$6:$H$10008,$A$4:$A$2700)</f>
        <v>0</v>
      </c>
      <c r="BF64" s="512">
        <f t="shared" si="22"/>
        <v>0</v>
      </c>
      <c r="BG64" s="512">
        <f>SUMIFS(PURCHASE!$K$6:$K$10008,PURCHASE!$A$6:$A$10008,$BF$2,PURCHASE!$H$6:$H$10008,$A$4:$A$2700)</f>
        <v>0</v>
      </c>
      <c r="BH64" s="512">
        <f>SUMIFS(PURCHASE!$L$6:$L$10008,PURCHASE!$A$6:$A$10008,$BF$2,PURCHASE!$H$6:$H$10008,$A$4:$A$2700)</f>
        <v>0</v>
      </c>
      <c r="BI64" s="512">
        <f>SUMIFS(PURCHASE!$M$6:$M$10008,PURCHASE!$A$6:$A$10008,$BF$2,PURCHASE!$H$6:$H$10008,$A$4:$A$2700)</f>
        <v>0</v>
      </c>
      <c r="BJ64" s="512">
        <f>SUMIFS(PURCHASE!$N$6:$N$10008,PURCHASE!$A$6:$A$10008,$BF$2,PURCHASE!$H$6:$H$10008,$A$4:$A$2700)</f>
        <v>0</v>
      </c>
      <c r="BK64" s="72">
        <f t="shared" si="6"/>
        <v>0</v>
      </c>
      <c r="BL64" s="72">
        <f t="shared" si="7"/>
        <v>0</v>
      </c>
      <c r="BM64" s="72">
        <f t="shared" si="8"/>
        <v>0</v>
      </c>
      <c r="BN64" s="72">
        <f t="shared" si="9"/>
        <v>0</v>
      </c>
      <c r="BO64" s="72">
        <f t="shared" si="10"/>
        <v>0</v>
      </c>
    </row>
    <row r="65" spans="1:67" x14ac:dyDescent="0.2">
      <c r="A65" s="511">
        <v>8544</v>
      </c>
      <c r="B65" s="467" t="s">
        <v>1234</v>
      </c>
      <c r="C65" s="512">
        <f t="shared" si="11"/>
        <v>0</v>
      </c>
      <c r="D65" s="512">
        <f>SUMIFS(PURCHASE!$K$6:$K$10008,PURCHASE!$A$6:$A$10008,$M$2,PURCHASE!$H$6:$H$10008,$A$4:$A$2700)</f>
        <v>0</v>
      </c>
      <c r="E65" s="512">
        <f>SUMIFS(PURCHASE!$L$6:$L$10008,PURCHASE!$A$6:$A$10008,$M$2,PURCHASE!$H$6:$H$10008,$A$4:$A$2700)</f>
        <v>0</v>
      </c>
      <c r="F65" s="512">
        <f>SUMIFS(PURCHASE!$M$6:$M$10008,PURCHASE!$A$6:$A$10008,$M$2,PURCHASE!$H$6:$H$10008,$A$4:$A$2700)</f>
        <v>0</v>
      </c>
      <c r="G65" s="512">
        <f>SUMIFS(PURCHASE!$N$6:$N$10008,PURCHASE!$A$6:$A$10008,$M$2,PURCHASE!$H$6:$H$10008,$A$4:$A$2700)</f>
        <v>0</v>
      </c>
      <c r="H65" s="512">
        <f t="shared" si="12"/>
        <v>4130</v>
      </c>
      <c r="I65" s="512">
        <f>SUMIFS(PURCHASE!$K$6:$K$10008,PURCHASE!$A$6:$A$10008,$H$2,PURCHASE!$H$6:$H$10008,$A$4:$A$2700)</f>
        <v>3500</v>
      </c>
      <c r="J65" s="512">
        <f>SUMIFS(PURCHASE!$L$6:$L$10008,PURCHASE!$A$6:$A$10008,$H$2,PURCHASE!$H$6:$H$10008,$A$4:$A$2700)</f>
        <v>0</v>
      </c>
      <c r="K65" s="512">
        <f>SUMIFS(PURCHASE!$M$6:$M$10008,PURCHASE!$A$6:$A$10008,$H$2,PURCHASE!$H$6:$H$10008,$A$4:$A$2700)</f>
        <v>315</v>
      </c>
      <c r="L65" s="512">
        <f>SUMIFS(PURCHASE!$N$6:$N$10008,PURCHASE!$A$6:$A$10008,$H$2,PURCHASE!$H$6:$H$10008,$A$4:$A$2700)</f>
        <v>315</v>
      </c>
      <c r="M65" s="512">
        <f t="shared" si="13"/>
        <v>0</v>
      </c>
      <c r="N65" s="512">
        <f>SUMIFS(PURCHASE!$K$6:$K$10008,PURCHASE!$A$6:$A$10008,$M$2,PURCHASE!$H$6:$H$10008,$A$4:$A$2700)</f>
        <v>0</v>
      </c>
      <c r="O65" s="512">
        <f>SUMIFS(PURCHASE!$L$6:$L$10008,PURCHASE!$A$6:$A$10008,$M$2,PURCHASE!$H$6:$H$10008,$A$4:$A$2700)</f>
        <v>0</v>
      </c>
      <c r="P65" s="512">
        <f>SUMIFS(PURCHASE!$M$6:$M$10008,PURCHASE!$A$6:$A$10008,$M$2,PURCHASE!$H$6:$H$10008,$A$4:$A$2700)</f>
        <v>0</v>
      </c>
      <c r="Q65" s="512">
        <f>SUMIFS(PURCHASE!$N$6:$N$10008,PURCHASE!$A$6:$A$10008,$M$2,PURCHASE!$H$6:$H$10008,$A$4:$A$2700)</f>
        <v>0</v>
      </c>
      <c r="R65" s="512">
        <f t="shared" si="14"/>
        <v>0</v>
      </c>
      <c r="S65" s="512">
        <f>SUMIFS(PURCHASE!$K$6:$K$10008,PURCHASE!$A$6:$A$10008,$R$2,PURCHASE!$H$6:$H$10008,$A$4:$A$2700)</f>
        <v>0</v>
      </c>
      <c r="T65" s="512">
        <f>SUMIFS(PURCHASE!$L$6:$L$10008,PURCHASE!$A$6:$A$10008,$R$2,PURCHASE!$H$6:$H$10008,$A$4:$A$2700)</f>
        <v>0</v>
      </c>
      <c r="U65" s="512">
        <f>SUMIFS(PURCHASE!$M$6:$M$10008,PURCHASE!$A$6:$A$10008,$R$2,PURCHASE!$H$6:$H$10008,$A$4:$A$2700)</f>
        <v>0</v>
      </c>
      <c r="V65" s="512">
        <f>SUMIFS(PURCHASE!$N$6:$N$10008,PURCHASE!$A$6:$A$10008,$R$2,PURCHASE!$H$6:$H$10008,$A$4:$A$2700)</f>
        <v>0</v>
      </c>
      <c r="W65" s="512">
        <f t="shared" si="15"/>
        <v>0</v>
      </c>
      <c r="X65" s="512">
        <f>SUMIFS(PURCHASE!$K$6:$K$10008,PURCHASE!$A$6:$A$10008,$W$2,PURCHASE!$H$6:$H$10008,$A$4:$A$2700)</f>
        <v>0</v>
      </c>
      <c r="Y65" s="512">
        <f>SUMIFS(PURCHASE!$L$6:$L$10008,PURCHASE!$A$6:$A$10008,$W$2,PURCHASE!$H$6:$H$10008,$A$4:$A$2700)</f>
        <v>0</v>
      </c>
      <c r="Z65" s="512">
        <f>SUMIFS(PURCHASE!$M$6:$M$10008,PURCHASE!$A$6:$A$10008,$W$2,PURCHASE!$H$6:$H$10008,$A$4:$A$2700)</f>
        <v>0</v>
      </c>
      <c r="AA65" s="512">
        <f>SUMIFS(PURCHASE!$N$6:$N$10008,PURCHASE!$A$6:$A$10008,$W$2,PURCHASE!$H$6:$H$10008,$A$4:$A$2700)</f>
        <v>0</v>
      </c>
      <c r="AB65" s="512">
        <f t="shared" si="16"/>
        <v>0</v>
      </c>
      <c r="AC65" s="512">
        <f>SUMIFS(PURCHASE!$K$6:$K$10008,PURCHASE!$A$6:$A$10008,$AB$2,PURCHASE!$H$6:$H$10008,$A$4:$A$2700)</f>
        <v>0</v>
      </c>
      <c r="AD65" s="512">
        <f>SUMIFS(PURCHASE!$L$6:$L$10008,PURCHASE!$A$6:$A$10008,$AB$2,PURCHASE!$H$6:$H$10008,$A$4:$A$2700)</f>
        <v>0</v>
      </c>
      <c r="AE65" s="512">
        <f>SUMIFS(PURCHASE!$M$6:$M$10008,PURCHASE!$A$6:$A$10008,$AB$2,PURCHASE!$H$6:$H$10008,$A$4:$A$2700)</f>
        <v>0</v>
      </c>
      <c r="AF65" s="512">
        <f>SUMIFS(PURCHASE!$N$6:$N$10008,PURCHASE!$A$6:$A$10008,$AB$2,PURCHASE!$H$6:$H$10008,$A$4:$A$2700)</f>
        <v>0</v>
      </c>
      <c r="AG65" s="512">
        <f t="shared" si="17"/>
        <v>0</v>
      </c>
      <c r="AH65" s="512">
        <f>SUMIFS(PURCHASE!$K$6:$K$10008,PURCHASE!$A$6:$A$10008,$AG$2,PURCHASE!$H$6:$H$10008,$A$4:$A$2700)</f>
        <v>0</v>
      </c>
      <c r="AI65" s="512">
        <f>SUMIFS(PURCHASE!$L$6:$L$10008,PURCHASE!$A$6:$A$10008,$AG$2,PURCHASE!$H$6:$H$10008,$A$4:$A$2700)</f>
        <v>0</v>
      </c>
      <c r="AJ65" s="512">
        <f>SUMIFS(PURCHASE!$M$6:$M$10008,PURCHASE!$A$6:$A$10008,$AG$2,PURCHASE!$H$6:$H$10008,$A$4:$A$2700)</f>
        <v>0</v>
      </c>
      <c r="AK65" s="512">
        <f>SUMIFS(PURCHASE!$N$6:$N$10008,PURCHASE!$A$6:$A$10008,$AG$2,PURCHASE!$H$6:$H$10008,$A$4:$A$2700)</f>
        <v>0</v>
      </c>
      <c r="AL65" s="512">
        <f t="shared" si="18"/>
        <v>118</v>
      </c>
      <c r="AM65" s="512">
        <f>SUMIFS(PURCHASE!$K$6:$K$10008,PURCHASE!$A$6:$A$10008,$AL$2,PURCHASE!$H$6:$H$10008,$A$4:$A$2700)</f>
        <v>100</v>
      </c>
      <c r="AN65" s="512">
        <f>SUMIFS(PURCHASE!$L$6:$L$10008,PURCHASE!$A$6:$A$10008,$AL$2,PURCHASE!$H$6:$H$10008,$A$4:$A$2700)</f>
        <v>0</v>
      </c>
      <c r="AO65" s="512">
        <f>SUMIFS(PURCHASE!$M$6:$M$10008,PURCHASE!$A$6:$A$10008,$AL$2,PURCHASE!$H$6:$H$10008,$A$4:$A$2700)</f>
        <v>9</v>
      </c>
      <c r="AP65" s="512">
        <f>SUMIFS(PURCHASE!$N$6:$N$10008,PURCHASE!$A$6:$A$10008,$AL$2,PURCHASE!$H$6:$H$10008,$A$4:$A$2700)</f>
        <v>9</v>
      </c>
      <c r="AQ65" s="512">
        <f t="shared" si="19"/>
        <v>25821.055</v>
      </c>
      <c r="AR65" s="512">
        <f>SUMIFS(PURCHASE!$K$6:$K$10008,PURCHASE!$A$6:$A$10008,$AQ$2,PURCHASE!$H$6:$H$10008,$A$4:$A$2700)</f>
        <v>21882.25</v>
      </c>
      <c r="AS65" s="512">
        <f>SUMIFS(PURCHASE!$L$6:$L$10008,PURCHASE!$A$6:$A$10008,$AQ$2,PURCHASE!$H$6:$H$10008,$A$4:$A$2700)</f>
        <v>0</v>
      </c>
      <c r="AT65" s="512">
        <f>SUMIFS(PURCHASE!$M$6:$M$10008,PURCHASE!$A$6:$A$10008,$AQ$2,PURCHASE!$H$6:$H$10008,$A$4:$A$2700)</f>
        <v>1969.4025000000001</v>
      </c>
      <c r="AU65" s="512">
        <f>SUMIFS(PURCHASE!$N$6:$N$10008,PURCHASE!$A$6:$A$10008,$AQ$2,PURCHASE!$H$6:$H$10008,$A$4:$A$2700)</f>
        <v>1969.4025000000001</v>
      </c>
      <c r="AV65" s="512">
        <f t="shared" si="20"/>
        <v>0</v>
      </c>
      <c r="AW65" s="512">
        <f>SUMIFS(PURCHASE!$K$6:$K$10008,PURCHASE!$A$6:$A$10008,$AV$2,PURCHASE!$H$6:$H$10008,$A$4:$A$2700)</f>
        <v>0</v>
      </c>
      <c r="AX65" s="512">
        <f>SUMIFS(PURCHASE!$L$6:$L$10008,PURCHASE!$A$6:$A$10008,$AV$2,PURCHASE!$H$6:$H$10008,$A$4:$A$2700)</f>
        <v>0</v>
      </c>
      <c r="AY65" s="512">
        <f>SUMIFS(PURCHASE!$M$6:$M$10008,PURCHASE!$A$6:$A$10008,$AV$2,PURCHASE!$H$6:$H$10008,$A$4:$A$2700)</f>
        <v>0</v>
      </c>
      <c r="AZ65" s="512">
        <f>SUMIFS(PURCHASE!$N$6:$N$10008,PURCHASE!$A$6:$A$10008,$AV$2,PURCHASE!$H$6:$H$10008,$A$4:$A$2700)</f>
        <v>0</v>
      </c>
      <c r="BA65" s="512">
        <f t="shared" si="21"/>
        <v>0</v>
      </c>
      <c r="BB65" s="512">
        <f>SUMIFS(PURCHASE!$K$6:$K$10008,PURCHASE!$A$6:$A$10008,$BA$2,PURCHASE!$H$6:$H$10008,$A$4:$A$2700)</f>
        <v>0</v>
      </c>
      <c r="BC65" s="512">
        <f>SUMIFS(PURCHASE!$L$6:$L$10008,PURCHASE!$A$6:$A$10008,$BA$2,PURCHASE!$H$6:$H$10008,$A$4:$A$2700)</f>
        <v>0</v>
      </c>
      <c r="BD65" s="512">
        <f>SUMIFS(PURCHASE!$M$6:$M$10008,PURCHASE!$A$6:$A$10008,$BA$2,PURCHASE!$H$6:$H$10008,$A$4:$A$2700)</f>
        <v>0</v>
      </c>
      <c r="BE65" s="512">
        <f>SUMIFS(PURCHASE!$N$6:$N$10008,PURCHASE!$A$6:$A$10008,$BA$2,PURCHASE!$H$6:$H$10008,$A$4:$A$2700)</f>
        <v>0</v>
      </c>
      <c r="BF65" s="512">
        <f t="shared" si="22"/>
        <v>0</v>
      </c>
      <c r="BG65" s="512">
        <f>SUMIFS(PURCHASE!$K$6:$K$10008,PURCHASE!$A$6:$A$10008,$BF$2,PURCHASE!$H$6:$H$10008,$A$4:$A$2700)</f>
        <v>0</v>
      </c>
      <c r="BH65" s="512">
        <f>SUMIFS(PURCHASE!$L$6:$L$10008,PURCHASE!$A$6:$A$10008,$BF$2,PURCHASE!$H$6:$H$10008,$A$4:$A$2700)</f>
        <v>0</v>
      </c>
      <c r="BI65" s="512">
        <f>SUMIFS(PURCHASE!$M$6:$M$10008,PURCHASE!$A$6:$A$10008,$BF$2,PURCHASE!$H$6:$H$10008,$A$4:$A$2700)</f>
        <v>0</v>
      </c>
      <c r="BJ65" s="512">
        <f>SUMIFS(PURCHASE!$N$6:$N$10008,PURCHASE!$A$6:$A$10008,$BF$2,PURCHASE!$H$6:$H$10008,$A$4:$A$2700)</f>
        <v>0</v>
      </c>
      <c r="BK65" s="72">
        <f t="shared" si="6"/>
        <v>30069.055</v>
      </c>
      <c r="BL65" s="72">
        <f t="shared" si="7"/>
        <v>25482.25</v>
      </c>
      <c r="BM65" s="72">
        <f t="shared" si="8"/>
        <v>0</v>
      </c>
      <c r="BN65" s="72">
        <f t="shared" si="9"/>
        <v>2293.4025000000001</v>
      </c>
      <c r="BO65" s="72">
        <f t="shared" si="10"/>
        <v>2293.4025000000001</v>
      </c>
    </row>
    <row r="66" spans="1:67" x14ac:dyDescent="0.2">
      <c r="A66" s="511">
        <v>8546</v>
      </c>
      <c r="B66" s="467" t="s">
        <v>1235</v>
      </c>
      <c r="C66" s="512">
        <f t="shared" si="11"/>
        <v>0</v>
      </c>
      <c r="D66" s="512">
        <f>SUMIFS(PURCHASE!$K$6:$K$10008,PURCHASE!$A$6:$A$10008,$M$2,PURCHASE!$H$6:$H$10008,$A$4:$A$2700)</f>
        <v>0</v>
      </c>
      <c r="E66" s="512">
        <f>SUMIFS(PURCHASE!$L$6:$L$10008,PURCHASE!$A$6:$A$10008,$M$2,PURCHASE!$H$6:$H$10008,$A$4:$A$2700)</f>
        <v>0</v>
      </c>
      <c r="F66" s="512">
        <f>SUMIFS(PURCHASE!$M$6:$M$10008,PURCHASE!$A$6:$A$10008,$M$2,PURCHASE!$H$6:$H$10008,$A$4:$A$2700)</f>
        <v>0</v>
      </c>
      <c r="G66" s="512">
        <f>SUMIFS(PURCHASE!$N$6:$N$10008,PURCHASE!$A$6:$A$10008,$M$2,PURCHASE!$H$6:$H$10008,$A$4:$A$2700)</f>
        <v>0</v>
      </c>
      <c r="H66" s="512">
        <f t="shared" si="12"/>
        <v>70.800000000000011</v>
      </c>
      <c r="I66" s="512">
        <f>SUMIFS(PURCHASE!$K$6:$K$10008,PURCHASE!$A$6:$A$10008,$H$2,PURCHASE!$H$6:$H$10008,$A$4:$A$2700)</f>
        <v>60</v>
      </c>
      <c r="J66" s="512">
        <f>SUMIFS(PURCHASE!$L$6:$L$10008,PURCHASE!$A$6:$A$10008,$H$2,PURCHASE!$H$6:$H$10008,$A$4:$A$2700)</f>
        <v>0</v>
      </c>
      <c r="K66" s="512">
        <f>SUMIFS(PURCHASE!$M$6:$M$10008,PURCHASE!$A$6:$A$10008,$H$2,PURCHASE!$H$6:$H$10008,$A$4:$A$2700)</f>
        <v>5.3999999999999995</v>
      </c>
      <c r="L66" s="512">
        <f>SUMIFS(PURCHASE!$N$6:$N$10008,PURCHASE!$A$6:$A$10008,$H$2,PURCHASE!$H$6:$H$10008,$A$4:$A$2700)</f>
        <v>5.3999999999999995</v>
      </c>
      <c r="M66" s="512">
        <f t="shared" si="13"/>
        <v>0</v>
      </c>
      <c r="N66" s="512">
        <f>SUMIFS(PURCHASE!$K$6:$K$10008,PURCHASE!$A$6:$A$10008,$M$2,PURCHASE!$H$6:$H$10008,$A$4:$A$2700)</f>
        <v>0</v>
      </c>
      <c r="O66" s="512">
        <f>SUMIFS(PURCHASE!$L$6:$L$10008,PURCHASE!$A$6:$A$10008,$M$2,PURCHASE!$H$6:$H$10008,$A$4:$A$2700)</f>
        <v>0</v>
      </c>
      <c r="P66" s="512">
        <f>SUMIFS(PURCHASE!$M$6:$M$10008,PURCHASE!$A$6:$A$10008,$M$2,PURCHASE!$H$6:$H$10008,$A$4:$A$2700)</f>
        <v>0</v>
      </c>
      <c r="Q66" s="512">
        <f>SUMIFS(PURCHASE!$N$6:$N$10008,PURCHASE!$A$6:$A$10008,$M$2,PURCHASE!$H$6:$H$10008,$A$4:$A$2700)</f>
        <v>0</v>
      </c>
      <c r="R66" s="512">
        <f t="shared" si="14"/>
        <v>70.800000000000011</v>
      </c>
      <c r="S66" s="512">
        <f>SUMIFS(PURCHASE!$K$6:$K$10008,PURCHASE!$A$6:$A$10008,$R$2,PURCHASE!$H$6:$H$10008,$A$4:$A$2700)</f>
        <v>60</v>
      </c>
      <c r="T66" s="512">
        <f>SUMIFS(PURCHASE!$L$6:$L$10008,PURCHASE!$A$6:$A$10008,$R$2,PURCHASE!$H$6:$H$10008,$A$4:$A$2700)</f>
        <v>0</v>
      </c>
      <c r="U66" s="512">
        <f>SUMIFS(PURCHASE!$M$6:$M$10008,PURCHASE!$A$6:$A$10008,$R$2,PURCHASE!$H$6:$H$10008,$A$4:$A$2700)</f>
        <v>5.3999999999999995</v>
      </c>
      <c r="V66" s="512">
        <f>SUMIFS(PURCHASE!$N$6:$N$10008,PURCHASE!$A$6:$A$10008,$R$2,PURCHASE!$H$6:$H$10008,$A$4:$A$2700)</f>
        <v>5.3999999999999995</v>
      </c>
      <c r="W66" s="512">
        <f t="shared" si="15"/>
        <v>0</v>
      </c>
      <c r="X66" s="512">
        <f>SUMIFS(PURCHASE!$K$6:$K$10008,PURCHASE!$A$6:$A$10008,$W$2,PURCHASE!$H$6:$H$10008,$A$4:$A$2700)</f>
        <v>0</v>
      </c>
      <c r="Y66" s="512">
        <f>SUMIFS(PURCHASE!$L$6:$L$10008,PURCHASE!$A$6:$A$10008,$W$2,PURCHASE!$H$6:$H$10008,$A$4:$A$2700)</f>
        <v>0</v>
      </c>
      <c r="Z66" s="512">
        <f>SUMIFS(PURCHASE!$M$6:$M$10008,PURCHASE!$A$6:$A$10008,$W$2,PURCHASE!$H$6:$H$10008,$A$4:$A$2700)</f>
        <v>0</v>
      </c>
      <c r="AA66" s="512">
        <f>SUMIFS(PURCHASE!$N$6:$N$10008,PURCHASE!$A$6:$A$10008,$W$2,PURCHASE!$H$6:$H$10008,$A$4:$A$2700)</f>
        <v>0</v>
      </c>
      <c r="AB66" s="512">
        <f t="shared" si="16"/>
        <v>0</v>
      </c>
      <c r="AC66" s="512">
        <f>SUMIFS(PURCHASE!$K$6:$K$10008,PURCHASE!$A$6:$A$10008,$AB$2,PURCHASE!$H$6:$H$10008,$A$4:$A$2700)</f>
        <v>0</v>
      </c>
      <c r="AD66" s="512">
        <f>SUMIFS(PURCHASE!$L$6:$L$10008,PURCHASE!$A$6:$A$10008,$AB$2,PURCHASE!$H$6:$H$10008,$A$4:$A$2700)</f>
        <v>0</v>
      </c>
      <c r="AE66" s="512">
        <f>SUMIFS(PURCHASE!$M$6:$M$10008,PURCHASE!$A$6:$A$10008,$AB$2,PURCHASE!$H$6:$H$10008,$A$4:$A$2700)</f>
        <v>0</v>
      </c>
      <c r="AF66" s="512">
        <f>SUMIFS(PURCHASE!$N$6:$N$10008,PURCHASE!$A$6:$A$10008,$AB$2,PURCHASE!$H$6:$H$10008,$A$4:$A$2700)</f>
        <v>0</v>
      </c>
      <c r="AG66" s="512">
        <f t="shared" si="17"/>
        <v>0</v>
      </c>
      <c r="AH66" s="512">
        <f>SUMIFS(PURCHASE!$K$6:$K$10008,PURCHASE!$A$6:$A$10008,$AG$2,PURCHASE!$H$6:$H$10008,$A$4:$A$2700)</f>
        <v>0</v>
      </c>
      <c r="AI66" s="512">
        <f>SUMIFS(PURCHASE!$L$6:$L$10008,PURCHASE!$A$6:$A$10008,$AG$2,PURCHASE!$H$6:$H$10008,$A$4:$A$2700)</f>
        <v>0</v>
      </c>
      <c r="AJ66" s="512">
        <f>SUMIFS(PURCHASE!$M$6:$M$10008,PURCHASE!$A$6:$A$10008,$AG$2,PURCHASE!$H$6:$H$10008,$A$4:$A$2700)</f>
        <v>0</v>
      </c>
      <c r="AK66" s="512">
        <f>SUMIFS(PURCHASE!$N$6:$N$10008,PURCHASE!$A$6:$A$10008,$AG$2,PURCHASE!$H$6:$H$10008,$A$4:$A$2700)</f>
        <v>0</v>
      </c>
      <c r="AL66" s="512">
        <f t="shared" si="18"/>
        <v>212.39999999999998</v>
      </c>
      <c r="AM66" s="512">
        <f>SUMIFS(PURCHASE!$K$6:$K$10008,PURCHASE!$A$6:$A$10008,$AL$2,PURCHASE!$H$6:$H$10008,$A$4:$A$2700)</f>
        <v>180</v>
      </c>
      <c r="AN66" s="512">
        <f>SUMIFS(PURCHASE!$L$6:$L$10008,PURCHASE!$A$6:$A$10008,$AL$2,PURCHASE!$H$6:$H$10008,$A$4:$A$2700)</f>
        <v>0</v>
      </c>
      <c r="AO66" s="512">
        <f>SUMIFS(PURCHASE!$M$6:$M$10008,PURCHASE!$A$6:$A$10008,$AL$2,PURCHASE!$H$6:$H$10008,$A$4:$A$2700)</f>
        <v>16.2</v>
      </c>
      <c r="AP66" s="512">
        <f>SUMIFS(PURCHASE!$N$6:$N$10008,PURCHASE!$A$6:$A$10008,$AL$2,PURCHASE!$H$6:$H$10008,$A$4:$A$2700)</f>
        <v>16.2</v>
      </c>
      <c r="AQ66" s="512">
        <f t="shared" si="19"/>
        <v>339.84000000000003</v>
      </c>
      <c r="AR66" s="512">
        <f>SUMIFS(PURCHASE!$K$6:$K$10008,PURCHASE!$A$6:$A$10008,$AQ$2,PURCHASE!$H$6:$H$10008,$A$4:$A$2700)</f>
        <v>288</v>
      </c>
      <c r="AS66" s="512">
        <f>SUMIFS(PURCHASE!$L$6:$L$10008,PURCHASE!$A$6:$A$10008,$AQ$2,PURCHASE!$H$6:$H$10008,$A$4:$A$2700)</f>
        <v>0</v>
      </c>
      <c r="AT66" s="512">
        <f>SUMIFS(PURCHASE!$M$6:$M$10008,PURCHASE!$A$6:$A$10008,$AQ$2,PURCHASE!$H$6:$H$10008,$A$4:$A$2700)</f>
        <v>25.92</v>
      </c>
      <c r="AU66" s="512">
        <f>SUMIFS(PURCHASE!$N$6:$N$10008,PURCHASE!$A$6:$A$10008,$AQ$2,PURCHASE!$H$6:$H$10008,$A$4:$A$2700)</f>
        <v>25.92</v>
      </c>
      <c r="AV66" s="512">
        <f t="shared" si="20"/>
        <v>56.64</v>
      </c>
      <c r="AW66" s="512">
        <f>SUMIFS(PURCHASE!$K$6:$K$10008,PURCHASE!$A$6:$A$10008,$AV$2,PURCHASE!$H$6:$H$10008,$A$4:$A$2700)</f>
        <v>48</v>
      </c>
      <c r="AX66" s="512">
        <f>SUMIFS(PURCHASE!$L$6:$L$10008,PURCHASE!$A$6:$A$10008,$AV$2,PURCHASE!$H$6:$H$10008,$A$4:$A$2700)</f>
        <v>0</v>
      </c>
      <c r="AY66" s="512">
        <f>SUMIFS(PURCHASE!$M$6:$M$10008,PURCHASE!$A$6:$A$10008,$AV$2,PURCHASE!$H$6:$H$10008,$A$4:$A$2700)</f>
        <v>4.32</v>
      </c>
      <c r="AZ66" s="512">
        <f>SUMIFS(PURCHASE!$N$6:$N$10008,PURCHASE!$A$6:$A$10008,$AV$2,PURCHASE!$H$6:$H$10008,$A$4:$A$2700)</f>
        <v>4.32</v>
      </c>
      <c r="BA66" s="512">
        <f t="shared" si="21"/>
        <v>0</v>
      </c>
      <c r="BB66" s="512">
        <f>SUMIFS(PURCHASE!$K$6:$K$10008,PURCHASE!$A$6:$A$10008,$BA$2,PURCHASE!$H$6:$H$10008,$A$4:$A$2700)</f>
        <v>0</v>
      </c>
      <c r="BC66" s="512">
        <f>SUMIFS(PURCHASE!$L$6:$L$10008,PURCHASE!$A$6:$A$10008,$BA$2,PURCHASE!$H$6:$H$10008,$A$4:$A$2700)</f>
        <v>0</v>
      </c>
      <c r="BD66" s="512">
        <f>SUMIFS(PURCHASE!$M$6:$M$10008,PURCHASE!$A$6:$A$10008,$BA$2,PURCHASE!$H$6:$H$10008,$A$4:$A$2700)</f>
        <v>0</v>
      </c>
      <c r="BE66" s="512">
        <f>SUMIFS(PURCHASE!$N$6:$N$10008,PURCHASE!$A$6:$A$10008,$BA$2,PURCHASE!$H$6:$H$10008,$A$4:$A$2700)</f>
        <v>0</v>
      </c>
      <c r="BF66" s="512">
        <f t="shared" si="22"/>
        <v>0</v>
      </c>
      <c r="BG66" s="512">
        <f>SUMIFS(PURCHASE!$K$6:$K$10008,PURCHASE!$A$6:$A$10008,$BF$2,PURCHASE!$H$6:$H$10008,$A$4:$A$2700)</f>
        <v>0</v>
      </c>
      <c r="BH66" s="512">
        <f>SUMIFS(PURCHASE!$L$6:$L$10008,PURCHASE!$A$6:$A$10008,$BF$2,PURCHASE!$H$6:$H$10008,$A$4:$A$2700)</f>
        <v>0</v>
      </c>
      <c r="BI66" s="512">
        <f>SUMIFS(PURCHASE!$M$6:$M$10008,PURCHASE!$A$6:$A$10008,$BF$2,PURCHASE!$H$6:$H$10008,$A$4:$A$2700)</f>
        <v>0</v>
      </c>
      <c r="BJ66" s="512">
        <f>SUMIFS(PURCHASE!$N$6:$N$10008,PURCHASE!$A$6:$A$10008,$BF$2,PURCHASE!$H$6:$H$10008,$A$4:$A$2700)</f>
        <v>0</v>
      </c>
      <c r="BK66" s="72">
        <f t="shared" si="6"/>
        <v>750.48</v>
      </c>
      <c r="BL66" s="72">
        <f t="shared" si="7"/>
        <v>636</v>
      </c>
      <c r="BM66" s="72">
        <f t="shared" si="8"/>
        <v>0</v>
      </c>
      <c r="BN66" s="72">
        <f t="shared" si="9"/>
        <v>57.24</v>
      </c>
      <c r="BO66" s="72">
        <f t="shared" si="10"/>
        <v>57.24</v>
      </c>
    </row>
    <row r="67" spans="1:67" x14ac:dyDescent="0.2">
      <c r="A67" s="511">
        <v>8708</v>
      </c>
      <c r="B67" s="467" t="s">
        <v>266</v>
      </c>
      <c r="C67" s="512">
        <f t="shared" si="11"/>
        <v>142256</v>
      </c>
      <c r="D67" s="512">
        <f>SUMIFS(PURCHASE!$K$6:$K$10008,PURCHASE!$A$6:$A$10008,$M$2,PURCHASE!$H$6:$H$10008,$A$4:$A$2700)</f>
        <v>111137.5</v>
      </c>
      <c r="E67" s="512">
        <f>SUMIFS(PURCHASE!$L$6:$L$10008,PURCHASE!$A$6:$A$10008,$M$2,PURCHASE!$H$6:$H$10008,$A$4:$A$2700)</f>
        <v>0</v>
      </c>
      <c r="F67" s="512">
        <f>SUMIFS(PURCHASE!$M$6:$M$10008,PURCHASE!$A$6:$A$10008,$M$2,PURCHASE!$H$6:$H$10008,$A$4:$A$2700)</f>
        <v>15559.25</v>
      </c>
      <c r="G67" s="512">
        <f>SUMIFS(PURCHASE!$N$6:$N$10008,PURCHASE!$A$6:$A$10008,$M$2,PURCHASE!$H$6:$H$10008,$A$4:$A$2700)</f>
        <v>15559.25</v>
      </c>
      <c r="H67" s="512">
        <f t="shared" si="12"/>
        <v>120862.39999999999</v>
      </c>
      <c r="I67" s="512">
        <f>SUMIFS(PURCHASE!$K$6:$K$10008,PURCHASE!$A$6:$A$10008,$H$2,PURCHASE!$H$6:$H$10008,$A$4:$A$2700)</f>
        <v>94423.75</v>
      </c>
      <c r="J67" s="512">
        <f>SUMIFS(PURCHASE!$L$6:$L$10008,PURCHASE!$A$6:$A$10008,$H$2,PURCHASE!$H$6:$H$10008,$A$4:$A$2700)</f>
        <v>0</v>
      </c>
      <c r="K67" s="512">
        <f>SUMIFS(PURCHASE!$M$6:$M$10008,PURCHASE!$A$6:$A$10008,$H$2,PURCHASE!$H$6:$H$10008,$A$4:$A$2700)</f>
        <v>13219.324999999999</v>
      </c>
      <c r="L67" s="512">
        <f>SUMIFS(PURCHASE!$N$6:$N$10008,PURCHASE!$A$6:$A$10008,$H$2,PURCHASE!$H$6:$H$10008,$A$4:$A$2700)</f>
        <v>13219.324999999999</v>
      </c>
      <c r="M67" s="512">
        <f t="shared" si="13"/>
        <v>142256</v>
      </c>
      <c r="N67" s="512">
        <f>SUMIFS(PURCHASE!$K$6:$K$10008,PURCHASE!$A$6:$A$10008,$M$2,PURCHASE!$H$6:$H$10008,$A$4:$A$2700)</f>
        <v>111137.5</v>
      </c>
      <c r="O67" s="512">
        <f>SUMIFS(PURCHASE!$L$6:$L$10008,PURCHASE!$A$6:$A$10008,$M$2,PURCHASE!$H$6:$H$10008,$A$4:$A$2700)</f>
        <v>0</v>
      </c>
      <c r="P67" s="512">
        <f>SUMIFS(PURCHASE!$M$6:$M$10008,PURCHASE!$A$6:$A$10008,$M$2,PURCHASE!$H$6:$H$10008,$A$4:$A$2700)</f>
        <v>15559.25</v>
      </c>
      <c r="Q67" s="512">
        <f>SUMIFS(PURCHASE!$N$6:$N$10008,PURCHASE!$A$6:$A$10008,$M$2,PURCHASE!$H$6:$H$10008,$A$4:$A$2700)</f>
        <v>15559.25</v>
      </c>
      <c r="R67" s="512">
        <f t="shared" si="14"/>
        <v>235032.64</v>
      </c>
      <c r="S67" s="512">
        <f>SUMIFS(PURCHASE!$K$6:$K$10008,PURCHASE!$A$6:$A$10008,$R$2,PURCHASE!$H$6:$H$10008,$A$4:$A$2700)</f>
        <v>183619.25</v>
      </c>
      <c r="T67" s="512">
        <f>SUMIFS(PURCHASE!$L$6:$L$10008,PURCHASE!$A$6:$A$10008,$R$2,PURCHASE!$H$6:$H$10008,$A$4:$A$2700)</f>
        <v>0</v>
      </c>
      <c r="U67" s="512">
        <f>SUMIFS(PURCHASE!$M$6:$M$10008,PURCHASE!$A$6:$A$10008,$R$2,PURCHASE!$H$6:$H$10008,$A$4:$A$2700)</f>
        <v>25706.695</v>
      </c>
      <c r="V67" s="512">
        <f>SUMIFS(PURCHASE!$N$6:$N$10008,PURCHASE!$A$6:$A$10008,$R$2,PURCHASE!$H$6:$H$10008,$A$4:$A$2700)</f>
        <v>25706.695</v>
      </c>
      <c r="W67" s="512">
        <f t="shared" si="15"/>
        <v>0</v>
      </c>
      <c r="X67" s="512">
        <f>SUMIFS(PURCHASE!$K$6:$K$10008,PURCHASE!$A$6:$A$10008,$W$2,PURCHASE!$H$6:$H$10008,$A$4:$A$2700)</f>
        <v>0</v>
      </c>
      <c r="Y67" s="512">
        <f>SUMIFS(PURCHASE!$L$6:$L$10008,PURCHASE!$A$6:$A$10008,$W$2,PURCHASE!$H$6:$H$10008,$A$4:$A$2700)</f>
        <v>0</v>
      </c>
      <c r="Z67" s="512">
        <f>SUMIFS(PURCHASE!$M$6:$M$10008,PURCHASE!$A$6:$A$10008,$W$2,PURCHASE!$H$6:$H$10008,$A$4:$A$2700)</f>
        <v>0</v>
      </c>
      <c r="AA67" s="512">
        <f>SUMIFS(PURCHASE!$N$6:$N$10008,PURCHASE!$A$6:$A$10008,$W$2,PURCHASE!$H$6:$H$10008,$A$4:$A$2700)</f>
        <v>0</v>
      </c>
      <c r="AB67" s="512">
        <f t="shared" si="16"/>
        <v>0</v>
      </c>
      <c r="AC67" s="512">
        <f>SUMIFS(PURCHASE!$K$6:$K$10008,PURCHASE!$A$6:$A$10008,$AB$2,PURCHASE!$H$6:$H$10008,$A$4:$A$2700)</f>
        <v>0</v>
      </c>
      <c r="AD67" s="512">
        <f>SUMIFS(PURCHASE!$L$6:$L$10008,PURCHASE!$A$6:$A$10008,$AB$2,PURCHASE!$H$6:$H$10008,$A$4:$A$2700)</f>
        <v>0</v>
      </c>
      <c r="AE67" s="512">
        <f>SUMIFS(PURCHASE!$M$6:$M$10008,PURCHASE!$A$6:$A$10008,$AB$2,PURCHASE!$H$6:$H$10008,$A$4:$A$2700)</f>
        <v>0</v>
      </c>
      <c r="AF67" s="512">
        <f>SUMIFS(PURCHASE!$N$6:$N$10008,PURCHASE!$A$6:$A$10008,$AB$2,PURCHASE!$H$6:$H$10008,$A$4:$A$2700)</f>
        <v>0</v>
      </c>
      <c r="AG67" s="512">
        <f t="shared" si="17"/>
        <v>0</v>
      </c>
      <c r="AH67" s="512">
        <f>SUMIFS(PURCHASE!$K$6:$K$10008,PURCHASE!$A$6:$A$10008,$AG$2,PURCHASE!$H$6:$H$10008,$A$4:$A$2700)</f>
        <v>0</v>
      </c>
      <c r="AI67" s="512">
        <f>SUMIFS(PURCHASE!$L$6:$L$10008,PURCHASE!$A$6:$A$10008,$AG$2,PURCHASE!$H$6:$H$10008,$A$4:$A$2700)</f>
        <v>0</v>
      </c>
      <c r="AJ67" s="512">
        <f>SUMIFS(PURCHASE!$M$6:$M$10008,PURCHASE!$A$6:$A$10008,$AG$2,PURCHASE!$H$6:$H$10008,$A$4:$A$2700)</f>
        <v>0</v>
      </c>
      <c r="AK67" s="512">
        <f>SUMIFS(PURCHASE!$N$6:$N$10008,PURCHASE!$A$6:$A$10008,$AG$2,PURCHASE!$H$6:$H$10008,$A$4:$A$2700)</f>
        <v>0</v>
      </c>
      <c r="AL67" s="512">
        <f t="shared" si="18"/>
        <v>0</v>
      </c>
      <c r="AM67" s="512">
        <f>SUMIFS(PURCHASE!$K$6:$K$10008,PURCHASE!$A$6:$A$10008,$AL$2,PURCHASE!$H$6:$H$10008,$A$4:$A$2700)</f>
        <v>0</v>
      </c>
      <c r="AN67" s="512">
        <f>SUMIFS(PURCHASE!$L$6:$L$10008,PURCHASE!$A$6:$A$10008,$AL$2,PURCHASE!$H$6:$H$10008,$A$4:$A$2700)</f>
        <v>0</v>
      </c>
      <c r="AO67" s="512">
        <f>SUMIFS(PURCHASE!$M$6:$M$10008,PURCHASE!$A$6:$A$10008,$AL$2,PURCHASE!$H$6:$H$10008,$A$4:$A$2700)</f>
        <v>0</v>
      </c>
      <c r="AP67" s="512">
        <f>SUMIFS(PURCHASE!$N$6:$N$10008,PURCHASE!$A$6:$A$10008,$AL$2,PURCHASE!$H$6:$H$10008,$A$4:$A$2700)</f>
        <v>0</v>
      </c>
      <c r="AQ67" s="512">
        <f t="shared" si="19"/>
        <v>154790.65600000002</v>
      </c>
      <c r="AR67" s="512">
        <f>SUMIFS(PURCHASE!$K$6:$K$10008,PURCHASE!$A$6:$A$10008,$AQ$2,PURCHASE!$H$6:$H$10008,$A$4:$A$2700)</f>
        <v>120930.2</v>
      </c>
      <c r="AS67" s="512">
        <f>SUMIFS(PURCHASE!$L$6:$L$10008,PURCHASE!$A$6:$A$10008,$AQ$2,PURCHASE!$H$6:$H$10008,$A$4:$A$2700)</f>
        <v>0</v>
      </c>
      <c r="AT67" s="512">
        <f>SUMIFS(PURCHASE!$M$6:$M$10008,PURCHASE!$A$6:$A$10008,$AQ$2,PURCHASE!$H$6:$H$10008,$A$4:$A$2700)</f>
        <v>16930.228000000003</v>
      </c>
      <c r="AU67" s="512">
        <f>SUMIFS(PURCHASE!$N$6:$N$10008,PURCHASE!$A$6:$A$10008,$AQ$2,PURCHASE!$H$6:$H$10008,$A$4:$A$2700)</f>
        <v>16930.228000000003</v>
      </c>
      <c r="AV67" s="512">
        <f t="shared" si="20"/>
        <v>8192</v>
      </c>
      <c r="AW67" s="512">
        <f>SUMIFS(PURCHASE!$K$6:$K$10008,PURCHASE!$A$6:$A$10008,$AV$2,PURCHASE!$H$6:$H$10008,$A$4:$A$2700)</f>
        <v>6400</v>
      </c>
      <c r="AX67" s="512">
        <f>SUMIFS(PURCHASE!$L$6:$L$10008,PURCHASE!$A$6:$A$10008,$AV$2,PURCHASE!$H$6:$H$10008,$A$4:$A$2700)</f>
        <v>0</v>
      </c>
      <c r="AY67" s="512">
        <f>SUMIFS(PURCHASE!$M$6:$M$10008,PURCHASE!$A$6:$A$10008,$AV$2,PURCHASE!$H$6:$H$10008,$A$4:$A$2700)</f>
        <v>896</v>
      </c>
      <c r="AZ67" s="512">
        <f>SUMIFS(PURCHASE!$N$6:$N$10008,PURCHASE!$A$6:$A$10008,$AV$2,PURCHASE!$H$6:$H$10008,$A$4:$A$2700)</f>
        <v>896</v>
      </c>
      <c r="BA67" s="512">
        <f t="shared" si="21"/>
        <v>0</v>
      </c>
      <c r="BB67" s="512">
        <f>SUMIFS(PURCHASE!$K$6:$K$10008,PURCHASE!$A$6:$A$10008,$BA$2,PURCHASE!$H$6:$H$10008,$A$4:$A$2700)</f>
        <v>0</v>
      </c>
      <c r="BC67" s="512">
        <f>SUMIFS(PURCHASE!$L$6:$L$10008,PURCHASE!$A$6:$A$10008,$BA$2,PURCHASE!$H$6:$H$10008,$A$4:$A$2700)</f>
        <v>0</v>
      </c>
      <c r="BD67" s="512">
        <f>SUMIFS(PURCHASE!$M$6:$M$10008,PURCHASE!$A$6:$A$10008,$BA$2,PURCHASE!$H$6:$H$10008,$A$4:$A$2700)</f>
        <v>0</v>
      </c>
      <c r="BE67" s="512">
        <f>SUMIFS(PURCHASE!$N$6:$N$10008,PURCHASE!$A$6:$A$10008,$BA$2,PURCHASE!$H$6:$H$10008,$A$4:$A$2700)</f>
        <v>0</v>
      </c>
      <c r="BF67" s="512">
        <f t="shared" si="22"/>
        <v>0</v>
      </c>
      <c r="BG67" s="512">
        <f>SUMIFS(PURCHASE!$K$6:$K$10008,PURCHASE!$A$6:$A$10008,$BF$2,PURCHASE!$H$6:$H$10008,$A$4:$A$2700)</f>
        <v>0</v>
      </c>
      <c r="BH67" s="512">
        <f>SUMIFS(PURCHASE!$L$6:$L$10008,PURCHASE!$A$6:$A$10008,$BF$2,PURCHASE!$H$6:$H$10008,$A$4:$A$2700)</f>
        <v>0</v>
      </c>
      <c r="BI67" s="512">
        <f>SUMIFS(PURCHASE!$M$6:$M$10008,PURCHASE!$A$6:$A$10008,$BF$2,PURCHASE!$H$6:$H$10008,$A$4:$A$2700)</f>
        <v>0</v>
      </c>
      <c r="BJ67" s="512">
        <f>SUMIFS(PURCHASE!$N$6:$N$10008,PURCHASE!$A$6:$A$10008,$BF$2,PURCHASE!$H$6:$H$10008,$A$4:$A$2700)</f>
        <v>0</v>
      </c>
      <c r="BK67" s="72">
        <f t="shared" si="6"/>
        <v>803389.696</v>
      </c>
      <c r="BL67" s="72">
        <f t="shared" si="7"/>
        <v>627648.19999999995</v>
      </c>
      <c r="BM67" s="72">
        <f t="shared" si="8"/>
        <v>0</v>
      </c>
      <c r="BN67" s="72">
        <f t="shared" si="9"/>
        <v>87870.747999999992</v>
      </c>
      <c r="BO67" s="72">
        <f t="shared" si="10"/>
        <v>87870.747999999992</v>
      </c>
    </row>
    <row r="68" spans="1:67" x14ac:dyDescent="0.2">
      <c r="A68" s="511">
        <v>9032</v>
      </c>
      <c r="B68" s="467" t="s">
        <v>1236</v>
      </c>
      <c r="C68" s="512">
        <f t="shared" si="11"/>
        <v>0</v>
      </c>
      <c r="D68" s="512">
        <f>SUMIFS(PURCHASE!$K$6:$K$10008,PURCHASE!$A$6:$A$10008,$M$2,PURCHASE!$H$6:$H$10008,$A$4:$A$2700)</f>
        <v>0</v>
      </c>
      <c r="E68" s="512">
        <f>SUMIFS(PURCHASE!$L$6:$L$10008,PURCHASE!$A$6:$A$10008,$M$2,PURCHASE!$H$6:$H$10008,$A$4:$A$2700)</f>
        <v>0</v>
      </c>
      <c r="F68" s="512">
        <f>SUMIFS(PURCHASE!$M$6:$M$10008,PURCHASE!$A$6:$A$10008,$M$2,PURCHASE!$H$6:$H$10008,$A$4:$A$2700)</f>
        <v>0</v>
      </c>
      <c r="G68" s="512">
        <f>SUMIFS(PURCHASE!$N$6:$N$10008,PURCHASE!$A$6:$A$10008,$M$2,PURCHASE!$H$6:$H$10008,$A$4:$A$2700)</f>
        <v>0</v>
      </c>
      <c r="H68" s="512">
        <f t="shared" si="12"/>
        <v>0</v>
      </c>
      <c r="I68" s="512">
        <f>SUMIFS(PURCHASE!$K$6:$K$10008,PURCHASE!$A$6:$A$10008,$H$2,PURCHASE!$H$6:$H$10008,$A$4:$A$2700)</f>
        <v>0</v>
      </c>
      <c r="J68" s="512">
        <f>SUMIFS(PURCHASE!$L$6:$L$10008,PURCHASE!$A$6:$A$10008,$H$2,PURCHASE!$H$6:$H$10008,$A$4:$A$2700)</f>
        <v>0</v>
      </c>
      <c r="K68" s="512">
        <f>SUMIFS(PURCHASE!$M$6:$M$10008,PURCHASE!$A$6:$A$10008,$H$2,PURCHASE!$H$6:$H$10008,$A$4:$A$2700)</f>
        <v>0</v>
      </c>
      <c r="L68" s="512">
        <f>SUMIFS(PURCHASE!$N$6:$N$10008,PURCHASE!$A$6:$A$10008,$H$2,PURCHASE!$H$6:$H$10008,$A$4:$A$2700)</f>
        <v>0</v>
      </c>
      <c r="M68" s="512">
        <f t="shared" si="13"/>
        <v>0</v>
      </c>
      <c r="N68" s="512">
        <f>SUMIFS(PURCHASE!$K$6:$K$10008,PURCHASE!$A$6:$A$10008,$M$2,PURCHASE!$H$6:$H$10008,$A$4:$A$2700)</f>
        <v>0</v>
      </c>
      <c r="O68" s="512">
        <f>SUMIFS(PURCHASE!$L$6:$L$10008,PURCHASE!$A$6:$A$10008,$M$2,PURCHASE!$H$6:$H$10008,$A$4:$A$2700)</f>
        <v>0</v>
      </c>
      <c r="P68" s="512">
        <f>SUMIFS(PURCHASE!$M$6:$M$10008,PURCHASE!$A$6:$A$10008,$M$2,PURCHASE!$H$6:$H$10008,$A$4:$A$2700)</f>
        <v>0</v>
      </c>
      <c r="Q68" s="512">
        <f>SUMIFS(PURCHASE!$N$6:$N$10008,PURCHASE!$A$6:$A$10008,$M$2,PURCHASE!$H$6:$H$10008,$A$4:$A$2700)</f>
        <v>0</v>
      </c>
      <c r="R68" s="512">
        <f t="shared" si="14"/>
        <v>0</v>
      </c>
      <c r="S68" s="512">
        <f>SUMIFS(PURCHASE!$K$6:$K$10008,PURCHASE!$A$6:$A$10008,$R$2,PURCHASE!$H$6:$H$10008,$A$4:$A$2700)</f>
        <v>0</v>
      </c>
      <c r="T68" s="512">
        <f>SUMIFS(PURCHASE!$L$6:$L$10008,PURCHASE!$A$6:$A$10008,$R$2,PURCHASE!$H$6:$H$10008,$A$4:$A$2700)</f>
        <v>0</v>
      </c>
      <c r="U68" s="512">
        <f>SUMIFS(PURCHASE!$M$6:$M$10008,PURCHASE!$A$6:$A$10008,$R$2,PURCHASE!$H$6:$H$10008,$A$4:$A$2700)</f>
        <v>0</v>
      </c>
      <c r="V68" s="512">
        <f>SUMIFS(PURCHASE!$N$6:$N$10008,PURCHASE!$A$6:$A$10008,$R$2,PURCHASE!$H$6:$H$10008,$A$4:$A$2700)</f>
        <v>0</v>
      </c>
      <c r="W68" s="512">
        <f t="shared" si="15"/>
        <v>0</v>
      </c>
      <c r="X68" s="512">
        <f>SUMIFS(PURCHASE!$K$6:$K$10008,PURCHASE!$A$6:$A$10008,$W$2,PURCHASE!$H$6:$H$10008,$A$4:$A$2700)</f>
        <v>0</v>
      </c>
      <c r="Y68" s="512">
        <f>SUMIFS(PURCHASE!$L$6:$L$10008,PURCHASE!$A$6:$A$10008,$W$2,PURCHASE!$H$6:$H$10008,$A$4:$A$2700)</f>
        <v>0</v>
      </c>
      <c r="Z68" s="512">
        <f>SUMIFS(PURCHASE!$M$6:$M$10008,PURCHASE!$A$6:$A$10008,$W$2,PURCHASE!$H$6:$H$10008,$A$4:$A$2700)</f>
        <v>0</v>
      </c>
      <c r="AA68" s="512">
        <f>SUMIFS(PURCHASE!$N$6:$N$10008,PURCHASE!$A$6:$A$10008,$W$2,PURCHASE!$H$6:$H$10008,$A$4:$A$2700)</f>
        <v>0</v>
      </c>
      <c r="AB68" s="512">
        <f t="shared" si="16"/>
        <v>0</v>
      </c>
      <c r="AC68" s="512">
        <f>SUMIFS(PURCHASE!$K$6:$K$10008,PURCHASE!$A$6:$A$10008,$AB$2,PURCHASE!$H$6:$H$10008,$A$4:$A$2700)</f>
        <v>0</v>
      </c>
      <c r="AD68" s="512">
        <f>SUMIFS(PURCHASE!$L$6:$L$10008,PURCHASE!$A$6:$A$10008,$AB$2,PURCHASE!$H$6:$H$10008,$A$4:$A$2700)</f>
        <v>0</v>
      </c>
      <c r="AE68" s="512">
        <f>SUMIFS(PURCHASE!$M$6:$M$10008,PURCHASE!$A$6:$A$10008,$AB$2,PURCHASE!$H$6:$H$10008,$A$4:$A$2700)</f>
        <v>0</v>
      </c>
      <c r="AF68" s="512">
        <f>SUMIFS(PURCHASE!$N$6:$N$10008,PURCHASE!$A$6:$A$10008,$AB$2,PURCHASE!$H$6:$H$10008,$A$4:$A$2700)</f>
        <v>0</v>
      </c>
      <c r="AG68" s="512">
        <f t="shared" si="17"/>
        <v>0</v>
      </c>
      <c r="AH68" s="512">
        <f>SUMIFS(PURCHASE!$K$6:$K$10008,PURCHASE!$A$6:$A$10008,$AG$2,PURCHASE!$H$6:$H$10008,$A$4:$A$2700)</f>
        <v>0</v>
      </c>
      <c r="AI68" s="512">
        <f>SUMIFS(PURCHASE!$L$6:$L$10008,PURCHASE!$A$6:$A$10008,$AG$2,PURCHASE!$H$6:$H$10008,$A$4:$A$2700)</f>
        <v>0</v>
      </c>
      <c r="AJ68" s="512">
        <f>SUMIFS(PURCHASE!$M$6:$M$10008,PURCHASE!$A$6:$A$10008,$AG$2,PURCHASE!$H$6:$H$10008,$A$4:$A$2700)</f>
        <v>0</v>
      </c>
      <c r="AK68" s="512">
        <f>SUMIFS(PURCHASE!$N$6:$N$10008,PURCHASE!$A$6:$A$10008,$AG$2,PURCHASE!$H$6:$H$10008,$A$4:$A$2700)</f>
        <v>0</v>
      </c>
      <c r="AL68" s="512">
        <f t="shared" si="18"/>
        <v>0</v>
      </c>
      <c r="AM68" s="512">
        <f>SUMIFS(PURCHASE!$K$6:$K$10008,PURCHASE!$A$6:$A$10008,$AL$2,PURCHASE!$H$6:$H$10008,$A$4:$A$2700)</f>
        <v>0</v>
      </c>
      <c r="AN68" s="512">
        <f>SUMIFS(PURCHASE!$L$6:$L$10008,PURCHASE!$A$6:$A$10008,$AL$2,PURCHASE!$H$6:$H$10008,$A$4:$A$2700)</f>
        <v>0</v>
      </c>
      <c r="AO68" s="512">
        <f>SUMIFS(PURCHASE!$M$6:$M$10008,PURCHASE!$A$6:$A$10008,$AL$2,PURCHASE!$H$6:$H$10008,$A$4:$A$2700)</f>
        <v>0</v>
      </c>
      <c r="AP68" s="512">
        <f>SUMIFS(PURCHASE!$N$6:$N$10008,PURCHASE!$A$6:$A$10008,$AL$2,PURCHASE!$H$6:$H$10008,$A$4:$A$2700)</f>
        <v>0</v>
      </c>
      <c r="AQ68" s="512">
        <f t="shared" si="19"/>
        <v>0</v>
      </c>
      <c r="AR68" s="512">
        <f>SUMIFS(PURCHASE!$K$6:$K$10008,PURCHASE!$A$6:$A$10008,$AQ$2,PURCHASE!$H$6:$H$10008,$A$4:$A$2700)</f>
        <v>0</v>
      </c>
      <c r="AS68" s="512">
        <f>SUMIFS(PURCHASE!$L$6:$L$10008,PURCHASE!$A$6:$A$10008,$AQ$2,PURCHASE!$H$6:$H$10008,$A$4:$A$2700)</f>
        <v>0</v>
      </c>
      <c r="AT68" s="512">
        <f>SUMIFS(PURCHASE!$M$6:$M$10008,PURCHASE!$A$6:$A$10008,$AQ$2,PURCHASE!$H$6:$H$10008,$A$4:$A$2700)</f>
        <v>0</v>
      </c>
      <c r="AU68" s="512">
        <f>SUMIFS(PURCHASE!$N$6:$N$10008,PURCHASE!$A$6:$A$10008,$AQ$2,PURCHASE!$H$6:$H$10008,$A$4:$A$2700)</f>
        <v>0</v>
      </c>
      <c r="AV68" s="512">
        <f t="shared" si="20"/>
        <v>0</v>
      </c>
      <c r="AW68" s="512">
        <f>SUMIFS(PURCHASE!$K$6:$K$10008,PURCHASE!$A$6:$A$10008,$AV$2,PURCHASE!$H$6:$H$10008,$A$4:$A$2700)</f>
        <v>0</v>
      </c>
      <c r="AX68" s="512">
        <f>SUMIFS(PURCHASE!$L$6:$L$10008,PURCHASE!$A$6:$A$10008,$AV$2,PURCHASE!$H$6:$H$10008,$A$4:$A$2700)</f>
        <v>0</v>
      </c>
      <c r="AY68" s="512">
        <f>SUMIFS(PURCHASE!$M$6:$M$10008,PURCHASE!$A$6:$A$10008,$AV$2,PURCHASE!$H$6:$H$10008,$A$4:$A$2700)</f>
        <v>0</v>
      </c>
      <c r="AZ68" s="512">
        <f>SUMIFS(PURCHASE!$N$6:$N$10008,PURCHASE!$A$6:$A$10008,$AV$2,PURCHASE!$H$6:$H$10008,$A$4:$A$2700)</f>
        <v>0</v>
      </c>
      <c r="BA68" s="512">
        <f t="shared" si="21"/>
        <v>0</v>
      </c>
      <c r="BB68" s="512">
        <f>SUMIFS(PURCHASE!$K$6:$K$10008,PURCHASE!$A$6:$A$10008,$BA$2,PURCHASE!$H$6:$H$10008,$A$4:$A$2700)</f>
        <v>0</v>
      </c>
      <c r="BC68" s="512">
        <f>SUMIFS(PURCHASE!$L$6:$L$10008,PURCHASE!$A$6:$A$10008,$BA$2,PURCHASE!$H$6:$H$10008,$A$4:$A$2700)</f>
        <v>0</v>
      </c>
      <c r="BD68" s="512">
        <f>SUMIFS(PURCHASE!$M$6:$M$10008,PURCHASE!$A$6:$A$10008,$BA$2,PURCHASE!$H$6:$H$10008,$A$4:$A$2700)</f>
        <v>0</v>
      </c>
      <c r="BE68" s="512">
        <f>SUMIFS(PURCHASE!$N$6:$N$10008,PURCHASE!$A$6:$A$10008,$BA$2,PURCHASE!$H$6:$H$10008,$A$4:$A$2700)</f>
        <v>0</v>
      </c>
      <c r="BF68" s="512">
        <f t="shared" si="22"/>
        <v>0</v>
      </c>
      <c r="BG68" s="512">
        <f>SUMIFS(PURCHASE!$K$6:$K$10008,PURCHASE!$A$6:$A$10008,$BF$2,PURCHASE!$H$6:$H$10008,$A$4:$A$2700)</f>
        <v>0</v>
      </c>
      <c r="BH68" s="512">
        <f>SUMIFS(PURCHASE!$L$6:$L$10008,PURCHASE!$A$6:$A$10008,$BF$2,PURCHASE!$H$6:$H$10008,$A$4:$A$2700)</f>
        <v>0</v>
      </c>
      <c r="BI68" s="512">
        <f>SUMIFS(PURCHASE!$M$6:$M$10008,PURCHASE!$A$6:$A$10008,$BF$2,PURCHASE!$H$6:$H$10008,$A$4:$A$2700)</f>
        <v>0</v>
      </c>
      <c r="BJ68" s="512">
        <f>SUMIFS(PURCHASE!$N$6:$N$10008,PURCHASE!$A$6:$A$10008,$BF$2,PURCHASE!$H$6:$H$10008,$A$4:$A$2700)</f>
        <v>0</v>
      </c>
      <c r="BK68" s="72">
        <f t="shared" ref="BK68:BK131" si="23">+C68+H68+M68+R68+W68+AB68+AG68+AL68+AQ68+AV68+BA68+BF68</f>
        <v>0</v>
      </c>
      <c r="BL68" s="72">
        <f t="shared" ref="BL68:BL131" si="24">+D68+I68+N68+S68+X68+AC68+AH68+AM68+AR68+AW68+BB68+BG68</f>
        <v>0</v>
      </c>
      <c r="BM68" s="72">
        <f t="shared" ref="BM68:BM131" si="25">+E68+J68+O68+T68+Y68+AD68+AI68+AN68+AS68+AX68+BC68+BH68</f>
        <v>0</v>
      </c>
      <c r="BN68" s="72">
        <f t="shared" ref="BN68:BN131" si="26">+F68+K68+P68+U68+Z68+AE68+AJ68+AO68+AT68+AY68+BD68+BI68</f>
        <v>0</v>
      </c>
      <c r="BO68" s="72">
        <f t="shared" ref="BO68:BO131" si="27">+G68+L68+Q68+V68+AA68+AF68+AK68+AP68+AU68+AZ68+BE68+BJ68</f>
        <v>0</v>
      </c>
    </row>
    <row r="69" spans="1:67" x14ac:dyDescent="0.2">
      <c r="A69" s="511">
        <v>9603</v>
      </c>
      <c r="B69" s="467" t="s">
        <v>1237</v>
      </c>
      <c r="C69" s="512">
        <f t="shared" ref="C69:C132" si="28">+D69+E69+F69+G69</f>
        <v>0</v>
      </c>
      <c r="D69" s="512">
        <f>SUMIFS(PURCHASE!$K$6:$K$10008,PURCHASE!$A$6:$A$10008,$M$2,PURCHASE!$H$6:$H$10008,$A$4:$A$2700)</f>
        <v>0</v>
      </c>
      <c r="E69" s="512">
        <f>SUMIFS(PURCHASE!$L$6:$L$10008,PURCHASE!$A$6:$A$10008,$M$2,PURCHASE!$H$6:$H$10008,$A$4:$A$2700)</f>
        <v>0</v>
      </c>
      <c r="F69" s="512">
        <f>SUMIFS(PURCHASE!$M$6:$M$10008,PURCHASE!$A$6:$A$10008,$M$2,PURCHASE!$H$6:$H$10008,$A$4:$A$2700)</f>
        <v>0</v>
      </c>
      <c r="G69" s="512">
        <f>SUMIFS(PURCHASE!$N$6:$N$10008,PURCHASE!$A$6:$A$10008,$M$2,PURCHASE!$H$6:$H$10008,$A$4:$A$2700)</f>
        <v>0</v>
      </c>
      <c r="H69" s="512">
        <f t="shared" ref="H69:H132" si="29">+I69+J69+K69+L69</f>
        <v>0</v>
      </c>
      <c r="I69" s="512">
        <f>SUMIFS(PURCHASE!$K$6:$K$10008,PURCHASE!$A$6:$A$10008,$H$2,PURCHASE!$H$6:$H$10008,$A$4:$A$2700)</f>
        <v>0</v>
      </c>
      <c r="J69" s="512">
        <f>SUMIFS(PURCHASE!$L$6:$L$10008,PURCHASE!$A$6:$A$10008,$H$2,PURCHASE!$H$6:$H$10008,$A$4:$A$2700)</f>
        <v>0</v>
      </c>
      <c r="K69" s="512">
        <f>SUMIFS(PURCHASE!$M$6:$M$10008,PURCHASE!$A$6:$A$10008,$H$2,PURCHASE!$H$6:$H$10008,$A$4:$A$2700)</f>
        <v>0</v>
      </c>
      <c r="L69" s="512">
        <f>SUMIFS(PURCHASE!$N$6:$N$10008,PURCHASE!$A$6:$A$10008,$H$2,PURCHASE!$H$6:$H$10008,$A$4:$A$2700)</f>
        <v>0</v>
      </c>
      <c r="M69" s="512">
        <f t="shared" ref="M69:M132" si="30">+N69+O69+P69+Q69</f>
        <v>0</v>
      </c>
      <c r="N69" s="512">
        <f>SUMIFS(PURCHASE!$K$6:$K$10008,PURCHASE!$A$6:$A$10008,$M$2,PURCHASE!$H$6:$H$10008,$A$4:$A$2700)</f>
        <v>0</v>
      </c>
      <c r="O69" s="512">
        <f>SUMIFS(PURCHASE!$L$6:$L$10008,PURCHASE!$A$6:$A$10008,$M$2,PURCHASE!$H$6:$H$10008,$A$4:$A$2700)</f>
        <v>0</v>
      </c>
      <c r="P69" s="512">
        <f>SUMIFS(PURCHASE!$M$6:$M$10008,PURCHASE!$A$6:$A$10008,$M$2,PURCHASE!$H$6:$H$10008,$A$4:$A$2700)</f>
        <v>0</v>
      </c>
      <c r="Q69" s="512">
        <f>SUMIFS(PURCHASE!$N$6:$N$10008,PURCHASE!$A$6:$A$10008,$M$2,PURCHASE!$H$6:$H$10008,$A$4:$A$2700)</f>
        <v>0</v>
      </c>
      <c r="R69" s="512">
        <f t="shared" ref="R69:R132" si="31">+S69+T69+U69+V69</f>
        <v>0</v>
      </c>
      <c r="S69" s="512">
        <f>SUMIFS(PURCHASE!$K$6:$K$10008,PURCHASE!$A$6:$A$10008,$R$2,PURCHASE!$H$6:$H$10008,$A$4:$A$2700)</f>
        <v>0</v>
      </c>
      <c r="T69" s="512">
        <f>SUMIFS(PURCHASE!$L$6:$L$10008,PURCHASE!$A$6:$A$10008,$R$2,PURCHASE!$H$6:$H$10008,$A$4:$A$2700)</f>
        <v>0</v>
      </c>
      <c r="U69" s="512">
        <f>SUMIFS(PURCHASE!$M$6:$M$10008,PURCHASE!$A$6:$A$10008,$R$2,PURCHASE!$H$6:$H$10008,$A$4:$A$2700)</f>
        <v>0</v>
      </c>
      <c r="V69" s="512">
        <f>SUMIFS(PURCHASE!$N$6:$N$10008,PURCHASE!$A$6:$A$10008,$R$2,PURCHASE!$H$6:$H$10008,$A$4:$A$2700)</f>
        <v>0</v>
      </c>
      <c r="W69" s="512">
        <f t="shared" ref="W69:W132" si="32">+X69+Y69+Z69+AA69</f>
        <v>0</v>
      </c>
      <c r="X69" s="512">
        <f>SUMIFS(PURCHASE!$K$6:$K$10008,PURCHASE!$A$6:$A$10008,$W$2,PURCHASE!$H$6:$H$10008,$A$4:$A$2700)</f>
        <v>0</v>
      </c>
      <c r="Y69" s="512">
        <f>SUMIFS(PURCHASE!$L$6:$L$10008,PURCHASE!$A$6:$A$10008,$W$2,PURCHASE!$H$6:$H$10008,$A$4:$A$2700)</f>
        <v>0</v>
      </c>
      <c r="Z69" s="512">
        <f>SUMIFS(PURCHASE!$M$6:$M$10008,PURCHASE!$A$6:$A$10008,$W$2,PURCHASE!$H$6:$H$10008,$A$4:$A$2700)</f>
        <v>0</v>
      </c>
      <c r="AA69" s="512">
        <f>SUMIFS(PURCHASE!$N$6:$N$10008,PURCHASE!$A$6:$A$10008,$W$2,PURCHASE!$H$6:$H$10008,$A$4:$A$2700)</f>
        <v>0</v>
      </c>
      <c r="AB69" s="512">
        <f t="shared" ref="AB69:AB132" si="33">+AC69+AD69+AE69+AF69</f>
        <v>230.39999999999998</v>
      </c>
      <c r="AC69" s="512">
        <f>SUMIFS(PURCHASE!$K$6:$K$10008,PURCHASE!$A$6:$A$10008,$AB$2,PURCHASE!$H$6:$H$10008,$A$4:$A$2700)</f>
        <v>180</v>
      </c>
      <c r="AD69" s="512">
        <f>SUMIFS(PURCHASE!$L$6:$L$10008,PURCHASE!$A$6:$A$10008,$AB$2,PURCHASE!$H$6:$H$10008,$A$4:$A$2700)</f>
        <v>0</v>
      </c>
      <c r="AE69" s="512">
        <f>SUMIFS(PURCHASE!$M$6:$M$10008,PURCHASE!$A$6:$A$10008,$AB$2,PURCHASE!$H$6:$H$10008,$A$4:$A$2700)</f>
        <v>25.2</v>
      </c>
      <c r="AF69" s="512">
        <f>SUMIFS(PURCHASE!$N$6:$N$10008,PURCHASE!$A$6:$A$10008,$AB$2,PURCHASE!$H$6:$H$10008,$A$4:$A$2700)</f>
        <v>25.2</v>
      </c>
      <c r="AG69" s="512">
        <f t="shared" ref="AG69:AG132" si="34">+AH69+AI69+AJ69+AK69</f>
        <v>0</v>
      </c>
      <c r="AH69" s="512">
        <f>SUMIFS(PURCHASE!$K$6:$K$10008,PURCHASE!$A$6:$A$10008,$AG$2,PURCHASE!$H$6:$H$10008,$A$4:$A$2700)</f>
        <v>0</v>
      </c>
      <c r="AI69" s="512">
        <f>SUMIFS(PURCHASE!$L$6:$L$10008,PURCHASE!$A$6:$A$10008,$AG$2,PURCHASE!$H$6:$H$10008,$A$4:$A$2700)</f>
        <v>0</v>
      </c>
      <c r="AJ69" s="512">
        <f>SUMIFS(PURCHASE!$M$6:$M$10008,PURCHASE!$A$6:$A$10008,$AG$2,PURCHASE!$H$6:$H$10008,$A$4:$A$2700)</f>
        <v>0</v>
      </c>
      <c r="AK69" s="512">
        <f>SUMIFS(PURCHASE!$N$6:$N$10008,PURCHASE!$A$6:$A$10008,$AG$2,PURCHASE!$H$6:$H$10008,$A$4:$A$2700)</f>
        <v>0</v>
      </c>
      <c r="AL69" s="512">
        <f t="shared" ref="AL69:AL132" si="35">+AM69+AN69+AO69+AP69</f>
        <v>236</v>
      </c>
      <c r="AM69" s="512">
        <f>SUMIFS(PURCHASE!$K$6:$K$10008,PURCHASE!$A$6:$A$10008,$AL$2,PURCHASE!$H$6:$H$10008,$A$4:$A$2700)</f>
        <v>200</v>
      </c>
      <c r="AN69" s="512">
        <f>SUMIFS(PURCHASE!$L$6:$L$10008,PURCHASE!$A$6:$A$10008,$AL$2,PURCHASE!$H$6:$H$10008,$A$4:$A$2700)</f>
        <v>0</v>
      </c>
      <c r="AO69" s="512">
        <f>SUMIFS(PURCHASE!$M$6:$M$10008,PURCHASE!$A$6:$A$10008,$AL$2,PURCHASE!$H$6:$H$10008,$A$4:$A$2700)</f>
        <v>18</v>
      </c>
      <c r="AP69" s="512">
        <f>SUMIFS(PURCHASE!$N$6:$N$10008,PURCHASE!$A$6:$A$10008,$AL$2,PURCHASE!$H$6:$H$10008,$A$4:$A$2700)</f>
        <v>18</v>
      </c>
      <c r="AQ69" s="512">
        <f t="shared" ref="AQ69:AQ132" si="36">+AR69+AS69+AT69+AU69</f>
        <v>1097.4000000000001</v>
      </c>
      <c r="AR69" s="512">
        <f>SUMIFS(PURCHASE!$K$6:$K$10008,PURCHASE!$A$6:$A$10008,$AQ$2,PURCHASE!$H$6:$H$10008,$A$4:$A$2700)</f>
        <v>930</v>
      </c>
      <c r="AS69" s="512">
        <f>SUMIFS(PURCHASE!$L$6:$L$10008,PURCHASE!$A$6:$A$10008,$AQ$2,PURCHASE!$H$6:$H$10008,$A$4:$A$2700)</f>
        <v>0</v>
      </c>
      <c r="AT69" s="512">
        <f>SUMIFS(PURCHASE!$M$6:$M$10008,PURCHASE!$A$6:$A$10008,$AQ$2,PURCHASE!$H$6:$H$10008,$A$4:$A$2700)</f>
        <v>83.7</v>
      </c>
      <c r="AU69" s="512">
        <f>SUMIFS(PURCHASE!$N$6:$N$10008,PURCHASE!$A$6:$A$10008,$AQ$2,PURCHASE!$H$6:$H$10008,$A$4:$A$2700)</f>
        <v>83.7</v>
      </c>
      <c r="AV69" s="512">
        <f t="shared" ref="AV69:AV132" si="37">+AW69+AX69+AY69+AZ69</f>
        <v>495.6</v>
      </c>
      <c r="AW69" s="512">
        <f>SUMIFS(PURCHASE!$K$6:$K$10008,PURCHASE!$A$6:$A$10008,$AV$2,PURCHASE!$H$6:$H$10008,$A$4:$A$2700)</f>
        <v>420</v>
      </c>
      <c r="AX69" s="512">
        <f>SUMIFS(PURCHASE!$L$6:$L$10008,PURCHASE!$A$6:$A$10008,$AV$2,PURCHASE!$H$6:$H$10008,$A$4:$A$2700)</f>
        <v>0</v>
      </c>
      <c r="AY69" s="512">
        <f>SUMIFS(PURCHASE!$M$6:$M$10008,PURCHASE!$A$6:$A$10008,$AV$2,PURCHASE!$H$6:$H$10008,$A$4:$A$2700)</f>
        <v>37.800000000000004</v>
      </c>
      <c r="AZ69" s="512">
        <f>SUMIFS(PURCHASE!$N$6:$N$10008,PURCHASE!$A$6:$A$10008,$AV$2,PURCHASE!$H$6:$H$10008,$A$4:$A$2700)</f>
        <v>37.800000000000004</v>
      </c>
      <c r="BA69" s="512">
        <f t="shared" ref="BA69:BA132" si="38">+BB69+BC69+BD69+BE69</f>
        <v>0</v>
      </c>
      <c r="BB69" s="512">
        <f>SUMIFS(PURCHASE!$K$6:$K$10008,PURCHASE!$A$6:$A$10008,$BA$2,PURCHASE!$H$6:$H$10008,$A$4:$A$2700)</f>
        <v>0</v>
      </c>
      <c r="BC69" s="512">
        <f>SUMIFS(PURCHASE!$L$6:$L$10008,PURCHASE!$A$6:$A$10008,$BA$2,PURCHASE!$H$6:$H$10008,$A$4:$A$2700)</f>
        <v>0</v>
      </c>
      <c r="BD69" s="512">
        <f>SUMIFS(PURCHASE!$M$6:$M$10008,PURCHASE!$A$6:$A$10008,$BA$2,PURCHASE!$H$6:$H$10008,$A$4:$A$2700)</f>
        <v>0</v>
      </c>
      <c r="BE69" s="512">
        <f>SUMIFS(PURCHASE!$N$6:$N$10008,PURCHASE!$A$6:$A$10008,$BA$2,PURCHASE!$H$6:$H$10008,$A$4:$A$2700)</f>
        <v>0</v>
      </c>
      <c r="BF69" s="512">
        <f t="shared" ref="BF69:BF132" si="39">+BG69+BH69+BI69+BJ69</f>
        <v>0</v>
      </c>
      <c r="BG69" s="512">
        <f>SUMIFS(PURCHASE!$K$6:$K$10008,PURCHASE!$A$6:$A$10008,$BF$2,PURCHASE!$H$6:$H$10008,$A$4:$A$2700)</f>
        <v>0</v>
      </c>
      <c r="BH69" s="512">
        <f>SUMIFS(PURCHASE!$L$6:$L$10008,PURCHASE!$A$6:$A$10008,$BF$2,PURCHASE!$H$6:$H$10008,$A$4:$A$2700)</f>
        <v>0</v>
      </c>
      <c r="BI69" s="512">
        <f>SUMIFS(PURCHASE!$M$6:$M$10008,PURCHASE!$A$6:$A$10008,$BF$2,PURCHASE!$H$6:$H$10008,$A$4:$A$2700)</f>
        <v>0</v>
      </c>
      <c r="BJ69" s="512">
        <f>SUMIFS(PURCHASE!$N$6:$N$10008,PURCHASE!$A$6:$A$10008,$BF$2,PURCHASE!$H$6:$H$10008,$A$4:$A$2700)</f>
        <v>0</v>
      </c>
      <c r="BK69" s="72">
        <f t="shared" si="23"/>
        <v>2059.4</v>
      </c>
      <c r="BL69" s="72">
        <f t="shared" si="24"/>
        <v>1730</v>
      </c>
      <c r="BM69" s="72">
        <f t="shared" si="25"/>
        <v>0</v>
      </c>
      <c r="BN69" s="72">
        <f t="shared" si="26"/>
        <v>164.70000000000002</v>
      </c>
      <c r="BO69" s="72">
        <f t="shared" si="27"/>
        <v>164.70000000000002</v>
      </c>
    </row>
    <row r="70" spans="1:67" x14ac:dyDescent="0.2">
      <c r="A70" s="511">
        <v>9608</v>
      </c>
      <c r="B70" s="467" t="s">
        <v>1238</v>
      </c>
      <c r="C70" s="512">
        <f t="shared" si="28"/>
        <v>0</v>
      </c>
      <c r="D70" s="512">
        <f>SUMIFS(PURCHASE!$K$6:$K$10008,PURCHASE!$A$6:$A$10008,$M$2,PURCHASE!$H$6:$H$10008,$A$4:$A$2700)</f>
        <v>0</v>
      </c>
      <c r="E70" s="512">
        <f>SUMIFS(PURCHASE!$L$6:$L$10008,PURCHASE!$A$6:$A$10008,$M$2,PURCHASE!$H$6:$H$10008,$A$4:$A$2700)</f>
        <v>0</v>
      </c>
      <c r="F70" s="512">
        <f>SUMIFS(PURCHASE!$M$6:$M$10008,PURCHASE!$A$6:$A$10008,$M$2,PURCHASE!$H$6:$H$10008,$A$4:$A$2700)</f>
        <v>0</v>
      </c>
      <c r="G70" s="512">
        <f>SUMIFS(PURCHASE!$N$6:$N$10008,PURCHASE!$A$6:$A$10008,$M$2,PURCHASE!$H$6:$H$10008,$A$4:$A$2700)</f>
        <v>0</v>
      </c>
      <c r="H70" s="512">
        <f t="shared" si="29"/>
        <v>0</v>
      </c>
      <c r="I70" s="512">
        <f>SUMIFS(PURCHASE!$K$6:$K$10008,PURCHASE!$A$6:$A$10008,$H$2,PURCHASE!$H$6:$H$10008,$A$4:$A$2700)</f>
        <v>0</v>
      </c>
      <c r="J70" s="512">
        <f>SUMIFS(PURCHASE!$L$6:$L$10008,PURCHASE!$A$6:$A$10008,$H$2,PURCHASE!$H$6:$H$10008,$A$4:$A$2700)</f>
        <v>0</v>
      </c>
      <c r="K70" s="512">
        <f>SUMIFS(PURCHASE!$M$6:$M$10008,PURCHASE!$A$6:$A$10008,$H$2,PURCHASE!$H$6:$H$10008,$A$4:$A$2700)</f>
        <v>0</v>
      </c>
      <c r="L70" s="512">
        <f>SUMIFS(PURCHASE!$N$6:$N$10008,PURCHASE!$A$6:$A$10008,$H$2,PURCHASE!$H$6:$H$10008,$A$4:$A$2700)</f>
        <v>0</v>
      </c>
      <c r="M70" s="512">
        <f t="shared" si="30"/>
        <v>0</v>
      </c>
      <c r="N70" s="512">
        <f>SUMIFS(PURCHASE!$K$6:$K$10008,PURCHASE!$A$6:$A$10008,$M$2,PURCHASE!$H$6:$H$10008,$A$4:$A$2700)</f>
        <v>0</v>
      </c>
      <c r="O70" s="512">
        <f>SUMIFS(PURCHASE!$L$6:$L$10008,PURCHASE!$A$6:$A$10008,$M$2,PURCHASE!$H$6:$H$10008,$A$4:$A$2700)</f>
        <v>0</v>
      </c>
      <c r="P70" s="512">
        <f>SUMIFS(PURCHASE!$M$6:$M$10008,PURCHASE!$A$6:$A$10008,$M$2,PURCHASE!$H$6:$H$10008,$A$4:$A$2700)</f>
        <v>0</v>
      </c>
      <c r="Q70" s="512">
        <f>SUMIFS(PURCHASE!$N$6:$N$10008,PURCHASE!$A$6:$A$10008,$M$2,PURCHASE!$H$6:$H$10008,$A$4:$A$2700)</f>
        <v>0</v>
      </c>
      <c r="R70" s="512">
        <f t="shared" si="31"/>
        <v>0</v>
      </c>
      <c r="S70" s="512">
        <f>SUMIFS(PURCHASE!$K$6:$K$10008,PURCHASE!$A$6:$A$10008,$R$2,PURCHASE!$H$6:$H$10008,$A$4:$A$2700)</f>
        <v>0</v>
      </c>
      <c r="T70" s="512">
        <f>SUMIFS(PURCHASE!$L$6:$L$10008,PURCHASE!$A$6:$A$10008,$R$2,PURCHASE!$H$6:$H$10008,$A$4:$A$2700)</f>
        <v>0</v>
      </c>
      <c r="U70" s="512">
        <f>SUMIFS(PURCHASE!$M$6:$M$10008,PURCHASE!$A$6:$A$10008,$R$2,PURCHASE!$H$6:$H$10008,$A$4:$A$2700)</f>
        <v>0</v>
      </c>
      <c r="V70" s="512">
        <f>SUMIFS(PURCHASE!$N$6:$N$10008,PURCHASE!$A$6:$A$10008,$R$2,PURCHASE!$H$6:$H$10008,$A$4:$A$2700)</f>
        <v>0</v>
      </c>
      <c r="W70" s="512">
        <f t="shared" si="32"/>
        <v>0</v>
      </c>
      <c r="X70" s="512">
        <f>SUMIFS(PURCHASE!$K$6:$K$10008,PURCHASE!$A$6:$A$10008,$W$2,PURCHASE!$H$6:$H$10008,$A$4:$A$2700)</f>
        <v>0</v>
      </c>
      <c r="Y70" s="512">
        <f>SUMIFS(PURCHASE!$L$6:$L$10008,PURCHASE!$A$6:$A$10008,$W$2,PURCHASE!$H$6:$H$10008,$A$4:$A$2700)</f>
        <v>0</v>
      </c>
      <c r="Z70" s="512">
        <f>SUMIFS(PURCHASE!$M$6:$M$10008,PURCHASE!$A$6:$A$10008,$W$2,PURCHASE!$H$6:$H$10008,$A$4:$A$2700)</f>
        <v>0</v>
      </c>
      <c r="AA70" s="512">
        <f>SUMIFS(PURCHASE!$N$6:$N$10008,PURCHASE!$A$6:$A$10008,$W$2,PURCHASE!$H$6:$H$10008,$A$4:$A$2700)</f>
        <v>0</v>
      </c>
      <c r="AB70" s="512">
        <f t="shared" si="33"/>
        <v>0</v>
      </c>
      <c r="AC70" s="512">
        <f>SUMIFS(PURCHASE!$K$6:$K$10008,PURCHASE!$A$6:$A$10008,$AB$2,PURCHASE!$H$6:$H$10008,$A$4:$A$2700)</f>
        <v>0</v>
      </c>
      <c r="AD70" s="512">
        <f>SUMIFS(PURCHASE!$L$6:$L$10008,PURCHASE!$A$6:$A$10008,$AB$2,PURCHASE!$H$6:$H$10008,$A$4:$A$2700)</f>
        <v>0</v>
      </c>
      <c r="AE70" s="512">
        <f>SUMIFS(PURCHASE!$M$6:$M$10008,PURCHASE!$A$6:$A$10008,$AB$2,PURCHASE!$H$6:$H$10008,$A$4:$A$2700)</f>
        <v>0</v>
      </c>
      <c r="AF70" s="512">
        <f>SUMIFS(PURCHASE!$N$6:$N$10008,PURCHASE!$A$6:$A$10008,$AB$2,PURCHASE!$H$6:$H$10008,$A$4:$A$2700)</f>
        <v>0</v>
      </c>
      <c r="AG70" s="512">
        <f t="shared" si="34"/>
        <v>0</v>
      </c>
      <c r="AH70" s="512">
        <f>SUMIFS(PURCHASE!$K$6:$K$10008,PURCHASE!$A$6:$A$10008,$AG$2,PURCHASE!$H$6:$H$10008,$A$4:$A$2700)</f>
        <v>0</v>
      </c>
      <c r="AI70" s="512">
        <f>SUMIFS(PURCHASE!$L$6:$L$10008,PURCHASE!$A$6:$A$10008,$AG$2,PURCHASE!$H$6:$H$10008,$A$4:$A$2700)</f>
        <v>0</v>
      </c>
      <c r="AJ70" s="512">
        <f>SUMIFS(PURCHASE!$M$6:$M$10008,PURCHASE!$A$6:$A$10008,$AG$2,PURCHASE!$H$6:$H$10008,$A$4:$A$2700)</f>
        <v>0</v>
      </c>
      <c r="AK70" s="512">
        <f>SUMIFS(PURCHASE!$N$6:$N$10008,PURCHASE!$A$6:$A$10008,$AG$2,PURCHASE!$H$6:$H$10008,$A$4:$A$2700)</f>
        <v>0</v>
      </c>
      <c r="AL70" s="512">
        <f t="shared" si="35"/>
        <v>0</v>
      </c>
      <c r="AM70" s="512">
        <f>SUMIFS(PURCHASE!$K$6:$K$10008,PURCHASE!$A$6:$A$10008,$AL$2,PURCHASE!$H$6:$H$10008,$A$4:$A$2700)</f>
        <v>0</v>
      </c>
      <c r="AN70" s="512">
        <f>SUMIFS(PURCHASE!$L$6:$L$10008,PURCHASE!$A$6:$A$10008,$AL$2,PURCHASE!$H$6:$H$10008,$A$4:$A$2700)</f>
        <v>0</v>
      </c>
      <c r="AO70" s="512">
        <f>SUMIFS(PURCHASE!$M$6:$M$10008,PURCHASE!$A$6:$A$10008,$AL$2,PURCHASE!$H$6:$H$10008,$A$4:$A$2700)</f>
        <v>0</v>
      </c>
      <c r="AP70" s="512">
        <f>SUMIFS(PURCHASE!$N$6:$N$10008,PURCHASE!$A$6:$A$10008,$AL$2,PURCHASE!$H$6:$H$10008,$A$4:$A$2700)</f>
        <v>0</v>
      </c>
      <c r="AQ70" s="512">
        <f t="shared" si="36"/>
        <v>0</v>
      </c>
      <c r="AR70" s="512">
        <f>SUMIFS(PURCHASE!$K$6:$K$10008,PURCHASE!$A$6:$A$10008,$AQ$2,PURCHASE!$H$6:$H$10008,$A$4:$A$2700)</f>
        <v>0</v>
      </c>
      <c r="AS70" s="512">
        <f>SUMIFS(PURCHASE!$L$6:$L$10008,PURCHASE!$A$6:$A$10008,$AQ$2,PURCHASE!$H$6:$H$10008,$A$4:$A$2700)</f>
        <v>0</v>
      </c>
      <c r="AT70" s="512">
        <f>SUMIFS(PURCHASE!$M$6:$M$10008,PURCHASE!$A$6:$A$10008,$AQ$2,PURCHASE!$H$6:$H$10008,$A$4:$A$2700)</f>
        <v>0</v>
      </c>
      <c r="AU70" s="512">
        <f>SUMIFS(PURCHASE!$N$6:$N$10008,PURCHASE!$A$6:$A$10008,$AQ$2,PURCHASE!$H$6:$H$10008,$A$4:$A$2700)</f>
        <v>0</v>
      </c>
      <c r="AV70" s="512">
        <f t="shared" si="37"/>
        <v>0</v>
      </c>
      <c r="AW70" s="512">
        <f>SUMIFS(PURCHASE!$K$6:$K$10008,PURCHASE!$A$6:$A$10008,$AV$2,PURCHASE!$H$6:$H$10008,$A$4:$A$2700)</f>
        <v>0</v>
      </c>
      <c r="AX70" s="512">
        <f>SUMIFS(PURCHASE!$L$6:$L$10008,PURCHASE!$A$6:$A$10008,$AV$2,PURCHASE!$H$6:$H$10008,$A$4:$A$2700)</f>
        <v>0</v>
      </c>
      <c r="AY70" s="512">
        <f>SUMIFS(PURCHASE!$M$6:$M$10008,PURCHASE!$A$6:$A$10008,$AV$2,PURCHASE!$H$6:$H$10008,$A$4:$A$2700)</f>
        <v>0</v>
      </c>
      <c r="AZ70" s="512">
        <f>SUMIFS(PURCHASE!$N$6:$N$10008,PURCHASE!$A$6:$A$10008,$AV$2,PURCHASE!$H$6:$H$10008,$A$4:$A$2700)</f>
        <v>0</v>
      </c>
      <c r="BA70" s="512">
        <f t="shared" si="38"/>
        <v>0</v>
      </c>
      <c r="BB70" s="512">
        <f>SUMIFS(PURCHASE!$K$6:$K$10008,PURCHASE!$A$6:$A$10008,$BA$2,PURCHASE!$H$6:$H$10008,$A$4:$A$2700)</f>
        <v>0</v>
      </c>
      <c r="BC70" s="512">
        <f>SUMIFS(PURCHASE!$L$6:$L$10008,PURCHASE!$A$6:$A$10008,$BA$2,PURCHASE!$H$6:$H$10008,$A$4:$A$2700)</f>
        <v>0</v>
      </c>
      <c r="BD70" s="512">
        <f>SUMIFS(PURCHASE!$M$6:$M$10008,PURCHASE!$A$6:$A$10008,$BA$2,PURCHASE!$H$6:$H$10008,$A$4:$A$2700)</f>
        <v>0</v>
      </c>
      <c r="BE70" s="512">
        <f>SUMIFS(PURCHASE!$N$6:$N$10008,PURCHASE!$A$6:$A$10008,$BA$2,PURCHASE!$H$6:$H$10008,$A$4:$A$2700)</f>
        <v>0</v>
      </c>
      <c r="BF70" s="512">
        <f t="shared" si="39"/>
        <v>0</v>
      </c>
      <c r="BG70" s="512">
        <f>SUMIFS(PURCHASE!$K$6:$K$10008,PURCHASE!$A$6:$A$10008,$BF$2,PURCHASE!$H$6:$H$10008,$A$4:$A$2700)</f>
        <v>0</v>
      </c>
      <c r="BH70" s="512">
        <f>SUMIFS(PURCHASE!$L$6:$L$10008,PURCHASE!$A$6:$A$10008,$BF$2,PURCHASE!$H$6:$H$10008,$A$4:$A$2700)</f>
        <v>0</v>
      </c>
      <c r="BI70" s="512">
        <f>SUMIFS(PURCHASE!$M$6:$M$10008,PURCHASE!$A$6:$A$10008,$BF$2,PURCHASE!$H$6:$H$10008,$A$4:$A$2700)</f>
        <v>0</v>
      </c>
      <c r="BJ70" s="512">
        <f>SUMIFS(PURCHASE!$N$6:$N$10008,PURCHASE!$A$6:$A$10008,$BF$2,PURCHASE!$H$6:$H$10008,$A$4:$A$2700)</f>
        <v>0</v>
      </c>
      <c r="BK70" s="72">
        <f t="shared" si="23"/>
        <v>0</v>
      </c>
      <c r="BL70" s="72">
        <f t="shared" si="24"/>
        <v>0</v>
      </c>
      <c r="BM70" s="72">
        <f t="shared" si="25"/>
        <v>0</v>
      </c>
      <c r="BN70" s="72">
        <f t="shared" si="26"/>
        <v>0</v>
      </c>
      <c r="BO70" s="72">
        <f t="shared" si="27"/>
        <v>0</v>
      </c>
    </row>
    <row r="71" spans="1:67" x14ac:dyDescent="0.2">
      <c r="A71" s="511">
        <v>9968</v>
      </c>
      <c r="B71" s="467" t="s">
        <v>1239</v>
      </c>
      <c r="C71" s="512">
        <f t="shared" si="28"/>
        <v>0</v>
      </c>
      <c r="D71" s="512">
        <f>SUMIFS(PURCHASE!$K$6:$K$10008,PURCHASE!$A$6:$A$10008,$M$2,PURCHASE!$H$6:$H$10008,$A$4:$A$2700)</f>
        <v>0</v>
      </c>
      <c r="E71" s="512">
        <f>SUMIFS(PURCHASE!$L$6:$L$10008,PURCHASE!$A$6:$A$10008,$M$2,PURCHASE!$H$6:$H$10008,$A$4:$A$2700)</f>
        <v>0</v>
      </c>
      <c r="F71" s="512">
        <f>SUMIFS(PURCHASE!$M$6:$M$10008,PURCHASE!$A$6:$A$10008,$M$2,PURCHASE!$H$6:$H$10008,$A$4:$A$2700)</f>
        <v>0</v>
      </c>
      <c r="G71" s="512">
        <f>SUMIFS(PURCHASE!$N$6:$N$10008,PURCHASE!$A$6:$A$10008,$M$2,PURCHASE!$H$6:$H$10008,$A$4:$A$2700)</f>
        <v>0</v>
      </c>
      <c r="H71" s="512">
        <f t="shared" si="29"/>
        <v>0</v>
      </c>
      <c r="I71" s="512">
        <f>SUMIFS(PURCHASE!$K$6:$K$10008,PURCHASE!$A$6:$A$10008,$H$2,PURCHASE!$H$6:$H$10008,$A$4:$A$2700)</f>
        <v>0</v>
      </c>
      <c r="J71" s="512">
        <f>SUMIFS(PURCHASE!$L$6:$L$10008,PURCHASE!$A$6:$A$10008,$H$2,PURCHASE!$H$6:$H$10008,$A$4:$A$2700)</f>
        <v>0</v>
      </c>
      <c r="K71" s="512">
        <f>SUMIFS(PURCHASE!$M$6:$M$10008,PURCHASE!$A$6:$A$10008,$H$2,PURCHASE!$H$6:$H$10008,$A$4:$A$2700)</f>
        <v>0</v>
      </c>
      <c r="L71" s="512">
        <f>SUMIFS(PURCHASE!$N$6:$N$10008,PURCHASE!$A$6:$A$10008,$H$2,PURCHASE!$H$6:$H$10008,$A$4:$A$2700)</f>
        <v>0</v>
      </c>
      <c r="M71" s="512">
        <f t="shared" si="30"/>
        <v>0</v>
      </c>
      <c r="N71" s="512">
        <f>SUMIFS(PURCHASE!$K$6:$K$10008,PURCHASE!$A$6:$A$10008,$M$2,PURCHASE!$H$6:$H$10008,$A$4:$A$2700)</f>
        <v>0</v>
      </c>
      <c r="O71" s="512">
        <f>SUMIFS(PURCHASE!$L$6:$L$10008,PURCHASE!$A$6:$A$10008,$M$2,PURCHASE!$H$6:$H$10008,$A$4:$A$2700)</f>
        <v>0</v>
      </c>
      <c r="P71" s="512">
        <f>SUMIFS(PURCHASE!$M$6:$M$10008,PURCHASE!$A$6:$A$10008,$M$2,PURCHASE!$H$6:$H$10008,$A$4:$A$2700)</f>
        <v>0</v>
      </c>
      <c r="Q71" s="512">
        <f>SUMIFS(PURCHASE!$N$6:$N$10008,PURCHASE!$A$6:$A$10008,$M$2,PURCHASE!$H$6:$H$10008,$A$4:$A$2700)</f>
        <v>0</v>
      </c>
      <c r="R71" s="512">
        <f t="shared" si="31"/>
        <v>0</v>
      </c>
      <c r="S71" s="512">
        <f>SUMIFS(PURCHASE!$K$6:$K$10008,PURCHASE!$A$6:$A$10008,$R$2,PURCHASE!$H$6:$H$10008,$A$4:$A$2700)</f>
        <v>0</v>
      </c>
      <c r="T71" s="512">
        <f>SUMIFS(PURCHASE!$L$6:$L$10008,PURCHASE!$A$6:$A$10008,$R$2,PURCHASE!$H$6:$H$10008,$A$4:$A$2700)</f>
        <v>0</v>
      </c>
      <c r="U71" s="512">
        <f>SUMIFS(PURCHASE!$M$6:$M$10008,PURCHASE!$A$6:$A$10008,$R$2,PURCHASE!$H$6:$H$10008,$A$4:$A$2700)</f>
        <v>0</v>
      </c>
      <c r="V71" s="512">
        <f>SUMIFS(PURCHASE!$N$6:$N$10008,PURCHASE!$A$6:$A$10008,$R$2,PURCHASE!$H$6:$H$10008,$A$4:$A$2700)</f>
        <v>0</v>
      </c>
      <c r="W71" s="512">
        <f t="shared" si="32"/>
        <v>0</v>
      </c>
      <c r="X71" s="512">
        <f>SUMIFS(PURCHASE!$K$6:$K$10008,PURCHASE!$A$6:$A$10008,$W$2,PURCHASE!$H$6:$H$10008,$A$4:$A$2700)</f>
        <v>0</v>
      </c>
      <c r="Y71" s="512">
        <f>SUMIFS(PURCHASE!$L$6:$L$10008,PURCHASE!$A$6:$A$10008,$W$2,PURCHASE!$H$6:$H$10008,$A$4:$A$2700)</f>
        <v>0</v>
      </c>
      <c r="Z71" s="512">
        <f>SUMIFS(PURCHASE!$M$6:$M$10008,PURCHASE!$A$6:$A$10008,$W$2,PURCHASE!$H$6:$H$10008,$A$4:$A$2700)</f>
        <v>0</v>
      </c>
      <c r="AA71" s="512">
        <f>SUMIFS(PURCHASE!$N$6:$N$10008,PURCHASE!$A$6:$A$10008,$W$2,PURCHASE!$H$6:$H$10008,$A$4:$A$2700)</f>
        <v>0</v>
      </c>
      <c r="AB71" s="512">
        <f t="shared" si="33"/>
        <v>0</v>
      </c>
      <c r="AC71" s="512">
        <f>SUMIFS(PURCHASE!$K$6:$K$10008,PURCHASE!$A$6:$A$10008,$AB$2,PURCHASE!$H$6:$H$10008,$A$4:$A$2700)</f>
        <v>0</v>
      </c>
      <c r="AD71" s="512">
        <f>SUMIFS(PURCHASE!$L$6:$L$10008,PURCHASE!$A$6:$A$10008,$AB$2,PURCHASE!$H$6:$H$10008,$A$4:$A$2700)</f>
        <v>0</v>
      </c>
      <c r="AE71" s="512">
        <f>SUMIFS(PURCHASE!$M$6:$M$10008,PURCHASE!$A$6:$A$10008,$AB$2,PURCHASE!$H$6:$H$10008,$A$4:$A$2700)</f>
        <v>0</v>
      </c>
      <c r="AF71" s="512">
        <f>SUMIFS(PURCHASE!$N$6:$N$10008,PURCHASE!$A$6:$A$10008,$AB$2,PURCHASE!$H$6:$H$10008,$A$4:$A$2700)</f>
        <v>0</v>
      </c>
      <c r="AG71" s="512">
        <f t="shared" si="34"/>
        <v>0</v>
      </c>
      <c r="AH71" s="512">
        <f>SUMIFS(PURCHASE!$K$6:$K$10008,PURCHASE!$A$6:$A$10008,$AG$2,PURCHASE!$H$6:$H$10008,$A$4:$A$2700)</f>
        <v>0</v>
      </c>
      <c r="AI71" s="512">
        <f>SUMIFS(PURCHASE!$L$6:$L$10008,PURCHASE!$A$6:$A$10008,$AG$2,PURCHASE!$H$6:$H$10008,$A$4:$A$2700)</f>
        <v>0</v>
      </c>
      <c r="AJ71" s="512">
        <f>SUMIFS(PURCHASE!$M$6:$M$10008,PURCHASE!$A$6:$A$10008,$AG$2,PURCHASE!$H$6:$H$10008,$A$4:$A$2700)</f>
        <v>0</v>
      </c>
      <c r="AK71" s="512">
        <f>SUMIFS(PURCHASE!$N$6:$N$10008,PURCHASE!$A$6:$A$10008,$AG$2,PURCHASE!$H$6:$H$10008,$A$4:$A$2700)</f>
        <v>0</v>
      </c>
      <c r="AL71" s="512">
        <f t="shared" si="35"/>
        <v>0</v>
      </c>
      <c r="AM71" s="512">
        <f>SUMIFS(PURCHASE!$K$6:$K$10008,PURCHASE!$A$6:$A$10008,$AL$2,PURCHASE!$H$6:$H$10008,$A$4:$A$2700)</f>
        <v>0</v>
      </c>
      <c r="AN71" s="512">
        <f>SUMIFS(PURCHASE!$L$6:$L$10008,PURCHASE!$A$6:$A$10008,$AL$2,PURCHASE!$H$6:$H$10008,$A$4:$A$2700)</f>
        <v>0</v>
      </c>
      <c r="AO71" s="512">
        <f>SUMIFS(PURCHASE!$M$6:$M$10008,PURCHASE!$A$6:$A$10008,$AL$2,PURCHASE!$H$6:$H$10008,$A$4:$A$2700)</f>
        <v>0</v>
      </c>
      <c r="AP71" s="512">
        <f>SUMIFS(PURCHASE!$N$6:$N$10008,PURCHASE!$A$6:$A$10008,$AL$2,PURCHASE!$H$6:$H$10008,$A$4:$A$2700)</f>
        <v>0</v>
      </c>
      <c r="AQ71" s="512">
        <f t="shared" si="36"/>
        <v>0</v>
      </c>
      <c r="AR71" s="512">
        <f>SUMIFS(PURCHASE!$K$6:$K$10008,PURCHASE!$A$6:$A$10008,$AQ$2,PURCHASE!$H$6:$H$10008,$A$4:$A$2700)</f>
        <v>0</v>
      </c>
      <c r="AS71" s="512">
        <f>SUMIFS(PURCHASE!$L$6:$L$10008,PURCHASE!$A$6:$A$10008,$AQ$2,PURCHASE!$H$6:$H$10008,$A$4:$A$2700)</f>
        <v>0</v>
      </c>
      <c r="AT71" s="512">
        <f>SUMIFS(PURCHASE!$M$6:$M$10008,PURCHASE!$A$6:$A$10008,$AQ$2,PURCHASE!$H$6:$H$10008,$A$4:$A$2700)</f>
        <v>0</v>
      </c>
      <c r="AU71" s="512">
        <f>SUMIFS(PURCHASE!$N$6:$N$10008,PURCHASE!$A$6:$A$10008,$AQ$2,PURCHASE!$H$6:$H$10008,$A$4:$A$2700)</f>
        <v>0</v>
      </c>
      <c r="AV71" s="512">
        <f t="shared" si="37"/>
        <v>0</v>
      </c>
      <c r="AW71" s="512">
        <f>SUMIFS(PURCHASE!$K$6:$K$10008,PURCHASE!$A$6:$A$10008,$AV$2,PURCHASE!$H$6:$H$10008,$A$4:$A$2700)</f>
        <v>0</v>
      </c>
      <c r="AX71" s="512">
        <f>SUMIFS(PURCHASE!$L$6:$L$10008,PURCHASE!$A$6:$A$10008,$AV$2,PURCHASE!$H$6:$H$10008,$A$4:$A$2700)</f>
        <v>0</v>
      </c>
      <c r="AY71" s="512">
        <f>SUMIFS(PURCHASE!$M$6:$M$10008,PURCHASE!$A$6:$A$10008,$AV$2,PURCHASE!$H$6:$H$10008,$A$4:$A$2700)</f>
        <v>0</v>
      </c>
      <c r="AZ71" s="512">
        <f>SUMIFS(PURCHASE!$N$6:$N$10008,PURCHASE!$A$6:$A$10008,$AV$2,PURCHASE!$H$6:$H$10008,$A$4:$A$2700)</f>
        <v>0</v>
      </c>
      <c r="BA71" s="512">
        <f t="shared" si="38"/>
        <v>0</v>
      </c>
      <c r="BB71" s="512">
        <f>SUMIFS(PURCHASE!$K$6:$K$10008,PURCHASE!$A$6:$A$10008,$BA$2,PURCHASE!$H$6:$H$10008,$A$4:$A$2700)</f>
        <v>0</v>
      </c>
      <c r="BC71" s="512">
        <f>SUMIFS(PURCHASE!$L$6:$L$10008,PURCHASE!$A$6:$A$10008,$BA$2,PURCHASE!$H$6:$H$10008,$A$4:$A$2700)</f>
        <v>0</v>
      </c>
      <c r="BD71" s="512">
        <f>SUMIFS(PURCHASE!$M$6:$M$10008,PURCHASE!$A$6:$A$10008,$BA$2,PURCHASE!$H$6:$H$10008,$A$4:$A$2700)</f>
        <v>0</v>
      </c>
      <c r="BE71" s="512">
        <f>SUMIFS(PURCHASE!$N$6:$N$10008,PURCHASE!$A$6:$A$10008,$BA$2,PURCHASE!$H$6:$H$10008,$A$4:$A$2700)</f>
        <v>0</v>
      </c>
      <c r="BF71" s="512">
        <f t="shared" si="39"/>
        <v>0</v>
      </c>
      <c r="BG71" s="512">
        <f>SUMIFS(PURCHASE!$K$6:$K$10008,PURCHASE!$A$6:$A$10008,$BF$2,PURCHASE!$H$6:$H$10008,$A$4:$A$2700)</f>
        <v>0</v>
      </c>
      <c r="BH71" s="512">
        <f>SUMIFS(PURCHASE!$L$6:$L$10008,PURCHASE!$A$6:$A$10008,$BF$2,PURCHASE!$H$6:$H$10008,$A$4:$A$2700)</f>
        <v>0</v>
      </c>
      <c r="BI71" s="512">
        <f>SUMIFS(PURCHASE!$M$6:$M$10008,PURCHASE!$A$6:$A$10008,$BF$2,PURCHASE!$H$6:$H$10008,$A$4:$A$2700)</f>
        <v>0</v>
      </c>
      <c r="BJ71" s="512">
        <f>SUMIFS(PURCHASE!$N$6:$N$10008,PURCHASE!$A$6:$A$10008,$BF$2,PURCHASE!$H$6:$H$10008,$A$4:$A$2700)</f>
        <v>0</v>
      </c>
      <c r="BK71" s="72">
        <f t="shared" si="23"/>
        <v>0</v>
      </c>
      <c r="BL71" s="72">
        <f t="shared" si="24"/>
        <v>0</v>
      </c>
      <c r="BM71" s="72">
        <f t="shared" si="25"/>
        <v>0</v>
      </c>
      <c r="BN71" s="72">
        <f t="shared" si="26"/>
        <v>0</v>
      </c>
      <c r="BO71" s="72">
        <f t="shared" si="27"/>
        <v>0</v>
      </c>
    </row>
    <row r="72" spans="1:67" x14ac:dyDescent="0.2">
      <c r="A72" s="511">
        <v>9971</v>
      </c>
      <c r="B72" s="467" t="s">
        <v>1240</v>
      </c>
      <c r="C72" s="512">
        <f t="shared" si="28"/>
        <v>6026.0476000000008</v>
      </c>
      <c r="D72" s="512">
        <f>SUMIFS(PURCHASE!$K$6:$K$10008,PURCHASE!$A$6:$A$10008,$M$2,PURCHASE!$H$6:$H$10008,$A$4:$A$2700)</f>
        <v>5106.8200000000006</v>
      </c>
      <c r="E72" s="512">
        <f>SUMIFS(PURCHASE!$L$6:$L$10008,PURCHASE!$A$6:$A$10008,$M$2,PURCHASE!$H$6:$H$10008,$A$4:$A$2700)</f>
        <v>0</v>
      </c>
      <c r="F72" s="512">
        <f>SUMIFS(PURCHASE!$M$6:$M$10008,PURCHASE!$A$6:$A$10008,$M$2,PURCHASE!$H$6:$H$10008,$A$4:$A$2700)</f>
        <v>459.61380000000003</v>
      </c>
      <c r="G72" s="512">
        <f>SUMIFS(PURCHASE!$N$6:$N$10008,PURCHASE!$A$6:$A$10008,$M$2,PURCHASE!$H$6:$H$10008,$A$4:$A$2700)</f>
        <v>459.61380000000003</v>
      </c>
      <c r="H72" s="512">
        <f t="shared" si="29"/>
        <v>1195.3400000000001</v>
      </c>
      <c r="I72" s="512">
        <f>SUMIFS(PURCHASE!$K$6:$K$10008,PURCHASE!$A$6:$A$10008,$H$2,PURCHASE!$H$6:$H$10008,$A$4:$A$2700)</f>
        <v>1013</v>
      </c>
      <c r="J72" s="512">
        <f>SUMIFS(PURCHASE!$L$6:$L$10008,PURCHASE!$A$6:$A$10008,$H$2,PURCHASE!$H$6:$H$10008,$A$4:$A$2700)</f>
        <v>0</v>
      </c>
      <c r="K72" s="512">
        <f>SUMIFS(PURCHASE!$M$6:$M$10008,PURCHASE!$A$6:$A$10008,$H$2,PURCHASE!$H$6:$H$10008,$A$4:$A$2700)</f>
        <v>91.169999999999987</v>
      </c>
      <c r="L72" s="512">
        <f>SUMIFS(PURCHASE!$N$6:$N$10008,PURCHASE!$A$6:$A$10008,$H$2,PURCHASE!$H$6:$H$10008,$A$4:$A$2700)</f>
        <v>91.169999999999987</v>
      </c>
      <c r="M72" s="512">
        <f t="shared" si="30"/>
        <v>6026.0476000000008</v>
      </c>
      <c r="N72" s="512">
        <f>SUMIFS(PURCHASE!$K$6:$K$10008,PURCHASE!$A$6:$A$10008,$M$2,PURCHASE!$H$6:$H$10008,$A$4:$A$2700)</f>
        <v>5106.8200000000006</v>
      </c>
      <c r="O72" s="512">
        <f>SUMIFS(PURCHASE!$L$6:$L$10008,PURCHASE!$A$6:$A$10008,$M$2,PURCHASE!$H$6:$H$10008,$A$4:$A$2700)</f>
        <v>0</v>
      </c>
      <c r="P72" s="512">
        <f>SUMIFS(PURCHASE!$M$6:$M$10008,PURCHASE!$A$6:$A$10008,$M$2,PURCHASE!$H$6:$H$10008,$A$4:$A$2700)</f>
        <v>459.61380000000003</v>
      </c>
      <c r="Q72" s="512">
        <f>SUMIFS(PURCHASE!$N$6:$N$10008,PURCHASE!$A$6:$A$10008,$M$2,PURCHASE!$H$6:$H$10008,$A$4:$A$2700)</f>
        <v>459.61380000000003</v>
      </c>
      <c r="R72" s="512">
        <f t="shared" si="31"/>
        <v>50040.319000000003</v>
      </c>
      <c r="S72" s="512">
        <f>SUMIFS(PURCHASE!$K$6:$K$10008,PURCHASE!$A$6:$A$10008,$R$2,PURCHASE!$H$6:$H$10008,$A$4:$A$2700)</f>
        <v>42407.05</v>
      </c>
      <c r="T72" s="512">
        <f>SUMIFS(PURCHASE!$L$6:$L$10008,PURCHASE!$A$6:$A$10008,$R$2,PURCHASE!$H$6:$H$10008,$A$4:$A$2700)</f>
        <v>0</v>
      </c>
      <c r="U72" s="512">
        <f>SUMIFS(PURCHASE!$M$6:$M$10008,PURCHASE!$A$6:$A$10008,$R$2,PURCHASE!$H$6:$H$10008,$A$4:$A$2700)</f>
        <v>3816.6345000000001</v>
      </c>
      <c r="V72" s="512">
        <f>SUMIFS(PURCHASE!$N$6:$N$10008,PURCHASE!$A$6:$A$10008,$R$2,PURCHASE!$H$6:$H$10008,$A$4:$A$2700)</f>
        <v>3816.6345000000001</v>
      </c>
      <c r="W72" s="512">
        <f t="shared" si="32"/>
        <v>120.36000000000001</v>
      </c>
      <c r="X72" s="512">
        <f>SUMIFS(PURCHASE!$K$6:$K$10008,PURCHASE!$A$6:$A$10008,$W$2,PURCHASE!$H$6:$H$10008,$A$4:$A$2700)</f>
        <v>102</v>
      </c>
      <c r="Y72" s="512">
        <f>SUMIFS(PURCHASE!$L$6:$L$10008,PURCHASE!$A$6:$A$10008,$W$2,PURCHASE!$H$6:$H$10008,$A$4:$A$2700)</f>
        <v>0</v>
      </c>
      <c r="Z72" s="512">
        <f>SUMIFS(PURCHASE!$M$6:$M$10008,PURCHASE!$A$6:$A$10008,$W$2,PURCHASE!$H$6:$H$10008,$A$4:$A$2700)</f>
        <v>9.18</v>
      </c>
      <c r="AA72" s="512">
        <f>SUMIFS(PURCHASE!$N$6:$N$10008,PURCHASE!$A$6:$A$10008,$W$2,PURCHASE!$H$6:$H$10008,$A$4:$A$2700)</f>
        <v>9.18</v>
      </c>
      <c r="AB72" s="512">
        <f t="shared" si="33"/>
        <v>13734.669</v>
      </c>
      <c r="AC72" s="512">
        <f>SUMIFS(PURCHASE!$K$6:$K$10008,PURCHASE!$A$6:$A$10008,$AB$2,PURCHASE!$H$6:$H$10008,$A$4:$A$2700)</f>
        <v>11639.550000000001</v>
      </c>
      <c r="AD72" s="512">
        <f>SUMIFS(PURCHASE!$L$6:$L$10008,PURCHASE!$A$6:$A$10008,$AB$2,PURCHASE!$H$6:$H$10008,$A$4:$A$2700)</f>
        <v>0</v>
      </c>
      <c r="AE72" s="512">
        <f>SUMIFS(PURCHASE!$M$6:$M$10008,PURCHASE!$A$6:$A$10008,$AB$2,PURCHASE!$H$6:$H$10008,$A$4:$A$2700)</f>
        <v>1047.5595000000001</v>
      </c>
      <c r="AF72" s="512">
        <f>SUMIFS(PURCHASE!$N$6:$N$10008,PURCHASE!$A$6:$A$10008,$AB$2,PURCHASE!$H$6:$H$10008,$A$4:$A$2700)</f>
        <v>1047.5595000000001</v>
      </c>
      <c r="AG72" s="512">
        <f t="shared" si="34"/>
        <v>182.89999999999998</v>
      </c>
      <c r="AH72" s="512">
        <f>SUMIFS(PURCHASE!$K$6:$K$10008,PURCHASE!$A$6:$A$10008,$AG$2,PURCHASE!$H$6:$H$10008,$A$4:$A$2700)</f>
        <v>155</v>
      </c>
      <c r="AI72" s="512">
        <f>SUMIFS(PURCHASE!$L$6:$L$10008,PURCHASE!$A$6:$A$10008,$AG$2,PURCHASE!$H$6:$H$10008,$A$4:$A$2700)</f>
        <v>0</v>
      </c>
      <c r="AJ72" s="512">
        <f>SUMIFS(PURCHASE!$M$6:$M$10008,PURCHASE!$A$6:$A$10008,$AG$2,PURCHASE!$H$6:$H$10008,$A$4:$A$2700)</f>
        <v>13.95</v>
      </c>
      <c r="AK72" s="512">
        <f>SUMIFS(PURCHASE!$N$6:$N$10008,PURCHASE!$A$6:$A$10008,$AG$2,PURCHASE!$H$6:$H$10008,$A$4:$A$2700)</f>
        <v>13.95</v>
      </c>
      <c r="AL72" s="512">
        <f t="shared" si="35"/>
        <v>158812.65999999997</v>
      </c>
      <c r="AM72" s="512">
        <f>SUMIFS(PURCHASE!$K$6:$K$10008,PURCHASE!$A$6:$A$10008,$AL$2,PURCHASE!$H$6:$H$10008,$A$4:$A$2700)</f>
        <v>134587</v>
      </c>
      <c r="AN72" s="512">
        <f>SUMIFS(PURCHASE!$L$6:$L$10008,PURCHASE!$A$6:$A$10008,$AL$2,PURCHASE!$H$6:$H$10008,$A$4:$A$2700)</f>
        <v>0</v>
      </c>
      <c r="AO72" s="512">
        <f>SUMIFS(PURCHASE!$M$6:$M$10008,PURCHASE!$A$6:$A$10008,$AL$2,PURCHASE!$H$6:$H$10008,$A$4:$A$2700)</f>
        <v>12112.83</v>
      </c>
      <c r="AP72" s="512">
        <f>SUMIFS(PURCHASE!$N$6:$N$10008,PURCHASE!$A$6:$A$10008,$AL$2,PURCHASE!$H$6:$H$10008,$A$4:$A$2700)</f>
        <v>12112.83</v>
      </c>
      <c r="AQ72" s="512">
        <f t="shared" si="36"/>
        <v>73864.899999999994</v>
      </c>
      <c r="AR72" s="512">
        <f>SUMIFS(PURCHASE!$K$6:$K$10008,PURCHASE!$A$6:$A$10008,$AQ$2,PURCHASE!$H$6:$H$10008,$A$4:$A$2700)</f>
        <v>62597</v>
      </c>
      <c r="AS72" s="512">
        <f>SUMIFS(PURCHASE!$L$6:$L$10008,PURCHASE!$A$6:$A$10008,$AQ$2,PURCHASE!$H$6:$H$10008,$A$4:$A$2700)</f>
        <v>0</v>
      </c>
      <c r="AT72" s="512">
        <f>SUMIFS(PURCHASE!$M$6:$M$10008,PURCHASE!$A$6:$A$10008,$AQ$2,PURCHASE!$H$6:$H$10008,$A$4:$A$2700)</f>
        <v>5633.95</v>
      </c>
      <c r="AU72" s="512">
        <f>SUMIFS(PURCHASE!$N$6:$N$10008,PURCHASE!$A$6:$A$10008,$AQ$2,PURCHASE!$H$6:$H$10008,$A$4:$A$2700)</f>
        <v>5633.95</v>
      </c>
      <c r="AV72" s="512">
        <f t="shared" si="37"/>
        <v>2950</v>
      </c>
      <c r="AW72" s="512">
        <f>SUMIFS(PURCHASE!$K$6:$K$10008,PURCHASE!$A$6:$A$10008,$AV$2,PURCHASE!$H$6:$H$10008,$A$4:$A$2700)</f>
        <v>2500</v>
      </c>
      <c r="AX72" s="512">
        <f>SUMIFS(PURCHASE!$L$6:$L$10008,PURCHASE!$A$6:$A$10008,$AV$2,PURCHASE!$H$6:$H$10008,$A$4:$A$2700)</f>
        <v>0</v>
      </c>
      <c r="AY72" s="512">
        <f>SUMIFS(PURCHASE!$M$6:$M$10008,PURCHASE!$A$6:$A$10008,$AV$2,PURCHASE!$H$6:$H$10008,$A$4:$A$2700)</f>
        <v>225</v>
      </c>
      <c r="AZ72" s="512">
        <f>SUMIFS(PURCHASE!$N$6:$N$10008,PURCHASE!$A$6:$A$10008,$AV$2,PURCHASE!$H$6:$H$10008,$A$4:$A$2700)</f>
        <v>225</v>
      </c>
      <c r="BA72" s="512">
        <f t="shared" si="38"/>
        <v>0</v>
      </c>
      <c r="BB72" s="512">
        <f>SUMIFS(PURCHASE!$K$6:$K$10008,PURCHASE!$A$6:$A$10008,$BA$2,PURCHASE!$H$6:$H$10008,$A$4:$A$2700)</f>
        <v>0</v>
      </c>
      <c r="BC72" s="512">
        <f>SUMIFS(PURCHASE!$L$6:$L$10008,PURCHASE!$A$6:$A$10008,$BA$2,PURCHASE!$H$6:$H$10008,$A$4:$A$2700)</f>
        <v>0</v>
      </c>
      <c r="BD72" s="512">
        <f>SUMIFS(PURCHASE!$M$6:$M$10008,PURCHASE!$A$6:$A$10008,$BA$2,PURCHASE!$H$6:$H$10008,$A$4:$A$2700)</f>
        <v>0</v>
      </c>
      <c r="BE72" s="512">
        <f>SUMIFS(PURCHASE!$N$6:$N$10008,PURCHASE!$A$6:$A$10008,$BA$2,PURCHASE!$H$6:$H$10008,$A$4:$A$2700)</f>
        <v>0</v>
      </c>
      <c r="BF72" s="512">
        <f t="shared" si="39"/>
        <v>0</v>
      </c>
      <c r="BG72" s="512">
        <f>SUMIFS(PURCHASE!$K$6:$K$10008,PURCHASE!$A$6:$A$10008,$BF$2,PURCHASE!$H$6:$H$10008,$A$4:$A$2700)</f>
        <v>0</v>
      </c>
      <c r="BH72" s="512">
        <f>SUMIFS(PURCHASE!$L$6:$L$10008,PURCHASE!$A$6:$A$10008,$BF$2,PURCHASE!$H$6:$H$10008,$A$4:$A$2700)</f>
        <v>0</v>
      </c>
      <c r="BI72" s="512">
        <f>SUMIFS(PURCHASE!$M$6:$M$10008,PURCHASE!$A$6:$A$10008,$BF$2,PURCHASE!$H$6:$H$10008,$A$4:$A$2700)</f>
        <v>0</v>
      </c>
      <c r="BJ72" s="512">
        <f>SUMIFS(PURCHASE!$N$6:$N$10008,PURCHASE!$A$6:$A$10008,$BF$2,PURCHASE!$H$6:$H$10008,$A$4:$A$2700)</f>
        <v>0</v>
      </c>
      <c r="BK72" s="72">
        <f t="shared" si="23"/>
        <v>312953.24319999997</v>
      </c>
      <c r="BL72" s="72">
        <f t="shared" si="24"/>
        <v>265214.24</v>
      </c>
      <c r="BM72" s="72">
        <f t="shared" si="25"/>
        <v>0</v>
      </c>
      <c r="BN72" s="72">
        <f t="shared" si="26"/>
        <v>23869.5016</v>
      </c>
      <c r="BO72" s="72">
        <f t="shared" si="27"/>
        <v>23869.5016</v>
      </c>
    </row>
    <row r="73" spans="1:67" x14ac:dyDescent="0.2">
      <c r="A73" s="511">
        <v>9984</v>
      </c>
      <c r="B73" s="467" t="s">
        <v>1242</v>
      </c>
      <c r="C73" s="512">
        <f t="shared" si="28"/>
        <v>5823.4887999999992</v>
      </c>
      <c r="D73" s="512">
        <f>SUMIFS(PURCHASE!$K$6:$K$10008,PURCHASE!$A$6:$A$10008,$M$2,PURCHASE!$H$6:$H$10008,$A$4:$A$2700)</f>
        <v>4935.16</v>
      </c>
      <c r="E73" s="512">
        <f>SUMIFS(PURCHASE!$L$6:$L$10008,PURCHASE!$A$6:$A$10008,$M$2,PURCHASE!$H$6:$H$10008,$A$4:$A$2700)</f>
        <v>0</v>
      </c>
      <c r="F73" s="512">
        <f>SUMIFS(PURCHASE!$M$6:$M$10008,PURCHASE!$A$6:$A$10008,$M$2,PURCHASE!$H$6:$H$10008,$A$4:$A$2700)</f>
        <v>444.1644</v>
      </c>
      <c r="G73" s="512">
        <f>SUMIFS(PURCHASE!$N$6:$N$10008,PURCHASE!$A$6:$A$10008,$M$2,PURCHASE!$H$6:$H$10008,$A$4:$A$2700)</f>
        <v>444.1644</v>
      </c>
      <c r="H73" s="512">
        <f t="shared" si="29"/>
        <v>5658.1</v>
      </c>
      <c r="I73" s="512">
        <f>SUMIFS(PURCHASE!$K$6:$K$10008,PURCHASE!$A$6:$A$10008,$H$2,PURCHASE!$H$6:$H$10008,$A$4:$A$2700)</f>
        <v>4795</v>
      </c>
      <c r="J73" s="512">
        <f>SUMIFS(PURCHASE!$L$6:$L$10008,PURCHASE!$A$6:$A$10008,$H$2,PURCHASE!$H$6:$H$10008,$A$4:$A$2700)</f>
        <v>0</v>
      </c>
      <c r="K73" s="512">
        <f>SUMIFS(PURCHASE!$M$6:$M$10008,PURCHASE!$A$6:$A$10008,$H$2,PURCHASE!$H$6:$H$10008,$A$4:$A$2700)</f>
        <v>431.55</v>
      </c>
      <c r="L73" s="512">
        <f>SUMIFS(PURCHASE!$N$6:$N$10008,PURCHASE!$A$6:$A$10008,$H$2,PURCHASE!$H$6:$H$10008,$A$4:$A$2700)</f>
        <v>431.55</v>
      </c>
      <c r="M73" s="512">
        <f t="shared" si="30"/>
        <v>5823.4887999999992</v>
      </c>
      <c r="N73" s="512">
        <f>SUMIFS(PURCHASE!$K$6:$K$10008,PURCHASE!$A$6:$A$10008,$M$2,PURCHASE!$H$6:$H$10008,$A$4:$A$2700)</f>
        <v>4935.16</v>
      </c>
      <c r="O73" s="512">
        <f>SUMIFS(PURCHASE!$L$6:$L$10008,PURCHASE!$A$6:$A$10008,$M$2,PURCHASE!$H$6:$H$10008,$A$4:$A$2700)</f>
        <v>0</v>
      </c>
      <c r="P73" s="512">
        <f>SUMIFS(PURCHASE!$M$6:$M$10008,PURCHASE!$A$6:$A$10008,$M$2,PURCHASE!$H$6:$H$10008,$A$4:$A$2700)</f>
        <v>444.1644</v>
      </c>
      <c r="Q73" s="512">
        <f>SUMIFS(PURCHASE!$N$6:$N$10008,PURCHASE!$A$6:$A$10008,$M$2,PURCHASE!$H$6:$H$10008,$A$4:$A$2700)</f>
        <v>444.1644</v>
      </c>
      <c r="R73" s="512">
        <f t="shared" si="31"/>
        <v>5747.7800000000007</v>
      </c>
      <c r="S73" s="512">
        <f>SUMIFS(PURCHASE!$K$6:$K$10008,PURCHASE!$A$6:$A$10008,$R$2,PURCHASE!$H$6:$H$10008,$A$4:$A$2700)</f>
        <v>4871</v>
      </c>
      <c r="T73" s="512">
        <f>SUMIFS(PURCHASE!$L$6:$L$10008,PURCHASE!$A$6:$A$10008,$R$2,PURCHASE!$H$6:$H$10008,$A$4:$A$2700)</f>
        <v>0</v>
      </c>
      <c r="U73" s="512">
        <f>SUMIFS(PURCHASE!$M$6:$M$10008,PURCHASE!$A$6:$A$10008,$R$2,PURCHASE!$H$6:$H$10008,$A$4:$A$2700)</f>
        <v>438.39</v>
      </c>
      <c r="V73" s="512">
        <f>SUMIFS(PURCHASE!$N$6:$N$10008,PURCHASE!$A$6:$A$10008,$R$2,PURCHASE!$H$6:$H$10008,$A$4:$A$2700)</f>
        <v>438.39</v>
      </c>
      <c r="W73" s="512">
        <f t="shared" si="32"/>
        <v>5689.9599999999991</v>
      </c>
      <c r="X73" s="512">
        <f>SUMIFS(PURCHASE!$K$6:$K$10008,PURCHASE!$A$6:$A$10008,$W$2,PURCHASE!$H$6:$H$10008,$A$4:$A$2700)</f>
        <v>4822</v>
      </c>
      <c r="Y73" s="512">
        <f>SUMIFS(PURCHASE!$L$6:$L$10008,PURCHASE!$A$6:$A$10008,$W$2,PURCHASE!$H$6:$H$10008,$A$4:$A$2700)</f>
        <v>0</v>
      </c>
      <c r="Z73" s="512">
        <f>SUMIFS(PURCHASE!$M$6:$M$10008,PURCHASE!$A$6:$A$10008,$W$2,PURCHASE!$H$6:$H$10008,$A$4:$A$2700)</f>
        <v>433.98</v>
      </c>
      <c r="AA73" s="512">
        <f>SUMIFS(PURCHASE!$N$6:$N$10008,PURCHASE!$A$6:$A$10008,$W$2,PURCHASE!$H$6:$H$10008,$A$4:$A$2700)</f>
        <v>433.98</v>
      </c>
      <c r="AB73" s="512">
        <f t="shared" si="33"/>
        <v>5659.2800000000007</v>
      </c>
      <c r="AC73" s="512">
        <f>SUMIFS(PURCHASE!$K$6:$K$10008,PURCHASE!$A$6:$A$10008,$AB$2,PURCHASE!$H$6:$H$10008,$A$4:$A$2700)</f>
        <v>4796</v>
      </c>
      <c r="AD73" s="512">
        <f>SUMIFS(PURCHASE!$L$6:$L$10008,PURCHASE!$A$6:$A$10008,$AB$2,PURCHASE!$H$6:$H$10008,$A$4:$A$2700)</f>
        <v>0</v>
      </c>
      <c r="AE73" s="512">
        <f>SUMIFS(PURCHASE!$M$6:$M$10008,PURCHASE!$A$6:$A$10008,$AB$2,PURCHASE!$H$6:$H$10008,$A$4:$A$2700)</f>
        <v>431.64</v>
      </c>
      <c r="AF73" s="512">
        <f>SUMIFS(PURCHASE!$N$6:$N$10008,PURCHASE!$A$6:$A$10008,$AB$2,PURCHASE!$H$6:$H$10008,$A$4:$A$2700)</f>
        <v>431.64</v>
      </c>
      <c r="AG73" s="512">
        <f t="shared" si="34"/>
        <v>5660.4599999999991</v>
      </c>
      <c r="AH73" s="512">
        <f>SUMIFS(PURCHASE!$K$6:$K$10008,PURCHASE!$A$6:$A$10008,$AG$2,PURCHASE!$H$6:$H$10008,$A$4:$A$2700)</f>
        <v>4797</v>
      </c>
      <c r="AI73" s="512">
        <f>SUMIFS(PURCHASE!$L$6:$L$10008,PURCHASE!$A$6:$A$10008,$AG$2,PURCHASE!$H$6:$H$10008,$A$4:$A$2700)</f>
        <v>0</v>
      </c>
      <c r="AJ73" s="512">
        <f>SUMIFS(PURCHASE!$M$6:$M$10008,PURCHASE!$A$6:$A$10008,$AG$2,PURCHASE!$H$6:$H$10008,$A$4:$A$2700)</f>
        <v>431.73</v>
      </c>
      <c r="AK73" s="512">
        <f>SUMIFS(PURCHASE!$N$6:$N$10008,PURCHASE!$A$6:$A$10008,$AG$2,PURCHASE!$H$6:$H$10008,$A$4:$A$2700)</f>
        <v>431.73</v>
      </c>
      <c r="AL73" s="512">
        <f t="shared" si="35"/>
        <v>5655.74</v>
      </c>
      <c r="AM73" s="512">
        <f>SUMIFS(PURCHASE!$K$6:$K$10008,PURCHASE!$A$6:$A$10008,$AL$2,PURCHASE!$H$6:$H$10008,$A$4:$A$2700)</f>
        <v>4793</v>
      </c>
      <c r="AN73" s="512">
        <f>SUMIFS(PURCHASE!$L$6:$L$10008,PURCHASE!$A$6:$A$10008,$AL$2,PURCHASE!$H$6:$H$10008,$A$4:$A$2700)</f>
        <v>0</v>
      </c>
      <c r="AO73" s="512">
        <f>SUMIFS(PURCHASE!$M$6:$M$10008,PURCHASE!$A$6:$A$10008,$AL$2,PURCHASE!$H$6:$H$10008,$A$4:$A$2700)</f>
        <v>431.37</v>
      </c>
      <c r="AP73" s="512">
        <f>SUMIFS(PURCHASE!$N$6:$N$10008,PURCHASE!$A$6:$A$10008,$AL$2,PURCHASE!$H$6:$H$10008,$A$4:$A$2700)</f>
        <v>431.37</v>
      </c>
      <c r="AQ73" s="512">
        <f t="shared" si="36"/>
        <v>5653.3799999999992</v>
      </c>
      <c r="AR73" s="512">
        <f>SUMIFS(PURCHASE!$K$6:$K$10008,PURCHASE!$A$6:$A$10008,$AQ$2,PURCHASE!$H$6:$H$10008,$A$4:$A$2700)</f>
        <v>4791</v>
      </c>
      <c r="AS73" s="512">
        <f>SUMIFS(PURCHASE!$L$6:$L$10008,PURCHASE!$A$6:$A$10008,$AQ$2,PURCHASE!$H$6:$H$10008,$A$4:$A$2700)</f>
        <v>0</v>
      </c>
      <c r="AT73" s="512">
        <f>SUMIFS(PURCHASE!$M$6:$M$10008,PURCHASE!$A$6:$A$10008,$AQ$2,PURCHASE!$H$6:$H$10008,$A$4:$A$2700)</f>
        <v>431.18999999999994</v>
      </c>
      <c r="AU73" s="512">
        <f>SUMIFS(PURCHASE!$N$6:$N$10008,PURCHASE!$A$6:$A$10008,$AQ$2,PURCHASE!$H$6:$H$10008,$A$4:$A$2700)</f>
        <v>431.18999999999994</v>
      </c>
      <c r="AV73" s="512">
        <f t="shared" si="37"/>
        <v>5806.8626000000004</v>
      </c>
      <c r="AW73" s="512">
        <f>SUMIFS(PURCHASE!$K$6:$K$10008,PURCHASE!$A$6:$A$10008,$AV$2,PURCHASE!$H$6:$H$10008,$A$4:$A$2700)</f>
        <v>4921.07</v>
      </c>
      <c r="AX73" s="512">
        <f>SUMIFS(PURCHASE!$L$6:$L$10008,PURCHASE!$A$6:$A$10008,$AV$2,PURCHASE!$H$6:$H$10008,$A$4:$A$2700)</f>
        <v>0</v>
      </c>
      <c r="AY73" s="512">
        <f>SUMIFS(PURCHASE!$M$6:$M$10008,PURCHASE!$A$6:$A$10008,$AV$2,PURCHASE!$H$6:$H$10008,$A$4:$A$2700)</f>
        <v>442.89629999999994</v>
      </c>
      <c r="AZ73" s="512">
        <f>SUMIFS(PURCHASE!$N$6:$N$10008,PURCHASE!$A$6:$A$10008,$AV$2,PURCHASE!$H$6:$H$10008,$A$4:$A$2700)</f>
        <v>442.89629999999994</v>
      </c>
      <c r="BA73" s="512">
        <f t="shared" si="38"/>
        <v>0</v>
      </c>
      <c r="BB73" s="512">
        <f>SUMIFS(PURCHASE!$K$6:$K$10008,PURCHASE!$A$6:$A$10008,$BA$2,PURCHASE!$H$6:$H$10008,$A$4:$A$2700)</f>
        <v>0</v>
      </c>
      <c r="BC73" s="512">
        <f>SUMIFS(PURCHASE!$L$6:$L$10008,PURCHASE!$A$6:$A$10008,$BA$2,PURCHASE!$H$6:$H$10008,$A$4:$A$2700)</f>
        <v>0</v>
      </c>
      <c r="BD73" s="512">
        <f>SUMIFS(PURCHASE!$M$6:$M$10008,PURCHASE!$A$6:$A$10008,$BA$2,PURCHASE!$H$6:$H$10008,$A$4:$A$2700)</f>
        <v>0</v>
      </c>
      <c r="BE73" s="512">
        <f>SUMIFS(PURCHASE!$N$6:$N$10008,PURCHASE!$A$6:$A$10008,$BA$2,PURCHASE!$H$6:$H$10008,$A$4:$A$2700)</f>
        <v>0</v>
      </c>
      <c r="BF73" s="512">
        <f t="shared" si="39"/>
        <v>0</v>
      </c>
      <c r="BG73" s="512">
        <f>SUMIFS(PURCHASE!$K$6:$K$10008,PURCHASE!$A$6:$A$10008,$BF$2,PURCHASE!$H$6:$H$10008,$A$4:$A$2700)</f>
        <v>0</v>
      </c>
      <c r="BH73" s="512">
        <f>SUMIFS(PURCHASE!$L$6:$L$10008,PURCHASE!$A$6:$A$10008,$BF$2,PURCHASE!$H$6:$H$10008,$A$4:$A$2700)</f>
        <v>0</v>
      </c>
      <c r="BI73" s="512">
        <f>SUMIFS(PURCHASE!$M$6:$M$10008,PURCHASE!$A$6:$A$10008,$BF$2,PURCHASE!$H$6:$H$10008,$A$4:$A$2700)</f>
        <v>0</v>
      </c>
      <c r="BJ73" s="512">
        <f>SUMIFS(PURCHASE!$N$6:$N$10008,PURCHASE!$A$6:$A$10008,$BF$2,PURCHASE!$H$6:$H$10008,$A$4:$A$2700)</f>
        <v>0</v>
      </c>
      <c r="BK73" s="72">
        <f t="shared" si="23"/>
        <v>57178.540199999989</v>
      </c>
      <c r="BL73" s="72">
        <f t="shared" si="24"/>
        <v>48456.39</v>
      </c>
      <c r="BM73" s="72">
        <f t="shared" si="25"/>
        <v>0</v>
      </c>
      <c r="BN73" s="72">
        <f t="shared" si="26"/>
        <v>4361.0751</v>
      </c>
      <c r="BO73" s="72">
        <f t="shared" si="27"/>
        <v>4361.0751</v>
      </c>
    </row>
    <row r="74" spans="1:67" x14ac:dyDescent="0.2">
      <c r="A74" s="511">
        <v>14976</v>
      </c>
      <c r="B74" s="467" t="s">
        <v>1186</v>
      </c>
      <c r="C74" s="512">
        <f t="shared" si="28"/>
        <v>0</v>
      </c>
      <c r="D74" s="512">
        <f>SUMIFS(PURCHASE!$K$6:$K$10008,PURCHASE!$A$6:$A$10008,$M$2,PURCHASE!$H$6:$H$10008,$A$4:$A$2700)</f>
        <v>0</v>
      </c>
      <c r="E74" s="512">
        <f>SUMIFS(PURCHASE!$L$6:$L$10008,PURCHASE!$A$6:$A$10008,$M$2,PURCHASE!$H$6:$H$10008,$A$4:$A$2700)</f>
        <v>0</v>
      </c>
      <c r="F74" s="512">
        <f>SUMIFS(PURCHASE!$M$6:$M$10008,PURCHASE!$A$6:$A$10008,$M$2,PURCHASE!$H$6:$H$10008,$A$4:$A$2700)</f>
        <v>0</v>
      </c>
      <c r="G74" s="512">
        <f>SUMIFS(PURCHASE!$N$6:$N$10008,PURCHASE!$A$6:$A$10008,$M$2,PURCHASE!$H$6:$H$10008,$A$4:$A$2700)</f>
        <v>0</v>
      </c>
      <c r="H74" s="512">
        <f t="shared" si="29"/>
        <v>0</v>
      </c>
      <c r="I74" s="512">
        <f>SUMIFS(PURCHASE!$K$6:$K$10008,PURCHASE!$A$6:$A$10008,$H$2,PURCHASE!$H$6:$H$10008,$A$4:$A$2700)</f>
        <v>0</v>
      </c>
      <c r="J74" s="512">
        <f>SUMIFS(PURCHASE!$L$6:$L$10008,PURCHASE!$A$6:$A$10008,$H$2,PURCHASE!$H$6:$H$10008,$A$4:$A$2700)</f>
        <v>0</v>
      </c>
      <c r="K74" s="512">
        <f>SUMIFS(PURCHASE!$M$6:$M$10008,PURCHASE!$A$6:$A$10008,$H$2,PURCHASE!$H$6:$H$10008,$A$4:$A$2700)</f>
        <v>0</v>
      </c>
      <c r="L74" s="512">
        <f>SUMIFS(PURCHASE!$N$6:$N$10008,PURCHASE!$A$6:$A$10008,$H$2,PURCHASE!$H$6:$H$10008,$A$4:$A$2700)</f>
        <v>0</v>
      </c>
      <c r="M74" s="512">
        <f t="shared" si="30"/>
        <v>0</v>
      </c>
      <c r="N74" s="512">
        <f>SUMIFS(PURCHASE!$K$6:$K$10008,PURCHASE!$A$6:$A$10008,$M$2,PURCHASE!$H$6:$H$10008,$A$4:$A$2700)</f>
        <v>0</v>
      </c>
      <c r="O74" s="512">
        <f>SUMIFS(PURCHASE!$L$6:$L$10008,PURCHASE!$A$6:$A$10008,$M$2,PURCHASE!$H$6:$H$10008,$A$4:$A$2700)</f>
        <v>0</v>
      </c>
      <c r="P74" s="512">
        <f>SUMIFS(PURCHASE!$M$6:$M$10008,PURCHASE!$A$6:$A$10008,$M$2,PURCHASE!$H$6:$H$10008,$A$4:$A$2700)</f>
        <v>0</v>
      </c>
      <c r="Q74" s="512">
        <f>SUMIFS(PURCHASE!$N$6:$N$10008,PURCHASE!$A$6:$A$10008,$M$2,PURCHASE!$H$6:$H$10008,$A$4:$A$2700)</f>
        <v>0</v>
      </c>
      <c r="R74" s="512">
        <f t="shared" si="31"/>
        <v>0</v>
      </c>
      <c r="S74" s="512">
        <f>SUMIFS(PURCHASE!$K$6:$K$10008,PURCHASE!$A$6:$A$10008,$R$2,PURCHASE!$H$6:$H$10008,$A$4:$A$2700)</f>
        <v>0</v>
      </c>
      <c r="T74" s="512">
        <f>SUMIFS(PURCHASE!$L$6:$L$10008,PURCHASE!$A$6:$A$10008,$R$2,PURCHASE!$H$6:$H$10008,$A$4:$A$2700)</f>
        <v>0</v>
      </c>
      <c r="U74" s="512">
        <f>SUMIFS(PURCHASE!$M$6:$M$10008,PURCHASE!$A$6:$A$10008,$R$2,PURCHASE!$H$6:$H$10008,$A$4:$A$2700)</f>
        <v>0</v>
      </c>
      <c r="V74" s="512">
        <f>SUMIFS(PURCHASE!$N$6:$N$10008,PURCHASE!$A$6:$A$10008,$R$2,PURCHASE!$H$6:$H$10008,$A$4:$A$2700)</f>
        <v>0</v>
      </c>
      <c r="W74" s="512">
        <f t="shared" si="32"/>
        <v>0</v>
      </c>
      <c r="X74" s="512">
        <f>SUMIFS(PURCHASE!$K$6:$K$10008,PURCHASE!$A$6:$A$10008,$W$2,PURCHASE!$H$6:$H$10008,$A$4:$A$2700)</f>
        <v>0</v>
      </c>
      <c r="Y74" s="512">
        <f>SUMIFS(PURCHASE!$L$6:$L$10008,PURCHASE!$A$6:$A$10008,$W$2,PURCHASE!$H$6:$H$10008,$A$4:$A$2700)</f>
        <v>0</v>
      </c>
      <c r="Z74" s="512">
        <f>SUMIFS(PURCHASE!$M$6:$M$10008,PURCHASE!$A$6:$A$10008,$W$2,PURCHASE!$H$6:$H$10008,$A$4:$A$2700)</f>
        <v>0</v>
      </c>
      <c r="AA74" s="512">
        <f>SUMIFS(PURCHASE!$N$6:$N$10008,PURCHASE!$A$6:$A$10008,$W$2,PURCHASE!$H$6:$H$10008,$A$4:$A$2700)</f>
        <v>0</v>
      </c>
      <c r="AB74" s="512">
        <f t="shared" si="33"/>
        <v>0</v>
      </c>
      <c r="AC74" s="512">
        <f>SUMIFS(PURCHASE!$K$6:$K$10008,PURCHASE!$A$6:$A$10008,$AB$2,PURCHASE!$H$6:$H$10008,$A$4:$A$2700)</f>
        <v>0</v>
      </c>
      <c r="AD74" s="512">
        <f>SUMIFS(PURCHASE!$L$6:$L$10008,PURCHASE!$A$6:$A$10008,$AB$2,PURCHASE!$H$6:$H$10008,$A$4:$A$2700)</f>
        <v>0</v>
      </c>
      <c r="AE74" s="512">
        <f>SUMIFS(PURCHASE!$M$6:$M$10008,PURCHASE!$A$6:$A$10008,$AB$2,PURCHASE!$H$6:$H$10008,$A$4:$A$2700)</f>
        <v>0</v>
      </c>
      <c r="AF74" s="512">
        <f>SUMIFS(PURCHASE!$N$6:$N$10008,PURCHASE!$A$6:$A$10008,$AB$2,PURCHASE!$H$6:$H$10008,$A$4:$A$2700)</f>
        <v>0</v>
      </c>
      <c r="AG74" s="512">
        <f t="shared" si="34"/>
        <v>0</v>
      </c>
      <c r="AH74" s="512">
        <f>SUMIFS(PURCHASE!$K$6:$K$10008,PURCHASE!$A$6:$A$10008,$AG$2,PURCHASE!$H$6:$H$10008,$A$4:$A$2700)</f>
        <v>0</v>
      </c>
      <c r="AI74" s="512">
        <f>SUMIFS(PURCHASE!$L$6:$L$10008,PURCHASE!$A$6:$A$10008,$AG$2,PURCHASE!$H$6:$H$10008,$A$4:$A$2700)</f>
        <v>0</v>
      </c>
      <c r="AJ74" s="512">
        <f>SUMIFS(PURCHASE!$M$6:$M$10008,PURCHASE!$A$6:$A$10008,$AG$2,PURCHASE!$H$6:$H$10008,$A$4:$A$2700)</f>
        <v>0</v>
      </c>
      <c r="AK74" s="512">
        <f>SUMIFS(PURCHASE!$N$6:$N$10008,PURCHASE!$A$6:$A$10008,$AG$2,PURCHASE!$H$6:$H$10008,$A$4:$A$2700)</f>
        <v>0</v>
      </c>
      <c r="AL74" s="512">
        <f t="shared" si="35"/>
        <v>0</v>
      </c>
      <c r="AM74" s="512">
        <f>SUMIFS(PURCHASE!$K$6:$K$10008,PURCHASE!$A$6:$A$10008,$AL$2,PURCHASE!$H$6:$H$10008,$A$4:$A$2700)</f>
        <v>0</v>
      </c>
      <c r="AN74" s="512">
        <f>SUMIFS(PURCHASE!$L$6:$L$10008,PURCHASE!$A$6:$A$10008,$AL$2,PURCHASE!$H$6:$H$10008,$A$4:$A$2700)</f>
        <v>0</v>
      </c>
      <c r="AO74" s="512">
        <f>SUMIFS(PURCHASE!$M$6:$M$10008,PURCHASE!$A$6:$A$10008,$AL$2,PURCHASE!$H$6:$H$10008,$A$4:$A$2700)</f>
        <v>0</v>
      </c>
      <c r="AP74" s="512">
        <f>SUMIFS(PURCHASE!$N$6:$N$10008,PURCHASE!$A$6:$A$10008,$AL$2,PURCHASE!$H$6:$H$10008,$A$4:$A$2700)</f>
        <v>0</v>
      </c>
      <c r="AQ74" s="512">
        <f t="shared" si="36"/>
        <v>0</v>
      </c>
      <c r="AR74" s="512">
        <f>SUMIFS(PURCHASE!$K$6:$K$10008,PURCHASE!$A$6:$A$10008,$AQ$2,PURCHASE!$H$6:$H$10008,$A$4:$A$2700)</f>
        <v>0</v>
      </c>
      <c r="AS74" s="512">
        <f>SUMIFS(PURCHASE!$L$6:$L$10008,PURCHASE!$A$6:$A$10008,$AQ$2,PURCHASE!$H$6:$H$10008,$A$4:$A$2700)</f>
        <v>0</v>
      </c>
      <c r="AT74" s="512">
        <f>SUMIFS(PURCHASE!$M$6:$M$10008,PURCHASE!$A$6:$A$10008,$AQ$2,PURCHASE!$H$6:$H$10008,$A$4:$A$2700)</f>
        <v>0</v>
      </c>
      <c r="AU74" s="512">
        <f>SUMIFS(PURCHASE!$N$6:$N$10008,PURCHASE!$A$6:$A$10008,$AQ$2,PURCHASE!$H$6:$H$10008,$A$4:$A$2700)</f>
        <v>0</v>
      </c>
      <c r="AV74" s="512">
        <f t="shared" si="37"/>
        <v>0</v>
      </c>
      <c r="AW74" s="512">
        <f>SUMIFS(PURCHASE!$K$6:$K$10008,PURCHASE!$A$6:$A$10008,$AV$2,PURCHASE!$H$6:$H$10008,$A$4:$A$2700)</f>
        <v>0</v>
      </c>
      <c r="AX74" s="512">
        <f>SUMIFS(PURCHASE!$L$6:$L$10008,PURCHASE!$A$6:$A$10008,$AV$2,PURCHASE!$H$6:$H$10008,$A$4:$A$2700)</f>
        <v>0</v>
      </c>
      <c r="AY74" s="512">
        <f>SUMIFS(PURCHASE!$M$6:$M$10008,PURCHASE!$A$6:$A$10008,$AV$2,PURCHASE!$H$6:$H$10008,$A$4:$A$2700)</f>
        <v>0</v>
      </c>
      <c r="AZ74" s="512">
        <f>SUMIFS(PURCHASE!$N$6:$N$10008,PURCHASE!$A$6:$A$10008,$AV$2,PURCHASE!$H$6:$H$10008,$A$4:$A$2700)</f>
        <v>0</v>
      </c>
      <c r="BA74" s="512">
        <f t="shared" si="38"/>
        <v>0</v>
      </c>
      <c r="BB74" s="512">
        <f>SUMIFS(PURCHASE!$K$6:$K$10008,PURCHASE!$A$6:$A$10008,$BA$2,PURCHASE!$H$6:$H$10008,$A$4:$A$2700)</f>
        <v>0</v>
      </c>
      <c r="BC74" s="512">
        <f>SUMIFS(PURCHASE!$L$6:$L$10008,PURCHASE!$A$6:$A$10008,$BA$2,PURCHASE!$H$6:$H$10008,$A$4:$A$2700)</f>
        <v>0</v>
      </c>
      <c r="BD74" s="512">
        <f>SUMIFS(PURCHASE!$M$6:$M$10008,PURCHASE!$A$6:$A$10008,$BA$2,PURCHASE!$H$6:$H$10008,$A$4:$A$2700)</f>
        <v>0</v>
      </c>
      <c r="BE74" s="512">
        <f>SUMIFS(PURCHASE!$N$6:$N$10008,PURCHASE!$A$6:$A$10008,$BA$2,PURCHASE!$H$6:$H$10008,$A$4:$A$2700)</f>
        <v>0</v>
      </c>
      <c r="BF74" s="512">
        <f t="shared" si="39"/>
        <v>0</v>
      </c>
      <c r="BG74" s="512">
        <f>SUMIFS(PURCHASE!$K$6:$K$10008,PURCHASE!$A$6:$A$10008,$BF$2,PURCHASE!$H$6:$H$10008,$A$4:$A$2700)</f>
        <v>0</v>
      </c>
      <c r="BH74" s="512">
        <f>SUMIFS(PURCHASE!$L$6:$L$10008,PURCHASE!$A$6:$A$10008,$BF$2,PURCHASE!$H$6:$H$10008,$A$4:$A$2700)</f>
        <v>0</v>
      </c>
      <c r="BI74" s="512">
        <f>SUMIFS(PURCHASE!$M$6:$M$10008,PURCHASE!$A$6:$A$10008,$BF$2,PURCHASE!$H$6:$H$10008,$A$4:$A$2700)</f>
        <v>0</v>
      </c>
      <c r="BJ74" s="512">
        <f>SUMIFS(PURCHASE!$N$6:$N$10008,PURCHASE!$A$6:$A$10008,$BF$2,PURCHASE!$H$6:$H$10008,$A$4:$A$2700)</f>
        <v>0</v>
      </c>
      <c r="BK74" s="72">
        <f t="shared" si="23"/>
        <v>0</v>
      </c>
      <c r="BL74" s="72">
        <f t="shared" si="24"/>
        <v>0</v>
      </c>
      <c r="BM74" s="72">
        <f t="shared" si="25"/>
        <v>0</v>
      </c>
      <c r="BN74" s="72">
        <f t="shared" si="26"/>
        <v>0</v>
      </c>
      <c r="BO74" s="72">
        <f t="shared" si="27"/>
        <v>0</v>
      </c>
    </row>
    <row r="75" spans="1:67" x14ac:dyDescent="0.2">
      <c r="A75" s="511">
        <v>4016</v>
      </c>
      <c r="B75" s="500" t="s">
        <v>1243</v>
      </c>
      <c r="C75" s="512">
        <f t="shared" si="28"/>
        <v>0</v>
      </c>
      <c r="D75" s="512">
        <f>SUMIFS(PURCHASE!$K$6:$K$10008,PURCHASE!$A$6:$A$10008,$M$2,PURCHASE!$H$6:$H$10008,$A$4:$A$2700)</f>
        <v>0</v>
      </c>
      <c r="E75" s="512">
        <f>SUMIFS(PURCHASE!$L$6:$L$10008,PURCHASE!$A$6:$A$10008,$M$2,PURCHASE!$H$6:$H$10008,$A$4:$A$2700)</f>
        <v>0</v>
      </c>
      <c r="F75" s="512">
        <f>SUMIFS(PURCHASE!$M$6:$M$10008,PURCHASE!$A$6:$A$10008,$M$2,PURCHASE!$H$6:$H$10008,$A$4:$A$2700)</f>
        <v>0</v>
      </c>
      <c r="G75" s="512">
        <f>SUMIFS(PURCHASE!$N$6:$N$10008,PURCHASE!$A$6:$A$10008,$M$2,PURCHASE!$H$6:$H$10008,$A$4:$A$2700)</f>
        <v>0</v>
      </c>
      <c r="H75" s="512">
        <f t="shared" si="29"/>
        <v>0</v>
      </c>
      <c r="I75" s="512">
        <f>SUMIFS(PURCHASE!$K$6:$K$10008,PURCHASE!$A$6:$A$10008,$H$2,PURCHASE!$H$6:$H$10008,$A$4:$A$2700)</f>
        <v>0</v>
      </c>
      <c r="J75" s="512">
        <f>SUMIFS(PURCHASE!$L$6:$L$10008,PURCHASE!$A$6:$A$10008,$H$2,PURCHASE!$H$6:$H$10008,$A$4:$A$2700)</f>
        <v>0</v>
      </c>
      <c r="K75" s="512">
        <f>SUMIFS(PURCHASE!$M$6:$M$10008,PURCHASE!$A$6:$A$10008,$H$2,PURCHASE!$H$6:$H$10008,$A$4:$A$2700)</f>
        <v>0</v>
      </c>
      <c r="L75" s="512">
        <f>SUMIFS(PURCHASE!$N$6:$N$10008,PURCHASE!$A$6:$A$10008,$H$2,PURCHASE!$H$6:$H$10008,$A$4:$A$2700)</f>
        <v>0</v>
      </c>
      <c r="M75" s="512">
        <f t="shared" si="30"/>
        <v>0</v>
      </c>
      <c r="N75" s="512">
        <f>SUMIFS(PURCHASE!$K$6:$K$10008,PURCHASE!$A$6:$A$10008,$M$2,PURCHASE!$H$6:$H$10008,$A$4:$A$2700)</f>
        <v>0</v>
      </c>
      <c r="O75" s="512">
        <f>SUMIFS(PURCHASE!$L$6:$L$10008,PURCHASE!$A$6:$A$10008,$M$2,PURCHASE!$H$6:$H$10008,$A$4:$A$2700)</f>
        <v>0</v>
      </c>
      <c r="P75" s="512">
        <f>SUMIFS(PURCHASE!$M$6:$M$10008,PURCHASE!$A$6:$A$10008,$M$2,PURCHASE!$H$6:$H$10008,$A$4:$A$2700)</f>
        <v>0</v>
      </c>
      <c r="Q75" s="512">
        <f>SUMIFS(PURCHASE!$N$6:$N$10008,PURCHASE!$A$6:$A$10008,$M$2,PURCHASE!$H$6:$H$10008,$A$4:$A$2700)</f>
        <v>0</v>
      </c>
      <c r="R75" s="512">
        <f t="shared" si="31"/>
        <v>0</v>
      </c>
      <c r="S75" s="512">
        <f>SUMIFS(PURCHASE!$K$6:$K$10008,PURCHASE!$A$6:$A$10008,$R$2,PURCHASE!$H$6:$H$10008,$A$4:$A$2700)</f>
        <v>0</v>
      </c>
      <c r="T75" s="512">
        <f>SUMIFS(PURCHASE!$L$6:$L$10008,PURCHASE!$A$6:$A$10008,$R$2,PURCHASE!$H$6:$H$10008,$A$4:$A$2700)</f>
        <v>0</v>
      </c>
      <c r="U75" s="512">
        <f>SUMIFS(PURCHASE!$M$6:$M$10008,PURCHASE!$A$6:$A$10008,$R$2,PURCHASE!$H$6:$H$10008,$A$4:$A$2700)</f>
        <v>0</v>
      </c>
      <c r="V75" s="512">
        <f>SUMIFS(PURCHASE!$N$6:$N$10008,PURCHASE!$A$6:$A$10008,$R$2,PURCHASE!$H$6:$H$10008,$A$4:$A$2700)</f>
        <v>0</v>
      </c>
      <c r="W75" s="512">
        <f t="shared" si="32"/>
        <v>0</v>
      </c>
      <c r="X75" s="512">
        <f>SUMIFS(PURCHASE!$K$6:$K$10008,PURCHASE!$A$6:$A$10008,$W$2,PURCHASE!$H$6:$H$10008,$A$4:$A$2700)</f>
        <v>0</v>
      </c>
      <c r="Y75" s="512">
        <f>SUMIFS(PURCHASE!$L$6:$L$10008,PURCHASE!$A$6:$A$10008,$W$2,PURCHASE!$H$6:$H$10008,$A$4:$A$2700)</f>
        <v>0</v>
      </c>
      <c r="Z75" s="512">
        <f>SUMIFS(PURCHASE!$M$6:$M$10008,PURCHASE!$A$6:$A$10008,$W$2,PURCHASE!$H$6:$H$10008,$A$4:$A$2700)</f>
        <v>0</v>
      </c>
      <c r="AA75" s="512">
        <f>SUMIFS(PURCHASE!$N$6:$N$10008,PURCHASE!$A$6:$A$10008,$W$2,PURCHASE!$H$6:$H$10008,$A$4:$A$2700)</f>
        <v>0</v>
      </c>
      <c r="AB75" s="512">
        <f t="shared" si="33"/>
        <v>6106.5</v>
      </c>
      <c r="AC75" s="512">
        <f>SUMIFS(PURCHASE!$K$6:$K$10008,PURCHASE!$A$6:$A$10008,$AB$2,PURCHASE!$H$6:$H$10008,$A$4:$A$2700)</f>
        <v>5175</v>
      </c>
      <c r="AD75" s="512">
        <f>SUMIFS(PURCHASE!$L$6:$L$10008,PURCHASE!$A$6:$A$10008,$AB$2,PURCHASE!$H$6:$H$10008,$A$4:$A$2700)</f>
        <v>0</v>
      </c>
      <c r="AE75" s="512">
        <f>SUMIFS(PURCHASE!$M$6:$M$10008,PURCHASE!$A$6:$A$10008,$AB$2,PURCHASE!$H$6:$H$10008,$A$4:$A$2700)</f>
        <v>465.75</v>
      </c>
      <c r="AF75" s="512">
        <f>SUMIFS(PURCHASE!$N$6:$N$10008,PURCHASE!$A$6:$A$10008,$AB$2,PURCHASE!$H$6:$H$10008,$A$4:$A$2700)</f>
        <v>465.75</v>
      </c>
      <c r="AG75" s="512">
        <f t="shared" si="34"/>
        <v>2950</v>
      </c>
      <c r="AH75" s="512">
        <f>SUMIFS(PURCHASE!$K$6:$K$10008,PURCHASE!$A$6:$A$10008,$AG$2,PURCHASE!$H$6:$H$10008,$A$4:$A$2700)</f>
        <v>2500</v>
      </c>
      <c r="AI75" s="512">
        <f>SUMIFS(PURCHASE!$L$6:$L$10008,PURCHASE!$A$6:$A$10008,$AG$2,PURCHASE!$H$6:$H$10008,$A$4:$A$2700)</f>
        <v>0</v>
      </c>
      <c r="AJ75" s="512">
        <f>SUMIFS(PURCHASE!$M$6:$M$10008,PURCHASE!$A$6:$A$10008,$AG$2,PURCHASE!$H$6:$H$10008,$A$4:$A$2700)</f>
        <v>225</v>
      </c>
      <c r="AK75" s="512">
        <f>SUMIFS(PURCHASE!$N$6:$N$10008,PURCHASE!$A$6:$A$10008,$AG$2,PURCHASE!$H$6:$H$10008,$A$4:$A$2700)</f>
        <v>225</v>
      </c>
      <c r="AL75" s="512">
        <f t="shared" si="35"/>
        <v>0</v>
      </c>
      <c r="AM75" s="512">
        <f>SUMIFS(PURCHASE!$K$6:$K$10008,PURCHASE!$A$6:$A$10008,$AL$2,PURCHASE!$H$6:$H$10008,$A$4:$A$2700)</f>
        <v>0</v>
      </c>
      <c r="AN75" s="512">
        <f>SUMIFS(PURCHASE!$L$6:$L$10008,PURCHASE!$A$6:$A$10008,$AL$2,PURCHASE!$H$6:$H$10008,$A$4:$A$2700)</f>
        <v>0</v>
      </c>
      <c r="AO75" s="512">
        <f>SUMIFS(PURCHASE!$M$6:$M$10008,PURCHASE!$A$6:$A$10008,$AL$2,PURCHASE!$H$6:$H$10008,$A$4:$A$2700)</f>
        <v>0</v>
      </c>
      <c r="AP75" s="512">
        <f>SUMIFS(PURCHASE!$N$6:$N$10008,PURCHASE!$A$6:$A$10008,$AL$2,PURCHASE!$H$6:$H$10008,$A$4:$A$2700)</f>
        <v>0</v>
      </c>
      <c r="AQ75" s="512">
        <f t="shared" si="36"/>
        <v>0</v>
      </c>
      <c r="AR75" s="512">
        <f>SUMIFS(PURCHASE!$K$6:$K$10008,PURCHASE!$A$6:$A$10008,$AQ$2,PURCHASE!$H$6:$H$10008,$A$4:$A$2700)</f>
        <v>0</v>
      </c>
      <c r="AS75" s="512">
        <f>SUMIFS(PURCHASE!$L$6:$L$10008,PURCHASE!$A$6:$A$10008,$AQ$2,PURCHASE!$H$6:$H$10008,$A$4:$A$2700)</f>
        <v>0</v>
      </c>
      <c r="AT75" s="512">
        <f>SUMIFS(PURCHASE!$M$6:$M$10008,PURCHASE!$A$6:$A$10008,$AQ$2,PURCHASE!$H$6:$H$10008,$A$4:$A$2700)</f>
        <v>0</v>
      </c>
      <c r="AU75" s="512">
        <f>SUMIFS(PURCHASE!$N$6:$N$10008,PURCHASE!$A$6:$A$10008,$AQ$2,PURCHASE!$H$6:$H$10008,$A$4:$A$2700)</f>
        <v>0</v>
      </c>
      <c r="AV75" s="512">
        <f t="shared" si="37"/>
        <v>0</v>
      </c>
      <c r="AW75" s="512">
        <f>SUMIFS(PURCHASE!$K$6:$K$10008,PURCHASE!$A$6:$A$10008,$AV$2,PURCHASE!$H$6:$H$10008,$A$4:$A$2700)</f>
        <v>0</v>
      </c>
      <c r="AX75" s="512">
        <f>SUMIFS(PURCHASE!$L$6:$L$10008,PURCHASE!$A$6:$A$10008,$AV$2,PURCHASE!$H$6:$H$10008,$A$4:$A$2700)</f>
        <v>0</v>
      </c>
      <c r="AY75" s="512">
        <f>SUMIFS(PURCHASE!$M$6:$M$10008,PURCHASE!$A$6:$A$10008,$AV$2,PURCHASE!$H$6:$H$10008,$A$4:$A$2700)</f>
        <v>0</v>
      </c>
      <c r="AZ75" s="512">
        <f>SUMIFS(PURCHASE!$N$6:$N$10008,PURCHASE!$A$6:$A$10008,$AV$2,PURCHASE!$H$6:$H$10008,$A$4:$A$2700)</f>
        <v>0</v>
      </c>
      <c r="BA75" s="512">
        <f t="shared" si="38"/>
        <v>0</v>
      </c>
      <c r="BB75" s="512">
        <f>SUMIFS(PURCHASE!$K$6:$K$10008,PURCHASE!$A$6:$A$10008,$BA$2,PURCHASE!$H$6:$H$10008,$A$4:$A$2700)</f>
        <v>0</v>
      </c>
      <c r="BC75" s="512">
        <f>SUMIFS(PURCHASE!$L$6:$L$10008,PURCHASE!$A$6:$A$10008,$BA$2,PURCHASE!$H$6:$H$10008,$A$4:$A$2700)</f>
        <v>0</v>
      </c>
      <c r="BD75" s="512">
        <f>SUMIFS(PURCHASE!$M$6:$M$10008,PURCHASE!$A$6:$A$10008,$BA$2,PURCHASE!$H$6:$H$10008,$A$4:$A$2700)</f>
        <v>0</v>
      </c>
      <c r="BE75" s="512">
        <f>SUMIFS(PURCHASE!$N$6:$N$10008,PURCHASE!$A$6:$A$10008,$BA$2,PURCHASE!$H$6:$H$10008,$A$4:$A$2700)</f>
        <v>0</v>
      </c>
      <c r="BF75" s="512">
        <f t="shared" si="39"/>
        <v>0</v>
      </c>
      <c r="BG75" s="512">
        <f>SUMIFS(PURCHASE!$K$6:$K$10008,PURCHASE!$A$6:$A$10008,$BF$2,PURCHASE!$H$6:$H$10008,$A$4:$A$2700)</f>
        <v>0</v>
      </c>
      <c r="BH75" s="512">
        <f>SUMIFS(PURCHASE!$L$6:$L$10008,PURCHASE!$A$6:$A$10008,$BF$2,PURCHASE!$H$6:$H$10008,$A$4:$A$2700)</f>
        <v>0</v>
      </c>
      <c r="BI75" s="512">
        <f>SUMIFS(PURCHASE!$M$6:$M$10008,PURCHASE!$A$6:$A$10008,$BF$2,PURCHASE!$H$6:$H$10008,$A$4:$A$2700)</f>
        <v>0</v>
      </c>
      <c r="BJ75" s="512">
        <f>SUMIFS(PURCHASE!$N$6:$N$10008,PURCHASE!$A$6:$A$10008,$BF$2,PURCHASE!$H$6:$H$10008,$A$4:$A$2700)</f>
        <v>0</v>
      </c>
      <c r="BK75" s="72">
        <f t="shared" si="23"/>
        <v>9056.5</v>
      </c>
      <c r="BL75" s="72">
        <f t="shared" si="24"/>
        <v>7675</v>
      </c>
      <c r="BM75" s="72">
        <f t="shared" si="25"/>
        <v>0</v>
      </c>
      <c r="BN75" s="72">
        <f t="shared" si="26"/>
        <v>690.75</v>
      </c>
      <c r="BO75" s="72">
        <f t="shared" si="27"/>
        <v>690.75</v>
      </c>
    </row>
    <row r="76" spans="1:67" x14ac:dyDescent="0.2">
      <c r="A76" s="511">
        <v>401693</v>
      </c>
      <c r="B76" s="500" t="s">
        <v>1243</v>
      </c>
      <c r="C76" s="512">
        <f t="shared" si="28"/>
        <v>0</v>
      </c>
      <c r="D76" s="512">
        <f>SUMIFS(PURCHASE!$K$6:$K$10008,PURCHASE!$A$6:$A$10008,$M$2,PURCHASE!$H$6:$H$10008,$A$4:$A$2700)</f>
        <v>0</v>
      </c>
      <c r="E76" s="512">
        <f>SUMIFS(PURCHASE!$L$6:$L$10008,PURCHASE!$A$6:$A$10008,$M$2,PURCHASE!$H$6:$H$10008,$A$4:$A$2700)</f>
        <v>0</v>
      </c>
      <c r="F76" s="512">
        <f>SUMIFS(PURCHASE!$M$6:$M$10008,PURCHASE!$A$6:$A$10008,$M$2,PURCHASE!$H$6:$H$10008,$A$4:$A$2700)</f>
        <v>0</v>
      </c>
      <c r="G76" s="512">
        <f>SUMIFS(PURCHASE!$N$6:$N$10008,PURCHASE!$A$6:$A$10008,$M$2,PURCHASE!$H$6:$H$10008,$A$4:$A$2700)</f>
        <v>0</v>
      </c>
      <c r="H76" s="512">
        <f t="shared" si="29"/>
        <v>0</v>
      </c>
      <c r="I76" s="512">
        <f>SUMIFS(PURCHASE!$K$6:$K$10008,PURCHASE!$A$6:$A$10008,$H$2,PURCHASE!$H$6:$H$10008,$A$4:$A$2700)</f>
        <v>0</v>
      </c>
      <c r="J76" s="512">
        <f>SUMIFS(PURCHASE!$L$6:$L$10008,PURCHASE!$A$6:$A$10008,$H$2,PURCHASE!$H$6:$H$10008,$A$4:$A$2700)</f>
        <v>0</v>
      </c>
      <c r="K76" s="512">
        <f>SUMIFS(PURCHASE!$M$6:$M$10008,PURCHASE!$A$6:$A$10008,$H$2,PURCHASE!$H$6:$H$10008,$A$4:$A$2700)</f>
        <v>0</v>
      </c>
      <c r="L76" s="512">
        <f>SUMIFS(PURCHASE!$N$6:$N$10008,PURCHASE!$A$6:$A$10008,$H$2,PURCHASE!$H$6:$H$10008,$A$4:$A$2700)</f>
        <v>0</v>
      </c>
      <c r="M76" s="512">
        <f t="shared" si="30"/>
        <v>0</v>
      </c>
      <c r="N76" s="512">
        <f>SUMIFS(PURCHASE!$K$6:$K$10008,PURCHASE!$A$6:$A$10008,$M$2,PURCHASE!$H$6:$H$10008,$A$4:$A$2700)</f>
        <v>0</v>
      </c>
      <c r="O76" s="512">
        <f>SUMIFS(PURCHASE!$L$6:$L$10008,PURCHASE!$A$6:$A$10008,$M$2,PURCHASE!$H$6:$H$10008,$A$4:$A$2700)</f>
        <v>0</v>
      </c>
      <c r="P76" s="512">
        <f>SUMIFS(PURCHASE!$M$6:$M$10008,PURCHASE!$A$6:$A$10008,$M$2,PURCHASE!$H$6:$H$10008,$A$4:$A$2700)</f>
        <v>0</v>
      </c>
      <c r="Q76" s="512">
        <f>SUMIFS(PURCHASE!$N$6:$N$10008,PURCHASE!$A$6:$A$10008,$M$2,PURCHASE!$H$6:$H$10008,$A$4:$A$2700)</f>
        <v>0</v>
      </c>
      <c r="R76" s="512">
        <f t="shared" si="31"/>
        <v>0</v>
      </c>
      <c r="S76" s="512">
        <f>SUMIFS(PURCHASE!$K$6:$K$10008,PURCHASE!$A$6:$A$10008,$R$2,PURCHASE!$H$6:$H$10008,$A$4:$A$2700)</f>
        <v>0</v>
      </c>
      <c r="T76" s="512">
        <f>SUMIFS(PURCHASE!$L$6:$L$10008,PURCHASE!$A$6:$A$10008,$R$2,PURCHASE!$H$6:$H$10008,$A$4:$A$2700)</f>
        <v>0</v>
      </c>
      <c r="U76" s="512">
        <f>SUMIFS(PURCHASE!$M$6:$M$10008,PURCHASE!$A$6:$A$10008,$R$2,PURCHASE!$H$6:$H$10008,$A$4:$A$2700)</f>
        <v>0</v>
      </c>
      <c r="V76" s="512">
        <f>SUMIFS(PURCHASE!$N$6:$N$10008,PURCHASE!$A$6:$A$10008,$R$2,PURCHASE!$H$6:$H$10008,$A$4:$A$2700)</f>
        <v>0</v>
      </c>
      <c r="W76" s="512">
        <f t="shared" si="32"/>
        <v>0</v>
      </c>
      <c r="X76" s="512">
        <f>SUMIFS(PURCHASE!$K$6:$K$10008,PURCHASE!$A$6:$A$10008,$W$2,PURCHASE!$H$6:$H$10008,$A$4:$A$2700)</f>
        <v>0</v>
      </c>
      <c r="Y76" s="512">
        <f>SUMIFS(PURCHASE!$L$6:$L$10008,PURCHASE!$A$6:$A$10008,$W$2,PURCHASE!$H$6:$H$10008,$A$4:$A$2700)</f>
        <v>0</v>
      </c>
      <c r="Z76" s="512">
        <f>SUMIFS(PURCHASE!$M$6:$M$10008,PURCHASE!$A$6:$A$10008,$W$2,PURCHASE!$H$6:$H$10008,$A$4:$A$2700)</f>
        <v>0</v>
      </c>
      <c r="AA76" s="512">
        <f>SUMIFS(PURCHASE!$N$6:$N$10008,PURCHASE!$A$6:$A$10008,$W$2,PURCHASE!$H$6:$H$10008,$A$4:$A$2700)</f>
        <v>0</v>
      </c>
      <c r="AB76" s="512">
        <f t="shared" si="33"/>
        <v>0</v>
      </c>
      <c r="AC76" s="512">
        <f>SUMIFS(PURCHASE!$K$6:$K$10008,PURCHASE!$A$6:$A$10008,$AB$2,PURCHASE!$H$6:$H$10008,$A$4:$A$2700)</f>
        <v>0</v>
      </c>
      <c r="AD76" s="512">
        <f>SUMIFS(PURCHASE!$L$6:$L$10008,PURCHASE!$A$6:$A$10008,$AB$2,PURCHASE!$H$6:$H$10008,$A$4:$A$2700)</f>
        <v>0</v>
      </c>
      <c r="AE76" s="512">
        <f>SUMIFS(PURCHASE!$M$6:$M$10008,PURCHASE!$A$6:$A$10008,$AB$2,PURCHASE!$H$6:$H$10008,$A$4:$A$2700)</f>
        <v>0</v>
      </c>
      <c r="AF76" s="512">
        <f>SUMIFS(PURCHASE!$N$6:$N$10008,PURCHASE!$A$6:$A$10008,$AB$2,PURCHASE!$H$6:$H$10008,$A$4:$A$2700)</f>
        <v>0</v>
      </c>
      <c r="AG76" s="512">
        <f t="shared" si="34"/>
        <v>0</v>
      </c>
      <c r="AH76" s="512">
        <f>SUMIFS(PURCHASE!$K$6:$K$10008,PURCHASE!$A$6:$A$10008,$AG$2,PURCHASE!$H$6:$H$10008,$A$4:$A$2700)</f>
        <v>0</v>
      </c>
      <c r="AI76" s="512">
        <f>SUMIFS(PURCHASE!$L$6:$L$10008,PURCHASE!$A$6:$A$10008,$AG$2,PURCHASE!$H$6:$H$10008,$A$4:$A$2700)</f>
        <v>0</v>
      </c>
      <c r="AJ76" s="512">
        <f>SUMIFS(PURCHASE!$M$6:$M$10008,PURCHASE!$A$6:$A$10008,$AG$2,PURCHASE!$H$6:$H$10008,$A$4:$A$2700)</f>
        <v>0</v>
      </c>
      <c r="AK76" s="512">
        <f>SUMIFS(PURCHASE!$N$6:$N$10008,PURCHASE!$A$6:$A$10008,$AG$2,PURCHASE!$H$6:$H$10008,$A$4:$A$2700)</f>
        <v>0</v>
      </c>
      <c r="AL76" s="512">
        <f t="shared" si="35"/>
        <v>0</v>
      </c>
      <c r="AM76" s="512">
        <f>SUMIFS(PURCHASE!$K$6:$K$10008,PURCHASE!$A$6:$A$10008,$AL$2,PURCHASE!$H$6:$H$10008,$A$4:$A$2700)</f>
        <v>0</v>
      </c>
      <c r="AN76" s="512">
        <f>SUMIFS(PURCHASE!$L$6:$L$10008,PURCHASE!$A$6:$A$10008,$AL$2,PURCHASE!$H$6:$H$10008,$A$4:$A$2700)</f>
        <v>0</v>
      </c>
      <c r="AO76" s="512">
        <f>SUMIFS(PURCHASE!$M$6:$M$10008,PURCHASE!$A$6:$A$10008,$AL$2,PURCHASE!$H$6:$H$10008,$A$4:$A$2700)</f>
        <v>0</v>
      </c>
      <c r="AP76" s="512">
        <f>SUMIFS(PURCHASE!$N$6:$N$10008,PURCHASE!$A$6:$A$10008,$AL$2,PURCHASE!$H$6:$H$10008,$A$4:$A$2700)</f>
        <v>0</v>
      </c>
      <c r="AQ76" s="512">
        <f t="shared" si="36"/>
        <v>0</v>
      </c>
      <c r="AR76" s="512">
        <f>SUMIFS(PURCHASE!$K$6:$K$10008,PURCHASE!$A$6:$A$10008,$AQ$2,PURCHASE!$H$6:$H$10008,$A$4:$A$2700)</f>
        <v>0</v>
      </c>
      <c r="AS76" s="512">
        <f>SUMIFS(PURCHASE!$L$6:$L$10008,PURCHASE!$A$6:$A$10008,$AQ$2,PURCHASE!$H$6:$H$10008,$A$4:$A$2700)</f>
        <v>0</v>
      </c>
      <c r="AT76" s="512">
        <f>SUMIFS(PURCHASE!$M$6:$M$10008,PURCHASE!$A$6:$A$10008,$AQ$2,PURCHASE!$H$6:$H$10008,$A$4:$A$2700)</f>
        <v>0</v>
      </c>
      <c r="AU76" s="512">
        <f>SUMIFS(PURCHASE!$N$6:$N$10008,PURCHASE!$A$6:$A$10008,$AQ$2,PURCHASE!$H$6:$H$10008,$A$4:$A$2700)</f>
        <v>0</v>
      </c>
      <c r="AV76" s="512">
        <f t="shared" si="37"/>
        <v>0</v>
      </c>
      <c r="AW76" s="512">
        <f>SUMIFS(PURCHASE!$K$6:$K$10008,PURCHASE!$A$6:$A$10008,$AV$2,PURCHASE!$H$6:$H$10008,$A$4:$A$2700)</f>
        <v>0</v>
      </c>
      <c r="AX76" s="512">
        <f>SUMIFS(PURCHASE!$L$6:$L$10008,PURCHASE!$A$6:$A$10008,$AV$2,PURCHASE!$H$6:$H$10008,$A$4:$A$2700)</f>
        <v>0</v>
      </c>
      <c r="AY76" s="512">
        <f>SUMIFS(PURCHASE!$M$6:$M$10008,PURCHASE!$A$6:$A$10008,$AV$2,PURCHASE!$H$6:$H$10008,$A$4:$A$2700)</f>
        <v>0</v>
      </c>
      <c r="AZ76" s="512">
        <f>SUMIFS(PURCHASE!$N$6:$N$10008,PURCHASE!$A$6:$A$10008,$AV$2,PURCHASE!$H$6:$H$10008,$A$4:$A$2700)</f>
        <v>0</v>
      </c>
      <c r="BA76" s="512">
        <f t="shared" si="38"/>
        <v>0</v>
      </c>
      <c r="BB76" s="512">
        <f>SUMIFS(PURCHASE!$K$6:$K$10008,PURCHASE!$A$6:$A$10008,$BA$2,PURCHASE!$H$6:$H$10008,$A$4:$A$2700)</f>
        <v>0</v>
      </c>
      <c r="BC76" s="512">
        <f>SUMIFS(PURCHASE!$L$6:$L$10008,PURCHASE!$A$6:$A$10008,$BA$2,PURCHASE!$H$6:$H$10008,$A$4:$A$2700)</f>
        <v>0</v>
      </c>
      <c r="BD76" s="512">
        <f>SUMIFS(PURCHASE!$M$6:$M$10008,PURCHASE!$A$6:$A$10008,$BA$2,PURCHASE!$H$6:$H$10008,$A$4:$A$2700)</f>
        <v>0</v>
      </c>
      <c r="BE76" s="512">
        <f>SUMIFS(PURCHASE!$N$6:$N$10008,PURCHASE!$A$6:$A$10008,$BA$2,PURCHASE!$H$6:$H$10008,$A$4:$A$2700)</f>
        <v>0</v>
      </c>
      <c r="BF76" s="512">
        <f t="shared" si="39"/>
        <v>0</v>
      </c>
      <c r="BG76" s="512">
        <f>SUMIFS(PURCHASE!$K$6:$K$10008,PURCHASE!$A$6:$A$10008,$BF$2,PURCHASE!$H$6:$H$10008,$A$4:$A$2700)</f>
        <v>0</v>
      </c>
      <c r="BH76" s="512">
        <f>SUMIFS(PURCHASE!$L$6:$L$10008,PURCHASE!$A$6:$A$10008,$BF$2,PURCHASE!$H$6:$H$10008,$A$4:$A$2700)</f>
        <v>0</v>
      </c>
      <c r="BI76" s="512">
        <f>SUMIFS(PURCHASE!$M$6:$M$10008,PURCHASE!$A$6:$A$10008,$BF$2,PURCHASE!$H$6:$H$10008,$A$4:$A$2700)</f>
        <v>0</v>
      </c>
      <c r="BJ76" s="512">
        <f>SUMIFS(PURCHASE!$N$6:$N$10008,PURCHASE!$A$6:$A$10008,$BF$2,PURCHASE!$H$6:$H$10008,$A$4:$A$2700)</f>
        <v>0</v>
      </c>
      <c r="BK76" s="72">
        <f t="shared" si="23"/>
        <v>0</v>
      </c>
      <c r="BL76" s="72">
        <f t="shared" si="24"/>
        <v>0</v>
      </c>
      <c r="BM76" s="72">
        <f t="shared" si="25"/>
        <v>0</v>
      </c>
      <c r="BN76" s="72">
        <f t="shared" si="26"/>
        <v>0</v>
      </c>
      <c r="BO76" s="72">
        <f t="shared" si="27"/>
        <v>0</v>
      </c>
    </row>
    <row r="77" spans="1:67" x14ac:dyDescent="0.2">
      <c r="A77" s="511">
        <v>441480</v>
      </c>
      <c r="B77" s="467" t="s">
        <v>1244</v>
      </c>
      <c r="C77" s="512">
        <f t="shared" si="28"/>
        <v>0</v>
      </c>
      <c r="D77" s="512">
        <f>SUMIFS(PURCHASE!$K$6:$K$10008,PURCHASE!$A$6:$A$10008,$M$2,PURCHASE!$H$6:$H$10008,$A$4:$A$2700)</f>
        <v>0</v>
      </c>
      <c r="E77" s="512">
        <f>SUMIFS(PURCHASE!$L$6:$L$10008,PURCHASE!$A$6:$A$10008,$M$2,PURCHASE!$H$6:$H$10008,$A$4:$A$2700)</f>
        <v>0</v>
      </c>
      <c r="F77" s="512">
        <f>SUMIFS(PURCHASE!$M$6:$M$10008,PURCHASE!$A$6:$A$10008,$M$2,PURCHASE!$H$6:$H$10008,$A$4:$A$2700)</f>
        <v>0</v>
      </c>
      <c r="G77" s="512">
        <f>SUMIFS(PURCHASE!$N$6:$N$10008,PURCHASE!$A$6:$A$10008,$M$2,PURCHASE!$H$6:$H$10008,$A$4:$A$2700)</f>
        <v>0</v>
      </c>
      <c r="H77" s="512">
        <f t="shared" si="29"/>
        <v>482489.59999999998</v>
      </c>
      <c r="I77" s="512">
        <f>SUMIFS(PURCHASE!$K$6:$K$10008,PURCHASE!$A$6:$A$10008,$H$2,PURCHASE!$H$6:$H$10008,$A$4:$A$2700)</f>
        <v>376945</v>
      </c>
      <c r="J77" s="512">
        <f>SUMIFS(PURCHASE!$L$6:$L$10008,PURCHASE!$A$6:$A$10008,$H$2,PURCHASE!$H$6:$H$10008,$A$4:$A$2700)</f>
        <v>0</v>
      </c>
      <c r="K77" s="512">
        <f>SUMIFS(PURCHASE!$M$6:$M$10008,PURCHASE!$A$6:$A$10008,$H$2,PURCHASE!$H$6:$H$10008,$A$4:$A$2700)</f>
        <v>52772.299999999996</v>
      </c>
      <c r="L77" s="512">
        <f>SUMIFS(PURCHASE!$N$6:$N$10008,PURCHASE!$A$6:$A$10008,$H$2,PURCHASE!$H$6:$H$10008,$A$4:$A$2700)</f>
        <v>52772.299999999996</v>
      </c>
      <c r="M77" s="512">
        <f t="shared" si="30"/>
        <v>0</v>
      </c>
      <c r="N77" s="512">
        <f>SUMIFS(PURCHASE!$K$6:$K$10008,PURCHASE!$A$6:$A$10008,$M$2,PURCHASE!$H$6:$H$10008,$A$4:$A$2700)</f>
        <v>0</v>
      </c>
      <c r="O77" s="512">
        <f>SUMIFS(PURCHASE!$L$6:$L$10008,PURCHASE!$A$6:$A$10008,$M$2,PURCHASE!$H$6:$H$10008,$A$4:$A$2700)</f>
        <v>0</v>
      </c>
      <c r="P77" s="512">
        <f>SUMIFS(PURCHASE!$M$6:$M$10008,PURCHASE!$A$6:$A$10008,$M$2,PURCHASE!$H$6:$H$10008,$A$4:$A$2700)</f>
        <v>0</v>
      </c>
      <c r="Q77" s="512">
        <f>SUMIFS(PURCHASE!$N$6:$N$10008,PURCHASE!$A$6:$A$10008,$M$2,PURCHASE!$H$6:$H$10008,$A$4:$A$2700)</f>
        <v>0</v>
      </c>
      <c r="R77" s="512">
        <f t="shared" si="31"/>
        <v>0</v>
      </c>
      <c r="S77" s="512">
        <f>SUMIFS(PURCHASE!$K$6:$K$10008,PURCHASE!$A$6:$A$10008,$R$2,PURCHASE!$H$6:$H$10008,$A$4:$A$2700)</f>
        <v>0</v>
      </c>
      <c r="T77" s="512">
        <f>SUMIFS(PURCHASE!$L$6:$L$10008,PURCHASE!$A$6:$A$10008,$R$2,PURCHASE!$H$6:$H$10008,$A$4:$A$2700)</f>
        <v>0</v>
      </c>
      <c r="U77" s="512">
        <f>SUMIFS(PURCHASE!$M$6:$M$10008,PURCHASE!$A$6:$A$10008,$R$2,PURCHASE!$H$6:$H$10008,$A$4:$A$2700)</f>
        <v>0</v>
      </c>
      <c r="V77" s="512">
        <f>SUMIFS(PURCHASE!$N$6:$N$10008,PURCHASE!$A$6:$A$10008,$R$2,PURCHASE!$H$6:$H$10008,$A$4:$A$2700)</f>
        <v>0</v>
      </c>
      <c r="W77" s="512">
        <f t="shared" si="32"/>
        <v>0</v>
      </c>
      <c r="X77" s="512">
        <f>SUMIFS(PURCHASE!$K$6:$K$10008,PURCHASE!$A$6:$A$10008,$W$2,PURCHASE!$H$6:$H$10008,$A$4:$A$2700)</f>
        <v>0</v>
      </c>
      <c r="Y77" s="512">
        <f>SUMIFS(PURCHASE!$L$6:$L$10008,PURCHASE!$A$6:$A$10008,$W$2,PURCHASE!$H$6:$H$10008,$A$4:$A$2700)</f>
        <v>0</v>
      </c>
      <c r="Z77" s="512">
        <f>SUMIFS(PURCHASE!$M$6:$M$10008,PURCHASE!$A$6:$A$10008,$W$2,PURCHASE!$H$6:$H$10008,$A$4:$A$2700)</f>
        <v>0</v>
      </c>
      <c r="AA77" s="512">
        <f>SUMIFS(PURCHASE!$N$6:$N$10008,PURCHASE!$A$6:$A$10008,$W$2,PURCHASE!$H$6:$H$10008,$A$4:$A$2700)</f>
        <v>0</v>
      </c>
      <c r="AB77" s="512">
        <f t="shared" si="33"/>
        <v>0</v>
      </c>
      <c r="AC77" s="512">
        <f>SUMIFS(PURCHASE!$K$6:$K$10008,PURCHASE!$A$6:$A$10008,$AB$2,PURCHASE!$H$6:$H$10008,$A$4:$A$2700)</f>
        <v>0</v>
      </c>
      <c r="AD77" s="512">
        <f>SUMIFS(PURCHASE!$L$6:$L$10008,PURCHASE!$A$6:$A$10008,$AB$2,PURCHASE!$H$6:$H$10008,$A$4:$A$2700)</f>
        <v>0</v>
      </c>
      <c r="AE77" s="512">
        <f>SUMIFS(PURCHASE!$M$6:$M$10008,PURCHASE!$A$6:$A$10008,$AB$2,PURCHASE!$H$6:$H$10008,$A$4:$A$2700)</f>
        <v>0</v>
      </c>
      <c r="AF77" s="512">
        <f>SUMIFS(PURCHASE!$N$6:$N$10008,PURCHASE!$A$6:$A$10008,$AB$2,PURCHASE!$H$6:$H$10008,$A$4:$A$2700)</f>
        <v>0</v>
      </c>
      <c r="AG77" s="512">
        <f t="shared" si="34"/>
        <v>0</v>
      </c>
      <c r="AH77" s="512">
        <f>SUMIFS(PURCHASE!$K$6:$K$10008,PURCHASE!$A$6:$A$10008,$AG$2,PURCHASE!$H$6:$H$10008,$A$4:$A$2700)</f>
        <v>0</v>
      </c>
      <c r="AI77" s="512">
        <f>SUMIFS(PURCHASE!$L$6:$L$10008,PURCHASE!$A$6:$A$10008,$AG$2,PURCHASE!$H$6:$H$10008,$A$4:$A$2700)</f>
        <v>0</v>
      </c>
      <c r="AJ77" s="512">
        <f>SUMIFS(PURCHASE!$M$6:$M$10008,PURCHASE!$A$6:$A$10008,$AG$2,PURCHASE!$H$6:$H$10008,$A$4:$A$2700)</f>
        <v>0</v>
      </c>
      <c r="AK77" s="512">
        <f>SUMIFS(PURCHASE!$N$6:$N$10008,PURCHASE!$A$6:$A$10008,$AG$2,PURCHASE!$H$6:$H$10008,$A$4:$A$2700)</f>
        <v>0</v>
      </c>
      <c r="AL77" s="512">
        <f t="shared" si="35"/>
        <v>0</v>
      </c>
      <c r="AM77" s="512">
        <f>SUMIFS(PURCHASE!$K$6:$K$10008,PURCHASE!$A$6:$A$10008,$AL$2,PURCHASE!$H$6:$H$10008,$A$4:$A$2700)</f>
        <v>0</v>
      </c>
      <c r="AN77" s="512">
        <f>SUMIFS(PURCHASE!$L$6:$L$10008,PURCHASE!$A$6:$A$10008,$AL$2,PURCHASE!$H$6:$H$10008,$A$4:$A$2700)</f>
        <v>0</v>
      </c>
      <c r="AO77" s="512">
        <f>SUMIFS(PURCHASE!$M$6:$M$10008,PURCHASE!$A$6:$A$10008,$AL$2,PURCHASE!$H$6:$H$10008,$A$4:$A$2700)</f>
        <v>0</v>
      </c>
      <c r="AP77" s="512">
        <f>SUMIFS(PURCHASE!$N$6:$N$10008,PURCHASE!$A$6:$A$10008,$AL$2,PURCHASE!$H$6:$H$10008,$A$4:$A$2700)</f>
        <v>0</v>
      </c>
      <c r="AQ77" s="512">
        <f t="shared" si="36"/>
        <v>0</v>
      </c>
      <c r="AR77" s="512">
        <f>SUMIFS(PURCHASE!$K$6:$K$10008,PURCHASE!$A$6:$A$10008,$AQ$2,PURCHASE!$H$6:$H$10008,$A$4:$A$2700)</f>
        <v>0</v>
      </c>
      <c r="AS77" s="512">
        <f>SUMIFS(PURCHASE!$L$6:$L$10008,PURCHASE!$A$6:$A$10008,$AQ$2,PURCHASE!$H$6:$H$10008,$A$4:$A$2700)</f>
        <v>0</v>
      </c>
      <c r="AT77" s="512">
        <f>SUMIFS(PURCHASE!$M$6:$M$10008,PURCHASE!$A$6:$A$10008,$AQ$2,PURCHASE!$H$6:$H$10008,$A$4:$A$2700)</f>
        <v>0</v>
      </c>
      <c r="AU77" s="512">
        <f>SUMIFS(PURCHASE!$N$6:$N$10008,PURCHASE!$A$6:$A$10008,$AQ$2,PURCHASE!$H$6:$H$10008,$A$4:$A$2700)</f>
        <v>0</v>
      </c>
      <c r="AV77" s="512">
        <f t="shared" si="37"/>
        <v>0</v>
      </c>
      <c r="AW77" s="512">
        <f>SUMIFS(PURCHASE!$K$6:$K$10008,PURCHASE!$A$6:$A$10008,$AV$2,PURCHASE!$H$6:$H$10008,$A$4:$A$2700)</f>
        <v>0</v>
      </c>
      <c r="AX77" s="512">
        <f>SUMIFS(PURCHASE!$L$6:$L$10008,PURCHASE!$A$6:$A$10008,$AV$2,PURCHASE!$H$6:$H$10008,$A$4:$A$2700)</f>
        <v>0</v>
      </c>
      <c r="AY77" s="512">
        <f>SUMIFS(PURCHASE!$M$6:$M$10008,PURCHASE!$A$6:$A$10008,$AV$2,PURCHASE!$H$6:$H$10008,$A$4:$A$2700)</f>
        <v>0</v>
      </c>
      <c r="AZ77" s="512">
        <f>SUMIFS(PURCHASE!$N$6:$N$10008,PURCHASE!$A$6:$A$10008,$AV$2,PURCHASE!$H$6:$H$10008,$A$4:$A$2700)</f>
        <v>0</v>
      </c>
      <c r="BA77" s="512">
        <f t="shared" si="38"/>
        <v>0</v>
      </c>
      <c r="BB77" s="512">
        <f>SUMIFS(PURCHASE!$K$6:$K$10008,PURCHASE!$A$6:$A$10008,$BA$2,PURCHASE!$H$6:$H$10008,$A$4:$A$2700)</f>
        <v>0</v>
      </c>
      <c r="BC77" s="512">
        <f>SUMIFS(PURCHASE!$L$6:$L$10008,PURCHASE!$A$6:$A$10008,$BA$2,PURCHASE!$H$6:$H$10008,$A$4:$A$2700)</f>
        <v>0</v>
      </c>
      <c r="BD77" s="512">
        <f>SUMIFS(PURCHASE!$M$6:$M$10008,PURCHASE!$A$6:$A$10008,$BA$2,PURCHASE!$H$6:$H$10008,$A$4:$A$2700)</f>
        <v>0</v>
      </c>
      <c r="BE77" s="512">
        <f>SUMIFS(PURCHASE!$N$6:$N$10008,PURCHASE!$A$6:$A$10008,$BA$2,PURCHASE!$H$6:$H$10008,$A$4:$A$2700)</f>
        <v>0</v>
      </c>
      <c r="BF77" s="512">
        <f t="shared" si="39"/>
        <v>0</v>
      </c>
      <c r="BG77" s="512">
        <f>SUMIFS(PURCHASE!$K$6:$K$10008,PURCHASE!$A$6:$A$10008,$BF$2,PURCHASE!$H$6:$H$10008,$A$4:$A$2700)</f>
        <v>0</v>
      </c>
      <c r="BH77" s="512">
        <f>SUMIFS(PURCHASE!$L$6:$L$10008,PURCHASE!$A$6:$A$10008,$BF$2,PURCHASE!$H$6:$H$10008,$A$4:$A$2700)</f>
        <v>0</v>
      </c>
      <c r="BI77" s="512">
        <f>SUMIFS(PURCHASE!$M$6:$M$10008,PURCHASE!$A$6:$A$10008,$BF$2,PURCHASE!$H$6:$H$10008,$A$4:$A$2700)</f>
        <v>0</v>
      </c>
      <c r="BJ77" s="512">
        <f>SUMIFS(PURCHASE!$N$6:$N$10008,PURCHASE!$A$6:$A$10008,$BF$2,PURCHASE!$H$6:$H$10008,$A$4:$A$2700)</f>
        <v>0</v>
      </c>
      <c r="BK77" s="72">
        <f t="shared" si="23"/>
        <v>482489.59999999998</v>
      </c>
      <c r="BL77" s="72">
        <f t="shared" si="24"/>
        <v>376945</v>
      </c>
      <c r="BM77" s="72">
        <f t="shared" si="25"/>
        <v>0</v>
      </c>
      <c r="BN77" s="72">
        <f t="shared" si="26"/>
        <v>52772.299999999996</v>
      </c>
      <c r="BO77" s="72">
        <f t="shared" si="27"/>
        <v>52772.299999999996</v>
      </c>
    </row>
    <row r="78" spans="1:67" x14ac:dyDescent="0.2">
      <c r="A78" s="511">
        <v>846799</v>
      </c>
      <c r="B78" s="467" t="s">
        <v>1245</v>
      </c>
      <c r="C78" s="512">
        <f t="shared" si="28"/>
        <v>0</v>
      </c>
      <c r="D78" s="512">
        <f>SUMIFS(PURCHASE!$K$6:$K$10008,PURCHASE!$A$6:$A$10008,$M$2,PURCHASE!$H$6:$H$10008,$A$4:$A$2700)</f>
        <v>0</v>
      </c>
      <c r="E78" s="512">
        <f>SUMIFS(PURCHASE!$L$6:$L$10008,PURCHASE!$A$6:$A$10008,$M$2,PURCHASE!$H$6:$H$10008,$A$4:$A$2700)</f>
        <v>0</v>
      </c>
      <c r="F78" s="512">
        <f>SUMIFS(PURCHASE!$M$6:$M$10008,PURCHASE!$A$6:$A$10008,$M$2,PURCHASE!$H$6:$H$10008,$A$4:$A$2700)</f>
        <v>0</v>
      </c>
      <c r="G78" s="512">
        <f>SUMIFS(PURCHASE!$N$6:$N$10008,PURCHASE!$A$6:$A$10008,$M$2,PURCHASE!$H$6:$H$10008,$A$4:$A$2700)</f>
        <v>0</v>
      </c>
      <c r="H78" s="512">
        <f t="shared" si="29"/>
        <v>0</v>
      </c>
      <c r="I78" s="512">
        <f>SUMIFS(PURCHASE!$K$6:$K$10008,PURCHASE!$A$6:$A$10008,$H$2,PURCHASE!$H$6:$H$10008,$A$4:$A$2700)</f>
        <v>0</v>
      </c>
      <c r="J78" s="512">
        <f>SUMIFS(PURCHASE!$L$6:$L$10008,PURCHASE!$A$6:$A$10008,$H$2,PURCHASE!$H$6:$H$10008,$A$4:$A$2700)</f>
        <v>0</v>
      </c>
      <c r="K78" s="512">
        <f>SUMIFS(PURCHASE!$M$6:$M$10008,PURCHASE!$A$6:$A$10008,$H$2,PURCHASE!$H$6:$H$10008,$A$4:$A$2700)</f>
        <v>0</v>
      </c>
      <c r="L78" s="512">
        <f>SUMIFS(PURCHASE!$N$6:$N$10008,PURCHASE!$A$6:$A$10008,$H$2,PURCHASE!$H$6:$H$10008,$A$4:$A$2700)</f>
        <v>0</v>
      </c>
      <c r="M78" s="512">
        <f t="shared" si="30"/>
        <v>0</v>
      </c>
      <c r="N78" s="512">
        <f>SUMIFS(PURCHASE!$K$6:$K$10008,PURCHASE!$A$6:$A$10008,$M$2,PURCHASE!$H$6:$H$10008,$A$4:$A$2700)</f>
        <v>0</v>
      </c>
      <c r="O78" s="512">
        <f>SUMIFS(PURCHASE!$L$6:$L$10008,PURCHASE!$A$6:$A$10008,$M$2,PURCHASE!$H$6:$H$10008,$A$4:$A$2700)</f>
        <v>0</v>
      </c>
      <c r="P78" s="512">
        <f>SUMIFS(PURCHASE!$M$6:$M$10008,PURCHASE!$A$6:$A$10008,$M$2,PURCHASE!$H$6:$H$10008,$A$4:$A$2700)</f>
        <v>0</v>
      </c>
      <c r="Q78" s="512">
        <f>SUMIFS(PURCHASE!$N$6:$N$10008,PURCHASE!$A$6:$A$10008,$M$2,PURCHASE!$H$6:$H$10008,$A$4:$A$2700)</f>
        <v>0</v>
      </c>
      <c r="R78" s="512">
        <f t="shared" si="31"/>
        <v>0</v>
      </c>
      <c r="S78" s="512">
        <f>SUMIFS(PURCHASE!$K$6:$K$10008,PURCHASE!$A$6:$A$10008,$R$2,PURCHASE!$H$6:$H$10008,$A$4:$A$2700)</f>
        <v>0</v>
      </c>
      <c r="T78" s="512">
        <f>SUMIFS(PURCHASE!$L$6:$L$10008,PURCHASE!$A$6:$A$10008,$R$2,PURCHASE!$H$6:$H$10008,$A$4:$A$2700)</f>
        <v>0</v>
      </c>
      <c r="U78" s="512">
        <f>SUMIFS(PURCHASE!$M$6:$M$10008,PURCHASE!$A$6:$A$10008,$R$2,PURCHASE!$H$6:$H$10008,$A$4:$A$2700)</f>
        <v>0</v>
      </c>
      <c r="V78" s="512">
        <f>SUMIFS(PURCHASE!$N$6:$N$10008,PURCHASE!$A$6:$A$10008,$R$2,PURCHASE!$H$6:$H$10008,$A$4:$A$2700)</f>
        <v>0</v>
      </c>
      <c r="W78" s="512">
        <f t="shared" si="32"/>
        <v>0</v>
      </c>
      <c r="X78" s="512">
        <f>SUMIFS(PURCHASE!$K$6:$K$10008,PURCHASE!$A$6:$A$10008,$W$2,PURCHASE!$H$6:$H$10008,$A$4:$A$2700)</f>
        <v>0</v>
      </c>
      <c r="Y78" s="512">
        <f>SUMIFS(PURCHASE!$L$6:$L$10008,PURCHASE!$A$6:$A$10008,$W$2,PURCHASE!$H$6:$H$10008,$A$4:$A$2700)</f>
        <v>0</v>
      </c>
      <c r="Z78" s="512">
        <f>SUMIFS(PURCHASE!$M$6:$M$10008,PURCHASE!$A$6:$A$10008,$W$2,PURCHASE!$H$6:$H$10008,$A$4:$A$2700)</f>
        <v>0</v>
      </c>
      <c r="AA78" s="512">
        <f>SUMIFS(PURCHASE!$N$6:$N$10008,PURCHASE!$A$6:$A$10008,$W$2,PURCHASE!$H$6:$H$10008,$A$4:$A$2700)</f>
        <v>0</v>
      </c>
      <c r="AB78" s="512">
        <f t="shared" si="33"/>
        <v>0</v>
      </c>
      <c r="AC78" s="512">
        <f>SUMIFS(PURCHASE!$K$6:$K$10008,PURCHASE!$A$6:$A$10008,$AB$2,PURCHASE!$H$6:$H$10008,$A$4:$A$2700)</f>
        <v>0</v>
      </c>
      <c r="AD78" s="512">
        <f>SUMIFS(PURCHASE!$L$6:$L$10008,PURCHASE!$A$6:$A$10008,$AB$2,PURCHASE!$H$6:$H$10008,$A$4:$A$2700)</f>
        <v>0</v>
      </c>
      <c r="AE78" s="512">
        <f>SUMIFS(PURCHASE!$M$6:$M$10008,PURCHASE!$A$6:$A$10008,$AB$2,PURCHASE!$H$6:$H$10008,$A$4:$A$2700)</f>
        <v>0</v>
      </c>
      <c r="AF78" s="512">
        <f>SUMIFS(PURCHASE!$N$6:$N$10008,PURCHASE!$A$6:$A$10008,$AB$2,PURCHASE!$H$6:$H$10008,$A$4:$A$2700)</f>
        <v>0</v>
      </c>
      <c r="AG78" s="512">
        <f t="shared" si="34"/>
        <v>0</v>
      </c>
      <c r="AH78" s="512">
        <f>SUMIFS(PURCHASE!$K$6:$K$10008,PURCHASE!$A$6:$A$10008,$AG$2,PURCHASE!$H$6:$H$10008,$A$4:$A$2700)</f>
        <v>0</v>
      </c>
      <c r="AI78" s="512">
        <f>SUMIFS(PURCHASE!$L$6:$L$10008,PURCHASE!$A$6:$A$10008,$AG$2,PURCHASE!$H$6:$H$10008,$A$4:$A$2700)</f>
        <v>0</v>
      </c>
      <c r="AJ78" s="512">
        <f>SUMIFS(PURCHASE!$M$6:$M$10008,PURCHASE!$A$6:$A$10008,$AG$2,PURCHASE!$H$6:$H$10008,$A$4:$A$2700)</f>
        <v>0</v>
      </c>
      <c r="AK78" s="512">
        <f>SUMIFS(PURCHASE!$N$6:$N$10008,PURCHASE!$A$6:$A$10008,$AG$2,PURCHASE!$H$6:$H$10008,$A$4:$A$2700)</f>
        <v>0</v>
      </c>
      <c r="AL78" s="512">
        <f t="shared" si="35"/>
        <v>0</v>
      </c>
      <c r="AM78" s="512">
        <f>SUMIFS(PURCHASE!$K$6:$K$10008,PURCHASE!$A$6:$A$10008,$AL$2,PURCHASE!$H$6:$H$10008,$A$4:$A$2700)</f>
        <v>0</v>
      </c>
      <c r="AN78" s="512">
        <f>SUMIFS(PURCHASE!$L$6:$L$10008,PURCHASE!$A$6:$A$10008,$AL$2,PURCHASE!$H$6:$H$10008,$A$4:$A$2700)</f>
        <v>0</v>
      </c>
      <c r="AO78" s="512">
        <f>SUMIFS(PURCHASE!$M$6:$M$10008,PURCHASE!$A$6:$A$10008,$AL$2,PURCHASE!$H$6:$H$10008,$A$4:$A$2700)</f>
        <v>0</v>
      </c>
      <c r="AP78" s="512">
        <f>SUMIFS(PURCHASE!$N$6:$N$10008,PURCHASE!$A$6:$A$10008,$AL$2,PURCHASE!$H$6:$H$10008,$A$4:$A$2700)</f>
        <v>0</v>
      </c>
      <c r="AQ78" s="512">
        <f t="shared" si="36"/>
        <v>0</v>
      </c>
      <c r="AR78" s="512">
        <f>SUMIFS(PURCHASE!$K$6:$K$10008,PURCHASE!$A$6:$A$10008,$AQ$2,PURCHASE!$H$6:$H$10008,$A$4:$A$2700)</f>
        <v>0</v>
      </c>
      <c r="AS78" s="512">
        <f>SUMIFS(PURCHASE!$L$6:$L$10008,PURCHASE!$A$6:$A$10008,$AQ$2,PURCHASE!$H$6:$H$10008,$A$4:$A$2700)</f>
        <v>0</v>
      </c>
      <c r="AT78" s="512">
        <f>SUMIFS(PURCHASE!$M$6:$M$10008,PURCHASE!$A$6:$A$10008,$AQ$2,PURCHASE!$H$6:$H$10008,$A$4:$A$2700)</f>
        <v>0</v>
      </c>
      <c r="AU78" s="512">
        <f>SUMIFS(PURCHASE!$N$6:$N$10008,PURCHASE!$A$6:$A$10008,$AQ$2,PURCHASE!$H$6:$H$10008,$A$4:$A$2700)</f>
        <v>0</v>
      </c>
      <c r="AV78" s="512">
        <f t="shared" si="37"/>
        <v>0</v>
      </c>
      <c r="AW78" s="512">
        <f>SUMIFS(PURCHASE!$K$6:$K$10008,PURCHASE!$A$6:$A$10008,$AV$2,PURCHASE!$H$6:$H$10008,$A$4:$A$2700)</f>
        <v>0</v>
      </c>
      <c r="AX78" s="512">
        <f>SUMIFS(PURCHASE!$L$6:$L$10008,PURCHASE!$A$6:$A$10008,$AV$2,PURCHASE!$H$6:$H$10008,$A$4:$A$2700)</f>
        <v>0</v>
      </c>
      <c r="AY78" s="512">
        <f>SUMIFS(PURCHASE!$M$6:$M$10008,PURCHASE!$A$6:$A$10008,$AV$2,PURCHASE!$H$6:$H$10008,$A$4:$A$2700)</f>
        <v>0</v>
      </c>
      <c r="AZ78" s="512">
        <f>SUMIFS(PURCHASE!$N$6:$N$10008,PURCHASE!$A$6:$A$10008,$AV$2,PURCHASE!$H$6:$H$10008,$A$4:$A$2700)</f>
        <v>0</v>
      </c>
      <c r="BA78" s="512">
        <f t="shared" si="38"/>
        <v>0</v>
      </c>
      <c r="BB78" s="512">
        <f>SUMIFS(PURCHASE!$K$6:$K$10008,PURCHASE!$A$6:$A$10008,$BA$2,PURCHASE!$H$6:$H$10008,$A$4:$A$2700)</f>
        <v>0</v>
      </c>
      <c r="BC78" s="512">
        <f>SUMIFS(PURCHASE!$L$6:$L$10008,PURCHASE!$A$6:$A$10008,$BA$2,PURCHASE!$H$6:$H$10008,$A$4:$A$2700)</f>
        <v>0</v>
      </c>
      <c r="BD78" s="512">
        <f>SUMIFS(PURCHASE!$M$6:$M$10008,PURCHASE!$A$6:$A$10008,$BA$2,PURCHASE!$H$6:$H$10008,$A$4:$A$2700)</f>
        <v>0</v>
      </c>
      <c r="BE78" s="512">
        <f>SUMIFS(PURCHASE!$N$6:$N$10008,PURCHASE!$A$6:$A$10008,$BA$2,PURCHASE!$H$6:$H$10008,$A$4:$A$2700)</f>
        <v>0</v>
      </c>
      <c r="BF78" s="512">
        <f t="shared" si="39"/>
        <v>0</v>
      </c>
      <c r="BG78" s="512">
        <f>SUMIFS(PURCHASE!$K$6:$K$10008,PURCHASE!$A$6:$A$10008,$BF$2,PURCHASE!$H$6:$H$10008,$A$4:$A$2700)</f>
        <v>0</v>
      </c>
      <c r="BH78" s="512">
        <f>SUMIFS(PURCHASE!$L$6:$L$10008,PURCHASE!$A$6:$A$10008,$BF$2,PURCHASE!$H$6:$H$10008,$A$4:$A$2700)</f>
        <v>0</v>
      </c>
      <c r="BI78" s="512">
        <f>SUMIFS(PURCHASE!$M$6:$M$10008,PURCHASE!$A$6:$A$10008,$BF$2,PURCHASE!$H$6:$H$10008,$A$4:$A$2700)</f>
        <v>0</v>
      </c>
      <c r="BJ78" s="512">
        <f>SUMIFS(PURCHASE!$N$6:$N$10008,PURCHASE!$A$6:$A$10008,$BF$2,PURCHASE!$H$6:$H$10008,$A$4:$A$2700)</f>
        <v>0</v>
      </c>
      <c r="BK78" s="72">
        <f t="shared" si="23"/>
        <v>0</v>
      </c>
      <c r="BL78" s="72">
        <f t="shared" si="24"/>
        <v>0</v>
      </c>
      <c r="BM78" s="72">
        <f t="shared" si="25"/>
        <v>0</v>
      </c>
      <c r="BN78" s="72">
        <f t="shared" si="26"/>
        <v>0</v>
      </c>
      <c r="BO78" s="72">
        <f t="shared" si="27"/>
        <v>0</v>
      </c>
    </row>
    <row r="79" spans="1:67" x14ac:dyDescent="0.2">
      <c r="A79" s="511">
        <v>998346</v>
      </c>
      <c r="B79" s="513" t="s">
        <v>1246</v>
      </c>
      <c r="C79" s="512">
        <f t="shared" si="28"/>
        <v>0</v>
      </c>
      <c r="D79" s="512">
        <f>SUMIFS(PURCHASE!$K$6:$K$10008,PURCHASE!$A$6:$A$10008,$M$2,PURCHASE!$H$6:$H$10008,$A$4:$A$2700)</f>
        <v>0</v>
      </c>
      <c r="E79" s="512">
        <f>SUMIFS(PURCHASE!$L$6:$L$10008,PURCHASE!$A$6:$A$10008,$M$2,PURCHASE!$H$6:$H$10008,$A$4:$A$2700)</f>
        <v>0</v>
      </c>
      <c r="F79" s="512">
        <f>SUMIFS(PURCHASE!$M$6:$M$10008,PURCHASE!$A$6:$A$10008,$M$2,PURCHASE!$H$6:$H$10008,$A$4:$A$2700)</f>
        <v>0</v>
      </c>
      <c r="G79" s="512">
        <f>SUMIFS(PURCHASE!$N$6:$N$10008,PURCHASE!$A$6:$A$10008,$M$2,PURCHASE!$H$6:$H$10008,$A$4:$A$2700)</f>
        <v>0</v>
      </c>
      <c r="H79" s="512">
        <f t="shared" si="29"/>
        <v>0</v>
      </c>
      <c r="I79" s="512">
        <f>SUMIFS(PURCHASE!$K$6:$K$10008,PURCHASE!$A$6:$A$10008,$H$2,PURCHASE!$H$6:$H$10008,$A$4:$A$2700)</f>
        <v>0</v>
      </c>
      <c r="J79" s="512">
        <f>SUMIFS(PURCHASE!$L$6:$L$10008,PURCHASE!$A$6:$A$10008,$H$2,PURCHASE!$H$6:$H$10008,$A$4:$A$2700)</f>
        <v>0</v>
      </c>
      <c r="K79" s="512">
        <f>SUMIFS(PURCHASE!$M$6:$M$10008,PURCHASE!$A$6:$A$10008,$H$2,PURCHASE!$H$6:$H$10008,$A$4:$A$2700)</f>
        <v>0</v>
      </c>
      <c r="L79" s="512">
        <f>SUMIFS(PURCHASE!$N$6:$N$10008,PURCHASE!$A$6:$A$10008,$H$2,PURCHASE!$H$6:$H$10008,$A$4:$A$2700)</f>
        <v>0</v>
      </c>
      <c r="M79" s="512">
        <f t="shared" si="30"/>
        <v>0</v>
      </c>
      <c r="N79" s="512">
        <f>SUMIFS(PURCHASE!$K$6:$K$10008,PURCHASE!$A$6:$A$10008,$M$2,PURCHASE!$H$6:$H$10008,$A$4:$A$2700)</f>
        <v>0</v>
      </c>
      <c r="O79" s="512">
        <f>SUMIFS(PURCHASE!$L$6:$L$10008,PURCHASE!$A$6:$A$10008,$M$2,PURCHASE!$H$6:$H$10008,$A$4:$A$2700)</f>
        <v>0</v>
      </c>
      <c r="P79" s="512">
        <f>SUMIFS(PURCHASE!$M$6:$M$10008,PURCHASE!$A$6:$A$10008,$M$2,PURCHASE!$H$6:$H$10008,$A$4:$A$2700)</f>
        <v>0</v>
      </c>
      <c r="Q79" s="512">
        <f>SUMIFS(PURCHASE!$N$6:$N$10008,PURCHASE!$A$6:$A$10008,$M$2,PURCHASE!$H$6:$H$10008,$A$4:$A$2700)</f>
        <v>0</v>
      </c>
      <c r="R79" s="512">
        <f t="shared" si="31"/>
        <v>0</v>
      </c>
      <c r="S79" s="512">
        <f>SUMIFS(PURCHASE!$K$6:$K$10008,PURCHASE!$A$6:$A$10008,$R$2,PURCHASE!$H$6:$H$10008,$A$4:$A$2700)</f>
        <v>0</v>
      </c>
      <c r="T79" s="512">
        <f>SUMIFS(PURCHASE!$L$6:$L$10008,PURCHASE!$A$6:$A$10008,$R$2,PURCHASE!$H$6:$H$10008,$A$4:$A$2700)</f>
        <v>0</v>
      </c>
      <c r="U79" s="512">
        <f>SUMIFS(PURCHASE!$M$6:$M$10008,PURCHASE!$A$6:$A$10008,$R$2,PURCHASE!$H$6:$H$10008,$A$4:$A$2700)</f>
        <v>0</v>
      </c>
      <c r="V79" s="512">
        <f>SUMIFS(PURCHASE!$N$6:$N$10008,PURCHASE!$A$6:$A$10008,$R$2,PURCHASE!$H$6:$H$10008,$A$4:$A$2700)</f>
        <v>0</v>
      </c>
      <c r="W79" s="512">
        <f t="shared" si="32"/>
        <v>11121.5</v>
      </c>
      <c r="X79" s="512">
        <f>SUMIFS(PURCHASE!$K$6:$K$10008,PURCHASE!$A$6:$A$10008,$W$2,PURCHASE!$H$6:$H$10008,$A$4:$A$2700)</f>
        <v>9425</v>
      </c>
      <c r="Y79" s="512">
        <f>SUMIFS(PURCHASE!$L$6:$L$10008,PURCHASE!$A$6:$A$10008,$W$2,PURCHASE!$H$6:$H$10008,$A$4:$A$2700)</f>
        <v>0</v>
      </c>
      <c r="Z79" s="512">
        <f>SUMIFS(PURCHASE!$M$6:$M$10008,PURCHASE!$A$6:$A$10008,$W$2,PURCHASE!$H$6:$H$10008,$A$4:$A$2700)</f>
        <v>848.25</v>
      </c>
      <c r="AA79" s="512">
        <f>SUMIFS(PURCHASE!$N$6:$N$10008,PURCHASE!$A$6:$A$10008,$W$2,PURCHASE!$H$6:$H$10008,$A$4:$A$2700)</f>
        <v>848.25</v>
      </c>
      <c r="AB79" s="512">
        <f t="shared" si="33"/>
        <v>0</v>
      </c>
      <c r="AC79" s="512">
        <f>SUMIFS(PURCHASE!$K$6:$K$10008,PURCHASE!$A$6:$A$10008,$AB$2,PURCHASE!$H$6:$H$10008,$A$4:$A$2700)</f>
        <v>0</v>
      </c>
      <c r="AD79" s="512">
        <f>SUMIFS(PURCHASE!$L$6:$L$10008,PURCHASE!$A$6:$A$10008,$AB$2,PURCHASE!$H$6:$H$10008,$A$4:$A$2700)</f>
        <v>0</v>
      </c>
      <c r="AE79" s="512">
        <f>SUMIFS(PURCHASE!$M$6:$M$10008,PURCHASE!$A$6:$A$10008,$AB$2,PURCHASE!$H$6:$H$10008,$A$4:$A$2700)</f>
        <v>0</v>
      </c>
      <c r="AF79" s="512">
        <f>SUMIFS(PURCHASE!$N$6:$N$10008,PURCHASE!$A$6:$A$10008,$AB$2,PURCHASE!$H$6:$H$10008,$A$4:$A$2700)</f>
        <v>0</v>
      </c>
      <c r="AG79" s="512">
        <f t="shared" si="34"/>
        <v>0</v>
      </c>
      <c r="AH79" s="512">
        <f>SUMIFS(PURCHASE!$K$6:$K$10008,PURCHASE!$A$6:$A$10008,$AG$2,PURCHASE!$H$6:$H$10008,$A$4:$A$2700)</f>
        <v>0</v>
      </c>
      <c r="AI79" s="512">
        <f>SUMIFS(PURCHASE!$L$6:$L$10008,PURCHASE!$A$6:$A$10008,$AG$2,PURCHASE!$H$6:$H$10008,$A$4:$A$2700)</f>
        <v>0</v>
      </c>
      <c r="AJ79" s="512">
        <f>SUMIFS(PURCHASE!$M$6:$M$10008,PURCHASE!$A$6:$A$10008,$AG$2,PURCHASE!$H$6:$H$10008,$A$4:$A$2700)</f>
        <v>0</v>
      </c>
      <c r="AK79" s="512">
        <f>SUMIFS(PURCHASE!$N$6:$N$10008,PURCHASE!$A$6:$A$10008,$AG$2,PURCHASE!$H$6:$H$10008,$A$4:$A$2700)</f>
        <v>0</v>
      </c>
      <c r="AL79" s="512">
        <f t="shared" si="35"/>
        <v>32845.300000000003</v>
      </c>
      <c r="AM79" s="512">
        <f>SUMIFS(PURCHASE!$K$6:$K$10008,PURCHASE!$A$6:$A$10008,$AL$2,PURCHASE!$H$6:$H$10008,$A$4:$A$2700)</f>
        <v>27835</v>
      </c>
      <c r="AN79" s="512">
        <f>SUMIFS(PURCHASE!$L$6:$L$10008,PURCHASE!$A$6:$A$10008,$AL$2,PURCHASE!$H$6:$H$10008,$A$4:$A$2700)</f>
        <v>0</v>
      </c>
      <c r="AO79" s="512">
        <f>SUMIFS(PURCHASE!$M$6:$M$10008,PURCHASE!$A$6:$A$10008,$AL$2,PURCHASE!$H$6:$H$10008,$A$4:$A$2700)</f>
        <v>2505.15</v>
      </c>
      <c r="AP79" s="512">
        <f>SUMIFS(PURCHASE!$N$6:$N$10008,PURCHASE!$A$6:$A$10008,$AL$2,PURCHASE!$H$6:$H$10008,$A$4:$A$2700)</f>
        <v>2505.15</v>
      </c>
      <c r="AQ79" s="512">
        <f t="shared" si="36"/>
        <v>0</v>
      </c>
      <c r="AR79" s="512">
        <f>SUMIFS(PURCHASE!$K$6:$K$10008,PURCHASE!$A$6:$A$10008,$AQ$2,PURCHASE!$H$6:$H$10008,$A$4:$A$2700)</f>
        <v>0</v>
      </c>
      <c r="AS79" s="512">
        <f>SUMIFS(PURCHASE!$L$6:$L$10008,PURCHASE!$A$6:$A$10008,$AQ$2,PURCHASE!$H$6:$H$10008,$A$4:$A$2700)</f>
        <v>0</v>
      </c>
      <c r="AT79" s="512">
        <f>SUMIFS(PURCHASE!$M$6:$M$10008,PURCHASE!$A$6:$A$10008,$AQ$2,PURCHASE!$H$6:$H$10008,$A$4:$A$2700)</f>
        <v>0</v>
      </c>
      <c r="AU79" s="512">
        <f>SUMIFS(PURCHASE!$N$6:$N$10008,PURCHASE!$A$6:$A$10008,$AQ$2,PURCHASE!$H$6:$H$10008,$A$4:$A$2700)</f>
        <v>0</v>
      </c>
      <c r="AV79" s="512">
        <f t="shared" si="37"/>
        <v>0</v>
      </c>
      <c r="AW79" s="512">
        <f>SUMIFS(PURCHASE!$K$6:$K$10008,PURCHASE!$A$6:$A$10008,$AV$2,PURCHASE!$H$6:$H$10008,$A$4:$A$2700)</f>
        <v>0</v>
      </c>
      <c r="AX79" s="512">
        <f>SUMIFS(PURCHASE!$L$6:$L$10008,PURCHASE!$A$6:$A$10008,$AV$2,PURCHASE!$H$6:$H$10008,$A$4:$A$2700)</f>
        <v>0</v>
      </c>
      <c r="AY79" s="512">
        <f>SUMIFS(PURCHASE!$M$6:$M$10008,PURCHASE!$A$6:$A$10008,$AV$2,PURCHASE!$H$6:$H$10008,$A$4:$A$2700)</f>
        <v>0</v>
      </c>
      <c r="AZ79" s="512">
        <f>SUMIFS(PURCHASE!$N$6:$N$10008,PURCHASE!$A$6:$A$10008,$AV$2,PURCHASE!$H$6:$H$10008,$A$4:$A$2700)</f>
        <v>0</v>
      </c>
      <c r="BA79" s="512">
        <f t="shared" si="38"/>
        <v>0</v>
      </c>
      <c r="BB79" s="512">
        <f>SUMIFS(PURCHASE!$K$6:$K$10008,PURCHASE!$A$6:$A$10008,$BA$2,PURCHASE!$H$6:$H$10008,$A$4:$A$2700)</f>
        <v>0</v>
      </c>
      <c r="BC79" s="512">
        <f>SUMIFS(PURCHASE!$L$6:$L$10008,PURCHASE!$A$6:$A$10008,$BA$2,PURCHASE!$H$6:$H$10008,$A$4:$A$2700)</f>
        <v>0</v>
      </c>
      <c r="BD79" s="512">
        <f>SUMIFS(PURCHASE!$M$6:$M$10008,PURCHASE!$A$6:$A$10008,$BA$2,PURCHASE!$H$6:$H$10008,$A$4:$A$2700)</f>
        <v>0</v>
      </c>
      <c r="BE79" s="512">
        <f>SUMIFS(PURCHASE!$N$6:$N$10008,PURCHASE!$A$6:$A$10008,$BA$2,PURCHASE!$H$6:$H$10008,$A$4:$A$2700)</f>
        <v>0</v>
      </c>
      <c r="BF79" s="512">
        <f t="shared" si="39"/>
        <v>0</v>
      </c>
      <c r="BG79" s="512">
        <f>SUMIFS(PURCHASE!$K$6:$K$10008,PURCHASE!$A$6:$A$10008,$BF$2,PURCHASE!$H$6:$H$10008,$A$4:$A$2700)</f>
        <v>0</v>
      </c>
      <c r="BH79" s="512">
        <f>SUMIFS(PURCHASE!$L$6:$L$10008,PURCHASE!$A$6:$A$10008,$BF$2,PURCHASE!$H$6:$H$10008,$A$4:$A$2700)</f>
        <v>0</v>
      </c>
      <c r="BI79" s="512">
        <f>SUMIFS(PURCHASE!$M$6:$M$10008,PURCHASE!$A$6:$A$10008,$BF$2,PURCHASE!$H$6:$H$10008,$A$4:$A$2700)</f>
        <v>0</v>
      </c>
      <c r="BJ79" s="512">
        <f>SUMIFS(PURCHASE!$N$6:$N$10008,PURCHASE!$A$6:$A$10008,$BF$2,PURCHASE!$H$6:$H$10008,$A$4:$A$2700)</f>
        <v>0</v>
      </c>
      <c r="BK79" s="72">
        <f t="shared" si="23"/>
        <v>43966.8</v>
      </c>
      <c r="BL79" s="72">
        <f t="shared" si="24"/>
        <v>37260</v>
      </c>
      <c r="BM79" s="72">
        <f t="shared" si="25"/>
        <v>0</v>
      </c>
      <c r="BN79" s="72">
        <f t="shared" si="26"/>
        <v>3353.4</v>
      </c>
      <c r="BO79" s="72">
        <f t="shared" si="27"/>
        <v>3353.4</v>
      </c>
    </row>
    <row r="80" spans="1:67" x14ac:dyDescent="0.2">
      <c r="A80" s="511">
        <v>998519</v>
      </c>
      <c r="B80" s="500" t="s">
        <v>1247</v>
      </c>
      <c r="C80" s="512">
        <f t="shared" si="28"/>
        <v>923970.67999999993</v>
      </c>
      <c r="D80" s="512">
        <f>SUMIFS(PURCHASE!$K$6:$K$10008,PURCHASE!$A$6:$A$10008,$M$2,PURCHASE!$H$6:$H$10008,$A$4:$A$2700)</f>
        <v>783026</v>
      </c>
      <c r="E80" s="512">
        <f>SUMIFS(PURCHASE!$L$6:$L$10008,PURCHASE!$A$6:$A$10008,$M$2,PURCHASE!$H$6:$H$10008,$A$4:$A$2700)</f>
        <v>0</v>
      </c>
      <c r="F80" s="512">
        <f>SUMIFS(PURCHASE!$M$6:$M$10008,PURCHASE!$A$6:$A$10008,$M$2,PURCHASE!$H$6:$H$10008,$A$4:$A$2700)</f>
        <v>70472.34</v>
      </c>
      <c r="G80" s="512">
        <f>SUMIFS(PURCHASE!$N$6:$N$10008,PURCHASE!$A$6:$A$10008,$M$2,PURCHASE!$H$6:$H$10008,$A$4:$A$2700)</f>
        <v>70472.34</v>
      </c>
      <c r="H80" s="512">
        <f t="shared" si="29"/>
        <v>797409.78</v>
      </c>
      <c r="I80" s="512">
        <f>SUMIFS(PURCHASE!$K$6:$K$10008,PURCHASE!$A$6:$A$10008,$H$2,PURCHASE!$H$6:$H$10008,$A$4:$A$2700)</f>
        <v>675771</v>
      </c>
      <c r="J80" s="512">
        <f>SUMIFS(PURCHASE!$L$6:$L$10008,PURCHASE!$A$6:$A$10008,$H$2,PURCHASE!$H$6:$H$10008,$A$4:$A$2700)</f>
        <v>0</v>
      </c>
      <c r="K80" s="512">
        <f>SUMIFS(PURCHASE!$M$6:$M$10008,PURCHASE!$A$6:$A$10008,$H$2,PURCHASE!$H$6:$H$10008,$A$4:$A$2700)</f>
        <v>60819.39</v>
      </c>
      <c r="L80" s="512">
        <f>SUMIFS(PURCHASE!$N$6:$N$10008,PURCHASE!$A$6:$A$10008,$H$2,PURCHASE!$H$6:$H$10008,$A$4:$A$2700)</f>
        <v>60819.39</v>
      </c>
      <c r="M80" s="512">
        <f t="shared" si="30"/>
        <v>923970.67999999993</v>
      </c>
      <c r="N80" s="512">
        <f>SUMIFS(PURCHASE!$K$6:$K$10008,PURCHASE!$A$6:$A$10008,$M$2,PURCHASE!$H$6:$H$10008,$A$4:$A$2700)</f>
        <v>783026</v>
      </c>
      <c r="O80" s="512">
        <f>SUMIFS(PURCHASE!$L$6:$L$10008,PURCHASE!$A$6:$A$10008,$M$2,PURCHASE!$H$6:$H$10008,$A$4:$A$2700)</f>
        <v>0</v>
      </c>
      <c r="P80" s="512">
        <f>SUMIFS(PURCHASE!$M$6:$M$10008,PURCHASE!$A$6:$A$10008,$M$2,PURCHASE!$H$6:$H$10008,$A$4:$A$2700)</f>
        <v>70472.34</v>
      </c>
      <c r="Q80" s="512">
        <f>SUMIFS(PURCHASE!$N$6:$N$10008,PURCHASE!$A$6:$A$10008,$M$2,PURCHASE!$H$6:$H$10008,$A$4:$A$2700)</f>
        <v>70472.34</v>
      </c>
      <c r="R80" s="512">
        <f t="shared" si="31"/>
        <v>970488.6399999999</v>
      </c>
      <c r="S80" s="512">
        <f>SUMIFS(PURCHASE!$K$6:$K$10008,PURCHASE!$A$6:$A$10008,$R$2,PURCHASE!$H$6:$H$10008,$A$4:$A$2700)</f>
        <v>822448</v>
      </c>
      <c r="T80" s="512">
        <f>SUMIFS(PURCHASE!$L$6:$L$10008,PURCHASE!$A$6:$A$10008,$R$2,PURCHASE!$H$6:$H$10008,$A$4:$A$2700)</f>
        <v>0</v>
      </c>
      <c r="U80" s="512">
        <f>SUMIFS(PURCHASE!$M$6:$M$10008,PURCHASE!$A$6:$A$10008,$R$2,PURCHASE!$H$6:$H$10008,$A$4:$A$2700)</f>
        <v>74020.319999999992</v>
      </c>
      <c r="V80" s="512">
        <f>SUMIFS(PURCHASE!$N$6:$N$10008,PURCHASE!$A$6:$A$10008,$R$2,PURCHASE!$H$6:$H$10008,$A$4:$A$2700)</f>
        <v>74020.319999999992</v>
      </c>
      <c r="W80" s="512">
        <f t="shared" si="32"/>
        <v>1114052.1599999999</v>
      </c>
      <c r="X80" s="512">
        <f>SUMIFS(PURCHASE!$K$6:$K$10008,PURCHASE!$A$6:$A$10008,$W$2,PURCHASE!$H$6:$H$10008,$A$4:$A$2700)</f>
        <v>944112</v>
      </c>
      <c r="Y80" s="512">
        <f>SUMIFS(PURCHASE!$L$6:$L$10008,PURCHASE!$A$6:$A$10008,$W$2,PURCHASE!$H$6:$H$10008,$A$4:$A$2700)</f>
        <v>0</v>
      </c>
      <c r="Z80" s="512">
        <f>SUMIFS(PURCHASE!$M$6:$M$10008,PURCHASE!$A$6:$A$10008,$W$2,PURCHASE!$H$6:$H$10008,$A$4:$A$2700)</f>
        <v>84970.08</v>
      </c>
      <c r="AA80" s="512">
        <f>SUMIFS(PURCHASE!$N$6:$N$10008,PURCHASE!$A$6:$A$10008,$W$2,PURCHASE!$H$6:$H$10008,$A$4:$A$2700)</f>
        <v>84970.08</v>
      </c>
      <c r="AB80" s="512">
        <f t="shared" si="33"/>
        <v>1027737.52</v>
      </c>
      <c r="AC80" s="512">
        <f>SUMIFS(PURCHASE!$K$6:$K$10008,PURCHASE!$A$6:$A$10008,$AB$2,PURCHASE!$H$6:$H$10008,$A$4:$A$2700)</f>
        <v>870964</v>
      </c>
      <c r="AD80" s="512">
        <f>SUMIFS(PURCHASE!$L$6:$L$10008,PURCHASE!$A$6:$A$10008,$AB$2,PURCHASE!$H$6:$H$10008,$A$4:$A$2700)</f>
        <v>0</v>
      </c>
      <c r="AE80" s="512">
        <f>SUMIFS(PURCHASE!$M$6:$M$10008,PURCHASE!$A$6:$A$10008,$AB$2,PURCHASE!$H$6:$H$10008,$A$4:$A$2700)</f>
        <v>78386.759999999995</v>
      </c>
      <c r="AF80" s="512">
        <f>SUMIFS(PURCHASE!$N$6:$N$10008,PURCHASE!$A$6:$A$10008,$AB$2,PURCHASE!$H$6:$H$10008,$A$4:$A$2700)</f>
        <v>78386.759999999995</v>
      </c>
      <c r="AG80" s="512">
        <f t="shared" si="34"/>
        <v>1712958.7999999998</v>
      </c>
      <c r="AH80" s="512">
        <f>SUMIFS(PURCHASE!$K$6:$K$10008,PURCHASE!$A$6:$A$10008,$AG$2,PURCHASE!$H$6:$H$10008,$A$4:$A$2700)</f>
        <v>1451660</v>
      </c>
      <c r="AI80" s="512">
        <f>SUMIFS(PURCHASE!$L$6:$L$10008,PURCHASE!$A$6:$A$10008,$AG$2,PURCHASE!$H$6:$H$10008,$A$4:$A$2700)</f>
        <v>0</v>
      </c>
      <c r="AJ80" s="512">
        <f>SUMIFS(PURCHASE!$M$6:$M$10008,PURCHASE!$A$6:$A$10008,$AG$2,PURCHASE!$H$6:$H$10008,$A$4:$A$2700)</f>
        <v>130649.40000000002</v>
      </c>
      <c r="AK80" s="512">
        <f>SUMIFS(PURCHASE!$N$6:$N$10008,PURCHASE!$A$6:$A$10008,$AG$2,PURCHASE!$H$6:$H$10008,$A$4:$A$2700)</f>
        <v>130649.40000000002</v>
      </c>
      <c r="AL80" s="512">
        <f t="shared" si="35"/>
        <v>976841.76</v>
      </c>
      <c r="AM80" s="512">
        <f>SUMIFS(PURCHASE!$K$6:$K$10008,PURCHASE!$A$6:$A$10008,$AL$2,PURCHASE!$H$6:$H$10008,$A$4:$A$2700)</f>
        <v>827832</v>
      </c>
      <c r="AN80" s="512">
        <f>SUMIFS(PURCHASE!$L$6:$L$10008,PURCHASE!$A$6:$A$10008,$AL$2,PURCHASE!$H$6:$H$10008,$A$4:$A$2700)</f>
        <v>0</v>
      </c>
      <c r="AO80" s="512">
        <f>SUMIFS(PURCHASE!$M$6:$M$10008,PURCHASE!$A$6:$A$10008,$AL$2,PURCHASE!$H$6:$H$10008,$A$4:$A$2700)</f>
        <v>74504.88</v>
      </c>
      <c r="AP80" s="512">
        <f>SUMIFS(PURCHASE!$N$6:$N$10008,PURCHASE!$A$6:$A$10008,$AL$2,PURCHASE!$H$6:$H$10008,$A$4:$A$2700)</f>
        <v>74504.88</v>
      </c>
      <c r="AQ80" s="512">
        <f t="shared" si="36"/>
        <v>827454.94</v>
      </c>
      <c r="AR80" s="512">
        <f>SUMIFS(PURCHASE!$K$6:$K$10008,PURCHASE!$A$6:$A$10008,$AQ$2,PURCHASE!$H$6:$H$10008,$A$4:$A$2700)</f>
        <v>701233</v>
      </c>
      <c r="AS80" s="512">
        <f>SUMIFS(PURCHASE!$L$6:$L$10008,PURCHASE!$A$6:$A$10008,$AQ$2,PURCHASE!$H$6:$H$10008,$A$4:$A$2700)</f>
        <v>0</v>
      </c>
      <c r="AT80" s="512">
        <f>SUMIFS(PURCHASE!$M$6:$M$10008,PURCHASE!$A$6:$A$10008,$AQ$2,PURCHASE!$H$6:$H$10008,$A$4:$A$2700)</f>
        <v>63110.97</v>
      </c>
      <c r="AU80" s="512">
        <f>SUMIFS(PURCHASE!$N$6:$N$10008,PURCHASE!$A$6:$A$10008,$AQ$2,PURCHASE!$H$6:$H$10008,$A$4:$A$2700)</f>
        <v>63110.97</v>
      </c>
      <c r="AV80" s="512">
        <f t="shared" si="37"/>
        <v>778201.74</v>
      </c>
      <c r="AW80" s="512">
        <f>SUMIFS(PURCHASE!$K$6:$K$10008,PURCHASE!$A$6:$A$10008,$AV$2,PURCHASE!$H$6:$H$10008,$A$4:$A$2700)</f>
        <v>659493</v>
      </c>
      <c r="AX80" s="512">
        <f>SUMIFS(PURCHASE!$L$6:$L$10008,PURCHASE!$A$6:$A$10008,$AV$2,PURCHASE!$H$6:$H$10008,$A$4:$A$2700)</f>
        <v>0</v>
      </c>
      <c r="AY80" s="512">
        <f>SUMIFS(PURCHASE!$M$6:$M$10008,PURCHASE!$A$6:$A$10008,$AV$2,PURCHASE!$H$6:$H$10008,$A$4:$A$2700)</f>
        <v>59354.37</v>
      </c>
      <c r="AZ80" s="512">
        <f>SUMIFS(PURCHASE!$N$6:$N$10008,PURCHASE!$A$6:$A$10008,$AV$2,PURCHASE!$H$6:$H$10008,$A$4:$A$2700)</f>
        <v>59354.37</v>
      </c>
      <c r="BA80" s="512">
        <f t="shared" si="38"/>
        <v>0</v>
      </c>
      <c r="BB80" s="512">
        <f>SUMIFS(PURCHASE!$K$6:$K$10008,PURCHASE!$A$6:$A$10008,$BA$2,PURCHASE!$H$6:$H$10008,$A$4:$A$2700)</f>
        <v>0</v>
      </c>
      <c r="BC80" s="512">
        <f>SUMIFS(PURCHASE!$L$6:$L$10008,PURCHASE!$A$6:$A$10008,$BA$2,PURCHASE!$H$6:$H$10008,$A$4:$A$2700)</f>
        <v>0</v>
      </c>
      <c r="BD80" s="512">
        <f>SUMIFS(PURCHASE!$M$6:$M$10008,PURCHASE!$A$6:$A$10008,$BA$2,PURCHASE!$H$6:$H$10008,$A$4:$A$2700)</f>
        <v>0</v>
      </c>
      <c r="BE80" s="512">
        <f>SUMIFS(PURCHASE!$N$6:$N$10008,PURCHASE!$A$6:$A$10008,$BA$2,PURCHASE!$H$6:$H$10008,$A$4:$A$2700)</f>
        <v>0</v>
      </c>
      <c r="BF80" s="512">
        <f t="shared" si="39"/>
        <v>0</v>
      </c>
      <c r="BG80" s="512">
        <f>SUMIFS(PURCHASE!$K$6:$K$10008,PURCHASE!$A$6:$A$10008,$BF$2,PURCHASE!$H$6:$H$10008,$A$4:$A$2700)</f>
        <v>0</v>
      </c>
      <c r="BH80" s="512">
        <f>SUMIFS(PURCHASE!$L$6:$L$10008,PURCHASE!$A$6:$A$10008,$BF$2,PURCHASE!$H$6:$H$10008,$A$4:$A$2700)</f>
        <v>0</v>
      </c>
      <c r="BI80" s="512">
        <f>SUMIFS(PURCHASE!$M$6:$M$10008,PURCHASE!$A$6:$A$10008,$BF$2,PURCHASE!$H$6:$H$10008,$A$4:$A$2700)</f>
        <v>0</v>
      </c>
      <c r="BJ80" s="512">
        <f>SUMIFS(PURCHASE!$N$6:$N$10008,PURCHASE!$A$6:$A$10008,$BF$2,PURCHASE!$H$6:$H$10008,$A$4:$A$2700)</f>
        <v>0</v>
      </c>
      <c r="BK80" s="72">
        <f t="shared" si="23"/>
        <v>10053086.699999999</v>
      </c>
      <c r="BL80" s="72">
        <f t="shared" si="24"/>
        <v>8519565</v>
      </c>
      <c r="BM80" s="72">
        <f t="shared" si="25"/>
        <v>0</v>
      </c>
      <c r="BN80" s="72">
        <f t="shared" si="26"/>
        <v>766760.85</v>
      </c>
      <c r="BO80" s="72">
        <f t="shared" si="27"/>
        <v>766760.85</v>
      </c>
    </row>
    <row r="81" spans="1:67" x14ac:dyDescent="0.2">
      <c r="A81" s="511">
        <v>998719</v>
      </c>
      <c r="B81" s="500" t="s">
        <v>1248</v>
      </c>
      <c r="C81" s="512">
        <f t="shared" si="28"/>
        <v>0</v>
      </c>
      <c r="D81" s="512">
        <f>SUMIFS(PURCHASE!$K$6:$K$10008,PURCHASE!$A$6:$A$10008,$M$2,PURCHASE!$H$6:$H$10008,$A$4:$A$2700)</f>
        <v>0</v>
      </c>
      <c r="E81" s="512">
        <f>SUMIFS(PURCHASE!$L$6:$L$10008,PURCHASE!$A$6:$A$10008,$M$2,PURCHASE!$H$6:$H$10008,$A$4:$A$2700)</f>
        <v>0</v>
      </c>
      <c r="F81" s="512">
        <f>SUMIFS(PURCHASE!$M$6:$M$10008,PURCHASE!$A$6:$A$10008,$M$2,PURCHASE!$H$6:$H$10008,$A$4:$A$2700)</f>
        <v>0</v>
      </c>
      <c r="G81" s="512">
        <f>SUMIFS(PURCHASE!$N$6:$N$10008,PURCHASE!$A$6:$A$10008,$M$2,PURCHASE!$H$6:$H$10008,$A$4:$A$2700)</f>
        <v>0</v>
      </c>
      <c r="H81" s="512">
        <f t="shared" si="29"/>
        <v>0</v>
      </c>
      <c r="I81" s="512">
        <f>SUMIFS(PURCHASE!$K$6:$K$10008,PURCHASE!$A$6:$A$10008,$H$2,PURCHASE!$H$6:$H$10008,$A$4:$A$2700)</f>
        <v>0</v>
      </c>
      <c r="J81" s="512">
        <f>SUMIFS(PURCHASE!$L$6:$L$10008,PURCHASE!$A$6:$A$10008,$H$2,PURCHASE!$H$6:$H$10008,$A$4:$A$2700)</f>
        <v>0</v>
      </c>
      <c r="K81" s="512">
        <f>SUMIFS(PURCHASE!$M$6:$M$10008,PURCHASE!$A$6:$A$10008,$H$2,PURCHASE!$H$6:$H$10008,$A$4:$A$2700)</f>
        <v>0</v>
      </c>
      <c r="L81" s="512">
        <f>SUMIFS(PURCHASE!$N$6:$N$10008,PURCHASE!$A$6:$A$10008,$H$2,PURCHASE!$H$6:$H$10008,$A$4:$A$2700)</f>
        <v>0</v>
      </c>
      <c r="M81" s="512">
        <f t="shared" si="30"/>
        <v>0</v>
      </c>
      <c r="N81" s="512">
        <f>SUMIFS(PURCHASE!$K$6:$K$10008,PURCHASE!$A$6:$A$10008,$M$2,PURCHASE!$H$6:$H$10008,$A$4:$A$2700)</f>
        <v>0</v>
      </c>
      <c r="O81" s="512">
        <f>SUMIFS(PURCHASE!$L$6:$L$10008,PURCHASE!$A$6:$A$10008,$M$2,PURCHASE!$H$6:$H$10008,$A$4:$A$2700)</f>
        <v>0</v>
      </c>
      <c r="P81" s="512">
        <f>SUMIFS(PURCHASE!$M$6:$M$10008,PURCHASE!$A$6:$A$10008,$M$2,PURCHASE!$H$6:$H$10008,$A$4:$A$2700)</f>
        <v>0</v>
      </c>
      <c r="Q81" s="512">
        <f>SUMIFS(PURCHASE!$N$6:$N$10008,PURCHASE!$A$6:$A$10008,$M$2,PURCHASE!$H$6:$H$10008,$A$4:$A$2700)</f>
        <v>0</v>
      </c>
      <c r="R81" s="512">
        <f t="shared" si="31"/>
        <v>0</v>
      </c>
      <c r="S81" s="512">
        <f>SUMIFS(PURCHASE!$K$6:$K$10008,PURCHASE!$A$6:$A$10008,$R$2,PURCHASE!$H$6:$H$10008,$A$4:$A$2700)</f>
        <v>0</v>
      </c>
      <c r="T81" s="512">
        <f>SUMIFS(PURCHASE!$L$6:$L$10008,PURCHASE!$A$6:$A$10008,$R$2,PURCHASE!$H$6:$H$10008,$A$4:$A$2700)</f>
        <v>0</v>
      </c>
      <c r="U81" s="512">
        <f>SUMIFS(PURCHASE!$M$6:$M$10008,PURCHASE!$A$6:$A$10008,$R$2,PURCHASE!$H$6:$H$10008,$A$4:$A$2700)</f>
        <v>0</v>
      </c>
      <c r="V81" s="512">
        <f>SUMIFS(PURCHASE!$N$6:$N$10008,PURCHASE!$A$6:$A$10008,$R$2,PURCHASE!$H$6:$H$10008,$A$4:$A$2700)</f>
        <v>0</v>
      </c>
      <c r="W81" s="512">
        <f t="shared" si="32"/>
        <v>0</v>
      </c>
      <c r="X81" s="512">
        <f>SUMIFS(PURCHASE!$K$6:$K$10008,PURCHASE!$A$6:$A$10008,$W$2,PURCHASE!$H$6:$H$10008,$A$4:$A$2700)</f>
        <v>0</v>
      </c>
      <c r="Y81" s="512">
        <f>SUMIFS(PURCHASE!$L$6:$L$10008,PURCHASE!$A$6:$A$10008,$W$2,PURCHASE!$H$6:$H$10008,$A$4:$A$2700)</f>
        <v>0</v>
      </c>
      <c r="Z81" s="512">
        <f>SUMIFS(PURCHASE!$M$6:$M$10008,PURCHASE!$A$6:$A$10008,$W$2,PURCHASE!$H$6:$H$10008,$A$4:$A$2700)</f>
        <v>0</v>
      </c>
      <c r="AA81" s="512">
        <f>SUMIFS(PURCHASE!$N$6:$N$10008,PURCHASE!$A$6:$A$10008,$W$2,PURCHASE!$H$6:$H$10008,$A$4:$A$2700)</f>
        <v>0</v>
      </c>
      <c r="AB81" s="512">
        <f t="shared" si="33"/>
        <v>0</v>
      </c>
      <c r="AC81" s="512">
        <f>SUMIFS(PURCHASE!$K$6:$K$10008,PURCHASE!$A$6:$A$10008,$AB$2,PURCHASE!$H$6:$H$10008,$A$4:$A$2700)</f>
        <v>0</v>
      </c>
      <c r="AD81" s="512">
        <f>SUMIFS(PURCHASE!$L$6:$L$10008,PURCHASE!$A$6:$A$10008,$AB$2,PURCHASE!$H$6:$H$10008,$A$4:$A$2700)</f>
        <v>0</v>
      </c>
      <c r="AE81" s="512">
        <f>SUMIFS(PURCHASE!$M$6:$M$10008,PURCHASE!$A$6:$A$10008,$AB$2,PURCHASE!$H$6:$H$10008,$A$4:$A$2700)</f>
        <v>0</v>
      </c>
      <c r="AF81" s="512">
        <f>SUMIFS(PURCHASE!$N$6:$N$10008,PURCHASE!$A$6:$A$10008,$AB$2,PURCHASE!$H$6:$H$10008,$A$4:$A$2700)</f>
        <v>0</v>
      </c>
      <c r="AG81" s="512">
        <f t="shared" si="34"/>
        <v>0</v>
      </c>
      <c r="AH81" s="512">
        <f>SUMIFS(PURCHASE!$K$6:$K$10008,PURCHASE!$A$6:$A$10008,$AG$2,PURCHASE!$H$6:$H$10008,$A$4:$A$2700)</f>
        <v>0</v>
      </c>
      <c r="AI81" s="512">
        <f>SUMIFS(PURCHASE!$L$6:$L$10008,PURCHASE!$A$6:$A$10008,$AG$2,PURCHASE!$H$6:$H$10008,$A$4:$A$2700)</f>
        <v>0</v>
      </c>
      <c r="AJ81" s="512">
        <f>SUMIFS(PURCHASE!$M$6:$M$10008,PURCHASE!$A$6:$A$10008,$AG$2,PURCHASE!$H$6:$H$10008,$A$4:$A$2700)</f>
        <v>0</v>
      </c>
      <c r="AK81" s="512">
        <f>SUMIFS(PURCHASE!$N$6:$N$10008,PURCHASE!$A$6:$A$10008,$AG$2,PURCHASE!$H$6:$H$10008,$A$4:$A$2700)</f>
        <v>0</v>
      </c>
      <c r="AL81" s="512">
        <f t="shared" si="35"/>
        <v>0</v>
      </c>
      <c r="AM81" s="512">
        <f>SUMIFS(PURCHASE!$K$6:$K$10008,PURCHASE!$A$6:$A$10008,$AL$2,PURCHASE!$H$6:$H$10008,$A$4:$A$2700)</f>
        <v>0</v>
      </c>
      <c r="AN81" s="512">
        <f>SUMIFS(PURCHASE!$L$6:$L$10008,PURCHASE!$A$6:$A$10008,$AL$2,PURCHASE!$H$6:$H$10008,$A$4:$A$2700)</f>
        <v>0</v>
      </c>
      <c r="AO81" s="512">
        <f>SUMIFS(PURCHASE!$M$6:$M$10008,PURCHASE!$A$6:$A$10008,$AL$2,PURCHASE!$H$6:$H$10008,$A$4:$A$2700)</f>
        <v>0</v>
      </c>
      <c r="AP81" s="512">
        <f>SUMIFS(PURCHASE!$N$6:$N$10008,PURCHASE!$A$6:$A$10008,$AL$2,PURCHASE!$H$6:$H$10008,$A$4:$A$2700)</f>
        <v>0</v>
      </c>
      <c r="AQ81" s="512">
        <f t="shared" si="36"/>
        <v>0</v>
      </c>
      <c r="AR81" s="512">
        <f>SUMIFS(PURCHASE!$K$6:$K$10008,PURCHASE!$A$6:$A$10008,$AQ$2,PURCHASE!$H$6:$H$10008,$A$4:$A$2700)</f>
        <v>0</v>
      </c>
      <c r="AS81" s="512">
        <f>SUMIFS(PURCHASE!$L$6:$L$10008,PURCHASE!$A$6:$A$10008,$AQ$2,PURCHASE!$H$6:$H$10008,$A$4:$A$2700)</f>
        <v>0</v>
      </c>
      <c r="AT81" s="512">
        <f>SUMIFS(PURCHASE!$M$6:$M$10008,PURCHASE!$A$6:$A$10008,$AQ$2,PURCHASE!$H$6:$H$10008,$A$4:$A$2700)</f>
        <v>0</v>
      </c>
      <c r="AU81" s="512">
        <f>SUMIFS(PURCHASE!$N$6:$N$10008,PURCHASE!$A$6:$A$10008,$AQ$2,PURCHASE!$H$6:$H$10008,$A$4:$A$2700)</f>
        <v>0</v>
      </c>
      <c r="AV81" s="512">
        <f t="shared" si="37"/>
        <v>0</v>
      </c>
      <c r="AW81" s="512">
        <f>SUMIFS(PURCHASE!$K$6:$K$10008,PURCHASE!$A$6:$A$10008,$AV$2,PURCHASE!$H$6:$H$10008,$A$4:$A$2700)</f>
        <v>0</v>
      </c>
      <c r="AX81" s="512">
        <f>SUMIFS(PURCHASE!$L$6:$L$10008,PURCHASE!$A$6:$A$10008,$AV$2,PURCHASE!$H$6:$H$10008,$A$4:$A$2700)</f>
        <v>0</v>
      </c>
      <c r="AY81" s="512">
        <f>SUMIFS(PURCHASE!$M$6:$M$10008,PURCHASE!$A$6:$A$10008,$AV$2,PURCHASE!$H$6:$H$10008,$A$4:$A$2700)</f>
        <v>0</v>
      </c>
      <c r="AZ81" s="512">
        <f>SUMIFS(PURCHASE!$N$6:$N$10008,PURCHASE!$A$6:$A$10008,$AV$2,PURCHASE!$H$6:$H$10008,$A$4:$A$2700)</f>
        <v>0</v>
      </c>
      <c r="BA81" s="512">
        <f t="shared" si="38"/>
        <v>0</v>
      </c>
      <c r="BB81" s="512">
        <f>SUMIFS(PURCHASE!$K$6:$K$10008,PURCHASE!$A$6:$A$10008,$BA$2,PURCHASE!$H$6:$H$10008,$A$4:$A$2700)</f>
        <v>0</v>
      </c>
      <c r="BC81" s="512">
        <f>SUMIFS(PURCHASE!$L$6:$L$10008,PURCHASE!$A$6:$A$10008,$BA$2,PURCHASE!$H$6:$H$10008,$A$4:$A$2700)</f>
        <v>0</v>
      </c>
      <c r="BD81" s="512">
        <f>SUMIFS(PURCHASE!$M$6:$M$10008,PURCHASE!$A$6:$A$10008,$BA$2,PURCHASE!$H$6:$H$10008,$A$4:$A$2700)</f>
        <v>0</v>
      </c>
      <c r="BE81" s="512">
        <f>SUMIFS(PURCHASE!$N$6:$N$10008,PURCHASE!$A$6:$A$10008,$BA$2,PURCHASE!$H$6:$H$10008,$A$4:$A$2700)</f>
        <v>0</v>
      </c>
      <c r="BF81" s="512">
        <f t="shared" si="39"/>
        <v>0</v>
      </c>
      <c r="BG81" s="512">
        <f>SUMIFS(PURCHASE!$K$6:$K$10008,PURCHASE!$A$6:$A$10008,$BF$2,PURCHASE!$H$6:$H$10008,$A$4:$A$2700)</f>
        <v>0</v>
      </c>
      <c r="BH81" s="512">
        <f>SUMIFS(PURCHASE!$L$6:$L$10008,PURCHASE!$A$6:$A$10008,$BF$2,PURCHASE!$H$6:$H$10008,$A$4:$A$2700)</f>
        <v>0</v>
      </c>
      <c r="BI81" s="512">
        <f>SUMIFS(PURCHASE!$M$6:$M$10008,PURCHASE!$A$6:$A$10008,$BF$2,PURCHASE!$H$6:$H$10008,$A$4:$A$2700)</f>
        <v>0</v>
      </c>
      <c r="BJ81" s="512">
        <f>SUMIFS(PURCHASE!$N$6:$N$10008,PURCHASE!$A$6:$A$10008,$BF$2,PURCHASE!$H$6:$H$10008,$A$4:$A$2700)</f>
        <v>0</v>
      </c>
      <c r="BK81" s="72">
        <f t="shared" si="23"/>
        <v>0</v>
      </c>
      <c r="BL81" s="72">
        <f t="shared" si="24"/>
        <v>0</v>
      </c>
      <c r="BM81" s="72">
        <f t="shared" si="25"/>
        <v>0</v>
      </c>
      <c r="BN81" s="72">
        <f t="shared" si="26"/>
        <v>0</v>
      </c>
      <c r="BO81" s="72">
        <f t="shared" si="27"/>
        <v>0</v>
      </c>
    </row>
    <row r="82" spans="1:67" x14ac:dyDescent="0.2">
      <c r="A82" s="511">
        <v>4016932</v>
      </c>
      <c r="B82" s="500" t="s">
        <v>1249</v>
      </c>
      <c r="C82" s="512">
        <f t="shared" si="28"/>
        <v>0</v>
      </c>
      <c r="D82" s="512">
        <f>SUMIFS(PURCHASE!$K$6:$K$10008,PURCHASE!$A$6:$A$10008,$M$2,PURCHASE!$H$6:$H$10008,$A$4:$A$2700)</f>
        <v>0</v>
      </c>
      <c r="E82" s="512">
        <f>SUMIFS(PURCHASE!$L$6:$L$10008,PURCHASE!$A$6:$A$10008,$M$2,PURCHASE!$H$6:$H$10008,$A$4:$A$2700)</f>
        <v>0</v>
      </c>
      <c r="F82" s="512">
        <f>SUMIFS(PURCHASE!$M$6:$M$10008,PURCHASE!$A$6:$A$10008,$M$2,PURCHASE!$H$6:$H$10008,$A$4:$A$2700)</f>
        <v>0</v>
      </c>
      <c r="G82" s="512">
        <f>SUMIFS(PURCHASE!$N$6:$N$10008,PURCHASE!$A$6:$A$10008,$M$2,PURCHASE!$H$6:$H$10008,$A$4:$A$2700)</f>
        <v>0</v>
      </c>
      <c r="H82" s="512">
        <f t="shared" si="29"/>
        <v>0</v>
      </c>
      <c r="I82" s="512">
        <f>SUMIFS(PURCHASE!$K$6:$K$10008,PURCHASE!$A$6:$A$10008,$H$2,PURCHASE!$H$6:$H$10008,$A$4:$A$2700)</f>
        <v>0</v>
      </c>
      <c r="J82" s="512">
        <f>SUMIFS(PURCHASE!$L$6:$L$10008,PURCHASE!$A$6:$A$10008,$H$2,PURCHASE!$H$6:$H$10008,$A$4:$A$2700)</f>
        <v>0</v>
      </c>
      <c r="K82" s="512">
        <f>SUMIFS(PURCHASE!$M$6:$M$10008,PURCHASE!$A$6:$A$10008,$H$2,PURCHASE!$H$6:$H$10008,$A$4:$A$2700)</f>
        <v>0</v>
      </c>
      <c r="L82" s="512">
        <f>SUMIFS(PURCHASE!$N$6:$N$10008,PURCHASE!$A$6:$A$10008,$H$2,PURCHASE!$H$6:$H$10008,$A$4:$A$2700)</f>
        <v>0</v>
      </c>
      <c r="M82" s="512">
        <f t="shared" si="30"/>
        <v>0</v>
      </c>
      <c r="N82" s="512">
        <f>SUMIFS(PURCHASE!$K$6:$K$10008,PURCHASE!$A$6:$A$10008,$M$2,PURCHASE!$H$6:$H$10008,$A$4:$A$2700)</f>
        <v>0</v>
      </c>
      <c r="O82" s="512">
        <f>SUMIFS(PURCHASE!$L$6:$L$10008,PURCHASE!$A$6:$A$10008,$M$2,PURCHASE!$H$6:$H$10008,$A$4:$A$2700)</f>
        <v>0</v>
      </c>
      <c r="P82" s="512">
        <f>SUMIFS(PURCHASE!$M$6:$M$10008,PURCHASE!$A$6:$A$10008,$M$2,PURCHASE!$H$6:$H$10008,$A$4:$A$2700)</f>
        <v>0</v>
      </c>
      <c r="Q82" s="512">
        <f>SUMIFS(PURCHASE!$N$6:$N$10008,PURCHASE!$A$6:$A$10008,$M$2,PURCHASE!$H$6:$H$10008,$A$4:$A$2700)</f>
        <v>0</v>
      </c>
      <c r="R82" s="512">
        <f t="shared" si="31"/>
        <v>0</v>
      </c>
      <c r="S82" s="512">
        <f>SUMIFS(PURCHASE!$K$6:$K$10008,PURCHASE!$A$6:$A$10008,$R$2,PURCHASE!$H$6:$H$10008,$A$4:$A$2700)</f>
        <v>0</v>
      </c>
      <c r="T82" s="512">
        <f>SUMIFS(PURCHASE!$L$6:$L$10008,PURCHASE!$A$6:$A$10008,$R$2,PURCHASE!$H$6:$H$10008,$A$4:$A$2700)</f>
        <v>0</v>
      </c>
      <c r="U82" s="512">
        <f>SUMIFS(PURCHASE!$M$6:$M$10008,PURCHASE!$A$6:$A$10008,$R$2,PURCHASE!$H$6:$H$10008,$A$4:$A$2700)</f>
        <v>0</v>
      </c>
      <c r="V82" s="512">
        <f>SUMIFS(PURCHASE!$N$6:$N$10008,PURCHASE!$A$6:$A$10008,$R$2,PURCHASE!$H$6:$H$10008,$A$4:$A$2700)</f>
        <v>0</v>
      </c>
      <c r="W82" s="512">
        <f t="shared" si="32"/>
        <v>0</v>
      </c>
      <c r="X82" s="512">
        <f>SUMIFS(PURCHASE!$K$6:$K$10008,PURCHASE!$A$6:$A$10008,$W$2,PURCHASE!$H$6:$H$10008,$A$4:$A$2700)</f>
        <v>0</v>
      </c>
      <c r="Y82" s="512">
        <f>SUMIFS(PURCHASE!$L$6:$L$10008,PURCHASE!$A$6:$A$10008,$W$2,PURCHASE!$H$6:$H$10008,$A$4:$A$2700)</f>
        <v>0</v>
      </c>
      <c r="Z82" s="512">
        <f>SUMIFS(PURCHASE!$M$6:$M$10008,PURCHASE!$A$6:$A$10008,$W$2,PURCHASE!$H$6:$H$10008,$A$4:$A$2700)</f>
        <v>0</v>
      </c>
      <c r="AA82" s="512">
        <f>SUMIFS(PURCHASE!$N$6:$N$10008,PURCHASE!$A$6:$A$10008,$W$2,PURCHASE!$H$6:$H$10008,$A$4:$A$2700)</f>
        <v>0</v>
      </c>
      <c r="AB82" s="512">
        <f t="shared" si="33"/>
        <v>0</v>
      </c>
      <c r="AC82" s="512">
        <f>SUMIFS(PURCHASE!$K$6:$K$10008,PURCHASE!$A$6:$A$10008,$AB$2,PURCHASE!$H$6:$H$10008,$A$4:$A$2700)</f>
        <v>0</v>
      </c>
      <c r="AD82" s="512">
        <f>SUMIFS(PURCHASE!$L$6:$L$10008,PURCHASE!$A$6:$A$10008,$AB$2,PURCHASE!$H$6:$H$10008,$A$4:$A$2700)</f>
        <v>0</v>
      </c>
      <c r="AE82" s="512">
        <f>SUMIFS(PURCHASE!$M$6:$M$10008,PURCHASE!$A$6:$A$10008,$AB$2,PURCHASE!$H$6:$H$10008,$A$4:$A$2700)</f>
        <v>0</v>
      </c>
      <c r="AF82" s="512">
        <f>SUMIFS(PURCHASE!$N$6:$N$10008,PURCHASE!$A$6:$A$10008,$AB$2,PURCHASE!$H$6:$H$10008,$A$4:$A$2700)</f>
        <v>0</v>
      </c>
      <c r="AG82" s="512">
        <f t="shared" si="34"/>
        <v>0</v>
      </c>
      <c r="AH82" s="512">
        <f>SUMIFS(PURCHASE!$K$6:$K$10008,PURCHASE!$A$6:$A$10008,$AG$2,PURCHASE!$H$6:$H$10008,$A$4:$A$2700)</f>
        <v>0</v>
      </c>
      <c r="AI82" s="512">
        <f>SUMIFS(PURCHASE!$L$6:$L$10008,PURCHASE!$A$6:$A$10008,$AG$2,PURCHASE!$H$6:$H$10008,$A$4:$A$2700)</f>
        <v>0</v>
      </c>
      <c r="AJ82" s="512">
        <f>SUMIFS(PURCHASE!$M$6:$M$10008,PURCHASE!$A$6:$A$10008,$AG$2,PURCHASE!$H$6:$H$10008,$A$4:$A$2700)</f>
        <v>0</v>
      </c>
      <c r="AK82" s="512">
        <f>SUMIFS(PURCHASE!$N$6:$N$10008,PURCHASE!$A$6:$A$10008,$AG$2,PURCHASE!$H$6:$H$10008,$A$4:$A$2700)</f>
        <v>0</v>
      </c>
      <c r="AL82" s="512">
        <f t="shared" si="35"/>
        <v>0</v>
      </c>
      <c r="AM82" s="512">
        <f>SUMIFS(PURCHASE!$K$6:$K$10008,PURCHASE!$A$6:$A$10008,$AL$2,PURCHASE!$H$6:$H$10008,$A$4:$A$2700)</f>
        <v>0</v>
      </c>
      <c r="AN82" s="512">
        <f>SUMIFS(PURCHASE!$L$6:$L$10008,PURCHASE!$A$6:$A$10008,$AL$2,PURCHASE!$H$6:$H$10008,$A$4:$A$2700)</f>
        <v>0</v>
      </c>
      <c r="AO82" s="512">
        <f>SUMIFS(PURCHASE!$M$6:$M$10008,PURCHASE!$A$6:$A$10008,$AL$2,PURCHASE!$H$6:$H$10008,$A$4:$A$2700)</f>
        <v>0</v>
      </c>
      <c r="AP82" s="512">
        <f>SUMIFS(PURCHASE!$N$6:$N$10008,PURCHASE!$A$6:$A$10008,$AL$2,PURCHASE!$H$6:$H$10008,$A$4:$A$2700)</f>
        <v>0</v>
      </c>
      <c r="AQ82" s="512">
        <f t="shared" si="36"/>
        <v>0</v>
      </c>
      <c r="AR82" s="512">
        <f>SUMIFS(PURCHASE!$K$6:$K$10008,PURCHASE!$A$6:$A$10008,$AQ$2,PURCHASE!$H$6:$H$10008,$A$4:$A$2700)</f>
        <v>0</v>
      </c>
      <c r="AS82" s="512">
        <f>SUMIFS(PURCHASE!$L$6:$L$10008,PURCHASE!$A$6:$A$10008,$AQ$2,PURCHASE!$H$6:$H$10008,$A$4:$A$2700)</f>
        <v>0</v>
      </c>
      <c r="AT82" s="512">
        <f>SUMIFS(PURCHASE!$M$6:$M$10008,PURCHASE!$A$6:$A$10008,$AQ$2,PURCHASE!$H$6:$H$10008,$A$4:$A$2700)</f>
        <v>0</v>
      </c>
      <c r="AU82" s="512">
        <f>SUMIFS(PURCHASE!$N$6:$N$10008,PURCHASE!$A$6:$A$10008,$AQ$2,PURCHASE!$H$6:$H$10008,$A$4:$A$2700)</f>
        <v>0</v>
      </c>
      <c r="AV82" s="512">
        <f t="shared" si="37"/>
        <v>0</v>
      </c>
      <c r="AW82" s="512">
        <f>SUMIFS(PURCHASE!$K$6:$K$10008,PURCHASE!$A$6:$A$10008,$AV$2,PURCHASE!$H$6:$H$10008,$A$4:$A$2700)</f>
        <v>0</v>
      </c>
      <c r="AX82" s="512">
        <f>SUMIFS(PURCHASE!$L$6:$L$10008,PURCHASE!$A$6:$A$10008,$AV$2,PURCHASE!$H$6:$H$10008,$A$4:$A$2700)</f>
        <v>0</v>
      </c>
      <c r="AY82" s="512">
        <f>SUMIFS(PURCHASE!$M$6:$M$10008,PURCHASE!$A$6:$A$10008,$AV$2,PURCHASE!$H$6:$H$10008,$A$4:$A$2700)</f>
        <v>0</v>
      </c>
      <c r="AZ82" s="512">
        <f>SUMIFS(PURCHASE!$N$6:$N$10008,PURCHASE!$A$6:$A$10008,$AV$2,PURCHASE!$H$6:$H$10008,$A$4:$A$2700)</f>
        <v>0</v>
      </c>
      <c r="BA82" s="512">
        <f t="shared" si="38"/>
        <v>0</v>
      </c>
      <c r="BB82" s="512">
        <f>SUMIFS(PURCHASE!$K$6:$K$10008,PURCHASE!$A$6:$A$10008,$BA$2,PURCHASE!$H$6:$H$10008,$A$4:$A$2700)</f>
        <v>0</v>
      </c>
      <c r="BC82" s="512">
        <f>SUMIFS(PURCHASE!$L$6:$L$10008,PURCHASE!$A$6:$A$10008,$BA$2,PURCHASE!$H$6:$H$10008,$A$4:$A$2700)</f>
        <v>0</v>
      </c>
      <c r="BD82" s="512">
        <f>SUMIFS(PURCHASE!$M$6:$M$10008,PURCHASE!$A$6:$A$10008,$BA$2,PURCHASE!$H$6:$H$10008,$A$4:$A$2700)</f>
        <v>0</v>
      </c>
      <c r="BE82" s="512">
        <f>SUMIFS(PURCHASE!$N$6:$N$10008,PURCHASE!$A$6:$A$10008,$BA$2,PURCHASE!$H$6:$H$10008,$A$4:$A$2700)</f>
        <v>0</v>
      </c>
      <c r="BF82" s="512">
        <f t="shared" si="39"/>
        <v>0</v>
      </c>
      <c r="BG82" s="512">
        <f>SUMIFS(PURCHASE!$K$6:$K$10008,PURCHASE!$A$6:$A$10008,$BF$2,PURCHASE!$H$6:$H$10008,$A$4:$A$2700)</f>
        <v>0</v>
      </c>
      <c r="BH82" s="512">
        <f>SUMIFS(PURCHASE!$L$6:$L$10008,PURCHASE!$A$6:$A$10008,$BF$2,PURCHASE!$H$6:$H$10008,$A$4:$A$2700)</f>
        <v>0</v>
      </c>
      <c r="BI82" s="512">
        <f>SUMIFS(PURCHASE!$M$6:$M$10008,PURCHASE!$A$6:$A$10008,$BF$2,PURCHASE!$H$6:$H$10008,$A$4:$A$2700)</f>
        <v>0</v>
      </c>
      <c r="BJ82" s="512">
        <f>SUMIFS(PURCHASE!$N$6:$N$10008,PURCHASE!$A$6:$A$10008,$BF$2,PURCHASE!$H$6:$H$10008,$A$4:$A$2700)</f>
        <v>0</v>
      </c>
      <c r="BK82" s="72">
        <f t="shared" si="23"/>
        <v>0</v>
      </c>
      <c r="BL82" s="72">
        <f t="shared" si="24"/>
        <v>0</v>
      </c>
      <c r="BM82" s="72">
        <f t="shared" si="25"/>
        <v>0</v>
      </c>
      <c r="BN82" s="72">
        <f t="shared" si="26"/>
        <v>0</v>
      </c>
      <c r="BO82" s="72">
        <f t="shared" si="27"/>
        <v>0</v>
      </c>
    </row>
    <row r="83" spans="1:67" x14ac:dyDescent="0.2">
      <c r="A83" s="511">
        <v>4016999</v>
      </c>
      <c r="B83" s="500" t="s">
        <v>1243</v>
      </c>
      <c r="C83" s="512">
        <f t="shared" si="28"/>
        <v>0</v>
      </c>
      <c r="D83" s="512">
        <f>SUMIFS(PURCHASE!$K$6:$K$10008,PURCHASE!$A$6:$A$10008,$M$2,PURCHASE!$H$6:$H$10008,$A$4:$A$2700)</f>
        <v>0</v>
      </c>
      <c r="E83" s="512">
        <f>SUMIFS(PURCHASE!$L$6:$L$10008,PURCHASE!$A$6:$A$10008,$M$2,PURCHASE!$H$6:$H$10008,$A$4:$A$2700)</f>
        <v>0</v>
      </c>
      <c r="F83" s="512">
        <f>SUMIFS(PURCHASE!$M$6:$M$10008,PURCHASE!$A$6:$A$10008,$M$2,PURCHASE!$H$6:$H$10008,$A$4:$A$2700)</f>
        <v>0</v>
      </c>
      <c r="G83" s="512">
        <f>SUMIFS(PURCHASE!$N$6:$N$10008,PURCHASE!$A$6:$A$10008,$M$2,PURCHASE!$H$6:$H$10008,$A$4:$A$2700)</f>
        <v>0</v>
      </c>
      <c r="H83" s="512">
        <f t="shared" si="29"/>
        <v>0</v>
      </c>
      <c r="I83" s="512">
        <f>SUMIFS(PURCHASE!$K$6:$K$10008,PURCHASE!$A$6:$A$10008,$H$2,PURCHASE!$H$6:$H$10008,$A$4:$A$2700)</f>
        <v>0</v>
      </c>
      <c r="J83" s="512">
        <f>SUMIFS(PURCHASE!$L$6:$L$10008,PURCHASE!$A$6:$A$10008,$H$2,PURCHASE!$H$6:$H$10008,$A$4:$A$2700)</f>
        <v>0</v>
      </c>
      <c r="K83" s="512">
        <f>SUMIFS(PURCHASE!$M$6:$M$10008,PURCHASE!$A$6:$A$10008,$H$2,PURCHASE!$H$6:$H$10008,$A$4:$A$2700)</f>
        <v>0</v>
      </c>
      <c r="L83" s="512">
        <f>SUMIFS(PURCHASE!$N$6:$N$10008,PURCHASE!$A$6:$A$10008,$H$2,PURCHASE!$H$6:$H$10008,$A$4:$A$2700)</f>
        <v>0</v>
      </c>
      <c r="M83" s="512">
        <f t="shared" si="30"/>
        <v>0</v>
      </c>
      <c r="N83" s="512">
        <f>SUMIFS(PURCHASE!$K$6:$K$10008,PURCHASE!$A$6:$A$10008,$M$2,PURCHASE!$H$6:$H$10008,$A$4:$A$2700)</f>
        <v>0</v>
      </c>
      <c r="O83" s="512">
        <f>SUMIFS(PURCHASE!$L$6:$L$10008,PURCHASE!$A$6:$A$10008,$M$2,PURCHASE!$H$6:$H$10008,$A$4:$A$2700)</f>
        <v>0</v>
      </c>
      <c r="P83" s="512">
        <f>SUMIFS(PURCHASE!$M$6:$M$10008,PURCHASE!$A$6:$A$10008,$M$2,PURCHASE!$H$6:$H$10008,$A$4:$A$2700)</f>
        <v>0</v>
      </c>
      <c r="Q83" s="512">
        <f>SUMIFS(PURCHASE!$N$6:$N$10008,PURCHASE!$A$6:$A$10008,$M$2,PURCHASE!$H$6:$H$10008,$A$4:$A$2700)</f>
        <v>0</v>
      </c>
      <c r="R83" s="512">
        <f t="shared" si="31"/>
        <v>0</v>
      </c>
      <c r="S83" s="512">
        <f>SUMIFS(PURCHASE!$K$6:$K$10008,PURCHASE!$A$6:$A$10008,$R$2,PURCHASE!$H$6:$H$10008,$A$4:$A$2700)</f>
        <v>0</v>
      </c>
      <c r="T83" s="512">
        <f>SUMIFS(PURCHASE!$L$6:$L$10008,PURCHASE!$A$6:$A$10008,$R$2,PURCHASE!$H$6:$H$10008,$A$4:$A$2700)</f>
        <v>0</v>
      </c>
      <c r="U83" s="512">
        <f>SUMIFS(PURCHASE!$M$6:$M$10008,PURCHASE!$A$6:$A$10008,$R$2,PURCHASE!$H$6:$H$10008,$A$4:$A$2700)</f>
        <v>0</v>
      </c>
      <c r="V83" s="512">
        <f>SUMIFS(PURCHASE!$N$6:$N$10008,PURCHASE!$A$6:$A$10008,$R$2,PURCHASE!$H$6:$H$10008,$A$4:$A$2700)</f>
        <v>0</v>
      </c>
      <c r="W83" s="512">
        <f t="shared" si="32"/>
        <v>0</v>
      </c>
      <c r="X83" s="512">
        <f>SUMIFS(PURCHASE!$K$6:$K$10008,PURCHASE!$A$6:$A$10008,$W$2,PURCHASE!$H$6:$H$10008,$A$4:$A$2700)</f>
        <v>0</v>
      </c>
      <c r="Y83" s="512">
        <f>SUMIFS(PURCHASE!$L$6:$L$10008,PURCHASE!$A$6:$A$10008,$W$2,PURCHASE!$H$6:$H$10008,$A$4:$A$2700)</f>
        <v>0</v>
      </c>
      <c r="Z83" s="512">
        <f>SUMIFS(PURCHASE!$M$6:$M$10008,PURCHASE!$A$6:$A$10008,$W$2,PURCHASE!$H$6:$H$10008,$A$4:$A$2700)</f>
        <v>0</v>
      </c>
      <c r="AA83" s="512">
        <f>SUMIFS(PURCHASE!$N$6:$N$10008,PURCHASE!$A$6:$A$10008,$W$2,PURCHASE!$H$6:$H$10008,$A$4:$A$2700)</f>
        <v>0</v>
      </c>
      <c r="AB83" s="512">
        <f t="shared" si="33"/>
        <v>0</v>
      </c>
      <c r="AC83" s="512">
        <f>SUMIFS(PURCHASE!$K$6:$K$10008,PURCHASE!$A$6:$A$10008,$AB$2,PURCHASE!$H$6:$H$10008,$A$4:$A$2700)</f>
        <v>0</v>
      </c>
      <c r="AD83" s="512">
        <f>SUMIFS(PURCHASE!$L$6:$L$10008,PURCHASE!$A$6:$A$10008,$AB$2,PURCHASE!$H$6:$H$10008,$A$4:$A$2700)</f>
        <v>0</v>
      </c>
      <c r="AE83" s="512">
        <f>SUMIFS(PURCHASE!$M$6:$M$10008,PURCHASE!$A$6:$A$10008,$AB$2,PURCHASE!$H$6:$H$10008,$A$4:$A$2700)</f>
        <v>0</v>
      </c>
      <c r="AF83" s="512">
        <f>SUMIFS(PURCHASE!$N$6:$N$10008,PURCHASE!$A$6:$A$10008,$AB$2,PURCHASE!$H$6:$H$10008,$A$4:$A$2700)</f>
        <v>0</v>
      </c>
      <c r="AG83" s="512">
        <f t="shared" si="34"/>
        <v>0</v>
      </c>
      <c r="AH83" s="512">
        <f>SUMIFS(PURCHASE!$K$6:$K$10008,PURCHASE!$A$6:$A$10008,$AG$2,PURCHASE!$H$6:$H$10008,$A$4:$A$2700)</f>
        <v>0</v>
      </c>
      <c r="AI83" s="512">
        <f>SUMIFS(PURCHASE!$L$6:$L$10008,PURCHASE!$A$6:$A$10008,$AG$2,PURCHASE!$H$6:$H$10008,$A$4:$A$2700)</f>
        <v>0</v>
      </c>
      <c r="AJ83" s="512">
        <f>SUMIFS(PURCHASE!$M$6:$M$10008,PURCHASE!$A$6:$A$10008,$AG$2,PURCHASE!$H$6:$H$10008,$A$4:$A$2700)</f>
        <v>0</v>
      </c>
      <c r="AK83" s="512">
        <f>SUMIFS(PURCHASE!$N$6:$N$10008,PURCHASE!$A$6:$A$10008,$AG$2,PURCHASE!$H$6:$H$10008,$A$4:$A$2700)</f>
        <v>0</v>
      </c>
      <c r="AL83" s="512">
        <f t="shared" si="35"/>
        <v>0</v>
      </c>
      <c r="AM83" s="512">
        <f>SUMIFS(PURCHASE!$K$6:$K$10008,PURCHASE!$A$6:$A$10008,$AL$2,PURCHASE!$H$6:$H$10008,$A$4:$A$2700)</f>
        <v>0</v>
      </c>
      <c r="AN83" s="512">
        <f>SUMIFS(PURCHASE!$L$6:$L$10008,PURCHASE!$A$6:$A$10008,$AL$2,PURCHASE!$H$6:$H$10008,$A$4:$A$2700)</f>
        <v>0</v>
      </c>
      <c r="AO83" s="512">
        <f>SUMIFS(PURCHASE!$M$6:$M$10008,PURCHASE!$A$6:$A$10008,$AL$2,PURCHASE!$H$6:$H$10008,$A$4:$A$2700)</f>
        <v>0</v>
      </c>
      <c r="AP83" s="512">
        <f>SUMIFS(PURCHASE!$N$6:$N$10008,PURCHASE!$A$6:$A$10008,$AL$2,PURCHASE!$H$6:$H$10008,$A$4:$A$2700)</f>
        <v>0</v>
      </c>
      <c r="AQ83" s="512">
        <f t="shared" si="36"/>
        <v>0</v>
      </c>
      <c r="AR83" s="512">
        <f>SUMIFS(PURCHASE!$K$6:$K$10008,PURCHASE!$A$6:$A$10008,$AQ$2,PURCHASE!$H$6:$H$10008,$A$4:$A$2700)</f>
        <v>0</v>
      </c>
      <c r="AS83" s="512">
        <f>SUMIFS(PURCHASE!$L$6:$L$10008,PURCHASE!$A$6:$A$10008,$AQ$2,PURCHASE!$H$6:$H$10008,$A$4:$A$2700)</f>
        <v>0</v>
      </c>
      <c r="AT83" s="512">
        <f>SUMIFS(PURCHASE!$M$6:$M$10008,PURCHASE!$A$6:$A$10008,$AQ$2,PURCHASE!$H$6:$H$10008,$A$4:$A$2700)</f>
        <v>0</v>
      </c>
      <c r="AU83" s="512">
        <f>SUMIFS(PURCHASE!$N$6:$N$10008,PURCHASE!$A$6:$A$10008,$AQ$2,PURCHASE!$H$6:$H$10008,$A$4:$A$2700)</f>
        <v>0</v>
      </c>
      <c r="AV83" s="512">
        <f t="shared" si="37"/>
        <v>0</v>
      </c>
      <c r="AW83" s="512">
        <f>SUMIFS(PURCHASE!$K$6:$K$10008,PURCHASE!$A$6:$A$10008,$AV$2,PURCHASE!$H$6:$H$10008,$A$4:$A$2700)</f>
        <v>0</v>
      </c>
      <c r="AX83" s="512">
        <f>SUMIFS(PURCHASE!$L$6:$L$10008,PURCHASE!$A$6:$A$10008,$AV$2,PURCHASE!$H$6:$H$10008,$A$4:$A$2700)</f>
        <v>0</v>
      </c>
      <c r="AY83" s="512">
        <f>SUMIFS(PURCHASE!$M$6:$M$10008,PURCHASE!$A$6:$A$10008,$AV$2,PURCHASE!$H$6:$H$10008,$A$4:$A$2700)</f>
        <v>0</v>
      </c>
      <c r="AZ83" s="512">
        <f>SUMIFS(PURCHASE!$N$6:$N$10008,PURCHASE!$A$6:$A$10008,$AV$2,PURCHASE!$H$6:$H$10008,$A$4:$A$2700)</f>
        <v>0</v>
      </c>
      <c r="BA83" s="512">
        <f t="shared" si="38"/>
        <v>0</v>
      </c>
      <c r="BB83" s="512">
        <f>SUMIFS(PURCHASE!$K$6:$K$10008,PURCHASE!$A$6:$A$10008,$BA$2,PURCHASE!$H$6:$H$10008,$A$4:$A$2700)</f>
        <v>0</v>
      </c>
      <c r="BC83" s="512">
        <f>SUMIFS(PURCHASE!$L$6:$L$10008,PURCHASE!$A$6:$A$10008,$BA$2,PURCHASE!$H$6:$H$10008,$A$4:$A$2700)</f>
        <v>0</v>
      </c>
      <c r="BD83" s="512">
        <f>SUMIFS(PURCHASE!$M$6:$M$10008,PURCHASE!$A$6:$A$10008,$BA$2,PURCHASE!$H$6:$H$10008,$A$4:$A$2700)</f>
        <v>0</v>
      </c>
      <c r="BE83" s="512">
        <f>SUMIFS(PURCHASE!$N$6:$N$10008,PURCHASE!$A$6:$A$10008,$BA$2,PURCHASE!$H$6:$H$10008,$A$4:$A$2700)</f>
        <v>0</v>
      </c>
      <c r="BF83" s="512">
        <f t="shared" si="39"/>
        <v>0</v>
      </c>
      <c r="BG83" s="512">
        <f>SUMIFS(PURCHASE!$K$6:$K$10008,PURCHASE!$A$6:$A$10008,$BF$2,PURCHASE!$H$6:$H$10008,$A$4:$A$2700)</f>
        <v>0</v>
      </c>
      <c r="BH83" s="512">
        <f>SUMIFS(PURCHASE!$L$6:$L$10008,PURCHASE!$A$6:$A$10008,$BF$2,PURCHASE!$H$6:$H$10008,$A$4:$A$2700)</f>
        <v>0</v>
      </c>
      <c r="BI83" s="512">
        <f>SUMIFS(PURCHASE!$M$6:$M$10008,PURCHASE!$A$6:$A$10008,$BF$2,PURCHASE!$H$6:$H$10008,$A$4:$A$2700)</f>
        <v>0</v>
      </c>
      <c r="BJ83" s="512">
        <f>SUMIFS(PURCHASE!$N$6:$N$10008,PURCHASE!$A$6:$A$10008,$BF$2,PURCHASE!$H$6:$H$10008,$A$4:$A$2700)</f>
        <v>0</v>
      </c>
      <c r="BK83" s="72">
        <f t="shared" si="23"/>
        <v>0</v>
      </c>
      <c r="BL83" s="72">
        <f t="shared" si="24"/>
        <v>0</v>
      </c>
      <c r="BM83" s="72">
        <f t="shared" si="25"/>
        <v>0</v>
      </c>
      <c r="BN83" s="72">
        <f t="shared" si="26"/>
        <v>0</v>
      </c>
      <c r="BO83" s="72">
        <f t="shared" si="27"/>
        <v>0</v>
      </c>
    </row>
    <row r="84" spans="1:67" x14ac:dyDescent="0.2">
      <c r="A84" s="511">
        <v>4817200</v>
      </c>
      <c r="B84" s="467" t="s">
        <v>1250</v>
      </c>
      <c r="C84" s="512">
        <f t="shared" si="28"/>
        <v>0</v>
      </c>
      <c r="D84" s="512">
        <f>SUMIFS(PURCHASE!$K$6:$K$10008,PURCHASE!$A$6:$A$10008,$M$2,PURCHASE!$H$6:$H$10008,$A$4:$A$2700)</f>
        <v>0</v>
      </c>
      <c r="E84" s="512">
        <f>SUMIFS(PURCHASE!$L$6:$L$10008,PURCHASE!$A$6:$A$10008,$M$2,PURCHASE!$H$6:$H$10008,$A$4:$A$2700)</f>
        <v>0</v>
      </c>
      <c r="F84" s="512">
        <f>SUMIFS(PURCHASE!$M$6:$M$10008,PURCHASE!$A$6:$A$10008,$M$2,PURCHASE!$H$6:$H$10008,$A$4:$A$2700)</f>
        <v>0</v>
      </c>
      <c r="G84" s="512">
        <f>SUMIFS(PURCHASE!$N$6:$N$10008,PURCHASE!$A$6:$A$10008,$M$2,PURCHASE!$H$6:$H$10008,$A$4:$A$2700)</f>
        <v>0</v>
      </c>
      <c r="H84" s="512">
        <f t="shared" si="29"/>
        <v>0</v>
      </c>
      <c r="I84" s="512">
        <f>SUMIFS(PURCHASE!$K$6:$K$10008,PURCHASE!$A$6:$A$10008,$H$2,PURCHASE!$H$6:$H$10008,$A$4:$A$2700)</f>
        <v>0</v>
      </c>
      <c r="J84" s="512">
        <f>SUMIFS(PURCHASE!$L$6:$L$10008,PURCHASE!$A$6:$A$10008,$H$2,PURCHASE!$H$6:$H$10008,$A$4:$A$2700)</f>
        <v>0</v>
      </c>
      <c r="K84" s="512">
        <f>SUMIFS(PURCHASE!$M$6:$M$10008,PURCHASE!$A$6:$A$10008,$H$2,PURCHASE!$H$6:$H$10008,$A$4:$A$2700)</f>
        <v>0</v>
      </c>
      <c r="L84" s="512">
        <f>SUMIFS(PURCHASE!$N$6:$N$10008,PURCHASE!$A$6:$A$10008,$H$2,PURCHASE!$H$6:$H$10008,$A$4:$A$2700)</f>
        <v>0</v>
      </c>
      <c r="M84" s="512">
        <f t="shared" si="30"/>
        <v>0</v>
      </c>
      <c r="N84" s="512">
        <f>SUMIFS(PURCHASE!$K$6:$K$10008,PURCHASE!$A$6:$A$10008,$M$2,PURCHASE!$H$6:$H$10008,$A$4:$A$2700)</f>
        <v>0</v>
      </c>
      <c r="O84" s="512">
        <f>SUMIFS(PURCHASE!$L$6:$L$10008,PURCHASE!$A$6:$A$10008,$M$2,PURCHASE!$H$6:$H$10008,$A$4:$A$2700)</f>
        <v>0</v>
      </c>
      <c r="P84" s="512">
        <f>SUMIFS(PURCHASE!$M$6:$M$10008,PURCHASE!$A$6:$A$10008,$M$2,PURCHASE!$H$6:$H$10008,$A$4:$A$2700)</f>
        <v>0</v>
      </c>
      <c r="Q84" s="512">
        <f>SUMIFS(PURCHASE!$N$6:$N$10008,PURCHASE!$A$6:$A$10008,$M$2,PURCHASE!$H$6:$H$10008,$A$4:$A$2700)</f>
        <v>0</v>
      </c>
      <c r="R84" s="512">
        <f t="shared" si="31"/>
        <v>0</v>
      </c>
      <c r="S84" s="512">
        <f>SUMIFS(PURCHASE!$K$6:$K$10008,PURCHASE!$A$6:$A$10008,$R$2,PURCHASE!$H$6:$H$10008,$A$4:$A$2700)</f>
        <v>0</v>
      </c>
      <c r="T84" s="512">
        <f>SUMIFS(PURCHASE!$L$6:$L$10008,PURCHASE!$A$6:$A$10008,$R$2,PURCHASE!$H$6:$H$10008,$A$4:$A$2700)</f>
        <v>0</v>
      </c>
      <c r="U84" s="512">
        <f>SUMIFS(PURCHASE!$M$6:$M$10008,PURCHASE!$A$6:$A$10008,$R$2,PURCHASE!$H$6:$H$10008,$A$4:$A$2700)</f>
        <v>0</v>
      </c>
      <c r="V84" s="512">
        <f>SUMIFS(PURCHASE!$N$6:$N$10008,PURCHASE!$A$6:$A$10008,$R$2,PURCHASE!$H$6:$H$10008,$A$4:$A$2700)</f>
        <v>0</v>
      </c>
      <c r="W84" s="512">
        <f t="shared" si="32"/>
        <v>0</v>
      </c>
      <c r="X84" s="512">
        <f>SUMIFS(PURCHASE!$K$6:$K$10008,PURCHASE!$A$6:$A$10008,$W$2,PURCHASE!$H$6:$H$10008,$A$4:$A$2700)</f>
        <v>0</v>
      </c>
      <c r="Y84" s="512">
        <f>SUMIFS(PURCHASE!$L$6:$L$10008,PURCHASE!$A$6:$A$10008,$W$2,PURCHASE!$H$6:$H$10008,$A$4:$A$2700)</f>
        <v>0</v>
      </c>
      <c r="Z84" s="512">
        <f>SUMIFS(PURCHASE!$M$6:$M$10008,PURCHASE!$A$6:$A$10008,$W$2,PURCHASE!$H$6:$H$10008,$A$4:$A$2700)</f>
        <v>0</v>
      </c>
      <c r="AA84" s="512">
        <f>SUMIFS(PURCHASE!$N$6:$N$10008,PURCHASE!$A$6:$A$10008,$W$2,PURCHASE!$H$6:$H$10008,$A$4:$A$2700)</f>
        <v>0</v>
      </c>
      <c r="AB84" s="512">
        <f t="shared" si="33"/>
        <v>0</v>
      </c>
      <c r="AC84" s="512">
        <f>SUMIFS(PURCHASE!$K$6:$K$10008,PURCHASE!$A$6:$A$10008,$AB$2,PURCHASE!$H$6:$H$10008,$A$4:$A$2700)</f>
        <v>0</v>
      </c>
      <c r="AD84" s="512">
        <f>SUMIFS(PURCHASE!$L$6:$L$10008,PURCHASE!$A$6:$A$10008,$AB$2,PURCHASE!$H$6:$H$10008,$A$4:$A$2700)</f>
        <v>0</v>
      </c>
      <c r="AE84" s="512">
        <f>SUMIFS(PURCHASE!$M$6:$M$10008,PURCHASE!$A$6:$A$10008,$AB$2,PURCHASE!$H$6:$H$10008,$A$4:$A$2700)</f>
        <v>0</v>
      </c>
      <c r="AF84" s="512">
        <f>SUMIFS(PURCHASE!$N$6:$N$10008,PURCHASE!$A$6:$A$10008,$AB$2,PURCHASE!$H$6:$H$10008,$A$4:$A$2700)</f>
        <v>0</v>
      </c>
      <c r="AG84" s="512">
        <f t="shared" si="34"/>
        <v>0</v>
      </c>
      <c r="AH84" s="512">
        <f>SUMIFS(PURCHASE!$K$6:$K$10008,PURCHASE!$A$6:$A$10008,$AG$2,PURCHASE!$H$6:$H$10008,$A$4:$A$2700)</f>
        <v>0</v>
      </c>
      <c r="AI84" s="512">
        <f>SUMIFS(PURCHASE!$L$6:$L$10008,PURCHASE!$A$6:$A$10008,$AG$2,PURCHASE!$H$6:$H$10008,$A$4:$A$2700)</f>
        <v>0</v>
      </c>
      <c r="AJ84" s="512">
        <f>SUMIFS(PURCHASE!$M$6:$M$10008,PURCHASE!$A$6:$A$10008,$AG$2,PURCHASE!$H$6:$H$10008,$A$4:$A$2700)</f>
        <v>0</v>
      </c>
      <c r="AK84" s="512">
        <f>SUMIFS(PURCHASE!$N$6:$N$10008,PURCHASE!$A$6:$A$10008,$AG$2,PURCHASE!$H$6:$H$10008,$A$4:$A$2700)</f>
        <v>0</v>
      </c>
      <c r="AL84" s="512">
        <f t="shared" si="35"/>
        <v>0</v>
      </c>
      <c r="AM84" s="512">
        <f>SUMIFS(PURCHASE!$K$6:$K$10008,PURCHASE!$A$6:$A$10008,$AL$2,PURCHASE!$H$6:$H$10008,$A$4:$A$2700)</f>
        <v>0</v>
      </c>
      <c r="AN84" s="512">
        <f>SUMIFS(PURCHASE!$L$6:$L$10008,PURCHASE!$A$6:$A$10008,$AL$2,PURCHASE!$H$6:$H$10008,$A$4:$A$2700)</f>
        <v>0</v>
      </c>
      <c r="AO84" s="512">
        <f>SUMIFS(PURCHASE!$M$6:$M$10008,PURCHASE!$A$6:$A$10008,$AL$2,PURCHASE!$H$6:$H$10008,$A$4:$A$2700)</f>
        <v>0</v>
      </c>
      <c r="AP84" s="512">
        <f>SUMIFS(PURCHASE!$N$6:$N$10008,PURCHASE!$A$6:$A$10008,$AL$2,PURCHASE!$H$6:$H$10008,$A$4:$A$2700)</f>
        <v>0</v>
      </c>
      <c r="AQ84" s="512">
        <f t="shared" si="36"/>
        <v>0</v>
      </c>
      <c r="AR84" s="512">
        <f>SUMIFS(PURCHASE!$K$6:$K$10008,PURCHASE!$A$6:$A$10008,$AQ$2,PURCHASE!$H$6:$H$10008,$A$4:$A$2700)</f>
        <v>0</v>
      </c>
      <c r="AS84" s="512">
        <f>SUMIFS(PURCHASE!$L$6:$L$10008,PURCHASE!$A$6:$A$10008,$AQ$2,PURCHASE!$H$6:$H$10008,$A$4:$A$2700)</f>
        <v>0</v>
      </c>
      <c r="AT84" s="512">
        <f>SUMIFS(PURCHASE!$M$6:$M$10008,PURCHASE!$A$6:$A$10008,$AQ$2,PURCHASE!$H$6:$H$10008,$A$4:$A$2700)</f>
        <v>0</v>
      </c>
      <c r="AU84" s="512">
        <f>SUMIFS(PURCHASE!$N$6:$N$10008,PURCHASE!$A$6:$A$10008,$AQ$2,PURCHASE!$H$6:$H$10008,$A$4:$A$2700)</f>
        <v>0</v>
      </c>
      <c r="AV84" s="512">
        <f t="shared" si="37"/>
        <v>0</v>
      </c>
      <c r="AW84" s="512">
        <f>SUMIFS(PURCHASE!$K$6:$K$10008,PURCHASE!$A$6:$A$10008,$AV$2,PURCHASE!$H$6:$H$10008,$A$4:$A$2700)</f>
        <v>0</v>
      </c>
      <c r="AX84" s="512">
        <f>SUMIFS(PURCHASE!$L$6:$L$10008,PURCHASE!$A$6:$A$10008,$AV$2,PURCHASE!$H$6:$H$10008,$A$4:$A$2700)</f>
        <v>0</v>
      </c>
      <c r="AY84" s="512">
        <f>SUMIFS(PURCHASE!$M$6:$M$10008,PURCHASE!$A$6:$A$10008,$AV$2,PURCHASE!$H$6:$H$10008,$A$4:$A$2700)</f>
        <v>0</v>
      </c>
      <c r="AZ84" s="512">
        <f>SUMIFS(PURCHASE!$N$6:$N$10008,PURCHASE!$A$6:$A$10008,$AV$2,PURCHASE!$H$6:$H$10008,$A$4:$A$2700)</f>
        <v>0</v>
      </c>
      <c r="BA84" s="512">
        <f t="shared" si="38"/>
        <v>0</v>
      </c>
      <c r="BB84" s="512">
        <f>SUMIFS(PURCHASE!$K$6:$K$10008,PURCHASE!$A$6:$A$10008,$BA$2,PURCHASE!$H$6:$H$10008,$A$4:$A$2700)</f>
        <v>0</v>
      </c>
      <c r="BC84" s="512">
        <f>SUMIFS(PURCHASE!$L$6:$L$10008,PURCHASE!$A$6:$A$10008,$BA$2,PURCHASE!$H$6:$H$10008,$A$4:$A$2700)</f>
        <v>0</v>
      </c>
      <c r="BD84" s="512">
        <f>SUMIFS(PURCHASE!$M$6:$M$10008,PURCHASE!$A$6:$A$10008,$BA$2,PURCHASE!$H$6:$H$10008,$A$4:$A$2700)</f>
        <v>0</v>
      </c>
      <c r="BE84" s="512">
        <f>SUMIFS(PURCHASE!$N$6:$N$10008,PURCHASE!$A$6:$A$10008,$BA$2,PURCHASE!$H$6:$H$10008,$A$4:$A$2700)</f>
        <v>0</v>
      </c>
      <c r="BF84" s="512">
        <f t="shared" si="39"/>
        <v>0</v>
      </c>
      <c r="BG84" s="512">
        <f>SUMIFS(PURCHASE!$K$6:$K$10008,PURCHASE!$A$6:$A$10008,$BF$2,PURCHASE!$H$6:$H$10008,$A$4:$A$2700)</f>
        <v>0</v>
      </c>
      <c r="BH84" s="512">
        <f>SUMIFS(PURCHASE!$L$6:$L$10008,PURCHASE!$A$6:$A$10008,$BF$2,PURCHASE!$H$6:$H$10008,$A$4:$A$2700)</f>
        <v>0</v>
      </c>
      <c r="BI84" s="512">
        <f>SUMIFS(PURCHASE!$M$6:$M$10008,PURCHASE!$A$6:$A$10008,$BF$2,PURCHASE!$H$6:$H$10008,$A$4:$A$2700)</f>
        <v>0</v>
      </c>
      <c r="BJ84" s="512">
        <f>SUMIFS(PURCHASE!$N$6:$N$10008,PURCHASE!$A$6:$A$10008,$BF$2,PURCHASE!$H$6:$H$10008,$A$4:$A$2700)</f>
        <v>0</v>
      </c>
      <c r="BK84" s="72">
        <f t="shared" si="23"/>
        <v>0</v>
      </c>
      <c r="BL84" s="72">
        <f t="shared" si="24"/>
        <v>0</v>
      </c>
      <c r="BM84" s="72">
        <f t="shared" si="25"/>
        <v>0</v>
      </c>
      <c r="BN84" s="72">
        <f t="shared" si="26"/>
        <v>0</v>
      </c>
      <c r="BO84" s="72">
        <f t="shared" si="27"/>
        <v>0</v>
      </c>
    </row>
    <row r="85" spans="1:67" x14ac:dyDescent="0.2">
      <c r="A85" s="511">
        <v>8466300</v>
      </c>
      <c r="B85" s="467" t="s">
        <v>1251</v>
      </c>
      <c r="C85" s="512">
        <f t="shared" si="28"/>
        <v>0</v>
      </c>
      <c r="D85" s="512">
        <f>SUMIFS(PURCHASE!$K$6:$K$10008,PURCHASE!$A$6:$A$10008,$M$2,PURCHASE!$H$6:$H$10008,$A$4:$A$2700)</f>
        <v>0</v>
      </c>
      <c r="E85" s="512">
        <f>SUMIFS(PURCHASE!$L$6:$L$10008,PURCHASE!$A$6:$A$10008,$M$2,PURCHASE!$H$6:$H$10008,$A$4:$A$2700)</f>
        <v>0</v>
      </c>
      <c r="F85" s="512">
        <f>SUMIFS(PURCHASE!$M$6:$M$10008,PURCHASE!$A$6:$A$10008,$M$2,PURCHASE!$H$6:$H$10008,$A$4:$A$2700)</f>
        <v>0</v>
      </c>
      <c r="G85" s="512">
        <f>SUMIFS(PURCHASE!$N$6:$N$10008,PURCHASE!$A$6:$A$10008,$M$2,PURCHASE!$H$6:$H$10008,$A$4:$A$2700)</f>
        <v>0</v>
      </c>
      <c r="H85" s="512">
        <f t="shared" si="29"/>
        <v>0</v>
      </c>
      <c r="I85" s="512">
        <f>SUMIFS(PURCHASE!$K$6:$K$10008,PURCHASE!$A$6:$A$10008,$H$2,PURCHASE!$H$6:$H$10008,$A$4:$A$2700)</f>
        <v>0</v>
      </c>
      <c r="J85" s="512">
        <f>SUMIFS(PURCHASE!$L$6:$L$10008,PURCHASE!$A$6:$A$10008,$H$2,PURCHASE!$H$6:$H$10008,$A$4:$A$2700)</f>
        <v>0</v>
      </c>
      <c r="K85" s="512">
        <f>SUMIFS(PURCHASE!$M$6:$M$10008,PURCHASE!$A$6:$A$10008,$H$2,PURCHASE!$H$6:$H$10008,$A$4:$A$2700)</f>
        <v>0</v>
      </c>
      <c r="L85" s="512">
        <f>SUMIFS(PURCHASE!$N$6:$N$10008,PURCHASE!$A$6:$A$10008,$H$2,PURCHASE!$H$6:$H$10008,$A$4:$A$2700)</f>
        <v>0</v>
      </c>
      <c r="M85" s="512">
        <f t="shared" si="30"/>
        <v>0</v>
      </c>
      <c r="N85" s="512">
        <f>SUMIFS(PURCHASE!$K$6:$K$10008,PURCHASE!$A$6:$A$10008,$M$2,PURCHASE!$H$6:$H$10008,$A$4:$A$2700)</f>
        <v>0</v>
      </c>
      <c r="O85" s="512">
        <f>SUMIFS(PURCHASE!$L$6:$L$10008,PURCHASE!$A$6:$A$10008,$M$2,PURCHASE!$H$6:$H$10008,$A$4:$A$2700)</f>
        <v>0</v>
      </c>
      <c r="P85" s="512">
        <f>SUMIFS(PURCHASE!$M$6:$M$10008,PURCHASE!$A$6:$A$10008,$M$2,PURCHASE!$H$6:$H$10008,$A$4:$A$2700)</f>
        <v>0</v>
      </c>
      <c r="Q85" s="512">
        <f>SUMIFS(PURCHASE!$N$6:$N$10008,PURCHASE!$A$6:$A$10008,$M$2,PURCHASE!$H$6:$H$10008,$A$4:$A$2700)</f>
        <v>0</v>
      </c>
      <c r="R85" s="512">
        <f t="shared" si="31"/>
        <v>0</v>
      </c>
      <c r="S85" s="512">
        <f>SUMIFS(PURCHASE!$K$6:$K$10008,PURCHASE!$A$6:$A$10008,$R$2,PURCHASE!$H$6:$H$10008,$A$4:$A$2700)</f>
        <v>0</v>
      </c>
      <c r="T85" s="512">
        <f>SUMIFS(PURCHASE!$L$6:$L$10008,PURCHASE!$A$6:$A$10008,$R$2,PURCHASE!$H$6:$H$10008,$A$4:$A$2700)</f>
        <v>0</v>
      </c>
      <c r="U85" s="512">
        <f>SUMIFS(PURCHASE!$M$6:$M$10008,PURCHASE!$A$6:$A$10008,$R$2,PURCHASE!$H$6:$H$10008,$A$4:$A$2700)</f>
        <v>0</v>
      </c>
      <c r="V85" s="512">
        <f>SUMIFS(PURCHASE!$N$6:$N$10008,PURCHASE!$A$6:$A$10008,$R$2,PURCHASE!$H$6:$H$10008,$A$4:$A$2700)</f>
        <v>0</v>
      </c>
      <c r="W85" s="512">
        <f t="shared" si="32"/>
        <v>0</v>
      </c>
      <c r="X85" s="512">
        <f>SUMIFS(PURCHASE!$K$6:$K$10008,PURCHASE!$A$6:$A$10008,$W$2,PURCHASE!$H$6:$H$10008,$A$4:$A$2700)</f>
        <v>0</v>
      </c>
      <c r="Y85" s="512">
        <f>SUMIFS(PURCHASE!$L$6:$L$10008,PURCHASE!$A$6:$A$10008,$W$2,PURCHASE!$H$6:$H$10008,$A$4:$A$2700)</f>
        <v>0</v>
      </c>
      <c r="Z85" s="512">
        <f>SUMIFS(PURCHASE!$M$6:$M$10008,PURCHASE!$A$6:$A$10008,$W$2,PURCHASE!$H$6:$H$10008,$A$4:$A$2700)</f>
        <v>0</v>
      </c>
      <c r="AA85" s="512">
        <f>SUMIFS(PURCHASE!$N$6:$N$10008,PURCHASE!$A$6:$A$10008,$W$2,PURCHASE!$H$6:$H$10008,$A$4:$A$2700)</f>
        <v>0</v>
      </c>
      <c r="AB85" s="512">
        <f t="shared" si="33"/>
        <v>0</v>
      </c>
      <c r="AC85" s="512">
        <f>SUMIFS(PURCHASE!$K$6:$K$10008,PURCHASE!$A$6:$A$10008,$AB$2,PURCHASE!$H$6:$H$10008,$A$4:$A$2700)</f>
        <v>0</v>
      </c>
      <c r="AD85" s="512">
        <f>SUMIFS(PURCHASE!$L$6:$L$10008,PURCHASE!$A$6:$A$10008,$AB$2,PURCHASE!$H$6:$H$10008,$A$4:$A$2700)</f>
        <v>0</v>
      </c>
      <c r="AE85" s="512">
        <f>SUMIFS(PURCHASE!$M$6:$M$10008,PURCHASE!$A$6:$A$10008,$AB$2,PURCHASE!$H$6:$H$10008,$A$4:$A$2700)</f>
        <v>0</v>
      </c>
      <c r="AF85" s="512">
        <f>SUMIFS(PURCHASE!$N$6:$N$10008,PURCHASE!$A$6:$A$10008,$AB$2,PURCHASE!$H$6:$H$10008,$A$4:$A$2700)</f>
        <v>0</v>
      </c>
      <c r="AG85" s="512">
        <f t="shared" si="34"/>
        <v>0</v>
      </c>
      <c r="AH85" s="512">
        <f>SUMIFS(PURCHASE!$K$6:$K$10008,PURCHASE!$A$6:$A$10008,$AG$2,PURCHASE!$H$6:$H$10008,$A$4:$A$2700)</f>
        <v>0</v>
      </c>
      <c r="AI85" s="512">
        <f>SUMIFS(PURCHASE!$L$6:$L$10008,PURCHASE!$A$6:$A$10008,$AG$2,PURCHASE!$H$6:$H$10008,$A$4:$A$2700)</f>
        <v>0</v>
      </c>
      <c r="AJ85" s="512">
        <f>SUMIFS(PURCHASE!$M$6:$M$10008,PURCHASE!$A$6:$A$10008,$AG$2,PURCHASE!$H$6:$H$10008,$A$4:$A$2700)</f>
        <v>0</v>
      </c>
      <c r="AK85" s="512">
        <f>SUMIFS(PURCHASE!$N$6:$N$10008,PURCHASE!$A$6:$A$10008,$AG$2,PURCHASE!$H$6:$H$10008,$A$4:$A$2700)</f>
        <v>0</v>
      </c>
      <c r="AL85" s="512">
        <f t="shared" si="35"/>
        <v>0</v>
      </c>
      <c r="AM85" s="512">
        <f>SUMIFS(PURCHASE!$K$6:$K$10008,PURCHASE!$A$6:$A$10008,$AL$2,PURCHASE!$H$6:$H$10008,$A$4:$A$2700)</f>
        <v>0</v>
      </c>
      <c r="AN85" s="512">
        <f>SUMIFS(PURCHASE!$L$6:$L$10008,PURCHASE!$A$6:$A$10008,$AL$2,PURCHASE!$H$6:$H$10008,$A$4:$A$2700)</f>
        <v>0</v>
      </c>
      <c r="AO85" s="512">
        <f>SUMIFS(PURCHASE!$M$6:$M$10008,PURCHASE!$A$6:$A$10008,$AL$2,PURCHASE!$H$6:$H$10008,$A$4:$A$2700)</f>
        <v>0</v>
      </c>
      <c r="AP85" s="512">
        <f>SUMIFS(PURCHASE!$N$6:$N$10008,PURCHASE!$A$6:$A$10008,$AL$2,PURCHASE!$H$6:$H$10008,$A$4:$A$2700)</f>
        <v>0</v>
      </c>
      <c r="AQ85" s="512">
        <f t="shared" si="36"/>
        <v>0</v>
      </c>
      <c r="AR85" s="512">
        <f>SUMIFS(PURCHASE!$K$6:$K$10008,PURCHASE!$A$6:$A$10008,$AQ$2,PURCHASE!$H$6:$H$10008,$A$4:$A$2700)</f>
        <v>0</v>
      </c>
      <c r="AS85" s="512">
        <f>SUMIFS(PURCHASE!$L$6:$L$10008,PURCHASE!$A$6:$A$10008,$AQ$2,PURCHASE!$H$6:$H$10008,$A$4:$A$2700)</f>
        <v>0</v>
      </c>
      <c r="AT85" s="512">
        <f>SUMIFS(PURCHASE!$M$6:$M$10008,PURCHASE!$A$6:$A$10008,$AQ$2,PURCHASE!$H$6:$H$10008,$A$4:$A$2700)</f>
        <v>0</v>
      </c>
      <c r="AU85" s="512">
        <f>SUMIFS(PURCHASE!$N$6:$N$10008,PURCHASE!$A$6:$A$10008,$AQ$2,PURCHASE!$H$6:$H$10008,$A$4:$A$2700)</f>
        <v>0</v>
      </c>
      <c r="AV85" s="512">
        <f t="shared" si="37"/>
        <v>0</v>
      </c>
      <c r="AW85" s="512">
        <f>SUMIFS(PURCHASE!$K$6:$K$10008,PURCHASE!$A$6:$A$10008,$AV$2,PURCHASE!$H$6:$H$10008,$A$4:$A$2700)</f>
        <v>0</v>
      </c>
      <c r="AX85" s="512">
        <f>SUMIFS(PURCHASE!$L$6:$L$10008,PURCHASE!$A$6:$A$10008,$AV$2,PURCHASE!$H$6:$H$10008,$A$4:$A$2700)</f>
        <v>0</v>
      </c>
      <c r="AY85" s="512">
        <f>SUMIFS(PURCHASE!$M$6:$M$10008,PURCHASE!$A$6:$A$10008,$AV$2,PURCHASE!$H$6:$H$10008,$A$4:$A$2700)</f>
        <v>0</v>
      </c>
      <c r="AZ85" s="512">
        <f>SUMIFS(PURCHASE!$N$6:$N$10008,PURCHASE!$A$6:$A$10008,$AV$2,PURCHASE!$H$6:$H$10008,$A$4:$A$2700)</f>
        <v>0</v>
      </c>
      <c r="BA85" s="512">
        <f t="shared" si="38"/>
        <v>0</v>
      </c>
      <c r="BB85" s="512">
        <f>SUMIFS(PURCHASE!$K$6:$K$10008,PURCHASE!$A$6:$A$10008,$BA$2,PURCHASE!$H$6:$H$10008,$A$4:$A$2700)</f>
        <v>0</v>
      </c>
      <c r="BC85" s="512">
        <f>SUMIFS(PURCHASE!$L$6:$L$10008,PURCHASE!$A$6:$A$10008,$BA$2,PURCHASE!$H$6:$H$10008,$A$4:$A$2700)</f>
        <v>0</v>
      </c>
      <c r="BD85" s="512">
        <f>SUMIFS(PURCHASE!$M$6:$M$10008,PURCHASE!$A$6:$A$10008,$BA$2,PURCHASE!$H$6:$H$10008,$A$4:$A$2700)</f>
        <v>0</v>
      </c>
      <c r="BE85" s="512">
        <f>SUMIFS(PURCHASE!$N$6:$N$10008,PURCHASE!$A$6:$A$10008,$BA$2,PURCHASE!$H$6:$H$10008,$A$4:$A$2700)</f>
        <v>0</v>
      </c>
      <c r="BF85" s="512">
        <f t="shared" si="39"/>
        <v>0</v>
      </c>
      <c r="BG85" s="512">
        <f>SUMIFS(PURCHASE!$K$6:$K$10008,PURCHASE!$A$6:$A$10008,$BF$2,PURCHASE!$H$6:$H$10008,$A$4:$A$2700)</f>
        <v>0</v>
      </c>
      <c r="BH85" s="512">
        <f>SUMIFS(PURCHASE!$L$6:$L$10008,PURCHASE!$A$6:$A$10008,$BF$2,PURCHASE!$H$6:$H$10008,$A$4:$A$2700)</f>
        <v>0</v>
      </c>
      <c r="BI85" s="512">
        <f>SUMIFS(PURCHASE!$M$6:$M$10008,PURCHASE!$A$6:$A$10008,$BF$2,PURCHASE!$H$6:$H$10008,$A$4:$A$2700)</f>
        <v>0</v>
      </c>
      <c r="BJ85" s="512">
        <f>SUMIFS(PURCHASE!$N$6:$N$10008,PURCHASE!$A$6:$A$10008,$BF$2,PURCHASE!$H$6:$H$10008,$A$4:$A$2700)</f>
        <v>0</v>
      </c>
      <c r="BK85" s="72">
        <f t="shared" si="23"/>
        <v>0</v>
      </c>
      <c r="BL85" s="72">
        <f t="shared" si="24"/>
        <v>0</v>
      </c>
      <c r="BM85" s="72">
        <f t="shared" si="25"/>
        <v>0</v>
      </c>
      <c r="BN85" s="72">
        <f t="shared" si="26"/>
        <v>0</v>
      </c>
      <c r="BO85" s="72">
        <f t="shared" si="27"/>
        <v>0</v>
      </c>
    </row>
    <row r="86" spans="1:67" x14ac:dyDescent="0.2">
      <c r="A86" s="511">
        <v>8467299</v>
      </c>
      <c r="B86" s="500" t="s">
        <v>1252</v>
      </c>
      <c r="C86" s="512">
        <f t="shared" si="28"/>
        <v>0</v>
      </c>
      <c r="D86" s="512">
        <f>SUMIFS(PURCHASE!$K$6:$K$10008,PURCHASE!$A$6:$A$10008,$M$2,PURCHASE!$H$6:$H$10008,$A$4:$A$2700)</f>
        <v>0</v>
      </c>
      <c r="E86" s="512">
        <f>SUMIFS(PURCHASE!$L$6:$L$10008,PURCHASE!$A$6:$A$10008,$M$2,PURCHASE!$H$6:$H$10008,$A$4:$A$2700)</f>
        <v>0</v>
      </c>
      <c r="F86" s="512">
        <f>SUMIFS(PURCHASE!$M$6:$M$10008,PURCHASE!$A$6:$A$10008,$M$2,PURCHASE!$H$6:$H$10008,$A$4:$A$2700)</f>
        <v>0</v>
      </c>
      <c r="G86" s="512">
        <f>SUMIFS(PURCHASE!$N$6:$N$10008,PURCHASE!$A$6:$A$10008,$M$2,PURCHASE!$H$6:$H$10008,$A$4:$A$2700)</f>
        <v>0</v>
      </c>
      <c r="H86" s="512">
        <f t="shared" si="29"/>
        <v>0</v>
      </c>
      <c r="I86" s="512">
        <f>SUMIFS(PURCHASE!$K$6:$K$10008,PURCHASE!$A$6:$A$10008,$H$2,PURCHASE!$H$6:$H$10008,$A$4:$A$2700)</f>
        <v>0</v>
      </c>
      <c r="J86" s="512">
        <f>SUMIFS(PURCHASE!$L$6:$L$10008,PURCHASE!$A$6:$A$10008,$H$2,PURCHASE!$H$6:$H$10008,$A$4:$A$2700)</f>
        <v>0</v>
      </c>
      <c r="K86" s="512">
        <f>SUMIFS(PURCHASE!$M$6:$M$10008,PURCHASE!$A$6:$A$10008,$H$2,PURCHASE!$H$6:$H$10008,$A$4:$A$2700)</f>
        <v>0</v>
      </c>
      <c r="L86" s="512">
        <f>SUMIFS(PURCHASE!$N$6:$N$10008,PURCHASE!$A$6:$A$10008,$H$2,PURCHASE!$H$6:$H$10008,$A$4:$A$2700)</f>
        <v>0</v>
      </c>
      <c r="M86" s="512">
        <f t="shared" si="30"/>
        <v>0</v>
      </c>
      <c r="N86" s="512">
        <f>SUMIFS(PURCHASE!$K$6:$K$10008,PURCHASE!$A$6:$A$10008,$M$2,PURCHASE!$H$6:$H$10008,$A$4:$A$2700)</f>
        <v>0</v>
      </c>
      <c r="O86" s="512">
        <f>SUMIFS(PURCHASE!$L$6:$L$10008,PURCHASE!$A$6:$A$10008,$M$2,PURCHASE!$H$6:$H$10008,$A$4:$A$2700)</f>
        <v>0</v>
      </c>
      <c r="P86" s="512">
        <f>SUMIFS(PURCHASE!$M$6:$M$10008,PURCHASE!$A$6:$A$10008,$M$2,PURCHASE!$H$6:$H$10008,$A$4:$A$2700)</f>
        <v>0</v>
      </c>
      <c r="Q86" s="512">
        <f>SUMIFS(PURCHASE!$N$6:$N$10008,PURCHASE!$A$6:$A$10008,$M$2,PURCHASE!$H$6:$H$10008,$A$4:$A$2700)</f>
        <v>0</v>
      </c>
      <c r="R86" s="512">
        <f t="shared" si="31"/>
        <v>0</v>
      </c>
      <c r="S86" s="512">
        <f>SUMIFS(PURCHASE!$K$6:$K$10008,PURCHASE!$A$6:$A$10008,$R$2,PURCHASE!$H$6:$H$10008,$A$4:$A$2700)</f>
        <v>0</v>
      </c>
      <c r="T86" s="512">
        <f>SUMIFS(PURCHASE!$L$6:$L$10008,PURCHASE!$A$6:$A$10008,$R$2,PURCHASE!$H$6:$H$10008,$A$4:$A$2700)</f>
        <v>0</v>
      </c>
      <c r="U86" s="512">
        <f>SUMIFS(PURCHASE!$M$6:$M$10008,PURCHASE!$A$6:$A$10008,$R$2,PURCHASE!$H$6:$H$10008,$A$4:$A$2700)</f>
        <v>0</v>
      </c>
      <c r="V86" s="512">
        <f>SUMIFS(PURCHASE!$N$6:$N$10008,PURCHASE!$A$6:$A$10008,$R$2,PURCHASE!$H$6:$H$10008,$A$4:$A$2700)</f>
        <v>0</v>
      </c>
      <c r="W86" s="512">
        <f t="shared" si="32"/>
        <v>0</v>
      </c>
      <c r="X86" s="512">
        <f>SUMIFS(PURCHASE!$K$6:$K$10008,PURCHASE!$A$6:$A$10008,$W$2,PURCHASE!$H$6:$H$10008,$A$4:$A$2700)</f>
        <v>0</v>
      </c>
      <c r="Y86" s="512">
        <f>SUMIFS(PURCHASE!$L$6:$L$10008,PURCHASE!$A$6:$A$10008,$W$2,PURCHASE!$H$6:$H$10008,$A$4:$A$2700)</f>
        <v>0</v>
      </c>
      <c r="Z86" s="512">
        <f>SUMIFS(PURCHASE!$M$6:$M$10008,PURCHASE!$A$6:$A$10008,$W$2,PURCHASE!$H$6:$H$10008,$A$4:$A$2700)</f>
        <v>0</v>
      </c>
      <c r="AA86" s="512">
        <f>SUMIFS(PURCHASE!$N$6:$N$10008,PURCHASE!$A$6:$A$10008,$W$2,PURCHASE!$H$6:$H$10008,$A$4:$A$2700)</f>
        <v>0</v>
      </c>
      <c r="AB86" s="512">
        <f t="shared" si="33"/>
        <v>0</v>
      </c>
      <c r="AC86" s="512">
        <f>SUMIFS(PURCHASE!$K$6:$K$10008,PURCHASE!$A$6:$A$10008,$AB$2,PURCHASE!$H$6:$H$10008,$A$4:$A$2700)</f>
        <v>0</v>
      </c>
      <c r="AD86" s="512">
        <f>SUMIFS(PURCHASE!$L$6:$L$10008,PURCHASE!$A$6:$A$10008,$AB$2,PURCHASE!$H$6:$H$10008,$A$4:$A$2700)</f>
        <v>0</v>
      </c>
      <c r="AE86" s="512">
        <f>SUMIFS(PURCHASE!$M$6:$M$10008,PURCHASE!$A$6:$A$10008,$AB$2,PURCHASE!$H$6:$H$10008,$A$4:$A$2700)</f>
        <v>0</v>
      </c>
      <c r="AF86" s="512">
        <f>SUMIFS(PURCHASE!$N$6:$N$10008,PURCHASE!$A$6:$A$10008,$AB$2,PURCHASE!$H$6:$H$10008,$A$4:$A$2700)</f>
        <v>0</v>
      </c>
      <c r="AG86" s="512">
        <f t="shared" si="34"/>
        <v>0</v>
      </c>
      <c r="AH86" s="512">
        <f>SUMIFS(PURCHASE!$K$6:$K$10008,PURCHASE!$A$6:$A$10008,$AG$2,PURCHASE!$H$6:$H$10008,$A$4:$A$2700)</f>
        <v>0</v>
      </c>
      <c r="AI86" s="512">
        <f>SUMIFS(PURCHASE!$L$6:$L$10008,PURCHASE!$A$6:$A$10008,$AG$2,PURCHASE!$H$6:$H$10008,$A$4:$A$2700)</f>
        <v>0</v>
      </c>
      <c r="AJ86" s="512">
        <f>SUMIFS(PURCHASE!$M$6:$M$10008,PURCHASE!$A$6:$A$10008,$AG$2,PURCHASE!$H$6:$H$10008,$A$4:$A$2700)</f>
        <v>0</v>
      </c>
      <c r="AK86" s="512">
        <f>SUMIFS(PURCHASE!$N$6:$N$10008,PURCHASE!$A$6:$A$10008,$AG$2,PURCHASE!$H$6:$H$10008,$A$4:$A$2700)</f>
        <v>0</v>
      </c>
      <c r="AL86" s="512">
        <f t="shared" si="35"/>
        <v>0</v>
      </c>
      <c r="AM86" s="512">
        <f>SUMIFS(PURCHASE!$K$6:$K$10008,PURCHASE!$A$6:$A$10008,$AL$2,PURCHASE!$H$6:$H$10008,$A$4:$A$2700)</f>
        <v>0</v>
      </c>
      <c r="AN86" s="512">
        <f>SUMIFS(PURCHASE!$L$6:$L$10008,PURCHASE!$A$6:$A$10008,$AL$2,PURCHASE!$H$6:$H$10008,$A$4:$A$2700)</f>
        <v>0</v>
      </c>
      <c r="AO86" s="512">
        <f>SUMIFS(PURCHASE!$M$6:$M$10008,PURCHASE!$A$6:$A$10008,$AL$2,PURCHASE!$H$6:$H$10008,$A$4:$A$2700)</f>
        <v>0</v>
      </c>
      <c r="AP86" s="512">
        <f>SUMIFS(PURCHASE!$N$6:$N$10008,PURCHASE!$A$6:$A$10008,$AL$2,PURCHASE!$H$6:$H$10008,$A$4:$A$2700)</f>
        <v>0</v>
      </c>
      <c r="AQ86" s="512">
        <f t="shared" si="36"/>
        <v>0</v>
      </c>
      <c r="AR86" s="512">
        <f>SUMIFS(PURCHASE!$K$6:$K$10008,PURCHASE!$A$6:$A$10008,$AQ$2,PURCHASE!$H$6:$H$10008,$A$4:$A$2700)</f>
        <v>0</v>
      </c>
      <c r="AS86" s="512">
        <f>SUMIFS(PURCHASE!$L$6:$L$10008,PURCHASE!$A$6:$A$10008,$AQ$2,PURCHASE!$H$6:$H$10008,$A$4:$A$2700)</f>
        <v>0</v>
      </c>
      <c r="AT86" s="512">
        <f>SUMIFS(PURCHASE!$M$6:$M$10008,PURCHASE!$A$6:$A$10008,$AQ$2,PURCHASE!$H$6:$H$10008,$A$4:$A$2700)</f>
        <v>0</v>
      </c>
      <c r="AU86" s="512">
        <f>SUMIFS(PURCHASE!$N$6:$N$10008,PURCHASE!$A$6:$A$10008,$AQ$2,PURCHASE!$H$6:$H$10008,$A$4:$A$2700)</f>
        <v>0</v>
      </c>
      <c r="AV86" s="512">
        <f t="shared" si="37"/>
        <v>0</v>
      </c>
      <c r="AW86" s="512">
        <f>SUMIFS(PURCHASE!$K$6:$K$10008,PURCHASE!$A$6:$A$10008,$AV$2,PURCHASE!$H$6:$H$10008,$A$4:$A$2700)</f>
        <v>0</v>
      </c>
      <c r="AX86" s="512">
        <f>SUMIFS(PURCHASE!$L$6:$L$10008,PURCHASE!$A$6:$A$10008,$AV$2,PURCHASE!$H$6:$H$10008,$A$4:$A$2700)</f>
        <v>0</v>
      </c>
      <c r="AY86" s="512">
        <f>SUMIFS(PURCHASE!$M$6:$M$10008,PURCHASE!$A$6:$A$10008,$AV$2,PURCHASE!$H$6:$H$10008,$A$4:$A$2700)</f>
        <v>0</v>
      </c>
      <c r="AZ86" s="512">
        <f>SUMIFS(PURCHASE!$N$6:$N$10008,PURCHASE!$A$6:$A$10008,$AV$2,PURCHASE!$H$6:$H$10008,$A$4:$A$2700)</f>
        <v>0</v>
      </c>
      <c r="BA86" s="512">
        <f t="shared" si="38"/>
        <v>0</v>
      </c>
      <c r="BB86" s="512">
        <f>SUMIFS(PURCHASE!$K$6:$K$10008,PURCHASE!$A$6:$A$10008,$BA$2,PURCHASE!$H$6:$H$10008,$A$4:$A$2700)</f>
        <v>0</v>
      </c>
      <c r="BC86" s="512">
        <f>SUMIFS(PURCHASE!$L$6:$L$10008,PURCHASE!$A$6:$A$10008,$BA$2,PURCHASE!$H$6:$H$10008,$A$4:$A$2700)</f>
        <v>0</v>
      </c>
      <c r="BD86" s="512">
        <f>SUMIFS(PURCHASE!$M$6:$M$10008,PURCHASE!$A$6:$A$10008,$BA$2,PURCHASE!$H$6:$H$10008,$A$4:$A$2700)</f>
        <v>0</v>
      </c>
      <c r="BE86" s="512">
        <f>SUMIFS(PURCHASE!$N$6:$N$10008,PURCHASE!$A$6:$A$10008,$BA$2,PURCHASE!$H$6:$H$10008,$A$4:$A$2700)</f>
        <v>0</v>
      </c>
      <c r="BF86" s="512">
        <f t="shared" si="39"/>
        <v>0</v>
      </c>
      <c r="BG86" s="512">
        <f>SUMIFS(PURCHASE!$K$6:$K$10008,PURCHASE!$A$6:$A$10008,$BF$2,PURCHASE!$H$6:$H$10008,$A$4:$A$2700)</f>
        <v>0</v>
      </c>
      <c r="BH86" s="512">
        <f>SUMIFS(PURCHASE!$L$6:$L$10008,PURCHASE!$A$6:$A$10008,$BF$2,PURCHASE!$H$6:$H$10008,$A$4:$A$2700)</f>
        <v>0</v>
      </c>
      <c r="BI86" s="512">
        <f>SUMIFS(PURCHASE!$M$6:$M$10008,PURCHASE!$A$6:$A$10008,$BF$2,PURCHASE!$H$6:$H$10008,$A$4:$A$2700)</f>
        <v>0</v>
      </c>
      <c r="BJ86" s="512">
        <f>SUMIFS(PURCHASE!$N$6:$N$10008,PURCHASE!$A$6:$A$10008,$BF$2,PURCHASE!$H$6:$H$10008,$A$4:$A$2700)</f>
        <v>0</v>
      </c>
      <c r="BK86" s="72">
        <f t="shared" si="23"/>
        <v>0</v>
      </c>
      <c r="BL86" s="72">
        <f t="shared" si="24"/>
        <v>0</v>
      </c>
      <c r="BM86" s="72">
        <f t="shared" si="25"/>
        <v>0</v>
      </c>
      <c r="BN86" s="72">
        <f t="shared" si="26"/>
        <v>0</v>
      </c>
      <c r="BO86" s="72">
        <f t="shared" si="27"/>
        <v>0</v>
      </c>
    </row>
    <row r="87" spans="1:67" x14ac:dyDescent="0.2">
      <c r="A87" s="511">
        <v>8483300</v>
      </c>
      <c r="B87" s="500" t="s">
        <v>1253</v>
      </c>
      <c r="C87" s="512">
        <f t="shared" si="28"/>
        <v>0</v>
      </c>
      <c r="D87" s="512">
        <f>SUMIFS(PURCHASE!$K$6:$K$10008,PURCHASE!$A$6:$A$10008,$M$2,PURCHASE!$H$6:$H$10008,$A$4:$A$2700)</f>
        <v>0</v>
      </c>
      <c r="E87" s="512">
        <f>SUMIFS(PURCHASE!$L$6:$L$10008,PURCHASE!$A$6:$A$10008,$M$2,PURCHASE!$H$6:$H$10008,$A$4:$A$2700)</f>
        <v>0</v>
      </c>
      <c r="F87" s="512">
        <f>SUMIFS(PURCHASE!$M$6:$M$10008,PURCHASE!$A$6:$A$10008,$M$2,PURCHASE!$H$6:$H$10008,$A$4:$A$2700)</f>
        <v>0</v>
      </c>
      <c r="G87" s="512">
        <f>SUMIFS(PURCHASE!$N$6:$N$10008,PURCHASE!$A$6:$A$10008,$M$2,PURCHASE!$H$6:$H$10008,$A$4:$A$2700)</f>
        <v>0</v>
      </c>
      <c r="H87" s="512">
        <f t="shared" si="29"/>
        <v>0</v>
      </c>
      <c r="I87" s="512">
        <f>SUMIFS(PURCHASE!$K$6:$K$10008,PURCHASE!$A$6:$A$10008,$H$2,PURCHASE!$H$6:$H$10008,$A$4:$A$2700)</f>
        <v>0</v>
      </c>
      <c r="J87" s="512">
        <f>SUMIFS(PURCHASE!$L$6:$L$10008,PURCHASE!$A$6:$A$10008,$H$2,PURCHASE!$H$6:$H$10008,$A$4:$A$2700)</f>
        <v>0</v>
      </c>
      <c r="K87" s="512">
        <f>SUMIFS(PURCHASE!$M$6:$M$10008,PURCHASE!$A$6:$A$10008,$H$2,PURCHASE!$H$6:$H$10008,$A$4:$A$2700)</f>
        <v>0</v>
      </c>
      <c r="L87" s="512">
        <f>SUMIFS(PURCHASE!$N$6:$N$10008,PURCHASE!$A$6:$A$10008,$H$2,PURCHASE!$H$6:$H$10008,$A$4:$A$2700)</f>
        <v>0</v>
      </c>
      <c r="M87" s="512">
        <f t="shared" si="30"/>
        <v>0</v>
      </c>
      <c r="N87" s="512">
        <f>SUMIFS(PURCHASE!$K$6:$K$10008,PURCHASE!$A$6:$A$10008,$M$2,PURCHASE!$H$6:$H$10008,$A$4:$A$2700)</f>
        <v>0</v>
      </c>
      <c r="O87" s="512">
        <f>SUMIFS(PURCHASE!$L$6:$L$10008,PURCHASE!$A$6:$A$10008,$M$2,PURCHASE!$H$6:$H$10008,$A$4:$A$2700)</f>
        <v>0</v>
      </c>
      <c r="P87" s="512">
        <f>SUMIFS(PURCHASE!$M$6:$M$10008,PURCHASE!$A$6:$A$10008,$M$2,PURCHASE!$H$6:$H$10008,$A$4:$A$2700)</f>
        <v>0</v>
      </c>
      <c r="Q87" s="512">
        <f>SUMIFS(PURCHASE!$N$6:$N$10008,PURCHASE!$A$6:$A$10008,$M$2,PURCHASE!$H$6:$H$10008,$A$4:$A$2700)</f>
        <v>0</v>
      </c>
      <c r="R87" s="512">
        <f t="shared" si="31"/>
        <v>0</v>
      </c>
      <c r="S87" s="512">
        <f>SUMIFS(PURCHASE!$K$6:$K$10008,PURCHASE!$A$6:$A$10008,$R$2,PURCHASE!$H$6:$H$10008,$A$4:$A$2700)</f>
        <v>0</v>
      </c>
      <c r="T87" s="512">
        <f>SUMIFS(PURCHASE!$L$6:$L$10008,PURCHASE!$A$6:$A$10008,$R$2,PURCHASE!$H$6:$H$10008,$A$4:$A$2700)</f>
        <v>0</v>
      </c>
      <c r="U87" s="512">
        <f>SUMIFS(PURCHASE!$M$6:$M$10008,PURCHASE!$A$6:$A$10008,$R$2,PURCHASE!$H$6:$H$10008,$A$4:$A$2700)</f>
        <v>0</v>
      </c>
      <c r="V87" s="512">
        <f>SUMIFS(PURCHASE!$N$6:$N$10008,PURCHASE!$A$6:$A$10008,$R$2,PURCHASE!$H$6:$H$10008,$A$4:$A$2700)</f>
        <v>0</v>
      </c>
      <c r="W87" s="512">
        <f t="shared" si="32"/>
        <v>0</v>
      </c>
      <c r="X87" s="512">
        <f>SUMIFS(PURCHASE!$K$6:$K$10008,PURCHASE!$A$6:$A$10008,$W$2,PURCHASE!$H$6:$H$10008,$A$4:$A$2700)</f>
        <v>0</v>
      </c>
      <c r="Y87" s="512">
        <f>SUMIFS(PURCHASE!$L$6:$L$10008,PURCHASE!$A$6:$A$10008,$W$2,PURCHASE!$H$6:$H$10008,$A$4:$A$2700)</f>
        <v>0</v>
      </c>
      <c r="Z87" s="512">
        <f>SUMIFS(PURCHASE!$M$6:$M$10008,PURCHASE!$A$6:$A$10008,$W$2,PURCHASE!$H$6:$H$10008,$A$4:$A$2700)</f>
        <v>0</v>
      </c>
      <c r="AA87" s="512">
        <f>SUMIFS(PURCHASE!$N$6:$N$10008,PURCHASE!$A$6:$A$10008,$W$2,PURCHASE!$H$6:$H$10008,$A$4:$A$2700)</f>
        <v>0</v>
      </c>
      <c r="AB87" s="512">
        <f t="shared" si="33"/>
        <v>0</v>
      </c>
      <c r="AC87" s="512">
        <f>SUMIFS(PURCHASE!$K$6:$K$10008,PURCHASE!$A$6:$A$10008,$AB$2,PURCHASE!$H$6:$H$10008,$A$4:$A$2700)</f>
        <v>0</v>
      </c>
      <c r="AD87" s="512">
        <f>SUMIFS(PURCHASE!$L$6:$L$10008,PURCHASE!$A$6:$A$10008,$AB$2,PURCHASE!$H$6:$H$10008,$A$4:$A$2700)</f>
        <v>0</v>
      </c>
      <c r="AE87" s="512">
        <f>SUMIFS(PURCHASE!$M$6:$M$10008,PURCHASE!$A$6:$A$10008,$AB$2,PURCHASE!$H$6:$H$10008,$A$4:$A$2700)</f>
        <v>0</v>
      </c>
      <c r="AF87" s="512">
        <f>SUMIFS(PURCHASE!$N$6:$N$10008,PURCHASE!$A$6:$A$10008,$AB$2,PURCHASE!$H$6:$H$10008,$A$4:$A$2700)</f>
        <v>0</v>
      </c>
      <c r="AG87" s="512">
        <f t="shared" si="34"/>
        <v>0</v>
      </c>
      <c r="AH87" s="512">
        <f>SUMIFS(PURCHASE!$K$6:$K$10008,PURCHASE!$A$6:$A$10008,$AG$2,PURCHASE!$H$6:$H$10008,$A$4:$A$2700)</f>
        <v>0</v>
      </c>
      <c r="AI87" s="512">
        <f>SUMIFS(PURCHASE!$L$6:$L$10008,PURCHASE!$A$6:$A$10008,$AG$2,PURCHASE!$H$6:$H$10008,$A$4:$A$2700)</f>
        <v>0</v>
      </c>
      <c r="AJ87" s="512">
        <f>SUMIFS(PURCHASE!$M$6:$M$10008,PURCHASE!$A$6:$A$10008,$AG$2,PURCHASE!$H$6:$H$10008,$A$4:$A$2700)</f>
        <v>0</v>
      </c>
      <c r="AK87" s="512">
        <f>SUMIFS(PURCHASE!$N$6:$N$10008,PURCHASE!$A$6:$A$10008,$AG$2,PURCHASE!$H$6:$H$10008,$A$4:$A$2700)</f>
        <v>0</v>
      </c>
      <c r="AL87" s="512">
        <f t="shared" si="35"/>
        <v>0</v>
      </c>
      <c r="AM87" s="512">
        <f>SUMIFS(PURCHASE!$K$6:$K$10008,PURCHASE!$A$6:$A$10008,$AL$2,PURCHASE!$H$6:$H$10008,$A$4:$A$2700)</f>
        <v>0</v>
      </c>
      <c r="AN87" s="512">
        <f>SUMIFS(PURCHASE!$L$6:$L$10008,PURCHASE!$A$6:$A$10008,$AL$2,PURCHASE!$H$6:$H$10008,$A$4:$A$2700)</f>
        <v>0</v>
      </c>
      <c r="AO87" s="512">
        <f>SUMIFS(PURCHASE!$M$6:$M$10008,PURCHASE!$A$6:$A$10008,$AL$2,PURCHASE!$H$6:$H$10008,$A$4:$A$2700)</f>
        <v>0</v>
      </c>
      <c r="AP87" s="512">
        <f>SUMIFS(PURCHASE!$N$6:$N$10008,PURCHASE!$A$6:$A$10008,$AL$2,PURCHASE!$H$6:$H$10008,$A$4:$A$2700)</f>
        <v>0</v>
      </c>
      <c r="AQ87" s="512">
        <f t="shared" si="36"/>
        <v>0</v>
      </c>
      <c r="AR87" s="512">
        <f>SUMIFS(PURCHASE!$K$6:$K$10008,PURCHASE!$A$6:$A$10008,$AQ$2,PURCHASE!$H$6:$H$10008,$A$4:$A$2700)</f>
        <v>0</v>
      </c>
      <c r="AS87" s="512">
        <f>SUMIFS(PURCHASE!$L$6:$L$10008,PURCHASE!$A$6:$A$10008,$AQ$2,PURCHASE!$H$6:$H$10008,$A$4:$A$2700)</f>
        <v>0</v>
      </c>
      <c r="AT87" s="512">
        <f>SUMIFS(PURCHASE!$M$6:$M$10008,PURCHASE!$A$6:$A$10008,$AQ$2,PURCHASE!$H$6:$H$10008,$A$4:$A$2700)</f>
        <v>0</v>
      </c>
      <c r="AU87" s="512">
        <f>SUMIFS(PURCHASE!$N$6:$N$10008,PURCHASE!$A$6:$A$10008,$AQ$2,PURCHASE!$H$6:$H$10008,$A$4:$A$2700)</f>
        <v>0</v>
      </c>
      <c r="AV87" s="512">
        <f t="shared" si="37"/>
        <v>0</v>
      </c>
      <c r="AW87" s="512">
        <f>SUMIFS(PURCHASE!$K$6:$K$10008,PURCHASE!$A$6:$A$10008,$AV$2,PURCHASE!$H$6:$H$10008,$A$4:$A$2700)</f>
        <v>0</v>
      </c>
      <c r="AX87" s="512">
        <f>SUMIFS(PURCHASE!$L$6:$L$10008,PURCHASE!$A$6:$A$10008,$AV$2,PURCHASE!$H$6:$H$10008,$A$4:$A$2700)</f>
        <v>0</v>
      </c>
      <c r="AY87" s="512">
        <f>SUMIFS(PURCHASE!$M$6:$M$10008,PURCHASE!$A$6:$A$10008,$AV$2,PURCHASE!$H$6:$H$10008,$A$4:$A$2700)</f>
        <v>0</v>
      </c>
      <c r="AZ87" s="512">
        <f>SUMIFS(PURCHASE!$N$6:$N$10008,PURCHASE!$A$6:$A$10008,$AV$2,PURCHASE!$H$6:$H$10008,$A$4:$A$2700)</f>
        <v>0</v>
      </c>
      <c r="BA87" s="512">
        <f t="shared" si="38"/>
        <v>0</v>
      </c>
      <c r="BB87" s="512">
        <f>SUMIFS(PURCHASE!$K$6:$K$10008,PURCHASE!$A$6:$A$10008,$BA$2,PURCHASE!$H$6:$H$10008,$A$4:$A$2700)</f>
        <v>0</v>
      </c>
      <c r="BC87" s="512">
        <f>SUMIFS(PURCHASE!$L$6:$L$10008,PURCHASE!$A$6:$A$10008,$BA$2,PURCHASE!$H$6:$H$10008,$A$4:$A$2700)</f>
        <v>0</v>
      </c>
      <c r="BD87" s="512">
        <f>SUMIFS(PURCHASE!$M$6:$M$10008,PURCHASE!$A$6:$A$10008,$BA$2,PURCHASE!$H$6:$H$10008,$A$4:$A$2700)</f>
        <v>0</v>
      </c>
      <c r="BE87" s="512">
        <f>SUMIFS(PURCHASE!$N$6:$N$10008,PURCHASE!$A$6:$A$10008,$BA$2,PURCHASE!$H$6:$H$10008,$A$4:$A$2700)</f>
        <v>0</v>
      </c>
      <c r="BF87" s="512">
        <f t="shared" si="39"/>
        <v>0</v>
      </c>
      <c r="BG87" s="512">
        <f>SUMIFS(PURCHASE!$K$6:$K$10008,PURCHASE!$A$6:$A$10008,$BF$2,PURCHASE!$H$6:$H$10008,$A$4:$A$2700)</f>
        <v>0</v>
      </c>
      <c r="BH87" s="512">
        <f>SUMIFS(PURCHASE!$L$6:$L$10008,PURCHASE!$A$6:$A$10008,$BF$2,PURCHASE!$H$6:$H$10008,$A$4:$A$2700)</f>
        <v>0</v>
      </c>
      <c r="BI87" s="512">
        <f>SUMIFS(PURCHASE!$M$6:$M$10008,PURCHASE!$A$6:$A$10008,$BF$2,PURCHASE!$H$6:$H$10008,$A$4:$A$2700)</f>
        <v>0</v>
      </c>
      <c r="BJ87" s="512">
        <f>SUMIFS(PURCHASE!$N$6:$N$10008,PURCHASE!$A$6:$A$10008,$BF$2,PURCHASE!$H$6:$H$10008,$A$4:$A$2700)</f>
        <v>0</v>
      </c>
      <c r="BK87" s="72">
        <f t="shared" si="23"/>
        <v>0</v>
      </c>
      <c r="BL87" s="72">
        <f t="shared" si="24"/>
        <v>0</v>
      </c>
      <c r="BM87" s="72">
        <f t="shared" si="25"/>
        <v>0</v>
      </c>
      <c r="BN87" s="72">
        <f t="shared" si="26"/>
        <v>0</v>
      </c>
      <c r="BO87" s="72">
        <f t="shared" si="27"/>
        <v>0</v>
      </c>
    </row>
    <row r="88" spans="1:67" x14ac:dyDescent="0.2">
      <c r="A88" s="511">
        <v>8443</v>
      </c>
      <c r="B88" s="500" t="s">
        <v>1254</v>
      </c>
      <c r="C88" s="512">
        <f t="shared" si="28"/>
        <v>200.60000000000002</v>
      </c>
      <c r="D88" s="512">
        <f>SUMIFS(PURCHASE!$K$6:$K$10008,PURCHASE!$A$6:$A$10008,$M$2,PURCHASE!$H$6:$H$10008,$A$4:$A$2700)</f>
        <v>170</v>
      </c>
      <c r="E88" s="512">
        <f>SUMIFS(PURCHASE!$L$6:$L$10008,PURCHASE!$A$6:$A$10008,$M$2,PURCHASE!$H$6:$H$10008,$A$4:$A$2700)</f>
        <v>0</v>
      </c>
      <c r="F88" s="512">
        <f>SUMIFS(PURCHASE!$M$6:$M$10008,PURCHASE!$A$6:$A$10008,$M$2,PURCHASE!$H$6:$H$10008,$A$4:$A$2700)</f>
        <v>15.299999999999999</v>
      </c>
      <c r="G88" s="512">
        <f>SUMIFS(PURCHASE!$N$6:$N$10008,PURCHASE!$A$6:$A$10008,$M$2,PURCHASE!$H$6:$H$10008,$A$4:$A$2700)</f>
        <v>15.299999999999999</v>
      </c>
      <c r="H88" s="512">
        <f t="shared" si="29"/>
        <v>0</v>
      </c>
      <c r="I88" s="512">
        <f>SUMIFS(PURCHASE!$K$6:$K$10008,PURCHASE!$A$6:$A$10008,$H$2,PURCHASE!$H$6:$H$10008,$A$4:$A$2700)</f>
        <v>0</v>
      </c>
      <c r="J88" s="512">
        <f>SUMIFS(PURCHASE!$L$6:$L$10008,PURCHASE!$A$6:$A$10008,$H$2,PURCHASE!$H$6:$H$10008,$A$4:$A$2700)</f>
        <v>0</v>
      </c>
      <c r="K88" s="512">
        <f>SUMIFS(PURCHASE!$M$6:$M$10008,PURCHASE!$A$6:$A$10008,$H$2,PURCHASE!$H$6:$H$10008,$A$4:$A$2700)</f>
        <v>0</v>
      </c>
      <c r="L88" s="512">
        <f>SUMIFS(PURCHASE!$N$6:$N$10008,PURCHASE!$A$6:$A$10008,$H$2,PURCHASE!$H$6:$H$10008,$A$4:$A$2700)</f>
        <v>0</v>
      </c>
      <c r="M88" s="512">
        <f t="shared" si="30"/>
        <v>200.60000000000002</v>
      </c>
      <c r="N88" s="512">
        <f>SUMIFS(PURCHASE!$K$6:$K$10008,PURCHASE!$A$6:$A$10008,$M$2,PURCHASE!$H$6:$H$10008,$A$4:$A$2700)</f>
        <v>170</v>
      </c>
      <c r="O88" s="512">
        <f>SUMIFS(PURCHASE!$L$6:$L$10008,PURCHASE!$A$6:$A$10008,$M$2,PURCHASE!$H$6:$H$10008,$A$4:$A$2700)</f>
        <v>0</v>
      </c>
      <c r="P88" s="512">
        <f>SUMIFS(PURCHASE!$M$6:$M$10008,PURCHASE!$A$6:$A$10008,$M$2,PURCHASE!$H$6:$H$10008,$A$4:$A$2700)</f>
        <v>15.299999999999999</v>
      </c>
      <c r="Q88" s="512">
        <f>SUMIFS(PURCHASE!$N$6:$N$10008,PURCHASE!$A$6:$A$10008,$M$2,PURCHASE!$H$6:$H$10008,$A$4:$A$2700)</f>
        <v>15.299999999999999</v>
      </c>
      <c r="R88" s="512">
        <f t="shared" si="31"/>
        <v>200.60000000000002</v>
      </c>
      <c r="S88" s="512">
        <f>SUMIFS(PURCHASE!$K$6:$K$10008,PURCHASE!$A$6:$A$10008,$R$2,PURCHASE!$H$6:$H$10008,$A$4:$A$2700)</f>
        <v>170</v>
      </c>
      <c r="T88" s="512">
        <f>SUMIFS(PURCHASE!$L$6:$L$10008,PURCHASE!$A$6:$A$10008,$R$2,PURCHASE!$H$6:$H$10008,$A$4:$A$2700)</f>
        <v>0</v>
      </c>
      <c r="U88" s="512">
        <f>SUMIFS(PURCHASE!$M$6:$M$10008,PURCHASE!$A$6:$A$10008,$R$2,PURCHASE!$H$6:$H$10008,$A$4:$A$2700)</f>
        <v>15.299999999999999</v>
      </c>
      <c r="V88" s="512">
        <f>SUMIFS(PURCHASE!$N$6:$N$10008,PURCHASE!$A$6:$A$10008,$R$2,PURCHASE!$H$6:$H$10008,$A$4:$A$2700)</f>
        <v>15.299999999999999</v>
      </c>
      <c r="W88" s="512">
        <f t="shared" si="32"/>
        <v>0</v>
      </c>
      <c r="X88" s="512">
        <f>SUMIFS(PURCHASE!$K$6:$K$10008,PURCHASE!$A$6:$A$10008,$W$2,PURCHASE!$H$6:$H$10008,$A$4:$A$2700)</f>
        <v>0</v>
      </c>
      <c r="Y88" s="512">
        <f>SUMIFS(PURCHASE!$L$6:$L$10008,PURCHASE!$A$6:$A$10008,$W$2,PURCHASE!$H$6:$H$10008,$A$4:$A$2700)</f>
        <v>0</v>
      </c>
      <c r="Z88" s="512">
        <f>SUMIFS(PURCHASE!$M$6:$M$10008,PURCHASE!$A$6:$A$10008,$W$2,PURCHASE!$H$6:$H$10008,$A$4:$A$2700)</f>
        <v>0</v>
      </c>
      <c r="AA88" s="512">
        <f>SUMIFS(PURCHASE!$N$6:$N$10008,PURCHASE!$A$6:$A$10008,$W$2,PURCHASE!$H$6:$H$10008,$A$4:$A$2700)</f>
        <v>0</v>
      </c>
      <c r="AB88" s="512">
        <f t="shared" si="33"/>
        <v>1180</v>
      </c>
      <c r="AC88" s="512">
        <f>SUMIFS(PURCHASE!$K$6:$K$10008,PURCHASE!$A$6:$A$10008,$AB$2,PURCHASE!$H$6:$H$10008,$A$4:$A$2700)</f>
        <v>1000</v>
      </c>
      <c r="AD88" s="512">
        <f>SUMIFS(PURCHASE!$L$6:$L$10008,PURCHASE!$A$6:$A$10008,$AB$2,PURCHASE!$H$6:$H$10008,$A$4:$A$2700)</f>
        <v>0</v>
      </c>
      <c r="AE88" s="512">
        <f>SUMIFS(PURCHASE!$M$6:$M$10008,PURCHASE!$A$6:$A$10008,$AB$2,PURCHASE!$H$6:$H$10008,$A$4:$A$2700)</f>
        <v>90</v>
      </c>
      <c r="AF88" s="512">
        <f>SUMIFS(PURCHASE!$N$6:$N$10008,PURCHASE!$A$6:$A$10008,$AB$2,PURCHASE!$H$6:$H$10008,$A$4:$A$2700)</f>
        <v>90</v>
      </c>
      <c r="AG88" s="512">
        <f t="shared" si="34"/>
        <v>0</v>
      </c>
      <c r="AH88" s="512">
        <f>SUMIFS(PURCHASE!$K$6:$K$10008,PURCHASE!$A$6:$A$10008,$AG$2,PURCHASE!$H$6:$H$10008,$A$4:$A$2700)</f>
        <v>0</v>
      </c>
      <c r="AI88" s="512">
        <f>SUMIFS(PURCHASE!$L$6:$L$10008,PURCHASE!$A$6:$A$10008,$AG$2,PURCHASE!$H$6:$H$10008,$A$4:$A$2700)</f>
        <v>0</v>
      </c>
      <c r="AJ88" s="512">
        <f>SUMIFS(PURCHASE!$M$6:$M$10008,PURCHASE!$A$6:$A$10008,$AG$2,PURCHASE!$H$6:$H$10008,$A$4:$A$2700)</f>
        <v>0</v>
      </c>
      <c r="AK88" s="512">
        <f>SUMIFS(PURCHASE!$N$6:$N$10008,PURCHASE!$A$6:$A$10008,$AG$2,PURCHASE!$H$6:$H$10008,$A$4:$A$2700)</f>
        <v>0</v>
      </c>
      <c r="AL88" s="512">
        <f t="shared" si="35"/>
        <v>177</v>
      </c>
      <c r="AM88" s="512">
        <f>SUMIFS(PURCHASE!$K$6:$K$10008,PURCHASE!$A$6:$A$10008,$AL$2,PURCHASE!$H$6:$H$10008,$A$4:$A$2700)</f>
        <v>150</v>
      </c>
      <c r="AN88" s="512">
        <f>SUMIFS(PURCHASE!$L$6:$L$10008,PURCHASE!$A$6:$A$10008,$AL$2,PURCHASE!$H$6:$H$10008,$A$4:$A$2700)</f>
        <v>0</v>
      </c>
      <c r="AO88" s="512">
        <f>SUMIFS(PURCHASE!$M$6:$M$10008,PURCHASE!$A$6:$A$10008,$AL$2,PURCHASE!$H$6:$H$10008,$A$4:$A$2700)</f>
        <v>13.5</v>
      </c>
      <c r="AP88" s="512">
        <f>SUMIFS(PURCHASE!$N$6:$N$10008,PURCHASE!$A$6:$A$10008,$AL$2,PURCHASE!$H$6:$H$10008,$A$4:$A$2700)</f>
        <v>13.5</v>
      </c>
      <c r="AQ88" s="512">
        <f t="shared" si="36"/>
        <v>0</v>
      </c>
      <c r="AR88" s="512">
        <f>SUMIFS(PURCHASE!$K$6:$K$10008,PURCHASE!$A$6:$A$10008,$AQ$2,PURCHASE!$H$6:$H$10008,$A$4:$A$2700)</f>
        <v>0</v>
      </c>
      <c r="AS88" s="512">
        <f>SUMIFS(PURCHASE!$L$6:$L$10008,PURCHASE!$A$6:$A$10008,$AQ$2,PURCHASE!$H$6:$H$10008,$A$4:$A$2700)</f>
        <v>0</v>
      </c>
      <c r="AT88" s="512">
        <f>SUMIFS(PURCHASE!$M$6:$M$10008,PURCHASE!$A$6:$A$10008,$AQ$2,PURCHASE!$H$6:$H$10008,$A$4:$A$2700)</f>
        <v>0</v>
      </c>
      <c r="AU88" s="512">
        <f>SUMIFS(PURCHASE!$N$6:$N$10008,PURCHASE!$A$6:$A$10008,$AQ$2,PURCHASE!$H$6:$H$10008,$A$4:$A$2700)</f>
        <v>0</v>
      </c>
      <c r="AV88" s="512">
        <f t="shared" si="37"/>
        <v>0</v>
      </c>
      <c r="AW88" s="512">
        <f>SUMIFS(PURCHASE!$K$6:$K$10008,PURCHASE!$A$6:$A$10008,$AV$2,PURCHASE!$H$6:$H$10008,$A$4:$A$2700)</f>
        <v>0</v>
      </c>
      <c r="AX88" s="512">
        <f>SUMIFS(PURCHASE!$L$6:$L$10008,PURCHASE!$A$6:$A$10008,$AV$2,PURCHASE!$H$6:$H$10008,$A$4:$A$2700)</f>
        <v>0</v>
      </c>
      <c r="AY88" s="512">
        <f>SUMIFS(PURCHASE!$M$6:$M$10008,PURCHASE!$A$6:$A$10008,$AV$2,PURCHASE!$H$6:$H$10008,$A$4:$A$2700)</f>
        <v>0</v>
      </c>
      <c r="AZ88" s="512">
        <f>SUMIFS(PURCHASE!$N$6:$N$10008,PURCHASE!$A$6:$A$10008,$AV$2,PURCHASE!$H$6:$H$10008,$A$4:$A$2700)</f>
        <v>0</v>
      </c>
      <c r="BA88" s="512">
        <f t="shared" si="38"/>
        <v>0</v>
      </c>
      <c r="BB88" s="512">
        <f>SUMIFS(PURCHASE!$K$6:$K$10008,PURCHASE!$A$6:$A$10008,$BA$2,PURCHASE!$H$6:$H$10008,$A$4:$A$2700)</f>
        <v>0</v>
      </c>
      <c r="BC88" s="512">
        <f>SUMIFS(PURCHASE!$L$6:$L$10008,PURCHASE!$A$6:$A$10008,$BA$2,PURCHASE!$H$6:$H$10008,$A$4:$A$2700)</f>
        <v>0</v>
      </c>
      <c r="BD88" s="512">
        <f>SUMIFS(PURCHASE!$M$6:$M$10008,PURCHASE!$A$6:$A$10008,$BA$2,PURCHASE!$H$6:$H$10008,$A$4:$A$2700)</f>
        <v>0</v>
      </c>
      <c r="BE88" s="512">
        <f>SUMIFS(PURCHASE!$N$6:$N$10008,PURCHASE!$A$6:$A$10008,$BA$2,PURCHASE!$H$6:$H$10008,$A$4:$A$2700)</f>
        <v>0</v>
      </c>
      <c r="BF88" s="512">
        <f t="shared" si="39"/>
        <v>0</v>
      </c>
      <c r="BG88" s="512">
        <f>SUMIFS(PURCHASE!$K$6:$K$10008,PURCHASE!$A$6:$A$10008,$BF$2,PURCHASE!$H$6:$H$10008,$A$4:$A$2700)</f>
        <v>0</v>
      </c>
      <c r="BH88" s="512">
        <f>SUMIFS(PURCHASE!$L$6:$L$10008,PURCHASE!$A$6:$A$10008,$BF$2,PURCHASE!$H$6:$H$10008,$A$4:$A$2700)</f>
        <v>0</v>
      </c>
      <c r="BI88" s="512">
        <f>SUMIFS(PURCHASE!$M$6:$M$10008,PURCHASE!$A$6:$A$10008,$BF$2,PURCHASE!$H$6:$H$10008,$A$4:$A$2700)</f>
        <v>0</v>
      </c>
      <c r="BJ88" s="512">
        <f>SUMIFS(PURCHASE!$N$6:$N$10008,PURCHASE!$A$6:$A$10008,$BF$2,PURCHASE!$H$6:$H$10008,$A$4:$A$2700)</f>
        <v>0</v>
      </c>
      <c r="BK88" s="72">
        <f t="shared" si="23"/>
        <v>1958.8000000000002</v>
      </c>
      <c r="BL88" s="72">
        <f t="shared" si="24"/>
        <v>1660</v>
      </c>
      <c r="BM88" s="72">
        <f t="shared" si="25"/>
        <v>0</v>
      </c>
      <c r="BN88" s="72">
        <f t="shared" si="26"/>
        <v>149.4</v>
      </c>
      <c r="BO88" s="72">
        <f t="shared" si="27"/>
        <v>149.4</v>
      </c>
    </row>
    <row r="89" spans="1:67" x14ac:dyDescent="0.2">
      <c r="A89" s="511">
        <v>8532299</v>
      </c>
      <c r="B89" s="500" t="s">
        <v>1229</v>
      </c>
      <c r="C89" s="512">
        <f t="shared" si="28"/>
        <v>0</v>
      </c>
      <c r="D89" s="512">
        <f>SUMIFS(PURCHASE!$K$6:$K$10008,PURCHASE!$A$6:$A$10008,$M$2,PURCHASE!$H$6:$H$10008,$A$4:$A$2700)</f>
        <v>0</v>
      </c>
      <c r="E89" s="512">
        <f>SUMIFS(PURCHASE!$L$6:$L$10008,PURCHASE!$A$6:$A$10008,$M$2,PURCHASE!$H$6:$H$10008,$A$4:$A$2700)</f>
        <v>0</v>
      </c>
      <c r="F89" s="512">
        <f>SUMIFS(PURCHASE!$M$6:$M$10008,PURCHASE!$A$6:$A$10008,$M$2,PURCHASE!$H$6:$H$10008,$A$4:$A$2700)</f>
        <v>0</v>
      </c>
      <c r="G89" s="512">
        <f>SUMIFS(PURCHASE!$N$6:$N$10008,PURCHASE!$A$6:$A$10008,$M$2,PURCHASE!$H$6:$H$10008,$A$4:$A$2700)</f>
        <v>0</v>
      </c>
      <c r="H89" s="512">
        <f t="shared" si="29"/>
        <v>0</v>
      </c>
      <c r="I89" s="512">
        <f>SUMIFS(PURCHASE!$K$6:$K$10008,PURCHASE!$A$6:$A$10008,$H$2,PURCHASE!$H$6:$H$10008,$A$4:$A$2700)</f>
        <v>0</v>
      </c>
      <c r="J89" s="512">
        <f>SUMIFS(PURCHASE!$L$6:$L$10008,PURCHASE!$A$6:$A$10008,$H$2,PURCHASE!$H$6:$H$10008,$A$4:$A$2700)</f>
        <v>0</v>
      </c>
      <c r="K89" s="512">
        <f>SUMIFS(PURCHASE!$M$6:$M$10008,PURCHASE!$A$6:$A$10008,$H$2,PURCHASE!$H$6:$H$10008,$A$4:$A$2700)</f>
        <v>0</v>
      </c>
      <c r="L89" s="512">
        <f>SUMIFS(PURCHASE!$N$6:$N$10008,PURCHASE!$A$6:$A$10008,$H$2,PURCHASE!$H$6:$H$10008,$A$4:$A$2700)</f>
        <v>0</v>
      </c>
      <c r="M89" s="512">
        <f t="shared" si="30"/>
        <v>0</v>
      </c>
      <c r="N89" s="512">
        <f>SUMIFS(PURCHASE!$K$6:$K$10008,PURCHASE!$A$6:$A$10008,$M$2,PURCHASE!$H$6:$H$10008,$A$4:$A$2700)</f>
        <v>0</v>
      </c>
      <c r="O89" s="512">
        <f>SUMIFS(PURCHASE!$L$6:$L$10008,PURCHASE!$A$6:$A$10008,$M$2,PURCHASE!$H$6:$H$10008,$A$4:$A$2700)</f>
        <v>0</v>
      </c>
      <c r="P89" s="512">
        <f>SUMIFS(PURCHASE!$M$6:$M$10008,PURCHASE!$A$6:$A$10008,$M$2,PURCHASE!$H$6:$H$10008,$A$4:$A$2700)</f>
        <v>0</v>
      </c>
      <c r="Q89" s="512">
        <f>SUMIFS(PURCHASE!$N$6:$N$10008,PURCHASE!$A$6:$A$10008,$M$2,PURCHASE!$H$6:$H$10008,$A$4:$A$2700)</f>
        <v>0</v>
      </c>
      <c r="R89" s="512">
        <f t="shared" si="31"/>
        <v>0</v>
      </c>
      <c r="S89" s="512">
        <f>SUMIFS(PURCHASE!$K$6:$K$10008,PURCHASE!$A$6:$A$10008,$R$2,PURCHASE!$H$6:$H$10008,$A$4:$A$2700)</f>
        <v>0</v>
      </c>
      <c r="T89" s="512">
        <f>SUMIFS(PURCHASE!$L$6:$L$10008,PURCHASE!$A$6:$A$10008,$R$2,PURCHASE!$H$6:$H$10008,$A$4:$A$2700)</f>
        <v>0</v>
      </c>
      <c r="U89" s="512">
        <f>SUMIFS(PURCHASE!$M$6:$M$10008,PURCHASE!$A$6:$A$10008,$R$2,PURCHASE!$H$6:$H$10008,$A$4:$A$2700)</f>
        <v>0</v>
      </c>
      <c r="V89" s="512">
        <f>SUMIFS(PURCHASE!$N$6:$N$10008,PURCHASE!$A$6:$A$10008,$R$2,PURCHASE!$H$6:$H$10008,$A$4:$A$2700)</f>
        <v>0</v>
      </c>
      <c r="W89" s="512">
        <f t="shared" si="32"/>
        <v>0</v>
      </c>
      <c r="X89" s="512">
        <f>SUMIFS(PURCHASE!$K$6:$K$10008,PURCHASE!$A$6:$A$10008,$W$2,PURCHASE!$H$6:$H$10008,$A$4:$A$2700)</f>
        <v>0</v>
      </c>
      <c r="Y89" s="512">
        <f>SUMIFS(PURCHASE!$L$6:$L$10008,PURCHASE!$A$6:$A$10008,$W$2,PURCHASE!$H$6:$H$10008,$A$4:$A$2700)</f>
        <v>0</v>
      </c>
      <c r="Z89" s="512">
        <f>SUMIFS(PURCHASE!$M$6:$M$10008,PURCHASE!$A$6:$A$10008,$W$2,PURCHASE!$H$6:$H$10008,$A$4:$A$2700)</f>
        <v>0</v>
      </c>
      <c r="AA89" s="512">
        <f>SUMIFS(PURCHASE!$N$6:$N$10008,PURCHASE!$A$6:$A$10008,$W$2,PURCHASE!$H$6:$H$10008,$A$4:$A$2700)</f>
        <v>0</v>
      </c>
      <c r="AB89" s="512">
        <f t="shared" si="33"/>
        <v>0</v>
      </c>
      <c r="AC89" s="512">
        <f>SUMIFS(PURCHASE!$K$6:$K$10008,PURCHASE!$A$6:$A$10008,$AB$2,PURCHASE!$H$6:$H$10008,$A$4:$A$2700)</f>
        <v>0</v>
      </c>
      <c r="AD89" s="512">
        <f>SUMIFS(PURCHASE!$L$6:$L$10008,PURCHASE!$A$6:$A$10008,$AB$2,PURCHASE!$H$6:$H$10008,$A$4:$A$2700)</f>
        <v>0</v>
      </c>
      <c r="AE89" s="512">
        <f>SUMIFS(PURCHASE!$M$6:$M$10008,PURCHASE!$A$6:$A$10008,$AB$2,PURCHASE!$H$6:$H$10008,$A$4:$A$2700)</f>
        <v>0</v>
      </c>
      <c r="AF89" s="512">
        <f>SUMIFS(PURCHASE!$N$6:$N$10008,PURCHASE!$A$6:$A$10008,$AB$2,PURCHASE!$H$6:$H$10008,$A$4:$A$2700)</f>
        <v>0</v>
      </c>
      <c r="AG89" s="512">
        <f t="shared" si="34"/>
        <v>0</v>
      </c>
      <c r="AH89" s="512">
        <f>SUMIFS(PURCHASE!$K$6:$K$10008,PURCHASE!$A$6:$A$10008,$AG$2,PURCHASE!$H$6:$H$10008,$A$4:$A$2700)</f>
        <v>0</v>
      </c>
      <c r="AI89" s="512">
        <f>SUMIFS(PURCHASE!$L$6:$L$10008,PURCHASE!$A$6:$A$10008,$AG$2,PURCHASE!$H$6:$H$10008,$A$4:$A$2700)</f>
        <v>0</v>
      </c>
      <c r="AJ89" s="512">
        <f>SUMIFS(PURCHASE!$M$6:$M$10008,PURCHASE!$A$6:$A$10008,$AG$2,PURCHASE!$H$6:$H$10008,$A$4:$A$2700)</f>
        <v>0</v>
      </c>
      <c r="AK89" s="512">
        <f>SUMIFS(PURCHASE!$N$6:$N$10008,PURCHASE!$A$6:$A$10008,$AG$2,PURCHASE!$H$6:$H$10008,$A$4:$A$2700)</f>
        <v>0</v>
      </c>
      <c r="AL89" s="512">
        <f t="shared" si="35"/>
        <v>0</v>
      </c>
      <c r="AM89" s="512">
        <f>SUMIFS(PURCHASE!$K$6:$K$10008,PURCHASE!$A$6:$A$10008,$AL$2,PURCHASE!$H$6:$H$10008,$A$4:$A$2700)</f>
        <v>0</v>
      </c>
      <c r="AN89" s="512">
        <f>SUMIFS(PURCHASE!$L$6:$L$10008,PURCHASE!$A$6:$A$10008,$AL$2,PURCHASE!$H$6:$H$10008,$A$4:$A$2700)</f>
        <v>0</v>
      </c>
      <c r="AO89" s="512">
        <f>SUMIFS(PURCHASE!$M$6:$M$10008,PURCHASE!$A$6:$A$10008,$AL$2,PURCHASE!$H$6:$H$10008,$A$4:$A$2700)</f>
        <v>0</v>
      </c>
      <c r="AP89" s="512">
        <f>SUMIFS(PURCHASE!$N$6:$N$10008,PURCHASE!$A$6:$A$10008,$AL$2,PURCHASE!$H$6:$H$10008,$A$4:$A$2700)</f>
        <v>0</v>
      </c>
      <c r="AQ89" s="512">
        <f t="shared" si="36"/>
        <v>0</v>
      </c>
      <c r="AR89" s="512">
        <f>SUMIFS(PURCHASE!$K$6:$K$10008,PURCHASE!$A$6:$A$10008,$AQ$2,PURCHASE!$H$6:$H$10008,$A$4:$A$2700)</f>
        <v>0</v>
      </c>
      <c r="AS89" s="512">
        <f>SUMIFS(PURCHASE!$L$6:$L$10008,PURCHASE!$A$6:$A$10008,$AQ$2,PURCHASE!$H$6:$H$10008,$A$4:$A$2700)</f>
        <v>0</v>
      </c>
      <c r="AT89" s="512">
        <f>SUMIFS(PURCHASE!$M$6:$M$10008,PURCHASE!$A$6:$A$10008,$AQ$2,PURCHASE!$H$6:$H$10008,$A$4:$A$2700)</f>
        <v>0</v>
      </c>
      <c r="AU89" s="512">
        <f>SUMIFS(PURCHASE!$N$6:$N$10008,PURCHASE!$A$6:$A$10008,$AQ$2,PURCHASE!$H$6:$H$10008,$A$4:$A$2700)</f>
        <v>0</v>
      </c>
      <c r="AV89" s="512">
        <f t="shared" si="37"/>
        <v>0</v>
      </c>
      <c r="AW89" s="512">
        <f>SUMIFS(PURCHASE!$K$6:$K$10008,PURCHASE!$A$6:$A$10008,$AV$2,PURCHASE!$H$6:$H$10008,$A$4:$A$2700)</f>
        <v>0</v>
      </c>
      <c r="AX89" s="512">
        <f>SUMIFS(PURCHASE!$L$6:$L$10008,PURCHASE!$A$6:$A$10008,$AV$2,PURCHASE!$H$6:$H$10008,$A$4:$A$2700)</f>
        <v>0</v>
      </c>
      <c r="AY89" s="512">
        <f>SUMIFS(PURCHASE!$M$6:$M$10008,PURCHASE!$A$6:$A$10008,$AV$2,PURCHASE!$H$6:$H$10008,$A$4:$A$2700)</f>
        <v>0</v>
      </c>
      <c r="AZ89" s="512">
        <f>SUMIFS(PURCHASE!$N$6:$N$10008,PURCHASE!$A$6:$A$10008,$AV$2,PURCHASE!$H$6:$H$10008,$A$4:$A$2700)</f>
        <v>0</v>
      </c>
      <c r="BA89" s="512">
        <f t="shared" si="38"/>
        <v>0</v>
      </c>
      <c r="BB89" s="512">
        <f>SUMIFS(PURCHASE!$K$6:$K$10008,PURCHASE!$A$6:$A$10008,$BA$2,PURCHASE!$H$6:$H$10008,$A$4:$A$2700)</f>
        <v>0</v>
      </c>
      <c r="BC89" s="512">
        <f>SUMIFS(PURCHASE!$L$6:$L$10008,PURCHASE!$A$6:$A$10008,$BA$2,PURCHASE!$H$6:$H$10008,$A$4:$A$2700)</f>
        <v>0</v>
      </c>
      <c r="BD89" s="512">
        <f>SUMIFS(PURCHASE!$M$6:$M$10008,PURCHASE!$A$6:$A$10008,$BA$2,PURCHASE!$H$6:$H$10008,$A$4:$A$2700)</f>
        <v>0</v>
      </c>
      <c r="BE89" s="512">
        <f>SUMIFS(PURCHASE!$N$6:$N$10008,PURCHASE!$A$6:$A$10008,$BA$2,PURCHASE!$H$6:$H$10008,$A$4:$A$2700)</f>
        <v>0</v>
      </c>
      <c r="BF89" s="512">
        <f t="shared" si="39"/>
        <v>0</v>
      </c>
      <c r="BG89" s="512">
        <f>SUMIFS(PURCHASE!$K$6:$K$10008,PURCHASE!$A$6:$A$10008,$BF$2,PURCHASE!$H$6:$H$10008,$A$4:$A$2700)</f>
        <v>0</v>
      </c>
      <c r="BH89" s="512">
        <f>SUMIFS(PURCHASE!$L$6:$L$10008,PURCHASE!$A$6:$A$10008,$BF$2,PURCHASE!$H$6:$H$10008,$A$4:$A$2700)</f>
        <v>0</v>
      </c>
      <c r="BI89" s="512">
        <f>SUMIFS(PURCHASE!$M$6:$M$10008,PURCHASE!$A$6:$A$10008,$BF$2,PURCHASE!$H$6:$H$10008,$A$4:$A$2700)</f>
        <v>0</v>
      </c>
      <c r="BJ89" s="512">
        <f>SUMIFS(PURCHASE!$N$6:$N$10008,PURCHASE!$A$6:$A$10008,$BF$2,PURCHASE!$H$6:$H$10008,$A$4:$A$2700)</f>
        <v>0</v>
      </c>
      <c r="BK89" s="72">
        <f t="shared" si="23"/>
        <v>0</v>
      </c>
      <c r="BL89" s="72">
        <f t="shared" si="24"/>
        <v>0</v>
      </c>
      <c r="BM89" s="72">
        <f t="shared" si="25"/>
        <v>0</v>
      </c>
      <c r="BN89" s="72">
        <f t="shared" si="26"/>
        <v>0</v>
      </c>
      <c r="BO89" s="72">
        <f t="shared" si="27"/>
        <v>0</v>
      </c>
    </row>
    <row r="90" spans="1:67" x14ac:dyDescent="0.2">
      <c r="A90" s="511">
        <v>25202090</v>
      </c>
      <c r="B90" s="467" t="s">
        <v>1255</v>
      </c>
      <c r="C90" s="512">
        <f t="shared" si="28"/>
        <v>0</v>
      </c>
      <c r="D90" s="512">
        <f>SUMIFS(PURCHASE!$K$6:$K$10008,PURCHASE!$A$6:$A$10008,$M$2,PURCHASE!$H$6:$H$10008,$A$4:$A$2700)</f>
        <v>0</v>
      </c>
      <c r="E90" s="512">
        <f>SUMIFS(PURCHASE!$L$6:$L$10008,PURCHASE!$A$6:$A$10008,$M$2,PURCHASE!$H$6:$H$10008,$A$4:$A$2700)</f>
        <v>0</v>
      </c>
      <c r="F90" s="512">
        <f>SUMIFS(PURCHASE!$M$6:$M$10008,PURCHASE!$A$6:$A$10008,$M$2,PURCHASE!$H$6:$H$10008,$A$4:$A$2700)</f>
        <v>0</v>
      </c>
      <c r="G90" s="512">
        <f>SUMIFS(PURCHASE!$N$6:$N$10008,PURCHASE!$A$6:$A$10008,$M$2,PURCHASE!$H$6:$H$10008,$A$4:$A$2700)</f>
        <v>0</v>
      </c>
      <c r="H90" s="512">
        <f t="shared" si="29"/>
        <v>0</v>
      </c>
      <c r="I90" s="512">
        <f>SUMIFS(PURCHASE!$K$6:$K$10008,PURCHASE!$A$6:$A$10008,$H$2,PURCHASE!$H$6:$H$10008,$A$4:$A$2700)</f>
        <v>0</v>
      </c>
      <c r="J90" s="512">
        <f>SUMIFS(PURCHASE!$L$6:$L$10008,PURCHASE!$A$6:$A$10008,$H$2,PURCHASE!$H$6:$H$10008,$A$4:$A$2700)</f>
        <v>0</v>
      </c>
      <c r="K90" s="512">
        <f>SUMIFS(PURCHASE!$M$6:$M$10008,PURCHASE!$A$6:$A$10008,$H$2,PURCHASE!$H$6:$H$10008,$A$4:$A$2700)</f>
        <v>0</v>
      </c>
      <c r="L90" s="512">
        <f>SUMIFS(PURCHASE!$N$6:$N$10008,PURCHASE!$A$6:$A$10008,$H$2,PURCHASE!$H$6:$H$10008,$A$4:$A$2700)</f>
        <v>0</v>
      </c>
      <c r="M90" s="512">
        <f t="shared" si="30"/>
        <v>0</v>
      </c>
      <c r="N90" s="512">
        <f>SUMIFS(PURCHASE!$K$6:$K$10008,PURCHASE!$A$6:$A$10008,$M$2,PURCHASE!$H$6:$H$10008,$A$4:$A$2700)</f>
        <v>0</v>
      </c>
      <c r="O90" s="512">
        <f>SUMIFS(PURCHASE!$L$6:$L$10008,PURCHASE!$A$6:$A$10008,$M$2,PURCHASE!$H$6:$H$10008,$A$4:$A$2700)</f>
        <v>0</v>
      </c>
      <c r="P90" s="512">
        <f>SUMIFS(PURCHASE!$M$6:$M$10008,PURCHASE!$A$6:$A$10008,$M$2,PURCHASE!$H$6:$H$10008,$A$4:$A$2700)</f>
        <v>0</v>
      </c>
      <c r="Q90" s="512">
        <f>SUMIFS(PURCHASE!$N$6:$N$10008,PURCHASE!$A$6:$A$10008,$M$2,PURCHASE!$H$6:$H$10008,$A$4:$A$2700)</f>
        <v>0</v>
      </c>
      <c r="R90" s="512">
        <f t="shared" si="31"/>
        <v>0</v>
      </c>
      <c r="S90" s="512">
        <f>SUMIFS(PURCHASE!$K$6:$K$10008,PURCHASE!$A$6:$A$10008,$R$2,PURCHASE!$H$6:$H$10008,$A$4:$A$2700)</f>
        <v>0</v>
      </c>
      <c r="T90" s="512">
        <f>SUMIFS(PURCHASE!$L$6:$L$10008,PURCHASE!$A$6:$A$10008,$R$2,PURCHASE!$H$6:$H$10008,$A$4:$A$2700)</f>
        <v>0</v>
      </c>
      <c r="U90" s="512">
        <f>SUMIFS(PURCHASE!$M$6:$M$10008,PURCHASE!$A$6:$A$10008,$R$2,PURCHASE!$H$6:$H$10008,$A$4:$A$2700)</f>
        <v>0</v>
      </c>
      <c r="V90" s="512">
        <f>SUMIFS(PURCHASE!$N$6:$N$10008,PURCHASE!$A$6:$A$10008,$R$2,PURCHASE!$H$6:$H$10008,$A$4:$A$2700)</f>
        <v>0</v>
      </c>
      <c r="W90" s="512">
        <f t="shared" si="32"/>
        <v>0</v>
      </c>
      <c r="X90" s="512">
        <f>SUMIFS(PURCHASE!$K$6:$K$10008,PURCHASE!$A$6:$A$10008,$W$2,PURCHASE!$H$6:$H$10008,$A$4:$A$2700)</f>
        <v>0</v>
      </c>
      <c r="Y90" s="512">
        <f>SUMIFS(PURCHASE!$L$6:$L$10008,PURCHASE!$A$6:$A$10008,$W$2,PURCHASE!$H$6:$H$10008,$A$4:$A$2700)</f>
        <v>0</v>
      </c>
      <c r="Z90" s="512">
        <f>SUMIFS(PURCHASE!$M$6:$M$10008,PURCHASE!$A$6:$A$10008,$W$2,PURCHASE!$H$6:$H$10008,$A$4:$A$2700)</f>
        <v>0</v>
      </c>
      <c r="AA90" s="512">
        <f>SUMIFS(PURCHASE!$N$6:$N$10008,PURCHASE!$A$6:$A$10008,$W$2,PURCHASE!$H$6:$H$10008,$A$4:$A$2700)</f>
        <v>0</v>
      </c>
      <c r="AB90" s="512">
        <f t="shared" si="33"/>
        <v>0</v>
      </c>
      <c r="AC90" s="512">
        <f>SUMIFS(PURCHASE!$K$6:$K$10008,PURCHASE!$A$6:$A$10008,$AB$2,PURCHASE!$H$6:$H$10008,$A$4:$A$2700)</f>
        <v>0</v>
      </c>
      <c r="AD90" s="512">
        <f>SUMIFS(PURCHASE!$L$6:$L$10008,PURCHASE!$A$6:$A$10008,$AB$2,PURCHASE!$H$6:$H$10008,$A$4:$A$2700)</f>
        <v>0</v>
      </c>
      <c r="AE90" s="512">
        <f>SUMIFS(PURCHASE!$M$6:$M$10008,PURCHASE!$A$6:$A$10008,$AB$2,PURCHASE!$H$6:$H$10008,$A$4:$A$2700)</f>
        <v>0</v>
      </c>
      <c r="AF90" s="512">
        <f>SUMIFS(PURCHASE!$N$6:$N$10008,PURCHASE!$A$6:$A$10008,$AB$2,PURCHASE!$H$6:$H$10008,$A$4:$A$2700)</f>
        <v>0</v>
      </c>
      <c r="AG90" s="512">
        <f t="shared" si="34"/>
        <v>0</v>
      </c>
      <c r="AH90" s="512">
        <f>SUMIFS(PURCHASE!$K$6:$K$10008,PURCHASE!$A$6:$A$10008,$AG$2,PURCHASE!$H$6:$H$10008,$A$4:$A$2700)</f>
        <v>0</v>
      </c>
      <c r="AI90" s="512">
        <f>SUMIFS(PURCHASE!$L$6:$L$10008,PURCHASE!$A$6:$A$10008,$AG$2,PURCHASE!$H$6:$H$10008,$A$4:$A$2700)</f>
        <v>0</v>
      </c>
      <c r="AJ90" s="512">
        <f>SUMIFS(PURCHASE!$M$6:$M$10008,PURCHASE!$A$6:$A$10008,$AG$2,PURCHASE!$H$6:$H$10008,$A$4:$A$2700)</f>
        <v>0</v>
      </c>
      <c r="AK90" s="512">
        <f>SUMIFS(PURCHASE!$N$6:$N$10008,PURCHASE!$A$6:$A$10008,$AG$2,PURCHASE!$H$6:$H$10008,$A$4:$A$2700)</f>
        <v>0</v>
      </c>
      <c r="AL90" s="512">
        <f t="shared" si="35"/>
        <v>0</v>
      </c>
      <c r="AM90" s="512">
        <f>SUMIFS(PURCHASE!$K$6:$K$10008,PURCHASE!$A$6:$A$10008,$AL$2,PURCHASE!$H$6:$H$10008,$A$4:$A$2700)</f>
        <v>0</v>
      </c>
      <c r="AN90" s="512">
        <f>SUMIFS(PURCHASE!$L$6:$L$10008,PURCHASE!$A$6:$A$10008,$AL$2,PURCHASE!$H$6:$H$10008,$A$4:$A$2700)</f>
        <v>0</v>
      </c>
      <c r="AO90" s="512">
        <f>SUMIFS(PURCHASE!$M$6:$M$10008,PURCHASE!$A$6:$A$10008,$AL$2,PURCHASE!$H$6:$H$10008,$A$4:$A$2700)</f>
        <v>0</v>
      </c>
      <c r="AP90" s="512">
        <f>SUMIFS(PURCHASE!$N$6:$N$10008,PURCHASE!$A$6:$A$10008,$AL$2,PURCHASE!$H$6:$H$10008,$A$4:$A$2700)</f>
        <v>0</v>
      </c>
      <c r="AQ90" s="512">
        <f t="shared" si="36"/>
        <v>0</v>
      </c>
      <c r="AR90" s="512">
        <f>SUMIFS(PURCHASE!$K$6:$K$10008,PURCHASE!$A$6:$A$10008,$AQ$2,PURCHASE!$H$6:$H$10008,$A$4:$A$2700)</f>
        <v>0</v>
      </c>
      <c r="AS90" s="512">
        <f>SUMIFS(PURCHASE!$L$6:$L$10008,PURCHASE!$A$6:$A$10008,$AQ$2,PURCHASE!$H$6:$H$10008,$A$4:$A$2700)</f>
        <v>0</v>
      </c>
      <c r="AT90" s="512">
        <f>SUMIFS(PURCHASE!$M$6:$M$10008,PURCHASE!$A$6:$A$10008,$AQ$2,PURCHASE!$H$6:$H$10008,$A$4:$A$2700)</f>
        <v>0</v>
      </c>
      <c r="AU90" s="512">
        <f>SUMIFS(PURCHASE!$N$6:$N$10008,PURCHASE!$A$6:$A$10008,$AQ$2,PURCHASE!$H$6:$H$10008,$A$4:$A$2700)</f>
        <v>0</v>
      </c>
      <c r="AV90" s="512">
        <f t="shared" si="37"/>
        <v>0</v>
      </c>
      <c r="AW90" s="512">
        <f>SUMIFS(PURCHASE!$K$6:$K$10008,PURCHASE!$A$6:$A$10008,$AV$2,PURCHASE!$H$6:$H$10008,$A$4:$A$2700)</f>
        <v>0</v>
      </c>
      <c r="AX90" s="512">
        <f>SUMIFS(PURCHASE!$L$6:$L$10008,PURCHASE!$A$6:$A$10008,$AV$2,PURCHASE!$H$6:$H$10008,$A$4:$A$2700)</f>
        <v>0</v>
      </c>
      <c r="AY90" s="512">
        <f>SUMIFS(PURCHASE!$M$6:$M$10008,PURCHASE!$A$6:$A$10008,$AV$2,PURCHASE!$H$6:$H$10008,$A$4:$A$2700)</f>
        <v>0</v>
      </c>
      <c r="AZ90" s="512">
        <f>SUMIFS(PURCHASE!$N$6:$N$10008,PURCHASE!$A$6:$A$10008,$AV$2,PURCHASE!$H$6:$H$10008,$A$4:$A$2700)</f>
        <v>0</v>
      </c>
      <c r="BA90" s="512">
        <f t="shared" si="38"/>
        <v>0</v>
      </c>
      <c r="BB90" s="512">
        <f>SUMIFS(PURCHASE!$K$6:$K$10008,PURCHASE!$A$6:$A$10008,$BA$2,PURCHASE!$H$6:$H$10008,$A$4:$A$2700)</f>
        <v>0</v>
      </c>
      <c r="BC90" s="512">
        <f>SUMIFS(PURCHASE!$L$6:$L$10008,PURCHASE!$A$6:$A$10008,$BA$2,PURCHASE!$H$6:$H$10008,$A$4:$A$2700)</f>
        <v>0</v>
      </c>
      <c r="BD90" s="512">
        <f>SUMIFS(PURCHASE!$M$6:$M$10008,PURCHASE!$A$6:$A$10008,$BA$2,PURCHASE!$H$6:$H$10008,$A$4:$A$2700)</f>
        <v>0</v>
      </c>
      <c r="BE90" s="512">
        <f>SUMIFS(PURCHASE!$N$6:$N$10008,PURCHASE!$A$6:$A$10008,$BA$2,PURCHASE!$H$6:$H$10008,$A$4:$A$2700)</f>
        <v>0</v>
      </c>
      <c r="BF90" s="512">
        <f t="shared" si="39"/>
        <v>0</v>
      </c>
      <c r="BG90" s="512">
        <f>SUMIFS(PURCHASE!$K$6:$K$10008,PURCHASE!$A$6:$A$10008,$BF$2,PURCHASE!$H$6:$H$10008,$A$4:$A$2700)</f>
        <v>0</v>
      </c>
      <c r="BH90" s="512">
        <f>SUMIFS(PURCHASE!$L$6:$L$10008,PURCHASE!$A$6:$A$10008,$BF$2,PURCHASE!$H$6:$H$10008,$A$4:$A$2700)</f>
        <v>0</v>
      </c>
      <c r="BI90" s="512">
        <f>SUMIFS(PURCHASE!$M$6:$M$10008,PURCHASE!$A$6:$A$10008,$BF$2,PURCHASE!$H$6:$H$10008,$A$4:$A$2700)</f>
        <v>0</v>
      </c>
      <c r="BJ90" s="512">
        <f>SUMIFS(PURCHASE!$N$6:$N$10008,PURCHASE!$A$6:$A$10008,$BF$2,PURCHASE!$H$6:$H$10008,$A$4:$A$2700)</f>
        <v>0</v>
      </c>
      <c r="BK90" s="72">
        <f t="shared" si="23"/>
        <v>0</v>
      </c>
      <c r="BL90" s="72">
        <f t="shared" si="24"/>
        <v>0</v>
      </c>
      <c r="BM90" s="72">
        <f t="shared" si="25"/>
        <v>0</v>
      </c>
      <c r="BN90" s="72">
        <f t="shared" si="26"/>
        <v>0</v>
      </c>
      <c r="BO90" s="72">
        <f t="shared" si="27"/>
        <v>0</v>
      </c>
    </row>
    <row r="91" spans="1:67" x14ac:dyDescent="0.2">
      <c r="A91" s="511">
        <v>25232910</v>
      </c>
      <c r="B91" s="467" t="s">
        <v>1183</v>
      </c>
      <c r="C91" s="512">
        <f t="shared" si="28"/>
        <v>0</v>
      </c>
      <c r="D91" s="512">
        <f>SUMIFS(PURCHASE!$K$6:$K$10008,PURCHASE!$A$6:$A$10008,$M$2,PURCHASE!$H$6:$H$10008,$A$4:$A$2700)</f>
        <v>0</v>
      </c>
      <c r="E91" s="512">
        <f>SUMIFS(PURCHASE!$L$6:$L$10008,PURCHASE!$A$6:$A$10008,$M$2,PURCHASE!$H$6:$H$10008,$A$4:$A$2700)</f>
        <v>0</v>
      </c>
      <c r="F91" s="512">
        <f>SUMIFS(PURCHASE!$M$6:$M$10008,PURCHASE!$A$6:$A$10008,$M$2,PURCHASE!$H$6:$H$10008,$A$4:$A$2700)</f>
        <v>0</v>
      </c>
      <c r="G91" s="512">
        <f>SUMIFS(PURCHASE!$N$6:$N$10008,PURCHASE!$A$6:$A$10008,$M$2,PURCHASE!$H$6:$H$10008,$A$4:$A$2700)</f>
        <v>0</v>
      </c>
      <c r="H91" s="512">
        <f t="shared" si="29"/>
        <v>0</v>
      </c>
      <c r="I91" s="512">
        <f>SUMIFS(PURCHASE!$K$6:$K$10008,PURCHASE!$A$6:$A$10008,$H$2,PURCHASE!$H$6:$H$10008,$A$4:$A$2700)</f>
        <v>0</v>
      </c>
      <c r="J91" s="512">
        <f>SUMIFS(PURCHASE!$L$6:$L$10008,PURCHASE!$A$6:$A$10008,$H$2,PURCHASE!$H$6:$H$10008,$A$4:$A$2700)</f>
        <v>0</v>
      </c>
      <c r="K91" s="512">
        <f>SUMIFS(PURCHASE!$M$6:$M$10008,PURCHASE!$A$6:$A$10008,$H$2,PURCHASE!$H$6:$H$10008,$A$4:$A$2700)</f>
        <v>0</v>
      </c>
      <c r="L91" s="512">
        <f>SUMIFS(PURCHASE!$N$6:$N$10008,PURCHASE!$A$6:$A$10008,$H$2,PURCHASE!$H$6:$H$10008,$A$4:$A$2700)</f>
        <v>0</v>
      </c>
      <c r="M91" s="512">
        <f t="shared" si="30"/>
        <v>0</v>
      </c>
      <c r="N91" s="512">
        <f>SUMIFS(PURCHASE!$K$6:$K$10008,PURCHASE!$A$6:$A$10008,$M$2,PURCHASE!$H$6:$H$10008,$A$4:$A$2700)</f>
        <v>0</v>
      </c>
      <c r="O91" s="512">
        <f>SUMIFS(PURCHASE!$L$6:$L$10008,PURCHASE!$A$6:$A$10008,$M$2,PURCHASE!$H$6:$H$10008,$A$4:$A$2700)</f>
        <v>0</v>
      </c>
      <c r="P91" s="512">
        <f>SUMIFS(PURCHASE!$M$6:$M$10008,PURCHASE!$A$6:$A$10008,$M$2,PURCHASE!$H$6:$H$10008,$A$4:$A$2700)</f>
        <v>0</v>
      </c>
      <c r="Q91" s="512">
        <f>SUMIFS(PURCHASE!$N$6:$N$10008,PURCHASE!$A$6:$A$10008,$M$2,PURCHASE!$H$6:$H$10008,$A$4:$A$2700)</f>
        <v>0</v>
      </c>
      <c r="R91" s="512">
        <f t="shared" si="31"/>
        <v>0</v>
      </c>
      <c r="S91" s="512">
        <f>SUMIFS(PURCHASE!$K$6:$K$10008,PURCHASE!$A$6:$A$10008,$R$2,PURCHASE!$H$6:$H$10008,$A$4:$A$2700)</f>
        <v>0</v>
      </c>
      <c r="T91" s="512">
        <f>SUMIFS(PURCHASE!$L$6:$L$10008,PURCHASE!$A$6:$A$10008,$R$2,PURCHASE!$H$6:$H$10008,$A$4:$A$2700)</f>
        <v>0</v>
      </c>
      <c r="U91" s="512">
        <f>SUMIFS(PURCHASE!$M$6:$M$10008,PURCHASE!$A$6:$A$10008,$R$2,PURCHASE!$H$6:$H$10008,$A$4:$A$2700)</f>
        <v>0</v>
      </c>
      <c r="V91" s="512">
        <f>SUMIFS(PURCHASE!$N$6:$N$10008,PURCHASE!$A$6:$A$10008,$R$2,PURCHASE!$H$6:$H$10008,$A$4:$A$2700)</f>
        <v>0</v>
      </c>
      <c r="W91" s="512">
        <f t="shared" si="32"/>
        <v>0</v>
      </c>
      <c r="X91" s="512">
        <f>SUMIFS(PURCHASE!$K$6:$K$10008,PURCHASE!$A$6:$A$10008,$W$2,PURCHASE!$H$6:$H$10008,$A$4:$A$2700)</f>
        <v>0</v>
      </c>
      <c r="Y91" s="512">
        <f>SUMIFS(PURCHASE!$L$6:$L$10008,PURCHASE!$A$6:$A$10008,$W$2,PURCHASE!$H$6:$H$10008,$A$4:$A$2700)</f>
        <v>0</v>
      </c>
      <c r="Z91" s="512">
        <f>SUMIFS(PURCHASE!$M$6:$M$10008,PURCHASE!$A$6:$A$10008,$W$2,PURCHASE!$H$6:$H$10008,$A$4:$A$2700)</f>
        <v>0</v>
      </c>
      <c r="AA91" s="512">
        <f>SUMIFS(PURCHASE!$N$6:$N$10008,PURCHASE!$A$6:$A$10008,$W$2,PURCHASE!$H$6:$H$10008,$A$4:$A$2700)</f>
        <v>0</v>
      </c>
      <c r="AB91" s="512">
        <f t="shared" si="33"/>
        <v>0</v>
      </c>
      <c r="AC91" s="512">
        <f>SUMIFS(PURCHASE!$K$6:$K$10008,PURCHASE!$A$6:$A$10008,$AB$2,PURCHASE!$H$6:$H$10008,$A$4:$A$2700)</f>
        <v>0</v>
      </c>
      <c r="AD91" s="512">
        <f>SUMIFS(PURCHASE!$L$6:$L$10008,PURCHASE!$A$6:$A$10008,$AB$2,PURCHASE!$H$6:$H$10008,$A$4:$A$2700)</f>
        <v>0</v>
      </c>
      <c r="AE91" s="512">
        <f>SUMIFS(PURCHASE!$M$6:$M$10008,PURCHASE!$A$6:$A$10008,$AB$2,PURCHASE!$H$6:$H$10008,$A$4:$A$2700)</f>
        <v>0</v>
      </c>
      <c r="AF91" s="512">
        <f>SUMIFS(PURCHASE!$N$6:$N$10008,PURCHASE!$A$6:$A$10008,$AB$2,PURCHASE!$H$6:$H$10008,$A$4:$A$2700)</f>
        <v>0</v>
      </c>
      <c r="AG91" s="512">
        <f t="shared" si="34"/>
        <v>0</v>
      </c>
      <c r="AH91" s="512">
        <f>SUMIFS(PURCHASE!$K$6:$K$10008,PURCHASE!$A$6:$A$10008,$AG$2,PURCHASE!$H$6:$H$10008,$A$4:$A$2700)</f>
        <v>0</v>
      </c>
      <c r="AI91" s="512">
        <f>SUMIFS(PURCHASE!$L$6:$L$10008,PURCHASE!$A$6:$A$10008,$AG$2,PURCHASE!$H$6:$H$10008,$A$4:$A$2700)</f>
        <v>0</v>
      </c>
      <c r="AJ91" s="512">
        <f>SUMIFS(PURCHASE!$M$6:$M$10008,PURCHASE!$A$6:$A$10008,$AG$2,PURCHASE!$H$6:$H$10008,$A$4:$A$2700)</f>
        <v>0</v>
      </c>
      <c r="AK91" s="512">
        <f>SUMIFS(PURCHASE!$N$6:$N$10008,PURCHASE!$A$6:$A$10008,$AG$2,PURCHASE!$H$6:$H$10008,$A$4:$A$2700)</f>
        <v>0</v>
      </c>
      <c r="AL91" s="512">
        <f t="shared" si="35"/>
        <v>37384.012800000004</v>
      </c>
      <c r="AM91" s="512">
        <f>SUMIFS(PURCHASE!$K$6:$K$10008,PURCHASE!$A$6:$A$10008,$AL$2,PURCHASE!$H$6:$H$10008,$A$4:$A$2700)</f>
        <v>29206.260000000002</v>
      </c>
      <c r="AN91" s="512">
        <f>SUMIFS(PURCHASE!$L$6:$L$10008,PURCHASE!$A$6:$A$10008,$AL$2,PURCHASE!$H$6:$H$10008,$A$4:$A$2700)</f>
        <v>0</v>
      </c>
      <c r="AO91" s="512">
        <f>SUMIFS(PURCHASE!$M$6:$M$10008,PURCHASE!$A$6:$A$10008,$AL$2,PURCHASE!$H$6:$H$10008,$A$4:$A$2700)</f>
        <v>4088.8764000000001</v>
      </c>
      <c r="AP91" s="512">
        <f>SUMIFS(PURCHASE!$N$6:$N$10008,PURCHASE!$A$6:$A$10008,$AL$2,PURCHASE!$H$6:$H$10008,$A$4:$A$2700)</f>
        <v>4088.8764000000001</v>
      </c>
      <c r="AQ91" s="512">
        <f t="shared" si="36"/>
        <v>26652.006399999998</v>
      </c>
      <c r="AR91" s="512">
        <f>SUMIFS(PURCHASE!$K$6:$K$10008,PURCHASE!$A$6:$A$10008,$AQ$2,PURCHASE!$H$6:$H$10008,$A$4:$A$2700)</f>
        <v>20821.879999999997</v>
      </c>
      <c r="AS91" s="512">
        <f>SUMIFS(PURCHASE!$L$6:$L$10008,PURCHASE!$A$6:$A$10008,$AQ$2,PURCHASE!$H$6:$H$10008,$A$4:$A$2700)</f>
        <v>0</v>
      </c>
      <c r="AT91" s="512">
        <f>SUMIFS(PURCHASE!$M$6:$M$10008,PURCHASE!$A$6:$A$10008,$AQ$2,PURCHASE!$H$6:$H$10008,$A$4:$A$2700)</f>
        <v>2915.0631999999996</v>
      </c>
      <c r="AU91" s="512">
        <f>SUMIFS(PURCHASE!$N$6:$N$10008,PURCHASE!$A$6:$A$10008,$AQ$2,PURCHASE!$H$6:$H$10008,$A$4:$A$2700)</f>
        <v>2915.0631999999996</v>
      </c>
      <c r="AV91" s="512">
        <f t="shared" si="37"/>
        <v>4884.0064000000002</v>
      </c>
      <c r="AW91" s="512">
        <f>SUMIFS(PURCHASE!$K$6:$K$10008,PURCHASE!$A$6:$A$10008,$AV$2,PURCHASE!$H$6:$H$10008,$A$4:$A$2700)</f>
        <v>3815.63</v>
      </c>
      <c r="AX91" s="512">
        <f>SUMIFS(PURCHASE!$L$6:$L$10008,PURCHASE!$A$6:$A$10008,$AV$2,PURCHASE!$H$6:$H$10008,$A$4:$A$2700)</f>
        <v>0</v>
      </c>
      <c r="AY91" s="512">
        <f>SUMIFS(PURCHASE!$M$6:$M$10008,PURCHASE!$A$6:$A$10008,$AV$2,PURCHASE!$H$6:$H$10008,$A$4:$A$2700)</f>
        <v>534.18820000000005</v>
      </c>
      <c r="AZ91" s="512">
        <f>SUMIFS(PURCHASE!$N$6:$N$10008,PURCHASE!$A$6:$A$10008,$AV$2,PURCHASE!$H$6:$H$10008,$A$4:$A$2700)</f>
        <v>534.18820000000005</v>
      </c>
      <c r="BA91" s="512">
        <f t="shared" si="38"/>
        <v>0</v>
      </c>
      <c r="BB91" s="512">
        <f>SUMIFS(PURCHASE!$K$6:$K$10008,PURCHASE!$A$6:$A$10008,$BA$2,PURCHASE!$H$6:$H$10008,$A$4:$A$2700)</f>
        <v>0</v>
      </c>
      <c r="BC91" s="512">
        <f>SUMIFS(PURCHASE!$L$6:$L$10008,PURCHASE!$A$6:$A$10008,$BA$2,PURCHASE!$H$6:$H$10008,$A$4:$A$2700)</f>
        <v>0</v>
      </c>
      <c r="BD91" s="512">
        <f>SUMIFS(PURCHASE!$M$6:$M$10008,PURCHASE!$A$6:$A$10008,$BA$2,PURCHASE!$H$6:$H$10008,$A$4:$A$2700)</f>
        <v>0</v>
      </c>
      <c r="BE91" s="512">
        <f>SUMIFS(PURCHASE!$N$6:$N$10008,PURCHASE!$A$6:$A$10008,$BA$2,PURCHASE!$H$6:$H$10008,$A$4:$A$2700)</f>
        <v>0</v>
      </c>
      <c r="BF91" s="512">
        <f t="shared" si="39"/>
        <v>0</v>
      </c>
      <c r="BG91" s="512">
        <f>SUMIFS(PURCHASE!$K$6:$K$10008,PURCHASE!$A$6:$A$10008,$BF$2,PURCHASE!$H$6:$H$10008,$A$4:$A$2700)</f>
        <v>0</v>
      </c>
      <c r="BH91" s="512">
        <f>SUMIFS(PURCHASE!$L$6:$L$10008,PURCHASE!$A$6:$A$10008,$BF$2,PURCHASE!$H$6:$H$10008,$A$4:$A$2700)</f>
        <v>0</v>
      </c>
      <c r="BI91" s="512">
        <f>SUMIFS(PURCHASE!$M$6:$M$10008,PURCHASE!$A$6:$A$10008,$BF$2,PURCHASE!$H$6:$H$10008,$A$4:$A$2700)</f>
        <v>0</v>
      </c>
      <c r="BJ91" s="512">
        <f>SUMIFS(PURCHASE!$N$6:$N$10008,PURCHASE!$A$6:$A$10008,$BF$2,PURCHASE!$H$6:$H$10008,$A$4:$A$2700)</f>
        <v>0</v>
      </c>
      <c r="BK91" s="72">
        <f t="shared" si="23"/>
        <v>68920.025600000008</v>
      </c>
      <c r="BL91" s="72">
        <f t="shared" si="24"/>
        <v>53843.77</v>
      </c>
      <c r="BM91" s="72">
        <f t="shared" si="25"/>
        <v>0</v>
      </c>
      <c r="BN91" s="72">
        <f t="shared" si="26"/>
        <v>7538.1278000000002</v>
      </c>
      <c r="BO91" s="72">
        <f t="shared" si="27"/>
        <v>7538.1278000000002</v>
      </c>
    </row>
    <row r="92" spans="1:67" x14ac:dyDescent="0.2">
      <c r="A92" s="511">
        <v>27076000</v>
      </c>
      <c r="B92" s="467" t="s">
        <v>1256</v>
      </c>
      <c r="C92" s="512">
        <f t="shared" si="28"/>
        <v>0</v>
      </c>
      <c r="D92" s="512">
        <f>SUMIFS(PURCHASE!$K$6:$K$10008,PURCHASE!$A$6:$A$10008,$M$2,PURCHASE!$H$6:$H$10008,$A$4:$A$2700)</f>
        <v>0</v>
      </c>
      <c r="E92" s="512">
        <f>SUMIFS(PURCHASE!$L$6:$L$10008,PURCHASE!$A$6:$A$10008,$M$2,PURCHASE!$H$6:$H$10008,$A$4:$A$2700)</f>
        <v>0</v>
      </c>
      <c r="F92" s="512">
        <f>SUMIFS(PURCHASE!$M$6:$M$10008,PURCHASE!$A$6:$A$10008,$M$2,PURCHASE!$H$6:$H$10008,$A$4:$A$2700)</f>
        <v>0</v>
      </c>
      <c r="G92" s="512">
        <f>SUMIFS(PURCHASE!$N$6:$N$10008,PURCHASE!$A$6:$A$10008,$M$2,PURCHASE!$H$6:$H$10008,$A$4:$A$2700)</f>
        <v>0</v>
      </c>
      <c r="H92" s="512">
        <f t="shared" si="29"/>
        <v>0</v>
      </c>
      <c r="I92" s="512">
        <f>SUMIFS(PURCHASE!$K$6:$K$10008,PURCHASE!$A$6:$A$10008,$H$2,PURCHASE!$H$6:$H$10008,$A$4:$A$2700)</f>
        <v>0</v>
      </c>
      <c r="J92" s="512">
        <f>SUMIFS(PURCHASE!$L$6:$L$10008,PURCHASE!$A$6:$A$10008,$H$2,PURCHASE!$H$6:$H$10008,$A$4:$A$2700)</f>
        <v>0</v>
      </c>
      <c r="K92" s="512">
        <f>SUMIFS(PURCHASE!$M$6:$M$10008,PURCHASE!$A$6:$A$10008,$H$2,PURCHASE!$H$6:$H$10008,$A$4:$A$2700)</f>
        <v>0</v>
      </c>
      <c r="L92" s="512">
        <f>SUMIFS(PURCHASE!$N$6:$N$10008,PURCHASE!$A$6:$A$10008,$H$2,PURCHASE!$H$6:$H$10008,$A$4:$A$2700)</f>
        <v>0</v>
      </c>
      <c r="M92" s="512">
        <f t="shared" si="30"/>
        <v>0</v>
      </c>
      <c r="N92" s="512">
        <f>SUMIFS(PURCHASE!$K$6:$K$10008,PURCHASE!$A$6:$A$10008,$M$2,PURCHASE!$H$6:$H$10008,$A$4:$A$2700)</f>
        <v>0</v>
      </c>
      <c r="O92" s="512">
        <f>SUMIFS(PURCHASE!$L$6:$L$10008,PURCHASE!$A$6:$A$10008,$M$2,PURCHASE!$H$6:$H$10008,$A$4:$A$2700)</f>
        <v>0</v>
      </c>
      <c r="P92" s="512">
        <f>SUMIFS(PURCHASE!$M$6:$M$10008,PURCHASE!$A$6:$A$10008,$M$2,PURCHASE!$H$6:$H$10008,$A$4:$A$2700)</f>
        <v>0</v>
      </c>
      <c r="Q92" s="512">
        <f>SUMIFS(PURCHASE!$N$6:$N$10008,PURCHASE!$A$6:$A$10008,$M$2,PURCHASE!$H$6:$H$10008,$A$4:$A$2700)</f>
        <v>0</v>
      </c>
      <c r="R92" s="512">
        <f t="shared" si="31"/>
        <v>200.60000000000002</v>
      </c>
      <c r="S92" s="512">
        <f>SUMIFS(PURCHASE!$K$6:$K$10008,PURCHASE!$A$6:$A$10008,$R$2,PURCHASE!$H$6:$H$10008,$A$4:$A$2700)</f>
        <v>170</v>
      </c>
      <c r="T92" s="512">
        <f>SUMIFS(PURCHASE!$L$6:$L$10008,PURCHASE!$A$6:$A$10008,$R$2,PURCHASE!$H$6:$H$10008,$A$4:$A$2700)</f>
        <v>0</v>
      </c>
      <c r="U92" s="512">
        <f>SUMIFS(PURCHASE!$M$6:$M$10008,PURCHASE!$A$6:$A$10008,$R$2,PURCHASE!$H$6:$H$10008,$A$4:$A$2700)</f>
        <v>15.299999999999999</v>
      </c>
      <c r="V92" s="512">
        <f>SUMIFS(PURCHASE!$N$6:$N$10008,PURCHASE!$A$6:$A$10008,$R$2,PURCHASE!$H$6:$H$10008,$A$4:$A$2700)</f>
        <v>15.299999999999999</v>
      </c>
      <c r="W92" s="512">
        <f t="shared" si="32"/>
        <v>128.62</v>
      </c>
      <c r="X92" s="512">
        <f>SUMIFS(PURCHASE!$K$6:$K$10008,PURCHASE!$A$6:$A$10008,$W$2,PURCHASE!$H$6:$H$10008,$A$4:$A$2700)</f>
        <v>109</v>
      </c>
      <c r="Y92" s="512">
        <f>SUMIFS(PURCHASE!$L$6:$L$10008,PURCHASE!$A$6:$A$10008,$W$2,PURCHASE!$H$6:$H$10008,$A$4:$A$2700)</f>
        <v>0</v>
      </c>
      <c r="Z92" s="512">
        <f>SUMIFS(PURCHASE!$M$6:$M$10008,PURCHASE!$A$6:$A$10008,$W$2,PURCHASE!$H$6:$H$10008,$A$4:$A$2700)</f>
        <v>9.81</v>
      </c>
      <c r="AA92" s="512">
        <f>SUMIFS(PURCHASE!$N$6:$N$10008,PURCHASE!$A$6:$A$10008,$W$2,PURCHASE!$H$6:$H$10008,$A$4:$A$2700)</f>
        <v>9.81</v>
      </c>
      <c r="AB92" s="512">
        <f t="shared" si="33"/>
        <v>100.30000000000001</v>
      </c>
      <c r="AC92" s="512">
        <f>SUMIFS(PURCHASE!$K$6:$K$10008,PURCHASE!$A$6:$A$10008,$AB$2,PURCHASE!$H$6:$H$10008,$A$4:$A$2700)</f>
        <v>85</v>
      </c>
      <c r="AD92" s="512">
        <f>SUMIFS(PURCHASE!$L$6:$L$10008,PURCHASE!$A$6:$A$10008,$AB$2,PURCHASE!$H$6:$H$10008,$A$4:$A$2700)</f>
        <v>0</v>
      </c>
      <c r="AE92" s="512">
        <f>SUMIFS(PURCHASE!$M$6:$M$10008,PURCHASE!$A$6:$A$10008,$AB$2,PURCHASE!$H$6:$H$10008,$A$4:$A$2700)</f>
        <v>7.6499999999999995</v>
      </c>
      <c r="AF92" s="512">
        <f>SUMIFS(PURCHASE!$N$6:$N$10008,PURCHASE!$A$6:$A$10008,$AB$2,PURCHASE!$H$6:$H$10008,$A$4:$A$2700)</f>
        <v>7.6499999999999995</v>
      </c>
      <c r="AG92" s="512">
        <f t="shared" si="34"/>
        <v>200.60000000000002</v>
      </c>
      <c r="AH92" s="512">
        <f>SUMIFS(PURCHASE!$K$6:$K$10008,PURCHASE!$A$6:$A$10008,$AG$2,PURCHASE!$H$6:$H$10008,$A$4:$A$2700)</f>
        <v>170</v>
      </c>
      <c r="AI92" s="512">
        <f>SUMIFS(PURCHASE!$L$6:$L$10008,PURCHASE!$A$6:$A$10008,$AG$2,PURCHASE!$H$6:$H$10008,$A$4:$A$2700)</f>
        <v>0</v>
      </c>
      <c r="AJ92" s="512">
        <f>SUMIFS(PURCHASE!$M$6:$M$10008,PURCHASE!$A$6:$A$10008,$AG$2,PURCHASE!$H$6:$H$10008,$A$4:$A$2700)</f>
        <v>15.299999999999999</v>
      </c>
      <c r="AK92" s="512">
        <f>SUMIFS(PURCHASE!$N$6:$N$10008,PURCHASE!$A$6:$A$10008,$AG$2,PURCHASE!$H$6:$H$10008,$A$4:$A$2700)</f>
        <v>15.299999999999999</v>
      </c>
      <c r="AL92" s="512">
        <f t="shared" si="35"/>
        <v>289.10000000000002</v>
      </c>
      <c r="AM92" s="512">
        <f>SUMIFS(PURCHASE!$K$6:$K$10008,PURCHASE!$A$6:$A$10008,$AL$2,PURCHASE!$H$6:$H$10008,$A$4:$A$2700)</f>
        <v>245</v>
      </c>
      <c r="AN92" s="512">
        <f>SUMIFS(PURCHASE!$L$6:$L$10008,PURCHASE!$A$6:$A$10008,$AL$2,PURCHASE!$H$6:$H$10008,$A$4:$A$2700)</f>
        <v>0</v>
      </c>
      <c r="AO92" s="512">
        <f>SUMIFS(PURCHASE!$M$6:$M$10008,PURCHASE!$A$6:$A$10008,$AL$2,PURCHASE!$H$6:$H$10008,$A$4:$A$2700)</f>
        <v>22.05</v>
      </c>
      <c r="AP92" s="512">
        <f>SUMIFS(PURCHASE!$N$6:$N$10008,PURCHASE!$A$6:$A$10008,$AL$2,PURCHASE!$H$6:$H$10008,$A$4:$A$2700)</f>
        <v>22.05</v>
      </c>
      <c r="AQ92" s="512">
        <f t="shared" si="36"/>
        <v>0</v>
      </c>
      <c r="AR92" s="512">
        <f>SUMIFS(PURCHASE!$K$6:$K$10008,PURCHASE!$A$6:$A$10008,$AQ$2,PURCHASE!$H$6:$H$10008,$A$4:$A$2700)</f>
        <v>0</v>
      </c>
      <c r="AS92" s="512">
        <f>SUMIFS(PURCHASE!$L$6:$L$10008,PURCHASE!$A$6:$A$10008,$AQ$2,PURCHASE!$H$6:$H$10008,$A$4:$A$2700)</f>
        <v>0</v>
      </c>
      <c r="AT92" s="512">
        <f>SUMIFS(PURCHASE!$M$6:$M$10008,PURCHASE!$A$6:$A$10008,$AQ$2,PURCHASE!$H$6:$H$10008,$A$4:$A$2700)</f>
        <v>0</v>
      </c>
      <c r="AU92" s="512">
        <f>SUMIFS(PURCHASE!$N$6:$N$10008,PURCHASE!$A$6:$A$10008,$AQ$2,PURCHASE!$H$6:$H$10008,$A$4:$A$2700)</f>
        <v>0</v>
      </c>
      <c r="AV92" s="512">
        <f t="shared" si="37"/>
        <v>0</v>
      </c>
      <c r="AW92" s="512">
        <f>SUMIFS(PURCHASE!$K$6:$K$10008,PURCHASE!$A$6:$A$10008,$AV$2,PURCHASE!$H$6:$H$10008,$A$4:$A$2700)</f>
        <v>0</v>
      </c>
      <c r="AX92" s="512">
        <f>SUMIFS(PURCHASE!$L$6:$L$10008,PURCHASE!$A$6:$A$10008,$AV$2,PURCHASE!$H$6:$H$10008,$A$4:$A$2700)</f>
        <v>0</v>
      </c>
      <c r="AY92" s="512">
        <f>SUMIFS(PURCHASE!$M$6:$M$10008,PURCHASE!$A$6:$A$10008,$AV$2,PURCHASE!$H$6:$H$10008,$A$4:$A$2700)</f>
        <v>0</v>
      </c>
      <c r="AZ92" s="512">
        <f>SUMIFS(PURCHASE!$N$6:$N$10008,PURCHASE!$A$6:$A$10008,$AV$2,PURCHASE!$H$6:$H$10008,$A$4:$A$2700)</f>
        <v>0</v>
      </c>
      <c r="BA92" s="512">
        <f t="shared" si="38"/>
        <v>0</v>
      </c>
      <c r="BB92" s="512">
        <f>SUMIFS(PURCHASE!$K$6:$K$10008,PURCHASE!$A$6:$A$10008,$BA$2,PURCHASE!$H$6:$H$10008,$A$4:$A$2700)</f>
        <v>0</v>
      </c>
      <c r="BC92" s="512">
        <f>SUMIFS(PURCHASE!$L$6:$L$10008,PURCHASE!$A$6:$A$10008,$BA$2,PURCHASE!$H$6:$H$10008,$A$4:$A$2700)</f>
        <v>0</v>
      </c>
      <c r="BD92" s="512">
        <f>SUMIFS(PURCHASE!$M$6:$M$10008,PURCHASE!$A$6:$A$10008,$BA$2,PURCHASE!$H$6:$H$10008,$A$4:$A$2700)</f>
        <v>0</v>
      </c>
      <c r="BE92" s="512">
        <f>SUMIFS(PURCHASE!$N$6:$N$10008,PURCHASE!$A$6:$A$10008,$BA$2,PURCHASE!$H$6:$H$10008,$A$4:$A$2700)</f>
        <v>0</v>
      </c>
      <c r="BF92" s="512">
        <f t="shared" si="39"/>
        <v>0</v>
      </c>
      <c r="BG92" s="512">
        <f>SUMIFS(PURCHASE!$K$6:$K$10008,PURCHASE!$A$6:$A$10008,$BF$2,PURCHASE!$H$6:$H$10008,$A$4:$A$2700)</f>
        <v>0</v>
      </c>
      <c r="BH92" s="512">
        <f>SUMIFS(PURCHASE!$L$6:$L$10008,PURCHASE!$A$6:$A$10008,$BF$2,PURCHASE!$H$6:$H$10008,$A$4:$A$2700)</f>
        <v>0</v>
      </c>
      <c r="BI92" s="512">
        <f>SUMIFS(PURCHASE!$M$6:$M$10008,PURCHASE!$A$6:$A$10008,$BF$2,PURCHASE!$H$6:$H$10008,$A$4:$A$2700)</f>
        <v>0</v>
      </c>
      <c r="BJ92" s="512">
        <f>SUMIFS(PURCHASE!$N$6:$N$10008,PURCHASE!$A$6:$A$10008,$BF$2,PURCHASE!$H$6:$H$10008,$A$4:$A$2700)</f>
        <v>0</v>
      </c>
      <c r="BK92" s="72">
        <f t="shared" si="23"/>
        <v>919.22000000000014</v>
      </c>
      <c r="BL92" s="72">
        <f t="shared" si="24"/>
        <v>779</v>
      </c>
      <c r="BM92" s="72">
        <f t="shared" si="25"/>
        <v>0</v>
      </c>
      <c r="BN92" s="72">
        <f t="shared" si="26"/>
        <v>70.11</v>
      </c>
      <c r="BO92" s="72">
        <f t="shared" si="27"/>
        <v>70.11</v>
      </c>
    </row>
    <row r="93" spans="1:67" x14ac:dyDescent="0.2">
      <c r="A93" s="511">
        <v>27101990</v>
      </c>
      <c r="B93" s="467" t="s">
        <v>1257</v>
      </c>
      <c r="C93" s="512">
        <f t="shared" si="28"/>
        <v>0</v>
      </c>
      <c r="D93" s="512">
        <f>SUMIFS(PURCHASE!$K$6:$K$10008,PURCHASE!$A$6:$A$10008,$M$2,PURCHASE!$H$6:$H$10008,$A$4:$A$2700)</f>
        <v>0</v>
      </c>
      <c r="E93" s="512">
        <f>SUMIFS(PURCHASE!$L$6:$L$10008,PURCHASE!$A$6:$A$10008,$M$2,PURCHASE!$H$6:$H$10008,$A$4:$A$2700)</f>
        <v>0</v>
      </c>
      <c r="F93" s="512">
        <f>SUMIFS(PURCHASE!$M$6:$M$10008,PURCHASE!$A$6:$A$10008,$M$2,PURCHASE!$H$6:$H$10008,$A$4:$A$2700)</f>
        <v>0</v>
      </c>
      <c r="G93" s="512">
        <f>SUMIFS(PURCHASE!$N$6:$N$10008,PURCHASE!$A$6:$A$10008,$M$2,PURCHASE!$H$6:$H$10008,$A$4:$A$2700)</f>
        <v>0</v>
      </c>
      <c r="H93" s="512">
        <f t="shared" si="29"/>
        <v>0</v>
      </c>
      <c r="I93" s="512">
        <f>SUMIFS(PURCHASE!$K$6:$K$10008,PURCHASE!$A$6:$A$10008,$H$2,PURCHASE!$H$6:$H$10008,$A$4:$A$2700)</f>
        <v>0</v>
      </c>
      <c r="J93" s="512">
        <f>SUMIFS(PURCHASE!$L$6:$L$10008,PURCHASE!$A$6:$A$10008,$H$2,PURCHASE!$H$6:$H$10008,$A$4:$A$2700)</f>
        <v>0</v>
      </c>
      <c r="K93" s="512">
        <f>SUMIFS(PURCHASE!$M$6:$M$10008,PURCHASE!$A$6:$A$10008,$H$2,PURCHASE!$H$6:$H$10008,$A$4:$A$2700)</f>
        <v>0</v>
      </c>
      <c r="L93" s="512">
        <f>SUMIFS(PURCHASE!$N$6:$N$10008,PURCHASE!$A$6:$A$10008,$H$2,PURCHASE!$H$6:$H$10008,$A$4:$A$2700)</f>
        <v>0</v>
      </c>
      <c r="M93" s="512">
        <f t="shared" si="30"/>
        <v>0</v>
      </c>
      <c r="N93" s="512">
        <f>SUMIFS(PURCHASE!$K$6:$K$10008,PURCHASE!$A$6:$A$10008,$M$2,PURCHASE!$H$6:$H$10008,$A$4:$A$2700)</f>
        <v>0</v>
      </c>
      <c r="O93" s="512">
        <f>SUMIFS(PURCHASE!$L$6:$L$10008,PURCHASE!$A$6:$A$10008,$M$2,PURCHASE!$H$6:$H$10008,$A$4:$A$2700)</f>
        <v>0</v>
      </c>
      <c r="P93" s="512">
        <f>SUMIFS(PURCHASE!$M$6:$M$10008,PURCHASE!$A$6:$A$10008,$M$2,PURCHASE!$H$6:$H$10008,$A$4:$A$2700)</f>
        <v>0</v>
      </c>
      <c r="Q93" s="512">
        <f>SUMIFS(PURCHASE!$N$6:$N$10008,PURCHASE!$A$6:$A$10008,$M$2,PURCHASE!$H$6:$H$10008,$A$4:$A$2700)</f>
        <v>0</v>
      </c>
      <c r="R93" s="512">
        <f t="shared" si="31"/>
        <v>0</v>
      </c>
      <c r="S93" s="512">
        <f>SUMIFS(PURCHASE!$K$6:$K$10008,PURCHASE!$A$6:$A$10008,$R$2,PURCHASE!$H$6:$H$10008,$A$4:$A$2700)</f>
        <v>0</v>
      </c>
      <c r="T93" s="512">
        <f>SUMIFS(PURCHASE!$L$6:$L$10008,PURCHASE!$A$6:$A$10008,$R$2,PURCHASE!$H$6:$H$10008,$A$4:$A$2700)</f>
        <v>0</v>
      </c>
      <c r="U93" s="512">
        <f>SUMIFS(PURCHASE!$M$6:$M$10008,PURCHASE!$A$6:$A$10008,$R$2,PURCHASE!$H$6:$H$10008,$A$4:$A$2700)</f>
        <v>0</v>
      </c>
      <c r="V93" s="512">
        <f>SUMIFS(PURCHASE!$N$6:$N$10008,PURCHASE!$A$6:$A$10008,$R$2,PURCHASE!$H$6:$H$10008,$A$4:$A$2700)</f>
        <v>0</v>
      </c>
      <c r="W93" s="512">
        <f t="shared" si="32"/>
        <v>0</v>
      </c>
      <c r="X93" s="512">
        <f>SUMIFS(PURCHASE!$K$6:$K$10008,PURCHASE!$A$6:$A$10008,$W$2,PURCHASE!$H$6:$H$10008,$A$4:$A$2700)</f>
        <v>0</v>
      </c>
      <c r="Y93" s="512">
        <f>SUMIFS(PURCHASE!$L$6:$L$10008,PURCHASE!$A$6:$A$10008,$W$2,PURCHASE!$H$6:$H$10008,$A$4:$A$2700)</f>
        <v>0</v>
      </c>
      <c r="Z93" s="512">
        <f>SUMIFS(PURCHASE!$M$6:$M$10008,PURCHASE!$A$6:$A$10008,$W$2,PURCHASE!$H$6:$H$10008,$A$4:$A$2700)</f>
        <v>0</v>
      </c>
      <c r="AA93" s="512">
        <f>SUMIFS(PURCHASE!$N$6:$N$10008,PURCHASE!$A$6:$A$10008,$W$2,PURCHASE!$H$6:$H$10008,$A$4:$A$2700)</f>
        <v>0</v>
      </c>
      <c r="AB93" s="512">
        <f t="shared" si="33"/>
        <v>0</v>
      </c>
      <c r="AC93" s="512">
        <f>SUMIFS(PURCHASE!$K$6:$K$10008,PURCHASE!$A$6:$A$10008,$AB$2,PURCHASE!$H$6:$H$10008,$A$4:$A$2700)</f>
        <v>0</v>
      </c>
      <c r="AD93" s="512">
        <f>SUMIFS(PURCHASE!$L$6:$L$10008,PURCHASE!$A$6:$A$10008,$AB$2,PURCHASE!$H$6:$H$10008,$A$4:$A$2700)</f>
        <v>0</v>
      </c>
      <c r="AE93" s="512">
        <f>SUMIFS(PURCHASE!$M$6:$M$10008,PURCHASE!$A$6:$A$10008,$AB$2,PURCHASE!$H$6:$H$10008,$A$4:$A$2700)</f>
        <v>0</v>
      </c>
      <c r="AF93" s="512">
        <f>SUMIFS(PURCHASE!$N$6:$N$10008,PURCHASE!$A$6:$A$10008,$AB$2,PURCHASE!$H$6:$H$10008,$A$4:$A$2700)</f>
        <v>0</v>
      </c>
      <c r="AG93" s="512">
        <f t="shared" si="34"/>
        <v>0</v>
      </c>
      <c r="AH93" s="512">
        <f>SUMIFS(PURCHASE!$K$6:$K$10008,PURCHASE!$A$6:$A$10008,$AG$2,PURCHASE!$H$6:$H$10008,$A$4:$A$2700)</f>
        <v>0</v>
      </c>
      <c r="AI93" s="512">
        <f>SUMIFS(PURCHASE!$L$6:$L$10008,PURCHASE!$A$6:$A$10008,$AG$2,PURCHASE!$H$6:$H$10008,$A$4:$A$2700)</f>
        <v>0</v>
      </c>
      <c r="AJ93" s="512">
        <f>SUMIFS(PURCHASE!$M$6:$M$10008,PURCHASE!$A$6:$A$10008,$AG$2,PURCHASE!$H$6:$H$10008,$A$4:$A$2700)</f>
        <v>0</v>
      </c>
      <c r="AK93" s="512">
        <f>SUMIFS(PURCHASE!$N$6:$N$10008,PURCHASE!$A$6:$A$10008,$AG$2,PURCHASE!$H$6:$H$10008,$A$4:$A$2700)</f>
        <v>0</v>
      </c>
      <c r="AL93" s="512">
        <f t="shared" si="35"/>
        <v>0</v>
      </c>
      <c r="AM93" s="512">
        <f>SUMIFS(PURCHASE!$K$6:$K$10008,PURCHASE!$A$6:$A$10008,$AL$2,PURCHASE!$H$6:$H$10008,$A$4:$A$2700)</f>
        <v>0</v>
      </c>
      <c r="AN93" s="512">
        <f>SUMIFS(PURCHASE!$L$6:$L$10008,PURCHASE!$A$6:$A$10008,$AL$2,PURCHASE!$H$6:$H$10008,$A$4:$A$2700)</f>
        <v>0</v>
      </c>
      <c r="AO93" s="512">
        <f>SUMIFS(PURCHASE!$M$6:$M$10008,PURCHASE!$A$6:$A$10008,$AL$2,PURCHASE!$H$6:$H$10008,$A$4:$A$2700)</f>
        <v>0</v>
      </c>
      <c r="AP93" s="512">
        <f>SUMIFS(PURCHASE!$N$6:$N$10008,PURCHASE!$A$6:$A$10008,$AL$2,PURCHASE!$H$6:$H$10008,$A$4:$A$2700)</f>
        <v>0</v>
      </c>
      <c r="AQ93" s="512">
        <f t="shared" si="36"/>
        <v>0</v>
      </c>
      <c r="AR93" s="512">
        <f>SUMIFS(PURCHASE!$K$6:$K$10008,PURCHASE!$A$6:$A$10008,$AQ$2,PURCHASE!$H$6:$H$10008,$A$4:$A$2700)</f>
        <v>0</v>
      </c>
      <c r="AS93" s="512">
        <f>SUMIFS(PURCHASE!$L$6:$L$10008,PURCHASE!$A$6:$A$10008,$AQ$2,PURCHASE!$H$6:$H$10008,$A$4:$A$2700)</f>
        <v>0</v>
      </c>
      <c r="AT93" s="512">
        <f>SUMIFS(PURCHASE!$M$6:$M$10008,PURCHASE!$A$6:$A$10008,$AQ$2,PURCHASE!$H$6:$H$10008,$A$4:$A$2700)</f>
        <v>0</v>
      </c>
      <c r="AU93" s="512">
        <f>SUMIFS(PURCHASE!$N$6:$N$10008,PURCHASE!$A$6:$A$10008,$AQ$2,PURCHASE!$H$6:$H$10008,$A$4:$A$2700)</f>
        <v>0</v>
      </c>
      <c r="AV93" s="512">
        <f t="shared" si="37"/>
        <v>0</v>
      </c>
      <c r="AW93" s="512">
        <f>SUMIFS(PURCHASE!$K$6:$K$10008,PURCHASE!$A$6:$A$10008,$AV$2,PURCHASE!$H$6:$H$10008,$A$4:$A$2700)</f>
        <v>0</v>
      </c>
      <c r="AX93" s="512">
        <f>SUMIFS(PURCHASE!$L$6:$L$10008,PURCHASE!$A$6:$A$10008,$AV$2,PURCHASE!$H$6:$H$10008,$A$4:$A$2700)</f>
        <v>0</v>
      </c>
      <c r="AY93" s="512">
        <f>SUMIFS(PURCHASE!$M$6:$M$10008,PURCHASE!$A$6:$A$10008,$AV$2,PURCHASE!$H$6:$H$10008,$A$4:$A$2700)</f>
        <v>0</v>
      </c>
      <c r="AZ93" s="512">
        <f>SUMIFS(PURCHASE!$N$6:$N$10008,PURCHASE!$A$6:$A$10008,$AV$2,PURCHASE!$H$6:$H$10008,$A$4:$A$2700)</f>
        <v>0</v>
      </c>
      <c r="BA93" s="512">
        <f t="shared" si="38"/>
        <v>0</v>
      </c>
      <c r="BB93" s="512">
        <f>SUMIFS(PURCHASE!$K$6:$K$10008,PURCHASE!$A$6:$A$10008,$BA$2,PURCHASE!$H$6:$H$10008,$A$4:$A$2700)</f>
        <v>0</v>
      </c>
      <c r="BC93" s="512">
        <f>SUMIFS(PURCHASE!$L$6:$L$10008,PURCHASE!$A$6:$A$10008,$BA$2,PURCHASE!$H$6:$H$10008,$A$4:$A$2700)</f>
        <v>0</v>
      </c>
      <c r="BD93" s="512">
        <f>SUMIFS(PURCHASE!$M$6:$M$10008,PURCHASE!$A$6:$A$10008,$BA$2,PURCHASE!$H$6:$H$10008,$A$4:$A$2700)</f>
        <v>0</v>
      </c>
      <c r="BE93" s="512">
        <f>SUMIFS(PURCHASE!$N$6:$N$10008,PURCHASE!$A$6:$A$10008,$BA$2,PURCHASE!$H$6:$H$10008,$A$4:$A$2700)</f>
        <v>0</v>
      </c>
      <c r="BF93" s="512">
        <f t="shared" si="39"/>
        <v>0</v>
      </c>
      <c r="BG93" s="512">
        <f>SUMIFS(PURCHASE!$K$6:$K$10008,PURCHASE!$A$6:$A$10008,$BF$2,PURCHASE!$H$6:$H$10008,$A$4:$A$2700)</f>
        <v>0</v>
      </c>
      <c r="BH93" s="512">
        <f>SUMIFS(PURCHASE!$L$6:$L$10008,PURCHASE!$A$6:$A$10008,$BF$2,PURCHASE!$H$6:$H$10008,$A$4:$A$2700)</f>
        <v>0</v>
      </c>
      <c r="BI93" s="512">
        <f>SUMIFS(PURCHASE!$M$6:$M$10008,PURCHASE!$A$6:$A$10008,$BF$2,PURCHASE!$H$6:$H$10008,$A$4:$A$2700)</f>
        <v>0</v>
      </c>
      <c r="BJ93" s="512">
        <f>SUMIFS(PURCHASE!$N$6:$N$10008,PURCHASE!$A$6:$A$10008,$BF$2,PURCHASE!$H$6:$H$10008,$A$4:$A$2700)</f>
        <v>0</v>
      </c>
      <c r="BK93" s="72">
        <f t="shared" si="23"/>
        <v>0</v>
      </c>
      <c r="BL93" s="72">
        <f t="shared" si="24"/>
        <v>0</v>
      </c>
      <c r="BM93" s="72">
        <f t="shared" si="25"/>
        <v>0</v>
      </c>
      <c r="BN93" s="72">
        <f t="shared" si="26"/>
        <v>0</v>
      </c>
      <c r="BO93" s="72">
        <f t="shared" si="27"/>
        <v>0</v>
      </c>
    </row>
    <row r="94" spans="1:67" x14ac:dyDescent="0.2">
      <c r="A94" s="511">
        <v>27111900</v>
      </c>
      <c r="B94" s="467" t="s">
        <v>1258</v>
      </c>
      <c r="C94" s="512">
        <f t="shared" si="28"/>
        <v>0</v>
      </c>
      <c r="D94" s="512">
        <f>SUMIFS(PURCHASE!$K$6:$K$10008,PURCHASE!$A$6:$A$10008,$M$2,PURCHASE!$H$6:$H$10008,$A$4:$A$2700)</f>
        <v>0</v>
      </c>
      <c r="E94" s="512">
        <f>SUMIFS(PURCHASE!$L$6:$L$10008,PURCHASE!$A$6:$A$10008,$M$2,PURCHASE!$H$6:$H$10008,$A$4:$A$2700)</f>
        <v>0</v>
      </c>
      <c r="F94" s="512">
        <f>SUMIFS(PURCHASE!$M$6:$M$10008,PURCHASE!$A$6:$A$10008,$M$2,PURCHASE!$H$6:$H$10008,$A$4:$A$2700)</f>
        <v>0</v>
      </c>
      <c r="G94" s="512">
        <f>SUMIFS(PURCHASE!$N$6:$N$10008,PURCHASE!$A$6:$A$10008,$M$2,PURCHASE!$H$6:$H$10008,$A$4:$A$2700)</f>
        <v>0</v>
      </c>
      <c r="H94" s="512">
        <f t="shared" si="29"/>
        <v>0</v>
      </c>
      <c r="I94" s="512">
        <f>SUMIFS(PURCHASE!$K$6:$K$10008,PURCHASE!$A$6:$A$10008,$H$2,PURCHASE!$H$6:$H$10008,$A$4:$A$2700)</f>
        <v>0</v>
      </c>
      <c r="J94" s="512">
        <f>SUMIFS(PURCHASE!$L$6:$L$10008,PURCHASE!$A$6:$A$10008,$H$2,PURCHASE!$H$6:$H$10008,$A$4:$A$2700)</f>
        <v>0</v>
      </c>
      <c r="K94" s="512">
        <f>SUMIFS(PURCHASE!$M$6:$M$10008,PURCHASE!$A$6:$A$10008,$H$2,PURCHASE!$H$6:$H$10008,$A$4:$A$2700)</f>
        <v>0</v>
      </c>
      <c r="L94" s="512">
        <f>SUMIFS(PURCHASE!$N$6:$N$10008,PURCHASE!$A$6:$A$10008,$H$2,PURCHASE!$H$6:$H$10008,$A$4:$A$2700)</f>
        <v>0</v>
      </c>
      <c r="M94" s="512">
        <f t="shared" si="30"/>
        <v>0</v>
      </c>
      <c r="N94" s="512">
        <f>SUMIFS(PURCHASE!$K$6:$K$10008,PURCHASE!$A$6:$A$10008,$M$2,PURCHASE!$H$6:$H$10008,$A$4:$A$2700)</f>
        <v>0</v>
      </c>
      <c r="O94" s="512">
        <f>SUMIFS(PURCHASE!$L$6:$L$10008,PURCHASE!$A$6:$A$10008,$M$2,PURCHASE!$H$6:$H$10008,$A$4:$A$2700)</f>
        <v>0</v>
      </c>
      <c r="P94" s="512">
        <f>SUMIFS(PURCHASE!$M$6:$M$10008,PURCHASE!$A$6:$A$10008,$M$2,PURCHASE!$H$6:$H$10008,$A$4:$A$2700)</f>
        <v>0</v>
      </c>
      <c r="Q94" s="512">
        <f>SUMIFS(PURCHASE!$N$6:$N$10008,PURCHASE!$A$6:$A$10008,$M$2,PURCHASE!$H$6:$H$10008,$A$4:$A$2700)</f>
        <v>0</v>
      </c>
      <c r="R94" s="512">
        <f t="shared" si="31"/>
        <v>0</v>
      </c>
      <c r="S94" s="512">
        <f>SUMIFS(PURCHASE!$K$6:$K$10008,PURCHASE!$A$6:$A$10008,$R$2,PURCHASE!$H$6:$H$10008,$A$4:$A$2700)</f>
        <v>0</v>
      </c>
      <c r="T94" s="512">
        <f>SUMIFS(PURCHASE!$L$6:$L$10008,PURCHASE!$A$6:$A$10008,$R$2,PURCHASE!$H$6:$H$10008,$A$4:$A$2700)</f>
        <v>0</v>
      </c>
      <c r="U94" s="512">
        <f>SUMIFS(PURCHASE!$M$6:$M$10008,PURCHASE!$A$6:$A$10008,$R$2,PURCHASE!$H$6:$H$10008,$A$4:$A$2700)</f>
        <v>0</v>
      </c>
      <c r="V94" s="512">
        <f>SUMIFS(PURCHASE!$N$6:$N$10008,PURCHASE!$A$6:$A$10008,$R$2,PURCHASE!$H$6:$H$10008,$A$4:$A$2700)</f>
        <v>0</v>
      </c>
      <c r="W94" s="512">
        <f t="shared" si="32"/>
        <v>0</v>
      </c>
      <c r="X94" s="512">
        <f>SUMIFS(PURCHASE!$K$6:$K$10008,PURCHASE!$A$6:$A$10008,$W$2,PURCHASE!$H$6:$H$10008,$A$4:$A$2700)</f>
        <v>0</v>
      </c>
      <c r="Y94" s="512">
        <f>SUMIFS(PURCHASE!$L$6:$L$10008,PURCHASE!$A$6:$A$10008,$W$2,PURCHASE!$H$6:$H$10008,$A$4:$A$2700)</f>
        <v>0</v>
      </c>
      <c r="Z94" s="512">
        <f>SUMIFS(PURCHASE!$M$6:$M$10008,PURCHASE!$A$6:$A$10008,$W$2,PURCHASE!$H$6:$H$10008,$A$4:$A$2700)</f>
        <v>0</v>
      </c>
      <c r="AA94" s="512">
        <f>SUMIFS(PURCHASE!$N$6:$N$10008,PURCHASE!$A$6:$A$10008,$W$2,PURCHASE!$H$6:$H$10008,$A$4:$A$2700)</f>
        <v>0</v>
      </c>
      <c r="AB94" s="512">
        <f t="shared" si="33"/>
        <v>0</v>
      </c>
      <c r="AC94" s="512">
        <f>SUMIFS(PURCHASE!$K$6:$K$10008,PURCHASE!$A$6:$A$10008,$AB$2,PURCHASE!$H$6:$H$10008,$A$4:$A$2700)</f>
        <v>0</v>
      </c>
      <c r="AD94" s="512">
        <f>SUMIFS(PURCHASE!$L$6:$L$10008,PURCHASE!$A$6:$A$10008,$AB$2,PURCHASE!$H$6:$H$10008,$A$4:$A$2700)</f>
        <v>0</v>
      </c>
      <c r="AE94" s="512">
        <f>SUMIFS(PURCHASE!$M$6:$M$10008,PURCHASE!$A$6:$A$10008,$AB$2,PURCHASE!$H$6:$H$10008,$A$4:$A$2700)</f>
        <v>0</v>
      </c>
      <c r="AF94" s="512">
        <f>SUMIFS(PURCHASE!$N$6:$N$10008,PURCHASE!$A$6:$A$10008,$AB$2,PURCHASE!$H$6:$H$10008,$A$4:$A$2700)</f>
        <v>0</v>
      </c>
      <c r="AG94" s="512">
        <f t="shared" si="34"/>
        <v>0</v>
      </c>
      <c r="AH94" s="512">
        <f>SUMIFS(PURCHASE!$K$6:$K$10008,PURCHASE!$A$6:$A$10008,$AG$2,PURCHASE!$H$6:$H$10008,$A$4:$A$2700)</f>
        <v>0</v>
      </c>
      <c r="AI94" s="512">
        <f>SUMIFS(PURCHASE!$L$6:$L$10008,PURCHASE!$A$6:$A$10008,$AG$2,PURCHASE!$H$6:$H$10008,$A$4:$A$2700)</f>
        <v>0</v>
      </c>
      <c r="AJ94" s="512">
        <f>SUMIFS(PURCHASE!$M$6:$M$10008,PURCHASE!$A$6:$A$10008,$AG$2,PURCHASE!$H$6:$H$10008,$A$4:$A$2700)</f>
        <v>0</v>
      </c>
      <c r="AK94" s="512">
        <f>SUMIFS(PURCHASE!$N$6:$N$10008,PURCHASE!$A$6:$A$10008,$AG$2,PURCHASE!$H$6:$H$10008,$A$4:$A$2700)</f>
        <v>0</v>
      </c>
      <c r="AL94" s="512">
        <f t="shared" si="35"/>
        <v>0</v>
      </c>
      <c r="AM94" s="512">
        <f>SUMIFS(PURCHASE!$K$6:$K$10008,PURCHASE!$A$6:$A$10008,$AL$2,PURCHASE!$H$6:$H$10008,$A$4:$A$2700)</f>
        <v>0</v>
      </c>
      <c r="AN94" s="512">
        <f>SUMIFS(PURCHASE!$L$6:$L$10008,PURCHASE!$A$6:$A$10008,$AL$2,PURCHASE!$H$6:$H$10008,$A$4:$A$2700)</f>
        <v>0</v>
      </c>
      <c r="AO94" s="512">
        <f>SUMIFS(PURCHASE!$M$6:$M$10008,PURCHASE!$A$6:$A$10008,$AL$2,PURCHASE!$H$6:$H$10008,$A$4:$A$2700)</f>
        <v>0</v>
      </c>
      <c r="AP94" s="512">
        <f>SUMIFS(PURCHASE!$N$6:$N$10008,PURCHASE!$A$6:$A$10008,$AL$2,PURCHASE!$H$6:$H$10008,$A$4:$A$2700)</f>
        <v>0</v>
      </c>
      <c r="AQ94" s="512">
        <f t="shared" si="36"/>
        <v>0</v>
      </c>
      <c r="AR94" s="512">
        <f>SUMIFS(PURCHASE!$K$6:$K$10008,PURCHASE!$A$6:$A$10008,$AQ$2,PURCHASE!$H$6:$H$10008,$A$4:$A$2700)</f>
        <v>0</v>
      </c>
      <c r="AS94" s="512">
        <f>SUMIFS(PURCHASE!$L$6:$L$10008,PURCHASE!$A$6:$A$10008,$AQ$2,PURCHASE!$H$6:$H$10008,$A$4:$A$2700)</f>
        <v>0</v>
      </c>
      <c r="AT94" s="512">
        <f>SUMIFS(PURCHASE!$M$6:$M$10008,PURCHASE!$A$6:$A$10008,$AQ$2,PURCHASE!$H$6:$H$10008,$A$4:$A$2700)</f>
        <v>0</v>
      </c>
      <c r="AU94" s="512">
        <f>SUMIFS(PURCHASE!$N$6:$N$10008,PURCHASE!$A$6:$A$10008,$AQ$2,PURCHASE!$H$6:$H$10008,$A$4:$A$2700)</f>
        <v>0</v>
      </c>
      <c r="AV94" s="512">
        <f t="shared" si="37"/>
        <v>0</v>
      </c>
      <c r="AW94" s="512">
        <f>SUMIFS(PURCHASE!$K$6:$K$10008,PURCHASE!$A$6:$A$10008,$AV$2,PURCHASE!$H$6:$H$10008,$A$4:$A$2700)</f>
        <v>0</v>
      </c>
      <c r="AX94" s="512">
        <f>SUMIFS(PURCHASE!$L$6:$L$10008,PURCHASE!$A$6:$A$10008,$AV$2,PURCHASE!$H$6:$H$10008,$A$4:$A$2700)</f>
        <v>0</v>
      </c>
      <c r="AY94" s="512">
        <f>SUMIFS(PURCHASE!$M$6:$M$10008,PURCHASE!$A$6:$A$10008,$AV$2,PURCHASE!$H$6:$H$10008,$A$4:$A$2700)</f>
        <v>0</v>
      </c>
      <c r="AZ94" s="512">
        <f>SUMIFS(PURCHASE!$N$6:$N$10008,PURCHASE!$A$6:$A$10008,$AV$2,PURCHASE!$H$6:$H$10008,$A$4:$A$2700)</f>
        <v>0</v>
      </c>
      <c r="BA94" s="512">
        <f t="shared" si="38"/>
        <v>0</v>
      </c>
      <c r="BB94" s="512">
        <f>SUMIFS(PURCHASE!$K$6:$K$10008,PURCHASE!$A$6:$A$10008,$BA$2,PURCHASE!$H$6:$H$10008,$A$4:$A$2700)</f>
        <v>0</v>
      </c>
      <c r="BC94" s="512">
        <f>SUMIFS(PURCHASE!$L$6:$L$10008,PURCHASE!$A$6:$A$10008,$BA$2,PURCHASE!$H$6:$H$10008,$A$4:$A$2700)</f>
        <v>0</v>
      </c>
      <c r="BD94" s="512">
        <f>SUMIFS(PURCHASE!$M$6:$M$10008,PURCHASE!$A$6:$A$10008,$BA$2,PURCHASE!$H$6:$H$10008,$A$4:$A$2700)</f>
        <v>0</v>
      </c>
      <c r="BE94" s="512">
        <f>SUMIFS(PURCHASE!$N$6:$N$10008,PURCHASE!$A$6:$A$10008,$BA$2,PURCHASE!$H$6:$H$10008,$A$4:$A$2700)</f>
        <v>0</v>
      </c>
      <c r="BF94" s="512">
        <f t="shared" si="39"/>
        <v>0</v>
      </c>
      <c r="BG94" s="512">
        <f>SUMIFS(PURCHASE!$K$6:$K$10008,PURCHASE!$A$6:$A$10008,$BF$2,PURCHASE!$H$6:$H$10008,$A$4:$A$2700)</f>
        <v>0</v>
      </c>
      <c r="BH94" s="512">
        <f>SUMIFS(PURCHASE!$L$6:$L$10008,PURCHASE!$A$6:$A$10008,$BF$2,PURCHASE!$H$6:$H$10008,$A$4:$A$2700)</f>
        <v>0</v>
      </c>
      <c r="BI94" s="512">
        <f>SUMIFS(PURCHASE!$M$6:$M$10008,PURCHASE!$A$6:$A$10008,$BF$2,PURCHASE!$H$6:$H$10008,$A$4:$A$2700)</f>
        <v>0</v>
      </c>
      <c r="BJ94" s="512">
        <f>SUMIFS(PURCHASE!$N$6:$N$10008,PURCHASE!$A$6:$A$10008,$BF$2,PURCHASE!$H$6:$H$10008,$A$4:$A$2700)</f>
        <v>0</v>
      </c>
      <c r="BK94" s="72">
        <f t="shared" si="23"/>
        <v>0</v>
      </c>
      <c r="BL94" s="72">
        <f t="shared" si="24"/>
        <v>0</v>
      </c>
      <c r="BM94" s="72">
        <f t="shared" si="25"/>
        <v>0</v>
      </c>
      <c r="BN94" s="72">
        <f t="shared" si="26"/>
        <v>0</v>
      </c>
      <c r="BO94" s="72">
        <f t="shared" si="27"/>
        <v>0</v>
      </c>
    </row>
    <row r="95" spans="1:67" x14ac:dyDescent="0.2">
      <c r="A95" s="511">
        <v>28530010</v>
      </c>
      <c r="B95" s="467" t="s">
        <v>1259</v>
      </c>
      <c r="C95" s="512">
        <f t="shared" si="28"/>
        <v>0</v>
      </c>
      <c r="D95" s="512">
        <f>SUMIFS(PURCHASE!$K$6:$K$10008,PURCHASE!$A$6:$A$10008,$M$2,PURCHASE!$H$6:$H$10008,$A$4:$A$2700)</f>
        <v>0</v>
      </c>
      <c r="E95" s="512">
        <f>SUMIFS(PURCHASE!$L$6:$L$10008,PURCHASE!$A$6:$A$10008,$M$2,PURCHASE!$H$6:$H$10008,$A$4:$A$2700)</f>
        <v>0</v>
      </c>
      <c r="F95" s="512">
        <f>SUMIFS(PURCHASE!$M$6:$M$10008,PURCHASE!$A$6:$A$10008,$M$2,PURCHASE!$H$6:$H$10008,$A$4:$A$2700)</f>
        <v>0</v>
      </c>
      <c r="G95" s="512">
        <f>SUMIFS(PURCHASE!$N$6:$N$10008,PURCHASE!$A$6:$A$10008,$M$2,PURCHASE!$H$6:$H$10008,$A$4:$A$2700)</f>
        <v>0</v>
      </c>
      <c r="H95" s="512">
        <f t="shared" si="29"/>
        <v>169.92000000000002</v>
      </c>
      <c r="I95" s="512">
        <f>SUMIFS(PURCHASE!$K$6:$K$10008,PURCHASE!$A$6:$A$10008,$H$2,PURCHASE!$H$6:$H$10008,$A$4:$A$2700)</f>
        <v>144</v>
      </c>
      <c r="J95" s="512">
        <f>SUMIFS(PURCHASE!$L$6:$L$10008,PURCHASE!$A$6:$A$10008,$H$2,PURCHASE!$H$6:$H$10008,$A$4:$A$2700)</f>
        <v>0</v>
      </c>
      <c r="K95" s="512">
        <f>SUMIFS(PURCHASE!$M$6:$M$10008,PURCHASE!$A$6:$A$10008,$H$2,PURCHASE!$H$6:$H$10008,$A$4:$A$2700)</f>
        <v>12.959999999999999</v>
      </c>
      <c r="L95" s="512">
        <f>SUMIFS(PURCHASE!$N$6:$N$10008,PURCHASE!$A$6:$A$10008,$H$2,PURCHASE!$H$6:$H$10008,$A$4:$A$2700)</f>
        <v>12.959999999999999</v>
      </c>
      <c r="M95" s="512">
        <f t="shared" si="30"/>
        <v>0</v>
      </c>
      <c r="N95" s="512">
        <f>SUMIFS(PURCHASE!$K$6:$K$10008,PURCHASE!$A$6:$A$10008,$M$2,PURCHASE!$H$6:$H$10008,$A$4:$A$2700)</f>
        <v>0</v>
      </c>
      <c r="O95" s="512">
        <f>SUMIFS(PURCHASE!$L$6:$L$10008,PURCHASE!$A$6:$A$10008,$M$2,PURCHASE!$H$6:$H$10008,$A$4:$A$2700)</f>
        <v>0</v>
      </c>
      <c r="P95" s="512">
        <f>SUMIFS(PURCHASE!$M$6:$M$10008,PURCHASE!$A$6:$A$10008,$M$2,PURCHASE!$H$6:$H$10008,$A$4:$A$2700)</f>
        <v>0</v>
      </c>
      <c r="Q95" s="512">
        <f>SUMIFS(PURCHASE!$N$6:$N$10008,PURCHASE!$A$6:$A$10008,$M$2,PURCHASE!$H$6:$H$10008,$A$4:$A$2700)</f>
        <v>0</v>
      </c>
      <c r="R95" s="512">
        <f t="shared" si="31"/>
        <v>0</v>
      </c>
      <c r="S95" s="512">
        <f>SUMIFS(PURCHASE!$K$6:$K$10008,PURCHASE!$A$6:$A$10008,$R$2,PURCHASE!$H$6:$H$10008,$A$4:$A$2700)</f>
        <v>0</v>
      </c>
      <c r="T95" s="512">
        <f>SUMIFS(PURCHASE!$L$6:$L$10008,PURCHASE!$A$6:$A$10008,$R$2,PURCHASE!$H$6:$H$10008,$A$4:$A$2700)</f>
        <v>0</v>
      </c>
      <c r="U95" s="512">
        <f>SUMIFS(PURCHASE!$M$6:$M$10008,PURCHASE!$A$6:$A$10008,$R$2,PURCHASE!$H$6:$H$10008,$A$4:$A$2700)</f>
        <v>0</v>
      </c>
      <c r="V95" s="512">
        <f>SUMIFS(PURCHASE!$N$6:$N$10008,PURCHASE!$A$6:$A$10008,$R$2,PURCHASE!$H$6:$H$10008,$A$4:$A$2700)</f>
        <v>0</v>
      </c>
      <c r="W95" s="512">
        <f t="shared" si="32"/>
        <v>0</v>
      </c>
      <c r="X95" s="512">
        <f>SUMIFS(PURCHASE!$K$6:$K$10008,PURCHASE!$A$6:$A$10008,$W$2,PURCHASE!$H$6:$H$10008,$A$4:$A$2700)</f>
        <v>0</v>
      </c>
      <c r="Y95" s="512">
        <f>SUMIFS(PURCHASE!$L$6:$L$10008,PURCHASE!$A$6:$A$10008,$W$2,PURCHASE!$H$6:$H$10008,$A$4:$A$2700)</f>
        <v>0</v>
      </c>
      <c r="Z95" s="512">
        <f>SUMIFS(PURCHASE!$M$6:$M$10008,PURCHASE!$A$6:$A$10008,$W$2,PURCHASE!$H$6:$H$10008,$A$4:$A$2700)</f>
        <v>0</v>
      </c>
      <c r="AA95" s="512">
        <f>SUMIFS(PURCHASE!$N$6:$N$10008,PURCHASE!$A$6:$A$10008,$W$2,PURCHASE!$H$6:$H$10008,$A$4:$A$2700)</f>
        <v>0</v>
      </c>
      <c r="AB95" s="512">
        <f t="shared" si="33"/>
        <v>0</v>
      </c>
      <c r="AC95" s="512">
        <f>SUMIFS(PURCHASE!$K$6:$K$10008,PURCHASE!$A$6:$A$10008,$AB$2,PURCHASE!$H$6:$H$10008,$A$4:$A$2700)</f>
        <v>0</v>
      </c>
      <c r="AD95" s="512">
        <f>SUMIFS(PURCHASE!$L$6:$L$10008,PURCHASE!$A$6:$A$10008,$AB$2,PURCHASE!$H$6:$H$10008,$A$4:$A$2700)</f>
        <v>0</v>
      </c>
      <c r="AE95" s="512">
        <f>SUMIFS(PURCHASE!$M$6:$M$10008,PURCHASE!$A$6:$A$10008,$AB$2,PURCHASE!$H$6:$H$10008,$A$4:$A$2700)</f>
        <v>0</v>
      </c>
      <c r="AF95" s="512">
        <f>SUMIFS(PURCHASE!$N$6:$N$10008,PURCHASE!$A$6:$A$10008,$AB$2,PURCHASE!$H$6:$H$10008,$A$4:$A$2700)</f>
        <v>0</v>
      </c>
      <c r="AG95" s="512">
        <f t="shared" si="34"/>
        <v>0</v>
      </c>
      <c r="AH95" s="512">
        <f>SUMIFS(PURCHASE!$K$6:$K$10008,PURCHASE!$A$6:$A$10008,$AG$2,PURCHASE!$H$6:$H$10008,$A$4:$A$2700)</f>
        <v>0</v>
      </c>
      <c r="AI95" s="512">
        <f>SUMIFS(PURCHASE!$L$6:$L$10008,PURCHASE!$A$6:$A$10008,$AG$2,PURCHASE!$H$6:$H$10008,$A$4:$A$2700)</f>
        <v>0</v>
      </c>
      <c r="AJ95" s="512">
        <f>SUMIFS(PURCHASE!$M$6:$M$10008,PURCHASE!$A$6:$A$10008,$AG$2,PURCHASE!$H$6:$H$10008,$A$4:$A$2700)</f>
        <v>0</v>
      </c>
      <c r="AK95" s="512">
        <f>SUMIFS(PURCHASE!$N$6:$N$10008,PURCHASE!$A$6:$A$10008,$AG$2,PURCHASE!$H$6:$H$10008,$A$4:$A$2700)</f>
        <v>0</v>
      </c>
      <c r="AL95" s="512">
        <f t="shared" si="35"/>
        <v>0</v>
      </c>
      <c r="AM95" s="512">
        <f>SUMIFS(PURCHASE!$K$6:$K$10008,PURCHASE!$A$6:$A$10008,$AL$2,PURCHASE!$H$6:$H$10008,$A$4:$A$2700)</f>
        <v>0</v>
      </c>
      <c r="AN95" s="512">
        <f>SUMIFS(PURCHASE!$L$6:$L$10008,PURCHASE!$A$6:$A$10008,$AL$2,PURCHASE!$H$6:$H$10008,$A$4:$A$2700)</f>
        <v>0</v>
      </c>
      <c r="AO95" s="512">
        <f>SUMIFS(PURCHASE!$M$6:$M$10008,PURCHASE!$A$6:$A$10008,$AL$2,PURCHASE!$H$6:$H$10008,$A$4:$A$2700)</f>
        <v>0</v>
      </c>
      <c r="AP95" s="512">
        <f>SUMIFS(PURCHASE!$N$6:$N$10008,PURCHASE!$A$6:$A$10008,$AL$2,PURCHASE!$H$6:$H$10008,$A$4:$A$2700)</f>
        <v>0</v>
      </c>
      <c r="AQ95" s="512">
        <f t="shared" si="36"/>
        <v>0</v>
      </c>
      <c r="AR95" s="512">
        <f>SUMIFS(PURCHASE!$K$6:$K$10008,PURCHASE!$A$6:$A$10008,$AQ$2,PURCHASE!$H$6:$H$10008,$A$4:$A$2700)</f>
        <v>0</v>
      </c>
      <c r="AS95" s="512">
        <f>SUMIFS(PURCHASE!$L$6:$L$10008,PURCHASE!$A$6:$A$10008,$AQ$2,PURCHASE!$H$6:$H$10008,$A$4:$A$2700)</f>
        <v>0</v>
      </c>
      <c r="AT95" s="512">
        <f>SUMIFS(PURCHASE!$M$6:$M$10008,PURCHASE!$A$6:$A$10008,$AQ$2,PURCHASE!$H$6:$H$10008,$A$4:$A$2700)</f>
        <v>0</v>
      </c>
      <c r="AU95" s="512">
        <f>SUMIFS(PURCHASE!$N$6:$N$10008,PURCHASE!$A$6:$A$10008,$AQ$2,PURCHASE!$H$6:$H$10008,$A$4:$A$2700)</f>
        <v>0</v>
      </c>
      <c r="AV95" s="512">
        <f t="shared" si="37"/>
        <v>0</v>
      </c>
      <c r="AW95" s="512">
        <f>SUMIFS(PURCHASE!$K$6:$K$10008,PURCHASE!$A$6:$A$10008,$AV$2,PURCHASE!$H$6:$H$10008,$A$4:$A$2700)</f>
        <v>0</v>
      </c>
      <c r="AX95" s="512">
        <f>SUMIFS(PURCHASE!$L$6:$L$10008,PURCHASE!$A$6:$A$10008,$AV$2,PURCHASE!$H$6:$H$10008,$A$4:$A$2700)</f>
        <v>0</v>
      </c>
      <c r="AY95" s="512">
        <f>SUMIFS(PURCHASE!$M$6:$M$10008,PURCHASE!$A$6:$A$10008,$AV$2,PURCHASE!$H$6:$H$10008,$A$4:$A$2700)</f>
        <v>0</v>
      </c>
      <c r="AZ95" s="512">
        <f>SUMIFS(PURCHASE!$N$6:$N$10008,PURCHASE!$A$6:$A$10008,$AV$2,PURCHASE!$H$6:$H$10008,$A$4:$A$2700)</f>
        <v>0</v>
      </c>
      <c r="BA95" s="512">
        <f t="shared" si="38"/>
        <v>0</v>
      </c>
      <c r="BB95" s="512">
        <f>SUMIFS(PURCHASE!$K$6:$K$10008,PURCHASE!$A$6:$A$10008,$BA$2,PURCHASE!$H$6:$H$10008,$A$4:$A$2700)</f>
        <v>0</v>
      </c>
      <c r="BC95" s="512">
        <f>SUMIFS(PURCHASE!$L$6:$L$10008,PURCHASE!$A$6:$A$10008,$BA$2,PURCHASE!$H$6:$H$10008,$A$4:$A$2700)</f>
        <v>0</v>
      </c>
      <c r="BD95" s="512">
        <f>SUMIFS(PURCHASE!$M$6:$M$10008,PURCHASE!$A$6:$A$10008,$BA$2,PURCHASE!$H$6:$H$10008,$A$4:$A$2700)</f>
        <v>0</v>
      </c>
      <c r="BE95" s="512">
        <f>SUMIFS(PURCHASE!$N$6:$N$10008,PURCHASE!$A$6:$A$10008,$BA$2,PURCHASE!$H$6:$H$10008,$A$4:$A$2700)</f>
        <v>0</v>
      </c>
      <c r="BF95" s="512">
        <f t="shared" si="39"/>
        <v>0</v>
      </c>
      <c r="BG95" s="512">
        <f>SUMIFS(PURCHASE!$K$6:$K$10008,PURCHASE!$A$6:$A$10008,$BF$2,PURCHASE!$H$6:$H$10008,$A$4:$A$2700)</f>
        <v>0</v>
      </c>
      <c r="BH95" s="512">
        <f>SUMIFS(PURCHASE!$L$6:$L$10008,PURCHASE!$A$6:$A$10008,$BF$2,PURCHASE!$H$6:$H$10008,$A$4:$A$2700)</f>
        <v>0</v>
      </c>
      <c r="BI95" s="512">
        <f>SUMIFS(PURCHASE!$M$6:$M$10008,PURCHASE!$A$6:$A$10008,$BF$2,PURCHASE!$H$6:$H$10008,$A$4:$A$2700)</f>
        <v>0</v>
      </c>
      <c r="BJ95" s="512">
        <f>SUMIFS(PURCHASE!$N$6:$N$10008,PURCHASE!$A$6:$A$10008,$BF$2,PURCHASE!$H$6:$H$10008,$A$4:$A$2700)</f>
        <v>0</v>
      </c>
      <c r="BK95" s="72">
        <f t="shared" si="23"/>
        <v>169.92000000000002</v>
      </c>
      <c r="BL95" s="72">
        <f t="shared" si="24"/>
        <v>144</v>
      </c>
      <c r="BM95" s="72">
        <f t="shared" si="25"/>
        <v>0</v>
      </c>
      <c r="BN95" s="72">
        <f t="shared" si="26"/>
        <v>12.959999999999999</v>
      </c>
      <c r="BO95" s="72">
        <f t="shared" si="27"/>
        <v>12.959999999999999</v>
      </c>
    </row>
    <row r="96" spans="1:67" x14ac:dyDescent="0.2">
      <c r="A96" s="511">
        <v>29023000</v>
      </c>
      <c r="B96" s="467" t="s">
        <v>1260</v>
      </c>
      <c r="C96" s="512">
        <f t="shared" si="28"/>
        <v>2891</v>
      </c>
      <c r="D96" s="512">
        <f>SUMIFS(PURCHASE!$K$6:$K$10008,PURCHASE!$A$6:$A$10008,$M$2,PURCHASE!$H$6:$H$10008,$A$4:$A$2700)</f>
        <v>2450</v>
      </c>
      <c r="E96" s="512">
        <f>SUMIFS(PURCHASE!$L$6:$L$10008,PURCHASE!$A$6:$A$10008,$M$2,PURCHASE!$H$6:$H$10008,$A$4:$A$2700)</f>
        <v>0</v>
      </c>
      <c r="F96" s="512">
        <f>SUMIFS(PURCHASE!$M$6:$M$10008,PURCHASE!$A$6:$A$10008,$M$2,PURCHASE!$H$6:$H$10008,$A$4:$A$2700)</f>
        <v>220.5</v>
      </c>
      <c r="G96" s="512">
        <f>SUMIFS(PURCHASE!$N$6:$N$10008,PURCHASE!$A$6:$A$10008,$M$2,PURCHASE!$H$6:$H$10008,$A$4:$A$2700)</f>
        <v>220.5</v>
      </c>
      <c r="H96" s="512">
        <f t="shared" si="29"/>
        <v>2891</v>
      </c>
      <c r="I96" s="512">
        <f>SUMIFS(PURCHASE!$K$6:$K$10008,PURCHASE!$A$6:$A$10008,$H$2,PURCHASE!$H$6:$H$10008,$A$4:$A$2700)</f>
        <v>2450</v>
      </c>
      <c r="J96" s="512">
        <f>SUMIFS(PURCHASE!$L$6:$L$10008,PURCHASE!$A$6:$A$10008,$H$2,PURCHASE!$H$6:$H$10008,$A$4:$A$2700)</f>
        <v>0</v>
      </c>
      <c r="K96" s="512">
        <f>SUMIFS(PURCHASE!$M$6:$M$10008,PURCHASE!$A$6:$A$10008,$H$2,PURCHASE!$H$6:$H$10008,$A$4:$A$2700)</f>
        <v>220.5</v>
      </c>
      <c r="L96" s="512">
        <f>SUMIFS(PURCHASE!$N$6:$N$10008,PURCHASE!$A$6:$A$10008,$H$2,PURCHASE!$H$6:$H$10008,$A$4:$A$2700)</f>
        <v>220.5</v>
      </c>
      <c r="M96" s="512">
        <f t="shared" si="30"/>
        <v>2891</v>
      </c>
      <c r="N96" s="512">
        <f>SUMIFS(PURCHASE!$K$6:$K$10008,PURCHASE!$A$6:$A$10008,$M$2,PURCHASE!$H$6:$H$10008,$A$4:$A$2700)</f>
        <v>2450</v>
      </c>
      <c r="O96" s="512">
        <f>SUMIFS(PURCHASE!$L$6:$L$10008,PURCHASE!$A$6:$A$10008,$M$2,PURCHASE!$H$6:$H$10008,$A$4:$A$2700)</f>
        <v>0</v>
      </c>
      <c r="P96" s="512">
        <f>SUMIFS(PURCHASE!$M$6:$M$10008,PURCHASE!$A$6:$A$10008,$M$2,PURCHASE!$H$6:$H$10008,$A$4:$A$2700)</f>
        <v>220.5</v>
      </c>
      <c r="Q96" s="512">
        <f>SUMIFS(PURCHASE!$N$6:$N$10008,PURCHASE!$A$6:$A$10008,$M$2,PURCHASE!$H$6:$H$10008,$A$4:$A$2700)</f>
        <v>220.5</v>
      </c>
      <c r="R96" s="512">
        <f t="shared" si="31"/>
        <v>0</v>
      </c>
      <c r="S96" s="512">
        <f>SUMIFS(PURCHASE!$K$6:$K$10008,PURCHASE!$A$6:$A$10008,$R$2,PURCHASE!$H$6:$H$10008,$A$4:$A$2700)</f>
        <v>0</v>
      </c>
      <c r="T96" s="512">
        <f>SUMIFS(PURCHASE!$L$6:$L$10008,PURCHASE!$A$6:$A$10008,$R$2,PURCHASE!$H$6:$H$10008,$A$4:$A$2700)</f>
        <v>0</v>
      </c>
      <c r="U96" s="512">
        <f>SUMIFS(PURCHASE!$M$6:$M$10008,PURCHASE!$A$6:$A$10008,$R$2,PURCHASE!$H$6:$H$10008,$A$4:$A$2700)</f>
        <v>0</v>
      </c>
      <c r="V96" s="512">
        <f>SUMIFS(PURCHASE!$N$6:$N$10008,PURCHASE!$A$6:$A$10008,$R$2,PURCHASE!$H$6:$H$10008,$A$4:$A$2700)</f>
        <v>0</v>
      </c>
      <c r="W96" s="512">
        <f t="shared" si="32"/>
        <v>2892</v>
      </c>
      <c r="X96" s="512">
        <f>SUMIFS(PURCHASE!$K$6:$K$10008,PURCHASE!$A$6:$A$10008,$W$2,PURCHASE!$H$6:$H$10008,$A$4:$A$2700)</f>
        <v>2450</v>
      </c>
      <c r="Y96" s="512">
        <f>SUMIFS(PURCHASE!$L$6:$L$10008,PURCHASE!$A$6:$A$10008,$W$2,PURCHASE!$H$6:$H$10008,$A$4:$A$2700)</f>
        <v>0</v>
      </c>
      <c r="Z96" s="512">
        <f>SUMIFS(PURCHASE!$M$6:$M$10008,PURCHASE!$A$6:$A$10008,$W$2,PURCHASE!$H$6:$H$10008,$A$4:$A$2700)</f>
        <v>221</v>
      </c>
      <c r="AA96" s="512">
        <f>SUMIFS(PURCHASE!$N$6:$N$10008,PURCHASE!$A$6:$A$10008,$W$2,PURCHASE!$H$6:$H$10008,$A$4:$A$2700)</f>
        <v>221</v>
      </c>
      <c r="AB96" s="512">
        <f t="shared" si="33"/>
        <v>119228</v>
      </c>
      <c r="AC96" s="512">
        <f>SUMIFS(PURCHASE!$K$6:$K$10008,PURCHASE!$A$6:$A$10008,$AB$2,PURCHASE!$H$6:$H$10008,$A$4:$A$2700)</f>
        <v>101040</v>
      </c>
      <c r="AD96" s="512">
        <f>SUMIFS(PURCHASE!$L$6:$L$10008,PURCHASE!$A$6:$A$10008,$AB$2,PURCHASE!$H$6:$H$10008,$A$4:$A$2700)</f>
        <v>0</v>
      </c>
      <c r="AE96" s="512">
        <f>SUMIFS(PURCHASE!$M$6:$M$10008,PURCHASE!$A$6:$A$10008,$AB$2,PURCHASE!$H$6:$H$10008,$A$4:$A$2700)</f>
        <v>9094</v>
      </c>
      <c r="AF96" s="512">
        <f>SUMIFS(PURCHASE!$N$6:$N$10008,PURCHASE!$A$6:$A$10008,$AB$2,PURCHASE!$H$6:$H$10008,$A$4:$A$2700)</f>
        <v>9094</v>
      </c>
      <c r="AG96" s="512">
        <f t="shared" si="34"/>
        <v>0</v>
      </c>
      <c r="AH96" s="512">
        <f>SUMIFS(PURCHASE!$K$6:$K$10008,PURCHASE!$A$6:$A$10008,$AG$2,PURCHASE!$H$6:$H$10008,$A$4:$A$2700)</f>
        <v>0</v>
      </c>
      <c r="AI96" s="512">
        <f>SUMIFS(PURCHASE!$L$6:$L$10008,PURCHASE!$A$6:$A$10008,$AG$2,PURCHASE!$H$6:$H$10008,$A$4:$A$2700)</f>
        <v>0</v>
      </c>
      <c r="AJ96" s="512">
        <f>SUMIFS(PURCHASE!$M$6:$M$10008,PURCHASE!$A$6:$A$10008,$AG$2,PURCHASE!$H$6:$H$10008,$A$4:$A$2700)</f>
        <v>0</v>
      </c>
      <c r="AK96" s="512">
        <f>SUMIFS(PURCHASE!$N$6:$N$10008,PURCHASE!$A$6:$A$10008,$AG$2,PURCHASE!$H$6:$H$10008,$A$4:$A$2700)</f>
        <v>0</v>
      </c>
      <c r="AL96" s="512">
        <f t="shared" si="35"/>
        <v>0</v>
      </c>
      <c r="AM96" s="512">
        <f>SUMIFS(PURCHASE!$K$6:$K$10008,PURCHASE!$A$6:$A$10008,$AL$2,PURCHASE!$H$6:$H$10008,$A$4:$A$2700)</f>
        <v>0</v>
      </c>
      <c r="AN96" s="512">
        <f>SUMIFS(PURCHASE!$L$6:$L$10008,PURCHASE!$A$6:$A$10008,$AL$2,PURCHASE!$H$6:$H$10008,$A$4:$A$2700)</f>
        <v>0</v>
      </c>
      <c r="AO96" s="512">
        <f>SUMIFS(PURCHASE!$M$6:$M$10008,PURCHASE!$A$6:$A$10008,$AL$2,PURCHASE!$H$6:$H$10008,$A$4:$A$2700)</f>
        <v>0</v>
      </c>
      <c r="AP96" s="512">
        <f>SUMIFS(PURCHASE!$N$6:$N$10008,PURCHASE!$A$6:$A$10008,$AL$2,PURCHASE!$H$6:$H$10008,$A$4:$A$2700)</f>
        <v>0</v>
      </c>
      <c r="AQ96" s="512">
        <f t="shared" si="36"/>
        <v>0</v>
      </c>
      <c r="AR96" s="512">
        <f>SUMIFS(PURCHASE!$K$6:$K$10008,PURCHASE!$A$6:$A$10008,$AQ$2,PURCHASE!$H$6:$H$10008,$A$4:$A$2700)</f>
        <v>0</v>
      </c>
      <c r="AS96" s="512">
        <f>SUMIFS(PURCHASE!$L$6:$L$10008,PURCHASE!$A$6:$A$10008,$AQ$2,PURCHASE!$H$6:$H$10008,$A$4:$A$2700)</f>
        <v>0</v>
      </c>
      <c r="AT96" s="512">
        <f>SUMIFS(PURCHASE!$M$6:$M$10008,PURCHASE!$A$6:$A$10008,$AQ$2,PURCHASE!$H$6:$H$10008,$A$4:$A$2700)</f>
        <v>0</v>
      </c>
      <c r="AU96" s="512">
        <f>SUMIFS(PURCHASE!$N$6:$N$10008,PURCHASE!$A$6:$A$10008,$AQ$2,PURCHASE!$H$6:$H$10008,$A$4:$A$2700)</f>
        <v>0</v>
      </c>
      <c r="AV96" s="512">
        <f t="shared" si="37"/>
        <v>0</v>
      </c>
      <c r="AW96" s="512">
        <f>SUMIFS(PURCHASE!$K$6:$K$10008,PURCHASE!$A$6:$A$10008,$AV$2,PURCHASE!$H$6:$H$10008,$A$4:$A$2700)</f>
        <v>0</v>
      </c>
      <c r="AX96" s="512">
        <f>SUMIFS(PURCHASE!$L$6:$L$10008,PURCHASE!$A$6:$A$10008,$AV$2,PURCHASE!$H$6:$H$10008,$A$4:$A$2700)</f>
        <v>0</v>
      </c>
      <c r="AY96" s="512">
        <f>SUMIFS(PURCHASE!$M$6:$M$10008,PURCHASE!$A$6:$A$10008,$AV$2,PURCHASE!$H$6:$H$10008,$A$4:$A$2700)</f>
        <v>0</v>
      </c>
      <c r="AZ96" s="512">
        <f>SUMIFS(PURCHASE!$N$6:$N$10008,PURCHASE!$A$6:$A$10008,$AV$2,PURCHASE!$H$6:$H$10008,$A$4:$A$2700)</f>
        <v>0</v>
      </c>
      <c r="BA96" s="512">
        <f t="shared" si="38"/>
        <v>0</v>
      </c>
      <c r="BB96" s="512">
        <f>SUMIFS(PURCHASE!$K$6:$K$10008,PURCHASE!$A$6:$A$10008,$BA$2,PURCHASE!$H$6:$H$10008,$A$4:$A$2700)</f>
        <v>0</v>
      </c>
      <c r="BC96" s="512">
        <f>SUMIFS(PURCHASE!$L$6:$L$10008,PURCHASE!$A$6:$A$10008,$BA$2,PURCHASE!$H$6:$H$10008,$A$4:$A$2700)</f>
        <v>0</v>
      </c>
      <c r="BD96" s="512">
        <f>SUMIFS(PURCHASE!$M$6:$M$10008,PURCHASE!$A$6:$A$10008,$BA$2,PURCHASE!$H$6:$H$10008,$A$4:$A$2700)</f>
        <v>0</v>
      </c>
      <c r="BE96" s="512">
        <f>SUMIFS(PURCHASE!$N$6:$N$10008,PURCHASE!$A$6:$A$10008,$BA$2,PURCHASE!$H$6:$H$10008,$A$4:$A$2700)</f>
        <v>0</v>
      </c>
      <c r="BF96" s="512">
        <f t="shared" si="39"/>
        <v>0</v>
      </c>
      <c r="BG96" s="512">
        <f>SUMIFS(PURCHASE!$K$6:$K$10008,PURCHASE!$A$6:$A$10008,$BF$2,PURCHASE!$H$6:$H$10008,$A$4:$A$2700)</f>
        <v>0</v>
      </c>
      <c r="BH96" s="512">
        <f>SUMIFS(PURCHASE!$L$6:$L$10008,PURCHASE!$A$6:$A$10008,$BF$2,PURCHASE!$H$6:$H$10008,$A$4:$A$2700)</f>
        <v>0</v>
      </c>
      <c r="BI96" s="512">
        <f>SUMIFS(PURCHASE!$M$6:$M$10008,PURCHASE!$A$6:$A$10008,$BF$2,PURCHASE!$H$6:$H$10008,$A$4:$A$2700)</f>
        <v>0</v>
      </c>
      <c r="BJ96" s="512">
        <f>SUMIFS(PURCHASE!$N$6:$N$10008,PURCHASE!$A$6:$A$10008,$BF$2,PURCHASE!$H$6:$H$10008,$A$4:$A$2700)</f>
        <v>0</v>
      </c>
      <c r="BK96" s="72">
        <f t="shared" si="23"/>
        <v>130793</v>
      </c>
      <c r="BL96" s="72">
        <f t="shared" si="24"/>
        <v>110840</v>
      </c>
      <c r="BM96" s="72">
        <f t="shared" si="25"/>
        <v>0</v>
      </c>
      <c r="BN96" s="72">
        <f t="shared" si="26"/>
        <v>9976.5</v>
      </c>
      <c r="BO96" s="72">
        <f t="shared" si="27"/>
        <v>9976.5</v>
      </c>
    </row>
    <row r="97" spans="1:67" x14ac:dyDescent="0.2">
      <c r="A97" s="511">
        <v>29029090</v>
      </c>
      <c r="B97" s="467" t="s">
        <v>1261</v>
      </c>
      <c r="C97" s="512">
        <f t="shared" si="28"/>
        <v>0</v>
      </c>
      <c r="D97" s="512">
        <f>SUMIFS(PURCHASE!$K$6:$K$10008,PURCHASE!$A$6:$A$10008,$M$2,PURCHASE!$H$6:$H$10008,$A$4:$A$2700)</f>
        <v>0</v>
      </c>
      <c r="E97" s="512">
        <f>SUMIFS(PURCHASE!$L$6:$L$10008,PURCHASE!$A$6:$A$10008,$M$2,PURCHASE!$H$6:$H$10008,$A$4:$A$2700)</f>
        <v>0</v>
      </c>
      <c r="F97" s="512">
        <f>SUMIFS(PURCHASE!$M$6:$M$10008,PURCHASE!$A$6:$A$10008,$M$2,PURCHASE!$H$6:$H$10008,$A$4:$A$2700)</f>
        <v>0</v>
      </c>
      <c r="G97" s="512">
        <f>SUMIFS(PURCHASE!$N$6:$N$10008,PURCHASE!$A$6:$A$10008,$M$2,PURCHASE!$H$6:$H$10008,$A$4:$A$2700)</f>
        <v>0</v>
      </c>
      <c r="H97" s="512">
        <f t="shared" si="29"/>
        <v>0</v>
      </c>
      <c r="I97" s="512">
        <f>SUMIFS(PURCHASE!$K$6:$K$10008,PURCHASE!$A$6:$A$10008,$H$2,PURCHASE!$H$6:$H$10008,$A$4:$A$2700)</f>
        <v>0</v>
      </c>
      <c r="J97" s="512">
        <f>SUMIFS(PURCHASE!$L$6:$L$10008,PURCHASE!$A$6:$A$10008,$H$2,PURCHASE!$H$6:$H$10008,$A$4:$A$2700)</f>
        <v>0</v>
      </c>
      <c r="K97" s="512">
        <f>SUMIFS(PURCHASE!$M$6:$M$10008,PURCHASE!$A$6:$A$10008,$H$2,PURCHASE!$H$6:$H$10008,$A$4:$A$2700)</f>
        <v>0</v>
      </c>
      <c r="L97" s="512">
        <f>SUMIFS(PURCHASE!$N$6:$N$10008,PURCHASE!$A$6:$A$10008,$H$2,PURCHASE!$H$6:$H$10008,$A$4:$A$2700)</f>
        <v>0</v>
      </c>
      <c r="M97" s="512">
        <f t="shared" si="30"/>
        <v>0</v>
      </c>
      <c r="N97" s="512">
        <f>SUMIFS(PURCHASE!$K$6:$K$10008,PURCHASE!$A$6:$A$10008,$M$2,PURCHASE!$H$6:$H$10008,$A$4:$A$2700)</f>
        <v>0</v>
      </c>
      <c r="O97" s="512">
        <f>SUMIFS(PURCHASE!$L$6:$L$10008,PURCHASE!$A$6:$A$10008,$M$2,PURCHASE!$H$6:$H$10008,$A$4:$A$2700)</f>
        <v>0</v>
      </c>
      <c r="P97" s="512">
        <f>SUMIFS(PURCHASE!$M$6:$M$10008,PURCHASE!$A$6:$A$10008,$M$2,PURCHASE!$H$6:$H$10008,$A$4:$A$2700)</f>
        <v>0</v>
      </c>
      <c r="Q97" s="512">
        <f>SUMIFS(PURCHASE!$N$6:$N$10008,PURCHASE!$A$6:$A$10008,$M$2,PURCHASE!$H$6:$H$10008,$A$4:$A$2700)</f>
        <v>0</v>
      </c>
      <c r="R97" s="512">
        <f t="shared" si="31"/>
        <v>0</v>
      </c>
      <c r="S97" s="512">
        <f>SUMIFS(PURCHASE!$K$6:$K$10008,PURCHASE!$A$6:$A$10008,$R$2,PURCHASE!$H$6:$H$10008,$A$4:$A$2700)</f>
        <v>0</v>
      </c>
      <c r="T97" s="512">
        <f>SUMIFS(PURCHASE!$L$6:$L$10008,PURCHASE!$A$6:$A$10008,$R$2,PURCHASE!$H$6:$H$10008,$A$4:$A$2700)</f>
        <v>0</v>
      </c>
      <c r="U97" s="512">
        <f>SUMIFS(PURCHASE!$M$6:$M$10008,PURCHASE!$A$6:$A$10008,$R$2,PURCHASE!$H$6:$H$10008,$A$4:$A$2700)</f>
        <v>0</v>
      </c>
      <c r="V97" s="512">
        <f>SUMIFS(PURCHASE!$N$6:$N$10008,PURCHASE!$A$6:$A$10008,$R$2,PURCHASE!$H$6:$H$10008,$A$4:$A$2700)</f>
        <v>0</v>
      </c>
      <c r="W97" s="512">
        <f t="shared" si="32"/>
        <v>0</v>
      </c>
      <c r="X97" s="512">
        <f>SUMIFS(PURCHASE!$K$6:$K$10008,PURCHASE!$A$6:$A$10008,$W$2,PURCHASE!$H$6:$H$10008,$A$4:$A$2700)</f>
        <v>0</v>
      </c>
      <c r="Y97" s="512">
        <f>SUMIFS(PURCHASE!$L$6:$L$10008,PURCHASE!$A$6:$A$10008,$W$2,PURCHASE!$H$6:$H$10008,$A$4:$A$2700)</f>
        <v>0</v>
      </c>
      <c r="Z97" s="512">
        <f>SUMIFS(PURCHASE!$M$6:$M$10008,PURCHASE!$A$6:$A$10008,$W$2,PURCHASE!$H$6:$H$10008,$A$4:$A$2700)</f>
        <v>0</v>
      </c>
      <c r="AA97" s="512">
        <f>SUMIFS(PURCHASE!$N$6:$N$10008,PURCHASE!$A$6:$A$10008,$W$2,PURCHASE!$H$6:$H$10008,$A$4:$A$2700)</f>
        <v>0</v>
      </c>
      <c r="AB97" s="512">
        <f t="shared" si="33"/>
        <v>0</v>
      </c>
      <c r="AC97" s="512">
        <f>SUMIFS(PURCHASE!$K$6:$K$10008,PURCHASE!$A$6:$A$10008,$AB$2,PURCHASE!$H$6:$H$10008,$A$4:$A$2700)</f>
        <v>0</v>
      </c>
      <c r="AD97" s="512">
        <f>SUMIFS(PURCHASE!$L$6:$L$10008,PURCHASE!$A$6:$A$10008,$AB$2,PURCHASE!$H$6:$H$10008,$A$4:$A$2700)</f>
        <v>0</v>
      </c>
      <c r="AE97" s="512">
        <f>SUMIFS(PURCHASE!$M$6:$M$10008,PURCHASE!$A$6:$A$10008,$AB$2,PURCHASE!$H$6:$H$10008,$A$4:$A$2700)</f>
        <v>0</v>
      </c>
      <c r="AF97" s="512">
        <f>SUMIFS(PURCHASE!$N$6:$N$10008,PURCHASE!$A$6:$A$10008,$AB$2,PURCHASE!$H$6:$H$10008,$A$4:$A$2700)</f>
        <v>0</v>
      </c>
      <c r="AG97" s="512">
        <f t="shared" si="34"/>
        <v>531</v>
      </c>
      <c r="AH97" s="512">
        <f>SUMIFS(PURCHASE!$K$6:$K$10008,PURCHASE!$A$6:$A$10008,$AG$2,PURCHASE!$H$6:$H$10008,$A$4:$A$2700)</f>
        <v>450</v>
      </c>
      <c r="AI97" s="512">
        <f>SUMIFS(PURCHASE!$L$6:$L$10008,PURCHASE!$A$6:$A$10008,$AG$2,PURCHASE!$H$6:$H$10008,$A$4:$A$2700)</f>
        <v>0</v>
      </c>
      <c r="AJ97" s="512">
        <f>SUMIFS(PURCHASE!$M$6:$M$10008,PURCHASE!$A$6:$A$10008,$AG$2,PURCHASE!$H$6:$H$10008,$A$4:$A$2700)</f>
        <v>40.5</v>
      </c>
      <c r="AK97" s="512">
        <f>SUMIFS(PURCHASE!$N$6:$N$10008,PURCHASE!$A$6:$A$10008,$AG$2,PURCHASE!$H$6:$H$10008,$A$4:$A$2700)</f>
        <v>40.5</v>
      </c>
      <c r="AL97" s="512">
        <f t="shared" si="35"/>
        <v>0</v>
      </c>
      <c r="AM97" s="512">
        <f>SUMIFS(PURCHASE!$K$6:$K$10008,PURCHASE!$A$6:$A$10008,$AL$2,PURCHASE!$H$6:$H$10008,$A$4:$A$2700)</f>
        <v>0</v>
      </c>
      <c r="AN97" s="512">
        <f>SUMIFS(PURCHASE!$L$6:$L$10008,PURCHASE!$A$6:$A$10008,$AL$2,PURCHASE!$H$6:$H$10008,$A$4:$A$2700)</f>
        <v>0</v>
      </c>
      <c r="AO97" s="512">
        <f>SUMIFS(PURCHASE!$M$6:$M$10008,PURCHASE!$A$6:$A$10008,$AL$2,PURCHASE!$H$6:$H$10008,$A$4:$A$2700)</f>
        <v>0</v>
      </c>
      <c r="AP97" s="512">
        <f>SUMIFS(PURCHASE!$N$6:$N$10008,PURCHASE!$A$6:$A$10008,$AL$2,PURCHASE!$H$6:$H$10008,$A$4:$A$2700)</f>
        <v>0</v>
      </c>
      <c r="AQ97" s="512">
        <f t="shared" si="36"/>
        <v>0</v>
      </c>
      <c r="AR97" s="512">
        <f>SUMIFS(PURCHASE!$K$6:$K$10008,PURCHASE!$A$6:$A$10008,$AQ$2,PURCHASE!$H$6:$H$10008,$A$4:$A$2700)</f>
        <v>0</v>
      </c>
      <c r="AS97" s="512">
        <f>SUMIFS(PURCHASE!$L$6:$L$10008,PURCHASE!$A$6:$A$10008,$AQ$2,PURCHASE!$H$6:$H$10008,$A$4:$A$2700)</f>
        <v>0</v>
      </c>
      <c r="AT97" s="512">
        <f>SUMIFS(PURCHASE!$M$6:$M$10008,PURCHASE!$A$6:$A$10008,$AQ$2,PURCHASE!$H$6:$H$10008,$A$4:$A$2700)</f>
        <v>0</v>
      </c>
      <c r="AU97" s="512">
        <f>SUMIFS(PURCHASE!$N$6:$N$10008,PURCHASE!$A$6:$A$10008,$AQ$2,PURCHASE!$H$6:$H$10008,$A$4:$A$2700)</f>
        <v>0</v>
      </c>
      <c r="AV97" s="512">
        <f t="shared" si="37"/>
        <v>0</v>
      </c>
      <c r="AW97" s="512">
        <f>SUMIFS(PURCHASE!$K$6:$K$10008,PURCHASE!$A$6:$A$10008,$AV$2,PURCHASE!$H$6:$H$10008,$A$4:$A$2700)</f>
        <v>0</v>
      </c>
      <c r="AX97" s="512">
        <f>SUMIFS(PURCHASE!$L$6:$L$10008,PURCHASE!$A$6:$A$10008,$AV$2,PURCHASE!$H$6:$H$10008,$A$4:$A$2700)</f>
        <v>0</v>
      </c>
      <c r="AY97" s="512">
        <f>SUMIFS(PURCHASE!$M$6:$M$10008,PURCHASE!$A$6:$A$10008,$AV$2,PURCHASE!$H$6:$H$10008,$A$4:$A$2700)</f>
        <v>0</v>
      </c>
      <c r="AZ97" s="512">
        <f>SUMIFS(PURCHASE!$N$6:$N$10008,PURCHASE!$A$6:$A$10008,$AV$2,PURCHASE!$H$6:$H$10008,$A$4:$A$2700)</f>
        <v>0</v>
      </c>
      <c r="BA97" s="512">
        <f t="shared" si="38"/>
        <v>0</v>
      </c>
      <c r="BB97" s="512">
        <f>SUMIFS(PURCHASE!$K$6:$K$10008,PURCHASE!$A$6:$A$10008,$BA$2,PURCHASE!$H$6:$H$10008,$A$4:$A$2700)</f>
        <v>0</v>
      </c>
      <c r="BC97" s="512">
        <f>SUMIFS(PURCHASE!$L$6:$L$10008,PURCHASE!$A$6:$A$10008,$BA$2,PURCHASE!$H$6:$H$10008,$A$4:$A$2700)</f>
        <v>0</v>
      </c>
      <c r="BD97" s="512">
        <f>SUMIFS(PURCHASE!$M$6:$M$10008,PURCHASE!$A$6:$A$10008,$BA$2,PURCHASE!$H$6:$H$10008,$A$4:$A$2700)</f>
        <v>0</v>
      </c>
      <c r="BE97" s="512">
        <f>SUMIFS(PURCHASE!$N$6:$N$10008,PURCHASE!$A$6:$A$10008,$BA$2,PURCHASE!$H$6:$H$10008,$A$4:$A$2700)</f>
        <v>0</v>
      </c>
      <c r="BF97" s="512">
        <f t="shared" si="39"/>
        <v>0</v>
      </c>
      <c r="BG97" s="512">
        <f>SUMIFS(PURCHASE!$K$6:$K$10008,PURCHASE!$A$6:$A$10008,$BF$2,PURCHASE!$H$6:$H$10008,$A$4:$A$2700)</f>
        <v>0</v>
      </c>
      <c r="BH97" s="512">
        <f>SUMIFS(PURCHASE!$L$6:$L$10008,PURCHASE!$A$6:$A$10008,$BF$2,PURCHASE!$H$6:$H$10008,$A$4:$A$2700)</f>
        <v>0</v>
      </c>
      <c r="BI97" s="512">
        <f>SUMIFS(PURCHASE!$M$6:$M$10008,PURCHASE!$A$6:$A$10008,$BF$2,PURCHASE!$H$6:$H$10008,$A$4:$A$2700)</f>
        <v>0</v>
      </c>
      <c r="BJ97" s="512">
        <f>SUMIFS(PURCHASE!$N$6:$N$10008,PURCHASE!$A$6:$A$10008,$BF$2,PURCHASE!$H$6:$H$10008,$A$4:$A$2700)</f>
        <v>0</v>
      </c>
      <c r="BK97" s="72">
        <f t="shared" si="23"/>
        <v>531</v>
      </c>
      <c r="BL97" s="72">
        <f t="shared" si="24"/>
        <v>450</v>
      </c>
      <c r="BM97" s="72">
        <f t="shared" si="25"/>
        <v>0</v>
      </c>
      <c r="BN97" s="72">
        <f t="shared" si="26"/>
        <v>40.5</v>
      </c>
      <c r="BO97" s="72">
        <f t="shared" si="27"/>
        <v>40.5</v>
      </c>
    </row>
    <row r="98" spans="1:67" x14ac:dyDescent="0.2">
      <c r="A98" s="511">
        <v>29051220</v>
      </c>
      <c r="B98" s="467" t="s">
        <v>1262</v>
      </c>
      <c r="C98" s="512">
        <f t="shared" si="28"/>
        <v>0</v>
      </c>
      <c r="D98" s="512">
        <f>SUMIFS(PURCHASE!$K$6:$K$10008,PURCHASE!$A$6:$A$10008,$M$2,PURCHASE!$H$6:$H$10008,$A$4:$A$2700)</f>
        <v>0</v>
      </c>
      <c r="E98" s="512">
        <f>SUMIFS(PURCHASE!$L$6:$L$10008,PURCHASE!$A$6:$A$10008,$M$2,PURCHASE!$H$6:$H$10008,$A$4:$A$2700)</f>
        <v>0</v>
      </c>
      <c r="F98" s="512">
        <f>SUMIFS(PURCHASE!$M$6:$M$10008,PURCHASE!$A$6:$A$10008,$M$2,PURCHASE!$H$6:$H$10008,$A$4:$A$2700)</f>
        <v>0</v>
      </c>
      <c r="G98" s="512">
        <f>SUMIFS(PURCHASE!$N$6:$N$10008,PURCHASE!$A$6:$A$10008,$M$2,PURCHASE!$H$6:$H$10008,$A$4:$A$2700)</f>
        <v>0</v>
      </c>
      <c r="H98" s="512">
        <f t="shared" si="29"/>
        <v>0</v>
      </c>
      <c r="I98" s="512">
        <f>SUMIFS(PURCHASE!$K$6:$K$10008,PURCHASE!$A$6:$A$10008,$H$2,PURCHASE!$H$6:$H$10008,$A$4:$A$2700)</f>
        <v>0</v>
      </c>
      <c r="J98" s="512">
        <f>SUMIFS(PURCHASE!$L$6:$L$10008,PURCHASE!$A$6:$A$10008,$H$2,PURCHASE!$H$6:$H$10008,$A$4:$A$2700)</f>
        <v>0</v>
      </c>
      <c r="K98" s="512">
        <f>SUMIFS(PURCHASE!$M$6:$M$10008,PURCHASE!$A$6:$A$10008,$H$2,PURCHASE!$H$6:$H$10008,$A$4:$A$2700)</f>
        <v>0</v>
      </c>
      <c r="L98" s="512">
        <f>SUMIFS(PURCHASE!$N$6:$N$10008,PURCHASE!$A$6:$A$10008,$H$2,PURCHASE!$H$6:$H$10008,$A$4:$A$2700)</f>
        <v>0</v>
      </c>
      <c r="M98" s="512">
        <f t="shared" si="30"/>
        <v>0</v>
      </c>
      <c r="N98" s="512">
        <f>SUMIFS(PURCHASE!$K$6:$K$10008,PURCHASE!$A$6:$A$10008,$M$2,PURCHASE!$H$6:$H$10008,$A$4:$A$2700)</f>
        <v>0</v>
      </c>
      <c r="O98" s="512">
        <f>SUMIFS(PURCHASE!$L$6:$L$10008,PURCHASE!$A$6:$A$10008,$M$2,PURCHASE!$H$6:$H$10008,$A$4:$A$2700)</f>
        <v>0</v>
      </c>
      <c r="P98" s="512">
        <f>SUMIFS(PURCHASE!$M$6:$M$10008,PURCHASE!$A$6:$A$10008,$M$2,PURCHASE!$H$6:$H$10008,$A$4:$A$2700)</f>
        <v>0</v>
      </c>
      <c r="Q98" s="512">
        <f>SUMIFS(PURCHASE!$N$6:$N$10008,PURCHASE!$A$6:$A$10008,$M$2,PURCHASE!$H$6:$H$10008,$A$4:$A$2700)</f>
        <v>0</v>
      </c>
      <c r="R98" s="512">
        <f t="shared" si="31"/>
        <v>31671</v>
      </c>
      <c r="S98" s="512">
        <f>SUMIFS(PURCHASE!$K$6:$K$10008,PURCHASE!$A$6:$A$10008,$R$2,PURCHASE!$H$6:$H$10008,$A$4:$A$2700)</f>
        <v>26840</v>
      </c>
      <c r="T98" s="512">
        <f>SUMIFS(PURCHASE!$L$6:$L$10008,PURCHASE!$A$6:$A$10008,$R$2,PURCHASE!$H$6:$H$10008,$A$4:$A$2700)</f>
        <v>0</v>
      </c>
      <c r="U98" s="512">
        <f>SUMIFS(PURCHASE!$M$6:$M$10008,PURCHASE!$A$6:$A$10008,$R$2,PURCHASE!$H$6:$H$10008,$A$4:$A$2700)</f>
        <v>2415.5</v>
      </c>
      <c r="V98" s="512">
        <f>SUMIFS(PURCHASE!$N$6:$N$10008,PURCHASE!$A$6:$A$10008,$R$2,PURCHASE!$H$6:$H$10008,$A$4:$A$2700)</f>
        <v>2415.5</v>
      </c>
      <c r="W98" s="512">
        <f t="shared" si="32"/>
        <v>0</v>
      </c>
      <c r="X98" s="512">
        <f>SUMIFS(PURCHASE!$K$6:$K$10008,PURCHASE!$A$6:$A$10008,$W$2,PURCHASE!$H$6:$H$10008,$A$4:$A$2700)</f>
        <v>0</v>
      </c>
      <c r="Y98" s="512">
        <f>SUMIFS(PURCHASE!$L$6:$L$10008,PURCHASE!$A$6:$A$10008,$W$2,PURCHASE!$H$6:$H$10008,$A$4:$A$2700)</f>
        <v>0</v>
      </c>
      <c r="Z98" s="512">
        <f>SUMIFS(PURCHASE!$M$6:$M$10008,PURCHASE!$A$6:$A$10008,$W$2,PURCHASE!$H$6:$H$10008,$A$4:$A$2700)</f>
        <v>0</v>
      </c>
      <c r="AA98" s="512">
        <f>SUMIFS(PURCHASE!$N$6:$N$10008,PURCHASE!$A$6:$A$10008,$W$2,PURCHASE!$H$6:$H$10008,$A$4:$A$2700)</f>
        <v>0</v>
      </c>
      <c r="AB98" s="512">
        <f t="shared" si="33"/>
        <v>0</v>
      </c>
      <c r="AC98" s="512">
        <f>SUMIFS(PURCHASE!$K$6:$K$10008,PURCHASE!$A$6:$A$10008,$AB$2,PURCHASE!$H$6:$H$10008,$A$4:$A$2700)</f>
        <v>0</v>
      </c>
      <c r="AD98" s="512">
        <f>SUMIFS(PURCHASE!$L$6:$L$10008,PURCHASE!$A$6:$A$10008,$AB$2,PURCHASE!$H$6:$H$10008,$A$4:$A$2700)</f>
        <v>0</v>
      </c>
      <c r="AE98" s="512">
        <f>SUMIFS(PURCHASE!$M$6:$M$10008,PURCHASE!$A$6:$A$10008,$AB$2,PURCHASE!$H$6:$H$10008,$A$4:$A$2700)</f>
        <v>0</v>
      </c>
      <c r="AF98" s="512">
        <f>SUMIFS(PURCHASE!$N$6:$N$10008,PURCHASE!$A$6:$A$10008,$AB$2,PURCHASE!$H$6:$H$10008,$A$4:$A$2700)</f>
        <v>0</v>
      </c>
      <c r="AG98" s="512">
        <f t="shared" si="34"/>
        <v>0</v>
      </c>
      <c r="AH98" s="512">
        <f>SUMIFS(PURCHASE!$K$6:$K$10008,PURCHASE!$A$6:$A$10008,$AG$2,PURCHASE!$H$6:$H$10008,$A$4:$A$2700)</f>
        <v>0</v>
      </c>
      <c r="AI98" s="512">
        <f>SUMIFS(PURCHASE!$L$6:$L$10008,PURCHASE!$A$6:$A$10008,$AG$2,PURCHASE!$H$6:$H$10008,$A$4:$A$2700)</f>
        <v>0</v>
      </c>
      <c r="AJ98" s="512">
        <f>SUMIFS(PURCHASE!$M$6:$M$10008,PURCHASE!$A$6:$A$10008,$AG$2,PURCHASE!$H$6:$H$10008,$A$4:$A$2700)</f>
        <v>0</v>
      </c>
      <c r="AK98" s="512">
        <f>SUMIFS(PURCHASE!$N$6:$N$10008,PURCHASE!$A$6:$A$10008,$AG$2,PURCHASE!$H$6:$H$10008,$A$4:$A$2700)</f>
        <v>0</v>
      </c>
      <c r="AL98" s="512">
        <f t="shared" si="35"/>
        <v>0</v>
      </c>
      <c r="AM98" s="512">
        <f>SUMIFS(PURCHASE!$K$6:$K$10008,PURCHASE!$A$6:$A$10008,$AL$2,PURCHASE!$H$6:$H$10008,$A$4:$A$2700)</f>
        <v>0</v>
      </c>
      <c r="AN98" s="512">
        <f>SUMIFS(PURCHASE!$L$6:$L$10008,PURCHASE!$A$6:$A$10008,$AL$2,PURCHASE!$H$6:$H$10008,$A$4:$A$2700)</f>
        <v>0</v>
      </c>
      <c r="AO98" s="512">
        <f>SUMIFS(PURCHASE!$M$6:$M$10008,PURCHASE!$A$6:$A$10008,$AL$2,PURCHASE!$H$6:$H$10008,$A$4:$A$2700)</f>
        <v>0</v>
      </c>
      <c r="AP98" s="512">
        <f>SUMIFS(PURCHASE!$N$6:$N$10008,PURCHASE!$A$6:$A$10008,$AL$2,PURCHASE!$H$6:$H$10008,$A$4:$A$2700)</f>
        <v>0</v>
      </c>
      <c r="AQ98" s="512">
        <f t="shared" si="36"/>
        <v>0</v>
      </c>
      <c r="AR98" s="512">
        <f>SUMIFS(PURCHASE!$K$6:$K$10008,PURCHASE!$A$6:$A$10008,$AQ$2,PURCHASE!$H$6:$H$10008,$A$4:$A$2700)</f>
        <v>0</v>
      </c>
      <c r="AS98" s="512">
        <f>SUMIFS(PURCHASE!$L$6:$L$10008,PURCHASE!$A$6:$A$10008,$AQ$2,PURCHASE!$H$6:$H$10008,$A$4:$A$2700)</f>
        <v>0</v>
      </c>
      <c r="AT98" s="512">
        <f>SUMIFS(PURCHASE!$M$6:$M$10008,PURCHASE!$A$6:$A$10008,$AQ$2,PURCHASE!$H$6:$H$10008,$A$4:$A$2700)</f>
        <v>0</v>
      </c>
      <c r="AU98" s="512">
        <f>SUMIFS(PURCHASE!$N$6:$N$10008,PURCHASE!$A$6:$A$10008,$AQ$2,PURCHASE!$H$6:$H$10008,$A$4:$A$2700)</f>
        <v>0</v>
      </c>
      <c r="AV98" s="512">
        <f t="shared" si="37"/>
        <v>0</v>
      </c>
      <c r="AW98" s="512">
        <f>SUMIFS(PURCHASE!$K$6:$K$10008,PURCHASE!$A$6:$A$10008,$AV$2,PURCHASE!$H$6:$H$10008,$A$4:$A$2700)</f>
        <v>0</v>
      </c>
      <c r="AX98" s="512">
        <f>SUMIFS(PURCHASE!$L$6:$L$10008,PURCHASE!$A$6:$A$10008,$AV$2,PURCHASE!$H$6:$H$10008,$A$4:$A$2700)</f>
        <v>0</v>
      </c>
      <c r="AY98" s="512">
        <f>SUMIFS(PURCHASE!$M$6:$M$10008,PURCHASE!$A$6:$A$10008,$AV$2,PURCHASE!$H$6:$H$10008,$A$4:$A$2700)</f>
        <v>0</v>
      </c>
      <c r="AZ98" s="512">
        <f>SUMIFS(PURCHASE!$N$6:$N$10008,PURCHASE!$A$6:$A$10008,$AV$2,PURCHASE!$H$6:$H$10008,$A$4:$A$2700)</f>
        <v>0</v>
      </c>
      <c r="BA98" s="512">
        <f t="shared" si="38"/>
        <v>0</v>
      </c>
      <c r="BB98" s="512">
        <f>SUMIFS(PURCHASE!$K$6:$K$10008,PURCHASE!$A$6:$A$10008,$BA$2,PURCHASE!$H$6:$H$10008,$A$4:$A$2700)</f>
        <v>0</v>
      </c>
      <c r="BC98" s="512">
        <f>SUMIFS(PURCHASE!$L$6:$L$10008,PURCHASE!$A$6:$A$10008,$BA$2,PURCHASE!$H$6:$H$10008,$A$4:$A$2700)</f>
        <v>0</v>
      </c>
      <c r="BD98" s="512">
        <f>SUMIFS(PURCHASE!$M$6:$M$10008,PURCHASE!$A$6:$A$10008,$BA$2,PURCHASE!$H$6:$H$10008,$A$4:$A$2700)</f>
        <v>0</v>
      </c>
      <c r="BE98" s="512">
        <f>SUMIFS(PURCHASE!$N$6:$N$10008,PURCHASE!$A$6:$A$10008,$BA$2,PURCHASE!$H$6:$H$10008,$A$4:$A$2700)</f>
        <v>0</v>
      </c>
      <c r="BF98" s="512">
        <f t="shared" si="39"/>
        <v>0</v>
      </c>
      <c r="BG98" s="512">
        <f>SUMIFS(PURCHASE!$K$6:$K$10008,PURCHASE!$A$6:$A$10008,$BF$2,PURCHASE!$H$6:$H$10008,$A$4:$A$2700)</f>
        <v>0</v>
      </c>
      <c r="BH98" s="512">
        <f>SUMIFS(PURCHASE!$L$6:$L$10008,PURCHASE!$A$6:$A$10008,$BF$2,PURCHASE!$H$6:$H$10008,$A$4:$A$2700)</f>
        <v>0</v>
      </c>
      <c r="BI98" s="512">
        <f>SUMIFS(PURCHASE!$M$6:$M$10008,PURCHASE!$A$6:$A$10008,$BF$2,PURCHASE!$H$6:$H$10008,$A$4:$A$2700)</f>
        <v>0</v>
      </c>
      <c r="BJ98" s="512">
        <f>SUMIFS(PURCHASE!$N$6:$N$10008,PURCHASE!$A$6:$A$10008,$BF$2,PURCHASE!$H$6:$H$10008,$A$4:$A$2700)</f>
        <v>0</v>
      </c>
      <c r="BK98" s="72">
        <f t="shared" si="23"/>
        <v>31671</v>
      </c>
      <c r="BL98" s="72">
        <f t="shared" si="24"/>
        <v>26840</v>
      </c>
      <c r="BM98" s="72">
        <f t="shared" si="25"/>
        <v>0</v>
      </c>
      <c r="BN98" s="72">
        <f t="shared" si="26"/>
        <v>2415.5</v>
      </c>
      <c r="BO98" s="72">
        <f t="shared" si="27"/>
        <v>2415.5</v>
      </c>
    </row>
    <row r="99" spans="1:67" x14ac:dyDescent="0.2">
      <c r="A99" s="511">
        <v>29163200</v>
      </c>
      <c r="B99" s="467" t="s">
        <v>273</v>
      </c>
      <c r="C99" s="512">
        <f t="shared" si="28"/>
        <v>0</v>
      </c>
      <c r="D99" s="512">
        <f>SUMIFS(PURCHASE!$K$6:$K$10008,PURCHASE!$A$6:$A$10008,$M$2,PURCHASE!$H$6:$H$10008,$A$4:$A$2700)</f>
        <v>0</v>
      </c>
      <c r="E99" s="512">
        <f>SUMIFS(PURCHASE!$L$6:$L$10008,PURCHASE!$A$6:$A$10008,$M$2,PURCHASE!$H$6:$H$10008,$A$4:$A$2700)</f>
        <v>0</v>
      </c>
      <c r="F99" s="512">
        <f>SUMIFS(PURCHASE!$M$6:$M$10008,PURCHASE!$A$6:$A$10008,$M$2,PURCHASE!$H$6:$H$10008,$A$4:$A$2700)</f>
        <v>0</v>
      </c>
      <c r="G99" s="512">
        <f>SUMIFS(PURCHASE!$N$6:$N$10008,PURCHASE!$A$6:$A$10008,$M$2,PURCHASE!$H$6:$H$10008,$A$4:$A$2700)</f>
        <v>0</v>
      </c>
      <c r="H99" s="512">
        <f t="shared" si="29"/>
        <v>0</v>
      </c>
      <c r="I99" s="512">
        <f>SUMIFS(PURCHASE!$K$6:$K$10008,PURCHASE!$A$6:$A$10008,$H$2,PURCHASE!$H$6:$H$10008,$A$4:$A$2700)</f>
        <v>0</v>
      </c>
      <c r="J99" s="512">
        <f>SUMIFS(PURCHASE!$L$6:$L$10008,PURCHASE!$A$6:$A$10008,$H$2,PURCHASE!$H$6:$H$10008,$A$4:$A$2700)</f>
        <v>0</v>
      </c>
      <c r="K99" s="512">
        <f>SUMIFS(PURCHASE!$M$6:$M$10008,PURCHASE!$A$6:$A$10008,$H$2,PURCHASE!$H$6:$H$10008,$A$4:$A$2700)</f>
        <v>0</v>
      </c>
      <c r="L99" s="512">
        <f>SUMIFS(PURCHASE!$N$6:$N$10008,PURCHASE!$A$6:$A$10008,$H$2,PURCHASE!$H$6:$H$10008,$A$4:$A$2700)</f>
        <v>0</v>
      </c>
      <c r="M99" s="512">
        <f t="shared" si="30"/>
        <v>0</v>
      </c>
      <c r="N99" s="512">
        <f>SUMIFS(PURCHASE!$K$6:$K$10008,PURCHASE!$A$6:$A$10008,$M$2,PURCHASE!$H$6:$H$10008,$A$4:$A$2700)</f>
        <v>0</v>
      </c>
      <c r="O99" s="512">
        <f>SUMIFS(PURCHASE!$L$6:$L$10008,PURCHASE!$A$6:$A$10008,$M$2,PURCHASE!$H$6:$H$10008,$A$4:$A$2700)</f>
        <v>0</v>
      </c>
      <c r="P99" s="512">
        <f>SUMIFS(PURCHASE!$M$6:$M$10008,PURCHASE!$A$6:$A$10008,$M$2,PURCHASE!$H$6:$H$10008,$A$4:$A$2700)</f>
        <v>0</v>
      </c>
      <c r="Q99" s="512">
        <f>SUMIFS(PURCHASE!$N$6:$N$10008,PURCHASE!$A$6:$A$10008,$M$2,PURCHASE!$H$6:$H$10008,$A$4:$A$2700)</f>
        <v>0</v>
      </c>
      <c r="R99" s="512">
        <f t="shared" si="31"/>
        <v>591.18000000000006</v>
      </c>
      <c r="S99" s="512">
        <f>SUMIFS(PURCHASE!$K$6:$K$10008,PURCHASE!$A$6:$A$10008,$R$2,PURCHASE!$H$6:$H$10008,$A$4:$A$2700)</f>
        <v>501</v>
      </c>
      <c r="T99" s="512">
        <f>SUMIFS(PURCHASE!$L$6:$L$10008,PURCHASE!$A$6:$A$10008,$R$2,PURCHASE!$H$6:$H$10008,$A$4:$A$2700)</f>
        <v>0</v>
      </c>
      <c r="U99" s="512">
        <f>SUMIFS(PURCHASE!$M$6:$M$10008,PURCHASE!$A$6:$A$10008,$R$2,PURCHASE!$H$6:$H$10008,$A$4:$A$2700)</f>
        <v>45.089999999999996</v>
      </c>
      <c r="V99" s="512">
        <f>SUMIFS(PURCHASE!$N$6:$N$10008,PURCHASE!$A$6:$A$10008,$R$2,PURCHASE!$H$6:$H$10008,$A$4:$A$2700)</f>
        <v>45.089999999999996</v>
      </c>
      <c r="W99" s="512">
        <f t="shared" si="32"/>
        <v>0</v>
      </c>
      <c r="X99" s="512">
        <f>SUMIFS(PURCHASE!$K$6:$K$10008,PURCHASE!$A$6:$A$10008,$W$2,PURCHASE!$H$6:$H$10008,$A$4:$A$2700)</f>
        <v>0</v>
      </c>
      <c r="Y99" s="512">
        <f>SUMIFS(PURCHASE!$L$6:$L$10008,PURCHASE!$A$6:$A$10008,$W$2,PURCHASE!$H$6:$H$10008,$A$4:$A$2700)</f>
        <v>0</v>
      </c>
      <c r="Z99" s="512">
        <f>SUMIFS(PURCHASE!$M$6:$M$10008,PURCHASE!$A$6:$A$10008,$W$2,PURCHASE!$H$6:$H$10008,$A$4:$A$2700)</f>
        <v>0</v>
      </c>
      <c r="AA99" s="512">
        <f>SUMIFS(PURCHASE!$N$6:$N$10008,PURCHASE!$A$6:$A$10008,$W$2,PURCHASE!$H$6:$H$10008,$A$4:$A$2700)</f>
        <v>0</v>
      </c>
      <c r="AB99" s="512">
        <f t="shared" si="33"/>
        <v>0</v>
      </c>
      <c r="AC99" s="512">
        <f>SUMIFS(PURCHASE!$K$6:$K$10008,PURCHASE!$A$6:$A$10008,$AB$2,PURCHASE!$H$6:$H$10008,$A$4:$A$2700)</f>
        <v>0</v>
      </c>
      <c r="AD99" s="512">
        <f>SUMIFS(PURCHASE!$L$6:$L$10008,PURCHASE!$A$6:$A$10008,$AB$2,PURCHASE!$H$6:$H$10008,$A$4:$A$2700)</f>
        <v>0</v>
      </c>
      <c r="AE99" s="512">
        <f>SUMIFS(PURCHASE!$M$6:$M$10008,PURCHASE!$A$6:$A$10008,$AB$2,PURCHASE!$H$6:$H$10008,$A$4:$A$2700)</f>
        <v>0</v>
      </c>
      <c r="AF99" s="512">
        <f>SUMIFS(PURCHASE!$N$6:$N$10008,PURCHASE!$A$6:$A$10008,$AB$2,PURCHASE!$H$6:$H$10008,$A$4:$A$2700)</f>
        <v>0</v>
      </c>
      <c r="AG99" s="512">
        <f t="shared" si="34"/>
        <v>0</v>
      </c>
      <c r="AH99" s="512">
        <f>SUMIFS(PURCHASE!$K$6:$K$10008,PURCHASE!$A$6:$A$10008,$AG$2,PURCHASE!$H$6:$H$10008,$A$4:$A$2700)</f>
        <v>0</v>
      </c>
      <c r="AI99" s="512">
        <f>SUMIFS(PURCHASE!$L$6:$L$10008,PURCHASE!$A$6:$A$10008,$AG$2,PURCHASE!$H$6:$H$10008,$A$4:$A$2700)</f>
        <v>0</v>
      </c>
      <c r="AJ99" s="512">
        <f>SUMIFS(PURCHASE!$M$6:$M$10008,PURCHASE!$A$6:$A$10008,$AG$2,PURCHASE!$H$6:$H$10008,$A$4:$A$2700)</f>
        <v>0</v>
      </c>
      <c r="AK99" s="512">
        <f>SUMIFS(PURCHASE!$N$6:$N$10008,PURCHASE!$A$6:$A$10008,$AG$2,PURCHASE!$H$6:$H$10008,$A$4:$A$2700)</f>
        <v>0</v>
      </c>
      <c r="AL99" s="512">
        <f t="shared" si="35"/>
        <v>0</v>
      </c>
      <c r="AM99" s="512">
        <f>SUMIFS(PURCHASE!$K$6:$K$10008,PURCHASE!$A$6:$A$10008,$AL$2,PURCHASE!$H$6:$H$10008,$A$4:$A$2700)</f>
        <v>0</v>
      </c>
      <c r="AN99" s="512">
        <f>SUMIFS(PURCHASE!$L$6:$L$10008,PURCHASE!$A$6:$A$10008,$AL$2,PURCHASE!$H$6:$H$10008,$A$4:$A$2700)</f>
        <v>0</v>
      </c>
      <c r="AO99" s="512">
        <f>SUMIFS(PURCHASE!$M$6:$M$10008,PURCHASE!$A$6:$A$10008,$AL$2,PURCHASE!$H$6:$H$10008,$A$4:$A$2700)</f>
        <v>0</v>
      </c>
      <c r="AP99" s="512">
        <f>SUMIFS(PURCHASE!$N$6:$N$10008,PURCHASE!$A$6:$A$10008,$AL$2,PURCHASE!$H$6:$H$10008,$A$4:$A$2700)</f>
        <v>0</v>
      </c>
      <c r="AQ99" s="512">
        <f t="shared" si="36"/>
        <v>0</v>
      </c>
      <c r="AR99" s="512">
        <f>SUMIFS(PURCHASE!$K$6:$K$10008,PURCHASE!$A$6:$A$10008,$AQ$2,PURCHASE!$H$6:$H$10008,$A$4:$A$2700)</f>
        <v>0</v>
      </c>
      <c r="AS99" s="512">
        <f>SUMIFS(PURCHASE!$L$6:$L$10008,PURCHASE!$A$6:$A$10008,$AQ$2,PURCHASE!$H$6:$H$10008,$A$4:$A$2700)</f>
        <v>0</v>
      </c>
      <c r="AT99" s="512">
        <f>SUMIFS(PURCHASE!$M$6:$M$10008,PURCHASE!$A$6:$A$10008,$AQ$2,PURCHASE!$H$6:$H$10008,$A$4:$A$2700)</f>
        <v>0</v>
      </c>
      <c r="AU99" s="512">
        <f>SUMIFS(PURCHASE!$N$6:$N$10008,PURCHASE!$A$6:$A$10008,$AQ$2,PURCHASE!$H$6:$H$10008,$A$4:$A$2700)</f>
        <v>0</v>
      </c>
      <c r="AV99" s="512">
        <f t="shared" si="37"/>
        <v>0</v>
      </c>
      <c r="AW99" s="512">
        <f>SUMIFS(PURCHASE!$K$6:$K$10008,PURCHASE!$A$6:$A$10008,$AV$2,PURCHASE!$H$6:$H$10008,$A$4:$A$2700)</f>
        <v>0</v>
      </c>
      <c r="AX99" s="512">
        <f>SUMIFS(PURCHASE!$L$6:$L$10008,PURCHASE!$A$6:$A$10008,$AV$2,PURCHASE!$H$6:$H$10008,$A$4:$A$2700)</f>
        <v>0</v>
      </c>
      <c r="AY99" s="512">
        <f>SUMIFS(PURCHASE!$M$6:$M$10008,PURCHASE!$A$6:$A$10008,$AV$2,PURCHASE!$H$6:$H$10008,$A$4:$A$2700)</f>
        <v>0</v>
      </c>
      <c r="AZ99" s="512">
        <f>SUMIFS(PURCHASE!$N$6:$N$10008,PURCHASE!$A$6:$A$10008,$AV$2,PURCHASE!$H$6:$H$10008,$A$4:$A$2700)</f>
        <v>0</v>
      </c>
      <c r="BA99" s="512">
        <f t="shared" si="38"/>
        <v>0</v>
      </c>
      <c r="BB99" s="512">
        <f>SUMIFS(PURCHASE!$K$6:$K$10008,PURCHASE!$A$6:$A$10008,$BA$2,PURCHASE!$H$6:$H$10008,$A$4:$A$2700)</f>
        <v>0</v>
      </c>
      <c r="BC99" s="512">
        <f>SUMIFS(PURCHASE!$L$6:$L$10008,PURCHASE!$A$6:$A$10008,$BA$2,PURCHASE!$H$6:$H$10008,$A$4:$A$2700)</f>
        <v>0</v>
      </c>
      <c r="BD99" s="512">
        <f>SUMIFS(PURCHASE!$M$6:$M$10008,PURCHASE!$A$6:$A$10008,$BA$2,PURCHASE!$H$6:$H$10008,$A$4:$A$2700)</f>
        <v>0</v>
      </c>
      <c r="BE99" s="512">
        <f>SUMIFS(PURCHASE!$N$6:$N$10008,PURCHASE!$A$6:$A$10008,$BA$2,PURCHASE!$H$6:$H$10008,$A$4:$A$2700)</f>
        <v>0</v>
      </c>
      <c r="BF99" s="512">
        <f t="shared" si="39"/>
        <v>0</v>
      </c>
      <c r="BG99" s="512">
        <f>SUMIFS(PURCHASE!$K$6:$K$10008,PURCHASE!$A$6:$A$10008,$BF$2,PURCHASE!$H$6:$H$10008,$A$4:$A$2700)</f>
        <v>0</v>
      </c>
      <c r="BH99" s="512">
        <f>SUMIFS(PURCHASE!$L$6:$L$10008,PURCHASE!$A$6:$A$10008,$BF$2,PURCHASE!$H$6:$H$10008,$A$4:$A$2700)</f>
        <v>0</v>
      </c>
      <c r="BI99" s="512">
        <f>SUMIFS(PURCHASE!$M$6:$M$10008,PURCHASE!$A$6:$A$10008,$BF$2,PURCHASE!$H$6:$H$10008,$A$4:$A$2700)</f>
        <v>0</v>
      </c>
      <c r="BJ99" s="512">
        <f>SUMIFS(PURCHASE!$N$6:$N$10008,PURCHASE!$A$6:$A$10008,$BF$2,PURCHASE!$H$6:$H$10008,$A$4:$A$2700)</f>
        <v>0</v>
      </c>
      <c r="BK99" s="72">
        <f t="shared" si="23"/>
        <v>591.18000000000006</v>
      </c>
      <c r="BL99" s="72">
        <f t="shared" si="24"/>
        <v>501</v>
      </c>
      <c r="BM99" s="72">
        <f t="shared" si="25"/>
        <v>0</v>
      </c>
      <c r="BN99" s="72">
        <f t="shared" si="26"/>
        <v>45.089999999999996</v>
      </c>
      <c r="BO99" s="72">
        <f t="shared" si="27"/>
        <v>45.089999999999996</v>
      </c>
    </row>
    <row r="100" spans="1:67" x14ac:dyDescent="0.2">
      <c r="A100" s="511">
        <v>29214990</v>
      </c>
      <c r="B100" s="500" t="s">
        <v>1263</v>
      </c>
      <c r="C100" s="512">
        <f t="shared" si="28"/>
        <v>0</v>
      </c>
      <c r="D100" s="512">
        <f>SUMIFS(PURCHASE!$K$6:$K$10008,PURCHASE!$A$6:$A$10008,$M$2,PURCHASE!$H$6:$H$10008,$A$4:$A$2700)</f>
        <v>0</v>
      </c>
      <c r="E100" s="512">
        <f>SUMIFS(PURCHASE!$L$6:$L$10008,PURCHASE!$A$6:$A$10008,$M$2,PURCHASE!$H$6:$H$10008,$A$4:$A$2700)</f>
        <v>0</v>
      </c>
      <c r="F100" s="512">
        <f>SUMIFS(PURCHASE!$M$6:$M$10008,PURCHASE!$A$6:$A$10008,$M$2,PURCHASE!$H$6:$H$10008,$A$4:$A$2700)</f>
        <v>0</v>
      </c>
      <c r="G100" s="512">
        <f>SUMIFS(PURCHASE!$N$6:$N$10008,PURCHASE!$A$6:$A$10008,$M$2,PURCHASE!$H$6:$H$10008,$A$4:$A$2700)</f>
        <v>0</v>
      </c>
      <c r="H100" s="512">
        <f t="shared" si="29"/>
        <v>0</v>
      </c>
      <c r="I100" s="512">
        <f>SUMIFS(PURCHASE!$K$6:$K$10008,PURCHASE!$A$6:$A$10008,$H$2,PURCHASE!$H$6:$H$10008,$A$4:$A$2700)</f>
        <v>0</v>
      </c>
      <c r="J100" s="512">
        <f>SUMIFS(PURCHASE!$L$6:$L$10008,PURCHASE!$A$6:$A$10008,$H$2,PURCHASE!$H$6:$H$10008,$A$4:$A$2700)</f>
        <v>0</v>
      </c>
      <c r="K100" s="512">
        <f>SUMIFS(PURCHASE!$M$6:$M$10008,PURCHASE!$A$6:$A$10008,$H$2,PURCHASE!$H$6:$H$10008,$A$4:$A$2700)</f>
        <v>0</v>
      </c>
      <c r="L100" s="512">
        <f>SUMIFS(PURCHASE!$N$6:$N$10008,PURCHASE!$A$6:$A$10008,$H$2,PURCHASE!$H$6:$H$10008,$A$4:$A$2700)</f>
        <v>0</v>
      </c>
      <c r="M100" s="512">
        <f t="shared" si="30"/>
        <v>0</v>
      </c>
      <c r="N100" s="512">
        <f>SUMIFS(PURCHASE!$K$6:$K$10008,PURCHASE!$A$6:$A$10008,$M$2,PURCHASE!$H$6:$H$10008,$A$4:$A$2700)</f>
        <v>0</v>
      </c>
      <c r="O100" s="512">
        <f>SUMIFS(PURCHASE!$L$6:$L$10008,PURCHASE!$A$6:$A$10008,$M$2,PURCHASE!$H$6:$H$10008,$A$4:$A$2700)</f>
        <v>0</v>
      </c>
      <c r="P100" s="512">
        <f>SUMIFS(PURCHASE!$M$6:$M$10008,PURCHASE!$A$6:$A$10008,$M$2,PURCHASE!$H$6:$H$10008,$A$4:$A$2700)</f>
        <v>0</v>
      </c>
      <c r="Q100" s="512">
        <f>SUMIFS(PURCHASE!$N$6:$N$10008,PURCHASE!$A$6:$A$10008,$M$2,PURCHASE!$H$6:$H$10008,$A$4:$A$2700)</f>
        <v>0</v>
      </c>
      <c r="R100" s="512">
        <f t="shared" si="31"/>
        <v>0</v>
      </c>
      <c r="S100" s="512">
        <f>SUMIFS(PURCHASE!$K$6:$K$10008,PURCHASE!$A$6:$A$10008,$R$2,PURCHASE!$H$6:$H$10008,$A$4:$A$2700)</f>
        <v>0</v>
      </c>
      <c r="T100" s="512">
        <f>SUMIFS(PURCHASE!$L$6:$L$10008,PURCHASE!$A$6:$A$10008,$R$2,PURCHASE!$H$6:$H$10008,$A$4:$A$2700)</f>
        <v>0</v>
      </c>
      <c r="U100" s="512">
        <f>SUMIFS(PURCHASE!$M$6:$M$10008,PURCHASE!$A$6:$A$10008,$R$2,PURCHASE!$H$6:$H$10008,$A$4:$A$2700)</f>
        <v>0</v>
      </c>
      <c r="V100" s="512">
        <f>SUMIFS(PURCHASE!$N$6:$N$10008,PURCHASE!$A$6:$A$10008,$R$2,PURCHASE!$H$6:$H$10008,$A$4:$A$2700)</f>
        <v>0</v>
      </c>
      <c r="W100" s="512">
        <f t="shared" si="32"/>
        <v>0</v>
      </c>
      <c r="X100" s="512">
        <f>SUMIFS(PURCHASE!$K$6:$K$10008,PURCHASE!$A$6:$A$10008,$W$2,PURCHASE!$H$6:$H$10008,$A$4:$A$2700)</f>
        <v>0</v>
      </c>
      <c r="Y100" s="512">
        <f>SUMIFS(PURCHASE!$L$6:$L$10008,PURCHASE!$A$6:$A$10008,$W$2,PURCHASE!$H$6:$H$10008,$A$4:$A$2700)</f>
        <v>0</v>
      </c>
      <c r="Z100" s="512">
        <f>SUMIFS(PURCHASE!$M$6:$M$10008,PURCHASE!$A$6:$A$10008,$W$2,PURCHASE!$H$6:$H$10008,$A$4:$A$2700)</f>
        <v>0</v>
      </c>
      <c r="AA100" s="512">
        <f>SUMIFS(PURCHASE!$N$6:$N$10008,PURCHASE!$A$6:$A$10008,$W$2,PURCHASE!$H$6:$H$10008,$A$4:$A$2700)</f>
        <v>0</v>
      </c>
      <c r="AB100" s="512">
        <f t="shared" si="33"/>
        <v>0</v>
      </c>
      <c r="AC100" s="512">
        <f>SUMIFS(PURCHASE!$K$6:$K$10008,PURCHASE!$A$6:$A$10008,$AB$2,PURCHASE!$H$6:$H$10008,$A$4:$A$2700)</f>
        <v>0</v>
      </c>
      <c r="AD100" s="512">
        <f>SUMIFS(PURCHASE!$L$6:$L$10008,PURCHASE!$A$6:$A$10008,$AB$2,PURCHASE!$H$6:$H$10008,$A$4:$A$2700)</f>
        <v>0</v>
      </c>
      <c r="AE100" s="512">
        <f>SUMIFS(PURCHASE!$M$6:$M$10008,PURCHASE!$A$6:$A$10008,$AB$2,PURCHASE!$H$6:$H$10008,$A$4:$A$2700)</f>
        <v>0</v>
      </c>
      <c r="AF100" s="512">
        <f>SUMIFS(PURCHASE!$N$6:$N$10008,PURCHASE!$A$6:$A$10008,$AB$2,PURCHASE!$H$6:$H$10008,$A$4:$A$2700)</f>
        <v>0</v>
      </c>
      <c r="AG100" s="512">
        <f t="shared" si="34"/>
        <v>0</v>
      </c>
      <c r="AH100" s="512">
        <f>SUMIFS(PURCHASE!$K$6:$K$10008,PURCHASE!$A$6:$A$10008,$AG$2,PURCHASE!$H$6:$H$10008,$A$4:$A$2700)</f>
        <v>0</v>
      </c>
      <c r="AI100" s="512">
        <f>SUMIFS(PURCHASE!$L$6:$L$10008,PURCHASE!$A$6:$A$10008,$AG$2,PURCHASE!$H$6:$H$10008,$A$4:$A$2700)</f>
        <v>0</v>
      </c>
      <c r="AJ100" s="512">
        <f>SUMIFS(PURCHASE!$M$6:$M$10008,PURCHASE!$A$6:$A$10008,$AG$2,PURCHASE!$H$6:$H$10008,$A$4:$A$2700)</f>
        <v>0</v>
      </c>
      <c r="AK100" s="512">
        <f>SUMIFS(PURCHASE!$N$6:$N$10008,PURCHASE!$A$6:$A$10008,$AG$2,PURCHASE!$H$6:$H$10008,$A$4:$A$2700)</f>
        <v>0</v>
      </c>
      <c r="AL100" s="512">
        <f t="shared" si="35"/>
        <v>0</v>
      </c>
      <c r="AM100" s="512">
        <f>SUMIFS(PURCHASE!$K$6:$K$10008,PURCHASE!$A$6:$A$10008,$AL$2,PURCHASE!$H$6:$H$10008,$A$4:$A$2700)</f>
        <v>0</v>
      </c>
      <c r="AN100" s="512">
        <f>SUMIFS(PURCHASE!$L$6:$L$10008,PURCHASE!$A$6:$A$10008,$AL$2,PURCHASE!$H$6:$H$10008,$A$4:$A$2700)</f>
        <v>0</v>
      </c>
      <c r="AO100" s="512">
        <f>SUMIFS(PURCHASE!$M$6:$M$10008,PURCHASE!$A$6:$A$10008,$AL$2,PURCHASE!$H$6:$H$10008,$A$4:$A$2700)</f>
        <v>0</v>
      </c>
      <c r="AP100" s="512">
        <f>SUMIFS(PURCHASE!$N$6:$N$10008,PURCHASE!$A$6:$A$10008,$AL$2,PURCHASE!$H$6:$H$10008,$A$4:$A$2700)</f>
        <v>0</v>
      </c>
      <c r="AQ100" s="512">
        <f t="shared" si="36"/>
        <v>0</v>
      </c>
      <c r="AR100" s="512">
        <f>SUMIFS(PURCHASE!$K$6:$K$10008,PURCHASE!$A$6:$A$10008,$AQ$2,PURCHASE!$H$6:$H$10008,$A$4:$A$2700)</f>
        <v>0</v>
      </c>
      <c r="AS100" s="512">
        <f>SUMIFS(PURCHASE!$L$6:$L$10008,PURCHASE!$A$6:$A$10008,$AQ$2,PURCHASE!$H$6:$H$10008,$A$4:$A$2700)</f>
        <v>0</v>
      </c>
      <c r="AT100" s="512">
        <f>SUMIFS(PURCHASE!$M$6:$M$10008,PURCHASE!$A$6:$A$10008,$AQ$2,PURCHASE!$H$6:$H$10008,$A$4:$A$2700)</f>
        <v>0</v>
      </c>
      <c r="AU100" s="512">
        <f>SUMIFS(PURCHASE!$N$6:$N$10008,PURCHASE!$A$6:$A$10008,$AQ$2,PURCHASE!$H$6:$H$10008,$A$4:$A$2700)</f>
        <v>0</v>
      </c>
      <c r="AV100" s="512">
        <f t="shared" si="37"/>
        <v>0</v>
      </c>
      <c r="AW100" s="512">
        <f>SUMIFS(PURCHASE!$K$6:$K$10008,PURCHASE!$A$6:$A$10008,$AV$2,PURCHASE!$H$6:$H$10008,$A$4:$A$2700)</f>
        <v>0</v>
      </c>
      <c r="AX100" s="512">
        <f>SUMIFS(PURCHASE!$L$6:$L$10008,PURCHASE!$A$6:$A$10008,$AV$2,PURCHASE!$H$6:$H$10008,$A$4:$A$2700)</f>
        <v>0</v>
      </c>
      <c r="AY100" s="512">
        <f>SUMIFS(PURCHASE!$M$6:$M$10008,PURCHASE!$A$6:$A$10008,$AV$2,PURCHASE!$H$6:$H$10008,$A$4:$A$2700)</f>
        <v>0</v>
      </c>
      <c r="AZ100" s="512">
        <f>SUMIFS(PURCHASE!$N$6:$N$10008,PURCHASE!$A$6:$A$10008,$AV$2,PURCHASE!$H$6:$H$10008,$A$4:$A$2700)</f>
        <v>0</v>
      </c>
      <c r="BA100" s="512">
        <f t="shared" si="38"/>
        <v>0</v>
      </c>
      <c r="BB100" s="512">
        <f>SUMIFS(PURCHASE!$K$6:$K$10008,PURCHASE!$A$6:$A$10008,$BA$2,PURCHASE!$H$6:$H$10008,$A$4:$A$2700)</f>
        <v>0</v>
      </c>
      <c r="BC100" s="512">
        <f>SUMIFS(PURCHASE!$L$6:$L$10008,PURCHASE!$A$6:$A$10008,$BA$2,PURCHASE!$H$6:$H$10008,$A$4:$A$2700)</f>
        <v>0</v>
      </c>
      <c r="BD100" s="512">
        <f>SUMIFS(PURCHASE!$M$6:$M$10008,PURCHASE!$A$6:$A$10008,$BA$2,PURCHASE!$H$6:$H$10008,$A$4:$A$2700)</f>
        <v>0</v>
      </c>
      <c r="BE100" s="512">
        <f>SUMIFS(PURCHASE!$N$6:$N$10008,PURCHASE!$A$6:$A$10008,$BA$2,PURCHASE!$H$6:$H$10008,$A$4:$A$2700)</f>
        <v>0</v>
      </c>
      <c r="BF100" s="512">
        <f t="shared" si="39"/>
        <v>0</v>
      </c>
      <c r="BG100" s="512">
        <f>SUMIFS(PURCHASE!$K$6:$K$10008,PURCHASE!$A$6:$A$10008,$BF$2,PURCHASE!$H$6:$H$10008,$A$4:$A$2700)</f>
        <v>0</v>
      </c>
      <c r="BH100" s="512">
        <f>SUMIFS(PURCHASE!$L$6:$L$10008,PURCHASE!$A$6:$A$10008,$BF$2,PURCHASE!$H$6:$H$10008,$A$4:$A$2700)</f>
        <v>0</v>
      </c>
      <c r="BI100" s="512">
        <f>SUMIFS(PURCHASE!$M$6:$M$10008,PURCHASE!$A$6:$A$10008,$BF$2,PURCHASE!$H$6:$H$10008,$A$4:$A$2700)</f>
        <v>0</v>
      </c>
      <c r="BJ100" s="512">
        <f>SUMIFS(PURCHASE!$N$6:$N$10008,PURCHASE!$A$6:$A$10008,$BF$2,PURCHASE!$H$6:$H$10008,$A$4:$A$2700)</f>
        <v>0</v>
      </c>
      <c r="BK100" s="72">
        <f t="shared" si="23"/>
        <v>0</v>
      </c>
      <c r="BL100" s="72">
        <f t="shared" si="24"/>
        <v>0</v>
      </c>
      <c r="BM100" s="72">
        <f t="shared" si="25"/>
        <v>0</v>
      </c>
      <c r="BN100" s="72">
        <f t="shared" si="26"/>
        <v>0</v>
      </c>
      <c r="BO100" s="72">
        <f t="shared" si="27"/>
        <v>0</v>
      </c>
    </row>
    <row r="101" spans="1:67" x14ac:dyDescent="0.2">
      <c r="A101" s="511">
        <v>32081090</v>
      </c>
      <c r="B101" s="467" t="s">
        <v>273</v>
      </c>
      <c r="C101" s="512">
        <f t="shared" si="28"/>
        <v>16425.599999999999</v>
      </c>
      <c r="D101" s="512">
        <f>SUMIFS(PURCHASE!$K$6:$K$10008,PURCHASE!$A$6:$A$10008,$M$2,PURCHASE!$H$6:$H$10008,$A$4:$A$2700)</f>
        <v>13920</v>
      </c>
      <c r="E101" s="512">
        <f>SUMIFS(PURCHASE!$L$6:$L$10008,PURCHASE!$A$6:$A$10008,$M$2,PURCHASE!$H$6:$H$10008,$A$4:$A$2700)</f>
        <v>0</v>
      </c>
      <c r="F101" s="512">
        <f>SUMIFS(PURCHASE!$M$6:$M$10008,PURCHASE!$A$6:$A$10008,$M$2,PURCHASE!$H$6:$H$10008,$A$4:$A$2700)</f>
        <v>1252.8</v>
      </c>
      <c r="G101" s="512">
        <f>SUMIFS(PURCHASE!$N$6:$N$10008,PURCHASE!$A$6:$A$10008,$M$2,PURCHASE!$H$6:$H$10008,$A$4:$A$2700)</f>
        <v>1252.8</v>
      </c>
      <c r="H101" s="512">
        <f t="shared" si="29"/>
        <v>7221.6</v>
      </c>
      <c r="I101" s="512">
        <f>SUMIFS(PURCHASE!$K$6:$K$10008,PURCHASE!$A$6:$A$10008,$H$2,PURCHASE!$H$6:$H$10008,$A$4:$A$2700)</f>
        <v>6120</v>
      </c>
      <c r="J101" s="512">
        <f>SUMIFS(PURCHASE!$L$6:$L$10008,PURCHASE!$A$6:$A$10008,$H$2,PURCHASE!$H$6:$H$10008,$A$4:$A$2700)</f>
        <v>0</v>
      </c>
      <c r="K101" s="512">
        <f>SUMIFS(PURCHASE!$M$6:$M$10008,PURCHASE!$A$6:$A$10008,$H$2,PURCHASE!$H$6:$H$10008,$A$4:$A$2700)</f>
        <v>550.80000000000007</v>
      </c>
      <c r="L101" s="512">
        <f>SUMIFS(PURCHASE!$N$6:$N$10008,PURCHASE!$A$6:$A$10008,$H$2,PURCHASE!$H$6:$H$10008,$A$4:$A$2700)</f>
        <v>550.80000000000007</v>
      </c>
      <c r="M101" s="512">
        <f t="shared" si="30"/>
        <v>16425.599999999999</v>
      </c>
      <c r="N101" s="512">
        <f>SUMIFS(PURCHASE!$K$6:$K$10008,PURCHASE!$A$6:$A$10008,$M$2,PURCHASE!$H$6:$H$10008,$A$4:$A$2700)</f>
        <v>13920</v>
      </c>
      <c r="O101" s="512">
        <f>SUMIFS(PURCHASE!$L$6:$L$10008,PURCHASE!$A$6:$A$10008,$M$2,PURCHASE!$H$6:$H$10008,$A$4:$A$2700)</f>
        <v>0</v>
      </c>
      <c r="P101" s="512">
        <f>SUMIFS(PURCHASE!$M$6:$M$10008,PURCHASE!$A$6:$A$10008,$M$2,PURCHASE!$H$6:$H$10008,$A$4:$A$2700)</f>
        <v>1252.8</v>
      </c>
      <c r="Q101" s="512">
        <f>SUMIFS(PURCHASE!$N$6:$N$10008,PURCHASE!$A$6:$A$10008,$M$2,PURCHASE!$H$6:$H$10008,$A$4:$A$2700)</f>
        <v>1252.8</v>
      </c>
      <c r="R101" s="512">
        <f t="shared" si="31"/>
        <v>9628.7999999999993</v>
      </c>
      <c r="S101" s="512">
        <f>SUMIFS(PURCHASE!$K$6:$K$10008,PURCHASE!$A$6:$A$10008,$R$2,PURCHASE!$H$6:$H$10008,$A$4:$A$2700)</f>
        <v>8160</v>
      </c>
      <c r="T101" s="512">
        <f>SUMIFS(PURCHASE!$L$6:$L$10008,PURCHASE!$A$6:$A$10008,$R$2,PURCHASE!$H$6:$H$10008,$A$4:$A$2700)</f>
        <v>0</v>
      </c>
      <c r="U101" s="512">
        <f>SUMIFS(PURCHASE!$M$6:$M$10008,PURCHASE!$A$6:$A$10008,$R$2,PURCHASE!$H$6:$H$10008,$A$4:$A$2700)</f>
        <v>734.4</v>
      </c>
      <c r="V101" s="512">
        <f>SUMIFS(PURCHASE!$N$6:$N$10008,PURCHASE!$A$6:$A$10008,$R$2,PURCHASE!$H$6:$H$10008,$A$4:$A$2700)</f>
        <v>734.4</v>
      </c>
      <c r="W101" s="512">
        <f t="shared" si="32"/>
        <v>77408</v>
      </c>
      <c r="X101" s="512">
        <f>SUMIFS(PURCHASE!$K$6:$K$10008,PURCHASE!$A$6:$A$10008,$W$2,PURCHASE!$H$6:$H$10008,$A$4:$A$2700)</f>
        <v>65600</v>
      </c>
      <c r="Y101" s="512">
        <f>SUMIFS(PURCHASE!$L$6:$L$10008,PURCHASE!$A$6:$A$10008,$W$2,PURCHASE!$H$6:$H$10008,$A$4:$A$2700)</f>
        <v>0</v>
      </c>
      <c r="Z101" s="512">
        <f>SUMIFS(PURCHASE!$M$6:$M$10008,PURCHASE!$A$6:$A$10008,$W$2,PURCHASE!$H$6:$H$10008,$A$4:$A$2700)</f>
        <v>5904</v>
      </c>
      <c r="AA101" s="512">
        <f>SUMIFS(PURCHASE!$N$6:$N$10008,PURCHASE!$A$6:$A$10008,$W$2,PURCHASE!$H$6:$H$10008,$A$4:$A$2700)</f>
        <v>5904</v>
      </c>
      <c r="AB101" s="512">
        <f t="shared" si="33"/>
        <v>10950.400000000001</v>
      </c>
      <c r="AC101" s="512">
        <f>SUMIFS(PURCHASE!$K$6:$K$10008,PURCHASE!$A$6:$A$10008,$AB$2,PURCHASE!$H$6:$H$10008,$A$4:$A$2700)</f>
        <v>9280</v>
      </c>
      <c r="AD101" s="512">
        <f>SUMIFS(PURCHASE!$L$6:$L$10008,PURCHASE!$A$6:$A$10008,$AB$2,PURCHASE!$H$6:$H$10008,$A$4:$A$2700)</f>
        <v>0</v>
      </c>
      <c r="AE101" s="512">
        <f>SUMIFS(PURCHASE!$M$6:$M$10008,PURCHASE!$A$6:$A$10008,$AB$2,PURCHASE!$H$6:$H$10008,$A$4:$A$2700)</f>
        <v>835.19999999999993</v>
      </c>
      <c r="AF101" s="512">
        <f>SUMIFS(PURCHASE!$N$6:$N$10008,PURCHASE!$A$6:$A$10008,$AB$2,PURCHASE!$H$6:$H$10008,$A$4:$A$2700)</f>
        <v>835.19999999999993</v>
      </c>
      <c r="AG101" s="512">
        <f t="shared" si="34"/>
        <v>0</v>
      </c>
      <c r="AH101" s="512">
        <f>SUMIFS(PURCHASE!$K$6:$K$10008,PURCHASE!$A$6:$A$10008,$AG$2,PURCHASE!$H$6:$H$10008,$A$4:$A$2700)</f>
        <v>0</v>
      </c>
      <c r="AI101" s="512">
        <f>SUMIFS(PURCHASE!$L$6:$L$10008,PURCHASE!$A$6:$A$10008,$AG$2,PURCHASE!$H$6:$H$10008,$A$4:$A$2700)</f>
        <v>0</v>
      </c>
      <c r="AJ101" s="512">
        <f>SUMIFS(PURCHASE!$M$6:$M$10008,PURCHASE!$A$6:$A$10008,$AG$2,PURCHASE!$H$6:$H$10008,$A$4:$A$2700)</f>
        <v>0</v>
      </c>
      <c r="AK101" s="512">
        <f>SUMIFS(PURCHASE!$N$6:$N$10008,PURCHASE!$A$6:$A$10008,$AG$2,PURCHASE!$H$6:$H$10008,$A$4:$A$2700)</f>
        <v>0</v>
      </c>
      <c r="AL101" s="512">
        <f t="shared" si="35"/>
        <v>0</v>
      </c>
      <c r="AM101" s="512">
        <f>SUMIFS(PURCHASE!$K$6:$K$10008,PURCHASE!$A$6:$A$10008,$AL$2,PURCHASE!$H$6:$H$10008,$A$4:$A$2700)</f>
        <v>0</v>
      </c>
      <c r="AN101" s="512">
        <f>SUMIFS(PURCHASE!$L$6:$L$10008,PURCHASE!$A$6:$A$10008,$AL$2,PURCHASE!$H$6:$H$10008,$A$4:$A$2700)</f>
        <v>0</v>
      </c>
      <c r="AO101" s="512">
        <f>SUMIFS(PURCHASE!$M$6:$M$10008,PURCHASE!$A$6:$A$10008,$AL$2,PURCHASE!$H$6:$H$10008,$A$4:$A$2700)</f>
        <v>0</v>
      </c>
      <c r="AP101" s="512">
        <f>SUMIFS(PURCHASE!$N$6:$N$10008,PURCHASE!$A$6:$A$10008,$AL$2,PURCHASE!$H$6:$H$10008,$A$4:$A$2700)</f>
        <v>0</v>
      </c>
      <c r="AQ101" s="512">
        <f t="shared" si="36"/>
        <v>0</v>
      </c>
      <c r="AR101" s="512">
        <f>SUMIFS(PURCHASE!$K$6:$K$10008,PURCHASE!$A$6:$A$10008,$AQ$2,PURCHASE!$H$6:$H$10008,$A$4:$A$2700)</f>
        <v>0</v>
      </c>
      <c r="AS101" s="512">
        <f>SUMIFS(PURCHASE!$L$6:$L$10008,PURCHASE!$A$6:$A$10008,$AQ$2,PURCHASE!$H$6:$H$10008,$A$4:$A$2700)</f>
        <v>0</v>
      </c>
      <c r="AT101" s="512">
        <f>SUMIFS(PURCHASE!$M$6:$M$10008,PURCHASE!$A$6:$A$10008,$AQ$2,PURCHASE!$H$6:$H$10008,$A$4:$A$2700)</f>
        <v>0</v>
      </c>
      <c r="AU101" s="512">
        <f>SUMIFS(PURCHASE!$N$6:$N$10008,PURCHASE!$A$6:$A$10008,$AQ$2,PURCHASE!$H$6:$H$10008,$A$4:$A$2700)</f>
        <v>0</v>
      </c>
      <c r="AV101" s="512">
        <f t="shared" si="37"/>
        <v>27564.800000000003</v>
      </c>
      <c r="AW101" s="512">
        <f>SUMIFS(PURCHASE!$K$6:$K$10008,PURCHASE!$A$6:$A$10008,$AV$2,PURCHASE!$H$6:$H$10008,$A$4:$A$2700)</f>
        <v>23360</v>
      </c>
      <c r="AX101" s="512">
        <f>SUMIFS(PURCHASE!$L$6:$L$10008,PURCHASE!$A$6:$A$10008,$AV$2,PURCHASE!$H$6:$H$10008,$A$4:$A$2700)</f>
        <v>0</v>
      </c>
      <c r="AY101" s="512">
        <f>SUMIFS(PURCHASE!$M$6:$M$10008,PURCHASE!$A$6:$A$10008,$AV$2,PURCHASE!$H$6:$H$10008,$A$4:$A$2700)</f>
        <v>2102.3999999999996</v>
      </c>
      <c r="AZ101" s="512">
        <f>SUMIFS(PURCHASE!$N$6:$N$10008,PURCHASE!$A$6:$A$10008,$AV$2,PURCHASE!$H$6:$H$10008,$A$4:$A$2700)</f>
        <v>2102.3999999999996</v>
      </c>
      <c r="BA101" s="512">
        <f t="shared" si="38"/>
        <v>0</v>
      </c>
      <c r="BB101" s="512">
        <f>SUMIFS(PURCHASE!$K$6:$K$10008,PURCHASE!$A$6:$A$10008,$BA$2,PURCHASE!$H$6:$H$10008,$A$4:$A$2700)</f>
        <v>0</v>
      </c>
      <c r="BC101" s="512">
        <f>SUMIFS(PURCHASE!$L$6:$L$10008,PURCHASE!$A$6:$A$10008,$BA$2,PURCHASE!$H$6:$H$10008,$A$4:$A$2700)</f>
        <v>0</v>
      </c>
      <c r="BD101" s="512">
        <f>SUMIFS(PURCHASE!$M$6:$M$10008,PURCHASE!$A$6:$A$10008,$BA$2,PURCHASE!$H$6:$H$10008,$A$4:$A$2700)</f>
        <v>0</v>
      </c>
      <c r="BE101" s="512">
        <f>SUMIFS(PURCHASE!$N$6:$N$10008,PURCHASE!$A$6:$A$10008,$BA$2,PURCHASE!$H$6:$H$10008,$A$4:$A$2700)</f>
        <v>0</v>
      </c>
      <c r="BF101" s="512">
        <f t="shared" si="39"/>
        <v>0</v>
      </c>
      <c r="BG101" s="512">
        <f>SUMIFS(PURCHASE!$K$6:$K$10008,PURCHASE!$A$6:$A$10008,$BF$2,PURCHASE!$H$6:$H$10008,$A$4:$A$2700)</f>
        <v>0</v>
      </c>
      <c r="BH101" s="512">
        <f>SUMIFS(PURCHASE!$L$6:$L$10008,PURCHASE!$A$6:$A$10008,$BF$2,PURCHASE!$H$6:$H$10008,$A$4:$A$2700)</f>
        <v>0</v>
      </c>
      <c r="BI101" s="512">
        <f>SUMIFS(PURCHASE!$M$6:$M$10008,PURCHASE!$A$6:$A$10008,$BF$2,PURCHASE!$H$6:$H$10008,$A$4:$A$2700)</f>
        <v>0</v>
      </c>
      <c r="BJ101" s="512">
        <f>SUMIFS(PURCHASE!$N$6:$N$10008,PURCHASE!$A$6:$A$10008,$BF$2,PURCHASE!$H$6:$H$10008,$A$4:$A$2700)</f>
        <v>0</v>
      </c>
      <c r="BK101" s="72">
        <f t="shared" si="23"/>
        <v>165624.79999999999</v>
      </c>
      <c r="BL101" s="72">
        <f t="shared" si="24"/>
        <v>140360</v>
      </c>
      <c r="BM101" s="72">
        <f t="shared" si="25"/>
        <v>0</v>
      </c>
      <c r="BN101" s="72">
        <f t="shared" si="26"/>
        <v>12632.4</v>
      </c>
      <c r="BO101" s="72">
        <f t="shared" si="27"/>
        <v>12632.4</v>
      </c>
    </row>
    <row r="102" spans="1:67" x14ac:dyDescent="0.2">
      <c r="A102" s="511">
        <v>32082090</v>
      </c>
      <c r="B102" s="467" t="s">
        <v>273</v>
      </c>
      <c r="C102" s="512">
        <f t="shared" si="28"/>
        <v>872240.66</v>
      </c>
      <c r="D102" s="512">
        <f>SUMIFS(PURCHASE!$K$6:$K$10008,PURCHASE!$A$6:$A$10008,$M$2,PURCHASE!$H$6:$H$10008,$A$4:$A$2700)</f>
        <v>739187</v>
      </c>
      <c r="E102" s="512">
        <f>SUMIFS(PURCHASE!$L$6:$L$10008,PURCHASE!$A$6:$A$10008,$M$2,PURCHASE!$H$6:$H$10008,$A$4:$A$2700)</f>
        <v>64331.64</v>
      </c>
      <c r="F102" s="512">
        <f>SUMIFS(PURCHASE!$M$6:$M$10008,PURCHASE!$A$6:$A$10008,$M$2,PURCHASE!$H$6:$H$10008,$A$4:$A$2700)</f>
        <v>34361.009999999995</v>
      </c>
      <c r="G102" s="512">
        <f>SUMIFS(PURCHASE!$N$6:$N$10008,PURCHASE!$A$6:$A$10008,$M$2,PURCHASE!$H$6:$H$10008,$A$4:$A$2700)</f>
        <v>34361.009999999995</v>
      </c>
      <c r="H102" s="512">
        <f t="shared" si="29"/>
        <v>204961.28000000003</v>
      </c>
      <c r="I102" s="512">
        <f>SUMIFS(PURCHASE!$K$6:$K$10008,PURCHASE!$A$6:$A$10008,$H$2,PURCHASE!$H$6:$H$10008,$A$4:$A$2700)</f>
        <v>173696</v>
      </c>
      <c r="J102" s="512">
        <f>SUMIFS(PURCHASE!$L$6:$L$10008,PURCHASE!$A$6:$A$10008,$H$2,PURCHASE!$H$6:$H$10008,$A$4:$A$2700)</f>
        <v>0</v>
      </c>
      <c r="K102" s="512">
        <f>SUMIFS(PURCHASE!$M$6:$M$10008,PURCHASE!$A$6:$A$10008,$H$2,PURCHASE!$H$6:$H$10008,$A$4:$A$2700)</f>
        <v>15632.640000000001</v>
      </c>
      <c r="L102" s="512">
        <f>SUMIFS(PURCHASE!$N$6:$N$10008,PURCHASE!$A$6:$A$10008,$H$2,PURCHASE!$H$6:$H$10008,$A$4:$A$2700)</f>
        <v>15632.640000000001</v>
      </c>
      <c r="M102" s="512">
        <f t="shared" si="30"/>
        <v>872240.66</v>
      </c>
      <c r="N102" s="512">
        <f>SUMIFS(PURCHASE!$K$6:$K$10008,PURCHASE!$A$6:$A$10008,$M$2,PURCHASE!$H$6:$H$10008,$A$4:$A$2700)</f>
        <v>739187</v>
      </c>
      <c r="O102" s="512">
        <f>SUMIFS(PURCHASE!$L$6:$L$10008,PURCHASE!$A$6:$A$10008,$M$2,PURCHASE!$H$6:$H$10008,$A$4:$A$2700)</f>
        <v>64331.64</v>
      </c>
      <c r="P102" s="512">
        <f>SUMIFS(PURCHASE!$M$6:$M$10008,PURCHASE!$A$6:$A$10008,$M$2,PURCHASE!$H$6:$H$10008,$A$4:$A$2700)</f>
        <v>34361.009999999995</v>
      </c>
      <c r="Q102" s="512">
        <f>SUMIFS(PURCHASE!$N$6:$N$10008,PURCHASE!$A$6:$A$10008,$M$2,PURCHASE!$H$6:$H$10008,$A$4:$A$2700)</f>
        <v>34361.009999999995</v>
      </c>
      <c r="R102" s="512">
        <f t="shared" si="31"/>
        <v>897246.04</v>
      </c>
      <c r="S102" s="512">
        <f>SUMIFS(PURCHASE!$K$6:$K$10008,PURCHASE!$A$6:$A$10008,$R$2,PURCHASE!$H$6:$H$10008,$A$4:$A$2700)</f>
        <v>760378</v>
      </c>
      <c r="T102" s="512">
        <f>SUMIFS(PURCHASE!$L$6:$L$10008,PURCHASE!$A$6:$A$10008,$R$2,PURCHASE!$H$6:$H$10008,$A$4:$A$2700)</f>
        <v>0</v>
      </c>
      <c r="U102" s="512">
        <f>SUMIFS(PURCHASE!$M$6:$M$10008,PURCHASE!$A$6:$A$10008,$R$2,PURCHASE!$H$6:$H$10008,$A$4:$A$2700)</f>
        <v>68434.02</v>
      </c>
      <c r="V102" s="512">
        <f>SUMIFS(PURCHASE!$N$6:$N$10008,PURCHASE!$A$6:$A$10008,$R$2,PURCHASE!$H$6:$H$10008,$A$4:$A$2700)</f>
        <v>68434.02</v>
      </c>
      <c r="W102" s="512">
        <f t="shared" si="32"/>
        <v>244059.40000000002</v>
      </c>
      <c r="X102" s="512">
        <f>SUMIFS(PURCHASE!$K$6:$K$10008,PURCHASE!$A$6:$A$10008,$W$2,PURCHASE!$H$6:$H$10008,$A$4:$A$2700)</f>
        <v>206830</v>
      </c>
      <c r="Y102" s="512">
        <f>SUMIFS(PURCHASE!$L$6:$L$10008,PURCHASE!$A$6:$A$10008,$W$2,PURCHASE!$H$6:$H$10008,$A$4:$A$2700)</f>
        <v>0</v>
      </c>
      <c r="Z102" s="512">
        <f>SUMIFS(PURCHASE!$M$6:$M$10008,PURCHASE!$A$6:$A$10008,$W$2,PURCHASE!$H$6:$H$10008,$A$4:$A$2700)</f>
        <v>18614.700000000004</v>
      </c>
      <c r="AA102" s="512">
        <f>SUMIFS(PURCHASE!$N$6:$N$10008,PURCHASE!$A$6:$A$10008,$W$2,PURCHASE!$H$6:$H$10008,$A$4:$A$2700)</f>
        <v>18614.700000000004</v>
      </c>
      <c r="AB102" s="512">
        <f t="shared" si="33"/>
        <v>256935.56</v>
      </c>
      <c r="AC102" s="512">
        <f>SUMIFS(PURCHASE!$K$6:$K$10008,PURCHASE!$A$6:$A$10008,$AB$2,PURCHASE!$H$6:$H$10008,$A$4:$A$2700)</f>
        <v>217742</v>
      </c>
      <c r="AD102" s="512">
        <f>SUMIFS(PURCHASE!$L$6:$L$10008,PURCHASE!$A$6:$A$10008,$AB$2,PURCHASE!$H$6:$H$10008,$A$4:$A$2700)</f>
        <v>0</v>
      </c>
      <c r="AE102" s="512">
        <f>SUMIFS(PURCHASE!$M$6:$M$10008,PURCHASE!$A$6:$A$10008,$AB$2,PURCHASE!$H$6:$H$10008,$A$4:$A$2700)</f>
        <v>19596.78</v>
      </c>
      <c r="AF102" s="512">
        <f>SUMIFS(PURCHASE!$N$6:$N$10008,PURCHASE!$A$6:$A$10008,$AB$2,PURCHASE!$H$6:$H$10008,$A$4:$A$2700)</f>
        <v>19596.78</v>
      </c>
      <c r="AG102" s="512">
        <f t="shared" si="34"/>
        <v>414268.5</v>
      </c>
      <c r="AH102" s="512">
        <f>SUMIFS(PURCHASE!$K$6:$K$10008,PURCHASE!$A$6:$A$10008,$AG$2,PURCHASE!$H$6:$H$10008,$A$4:$A$2700)</f>
        <v>351075</v>
      </c>
      <c r="AI102" s="512">
        <f>SUMIFS(PURCHASE!$L$6:$L$10008,PURCHASE!$A$6:$A$10008,$AG$2,PURCHASE!$H$6:$H$10008,$A$4:$A$2700)</f>
        <v>0</v>
      </c>
      <c r="AJ102" s="512">
        <f>SUMIFS(PURCHASE!$M$6:$M$10008,PURCHASE!$A$6:$A$10008,$AG$2,PURCHASE!$H$6:$H$10008,$A$4:$A$2700)</f>
        <v>31596.749999999996</v>
      </c>
      <c r="AK102" s="512">
        <f>SUMIFS(PURCHASE!$N$6:$N$10008,PURCHASE!$A$6:$A$10008,$AG$2,PURCHASE!$H$6:$H$10008,$A$4:$A$2700)</f>
        <v>31596.749999999996</v>
      </c>
      <c r="AL102" s="512">
        <f t="shared" si="35"/>
        <v>223843.64</v>
      </c>
      <c r="AM102" s="512">
        <f>SUMIFS(PURCHASE!$K$6:$K$10008,PURCHASE!$A$6:$A$10008,$AL$2,PURCHASE!$H$6:$H$10008,$A$4:$A$2700)</f>
        <v>189698</v>
      </c>
      <c r="AN102" s="512">
        <f>SUMIFS(PURCHASE!$L$6:$L$10008,PURCHASE!$A$6:$A$10008,$AL$2,PURCHASE!$H$6:$H$10008,$A$4:$A$2700)</f>
        <v>0</v>
      </c>
      <c r="AO102" s="512">
        <f>SUMIFS(PURCHASE!$M$6:$M$10008,PURCHASE!$A$6:$A$10008,$AL$2,PURCHASE!$H$6:$H$10008,$A$4:$A$2700)</f>
        <v>17072.82</v>
      </c>
      <c r="AP102" s="512">
        <f>SUMIFS(PURCHASE!$N$6:$N$10008,PURCHASE!$A$6:$A$10008,$AL$2,PURCHASE!$H$6:$H$10008,$A$4:$A$2700)</f>
        <v>17072.82</v>
      </c>
      <c r="AQ102" s="512">
        <f t="shared" si="36"/>
        <v>82092.600000000006</v>
      </c>
      <c r="AR102" s="512">
        <f>SUMIFS(PURCHASE!$K$6:$K$10008,PURCHASE!$A$6:$A$10008,$AQ$2,PURCHASE!$H$6:$H$10008,$A$4:$A$2700)</f>
        <v>69570</v>
      </c>
      <c r="AS102" s="512">
        <f>SUMIFS(PURCHASE!$L$6:$L$10008,PURCHASE!$A$6:$A$10008,$AQ$2,PURCHASE!$H$6:$H$10008,$A$4:$A$2700)</f>
        <v>0</v>
      </c>
      <c r="AT102" s="512">
        <f>SUMIFS(PURCHASE!$M$6:$M$10008,PURCHASE!$A$6:$A$10008,$AQ$2,PURCHASE!$H$6:$H$10008,$A$4:$A$2700)</f>
        <v>6261.3</v>
      </c>
      <c r="AU102" s="512">
        <f>SUMIFS(PURCHASE!$N$6:$N$10008,PURCHASE!$A$6:$A$10008,$AQ$2,PURCHASE!$H$6:$H$10008,$A$4:$A$2700)</f>
        <v>6261.3</v>
      </c>
      <c r="AV102" s="512">
        <f t="shared" si="37"/>
        <v>135065.16</v>
      </c>
      <c r="AW102" s="512">
        <f>SUMIFS(PURCHASE!$K$6:$K$10008,PURCHASE!$A$6:$A$10008,$AV$2,PURCHASE!$H$6:$H$10008,$A$4:$A$2700)</f>
        <v>114462</v>
      </c>
      <c r="AX102" s="512">
        <f>SUMIFS(PURCHASE!$L$6:$L$10008,PURCHASE!$A$6:$A$10008,$AV$2,PURCHASE!$H$6:$H$10008,$A$4:$A$2700)</f>
        <v>0</v>
      </c>
      <c r="AY102" s="512">
        <f>SUMIFS(PURCHASE!$M$6:$M$10008,PURCHASE!$A$6:$A$10008,$AV$2,PURCHASE!$H$6:$H$10008,$A$4:$A$2700)</f>
        <v>10301.58</v>
      </c>
      <c r="AZ102" s="512">
        <f>SUMIFS(PURCHASE!$N$6:$N$10008,PURCHASE!$A$6:$A$10008,$AV$2,PURCHASE!$H$6:$H$10008,$A$4:$A$2700)</f>
        <v>10301.58</v>
      </c>
      <c r="BA102" s="512">
        <f t="shared" si="38"/>
        <v>0</v>
      </c>
      <c r="BB102" s="512">
        <f>SUMIFS(PURCHASE!$K$6:$K$10008,PURCHASE!$A$6:$A$10008,$BA$2,PURCHASE!$H$6:$H$10008,$A$4:$A$2700)</f>
        <v>0</v>
      </c>
      <c r="BC102" s="512">
        <f>SUMIFS(PURCHASE!$L$6:$L$10008,PURCHASE!$A$6:$A$10008,$BA$2,PURCHASE!$H$6:$H$10008,$A$4:$A$2700)</f>
        <v>0</v>
      </c>
      <c r="BD102" s="512">
        <f>SUMIFS(PURCHASE!$M$6:$M$10008,PURCHASE!$A$6:$A$10008,$BA$2,PURCHASE!$H$6:$H$10008,$A$4:$A$2700)</f>
        <v>0</v>
      </c>
      <c r="BE102" s="512">
        <f>SUMIFS(PURCHASE!$N$6:$N$10008,PURCHASE!$A$6:$A$10008,$BA$2,PURCHASE!$H$6:$H$10008,$A$4:$A$2700)</f>
        <v>0</v>
      </c>
      <c r="BF102" s="512">
        <f t="shared" si="39"/>
        <v>0</v>
      </c>
      <c r="BG102" s="512">
        <f>SUMIFS(PURCHASE!$K$6:$K$10008,PURCHASE!$A$6:$A$10008,$BF$2,PURCHASE!$H$6:$H$10008,$A$4:$A$2700)</f>
        <v>0</v>
      </c>
      <c r="BH102" s="512">
        <f>SUMIFS(PURCHASE!$L$6:$L$10008,PURCHASE!$A$6:$A$10008,$BF$2,PURCHASE!$H$6:$H$10008,$A$4:$A$2700)</f>
        <v>0</v>
      </c>
      <c r="BI102" s="512">
        <f>SUMIFS(PURCHASE!$M$6:$M$10008,PURCHASE!$A$6:$A$10008,$BF$2,PURCHASE!$H$6:$H$10008,$A$4:$A$2700)</f>
        <v>0</v>
      </c>
      <c r="BJ102" s="512">
        <f>SUMIFS(PURCHASE!$N$6:$N$10008,PURCHASE!$A$6:$A$10008,$BF$2,PURCHASE!$H$6:$H$10008,$A$4:$A$2700)</f>
        <v>0</v>
      </c>
      <c r="BK102" s="72">
        <f t="shared" si="23"/>
        <v>4202953.5</v>
      </c>
      <c r="BL102" s="72">
        <f t="shared" si="24"/>
        <v>3561825</v>
      </c>
      <c r="BM102" s="72">
        <f t="shared" si="25"/>
        <v>128663.28</v>
      </c>
      <c r="BN102" s="72">
        <f t="shared" si="26"/>
        <v>256232.61</v>
      </c>
      <c r="BO102" s="72">
        <f t="shared" si="27"/>
        <v>256232.61</v>
      </c>
    </row>
    <row r="103" spans="1:67" x14ac:dyDescent="0.2">
      <c r="A103" s="511">
        <v>32089022</v>
      </c>
      <c r="B103" s="467" t="s">
        <v>273</v>
      </c>
      <c r="C103" s="512">
        <f t="shared" si="28"/>
        <v>0</v>
      </c>
      <c r="D103" s="512">
        <f>SUMIFS(PURCHASE!$K$6:$K$10008,PURCHASE!$A$6:$A$10008,$M$2,PURCHASE!$H$6:$H$10008,$A$4:$A$2700)</f>
        <v>0</v>
      </c>
      <c r="E103" s="512">
        <f>SUMIFS(PURCHASE!$L$6:$L$10008,PURCHASE!$A$6:$A$10008,$M$2,PURCHASE!$H$6:$H$10008,$A$4:$A$2700)</f>
        <v>0</v>
      </c>
      <c r="F103" s="512">
        <f>SUMIFS(PURCHASE!$M$6:$M$10008,PURCHASE!$A$6:$A$10008,$M$2,PURCHASE!$H$6:$H$10008,$A$4:$A$2700)</f>
        <v>0</v>
      </c>
      <c r="G103" s="512">
        <f>SUMIFS(PURCHASE!$N$6:$N$10008,PURCHASE!$A$6:$A$10008,$M$2,PURCHASE!$H$6:$H$10008,$A$4:$A$2700)</f>
        <v>0</v>
      </c>
      <c r="H103" s="512">
        <f t="shared" si="29"/>
        <v>0</v>
      </c>
      <c r="I103" s="512">
        <f>SUMIFS(PURCHASE!$K$6:$K$10008,PURCHASE!$A$6:$A$10008,$H$2,PURCHASE!$H$6:$H$10008,$A$4:$A$2700)</f>
        <v>0</v>
      </c>
      <c r="J103" s="512">
        <f>SUMIFS(PURCHASE!$L$6:$L$10008,PURCHASE!$A$6:$A$10008,$H$2,PURCHASE!$H$6:$H$10008,$A$4:$A$2700)</f>
        <v>0</v>
      </c>
      <c r="K103" s="512">
        <f>SUMIFS(PURCHASE!$M$6:$M$10008,PURCHASE!$A$6:$A$10008,$H$2,PURCHASE!$H$6:$H$10008,$A$4:$A$2700)</f>
        <v>0</v>
      </c>
      <c r="L103" s="512">
        <f>SUMIFS(PURCHASE!$N$6:$N$10008,PURCHASE!$A$6:$A$10008,$H$2,PURCHASE!$H$6:$H$10008,$A$4:$A$2700)</f>
        <v>0</v>
      </c>
      <c r="M103" s="512">
        <f t="shared" si="30"/>
        <v>0</v>
      </c>
      <c r="N103" s="512">
        <f>SUMIFS(PURCHASE!$K$6:$K$10008,PURCHASE!$A$6:$A$10008,$M$2,PURCHASE!$H$6:$H$10008,$A$4:$A$2700)</f>
        <v>0</v>
      </c>
      <c r="O103" s="512">
        <f>SUMIFS(PURCHASE!$L$6:$L$10008,PURCHASE!$A$6:$A$10008,$M$2,PURCHASE!$H$6:$H$10008,$A$4:$A$2700)</f>
        <v>0</v>
      </c>
      <c r="P103" s="512">
        <f>SUMIFS(PURCHASE!$M$6:$M$10008,PURCHASE!$A$6:$A$10008,$M$2,PURCHASE!$H$6:$H$10008,$A$4:$A$2700)</f>
        <v>0</v>
      </c>
      <c r="Q103" s="512">
        <f>SUMIFS(PURCHASE!$N$6:$N$10008,PURCHASE!$A$6:$A$10008,$M$2,PURCHASE!$H$6:$H$10008,$A$4:$A$2700)</f>
        <v>0</v>
      </c>
      <c r="R103" s="512">
        <f t="shared" si="31"/>
        <v>0</v>
      </c>
      <c r="S103" s="512">
        <f>SUMIFS(PURCHASE!$K$6:$K$10008,PURCHASE!$A$6:$A$10008,$R$2,PURCHASE!$H$6:$H$10008,$A$4:$A$2700)</f>
        <v>0</v>
      </c>
      <c r="T103" s="512">
        <f>SUMIFS(PURCHASE!$L$6:$L$10008,PURCHASE!$A$6:$A$10008,$R$2,PURCHASE!$H$6:$H$10008,$A$4:$A$2700)</f>
        <v>0</v>
      </c>
      <c r="U103" s="512">
        <f>SUMIFS(PURCHASE!$M$6:$M$10008,PURCHASE!$A$6:$A$10008,$R$2,PURCHASE!$H$6:$H$10008,$A$4:$A$2700)</f>
        <v>0</v>
      </c>
      <c r="V103" s="512">
        <f>SUMIFS(PURCHASE!$N$6:$N$10008,PURCHASE!$A$6:$A$10008,$R$2,PURCHASE!$H$6:$H$10008,$A$4:$A$2700)</f>
        <v>0</v>
      </c>
      <c r="W103" s="512">
        <f t="shared" si="32"/>
        <v>0</v>
      </c>
      <c r="X103" s="512">
        <f>SUMIFS(PURCHASE!$K$6:$K$10008,PURCHASE!$A$6:$A$10008,$W$2,PURCHASE!$H$6:$H$10008,$A$4:$A$2700)</f>
        <v>0</v>
      </c>
      <c r="Y103" s="512">
        <f>SUMIFS(PURCHASE!$L$6:$L$10008,PURCHASE!$A$6:$A$10008,$W$2,PURCHASE!$H$6:$H$10008,$A$4:$A$2700)</f>
        <v>0</v>
      </c>
      <c r="Z103" s="512">
        <f>SUMIFS(PURCHASE!$M$6:$M$10008,PURCHASE!$A$6:$A$10008,$W$2,PURCHASE!$H$6:$H$10008,$A$4:$A$2700)</f>
        <v>0</v>
      </c>
      <c r="AA103" s="512">
        <f>SUMIFS(PURCHASE!$N$6:$N$10008,PURCHASE!$A$6:$A$10008,$W$2,PURCHASE!$H$6:$H$10008,$A$4:$A$2700)</f>
        <v>0</v>
      </c>
      <c r="AB103" s="512">
        <f t="shared" si="33"/>
        <v>0</v>
      </c>
      <c r="AC103" s="512">
        <f>SUMIFS(PURCHASE!$K$6:$K$10008,PURCHASE!$A$6:$A$10008,$AB$2,PURCHASE!$H$6:$H$10008,$A$4:$A$2700)</f>
        <v>0</v>
      </c>
      <c r="AD103" s="512">
        <f>SUMIFS(PURCHASE!$L$6:$L$10008,PURCHASE!$A$6:$A$10008,$AB$2,PURCHASE!$H$6:$H$10008,$A$4:$A$2700)</f>
        <v>0</v>
      </c>
      <c r="AE103" s="512">
        <f>SUMIFS(PURCHASE!$M$6:$M$10008,PURCHASE!$A$6:$A$10008,$AB$2,PURCHASE!$H$6:$H$10008,$A$4:$A$2700)</f>
        <v>0</v>
      </c>
      <c r="AF103" s="512">
        <f>SUMIFS(PURCHASE!$N$6:$N$10008,PURCHASE!$A$6:$A$10008,$AB$2,PURCHASE!$H$6:$H$10008,$A$4:$A$2700)</f>
        <v>0</v>
      </c>
      <c r="AG103" s="512">
        <f t="shared" si="34"/>
        <v>0</v>
      </c>
      <c r="AH103" s="512">
        <f>SUMIFS(PURCHASE!$K$6:$K$10008,PURCHASE!$A$6:$A$10008,$AG$2,PURCHASE!$H$6:$H$10008,$A$4:$A$2700)</f>
        <v>0</v>
      </c>
      <c r="AI103" s="512">
        <f>SUMIFS(PURCHASE!$L$6:$L$10008,PURCHASE!$A$6:$A$10008,$AG$2,PURCHASE!$H$6:$H$10008,$A$4:$A$2700)</f>
        <v>0</v>
      </c>
      <c r="AJ103" s="512">
        <f>SUMIFS(PURCHASE!$M$6:$M$10008,PURCHASE!$A$6:$A$10008,$AG$2,PURCHASE!$H$6:$H$10008,$A$4:$A$2700)</f>
        <v>0</v>
      </c>
      <c r="AK103" s="512">
        <f>SUMIFS(PURCHASE!$N$6:$N$10008,PURCHASE!$A$6:$A$10008,$AG$2,PURCHASE!$H$6:$H$10008,$A$4:$A$2700)</f>
        <v>0</v>
      </c>
      <c r="AL103" s="512">
        <f t="shared" si="35"/>
        <v>0</v>
      </c>
      <c r="AM103" s="512">
        <f>SUMIFS(PURCHASE!$K$6:$K$10008,PURCHASE!$A$6:$A$10008,$AL$2,PURCHASE!$H$6:$H$10008,$A$4:$A$2700)</f>
        <v>0</v>
      </c>
      <c r="AN103" s="512">
        <f>SUMIFS(PURCHASE!$L$6:$L$10008,PURCHASE!$A$6:$A$10008,$AL$2,PURCHASE!$H$6:$H$10008,$A$4:$A$2700)</f>
        <v>0</v>
      </c>
      <c r="AO103" s="512">
        <f>SUMIFS(PURCHASE!$M$6:$M$10008,PURCHASE!$A$6:$A$10008,$AL$2,PURCHASE!$H$6:$H$10008,$A$4:$A$2700)</f>
        <v>0</v>
      </c>
      <c r="AP103" s="512">
        <f>SUMIFS(PURCHASE!$N$6:$N$10008,PURCHASE!$A$6:$A$10008,$AL$2,PURCHASE!$H$6:$H$10008,$A$4:$A$2700)</f>
        <v>0</v>
      </c>
      <c r="AQ103" s="512">
        <f t="shared" si="36"/>
        <v>0</v>
      </c>
      <c r="AR103" s="512">
        <f>SUMIFS(PURCHASE!$K$6:$K$10008,PURCHASE!$A$6:$A$10008,$AQ$2,PURCHASE!$H$6:$H$10008,$A$4:$A$2700)</f>
        <v>0</v>
      </c>
      <c r="AS103" s="512">
        <f>SUMIFS(PURCHASE!$L$6:$L$10008,PURCHASE!$A$6:$A$10008,$AQ$2,PURCHASE!$H$6:$H$10008,$A$4:$A$2700)</f>
        <v>0</v>
      </c>
      <c r="AT103" s="512">
        <f>SUMIFS(PURCHASE!$M$6:$M$10008,PURCHASE!$A$6:$A$10008,$AQ$2,PURCHASE!$H$6:$H$10008,$A$4:$A$2700)</f>
        <v>0</v>
      </c>
      <c r="AU103" s="512">
        <f>SUMIFS(PURCHASE!$N$6:$N$10008,PURCHASE!$A$6:$A$10008,$AQ$2,PURCHASE!$H$6:$H$10008,$A$4:$A$2700)</f>
        <v>0</v>
      </c>
      <c r="AV103" s="512">
        <f t="shared" si="37"/>
        <v>0</v>
      </c>
      <c r="AW103" s="512">
        <f>SUMIFS(PURCHASE!$K$6:$K$10008,PURCHASE!$A$6:$A$10008,$AV$2,PURCHASE!$H$6:$H$10008,$A$4:$A$2700)</f>
        <v>0</v>
      </c>
      <c r="AX103" s="512">
        <f>SUMIFS(PURCHASE!$L$6:$L$10008,PURCHASE!$A$6:$A$10008,$AV$2,PURCHASE!$H$6:$H$10008,$A$4:$A$2700)</f>
        <v>0</v>
      </c>
      <c r="AY103" s="512">
        <f>SUMIFS(PURCHASE!$M$6:$M$10008,PURCHASE!$A$6:$A$10008,$AV$2,PURCHASE!$H$6:$H$10008,$A$4:$A$2700)</f>
        <v>0</v>
      </c>
      <c r="AZ103" s="512">
        <f>SUMIFS(PURCHASE!$N$6:$N$10008,PURCHASE!$A$6:$A$10008,$AV$2,PURCHASE!$H$6:$H$10008,$A$4:$A$2700)</f>
        <v>0</v>
      </c>
      <c r="BA103" s="512">
        <f t="shared" si="38"/>
        <v>0</v>
      </c>
      <c r="BB103" s="512">
        <f>SUMIFS(PURCHASE!$K$6:$K$10008,PURCHASE!$A$6:$A$10008,$BA$2,PURCHASE!$H$6:$H$10008,$A$4:$A$2700)</f>
        <v>0</v>
      </c>
      <c r="BC103" s="512">
        <f>SUMIFS(PURCHASE!$L$6:$L$10008,PURCHASE!$A$6:$A$10008,$BA$2,PURCHASE!$H$6:$H$10008,$A$4:$A$2700)</f>
        <v>0</v>
      </c>
      <c r="BD103" s="512">
        <f>SUMIFS(PURCHASE!$M$6:$M$10008,PURCHASE!$A$6:$A$10008,$BA$2,PURCHASE!$H$6:$H$10008,$A$4:$A$2700)</f>
        <v>0</v>
      </c>
      <c r="BE103" s="512">
        <f>SUMIFS(PURCHASE!$N$6:$N$10008,PURCHASE!$A$6:$A$10008,$BA$2,PURCHASE!$H$6:$H$10008,$A$4:$A$2700)</f>
        <v>0</v>
      </c>
      <c r="BF103" s="512">
        <f t="shared" si="39"/>
        <v>0</v>
      </c>
      <c r="BG103" s="512">
        <f>SUMIFS(PURCHASE!$K$6:$K$10008,PURCHASE!$A$6:$A$10008,$BF$2,PURCHASE!$H$6:$H$10008,$A$4:$A$2700)</f>
        <v>0</v>
      </c>
      <c r="BH103" s="512">
        <f>SUMIFS(PURCHASE!$L$6:$L$10008,PURCHASE!$A$6:$A$10008,$BF$2,PURCHASE!$H$6:$H$10008,$A$4:$A$2700)</f>
        <v>0</v>
      </c>
      <c r="BI103" s="512">
        <f>SUMIFS(PURCHASE!$M$6:$M$10008,PURCHASE!$A$6:$A$10008,$BF$2,PURCHASE!$H$6:$H$10008,$A$4:$A$2700)</f>
        <v>0</v>
      </c>
      <c r="BJ103" s="512">
        <f>SUMIFS(PURCHASE!$N$6:$N$10008,PURCHASE!$A$6:$A$10008,$BF$2,PURCHASE!$H$6:$H$10008,$A$4:$A$2700)</f>
        <v>0</v>
      </c>
      <c r="BK103" s="72">
        <f t="shared" si="23"/>
        <v>0</v>
      </c>
      <c r="BL103" s="72">
        <f t="shared" si="24"/>
        <v>0</v>
      </c>
      <c r="BM103" s="72">
        <f t="shared" si="25"/>
        <v>0</v>
      </c>
      <c r="BN103" s="72">
        <f t="shared" si="26"/>
        <v>0</v>
      </c>
      <c r="BO103" s="72">
        <f t="shared" si="27"/>
        <v>0</v>
      </c>
    </row>
    <row r="104" spans="1:67" x14ac:dyDescent="0.2">
      <c r="A104" s="511">
        <v>32089090</v>
      </c>
      <c r="B104" s="467" t="s">
        <v>273</v>
      </c>
      <c r="C104" s="512">
        <f t="shared" si="28"/>
        <v>18124.800000000003</v>
      </c>
      <c r="D104" s="512">
        <f>SUMIFS(PURCHASE!$K$6:$K$10008,PURCHASE!$A$6:$A$10008,$M$2,PURCHASE!$H$6:$H$10008,$A$4:$A$2700)</f>
        <v>15360</v>
      </c>
      <c r="E104" s="512">
        <f>SUMIFS(PURCHASE!$L$6:$L$10008,PURCHASE!$A$6:$A$10008,$M$2,PURCHASE!$H$6:$H$10008,$A$4:$A$2700)</f>
        <v>0</v>
      </c>
      <c r="F104" s="512">
        <f>SUMIFS(PURCHASE!$M$6:$M$10008,PURCHASE!$A$6:$A$10008,$M$2,PURCHASE!$H$6:$H$10008,$A$4:$A$2700)</f>
        <v>1382.4</v>
      </c>
      <c r="G104" s="512">
        <f>SUMIFS(PURCHASE!$N$6:$N$10008,PURCHASE!$A$6:$A$10008,$M$2,PURCHASE!$H$6:$H$10008,$A$4:$A$2700)</f>
        <v>1382.4</v>
      </c>
      <c r="H104" s="512">
        <f t="shared" si="29"/>
        <v>28518.239999999998</v>
      </c>
      <c r="I104" s="512">
        <f>SUMIFS(PURCHASE!$K$6:$K$10008,PURCHASE!$A$6:$A$10008,$H$2,PURCHASE!$H$6:$H$10008,$A$4:$A$2700)</f>
        <v>24168</v>
      </c>
      <c r="J104" s="512">
        <f>SUMIFS(PURCHASE!$L$6:$L$10008,PURCHASE!$A$6:$A$10008,$H$2,PURCHASE!$H$6:$H$10008,$A$4:$A$2700)</f>
        <v>0</v>
      </c>
      <c r="K104" s="512">
        <f>SUMIFS(PURCHASE!$M$6:$M$10008,PURCHASE!$A$6:$A$10008,$H$2,PURCHASE!$H$6:$H$10008,$A$4:$A$2700)</f>
        <v>2175.12</v>
      </c>
      <c r="L104" s="512">
        <f>SUMIFS(PURCHASE!$N$6:$N$10008,PURCHASE!$A$6:$A$10008,$H$2,PURCHASE!$H$6:$H$10008,$A$4:$A$2700)</f>
        <v>2175.12</v>
      </c>
      <c r="M104" s="512">
        <f t="shared" si="30"/>
        <v>18124.800000000003</v>
      </c>
      <c r="N104" s="512">
        <f>SUMIFS(PURCHASE!$K$6:$K$10008,PURCHASE!$A$6:$A$10008,$M$2,PURCHASE!$H$6:$H$10008,$A$4:$A$2700)</f>
        <v>15360</v>
      </c>
      <c r="O104" s="512">
        <f>SUMIFS(PURCHASE!$L$6:$L$10008,PURCHASE!$A$6:$A$10008,$M$2,PURCHASE!$H$6:$H$10008,$A$4:$A$2700)</f>
        <v>0</v>
      </c>
      <c r="P104" s="512">
        <f>SUMIFS(PURCHASE!$M$6:$M$10008,PURCHASE!$A$6:$A$10008,$M$2,PURCHASE!$H$6:$H$10008,$A$4:$A$2700)</f>
        <v>1382.4</v>
      </c>
      <c r="Q104" s="512">
        <f>SUMIFS(PURCHASE!$N$6:$N$10008,PURCHASE!$A$6:$A$10008,$M$2,PURCHASE!$H$6:$H$10008,$A$4:$A$2700)</f>
        <v>1382.4</v>
      </c>
      <c r="R104" s="512">
        <f t="shared" si="31"/>
        <v>50488.895999999993</v>
      </c>
      <c r="S104" s="512">
        <f>SUMIFS(PURCHASE!$K$6:$K$10008,PURCHASE!$A$6:$A$10008,$R$2,PURCHASE!$H$6:$H$10008,$A$4:$A$2700)</f>
        <v>42787.199999999997</v>
      </c>
      <c r="T104" s="512">
        <f>SUMIFS(PURCHASE!$L$6:$L$10008,PURCHASE!$A$6:$A$10008,$R$2,PURCHASE!$H$6:$H$10008,$A$4:$A$2700)</f>
        <v>0</v>
      </c>
      <c r="U104" s="512">
        <f>SUMIFS(PURCHASE!$M$6:$M$10008,PURCHASE!$A$6:$A$10008,$R$2,PURCHASE!$H$6:$H$10008,$A$4:$A$2700)</f>
        <v>3850.848</v>
      </c>
      <c r="V104" s="512">
        <f>SUMIFS(PURCHASE!$N$6:$N$10008,PURCHASE!$A$6:$A$10008,$R$2,PURCHASE!$H$6:$H$10008,$A$4:$A$2700)</f>
        <v>3850.848</v>
      </c>
      <c r="W104" s="512">
        <f t="shared" si="32"/>
        <v>60416</v>
      </c>
      <c r="X104" s="512">
        <f>SUMIFS(PURCHASE!$K$6:$K$10008,PURCHASE!$A$6:$A$10008,$W$2,PURCHASE!$H$6:$H$10008,$A$4:$A$2700)</f>
        <v>51200</v>
      </c>
      <c r="Y104" s="512">
        <f>SUMIFS(PURCHASE!$L$6:$L$10008,PURCHASE!$A$6:$A$10008,$W$2,PURCHASE!$H$6:$H$10008,$A$4:$A$2700)</f>
        <v>0</v>
      </c>
      <c r="Z104" s="512">
        <f>SUMIFS(PURCHASE!$M$6:$M$10008,PURCHASE!$A$6:$A$10008,$W$2,PURCHASE!$H$6:$H$10008,$A$4:$A$2700)</f>
        <v>4608</v>
      </c>
      <c r="AA104" s="512">
        <f>SUMIFS(PURCHASE!$N$6:$N$10008,PURCHASE!$A$6:$A$10008,$W$2,PURCHASE!$H$6:$H$10008,$A$4:$A$2700)</f>
        <v>4608</v>
      </c>
      <c r="AB104" s="512">
        <f t="shared" si="33"/>
        <v>4708.2000000000007</v>
      </c>
      <c r="AC104" s="512">
        <f>SUMIFS(PURCHASE!$K$6:$K$10008,PURCHASE!$A$6:$A$10008,$AB$2,PURCHASE!$H$6:$H$10008,$A$4:$A$2700)</f>
        <v>3990</v>
      </c>
      <c r="AD104" s="512">
        <f>SUMIFS(PURCHASE!$L$6:$L$10008,PURCHASE!$A$6:$A$10008,$AB$2,PURCHASE!$H$6:$H$10008,$A$4:$A$2700)</f>
        <v>0</v>
      </c>
      <c r="AE104" s="512">
        <f>SUMIFS(PURCHASE!$M$6:$M$10008,PURCHASE!$A$6:$A$10008,$AB$2,PURCHASE!$H$6:$H$10008,$A$4:$A$2700)</f>
        <v>359.09999999999997</v>
      </c>
      <c r="AF104" s="512">
        <f>SUMIFS(PURCHASE!$N$6:$N$10008,PURCHASE!$A$6:$A$10008,$AB$2,PURCHASE!$H$6:$H$10008,$A$4:$A$2700)</f>
        <v>359.09999999999997</v>
      </c>
      <c r="AG104" s="512">
        <f t="shared" si="34"/>
        <v>15104</v>
      </c>
      <c r="AH104" s="512">
        <f>SUMIFS(PURCHASE!$K$6:$K$10008,PURCHASE!$A$6:$A$10008,$AG$2,PURCHASE!$H$6:$H$10008,$A$4:$A$2700)</f>
        <v>12800</v>
      </c>
      <c r="AI104" s="512">
        <f>SUMIFS(PURCHASE!$L$6:$L$10008,PURCHASE!$A$6:$A$10008,$AG$2,PURCHASE!$H$6:$H$10008,$A$4:$A$2700)</f>
        <v>0</v>
      </c>
      <c r="AJ104" s="512">
        <f>SUMIFS(PURCHASE!$M$6:$M$10008,PURCHASE!$A$6:$A$10008,$AG$2,PURCHASE!$H$6:$H$10008,$A$4:$A$2700)</f>
        <v>1152</v>
      </c>
      <c r="AK104" s="512">
        <f>SUMIFS(PURCHASE!$N$6:$N$10008,PURCHASE!$A$6:$A$10008,$AG$2,PURCHASE!$H$6:$H$10008,$A$4:$A$2700)</f>
        <v>1152</v>
      </c>
      <c r="AL104" s="512">
        <f t="shared" si="35"/>
        <v>0</v>
      </c>
      <c r="AM104" s="512">
        <f>SUMIFS(PURCHASE!$K$6:$K$10008,PURCHASE!$A$6:$A$10008,$AL$2,PURCHASE!$H$6:$H$10008,$A$4:$A$2700)</f>
        <v>0</v>
      </c>
      <c r="AN104" s="512">
        <f>SUMIFS(PURCHASE!$L$6:$L$10008,PURCHASE!$A$6:$A$10008,$AL$2,PURCHASE!$H$6:$H$10008,$A$4:$A$2700)</f>
        <v>0</v>
      </c>
      <c r="AO104" s="512">
        <f>SUMIFS(PURCHASE!$M$6:$M$10008,PURCHASE!$A$6:$A$10008,$AL$2,PURCHASE!$H$6:$H$10008,$A$4:$A$2700)</f>
        <v>0</v>
      </c>
      <c r="AP104" s="512">
        <f>SUMIFS(PURCHASE!$N$6:$N$10008,PURCHASE!$A$6:$A$10008,$AL$2,PURCHASE!$H$6:$H$10008,$A$4:$A$2700)</f>
        <v>0</v>
      </c>
      <c r="AQ104" s="512">
        <f t="shared" si="36"/>
        <v>30208</v>
      </c>
      <c r="AR104" s="512">
        <f>SUMIFS(PURCHASE!$K$6:$K$10008,PURCHASE!$A$6:$A$10008,$AQ$2,PURCHASE!$H$6:$H$10008,$A$4:$A$2700)</f>
        <v>25600</v>
      </c>
      <c r="AS104" s="512">
        <f>SUMIFS(PURCHASE!$L$6:$L$10008,PURCHASE!$A$6:$A$10008,$AQ$2,PURCHASE!$H$6:$H$10008,$A$4:$A$2700)</f>
        <v>0</v>
      </c>
      <c r="AT104" s="512">
        <f>SUMIFS(PURCHASE!$M$6:$M$10008,PURCHASE!$A$6:$A$10008,$AQ$2,PURCHASE!$H$6:$H$10008,$A$4:$A$2700)</f>
        <v>2304</v>
      </c>
      <c r="AU104" s="512">
        <f>SUMIFS(PURCHASE!$N$6:$N$10008,PURCHASE!$A$6:$A$10008,$AQ$2,PURCHASE!$H$6:$H$10008,$A$4:$A$2700)</f>
        <v>2304</v>
      </c>
      <c r="AV104" s="512">
        <f t="shared" si="37"/>
        <v>30208</v>
      </c>
      <c r="AW104" s="512">
        <f>SUMIFS(PURCHASE!$K$6:$K$10008,PURCHASE!$A$6:$A$10008,$AV$2,PURCHASE!$H$6:$H$10008,$A$4:$A$2700)</f>
        <v>25600</v>
      </c>
      <c r="AX104" s="512">
        <f>SUMIFS(PURCHASE!$L$6:$L$10008,PURCHASE!$A$6:$A$10008,$AV$2,PURCHASE!$H$6:$H$10008,$A$4:$A$2700)</f>
        <v>0</v>
      </c>
      <c r="AY104" s="512">
        <f>SUMIFS(PURCHASE!$M$6:$M$10008,PURCHASE!$A$6:$A$10008,$AV$2,PURCHASE!$H$6:$H$10008,$A$4:$A$2700)</f>
        <v>2304</v>
      </c>
      <c r="AZ104" s="512">
        <f>SUMIFS(PURCHASE!$N$6:$N$10008,PURCHASE!$A$6:$A$10008,$AV$2,PURCHASE!$H$6:$H$10008,$A$4:$A$2700)</f>
        <v>2304</v>
      </c>
      <c r="BA104" s="512">
        <f t="shared" si="38"/>
        <v>0</v>
      </c>
      <c r="BB104" s="512">
        <f>SUMIFS(PURCHASE!$K$6:$K$10008,PURCHASE!$A$6:$A$10008,$BA$2,PURCHASE!$H$6:$H$10008,$A$4:$A$2700)</f>
        <v>0</v>
      </c>
      <c r="BC104" s="512">
        <f>SUMIFS(PURCHASE!$L$6:$L$10008,PURCHASE!$A$6:$A$10008,$BA$2,PURCHASE!$H$6:$H$10008,$A$4:$A$2700)</f>
        <v>0</v>
      </c>
      <c r="BD104" s="512">
        <f>SUMIFS(PURCHASE!$M$6:$M$10008,PURCHASE!$A$6:$A$10008,$BA$2,PURCHASE!$H$6:$H$10008,$A$4:$A$2700)</f>
        <v>0</v>
      </c>
      <c r="BE104" s="512">
        <f>SUMIFS(PURCHASE!$N$6:$N$10008,PURCHASE!$A$6:$A$10008,$BA$2,PURCHASE!$H$6:$H$10008,$A$4:$A$2700)</f>
        <v>0</v>
      </c>
      <c r="BF104" s="512">
        <f t="shared" si="39"/>
        <v>0</v>
      </c>
      <c r="BG104" s="512">
        <f>SUMIFS(PURCHASE!$K$6:$K$10008,PURCHASE!$A$6:$A$10008,$BF$2,PURCHASE!$H$6:$H$10008,$A$4:$A$2700)</f>
        <v>0</v>
      </c>
      <c r="BH104" s="512">
        <f>SUMIFS(PURCHASE!$L$6:$L$10008,PURCHASE!$A$6:$A$10008,$BF$2,PURCHASE!$H$6:$H$10008,$A$4:$A$2700)</f>
        <v>0</v>
      </c>
      <c r="BI104" s="512">
        <f>SUMIFS(PURCHASE!$M$6:$M$10008,PURCHASE!$A$6:$A$10008,$BF$2,PURCHASE!$H$6:$H$10008,$A$4:$A$2700)</f>
        <v>0</v>
      </c>
      <c r="BJ104" s="512">
        <f>SUMIFS(PURCHASE!$N$6:$N$10008,PURCHASE!$A$6:$A$10008,$BF$2,PURCHASE!$H$6:$H$10008,$A$4:$A$2700)</f>
        <v>0</v>
      </c>
      <c r="BK104" s="72">
        <f t="shared" si="23"/>
        <v>255900.93600000002</v>
      </c>
      <c r="BL104" s="72">
        <f t="shared" si="24"/>
        <v>216865.2</v>
      </c>
      <c r="BM104" s="72">
        <f t="shared" si="25"/>
        <v>0</v>
      </c>
      <c r="BN104" s="72">
        <f t="shared" si="26"/>
        <v>19517.868000000002</v>
      </c>
      <c r="BO104" s="72">
        <f t="shared" si="27"/>
        <v>19517.868000000002</v>
      </c>
    </row>
    <row r="105" spans="1:67" x14ac:dyDescent="0.2">
      <c r="A105" s="511">
        <v>32159090</v>
      </c>
      <c r="B105" s="467" t="s">
        <v>1265</v>
      </c>
      <c r="C105" s="512">
        <f t="shared" si="28"/>
        <v>0</v>
      </c>
      <c r="D105" s="512">
        <f>SUMIFS(PURCHASE!$K$6:$K$10008,PURCHASE!$A$6:$A$10008,$M$2,PURCHASE!$H$6:$H$10008,$A$4:$A$2700)</f>
        <v>0</v>
      </c>
      <c r="E105" s="512">
        <f>SUMIFS(PURCHASE!$L$6:$L$10008,PURCHASE!$A$6:$A$10008,$M$2,PURCHASE!$H$6:$H$10008,$A$4:$A$2700)</f>
        <v>0</v>
      </c>
      <c r="F105" s="512">
        <f>SUMIFS(PURCHASE!$M$6:$M$10008,PURCHASE!$A$6:$A$10008,$M$2,PURCHASE!$H$6:$H$10008,$A$4:$A$2700)</f>
        <v>0</v>
      </c>
      <c r="G105" s="512">
        <f>SUMIFS(PURCHASE!$N$6:$N$10008,PURCHASE!$A$6:$A$10008,$M$2,PURCHASE!$H$6:$H$10008,$A$4:$A$2700)</f>
        <v>0</v>
      </c>
      <c r="H105" s="512">
        <f t="shared" si="29"/>
        <v>0</v>
      </c>
      <c r="I105" s="512">
        <f>SUMIFS(PURCHASE!$K$6:$K$10008,PURCHASE!$A$6:$A$10008,$H$2,PURCHASE!$H$6:$H$10008,$A$4:$A$2700)</f>
        <v>0</v>
      </c>
      <c r="J105" s="512">
        <f>SUMIFS(PURCHASE!$L$6:$L$10008,PURCHASE!$A$6:$A$10008,$H$2,PURCHASE!$H$6:$H$10008,$A$4:$A$2700)</f>
        <v>0</v>
      </c>
      <c r="K105" s="512">
        <f>SUMIFS(PURCHASE!$M$6:$M$10008,PURCHASE!$A$6:$A$10008,$H$2,PURCHASE!$H$6:$H$10008,$A$4:$A$2700)</f>
        <v>0</v>
      </c>
      <c r="L105" s="512">
        <f>SUMIFS(PURCHASE!$N$6:$N$10008,PURCHASE!$A$6:$A$10008,$H$2,PURCHASE!$H$6:$H$10008,$A$4:$A$2700)</f>
        <v>0</v>
      </c>
      <c r="M105" s="512">
        <f t="shared" si="30"/>
        <v>0</v>
      </c>
      <c r="N105" s="512">
        <f>SUMIFS(PURCHASE!$K$6:$K$10008,PURCHASE!$A$6:$A$10008,$M$2,PURCHASE!$H$6:$H$10008,$A$4:$A$2700)</f>
        <v>0</v>
      </c>
      <c r="O105" s="512">
        <f>SUMIFS(PURCHASE!$L$6:$L$10008,PURCHASE!$A$6:$A$10008,$M$2,PURCHASE!$H$6:$H$10008,$A$4:$A$2700)</f>
        <v>0</v>
      </c>
      <c r="P105" s="512">
        <f>SUMIFS(PURCHASE!$M$6:$M$10008,PURCHASE!$A$6:$A$10008,$M$2,PURCHASE!$H$6:$H$10008,$A$4:$A$2700)</f>
        <v>0</v>
      </c>
      <c r="Q105" s="512">
        <f>SUMIFS(PURCHASE!$N$6:$N$10008,PURCHASE!$A$6:$A$10008,$M$2,PURCHASE!$H$6:$H$10008,$A$4:$A$2700)</f>
        <v>0</v>
      </c>
      <c r="R105" s="512">
        <f t="shared" si="31"/>
        <v>380.79999999999995</v>
      </c>
      <c r="S105" s="512">
        <f>SUMIFS(PURCHASE!$K$6:$K$10008,PURCHASE!$A$6:$A$10008,$R$2,PURCHASE!$H$6:$H$10008,$A$4:$A$2700)</f>
        <v>340</v>
      </c>
      <c r="T105" s="512">
        <f>SUMIFS(PURCHASE!$L$6:$L$10008,PURCHASE!$A$6:$A$10008,$R$2,PURCHASE!$H$6:$H$10008,$A$4:$A$2700)</f>
        <v>0</v>
      </c>
      <c r="U105" s="512">
        <f>SUMIFS(PURCHASE!$M$6:$M$10008,PURCHASE!$A$6:$A$10008,$R$2,PURCHASE!$H$6:$H$10008,$A$4:$A$2700)</f>
        <v>20.399999999999999</v>
      </c>
      <c r="V105" s="512">
        <f>SUMIFS(PURCHASE!$N$6:$N$10008,PURCHASE!$A$6:$A$10008,$R$2,PURCHASE!$H$6:$H$10008,$A$4:$A$2700)</f>
        <v>20.399999999999999</v>
      </c>
      <c r="W105" s="512">
        <f t="shared" si="32"/>
        <v>0</v>
      </c>
      <c r="X105" s="512">
        <f>SUMIFS(PURCHASE!$K$6:$K$10008,PURCHASE!$A$6:$A$10008,$W$2,PURCHASE!$H$6:$H$10008,$A$4:$A$2700)</f>
        <v>0</v>
      </c>
      <c r="Y105" s="512">
        <f>SUMIFS(PURCHASE!$L$6:$L$10008,PURCHASE!$A$6:$A$10008,$W$2,PURCHASE!$H$6:$H$10008,$A$4:$A$2700)</f>
        <v>0</v>
      </c>
      <c r="Z105" s="512">
        <f>SUMIFS(PURCHASE!$M$6:$M$10008,PURCHASE!$A$6:$A$10008,$W$2,PURCHASE!$H$6:$H$10008,$A$4:$A$2700)</f>
        <v>0</v>
      </c>
      <c r="AA105" s="512">
        <f>SUMIFS(PURCHASE!$N$6:$N$10008,PURCHASE!$A$6:$A$10008,$W$2,PURCHASE!$H$6:$H$10008,$A$4:$A$2700)</f>
        <v>0</v>
      </c>
      <c r="AB105" s="512">
        <f t="shared" si="33"/>
        <v>0</v>
      </c>
      <c r="AC105" s="512">
        <f>SUMIFS(PURCHASE!$K$6:$K$10008,PURCHASE!$A$6:$A$10008,$AB$2,PURCHASE!$H$6:$H$10008,$A$4:$A$2700)</f>
        <v>0</v>
      </c>
      <c r="AD105" s="512">
        <f>SUMIFS(PURCHASE!$L$6:$L$10008,PURCHASE!$A$6:$A$10008,$AB$2,PURCHASE!$H$6:$H$10008,$A$4:$A$2700)</f>
        <v>0</v>
      </c>
      <c r="AE105" s="512">
        <f>SUMIFS(PURCHASE!$M$6:$M$10008,PURCHASE!$A$6:$A$10008,$AB$2,PURCHASE!$H$6:$H$10008,$A$4:$A$2700)</f>
        <v>0</v>
      </c>
      <c r="AF105" s="512">
        <f>SUMIFS(PURCHASE!$N$6:$N$10008,PURCHASE!$A$6:$A$10008,$AB$2,PURCHASE!$H$6:$H$10008,$A$4:$A$2700)</f>
        <v>0</v>
      </c>
      <c r="AG105" s="512">
        <f t="shared" si="34"/>
        <v>0</v>
      </c>
      <c r="AH105" s="512">
        <f>SUMIFS(PURCHASE!$K$6:$K$10008,PURCHASE!$A$6:$A$10008,$AG$2,PURCHASE!$H$6:$H$10008,$A$4:$A$2700)</f>
        <v>0</v>
      </c>
      <c r="AI105" s="512">
        <f>SUMIFS(PURCHASE!$L$6:$L$10008,PURCHASE!$A$6:$A$10008,$AG$2,PURCHASE!$H$6:$H$10008,$A$4:$A$2700)</f>
        <v>0</v>
      </c>
      <c r="AJ105" s="512">
        <f>SUMIFS(PURCHASE!$M$6:$M$10008,PURCHASE!$A$6:$A$10008,$AG$2,PURCHASE!$H$6:$H$10008,$A$4:$A$2700)</f>
        <v>0</v>
      </c>
      <c r="AK105" s="512">
        <f>SUMIFS(PURCHASE!$N$6:$N$10008,PURCHASE!$A$6:$A$10008,$AG$2,PURCHASE!$H$6:$H$10008,$A$4:$A$2700)</f>
        <v>0</v>
      </c>
      <c r="AL105" s="512">
        <f t="shared" si="35"/>
        <v>0</v>
      </c>
      <c r="AM105" s="512">
        <f>SUMIFS(PURCHASE!$K$6:$K$10008,PURCHASE!$A$6:$A$10008,$AL$2,PURCHASE!$H$6:$H$10008,$A$4:$A$2700)</f>
        <v>0</v>
      </c>
      <c r="AN105" s="512">
        <f>SUMIFS(PURCHASE!$L$6:$L$10008,PURCHASE!$A$6:$A$10008,$AL$2,PURCHASE!$H$6:$H$10008,$A$4:$A$2700)</f>
        <v>0</v>
      </c>
      <c r="AO105" s="512">
        <f>SUMIFS(PURCHASE!$M$6:$M$10008,PURCHASE!$A$6:$A$10008,$AL$2,PURCHASE!$H$6:$H$10008,$A$4:$A$2700)</f>
        <v>0</v>
      </c>
      <c r="AP105" s="512">
        <f>SUMIFS(PURCHASE!$N$6:$N$10008,PURCHASE!$A$6:$A$10008,$AL$2,PURCHASE!$H$6:$H$10008,$A$4:$A$2700)</f>
        <v>0</v>
      </c>
      <c r="AQ105" s="512">
        <f t="shared" si="36"/>
        <v>0</v>
      </c>
      <c r="AR105" s="512">
        <f>SUMIFS(PURCHASE!$K$6:$K$10008,PURCHASE!$A$6:$A$10008,$AQ$2,PURCHASE!$H$6:$H$10008,$A$4:$A$2700)</f>
        <v>0</v>
      </c>
      <c r="AS105" s="512">
        <f>SUMIFS(PURCHASE!$L$6:$L$10008,PURCHASE!$A$6:$A$10008,$AQ$2,PURCHASE!$H$6:$H$10008,$A$4:$A$2700)</f>
        <v>0</v>
      </c>
      <c r="AT105" s="512">
        <f>SUMIFS(PURCHASE!$M$6:$M$10008,PURCHASE!$A$6:$A$10008,$AQ$2,PURCHASE!$H$6:$H$10008,$A$4:$A$2700)</f>
        <v>0</v>
      </c>
      <c r="AU105" s="512">
        <f>SUMIFS(PURCHASE!$N$6:$N$10008,PURCHASE!$A$6:$A$10008,$AQ$2,PURCHASE!$H$6:$H$10008,$A$4:$A$2700)</f>
        <v>0</v>
      </c>
      <c r="AV105" s="512">
        <f t="shared" si="37"/>
        <v>0</v>
      </c>
      <c r="AW105" s="512">
        <f>SUMIFS(PURCHASE!$K$6:$K$10008,PURCHASE!$A$6:$A$10008,$AV$2,PURCHASE!$H$6:$H$10008,$A$4:$A$2700)</f>
        <v>0</v>
      </c>
      <c r="AX105" s="512">
        <f>SUMIFS(PURCHASE!$L$6:$L$10008,PURCHASE!$A$6:$A$10008,$AV$2,PURCHASE!$H$6:$H$10008,$A$4:$A$2700)</f>
        <v>0</v>
      </c>
      <c r="AY105" s="512">
        <f>SUMIFS(PURCHASE!$M$6:$M$10008,PURCHASE!$A$6:$A$10008,$AV$2,PURCHASE!$H$6:$H$10008,$A$4:$A$2700)</f>
        <v>0</v>
      </c>
      <c r="AZ105" s="512">
        <f>SUMIFS(PURCHASE!$N$6:$N$10008,PURCHASE!$A$6:$A$10008,$AV$2,PURCHASE!$H$6:$H$10008,$A$4:$A$2700)</f>
        <v>0</v>
      </c>
      <c r="BA105" s="512">
        <f t="shared" si="38"/>
        <v>0</v>
      </c>
      <c r="BB105" s="512">
        <f>SUMIFS(PURCHASE!$K$6:$K$10008,PURCHASE!$A$6:$A$10008,$BA$2,PURCHASE!$H$6:$H$10008,$A$4:$A$2700)</f>
        <v>0</v>
      </c>
      <c r="BC105" s="512">
        <f>SUMIFS(PURCHASE!$L$6:$L$10008,PURCHASE!$A$6:$A$10008,$BA$2,PURCHASE!$H$6:$H$10008,$A$4:$A$2700)</f>
        <v>0</v>
      </c>
      <c r="BD105" s="512">
        <f>SUMIFS(PURCHASE!$M$6:$M$10008,PURCHASE!$A$6:$A$10008,$BA$2,PURCHASE!$H$6:$H$10008,$A$4:$A$2700)</f>
        <v>0</v>
      </c>
      <c r="BE105" s="512">
        <f>SUMIFS(PURCHASE!$N$6:$N$10008,PURCHASE!$A$6:$A$10008,$BA$2,PURCHASE!$H$6:$H$10008,$A$4:$A$2700)</f>
        <v>0</v>
      </c>
      <c r="BF105" s="512">
        <f t="shared" si="39"/>
        <v>0</v>
      </c>
      <c r="BG105" s="512">
        <f>SUMIFS(PURCHASE!$K$6:$K$10008,PURCHASE!$A$6:$A$10008,$BF$2,PURCHASE!$H$6:$H$10008,$A$4:$A$2700)</f>
        <v>0</v>
      </c>
      <c r="BH105" s="512">
        <f>SUMIFS(PURCHASE!$L$6:$L$10008,PURCHASE!$A$6:$A$10008,$BF$2,PURCHASE!$H$6:$H$10008,$A$4:$A$2700)</f>
        <v>0</v>
      </c>
      <c r="BI105" s="512">
        <f>SUMIFS(PURCHASE!$M$6:$M$10008,PURCHASE!$A$6:$A$10008,$BF$2,PURCHASE!$H$6:$H$10008,$A$4:$A$2700)</f>
        <v>0</v>
      </c>
      <c r="BJ105" s="512">
        <f>SUMIFS(PURCHASE!$N$6:$N$10008,PURCHASE!$A$6:$A$10008,$BF$2,PURCHASE!$H$6:$H$10008,$A$4:$A$2700)</f>
        <v>0</v>
      </c>
      <c r="BK105" s="72">
        <f t="shared" si="23"/>
        <v>380.79999999999995</v>
      </c>
      <c r="BL105" s="72">
        <f t="shared" si="24"/>
        <v>340</v>
      </c>
      <c r="BM105" s="72">
        <f t="shared" si="25"/>
        <v>0</v>
      </c>
      <c r="BN105" s="72">
        <f t="shared" si="26"/>
        <v>20.399999999999999</v>
      </c>
      <c r="BO105" s="72">
        <f t="shared" si="27"/>
        <v>20.399999999999999</v>
      </c>
    </row>
    <row r="106" spans="1:67" x14ac:dyDescent="0.2">
      <c r="A106" s="511">
        <v>34012000</v>
      </c>
      <c r="B106" s="467" t="s">
        <v>1266</v>
      </c>
      <c r="C106" s="512">
        <f t="shared" si="28"/>
        <v>796.5</v>
      </c>
      <c r="D106" s="512">
        <f>SUMIFS(PURCHASE!$K$6:$K$10008,PURCHASE!$A$6:$A$10008,$M$2,PURCHASE!$H$6:$H$10008,$A$4:$A$2700)</f>
        <v>675</v>
      </c>
      <c r="E106" s="512">
        <f>SUMIFS(PURCHASE!$L$6:$L$10008,PURCHASE!$A$6:$A$10008,$M$2,PURCHASE!$H$6:$H$10008,$A$4:$A$2700)</f>
        <v>0</v>
      </c>
      <c r="F106" s="512">
        <f>SUMIFS(PURCHASE!$M$6:$M$10008,PURCHASE!$A$6:$A$10008,$M$2,PURCHASE!$H$6:$H$10008,$A$4:$A$2700)</f>
        <v>60.75</v>
      </c>
      <c r="G106" s="512">
        <f>SUMIFS(PURCHASE!$N$6:$N$10008,PURCHASE!$A$6:$A$10008,$M$2,PURCHASE!$H$6:$H$10008,$A$4:$A$2700)</f>
        <v>60.75</v>
      </c>
      <c r="H106" s="512">
        <f t="shared" si="29"/>
        <v>0</v>
      </c>
      <c r="I106" s="512">
        <f>SUMIFS(PURCHASE!$K$6:$K$10008,PURCHASE!$A$6:$A$10008,$H$2,PURCHASE!$H$6:$H$10008,$A$4:$A$2700)</f>
        <v>0</v>
      </c>
      <c r="J106" s="512">
        <f>SUMIFS(PURCHASE!$L$6:$L$10008,PURCHASE!$A$6:$A$10008,$H$2,PURCHASE!$H$6:$H$10008,$A$4:$A$2700)</f>
        <v>0</v>
      </c>
      <c r="K106" s="512">
        <f>SUMIFS(PURCHASE!$M$6:$M$10008,PURCHASE!$A$6:$A$10008,$H$2,PURCHASE!$H$6:$H$10008,$A$4:$A$2700)</f>
        <v>0</v>
      </c>
      <c r="L106" s="512">
        <f>SUMIFS(PURCHASE!$N$6:$N$10008,PURCHASE!$A$6:$A$10008,$H$2,PURCHASE!$H$6:$H$10008,$A$4:$A$2700)</f>
        <v>0</v>
      </c>
      <c r="M106" s="512">
        <f t="shared" si="30"/>
        <v>796.5</v>
      </c>
      <c r="N106" s="512">
        <f>SUMIFS(PURCHASE!$K$6:$K$10008,PURCHASE!$A$6:$A$10008,$M$2,PURCHASE!$H$6:$H$10008,$A$4:$A$2700)</f>
        <v>675</v>
      </c>
      <c r="O106" s="512">
        <f>SUMIFS(PURCHASE!$L$6:$L$10008,PURCHASE!$A$6:$A$10008,$M$2,PURCHASE!$H$6:$H$10008,$A$4:$A$2700)</f>
        <v>0</v>
      </c>
      <c r="P106" s="512">
        <f>SUMIFS(PURCHASE!$M$6:$M$10008,PURCHASE!$A$6:$A$10008,$M$2,PURCHASE!$H$6:$H$10008,$A$4:$A$2700)</f>
        <v>60.75</v>
      </c>
      <c r="Q106" s="512">
        <f>SUMIFS(PURCHASE!$N$6:$N$10008,PURCHASE!$A$6:$A$10008,$M$2,PURCHASE!$H$6:$H$10008,$A$4:$A$2700)</f>
        <v>60.75</v>
      </c>
      <c r="R106" s="512">
        <f t="shared" si="31"/>
        <v>0</v>
      </c>
      <c r="S106" s="512">
        <f>SUMIFS(PURCHASE!$K$6:$K$10008,PURCHASE!$A$6:$A$10008,$R$2,PURCHASE!$H$6:$H$10008,$A$4:$A$2700)</f>
        <v>0</v>
      </c>
      <c r="T106" s="512">
        <f>SUMIFS(PURCHASE!$L$6:$L$10008,PURCHASE!$A$6:$A$10008,$R$2,PURCHASE!$H$6:$H$10008,$A$4:$A$2700)</f>
        <v>0</v>
      </c>
      <c r="U106" s="512">
        <f>SUMIFS(PURCHASE!$M$6:$M$10008,PURCHASE!$A$6:$A$10008,$R$2,PURCHASE!$H$6:$H$10008,$A$4:$A$2700)</f>
        <v>0</v>
      </c>
      <c r="V106" s="512">
        <f>SUMIFS(PURCHASE!$N$6:$N$10008,PURCHASE!$A$6:$A$10008,$R$2,PURCHASE!$H$6:$H$10008,$A$4:$A$2700)</f>
        <v>0</v>
      </c>
      <c r="W106" s="512">
        <f t="shared" si="32"/>
        <v>796.5</v>
      </c>
      <c r="X106" s="512">
        <f>SUMIFS(PURCHASE!$K$6:$K$10008,PURCHASE!$A$6:$A$10008,$W$2,PURCHASE!$H$6:$H$10008,$A$4:$A$2700)</f>
        <v>675</v>
      </c>
      <c r="Y106" s="512">
        <f>SUMIFS(PURCHASE!$L$6:$L$10008,PURCHASE!$A$6:$A$10008,$W$2,PURCHASE!$H$6:$H$10008,$A$4:$A$2700)</f>
        <v>0</v>
      </c>
      <c r="Z106" s="512">
        <f>SUMIFS(PURCHASE!$M$6:$M$10008,PURCHASE!$A$6:$A$10008,$W$2,PURCHASE!$H$6:$H$10008,$A$4:$A$2700)</f>
        <v>60.75</v>
      </c>
      <c r="AA106" s="512">
        <f>SUMIFS(PURCHASE!$N$6:$N$10008,PURCHASE!$A$6:$A$10008,$W$2,PURCHASE!$H$6:$H$10008,$A$4:$A$2700)</f>
        <v>60.75</v>
      </c>
      <c r="AB106" s="512">
        <f t="shared" si="33"/>
        <v>0</v>
      </c>
      <c r="AC106" s="512">
        <f>SUMIFS(PURCHASE!$K$6:$K$10008,PURCHASE!$A$6:$A$10008,$AB$2,PURCHASE!$H$6:$H$10008,$A$4:$A$2700)</f>
        <v>0</v>
      </c>
      <c r="AD106" s="512">
        <f>SUMIFS(PURCHASE!$L$6:$L$10008,PURCHASE!$A$6:$A$10008,$AB$2,PURCHASE!$H$6:$H$10008,$A$4:$A$2700)</f>
        <v>0</v>
      </c>
      <c r="AE106" s="512">
        <f>SUMIFS(PURCHASE!$M$6:$M$10008,PURCHASE!$A$6:$A$10008,$AB$2,PURCHASE!$H$6:$H$10008,$A$4:$A$2700)</f>
        <v>0</v>
      </c>
      <c r="AF106" s="512">
        <f>SUMIFS(PURCHASE!$N$6:$N$10008,PURCHASE!$A$6:$A$10008,$AB$2,PURCHASE!$H$6:$H$10008,$A$4:$A$2700)</f>
        <v>0</v>
      </c>
      <c r="AG106" s="512">
        <f t="shared" si="34"/>
        <v>796.5</v>
      </c>
      <c r="AH106" s="512">
        <f>SUMIFS(PURCHASE!$K$6:$K$10008,PURCHASE!$A$6:$A$10008,$AG$2,PURCHASE!$H$6:$H$10008,$A$4:$A$2700)</f>
        <v>675</v>
      </c>
      <c r="AI106" s="512">
        <f>SUMIFS(PURCHASE!$L$6:$L$10008,PURCHASE!$A$6:$A$10008,$AG$2,PURCHASE!$H$6:$H$10008,$A$4:$A$2700)</f>
        <v>0</v>
      </c>
      <c r="AJ106" s="512">
        <f>SUMIFS(PURCHASE!$M$6:$M$10008,PURCHASE!$A$6:$A$10008,$AG$2,PURCHASE!$H$6:$H$10008,$A$4:$A$2700)</f>
        <v>60.75</v>
      </c>
      <c r="AK106" s="512">
        <f>SUMIFS(PURCHASE!$N$6:$N$10008,PURCHASE!$A$6:$A$10008,$AG$2,PURCHASE!$H$6:$H$10008,$A$4:$A$2700)</f>
        <v>60.75</v>
      </c>
      <c r="AL106" s="512">
        <f t="shared" si="35"/>
        <v>796.5</v>
      </c>
      <c r="AM106" s="512">
        <f>SUMIFS(PURCHASE!$K$6:$K$10008,PURCHASE!$A$6:$A$10008,$AL$2,PURCHASE!$H$6:$H$10008,$A$4:$A$2700)</f>
        <v>675</v>
      </c>
      <c r="AN106" s="512">
        <f>SUMIFS(PURCHASE!$L$6:$L$10008,PURCHASE!$A$6:$A$10008,$AL$2,PURCHASE!$H$6:$H$10008,$A$4:$A$2700)</f>
        <v>0</v>
      </c>
      <c r="AO106" s="512">
        <f>SUMIFS(PURCHASE!$M$6:$M$10008,PURCHASE!$A$6:$A$10008,$AL$2,PURCHASE!$H$6:$H$10008,$A$4:$A$2700)</f>
        <v>60.75</v>
      </c>
      <c r="AP106" s="512">
        <f>SUMIFS(PURCHASE!$N$6:$N$10008,PURCHASE!$A$6:$A$10008,$AL$2,PURCHASE!$H$6:$H$10008,$A$4:$A$2700)</f>
        <v>60.75</v>
      </c>
      <c r="AQ106" s="512">
        <f t="shared" si="36"/>
        <v>0</v>
      </c>
      <c r="AR106" s="512">
        <f>SUMIFS(PURCHASE!$K$6:$K$10008,PURCHASE!$A$6:$A$10008,$AQ$2,PURCHASE!$H$6:$H$10008,$A$4:$A$2700)</f>
        <v>0</v>
      </c>
      <c r="AS106" s="512">
        <f>SUMIFS(PURCHASE!$L$6:$L$10008,PURCHASE!$A$6:$A$10008,$AQ$2,PURCHASE!$H$6:$H$10008,$A$4:$A$2700)</f>
        <v>0</v>
      </c>
      <c r="AT106" s="512">
        <f>SUMIFS(PURCHASE!$M$6:$M$10008,PURCHASE!$A$6:$A$10008,$AQ$2,PURCHASE!$H$6:$H$10008,$A$4:$A$2700)</f>
        <v>0</v>
      </c>
      <c r="AU106" s="512">
        <f>SUMIFS(PURCHASE!$N$6:$N$10008,PURCHASE!$A$6:$A$10008,$AQ$2,PURCHASE!$H$6:$H$10008,$A$4:$A$2700)</f>
        <v>0</v>
      </c>
      <c r="AV106" s="512">
        <f t="shared" si="37"/>
        <v>0</v>
      </c>
      <c r="AW106" s="512">
        <f>SUMIFS(PURCHASE!$K$6:$K$10008,PURCHASE!$A$6:$A$10008,$AV$2,PURCHASE!$H$6:$H$10008,$A$4:$A$2700)</f>
        <v>0</v>
      </c>
      <c r="AX106" s="512">
        <f>SUMIFS(PURCHASE!$L$6:$L$10008,PURCHASE!$A$6:$A$10008,$AV$2,PURCHASE!$H$6:$H$10008,$A$4:$A$2700)</f>
        <v>0</v>
      </c>
      <c r="AY106" s="512">
        <f>SUMIFS(PURCHASE!$M$6:$M$10008,PURCHASE!$A$6:$A$10008,$AV$2,PURCHASE!$H$6:$H$10008,$A$4:$A$2700)</f>
        <v>0</v>
      </c>
      <c r="AZ106" s="512">
        <f>SUMIFS(PURCHASE!$N$6:$N$10008,PURCHASE!$A$6:$A$10008,$AV$2,PURCHASE!$H$6:$H$10008,$A$4:$A$2700)</f>
        <v>0</v>
      </c>
      <c r="BA106" s="512">
        <f t="shared" si="38"/>
        <v>0</v>
      </c>
      <c r="BB106" s="512">
        <f>SUMIFS(PURCHASE!$K$6:$K$10008,PURCHASE!$A$6:$A$10008,$BA$2,PURCHASE!$H$6:$H$10008,$A$4:$A$2700)</f>
        <v>0</v>
      </c>
      <c r="BC106" s="512">
        <f>SUMIFS(PURCHASE!$L$6:$L$10008,PURCHASE!$A$6:$A$10008,$BA$2,PURCHASE!$H$6:$H$10008,$A$4:$A$2700)</f>
        <v>0</v>
      </c>
      <c r="BD106" s="512">
        <f>SUMIFS(PURCHASE!$M$6:$M$10008,PURCHASE!$A$6:$A$10008,$BA$2,PURCHASE!$H$6:$H$10008,$A$4:$A$2700)</f>
        <v>0</v>
      </c>
      <c r="BE106" s="512">
        <f>SUMIFS(PURCHASE!$N$6:$N$10008,PURCHASE!$A$6:$A$10008,$BA$2,PURCHASE!$H$6:$H$10008,$A$4:$A$2700)</f>
        <v>0</v>
      </c>
      <c r="BF106" s="512">
        <f t="shared" si="39"/>
        <v>0</v>
      </c>
      <c r="BG106" s="512">
        <f>SUMIFS(PURCHASE!$K$6:$K$10008,PURCHASE!$A$6:$A$10008,$BF$2,PURCHASE!$H$6:$H$10008,$A$4:$A$2700)</f>
        <v>0</v>
      </c>
      <c r="BH106" s="512">
        <f>SUMIFS(PURCHASE!$L$6:$L$10008,PURCHASE!$A$6:$A$10008,$BF$2,PURCHASE!$H$6:$H$10008,$A$4:$A$2700)</f>
        <v>0</v>
      </c>
      <c r="BI106" s="512">
        <f>SUMIFS(PURCHASE!$M$6:$M$10008,PURCHASE!$A$6:$A$10008,$BF$2,PURCHASE!$H$6:$H$10008,$A$4:$A$2700)</f>
        <v>0</v>
      </c>
      <c r="BJ106" s="512">
        <f>SUMIFS(PURCHASE!$N$6:$N$10008,PURCHASE!$A$6:$A$10008,$BF$2,PURCHASE!$H$6:$H$10008,$A$4:$A$2700)</f>
        <v>0</v>
      </c>
      <c r="BK106" s="72">
        <f t="shared" si="23"/>
        <v>3982.5</v>
      </c>
      <c r="BL106" s="72">
        <f t="shared" si="24"/>
        <v>3375</v>
      </c>
      <c r="BM106" s="72">
        <f t="shared" si="25"/>
        <v>0</v>
      </c>
      <c r="BN106" s="72">
        <f t="shared" si="26"/>
        <v>303.75</v>
      </c>
      <c r="BO106" s="72">
        <f t="shared" si="27"/>
        <v>303.75</v>
      </c>
    </row>
    <row r="107" spans="1:67" x14ac:dyDescent="0.2">
      <c r="A107" s="511">
        <v>34022090</v>
      </c>
      <c r="B107" s="467" t="s">
        <v>1267</v>
      </c>
      <c r="C107" s="512">
        <f t="shared" si="28"/>
        <v>0</v>
      </c>
      <c r="D107" s="512">
        <f>SUMIFS(PURCHASE!$K$6:$K$10008,PURCHASE!$A$6:$A$10008,$M$2,PURCHASE!$H$6:$H$10008,$A$4:$A$2700)</f>
        <v>0</v>
      </c>
      <c r="E107" s="512">
        <f>SUMIFS(PURCHASE!$L$6:$L$10008,PURCHASE!$A$6:$A$10008,$M$2,PURCHASE!$H$6:$H$10008,$A$4:$A$2700)</f>
        <v>0</v>
      </c>
      <c r="F107" s="512">
        <f>SUMIFS(PURCHASE!$M$6:$M$10008,PURCHASE!$A$6:$A$10008,$M$2,PURCHASE!$H$6:$H$10008,$A$4:$A$2700)</f>
        <v>0</v>
      </c>
      <c r="G107" s="512">
        <f>SUMIFS(PURCHASE!$N$6:$N$10008,PURCHASE!$A$6:$A$10008,$M$2,PURCHASE!$H$6:$H$10008,$A$4:$A$2700)</f>
        <v>0</v>
      </c>
      <c r="H107" s="512">
        <f t="shared" si="29"/>
        <v>0</v>
      </c>
      <c r="I107" s="512">
        <f>SUMIFS(PURCHASE!$K$6:$K$10008,PURCHASE!$A$6:$A$10008,$H$2,PURCHASE!$H$6:$H$10008,$A$4:$A$2700)</f>
        <v>0</v>
      </c>
      <c r="J107" s="512">
        <f>SUMIFS(PURCHASE!$L$6:$L$10008,PURCHASE!$A$6:$A$10008,$H$2,PURCHASE!$H$6:$H$10008,$A$4:$A$2700)</f>
        <v>0</v>
      </c>
      <c r="K107" s="512">
        <f>SUMIFS(PURCHASE!$M$6:$M$10008,PURCHASE!$A$6:$A$10008,$H$2,PURCHASE!$H$6:$H$10008,$A$4:$A$2700)</f>
        <v>0</v>
      </c>
      <c r="L107" s="512">
        <f>SUMIFS(PURCHASE!$N$6:$N$10008,PURCHASE!$A$6:$A$10008,$H$2,PURCHASE!$H$6:$H$10008,$A$4:$A$2700)</f>
        <v>0</v>
      </c>
      <c r="M107" s="512">
        <f t="shared" si="30"/>
        <v>0</v>
      </c>
      <c r="N107" s="512">
        <f>SUMIFS(PURCHASE!$K$6:$K$10008,PURCHASE!$A$6:$A$10008,$M$2,PURCHASE!$H$6:$H$10008,$A$4:$A$2700)</f>
        <v>0</v>
      </c>
      <c r="O107" s="512">
        <f>SUMIFS(PURCHASE!$L$6:$L$10008,PURCHASE!$A$6:$A$10008,$M$2,PURCHASE!$H$6:$H$10008,$A$4:$A$2700)</f>
        <v>0</v>
      </c>
      <c r="P107" s="512">
        <f>SUMIFS(PURCHASE!$M$6:$M$10008,PURCHASE!$A$6:$A$10008,$M$2,PURCHASE!$H$6:$H$10008,$A$4:$A$2700)</f>
        <v>0</v>
      </c>
      <c r="Q107" s="512">
        <f>SUMIFS(PURCHASE!$N$6:$N$10008,PURCHASE!$A$6:$A$10008,$M$2,PURCHASE!$H$6:$H$10008,$A$4:$A$2700)</f>
        <v>0</v>
      </c>
      <c r="R107" s="512">
        <f t="shared" si="31"/>
        <v>0</v>
      </c>
      <c r="S107" s="512">
        <f>SUMIFS(PURCHASE!$K$6:$K$10008,PURCHASE!$A$6:$A$10008,$R$2,PURCHASE!$H$6:$H$10008,$A$4:$A$2700)</f>
        <v>0</v>
      </c>
      <c r="T107" s="512">
        <f>SUMIFS(PURCHASE!$L$6:$L$10008,PURCHASE!$A$6:$A$10008,$R$2,PURCHASE!$H$6:$H$10008,$A$4:$A$2700)</f>
        <v>0</v>
      </c>
      <c r="U107" s="512">
        <f>SUMIFS(PURCHASE!$M$6:$M$10008,PURCHASE!$A$6:$A$10008,$R$2,PURCHASE!$H$6:$H$10008,$A$4:$A$2700)</f>
        <v>0</v>
      </c>
      <c r="V107" s="512">
        <f>SUMIFS(PURCHASE!$N$6:$N$10008,PURCHASE!$A$6:$A$10008,$R$2,PURCHASE!$H$6:$H$10008,$A$4:$A$2700)</f>
        <v>0</v>
      </c>
      <c r="W107" s="512">
        <f t="shared" si="32"/>
        <v>948.72</v>
      </c>
      <c r="X107" s="512">
        <f>SUMIFS(PURCHASE!$K$6:$K$10008,PURCHASE!$A$6:$A$10008,$W$2,PURCHASE!$H$6:$H$10008,$A$4:$A$2700)</f>
        <v>804</v>
      </c>
      <c r="Y107" s="512">
        <f>SUMIFS(PURCHASE!$L$6:$L$10008,PURCHASE!$A$6:$A$10008,$W$2,PURCHASE!$H$6:$H$10008,$A$4:$A$2700)</f>
        <v>0</v>
      </c>
      <c r="Z107" s="512">
        <f>SUMIFS(PURCHASE!$M$6:$M$10008,PURCHASE!$A$6:$A$10008,$W$2,PURCHASE!$H$6:$H$10008,$A$4:$A$2700)</f>
        <v>72.359999999999985</v>
      </c>
      <c r="AA107" s="512">
        <f>SUMIFS(PURCHASE!$N$6:$N$10008,PURCHASE!$A$6:$A$10008,$W$2,PURCHASE!$H$6:$H$10008,$A$4:$A$2700)</f>
        <v>72.359999999999985</v>
      </c>
      <c r="AB107" s="512">
        <f t="shared" si="33"/>
        <v>0</v>
      </c>
      <c r="AC107" s="512">
        <f>SUMIFS(PURCHASE!$K$6:$K$10008,PURCHASE!$A$6:$A$10008,$AB$2,PURCHASE!$H$6:$H$10008,$A$4:$A$2700)</f>
        <v>0</v>
      </c>
      <c r="AD107" s="512">
        <f>SUMIFS(PURCHASE!$L$6:$L$10008,PURCHASE!$A$6:$A$10008,$AB$2,PURCHASE!$H$6:$H$10008,$A$4:$A$2700)</f>
        <v>0</v>
      </c>
      <c r="AE107" s="512">
        <f>SUMIFS(PURCHASE!$M$6:$M$10008,PURCHASE!$A$6:$A$10008,$AB$2,PURCHASE!$H$6:$H$10008,$A$4:$A$2700)</f>
        <v>0</v>
      </c>
      <c r="AF107" s="512">
        <f>SUMIFS(PURCHASE!$N$6:$N$10008,PURCHASE!$A$6:$A$10008,$AB$2,PURCHASE!$H$6:$H$10008,$A$4:$A$2700)</f>
        <v>0</v>
      </c>
      <c r="AG107" s="512">
        <f t="shared" si="34"/>
        <v>395.29999999999995</v>
      </c>
      <c r="AH107" s="512">
        <f>SUMIFS(PURCHASE!$K$6:$K$10008,PURCHASE!$A$6:$A$10008,$AG$2,PURCHASE!$H$6:$H$10008,$A$4:$A$2700)</f>
        <v>335</v>
      </c>
      <c r="AI107" s="512">
        <f>SUMIFS(PURCHASE!$L$6:$L$10008,PURCHASE!$A$6:$A$10008,$AG$2,PURCHASE!$H$6:$H$10008,$A$4:$A$2700)</f>
        <v>0</v>
      </c>
      <c r="AJ107" s="512">
        <f>SUMIFS(PURCHASE!$M$6:$M$10008,PURCHASE!$A$6:$A$10008,$AG$2,PURCHASE!$H$6:$H$10008,$A$4:$A$2700)</f>
        <v>30.150000000000002</v>
      </c>
      <c r="AK107" s="512">
        <f>SUMIFS(PURCHASE!$N$6:$N$10008,PURCHASE!$A$6:$A$10008,$AG$2,PURCHASE!$H$6:$H$10008,$A$4:$A$2700)</f>
        <v>30.150000000000002</v>
      </c>
      <c r="AL107" s="512">
        <f t="shared" si="35"/>
        <v>0</v>
      </c>
      <c r="AM107" s="512">
        <f>SUMIFS(PURCHASE!$K$6:$K$10008,PURCHASE!$A$6:$A$10008,$AL$2,PURCHASE!$H$6:$H$10008,$A$4:$A$2700)</f>
        <v>0</v>
      </c>
      <c r="AN107" s="512">
        <f>SUMIFS(PURCHASE!$L$6:$L$10008,PURCHASE!$A$6:$A$10008,$AL$2,PURCHASE!$H$6:$H$10008,$A$4:$A$2700)</f>
        <v>0</v>
      </c>
      <c r="AO107" s="512">
        <f>SUMIFS(PURCHASE!$M$6:$M$10008,PURCHASE!$A$6:$A$10008,$AL$2,PURCHASE!$H$6:$H$10008,$A$4:$A$2700)</f>
        <v>0</v>
      </c>
      <c r="AP107" s="512">
        <f>SUMIFS(PURCHASE!$N$6:$N$10008,PURCHASE!$A$6:$A$10008,$AL$2,PURCHASE!$H$6:$H$10008,$A$4:$A$2700)</f>
        <v>0</v>
      </c>
      <c r="AQ107" s="512">
        <f t="shared" si="36"/>
        <v>0</v>
      </c>
      <c r="AR107" s="512">
        <f>SUMIFS(PURCHASE!$K$6:$K$10008,PURCHASE!$A$6:$A$10008,$AQ$2,PURCHASE!$H$6:$H$10008,$A$4:$A$2700)</f>
        <v>0</v>
      </c>
      <c r="AS107" s="512">
        <f>SUMIFS(PURCHASE!$L$6:$L$10008,PURCHASE!$A$6:$A$10008,$AQ$2,PURCHASE!$H$6:$H$10008,$A$4:$A$2700)</f>
        <v>0</v>
      </c>
      <c r="AT107" s="512">
        <f>SUMIFS(PURCHASE!$M$6:$M$10008,PURCHASE!$A$6:$A$10008,$AQ$2,PURCHASE!$H$6:$H$10008,$A$4:$A$2700)</f>
        <v>0</v>
      </c>
      <c r="AU107" s="512">
        <f>SUMIFS(PURCHASE!$N$6:$N$10008,PURCHASE!$A$6:$A$10008,$AQ$2,PURCHASE!$H$6:$H$10008,$A$4:$A$2700)</f>
        <v>0</v>
      </c>
      <c r="AV107" s="512">
        <f t="shared" si="37"/>
        <v>237.18</v>
      </c>
      <c r="AW107" s="512">
        <f>SUMIFS(PURCHASE!$K$6:$K$10008,PURCHASE!$A$6:$A$10008,$AV$2,PURCHASE!$H$6:$H$10008,$A$4:$A$2700)</f>
        <v>201</v>
      </c>
      <c r="AX107" s="512">
        <f>SUMIFS(PURCHASE!$L$6:$L$10008,PURCHASE!$A$6:$A$10008,$AV$2,PURCHASE!$H$6:$H$10008,$A$4:$A$2700)</f>
        <v>0</v>
      </c>
      <c r="AY107" s="512">
        <f>SUMIFS(PURCHASE!$M$6:$M$10008,PURCHASE!$A$6:$A$10008,$AV$2,PURCHASE!$H$6:$H$10008,$A$4:$A$2700)</f>
        <v>18.089999999999996</v>
      </c>
      <c r="AZ107" s="512">
        <f>SUMIFS(PURCHASE!$N$6:$N$10008,PURCHASE!$A$6:$A$10008,$AV$2,PURCHASE!$H$6:$H$10008,$A$4:$A$2700)</f>
        <v>18.089999999999996</v>
      </c>
      <c r="BA107" s="512">
        <f t="shared" si="38"/>
        <v>0</v>
      </c>
      <c r="BB107" s="512">
        <f>SUMIFS(PURCHASE!$K$6:$K$10008,PURCHASE!$A$6:$A$10008,$BA$2,PURCHASE!$H$6:$H$10008,$A$4:$A$2700)</f>
        <v>0</v>
      </c>
      <c r="BC107" s="512">
        <f>SUMIFS(PURCHASE!$L$6:$L$10008,PURCHASE!$A$6:$A$10008,$BA$2,PURCHASE!$H$6:$H$10008,$A$4:$A$2700)</f>
        <v>0</v>
      </c>
      <c r="BD107" s="512">
        <f>SUMIFS(PURCHASE!$M$6:$M$10008,PURCHASE!$A$6:$A$10008,$BA$2,PURCHASE!$H$6:$H$10008,$A$4:$A$2700)</f>
        <v>0</v>
      </c>
      <c r="BE107" s="512">
        <f>SUMIFS(PURCHASE!$N$6:$N$10008,PURCHASE!$A$6:$A$10008,$BA$2,PURCHASE!$H$6:$H$10008,$A$4:$A$2700)</f>
        <v>0</v>
      </c>
      <c r="BF107" s="512">
        <f t="shared" si="39"/>
        <v>0</v>
      </c>
      <c r="BG107" s="512">
        <f>SUMIFS(PURCHASE!$K$6:$K$10008,PURCHASE!$A$6:$A$10008,$BF$2,PURCHASE!$H$6:$H$10008,$A$4:$A$2700)</f>
        <v>0</v>
      </c>
      <c r="BH107" s="512">
        <f>SUMIFS(PURCHASE!$L$6:$L$10008,PURCHASE!$A$6:$A$10008,$BF$2,PURCHASE!$H$6:$H$10008,$A$4:$A$2700)</f>
        <v>0</v>
      </c>
      <c r="BI107" s="512">
        <f>SUMIFS(PURCHASE!$M$6:$M$10008,PURCHASE!$A$6:$A$10008,$BF$2,PURCHASE!$H$6:$H$10008,$A$4:$A$2700)</f>
        <v>0</v>
      </c>
      <c r="BJ107" s="512">
        <f>SUMIFS(PURCHASE!$N$6:$N$10008,PURCHASE!$A$6:$A$10008,$BF$2,PURCHASE!$H$6:$H$10008,$A$4:$A$2700)</f>
        <v>0</v>
      </c>
      <c r="BK107" s="72">
        <f t="shared" si="23"/>
        <v>1581.2</v>
      </c>
      <c r="BL107" s="72">
        <f t="shared" si="24"/>
        <v>1340</v>
      </c>
      <c r="BM107" s="72">
        <f t="shared" si="25"/>
        <v>0</v>
      </c>
      <c r="BN107" s="72">
        <f t="shared" si="26"/>
        <v>120.6</v>
      </c>
      <c r="BO107" s="72">
        <f t="shared" si="27"/>
        <v>120.6</v>
      </c>
    </row>
    <row r="108" spans="1:67" x14ac:dyDescent="0.2">
      <c r="A108" s="511">
        <v>34029092</v>
      </c>
      <c r="B108" s="467" t="s">
        <v>1268</v>
      </c>
      <c r="C108" s="512">
        <f t="shared" si="28"/>
        <v>9440</v>
      </c>
      <c r="D108" s="512">
        <f>SUMIFS(PURCHASE!$K$6:$K$10008,PURCHASE!$A$6:$A$10008,$M$2,PURCHASE!$H$6:$H$10008,$A$4:$A$2700)</f>
        <v>8000</v>
      </c>
      <c r="E108" s="512">
        <f>SUMIFS(PURCHASE!$L$6:$L$10008,PURCHASE!$A$6:$A$10008,$M$2,PURCHASE!$H$6:$H$10008,$A$4:$A$2700)</f>
        <v>0</v>
      </c>
      <c r="F108" s="512">
        <f>SUMIFS(PURCHASE!$M$6:$M$10008,PURCHASE!$A$6:$A$10008,$M$2,PURCHASE!$H$6:$H$10008,$A$4:$A$2700)</f>
        <v>720</v>
      </c>
      <c r="G108" s="512">
        <f>SUMIFS(PURCHASE!$N$6:$N$10008,PURCHASE!$A$6:$A$10008,$M$2,PURCHASE!$H$6:$H$10008,$A$4:$A$2700)</f>
        <v>720</v>
      </c>
      <c r="H108" s="512">
        <f t="shared" si="29"/>
        <v>0</v>
      </c>
      <c r="I108" s="512">
        <f>SUMIFS(PURCHASE!$K$6:$K$10008,PURCHASE!$A$6:$A$10008,$H$2,PURCHASE!$H$6:$H$10008,$A$4:$A$2700)</f>
        <v>0</v>
      </c>
      <c r="J108" s="512">
        <f>SUMIFS(PURCHASE!$L$6:$L$10008,PURCHASE!$A$6:$A$10008,$H$2,PURCHASE!$H$6:$H$10008,$A$4:$A$2700)</f>
        <v>0</v>
      </c>
      <c r="K108" s="512">
        <f>SUMIFS(PURCHASE!$M$6:$M$10008,PURCHASE!$A$6:$A$10008,$H$2,PURCHASE!$H$6:$H$10008,$A$4:$A$2700)</f>
        <v>0</v>
      </c>
      <c r="L108" s="512">
        <f>SUMIFS(PURCHASE!$N$6:$N$10008,PURCHASE!$A$6:$A$10008,$H$2,PURCHASE!$H$6:$H$10008,$A$4:$A$2700)</f>
        <v>0</v>
      </c>
      <c r="M108" s="512">
        <f t="shared" si="30"/>
        <v>9440</v>
      </c>
      <c r="N108" s="512">
        <f>SUMIFS(PURCHASE!$K$6:$K$10008,PURCHASE!$A$6:$A$10008,$M$2,PURCHASE!$H$6:$H$10008,$A$4:$A$2700)</f>
        <v>8000</v>
      </c>
      <c r="O108" s="512">
        <f>SUMIFS(PURCHASE!$L$6:$L$10008,PURCHASE!$A$6:$A$10008,$M$2,PURCHASE!$H$6:$H$10008,$A$4:$A$2700)</f>
        <v>0</v>
      </c>
      <c r="P108" s="512">
        <f>SUMIFS(PURCHASE!$M$6:$M$10008,PURCHASE!$A$6:$A$10008,$M$2,PURCHASE!$H$6:$H$10008,$A$4:$A$2700)</f>
        <v>720</v>
      </c>
      <c r="Q108" s="512">
        <f>SUMIFS(PURCHASE!$N$6:$N$10008,PURCHASE!$A$6:$A$10008,$M$2,PURCHASE!$H$6:$H$10008,$A$4:$A$2700)</f>
        <v>720</v>
      </c>
      <c r="R108" s="512">
        <f t="shared" si="31"/>
        <v>0</v>
      </c>
      <c r="S108" s="512">
        <f>SUMIFS(PURCHASE!$K$6:$K$10008,PURCHASE!$A$6:$A$10008,$R$2,PURCHASE!$H$6:$H$10008,$A$4:$A$2700)</f>
        <v>0</v>
      </c>
      <c r="T108" s="512">
        <f>SUMIFS(PURCHASE!$L$6:$L$10008,PURCHASE!$A$6:$A$10008,$R$2,PURCHASE!$H$6:$H$10008,$A$4:$A$2700)</f>
        <v>0</v>
      </c>
      <c r="U108" s="512">
        <f>SUMIFS(PURCHASE!$M$6:$M$10008,PURCHASE!$A$6:$A$10008,$R$2,PURCHASE!$H$6:$H$10008,$A$4:$A$2700)</f>
        <v>0</v>
      </c>
      <c r="V108" s="512">
        <f>SUMIFS(PURCHASE!$N$6:$N$10008,PURCHASE!$A$6:$A$10008,$R$2,PURCHASE!$H$6:$H$10008,$A$4:$A$2700)</f>
        <v>0</v>
      </c>
      <c r="W108" s="512">
        <f t="shared" si="32"/>
        <v>0</v>
      </c>
      <c r="X108" s="512">
        <f>SUMIFS(PURCHASE!$K$6:$K$10008,PURCHASE!$A$6:$A$10008,$W$2,PURCHASE!$H$6:$H$10008,$A$4:$A$2700)</f>
        <v>0</v>
      </c>
      <c r="Y108" s="512">
        <f>SUMIFS(PURCHASE!$L$6:$L$10008,PURCHASE!$A$6:$A$10008,$W$2,PURCHASE!$H$6:$H$10008,$A$4:$A$2700)</f>
        <v>0</v>
      </c>
      <c r="Z108" s="512">
        <f>SUMIFS(PURCHASE!$M$6:$M$10008,PURCHASE!$A$6:$A$10008,$W$2,PURCHASE!$H$6:$H$10008,$A$4:$A$2700)</f>
        <v>0</v>
      </c>
      <c r="AA108" s="512">
        <f>SUMIFS(PURCHASE!$N$6:$N$10008,PURCHASE!$A$6:$A$10008,$W$2,PURCHASE!$H$6:$H$10008,$A$4:$A$2700)</f>
        <v>0</v>
      </c>
      <c r="AB108" s="512">
        <f t="shared" si="33"/>
        <v>0</v>
      </c>
      <c r="AC108" s="512">
        <f>SUMIFS(PURCHASE!$K$6:$K$10008,PURCHASE!$A$6:$A$10008,$AB$2,PURCHASE!$H$6:$H$10008,$A$4:$A$2700)</f>
        <v>0</v>
      </c>
      <c r="AD108" s="512">
        <f>SUMIFS(PURCHASE!$L$6:$L$10008,PURCHASE!$A$6:$A$10008,$AB$2,PURCHASE!$H$6:$H$10008,$A$4:$A$2700)</f>
        <v>0</v>
      </c>
      <c r="AE108" s="512">
        <f>SUMIFS(PURCHASE!$M$6:$M$10008,PURCHASE!$A$6:$A$10008,$AB$2,PURCHASE!$H$6:$H$10008,$A$4:$A$2700)</f>
        <v>0</v>
      </c>
      <c r="AF108" s="512">
        <f>SUMIFS(PURCHASE!$N$6:$N$10008,PURCHASE!$A$6:$A$10008,$AB$2,PURCHASE!$H$6:$H$10008,$A$4:$A$2700)</f>
        <v>0</v>
      </c>
      <c r="AG108" s="512">
        <f t="shared" si="34"/>
        <v>9440</v>
      </c>
      <c r="AH108" s="512">
        <f>SUMIFS(PURCHASE!$K$6:$K$10008,PURCHASE!$A$6:$A$10008,$AG$2,PURCHASE!$H$6:$H$10008,$A$4:$A$2700)</f>
        <v>8000</v>
      </c>
      <c r="AI108" s="512">
        <f>SUMIFS(PURCHASE!$L$6:$L$10008,PURCHASE!$A$6:$A$10008,$AG$2,PURCHASE!$H$6:$H$10008,$A$4:$A$2700)</f>
        <v>0</v>
      </c>
      <c r="AJ108" s="512">
        <f>SUMIFS(PURCHASE!$M$6:$M$10008,PURCHASE!$A$6:$A$10008,$AG$2,PURCHASE!$H$6:$H$10008,$A$4:$A$2700)</f>
        <v>720</v>
      </c>
      <c r="AK108" s="512">
        <f>SUMIFS(PURCHASE!$N$6:$N$10008,PURCHASE!$A$6:$A$10008,$AG$2,PURCHASE!$H$6:$H$10008,$A$4:$A$2700)</f>
        <v>720</v>
      </c>
      <c r="AL108" s="512">
        <f t="shared" si="35"/>
        <v>9440</v>
      </c>
      <c r="AM108" s="512">
        <f>SUMIFS(PURCHASE!$K$6:$K$10008,PURCHASE!$A$6:$A$10008,$AL$2,PURCHASE!$H$6:$H$10008,$A$4:$A$2700)</f>
        <v>8000</v>
      </c>
      <c r="AN108" s="512">
        <f>SUMIFS(PURCHASE!$L$6:$L$10008,PURCHASE!$A$6:$A$10008,$AL$2,PURCHASE!$H$6:$H$10008,$A$4:$A$2700)</f>
        <v>0</v>
      </c>
      <c r="AO108" s="512">
        <f>SUMIFS(PURCHASE!$M$6:$M$10008,PURCHASE!$A$6:$A$10008,$AL$2,PURCHASE!$H$6:$H$10008,$A$4:$A$2700)</f>
        <v>720</v>
      </c>
      <c r="AP108" s="512">
        <f>SUMIFS(PURCHASE!$N$6:$N$10008,PURCHASE!$A$6:$A$10008,$AL$2,PURCHASE!$H$6:$H$10008,$A$4:$A$2700)</f>
        <v>720</v>
      </c>
      <c r="AQ108" s="512">
        <f t="shared" si="36"/>
        <v>9440</v>
      </c>
      <c r="AR108" s="512">
        <f>SUMIFS(PURCHASE!$K$6:$K$10008,PURCHASE!$A$6:$A$10008,$AQ$2,PURCHASE!$H$6:$H$10008,$A$4:$A$2700)</f>
        <v>8000</v>
      </c>
      <c r="AS108" s="512">
        <f>SUMIFS(PURCHASE!$L$6:$L$10008,PURCHASE!$A$6:$A$10008,$AQ$2,PURCHASE!$H$6:$H$10008,$A$4:$A$2700)</f>
        <v>0</v>
      </c>
      <c r="AT108" s="512">
        <f>SUMIFS(PURCHASE!$M$6:$M$10008,PURCHASE!$A$6:$A$10008,$AQ$2,PURCHASE!$H$6:$H$10008,$A$4:$A$2700)</f>
        <v>720</v>
      </c>
      <c r="AU108" s="512">
        <f>SUMIFS(PURCHASE!$N$6:$N$10008,PURCHASE!$A$6:$A$10008,$AQ$2,PURCHASE!$H$6:$H$10008,$A$4:$A$2700)</f>
        <v>720</v>
      </c>
      <c r="AV108" s="512">
        <f t="shared" si="37"/>
        <v>0</v>
      </c>
      <c r="AW108" s="512">
        <f>SUMIFS(PURCHASE!$K$6:$K$10008,PURCHASE!$A$6:$A$10008,$AV$2,PURCHASE!$H$6:$H$10008,$A$4:$A$2700)</f>
        <v>0</v>
      </c>
      <c r="AX108" s="512">
        <f>SUMIFS(PURCHASE!$L$6:$L$10008,PURCHASE!$A$6:$A$10008,$AV$2,PURCHASE!$H$6:$H$10008,$A$4:$A$2700)</f>
        <v>0</v>
      </c>
      <c r="AY108" s="512">
        <f>SUMIFS(PURCHASE!$M$6:$M$10008,PURCHASE!$A$6:$A$10008,$AV$2,PURCHASE!$H$6:$H$10008,$A$4:$A$2700)</f>
        <v>0</v>
      </c>
      <c r="AZ108" s="512">
        <f>SUMIFS(PURCHASE!$N$6:$N$10008,PURCHASE!$A$6:$A$10008,$AV$2,PURCHASE!$H$6:$H$10008,$A$4:$A$2700)</f>
        <v>0</v>
      </c>
      <c r="BA108" s="512">
        <f t="shared" si="38"/>
        <v>0</v>
      </c>
      <c r="BB108" s="512">
        <f>SUMIFS(PURCHASE!$K$6:$K$10008,PURCHASE!$A$6:$A$10008,$BA$2,PURCHASE!$H$6:$H$10008,$A$4:$A$2700)</f>
        <v>0</v>
      </c>
      <c r="BC108" s="512">
        <f>SUMIFS(PURCHASE!$L$6:$L$10008,PURCHASE!$A$6:$A$10008,$BA$2,PURCHASE!$H$6:$H$10008,$A$4:$A$2700)</f>
        <v>0</v>
      </c>
      <c r="BD108" s="512">
        <f>SUMIFS(PURCHASE!$M$6:$M$10008,PURCHASE!$A$6:$A$10008,$BA$2,PURCHASE!$H$6:$H$10008,$A$4:$A$2700)</f>
        <v>0</v>
      </c>
      <c r="BE108" s="512">
        <f>SUMIFS(PURCHASE!$N$6:$N$10008,PURCHASE!$A$6:$A$10008,$BA$2,PURCHASE!$H$6:$H$10008,$A$4:$A$2700)</f>
        <v>0</v>
      </c>
      <c r="BF108" s="512">
        <f t="shared" si="39"/>
        <v>0</v>
      </c>
      <c r="BG108" s="512">
        <f>SUMIFS(PURCHASE!$K$6:$K$10008,PURCHASE!$A$6:$A$10008,$BF$2,PURCHASE!$H$6:$H$10008,$A$4:$A$2700)</f>
        <v>0</v>
      </c>
      <c r="BH108" s="512">
        <f>SUMIFS(PURCHASE!$L$6:$L$10008,PURCHASE!$A$6:$A$10008,$BF$2,PURCHASE!$H$6:$H$10008,$A$4:$A$2700)</f>
        <v>0</v>
      </c>
      <c r="BI108" s="512">
        <f>SUMIFS(PURCHASE!$M$6:$M$10008,PURCHASE!$A$6:$A$10008,$BF$2,PURCHASE!$H$6:$H$10008,$A$4:$A$2700)</f>
        <v>0</v>
      </c>
      <c r="BJ108" s="512">
        <f>SUMIFS(PURCHASE!$N$6:$N$10008,PURCHASE!$A$6:$A$10008,$BF$2,PURCHASE!$H$6:$H$10008,$A$4:$A$2700)</f>
        <v>0</v>
      </c>
      <c r="BK108" s="72">
        <f t="shared" si="23"/>
        <v>47200</v>
      </c>
      <c r="BL108" s="72">
        <f t="shared" si="24"/>
        <v>40000</v>
      </c>
      <c r="BM108" s="72">
        <f t="shared" si="25"/>
        <v>0</v>
      </c>
      <c r="BN108" s="72">
        <f t="shared" si="26"/>
        <v>3600</v>
      </c>
      <c r="BO108" s="72">
        <f t="shared" si="27"/>
        <v>3600</v>
      </c>
    </row>
    <row r="109" spans="1:67" x14ac:dyDescent="0.2">
      <c r="A109" s="511">
        <v>34039900</v>
      </c>
      <c r="B109" s="467" t="s">
        <v>1269</v>
      </c>
      <c r="C109" s="512">
        <f t="shared" si="28"/>
        <v>0</v>
      </c>
      <c r="D109" s="512">
        <f>SUMIFS(PURCHASE!$K$6:$K$10008,PURCHASE!$A$6:$A$10008,$M$2,PURCHASE!$H$6:$H$10008,$A$4:$A$2700)</f>
        <v>0</v>
      </c>
      <c r="E109" s="512">
        <f>SUMIFS(PURCHASE!$L$6:$L$10008,PURCHASE!$A$6:$A$10008,$M$2,PURCHASE!$H$6:$H$10008,$A$4:$A$2700)</f>
        <v>0</v>
      </c>
      <c r="F109" s="512">
        <f>SUMIFS(PURCHASE!$M$6:$M$10008,PURCHASE!$A$6:$A$10008,$M$2,PURCHASE!$H$6:$H$10008,$A$4:$A$2700)</f>
        <v>0</v>
      </c>
      <c r="G109" s="512">
        <f>SUMIFS(PURCHASE!$N$6:$N$10008,PURCHASE!$A$6:$A$10008,$M$2,PURCHASE!$H$6:$H$10008,$A$4:$A$2700)</f>
        <v>0</v>
      </c>
      <c r="H109" s="512">
        <f t="shared" si="29"/>
        <v>0</v>
      </c>
      <c r="I109" s="512">
        <f>SUMIFS(PURCHASE!$K$6:$K$10008,PURCHASE!$A$6:$A$10008,$H$2,PURCHASE!$H$6:$H$10008,$A$4:$A$2700)</f>
        <v>0</v>
      </c>
      <c r="J109" s="512">
        <f>SUMIFS(PURCHASE!$L$6:$L$10008,PURCHASE!$A$6:$A$10008,$H$2,PURCHASE!$H$6:$H$10008,$A$4:$A$2700)</f>
        <v>0</v>
      </c>
      <c r="K109" s="512">
        <f>SUMIFS(PURCHASE!$M$6:$M$10008,PURCHASE!$A$6:$A$10008,$H$2,PURCHASE!$H$6:$H$10008,$A$4:$A$2700)</f>
        <v>0</v>
      </c>
      <c r="L109" s="512">
        <f>SUMIFS(PURCHASE!$N$6:$N$10008,PURCHASE!$A$6:$A$10008,$H$2,PURCHASE!$H$6:$H$10008,$A$4:$A$2700)</f>
        <v>0</v>
      </c>
      <c r="M109" s="512">
        <f t="shared" si="30"/>
        <v>0</v>
      </c>
      <c r="N109" s="512">
        <f>SUMIFS(PURCHASE!$K$6:$K$10008,PURCHASE!$A$6:$A$10008,$M$2,PURCHASE!$H$6:$H$10008,$A$4:$A$2700)</f>
        <v>0</v>
      </c>
      <c r="O109" s="512">
        <f>SUMIFS(PURCHASE!$L$6:$L$10008,PURCHASE!$A$6:$A$10008,$M$2,PURCHASE!$H$6:$H$10008,$A$4:$A$2700)</f>
        <v>0</v>
      </c>
      <c r="P109" s="512">
        <f>SUMIFS(PURCHASE!$M$6:$M$10008,PURCHASE!$A$6:$A$10008,$M$2,PURCHASE!$H$6:$H$10008,$A$4:$A$2700)</f>
        <v>0</v>
      </c>
      <c r="Q109" s="512">
        <f>SUMIFS(PURCHASE!$N$6:$N$10008,PURCHASE!$A$6:$A$10008,$M$2,PURCHASE!$H$6:$H$10008,$A$4:$A$2700)</f>
        <v>0</v>
      </c>
      <c r="R109" s="512">
        <f t="shared" si="31"/>
        <v>0</v>
      </c>
      <c r="S109" s="512">
        <f>SUMIFS(PURCHASE!$K$6:$K$10008,PURCHASE!$A$6:$A$10008,$R$2,PURCHASE!$H$6:$H$10008,$A$4:$A$2700)</f>
        <v>0</v>
      </c>
      <c r="T109" s="512">
        <f>SUMIFS(PURCHASE!$L$6:$L$10008,PURCHASE!$A$6:$A$10008,$R$2,PURCHASE!$H$6:$H$10008,$A$4:$A$2700)</f>
        <v>0</v>
      </c>
      <c r="U109" s="512">
        <f>SUMIFS(PURCHASE!$M$6:$M$10008,PURCHASE!$A$6:$A$10008,$R$2,PURCHASE!$H$6:$H$10008,$A$4:$A$2700)</f>
        <v>0</v>
      </c>
      <c r="V109" s="512">
        <f>SUMIFS(PURCHASE!$N$6:$N$10008,PURCHASE!$A$6:$A$10008,$R$2,PURCHASE!$H$6:$H$10008,$A$4:$A$2700)</f>
        <v>0</v>
      </c>
      <c r="W109" s="512">
        <f t="shared" si="32"/>
        <v>0</v>
      </c>
      <c r="X109" s="512">
        <f>SUMIFS(PURCHASE!$K$6:$K$10008,PURCHASE!$A$6:$A$10008,$W$2,PURCHASE!$H$6:$H$10008,$A$4:$A$2700)</f>
        <v>0</v>
      </c>
      <c r="Y109" s="512">
        <f>SUMIFS(PURCHASE!$L$6:$L$10008,PURCHASE!$A$6:$A$10008,$W$2,PURCHASE!$H$6:$H$10008,$A$4:$A$2700)</f>
        <v>0</v>
      </c>
      <c r="Z109" s="512">
        <f>SUMIFS(PURCHASE!$M$6:$M$10008,PURCHASE!$A$6:$A$10008,$W$2,PURCHASE!$H$6:$H$10008,$A$4:$A$2700)</f>
        <v>0</v>
      </c>
      <c r="AA109" s="512">
        <f>SUMIFS(PURCHASE!$N$6:$N$10008,PURCHASE!$A$6:$A$10008,$W$2,PURCHASE!$H$6:$H$10008,$A$4:$A$2700)</f>
        <v>0</v>
      </c>
      <c r="AB109" s="512">
        <f t="shared" si="33"/>
        <v>0</v>
      </c>
      <c r="AC109" s="512">
        <f>SUMIFS(PURCHASE!$K$6:$K$10008,PURCHASE!$A$6:$A$10008,$AB$2,PURCHASE!$H$6:$H$10008,$A$4:$A$2700)</f>
        <v>0</v>
      </c>
      <c r="AD109" s="512">
        <f>SUMIFS(PURCHASE!$L$6:$L$10008,PURCHASE!$A$6:$A$10008,$AB$2,PURCHASE!$H$6:$H$10008,$A$4:$A$2700)</f>
        <v>0</v>
      </c>
      <c r="AE109" s="512">
        <f>SUMIFS(PURCHASE!$M$6:$M$10008,PURCHASE!$A$6:$A$10008,$AB$2,PURCHASE!$H$6:$H$10008,$A$4:$A$2700)</f>
        <v>0</v>
      </c>
      <c r="AF109" s="512">
        <f>SUMIFS(PURCHASE!$N$6:$N$10008,PURCHASE!$A$6:$A$10008,$AB$2,PURCHASE!$H$6:$H$10008,$A$4:$A$2700)</f>
        <v>0</v>
      </c>
      <c r="AG109" s="512">
        <f t="shared" si="34"/>
        <v>0</v>
      </c>
      <c r="AH109" s="512">
        <f>SUMIFS(PURCHASE!$K$6:$K$10008,PURCHASE!$A$6:$A$10008,$AG$2,PURCHASE!$H$6:$H$10008,$A$4:$A$2700)</f>
        <v>0</v>
      </c>
      <c r="AI109" s="512">
        <f>SUMIFS(PURCHASE!$L$6:$L$10008,PURCHASE!$A$6:$A$10008,$AG$2,PURCHASE!$H$6:$H$10008,$A$4:$A$2700)</f>
        <v>0</v>
      </c>
      <c r="AJ109" s="512">
        <f>SUMIFS(PURCHASE!$M$6:$M$10008,PURCHASE!$A$6:$A$10008,$AG$2,PURCHASE!$H$6:$H$10008,$A$4:$A$2700)</f>
        <v>0</v>
      </c>
      <c r="AK109" s="512">
        <f>SUMIFS(PURCHASE!$N$6:$N$10008,PURCHASE!$A$6:$A$10008,$AG$2,PURCHASE!$H$6:$H$10008,$A$4:$A$2700)</f>
        <v>0</v>
      </c>
      <c r="AL109" s="512">
        <f t="shared" si="35"/>
        <v>0</v>
      </c>
      <c r="AM109" s="512">
        <f>SUMIFS(PURCHASE!$K$6:$K$10008,PURCHASE!$A$6:$A$10008,$AL$2,PURCHASE!$H$6:$H$10008,$A$4:$A$2700)</f>
        <v>0</v>
      </c>
      <c r="AN109" s="512">
        <f>SUMIFS(PURCHASE!$L$6:$L$10008,PURCHASE!$A$6:$A$10008,$AL$2,PURCHASE!$H$6:$H$10008,$A$4:$A$2700)</f>
        <v>0</v>
      </c>
      <c r="AO109" s="512">
        <f>SUMIFS(PURCHASE!$M$6:$M$10008,PURCHASE!$A$6:$A$10008,$AL$2,PURCHASE!$H$6:$H$10008,$A$4:$A$2700)</f>
        <v>0</v>
      </c>
      <c r="AP109" s="512">
        <f>SUMIFS(PURCHASE!$N$6:$N$10008,PURCHASE!$A$6:$A$10008,$AL$2,PURCHASE!$H$6:$H$10008,$A$4:$A$2700)</f>
        <v>0</v>
      </c>
      <c r="AQ109" s="512">
        <f t="shared" si="36"/>
        <v>0</v>
      </c>
      <c r="AR109" s="512">
        <f>SUMIFS(PURCHASE!$K$6:$K$10008,PURCHASE!$A$6:$A$10008,$AQ$2,PURCHASE!$H$6:$H$10008,$A$4:$A$2700)</f>
        <v>0</v>
      </c>
      <c r="AS109" s="512">
        <f>SUMIFS(PURCHASE!$L$6:$L$10008,PURCHASE!$A$6:$A$10008,$AQ$2,PURCHASE!$H$6:$H$10008,$A$4:$A$2700)</f>
        <v>0</v>
      </c>
      <c r="AT109" s="512">
        <f>SUMIFS(PURCHASE!$M$6:$M$10008,PURCHASE!$A$6:$A$10008,$AQ$2,PURCHASE!$H$6:$H$10008,$A$4:$A$2700)</f>
        <v>0</v>
      </c>
      <c r="AU109" s="512">
        <f>SUMIFS(PURCHASE!$N$6:$N$10008,PURCHASE!$A$6:$A$10008,$AQ$2,PURCHASE!$H$6:$H$10008,$A$4:$A$2700)</f>
        <v>0</v>
      </c>
      <c r="AV109" s="512">
        <f t="shared" si="37"/>
        <v>0</v>
      </c>
      <c r="AW109" s="512">
        <f>SUMIFS(PURCHASE!$K$6:$K$10008,PURCHASE!$A$6:$A$10008,$AV$2,PURCHASE!$H$6:$H$10008,$A$4:$A$2700)</f>
        <v>0</v>
      </c>
      <c r="AX109" s="512">
        <f>SUMIFS(PURCHASE!$L$6:$L$10008,PURCHASE!$A$6:$A$10008,$AV$2,PURCHASE!$H$6:$H$10008,$A$4:$A$2700)</f>
        <v>0</v>
      </c>
      <c r="AY109" s="512">
        <f>SUMIFS(PURCHASE!$M$6:$M$10008,PURCHASE!$A$6:$A$10008,$AV$2,PURCHASE!$H$6:$H$10008,$A$4:$A$2700)</f>
        <v>0</v>
      </c>
      <c r="AZ109" s="512">
        <f>SUMIFS(PURCHASE!$N$6:$N$10008,PURCHASE!$A$6:$A$10008,$AV$2,PURCHASE!$H$6:$H$10008,$A$4:$A$2700)</f>
        <v>0</v>
      </c>
      <c r="BA109" s="512">
        <f t="shared" si="38"/>
        <v>0</v>
      </c>
      <c r="BB109" s="512">
        <f>SUMIFS(PURCHASE!$K$6:$K$10008,PURCHASE!$A$6:$A$10008,$BA$2,PURCHASE!$H$6:$H$10008,$A$4:$A$2700)</f>
        <v>0</v>
      </c>
      <c r="BC109" s="512">
        <f>SUMIFS(PURCHASE!$L$6:$L$10008,PURCHASE!$A$6:$A$10008,$BA$2,PURCHASE!$H$6:$H$10008,$A$4:$A$2700)</f>
        <v>0</v>
      </c>
      <c r="BD109" s="512">
        <f>SUMIFS(PURCHASE!$M$6:$M$10008,PURCHASE!$A$6:$A$10008,$BA$2,PURCHASE!$H$6:$H$10008,$A$4:$A$2700)</f>
        <v>0</v>
      </c>
      <c r="BE109" s="512">
        <f>SUMIFS(PURCHASE!$N$6:$N$10008,PURCHASE!$A$6:$A$10008,$BA$2,PURCHASE!$H$6:$H$10008,$A$4:$A$2700)</f>
        <v>0</v>
      </c>
      <c r="BF109" s="512">
        <f t="shared" si="39"/>
        <v>0</v>
      </c>
      <c r="BG109" s="512">
        <f>SUMIFS(PURCHASE!$K$6:$K$10008,PURCHASE!$A$6:$A$10008,$BF$2,PURCHASE!$H$6:$H$10008,$A$4:$A$2700)</f>
        <v>0</v>
      </c>
      <c r="BH109" s="512">
        <f>SUMIFS(PURCHASE!$L$6:$L$10008,PURCHASE!$A$6:$A$10008,$BF$2,PURCHASE!$H$6:$H$10008,$A$4:$A$2700)</f>
        <v>0</v>
      </c>
      <c r="BI109" s="512">
        <f>SUMIFS(PURCHASE!$M$6:$M$10008,PURCHASE!$A$6:$A$10008,$BF$2,PURCHASE!$H$6:$H$10008,$A$4:$A$2700)</f>
        <v>0</v>
      </c>
      <c r="BJ109" s="512">
        <f>SUMIFS(PURCHASE!$N$6:$N$10008,PURCHASE!$A$6:$A$10008,$BF$2,PURCHASE!$H$6:$H$10008,$A$4:$A$2700)</f>
        <v>0</v>
      </c>
      <c r="BK109" s="72">
        <f t="shared" si="23"/>
        <v>0</v>
      </c>
      <c r="BL109" s="72">
        <f t="shared" si="24"/>
        <v>0</v>
      </c>
      <c r="BM109" s="72">
        <f t="shared" si="25"/>
        <v>0</v>
      </c>
      <c r="BN109" s="72">
        <f t="shared" si="26"/>
        <v>0</v>
      </c>
      <c r="BO109" s="72">
        <f t="shared" si="27"/>
        <v>0</v>
      </c>
    </row>
    <row r="110" spans="1:67" x14ac:dyDescent="0.2">
      <c r="A110" s="511">
        <v>37079090</v>
      </c>
      <c r="B110" s="467" t="s">
        <v>1270</v>
      </c>
      <c r="C110" s="512">
        <f t="shared" si="28"/>
        <v>708</v>
      </c>
      <c r="D110" s="512">
        <f>SUMIFS(PURCHASE!$K$6:$K$10008,PURCHASE!$A$6:$A$10008,$M$2,PURCHASE!$H$6:$H$10008,$A$4:$A$2700)</f>
        <v>600</v>
      </c>
      <c r="E110" s="512">
        <f>SUMIFS(PURCHASE!$L$6:$L$10008,PURCHASE!$A$6:$A$10008,$M$2,PURCHASE!$H$6:$H$10008,$A$4:$A$2700)</f>
        <v>0</v>
      </c>
      <c r="F110" s="512">
        <f>SUMIFS(PURCHASE!$M$6:$M$10008,PURCHASE!$A$6:$A$10008,$M$2,PURCHASE!$H$6:$H$10008,$A$4:$A$2700)</f>
        <v>54</v>
      </c>
      <c r="G110" s="512">
        <f>SUMIFS(PURCHASE!$N$6:$N$10008,PURCHASE!$A$6:$A$10008,$M$2,PURCHASE!$H$6:$H$10008,$A$4:$A$2700)</f>
        <v>54</v>
      </c>
      <c r="H110" s="512">
        <f t="shared" si="29"/>
        <v>1062</v>
      </c>
      <c r="I110" s="512">
        <f>SUMIFS(PURCHASE!$K$6:$K$10008,PURCHASE!$A$6:$A$10008,$H$2,PURCHASE!$H$6:$H$10008,$A$4:$A$2700)</f>
        <v>900</v>
      </c>
      <c r="J110" s="512">
        <f>SUMIFS(PURCHASE!$L$6:$L$10008,PURCHASE!$A$6:$A$10008,$H$2,PURCHASE!$H$6:$H$10008,$A$4:$A$2700)</f>
        <v>0</v>
      </c>
      <c r="K110" s="512">
        <f>SUMIFS(PURCHASE!$M$6:$M$10008,PURCHASE!$A$6:$A$10008,$H$2,PURCHASE!$H$6:$H$10008,$A$4:$A$2700)</f>
        <v>81</v>
      </c>
      <c r="L110" s="512">
        <f>SUMIFS(PURCHASE!$N$6:$N$10008,PURCHASE!$A$6:$A$10008,$H$2,PURCHASE!$H$6:$H$10008,$A$4:$A$2700)</f>
        <v>81</v>
      </c>
      <c r="M110" s="512">
        <f t="shared" si="30"/>
        <v>708</v>
      </c>
      <c r="N110" s="512">
        <f>SUMIFS(PURCHASE!$K$6:$K$10008,PURCHASE!$A$6:$A$10008,$M$2,PURCHASE!$H$6:$H$10008,$A$4:$A$2700)</f>
        <v>600</v>
      </c>
      <c r="O110" s="512">
        <f>SUMIFS(PURCHASE!$L$6:$L$10008,PURCHASE!$A$6:$A$10008,$M$2,PURCHASE!$H$6:$H$10008,$A$4:$A$2700)</f>
        <v>0</v>
      </c>
      <c r="P110" s="512">
        <f>SUMIFS(PURCHASE!$M$6:$M$10008,PURCHASE!$A$6:$A$10008,$M$2,PURCHASE!$H$6:$H$10008,$A$4:$A$2700)</f>
        <v>54</v>
      </c>
      <c r="Q110" s="512">
        <f>SUMIFS(PURCHASE!$N$6:$N$10008,PURCHASE!$A$6:$A$10008,$M$2,PURCHASE!$H$6:$H$10008,$A$4:$A$2700)</f>
        <v>54</v>
      </c>
      <c r="R110" s="512">
        <f t="shared" si="31"/>
        <v>354</v>
      </c>
      <c r="S110" s="512">
        <f>SUMIFS(PURCHASE!$K$6:$K$10008,PURCHASE!$A$6:$A$10008,$R$2,PURCHASE!$H$6:$H$10008,$A$4:$A$2700)</f>
        <v>300</v>
      </c>
      <c r="T110" s="512">
        <f>SUMIFS(PURCHASE!$L$6:$L$10008,PURCHASE!$A$6:$A$10008,$R$2,PURCHASE!$H$6:$H$10008,$A$4:$A$2700)</f>
        <v>0</v>
      </c>
      <c r="U110" s="512">
        <f>SUMIFS(PURCHASE!$M$6:$M$10008,PURCHASE!$A$6:$A$10008,$R$2,PURCHASE!$H$6:$H$10008,$A$4:$A$2700)</f>
        <v>27</v>
      </c>
      <c r="V110" s="512">
        <f>SUMIFS(PURCHASE!$N$6:$N$10008,PURCHASE!$A$6:$A$10008,$R$2,PURCHASE!$H$6:$H$10008,$A$4:$A$2700)</f>
        <v>27</v>
      </c>
      <c r="W110" s="512">
        <f t="shared" si="32"/>
        <v>0</v>
      </c>
      <c r="X110" s="512">
        <f>SUMIFS(PURCHASE!$K$6:$K$10008,PURCHASE!$A$6:$A$10008,$W$2,PURCHASE!$H$6:$H$10008,$A$4:$A$2700)</f>
        <v>0</v>
      </c>
      <c r="Y110" s="512">
        <f>SUMIFS(PURCHASE!$L$6:$L$10008,PURCHASE!$A$6:$A$10008,$W$2,PURCHASE!$H$6:$H$10008,$A$4:$A$2700)</f>
        <v>0</v>
      </c>
      <c r="Z110" s="512">
        <f>SUMIFS(PURCHASE!$M$6:$M$10008,PURCHASE!$A$6:$A$10008,$W$2,PURCHASE!$H$6:$H$10008,$A$4:$A$2700)</f>
        <v>0</v>
      </c>
      <c r="AA110" s="512">
        <f>SUMIFS(PURCHASE!$N$6:$N$10008,PURCHASE!$A$6:$A$10008,$W$2,PURCHASE!$H$6:$H$10008,$A$4:$A$2700)</f>
        <v>0</v>
      </c>
      <c r="AB110" s="512">
        <f t="shared" si="33"/>
        <v>0</v>
      </c>
      <c r="AC110" s="512">
        <f>SUMIFS(PURCHASE!$K$6:$K$10008,PURCHASE!$A$6:$A$10008,$AB$2,PURCHASE!$H$6:$H$10008,$A$4:$A$2700)</f>
        <v>0</v>
      </c>
      <c r="AD110" s="512">
        <f>SUMIFS(PURCHASE!$L$6:$L$10008,PURCHASE!$A$6:$A$10008,$AB$2,PURCHASE!$H$6:$H$10008,$A$4:$A$2700)</f>
        <v>0</v>
      </c>
      <c r="AE110" s="512">
        <f>SUMIFS(PURCHASE!$M$6:$M$10008,PURCHASE!$A$6:$A$10008,$AB$2,PURCHASE!$H$6:$H$10008,$A$4:$A$2700)</f>
        <v>0</v>
      </c>
      <c r="AF110" s="512">
        <f>SUMIFS(PURCHASE!$N$6:$N$10008,PURCHASE!$A$6:$A$10008,$AB$2,PURCHASE!$H$6:$H$10008,$A$4:$A$2700)</f>
        <v>0</v>
      </c>
      <c r="AG110" s="512">
        <f t="shared" si="34"/>
        <v>354</v>
      </c>
      <c r="AH110" s="512">
        <f>SUMIFS(PURCHASE!$K$6:$K$10008,PURCHASE!$A$6:$A$10008,$AG$2,PURCHASE!$H$6:$H$10008,$A$4:$A$2700)</f>
        <v>300</v>
      </c>
      <c r="AI110" s="512">
        <f>SUMIFS(PURCHASE!$L$6:$L$10008,PURCHASE!$A$6:$A$10008,$AG$2,PURCHASE!$H$6:$H$10008,$A$4:$A$2700)</f>
        <v>0</v>
      </c>
      <c r="AJ110" s="512">
        <f>SUMIFS(PURCHASE!$M$6:$M$10008,PURCHASE!$A$6:$A$10008,$AG$2,PURCHASE!$H$6:$H$10008,$A$4:$A$2700)</f>
        <v>27</v>
      </c>
      <c r="AK110" s="512">
        <f>SUMIFS(PURCHASE!$N$6:$N$10008,PURCHASE!$A$6:$A$10008,$AG$2,PURCHASE!$H$6:$H$10008,$A$4:$A$2700)</f>
        <v>27</v>
      </c>
      <c r="AL110" s="512">
        <f t="shared" si="35"/>
        <v>0</v>
      </c>
      <c r="AM110" s="512">
        <f>SUMIFS(PURCHASE!$K$6:$K$10008,PURCHASE!$A$6:$A$10008,$AL$2,PURCHASE!$H$6:$H$10008,$A$4:$A$2700)</f>
        <v>0</v>
      </c>
      <c r="AN110" s="512">
        <f>SUMIFS(PURCHASE!$L$6:$L$10008,PURCHASE!$A$6:$A$10008,$AL$2,PURCHASE!$H$6:$H$10008,$A$4:$A$2700)</f>
        <v>0</v>
      </c>
      <c r="AO110" s="512">
        <f>SUMIFS(PURCHASE!$M$6:$M$10008,PURCHASE!$A$6:$A$10008,$AL$2,PURCHASE!$H$6:$H$10008,$A$4:$A$2700)</f>
        <v>0</v>
      </c>
      <c r="AP110" s="512">
        <f>SUMIFS(PURCHASE!$N$6:$N$10008,PURCHASE!$A$6:$A$10008,$AL$2,PURCHASE!$H$6:$H$10008,$A$4:$A$2700)</f>
        <v>0</v>
      </c>
      <c r="AQ110" s="512">
        <f t="shared" si="36"/>
        <v>354</v>
      </c>
      <c r="AR110" s="512">
        <f>SUMIFS(PURCHASE!$K$6:$K$10008,PURCHASE!$A$6:$A$10008,$AQ$2,PURCHASE!$H$6:$H$10008,$A$4:$A$2700)</f>
        <v>300</v>
      </c>
      <c r="AS110" s="512">
        <f>SUMIFS(PURCHASE!$L$6:$L$10008,PURCHASE!$A$6:$A$10008,$AQ$2,PURCHASE!$H$6:$H$10008,$A$4:$A$2700)</f>
        <v>0</v>
      </c>
      <c r="AT110" s="512">
        <f>SUMIFS(PURCHASE!$M$6:$M$10008,PURCHASE!$A$6:$A$10008,$AQ$2,PURCHASE!$H$6:$H$10008,$A$4:$A$2700)</f>
        <v>27</v>
      </c>
      <c r="AU110" s="512">
        <f>SUMIFS(PURCHASE!$N$6:$N$10008,PURCHASE!$A$6:$A$10008,$AQ$2,PURCHASE!$H$6:$H$10008,$A$4:$A$2700)</f>
        <v>27</v>
      </c>
      <c r="AV110" s="512">
        <f t="shared" si="37"/>
        <v>0</v>
      </c>
      <c r="AW110" s="512">
        <f>SUMIFS(PURCHASE!$K$6:$K$10008,PURCHASE!$A$6:$A$10008,$AV$2,PURCHASE!$H$6:$H$10008,$A$4:$A$2700)</f>
        <v>0</v>
      </c>
      <c r="AX110" s="512">
        <f>SUMIFS(PURCHASE!$L$6:$L$10008,PURCHASE!$A$6:$A$10008,$AV$2,PURCHASE!$H$6:$H$10008,$A$4:$A$2700)</f>
        <v>0</v>
      </c>
      <c r="AY110" s="512">
        <f>SUMIFS(PURCHASE!$M$6:$M$10008,PURCHASE!$A$6:$A$10008,$AV$2,PURCHASE!$H$6:$H$10008,$A$4:$A$2700)</f>
        <v>0</v>
      </c>
      <c r="AZ110" s="512">
        <f>SUMIFS(PURCHASE!$N$6:$N$10008,PURCHASE!$A$6:$A$10008,$AV$2,PURCHASE!$H$6:$H$10008,$A$4:$A$2700)</f>
        <v>0</v>
      </c>
      <c r="BA110" s="512">
        <f t="shared" si="38"/>
        <v>0</v>
      </c>
      <c r="BB110" s="512">
        <f>SUMIFS(PURCHASE!$K$6:$K$10008,PURCHASE!$A$6:$A$10008,$BA$2,PURCHASE!$H$6:$H$10008,$A$4:$A$2700)</f>
        <v>0</v>
      </c>
      <c r="BC110" s="512">
        <f>SUMIFS(PURCHASE!$L$6:$L$10008,PURCHASE!$A$6:$A$10008,$BA$2,PURCHASE!$H$6:$H$10008,$A$4:$A$2700)</f>
        <v>0</v>
      </c>
      <c r="BD110" s="512">
        <f>SUMIFS(PURCHASE!$M$6:$M$10008,PURCHASE!$A$6:$A$10008,$BA$2,PURCHASE!$H$6:$H$10008,$A$4:$A$2700)</f>
        <v>0</v>
      </c>
      <c r="BE110" s="512">
        <f>SUMIFS(PURCHASE!$N$6:$N$10008,PURCHASE!$A$6:$A$10008,$BA$2,PURCHASE!$H$6:$H$10008,$A$4:$A$2700)</f>
        <v>0</v>
      </c>
      <c r="BF110" s="512">
        <f t="shared" si="39"/>
        <v>0</v>
      </c>
      <c r="BG110" s="512">
        <f>SUMIFS(PURCHASE!$K$6:$K$10008,PURCHASE!$A$6:$A$10008,$BF$2,PURCHASE!$H$6:$H$10008,$A$4:$A$2700)</f>
        <v>0</v>
      </c>
      <c r="BH110" s="512">
        <f>SUMIFS(PURCHASE!$L$6:$L$10008,PURCHASE!$A$6:$A$10008,$BF$2,PURCHASE!$H$6:$H$10008,$A$4:$A$2700)</f>
        <v>0</v>
      </c>
      <c r="BI110" s="512">
        <f>SUMIFS(PURCHASE!$M$6:$M$10008,PURCHASE!$A$6:$A$10008,$BF$2,PURCHASE!$H$6:$H$10008,$A$4:$A$2700)</f>
        <v>0</v>
      </c>
      <c r="BJ110" s="512">
        <f>SUMIFS(PURCHASE!$N$6:$N$10008,PURCHASE!$A$6:$A$10008,$BF$2,PURCHASE!$H$6:$H$10008,$A$4:$A$2700)</f>
        <v>0</v>
      </c>
      <c r="BK110" s="72">
        <f t="shared" si="23"/>
        <v>3540</v>
      </c>
      <c r="BL110" s="72">
        <f t="shared" si="24"/>
        <v>3000</v>
      </c>
      <c r="BM110" s="72">
        <f t="shared" si="25"/>
        <v>0</v>
      </c>
      <c r="BN110" s="72">
        <f t="shared" si="26"/>
        <v>270</v>
      </c>
      <c r="BO110" s="72">
        <f t="shared" si="27"/>
        <v>270</v>
      </c>
    </row>
    <row r="111" spans="1:67" x14ac:dyDescent="0.2">
      <c r="A111" s="511">
        <v>38089191</v>
      </c>
      <c r="B111" s="467" t="s">
        <v>1180</v>
      </c>
      <c r="C111" s="512">
        <f t="shared" si="28"/>
        <v>0</v>
      </c>
      <c r="D111" s="512">
        <f>SUMIFS(PURCHASE!$K$6:$K$10008,PURCHASE!$A$6:$A$10008,$M$2,PURCHASE!$H$6:$H$10008,$A$4:$A$2700)</f>
        <v>0</v>
      </c>
      <c r="E111" s="512">
        <f>SUMIFS(PURCHASE!$L$6:$L$10008,PURCHASE!$A$6:$A$10008,$M$2,PURCHASE!$H$6:$H$10008,$A$4:$A$2700)</f>
        <v>0</v>
      </c>
      <c r="F111" s="512">
        <f>SUMIFS(PURCHASE!$M$6:$M$10008,PURCHASE!$A$6:$A$10008,$M$2,PURCHASE!$H$6:$H$10008,$A$4:$A$2700)</f>
        <v>0</v>
      </c>
      <c r="G111" s="512">
        <f>SUMIFS(PURCHASE!$N$6:$N$10008,PURCHASE!$A$6:$A$10008,$M$2,PURCHASE!$H$6:$H$10008,$A$4:$A$2700)</f>
        <v>0</v>
      </c>
      <c r="H111" s="512">
        <f t="shared" si="29"/>
        <v>0</v>
      </c>
      <c r="I111" s="512">
        <f>SUMIFS(PURCHASE!$K$6:$K$10008,PURCHASE!$A$6:$A$10008,$H$2,PURCHASE!$H$6:$H$10008,$A$4:$A$2700)</f>
        <v>0</v>
      </c>
      <c r="J111" s="512">
        <f>SUMIFS(PURCHASE!$L$6:$L$10008,PURCHASE!$A$6:$A$10008,$H$2,PURCHASE!$H$6:$H$10008,$A$4:$A$2700)</f>
        <v>0</v>
      </c>
      <c r="K111" s="512">
        <f>SUMIFS(PURCHASE!$M$6:$M$10008,PURCHASE!$A$6:$A$10008,$H$2,PURCHASE!$H$6:$H$10008,$A$4:$A$2700)</f>
        <v>0</v>
      </c>
      <c r="L111" s="512">
        <f>SUMIFS(PURCHASE!$N$6:$N$10008,PURCHASE!$A$6:$A$10008,$H$2,PURCHASE!$H$6:$H$10008,$A$4:$A$2700)</f>
        <v>0</v>
      </c>
      <c r="M111" s="512">
        <f t="shared" si="30"/>
        <v>0</v>
      </c>
      <c r="N111" s="512">
        <f>SUMIFS(PURCHASE!$K$6:$K$10008,PURCHASE!$A$6:$A$10008,$M$2,PURCHASE!$H$6:$H$10008,$A$4:$A$2700)</f>
        <v>0</v>
      </c>
      <c r="O111" s="512">
        <f>SUMIFS(PURCHASE!$L$6:$L$10008,PURCHASE!$A$6:$A$10008,$M$2,PURCHASE!$H$6:$H$10008,$A$4:$A$2700)</f>
        <v>0</v>
      </c>
      <c r="P111" s="512">
        <f>SUMIFS(PURCHASE!$M$6:$M$10008,PURCHASE!$A$6:$A$10008,$M$2,PURCHASE!$H$6:$H$10008,$A$4:$A$2700)</f>
        <v>0</v>
      </c>
      <c r="Q111" s="512">
        <f>SUMIFS(PURCHASE!$N$6:$N$10008,PURCHASE!$A$6:$A$10008,$M$2,PURCHASE!$H$6:$H$10008,$A$4:$A$2700)</f>
        <v>0</v>
      </c>
      <c r="R111" s="512">
        <f t="shared" si="31"/>
        <v>0</v>
      </c>
      <c r="S111" s="512">
        <f>SUMIFS(PURCHASE!$K$6:$K$10008,PURCHASE!$A$6:$A$10008,$R$2,PURCHASE!$H$6:$H$10008,$A$4:$A$2700)</f>
        <v>0</v>
      </c>
      <c r="T111" s="512">
        <f>SUMIFS(PURCHASE!$L$6:$L$10008,PURCHASE!$A$6:$A$10008,$R$2,PURCHASE!$H$6:$H$10008,$A$4:$A$2700)</f>
        <v>0</v>
      </c>
      <c r="U111" s="512">
        <f>SUMIFS(PURCHASE!$M$6:$M$10008,PURCHASE!$A$6:$A$10008,$R$2,PURCHASE!$H$6:$H$10008,$A$4:$A$2700)</f>
        <v>0</v>
      </c>
      <c r="V111" s="512">
        <f>SUMIFS(PURCHASE!$N$6:$N$10008,PURCHASE!$A$6:$A$10008,$R$2,PURCHASE!$H$6:$H$10008,$A$4:$A$2700)</f>
        <v>0</v>
      </c>
      <c r="W111" s="512">
        <f t="shared" si="32"/>
        <v>0</v>
      </c>
      <c r="X111" s="512">
        <f>SUMIFS(PURCHASE!$K$6:$K$10008,PURCHASE!$A$6:$A$10008,$W$2,PURCHASE!$H$6:$H$10008,$A$4:$A$2700)</f>
        <v>0</v>
      </c>
      <c r="Y111" s="512">
        <f>SUMIFS(PURCHASE!$L$6:$L$10008,PURCHASE!$A$6:$A$10008,$W$2,PURCHASE!$H$6:$H$10008,$A$4:$A$2700)</f>
        <v>0</v>
      </c>
      <c r="Z111" s="512">
        <f>SUMIFS(PURCHASE!$M$6:$M$10008,PURCHASE!$A$6:$A$10008,$W$2,PURCHASE!$H$6:$H$10008,$A$4:$A$2700)</f>
        <v>0</v>
      </c>
      <c r="AA111" s="512">
        <f>SUMIFS(PURCHASE!$N$6:$N$10008,PURCHASE!$A$6:$A$10008,$W$2,PURCHASE!$H$6:$H$10008,$A$4:$A$2700)</f>
        <v>0</v>
      </c>
      <c r="AB111" s="512">
        <f t="shared" si="33"/>
        <v>0</v>
      </c>
      <c r="AC111" s="512">
        <f>SUMIFS(PURCHASE!$K$6:$K$10008,PURCHASE!$A$6:$A$10008,$AB$2,PURCHASE!$H$6:$H$10008,$A$4:$A$2700)</f>
        <v>0</v>
      </c>
      <c r="AD111" s="512">
        <f>SUMIFS(PURCHASE!$L$6:$L$10008,PURCHASE!$A$6:$A$10008,$AB$2,PURCHASE!$H$6:$H$10008,$A$4:$A$2700)</f>
        <v>0</v>
      </c>
      <c r="AE111" s="512">
        <f>SUMIFS(PURCHASE!$M$6:$M$10008,PURCHASE!$A$6:$A$10008,$AB$2,PURCHASE!$H$6:$H$10008,$A$4:$A$2700)</f>
        <v>0</v>
      </c>
      <c r="AF111" s="512">
        <f>SUMIFS(PURCHASE!$N$6:$N$10008,PURCHASE!$A$6:$A$10008,$AB$2,PURCHASE!$H$6:$H$10008,$A$4:$A$2700)</f>
        <v>0</v>
      </c>
      <c r="AG111" s="512">
        <f t="shared" si="34"/>
        <v>0</v>
      </c>
      <c r="AH111" s="512">
        <f>SUMIFS(PURCHASE!$K$6:$K$10008,PURCHASE!$A$6:$A$10008,$AG$2,PURCHASE!$H$6:$H$10008,$A$4:$A$2700)</f>
        <v>0</v>
      </c>
      <c r="AI111" s="512">
        <f>SUMIFS(PURCHASE!$L$6:$L$10008,PURCHASE!$A$6:$A$10008,$AG$2,PURCHASE!$H$6:$H$10008,$A$4:$A$2700)</f>
        <v>0</v>
      </c>
      <c r="AJ111" s="512">
        <f>SUMIFS(PURCHASE!$M$6:$M$10008,PURCHASE!$A$6:$A$10008,$AG$2,PURCHASE!$H$6:$H$10008,$A$4:$A$2700)</f>
        <v>0</v>
      </c>
      <c r="AK111" s="512">
        <f>SUMIFS(PURCHASE!$N$6:$N$10008,PURCHASE!$A$6:$A$10008,$AG$2,PURCHASE!$H$6:$H$10008,$A$4:$A$2700)</f>
        <v>0</v>
      </c>
      <c r="AL111" s="512">
        <f t="shared" si="35"/>
        <v>0</v>
      </c>
      <c r="AM111" s="512">
        <f>SUMIFS(PURCHASE!$K$6:$K$10008,PURCHASE!$A$6:$A$10008,$AL$2,PURCHASE!$H$6:$H$10008,$A$4:$A$2700)</f>
        <v>0</v>
      </c>
      <c r="AN111" s="512">
        <f>SUMIFS(PURCHASE!$L$6:$L$10008,PURCHASE!$A$6:$A$10008,$AL$2,PURCHASE!$H$6:$H$10008,$A$4:$A$2700)</f>
        <v>0</v>
      </c>
      <c r="AO111" s="512">
        <f>SUMIFS(PURCHASE!$M$6:$M$10008,PURCHASE!$A$6:$A$10008,$AL$2,PURCHASE!$H$6:$H$10008,$A$4:$A$2700)</f>
        <v>0</v>
      </c>
      <c r="AP111" s="512">
        <f>SUMIFS(PURCHASE!$N$6:$N$10008,PURCHASE!$A$6:$A$10008,$AL$2,PURCHASE!$H$6:$H$10008,$A$4:$A$2700)</f>
        <v>0</v>
      </c>
      <c r="AQ111" s="512">
        <f t="shared" si="36"/>
        <v>0</v>
      </c>
      <c r="AR111" s="512">
        <f>SUMIFS(PURCHASE!$K$6:$K$10008,PURCHASE!$A$6:$A$10008,$AQ$2,PURCHASE!$H$6:$H$10008,$A$4:$A$2700)</f>
        <v>0</v>
      </c>
      <c r="AS111" s="512">
        <f>SUMIFS(PURCHASE!$L$6:$L$10008,PURCHASE!$A$6:$A$10008,$AQ$2,PURCHASE!$H$6:$H$10008,$A$4:$A$2700)</f>
        <v>0</v>
      </c>
      <c r="AT111" s="512">
        <f>SUMIFS(PURCHASE!$M$6:$M$10008,PURCHASE!$A$6:$A$10008,$AQ$2,PURCHASE!$H$6:$H$10008,$A$4:$A$2700)</f>
        <v>0</v>
      </c>
      <c r="AU111" s="512">
        <f>SUMIFS(PURCHASE!$N$6:$N$10008,PURCHASE!$A$6:$A$10008,$AQ$2,PURCHASE!$H$6:$H$10008,$A$4:$A$2700)</f>
        <v>0</v>
      </c>
      <c r="AV111" s="512">
        <f t="shared" si="37"/>
        <v>0</v>
      </c>
      <c r="AW111" s="512">
        <f>SUMIFS(PURCHASE!$K$6:$K$10008,PURCHASE!$A$6:$A$10008,$AV$2,PURCHASE!$H$6:$H$10008,$A$4:$A$2700)</f>
        <v>0</v>
      </c>
      <c r="AX111" s="512">
        <f>SUMIFS(PURCHASE!$L$6:$L$10008,PURCHASE!$A$6:$A$10008,$AV$2,PURCHASE!$H$6:$H$10008,$A$4:$A$2700)</f>
        <v>0</v>
      </c>
      <c r="AY111" s="512">
        <f>SUMIFS(PURCHASE!$M$6:$M$10008,PURCHASE!$A$6:$A$10008,$AV$2,PURCHASE!$H$6:$H$10008,$A$4:$A$2700)</f>
        <v>0</v>
      </c>
      <c r="AZ111" s="512">
        <f>SUMIFS(PURCHASE!$N$6:$N$10008,PURCHASE!$A$6:$A$10008,$AV$2,PURCHASE!$H$6:$H$10008,$A$4:$A$2700)</f>
        <v>0</v>
      </c>
      <c r="BA111" s="512">
        <f t="shared" si="38"/>
        <v>0</v>
      </c>
      <c r="BB111" s="512">
        <f>SUMIFS(PURCHASE!$K$6:$K$10008,PURCHASE!$A$6:$A$10008,$BA$2,PURCHASE!$H$6:$H$10008,$A$4:$A$2700)</f>
        <v>0</v>
      </c>
      <c r="BC111" s="512">
        <f>SUMIFS(PURCHASE!$L$6:$L$10008,PURCHASE!$A$6:$A$10008,$BA$2,PURCHASE!$H$6:$H$10008,$A$4:$A$2700)</f>
        <v>0</v>
      </c>
      <c r="BD111" s="512">
        <f>SUMIFS(PURCHASE!$M$6:$M$10008,PURCHASE!$A$6:$A$10008,$BA$2,PURCHASE!$H$6:$H$10008,$A$4:$A$2700)</f>
        <v>0</v>
      </c>
      <c r="BE111" s="512">
        <f>SUMIFS(PURCHASE!$N$6:$N$10008,PURCHASE!$A$6:$A$10008,$BA$2,PURCHASE!$H$6:$H$10008,$A$4:$A$2700)</f>
        <v>0</v>
      </c>
      <c r="BF111" s="512">
        <f t="shared" si="39"/>
        <v>0</v>
      </c>
      <c r="BG111" s="512">
        <f>SUMIFS(PURCHASE!$K$6:$K$10008,PURCHASE!$A$6:$A$10008,$BF$2,PURCHASE!$H$6:$H$10008,$A$4:$A$2700)</f>
        <v>0</v>
      </c>
      <c r="BH111" s="512">
        <f>SUMIFS(PURCHASE!$L$6:$L$10008,PURCHASE!$A$6:$A$10008,$BF$2,PURCHASE!$H$6:$H$10008,$A$4:$A$2700)</f>
        <v>0</v>
      </c>
      <c r="BI111" s="512">
        <f>SUMIFS(PURCHASE!$M$6:$M$10008,PURCHASE!$A$6:$A$10008,$BF$2,PURCHASE!$H$6:$H$10008,$A$4:$A$2700)</f>
        <v>0</v>
      </c>
      <c r="BJ111" s="512">
        <f>SUMIFS(PURCHASE!$N$6:$N$10008,PURCHASE!$A$6:$A$10008,$BF$2,PURCHASE!$H$6:$H$10008,$A$4:$A$2700)</f>
        <v>0</v>
      </c>
      <c r="BK111" s="72">
        <f t="shared" si="23"/>
        <v>0</v>
      </c>
      <c r="BL111" s="72">
        <f t="shared" si="24"/>
        <v>0</v>
      </c>
      <c r="BM111" s="72">
        <f t="shared" si="25"/>
        <v>0</v>
      </c>
      <c r="BN111" s="72">
        <f t="shared" si="26"/>
        <v>0</v>
      </c>
      <c r="BO111" s="72">
        <f t="shared" si="27"/>
        <v>0</v>
      </c>
    </row>
    <row r="112" spans="1:67" x14ac:dyDescent="0.2">
      <c r="A112" s="511">
        <v>38089199</v>
      </c>
      <c r="B112" s="467" t="s">
        <v>1192</v>
      </c>
      <c r="C112" s="512">
        <f t="shared" si="28"/>
        <v>0</v>
      </c>
      <c r="D112" s="512">
        <f>SUMIFS(PURCHASE!$K$6:$K$10008,PURCHASE!$A$6:$A$10008,$M$2,PURCHASE!$H$6:$H$10008,$A$4:$A$2700)</f>
        <v>0</v>
      </c>
      <c r="E112" s="512">
        <f>SUMIFS(PURCHASE!$L$6:$L$10008,PURCHASE!$A$6:$A$10008,$M$2,PURCHASE!$H$6:$H$10008,$A$4:$A$2700)</f>
        <v>0</v>
      </c>
      <c r="F112" s="512">
        <f>SUMIFS(PURCHASE!$M$6:$M$10008,PURCHASE!$A$6:$A$10008,$M$2,PURCHASE!$H$6:$H$10008,$A$4:$A$2700)</f>
        <v>0</v>
      </c>
      <c r="G112" s="512">
        <f>SUMIFS(PURCHASE!$N$6:$N$10008,PURCHASE!$A$6:$A$10008,$M$2,PURCHASE!$H$6:$H$10008,$A$4:$A$2700)</f>
        <v>0</v>
      </c>
      <c r="H112" s="512">
        <f t="shared" si="29"/>
        <v>0</v>
      </c>
      <c r="I112" s="512">
        <f>SUMIFS(PURCHASE!$K$6:$K$10008,PURCHASE!$A$6:$A$10008,$H$2,PURCHASE!$H$6:$H$10008,$A$4:$A$2700)</f>
        <v>0</v>
      </c>
      <c r="J112" s="512">
        <f>SUMIFS(PURCHASE!$L$6:$L$10008,PURCHASE!$A$6:$A$10008,$H$2,PURCHASE!$H$6:$H$10008,$A$4:$A$2700)</f>
        <v>0</v>
      </c>
      <c r="K112" s="512">
        <f>SUMIFS(PURCHASE!$M$6:$M$10008,PURCHASE!$A$6:$A$10008,$H$2,PURCHASE!$H$6:$H$10008,$A$4:$A$2700)</f>
        <v>0</v>
      </c>
      <c r="L112" s="512">
        <f>SUMIFS(PURCHASE!$N$6:$N$10008,PURCHASE!$A$6:$A$10008,$H$2,PURCHASE!$H$6:$H$10008,$A$4:$A$2700)</f>
        <v>0</v>
      </c>
      <c r="M112" s="512">
        <f t="shared" si="30"/>
        <v>0</v>
      </c>
      <c r="N112" s="512">
        <f>SUMIFS(PURCHASE!$K$6:$K$10008,PURCHASE!$A$6:$A$10008,$M$2,PURCHASE!$H$6:$H$10008,$A$4:$A$2700)</f>
        <v>0</v>
      </c>
      <c r="O112" s="512">
        <f>SUMIFS(PURCHASE!$L$6:$L$10008,PURCHASE!$A$6:$A$10008,$M$2,PURCHASE!$H$6:$H$10008,$A$4:$A$2700)</f>
        <v>0</v>
      </c>
      <c r="P112" s="512">
        <f>SUMIFS(PURCHASE!$M$6:$M$10008,PURCHASE!$A$6:$A$10008,$M$2,PURCHASE!$H$6:$H$10008,$A$4:$A$2700)</f>
        <v>0</v>
      </c>
      <c r="Q112" s="512">
        <f>SUMIFS(PURCHASE!$N$6:$N$10008,PURCHASE!$A$6:$A$10008,$M$2,PURCHASE!$H$6:$H$10008,$A$4:$A$2700)</f>
        <v>0</v>
      </c>
      <c r="R112" s="512">
        <f t="shared" si="31"/>
        <v>0</v>
      </c>
      <c r="S112" s="512">
        <f>SUMIFS(PURCHASE!$K$6:$K$10008,PURCHASE!$A$6:$A$10008,$R$2,PURCHASE!$H$6:$H$10008,$A$4:$A$2700)</f>
        <v>0</v>
      </c>
      <c r="T112" s="512">
        <f>SUMIFS(PURCHASE!$L$6:$L$10008,PURCHASE!$A$6:$A$10008,$R$2,PURCHASE!$H$6:$H$10008,$A$4:$A$2700)</f>
        <v>0</v>
      </c>
      <c r="U112" s="512">
        <f>SUMIFS(PURCHASE!$M$6:$M$10008,PURCHASE!$A$6:$A$10008,$R$2,PURCHASE!$H$6:$H$10008,$A$4:$A$2700)</f>
        <v>0</v>
      </c>
      <c r="V112" s="512">
        <f>SUMIFS(PURCHASE!$N$6:$N$10008,PURCHASE!$A$6:$A$10008,$R$2,PURCHASE!$H$6:$H$10008,$A$4:$A$2700)</f>
        <v>0</v>
      </c>
      <c r="W112" s="512">
        <f t="shared" si="32"/>
        <v>0</v>
      </c>
      <c r="X112" s="512">
        <f>SUMIFS(PURCHASE!$K$6:$K$10008,PURCHASE!$A$6:$A$10008,$W$2,PURCHASE!$H$6:$H$10008,$A$4:$A$2700)</f>
        <v>0</v>
      </c>
      <c r="Y112" s="512">
        <f>SUMIFS(PURCHASE!$L$6:$L$10008,PURCHASE!$A$6:$A$10008,$W$2,PURCHASE!$H$6:$H$10008,$A$4:$A$2700)</f>
        <v>0</v>
      </c>
      <c r="Z112" s="512">
        <f>SUMIFS(PURCHASE!$M$6:$M$10008,PURCHASE!$A$6:$A$10008,$W$2,PURCHASE!$H$6:$H$10008,$A$4:$A$2700)</f>
        <v>0</v>
      </c>
      <c r="AA112" s="512">
        <f>SUMIFS(PURCHASE!$N$6:$N$10008,PURCHASE!$A$6:$A$10008,$W$2,PURCHASE!$H$6:$H$10008,$A$4:$A$2700)</f>
        <v>0</v>
      </c>
      <c r="AB112" s="512">
        <f t="shared" si="33"/>
        <v>0</v>
      </c>
      <c r="AC112" s="512">
        <f>SUMIFS(PURCHASE!$K$6:$K$10008,PURCHASE!$A$6:$A$10008,$AB$2,PURCHASE!$H$6:$H$10008,$A$4:$A$2700)</f>
        <v>0</v>
      </c>
      <c r="AD112" s="512">
        <f>SUMIFS(PURCHASE!$L$6:$L$10008,PURCHASE!$A$6:$A$10008,$AB$2,PURCHASE!$H$6:$H$10008,$A$4:$A$2700)</f>
        <v>0</v>
      </c>
      <c r="AE112" s="512">
        <f>SUMIFS(PURCHASE!$M$6:$M$10008,PURCHASE!$A$6:$A$10008,$AB$2,PURCHASE!$H$6:$H$10008,$A$4:$A$2700)</f>
        <v>0</v>
      </c>
      <c r="AF112" s="512">
        <f>SUMIFS(PURCHASE!$N$6:$N$10008,PURCHASE!$A$6:$A$10008,$AB$2,PURCHASE!$H$6:$H$10008,$A$4:$A$2700)</f>
        <v>0</v>
      </c>
      <c r="AG112" s="512">
        <f t="shared" si="34"/>
        <v>0</v>
      </c>
      <c r="AH112" s="512">
        <f>SUMIFS(PURCHASE!$K$6:$K$10008,PURCHASE!$A$6:$A$10008,$AG$2,PURCHASE!$H$6:$H$10008,$A$4:$A$2700)</f>
        <v>0</v>
      </c>
      <c r="AI112" s="512">
        <f>SUMIFS(PURCHASE!$L$6:$L$10008,PURCHASE!$A$6:$A$10008,$AG$2,PURCHASE!$H$6:$H$10008,$A$4:$A$2700)</f>
        <v>0</v>
      </c>
      <c r="AJ112" s="512">
        <f>SUMIFS(PURCHASE!$M$6:$M$10008,PURCHASE!$A$6:$A$10008,$AG$2,PURCHASE!$H$6:$H$10008,$A$4:$A$2700)</f>
        <v>0</v>
      </c>
      <c r="AK112" s="512">
        <f>SUMIFS(PURCHASE!$N$6:$N$10008,PURCHASE!$A$6:$A$10008,$AG$2,PURCHASE!$H$6:$H$10008,$A$4:$A$2700)</f>
        <v>0</v>
      </c>
      <c r="AL112" s="512">
        <f t="shared" si="35"/>
        <v>0</v>
      </c>
      <c r="AM112" s="512">
        <f>SUMIFS(PURCHASE!$K$6:$K$10008,PURCHASE!$A$6:$A$10008,$AL$2,PURCHASE!$H$6:$H$10008,$A$4:$A$2700)</f>
        <v>0</v>
      </c>
      <c r="AN112" s="512">
        <f>SUMIFS(PURCHASE!$L$6:$L$10008,PURCHASE!$A$6:$A$10008,$AL$2,PURCHASE!$H$6:$H$10008,$A$4:$A$2700)</f>
        <v>0</v>
      </c>
      <c r="AO112" s="512">
        <f>SUMIFS(PURCHASE!$M$6:$M$10008,PURCHASE!$A$6:$A$10008,$AL$2,PURCHASE!$H$6:$H$10008,$A$4:$A$2700)</f>
        <v>0</v>
      </c>
      <c r="AP112" s="512">
        <f>SUMIFS(PURCHASE!$N$6:$N$10008,PURCHASE!$A$6:$A$10008,$AL$2,PURCHASE!$H$6:$H$10008,$A$4:$A$2700)</f>
        <v>0</v>
      </c>
      <c r="AQ112" s="512">
        <f t="shared" si="36"/>
        <v>0</v>
      </c>
      <c r="AR112" s="512">
        <f>SUMIFS(PURCHASE!$K$6:$K$10008,PURCHASE!$A$6:$A$10008,$AQ$2,PURCHASE!$H$6:$H$10008,$A$4:$A$2700)</f>
        <v>0</v>
      </c>
      <c r="AS112" s="512">
        <f>SUMIFS(PURCHASE!$L$6:$L$10008,PURCHASE!$A$6:$A$10008,$AQ$2,PURCHASE!$H$6:$H$10008,$A$4:$A$2700)</f>
        <v>0</v>
      </c>
      <c r="AT112" s="512">
        <f>SUMIFS(PURCHASE!$M$6:$M$10008,PURCHASE!$A$6:$A$10008,$AQ$2,PURCHASE!$H$6:$H$10008,$A$4:$A$2700)</f>
        <v>0</v>
      </c>
      <c r="AU112" s="512">
        <f>SUMIFS(PURCHASE!$N$6:$N$10008,PURCHASE!$A$6:$A$10008,$AQ$2,PURCHASE!$H$6:$H$10008,$A$4:$A$2700)</f>
        <v>0</v>
      </c>
      <c r="AV112" s="512">
        <f t="shared" si="37"/>
        <v>0</v>
      </c>
      <c r="AW112" s="512">
        <f>SUMIFS(PURCHASE!$K$6:$K$10008,PURCHASE!$A$6:$A$10008,$AV$2,PURCHASE!$H$6:$H$10008,$A$4:$A$2700)</f>
        <v>0</v>
      </c>
      <c r="AX112" s="512">
        <f>SUMIFS(PURCHASE!$L$6:$L$10008,PURCHASE!$A$6:$A$10008,$AV$2,PURCHASE!$H$6:$H$10008,$A$4:$A$2700)</f>
        <v>0</v>
      </c>
      <c r="AY112" s="512">
        <f>SUMIFS(PURCHASE!$M$6:$M$10008,PURCHASE!$A$6:$A$10008,$AV$2,PURCHASE!$H$6:$H$10008,$A$4:$A$2700)</f>
        <v>0</v>
      </c>
      <c r="AZ112" s="512">
        <f>SUMIFS(PURCHASE!$N$6:$N$10008,PURCHASE!$A$6:$A$10008,$AV$2,PURCHASE!$H$6:$H$10008,$A$4:$A$2700)</f>
        <v>0</v>
      </c>
      <c r="BA112" s="512">
        <f t="shared" si="38"/>
        <v>0</v>
      </c>
      <c r="BB112" s="512">
        <f>SUMIFS(PURCHASE!$K$6:$K$10008,PURCHASE!$A$6:$A$10008,$BA$2,PURCHASE!$H$6:$H$10008,$A$4:$A$2700)</f>
        <v>0</v>
      </c>
      <c r="BC112" s="512">
        <f>SUMIFS(PURCHASE!$L$6:$L$10008,PURCHASE!$A$6:$A$10008,$BA$2,PURCHASE!$H$6:$H$10008,$A$4:$A$2700)</f>
        <v>0</v>
      </c>
      <c r="BD112" s="512">
        <f>SUMIFS(PURCHASE!$M$6:$M$10008,PURCHASE!$A$6:$A$10008,$BA$2,PURCHASE!$H$6:$H$10008,$A$4:$A$2700)</f>
        <v>0</v>
      </c>
      <c r="BE112" s="512">
        <f>SUMIFS(PURCHASE!$N$6:$N$10008,PURCHASE!$A$6:$A$10008,$BA$2,PURCHASE!$H$6:$H$10008,$A$4:$A$2700)</f>
        <v>0</v>
      </c>
      <c r="BF112" s="512">
        <f t="shared" si="39"/>
        <v>0</v>
      </c>
      <c r="BG112" s="512">
        <f>SUMIFS(PURCHASE!$K$6:$K$10008,PURCHASE!$A$6:$A$10008,$BF$2,PURCHASE!$H$6:$H$10008,$A$4:$A$2700)</f>
        <v>0</v>
      </c>
      <c r="BH112" s="512">
        <f>SUMIFS(PURCHASE!$L$6:$L$10008,PURCHASE!$A$6:$A$10008,$BF$2,PURCHASE!$H$6:$H$10008,$A$4:$A$2700)</f>
        <v>0</v>
      </c>
      <c r="BI112" s="512">
        <f>SUMIFS(PURCHASE!$M$6:$M$10008,PURCHASE!$A$6:$A$10008,$BF$2,PURCHASE!$H$6:$H$10008,$A$4:$A$2700)</f>
        <v>0</v>
      </c>
      <c r="BJ112" s="512">
        <f>SUMIFS(PURCHASE!$N$6:$N$10008,PURCHASE!$A$6:$A$10008,$BF$2,PURCHASE!$H$6:$H$10008,$A$4:$A$2700)</f>
        <v>0</v>
      </c>
      <c r="BK112" s="72">
        <f t="shared" si="23"/>
        <v>0</v>
      </c>
      <c r="BL112" s="72">
        <f t="shared" si="24"/>
        <v>0</v>
      </c>
      <c r="BM112" s="72">
        <f t="shared" si="25"/>
        <v>0</v>
      </c>
      <c r="BN112" s="72">
        <f t="shared" si="26"/>
        <v>0</v>
      </c>
      <c r="BO112" s="72">
        <f t="shared" si="27"/>
        <v>0</v>
      </c>
    </row>
    <row r="113" spans="1:67" x14ac:dyDescent="0.2">
      <c r="A113" s="511">
        <v>38140010</v>
      </c>
      <c r="B113" s="467" t="s">
        <v>1186</v>
      </c>
      <c r="C113" s="512">
        <f t="shared" si="28"/>
        <v>92158</v>
      </c>
      <c r="D113" s="512">
        <f>SUMIFS(PURCHASE!$K$6:$K$10008,PURCHASE!$A$6:$A$10008,$M$2,PURCHASE!$H$6:$H$10008,$A$4:$A$2700)</f>
        <v>78100</v>
      </c>
      <c r="E113" s="512">
        <f>SUMIFS(PURCHASE!$L$6:$L$10008,PURCHASE!$A$6:$A$10008,$M$2,PURCHASE!$H$6:$H$10008,$A$4:$A$2700)</f>
        <v>1350</v>
      </c>
      <c r="F113" s="512">
        <f>SUMIFS(PURCHASE!$M$6:$M$10008,PURCHASE!$A$6:$A$10008,$M$2,PURCHASE!$H$6:$H$10008,$A$4:$A$2700)</f>
        <v>6353.9999999999991</v>
      </c>
      <c r="G113" s="512">
        <f>SUMIFS(PURCHASE!$N$6:$N$10008,PURCHASE!$A$6:$A$10008,$M$2,PURCHASE!$H$6:$H$10008,$A$4:$A$2700)</f>
        <v>6353.9999999999991</v>
      </c>
      <c r="H113" s="512">
        <f t="shared" si="29"/>
        <v>43376.800000000003</v>
      </c>
      <c r="I113" s="512">
        <f>SUMIFS(PURCHASE!$K$6:$K$10008,PURCHASE!$A$6:$A$10008,$H$2,PURCHASE!$H$6:$H$10008,$A$4:$A$2700)</f>
        <v>36760</v>
      </c>
      <c r="J113" s="512">
        <f>SUMIFS(PURCHASE!$L$6:$L$10008,PURCHASE!$A$6:$A$10008,$H$2,PURCHASE!$H$6:$H$10008,$A$4:$A$2700)</f>
        <v>0</v>
      </c>
      <c r="K113" s="512">
        <f>SUMIFS(PURCHASE!$M$6:$M$10008,PURCHASE!$A$6:$A$10008,$H$2,PURCHASE!$H$6:$H$10008,$A$4:$A$2700)</f>
        <v>3308.3999999999996</v>
      </c>
      <c r="L113" s="512">
        <f>SUMIFS(PURCHASE!$N$6:$N$10008,PURCHASE!$A$6:$A$10008,$H$2,PURCHASE!$H$6:$H$10008,$A$4:$A$2700)</f>
        <v>3308.3999999999996</v>
      </c>
      <c r="M113" s="512">
        <f t="shared" si="30"/>
        <v>92158</v>
      </c>
      <c r="N113" s="512">
        <f>SUMIFS(PURCHASE!$K$6:$K$10008,PURCHASE!$A$6:$A$10008,$M$2,PURCHASE!$H$6:$H$10008,$A$4:$A$2700)</f>
        <v>78100</v>
      </c>
      <c r="O113" s="512">
        <f>SUMIFS(PURCHASE!$L$6:$L$10008,PURCHASE!$A$6:$A$10008,$M$2,PURCHASE!$H$6:$H$10008,$A$4:$A$2700)</f>
        <v>1350</v>
      </c>
      <c r="P113" s="512">
        <f>SUMIFS(PURCHASE!$M$6:$M$10008,PURCHASE!$A$6:$A$10008,$M$2,PURCHASE!$H$6:$H$10008,$A$4:$A$2700)</f>
        <v>6353.9999999999991</v>
      </c>
      <c r="Q113" s="512">
        <f>SUMIFS(PURCHASE!$N$6:$N$10008,PURCHASE!$A$6:$A$10008,$M$2,PURCHASE!$H$6:$H$10008,$A$4:$A$2700)</f>
        <v>6353.9999999999991</v>
      </c>
      <c r="R113" s="512">
        <f t="shared" si="31"/>
        <v>197393.23199999999</v>
      </c>
      <c r="S113" s="512">
        <f>SUMIFS(PURCHASE!$K$6:$K$10008,PURCHASE!$A$6:$A$10008,$R$2,PURCHASE!$H$6:$H$10008,$A$4:$A$2700)</f>
        <v>167282.4</v>
      </c>
      <c r="T113" s="512">
        <f>SUMIFS(PURCHASE!$L$6:$L$10008,PURCHASE!$A$6:$A$10008,$R$2,PURCHASE!$H$6:$H$10008,$A$4:$A$2700)</f>
        <v>0</v>
      </c>
      <c r="U113" s="512">
        <f>SUMIFS(PURCHASE!$M$6:$M$10008,PURCHASE!$A$6:$A$10008,$R$2,PURCHASE!$H$6:$H$10008,$A$4:$A$2700)</f>
        <v>15055.416000000001</v>
      </c>
      <c r="V113" s="512">
        <f>SUMIFS(PURCHASE!$N$6:$N$10008,PURCHASE!$A$6:$A$10008,$R$2,PURCHASE!$H$6:$H$10008,$A$4:$A$2700)</f>
        <v>15055.416000000001</v>
      </c>
      <c r="W113" s="512">
        <f t="shared" si="32"/>
        <v>37524</v>
      </c>
      <c r="X113" s="512">
        <f>SUMIFS(PURCHASE!$K$6:$K$10008,PURCHASE!$A$6:$A$10008,$W$2,PURCHASE!$H$6:$H$10008,$A$4:$A$2700)</f>
        <v>31800</v>
      </c>
      <c r="Y113" s="512">
        <f>SUMIFS(PURCHASE!$L$6:$L$10008,PURCHASE!$A$6:$A$10008,$W$2,PURCHASE!$H$6:$H$10008,$A$4:$A$2700)</f>
        <v>0</v>
      </c>
      <c r="Z113" s="512">
        <f>SUMIFS(PURCHASE!$M$6:$M$10008,PURCHASE!$A$6:$A$10008,$W$2,PURCHASE!$H$6:$H$10008,$A$4:$A$2700)</f>
        <v>2862</v>
      </c>
      <c r="AA113" s="512">
        <f>SUMIFS(PURCHASE!$N$6:$N$10008,PURCHASE!$A$6:$A$10008,$W$2,PURCHASE!$H$6:$H$10008,$A$4:$A$2700)</f>
        <v>2862</v>
      </c>
      <c r="AB113" s="512">
        <f t="shared" si="33"/>
        <v>86376</v>
      </c>
      <c r="AC113" s="512">
        <f>SUMIFS(PURCHASE!$K$6:$K$10008,PURCHASE!$A$6:$A$10008,$AB$2,PURCHASE!$H$6:$H$10008,$A$4:$A$2700)</f>
        <v>73200</v>
      </c>
      <c r="AD113" s="512">
        <f>SUMIFS(PURCHASE!$L$6:$L$10008,PURCHASE!$A$6:$A$10008,$AB$2,PURCHASE!$H$6:$H$10008,$A$4:$A$2700)</f>
        <v>0</v>
      </c>
      <c r="AE113" s="512">
        <f>SUMIFS(PURCHASE!$M$6:$M$10008,PURCHASE!$A$6:$A$10008,$AB$2,PURCHASE!$H$6:$H$10008,$A$4:$A$2700)</f>
        <v>6588</v>
      </c>
      <c r="AF113" s="512">
        <f>SUMIFS(PURCHASE!$N$6:$N$10008,PURCHASE!$A$6:$A$10008,$AB$2,PURCHASE!$H$6:$H$10008,$A$4:$A$2700)</f>
        <v>6588</v>
      </c>
      <c r="AG113" s="512">
        <f t="shared" si="34"/>
        <v>60722.8</v>
      </c>
      <c r="AH113" s="512">
        <f>SUMIFS(PURCHASE!$K$6:$K$10008,PURCHASE!$A$6:$A$10008,$AG$2,PURCHASE!$H$6:$H$10008,$A$4:$A$2700)</f>
        <v>51460</v>
      </c>
      <c r="AI113" s="512">
        <f>SUMIFS(PURCHASE!$L$6:$L$10008,PURCHASE!$A$6:$A$10008,$AG$2,PURCHASE!$H$6:$H$10008,$A$4:$A$2700)</f>
        <v>0</v>
      </c>
      <c r="AJ113" s="512">
        <f>SUMIFS(PURCHASE!$M$6:$M$10008,PURCHASE!$A$6:$A$10008,$AG$2,PURCHASE!$H$6:$H$10008,$A$4:$A$2700)</f>
        <v>4631.3999999999996</v>
      </c>
      <c r="AK113" s="512">
        <f>SUMIFS(PURCHASE!$N$6:$N$10008,PURCHASE!$A$6:$A$10008,$AG$2,PURCHASE!$H$6:$H$10008,$A$4:$A$2700)</f>
        <v>4631.3999999999996</v>
      </c>
      <c r="AL113" s="512">
        <f t="shared" si="35"/>
        <v>43612.800000000003</v>
      </c>
      <c r="AM113" s="512">
        <f>SUMIFS(PURCHASE!$K$6:$K$10008,PURCHASE!$A$6:$A$10008,$AL$2,PURCHASE!$H$6:$H$10008,$A$4:$A$2700)</f>
        <v>36960</v>
      </c>
      <c r="AN113" s="512">
        <f>SUMIFS(PURCHASE!$L$6:$L$10008,PURCHASE!$A$6:$A$10008,$AL$2,PURCHASE!$H$6:$H$10008,$A$4:$A$2700)</f>
        <v>0</v>
      </c>
      <c r="AO113" s="512">
        <f>SUMIFS(PURCHASE!$M$6:$M$10008,PURCHASE!$A$6:$A$10008,$AL$2,PURCHASE!$H$6:$H$10008,$A$4:$A$2700)</f>
        <v>3326.4</v>
      </c>
      <c r="AP113" s="512">
        <f>SUMIFS(PURCHASE!$N$6:$N$10008,PURCHASE!$A$6:$A$10008,$AL$2,PURCHASE!$H$6:$H$10008,$A$4:$A$2700)</f>
        <v>3326.4</v>
      </c>
      <c r="AQ113" s="512">
        <f t="shared" si="36"/>
        <v>34621.199999999997</v>
      </c>
      <c r="AR113" s="512">
        <f>SUMIFS(PURCHASE!$K$6:$K$10008,PURCHASE!$A$6:$A$10008,$AQ$2,PURCHASE!$H$6:$H$10008,$A$4:$A$2700)</f>
        <v>29340</v>
      </c>
      <c r="AS113" s="512">
        <f>SUMIFS(PURCHASE!$L$6:$L$10008,PURCHASE!$A$6:$A$10008,$AQ$2,PURCHASE!$H$6:$H$10008,$A$4:$A$2700)</f>
        <v>0</v>
      </c>
      <c r="AT113" s="512">
        <f>SUMIFS(PURCHASE!$M$6:$M$10008,PURCHASE!$A$6:$A$10008,$AQ$2,PURCHASE!$H$6:$H$10008,$A$4:$A$2700)</f>
        <v>2640.6</v>
      </c>
      <c r="AU113" s="512">
        <f>SUMIFS(PURCHASE!$N$6:$N$10008,PURCHASE!$A$6:$A$10008,$AQ$2,PURCHASE!$H$6:$H$10008,$A$4:$A$2700)</f>
        <v>2640.6</v>
      </c>
      <c r="AV113" s="512">
        <f t="shared" si="37"/>
        <v>29030.36</v>
      </c>
      <c r="AW113" s="512">
        <f>SUMIFS(PURCHASE!$K$6:$K$10008,PURCHASE!$A$6:$A$10008,$AV$2,PURCHASE!$H$6:$H$10008,$A$4:$A$2700)</f>
        <v>24602</v>
      </c>
      <c r="AX113" s="512">
        <f>SUMIFS(PURCHASE!$L$6:$L$10008,PURCHASE!$A$6:$A$10008,$AV$2,PURCHASE!$H$6:$H$10008,$A$4:$A$2700)</f>
        <v>0</v>
      </c>
      <c r="AY113" s="512">
        <f>SUMIFS(PURCHASE!$M$6:$M$10008,PURCHASE!$A$6:$A$10008,$AV$2,PURCHASE!$H$6:$H$10008,$A$4:$A$2700)</f>
        <v>2214.1800000000003</v>
      </c>
      <c r="AZ113" s="512">
        <f>SUMIFS(PURCHASE!$N$6:$N$10008,PURCHASE!$A$6:$A$10008,$AV$2,PURCHASE!$H$6:$H$10008,$A$4:$A$2700)</f>
        <v>2214.1800000000003</v>
      </c>
      <c r="BA113" s="512">
        <f t="shared" si="38"/>
        <v>0</v>
      </c>
      <c r="BB113" s="512">
        <f>SUMIFS(PURCHASE!$K$6:$K$10008,PURCHASE!$A$6:$A$10008,$BA$2,PURCHASE!$H$6:$H$10008,$A$4:$A$2700)</f>
        <v>0</v>
      </c>
      <c r="BC113" s="512">
        <f>SUMIFS(PURCHASE!$L$6:$L$10008,PURCHASE!$A$6:$A$10008,$BA$2,PURCHASE!$H$6:$H$10008,$A$4:$A$2700)</f>
        <v>0</v>
      </c>
      <c r="BD113" s="512">
        <f>SUMIFS(PURCHASE!$M$6:$M$10008,PURCHASE!$A$6:$A$10008,$BA$2,PURCHASE!$H$6:$H$10008,$A$4:$A$2700)</f>
        <v>0</v>
      </c>
      <c r="BE113" s="512">
        <f>SUMIFS(PURCHASE!$N$6:$N$10008,PURCHASE!$A$6:$A$10008,$BA$2,PURCHASE!$H$6:$H$10008,$A$4:$A$2700)</f>
        <v>0</v>
      </c>
      <c r="BF113" s="512">
        <f t="shared" si="39"/>
        <v>0</v>
      </c>
      <c r="BG113" s="512">
        <f>SUMIFS(PURCHASE!$K$6:$K$10008,PURCHASE!$A$6:$A$10008,$BF$2,PURCHASE!$H$6:$H$10008,$A$4:$A$2700)</f>
        <v>0</v>
      </c>
      <c r="BH113" s="512">
        <f>SUMIFS(PURCHASE!$L$6:$L$10008,PURCHASE!$A$6:$A$10008,$BF$2,PURCHASE!$H$6:$H$10008,$A$4:$A$2700)</f>
        <v>0</v>
      </c>
      <c r="BI113" s="512">
        <f>SUMIFS(PURCHASE!$M$6:$M$10008,PURCHASE!$A$6:$A$10008,$BF$2,PURCHASE!$H$6:$H$10008,$A$4:$A$2700)</f>
        <v>0</v>
      </c>
      <c r="BJ113" s="512">
        <f>SUMIFS(PURCHASE!$N$6:$N$10008,PURCHASE!$A$6:$A$10008,$BF$2,PURCHASE!$H$6:$H$10008,$A$4:$A$2700)</f>
        <v>0</v>
      </c>
      <c r="BK113" s="72">
        <f t="shared" si="23"/>
        <v>716973.19200000004</v>
      </c>
      <c r="BL113" s="72">
        <f t="shared" si="24"/>
        <v>607604.4</v>
      </c>
      <c r="BM113" s="72">
        <f t="shared" si="25"/>
        <v>2700</v>
      </c>
      <c r="BN113" s="72">
        <f t="shared" si="26"/>
        <v>53334.396000000001</v>
      </c>
      <c r="BO113" s="72">
        <f t="shared" si="27"/>
        <v>53334.396000000001</v>
      </c>
    </row>
    <row r="114" spans="1:67" x14ac:dyDescent="0.2">
      <c r="A114" s="511">
        <v>38249990</v>
      </c>
      <c r="B114" s="467" t="s">
        <v>273</v>
      </c>
      <c r="C114" s="512">
        <f t="shared" si="28"/>
        <v>0</v>
      </c>
      <c r="D114" s="512">
        <f>SUMIFS(PURCHASE!$K$6:$K$10008,PURCHASE!$A$6:$A$10008,$M$2,PURCHASE!$H$6:$H$10008,$A$4:$A$2700)</f>
        <v>0</v>
      </c>
      <c r="E114" s="512">
        <f>SUMIFS(PURCHASE!$L$6:$L$10008,PURCHASE!$A$6:$A$10008,$M$2,PURCHASE!$H$6:$H$10008,$A$4:$A$2700)</f>
        <v>0</v>
      </c>
      <c r="F114" s="512">
        <f>SUMIFS(PURCHASE!$M$6:$M$10008,PURCHASE!$A$6:$A$10008,$M$2,PURCHASE!$H$6:$H$10008,$A$4:$A$2700)</f>
        <v>0</v>
      </c>
      <c r="G114" s="512">
        <f>SUMIFS(PURCHASE!$N$6:$N$10008,PURCHASE!$A$6:$A$10008,$M$2,PURCHASE!$H$6:$H$10008,$A$4:$A$2700)</f>
        <v>0</v>
      </c>
      <c r="H114" s="512">
        <f t="shared" si="29"/>
        <v>8750.8799999999992</v>
      </c>
      <c r="I114" s="512">
        <f>SUMIFS(PURCHASE!$K$6:$K$10008,PURCHASE!$A$6:$A$10008,$H$2,PURCHASE!$H$6:$H$10008,$A$4:$A$2700)</f>
        <v>7416</v>
      </c>
      <c r="J114" s="512">
        <f>SUMIFS(PURCHASE!$L$6:$L$10008,PURCHASE!$A$6:$A$10008,$H$2,PURCHASE!$H$6:$H$10008,$A$4:$A$2700)</f>
        <v>0</v>
      </c>
      <c r="K114" s="512">
        <f>SUMIFS(PURCHASE!$M$6:$M$10008,PURCHASE!$A$6:$A$10008,$H$2,PURCHASE!$H$6:$H$10008,$A$4:$A$2700)</f>
        <v>667.43999999999994</v>
      </c>
      <c r="L114" s="512">
        <f>SUMIFS(PURCHASE!$N$6:$N$10008,PURCHASE!$A$6:$A$10008,$H$2,PURCHASE!$H$6:$H$10008,$A$4:$A$2700)</f>
        <v>667.43999999999994</v>
      </c>
      <c r="M114" s="512">
        <f t="shared" si="30"/>
        <v>0</v>
      </c>
      <c r="N114" s="512">
        <f>SUMIFS(PURCHASE!$K$6:$K$10008,PURCHASE!$A$6:$A$10008,$M$2,PURCHASE!$H$6:$H$10008,$A$4:$A$2700)</f>
        <v>0</v>
      </c>
      <c r="O114" s="512">
        <f>SUMIFS(PURCHASE!$L$6:$L$10008,PURCHASE!$A$6:$A$10008,$M$2,PURCHASE!$H$6:$H$10008,$A$4:$A$2700)</f>
        <v>0</v>
      </c>
      <c r="P114" s="512">
        <f>SUMIFS(PURCHASE!$M$6:$M$10008,PURCHASE!$A$6:$A$10008,$M$2,PURCHASE!$H$6:$H$10008,$A$4:$A$2700)</f>
        <v>0</v>
      </c>
      <c r="Q114" s="512">
        <f>SUMIFS(PURCHASE!$N$6:$N$10008,PURCHASE!$A$6:$A$10008,$M$2,PURCHASE!$H$6:$H$10008,$A$4:$A$2700)</f>
        <v>0</v>
      </c>
      <c r="R114" s="512">
        <f t="shared" si="31"/>
        <v>11667.84</v>
      </c>
      <c r="S114" s="512">
        <f>SUMIFS(PURCHASE!$K$6:$K$10008,PURCHASE!$A$6:$A$10008,$R$2,PURCHASE!$H$6:$H$10008,$A$4:$A$2700)</f>
        <v>9888</v>
      </c>
      <c r="T114" s="512">
        <f>SUMIFS(PURCHASE!$L$6:$L$10008,PURCHASE!$A$6:$A$10008,$R$2,PURCHASE!$H$6:$H$10008,$A$4:$A$2700)</f>
        <v>0</v>
      </c>
      <c r="U114" s="512">
        <f>SUMIFS(PURCHASE!$M$6:$M$10008,PURCHASE!$A$6:$A$10008,$R$2,PURCHASE!$H$6:$H$10008,$A$4:$A$2700)</f>
        <v>889.92</v>
      </c>
      <c r="V114" s="512">
        <f>SUMIFS(PURCHASE!$N$6:$N$10008,PURCHASE!$A$6:$A$10008,$R$2,PURCHASE!$H$6:$H$10008,$A$4:$A$2700)</f>
        <v>889.92</v>
      </c>
      <c r="W114" s="512">
        <f t="shared" si="32"/>
        <v>17954.879999999997</v>
      </c>
      <c r="X114" s="512">
        <f>SUMIFS(PURCHASE!$K$6:$K$10008,PURCHASE!$A$6:$A$10008,$W$2,PURCHASE!$H$6:$H$10008,$A$4:$A$2700)</f>
        <v>15216</v>
      </c>
      <c r="Y114" s="512">
        <f>SUMIFS(PURCHASE!$L$6:$L$10008,PURCHASE!$A$6:$A$10008,$W$2,PURCHASE!$H$6:$H$10008,$A$4:$A$2700)</f>
        <v>0</v>
      </c>
      <c r="Z114" s="512">
        <f>SUMIFS(PURCHASE!$M$6:$M$10008,PURCHASE!$A$6:$A$10008,$W$2,PURCHASE!$H$6:$H$10008,$A$4:$A$2700)</f>
        <v>1369.44</v>
      </c>
      <c r="AA114" s="512">
        <f>SUMIFS(PURCHASE!$N$6:$N$10008,PURCHASE!$A$6:$A$10008,$W$2,PURCHASE!$H$6:$H$10008,$A$4:$A$2700)</f>
        <v>1369.44</v>
      </c>
      <c r="AB114" s="512">
        <f t="shared" si="33"/>
        <v>0</v>
      </c>
      <c r="AC114" s="512">
        <f>SUMIFS(PURCHASE!$K$6:$K$10008,PURCHASE!$A$6:$A$10008,$AB$2,PURCHASE!$H$6:$H$10008,$A$4:$A$2700)</f>
        <v>0</v>
      </c>
      <c r="AD114" s="512">
        <f>SUMIFS(PURCHASE!$L$6:$L$10008,PURCHASE!$A$6:$A$10008,$AB$2,PURCHASE!$H$6:$H$10008,$A$4:$A$2700)</f>
        <v>0</v>
      </c>
      <c r="AE114" s="512">
        <f>SUMIFS(PURCHASE!$M$6:$M$10008,PURCHASE!$A$6:$A$10008,$AB$2,PURCHASE!$H$6:$H$10008,$A$4:$A$2700)</f>
        <v>0</v>
      </c>
      <c r="AF114" s="512">
        <f>SUMIFS(PURCHASE!$N$6:$N$10008,PURCHASE!$A$6:$A$10008,$AB$2,PURCHASE!$H$6:$H$10008,$A$4:$A$2700)</f>
        <v>0</v>
      </c>
      <c r="AG114" s="512">
        <f t="shared" si="34"/>
        <v>0</v>
      </c>
      <c r="AH114" s="512">
        <f>SUMIFS(PURCHASE!$K$6:$K$10008,PURCHASE!$A$6:$A$10008,$AG$2,PURCHASE!$H$6:$H$10008,$A$4:$A$2700)</f>
        <v>0</v>
      </c>
      <c r="AI114" s="512">
        <f>SUMIFS(PURCHASE!$L$6:$L$10008,PURCHASE!$A$6:$A$10008,$AG$2,PURCHASE!$H$6:$H$10008,$A$4:$A$2700)</f>
        <v>0</v>
      </c>
      <c r="AJ114" s="512">
        <f>SUMIFS(PURCHASE!$M$6:$M$10008,PURCHASE!$A$6:$A$10008,$AG$2,PURCHASE!$H$6:$H$10008,$A$4:$A$2700)</f>
        <v>0</v>
      </c>
      <c r="AK114" s="512">
        <f>SUMIFS(PURCHASE!$N$6:$N$10008,PURCHASE!$A$6:$A$10008,$AG$2,PURCHASE!$H$6:$H$10008,$A$4:$A$2700)</f>
        <v>0</v>
      </c>
      <c r="AL114" s="512">
        <f t="shared" si="35"/>
        <v>0</v>
      </c>
      <c r="AM114" s="512">
        <f>SUMIFS(PURCHASE!$K$6:$K$10008,PURCHASE!$A$6:$A$10008,$AL$2,PURCHASE!$H$6:$H$10008,$A$4:$A$2700)</f>
        <v>0</v>
      </c>
      <c r="AN114" s="512">
        <f>SUMIFS(PURCHASE!$L$6:$L$10008,PURCHASE!$A$6:$A$10008,$AL$2,PURCHASE!$H$6:$H$10008,$A$4:$A$2700)</f>
        <v>0</v>
      </c>
      <c r="AO114" s="512">
        <f>SUMIFS(PURCHASE!$M$6:$M$10008,PURCHASE!$A$6:$A$10008,$AL$2,PURCHASE!$H$6:$H$10008,$A$4:$A$2700)</f>
        <v>0</v>
      </c>
      <c r="AP114" s="512">
        <f>SUMIFS(PURCHASE!$N$6:$N$10008,PURCHASE!$A$6:$A$10008,$AL$2,PURCHASE!$H$6:$H$10008,$A$4:$A$2700)</f>
        <v>0</v>
      </c>
      <c r="AQ114" s="512">
        <f t="shared" si="36"/>
        <v>0</v>
      </c>
      <c r="AR114" s="512">
        <f>SUMIFS(PURCHASE!$K$6:$K$10008,PURCHASE!$A$6:$A$10008,$AQ$2,PURCHASE!$H$6:$H$10008,$A$4:$A$2700)</f>
        <v>0</v>
      </c>
      <c r="AS114" s="512">
        <f>SUMIFS(PURCHASE!$L$6:$L$10008,PURCHASE!$A$6:$A$10008,$AQ$2,PURCHASE!$H$6:$H$10008,$A$4:$A$2700)</f>
        <v>0</v>
      </c>
      <c r="AT114" s="512">
        <f>SUMIFS(PURCHASE!$M$6:$M$10008,PURCHASE!$A$6:$A$10008,$AQ$2,PURCHASE!$H$6:$H$10008,$A$4:$A$2700)</f>
        <v>0</v>
      </c>
      <c r="AU114" s="512">
        <f>SUMIFS(PURCHASE!$N$6:$N$10008,PURCHASE!$A$6:$A$10008,$AQ$2,PURCHASE!$H$6:$H$10008,$A$4:$A$2700)</f>
        <v>0</v>
      </c>
      <c r="AV114" s="512">
        <f t="shared" si="37"/>
        <v>0</v>
      </c>
      <c r="AW114" s="512">
        <f>SUMIFS(PURCHASE!$K$6:$K$10008,PURCHASE!$A$6:$A$10008,$AV$2,PURCHASE!$H$6:$H$10008,$A$4:$A$2700)</f>
        <v>0</v>
      </c>
      <c r="AX114" s="512">
        <f>SUMIFS(PURCHASE!$L$6:$L$10008,PURCHASE!$A$6:$A$10008,$AV$2,PURCHASE!$H$6:$H$10008,$A$4:$A$2700)</f>
        <v>0</v>
      </c>
      <c r="AY114" s="512">
        <f>SUMIFS(PURCHASE!$M$6:$M$10008,PURCHASE!$A$6:$A$10008,$AV$2,PURCHASE!$H$6:$H$10008,$A$4:$A$2700)</f>
        <v>0</v>
      </c>
      <c r="AZ114" s="512">
        <f>SUMIFS(PURCHASE!$N$6:$N$10008,PURCHASE!$A$6:$A$10008,$AV$2,PURCHASE!$H$6:$H$10008,$A$4:$A$2700)</f>
        <v>0</v>
      </c>
      <c r="BA114" s="512">
        <f t="shared" si="38"/>
        <v>0</v>
      </c>
      <c r="BB114" s="512">
        <f>SUMIFS(PURCHASE!$K$6:$K$10008,PURCHASE!$A$6:$A$10008,$BA$2,PURCHASE!$H$6:$H$10008,$A$4:$A$2700)</f>
        <v>0</v>
      </c>
      <c r="BC114" s="512">
        <f>SUMIFS(PURCHASE!$L$6:$L$10008,PURCHASE!$A$6:$A$10008,$BA$2,PURCHASE!$H$6:$H$10008,$A$4:$A$2700)</f>
        <v>0</v>
      </c>
      <c r="BD114" s="512">
        <f>SUMIFS(PURCHASE!$M$6:$M$10008,PURCHASE!$A$6:$A$10008,$BA$2,PURCHASE!$H$6:$H$10008,$A$4:$A$2700)</f>
        <v>0</v>
      </c>
      <c r="BE114" s="512">
        <f>SUMIFS(PURCHASE!$N$6:$N$10008,PURCHASE!$A$6:$A$10008,$BA$2,PURCHASE!$H$6:$H$10008,$A$4:$A$2700)</f>
        <v>0</v>
      </c>
      <c r="BF114" s="512">
        <f t="shared" si="39"/>
        <v>0</v>
      </c>
      <c r="BG114" s="512">
        <f>SUMIFS(PURCHASE!$K$6:$K$10008,PURCHASE!$A$6:$A$10008,$BF$2,PURCHASE!$H$6:$H$10008,$A$4:$A$2700)</f>
        <v>0</v>
      </c>
      <c r="BH114" s="512">
        <f>SUMIFS(PURCHASE!$L$6:$L$10008,PURCHASE!$A$6:$A$10008,$BF$2,PURCHASE!$H$6:$H$10008,$A$4:$A$2700)</f>
        <v>0</v>
      </c>
      <c r="BI114" s="512">
        <f>SUMIFS(PURCHASE!$M$6:$M$10008,PURCHASE!$A$6:$A$10008,$BF$2,PURCHASE!$H$6:$H$10008,$A$4:$A$2700)</f>
        <v>0</v>
      </c>
      <c r="BJ114" s="512">
        <f>SUMIFS(PURCHASE!$N$6:$N$10008,PURCHASE!$A$6:$A$10008,$BF$2,PURCHASE!$H$6:$H$10008,$A$4:$A$2700)</f>
        <v>0</v>
      </c>
      <c r="BK114" s="72">
        <f t="shared" si="23"/>
        <v>38373.599999999999</v>
      </c>
      <c r="BL114" s="72">
        <f t="shared" si="24"/>
        <v>32520</v>
      </c>
      <c r="BM114" s="72">
        <f t="shared" si="25"/>
        <v>0</v>
      </c>
      <c r="BN114" s="72">
        <f t="shared" si="26"/>
        <v>2926.8</v>
      </c>
      <c r="BO114" s="72">
        <f t="shared" si="27"/>
        <v>2926.8</v>
      </c>
    </row>
    <row r="115" spans="1:67" x14ac:dyDescent="0.2">
      <c r="A115" s="511">
        <v>39119090</v>
      </c>
      <c r="B115" s="467" t="s">
        <v>273</v>
      </c>
      <c r="C115" s="512">
        <f t="shared" si="28"/>
        <v>54829.880000000005</v>
      </c>
      <c r="D115" s="512">
        <f>SUMIFS(PURCHASE!$K$6:$K$10008,PURCHASE!$A$6:$A$10008,$M$2,PURCHASE!$H$6:$H$10008,$A$4:$A$2700)</f>
        <v>46466</v>
      </c>
      <c r="E115" s="512">
        <f>SUMIFS(PURCHASE!$L$6:$L$10008,PURCHASE!$A$6:$A$10008,$M$2,PURCHASE!$H$6:$H$10008,$A$4:$A$2700)</f>
        <v>0</v>
      </c>
      <c r="F115" s="512">
        <f>SUMIFS(PURCHASE!$M$6:$M$10008,PURCHASE!$A$6:$A$10008,$M$2,PURCHASE!$H$6:$H$10008,$A$4:$A$2700)</f>
        <v>4181.9399999999996</v>
      </c>
      <c r="G115" s="512">
        <f>SUMIFS(PURCHASE!$N$6:$N$10008,PURCHASE!$A$6:$A$10008,$M$2,PURCHASE!$H$6:$H$10008,$A$4:$A$2700)</f>
        <v>4181.9399999999996</v>
      </c>
      <c r="H115" s="512">
        <f t="shared" si="29"/>
        <v>0</v>
      </c>
      <c r="I115" s="512">
        <f>SUMIFS(PURCHASE!$K$6:$K$10008,PURCHASE!$A$6:$A$10008,$H$2,PURCHASE!$H$6:$H$10008,$A$4:$A$2700)</f>
        <v>0</v>
      </c>
      <c r="J115" s="512">
        <f>SUMIFS(PURCHASE!$L$6:$L$10008,PURCHASE!$A$6:$A$10008,$H$2,PURCHASE!$H$6:$H$10008,$A$4:$A$2700)</f>
        <v>0</v>
      </c>
      <c r="K115" s="512">
        <f>SUMIFS(PURCHASE!$M$6:$M$10008,PURCHASE!$A$6:$A$10008,$H$2,PURCHASE!$H$6:$H$10008,$A$4:$A$2700)</f>
        <v>0</v>
      </c>
      <c r="L115" s="512">
        <f>SUMIFS(PURCHASE!$N$6:$N$10008,PURCHASE!$A$6:$A$10008,$H$2,PURCHASE!$H$6:$H$10008,$A$4:$A$2700)</f>
        <v>0</v>
      </c>
      <c r="M115" s="512">
        <f t="shared" si="30"/>
        <v>54829.880000000005</v>
      </c>
      <c r="N115" s="512">
        <f>SUMIFS(PURCHASE!$K$6:$K$10008,PURCHASE!$A$6:$A$10008,$M$2,PURCHASE!$H$6:$H$10008,$A$4:$A$2700)</f>
        <v>46466</v>
      </c>
      <c r="O115" s="512">
        <f>SUMIFS(PURCHASE!$L$6:$L$10008,PURCHASE!$A$6:$A$10008,$M$2,PURCHASE!$H$6:$H$10008,$A$4:$A$2700)</f>
        <v>0</v>
      </c>
      <c r="P115" s="512">
        <f>SUMIFS(PURCHASE!$M$6:$M$10008,PURCHASE!$A$6:$A$10008,$M$2,PURCHASE!$H$6:$H$10008,$A$4:$A$2700)</f>
        <v>4181.9399999999996</v>
      </c>
      <c r="Q115" s="512">
        <f>SUMIFS(PURCHASE!$N$6:$N$10008,PURCHASE!$A$6:$A$10008,$M$2,PURCHASE!$H$6:$H$10008,$A$4:$A$2700)</f>
        <v>4181.9399999999996</v>
      </c>
      <c r="R115" s="512">
        <f t="shared" si="31"/>
        <v>98289.279999999999</v>
      </c>
      <c r="S115" s="512">
        <f>SUMIFS(PURCHASE!$K$6:$K$10008,PURCHASE!$A$6:$A$10008,$R$2,PURCHASE!$H$6:$H$10008,$A$4:$A$2700)</f>
        <v>83296</v>
      </c>
      <c r="T115" s="512">
        <f>SUMIFS(PURCHASE!$L$6:$L$10008,PURCHASE!$A$6:$A$10008,$R$2,PURCHASE!$H$6:$H$10008,$A$4:$A$2700)</f>
        <v>0</v>
      </c>
      <c r="U115" s="512">
        <f>SUMIFS(PURCHASE!$M$6:$M$10008,PURCHASE!$A$6:$A$10008,$R$2,PURCHASE!$H$6:$H$10008,$A$4:$A$2700)</f>
        <v>7496.6399999999994</v>
      </c>
      <c r="V115" s="512">
        <f>SUMIFS(PURCHASE!$N$6:$N$10008,PURCHASE!$A$6:$A$10008,$R$2,PURCHASE!$H$6:$H$10008,$A$4:$A$2700)</f>
        <v>7496.6399999999994</v>
      </c>
      <c r="W115" s="512">
        <f t="shared" si="32"/>
        <v>46558.080000000002</v>
      </c>
      <c r="X115" s="512">
        <f>SUMIFS(PURCHASE!$K$6:$K$10008,PURCHASE!$A$6:$A$10008,$W$2,PURCHASE!$H$6:$H$10008,$A$4:$A$2700)</f>
        <v>39456</v>
      </c>
      <c r="Y115" s="512">
        <f>SUMIFS(PURCHASE!$L$6:$L$10008,PURCHASE!$A$6:$A$10008,$W$2,PURCHASE!$H$6:$H$10008,$A$4:$A$2700)</f>
        <v>0</v>
      </c>
      <c r="Z115" s="512">
        <f>SUMIFS(PURCHASE!$M$6:$M$10008,PURCHASE!$A$6:$A$10008,$W$2,PURCHASE!$H$6:$H$10008,$A$4:$A$2700)</f>
        <v>3551.04</v>
      </c>
      <c r="AA115" s="512">
        <f>SUMIFS(PURCHASE!$N$6:$N$10008,PURCHASE!$A$6:$A$10008,$W$2,PURCHASE!$H$6:$H$10008,$A$4:$A$2700)</f>
        <v>3551.04</v>
      </c>
      <c r="AB115" s="512">
        <f t="shared" si="33"/>
        <v>86029.079999999987</v>
      </c>
      <c r="AC115" s="512">
        <f>SUMIFS(PURCHASE!$K$6:$K$10008,PURCHASE!$A$6:$A$10008,$AB$2,PURCHASE!$H$6:$H$10008,$A$4:$A$2700)</f>
        <v>72906</v>
      </c>
      <c r="AD115" s="512">
        <f>SUMIFS(PURCHASE!$L$6:$L$10008,PURCHASE!$A$6:$A$10008,$AB$2,PURCHASE!$H$6:$H$10008,$A$4:$A$2700)</f>
        <v>0</v>
      </c>
      <c r="AE115" s="512">
        <f>SUMIFS(PURCHASE!$M$6:$M$10008,PURCHASE!$A$6:$A$10008,$AB$2,PURCHASE!$H$6:$H$10008,$A$4:$A$2700)</f>
        <v>6561.54</v>
      </c>
      <c r="AF115" s="512">
        <f>SUMIFS(PURCHASE!$N$6:$N$10008,PURCHASE!$A$6:$A$10008,$AB$2,PURCHASE!$H$6:$H$10008,$A$4:$A$2700)</f>
        <v>6561.54</v>
      </c>
      <c r="AG115" s="512">
        <f t="shared" si="34"/>
        <v>54841.679999999993</v>
      </c>
      <c r="AH115" s="512">
        <f>SUMIFS(PURCHASE!$K$6:$K$10008,PURCHASE!$A$6:$A$10008,$AG$2,PURCHASE!$H$6:$H$10008,$A$4:$A$2700)</f>
        <v>46476</v>
      </c>
      <c r="AI115" s="512">
        <f>SUMIFS(PURCHASE!$L$6:$L$10008,PURCHASE!$A$6:$A$10008,$AG$2,PURCHASE!$H$6:$H$10008,$A$4:$A$2700)</f>
        <v>0</v>
      </c>
      <c r="AJ115" s="512">
        <f>SUMIFS(PURCHASE!$M$6:$M$10008,PURCHASE!$A$6:$A$10008,$AG$2,PURCHASE!$H$6:$H$10008,$A$4:$A$2700)</f>
        <v>4182.84</v>
      </c>
      <c r="AK115" s="512">
        <f>SUMIFS(PURCHASE!$N$6:$N$10008,PURCHASE!$A$6:$A$10008,$AG$2,PURCHASE!$H$6:$H$10008,$A$4:$A$2700)</f>
        <v>4182.84</v>
      </c>
      <c r="AL115" s="512">
        <f t="shared" si="35"/>
        <v>0</v>
      </c>
      <c r="AM115" s="512">
        <f>SUMIFS(PURCHASE!$K$6:$K$10008,PURCHASE!$A$6:$A$10008,$AL$2,PURCHASE!$H$6:$H$10008,$A$4:$A$2700)</f>
        <v>0</v>
      </c>
      <c r="AN115" s="512">
        <f>SUMIFS(PURCHASE!$L$6:$L$10008,PURCHASE!$A$6:$A$10008,$AL$2,PURCHASE!$H$6:$H$10008,$A$4:$A$2700)</f>
        <v>0</v>
      </c>
      <c r="AO115" s="512">
        <f>SUMIFS(PURCHASE!$M$6:$M$10008,PURCHASE!$A$6:$A$10008,$AL$2,PURCHASE!$H$6:$H$10008,$A$4:$A$2700)</f>
        <v>0</v>
      </c>
      <c r="AP115" s="512">
        <f>SUMIFS(PURCHASE!$N$6:$N$10008,PURCHASE!$A$6:$A$10008,$AL$2,PURCHASE!$H$6:$H$10008,$A$4:$A$2700)</f>
        <v>0</v>
      </c>
      <c r="AQ115" s="512">
        <f t="shared" si="36"/>
        <v>26455.599999999999</v>
      </c>
      <c r="AR115" s="512">
        <f>SUMIFS(PURCHASE!$K$6:$K$10008,PURCHASE!$A$6:$A$10008,$AQ$2,PURCHASE!$H$6:$H$10008,$A$4:$A$2700)</f>
        <v>22420</v>
      </c>
      <c r="AS115" s="512">
        <f>SUMIFS(PURCHASE!$L$6:$L$10008,PURCHASE!$A$6:$A$10008,$AQ$2,PURCHASE!$H$6:$H$10008,$A$4:$A$2700)</f>
        <v>0</v>
      </c>
      <c r="AT115" s="512">
        <f>SUMIFS(PURCHASE!$M$6:$M$10008,PURCHASE!$A$6:$A$10008,$AQ$2,PURCHASE!$H$6:$H$10008,$A$4:$A$2700)</f>
        <v>2017.8</v>
      </c>
      <c r="AU115" s="512">
        <f>SUMIFS(PURCHASE!$N$6:$N$10008,PURCHASE!$A$6:$A$10008,$AQ$2,PURCHASE!$H$6:$H$10008,$A$4:$A$2700)</f>
        <v>2017.8</v>
      </c>
      <c r="AV115" s="512">
        <f t="shared" si="37"/>
        <v>29603.839999999997</v>
      </c>
      <c r="AW115" s="512">
        <f>SUMIFS(PURCHASE!$K$6:$K$10008,PURCHASE!$A$6:$A$10008,$AV$2,PURCHASE!$H$6:$H$10008,$A$4:$A$2700)</f>
        <v>25088</v>
      </c>
      <c r="AX115" s="512">
        <f>SUMIFS(PURCHASE!$L$6:$L$10008,PURCHASE!$A$6:$A$10008,$AV$2,PURCHASE!$H$6:$H$10008,$A$4:$A$2700)</f>
        <v>0</v>
      </c>
      <c r="AY115" s="512">
        <f>SUMIFS(PURCHASE!$M$6:$M$10008,PURCHASE!$A$6:$A$10008,$AV$2,PURCHASE!$H$6:$H$10008,$A$4:$A$2700)</f>
        <v>2257.92</v>
      </c>
      <c r="AZ115" s="512">
        <f>SUMIFS(PURCHASE!$N$6:$N$10008,PURCHASE!$A$6:$A$10008,$AV$2,PURCHASE!$H$6:$H$10008,$A$4:$A$2700)</f>
        <v>2257.92</v>
      </c>
      <c r="BA115" s="512">
        <f t="shared" si="38"/>
        <v>0</v>
      </c>
      <c r="BB115" s="512">
        <f>SUMIFS(PURCHASE!$K$6:$K$10008,PURCHASE!$A$6:$A$10008,$BA$2,PURCHASE!$H$6:$H$10008,$A$4:$A$2700)</f>
        <v>0</v>
      </c>
      <c r="BC115" s="512">
        <f>SUMIFS(PURCHASE!$L$6:$L$10008,PURCHASE!$A$6:$A$10008,$BA$2,PURCHASE!$H$6:$H$10008,$A$4:$A$2700)</f>
        <v>0</v>
      </c>
      <c r="BD115" s="512">
        <f>SUMIFS(PURCHASE!$M$6:$M$10008,PURCHASE!$A$6:$A$10008,$BA$2,PURCHASE!$H$6:$H$10008,$A$4:$A$2700)</f>
        <v>0</v>
      </c>
      <c r="BE115" s="512">
        <f>SUMIFS(PURCHASE!$N$6:$N$10008,PURCHASE!$A$6:$A$10008,$BA$2,PURCHASE!$H$6:$H$10008,$A$4:$A$2700)</f>
        <v>0</v>
      </c>
      <c r="BF115" s="512">
        <f t="shared" si="39"/>
        <v>0</v>
      </c>
      <c r="BG115" s="512">
        <f>SUMIFS(PURCHASE!$K$6:$K$10008,PURCHASE!$A$6:$A$10008,$BF$2,PURCHASE!$H$6:$H$10008,$A$4:$A$2700)</f>
        <v>0</v>
      </c>
      <c r="BH115" s="512">
        <f>SUMIFS(PURCHASE!$L$6:$L$10008,PURCHASE!$A$6:$A$10008,$BF$2,PURCHASE!$H$6:$H$10008,$A$4:$A$2700)</f>
        <v>0</v>
      </c>
      <c r="BI115" s="512">
        <f>SUMIFS(PURCHASE!$M$6:$M$10008,PURCHASE!$A$6:$A$10008,$BF$2,PURCHASE!$H$6:$H$10008,$A$4:$A$2700)</f>
        <v>0</v>
      </c>
      <c r="BJ115" s="512">
        <f>SUMIFS(PURCHASE!$N$6:$N$10008,PURCHASE!$A$6:$A$10008,$BF$2,PURCHASE!$H$6:$H$10008,$A$4:$A$2700)</f>
        <v>0</v>
      </c>
      <c r="BK115" s="72">
        <f t="shared" si="23"/>
        <v>451437.31999999995</v>
      </c>
      <c r="BL115" s="72">
        <f t="shared" si="24"/>
        <v>382574</v>
      </c>
      <c r="BM115" s="72">
        <f t="shared" si="25"/>
        <v>0</v>
      </c>
      <c r="BN115" s="72">
        <f t="shared" si="26"/>
        <v>34431.659999999996</v>
      </c>
      <c r="BO115" s="72">
        <f t="shared" si="27"/>
        <v>34431.659999999996</v>
      </c>
    </row>
    <row r="116" spans="1:67" x14ac:dyDescent="0.2">
      <c r="A116" s="511">
        <v>39172190</v>
      </c>
      <c r="B116" s="467" t="s">
        <v>1271</v>
      </c>
      <c r="C116" s="512">
        <f t="shared" si="28"/>
        <v>0</v>
      </c>
      <c r="D116" s="512">
        <f>SUMIFS(PURCHASE!$K$6:$K$10008,PURCHASE!$A$6:$A$10008,$M$2,PURCHASE!$H$6:$H$10008,$A$4:$A$2700)</f>
        <v>0</v>
      </c>
      <c r="E116" s="512">
        <f>SUMIFS(PURCHASE!$L$6:$L$10008,PURCHASE!$A$6:$A$10008,$M$2,PURCHASE!$H$6:$H$10008,$A$4:$A$2700)</f>
        <v>0</v>
      </c>
      <c r="F116" s="512">
        <f>SUMIFS(PURCHASE!$M$6:$M$10008,PURCHASE!$A$6:$A$10008,$M$2,PURCHASE!$H$6:$H$10008,$A$4:$A$2700)</f>
        <v>0</v>
      </c>
      <c r="G116" s="512">
        <f>SUMIFS(PURCHASE!$N$6:$N$10008,PURCHASE!$A$6:$A$10008,$M$2,PURCHASE!$H$6:$H$10008,$A$4:$A$2700)</f>
        <v>0</v>
      </c>
      <c r="H116" s="512">
        <f t="shared" si="29"/>
        <v>0</v>
      </c>
      <c r="I116" s="512">
        <f>SUMIFS(PURCHASE!$K$6:$K$10008,PURCHASE!$A$6:$A$10008,$H$2,PURCHASE!$H$6:$H$10008,$A$4:$A$2700)</f>
        <v>0</v>
      </c>
      <c r="J116" s="512">
        <f>SUMIFS(PURCHASE!$L$6:$L$10008,PURCHASE!$A$6:$A$10008,$H$2,PURCHASE!$H$6:$H$10008,$A$4:$A$2700)</f>
        <v>0</v>
      </c>
      <c r="K116" s="512">
        <f>SUMIFS(PURCHASE!$M$6:$M$10008,PURCHASE!$A$6:$A$10008,$H$2,PURCHASE!$H$6:$H$10008,$A$4:$A$2700)</f>
        <v>0</v>
      </c>
      <c r="L116" s="512">
        <f>SUMIFS(PURCHASE!$N$6:$N$10008,PURCHASE!$A$6:$A$10008,$H$2,PURCHASE!$H$6:$H$10008,$A$4:$A$2700)</f>
        <v>0</v>
      </c>
      <c r="M116" s="512">
        <f t="shared" si="30"/>
        <v>0</v>
      </c>
      <c r="N116" s="512">
        <f>SUMIFS(PURCHASE!$K$6:$K$10008,PURCHASE!$A$6:$A$10008,$M$2,PURCHASE!$H$6:$H$10008,$A$4:$A$2700)</f>
        <v>0</v>
      </c>
      <c r="O116" s="512">
        <f>SUMIFS(PURCHASE!$L$6:$L$10008,PURCHASE!$A$6:$A$10008,$M$2,PURCHASE!$H$6:$H$10008,$A$4:$A$2700)</f>
        <v>0</v>
      </c>
      <c r="P116" s="512">
        <f>SUMIFS(PURCHASE!$M$6:$M$10008,PURCHASE!$A$6:$A$10008,$M$2,PURCHASE!$H$6:$H$10008,$A$4:$A$2700)</f>
        <v>0</v>
      </c>
      <c r="Q116" s="512">
        <f>SUMIFS(PURCHASE!$N$6:$N$10008,PURCHASE!$A$6:$A$10008,$M$2,PURCHASE!$H$6:$H$10008,$A$4:$A$2700)</f>
        <v>0</v>
      </c>
      <c r="R116" s="512">
        <f t="shared" si="31"/>
        <v>0</v>
      </c>
      <c r="S116" s="512">
        <f>SUMIFS(PURCHASE!$K$6:$K$10008,PURCHASE!$A$6:$A$10008,$R$2,PURCHASE!$H$6:$H$10008,$A$4:$A$2700)</f>
        <v>0</v>
      </c>
      <c r="T116" s="512">
        <f>SUMIFS(PURCHASE!$L$6:$L$10008,PURCHASE!$A$6:$A$10008,$R$2,PURCHASE!$H$6:$H$10008,$A$4:$A$2700)</f>
        <v>0</v>
      </c>
      <c r="U116" s="512">
        <f>SUMIFS(PURCHASE!$M$6:$M$10008,PURCHASE!$A$6:$A$10008,$R$2,PURCHASE!$H$6:$H$10008,$A$4:$A$2700)</f>
        <v>0</v>
      </c>
      <c r="V116" s="512">
        <f>SUMIFS(PURCHASE!$N$6:$N$10008,PURCHASE!$A$6:$A$10008,$R$2,PURCHASE!$H$6:$H$10008,$A$4:$A$2700)</f>
        <v>0</v>
      </c>
      <c r="W116" s="512">
        <f t="shared" si="32"/>
        <v>0</v>
      </c>
      <c r="X116" s="512">
        <f>SUMIFS(PURCHASE!$K$6:$K$10008,PURCHASE!$A$6:$A$10008,$W$2,PURCHASE!$H$6:$H$10008,$A$4:$A$2700)</f>
        <v>0</v>
      </c>
      <c r="Y116" s="512">
        <f>SUMIFS(PURCHASE!$L$6:$L$10008,PURCHASE!$A$6:$A$10008,$W$2,PURCHASE!$H$6:$H$10008,$A$4:$A$2700)</f>
        <v>0</v>
      </c>
      <c r="Z116" s="512">
        <f>SUMIFS(PURCHASE!$M$6:$M$10008,PURCHASE!$A$6:$A$10008,$W$2,PURCHASE!$H$6:$H$10008,$A$4:$A$2700)</f>
        <v>0</v>
      </c>
      <c r="AA116" s="512">
        <f>SUMIFS(PURCHASE!$N$6:$N$10008,PURCHASE!$A$6:$A$10008,$W$2,PURCHASE!$H$6:$H$10008,$A$4:$A$2700)</f>
        <v>0</v>
      </c>
      <c r="AB116" s="512">
        <f t="shared" si="33"/>
        <v>0</v>
      </c>
      <c r="AC116" s="512">
        <f>SUMIFS(PURCHASE!$K$6:$K$10008,PURCHASE!$A$6:$A$10008,$AB$2,PURCHASE!$H$6:$H$10008,$A$4:$A$2700)</f>
        <v>0</v>
      </c>
      <c r="AD116" s="512">
        <f>SUMIFS(PURCHASE!$L$6:$L$10008,PURCHASE!$A$6:$A$10008,$AB$2,PURCHASE!$H$6:$H$10008,$A$4:$A$2700)</f>
        <v>0</v>
      </c>
      <c r="AE116" s="512">
        <f>SUMIFS(PURCHASE!$M$6:$M$10008,PURCHASE!$A$6:$A$10008,$AB$2,PURCHASE!$H$6:$H$10008,$A$4:$A$2700)</f>
        <v>0</v>
      </c>
      <c r="AF116" s="512">
        <f>SUMIFS(PURCHASE!$N$6:$N$10008,PURCHASE!$A$6:$A$10008,$AB$2,PURCHASE!$H$6:$H$10008,$A$4:$A$2700)</f>
        <v>0</v>
      </c>
      <c r="AG116" s="512">
        <f t="shared" si="34"/>
        <v>0</v>
      </c>
      <c r="AH116" s="512">
        <f>SUMIFS(PURCHASE!$K$6:$K$10008,PURCHASE!$A$6:$A$10008,$AG$2,PURCHASE!$H$6:$H$10008,$A$4:$A$2700)</f>
        <v>0</v>
      </c>
      <c r="AI116" s="512">
        <f>SUMIFS(PURCHASE!$L$6:$L$10008,PURCHASE!$A$6:$A$10008,$AG$2,PURCHASE!$H$6:$H$10008,$A$4:$A$2700)</f>
        <v>0</v>
      </c>
      <c r="AJ116" s="512">
        <f>SUMIFS(PURCHASE!$M$6:$M$10008,PURCHASE!$A$6:$A$10008,$AG$2,PURCHASE!$H$6:$H$10008,$A$4:$A$2700)</f>
        <v>0</v>
      </c>
      <c r="AK116" s="512">
        <f>SUMIFS(PURCHASE!$N$6:$N$10008,PURCHASE!$A$6:$A$10008,$AG$2,PURCHASE!$H$6:$H$10008,$A$4:$A$2700)</f>
        <v>0</v>
      </c>
      <c r="AL116" s="512">
        <f t="shared" si="35"/>
        <v>0</v>
      </c>
      <c r="AM116" s="512">
        <f>SUMIFS(PURCHASE!$K$6:$K$10008,PURCHASE!$A$6:$A$10008,$AL$2,PURCHASE!$H$6:$H$10008,$A$4:$A$2700)</f>
        <v>0</v>
      </c>
      <c r="AN116" s="512">
        <f>SUMIFS(PURCHASE!$L$6:$L$10008,PURCHASE!$A$6:$A$10008,$AL$2,PURCHASE!$H$6:$H$10008,$A$4:$A$2700)</f>
        <v>0</v>
      </c>
      <c r="AO116" s="512">
        <f>SUMIFS(PURCHASE!$M$6:$M$10008,PURCHASE!$A$6:$A$10008,$AL$2,PURCHASE!$H$6:$H$10008,$A$4:$A$2700)</f>
        <v>0</v>
      </c>
      <c r="AP116" s="512">
        <f>SUMIFS(PURCHASE!$N$6:$N$10008,PURCHASE!$A$6:$A$10008,$AL$2,PURCHASE!$H$6:$H$10008,$A$4:$A$2700)</f>
        <v>0</v>
      </c>
      <c r="AQ116" s="512">
        <f t="shared" si="36"/>
        <v>0</v>
      </c>
      <c r="AR116" s="512">
        <f>SUMIFS(PURCHASE!$K$6:$K$10008,PURCHASE!$A$6:$A$10008,$AQ$2,PURCHASE!$H$6:$H$10008,$A$4:$A$2700)</f>
        <v>0</v>
      </c>
      <c r="AS116" s="512">
        <f>SUMIFS(PURCHASE!$L$6:$L$10008,PURCHASE!$A$6:$A$10008,$AQ$2,PURCHASE!$H$6:$H$10008,$A$4:$A$2700)</f>
        <v>0</v>
      </c>
      <c r="AT116" s="512">
        <f>SUMIFS(PURCHASE!$M$6:$M$10008,PURCHASE!$A$6:$A$10008,$AQ$2,PURCHASE!$H$6:$H$10008,$A$4:$A$2700)</f>
        <v>0</v>
      </c>
      <c r="AU116" s="512">
        <f>SUMIFS(PURCHASE!$N$6:$N$10008,PURCHASE!$A$6:$A$10008,$AQ$2,PURCHASE!$H$6:$H$10008,$A$4:$A$2700)</f>
        <v>0</v>
      </c>
      <c r="AV116" s="512">
        <f t="shared" si="37"/>
        <v>585.28</v>
      </c>
      <c r="AW116" s="512">
        <f>SUMIFS(PURCHASE!$K$6:$K$10008,PURCHASE!$A$6:$A$10008,$AV$2,PURCHASE!$H$6:$H$10008,$A$4:$A$2700)</f>
        <v>496</v>
      </c>
      <c r="AX116" s="512">
        <f>SUMIFS(PURCHASE!$L$6:$L$10008,PURCHASE!$A$6:$A$10008,$AV$2,PURCHASE!$H$6:$H$10008,$A$4:$A$2700)</f>
        <v>0</v>
      </c>
      <c r="AY116" s="512">
        <f>SUMIFS(PURCHASE!$M$6:$M$10008,PURCHASE!$A$6:$A$10008,$AV$2,PURCHASE!$H$6:$H$10008,$A$4:$A$2700)</f>
        <v>44.64</v>
      </c>
      <c r="AZ116" s="512">
        <f>SUMIFS(PURCHASE!$N$6:$N$10008,PURCHASE!$A$6:$A$10008,$AV$2,PURCHASE!$H$6:$H$10008,$A$4:$A$2700)</f>
        <v>44.64</v>
      </c>
      <c r="BA116" s="512">
        <f t="shared" si="38"/>
        <v>0</v>
      </c>
      <c r="BB116" s="512">
        <f>SUMIFS(PURCHASE!$K$6:$K$10008,PURCHASE!$A$6:$A$10008,$BA$2,PURCHASE!$H$6:$H$10008,$A$4:$A$2700)</f>
        <v>0</v>
      </c>
      <c r="BC116" s="512">
        <f>SUMIFS(PURCHASE!$L$6:$L$10008,PURCHASE!$A$6:$A$10008,$BA$2,PURCHASE!$H$6:$H$10008,$A$4:$A$2700)</f>
        <v>0</v>
      </c>
      <c r="BD116" s="512">
        <f>SUMIFS(PURCHASE!$M$6:$M$10008,PURCHASE!$A$6:$A$10008,$BA$2,PURCHASE!$H$6:$H$10008,$A$4:$A$2700)</f>
        <v>0</v>
      </c>
      <c r="BE116" s="512">
        <f>SUMIFS(PURCHASE!$N$6:$N$10008,PURCHASE!$A$6:$A$10008,$BA$2,PURCHASE!$H$6:$H$10008,$A$4:$A$2700)</f>
        <v>0</v>
      </c>
      <c r="BF116" s="512">
        <f t="shared" si="39"/>
        <v>0</v>
      </c>
      <c r="BG116" s="512">
        <f>SUMIFS(PURCHASE!$K$6:$K$10008,PURCHASE!$A$6:$A$10008,$BF$2,PURCHASE!$H$6:$H$10008,$A$4:$A$2700)</f>
        <v>0</v>
      </c>
      <c r="BH116" s="512">
        <f>SUMIFS(PURCHASE!$L$6:$L$10008,PURCHASE!$A$6:$A$10008,$BF$2,PURCHASE!$H$6:$H$10008,$A$4:$A$2700)</f>
        <v>0</v>
      </c>
      <c r="BI116" s="512">
        <f>SUMIFS(PURCHASE!$M$6:$M$10008,PURCHASE!$A$6:$A$10008,$BF$2,PURCHASE!$H$6:$H$10008,$A$4:$A$2700)</f>
        <v>0</v>
      </c>
      <c r="BJ116" s="512">
        <f>SUMIFS(PURCHASE!$N$6:$N$10008,PURCHASE!$A$6:$A$10008,$BF$2,PURCHASE!$H$6:$H$10008,$A$4:$A$2700)</f>
        <v>0</v>
      </c>
      <c r="BK116" s="72">
        <f t="shared" si="23"/>
        <v>585.28</v>
      </c>
      <c r="BL116" s="72">
        <f t="shared" si="24"/>
        <v>496</v>
      </c>
      <c r="BM116" s="72">
        <f t="shared" si="25"/>
        <v>0</v>
      </c>
      <c r="BN116" s="72">
        <f t="shared" si="26"/>
        <v>44.64</v>
      </c>
      <c r="BO116" s="72">
        <f t="shared" si="27"/>
        <v>44.64</v>
      </c>
    </row>
    <row r="117" spans="1:67" x14ac:dyDescent="0.2">
      <c r="A117" s="511">
        <v>39073090</v>
      </c>
      <c r="B117" s="467" t="s">
        <v>273</v>
      </c>
      <c r="C117" s="512">
        <f t="shared" si="28"/>
        <v>0</v>
      </c>
      <c r="D117" s="512">
        <f>SUMIFS(PURCHASE!$K$6:$K$10008,PURCHASE!$A$6:$A$10008,$M$2,PURCHASE!$H$6:$H$10008,$A$4:$A$2700)</f>
        <v>0</v>
      </c>
      <c r="E117" s="512">
        <f>SUMIFS(PURCHASE!$L$6:$L$10008,PURCHASE!$A$6:$A$10008,$M$2,PURCHASE!$H$6:$H$10008,$A$4:$A$2700)</f>
        <v>0</v>
      </c>
      <c r="F117" s="512">
        <f>SUMIFS(PURCHASE!$M$6:$M$10008,PURCHASE!$A$6:$A$10008,$M$2,PURCHASE!$H$6:$H$10008,$A$4:$A$2700)</f>
        <v>0</v>
      </c>
      <c r="G117" s="512">
        <f>SUMIFS(PURCHASE!$N$6:$N$10008,PURCHASE!$A$6:$A$10008,$M$2,PURCHASE!$H$6:$H$10008,$A$4:$A$2700)</f>
        <v>0</v>
      </c>
      <c r="H117" s="512">
        <f t="shared" si="29"/>
        <v>0</v>
      </c>
      <c r="I117" s="512">
        <f>SUMIFS(PURCHASE!$K$6:$K$10008,PURCHASE!$A$6:$A$10008,$H$2,PURCHASE!$H$6:$H$10008,$A$4:$A$2700)</f>
        <v>0</v>
      </c>
      <c r="J117" s="512">
        <f>SUMIFS(PURCHASE!$L$6:$L$10008,PURCHASE!$A$6:$A$10008,$H$2,PURCHASE!$H$6:$H$10008,$A$4:$A$2700)</f>
        <v>0</v>
      </c>
      <c r="K117" s="512">
        <f>SUMIFS(PURCHASE!$M$6:$M$10008,PURCHASE!$A$6:$A$10008,$H$2,PURCHASE!$H$6:$H$10008,$A$4:$A$2700)</f>
        <v>0</v>
      </c>
      <c r="L117" s="512">
        <f>SUMIFS(PURCHASE!$N$6:$N$10008,PURCHASE!$A$6:$A$10008,$H$2,PURCHASE!$H$6:$H$10008,$A$4:$A$2700)</f>
        <v>0</v>
      </c>
      <c r="M117" s="512">
        <f t="shared" si="30"/>
        <v>0</v>
      </c>
      <c r="N117" s="512">
        <f>SUMIFS(PURCHASE!$K$6:$K$10008,PURCHASE!$A$6:$A$10008,$M$2,PURCHASE!$H$6:$H$10008,$A$4:$A$2700)</f>
        <v>0</v>
      </c>
      <c r="O117" s="512">
        <f>SUMIFS(PURCHASE!$L$6:$L$10008,PURCHASE!$A$6:$A$10008,$M$2,PURCHASE!$H$6:$H$10008,$A$4:$A$2700)</f>
        <v>0</v>
      </c>
      <c r="P117" s="512">
        <f>SUMIFS(PURCHASE!$M$6:$M$10008,PURCHASE!$A$6:$A$10008,$M$2,PURCHASE!$H$6:$H$10008,$A$4:$A$2700)</f>
        <v>0</v>
      </c>
      <c r="Q117" s="512">
        <f>SUMIFS(PURCHASE!$N$6:$N$10008,PURCHASE!$A$6:$A$10008,$M$2,PURCHASE!$H$6:$H$10008,$A$4:$A$2700)</f>
        <v>0</v>
      </c>
      <c r="R117" s="512">
        <f t="shared" si="31"/>
        <v>0</v>
      </c>
      <c r="S117" s="512">
        <f>SUMIFS(PURCHASE!$K$6:$K$10008,PURCHASE!$A$6:$A$10008,$R$2,PURCHASE!$H$6:$H$10008,$A$4:$A$2700)</f>
        <v>0</v>
      </c>
      <c r="T117" s="512">
        <f>SUMIFS(PURCHASE!$L$6:$L$10008,PURCHASE!$A$6:$A$10008,$R$2,PURCHASE!$H$6:$H$10008,$A$4:$A$2700)</f>
        <v>0</v>
      </c>
      <c r="U117" s="512">
        <f>SUMIFS(PURCHASE!$M$6:$M$10008,PURCHASE!$A$6:$A$10008,$R$2,PURCHASE!$H$6:$H$10008,$A$4:$A$2700)</f>
        <v>0</v>
      </c>
      <c r="V117" s="512">
        <f>SUMIFS(PURCHASE!$N$6:$N$10008,PURCHASE!$A$6:$A$10008,$R$2,PURCHASE!$H$6:$H$10008,$A$4:$A$2700)</f>
        <v>0</v>
      </c>
      <c r="W117" s="512">
        <f t="shared" si="32"/>
        <v>0</v>
      </c>
      <c r="X117" s="512">
        <f>SUMIFS(PURCHASE!$K$6:$K$10008,PURCHASE!$A$6:$A$10008,$W$2,PURCHASE!$H$6:$H$10008,$A$4:$A$2700)</f>
        <v>0</v>
      </c>
      <c r="Y117" s="512">
        <f>SUMIFS(PURCHASE!$L$6:$L$10008,PURCHASE!$A$6:$A$10008,$W$2,PURCHASE!$H$6:$H$10008,$A$4:$A$2700)</f>
        <v>0</v>
      </c>
      <c r="Z117" s="512">
        <f>SUMIFS(PURCHASE!$M$6:$M$10008,PURCHASE!$A$6:$A$10008,$W$2,PURCHASE!$H$6:$H$10008,$A$4:$A$2700)</f>
        <v>0</v>
      </c>
      <c r="AA117" s="512">
        <f>SUMIFS(PURCHASE!$N$6:$N$10008,PURCHASE!$A$6:$A$10008,$W$2,PURCHASE!$H$6:$H$10008,$A$4:$A$2700)</f>
        <v>0</v>
      </c>
      <c r="AB117" s="512">
        <f t="shared" si="33"/>
        <v>95580</v>
      </c>
      <c r="AC117" s="512">
        <f>SUMIFS(PURCHASE!$K$6:$K$10008,PURCHASE!$A$6:$A$10008,$AB$2,PURCHASE!$H$6:$H$10008,$A$4:$A$2700)</f>
        <v>81000</v>
      </c>
      <c r="AD117" s="512">
        <f>SUMIFS(PURCHASE!$L$6:$L$10008,PURCHASE!$A$6:$A$10008,$AB$2,PURCHASE!$H$6:$H$10008,$A$4:$A$2700)</f>
        <v>0</v>
      </c>
      <c r="AE117" s="512">
        <f>SUMIFS(PURCHASE!$M$6:$M$10008,PURCHASE!$A$6:$A$10008,$AB$2,PURCHASE!$H$6:$H$10008,$A$4:$A$2700)</f>
        <v>7290</v>
      </c>
      <c r="AF117" s="512">
        <f>SUMIFS(PURCHASE!$N$6:$N$10008,PURCHASE!$A$6:$A$10008,$AB$2,PURCHASE!$H$6:$H$10008,$A$4:$A$2700)</f>
        <v>7290</v>
      </c>
      <c r="AG117" s="512">
        <f t="shared" si="34"/>
        <v>47790</v>
      </c>
      <c r="AH117" s="512">
        <f>SUMIFS(PURCHASE!$K$6:$K$10008,PURCHASE!$A$6:$A$10008,$AG$2,PURCHASE!$H$6:$H$10008,$A$4:$A$2700)</f>
        <v>40500</v>
      </c>
      <c r="AI117" s="512">
        <f>SUMIFS(PURCHASE!$L$6:$L$10008,PURCHASE!$A$6:$A$10008,$AG$2,PURCHASE!$H$6:$H$10008,$A$4:$A$2700)</f>
        <v>0</v>
      </c>
      <c r="AJ117" s="512">
        <f>SUMIFS(PURCHASE!$M$6:$M$10008,PURCHASE!$A$6:$A$10008,$AG$2,PURCHASE!$H$6:$H$10008,$A$4:$A$2700)</f>
        <v>3645</v>
      </c>
      <c r="AK117" s="512">
        <f>SUMIFS(PURCHASE!$N$6:$N$10008,PURCHASE!$A$6:$A$10008,$AG$2,PURCHASE!$H$6:$H$10008,$A$4:$A$2700)</f>
        <v>3645</v>
      </c>
      <c r="AL117" s="512">
        <f t="shared" si="35"/>
        <v>47790</v>
      </c>
      <c r="AM117" s="512">
        <f>SUMIFS(PURCHASE!$K$6:$K$10008,PURCHASE!$A$6:$A$10008,$AL$2,PURCHASE!$H$6:$H$10008,$A$4:$A$2700)</f>
        <v>40500</v>
      </c>
      <c r="AN117" s="512">
        <f>SUMIFS(PURCHASE!$L$6:$L$10008,PURCHASE!$A$6:$A$10008,$AL$2,PURCHASE!$H$6:$H$10008,$A$4:$A$2700)</f>
        <v>0</v>
      </c>
      <c r="AO117" s="512">
        <f>SUMIFS(PURCHASE!$M$6:$M$10008,PURCHASE!$A$6:$A$10008,$AL$2,PURCHASE!$H$6:$H$10008,$A$4:$A$2700)</f>
        <v>3645</v>
      </c>
      <c r="AP117" s="512">
        <f>SUMIFS(PURCHASE!$N$6:$N$10008,PURCHASE!$A$6:$A$10008,$AL$2,PURCHASE!$H$6:$H$10008,$A$4:$A$2700)</f>
        <v>3645</v>
      </c>
      <c r="AQ117" s="512">
        <f t="shared" si="36"/>
        <v>0</v>
      </c>
      <c r="AR117" s="512">
        <f>SUMIFS(PURCHASE!$K$6:$K$10008,PURCHASE!$A$6:$A$10008,$AQ$2,PURCHASE!$H$6:$H$10008,$A$4:$A$2700)</f>
        <v>0</v>
      </c>
      <c r="AS117" s="512">
        <f>SUMIFS(PURCHASE!$L$6:$L$10008,PURCHASE!$A$6:$A$10008,$AQ$2,PURCHASE!$H$6:$H$10008,$A$4:$A$2700)</f>
        <v>0</v>
      </c>
      <c r="AT117" s="512">
        <f>SUMIFS(PURCHASE!$M$6:$M$10008,PURCHASE!$A$6:$A$10008,$AQ$2,PURCHASE!$H$6:$H$10008,$A$4:$A$2700)</f>
        <v>0</v>
      </c>
      <c r="AU117" s="512">
        <f>SUMIFS(PURCHASE!$N$6:$N$10008,PURCHASE!$A$6:$A$10008,$AQ$2,PURCHASE!$H$6:$H$10008,$A$4:$A$2700)</f>
        <v>0</v>
      </c>
      <c r="AV117" s="512">
        <f t="shared" si="37"/>
        <v>0</v>
      </c>
      <c r="AW117" s="512">
        <f>SUMIFS(PURCHASE!$K$6:$K$10008,PURCHASE!$A$6:$A$10008,$AV$2,PURCHASE!$H$6:$H$10008,$A$4:$A$2700)</f>
        <v>0</v>
      </c>
      <c r="AX117" s="512">
        <f>SUMIFS(PURCHASE!$L$6:$L$10008,PURCHASE!$A$6:$A$10008,$AV$2,PURCHASE!$H$6:$H$10008,$A$4:$A$2700)</f>
        <v>0</v>
      </c>
      <c r="AY117" s="512">
        <f>SUMIFS(PURCHASE!$M$6:$M$10008,PURCHASE!$A$6:$A$10008,$AV$2,PURCHASE!$H$6:$H$10008,$A$4:$A$2700)</f>
        <v>0</v>
      </c>
      <c r="AZ117" s="512">
        <f>SUMIFS(PURCHASE!$N$6:$N$10008,PURCHASE!$A$6:$A$10008,$AV$2,PURCHASE!$H$6:$H$10008,$A$4:$A$2700)</f>
        <v>0</v>
      </c>
      <c r="BA117" s="512">
        <f t="shared" si="38"/>
        <v>0</v>
      </c>
      <c r="BB117" s="512">
        <f>SUMIFS(PURCHASE!$K$6:$K$10008,PURCHASE!$A$6:$A$10008,$BA$2,PURCHASE!$H$6:$H$10008,$A$4:$A$2700)</f>
        <v>0</v>
      </c>
      <c r="BC117" s="512">
        <f>SUMIFS(PURCHASE!$L$6:$L$10008,PURCHASE!$A$6:$A$10008,$BA$2,PURCHASE!$H$6:$H$10008,$A$4:$A$2700)</f>
        <v>0</v>
      </c>
      <c r="BD117" s="512">
        <f>SUMIFS(PURCHASE!$M$6:$M$10008,PURCHASE!$A$6:$A$10008,$BA$2,PURCHASE!$H$6:$H$10008,$A$4:$A$2700)</f>
        <v>0</v>
      </c>
      <c r="BE117" s="512">
        <f>SUMIFS(PURCHASE!$N$6:$N$10008,PURCHASE!$A$6:$A$10008,$BA$2,PURCHASE!$H$6:$H$10008,$A$4:$A$2700)</f>
        <v>0</v>
      </c>
      <c r="BF117" s="512">
        <f t="shared" si="39"/>
        <v>0</v>
      </c>
      <c r="BG117" s="512">
        <f>SUMIFS(PURCHASE!$K$6:$K$10008,PURCHASE!$A$6:$A$10008,$BF$2,PURCHASE!$H$6:$H$10008,$A$4:$A$2700)</f>
        <v>0</v>
      </c>
      <c r="BH117" s="512">
        <f>SUMIFS(PURCHASE!$L$6:$L$10008,PURCHASE!$A$6:$A$10008,$BF$2,PURCHASE!$H$6:$H$10008,$A$4:$A$2700)</f>
        <v>0</v>
      </c>
      <c r="BI117" s="512">
        <f>SUMIFS(PURCHASE!$M$6:$M$10008,PURCHASE!$A$6:$A$10008,$BF$2,PURCHASE!$H$6:$H$10008,$A$4:$A$2700)</f>
        <v>0</v>
      </c>
      <c r="BJ117" s="512">
        <f>SUMIFS(PURCHASE!$N$6:$N$10008,PURCHASE!$A$6:$A$10008,$BF$2,PURCHASE!$H$6:$H$10008,$A$4:$A$2700)</f>
        <v>0</v>
      </c>
      <c r="BK117" s="72">
        <f t="shared" si="23"/>
        <v>191160</v>
      </c>
      <c r="BL117" s="72">
        <f t="shared" si="24"/>
        <v>162000</v>
      </c>
      <c r="BM117" s="72">
        <f t="shared" si="25"/>
        <v>0</v>
      </c>
      <c r="BN117" s="72">
        <f t="shared" si="26"/>
        <v>14580</v>
      </c>
      <c r="BO117" s="72">
        <f t="shared" si="27"/>
        <v>14580</v>
      </c>
    </row>
    <row r="118" spans="1:67" x14ac:dyDescent="0.2">
      <c r="A118" s="511" t="s">
        <v>524</v>
      </c>
      <c r="B118" s="467" t="s">
        <v>1244</v>
      </c>
      <c r="C118" s="512">
        <f t="shared" si="28"/>
        <v>0</v>
      </c>
      <c r="D118" s="512">
        <f>SUMIFS(PURCHASE!$K$6:$K$10008,PURCHASE!$A$6:$A$10008,$M$2,PURCHASE!$H$6:$H$10008,$A$4:$A$2700)</f>
        <v>0</v>
      </c>
      <c r="E118" s="512">
        <f>SUMIFS(PURCHASE!$L$6:$L$10008,PURCHASE!$A$6:$A$10008,$M$2,PURCHASE!$H$6:$H$10008,$A$4:$A$2700)</f>
        <v>0</v>
      </c>
      <c r="F118" s="512">
        <f>SUMIFS(PURCHASE!$M$6:$M$10008,PURCHASE!$A$6:$A$10008,$M$2,PURCHASE!$H$6:$H$10008,$A$4:$A$2700)</f>
        <v>0</v>
      </c>
      <c r="G118" s="512">
        <f>SUMIFS(PURCHASE!$N$6:$N$10008,PURCHASE!$A$6:$A$10008,$M$2,PURCHASE!$H$6:$H$10008,$A$4:$A$2700)</f>
        <v>0</v>
      </c>
      <c r="H118" s="512">
        <f t="shared" si="29"/>
        <v>47967</v>
      </c>
      <c r="I118" s="512">
        <f>SUMIFS(PURCHASE!$K$6:$K$10008,PURCHASE!$A$6:$A$10008,$H$2,PURCHASE!$H$6:$H$10008,$A$4:$A$2700)</f>
        <v>40650</v>
      </c>
      <c r="J118" s="512">
        <f>SUMIFS(PURCHASE!$L$6:$L$10008,PURCHASE!$A$6:$A$10008,$H$2,PURCHASE!$H$6:$H$10008,$A$4:$A$2700)</f>
        <v>0</v>
      </c>
      <c r="K118" s="512">
        <f>SUMIFS(PURCHASE!$M$6:$M$10008,PURCHASE!$A$6:$A$10008,$H$2,PURCHASE!$H$6:$H$10008,$A$4:$A$2700)</f>
        <v>3658.5</v>
      </c>
      <c r="L118" s="512">
        <f>SUMIFS(PURCHASE!$N$6:$N$10008,PURCHASE!$A$6:$A$10008,$H$2,PURCHASE!$H$6:$H$10008,$A$4:$A$2700)</f>
        <v>3658.5</v>
      </c>
      <c r="M118" s="512">
        <f t="shared" si="30"/>
        <v>0</v>
      </c>
      <c r="N118" s="512">
        <f>SUMIFS(PURCHASE!$K$6:$K$10008,PURCHASE!$A$6:$A$10008,$M$2,PURCHASE!$H$6:$H$10008,$A$4:$A$2700)</f>
        <v>0</v>
      </c>
      <c r="O118" s="512">
        <f>SUMIFS(PURCHASE!$L$6:$L$10008,PURCHASE!$A$6:$A$10008,$M$2,PURCHASE!$H$6:$H$10008,$A$4:$A$2700)</f>
        <v>0</v>
      </c>
      <c r="P118" s="512">
        <f>SUMIFS(PURCHASE!$M$6:$M$10008,PURCHASE!$A$6:$A$10008,$M$2,PURCHASE!$H$6:$H$10008,$A$4:$A$2700)</f>
        <v>0</v>
      </c>
      <c r="Q118" s="512">
        <f>SUMIFS(PURCHASE!$N$6:$N$10008,PURCHASE!$A$6:$A$10008,$M$2,PURCHASE!$H$6:$H$10008,$A$4:$A$2700)</f>
        <v>0</v>
      </c>
      <c r="R118" s="512">
        <f t="shared" si="31"/>
        <v>0</v>
      </c>
      <c r="S118" s="512">
        <f>SUMIFS(PURCHASE!$K$6:$K$10008,PURCHASE!$A$6:$A$10008,$R$2,PURCHASE!$H$6:$H$10008,$A$4:$A$2700)</f>
        <v>0</v>
      </c>
      <c r="T118" s="512">
        <f>SUMIFS(PURCHASE!$L$6:$L$10008,PURCHASE!$A$6:$A$10008,$R$2,PURCHASE!$H$6:$H$10008,$A$4:$A$2700)</f>
        <v>0</v>
      </c>
      <c r="U118" s="512">
        <f>SUMIFS(PURCHASE!$M$6:$M$10008,PURCHASE!$A$6:$A$10008,$R$2,PURCHASE!$H$6:$H$10008,$A$4:$A$2700)</f>
        <v>0</v>
      </c>
      <c r="V118" s="512">
        <f>SUMIFS(PURCHASE!$N$6:$N$10008,PURCHASE!$A$6:$A$10008,$R$2,PURCHASE!$H$6:$H$10008,$A$4:$A$2700)</f>
        <v>0</v>
      </c>
      <c r="W118" s="512">
        <f t="shared" si="32"/>
        <v>0</v>
      </c>
      <c r="X118" s="512">
        <f>SUMIFS(PURCHASE!$K$6:$K$10008,PURCHASE!$A$6:$A$10008,$W$2,PURCHASE!$H$6:$H$10008,$A$4:$A$2700)</f>
        <v>0</v>
      </c>
      <c r="Y118" s="512">
        <f>SUMIFS(PURCHASE!$L$6:$L$10008,PURCHASE!$A$6:$A$10008,$W$2,PURCHASE!$H$6:$H$10008,$A$4:$A$2700)</f>
        <v>0</v>
      </c>
      <c r="Z118" s="512">
        <f>SUMIFS(PURCHASE!$M$6:$M$10008,PURCHASE!$A$6:$A$10008,$W$2,PURCHASE!$H$6:$H$10008,$A$4:$A$2700)</f>
        <v>0</v>
      </c>
      <c r="AA118" s="512">
        <f>SUMIFS(PURCHASE!$N$6:$N$10008,PURCHASE!$A$6:$A$10008,$W$2,PURCHASE!$H$6:$H$10008,$A$4:$A$2700)</f>
        <v>0</v>
      </c>
      <c r="AB118" s="512">
        <f t="shared" si="33"/>
        <v>0</v>
      </c>
      <c r="AC118" s="512">
        <f>SUMIFS(PURCHASE!$K$6:$K$10008,PURCHASE!$A$6:$A$10008,$AB$2,PURCHASE!$H$6:$H$10008,$A$4:$A$2700)</f>
        <v>0</v>
      </c>
      <c r="AD118" s="512">
        <f>SUMIFS(PURCHASE!$L$6:$L$10008,PURCHASE!$A$6:$A$10008,$AB$2,PURCHASE!$H$6:$H$10008,$A$4:$A$2700)</f>
        <v>0</v>
      </c>
      <c r="AE118" s="512">
        <f>SUMIFS(PURCHASE!$M$6:$M$10008,PURCHASE!$A$6:$A$10008,$AB$2,PURCHASE!$H$6:$H$10008,$A$4:$A$2700)</f>
        <v>0</v>
      </c>
      <c r="AF118" s="512">
        <f>SUMIFS(PURCHASE!$N$6:$N$10008,PURCHASE!$A$6:$A$10008,$AB$2,PURCHASE!$H$6:$H$10008,$A$4:$A$2700)</f>
        <v>0</v>
      </c>
      <c r="AG118" s="512">
        <f t="shared" si="34"/>
        <v>0</v>
      </c>
      <c r="AH118" s="512">
        <f>SUMIFS(PURCHASE!$K$6:$K$10008,PURCHASE!$A$6:$A$10008,$AG$2,PURCHASE!$H$6:$H$10008,$A$4:$A$2700)</f>
        <v>0</v>
      </c>
      <c r="AI118" s="512">
        <f>SUMIFS(PURCHASE!$L$6:$L$10008,PURCHASE!$A$6:$A$10008,$AG$2,PURCHASE!$H$6:$H$10008,$A$4:$A$2700)</f>
        <v>0</v>
      </c>
      <c r="AJ118" s="512">
        <f>SUMIFS(PURCHASE!$M$6:$M$10008,PURCHASE!$A$6:$A$10008,$AG$2,PURCHASE!$H$6:$H$10008,$A$4:$A$2700)</f>
        <v>0</v>
      </c>
      <c r="AK118" s="512">
        <f>SUMIFS(PURCHASE!$N$6:$N$10008,PURCHASE!$A$6:$A$10008,$AG$2,PURCHASE!$H$6:$H$10008,$A$4:$A$2700)</f>
        <v>0</v>
      </c>
      <c r="AL118" s="512">
        <f t="shared" si="35"/>
        <v>0</v>
      </c>
      <c r="AM118" s="512">
        <f>SUMIFS(PURCHASE!$K$6:$K$10008,PURCHASE!$A$6:$A$10008,$AL$2,PURCHASE!$H$6:$H$10008,$A$4:$A$2700)</f>
        <v>0</v>
      </c>
      <c r="AN118" s="512">
        <f>SUMIFS(PURCHASE!$L$6:$L$10008,PURCHASE!$A$6:$A$10008,$AL$2,PURCHASE!$H$6:$H$10008,$A$4:$A$2700)</f>
        <v>0</v>
      </c>
      <c r="AO118" s="512">
        <f>SUMIFS(PURCHASE!$M$6:$M$10008,PURCHASE!$A$6:$A$10008,$AL$2,PURCHASE!$H$6:$H$10008,$A$4:$A$2700)</f>
        <v>0</v>
      </c>
      <c r="AP118" s="512">
        <f>SUMIFS(PURCHASE!$N$6:$N$10008,PURCHASE!$A$6:$A$10008,$AL$2,PURCHASE!$H$6:$H$10008,$A$4:$A$2700)</f>
        <v>0</v>
      </c>
      <c r="AQ118" s="512">
        <f t="shared" si="36"/>
        <v>0</v>
      </c>
      <c r="AR118" s="512">
        <f>SUMIFS(PURCHASE!$K$6:$K$10008,PURCHASE!$A$6:$A$10008,$AQ$2,PURCHASE!$H$6:$H$10008,$A$4:$A$2700)</f>
        <v>0</v>
      </c>
      <c r="AS118" s="512">
        <f>SUMIFS(PURCHASE!$L$6:$L$10008,PURCHASE!$A$6:$A$10008,$AQ$2,PURCHASE!$H$6:$H$10008,$A$4:$A$2700)</f>
        <v>0</v>
      </c>
      <c r="AT118" s="512">
        <f>SUMIFS(PURCHASE!$M$6:$M$10008,PURCHASE!$A$6:$A$10008,$AQ$2,PURCHASE!$H$6:$H$10008,$A$4:$A$2700)</f>
        <v>0</v>
      </c>
      <c r="AU118" s="512">
        <f>SUMIFS(PURCHASE!$N$6:$N$10008,PURCHASE!$A$6:$A$10008,$AQ$2,PURCHASE!$H$6:$H$10008,$A$4:$A$2700)</f>
        <v>0</v>
      </c>
      <c r="AV118" s="512">
        <f t="shared" si="37"/>
        <v>0</v>
      </c>
      <c r="AW118" s="512">
        <f>SUMIFS(PURCHASE!$K$6:$K$10008,PURCHASE!$A$6:$A$10008,$AV$2,PURCHASE!$H$6:$H$10008,$A$4:$A$2700)</f>
        <v>0</v>
      </c>
      <c r="AX118" s="512">
        <f>SUMIFS(PURCHASE!$L$6:$L$10008,PURCHASE!$A$6:$A$10008,$AV$2,PURCHASE!$H$6:$H$10008,$A$4:$A$2700)</f>
        <v>0</v>
      </c>
      <c r="AY118" s="512">
        <f>SUMIFS(PURCHASE!$M$6:$M$10008,PURCHASE!$A$6:$A$10008,$AV$2,PURCHASE!$H$6:$H$10008,$A$4:$A$2700)</f>
        <v>0</v>
      </c>
      <c r="AZ118" s="512">
        <f>SUMIFS(PURCHASE!$N$6:$N$10008,PURCHASE!$A$6:$A$10008,$AV$2,PURCHASE!$H$6:$H$10008,$A$4:$A$2700)</f>
        <v>0</v>
      </c>
      <c r="BA118" s="512">
        <f t="shared" si="38"/>
        <v>0</v>
      </c>
      <c r="BB118" s="512">
        <f>SUMIFS(PURCHASE!$K$6:$K$10008,PURCHASE!$A$6:$A$10008,$BA$2,PURCHASE!$H$6:$H$10008,$A$4:$A$2700)</f>
        <v>0</v>
      </c>
      <c r="BC118" s="512">
        <f>SUMIFS(PURCHASE!$L$6:$L$10008,PURCHASE!$A$6:$A$10008,$BA$2,PURCHASE!$H$6:$H$10008,$A$4:$A$2700)</f>
        <v>0</v>
      </c>
      <c r="BD118" s="512">
        <f>SUMIFS(PURCHASE!$M$6:$M$10008,PURCHASE!$A$6:$A$10008,$BA$2,PURCHASE!$H$6:$H$10008,$A$4:$A$2700)</f>
        <v>0</v>
      </c>
      <c r="BE118" s="512">
        <f>SUMIFS(PURCHASE!$N$6:$N$10008,PURCHASE!$A$6:$A$10008,$BA$2,PURCHASE!$H$6:$H$10008,$A$4:$A$2700)</f>
        <v>0</v>
      </c>
      <c r="BF118" s="512">
        <f t="shared" si="39"/>
        <v>0</v>
      </c>
      <c r="BG118" s="512">
        <f>SUMIFS(PURCHASE!$K$6:$K$10008,PURCHASE!$A$6:$A$10008,$BF$2,PURCHASE!$H$6:$H$10008,$A$4:$A$2700)</f>
        <v>0</v>
      </c>
      <c r="BH118" s="512">
        <f>SUMIFS(PURCHASE!$L$6:$L$10008,PURCHASE!$A$6:$A$10008,$BF$2,PURCHASE!$H$6:$H$10008,$A$4:$A$2700)</f>
        <v>0</v>
      </c>
      <c r="BI118" s="512">
        <f>SUMIFS(PURCHASE!$M$6:$M$10008,PURCHASE!$A$6:$A$10008,$BF$2,PURCHASE!$H$6:$H$10008,$A$4:$A$2700)</f>
        <v>0</v>
      </c>
      <c r="BJ118" s="512">
        <f>SUMIFS(PURCHASE!$N$6:$N$10008,PURCHASE!$A$6:$A$10008,$BF$2,PURCHASE!$H$6:$H$10008,$A$4:$A$2700)</f>
        <v>0</v>
      </c>
      <c r="BK118" s="72">
        <f t="shared" si="23"/>
        <v>47967</v>
      </c>
      <c r="BL118" s="72">
        <f t="shared" si="24"/>
        <v>40650</v>
      </c>
      <c r="BM118" s="72">
        <f t="shared" si="25"/>
        <v>0</v>
      </c>
      <c r="BN118" s="72">
        <f t="shared" si="26"/>
        <v>3658.5</v>
      </c>
      <c r="BO118" s="72">
        <f t="shared" si="27"/>
        <v>3658.5</v>
      </c>
    </row>
    <row r="119" spans="1:67" x14ac:dyDescent="0.2">
      <c r="A119" s="511">
        <v>39199010</v>
      </c>
      <c r="B119" s="467" t="s">
        <v>1199</v>
      </c>
      <c r="C119" s="512">
        <f t="shared" si="28"/>
        <v>0</v>
      </c>
      <c r="D119" s="512">
        <f>SUMIFS(PURCHASE!$K$6:$K$10008,PURCHASE!$A$6:$A$10008,$M$2,PURCHASE!$H$6:$H$10008,$A$4:$A$2700)</f>
        <v>0</v>
      </c>
      <c r="E119" s="512">
        <f>SUMIFS(PURCHASE!$L$6:$L$10008,PURCHASE!$A$6:$A$10008,$M$2,PURCHASE!$H$6:$H$10008,$A$4:$A$2700)</f>
        <v>0</v>
      </c>
      <c r="F119" s="512">
        <f>SUMIFS(PURCHASE!$M$6:$M$10008,PURCHASE!$A$6:$A$10008,$M$2,PURCHASE!$H$6:$H$10008,$A$4:$A$2700)</f>
        <v>0</v>
      </c>
      <c r="G119" s="512">
        <f>SUMIFS(PURCHASE!$N$6:$N$10008,PURCHASE!$A$6:$A$10008,$M$2,PURCHASE!$H$6:$H$10008,$A$4:$A$2700)</f>
        <v>0</v>
      </c>
      <c r="H119" s="512">
        <f t="shared" si="29"/>
        <v>0</v>
      </c>
      <c r="I119" s="512">
        <f>SUMIFS(PURCHASE!$K$6:$K$10008,PURCHASE!$A$6:$A$10008,$H$2,PURCHASE!$H$6:$H$10008,$A$4:$A$2700)</f>
        <v>0</v>
      </c>
      <c r="J119" s="512">
        <f>SUMIFS(PURCHASE!$L$6:$L$10008,PURCHASE!$A$6:$A$10008,$H$2,PURCHASE!$H$6:$H$10008,$A$4:$A$2700)</f>
        <v>0</v>
      </c>
      <c r="K119" s="512">
        <f>SUMIFS(PURCHASE!$M$6:$M$10008,PURCHASE!$A$6:$A$10008,$H$2,PURCHASE!$H$6:$H$10008,$A$4:$A$2700)</f>
        <v>0</v>
      </c>
      <c r="L119" s="512">
        <f>SUMIFS(PURCHASE!$N$6:$N$10008,PURCHASE!$A$6:$A$10008,$H$2,PURCHASE!$H$6:$H$10008,$A$4:$A$2700)</f>
        <v>0</v>
      </c>
      <c r="M119" s="512">
        <f t="shared" si="30"/>
        <v>0</v>
      </c>
      <c r="N119" s="512">
        <f>SUMIFS(PURCHASE!$K$6:$K$10008,PURCHASE!$A$6:$A$10008,$M$2,PURCHASE!$H$6:$H$10008,$A$4:$A$2700)</f>
        <v>0</v>
      </c>
      <c r="O119" s="512">
        <f>SUMIFS(PURCHASE!$L$6:$L$10008,PURCHASE!$A$6:$A$10008,$M$2,PURCHASE!$H$6:$H$10008,$A$4:$A$2700)</f>
        <v>0</v>
      </c>
      <c r="P119" s="512">
        <f>SUMIFS(PURCHASE!$M$6:$M$10008,PURCHASE!$A$6:$A$10008,$M$2,PURCHASE!$H$6:$H$10008,$A$4:$A$2700)</f>
        <v>0</v>
      </c>
      <c r="Q119" s="512">
        <f>SUMIFS(PURCHASE!$N$6:$N$10008,PURCHASE!$A$6:$A$10008,$M$2,PURCHASE!$H$6:$H$10008,$A$4:$A$2700)</f>
        <v>0</v>
      </c>
      <c r="R119" s="512">
        <f t="shared" si="31"/>
        <v>0</v>
      </c>
      <c r="S119" s="512">
        <f>SUMIFS(PURCHASE!$K$6:$K$10008,PURCHASE!$A$6:$A$10008,$R$2,PURCHASE!$H$6:$H$10008,$A$4:$A$2700)</f>
        <v>0</v>
      </c>
      <c r="T119" s="512">
        <f>SUMIFS(PURCHASE!$L$6:$L$10008,PURCHASE!$A$6:$A$10008,$R$2,PURCHASE!$H$6:$H$10008,$A$4:$A$2700)</f>
        <v>0</v>
      </c>
      <c r="U119" s="512">
        <f>SUMIFS(PURCHASE!$M$6:$M$10008,PURCHASE!$A$6:$A$10008,$R$2,PURCHASE!$H$6:$H$10008,$A$4:$A$2700)</f>
        <v>0</v>
      </c>
      <c r="V119" s="512">
        <f>SUMIFS(PURCHASE!$N$6:$N$10008,PURCHASE!$A$6:$A$10008,$R$2,PURCHASE!$H$6:$H$10008,$A$4:$A$2700)</f>
        <v>0</v>
      </c>
      <c r="W119" s="512">
        <f t="shared" si="32"/>
        <v>0</v>
      </c>
      <c r="X119" s="512">
        <f>SUMIFS(PURCHASE!$K$6:$K$10008,PURCHASE!$A$6:$A$10008,$W$2,PURCHASE!$H$6:$H$10008,$A$4:$A$2700)</f>
        <v>0</v>
      </c>
      <c r="Y119" s="512">
        <f>SUMIFS(PURCHASE!$L$6:$L$10008,PURCHASE!$A$6:$A$10008,$W$2,PURCHASE!$H$6:$H$10008,$A$4:$A$2700)</f>
        <v>0</v>
      </c>
      <c r="Z119" s="512">
        <f>SUMIFS(PURCHASE!$M$6:$M$10008,PURCHASE!$A$6:$A$10008,$W$2,PURCHASE!$H$6:$H$10008,$A$4:$A$2700)</f>
        <v>0</v>
      </c>
      <c r="AA119" s="512">
        <f>SUMIFS(PURCHASE!$N$6:$N$10008,PURCHASE!$A$6:$A$10008,$W$2,PURCHASE!$H$6:$H$10008,$A$4:$A$2700)</f>
        <v>0</v>
      </c>
      <c r="AB119" s="512">
        <f t="shared" si="33"/>
        <v>0</v>
      </c>
      <c r="AC119" s="512">
        <f>SUMIFS(PURCHASE!$K$6:$K$10008,PURCHASE!$A$6:$A$10008,$AB$2,PURCHASE!$H$6:$H$10008,$A$4:$A$2700)</f>
        <v>0</v>
      </c>
      <c r="AD119" s="512">
        <f>SUMIFS(PURCHASE!$L$6:$L$10008,PURCHASE!$A$6:$A$10008,$AB$2,PURCHASE!$H$6:$H$10008,$A$4:$A$2700)</f>
        <v>0</v>
      </c>
      <c r="AE119" s="512">
        <f>SUMIFS(PURCHASE!$M$6:$M$10008,PURCHASE!$A$6:$A$10008,$AB$2,PURCHASE!$H$6:$H$10008,$A$4:$A$2700)</f>
        <v>0</v>
      </c>
      <c r="AF119" s="512">
        <f>SUMIFS(PURCHASE!$N$6:$N$10008,PURCHASE!$A$6:$A$10008,$AB$2,PURCHASE!$H$6:$H$10008,$A$4:$A$2700)</f>
        <v>0</v>
      </c>
      <c r="AG119" s="512">
        <f t="shared" si="34"/>
        <v>0</v>
      </c>
      <c r="AH119" s="512">
        <f>SUMIFS(PURCHASE!$K$6:$K$10008,PURCHASE!$A$6:$A$10008,$AG$2,PURCHASE!$H$6:$H$10008,$A$4:$A$2700)</f>
        <v>0</v>
      </c>
      <c r="AI119" s="512">
        <f>SUMIFS(PURCHASE!$L$6:$L$10008,PURCHASE!$A$6:$A$10008,$AG$2,PURCHASE!$H$6:$H$10008,$A$4:$A$2700)</f>
        <v>0</v>
      </c>
      <c r="AJ119" s="512">
        <f>SUMIFS(PURCHASE!$M$6:$M$10008,PURCHASE!$A$6:$A$10008,$AG$2,PURCHASE!$H$6:$H$10008,$A$4:$A$2700)</f>
        <v>0</v>
      </c>
      <c r="AK119" s="512">
        <f>SUMIFS(PURCHASE!$N$6:$N$10008,PURCHASE!$A$6:$A$10008,$AG$2,PURCHASE!$H$6:$H$10008,$A$4:$A$2700)</f>
        <v>0</v>
      </c>
      <c r="AL119" s="512">
        <f t="shared" si="35"/>
        <v>0</v>
      </c>
      <c r="AM119" s="512">
        <f>SUMIFS(PURCHASE!$K$6:$K$10008,PURCHASE!$A$6:$A$10008,$AL$2,PURCHASE!$H$6:$H$10008,$A$4:$A$2700)</f>
        <v>0</v>
      </c>
      <c r="AN119" s="512">
        <f>SUMIFS(PURCHASE!$L$6:$L$10008,PURCHASE!$A$6:$A$10008,$AL$2,PURCHASE!$H$6:$H$10008,$A$4:$A$2700)</f>
        <v>0</v>
      </c>
      <c r="AO119" s="512">
        <f>SUMIFS(PURCHASE!$M$6:$M$10008,PURCHASE!$A$6:$A$10008,$AL$2,PURCHASE!$H$6:$H$10008,$A$4:$A$2700)</f>
        <v>0</v>
      </c>
      <c r="AP119" s="512">
        <f>SUMIFS(PURCHASE!$N$6:$N$10008,PURCHASE!$A$6:$A$10008,$AL$2,PURCHASE!$H$6:$H$10008,$A$4:$A$2700)</f>
        <v>0</v>
      </c>
      <c r="AQ119" s="512">
        <f t="shared" si="36"/>
        <v>0</v>
      </c>
      <c r="AR119" s="512">
        <f>SUMIFS(PURCHASE!$K$6:$K$10008,PURCHASE!$A$6:$A$10008,$AQ$2,PURCHASE!$H$6:$H$10008,$A$4:$A$2700)</f>
        <v>0</v>
      </c>
      <c r="AS119" s="512">
        <f>SUMIFS(PURCHASE!$L$6:$L$10008,PURCHASE!$A$6:$A$10008,$AQ$2,PURCHASE!$H$6:$H$10008,$A$4:$A$2700)</f>
        <v>0</v>
      </c>
      <c r="AT119" s="512">
        <f>SUMIFS(PURCHASE!$M$6:$M$10008,PURCHASE!$A$6:$A$10008,$AQ$2,PURCHASE!$H$6:$H$10008,$A$4:$A$2700)</f>
        <v>0</v>
      </c>
      <c r="AU119" s="512">
        <f>SUMIFS(PURCHASE!$N$6:$N$10008,PURCHASE!$A$6:$A$10008,$AQ$2,PURCHASE!$H$6:$H$10008,$A$4:$A$2700)</f>
        <v>0</v>
      </c>
      <c r="AV119" s="512">
        <f t="shared" si="37"/>
        <v>0</v>
      </c>
      <c r="AW119" s="512">
        <f>SUMIFS(PURCHASE!$K$6:$K$10008,PURCHASE!$A$6:$A$10008,$AV$2,PURCHASE!$H$6:$H$10008,$A$4:$A$2700)</f>
        <v>0</v>
      </c>
      <c r="AX119" s="512">
        <f>SUMIFS(PURCHASE!$L$6:$L$10008,PURCHASE!$A$6:$A$10008,$AV$2,PURCHASE!$H$6:$H$10008,$A$4:$A$2700)</f>
        <v>0</v>
      </c>
      <c r="AY119" s="512">
        <f>SUMIFS(PURCHASE!$M$6:$M$10008,PURCHASE!$A$6:$A$10008,$AV$2,PURCHASE!$H$6:$H$10008,$A$4:$A$2700)</f>
        <v>0</v>
      </c>
      <c r="AZ119" s="512">
        <f>SUMIFS(PURCHASE!$N$6:$N$10008,PURCHASE!$A$6:$A$10008,$AV$2,PURCHASE!$H$6:$H$10008,$A$4:$A$2700)</f>
        <v>0</v>
      </c>
      <c r="BA119" s="512">
        <f t="shared" si="38"/>
        <v>0</v>
      </c>
      <c r="BB119" s="512">
        <f>SUMIFS(PURCHASE!$K$6:$K$10008,PURCHASE!$A$6:$A$10008,$BA$2,PURCHASE!$H$6:$H$10008,$A$4:$A$2700)</f>
        <v>0</v>
      </c>
      <c r="BC119" s="512">
        <f>SUMIFS(PURCHASE!$L$6:$L$10008,PURCHASE!$A$6:$A$10008,$BA$2,PURCHASE!$H$6:$H$10008,$A$4:$A$2700)</f>
        <v>0</v>
      </c>
      <c r="BD119" s="512">
        <f>SUMIFS(PURCHASE!$M$6:$M$10008,PURCHASE!$A$6:$A$10008,$BA$2,PURCHASE!$H$6:$H$10008,$A$4:$A$2700)</f>
        <v>0</v>
      </c>
      <c r="BE119" s="512">
        <f>SUMIFS(PURCHASE!$N$6:$N$10008,PURCHASE!$A$6:$A$10008,$BA$2,PURCHASE!$H$6:$H$10008,$A$4:$A$2700)</f>
        <v>0</v>
      </c>
      <c r="BF119" s="512">
        <f t="shared" si="39"/>
        <v>0</v>
      </c>
      <c r="BG119" s="512">
        <f>SUMIFS(PURCHASE!$K$6:$K$10008,PURCHASE!$A$6:$A$10008,$BF$2,PURCHASE!$H$6:$H$10008,$A$4:$A$2700)</f>
        <v>0</v>
      </c>
      <c r="BH119" s="512">
        <f>SUMIFS(PURCHASE!$L$6:$L$10008,PURCHASE!$A$6:$A$10008,$BF$2,PURCHASE!$H$6:$H$10008,$A$4:$A$2700)</f>
        <v>0</v>
      </c>
      <c r="BI119" s="512">
        <f>SUMIFS(PURCHASE!$M$6:$M$10008,PURCHASE!$A$6:$A$10008,$BF$2,PURCHASE!$H$6:$H$10008,$A$4:$A$2700)</f>
        <v>0</v>
      </c>
      <c r="BJ119" s="512">
        <f>SUMIFS(PURCHASE!$N$6:$N$10008,PURCHASE!$A$6:$A$10008,$BF$2,PURCHASE!$H$6:$H$10008,$A$4:$A$2700)</f>
        <v>0</v>
      </c>
      <c r="BK119" s="72">
        <f t="shared" si="23"/>
        <v>0</v>
      </c>
      <c r="BL119" s="72">
        <f t="shared" si="24"/>
        <v>0</v>
      </c>
      <c r="BM119" s="72">
        <f t="shared" si="25"/>
        <v>0</v>
      </c>
      <c r="BN119" s="72">
        <f t="shared" si="26"/>
        <v>0</v>
      </c>
      <c r="BO119" s="72">
        <f t="shared" si="27"/>
        <v>0</v>
      </c>
    </row>
    <row r="120" spans="1:67" x14ac:dyDescent="0.2">
      <c r="A120" s="511">
        <v>39199090</v>
      </c>
      <c r="B120" s="467" t="s">
        <v>266</v>
      </c>
      <c r="C120" s="512">
        <f t="shared" si="28"/>
        <v>0</v>
      </c>
      <c r="D120" s="512">
        <f>SUMIFS(PURCHASE!$K$6:$K$10008,PURCHASE!$A$6:$A$10008,$M$2,PURCHASE!$H$6:$H$10008,$A$4:$A$2700)</f>
        <v>0</v>
      </c>
      <c r="E120" s="512">
        <f>SUMIFS(PURCHASE!$L$6:$L$10008,PURCHASE!$A$6:$A$10008,$M$2,PURCHASE!$H$6:$H$10008,$A$4:$A$2700)</f>
        <v>0</v>
      </c>
      <c r="F120" s="512">
        <f>SUMIFS(PURCHASE!$M$6:$M$10008,PURCHASE!$A$6:$A$10008,$M$2,PURCHASE!$H$6:$H$10008,$A$4:$A$2700)</f>
        <v>0</v>
      </c>
      <c r="G120" s="512">
        <f>SUMIFS(PURCHASE!$N$6:$N$10008,PURCHASE!$A$6:$A$10008,$M$2,PURCHASE!$H$6:$H$10008,$A$4:$A$2700)</f>
        <v>0</v>
      </c>
      <c r="H120" s="512">
        <f t="shared" si="29"/>
        <v>0</v>
      </c>
      <c r="I120" s="512">
        <f>SUMIFS(PURCHASE!$K$6:$K$10008,PURCHASE!$A$6:$A$10008,$H$2,PURCHASE!$H$6:$H$10008,$A$4:$A$2700)</f>
        <v>0</v>
      </c>
      <c r="J120" s="512">
        <f>SUMIFS(PURCHASE!$L$6:$L$10008,PURCHASE!$A$6:$A$10008,$H$2,PURCHASE!$H$6:$H$10008,$A$4:$A$2700)</f>
        <v>0</v>
      </c>
      <c r="K120" s="512">
        <f>SUMIFS(PURCHASE!$M$6:$M$10008,PURCHASE!$A$6:$A$10008,$H$2,PURCHASE!$H$6:$H$10008,$A$4:$A$2700)</f>
        <v>0</v>
      </c>
      <c r="L120" s="512">
        <f>SUMIFS(PURCHASE!$N$6:$N$10008,PURCHASE!$A$6:$A$10008,$H$2,PURCHASE!$H$6:$H$10008,$A$4:$A$2700)</f>
        <v>0</v>
      </c>
      <c r="M120" s="512">
        <f t="shared" si="30"/>
        <v>0</v>
      </c>
      <c r="N120" s="512">
        <f>SUMIFS(PURCHASE!$K$6:$K$10008,PURCHASE!$A$6:$A$10008,$M$2,PURCHASE!$H$6:$H$10008,$A$4:$A$2700)</f>
        <v>0</v>
      </c>
      <c r="O120" s="512">
        <f>SUMIFS(PURCHASE!$L$6:$L$10008,PURCHASE!$A$6:$A$10008,$M$2,PURCHASE!$H$6:$H$10008,$A$4:$A$2700)</f>
        <v>0</v>
      </c>
      <c r="P120" s="512">
        <f>SUMIFS(PURCHASE!$M$6:$M$10008,PURCHASE!$A$6:$A$10008,$M$2,PURCHASE!$H$6:$H$10008,$A$4:$A$2700)</f>
        <v>0</v>
      </c>
      <c r="Q120" s="512">
        <f>SUMIFS(PURCHASE!$N$6:$N$10008,PURCHASE!$A$6:$A$10008,$M$2,PURCHASE!$H$6:$H$10008,$A$4:$A$2700)</f>
        <v>0</v>
      </c>
      <c r="R120" s="512">
        <f t="shared" si="31"/>
        <v>11129.759999999998</v>
      </c>
      <c r="S120" s="512">
        <f>SUMIFS(PURCHASE!$K$6:$K$10008,PURCHASE!$A$6:$A$10008,$R$2,PURCHASE!$H$6:$H$10008,$A$4:$A$2700)</f>
        <v>9432</v>
      </c>
      <c r="T120" s="512">
        <f>SUMIFS(PURCHASE!$L$6:$L$10008,PURCHASE!$A$6:$A$10008,$R$2,PURCHASE!$H$6:$H$10008,$A$4:$A$2700)</f>
        <v>0</v>
      </c>
      <c r="U120" s="512">
        <f>SUMIFS(PURCHASE!$M$6:$M$10008,PURCHASE!$A$6:$A$10008,$R$2,PURCHASE!$H$6:$H$10008,$A$4:$A$2700)</f>
        <v>848.88</v>
      </c>
      <c r="V120" s="512">
        <f>SUMIFS(PURCHASE!$N$6:$N$10008,PURCHASE!$A$6:$A$10008,$R$2,PURCHASE!$H$6:$H$10008,$A$4:$A$2700)</f>
        <v>848.88</v>
      </c>
      <c r="W120" s="512">
        <f t="shared" si="32"/>
        <v>5295.84</v>
      </c>
      <c r="X120" s="512">
        <f>SUMIFS(PURCHASE!$K$6:$K$10008,PURCHASE!$A$6:$A$10008,$W$2,PURCHASE!$H$6:$H$10008,$A$4:$A$2700)</f>
        <v>4488</v>
      </c>
      <c r="Y120" s="512">
        <f>SUMIFS(PURCHASE!$L$6:$L$10008,PURCHASE!$A$6:$A$10008,$W$2,PURCHASE!$H$6:$H$10008,$A$4:$A$2700)</f>
        <v>0</v>
      </c>
      <c r="Z120" s="512">
        <f>SUMIFS(PURCHASE!$M$6:$M$10008,PURCHASE!$A$6:$A$10008,$W$2,PURCHASE!$H$6:$H$10008,$A$4:$A$2700)</f>
        <v>403.92</v>
      </c>
      <c r="AA120" s="512">
        <f>SUMIFS(PURCHASE!$N$6:$N$10008,PURCHASE!$A$6:$A$10008,$W$2,PURCHASE!$H$6:$H$10008,$A$4:$A$2700)</f>
        <v>403.92</v>
      </c>
      <c r="AB120" s="512">
        <f t="shared" si="33"/>
        <v>0</v>
      </c>
      <c r="AC120" s="512">
        <f>SUMIFS(PURCHASE!$K$6:$K$10008,PURCHASE!$A$6:$A$10008,$AB$2,PURCHASE!$H$6:$H$10008,$A$4:$A$2700)</f>
        <v>0</v>
      </c>
      <c r="AD120" s="512">
        <f>SUMIFS(PURCHASE!$L$6:$L$10008,PURCHASE!$A$6:$A$10008,$AB$2,PURCHASE!$H$6:$H$10008,$A$4:$A$2700)</f>
        <v>0</v>
      </c>
      <c r="AE120" s="512">
        <f>SUMIFS(PURCHASE!$M$6:$M$10008,PURCHASE!$A$6:$A$10008,$AB$2,PURCHASE!$H$6:$H$10008,$A$4:$A$2700)</f>
        <v>0</v>
      </c>
      <c r="AF120" s="512">
        <f>SUMIFS(PURCHASE!$N$6:$N$10008,PURCHASE!$A$6:$A$10008,$AB$2,PURCHASE!$H$6:$H$10008,$A$4:$A$2700)</f>
        <v>0</v>
      </c>
      <c r="AG120" s="512">
        <f t="shared" si="34"/>
        <v>7080</v>
      </c>
      <c r="AH120" s="512">
        <f>SUMIFS(PURCHASE!$K$6:$K$10008,PURCHASE!$A$6:$A$10008,$AG$2,PURCHASE!$H$6:$H$10008,$A$4:$A$2700)</f>
        <v>6000</v>
      </c>
      <c r="AI120" s="512">
        <f>SUMIFS(PURCHASE!$L$6:$L$10008,PURCHASE!$A$6:$A$10008,$AG$2,PURCHASE!$H$6:$H$10008,$A$4:$A$2700)</f>
        <v>0</v>
      </c>
      <c r="AJ120" s="512">
        <f>SUMIFS(PURCHASE!$M$6:$M$10008,PURCHASE!$A$6:$A$10008,$AG$2,PURCHASE!$H$6:$H$10008,$A$4:$A$2700)</f>
        <v>540</v>
      </c>
      <c r="AK120" s="512">
        <f>SUMIFS(PURCHASE!$N$6:$N$10008,PURCHASE!$A$6:$A$10008,$AG$2,PURCHASE!$H$6:$H$10008,$A$4:$A$2700)</f>
        <v>540</v>
      </c>
      <c r="AL120" s="512">
        <f t="shared" si="35"/>
        <v>7589.76</v>
      </c>
      <c r="AM120" s="512">
        <f>SUMIFS(PURCHASE!$K$6:$K$10008,PURCHASE!$A$6:$A$10008,$AL$2,PURCHASE!$H$6:$H$10008,$A$4:$A$2700)</f>
        <v>6432</v>
      </c>
      <c r="AN120" s="512">
        <f>SUMIFS(PURCHASE!$L$6:$L$10008,PURCHASE!$A$6:$A$10008,$AL$2,PURCHASE!$H$6:$H$10008,$A$4:$A$2700)</f>
        <v>0</v>
      </c>
      <c r="AO120" s="512">
        <f>SUMIFS(PURCHASE!$M$6:$M$10008,PURCHASE!$A$6:$A$10008,$AL$2,PURCHASE!$H$6:$H$10008,$A$4:$A$2700)</f>
        <v>578.88</v>
      </c>
      <c r="AP120" s="512">
        <f>SUMIFS(PURCHASE!$N$6:$N$10008,PURCHASE!$A$6:$A$10008,$AL$2,PURCHASE!$H$6:$H$10008,$A$4:$A$2700)</f>
        <v>578.88</v>
      </c>
      <c r="AQ120" s="512">
        <f t="shared" si="36"/>
        <v>5664</v>
      </c>
      <c r="AR120" s="512">
        <f>SUMIFS(PURCHASE!$K$6:$K$10008,PURCHASE!$A$6:$A$10008,$AQ$2,PURCHASE!$H$6:$H$10008,$A$4:$A$2700)</f>
        <v>4800</v>
      </c>
      <c r="AS120" s="512">
        <f>SUMIFS(PURCHASE!$L$6:$L$10008,PURCHASE!$A$6:$A$10008,$AQ$2,PURCHASE!$H$6:$H$10008,$A$4:$A$2700)</f>
        <v>0</v>
      </c>
      <c r="AT120" s="512">
        <f>SUMIFS(PURCHASE!$M$6:$M$10008,PURCHASE!$A$6:$A$10008,$AQ$2,PURCHASE!$H$6:$H$10008,$A$4:$A$2700)</f>
        <v>432</v>
      </c>
      <c r="AU120" s="512">
        <f>SUMIFS(PURCHASE!$N$6:$N$10008,PURCHASE!$A$6:$A$10008,$AQ$2,PURCHASE!$H$6:$H$10008,$A$4:$A$2700)</f>
        <v>432</v>
      </c>
      <c r="AV120" s="512">
        <f t="shared" si="37"/>
        <v>1699.1999999999998</v>
      </c>
      <c r="AW120" s="512">
        <f>SUMIFS(PURCHASE!$K$6:$K$10008,PURCHASE!$A$6:$A$10008,$AV$2,PURCHASE!$H$6:$H$10008,$A$4:$A$2700)</f>
        <v>1440</v>
      </c>
      <c r="AX120" s="512">
        <f>SUMIFS(PURCHASE!$L$6:$L$10008,PURCHASE!$A$6:$A$10008,$AV$2,PURCHASE!$H$6:$H$10008,$A$4:$A$2700)</f>
        <v>0</v>
      </c>
      <c r="AY120" s="512">
        <f>SUMIFS(PURCHASE!$M$6:$M$10008,PURCHASE!$A$6:$A$10008,$AV$2,PURCHASE!$H$6:$H$10008,$A$4:$A$2700)</f>
        <v>129.6</v>
      </c>
      <c r="AZ120" s="512">
        <f>SUMIFS(PURCHASE!$N$6:$N$10008,PURCHASE!$A$6:$A$10008,$AV$2,PURCHASE!$H$6:$H$10008,$A$4:$A$2700)</f>
        <v>129.6</v>
      </c>
      <c r="BA120" s="512">
        <f t="shared" si="38"/>
        <v>0</v>
      </c>
      <c r="BB120" s="512">
        <f>SUMIFS(PURCHASE!$K$6:$K$10008,PURCHASE!$A$6:$A$10008,$BA$2,PURCHASE!$H$6:$H$10008,$A$4:$A$2700)</f>
        <v>0</v>
      </c>
      <c r="BC120" s="512">
        <f>SUMIFS(PURCHASE!$L$6:$L$10008,PURCHASE!$A$6:$A$10008,$BA$2,PURCHASE!$H$6:$H$10008,$A$4:$A$2700)</f>
        <v>0</v>
      </c>
      <c r="BD120" s="512">
        <f>SUMIFS(PURCHASE!$M$6:$M$10008,PURCHASE!$A$6:$A$10008,$BA$2,PURCHASE!$H$6:$H$10008,$A$4:$A$2700)</f>
        <v>0</v>
      </c>
      <c r="BE120" s="512">
        <f>SUMIFS(PURCHASE!$N$6:$N$10008,PURCHASE!$A$6:$A$10008,$BA$2,PURCHASE!$H$6:$H$10008,$A$4:$A$2700)</f>
        <v>0</v>
      </c>
      <c r="BF120" s="512">
        <f t="shared" si="39"/>
        <v>0</v>
      </c>
      <c r="BG120" s="512">
        <f>SUMIFS(PURCHASE!$K$6:$K$10008,PURCHASE!$A$6:$A$10008,$BF$2,PURCHASE!$H$6:$H$10008,$A$4:$A$2700)</f>
        <v>0</v>
      </c>
      <c r="BH120" s="512">
        <f>SUMIFS(PURCHASE!$L$6:$L$10008,PURCHASE!$A$6:$A$10008,$BF$2,PURCHASE!$H$6:$H$10008,$A$4:$A$2700)</f>
        <v>0</v>
      </c>
      <c r="BI120" s="512">
        <f>SUMIFS(PURCHASE!$M$6:$M$10008,PURCHASE!$A$6:$A$10008,$BF$2,PURCHASE!$H$6:$H$10008,$A$4:$A$2700)</f>
        <v>0</v>
      </c>
      <c r="BJ120" s="512">
        <f>SUMIFS(PURCHASE!$N$6:$N$10008,PURCHASE!$A$6:$A$10008,$BF$2,PURCHASE!$H$6:$H$10008,$A$4:$A$2700)</f>
        <v>0</v>
      </c>
      <c r="BK120" s="72">
        <f t="shared" si="23"/>
        <v>38458.559999999998</v>
      </c>
      <c r="BL120" s="72">
        <f t="shared" si="24"/>
        <v>32592</v>
      </c>
      <c r="BM120" s="72">
        <f t="shared" si="25"/>
        <v>0</v>
      </c>
      <c r="BN120" s="72">
        <f t="shared" si="26"/>
        <v>2933.2799999999997</v>
      </c>
      <c r="BO120" s="72">
        <f t="shared" si="27"/>
        <v>2933.2799999999997</v>
      </c>
    </row>
    <row r="121" spans="1:67" x14ac:dyDescent="0.2">
      <c r="A121" s="511">
        <v>39199099</v>
      </c>
      <c r="B121" s="467" t="s">
        <v>1197</v>
      </c>
      <c r="C121" s="512">
        <f t="shared" si="28"/>
        <v>4078.08</v>
      </c>
      <c r="D121" s="512">
        <f>SUMIFS(PURCHASE!$K$6:$K$10008,PURCHASE!$A$6:$A$10008,$M$2,PURCHASE!$H$6:$H$10008,$A$4:$A$2700)</f>
        <v>3456</v>
      </c>
      <c r="E121" s="512">
        <f>SUMIFS(PURCHASE!$L$6:$L$10008,PURCHASE!$A$6:$A$10008,$M$2,PURCHASE!$H$6:$H$10008,$A$4:$A$2700)</f>
        <v>0</v>
      </c>
      <c r="F121" s="512">
        <f>SUMIFS(PURCHASE!$M$6:$M$10008,PURCHASE!$A$6:$A$10008,$M$2,PURCHASE!$H$6:$H$10008,$A$4:$A$2700)</f>
        <v>311.04000000000002</v>
      </c>
      <c r="G121" s="512">
        <f>SUMIFS(PURCHASE!$N$6:$N$10008,PURCHASE!$A$6:$A$10008,$M$2,PURCHASE!$H$6:$H$10008,$A$4:$A$2700)</f>
        <v>311.04000000000002</v>
      </c>
      <c r="H121" s="512">
        <f t="shared" si="29"/>
        <v>0</v>
      </c>
      <c r="I121" s="512">
        <f>SUMIFS(PURCHASE!$K$6:$K$10008,PURCHASE!$A$6:$A$10008,$H$2,PURCHASE!$H$6:$H$10008,$A$4:$A$2700)</f>
        <v>0</v>
      </c>
      <c r="J121" s="512">
        <f>SUMIFS(PURCHASE!$L$6:$L$10008,PURCHASE!$A$6:$A$10008,$H$2,PURCHASE!$H$6:$H$10008,$A$4:$A$2700)</f>
        <v>0</v>
      </c>
      <c r="K121" s="512">
        <f>SUMIFS(PURCHASE!$M$6:$M$10008,PURCHASE!$A$6:$A$10008,$H$2,PURCHASE!$H$6:$H$10008,$A$4:$A$2700)</f>
        <v>0</v>
      </c>
      <c r="L121" s="512">
        <f>SUMIFS(PURCHASE!$N$6:$N$10008,PURCHASE!$A$6:$A$10008,$H$2,PURCHASE!$H$6:$H$10008,$A$4:$A$2700)</f>
        <v>0</v>
      </c>
      <c r="M121" s="512">
        <f t="shared" si="30"/>
        <v>4078.08</v>
      </c>
      <c r="N121" s="512">
        <f>SUMIFS(PURCHASE!$K$6:$K$10008,PURCHASE!$A$6:$A$10008,$M$2,PURCHASE!$H$6:$H$10008,$A$4:$A$2700)</f>
        <v>3456</v>
      </c>
      <c r="O121" s="512">
        <f>SUMIFS(PURCHASE!$L$6:$L$10008,PURCHASE!$A$6:$A$10008,$M$2,PURCHASE!$H$6:$H$10008,$A$4:$A$2700)</f>
        <v>0</v>
      </c>
      <c r="P121" s="512">
        <f>SUMIFS(PURCHASE!$M$6:$M$10008,PURCHASE!$A$6:$A$10008,$M$2,PURCHASE!$H$6:$H$10008,$A$4:$A$2700)</f>
        <v>311.04000000000002</v>
      </c>
      <c r="Q121" s="512">
        <f>SUMIFS(PURCHASE!$N$6:$N$10008,PURCHASE!$A$6:$A$10008,$M$2,PURCHASE!$H$6:$H$10008,$A$4:$A$2700)</f>
        <v>311.04000000000002</v>
      </c>
      <c r="R121" s="512">
        <f t="shared" si="31"/>
        <v>0</v>
      </c>
      <c r="S121" s="512">
        <f>SUMIFS(PURCHASE!$K$6:$K$10008,PURCHASE!$A$6:$A$10008,$R$2,PURCHASE!$H$6:$H$10008,$A$4:$A$2700)</f>
        <v>0</v>
      </c>
      <c r="T121" s="512">
        <f>SUMIFS(PURCHASE!$L$6:$L$10008,PURCHASE!$A$6:$A$10008,$R$2,PURCHASE!$H$6:$H$10008,$A$4:$A$2700)</f>
        <v>0</v>
      </c>
      <c r="U121" s="512">
        <f>SUMIFS(PURCHASE!$M$6:$M$10008,PURCHASE!$A$6:$A$10008,$R$2,PURCHASE!$H$6:$H$10008,$A$4:$A$2700)</f>
        <v>0</v>
      </c>
      <c r="V121" s="512">
        <f>SUMIFS(PURCHASE!$N$6:$N$10008,PURCHASE!$A$6:$A$10008,$R$2,PURCHASE!$H$6:$H$10008,$A$4:$A$2700)</f>
        <v>0</v>
      </c>
      <c r="W121" s="512">
        <f t="shared" si="32"/>
        <v>0</v>
      </c>
      <c r="X121" s="512">
        <f>SUMIFS(PURCHASE!$K$6:$K$10008,PURCHASE!$A$6:$A$10008,$W$2,PURCHASE!$H$6:$H$10008,$A$4:$A$2700)</f>
        <v>0</v>
      </c>
      <c r="Y121" s="512">
        <f>SUMIFS(PURCHASE!$L$6:$L$10008,PURCHASE!$A$6:$A$10008,$W$2,PURCHASE!$H$6:$H$10008,$A$4:$A$2700)</f>
        <v>0</v>
      </c>
      <c r="Z121" s="512">
        <f>SUMIFS(PURCHASE!$M$6:$M$10008,PURCHASE!$A$6:$A$10008,$W$2,PURCHASE!$H$6:$H$10008,$A$4:$A$2700)</f>
        <v>0</v>
      </c>
      <c r="AA121" s="512">
        <f>SUMIFS(PURCHASE!$N$6:$N$10008,PURCHASE!$A$6:$A$10008,$W$2,PURCHASE!$H$6:$H$10008,$A$4:$A$2700)</f>
        <v>0</v>
      </c>
      <c r="AB121" s="512">
        <f t="shared" si="33"/>
        <v>0</v>
      </c>
      <c r="AC121" s="512">
        <f>SUMIFS(PURCHASE!$K$6:$K$10008,PURCHASE!$A$6:$A$10008,$AB$2,PURCHASE!$H$6:$H$10008,$A$4:$A$2700)</f>
        <v>0</v>
      </c>
      <c r="AD121" s="512">
        <f>SUMIFS(PURCHASE!$L$6:$L$10008,PURCHASE!$A$6:$A$10008,$AB$2,PURCHASE!$H$6:$H$10008,$A$4:$A$2700)</f>
        <v>0</v>
      </c>
      <c r="AE121" s="512">
        <f>SUMIFS(PURCHASE!$M$6:$M$10008,PURCHASE!$A$6:$A$10008,$AB$2,PURCHASE!$H$6:$H$10008,$A$4:$A$2700)</f>
        <v>0</v>
      </c>
      <c r="AF121" s="512">
        <f>SUMIFS(PURCHASE!$N$6:$N$10008,PURCHASE!$A$6:$A$10008,$AB$2,PURCHASE!$H$6:$H$10008,$A$4:$A$2700)</f>
        <v>0</v>
      </c>
      <c r="AG121" s="512">
        <f t="shared" si="34"/>
        <v>0</v>
      </c>
      <c r="AH121" s="512">
        <f>SUMIFS(PURCHASE!$K$6:$K$10008,PURCHASE!$A$6:$A$10008,$AG$2,PURCHASE!$H$6:$H$10008,$A$4:$A$2700)</f>
        <v>0</v>
      </c>
      <c r="AI121" s="512">
        <f>SUMIFS(PURCHASE!$L$6:$L$10008,PURCHASE!$A$6:$A$10008,$AG$2,PURCHASE!$H$6:$H$10008,$A$4:$A$2700)</f>
        <v>0</v>
      </c>
      <c r="AJ121" s="512">
        <f>SUMIFS(PURCHASE!$M$6:$M$10008,PURCHASE!$A$6:$A$10008,$AG$2,PURCHASE!$H$6:$H$10008,$A$4:$A$2700)</f>
        <v>0</v>
      </c>
      <c r="AK121" s="512">
        <f>SUMIFS(PURCHASE!$N$6:$N$10008,PURCHASE!$A$6:$A$10008,$AG$2,PURCHASE!$H$6:$H$10008,$A$4:$A$2700)</f>
        <v>0</v>
      </c>
      <c r="AL121" s="512">
        <f t="shared" si="35"/>
        <v>0</v>
      </c>
      <c r="AM121" s="512">
        <f>SUMIFS(PURCHASE!$K$6:$K$10008,PURCHASE!$A$6:$A$10008,$AL$2,PURCHASE!$H$6:$H$10008,$A$4:$A$2700)</f>
        <v>0</v>
      </c>
      <c r="AN121" s="512">
        <f>SUMIFS(PURCHASE!$L$6:$L$10008,PURCHASE!$A$6:$A$10008,$AL$2,PURCHASE!$H$6:$H$10008,$A$4:$A$2700)</f>
        <v>0</v>
      </c>
      <c r="AO121" s="512">
        <f>SUMIFS(PURCHASE!$M$6:$M$10008,PURCHASE!$A$6:$A$10008,$AL$2,PURCHASE!$H$6:$H$10008,$A$4:$A$2700)</f>
        <v>0</v>
      </c>
      <c r="AP121" s="512">
        <f>SUMIFS(PURCHASE!$N$6:$N$10008,PURCHASE!$A$6:$A$10008,$AL$2,PURCHASE!$H$6:$H$10008,$A$4:$A$2700)</f>
        <v>0</v>
      </c>
      <c r="AQ121" s="512">
        <f t="shared" si="36"/>
        <v>0</v>
      </c>
      <c r="AR121" s="512">
        <f>SUMIFS(PURCHASE!$K$6:$K$10008,PURCHASE!$A$6:$A$10008,$AQ$2,PURCHASE!$H$6:$H$10008,$A$4:$A$2700)</f>
        <v>0</v>
      </c>
      <c r="AS121" s="512">
        <f>SUMIFS(PURCHASE!$L$6:$L$10008,PURCHASE!$A$6:$A$10008,$AQ$2,PURCHASE!$H$6:$H$10008,$A$4:$A$2700)</f>
        <v>0</v>
      </c>
      <c r="AT121" s="512">
        <f>SUMIFS(PURCHASE!$M$6:$M$10008,PURCHASE!$A$6:$A$10008,$AQ$2,PURCHASE!$H$6:$H$10008,$A$4:$A$2700)</f>
        <v>0</v>
      </c>
      <c r="AU121" s="512">
        <f>SUMIFS(PURCHASE!$N$6:$N$10008,PURCHASE!$A$6:$A$10008,$AQ$2,PURCHASE!$H$6:$H$10008,$A$4:$A$2700)</f>
        <v>0</v>
      </c>
      <c r="AV121" s="512">
        <f t="shared" si="37"/>
        <v>0</v>
      </c>
      <c r="AW121" s="512">
        <f>SUMIFS(PURCHASE!$K$6:$K$10008,PURCHASE!$A$6:$A$10008,$AV$2,PURCHASE!$H$6:$H$10008,$A$4:$A$2700)</f>
        <v>0</v>
      </c>
      <c r="AX121" s="512">
        <f>SUMIFS(PURCHASE!$L$6:$L$10008,PURCHASE!$A$6:$A$10008,$AV$2,PURCHASE!$H$6:$H$10008,$A$4:$A$2700)</f>
        <v>0</v>
      </c>
      <c r="AY121" s="512">
        <f>SUMIFS(PURCHASE!$M$6:$M$10008,PURCHASE!$A$6:$A$10008,$AV$2,PURCHASE!$H$6:$H$10008,$A$4:$A$2700)</f>
        <v>0</v>
      </c>
      <c r="AZ121" s="512">
        <f>SUMIFS(PURCHASE!$N$6:$N$10008,PURCHASE!$A$6:$A$10008,$AV$2,PURCHASE!$H$6:$H$10008,$A$4:$A$2700)</f>
        <v>0</v>
      </c>
      <c r="BA121" s="512">
        <f t="shared" si="38"/>
        <v>0</v>
      </c>
      <c r="BB121" s="512">
        <f>SUMIFS(PURCHASE!$K$6:$K$10008,PURCHASE!$A$6:$A$10008,$BA$2,PURCHASE!$H$6:$H$10008,$A$4:$A$2700)</f>
        <v>0</v>
      </c>
      <c r="BC121" s="512">
        <f>SUMIFS(PURCHASE!$L$6:$L$10008,PURCHASE!$A$6:$A$10008,$BA$2,PURCHASE!$H$6:$H$10008,$A$4:$A$2700)</f>
        <v>0</v>
      </c>
      <c r="BD121" s="512">
        <f>SUMIFS(PURCHASE!$M$6:$M$10008,PURCHASE!$A$6:$A$10008,$BA$2,PURCHASE!$H$6:$H$10008,$A$4:$A$2700)</f>
        <v>0</v>
      </c>
      <c r="BE121" s="512">
        <f>SUMIFS(PURCHASE!$N$6:$N$10008,PURCHASE!$A$6:$A$10008,$BA$2,PURCHASE!$H$6:$H$10008,$A$4:$A$2700)</f>
        <v>0</v>
      </c>
      <c r="BF121" s="512">
        <f t="shared" si="39"/>
        <v>0</v>
      </c>
      <c r="BG121" s="512">
        <f>SUMIFS(PURCHASE!$K$6:$K$10008,PURCHASE!$A$6:$A$10008,$BF$2,PURCHASE!$H$6:$H$10008,$A$4:$A$2700)</f>
        <v>0</v>
      </c>
      <c r="BH121" s="512">
        <f>SUMIFS(PURCHASE!$L$6:$L$10008,PURCHASE!$A$6:$A$10008,$BF$2,PURCHASE!$H$6:$H$10008,$A$4:$A$2700)</f>
        <v>0</v>
      </c>
      <c r="BI121" s="512">
        <f>SUMIFS(PURCHASE!$M$6:$M$10008,PURCHASE!$A$6:$A$10008,$BF$2,PURCHASE!$H$6:$H$10008,$A$4:$A$2700)</f>
        <v>0</v>
      </c>
      <c r="BJ121" s="512">
        <f>SUMIFS(PURCHASE!$N$6:$N$10008,PURCHASE!$A$6:$A$10008,$BF$2,PURCHASE!$H$6:$H$10008,$A$4:$A$2700)</f>
        <v>0</v>
      </c>
      <c r="BK121" s="72">
        <f t="shared" si="23"/>
        <v>8156.16</v>
      </c>
      <c r="BL121" s="72">
        <f t="shared" si="24"/>
        <v>6912</v>
      </c>
      <c r="BM121" s="72">
        <f t="shared" si="25"/>
        <v>0</v>
      </c>
      <c r="BN121" s="72">
        <f t="shared" si="26"/>
        <v>622.08000000000004</v>
      </c>
      <c r="BO121" s="72">
        <f t="shared" si="27"/>
        <v>622.08000000000004</v>
      </c>
    </row>
    <row r="122" spans="1:67" x14ac:dyDescent="0.2">
      <c r="A122" s="511">
        <v>39201091</v>
      </c>
      <c r="B122" s="500" t="s">
        <v>1272</v>
      </c>
      <c r="C122" s="512">
        <f t="shared" si="28"/>
        <v>0</v>
      </c>
      <c r="D122" s="512">
        <f>SUMIFS(PURCHASE!$K$6:$K$10008,PURCHASE!$A$6:$A$10008,$M$2,PURCHASE!$H$6:$H$10008,$A$4:$A$2700)</f>
        <v>0</v>
      </c>
      <c r="E122" s="512">
        <f>SUMIFS(PURCHASE!$L$6:$L$10008,PURCHASE!$A$6:$A$10008,$M$2,PURCHASE!$H$6:$H$10008,$A$4:$A$2700)</f>
        <v>0</v>
      </c>
      <c r="F122" s="512">
        <f>SUMIFS(PURCHASE!$M$6:$M$10008,PURCHASE!$A$6:$A$10008,$M$2,PURCHASE!$H$6:$H$10008,$A$4:$A$2700)</f>
        <v>0</v>
      </c>
      <c r="G122" s="512">
        <f>SUMIFS(PURCHASE!$N$6:$N$10008,PURCHASE!$A$6:$A$10008,$M$2,PURCHASE!$H$6:$H$10008,$A$4:$A$2700)</f>
        <v>0</v>
      </c>
      <c r="H122" s="512">
        <f t="shared" si="29"/>
        <v>22302</v>
      </c>
      <c r="I122" s="512">
        <f>SUMIFS(PURCHASE!$K$6:$K$10008,PURCHASE!$A$6:$A$10008,$H$2,PURCHASE!$H$6:$H$10008,$A$4:$A$2700)</f>
        <v>18900</v>
      </c>
      <c r="J122" s="512">
        <f>SUMIFS(PURCHASE!$L$6:$L$10008,PURCHASE!$A$6:$A$10008,$H$2,PURCHASE!$H$6:$H$10008,$A$4:$A$2700)</f>
        <v>0</v>
      </c>
      <c r="K122" s="512">
        <f>SUMIFS(PURCHASE!$M$6:$M$10008,PURCHASE!$A$6:$A$10008,$H$2,PURCHASE!$H$6:$H$10008,$A$4:$A$2700)</f>
        <v>1701</v>
      </c>
      <c r="L122" s="512">
        <f>SUMIFS(PURCHASE!$N$6:$N$10008,PURCHASE!$A$6:$A$10008,$H$2,PURCHASE!$H$6:$H$10008,$A$4:$A$2700)</f>
        <v>1701</v>
      </c>
      <c r="M122" s="512">
        <f t="shared" si="30"/>
        <v>0</v>
      </c>
      <c r="N122" s="512">
        <f>SUMIFS(PURCHASE!$K$6:$K$10008,PURCHASE!$A$6:$A$10008,$M$2,PURCHASE!$H$6:$H$10008,$A$4:$A$2700)</f>
        <v>0</v>
      </c>
      <c r="O122" s="512">
        <f>SUMIFS(PURCHASE!$L$6:$L$10008,PURCHASE!$A$6:$A$10008,$M$2,PURCHASE!$H$6:$H$10008,$A$4:$A$2700)</f>
        <v>0</v>
      </c>
      <c r="P122" s="512">
        <f>SUMIFS(PURCHASE!$M$6:$M$10008,PURCHASE!$A$6:$A$10008,$M$2,PURCHASE!$H$6:$H$10008,$A$4:$A$2700)</f>
        <v>0</v>
      </c>
      <c r="Q122" s="512">
        <f>SUMIFS(PURCHASE!$N$6:$N$10008,PURCHASE!$A$6:$A$10008,$M$2,PURCHASE!$H$6:$H$10008,$A$4:$A$2700)</f>
        <v>0</v>
      </c>
      <c r="R122" s="512">
        <f t="shared" si="31"/>
        <v>37170</v>
      </c>
      <c r="S122" s="512">
        <f>SUMIFS(PURCHASE!$K$6:$K$10008,PURCHASE!$A$6:$A$10008,$R$2,PURCHASE!$H$6:$H$10008,$A$4:$A$2700)</f>
        <v>31500</v>
      </c>
      <c r="T122" s="512">
        <f>SUMIFS(PURCHASE!$L$6:$L$10008,PURCHASE!$A$6:$A$10008,$R$2,PURCHASE!$H$6:$H$10008,$A$4:$A$2700)</f>
        <v>0</v>
      </c>
      <c r="U122" s="512">
        <f>SUMIFS(PURCHASE!$M$6:$M$10008,PURCHASE!$A$6:$A$10008,$R$2,PURCHASE!$H$6:$H$10008,$A$4:$A$2700)</f>
        <v>2835</v>
      </c>
      <c r="V122" s="512">
        <f>SUMIFS(PURCHASE!$N$6:$N$10008,PURCHASE!$A$6:$A$10008,$R$2,PURCHASE!$H$6:$H$10008,$A$4:$A$2700)</f>
        <v>2835</v>
      </c>
      <c r="W122" s="512">
        <f t="shared" si="32"/>
        <v>0</v>
      </c>
      <c r="X122" s="512">
        <f>SUMIFS(PURCHASE!$K$6:$K$10008,PURCHASE!$A$6:$A$10008,$W$2,PURCHASE!$H$6:$H$10008,$A$4:$A$2700)</f>
        <v>0</v>
      </c>
      <c r="Y122" s="512">
        <f>SUMIFS(PURCHASE!$L$6:$L$10008,PURCHASE!$A$6:$A$10008,$W$2,PURCHASE!$H$6:$H$10008,$A$4:$A$2700)</f>
        <v>0</v>
      </c>
      <c r="Z122" s="512">
        <f>SUMIFS(PURCHASE!$M$6:$M$10008,PURCHASE!$A$6:$A$10008,$W$2,PURCHASE!$H$6:$H$10008,$A$4:$A$2700)</f>
        <v>0</v>
      </c>
      <c r="AA122" s="512">
        <f>SUMIFS(PURCHASE!$N$6:$N$10008,PURCHASE!$A$6:$A$10008,$W$2,PURCHASE!$H$6:$H$10008,$A$4:$A$2700)</f>
        <v>0</v>
      </c>
      <c r="AB122" s="512">
        <f t="shared" si="33"/>
        <v>0</v>
      </c>
      <c r="AC122" s="512">
        <f>SUMIFS(PURCHASE!$K$6:$K$10008,PURCHASE!$A$6:$A$10008,$AB$2,PURCHASE!$H$6:$H$10008,$A$4:$A$2700)</f>
        <v>0</v>
      </c>
      <c r="AD122" s="512">
        <f>SUMIFS(PURCHASE!$L$6:$L$10008,PURCHASE!$A$6:$A$10008,$AB$2,PURCHASE!$H$6:$H$10008,$A$4:$A$2700)</f>
        <v>0</v>
      </c>
      <c r="AE122" s="512">
        <f>SUMIFS(PURCHASE!$M$6:$M$10008,PURCHASE!$A$6:$A$10008,$AB$2,PURCHASE!$H$6:$H$10008,$A$4:$A$2700)</f>
        <v>0</v>
      </c>
      <c r="AF122" s="512">
        <f>SUMIFS(PURCHASE!$N$6:$N$10008,PURCHASE!$A$6:$A$10008,$AB$2,PURCHASE!$H$6:$H$10008,$A$4:$A$2700)</f>
        <v>0</v>
      </c>
      <c r="AG122" s="512">
        <f t="shared" si="34"/>
        <v>0</v>
      </c>
      <c r="AH122" s="512">
        <f>SUMIFS(PURCHASE!$K$6:$K$10008,PURCHASE!$A$6:$A$10008,$AG$2,PURCHASE!$H$6:$H$10008,$A$4:$A$2700)</f>
        <v>0</v>
      </c>
      <c r="AI122" s="512">
        <f>SUMIFS(PURCHASE!$L$6:$L$10008,PURCHASE!$A$6:$A$10008,$AG$2,PURCHASE!$H$6:$H$10008,$A$4:$A$2700)</f>
        <v>0</v>
      </c>
      <c r="AJ122" s="512">
        <f>SUMIFS(PURCHASE!$M$6:$M$10008,PURCHASE!$A$6:$A$10008,$AG$2,PURCHASE!$H$6:$H$10008,$A$4:$A$2700)</f>
        <v>0</v>
      </c>
      <c r="AK122" s="512">
        <f>SUMIFS(PURCHASE!$N$6:$N$10008,PURCHASE!$A$6:$A$10008,$AG$2,PURCHASE!$H$6:$H$10008,$A$4:$A$2700)</f>
        <v>0</v>
      </c>
      <c r="AL122" s="512">
        <f t="shared" si="35"/>
        <v>0</v>
      </c>
      <c r="AM122" s="512">
        <f>SUMIFS(PURCHASE!$K$6:$K$10008,PURCHASE!$A$6:$A$10008,$AL$2,PURCHASE!$H$6:$H$10008,$A$4:$A$2700)</f>
        <v>0</v>
      </c>
      <c r="AN122" s="512">
        <f>SUMIFS(PURCHASE!$L$6:$L$10008,PURCHASE!$A$6:$A$10008,$AL$2,PURCHASE!$H$6:$H$10008,$A$4:$A$2700)</f>
        <v>0</v>
      </c>
      <c r="AO122" s="512">
        <f>SUMIFS(PURCHASE!$M$6:$M$10008,PURCHASE!$A$6:$A$10008,$AL$2,PURCHASE!$H$6:$H$10008,$A$4:$A$2700)</f>
        <v>0</v>
      </c>
      <c r="AP122" s="512">
        <f>SUMIFS(PURCHASE!$N$6:$N$10008,PURCHASE!$A$6:$A$10008,$AL$2,PURCHASE!$H$6:$H$10008,$A$4:$A$2700)</f>
        <v>0</v>
      </c>
      <c r="AQ122" s="512">
        <f t="shared" si="36"/>
        <v>0</v>
      </c>
      <c r="AR122" s="512">
        <f>SUMIFS(PURCHASE!$K$6:$K$10008,PURCHASE!$A$6:$A$10008,$AQ$2,PURCHASE!$H$6:$H$10008,$A$4:$A$2700)</f>
        <v>0</v>
      </c>
      <c r="AS122" s="512">
        <f>SUMIFS(PURCHASE!$L$6:$L$10008,PURCHASE!$A$6:$A$10008,$AQ$2,PURCHASE!$H$6:$H$10008,$A$4:$A$2700)</f>
        <v>0</v>
      </c>
      <c r="AT122" s="512">
        <f>SUMIFS(PURCHASE!$M$6:$M$10008,PURCHASE!$A$6:$A$10008,$AQ$2,PURCHASE!$H$6:$H$10008,$A$4:$A$2700)</f>
        <v>0</v>
      </c>
      <c r="AU122" s="512">
        <f>SUMIFS(PURCHASE!$N$6:$N$10008,PURCHASE!$A$6:$A$10008,$AQ$2,PURCHASE!$H$6:$H$10008,$A$4:$A$2700)</f>
        <v>0</v>
      </c>
      <c r="AV122" s="512">
        <f t="shared" si="37"/>
        <v>0</v>
      </c>
      <c r="AW122" s="512">
        <f>SUMIFS(PURCHASE!$K$6:$K$10008,PURCHASE!$A$6:$A$10008,$AV$2,PURCHASE!$H$6:$H$10008,$A$4:$A$2700)</f>
        <v>0</v>
      </c>
      <c r="AX122" s="512">
        <f>SUMIFS(PURCHASE!$L$6:$L$10008,PURCHASE!$A$6:$A$10008,$AV$2,PURCHASE!$H$6:$H$10008,$A$4:$A$2700)</f>
        <v>0</v>
      </c>
      <c r="AY122" s="512">
        <f>SUMIFS(PURCHASE!$M$6:$M$10008,PURCHASE!$A$6:$A$10008,$AV$2,PURCHASE!$H$6:$H$10008,$A$4:$A$2700)</f>
        <v>0</v>
      </c>
      <c r="AZ122" s="512">
        <f>SUMIFS(PURCHASE!$N$6:$N$10008,PURCHASE!$A$6:$A$10008,$AV$2,PURCHASE!$H$6:$H$10008,$A$4:$A$2700)</f>
        <v>0</v>
      </c>
      <c r="BA122" s="512">
        <f t="shared" si="38"/>
        <v>0</v>
      </c>
      <c r="BB122" s="512">
        <f>SUMIFS(PURCHASE!$K$6:$K$10008,PURCHASE!$A$6:$A$10008,$BA$2,PURCHASE!$H$6:$H$10008,$A$4:$A$2700)</f>
        <v>0</v>
      </c>
      <c r="BC122" s="512">
        <f>SUMIFS(PURCHASE!$L$6:$L$10008,PURCHASE!$A$6:$A$10008,$BA$2,PURCHASE!$H$6:$H$10008,$A$4:$A$2700)</f>
        <v>0</v>
      </c>
      <c r="BD122" s="512">
        <f>SUMIFS(PURCHASE!$M$6:$M$10008,PURCHASE!$A$6:$A$10008,$BA$2,PURCHASE!$H$6:$H$10008,$A$4:$A$2700)</f>
        <v>0</v>
      </c>
      <c r="BE122" s="512">
        <f>SUMIFS(PURCHASE!$N$6:$N$10008,PURCHASE!$A$6:$A$10008,$BA$2,PURCHASE!$H$6:$H$10008,$A$4:$A$2700)</f>
        <v>0</v>
      </c>
      <c r="BF122" s="512">
        <f t="shared" si="39"/>
        <v>0</v>
      </c>
      <c r="BG122" s="512">
        <f>SUMIFS(PURCHASE!$K$6:$K$10008,PURCHASE!$A$6:$A$10008,$BF$2,PURCHASE!$H$6:$H$10008,$A$4:$A$2700)</f>
        <v>0</v>
      </c>
      <c r="BH122" s="512">
        <f>SUMIFS(PURCHASE!$L$6:$L$10008,PURCHASE!$A$6:$A$10008,$BF$2,PURCHASE!$H$6:$H$10008,$A$4:$A$2700)</f>
        <v>0</v>
      </c>
      <c r="BI122" s="512">
        <f>SUMIFS(PURCHASE!$M$6:$M$10008,PURCHASE!$A$6:$A$10008,$BF$2,PURCHASE!$H$6:$H$10008,$A$4:$A$2700)</f>
        <v>0</v>
      </c>
      <c r="BJ122" s="512">
        <f>SUMIFS(PURCHASE!$N$6:$N$10008,PURCHASE!$A$6:$A$10008,$BF$2,PURCHASE!$H$6:$H$10008,$A$4:$A$2700)</f>
        <v>0</v>
      </c>
      <c r="BK122" s="72">
        <f t="shared" si="23"/>
        <v>59472</v>
      </c>
      <c r="BL122" s="72">
        <f t="shared" si="24"/>
        <v>50400</v>
      </c>
      <c r="BM122" s="72">
        <f t="shared" si="25"/>
        <v>0</v>
      </c>
      <c r="BN122" s="72">
        <f t="shared" si="26"/>
        <v>4536</v>
      </c>
      <c r="BO122" s="72">
        <f t="shared" si="27"/>
        <v>4536</v>
      </c>
    </row>
    <row r="123" spans="1:67" x14ac:dyDescent="0.2">
      <c r="A123" s="511">
        <v>39232100</v>
      </c>
      <c r="B123" s="467" t="s">
        <v>1273</v>
      </c>
      <c r="C123" s="512">
        <f t="shared" si="28"/>
        <v>0</v>
      </c>
      <c r="D123" s="512">
        <f>SUMIFS(PURCHASE!$K$6:$K$10008,PURCHASE!$A$6:$A$10008,$M$2,PURCHASE!$H$6:$H$10008,$A$4:$A$2700)</f>
        <v>0</v>
      </c>
      <c r="E123" s="512">
        <f>SUMIFS(PURCHASE!$L$6:$L$10008,PURCHASE!$A$6:$A$10008,$M$2,PURCHASE!$H$6:$H$10008,$A$4:$A$2700)</f>
        <v>0</v>
      </c>
      <c r="F123" s="512">
        <f>SUMIFS(PURCHASE!$M$6:$M$10008,PURCHASE!$A$6:$A$10008,$M$2,PURCHASE!$H$6:$H$10008,$A$4:$A$2700)</f>
        <v>0</v>
      </c>
      <c r="G123" s="512">
        <f>SUMIFS(PURCHASE!$N$6:$N$10008,PURCHASE!$A$6:$A$10008,$M$2,PURCHASE!$H$6:$H$10008,$A$4:$A$2700)</f>
        <v>0</v>
      </c>
      <c r="H123" s="512">
        <f t="shared" si="29"/>
        <v>0</v>
      </c>
      <c r="I123" s="512">
        <f>SUMIFS(PURCHASE!$K$6:$K$10008,PURCHASE!$A$6:$A$10008,$H$2,PURCHASE!$H$6:$H$10008,$A$4:$A$2700)</f>
        <v>0</v>
      </c>
      <c r="J123" s="512">
        <f>SUMIFS(PURCHASE!$L$6:$L$10008,PURCHASE!$A$6:$A$10008,$H$2,PURCHASE!$H$6:$H$10008,$A$4:$A$2700)</f>
        <v>0</v>
      </c>
      <c r="K123" s="512">
        <f>SUMIFS(PURCHASE!$M$6:$M$10008,PURCHASE!$A$6:$A$10008,$H$2,PURCHASE!$H$6:$H$10008,$A$4:$A$2700)</f>
        <v>0</v>
      </c>
      <c r="L123" s="512">
        <f>SUMIFS(PURCHASE!$N$6:$N$10008,PURCHASE!$A$6:$A$10008,$H$2,PURCHASE!$H$6:$H$10008,$A$4:$A$2700)</f>
        <v>0</v>
      </c>
      <c r="M123" s="512">
        <f t="shared" si="30"/>
        <v>0</v>
      </c>
      <c r="N123" s="512">
        <f>SUMIFS(PURCHASE!$K$6:$K$10008,PURCHASE!$A$6:$A$10008,$M$2,PURCHASE!$H$6:$H$10008,$A$4:$A$2700)</f>
        <v>0</v>
      </c>
      <c r="O123" s="512">
        <f>SUMIFS(PURCHASE!$L$6:$L$10008,PURCHASE!$A$6:$A$10008,$M$2,PURCHASE!$H$6:$H$10008,$A$4:$A$2700)</f>
        <v>0</v>
      </c>
      <c r="P123" s="512">
        <f>SUMIFS(PURCHASE!$M$6:$M$10008,PURCHASE!$A$6:$A$10008,$M$2,PURCHASE!$H$6:$H$10008,$A$4:$A$2700)</f>
        <v>0</v>
      </c>
      <c r="Q123" s="512">
        <f>SUMIFS(PURCHASE!$N$6:$N$10008,PURCHASE!$A$6:$A$10008,$M$2,PURCHASE!$H$6:$H$10008,$A$4:$A$2700)</f>
        <v>0</v>
      </c>
      <c r="R123" s="512">
        <f t="shared" si="31"/>
        <v>0</v>
      </c>
      <c r="S123" s="512">
        <f>SUMIFS(PURCHASE!$K$6:$K$10008,PURCHASE!$A$6:$A$10008,$R$2,PURCHASE!$H$6:$H$10008,$A$4:$A$2700)</f>
        <v>0</v>
      </c>
      <c r="T123" s="512">
        <f>SUMIFS(PURCHASE!$L$6:$L$10008,PURCHASE!$A$6:$A$10008,$R$2,PURCHASE!$H$6:$H$10008,$A$4:$A$2700)</f>
        <v>0</v>
      </c>
      <c r="U123" s="512">
        <f>SUMIFS(PURCHASE!$M$6:$M$10008,PURCHASE!$A$6:$A$10008,$R$2,PURCHASE!$H$6:$H$10008,$A$4:$A$2700)</f>
        <v>0</v>
      </c>
      <c r="V123" s="512">
        <f>SUMIFS(PURCHASE!$N$6:$N$10008,PURCHASE!$A$6:$A$10008,$R$2,PURCHASE!$H$6:$H$10008,$A$4:$A$2700)</f>
        <v>0</v>
      </c>
      <c r="W123" s="512">
        <f t="shared" si="32"/>
        <v>0</v>
      </c>
      <c r="X123" s="512">
        <f>SUMIFS(PURCHASE!$K$6:$K$10008,PURCHASE!$A$6:$A$10008,$W$2,PURCHASE!$H$6:$H$10008,$A$4:$A$2700)</f>
        <v>0</v>
      </c>
      <c r="Y123" s="512">
        <f>SUMIFS(PURCHASE!$L$6:$L$10008,PURCHASE!$A$6:$A$10008,$W$2,PURCHASE!$H$6:$H$10008,$A$4:$A$2700)</f>
        <v>0</v>
      </c>
      <c r="Z123" s="512">
        <f>SUMIFS(PURCHASE!$M$6:$M$10008,PURCHASE!$A$6:$A$10008,$W$2,PURCHASE!$H$6:$H$10008,$A$4:$A$2700)</f>
        <v>0</v>
      </c>
      <c r="AA123" s="512">
        <f>SUMIFS(PURCHASE!$N$6:$N$10008,PURCHASE!$A$6:$A$10008,$W$2,PURCHASE!$H$6:$H$10008,$A$4:$A$2700)</f>
        <v>0</v>
      </c>
      <c r="AB123" s="512">
        <f t="shared" si="33"/>
        <v>0</v>
      </c>
      <c r="AC123" s="512">
        <f>SUMIFS(PURCHASE!$K$6:$K$10008,PURCHASE!$A$6:$A$10008,$AB$2,PURCHASE!$H$6:$H$10008,$A$4:$A$2700)</f>
        <v>0</v>
      </c>
      <c r="AD123" s="512">
        <f>SUMIFS(PURCHASE!$L$6:$L$10008,PURCHASE!$A$6:$A$10008,$AB$2,PURCHASE!$H$6:$H$10008,$A$4:$A$2700)</f>
        <v>0</v>
      </c>
      <c r="AE123" s="512">
        <f>SUMIFS(PURCHASE!$M$6:$M$10008,PURCHASE!$A$6:$A$10008,$AB$2,PURCHASE!$H$6:$H$10008,$A$4:$A$2700)</f>
        <v>0</v>
      </c>
      <c r="AF123" s="512">
        <f>SUMIFS(PURCHASE!$N$6:$N$10008,PURCHASE!$A$6:$A$10008,$AB$2,PURCHASE!$H$6:$H$10008,$A$4:$A$2700)</f>
        <v>0</v>
      </c>
      <c r="AG123" s="512">
        <f t="shared" si="34"/>
        <v>0</v>
      </c>
      <c r="AH123" s="512">
        <f>SUMIFS(PURCHASE!$K$6:$K$10008,PURCHASE!$A$6:$A$10008,$AG$2,PURCHASE!$H$6:$H$10008,$A$4:$A$2700)</f>
        <v>0</v>
      </c>
      <c r="AI123" s="512">
        <f>SUMIFS(PURCHASE!$L$6:$L$10008,PURCHASE!$A$6:$A$10008,$AG$2,PURCHASE!$H$6:$H$10008,$A$4:$A$2700)</f>
        <v>0</v>
      </c>
      <c r="AJ123" s="512">
        <f>SUMIFS(PURCHASE!$M$6:$M$10008,PURCHASE!$A$6:$A$10008,$AG$2,PURCHASE!$H$6:$H$10008,$A$4:$A$2700)</f>
        <v>0</v>
      </c>
      <c r="AK123" s="512">
        <f>SUMIFS(PURCHASE!$N$6:$N$10008,PURCHASE!$A$6:$A$10008,$AG$2,PURCHASE!$H$6:$H$10008,$A$4:$A$2700)</f>
        <v>0</v>
      </c>
      <c r="AL123" s="512">
        <f t="shared" si="35"/>
        <v>0</v>
      </c>
      <c r="AM123" s="512">
        <f>SUMIFS(PURCHASE!$K$6:$K$10008,PURCHASE!$A$6:$A$10008,$AL$2,PURCHASE!$H$6:$H$10008,$A$4:$A$2700)</f>
        <v>0</v>
      </c>
      <c r="AN123" s="512">
        <f>SUMIFS(PURCHASE!$L$6:$L$10008,PURCHASE!$A$6:$A$10008,$AL$2,PURCHASE!$H$6:$H$10008,$A$4:$A$2700)</f>
        <v>0</v>
      </c>
      <c r="AO123" s="512">
        <f>SUMIFS(PURCHASE!$M$6:$M$10008,PURCHASE!$A$6:$A$10008,$AL$2,PURCHASE!$H$6:$H$10008,$A$4:$A$2700)</f>
        <v>0</v>
      </c>
      <c r="AP123" s="512">
        <f>SUMIFS(PURCHASE!$N$6:$N$10008,PURCHASE!$A$6:$A$10008,$AL$2,PURCHASE!$H$6:$H$10008,$A$4:$A$2700)</f>
        <v>0</v>
      </c>
      <c r="AQ123" s="512">
        <f t="shared" si="36"/>
        <v>0</v>
      </c>
      <c r="AR123" s="512">
        <f>SUMIFS(PURCHASE!$K$6:$K$10008,PURCHASE!$A$6:$A$10008,$AQ$2,PURCHASE!$H$6:$H$10008,$A$4:$A$2700)</f>
        <v>0</v>
      </c>
      <c r="AS123" s="512">
        <f>SUMIFS(PURCHASE!$L$6:$L$10008,PURCHASE!$A$6:$A$10008,$AQ$2,PURCHASE!$H$6:$H$10008,$A$4:$A$2700)</f>
        <v>0</v>
      </c>
      <c r="AT123" s="512">
        <f>SUMIFS(PURCHASE!$M$6:$M$10008,PURCHASE!$A$6:$A$10008,$AQ$2,PURCHASE!$H$6:$H$10008,$A$4:$A$2700)</f>
        <v>0</v>
      </c>
      <c r="AU123" s="512">
        <f>SUMIFS(PURCHASE!$N$6:$N$10008,PURCHASE!$A$6:$A$10008,$AQ$2,PURCHASE!$H$6:$H$10008,$A$4:$A$2700)</f>
        <v>0</v>
      </c>
      <c r="AV123" s="512">
        <f t="shared" si="37"/>
        <v>0</v>
      </c>
      <c r="AW123" s="512">
        <f>SUMIFS(PURCHASE!$K$6:$K$10008,PURCHASE!$A$6:$A$10008,$AV$2,PURCHASE!$H$6:$H$10008,$A$4:$A$2700)</f>
        <v>0</v>
      </c>
      <c r="AX123" s="512">
        <f>SUMIFS(PURCHASE!$L$6:$L$10008,PURCHASE!$A$6:$A$10008,$AV$2,PURCHASE!$H$6:$H$10008,$A$4:$A$2700)</f>
        <v>0</v>
      </c>
      <c r="AY123" s="512">
        <f>SUMIFS(PURCHASE!$M$6:$M$10008,PURCHASE!$A$6:$A$10008,$AV$2,PURCHASE!$H$6:$H$10008,$A$4:$A$2700)</f>
        <v>0</v>
      </c>
      <c r="AZ123" s="512">
        <f>SUMIFS(PURCHASE!$N$6:$N$10008,PURCHASE!$A$6:$A$10008,$AV$2,PURCHASE!$H$6:$H$10008,$A$4:$A$2700)</f>
        <v>0</v>
      </c>
      <c r="BA123" s="512">
        <f t="shared" si="38"/>
        <v>0</v>
      </c>
      <c r="BB123" s="512">
        <f>SUMIFS(PURCHASE!$K$6:$K$10008,PURCHASE!$A$6:$A$10008,$BA$2,PURCHASE!$H$6:$H$10008,$A$4:$A$2700)</f>
        <v>0</v>
      </c>
      <c r="BC123" s="512">
        <f>SUMIFS(PURCHASE!$L$6:$L$10008,PURCHASE!$A$6:$A$10008,$BA$2,PURCHASE!$H$6:$H$10008,$A$4:$A$2700)</f>
        <v>0</v>
      </c>
      <c r="BD123" s="512">
        <f>SUMIFS(PURCHASE!$M$6:$M$10008,PURCHASE!$A$6:$A$10008,$BA$2,PURCHASE!$H$6:$H$10008,$A$4:$A$2700)</f>
        <v>0</v>
      </c>
      <c r="BE123" s="512">
        <f>SUMIFS(PURCHASE!$N$6:$N$10008,PURCHASE!$A$6:$A$10008,$BA$2,PURCHASE!$H$6:$H$10008,$A$4:$A$2700)</f>
        <v>0</v>
      </c>
      <c r="BF123" s="512">
        <f t="shared" si="39"/>
        <v>0</v>
      </c>
      <c r="BG123" s="512">
        <f>SUMIFS(PURCHASE!$K$6:$K$10008,PURCHASE!$A$6:$A$10008,$BF$2,PURCHASE!$H$6:$H$10008,$A$4:$A$2700)</f>
        <v>0</v>
      </c>
      <c r="BH123" s="512">
        <f>SUMIFS(PURCHASE!$L$6:$L$10008,PURCHASE!$A$6:$A$10008,$BF$2,PURCHASE!$H$6:$H$10008,$A$4:$A$2700)</f>
        <v>0</v>
      </c>
      <c r="BI123" s="512">
        <f>SUMIFS(PURCHASE!$M$6:$M$10008,PURCHASE!$A$6:$A$10008,$BF$2,PURCHASE!$H$6:$H$10008,$A$4:$A$2700)</f>
        <v>0</v>
      </c>
      <c r="BJ123" s="512">
        <f>SUMIFS(PURCHASE!$N$6:$N$10008,PURCHASE!$A$6:$A$10008,$BF$2,PURCHASE!$H$6:$H$10008,$A$4:$A$2700)</f>
        <v>0</v>
      </c>
      <c r="BK123" s="72">
        <f t="shared" si="23"/>
        <v>0</v>
      </c>
      <c r="BL123" s="72">
        <f t="shared" si="24"/>
        <v>0</v>
      </c>
      <c r="BM123" s="72">
        <f t="shared" si="25"/>
        <v>0</v>
      </c>
      <c r="BN123" s="72">
        <f t="shared" si="26"/>
        <v>0</v>
      </c>
      <c r="BO123" s="72">
        <f t="shared" si="27"/>
        <v>0</v>
      </c>
    </row>
    <row r="124" spans="1:67" x14ac:dyDescent="0.2">
      <c r="A124" s="511">
        <v>39269099</v>
      </c>
      <c r="B124" s="467" t="s">
        <v>266</v>
      </c>
      <c r="C124" s="512">
        <f t="shared" si="28"/>
        <v>0</v>
      </c>
      <c r="D124" s="512">
        <f>SUMIFS(PURCHASE!$K$6:$K$10008,PURCHASE!$A$6:$A$10008,$M$2,PURCHASE!$H$6:$H$10008,$A$4:$A$2700)</f>
        <v>0</v>
      </c>
      <c r="E124" s="512">
        <f>SUMIFS(PURCHASE!$L$6:$L$10008,PURCHASE!$A$6:$A$10008,$M$2,PURCHASE!$H$6:$H$10008,$A$4:$A$2700)</f>
        <v>0</v>
      </c>
      <c r="F124" s="512">
        <f>SUMIFS(PURCHASE!$M$6:$M$10008,PURCHASE!$A$6:$A$10008,$M$2,PURCHASE!$H$6:$H$10008,$A$4:$A$2700)</f>
        <v>0</v>
      </c>
      <c r="G124" s="512">
        <f>SUMIFS(PURCHASE!$N$6:$N$10008,PURCHASE!$A$6:$A$10008,$M$2,PURCHASE!$H$6:$H$10008,$A$4:$A$2700)</f>
        <v>0</v>
      </c>
      <c r="H124" s="512">
        <f t="shared" si="29"/>
        <v>0</v>
      </c>
      <c r="I124" s="512">
        <f>SUMIFS(PURCHASE!$K$6:$K$10008,PURCHASE!$A$6:$A$10008,$H$2,PURCHASE!$H$6:$H$10008,$A$4:$A$2700)</f>
        <v>0</v>
      </c>
      <c r="J124" s="512">
        <f>SUMIFS(PURCHASE!$L$6:$L$10008,PURCHASE!$A$6:$A$10008,$H$2,PURCHASE!$H$6:$H$10008,$A$4:$A$2700)</f>
        <v>0</v>
      </c>
      <c r="K124" s="512">
        <f>SUMIFS(PURCHASE!$M$6:$M$10008,PURCHASE!$A$6:$A$10008,$H$2,PURCHASE!$H$6:$H$10008,$A$4:$A$2700)</f>
        <v>0</v>
      </c>
      <c r="L124" s="512">
        <f>SUMIFS(PURCHASE!$N$6:$N$10008,PURCHASE!$A$6:$A$10008,$H$2,PURCHASE!$H$6:$H$10008,$A$4:$A$2700)</f>
        <v>0</v>
      </c>
      <c r="M124" s="512">
        <f t="shared" si="30"/>
        <v>0</v>
      </c>
      <c r="N124" s="512">
        <f>SUMIFS(PURCHASE!$K$6:$K$10008,PURCHASE!$A$6:$A$10008,$M$2,PURCHASE!$H$6:$H$10008,$A$4:$A$2700)</f>
        <v>0</v>
      </c>
      <c r="O124" s="512">
        <f>SUMIFS(PURCHASE!$L$6:$L$10008,PURCHASE!$A$6:$A$10008,$M$2,PURCHASE!$H$6:$H$10008,$A$4:$A$2700)</f>
        <v>0</v>
      </c>
      <c r="P124" s="512">
        <f>SUMIFS(PURCHASE!$M$6:$M$10008,PURCHASE!$A$6:$A$10008,$M$2,PURCHASE!$H$6:$H$10008,$A$4:$A$2700)</f>
        <v>0</v>
      </c>
      <c r="Q124" s="512">
        <f>SUMIFS(PURCHASE!$N$6:$N$10008,PURCHASE!$A$6:$A$10008,$M$2,PURCHASE!$H$6:$H$10008,$A$4:$A$2700)</f>
        <v>0</v>
      </c>
      <c r="R124" s="512">
        <f t="shared" si="31"/>
        <v>0</v>
      </c>
      <c r="S124" s="512">
        <f>SUMIFS(PURCHASE!$K$6:$K$10008,PURCHASE!$A$6:$A$10008,$R$2,PURCHASE!$H$6:$H$10008,$A$4:$A$2700)</f>
        <v>0</v>
      </c>
      <c r="T124" s="512">
        <f>SUMIFS(PURCHASE!$L$6:$L$10008,PURCHASE!$A$6:$A$10008,$R$2,PURCHASE!$H$6:$H$10008,$A$4:$A$2700)</f>
        <v>0</v>
      </c>
      <c r="U124" s="512">
        <f>SUMIFS(PURCHASE!$M$6:$M$10008,PURCHASE!$A$6:$A$10008,$R$2,PURCHASE!$H$6:$H$10008,$A$4:$A$2700)</f>
        <v>0</v>
      </c>
      <c r="V124" s="512">
        <f>SUMIFS(PURCHASE!$N$6:$N$10008,PURCHASE!$A$6:$A$10008,$R$2,PURCHASE!$H$6:$H$10008,$A$4:$A$2700)</f>
        <v>0</v>
      </c>
      <c r="W124" s="512">
        <f t="shared" si="32"/>
        <v>0</v>
      </c>
      <c r="X124" s="512">
        <f>SUMIFS(PURCHASE!$K$6:$K$10008,PURCHASE!$A$6:$A$10008,$W$2,PURCHASE!$H$6:$H$10008,$A$4:$A$2700)</f>
        <v>0</v>
      </c>
      <c r="Y124" s="512">
        <f>SUMIFS(PURCHASE!$L$6:$L$10008,PURCHASE!$A$6:$A$10008,$W$2,PURCHASE!$H$6:$H$10008,$A$4:$A$2700)</f>
        <v>0</v>
      </c>
      <c r="Z124" s="512">
        <f>SUMIFS(PURCHASE!$M$6:$M$10008,PURCHASE!$A$6:$A$10008,$W$2,PURCHASE!$H$6:$H$10008,$A$4:$A$2700)</f>
        <v>0</v>
      </c>
      <c r="AA124" s="512">
        <f>SUMIFS(PURCHASE!$N$6:$N$10008,PURCHASE!$A$6:$A$10008,$W$2,PURCHASE!$H$6:$H$10008,$A$4:$A$2700)</f>
        <v>0</v>
      </c>
      <c r="AB124" s="512">
        <f t="shared" si="33"/>
        <v>0</v>
      </c>
      <c r="AC124" s="512">
        <f>SUMIFS(PURCHASE!$K$6:$K$10008,PURCHASE!$A$6:$A$10008,$AB$2,PURCHASE!$H$6:$H$10008,$A$4:$A$2700)</f>
        <v>0</v>
      </c>
      <c r="AD124" s="512">
        <f>SUMIFS(PURCHASE!$L$6:$L$10008,PURCHASE!$A$6:$A$10008,$AB$2,PURCHASE!$H$6:$H$10008,$A$4:$A$2700)</f>
        <v>0</v>
      </c>
      <c r="AE124" s="512">
        <f>SUMIFS(PURCHASE!$M$6:$M$10008,PURCHASE!$A$6:$A$10008,$AB$2,PURCHASE!$H$6:$H$10008,$A$4:$A$2700)</f>
        <v>0</v>
      </c>
      <c r="AF124" s="512">
        <f>SUMIFS(PURCHASE!$N$6:$N$10008,PURCHASE!$A$6:$A$10008,$AB$2,PURCHASE!$H$6:$H$10008,$A$4:$A$2700)</f>
        <v>0</v>
      </c>
      <c r="AG124" s="512">
        <f t="shared" si="34"/>
        <v>0</v>
      </c>
      <c r="AH124" s="512">
        <f>SUMIFS(PURCHASE!$K$6:$K$10008,PURCHASE!$A$6:$A$10008,$AG$2,PURCHASE!$H$6:$H$10008,$A$4:$A$2700)</f>
        <v>0</v>
      </c>
      <c r="AI124" s="512">
        <f>SUMIFS(PURCHASE!$L$6:$L$10008,PURCHASE!$A$6:$A$10008,$AG$2,PURCHASE!$H$6:$H$10008,$A$4:$A$2700)</f>
        <v>0</v>
      </c>
      <c r="AJ124" s="512">
        <f>SUMIFS(PURCHASE!$M$6:$M$10008,PURCHASE!$A$6:$A$10008,$AG$2,PURCHASE!$H$6:$H$10008,$A$4:$A$2700)</f>
        <v>0</v>
      </c>
      <c r="AK124" s="512">
        <f>SUMIFS(PURCHASE!$N$6:$N$10008,PURCHASE!$A$6:$A$10008,$AG$2,PURCHASE!$H$6:$H$10008,$A$4:$A$2700)</f>
        <v>0</v>
      </c>
      <c r="AL124" s="512">
        <f t="shared" si="35"/>
        <v>0</v>
      </c>
      <c r="AM124" s="512">
        <f>SUMIFS(PURCHASE!$K$6:$K$10008,PURCHASE!$A$6:$A$10008,$AL$2,PURCHASE!$H$6:$H$10008,$A$4:$A$2700)</f>
        <v>0</v>
      </c>
      <c r="AN124" s="512">
        <f>SUMIFS(PURCHASE!$L$6:$L$10008,PURCHASE!$A$6:$A$10008,$AL$2,PURCHASE!$H$6:$H$10008,$A$4:$A$2700)</f>
        <v>0</v>
      </c>
      <c r="AO124" s="512">
        <f>SUMIFS(PURCHASE!$M$6:$M$10008,PURCHASE!$A$6:$A$10008,$AL$2,PURCHASE!$H$6:$H$10008,$A$4:$A$2700)</f>
        <v>0</v>
      </c>
      <c r="AP124" s="512">
        <f>SUMIFS(PURCHASE!$N$6:$N$10008,PURCHASE!$A$6:$A$10008,$AL$2,PURCHASE!$H$6:$H$10008,$A$4:$A$2700)</f>
        <v>0</v>
      </c>
      <c r="AQ124" s="512">
        <f t="shared" si="36"/>
        <v>0</v>
      </c>
      <c r="AR124" s="512">
        <f>SUMIFS(PURCHASE!$K$6:$K$10008,PURCHASE!$A$6:$A$10008,$AQ$2,PURCHASE!$H$6:$H$10008,$A$4:$A$2700)</f>
        <v>0</v>
      </c>
      <c r="AS124" s="512">
        <f>SUMIFS(PURCHASE!$L$6:$L$10008,PURCHASE!$A$6:$A$10008,$AQ$2,PURCHASE!$H$6:$H$10008,$A$4:$A$2700)</f>
        <v>0</v>
      </c>
      <c r="AT124" s="512">
        <f>SUMIFS(PURCHASE!$M$6:$M$10008,PURCHASE!$A$6:$A$10008,$AQ$2,PURCHASE!$H$6:$H$10008,$A$4:$A$2700)</f>
        <v>0</v>
      </c>
      <c r="AU124" s="512">
        <f>SUMIFS(PURCHASE!$N$6:$N$10008,PURCHASE!$A$6:$A$10008,$AQ$2,PURCHASE!$H$6:$H$10008,$A$4:$A$2700)</f>
        <v>0</v>
      </c>
      <c r="AV124" s="512">
        <f t="shared" si="37"/>
        <v>0</v>
      </c>
      <c r="AW124" s="512">
        <f>SUMIFS(PURCHASE!$K$6:$K$10008,PURCHASE!$A$6:$A$10008,$AV$2,PURCHASE!$H$6:$H$10008,$A$4:$A$2700)</f>
        <v>0</v>
      </c>
      <c r="AX124" s="512">
        <f>SUMIFS(PURCHASE!$L$6:$L$10008,PURCHASE!$A$6:$A$10008,$AV$2,PURCHASE!$H$6:$H$10008,$A$4:$A$2700)</f>
        <v>0</v>
      </c>
      <c r="AY124" s="512">
        <f>SUMIFS(PURCHASE!$M$6:$M$10008,PURCHASE!$A$6:$A$10008,$AV$2,PURCHASE!$H$6:$H$10008,$A$4:$A$2700)</f>
        <v>0</v>
      </c>
      <c r="AZ124" s="512">
        <f>SUMIFS(PURCHASE!$N$6:$N$10008,PURCHASE!$A$6:$A$10008,$AV$2,PURCHASE!$H$6:$H$10008,$A$4:$A$2700)</f>
        <v>0</v>
      </c>
      <c r="BA124" s="512">
        <f t="shared" si="38"/>
        <v>0</v>
      </c>
      <c r="BB124" s="512">
        <f>SUMIFS(PURCHASE!$K$6:$K$10008,PURCHASE!$A$6:$A$10008,$BA$2,PURCHASE!$H$6:$H$10008,$A$4:$A$2700)</f>
        <v>0</v>
      </c>
      <c r="BC124" s="512">
        <f>SUMIFS(PURCHASE!$L$6:$L$10008,PURCHASE!$A$6:$A$10008,$BA$2,PURCHASE!$H$6:$H$10008,$A$4:$A$2700)</f>
        <v>0</v>
      </c>
      <c r="BD124" s="512">
        <f>SUMIFS(PURCHASE!$M$6:$M$10008,PURCHASE!$A$6:$A$10008,$BA$2,PURCHASE!$H$6:$H$10008,$A$4:$A$2700)</f>
        <v>0</v>
      </c>
      <c r="BE124" s="512">
        <f>SUMIFS(PURCHASE!$N$6:$N$10008,PURCHASE!$A$6:$A$10008,$BA$2,PURCHASE!$H$6:$H$10008,$A$4:$A$2700)</f>
        <v>0</v>
      </c>
      <c r="BF124" s="512">
        <f t="shared" si="39"/>
        <v>0</v>
      </c>
      <c r="BG124" s="512">
        <f>SUMIFS(PURCHASE!$K$6:$K$10008,PURCHASE!$A$6:$A$10008,$BF$2,PURCHASE!$H$6:$H$10008,$A$4:$A$2700)</f>
        <v>0</v>
      </c>
      <c r="BH124" s="512">
        <f>SUMIFS(PURCHASE!$L$6:$L$10008,PURCHASE!$A$6:$A$10008,$BF$2,PURCHASE!$H$6:$H$10008,$A$4:$A$2700)</f>
        <v>0</v>
      </c>
      <c r="BI124" s="512">
        <f>SUMIFS(PURCHASE!$M$6:$M$10008,PURCHASE!$A$6:$A$10008,$BF$2,PURCHASE!$H$6:$H$10008,$A$4:$A$2700)</f>
        <v>0</v>
      </c>
      <c r="BJ124" s="512">
        <f>SUMIFS(PURCHASE!$N$6:$N$10008,PURCHASE!$A$6:$A$10008,$BF$2,PURCHASE!$H$6:$H$10008,$A$4:$A$2700)</f>
        <v>0</v>
      </c>
      <c r="BK124" s="72">
        <f t="shared" si="23"/>
        <v>0</v>
      </c>
      <c r="BL124" s="72">
        <f t="shared" si="24"/>
        <v>0</v>
      </c>
      <c r="BM124" s="72">
        <f t="shared" si="25"/>
        <v>0</v>
      </c>
      <c r="BN124" s="72">
        <f t="shared" si="26"/>
        <v>0</v>
      </c>
      <c r="BO124" s="72">
        <f t="shared" si="27"/>
        <v>0</v>
      </c>
    </row>
    <row r="125" spans="1:67" x14ac:dyDescent="0.2">
      <c r="A125" s="511">
        <v>40119320</v>
      </c>
      <c r="B125" s="500" t="s">
        <v>1249</v>
      </c>
      <c r="C125" s="512">
        <f t="shared" si="28"/>
        <v>0</v>
      </c>
      <c r="D125" s="512">
        <f>SUMIFS(PURCHASE!$K$6:$K$10008,PURCHASE!$A$6:$A$10008,$M$2,PURCHASE!$H$6:$H$10008,$A$4:$A$2700)</f>
        <v>0</v>
      </c>
      <c r="E125" s="512">
        <f>SUMIFS(PURCHASE!$L$6:$L$10008,PURCHASE!$A$6:$A$10008,$M$2,PURCHASE!$H$6:$H$10008,$A$4:$A$2700)</f>
        <v>0</v>
      </c>
      <c r="F125" s="512">
        <f>SUMIFS(PURCHASE!$M$6:$M$10008,PURCHASE!$A$6:$A$10008,$M$2,PURCHASE!$H$6:$H$10008,$A$4:$A$2700)</f>
        <v>0</v>
      </c>
      <c r="G125" s="512">
        <f>SUMIFS(PURCHASE!$N$6:$N$10008,PURCHASE!$A$6:$A$10008,$M$2,PURCHASE!$H$6:$H$10008,$A$4:$A$2700)</f>
        <v>0</v>
      </c>
      <c r="H125" s="512">
        <f t="shared" si="29"/>
        <v>0</v>
      </c>
      <c r="I125" s="512">
        <f>SUMIFS(PURCHASE!$K$6:$K$10008,PURCHASE!$A$6:$A$10008,$H$2,PURCHASE!$H$6:$H$10008,$A$4:$A$2700)</f>
        <v>0</v>
      </c>
      <c r="J125" s="512">
        <f>SUMIFS(PURCHASE!$L$6:$L$10008,PURCHASE!$A$6:$A$10008,$H$2,PURCHASE!$H$6:$H$10008,$A$4:$A$2700)</f>
        <v>0</v>
      </c>
      <c r="K125" s="512">
        <f>SUMIFS(PURCHASE!$M$6:$M$10008,PURCHASE!$A$6:$A$10008,$H$2,PURCHASE!$H$6:$H$10008,$A$4:$A$2700)</f>
        <v>0</v>
      </c>
      <c r="L125" s="512">
        <f>SUMIFS(PURCHASE!$N$6:$N$10008,PURCHASE!$A$6:$A$10008,$H$2,PURCHASE!$H$6:$H$10008,$A$4:$A$2700)</f>
        <v>0</v>
      </c>
      <c r="M125" s="512">
        <f t="shared" si="30"/>
        <v>0</v>
      </c>
      <c r="N125" s="512">
        <f>SUMIFS(PURCHASE!$K$6:$K$10008,PURCHASE!$A$6:$A$10008,$M$2,PURCHASE!$H$6:$H$10008,$A$4:$A$2700)</f>
        <v>0</v>
      </c>
      <c r="O125" s="512">
        <f>SUMIFS(PURCHASE!$L$6:$L$10008,PURCHASE!$A$6:$A$10008,$M$2,PURCHASE!$H$6:$H$10008,$A$4:$A$2700)</f>
        <v>0</v>
      </c>
      <c r="P125" s="512">
        <f>SUMIFS(PURCHASE!$M$6:$M$10008,PURCHASE!$A$6:$A$10008,$M$2,PURCHASE!$H$6:$H$10008,$A$4:$A$2700)</f>
        <v>0</v>
      </c>
      <c r="Q125" s="512">
        <f>SUMIFS(PURCHASE!$N$6:$N$10008,PURCHASE!$A$6:$A$10008,$M$2,PURCHASE!$H$6:$H$10008,$A$4:$A$2700)</f>
        <v>0</v>
      </c>
      <c r="R125" s="512">
        <f t="shared" si="31"/>
        <v>0</v>
      </c>
      <c r="S125" s="512">
        <f>SUMIFS(PURCHASE!$K$6:$K$10008,PURCHASE!$A$6:$A$10008,$R$2,PURCHASE!$H$6:$H$10008,$A$4:$A$2700)</f>
        <v>0</v>
      </c>
      <c r="T125" s="512">
        <f>SUMIFS(PURCHASE!$L$6:$L$10008,PURCHASE!$A$6:$A$10008,$R$2,PURCHASE!$H$6:$H$10008,$A$4:$A$2700)</f>
        <v>0</v>
      </c>
      <c r="U125" s="512">
        <f>SUMIFS(PURCHASE!$M$6:$M$10008,PURCHASE!$A$6:$A$10008,$R$2,PURCHASE!$H$6:$H$10008,$A$4:$A$2700)</f>
        <v>0</v>
      </c>
      <c r="V125" s="512">
        <f>SUMIFS(PURCHASE!$N$6:$N$10008,PURCHASE!$A$6:$A$10008,$R$2,PURCHASE!$H$6:$H$10008,$A$4:$A$2700)</f>
        <v>0</v>
      </c>
      <c r="W125" s="512">
        <f t="shared" si="32"/>
        <v>0</v>
      </c>
      <c r="X125" s="512">
        <f>SUMIFS(PURCHASE!$K$6:$K$10008,PURCHASE!$A$6:$A$10008,$W$2,PURCHASE!$H$6:$H$10008,$A$4:$A$2700)</f>
        <v>0</v>
      </c>
      <c r="Y125" s="512">
        <f>SUMIFS(PURCHASE!$L$6:$L$10008,PURCHASE!$A$6:$A$10008,$W$2,PURCHASE!$H$6:$H$10008,$A$4:$A$2700)</f>
        <v>0</v>
      </c>
      <c r="Z125" s="512">
        <f>SUMIFS(PURCHASE!$M$6:$M$10008,PURCHASE!$A$6:$A$10008,$W$2,PURCHASE!$H$6:$H$10008,$A$4:$A$2700)</f>
        <v>0</v>
      </c>
      <c r="AA125" s="512">
        <f>SUMIFS(PURCHASE!$N$6:$N$10008,PURCHASE!$A$6:$A$10008,$W$2,PURCHASE!$H$6:$H$10008,$A$4:$A$2700)</f>
        <v>0</v>
      </c>
      <c r="AB125" s="512">
        <f t="shared" si="33"/>
        <v>0</v>
      </c>
      <c r="AC125" s="512">
        <f>SUMIFS(PURCHASE!$K$6:$K$10008,PURCHASE!$A$6:$A$10008,$AB$2,PURCHASE!$H$6:$H$10008,$A$4:$A$2700)</f>
        <v>0</v>
      </c>
      <c r="AD125" s="512">
        <f>SUMIFS(PURCHASE!$L$6:$L$10008,PURCHASE!$A$6:$A$10008,$AB$2,PURCHASE!$H$6:$H$10008,$A$4:$A$2700)</f>
        <v>0</v>
      </c>
      <c r="AE125" s="512">
        <f>SUMIFS(PURCHASE!$M$6:$M$10008,PURCHASE!$A$6:$A$10008,$AB$2,PURCHASE!$H$6:$H$10008,$A$4:$A$2700)</f>
        <v>0</v>
      </c>
      <c r="AF125" s="512">
        <f>SUMIFS(PURCHASE!$N$6:$N$10008,PURCHASE!$A$6:$A$10008,$AB$2,PURCHASE!$H$6:$H$10008,$A$4:$A$2700)</f>
        <v>0</v>
      </c>
      <c r="AG125" s="512">
        <f t="shared" si="34"/>
        <v>0</v>
      </c>
      <c r="AH125" s="512">
        <f>SUMIFS(PURCHASE!$K$6:$K$10008,PURCHASE!$A$6:$A$10008,$AG$2,PURCHASE!$H$6:$H$10008,$A$4:$A$2700)</f>
        <v>0</v>
      </c>
      <c r="AI125" s="512">
        <f>SUMIFS(PURCHASE!$L$6:$L$10008,PURCHASE!$A$6:$A$10008,$AG$2,PURCHASE!$H$6:$H$10008,$A$4:$A$2700)</f>
        <v>0</v>
      </c>
      <c r="AJ125" s="512">
        <f>SUMIFS(PURCHASE!$M$6:$M$10008,PURCHASE!$A$6:$A$10008,$AG$2,PURCHASE!$H$6:$H$10008,$A$4:$A$2700)</f>
        <v>0</v>
      </c>
      <c r="AK125" s="512">
        <f>SUMIFS(PURCHASE!$N$6:$N$10008,PURCHASE!$A$6:$A$10008,$AG$2,PURCHASE!$H$6:$H$10008,$A$4:$A$2700)</f>
        <v>0</v>
      </c>
      <c r="AL125" s="512">
        <f t="shared" si="35"/>
        <v>0</v>
      </c>
      <c r="AM125" s="512">
        <f>SUMIFS(PURCHASE!$K$6:$K$10008,PURCHASE!$A$6:$A$10008,$AL$2,PURCHASE!$H$6:$H$10008,$A$4:$A$2700)</f>
        <v>0</v>
      </c>
      <c r="AN125" s="512">
        <f>SUMIFS(PURCHASE!$L$6:$L$10008,PURCHASE!$A$6:$A$10008,$AL$2,PURCHASE!$H$6:$H$10008,$A$4:$A$2700)</f>
        <v>0</v>
      </c>
      <c r="AO125" s="512">
        <f>SUMIFS(PURCHASE!$M$6:$M$10008,PURCHASE!$A$6:$A$10008,$AL$2,PURCHASE!$H$6:$H$10008,$A$4:$A$2700)</f>
        <v>0</v>
      </c>
      <c r="AP125" s="512">
        <f>SUMIFS(PURCHASE!$N$6:$N$10008,PURCHASE!$A$6:$A$10008,$AL$2,PURCHASE!$H$6:$H$10008,$A$4:$A$2700)</f>
        <v>0</v>
      </c>
      <c r="AQ125" s="512">
        <f t="shared" si="36"/>
        <v>0</v>
      </c>
      <c r="AR125" s="512">
        <f>SUMIFS(PURCHASE!$K$6:$K$10008,PURCHASE!$A$6:$A$10008,$AQ$2,PURCHASE!$H$6:$H$10008,$A$4:$A$2700)</f>
        <v>0</v>
      </c>
      <c r="AS125" s="512">
        <f>SUMIFS(PURCHASE!$L$6:$L$10008,PURCHASE!$A$6:$A$10008,$AQ$2,PURCHASE!$H$6:$H$10008,$A$4:$A$2700)</f>
        <v>0</v>
      </c>
      <c r="AT125" s="512">
        <f>SUMIFS(PURCHASE!$M$6:$M$10008,PURCHASE!$A$6:$A$10008,$AQ$2,PURCHASE!$H$6:$H$10008,$A$4:$A$2700)</f>
        <v>0</v>
      </c>
      <c r="AU125" s="512">
        <f>SUMIFS(PURCHASE!$N$6:$N$10008,PURCHASE!$A$6:$A$10008,$AQ$2,PURCHASE!$H$6:$H$10008,$A$4:$A$2700)</f>
        <v>0</v>
      </c>
      <c r="AV125" s="512">
        <f t="shared" si="37"/>
        <v>0</v>
      </c>
      <c r="AW125" s="512">
        <f>SUMIFS(PURCHASE!$K$6:$K$10008,PURCHASE!$A$6:$A$10008,$AV$2,PURCHASE!$H$6:$H$10008,$A$4:$A$2700)</f>
        <v>0</v>
      </c>
      <c r="AX125" s="512">
        <f>SUMIFS(PURCHASE!$L$6:$L$10008,PURCHASE!$A$6:$A$10008,$AV$2,PURCHASE!$H$6:$H$10008,$A$4:$A$2700)</f>
        <v>0</v>
      </c>
      <c r="AY125" s="512">
        <f>SUMIFS(PURCHASE!$M$6:$M$10008,PURCHASE!$A$6:$A$10008,$AV$2,PURCHASE!$H$6:$H$10008,$A$4:$A$2700)</f>
        <v>0</v>
      </c>
      <c r="AZ125" s="512">
        <f>SUMIFS(PURCHASE!$N$6:$N$10008,PURCHASE!$A$6:$A$10008,$AV$2,PURCHASE!$H$6:$H$10008,$A$4:$A$2700)</f>
        <v>0</v>
      </c>
      <c r="BA125" s="512">
        <f t="shared" si="38"/>
        <v>0</v>
      </c>
      <c r="BB125" s="512">
        <f>SUMIFS(PURCHASE!$K$6:$K$10008,PURCHASE!$A$6:$A$10008,$BA$2,PURCHASE!$H$6:$H$10008,$A$4:$A$2700)</f>
        <v>0</v>
      </c>
      <c r="BC125" s="512">
        <f>SUMIFS(PURCHASE!$L$6:$L$10008,PURCHASE!$A$6:$A$10008,$BA$2,PURCHASE!$H$6:$H$10008,$A$4:$A$2700)</f>
        <v>0</v>
      </c>
      <c r="BD125" s="512">
        <f>SUMIFS(PURCHASE!$M$6:$M$10008,PURCHASE!$A$6:$A$10008,$BA$2,PURCHASE!$H$6:$H$10008,$A$4:$A$2700)</f>
        <v>0</v>
      </c>
      <c r="BE125" s="512">
        <f>SUMIFS(PURCHASE!$N$6:$N$10008,PURCHASE!$A$6:$A$10008,$BA$2,PURCHASE!$H$6:$H$10008,$A$4:$A$2700)</f>
        <v>0</v>
      </c>
      <c r="BF125" s="512">
        <f t="shared" si="39"/>
        <v>0</v>
      </c>
      <c r="BG125" s="512">
        <f>SUMIFS(PURCHASE!$K$6:$K$10008,PURCHASE!$A$6:$A$10008,$BF$2,PURCHASE!$H$6:$H$10008,$A$4:$A$2700)</f>
        <v>0</v>
      </c>
      <c r="BH125" s="512">
        <f>SUMIFS(PURCHASE!$L$6:$L$10008,PURCHASE!$A$6:$A$10008,$BF$2,PURCHASE!$H$6:$H$10008,$A$4:$A$2700)</f>
        <v>0</v>
      </c>
      <c r="BI125" s="512">
        <f>SUMIFS(PURCHASE!$M$6:$M$10008,PURCHASE!$A$6:$A$10008,$BF$2,PURCHASE!$H$6:$H$10008,$A$4:$A$2700)</f>
        <v>0</v>
      </c>
      <c r="BJ125" s="512">
        <f>SUMIFS(PURCHASE!$N$6:$N$10008,PURCHASE!$A$6:$A$10008,$BF$2,PURCHASE!$H$6:$H$10008,$A$4:$A$2700)</f>
        <v>0</v>
      </c>
      <c r="BK125" s="72">
        <f t="shared" si="23"/>
        <v>0</v>
      </c>
      <c r="BL125" s="72">
        <f t="shared" si="24"/>
        <v>0</v>
      </c>
      <c r="BM125" s="72">
        <f t="shared" si="25"/>
        <v>0</v>
      </c>
      <c r="BN125" s="72">
        <f t="shared" si="26"/>
        <v>0</v>
      </c>
      <c r="BO125" s="72">
        <f t="shared" si="27"/>
        <v>0</v>
      </c>
    </row>
    <row r="126" spans="1:67" x14ac:dyDescent="0.2">
      <c r="A126" s="511">
        <v>40151100</v>
      </c>
      <c r="B126" s="467" t="s">
        <v>1274</v>
      </c>
      <c r="C126" s="512">
        <f t="shared" si="28"/>
        <v>5824</v>
      </c>
      <c r="D126" s="512">
        <f>SUMIFS(PURCHASE!$K$6:$K$10008,PURCHASE!$A$6:$A$10008,$M$2,PURCHASE!$H$6:$H$10008,$A$4:$A$2700)</f>
        <v>5200</v>
      </c>
      <c r="E126" s="512">
        <f>SUMIFS(PURCHASE!$L$6:$L$10008,PURCHASE!$A$6:$A$10008,$M$2,PURCHASE!$H$6:$H$10008,$A$4:$A$2700)</f>
        <v>0</v>
      </c>
      <c r="F126" s="512">
        <f>SUMIFS(PURCHASE!$M$6:$M$10008,PURCHASE!$A$6:$A$10008,$M$2,PURCHASE!$H$6:$H$10008,$A$4:$A$2700)</f>
        <v>312</v>
      </c>
      <c r="G126" s="512">
        <f>SUMIFS(PURCHASE!$N$6:$N$10008,PURCHASE!$A$6:$A$10008,$M$2,PURCHASE!$H$6:$H$10008,$A$4:$A$2700)</f>
        <v>312</v>
      </c>
      <c r="H126" s="512">
        <f t="shared" si="29"/>
        <v>0</v>
      </c>
      <c r="I126" s="512">
        <f>SUMIFS(PURCHASE!$K$6:$K$10008,PURCHASE!$A$6:$A$10008,$H$2,PURCHASE!$H$6:$H$10008,$A$4:$A$2700)</f>
        <v>0</v>
      </c>
      <c r="J126" s="512">
        <f>SUMIFS(PURCHASE!$L$6:$L$10008,PURCHASE!$A$6:$A$10008,$H$2,PURCHASE!$H$6:$H$10008,$A$4:$A$2700)</f>
        <v>0</v>
      </c>
      <c r="K126" s="512">
        <f>SUMIFS(PURCHASE!$M$6:$M$10008,PURCHASE!$A$6:$A$10008,$H$2,PURCHASE!$H$6:$H$10008,$A$4:$A$2700)</f>
        <v>0</v>
      </c>
      <c r="L126" s="512">
        <f>SUMIFS(PURCHASE!$N$6:$N$10008,PURCHASE!$A$6:$A$10008,$H$2,PURCHASE!$H$6:$H$10008,$A$4:$A$2700)</f>
        <v>0</v>
      </c>
      <c r="M126" s="512">
        <f t="shared" si="30"/>
        <v>5824</v>
      </c>
      <c r="N126" s="512">
        <f>SUMIFS(PURCHASE!$K$6:$K$10008,PURCHASE!$A$6:$A$10008,$M$2,PURCHASE!$H$6:$H$10008,$A$4:$A$2700)</f>
        <v>5200</v>
      </c>
      <c r="O126" s="512">
        <f>SUMIFS(PURCHASE!$L$6:$L$10008,PURCHASE!$A$6:$A$10008,$M$2,PURCHASE!$H$6:$H$10008,$A$4:$A$2700)</f>
        <v>0</v>
      </c>
      <c r="P126" s="512">
        <f>SUMIFS(PURCHASE!$M$6:$M$10008,PURCHASE!$A$6:$A$10008,$M$2,PURCHASE!$H$6:$H$10008,$A$4:$A$2700)</f>
        <v>312</v>
      </c>
      <c r="Q126" s="512">
        <f>SUMIFS(PURCHASE!$N$6:$N$10008,PURCHASE!$A$6:$A$10008,$M$2,PURCHASE!$H$6:$H$10008,$A$4:$A$2700)</f>
        <v>312</v>
      </c>
      <c r="R126" s="512">
        <f t="shared" si="31"/>
        <v>0</v>
      </c>
      <c r="S126" s="512">
        <f>SUMIFS(PURCHASE!$K$6:$K$10008,PURCHASE!$A$6:$A$10008,$R$2,PURCHASE!$H$6:$H$10008,$A$4:$A$2700)</f>
        <v>0</v>
      </c>
      <c r="T126" s="512">
        <f>SUMIFS(PURCHASE!$L$6:$L$10008,PURCHASE!$A$6:$A$10008,$R$2,PURCHASE!$H$6:$H$10008,$A$4:$A$2700)</f>
        <v>0</v>
      </c>
      <c r="U126" s="512">
        <f>SUMIFS(PURCHASE!$M$6:$M$10008,PURCHASE!$A$6:$A$10008,$R$2,PURCHASE!$H$6:$H$10008,$A$4:$A$2700)</f>
        <v>0</v>
      </c>
      <c r="V126" s="512">
        <f>SUMIFS(PURCHASE!$N$6:$N$10008,PURCHASE!$A$6:$A$10008,$R$2,PURCHASE!$H$6:$H$10008,$A$4:$A$2700)</f>
        <v>0</v>
      </c>
      <c r="W126" s="512">
        <f t="shared" si="32"/>
        <v>6988.7999999999993</v>
      </c>
      <c r="X126" s="512">
        <f>SUMIFS(PURCHASE!$K$6:$K$10008,PURCHASE!$A$6:$A$10008,$W$2,PURCHASE!$H$6:$H$10008,$A$4:$A$2700)</f>
        <v>6240</v>
      </c>
      <c r="Y126" s="512">
        <f>SUMIFS(PURCHASE!$L$6:$L$10008,PURCHASE!$A$6:$A$10008,$W$2,PURCHASE!$H$6:$H$10008,$A$4:$A$2700)</f>
        <v>0</v>
      </c>
      <c r="Z126" s="512">
        <f>SUMIFS(PURCHASE!$M$6:$M$10008,PURCHASE!$A$6:$A$10008,$W$2,PURCHASE!$H$6:$H$10008,$A$4:$A$2700)</f>
        <v>374.4</v>
      </c>
      <c r="AA126" s="512">
        <f>SUMIFS(PURCHASE!$N$6:$N$10008,PURCHASE!$A$6:$A$10008,$W$2,PURCHASE!$H$6:$H$10008,$A$4:$A$2700)</f>
        <v>374.4</v>
      </c>
      <c r="AB126" s="512">
        <f t="shared" si="33"/>
        <v>0</v>
      </c>
      <c r="AC126" s="512">
        <f>SUMIFS(PURCHASE!$K$6:$K$10008,PURCHASE!$A$6:$A$10008,$AB$2,PURCHASE!$H$6:$H$10008,$A$4:$A$2700)</f>
        <v>0</v>
      </c>
      <c r="AD126" s="512">
        <f>SUMIFS(PURCHASE!$L$6:$L$10008,PURCHASE!$A$6:$A$10008,$AB$2,PURCHASE!$H$6:$H$10008,$A$4:$A$2700)</f>
        <v>0</v>
      </c>
      <c r="AE126" s="512">
        <f>SUMIFS(PURCHASE!$M$6:$M$10008,PURCHASE!$A$6:$A$10008,$AB$2,PURCHASE!$H$6:$H$10008,$A$4:$A$2700)</f>
        <v>0</v>
      </c>
      <c r="AF126" s="512">
        <f>SUMIFS(PURCHASE!$N$6:$N$10008,PURCHASE!$A$6:$A$10008,$AB$2,PURCHASE!$H$6:$H$10008,$A$4:$A$2700)</f>
        <v>0</v>
      </c>
      <c r="AG126" s="512">
        <f t="shared" si="34"/>
        <v>5824</v>
      </c>
      <c r="AH126" s="512">
        <f>SUMIFS(PURCHASE!$K$6:$K$10008,PURCHASE!$A$6:$A$10008,$AG$2,PURCHASE!$H$6:$H$10008,$A$4:$A$2700)</f>
        <v>5200</v>
      </c>
      <c r="AI126" s="512">
        <f>SUMIFS(PURCHASE!$L$6:$L$10008,PURCHASE!$A$6:$A$10008,$AG$2,PURCHASE!$H$6:$H$10008,$A$4:$A$2700)</f>
        <v>0</v>
      </c>
      <c r="AJ126" s="512">
        <f>SUMIFS(PURCHASE!$M$6:$M$10008,PURCHASE!$A$6:$A$10008,$AG$2,PURCHASE!$H$6:$H$10008,$A$4:$A$2700)</f>
        <v>312</v>
      </c>
      <c r="AK126" s="512">
        <f>SUMIFS(PURCHASE!$N$6:$N$10008,PURCHASE!$A$6:$A$10008,$AG$2,PURCHASE!$H$6:$H$10008,$A$4:$A$2700)</f>
        <v>312</v>
      </c>
      <c r="AL126" s="512">
        <f t="shared" si="35"/>
        <v>5824</v>
      </c>
      <c r="AM126" s="512">
        <f>SUMIFS(PURCHASE!$K$6:$K$10008,PURCHASE!$A$6:$A$10008,$AL$2,PURCHASE!$H$6:$H$10008,$A$4:$A$2700)</f>
        <v>5200</v>
      </c>
      <c r="AN126" s="512">
        <f>SUMIFS(PURCHASE!$L$6:$L$10008,PURCHASE!$A$6:$A$10008,$AL$2,PURCHASE!$H$6:$H$10008,$A$4:$A$2700)</f>
        <v>0</v>
      </c>
      <c r="AO126" s="512">
        <f>SUMIFS(PURCHASE!$M$6:$M$10008,PURCHASE!$A$6:$A$10008,$AL$2,PURCHASE!$H$6:$H$10008,$A$4:$A$2700)</f>
        <v>312</v>
      </c>
      <c r="AP126" s="512">
        <f>SUMIFS(PURCHASE!$N$6:$N$10008,PURCHASE!$A$6:$A$10008,$AL$2,PURCHASE!$H$6:$H$10008,$A$4:$A$2700)</f>
        <v>312</v>
      </c>
      <c r="AQ126" s="512">
        <f t="shared" si="36"/>
        <v>0</v>
      </c>
      <c r="AR126" s="512">
        <f>SUMIFS(PURCHASE!$K$6:$K$10008,PURCHASE!$A$6:$A$10008,$AQ$2,PURCHASE!$H$6:$H$10008,$A$4:$A$2700)</f>
        <v>0</v>
      </c>
      <c r="AS126" s="512">
        <f>SUMIFS(PURCHASE!$L$6:$L$10008,PURCHASE!$A$6:$A$10008,$AQ$2,PURCHASE!$H$6:$H$10008,$A$4:$A$2700)</f>
        <v>0</v>
      </c>
      <c r="AT126" s="512">
        <f>SUMIFS(PURCHASE!$M$6:$M$10008,PURCHASE!$A$6:$A$10008,$AQ$2,PURCHASE!$H$6:$H$10008,$A$4:$A$2700)</f>
        <v>0</v>
      </c>
      <c r="AU126" s="512">
        <f>SUMIFS(PURCHASE!$N$6:$N$10008,PURCHASE!$A$6:$A$10008,$AQ$2,PURCHASE!$H$6:$H$10008,$A$4:$A$2700)</f>
        <v>0</v>
      </c>
      <c r="AV126" s="512">
        <f t="shared" si="37"/>
        <v>0</v>
      </c>
      <c r="AW126" s="512">
        <f>SUMIFS(PURCHASE!$K$6:$K$10008,PURCHASE!$A$6:$A$10008,$AV$2,PURCHASE!$H$6:$H$10008,$A$4:$A$2700)</f>
        <v>0</v>
      </c>
      <c r="AX126" s="512">
        <f>SUMIFS(PURCHASE!$L$6:$L$10008,PURCHASE!$A$6:$A$10008,$AV$2,PURCHASE!$H$6:$H$10008,$A$4:$A$2700)</f>
        <v>0</v>
      </c>
      <c r="AY126" s="512">
        <f>SUMIFS(PURCHASE!$M$6:$M$10008,PURCHASE!$A$6:$A$10008,$AV$2,PURCHASE!$H$6:$H$10008,$A$4:$A$2700)</f>
        <v>0</v>
      </c>
      <c r="AZ126" s="512">
        <f>SUMIFS(PURCHASE!$N$6:$N$10008,PURCHASE!$A$6:$A$10008,$AV$2,PURCHASE!$H$6:$H$10008,$A$4:$A$2700)</f>
        <v>0</v>
      </c>
      <c r="BA126" s="512">
        <f t="shared" si="38"/>
        <v>0</v>
      </c>
      <c r="BB126" s="512">
        <f>SUMIFS(PURCHASE!$K$6:$K$10008,PURCHASE!$A$6:$A$10008,$BA$2,PURCHASE!$H$6:$H$10008,$A$4:$A$2700)</f>
        <v>0</v>
      </c>
      <c r="BC126" s="512">
        <f>SUMIFS(PURCHASE!$L$6:$L$10008,PURCHASE!$A$6:$A$10008,$BA$2,PURCHASE!$H$6:$H$10008,$A$4:$A$2700)</f>
        <v>0</v>
      </c>
      <c r="BD126" s="512">
        <f>SUMIFS(PURCHASE!$M$6:$M$10008,PURCHASE!$A$6:$A$10008,$BA$2,PURCHASE!$H$6:$H$10008,$A$4:$A$2700)</f>
        <v>0</v>
      </c>
      <c r="BE126" s="512">
        <f>SUMIFS(PURCHASE!$N$6:$N$10008,PURCHASE!$A$6:$A$10008,$BA$2,PURCHASE!$H$6:$H$10008,$A$4:$A$2700)</f>
        <v>0</v>
      </c>
      <c r="BF126" s="512">
        <f t="shared" si="39"/>
        <v>0</v>
      </c>
      <c r="BG126" s="512">
        <f>SUMIFS(PURCHASE!$K$6:$K$10008,PURCHASE!$A$6:$A$10008,$BF$2,PURCHASE!$H$6:$H$10008,$A$4:$A$2700)</f>
        <v>0</v>
      </c>
      <c r="BH126" s="512">
        <f>SUMIFS(PURCHASE!$L$6:$L$10008,PURCHASE!$A$6:$A$10008,$BF$2,PURCHASE!$H$6:$H$10008,$A$4:$A$2700)</f>
        <v>0</v>
      </c>
      <c r="BI126" s="512">
        <f>SUMIFS(PURCHASE!$M$6:$M$10008,PURCHASE!$A$6:$A$10008,$BF$2,PURCHASE!$H$6:$H$10008,$A$4:$A$2700)</f>
        <v>0</v>
      </c>
      <c r="BJ126" s="512">
        <f>SUMIFS(PURCHASE!$N$6:$N$10008,PURCHASE!$A$6:$A$10008,$BF$2,PURCHASE!$H$6:$H$10008,$A$4:$A$2700)</f>
        <v>0</v>
      </c>
      <c r="BK126" s="72">
        <f t="shared" si="23"/>
        <v>30284.799999999999</v>
      </c>
      <c r="BL126" s="72">
        <f t="shared" si="24"/>
        <v>27040</v>
      </c>
      <c r="BM126" s="72">
        <f t="shared" si="25"/>
        <v>0</v>
      </c>
      <c r="BN126" s="72">
        <f t="shared" si="26"/>
        <v>1622.4</v>
      </c>
      <c r="BO126" s="72">
        <f t="shared" si="27"/>
        <v>1622.4</v>
      </c>
    </row>
    <row r="127" spans="1:67" x14ac:dyDescent="0.2">
      <c r="A127" s="511">
        <v>40151900</v>
      </c>
      <c r="B127" s="467" t="s">
        <v>1275</v>
      </c>
      <c r="C127" s="512">
        <f t="shared" si="28"/>
        <v>0</v>
      </c>
      <c r="D127" s="512">
        <f>SUMIFS(PURCHASE!$K$6:$K$10008,PURCHASE!$A$6:$A$10008,$M$2,PURCHASE!$H$6:$H$10008,$A$4:$A$2700)</f>
        <v>0</v>
      </c>
      <c r="E127" s="512">
        <f>SUMIFS(PURCHASE!$L$6:$L$10008,PURCHASE!$A$6:$A$10008,$M$2,PURCHASE!$H$6:$H$10008,$A$4:$A$2700)</f>
        <v>0</v>
      </c>
      <c r="F127" s="512">
        <f>SUMIFS(PURCHASE!$M$6:$M$10008,PURCHASE!$A$6:$A$10008,$M$2,PURCHASE!$H$6:$H$10008,$A$4:$A$2700)</f>
        <v>0</v>
      </c>
      <c r="G127" s="512">
        <f>SUMIFS(PURCHASE!$N$6:$N$10008,PURCHASE!$A$6:$A$10008,$M$2,PURCHASE!$H$6:$H$10008,$A$4:$A$2700)</f>
        <v>0</v>
      </c>
      <c r="H127" s="512">
        <f t="shared" si="29"/>
        <v>0</v>
      </c>
      <c r="I127" s="512">
        <f>SUMIFS(PURCHASE!$K$6:$K$10008,PURCHASE!$A$6:$A$10008,$H$2,PURCHASE!$H$6:$H$10008,$A$4:$A$2700)</f>
        <v>0</v>
      </c>
      <c r="J127" s="512">
        <f>SUMIFS(PURCHASE!$L$6:$L$10008,PURCHASE!$A$6:$A$10008,$H$2,PURCHASE!$H$6:$H$10008,$A$4:$A$2700)</f>
        <v>0</v>
      </c>
      <c r="K127" s="512">
        <f>SUMIFS(PURCHASE!$M$6:$M$10008,PURCHASE!$A$6:$A$10008,$H$2,PURCHASE!$H$6:$H$10008,$A$4:$A$2700)</f>
        <v>0</v>
      </c>
      <c r="L127" s="512">
        <f>SUMIFS(PURCHASE!$N$6:$N$10008,PURCHASE!$A$6:$A$10008,$H$2,PURCHASE!$H$6:$H$10008,$A$4:$A$2700)</f>
        <v>0</v>
      </c>
      <c r="M127" s="512">
        <f t="shared" si="30"/>
        <v>0</v>
      </c>
      <c r="N127" s="512">
        <f>SUMIFS(PURCHASE!$K$6:$K$10008,PURCHASE!$A$6:$A$10008,$M$2,PURCHASE!$H$6:$H$10008,$A$4:$A$2700)</f>
        <v>0</v>
      </c>
      <c r="O127" s="512">
        <f>SUMIFS(PURCHASE!$L$6:$L$10008,PURCHASE!$A$6:$A$10008,$M$2,PURCHASE!$H$6:$H$10008,$A$4:$A$2700)</f>
        <v>0</v>
      </c>
      <c r="P127" s="512">
        <f>SUMIFS(PURCHASE!$M$6:$M$10008,PURCHASE!$A$6:$A$10008,$M$2,PURCHASE!$H$6:$H$10008,$A$4:$A$2700)</f>
        <v>0</v>
      </c>
      <c r="Q127" s="512">
        <f>SUMIFS(PURCHASE!$N$6:$N$10008,PURCHASE!$A$6:$A$10008,$M$2,PURCHASE!$H$6:$H$10008,$A$4:$A$2700)</f>
        <v>0</v>
      </c>
      <c r="R127" s="512">
        <f t="shared" si="31"/>
        <v>0</v>
      </c>
      <c r="S127" s="512">
        <f>SUMIFS(PURCHASE!$K$6:$K$10008,PURCHASE!$A$6:$A$10008,$R$2,PURCHASE!$H$6:$H$10008,$A$4:$A$2700)</f>
        <v>0</v>
      </c>
      <c r="T127" s="512">
        <f>SUMIFS(PURCHASE!$L$6:$L$10008,PURCHASE!$A$6:$A$10008,$R$2,PURCHASE!$H$6:$H$10008,$A$4:$A$2700)</f>
        <v>0</v>
      </c>
      <c r="U127" s="512">
        <f>SUMIFS(PURCHASE!$M$6:$M$10008,PURCHASE!$A$6:$A$10008,$R$2,PURCHASE!$H$6:$H$10008,$A$4:$A$2700)</f>
        <v>0</v>
      </c>
      <c r="V127" s="512">
        <f>SUMIFS(PURCHASE!$N$6:$N$10008,PURCHASE!$A$6:$A$10008,$R$2,PURCHASE!$H$6:$H$10008,$A$4:$A$2700)</f>
        <v>0</v>
      </c>
      <c r="W127" s="512">
        <f t="shared" si="32"/>
        <v>0</v>
      </c>
      <c r="X127" s="512">
        <f>SUMIFS(PURCHASE!$K$6:$K$10008,PURCHASE!$A$6:$A$10008,$W$2,PURCHASE!$H$6:$H$10008,$A$4:$A$2700)</f>
        <v>0</v>
      </c>
      <c r="Y127" s="512">
        <f>SUMIFS(PURCHASE!$L$6:$L$10008,PURCHASE!$A$6:$A$10008,$W$2,PURCHASE!$H$6:$H$10008,$A$4:$A$2700)</f>
        <v>0</v>
      </c>
      <c r="Z127" s="512">
        <f>SUMIFS(PURCHASE!$M$6:$M$10008,PURCHASE!$A$6:$A$10008,$W$2,PURCHASE!$H$6:$H$10008,$A$4:$A$2700)</f>
        <v>0</v>
      </c>
      <c r="AA127" s="512">
        <f>SUMIFS(PURCHASE!$N$6:$N$10008,PURCHASE!$A$6:$A$10008,$W$2,PURCHASE!$H$6:$H$10008,$A$4:$A$2700)</f>
        <v>0</v>
      </c>
      <c r="AB127" s="512">
        <f t="shared" si="33"/>
        <v>0</v>
      </c>
      <c r="AC127" s="512">
        <f>SUMIFS(PURCHASE!$K$6:$K$10008,PURCHASE!$A$6:$A$10008,$AB$2,PURCHASE!$H$6:$H$10008,$A$4:$A$2700)</f>
        <v>0</v>
      </c>
      <c r="AD127" s="512">
        <f>SUMIFS(PURCHASE!$L$6:$L$10008,PURCHASE!$A$6:$A$10008,$AB$2,PURCHASE!$H$6:$H$10008,$A$4:$A$2700)</f>
        <v>0</v>
      </c>
      <c r="AE127" s="512">
        <f>SUMIFS(PURCHASE!$M$6:$M$10008,PURCHASE!$A$6:$A$10008,$AB$2,PURCHASE!$H$6:$H$10008,$A$4:$A$2700)</f>
        <v>0</v>
      </c>
      <c r="AF127" s="512">
        <f>SUMIFS(PURCHASE!$N$6:$N$10008,PURCHASE!$A$6:$A$10008,$AB$2,PURCHASE!$H$6:$H$10008,$A$4:$A$2700)</f>
        <v>0</v>
      </c>
      <c r="AG127" s="512">
        <f t="shared" si="34"/>
        <v>0</v>
      </c>
      <c r="AH127" s="512">
        <f>SUMIFS(PURCHASE!$K$6:$K$10008,PURCHASE!$A$6:$A$10008,$AG$2,PURCHASE!$H$6:$H$10008,$A$4:$A$2700)</f>
        <v>0</v>
      </c>
      <c r="AI127" s="512">
        <f>SUMIFS(PURCHASE!$L$6:$L$10008,PURCHASE!$A$6:$A$10008,$AG$2,PURCHASE!$H$6:$H$10008,$A$4:$A$2700)</f>
        <v>0</v>
      </c>
      <c r="AJ127" s="512">
        <f>SUMIFS(PURCHASE!$M$6:$M$10008,PURCHASE!$A$6:$A$10008,$AG$2,PURCHASE!$H$6:$H$10008,$A$4:$A$2700)</f>
        <v>0</v>
      </c>
      <c r="AK127" s="512">
        <f>SUMIFS(PURCHASE!$N$6:$N$10008,PURCHASE!$A$6:$A$10008,$AG$2,PURCHASE!$H$6:$H$10008,$A$4:$A$2700)</f>
        <v>0</v>
      </c>
      <c r="AL127" s="512">
        <f t="shared" si="35"/>
        <v>0</v>
      </c>
      <c r="AM127" s="512">
        <f>SUMIFS(PURCHASE!$K$6:$K$10008,PURCHASE!$A$6:$A$10008,$AL$2,PURCHASE!$H$6:$H$10008,$A$4:$A$2700)</f>
        <v>0</v>
      </c>
      <c r="AN127" s="512">
        <f>SUMIFS(PURCHASE!$L$6:$L$10008,PURCHASE!$A$6:$A$10008,$AL$2,PURCHASE!$H$6:$H$10008,$A$4:$A$2700)</f>
        <v>0</v>
      </c>
      <c r="AO127" s="512">
        <f>SUMIFS(PURCHASE!$M$6:$M$10008,PURCHASE!$A$6:$A$10008,$AL$2,PURCHASE!$H$6:$H$10008,$A$4:$A$2700)</f>
        <v>0</v>
      </c>
      <c r="AP127" s="512">
        <f>SUMIFS(PURCHASE!$N$6:$N$10008,PURCHASE!$A$6:$A$10008,$AL$2,PURCHASE!$H$6:$H$10008,$A$4:$A$2700)</f>
        <v>0</v>
      </c>
      <c r="AQ127" s="512">
        <f t="shared" si="36"/>
        <v>0</v>
      </c>
      <c r="AR127" s="512">
        <f>SUMIFS(PURCHASE!$K$6:$K$10008,PURCHASE!$A$6:$A$10008,$AQ$2,PURCHASE!$H$6:$H$10008,$A$4:$A$2700)</f>
        <v>0</v>
      </c>
      <c r="AS127" s="512">
        <f>SUMIFS(PURCHASE!$L$6:$L$10008,PURCHASE!$A$6:$A$10008,$AQ$2,PURCHASE!$H$6:$H$10008,$A$4:$A$2700)</f>
        <v>0</v>
      </c>
      <c r="AT127" s="512">
        <f>SUMIFS(PURCHASE!$M$6:$M$10008,PURCHASE!$A$6:$A$10008,$AQ$2,PURCHASE!$H$6:$H$10008,$A$4:$A$2700)</f>
        <v>0</v>
      </c>
      <c r="AU127" s="512">
        <f>SUMIFS(PURCHASE!$N$6:$N$10008,PURCHASE!$A$6:$A$10008,$AQ$2,PURCHASE!$H$6:$H$10008,$A$4:$A$2700)</f>
        <v>0</v>
      </c>
      <c r="AV127" s="512">
        <f t="shared" si="37"/>
        <v>0</v>
      </c>
      <c r="AW127" s="512">
        <f>SUMIFS(PURCHASE!$K$6:$K$10008,PURCHASE!$A$6:$A$10008,$AV$2,PURCHASE!$H$6:$H$10008,$A$4:$A$2700)</f>
        <v>0</v>
      </c>
      <c r="AX127" s="512">
        <f>SUMIFS(PURCHASE!$L$6:$L$10008,PURCHASE!$A$6:$A$10008,$AV$2,PURCHASE!$H$6:$H$10008,$A$4:$A$2700)</f>
        <v>0</v>
      </c>
      <c r="AY127" s="512">
        <f>SUMIFS(PURCHASE!$M$6:$M$10008,PURCHASE!$A$6:$A$10008,$AV$2,PURCHASE!$H$6:$H$10008,$A$4:$A$2700)</f>
        <v>0</v>
      </c>
      <c r="AZ127" s="512">
        <f>SUMIFS(PURCHASE!$N$6:$N$10008,PURCHASE!$A$6:$A$10008,$AV$2,PURCHASE!$H$6:$H$10008,$A$4:$A$2700)</f>
        <v>0</v>
      </c>
      <c r="BA127" s="512">
        <f t="shared" si="38"/>
        <v>0</v>
      </c>
      <c r="BB127" s="512">
        <f>SUMIFS(PURCHASE!$K$6:$K$10008,PURCHASE!$A$6:$A$10008,$BA$2,PURCHASE!$H$6:$H$10008,$A$4:$A$2700)</f>
        <v>0</v>
      </c>
      <c r="BC127" s="512">
        <f>SUMIFS(PURCHASE!$L$6:$L$10008,PURCHASE!$A$6:$A$10008,$BA$2,PURCHASE!$H$6:$H$10008,$A$4:$A$2700)</f>
        <v>0</v>
      </c>
      <c r="BD127" s="512">
        <f>SUMIFS(PURCHASE!$M$6:$M$10008,PURCHASE!$A$6:$A$10008,$BA$2,PURCHASE!$H$6:$H$10008,$A$4:$A$2700)</f>
        <v>0</v>
      </c>
      <c r="BE127" s="512">
        <f>SUMIFS(PURCHASE!$N$6:$N$10008,PURCHASE!$A$6:$A$10008,$BA$2,PURCHASE!$H$6:$H$10008,$A$4:$A$2700)</f>
        <v>0</v>
      </c>
      <c r="BF127" s="512">
        <f t="shared" si="39"/>
        <v>0</v>
      </c>
      <c r="BG127" s="512">
        <f>SUMIFS(PURCHASE!$K$6:$K$10008,PURCHASE!$A$6:$A$10008,$BF$2,PURCHASE!$H$6:$H$10008,$A$4:$A$2700)</f>
        <v>0</v>
      </c>
      <c r="BH127" s="512">
        <f>SUMIFS(PURCHASE!$L$6:$L$10008,PURCHASE!$A$6:$A$10008,$BF$2,PURCHASE!$H$6:$H$10008,$A$4:$A$2700)</f>
        <v>0</v>
      </c>
      <c r="BI127" s="512">
        <f>SUMIFS(PURCHASE!$M$6:$M$10008,PURCHASE!$A$6:$A$10008,$BF$2,PURCHASE!$H$6:$H$10008,$A$4:$A$2700)</f>
        <v>0</v>
      </c>
      <c r="BJ127" s="512">
        <f>SUMIFS(PURCHASE!$N$6:$N$10008,PURCHASE!$A$6:$A$10008,$BF$2,PURCHASE!$H$6:$H$10008,$A$4:$A$2700)</f>
        <v>0</v>
      </c>
      <c r="BK127" s="72">
        <f t="shared" si="23"/>
        <v>0</v>
      </c>
      <c r="BL127" s="72">
        <f t="shared" si="24"/>
        <v>0</v>
      </c>
      <c r="BM127" s="72">
        <f t="shared" si="25"/>
        <v>0</v>
      </c>
      <c r="BN127" s="72">
        <f t="shared" si="26"/>
        <v>0</v>
      </c>
      <c r="BO127" s="72">
        <f t="shared" si="27"/>
        <v>0</v>
      </c>
    </row>
    <row r="128" spans="1:67" x14ac:dyDescent="0.2">
      <c r="A128" s="511">
        <v>40159030</v>
      </c>
      <c r="B128" s="467" t="s">
        <v>1276</v>
      </c>
      <c r="C128" s="512">
        <f t="shared" si="28"/>
        <v>0</v>
      </c>
      <c r="D128" s="512">
        <f>SUMIFS(PURCHASE!$K$6:$K$10008,PURCHASE!$A$6:$A$10008,$M$2,PURCHASE!$H$6:$H$10008,$A$4:$A$2700)</f>
        <v>0</v>
      </c>
      <c r="E128" s="512">
        <f>SUMIFS(PURCHASE!$L$6:$L$10008,PURCHASE!$A$6:$A$10008,$M$2,PURCHASE!$H$6:$H$10008,$A$4:$A$2700)</f>
        <v>0</v>
      </c>
      <c r="F128" s="512">
        <f>SUMIFS(PURCHASE!$M$6:$M$10008,PURCHASE!$A$6:$A$10008,$M$2,PURCHASE!$H$6:$H$10008,$A$4:$A$2700)</f>
        <v>0</v>
      </c>
      <c r="G128" s="512">
        <f>SUMIFS(PURCHASE!$N$6:$N$10008,PURCHASE!$A$6:$A$10008,$M$2,PURCHASE!$H$6:$H$10008,$A$4:$A$2700)</f>
        <v>0</v>
      </c>
      <c r="H128" s="512">
        <f t="shared" si="29"/>
        <v>0</v>
      </c>
      <c r="I128" s="512">
        <f>SUMIFS(PURCHASE!$K$6:$K$10008,PURCHASE!$A$6:$A$10008,$H$2,PURCHASE!$H$6:$H$10008,$A$4:$A$2700)</f>
        <v>0</v>
      </c>
      <c r="J128" s="512">
        <f>SUMIFS(PURCHASE!$L$6:$L$10008,PURCHASE!$A$6:$A$10008,$H$2,PURCHASE!$H$6:$H$10008,$A$4:$A$2700)</f>
        <v>0</v>
      </c>
      <c r="K128" s="512">
        <f>SUMIFS(PURCHASE!$M$6:$M$10008,PURCHASE!$A$6:$A$10008,$H$2,PURCHASE!$H$6:$H$10008,$A$4:$A$2700)</f>
        <v>0</v>
      </c>
      <c r="L128" s="512">
        <f>SUMIFS(PURCHASE!$N$6:$N$10008,PURCHASE!$A$6:$A$10008,$H$2,PURCHASE!$H$6:$H$10008,$A$4:$A$2700)</f>
        <v>0</v>
      </c>
      <c r="M128" s="512">
        <f t="shared" si="30"/>
        <v>0</v>
      </c>
      <c r="N128" s="512">
        <f>SUMIFS(PURCHASE!$K$6:$K$10008,PURCHASE!$A$6:$A$10008,$M$2,PURCHASE!$H$6:$H$10008,$A$4:$A$2700)</f>
        <v>0</v>
      </c>
      <c r="O128" s="512">
        <f>SUMIFS(PURCHASE!$L$6:$L$10008,PURCHASE!$A$6:$A$10008,$M$2,PURCHASE!$H$6:$H$10008,$A$4:$A$2700)</f>
        <v>0</v>
      </c>
      <c r="P128" s="512">
        <f>SUMIFS(PURCHASE!$M$6:$M$10008,PURCHASE!$A$6:$A$10008,$M$2,PURCHASE!$H$6:$H$10008,$A$4:$A$2700)</f>
        <v>0</v>
      </c>
      <c r="Q128" s="512">
        <f>SUMIFS(PURCHASE!$N$6:$N$10008,PURCHASE!$A$6:$A$10008,$M$2,PURCHASE!$H$6:$H$10008,$A$4:$A$2700)</f>
        <v>0</v>
      </c>
      <c r="R128" s="512">
        <f t="shared" si="31"/>
        <v>0</v>
      </c>
      <c r="S128" s="512">
        <f>SUMIFS(PURCHASE!$K$6:$K$10008,PURCHASE!$A$6:$A$10008,$R$2,PURCHASE!$H$6:$H$10008,$A$4:$A$2700)</f>
        <v>0</v>
      </c>
      <c r="T128" s="512">
        <f>SUMIFS(PURCHASE!$L$6:$L$10008,PURCHASE!$A$6:$A$10008,$R$2,PURCHASE!$H$6:$H$10008,$A$4:$A$2700)</f>
        <v>0</v>
      </c>
      <c r="U128" s="512">
        <f>SUMIFS(PURCHASE!$M$6:$M$10008,PURCHASE!$A$6:$A$10008,$R$2,PURCHASE!$H$6:$H$10008,$A$4:$A$2700)</f>
        <v>0</v>
      </c>
      <c r="V128" s="512">
        <f>SUMIFS(PURCHASE!$N$6:$N$10008,PURCHASE!$A$6:$A$10008,$R$2,PURCHASE!$H$6:$H$10008,$A$4:$A$2700)</f>
        <v>0</v>
      </c>
      <c r="W128" s="512">
        <f t="shared" si="32"/>
        <v>679.68000000000006</v>
      </c>
      <c r="X128" s="512">
        <f>SUMIFS(PURCHASE!$K$6:$K$10008,PURCHASE!$A$6:$A$10008,$W$2,PURCHASE!$H$6:$H$10008,$A$4:$A$2700)</f>
        <v>576</v>
      </c>
      <c r="Y128" s="512">
        <f>SUMIFS(PURCHASE!$L$6:$L$10008,PURCHASE!$A$6:$A$10008,$W$2,PURCHASE!$H$6:$H$10008,$A$4:$A$2700)</f>
        <v>0</v>
      </c>
      <c r="Z128" s="512">
        <f>SUMIFS(PURCHASE!$M$6:$M$10008,PURCHASE!$A$6:$A$10008,$W$2,PURCHASE!$H$6:$H$10008,$A$4:$A$2700)</f>
        <v>51.839999999999996</v>
      </c>
      <c r="AA128" s="512">
        <f>SUMIFS(PURCHASE!$N$6:$N$10008,PURCHASE!$A$6:$A$10008,$W$2,PURCHASE!$H$6:$H$10008,$A$4:$A$2700)</f>
        <v>51.839999999999996</v>
      </c>
      <c r="AB128" s="512">
        <f t="shared" si="33"/>
        <v>0</v>
      </c>
      <c r="AC128" s="512">
        <f>SUMIFS(PURCHASE!$K$6:$K$10008,PURCHASE!$A$6:$A$10008,$AB$2,PURCHASE!$H$6:$H$10008,$A$4:$A$2700)</f>
        <v>0</v>
      </c>
      <c r="AD128" s="512">
        <f>SUMIFS(PURCHASE!$L$6:$L$10008,PURCHASE!$A$6:$A$10008,$AB$2,PURCHASE!$H$6:$H$10008,$A$4:$A$2700)</f>
        <v>0</v>
      </c>
      <c r="AE128" s="512">
        <f>SUMIFS(PURCHASE!$M$6:$M$10008,PURCHASE!$A$6:$A$10008,$AB$2,PURCHASE!$H$6:$H$10008,$A$4:$A$2700)</f>
        <v>0</v>
      </c>
      <c r="AF128" s="512">
        <f>SUMIFS(PURCHASE!$N$6:$N$10008,PURCHASE!$A$6:$A$10008,$AB$2,PURCHASE!$H$6:$H$10008,$A$4:$A$2700)</f>
        <v>0</v>
      </c>
      <c r="AG128" s="512">
        <f t="shared" si="34"/>
        <v>0</v>
      </c>
      <c r="AH128" s="512">
        <f>SUMIFS(PURCHASE!$K$6:$K$10008,PURCHASE!$A$6:$A$10008,$AG$2,PURCHASE!$H$6:$H$10008,$A$4:$A$2700)</f>
        <v>0</v>
      </c>
      <c r="AI128" s="512">
        <f>SUMIFS(PURCHASE!$L$6:$L$10008,PURCHASE!$A$6:$A$10008,$AG$2,PURCHASE!$H$6:$H$10008,$A$4:$A$2700)</f>
        <v>0</v>
      </c>
      <c r="AJ128" s="512">
        <f>SUMIFS(PURCHASE!$M$6:$M$10008,PURCHASE!$A$6:$A$10008,$AG$2,PURCHASE!$H$6:$H$10008,$A$4:$A$2700)</f>
        <v>0</v>
      </c>
      <c r="AK128" s="512">
        <f>SUMIFS(PURCHASE!$N$6:$N$10008,PURCHASE!$A$6:$A$10008,$AG$2,PURCHASE!$H$6:$H$10008,$A$4:$A$2700)</f>
        <v>0</v>
      </c>
      <c r="AL128" s="512">
        <f t="shared" si="35"/>
        <v>679.68000000000006</v>
      </c>
      <c r="AM128" s="512">
        <f>SUMIFS(PURCHASE!$K$6:$K$10008,PURCHASE!$A$6:$A$10008,$AL$2,PURCHASE!$H$6:$H$10008,$A$4:$A$2700)</f>
        <v>576</v>
      </c>
      <c r="AN128" s="512">
        <f>SUMIFS(PURCHASE!$L$6:$L$10008,PURCHASE!$A$6:$A$10008,$AL$2,PURCHASE!$H$6:$H$10008,$A$4:$A$2700)</f>
        <v>0</v>
      </c>
      <c r="AO128" s="512">
        <f>SUMIFS(PURCHASE!$M$6:$M$10008,PURCHASE!$A$6:$A$10008,$AL$2,PURCHASE!$H$6:$H$10008,$A$4:$A$2700)</f>
        <v>51.839999999999996</v>
      </c>
      <c r="AP128" s="512">
        <f>SUMIFS(PURCHASE!$N$6:$N$10008,PURCHASE!$A$6:$A$10008,$AL$2,PURCHASE!$H$6:$H$10008,$A$4:$A$2700)</f>
        <v>51.839999999999996</v>
      </c>
      <c r="AQ128" s="512">
        <f t="shared" si="36"/>
        <v>0</v>
      </c>
      <c r="AR128" s="512">
        <f>SUMIFS(PURCHASE!$K$6:$K$10008,PURCHASE!$A$6:$A$10008,$AQ$2,PURCHASE!$H$6:$H$10008,$A$4:$A$2700)</f>
        <v>0</v>
      </c>
      <c r="AS128" s="512">
        <f>SUMIFS(PURCHASE!$L$6:$L$10008,PURCHASE!$A$6:$A$10008,$AQ$2,PURCHASE!$H$6:$H$10008,$A$4:$A$2700)</f>
        <v>0</v>
      </c>
      <c r="AT128" s="512">
        <f>SUMIFS(PURCHASE!$M$6:$M$10008,PURCHASE!$A$6:$A$10008,$AQ$2,PURCHASE!$H$6:$H$10008,$A$4:$A$2700)</f>
        <v>0</v>
      </c>
      <c r="AU128" s="512">
        <f>SUMIFS(PURCHASE!$N$6:$N$10008,PURCHASE!$A$6:$A$10008,$AQ$2,PURCHASE!$H$6:$H$10008,$A$4:$A$2700)</f>
        <v>0</v>
      </c>
      <c r="AV128" s="512">
        <f t="shared" si="37"/>
        <v>0</v>
      </c>
      <c r="AW128" s="512">
        <f>SUMIFS(PURCHASE!$K$6:$K$10008,PURCHASE!$A$6:$A$10008,$AV$2,PURCHASE!$H$6:$H$10008,$A$4:$A$2700)</f>
        <v>0</v>
      </c>
      <c r="AX128" s="512">
        <f>SUMIFS(PURCHASE!$L$6:$L$10008,PURCHASE!$A$6:$A$10008,$AV$2,PURCHASE!$H$6:$H$10008,$A$4:$A$2700)</f>
        <v>0</v>
      </c>
      <c r="AY128" s="512">
        <f>SUMIFS(PURCHASE!$M$6:$M$10008,PURCHASE!$A$6:$A$10008,$AV$2,PURCHASE!$H$6:$H$10008,$A$4:$A$2700)</f>
        <v>0</v>
      </c>
      <c r="AZ128" s="512">
        <f>SUMIFS(PURCHASE!$N$6:$N$10008,PURCHASE!$A$6:$A$10008,$AV$2,PURCHASE!$H$6:$H$10008,$A$4:$A$2700)</f>
        <v>0</v>
      </c>
      <c r="BA128" s="512">
        <f t="shared" si="38"/>
        <v>0</v>
      </c>
      <c r="BB128" s="512">
        <f>SUMIFS(PURCHASE!$K$6:$K$10008,PURCHASE!$A$6:$A$10008,$BA$2,PURCHASE!$H$6:$H$10008,$A$4:$A$2700)</f>
        <v>0</v>
      </c>
      <c r="BC128" s="512">
        <f>SUMIFS(PURCHASE!$L$6:$L$10008,PURCHASE!$A$6:$A$10008,$BA$2,PURCHASE!$H$6:$H$10008,$A$4:$A$2700)</f>
        <v>0</v>
      </c>
      <c r="BD128" s="512">
        <f>SUMIFS(PURCHASE!$M$6:$M$10008,PURCHASE!$A$6:$A$10008,$BA$2,PURCHASE!$H$6:$H$10008,$A$4:$A$2700)</f>
        <v>0</v>
      </c>
      <c r="BE128" s="512">
        <f>SUMIFS(PURCHASE!$N$6:$N$10008,PURCHASE!$A$6:$A$10008,$BA$2,PURCHASE!$H$6:$H$10008,$A$4:$A$2700)</f>
        <v>0</v>
      </c>
      <c r="BF128" s="512">
        <f t="shared" si="39"/>
        <v>0</v>
      </c>
      <c r="BG128" s="512">
        <f>SUMIFS(PURCHASE!$K$6:$K$10008,PURCHASE!$A$6:$A$10008,$BF$2,PURCHASE!$H$6:$H$10008,$A$4:$A$2700)</f>
        <v>0</v>
      </c>
      <c r="BH128" s="512">
        <f>SUMIFS(PURCHASE!$L$6:$L$10008,PURCHASE!$A$6:$A$10008,$BF$2,PURCHASE!$H$6:$H$10008,$A$4:$A$2700)</f>
        <v>0</v>
      </c>
      <c r="BI128" s="512">
        <f>SUMIFS(PURCHASE!$M$6:$M$10008,PURCHASE!$A$6:$A$10008,$BF$2,PURCHASE!$H$6:$H$10008,$A$4:$A$2700)</f>
        <v>0</v>
      </c>
      <c r="BJ128" s="512">
        <f>SUMIFS(PURCHASE!$N$6:$N$10008,PURCHASE!$A$6:$A$10008,$BF$2,PURCHASE!$H$6:$H$10008,$A$4:$A$2700)</f>
        <v>0</v>
      </c>
      <c r="BK128" s="72">
        <f t="shared" si="23"/>
        <v>1359.3600000000001</v>
      </c>
      <c r="BL128" s="72">
        <f t="shared" si="24"/>
        <v>1152</v>
      </c>
      <c r="BM128" s="72">
        <f t="shared" si="25"/>
        <v>0</v>
      </c>
      <c r="BN128" s="72">
        <f t="shared" si="26"/>
        <v>103.67999999999999</v>
      </c>
      <c r="BO128" s="72">
        <f t="shared" si="27"/>
        <v>103.67999999999999</v>
      </c>
    </row>
    <row r="129" spans="1:67" x14ac:dyDescent="0.2">
      <c r="A129" s="511">
        <v>40169320</v>
      </c>
      <c r="B129" s="500" t="s">
        <v>1277</v>
      </c>
      <c r="C129" s="512">
        <f t="shared" si="28"/>
        <v>0</v>
      </c>
      <c r="D129" s="512">
        <f>SUMIFS(PURCHASE!$K$6:$K$10008,PURCHASE!$A$6:$A$10008,$M$2,PURCHASE!$H$6:$H$10008,$A$4:$A$2700)</f>
        <v>0</v>
      </c>
      <c r="E129" s="512">
        <f>SUMIFS(PURCHASE!$L$6:$L$10008,PURCHASE!$A$6:$A$10008,$M$2,PURCHASE!$H$6:$H$10008,$A$4:$A$2700)</f>
        <v>0</v>
      </c>
      <c r="F129" s="512">
        <f>SUMIFS(PURCHASE!$M$6:$M$10008,PURCHASE!$A$6:$A$10008,$M$2,PURCHASE!$H$6:$H$10008,$A$4:$A$2700)</f>
        <v>0</v>
      </c>
      <c r="G129" s="512">
        <f>SUMIFS(PURCHASE!$N$6:$N$10008,PURCHASE!$A$6:$A$10008,$M$2,PURCHASE!$H$6:$H$10008,$A$4:$A$2700)</f>
        <v>0</v>
      </c>
      <c r="H129" s="512">
        <f t="shared" si="29"/>
        <v>0</v>
      </c>
      <c r="I129" s="512">
        <f>SUMIFS(PURCHASE!$K$6:$K$10008,PURCHASE!$A$6:$A$10008,$H$2,PURCHASE!$H$6:$H$10008,$A$4:$A$2700)</f>
        <v>0</v>
      </c>
      <c r="J129" s="512">
        <f>SUMIFS(PURCHASE!$L$6:$L$10008,PURCHASE!$A$6:$A$10008,$H$2,PURCHASE!$H$6:$H$10008,$A$4:$A$2700)</f>
        <v>0</v>
      </c>
      <c r="K129" s="512">
        <f>SUMIFS(PURCHASE!$M$6:$M$10008,PURCHASE!$A$6:$A$10008,$H$2,PURCHASE!$H$6:$H$10008,$A$4:$A$2700)</f>
        <v>0</v>
      </c>
      <c r="L129" s="512">
        <f>SUMIFS(PURCHASE!$N$6:$N$10008,PURCHASE!$A$6:$A$10008,$H$2,PURCHASE!$H$6:$H$10008,$A$4:$A$2700)</f>
        <v>0</v>
      </c>
      <c r="M129" s="512">
        <f t="shared" si="30"/>
        <v>0</v>
      </c>
      <c r="N129" s="512">
        <f>SUMIFS(PURCHASE!$K$6:$K$10008,PURCHASE!$A$6:$A$10008,$M$2,PURCHASE!$H$6:$H$10008,$A$4:$A$2700)</f>
        <v>0</v>
      </c>
      <c r="O129" s="512">
        <f>SUMIFS(PURCHASE!$L$6:$L$10008,PURCHASE!$A$6:$A$10008,$M$2,PURCHASE!$H$6:$H$10008,$A$4:$A$2700)</f>
        <v>0</v>
      </c>
      <c r="P129" s="512">
        <f>SUMIFS(PURCHASE!$M$6:$M$10008,PURCHASE!$A$6:$A$10008,$M$2,PURCHASE!$H$6:$H$10008,$A$4:$A$2700)</f>
        <v>0</v>
      </c>
      <c r="Q129" s="512">
        <f>SUMIFS(PURCHASE!$N$6:$N$10008,PURCHASE!$A$6:$A$10008,$M$2,PURCHASE!$H$6:$H$10008,$A$4:$A$2700)</f>
        <v>0</v>
      </c>
      <c r="R129" s="512">
        <f t="shared" si="31"/>
        <v>0</v>
      </c>
      <c r="S129" s="512">
        <f>SUMIFS(PURCHASE!$K$6:$K$10008,PURCHASE!$A$6:$A$10008,$R$2,PURCHASE!$H$6:$H$10008,$A$4:$A$2700)</f>
        <v>0</v>
      </c>
      <c r="T129" s="512">
        <f>SUMIFS(PURCHASE!$L$6:$L$10008,PURCHASE!$A$6:$A$10008,$R$2,PURCHASE!$H$6:$H$10008,$A$4:$A$2700)</f>
        <v>0</v>
      </c>
      <c r="U129" s="512">
        <f>SUMIFS(PURCHASE!$M$6:$M$10008,PURCHASE!$A$6:$A$10008,$R$2,PURCHASE!$H$6:$H$10008,$A$4:$A$2700)</f>
        <v>0</v>
      </c>
      <c r="V129" s="512">
        <f>SUMIFS(PURCHASE!$N$6:$N$10008,PURCHASE!$A$6:$A$10008,$R$2,PURCHASE!$H$6:$H$10008,$A$4:$A$2700)</f>
        <v>0</v>
      </c>
      <c r="W129" s="512">
        <f t="shared" si="32"/>
        <v>0</v>
      </c>
      <c r="X129" s="512">
        <f>SUMIFS(PURCHASE!$K$6:$K$10008,PURCHASE!$A$6:$A$10008,$W$2,PURCHASE!$H$6:$H$10008,$A$4:$A$2700)</f>
        <v>0</v>
      </c>
      <c r="Y129" s="512">
        <f>SUMIFS(PURCHASE!$L$6:$L$10008,PURCHASE!$A$6:$A$10008,$W$2,PURCHASE!$H$6:$H$10008,$A$4:$A$2700)</f>
        <v>0</v>
      </c>
      <c r="Z129" s="512">
        <f>SUMIFS(PURCHASE!$M$6:$M$10008,PURCHASE!$A$6:$A$10008,$W$2,PURCHASE!$H$6:$H$10008,$A$4:$A$2700)</f>
        <v>0</v>
      </c>
      <c r="AA129" s="512">
        <f>SUMIFS(PURCHASE!$N$6:$N$10008,PURCHASE!$A$6:$A$10008,$W$2,PURCHASE!$H$6:$H$10008,$A$4:$A$2700)</f>
        <v>0</v>
      </c>
      <c r="AB129" s="512">
        <f t="shared" si="33"/>
        <v>0</v>
      </c>
      <c r="AC129" s="512">
        <f>SUMIFS(PURCHASE!$K$6:$K$10008,PURCHASE!$A$6:$A$10008,$AB$2,PURCHASE!$H$6:$H$10008,$A$4:$A$2700)</f>
        <v>0</v>
      </c>
      <c r="AD129" s="512">
        <f>SUMIFS(PURCHASE!$L$6:$L$10008,PURCHASE!$A$6:$A$10008,$AB$2,PURCHASE!$H$6:$H$10008,$A$4:$A$2700)</f>
        <v>0</v>
      </c>
      <c r="AE129" s="512">
        <f>SUMIFS(PURCHASE!$M$6:$M$10008,PURCHASE!$A$6:$A$10008,$AB$2,PURCHASE!$H$6:$H$10008,$A$4:$A$2700)</f>
        <v>0</v>
      </c>
      <c r="AF129" s="512">
        <f>SUMIFS(PURCHASE!$N$6:$N$10008,PURCHASE!$A$6:$A$10008,$AB$2,PURCHASE!$H$6:$H$10008,$A$4:$A$2700)</f>
        <v>0</v>
      </c>
      <c r="AG129" s="512">
        <f t="shared" si="34"/>
        <v>0</v>
      </c>
      <c r="AH129" s="512">
        <f>SUMIFS(PURCHASE!$K$6:$K$10008,PURCHASE!$A$6:$A$10008,$AG$2,PURCHASE!$H$6:$H$10008,$A$4:$A$2700)</f>
        <v>0</v>
      </c>
      <c r="AI129" s="512">
        <f>SUMIFS(PURCHASE!$L$6:$L$10008,PURCHASE!$A$6:$A$10008,$AG$2,PURCHASE!$H$6:$H$10008,$A$4:$A$2700)</f>
        <v>0</v>
      </c>
      <c r="AJ129" s="512">
        <f>SUMIFS(PURCHASE!$M$6:$M$10008,PURCHASE!$A$6:$A$10008,$AG$2,PURCHASE!$H$6:$H$10008,$A$4:$A$2700)</f>
        <v>0</v>
      </c>
      <c r="AK129" s="512">
        <f>SUMIFS(PURCHASE!$N$6:$N$10008,PURCHASE!$A$6:$A$10008,$AG$2,PURCHASE!$H$6:$H$10008,$A$4:$A$2700)</f>
        <v>0</v>
      </c>
      <c r="AL129" s="512">
        <f t="shared" si="35"/>
        <v>0</v>
      </c>
      <c r="AM129" s="512">
        <f>SUMIFS(PURCHASE!$K$6:$K$10008,PURCHASE!$A$6:$A$10008,$AL$2,PURCHASE!$H$6:$H$10008,$A$4:$A$2700)</f>
        <v>0</v>
      </c>
      <c r="AN129" s="512">
        <f>SUMIFS(PURCHASE!$L$6:$L$10008,PURCHASE!$A$6:$A$10008,$AL$2,PURCHASE!$H$6:$H$10008,$A$4:$A$2700)</f>
        <v>0</v>
      </c>
      <c r="AO129" s="512">
        <f>SUMIFS(PURCHASE!$M$6:$M$10008,PURCHASE!$A$6:$A$10008,$AL$2,PURCHASE!$H$6:$H$10008,$A$4:$A$2700)</f>
        <v>0</v>
      </c>
      <c r="AP129" s="512">
        <f>SUMIFS(PURCHASE!$N$6:$N$10008,PURCHASE!$A$6:$A$10008,$AL$2,PURCHASE!$H$6:$H$10008,$A$4:$A$2700)</f>
        <v>0</v>
      </c>
      <c r="AQ129" s="512">
        <f t="shared" si="36"/>
        <v>0</v>
      </c>
      <c r="AR129" s="512">
        <f>SUMIFS(PURCHASE!$K$6:$K$10008,PURCHASE!$A$6:$A$10008,$AQ$2,PURCHASE!$H$6:$H$10008,$A$4:$A$2700)</f>
        <v>0</v>
      </c>
      <c r="AS129" s="512">
        <f>SUMIFS(PURCHASE!$L$6:$L$10008,PURCHASE!$A$6:$A$10008,$AQ$2,PURCHASE!$H$6:$H$10008,$A$4:$A$2700)</f>
        <v>0</v>
      </c>
      <c r="AT129" s="512">
        <f>SUMIFS(PURCHASE!$M$6:$M$10008,PURCHASE!$A$6:$A$10008,$AQ$2,PURCHASE!$H$6:$H$10008,$A$4:$A$2700)</f>
        <v>0</v>
      </c>
      <c r="AU129" s="512">
        <f>SUMIFS(PURCHASE!$N$6:$N$10008,PURCHASE!$A$6:$A$10008,$AQ$2,PURCHASE!$H$6:$H$10008,$A$4:$A$2700)</f>
        <v>0</v>
      </c>
      <c r="AV129" s="512">
        <f t="shared" si="37"/>
        <v>0</v>
      </c>
      <c r="AW129" s="512">
        <f>SUMIFS(PURCHASE!$K$6:$K$10008,PURCHASE!$A$6:$A$10008,$AV$2,PURCHASE!$H$6:$H$10008,$A$4:$A$2700)</f>
        <v>0</v>
      </c>
      <c r="AX129" s="512">
        <f>SUMIFS(PURCHASE!$L$6:$L$10008,PURCHASE!$A$6:$A$10008,$AV$2,PURCHASE!$H$6:$H$10008,$A$4:$A$2700)</f>
        <v>0</v>
      </c>
      <c r="AY129" s="512">
        <f>SUMIFS(PURCHASE!$M$6:$M$10008,PURCHASE!$A$6:$A$10008,$AV$2,PURCHASE!$H$6:$H$10008,$A$4:$A$2700)</f>
        <v>0</v>
      </c>
      <c r="AZ129" s="512">
        <f>SUMIFS(PURCHASE!$N$6:$N$10008,PURCHASE!$A$6:$A$10008,$AV$2,PURCHASE!$H$6:$H$10008,$A$4:$A$2700)</f>
        <v>0</v>
      </c>
      <c r="BA129" s="512">
        <f t="shared" si="38"/>
        <v>0</v>
      </c>
      <c r="BB129" s="512">
        <f>SUMIFS(PURCHASE!$K$6:$K$10008,PURCHASE!$A$6:$A$10008,$BA$2,PURCHASE!$H$6:$H$10008,$A$4:$A$2700)</f>
        <v>0</v>
      </c>
      <c r="BC129" s="512">
        <f>SUMIFS(PURCHASE!$L$6:$L$10008,PURCHASE!$A$6:$A$10008,$BA$2,PURCHASE!$H$6:$H$10008,$A$4:$A$2700)</f>
        <v>0</v>
      </c>
      <c r="BD129" s="512">
        <f>SUMIFS(PURCHASE!$M$6:$M$10008,PURCHASE!$A$6:$A$10008,$BA$2,PURCHASE!$H$6:$H$10008,$A$4:$A$2700)</f>
        <v>0</v>
      </c>
      <c r="BE129" s="512">
        <f>SUMIFS(PURCHASE!$N$6:$N$10008,PURCHASE!$A$6:$A$10008,$BA$2,PURCHASE!$H$6:$H$10008,$A$4:$A$2700)</f>
        <v>0</v>
      </c>
      <c r="BF129" s="512">
        <f t="shared" si="39"/>
        <v>0</v>
      </c>
      <c r="BG129" s="512">
        <f>SUMIFS(PURCHASE!$K$6:$K$10008,PURCHASE!$A$6:$A$10008,$BF$2,PURCHASE!$H$6:$H$10008,$A$4:$A$2700)</f>
        <v>0</v>
      </c>
      <c r="BH129" s="512">
        <f>SUMIFS(PURCHASE!$L$6:$L$10008,PURCHASE!$A$6:$A$10008,$BF$2,PURCHASE!$H$6:$H$10008,$A$4:$A$2700)</f>
        <v>0</v>
      </c>
      <c r="BI129" s="512">
        <f>SUMIFS(PURCHASE!$M$6:$M$10008,PURCHASE!$A$6:$A$10008,$BF$2,PURCHASE!$H$6:$H$10008,$A$4:$A$2700)</f>
        <v>0</v>
      </c>
      <c r="BJ129" s="512">
        <f>SUMIFS(PURCHASE!$N$6:$N$10008,PURCHASE!$A$6:$A$10008,$BF$2,PURCHASE!$H$6:$H$10008,$A$4:$A$2700)</f>
        <v>0</v>
      </c>
      <c r="BK129" s="72">
        <f t="shared" si="23"/>
        <v>0</v>
      </c>
      <c r="BL129" s="72">
        <f t="shared" si="24"/>
        <v>0</v>
      </c>
      <c r="BM129" s="72">
        <f t="shared" si="25"/>
        <v>0</v>
      </c>
      <c r="BN129" s="72">
        <f t="shared" si="26"/>
        <v>0</v>
      </c>
      <c r="BO129" s="72">
        <f t="shared" si="27"/>
        <v>0</v>
      </c>
    </row>
    <row r="130" spans="1:67" x14ac:dyDescent="0.2">
      <c r="A130" s="511">
        <v>43039000</v>
      </c>
      <c r="B130" s="467" t="s">
        <v>1278</v>
      </c>
      <c r="C130" s="512">
        <f t="shared" si="28"/>
        <v>0</v>
      </c>
      <c r="D130" s="512">
        <f>SUMIFS(PURCHASE!$K$6:$K$10008,PURCHASE!$A$6:$A$10008,$M$2,PURCHASE!$H$6:$H$10008,$A$4:$A$2700)</f>
        <v>0</v>
      </c>
      <c r="E130" s="512">
        <f>SUMIFS(PURCHASE!$L$6:$L$10008,PURCHASE!$A$6:$A$10008,$M$2,PURCHASE!$H$6:$H$10008,$A$4:$A$2700)</f>
        <v>0</v>
      </c>
      <c r="F130" s="512">
        <f>SUMIFS(PURCHASE!$M$6:$M$10008,PURCHASE!$A$6:$A$10008,$M$2,PURCHASE!$H$6:$H$10008,$A$4:$A$2700)</f>
        <v>0</v>
      </c>
      <c r="G130" s="512">
        <f>SUMIFS(PURCHASE!$N$6:$N$10008,PURCHASE!$A$6:$A$10008,$M$2,PURCHASE!$H$6:$H$10008,$A$4:$A$2700)</f>
        <v>0</v>
      </c>
      <c r="H130" s="512">
        <f t="shared" si="29"/>
        <v>0</v>
      </c>
      <c r="I130" s="512">
        <f>SUMIFS(PURCHASE!$K$6:$K$10008,PURCHASE!$A$6:$A$10008,$H$2,PURCHASE!$H$6:$H$10008,$A$4:$A$2700)</f>
        <v>0</v>
      </c>
      <c r="J130" s="512">
        <f>SUMIFS(PURCHASE!$L$6:$L$10008,PURCHASE!$A$6:$A$10008,$H$2,PURCHASE!$H$6:$H$10008,$A$4:$A$2700)</f>
        <v>0</v>
      </c>
      <c r="K130" s="512">
        <f>SUMIFS(PURCHASE!$M$6:$M$10008,PURCHASE!$A$6:$A$10008,$H$2,PURCHASE!$H$6:$H$10008,$A$4:$A$2700)</f>
        <v>0</v>
      </c>
      <c r="L130" s="512">
        <f>SUMIFS(PURCHASE!$N$6:$N$10008,PURCHASE!$A$6:$A$10008,$H$2,PURCHASE!$H$6:$H$10008,$A$4:$A$2700)</f>
        <v>0</v>
      </c>
      <c r="M130" s="512">
        <f t="shared" si="30"/>
        <v>0</v>
      </c>
      <c r="N130" s="512">
        <f>SUMIFS(PURCHASE!$K$6:$K$10008,PURCHASE!$A$6:$A$10008,$M$2,PURCHASE!$H$6:$H$10008,$A$4:$A$2700)</f>
        <v>0</v>
      </c>
      <c r="O130" s="512">
        <f>SUMIFS(PURCHASE!$L$6:$L$10008,PURCHASE!$A$6:$A$10008,$M$2,PURCHASE!$H$6:$H$10008,$A$4:$A$2700)</f>
        <v>0</v>
      </c>
      <c r="P130" s="512">
        <f>SUMIFS(PURCHASE!$M$6:$M$10008,PURCHASE!$A$6:$A$10008,$M$2,PURCHASE!$H$6:$H$10008,$A$4:$A$2700)</f>
        <v>0</v>
      </c>
      <c r="Q130" s="512">
        <f>SUMIFS(PURCHASE!$N$6:$N$10008,PURCHASE!$A$6:$A$10008,$M$2,PURCHASE!$H$6:$H$10008,$A$4:$A$2700)</f>
        <v>0</v>
      </c>
      <c r="R130" s="512">
        <f t="shared" si="31"/>
        <v>0</v>
      </c>
      <c r="S130" s="512">
        <f>SUMIFS(PURCHASE!$K$6:$K$10008,PURCHASE!$A$6:$A$10008,$R$2,PURCHASE!$H$6:$H$10008,$A$4:$A$2700)</f>
        <v>0</v>
      </c>
      <c r="T130" s="512">
        <f>SUMIFS(PURCHASE!$L$6:$L$10008,PURCHASE!$A$6:$A$10008,$R$2,PURCHASE!$H$6:$H$10008,$A$4:$A$2700)</f>
        <v>0</v>
      </c>
      <c r="U130" s="512">
        <f>SUMIFS(PURCHASE!$M$6:$M$10008,PURCHASE!$A$6:$A$10008,$R$2,PURCHASE!$H$6:$H$10008,$A$4:$A$2700)</f>
        <v>0</v>
      </c>
      <c r="V130" s="512">
        <f>SUMIFS(PURCHASE!$N$6:$N$10008,PURCHASE!$A$6:$A$10008,$R$2,PURCHASE!$H$6:$H$10008,$A$4:$A$2700)</f>
        <v>0</v>
      </c>
      <c r="W130" s="512">
        <f t="shared" si="32"/>
        <v>0</v>
      </c>
      <c r="X130" s="512">
        <f>SUMIFS(PURCHASE!$K$6:$K$10008,PURCHASE!$A$6:$A$10008,$W$2,PURCHASE!$H$6:$H$10008,$A$4:$A$2700)</f>
        <v>0</v>
      </c>
      <c r="Y130" s="512">
        <f>SUMIFS(PURCHASE!$L$6:$L$10008,PURCHASE!$A$6:$A$10008,$W$2,PURCHASE!$H$6:$H$10008,$A$4:$A$2700)</f>
        <v>0</v>
      </c>
      <c r="Z130" s="512">
        <f>SUMIFS(PURCHASE!$M$6:$M$10008,PURCHASE!$A$6:$A$10008,$W$2,PURCHASE!$H$6:$H$10008,$A$4:$A$2700)</f>
        <v>0</v>
      </c>
      <c r="AA130" s="512">
        <f>SUMIFS(PURCHASE!$N$6:$N$10008,PURCHASE!$A$6:$A$10008,$W$2,PURCHASE!$H$6:$H$10008,$A$4:$A$2700)</f>
        <v>0</v>
      </c>
      <c r="AB130" s="512">
        <f t="shared" si="33"/>
        <v>0</v>
      </c>
      <c r="AC130" s="512">
        <f>SUMIFS(PURCHASE!$K$6:$K$10008,PURCHASE!$A$6:$A$10008,$AB$2,PURCHASE!$H$6:$H$10008,$A$4:$A$2700)</f>
        <v>0</v>
      </c>
      <c r="AD130" s="512">
        <f>SUMIFS(PURCHASE!$L$6:$L$10008,PURCHASE!$A$6:$A$10008,$AB$2,PURCHASE!$H$6:$H$10008,$A$4:$A$2700)</f>
        <v>0</v>
      </c>
      <c r="AE130" s="512">
        <f>SUMIFS(PURCHASE!$M$6:$M$10008,PURCHASE!$A$6:$A$10008,$AB$2,PURCHASE!$H$6:$H$10008,$A$4:$A$2700)</f>
        <v>0</v>
      </c>
      <c r="AF130" s="512">
        <f>SUMIFS(PURCHASE!$N$6:$N$10008,PURCHASE!$A$6:$A$10008,$AB$2,PURCHASE!$H$6:$H$10008,$A$4:$A$2700)</f>
        <v>0</v>
      </c>
      <c r="AG130" s="512">
        <f t="shared" si="34"/>
        <v>0</v>
      </c>
      <c r="AH130" s="512">
        <f>SUMIFS(PURCHASE!$K$6:$K$10008,PURCHASE!$A$6:$A$10008,$AG$2,PURCHASE!$H$6:$H$10008,$A$4:$A$2700)</f>
        <v>0</v>
      </c>
      <c r="AI130" s="512">
        <f>SUMIFS(PURCHASE!$L$6:$L$10008,PURCHASE!$A$6:$A$10008,$AG$2,PURCHASE!$H$6:$H$10008,$A$4:$A$2700)</f>
        <v>0</v>
      </c>
      <c r="AJ130" s="512">
        <f>SUMIFS(PURCHASE!$M$6:$M$10008,PURCHASE!$A$6:$A$10008,$AG$2,PURCHASE!$H$6:$H$10008,$A$4:$A$2700)</f>
        <v>0</v>
      </c>
      <c r="AK130" s="512">
        <f>SUMIFS(PURCHASE!$N$6:$N$10008,PURCHASE!$A$6:$A$10008,$AG$2,PURCHASE!$H$6:$H$10008,$A$4:$A$2700)</f>
        <v>0</v>
      </c>
      <c r="AL130" s="512">
        <f t="shared" si="35"/>
        <v>0</v>
      </c>
      <c r="AM130" s="512">
        <f>SUMIFS(PURCHASE!$K$6:$K$10008,PURCHASE!$A$6:$A$10008,$AL$2,PURCHASE!$H$6:$H$10008,$A$4:$A$2700)</f>
        <v>0</v>
      </c>
      <c r="AN130" s="512">
        <f>SUMIFS(PURCHASE!$L$6:$L$10008,PURCHASE!$A$6:$A$10008,$AL$2,PURCHASE!$H$6:$H$10008,$A$4:$A$2700)</f>
        <v>0</v>
      </c>
      <c r="AO130" s="512">
        <f>SUMIFS(PURCHASE!$M$6:$M$10008,PURCHASE!$A$6:$A$10008,$AL$2,PURCHASE!$H$6:$H$10008,$A$4:$A$2700)</f>
        <v>0</v>
      </c>
      <c r="AP130" s="512">
        <f>SUMIFS(PURCHASE!$N$6:$N$10008,PURCHASE!$A$6:$A$10008,$AL$2,PURCHASE!$H$6:$H$10008,$A$4:$A$2700)</f>
        <v>0</v>
      </c>
      <c r="AQ130" s="512">
        <f t="shared" si="36"/>
        <v>0</v>
      </c>
      <c r="AR130" s="512">
        <f>SUMIFS(PURCHASE!$K$6:$K$10008,PURCHASE!$A$6:$A$10008,$AQ$2,PURCHASE!$H$6:$H$10008,$A$4:$A$2700)</f>
        <v>0</v>
      </c>
      <c r="AS130" s="512">
        <f>SUMIFS(PURCHASE!$L$6:$L$10008,PURCHASE!$A$6:$A$10008,$AQ$2,PURCHASE!$H$6:$H$10008,$A$4:$A$2700)</f>
        <v>0</v>
      </c>
      <c r="AT130" s="512">
        <f>SUMIFS(PURCHASE!$M$6:$M$10008,PURCHASE!$A$6:$A$10008,$AQ$2,PURCHASE!$H$6:$H$10008,$A$4:$A$2700)</f>
        <v>0</v>
      </c>
      <c r="AU130" s="512">
        <f>SUMIFS(PURCHASE!$N$6:$N$10008,PURCHASE!$A$6:$A$10008,$AQ$2,PURCHASE!$H$6:$H$10008,$A$4:$A$2700)</f>
        <v>0</v>
      </c>
      <c r="AV130" s="512">
        <f t="shared" si="37"/>
        <v>0</v>
      </c>
      <c r="AW130" s="512">
        <f>SUMIFS(PURCHASE!$K$6:$K$10008,PURCHASE!$A$6:$A$10008,$AV$2,PURCHASE!$H$6:$H$10008,$A$4:$A$2700)</f>
        <v>0</v>
      </c>
      <c r="AX130" s="512">
        <f>SUMIFS(PURCHASE!$L$6:$L$10008,PURCHASE!$A$6:$A$10008,$AV$2,PURCHASE!$H$6:$H$10008,$A$4:$A$2700)</f>
        <v>0</v>
      </c>
      <c r="AY130" s="512">
        <f>SUMIFS(PURCHASE!$M$6:$M$10008,PURCHASE!$A$6:$A$10008,$AV$2,PURCHASE!$H$6:$H$10008,$A$4:$A$2700)</f>
        <v>0</v>
      </c>
      <c r="AZ130" s="512">
        <f>SUMIFS(PURCHASE!$N$6:$N$10008,PURCHASE!$A$6:$A$10008,$AV$2,PURCHASE!$H$6:$H$10008,$A$4:$A$2700)</f>
        <v>0</v>
      </c>
      <c r="BA130" s="512">
        <f t="shared" si="38"/>
        <v>0</v>
      </c>
      <c r="BB130" s="512">
        <f>SUMIFS(PURCHASE!$K$6:$K$10008,PURCHASE!$A$6:$A$10008,$BA$2,PURCHASE!$H$6:$H$10008,$A$4:$A$2700)</f>
        <v>0</v>
      </c>
      <c r="BC130" s="512">
        <f>SUMIFS(PURCHASE!$L$6:$L$10008,PURCHASE!$A$6:$A$10008,$BA$2,PURCHASE!$H$6:$H$10008,$A$4:$A$2700)</f>
        <v>0</v>
      </c>
      <c r="BD130" s="512">
        <f>SUMIFS(PURCHASE!$M$6:$M$10008,PURCHASE!$A$6:$A$10008,$BA$2,PURCHASE!$H$6:$H$10008,$A$4:$A$2700)</f>
        <v>0</v>
      </c>
      <c r="BE130" s="512">
        <f>SUMIFS(PURCHASE!$N$6:$N$10008,PURCHASE!$A$6:$A$10008,$BA$2,PURCHASE!$H$6:$H$10008,$A$4:$A$2700)</f>
        <v>0</v>
      </c>
      <c r="BF130" s="512">
        <f t="shared" si="39"/>
        <v>0</v>
      </c>
      <c r="BG130" s="512">
        <f>SUMIFS(PURCHASE!$K$6:$K$10008,PURCHASE!$A$6:$A$10008,$BF$2,PURCHASE!$H$6:$H$10008,$A$4:$A$2700)</f>
        <v>0</v>
      </c>
      <c r="BH130" s="512">
        <f>SUMIFS(PURCHASE!$L$6:$L$10008,PURCHASE!$A$6:$A$10008,$BF$2,PURCHASE!$H$6:$H$10008,$A$4:$A$2700)</f>
        <v>0</v>
      </c>
      <c r="BI130" s="512">
        <f>SUMIFS(PURCHASE!$M$6:$M$10008,PURCHASE!$A$6:$A$10008,$BF$2,PURCHASE!$H$6:$H$10008,$A$4:$A$2700)</f>
        <v>0</v>
      </c>
      <c r="BJ130" s="512">
        <f>SUMIFS(PURCHASE!$N$6:$N$10008,PURCHASE!$A$6:$A$10008,$BF$2,PURCHASE!$H$6:$H$10008,$A$4:$A$2700)</f>
        <v>0</v>
      </c>
      <c r="BK130" s="72">
        <f t="shared" si="23"/>
        <v>0</v>
      </c>
      <c r="BL130" s="72">
        <f t="shared" si="24"/>
        <v>0</v>
      </c>
      <c r="BM130" s="72">
        <f t="shared" si="25"/>
        <v>0</v>
      </c>
      <c r="BN130" s="72">
        <f t="shared" si="26"/>
        <v>0</v>
      </c>
      <c r="BO130" s="72">
        <f t="shared" si="27"/>
        <v>0</v>
      </c>
    </row>
    <row r="131" spans="1:67" x14ac:dyDescent="0.2">
      <c r="A131" s="511">
        <v>3907</v>
      </c>
      <c r="B131" s="467" t="s">
        <v>273</v>
      </c>
      <c r="C131" s="512">
        <f t="shared" si="28"/>
        <v>105551</v>
      </c>
      <c r="D131" s="512">
        <f>SUMIFS(PURCHASE!$K$6:$K$10008,PURCHASE!$A$6:$A$10008,$M$2,PURCHASE!$H$6:$H$10008,$A$4:$A$2700)</f>
        <v>89450</v>
      </c>
      <c r="E131" s="512">
        <f>SUMIFS(PURCHASE!$L$6:$L$10008,PURCHASE!$A$6:$A$10008,$M$2,PURCHASE!$H$6:$H$10008,$A$4:$A$2700)</f>
        <v>0</v>
      </c>
      <c r="F131" s="512">
        <f>SUMIFS(PURCHASE!$M$6:$M$10008,PURCHASE!$A$6:$A$10008,$M$2,PURCHASE!$H$6:$H$10008,$A$4:$A$2700)</f>
        <v>8050.5</v>
      </c>
      <c r="G131" s="512">
        <f>SUMIFS(PURCHASE!$N$6:$N$10008,PURCHASE!$A$6:$A$10008,$M$2,PURCHASE!$H$6:$H$10008,$A$4:$A$2700)</f>
        <v>8050.5</v>
      </c>
      <c r="H131" s="512">
        <f t="shared" si="29"/>
        <v>18939</v>
      </c>
      <c r="I131" s="512">
        <f>SUMIFS(PURCHASE!$K$6:$K$10008,PURCHASE!$A$6:$A$10008,$H$2,PURCHASE!$H$6:$H$10008,$A$4:$A$2700)</f>
        <v>16050</v>
      </c>
      <c r="J131" s="512">
        <f>SUMIFS(PURCHASE!$L$6:$L$10008,PURCHASE!$A$6:$A$10008,$H$2,PURCHASE!$H$6:$H$10008,$A$4:$A$2700)</f>
        <v>0</v>
      </c>
      <c r="K131" s="512">
        <f>SUMIFS(PURCHASE!$M$6:$M$10008,PURCHASE!$A$6:$A$10008,$H$2,PURCHASE!$H$6:$H$10008,$A$4:$A$2700)</f>
        <v>1444.5</v>
      </c>
      <c r="L131" s="512">
        <f>SUMIFS(PURCHASE!$N$6:$N$10008,PURCHASE!$A$6:$A$10008,$H$2,PURCHASE!$H$6:$H$10008,$A$4:$A$2700)</f>
        <v>1444.5</v>
      </c>
      <c r="M131" s="512">
        <f t="shared" si="30"/>
        <v>105551</v>
      </c>
      <c r="N131" s="512">
        <f>SUMIFS(PURCHASE!$K$6:$K$10008,PURCHASE!$A$6:$A$10008,$M$2,PURCHASE!$H$6:$H$10008,$A$4:$A$2700)</f>
        <v>89450</v>
      </c>
      <c r="O131" s="512">
        <f>SUMIFS(PURCHASE!$L$6:$L$10008,PURCHASE!$A$6:$A$10008,$M$2,PURCHASE!$H$6:$H$10008,$A$4:$A$2700)</f>
        <v>0</v>
      </c>
      <c r="P131" s="512">
        <f>SUMIFS(PURCHASE!$M$6:$M$10008,PURCHASE!$A$6:$A$10008,$M$2,PURCHASE!$H$6:$H$10008,$A$4:$A$2700)</f>
        <v>8050.5</v>
      </c>
      <c r="Q131" s="512">
        <f>SUMIFS(PURCHASE!$N$6:$N$10008,PURCHASE!$A$6:$A$10008,$M$2,PURCHASE!$H$6:$H$10008,$A$4:$A$2700)</f>
        <v>8050.5</v>
      </c>
      <c r="R131" s="512">
        <f t="shared" si="31"/>
        <v>0</v>
      </c>
      <c r="S131" s="512">
        <f>SUMIFS(PURCHASE!$K$6:$K$10008,PURCHASE!$A$6:$A$10008,$R$2,PURCHASE!$H$6:$H$10008,$A$4:$A$2700)</f>
        <v>0</v>
      </c>
      <c r="T131" s="512">
        <f>SUMIFS(PURCHASE!$L$6:$L$10008,PURCHASE!$A$6:$A$10008,$R$2,PURCHASE!$H$6:$H$10008,$A$4:$A$2700)</f>
        <v>0</v>
      </c>
      <c r="U131" s="512">
        <f>SUMIFS(PURCHASE!$M$6:$M$10008,PURCHASE!$A$6:$A$10008,$R$2,PURCHASE!$H$6:$H$10008,$A$4:$A$2700)</f>
        <v>0</v>
      </c>
      <c r="V131" s="512">
        <f>SUMIFS(PURCHASE!$N$6:$N$10008,PURCHASE!$A$6:$A$10008,$R$2,PURCHASE!$H$6:$H$10008,$A$4:$A$2700)</f>
        <v>0</v>
      </c>
      <c r="W131" s="512">
        <f t="shared" si="32"/>
        <v>0</v>
      </c>
      <c r="X131" s="512">
        <f>SUMIFS(PURCHASE!$K$6:$K$10008,PURCHASE!$A$6:$A$10008,$W$2,PURCHASE!$H$6:$H$10008,$A$4:$A$2700)</f>
        <v>0</v>
      </c>
      <c r="Y131" s="512">
        <f>SUMIFS(PURCHASE!$L$6:$L$10008,PURCHASE!$A$6:$A$10008,$W$2,PURCHASE!$H$6:$H$10008,$A$4:$A$2700)</f>
        <v>0</v>
      </c>
      <c r="Z131" s="512">
        <f>SUMIFS(PURCHASE!$M$6:$M$10008,PURCHASE!$A$6:$A$10008,$W$2,PURCHASE!$H$6:$H$10008,$A$4:$A$2700)</f>
        <v>0</v>
      </c>
      <c r="AA131" s="512">
        <f>SUMIFS(PURCHASE!$N$6:$N$10008,PURCHASE!$A$6:$A$10008,$W$2,PURCHASE!$H$6:$H$10008,$A$4:$A$2700)</f>
        <v>0</v>
      </c>
      <c r="AB131" s="512">
        <f t="shared" si="33"/>
        <v>0</v>
      </c>
      <c r="AC131" s="512">
        <f>SUMIFS(PURCHASE!$K$6:$K$10008,PURCHASE!$A$6:$A$10008,$AB$2,PURCHASE!$H$6:$H$10008,$A$4:$A$2700)</f>
        <v>0</v>
      </c>
      <c r="AD131" s="512">
        <f>SUMIFS(PURCHASE!$L$6:$L$10008,PURCHASE!$A$6:$A$10008,$AB$2,PURCHASE!$H$6:$H$10008,$A$4:$A$2700)</f>
        <v>0</v>
      </c>
      <c r="AE131" s="512">
        <f>SUMIFS(PURCHASE!$M$6:$M$10008,PURCHASE!$A$6:$A$10008,$AB$2,PURCHASE!$H$6:$H$10008,$A$4:$A$2700)</f>
        <v>0</v>
      </c>
      <c r="AF131" s="512">
        <f>SUMIFS(PURCHASE!$N$6:$N$10008,PURCHASE!$A$6:$A$10008,$AB$2,PURCHASE!$H$6:$H$10008,$A$4:$A$2700)</f>
        <v>0</v>
      </c>
      <c r="AG131" s="512">
        <f t="shared" si="34"/>
        <v>0</v>
      </c>
      <c r="AH131" s="512">
        <f>SUMIFS(PURCHASE!$K$6:$K$10008,PURCHASE!$A$6:$A$10008,$AG$2,PURCHASE!$H$6:$H$10008,$A$4:$A$2700)</f>
        <v>0</v>
      </c>
      <c r="AI131" s="512">
        <f>SUMIFS(PURCHASE!$L$6:$L$10008,PURCHASE!$A$6:$A$10008,$AG$2,PURCHASE!$H$6:$H$10008,$A$4:$A$2700)</f>
        <v>0</v>
      </c>
      <c r="AJ131" s="512">
        <f>SUMIFS(PURCHASE!$M$6:$M$10008,PURCHASE!$A$6:$A$10008,$AG$2,PURCHASE!$H$6:$H$10008,$A$4:$A$2700)</f>
        <v>0</v>
      </c>
      <c r="AK131" s="512">
        <f>SUMIFS(PURCHASE!$N$6:$N$10008,PURCHASE!$A$6:$A$10008,$AG$2,PURCHASE!$H$6:$H$10008,$A$4:$A$2700)</f>
        <v>0</v>
      </c>
      <c r="AL131" s="512">
        <f t="shared" si="35"/>
        <v>0</v>
      </c>
      <c r="AM131" s="512">
        <f>SUMIFS(PURCHASE!$K$6:$K$10008,PURCHASE!$A$6:$A$10008,$AL$2,PURCHASE!$H$6:$H$10008,$A$4:$A$2700)</f>
        <v>0</v>
      </c>
      <c r="AN131" s="512">
        <f>SUMIFS(PURCHASE!$L$6:$L$10008,PURCHASE!$A$6:$A$10008,$AL$2,PURCHASE!$H$6:$H$10008,$A$4:$A$2700)</f>
        <v>0</v>
      </c>
      <c r="AO131" s="512">
        <f>SUMIFS(PURCHASE!$M$6:$M$10008,PURCHASE!$A$6:$A$10008,$AL$2,PURCHASE!$H$6:$H$10008,$A$4:$A$2700)</f>
        <v>0</v>
      </c>
      <c r="AP131" s="512">
        <f>SUMIFS(PURCHASE!$N$6:$N$10008,PURCHASE!$A$6:$A$10008,$AL$2,PURCHASE!$H$6:$H$10008,$A$4:$A$2700)</f>
        <v>0</v>
      </c>
      <c r="AQ131" s="512">
        <f t="shared" si="36"/>
        <v>1149.9217999999998</v>
      </c>
      <c r="AR131" s="512">
        <f>SUMIFS(PURCHASE!$K$6:$K$10008,PURCHASE!$A$6:$A$10008,$AQ$2,PURCHASE!$H$6:$H$10008,$A$4:$A$2700)</f>
        <v>974.51</v>
      </c>
      <c r="AS131" s="512">
        <f>SUMIFS(PURCHASE!$L$6:$L$10008,PURCHASE!$A$6:$A$10008,$AQ$2,PURCHASE!$H$6:$H$10008,$A$4:$A$2700)</f>
        <v>0</v>
      </c>
      <c r="AT131" s="512">
        <f>SUMIFS(PURCHASE!$M$6:$M$10008,PURCHASE!$A$6:$A$10008,$AQ$2,PURCHASE!$H$6:$H$10008,$A$4:$A$2700)</f>
        <v>87.705900000000014</v>
      </c>
      <c r="AU131" s="512">
        <f>SUMIFS(PURCHASE!$N$6:$N$10008,PURCHASE!$A$6:$A$10008,$AQ$2,PURCHASE!$H$6:$H$10008,$A$4:$A$2700)</f>
        <v>87.705900000000014</v>
      </c>
      <c r="AV131" s="512">
        <f t="shared" si="37"/>
        <v>0</v>
      </c>
      <c r="AW131" s="512">
        <f>SUMIFS(PURCHASE!$K$6:$K$10008,PURCHASE!$A$6:$A$10008,$AV$2,PURCHASE!$H$6:$H$10008,$A$4:$A$2700)</f>
        <v>0</v>
      </c>
      <c r="AX131" s="512">
        <f>SUMIFS(PURCHASE!$L$6:$L$10008,PURCHASE!$A$6:$A$10008,$AV$2,PURCHASE!$H$6:$H$10008,$A$4:$A$2700)</f>
        <v>0</v>
      </c>
      <c r="AY131" s="512">
        <f>SUMIFS(PURCHASE!$M$6:$M$10008,PURCHASE!$A$6:$A$10008,$AV$2,PURCHASE!$H$6:$H$10008,$A$4:$A$2700)</f>
        <v>0</v>
      </c>
      <c r="AZ131" s="512">
        <f>SUMIFS(PURCHASE!$N$6:$N$10008,PURCHASE!$A$6:$A$10008,$AV$2,PURCHASE!$H$6:$H$10008,$A$4:$A$2700)</f>
        <v>0</v>
      </c>
      <c r="BA131" s="512">
        <f t="shared" si="38"/>
        <v>0</v>
      </c>
      <c r="BB131" s="512">
        <f>SUMIFS(PURCHASE!$K$6:$K$10008,PURCHASE!$A$6:$A$10008,$BA$2,PURCHASE!$H$6:$H$10008,$A$4:$A$2700)</f>
        <v>0</v>
      </c>
      <c r="BC131" s="512">
        <f>SUMIFS(PURCHASE!$L$6:$L$10008,PURCHASE!$A$6:$A$10008,$BA$2,PURCHASE!$H$6:$H$10008,$A$4:$A$2700)</f>
        <v>0</v>
      </c>
      <c r="BD131" s="512">
        <f>SUMIFS(PURCHASE!$M$6:$M$10008,PURCHASE!$A$6:$A$10008,$BA$2,PURCHASE!$H$6:$H$10008,$A$4:$A$2700)</f>
        <v>0</v>
      </c>
      <c r="BE131" s="512">
        <f>SUMIFS(PURCHASE!$N$6:$N$10008,PURCHASE!$A$6:$A$10008,$BA$2,PURCHASE!$H$6:$H$10008,$A$4:$A$2700)</f>
        <v>0</v>
      </c>
      <c r="BF131" s="512">
        <f t="shared" si="39"/>
        <v>0</v>
      </c>
      <c r="BG131" s="512">
        <f>SUMIFS(PURCHASE!$K$6:$K$10008,PURCHASE!$A$6:$A$10008,$BF$2,PURCHASE!$H$6:$H$10008,$A$4:$A$2700)</f>
        <v>0</v>
      </c>
      <c r="BH131" s="512">
        <f>SUMIFS(PURCHASE!$L$6:$L$10008,PURCHASE!$A$6:$A$10008,$BF$2,PURCHASE!$H$6:$H$10008,$A$4:$A$2700)</f>
        <v>0</v>
      </c>
      <c r="BI131" s="512">
        <f>SUMIFS(PURCHASE!$M$6:$M$10008,PURCHASE!$A$6:$A$10008,$BF$2,PURCHASE!$H$6:$H$10008,$A$4:$A$2700)</f>
        <v>0</v>
      </c>
      <c r="BJ131" s="512">
        <f>SUMIFS(PURCHASE!$N$6:$N$10008,PURCHASE!$A$6:$A$10008,$BF$2,PURCHASE!$H$6:$H$10008,$A$4:$A$2700)</f>
        <v>0</v>
      </c>
      <c r="BK131" s="72">
        <f t="shared" si="23"/>
        <v>231190.92180000001</v>
      </c>
      <c r="BL131" s="72">
        <f t="shared" si="24"/>
        <v>195924.51</v>
      </c>
      <c r="BM131" s="72">
        <f t="shared" si="25"/>
        <v>0</v>
      </c>
      <c r="BN131" s="72">
        <f t="shared" si="26"/>
        <v>17633.205900000001</v>
      </c>
      <c r="BO131" s="72">
        <f t="shared" si="27"/>
        <v>17633.205900000001</v>
      </c>
    </row>
    <row r="132" spans="1:67" x14ac:dyDescent="0.2">
      <c r="A132" s="511">
        <v>48025690</v>
      </c>
      <c r="B132" s="467" t="s">
        <v>1279</v>
      </c>
      <c r="C132" s="512">
        <f t="shared" si="28"/>
        <v>0</v>
      </c>
      <c r="D132" s="512">
        <f>SUMIFS(PURCHASE!$K$6:$K$10008,PURCHASE!$A$6:$A$10008,$M$2,PURCHASE!$H$6:$H$10008,$A$4:$A$2700)</f>
        <v>0</v>
      </c>
      <c r="E132" s="512">
        <f>SUMIFS(PURCHASE!$L$6:$L$10008,PURCHASE!$A$6:$A$10008,$M$2,PURCHASE!$H$6:$H$10008,$A$4:$A$2700)</f>
        <v>0</v>
      </c>
      <c r="F132" s="512">
        <f>SUMIFS(PURCHASE!$M$6:$M$10008,PURCHASE!$A$6:$A$10008,$M$2,PURCHASE!$H$6:$H$10008,$A$4:$A$2700)</f>
        <v>0</v>
      </c>
      <c r="G132" s="512">
        <f>SUMIFS(PURCHASE!$N$6:$N$10008,PURCHASE!$A$6:$A$10008,$M$2,PURCHASE!$H$6:$H$10008,$A$4:$A$2700)</f>
        <v>0</v>
      </c>
      <c r="H132" s="512">
        <f t="shared" si="29"/>
        <v>0</v>
      </c>
      <c r="I132" s="512">
        <f>SUMIFS(PURCHASE!$K$6:$K$10008,PURCHASE!$A$6:$A$10008,$H$2,PURCHASE!$H$6:$H$10008,$A$4:$A$2700)</f>
        <v>0</v>
      </c>
      <c r="J132" s="512">
        <f>SUMIFS(PURCHASE!$L$6:$L$10008,PURCHASE!$A$6:$A$10008,$H$2,PURCHASE!$H$6:$H$10008,$A$4:$A$2700)</f>
        <v>0</v>
      </c>
      <c r="K132" s="512">
        <f>SUMIFS(PURCHASE!$M$6:$M$10008,PURCHASE!$A$6:$A$10008,$H$2,PURCHASE!$H$6:$H$10008,$A$4:$A$2700)</f>
        <v>0</v>
      </c>
      <c r="L132" s="512">
        <f>SUMIFS(PURCHASE!$N$6:$N$10008,PURCHASE!$A$6:$A$10008,$H$2,PURCHASE!$H$6:$H$10008,$A$4:$A$2700)</f>
        <v>0</v>
      </c>
      <c r="M132" s="512">
        <f t="shared" si="30"/>
        <v>0</v>
      </c>
      <c r="N132" s="512">
        <f>SUMIFS(PURCHASE!$K$6:$K$10008,PURCHASE!$A$6:$A$10008,$M$2,PURCHASE!$H$6:$H$10008,$A$4:$A$2700)</f>
        <v>0</v>
      </c>
      <c r="O132" s="512">
        <f>SUMIFS(PURCHASE!$L$6:$L$10008,PURCHASE!$A$6:$A$10008,$M$2,PURCHASE!$H$6:$H$10008,$A$4:$A$2700)</f>
        <v>0</v>
      </c>
      <c r="P132" s="512">
        <f>SUMIFS(PURCHASE!$M$6:$M$10008,PURCHASE!$A$6:$A$10008,$M$2,PURCHASE!$H$6:$H$10008,$A$4:$A$2700)</f>
        <v>0</v>
      </c>
      <c r="Q132" s="512">
        <f>SUMIFS(PURCHASE!$N$6:$N$10008,PURCHASE!$A$6:$A$10008,$M$2,PURCHASE!$H$6:$H$10008,$A$4:$A$2700)</f>
        <v>0</v>
      </c>
      <c r="R132" s="512">
        <f t="shared" si="31"/>
        <v>0</v>
      </c>
      <c r="S132" s="512">
        <f>SUMIFS(PURCHASE!$K$6:$K$10008,PURCHASE!$A$6:$A$10008,$R$2,PURCHASE!$H$6:$H$10008,$A$4:$A$2700)</f>
        <v>0</v>
      </c>
      <c r="T132" s="512">
        <f>SUMIFS(PURCHASE!$L$6:$L$10008,PURCHASE!$A$6:$A$10008,$R$2,PURCHASE!$H$6:$H$10008,$A$4:$A$2700)</f>
        <v>0</v>
      </c>
      <c r="U132" s="512">
        <f>SUMIFS(PURCHASE!$M$6:$M$10008,PURCHASE!$A$6:$A$10008,$R$2,PURCHASE!$H$6:$H$10008,$A$4:$A$2700)</f>
        <v>0</v>
      </c>
      <c r="V132" s="512">
        <f>SUMIFS(PURCHASE!$N$6:$N$10008,PURCHASE!$A$6:$A$10008,$R$2,PURCHASE!$H$6:$H$10008,$A$4:$A$2700)</f>
        <v>0</v>
      </c>
      <c r="W132" s="512">
        <f t="shared" si="32"/>
        <v>0</v>
      </c>
      <c r="X132" s="512">
        <f>SUMIFS(PURCHASE!$K$6:$K$10008,PURCHASE!$A$6:$A$10008,$W$2,PURCHASE!$H$6:$H$10008,$A$4:$A$2700)</f>
        <v>0</v>
      </c>
      <c r="Y132" s="512">
        <f>SUMIFS(PURCHASE!$L$6:$L$10008,PURCHASE!$A$6:$A$10008,$W$2,PURCHASE!$H$6:$H$10008,$A$4:$A$2700)</f>
        <v>0</v>
      </c>
      <c r="Z132" s="512">
        <f>SUMIFS(PURCHASE!$M$6:$M$10008,PURCHASE!$A$6:$A$10008,$W$2,PURCHASE!$H$6:$H$10008,$A$4:$A$2700)</f>
        <v>0</v>
      </c>
      <c r="AA132" s="512">
        <f>SUMIFS(PURCHASE!$N$6:$N$10008,PURCHASE!$A$6:$A$10008,$W$2,PURCHASE!$H$6:$H$10008,$A$4:$A$2700)</f>
        <v>0</v>
      </c>
      <c r="AB132" s="512">
        <f t="shared" si="33"/>
        <v>0</v>
      </c>
      <c r="AC132" s="512">
        <f>SUMIFS(PURCHASE!$K$6:$K$10008,PURCHASE!$A$6:$A$10008,$AB$2,PURCHASE!$H$6:$H$10008,$A$4:$A$2700)</f>
        <v>0</v>
      </c>
      <c r="AD132" s="512">
        <f>SUMIFS(PURCHASE!$L$6:$L$10008,PURCHASE!$A$6:$A$10008,$AB$2,PURCHASE!$H$6:$H$10008,$A$4:$A$2700)</f>
        <v>0</v>
      </c>
      <c r="AE132" s="512">
        <f>SUMIFS(PURCHASE!$M$6:$M$10008,PURCHASE!$A$6:$A$10008,$AB$2,PURCHASE!$H$6:$H$10008,$A$4:$A$2700)</f>
        <v>0</v>
      </c>
      <c r="AF132" s="512">
        <f>SUMIFS(PURCHASE!$N$6:$N$10008,PURCHASE!$A$6:$A$10008,$AB$2,PURCHASE!$H$6:$H$10008,$A$4:$A$2700)</f>
        <v>0</v>
      </c>
      <c r="AG132" s="512">
        <f t="shared" si="34"/>
        <v>0</v>
      </c>
      <c r="AH132" s="512">
        <f>SUMIFS(PURCHASE!$K$6:$K$10008,PURCHASE!$A$6:$A$10008,$AG$2,PURCHASE!$H$6:$H$10008,$A$4:$A$2700)</f>
        <v>0</v>
      </c>
      <c r="AI132" s="512">
        <f>SUMIFS(PURCHASE!$L$6:$L$10008,PURCHASE!$A$6:$A$10008,$AG$2,PURCHASE!$H$6:$H$10008,$A$4:$A$2700)</f>
        <v>0</v>
      </c>
      <c r="AJ132" s="512">
        <f>SUMIFS(PURCHASE!$M$6:$M$10008,PURCHASE!$A$6:$A$10008,$AG$2,PURCHASE!$H$6:$H$10008,$A$4:$A$2700)</f>
        <v>0</v>
      </c>
      <c r="AK132" s="512">
        <f>SUMIFS(PURCHASE!$N$6:$N$10008,PURCHASE!$A$6:$A$10008,$AG$2,PURCHASE!$H$6:$H$10008,$A$4:$A$2700)</f>
        <v>0</v>
      </c>
      <c r="AL132" s="512">
        <f t="shared" si="35"/>
        <v>0</v>
      </c>
      <c r="AM132" s="512">
        <f>SUMIFS(PURCHASE!$K$6:$K$10008,PURCHASE!$A$6:$A$10008,$AL$2,PURCHASE!$H$6:$H$10008,$A$4:$A$2700)</f>
        <v>0</v>
      </c>
      <c r="AN132" s="512">
        <f>SUMIFS(PURCHASE!$L$6:$L$10008,PURCHASE!$A$6:$A$10008,$AL$2,PURCHASE!$H$6:$H$10008,$A$4:$A$2700)</f>
        <v>0</v>
      </c>
      <c r="AO132" s="512">
        <f>SUMIFS(PURCHASE!$M$6:$M$10008,PURCHASE!$A$6:$A$10008,$AL$2,PURCHASE!$H$6:$H$10008,$A$4:$A$2700)</f>
        <v>0</v>
      </c>
      <c r="AP132" s="512">
        <f>SUMIFS(PURCHASE!$N$6:$N$10008,PURCHASE!$A$6:$A$10008,$AL$2,PURCHASE!$H$6:$H$10008,$A$4:$A$2700)</f>
        <v>0</v>
      </c>
      <c r="AQ132" s="512">
        <f t="shared" si="36"/>
        <v>0</v>
      </c>
      <c r="AR132" s="512">
        <f>SUMIFS(PURCHASE!$K$6:$K$10008,PURCHASE!$A$6:$A$10008,$AQ$2,PURCHASE!$H$6:$H$10008,$A$4:$A$2700)</f>
        <v>0</v>
      </c>
      <c r="AS132" s="512">
        <f>SUMIFS(PURCHASE!$L$6:$L$10008,PURCHASE!$A$6:$A$10008,$AQ$2,PURCHASE!$H$6:$H$10008,$A$4:$A$2700)</f>
        <v>0</v>
      </c>
      <c r="AT132" s="512">
        <f>SUMIFS(PURCHASE!$M$6:$M$10008,PURCHASE!$A$6:$A$10008,$AQ$2,PURCHASE!$H$6:$H$10008,$A$4:$A$2700)</f>
        <v>0</v>
      </c>
      <c r="AU132" s="512">
        <f>SUMIFS(PURCHASE!$N$6:$N$10008,PURCHASE!$A$6:$A$10008,$AQ$2,PURCHASE!$H$6:$H$10008,$A$4:$A$2700)</f>
        <v>0</v>
      </c>
      <c r="AV132" s="512">
        <f t="shared" si="37"/>
        <v>0</v>
      </c>
      <c r="AW132" s="512">
        <f>SUMIFS(PURCHASE!$K$6:$K$10008,PURCHASE!$A$6:$A$10008,$AV$2,PURCHASE!$H$6:$H$10008,$A$4:$A$2700)</f>
        <v>0</v>
      </c>
      <c r="AX132" s="512">
        <f>SUMIFS(PURCHASE!$L$6:$L$10008,PURCHASE!$A$6:$A$10008,$AV$2,PURCHASE!$H$6:$H$10008,$A$4:$A$2700)</f>
        <v>0</v>
      </c>
      <c r="AY132" s="512">
        <f>SUMIFS(PURCHASE!$M$6:$M$10008,PURCHASE!$A$6:$A$10008,$AV$2,PURCHASE!$H$6:$H$10008,$A$4:$A$2700)</f>
        <v>0</v>
      </c>
      <c r="AZ132" s="512">
        <f>SUMIFS(PURCHASE!$N$6:$N$10008,PURCHASE!$A$6:$A$10008,$AV$2,PURCHASE!$H$6:$H$10008,$A$4:$A$2700)</f>
        <v>0</v>
      </c>
      <c r="BA132" s="512">
        <f t="shared" si="38"/>
        <v>0</v>
      </c>
      <c r="BB132" s="512">
        <f>SUMIFS(PURCHASE!$K$6:$K$10008,PURCHASE!$A$6:$A$10008,$BA$2,PURCHASE!$H$6:$H$10008,$A$4:$A$2700)</f>
        <v>0</v>
      </c>
      <c r="BC132" s="512">
        <f>SUMIFS(PURCHASE!$L$6:$L$10008,PURCHASE!$A$6:$A$10008,$BA$2,PURCHASE!$H$6:$H$10008,$A$4:$A$2700)</f>
        <v>0</v>
      </c>
      <c r="BD132" s="512">
        <f>SUMIFS(PURCHASE!$M$6:$M$10008,PURCHASE!$A$6:$A$10008,$BA$2,PURCHASE!$H$6:$H$10008,$A$4:$A$2700)</f>
        <v>0</v>
      </c>
      <c r="BE132" s="512">
        <f>SUMIFS(PURCHASE!$N$6:$N$10008,PURCHASE!$A$6:$A$10008,$BA$2,PURCHASE!$H$6:$H$10008,$A$4:$A$2700)</f>
        <v>0</v>
      </c>
      <c r="BF132" s="512">
        <f t="shared" si="39"/>
        <v>0</v>
      </c>
      <c r="BG132" s="512">
        <f>SUMIFS(PURCHASE!$K$6:$K$10008,PURCHASE!$A$6:$A$10008,$BF$2,PURCHASE!$H$6:$H$10008,$A$4:$A$2700)</f>
        <v>0</v>
      </c>
      <c r="BH132" s="512">
        <f>SUMIFS(PURCHASE!$L$6:$L$10008,PURCHASE!$A$6:$A$10008,$BF$2,PURCHASE!$H$6:$H$10008,$A$4:$A$2700)</f>
        <v>0</v>
      </c>
      <c r="BI132" s="512">
        <f>SUMIFS(PURCHASE!$M$6:$M$10008,PURCHASE!$A$6:$A$10008,$BF$2,PURCHASE!$H$6:$H$10008,$A$4:$A$2700)</f>
        <v>0</v>
      </c>
      <c r="BJ132" s="512">
        <f>SUMIFS(PURCHASE!$N$6:$N$10008,PURCHASE!$A$6:$A$10008,$BF$2,PURCHASE!$H$6:$H$10008,$A$4:$A$2700)</f>
        <v>0</v>
      </c>
      <c r="BK132" s="72">
        <f t="shared" ref="BK132:BK195" si="40">+C132+H132+M132+R132+W132+AB132+AG132+AL132+AQ132+AV132+BA132+BF132</f>
        <v>0</v>
      </c>
      <c r="BL132" s="72">
        <f t="shared" ref="BL132:BL195" si="41">+D132+I132+N132+S132+X132+AC132+AH132+AM132+AR132+AW132+BB132+BG132</f>
        <v>0</v>
      </c>
      <c r="BM132" s="72">
        <f t="shared" ref="BM132:BM195" si="42">+E132+J132+O132+T132+Y132+AD132+AI132+AN132+AS132+AX132+BC132+BH132</f>
        <v>0</v>
      </c>
      <c r="BN132" s="72">
        <f t="shared" ref="BN132:BN195" si="43">+F132+K132+P132+U132+Z132+AE132+AJ132+AO132+AT132+AY132+BD132+BI132</f>
        <v>0</v>
      </c>
      <c r="BO132" s="72">
        <f t="shared" ref="BO132:BO195" si="44">+G132+L132+Q132+V132+AA132+AF132+AK132+AP132+AU132+AZ132+BE132+BJ132</f>
        <v>0</v>
      </c>
    </row>
    <row r="133" spans="1:67" x14ac:dyDescent="0.2">
      <c r="A133" s="511">
        <v>48114100</v>
      </c>
      <c r="B133" s="467" t="s">
        <v>1273</v>
      </c>
      <c r="C133" s="512">
        <f t="shared" ref="C133:C196" si="45">+D133+E133+F133+G133</f>
        <v>0</v>
      </c>
      <c r="D133" s="512">
        <f>SUMIFS(PURCHASE!$K$6:$K$10008,PURCHASE!$A$6:$A$10008,$M$2,PURCHASE!$H$6:$H$10008,$A$4:$A$2700)</f>
        <v>0</v>
      </c>
      <c r="E133" s="512">
        <f>SUMIFS(PURCHASE!$L$6:$L$10008,PURCHASE!$A$6:$A$10008,$M$2,PURCHASE!$H$6:$H$10008,$A$4:$A$2700)</f>
        <v>0</v>
      </c>
      <c r="F133" s="512">
        <f>SUMIFS(PURCHASE!$M$6:$M$10008,PURCHASE!$A$6:$A$10008,$M$2,PURCHASE!$H$6:$H$10008,$A$4:$A$2700)</f>
        <v>0</v>
      </c>
      <c r="G133" s="512">
        <f>SUMIFS(PURCHASE!$N$6:$N$10008,PURCHASE!$A$6:$A$10008,$M$2,PURCHASE!$H$6:$H$10008,$A$4:$A$2700)</f>
        <v>0</v>
      </c>
      <c r="H133" s="512">
        <f t="shared" ref="H133:H196" si="46">+I133+J133+K133+L133</f>
        <v>0</v>
      </c>
      <c r="I133" s="512">
        <f>SUMIFS(PURCHASE!$K$6:$K$10008,PURCHASE!$A$6:$A$10008,$H$2,PURCHASE!$H$6:$H$10008,$A$4:$A$2700)</f>
        <v>0</v>
      </c>
      <c r="J133" s="512">
        <f>SUMIFS(PURCHASE!$L$6:$L$10008,PURCHASE!$A$6:$A$10008,$H$2,PURCHASE!$H$6:$H$10008,$A$4:$A$2700)</f>
        <v>0</v>
      </c>
      <c r="K133" s="512">
        <f>SUMIFS(PURCHASE!$M$6:$M$10008,PURCHASE!$A$6:$A$10008,$H$2,PURCHASE!$H$6:$H$10008,$A$4:$A$2700)</f>
        <v>0</v>
      </c>
      <c r="L133" s="512">
        <f>SUMIFS(PURCHASE!$N$6:$N$10008,PURCHASE!$A$6:$A$10008,$H$2,PURCHASE!$H$6:$H$10008,$A$4:$A$2700)</f>
        <v>0</v>
      </c>
      <c r="M133" s="512">
        <f t="shared" ref="M133:M196" si="47">+N133+O133+P133+Q133</f>
        <v>0</v>
      </c>
      <c r="N133" s="512">
        <f>SUMIFS(PURCHASE!$K$6:$K$10008,PURCHASE!$A$6:$A$10008,$M$2,PURCHASE!$H$6:$H$10008,$A$4:$A$2700)</f>
        <v>0</v>
      </c>
      <c r="O133" s="512">
        <f>SUMIFS(PURCHASE!$L$6:$L$10008,PURCHASE!$A$6:$A$10008,$M$2,PURCHASE!$H$6:$H$10008,$A$4:$A$2700)</f>
        <v>0</v>
      </c>
      <c r="P133" s="512">
        <f>SUMIFS(PURCHASE!$M$6:$M$10008,PURCHASE!$A$6:$A$10008,$M$2,PURCHASE!$H$6:$H$10008,$A$4:$A$2700)</f>
        <v>0</v>
      </c>
      <c r="Q133" s="512">
        <f>SUMIFS(PURCHASE!$N$6:$N$10008,PURCHASE!$A$6:$A$10008,$M$2,PURCHASE!$H$6:$H$10008,$A$4:$A$2700)</f>
        <v>0</v>
      </c>
      <c r="R133" s="512">
        <f t="shared" ref="R133:R196" si="48">+S133+T133+U133+V133</f>
        <v>6117.1200000000008</v>
      </c>
      <c r="S133" s="512">
        <f>SUMIFS(PURCHASE!$K$6:$K$10008,PURCHASE!$A$6:$A$10008,$R$2,PURCHASE!$H$6:$H$10008,$A$4:$A$2700)</f>
        <v>5184</v>
      </c>
      <c r="T133" s="512">
        <f>SUMIFS(PURCHASE!$L$6:$L$10008,PURCHASE!$A$6:$A$10008,$R$2,PURCHASE!$H$6:$H$10008,$A$4:$A$2700)</f>
        <v>0</v>
      </c>
      <c r="U133" s="512">
        <f>SUMIFS(PURCHASE!$M$6:$M$10008,PURCHASE!$A$6:$A$10008,$R$2,PURCHASE!$H$6:$H$10008,$A$4:$A$2700)</f>
        <v>466.56000000000006</v>
      </c>
      <c r="V133" s="512">
        <f>SUMIFS(PURCHASE!$N$6:$N$10008,PURCHASE!$A$6:$A$10008,$R$2,PURCHASE!$H$6:$H$10008,$A$4:$A$2700)</f>
        <v>466.56000000000006</v>
      </c>
      <c r="W133" s="512">
        <f t="shared" ref="W133:W196" si="49">+X133+Y133+Z133+AA133</f>
        <v>6117.1200000000008</v>
      </c>
      <c r="X133" s="512">
        <f>SUMIFS(PURCHASE!$K$6:$K$10008,PURCHASE!$A$6:$A$10008,$W$2,PURCHASE!$H$6:$H$10008,$A$4:$A$2700)</f>
        <v>5184</v>
      </c>
      <c r="Y133" s="512">
        <f>SUMIFS(PURCHASE!$L$6:$L$10008,PURCHASE!$A$6:$A$10008,$W$2,PURCHASE!$H$6:$H$10008,$A$4:$A$2700)</f>
        <v>0</v>
      </c>
      <c r="Z133" s="512">
        <f>SUMIFS(PURCHASE!$M$6:$M$10008,PURCHASE!$A$6:$A$10008,$W$2,PURCHASE!$H$6:$H$10008,$A$4:$A$2700)</f>
        <v>466.56000000000006</v>
      </c>
      <c r="AA133" s="512">
        <f>SUMIFS(PURCHASE!$N$6:$N$10008,PURCHASE!$A$6:$A$10008,$W$2,PURCHASE!$H$6:$H$10008,$A$4:$A$2700)</f>
        <v>466.56000000000006</v>
      </c>
      <c r="AB133" s="512">
        <f t="shared" ref="AB133:AB196" si="50">+AC133+AD133+AE133+AF133</f>
        <v>0</v>
      </c>
      <c r="AC133" s="512">
        <f>SUMIFS(PURCHASE!$K$6:$K$10008,PURCHASE!$A$6:$A$10008,$AB$2,PURCHASE!$H$6:$H$10008,$A$4:$A$2700)</f>
        <v>0</v>
      </c>
      <c r="AD133" s="512">
        <f>SUMIFS(PURCHASE!$L$6:$L$10008,PURCHASE!$A$6:$A$10008,$AB$2,PURCHASE!$H$6:$H$10008,$A$4:$A$2700)</f>
        <v>0</v>
      </c>
      <c r="AE133" s="512">
        <f>SUMIFS(PURCHASE!$M$6:$M$10008,PURCHASE!$A$6:$A$10008,$AB$2,PURCHASE!$H$6:$H$10008,$A$4:$A$2700)</f>
        <v>0</v>
      </c>
      <c r="AF133" s="512">
        <f>SUMIFS(PURCHASE!$N$6:$N$10008,PURCHASE!$A$6:$A$10008,$AB$2,PURCHASE!$H$6:$H$10008,$A$4:$A$2700)</f>
        <v>0</v>
      </c>
      <c r="AG133" s="512">
        <f t="shared" ref="AG133:AG196" si="51">+AH133+AI133+AJ133+AK133</f>
        <v>6117.1200000000008</v>
      </c>
      <c r="AH133" s="512">
        <f>SUMIFS(PURCHASE!$K$6:$K$10008,PURCHASE!$A$6:$A$10008,$AG$2,PURCHASE!$H$6:$H$10008,$A$4:$A$2700)</f>
        <v>5184</v>
      </c>
      <c r="AI133" s="512">
        <f>SUMIFS(PURCHASE!$L$6:$L$10008,PURCHASE!$A$6:$A$10008,$AG$2,PURCHASE!$H$6:$H$10008,$A$4:$A$2700)</f>
        <v>0</v>
      </c>
      <c r="AJ133" s="512">
        <f>SUMIFS(PURCHASE!$M$6:$M$10008,PURCHASE!$A$6:$A$10008,$AG$2,PURCHASE!$H$6:$H$10008,$A$4:$A$2700)</f>
        <v>466.56000000000006</v>
      </c>
      <c r="AK133" s="512">
        <f>SUMIFS(PURCHASE!$N$6:$N$10008,PURCHASE!$A$6:$A$10008,$AG$2,PURCHASE!$H$6:$H$10008,$A$4:$A$2700)</f>
        <v>466.56000000000006</v>
      </c>
      <c r="AL133" s="512">
        <f t="shared" ref="AL133:AL196" si="52">+AM133+AN133+AO133+AP133</f>
        <v>6117.1200000000008</v>
      </c>
      <c r="AM133" s="512">
        <f>SUMIFS(PURCHASE!$K$6:$K$10008,PURCHASE!$A$6:$A$10008,$AL$2,PURCHASE!$H$6:$H$10008,$A$4:$A$2700)</f>
        <v>5184</v>
      </c>
      <c r="AN133" s="512">
        <f>SUMIFS(PURCHASE!$L$6:$L$10008,PURCHASE!$A$6:$A$10008,$AL$2,PURCHASE!$H$6:$H$10008,$A$4:$A$2700)</f>
        <v>0</v>
      </c>
      <c r="AO133" s="512">
        <f>SUMIFS(PURCHASE!$M$6:$M$10008,PURCHASE!$A$6:$A$10008,$AL$2,PURCHASE!$H$6:$H$10008,$A$4:$A$2700)</f>
        <v>466.56000000000006</v>
      </c>
      <c r="AP133" s="512">
        <f>SUMIFS(PURCHASE!$N$6:$N$10008,PURCHASE!$A$6:$A$10008,$AL$2,PURCHASE!$H$6:$H$10008,$A$4:$A$2700)</f>
        <v>466.56000000000006</v>
      </c>
      <c r="AQ133" s="512">
        <f t="shared" ref="AQ133:AQ196" si="53">+AR133+AS133+AT133+AU133</f>
        <v>0</v>
      </c>
      <c r="AR133" s="512">
        <f>SUMIFS(PURCHASE!$K$6:$K$10008,PURCHASE!$A$6:$A$10008,$AQ$2,PURCHASE!$H$6:$H$10008,$A$4:$A$2700)</f>
        <v>0</v>
      </c>
      <c r="AS133" s="512">
        <f>SUMIFS(PURCHASE!$L$6:$L$10008,PURCHASE!$A$6:$A$10008,$AQ$2,PURCHASE!$H$6:$H$10008,$A$4:$A$2700)</f>
        <v>0</v>
      </c>
      <c r="AT133" s="512">
        <f>SUMIFS(PURCHASE!$M$6:$M$10008,PURCHASE!$A$6:$A$10008,$AQ$2,PURCHASE!$H$6:$H$10008,$A$4:$A$2700)</f>
        <v>0</v>
      </c>
      <c r="AU133" s="512">
        <f>SUMIFS(PURCHASE!$N$6:$N$10008,PURCHASE!$A$6:$A$10008,$AQ$2,PURCHASE!$H$6:$H$10008,$A$4:$A$2700)</f>
        <v>0</v>
      </c>
      <c r="AV133" s="512">
        <f t="shared" ref="AV133:AV196" si="54">+AW133+AX133+AY133+AZ133</f>
        <v>0</v>
      </c>
      <c r="AW133" s="512">
        <f>SUMIFS(PURCHASE!$K$6:$K$10008,PURCHASE!$A$6:$A$10008,$AV$2,PURCHASE!$H$6:$H$10008,$A$4:$A$2700)</f>
        <v>0</v>
      </c>
      <c r="AX133" s="512">
        <f>SUMIFS(PURCHASE!$L$6:$L$10008,PURCHASE!$A$6:$A$10008,$AV$2,PURCHASE!$H$6:$H$10008,$A$4:$A$2700)</f>
        <v>0</v>
      </c>
      <c r="AY133" s="512">
        <f>SUMIFS(PURCHASE!$M$6:$M$10008,PURCHASE!$A$6:$A$10008,$AV$2,PURCHASE!$H$6:$H$10008,$A$4:$A$2700)</f>
        <v>0</v>
      </c>
      <c r="AZ133" s="512">
        <f>SUMIFS(PURCHASE!$N$6:$N$10008,PURCHASE!$A$6:$A$10008,$AV$2,PURCHASE!$H$6:$H$10008,$A$4:$A$2700)</f>
        <v>0</v>
      </c>
      <c r="BA133" s="512">
        <f t="shared" ref="BA133:BA196" si="55">+BB133+BC133+BD133+BE133</f>
        <v>0</v>
      </c>
      <c r="BB133" s="512">
        <f>SUMIFS(PURCHASE!$K$6:$K$10008,PURCHASE!$A$6:$A$10008,$BA$2,PURCHASE!$H$6:$H$10008,$A$4:$A$2700)</f>
        <v>0</v>
      </c>
      <c r="BC133" s="512">
        <f>SUMIFS(PURCHASE!$L$6:$L$10008,PURCHASE!$A$6:$A$10008,$BA$2,PURCHASE!$H$6:$H$10008,$A$4:$A$2700)</f>
        <v>0</v>
      </c>
      <c r="BD133" s="512">
        <f>SUMIFS(PURCHASE!$M$6:$M$10008,PURCHASE!$A$6:$A$10008,$BA$2,PURCHASE!$H$6:$H$10008,$A$4:$A$2700)</f>
        <v>0</v>
      </c>
      <c r="BE133" s="512">
        <f>SUMIFS(PURCHASE!$N$6:$N$10008,PURCHASE!$A$6:$A$10008,$BA$2,PURCHASE!$H$6:$H$10008,$A$4:$A$2700)</f>
        <v>0</v>
      </c>
      <c r="BF133" s="512">
        <f t="shared" ref="BF133:BF196" si="56">+BG133+BH133+BI133+BJ133</f>
        <v>0</v>
      </c>
      <c r="BG133" s="512">
        <f>SUMIFS(PURCHASE!$K$6:$K$10008,PURCHASE!$A$6:$A$10008,$BF$2,PURCHASE!$H$6:$H$10008,$A$4:$A$2700)</f>
        <v>0</v>
      </c>
      <c r="BH133" s="512">
        <f>SUMIFS(PURCHASE!$L$6:$L$10008,PURCHASE!$A$6:$A$10008,$BF$2,PURCHASE!$H$6:$H$10008,$A$4:$A$2700)</f>
        <v>0</v>
      </c>
      <c r="BI133" s="512">
        <f>SUMIFS(PURCHASE!$M$6:$M$10008,PURCHASE!$A$6:$A$10008,$BF$2,PURCHASE!$H$6:$H$10008,$A$4:$A$2700)</f>
        <v>0</v>
      </c>
      <c r="BJ133" s="512">
        <f>SUMIFS(PURCHASE!$N$6:$N$10008,PURCHASE!$A$6:$A$10008,$BF$2,PURCHASE!$H$6:$H$10008,$A$4:$A$2700)</f>
        <v>0</v>
      </c>
      <c r="BK133" s="72">
        <f t="shared" si="40"/>
        <v>24468.480000000003</v>
      </c>
      <c r="BL133" s="72">
        <f t="shared" si="41"/>
        <v>20736</v>
      </c>
      <c r="BM133" s="72">
        <f t="shared" si="42"/>
        <v>0</v>
      </c>
      <c r="BN133" s="72">
        <f t="shared" si="43"/>
        <v>1866.2400000000002</v>
      </c>
      <c r="BO133" s="72">
        <f t="shared" si="44"/>
        <v>1866.2400000000002</v>
      </c>
    </row>
    <row r="134" spans="1:67" x14ac:dyDescent="0.2">
      <c r="A134" s="511">
        <v>73110010</v>
      </c>
      <c r="B134" s="467" t="s">
        <v>1280</v>
      </c>
      <c r="C134" s="512">
        <f t="shared" si="45"/>
        <v>184769.06099999999</v>
      </c>
      <c r="D134" s="512">
        <f>SUMIFS(PURCHASE!$K$6:$K$10008,PURCHASE!$A$6:$A$10008,$M$2,PURCHASE!$H$6:$H$10008,$A$4:$A$2700)</f>
        <v>156583.95000000001</v>
      </c>
      <c r="E134" s="512">
        <f>SUMIFS(PURCHASE!$L$6:$L$10008,PURCHASE!$A$6:$A$10008,$M$2,PURCHASE!$H$6:$H$10008,$A$4:$A$2700)</f>
        <v>0</v>
      </c>
      <c r="F134" s="512">
        <f>SUMIFS(PURCHASE!$M$6:$M$10008,PURCHASE!$A$6:$A$10008,$M$2,PURCHASE!$H$6:$H$10008,$A$4:$A$2700)</f>
        <v>14092.5555</v>
      </c>
      <c r="G134" s="512">
        <f>SUMIFS(PURCHASE!$N$6:$N$10008,PURCHASE!$A$6:$A$10008,$M$2,PURCHASE!$H$6:$H$10008,$A$4:$A$2700)</f>
        <v>14092.5555</v>
      </c>
      <c r="H134" s="512">
        <f t="shared" si="46"/>
        <v>238574.052</v>
      </c>
      <c r="I134" s="512">
        <f>SUMIFS(PURCHASE!$K$6:$K$10008,PURCHASE!$A$6:$A$10008,$H$2,PURCHASE!$H$6:$H$10008,$A$4:$A$2700)</f>
        <v>202181.4</v>
      </c>
      <c r="J134" s="512">
        <f>SUMIFS(PURCHASE!$L$6:$L$10008,PURCHASE!$A$6:$A$10008,$H$2,PURCHASE!$H$6:$H$10008,$A$4:$A$2700)</f>
        <v>0</v>
      </c>
      <c r="K134" s="512">
        <f>SUMIFS(PURCHASE!$M$6:$M$10008,PURCHASE!$A$6:$A$10008,$H$2,PURCHASE!$H$6:$H$10008,$A$4:$A$2700)</f>
        <v>18196.325999999997</v>
      </c>
      <c r="L134" s="512">
        <f>SUMIFS(PURCHASE!$N$6:$N$10008,PURCHASE!$A$6:$A$10008,$H$2,PURCHASE!$H$6:$H$10008,$A$4:$A$2700)</f>
        <v>18196.325999999997</v>
      </c>
      <c r="M134" s="512">
        <f t="shared" si="47"/>
        <v>184769.06099999999</v>
      </c>
      <c r="N134" s="512">
        <f>SUMIFS(PURCHASE!$K$6:$K$10008,PURCHASE!$A$6:$A$10008,$M$2,PURCHASE!$H$6:$H$10008,$A$4:$A$2700)</f>
        <v>156583.95000000001</v>
      </c>
      <c r="O134" s="512">
        <f>SUMIFS(PURCHASE!$L$6:$L$10008,PURCHASE!$A$6:$A$10008,$M$2,PURCHASE!$H$6:$H$10008,$A$4:$A$2700)</f>
        <v>0</v>
      </c>
      <c r="P134" s="512">
        <f>SUMIFS(PURCHASE!$M$6:$M$10008,PURCHASE!$A$6:$A$10008,$M$2,PURCHASE!$H$6:$H$10008,$A$4:$A$2700)</f>
        <v>14092.5555</v>
      </c>
      <c r="Q134" s="512">
        <f>SUMIFS(PURCHASE!$N$6:$N$10008,PURCHASE!$A$6:$A$10008,$M$2,PURCHASE!$H$6:$H$10008,$A$4:$A$2700)</f>
        <v>14092.5555</v>
      </c>
      <c r="R134" s="512">
        <f t="shared" si="48"/>
        <v>77259.792000000001</v>
      </c>
      <c r="S134" s="512">
        <f>SUMIFS(PURCHASE!$K$6:$K$10008,PURCHASE!$A$6:$A$10008,$R$2,PURCHASE!$H$6:$H$10008,$A$4:$A$2700)</f>
        <v>65474.400000000001</v>
      </c>
      <c r="T134" s="512">
        <f>SUMIFS(PURCHASE!$L$6:$L$10008,PURCHASE!$A$6:$A$10008,$R$2,PURCHASE!$H$6:$H$10008,$A$4:$A$2700)</f>
        <v>0</v>
      </c>
      <c r="U134" s="512">
        <f>SUMIFS(PURCHASE!$M$6:$M$10008,PURCHASE!$A$6:$A$10008,$R$2,PURCHASE!$H$6:$H$10008,$A$4:$A$2700)</f>
        <v>5892.6959999999999</v>
      </c>
      <c r="V134" s="512">
        <f>SUMIFS(PURCHASE!$N$6:$N$10008,PURCHASE!$A$6:$A$10008,$R$2,PURCHASE!$H$6:$H$10008,$A$4:$A$2700)</f>
        <v>5892.6959999999999</v>
      </c>
      <c r="W134" s="512">
        <f t="shared" si="49"/>
        <v>116024.916</v>
      </c>
      <c r="X134" s="512">
        <f>SUMIFS(PURCHASE!$K$6:$K$10008,PURCHASE!$A$6:$A$10008,$W$2,PURCHASE!$H$6:$H$10008,$A$4:$A$2700)</f>
        <v>98326.2</v>
      </c>
      <c r="Y134" s="512">
        <f>SUMIFS(PURCHASE!$L$6:$L$10008,PURCHASE!$A$6:$A$10008,$W$2,PURCHASE!$H$6:$H$10008,$A$4:$A$2700)</f>
        <v>0</v>
      </c>
      <c r="Z134" s="512">
        <f>SUMIFS(PURCHASE!$M$6:$M$10008,PURCHASE!$A$6:$A$10008,$W$2,PURCHASE!$H$6:$H$10008,$A$4:$A$2700)</f>
        <v>8849.3580000000002</v>
      </c>
      <c r="AA134" s="512">
        <f>SUMIFS(PURCHASE!$N$6:$N$10008,PURCHASE!$A$6:$A$10008,$W$2,PURCHASE!$H$6:$H$10008,$A$4:$A$2700)</f>
        <v>8849.3580000000002</v>
      </c>
      <c r="AB134" s="512">
        <f t="shared" si="50"/>
        <v>98394.890000000014</v>
      </c>
      <c r="AC134" s="512">
        <f>SUMIFS(PURCHASE!$K$6:$K$10008,PURCHASE!$A$6:$A$10008,$AB$2,PURCHASE!$H$6:$H$10008,$A$4:$A$2700)</f>
        <v>83385.5</v>
      </c>
      <c r="AD134" s="512">
        <f>SUMIFS(PURCHASE!$L$6:$L$10008,PURCHASE!$A$6:$A$10008,$AB$2,PURCHASE!$H$6:$H$10008,$A$4:$A$2700)</f>
        <v>0</v>
      </c>
      <c r="AE134" s="512">
        <f>SUMIFS(PURCHASE!$M$6:$M$10008,PURCHASE!$A$6:$A$10008,$AB$2,PURCHASE!$H$6:$H$10008,$A$4:$A$2700)</f>
        <v>7504.6949999999997</v>
      </c>
      <c r="AF134" s="512">
        <f>SUMIFS(PURCHASE!$N$6:$N$10008,PURCHASE!$A$6:$A$10008,$AB$2,PURCHASE!$H$6:$H$10008,$A$4:$A$2700)</f>
        <v>7504.6949999999997</v>
      </c>
      <c r="AG134" s="512">
        <f t="shared" si="51"/>
        <v>26919.93</v>
      </c>
      <c r="AH134" s="512">
        <f>SUMIFS(PURCHASE!$K$6:$K$10008,PURCHASE!$A$6:$A$10008,$AG$2,PURCHASE!$H$6:$H$10008,$A$4:$A$2700)</f>
        <v>22813.5</v>
      </c>
      <c r="AI134" s="512">
        <f>SUMIFS(PURCHASE!$L$6:$L$10008,PURCHASE!$A$6:$A$10008,$AG$2,PURCHASE!$H$6:$H$10008,$A$4:$A$2700)</f>
        <v>0</v>
      </c>
      <c r="AJ134" s="512">
        <f>SUMIFS(PURCHASE!$M$6:$M$10008,PURCHASE!$A$6:$A$10008,$AG$2,PURCHASE!$H$6:$H$10008,$A$4:$A$2700)</f>
        <v>2053.2150000000001</v>
      </c>
      <c r="AK134" s="512">
        <f>SUMIFS(PURCHASE!$N$6:$N$10008,PURCHASE!$A$6:$A$10008,$AG$2,PURCHASE!$H$6:$H$10008,$A$4:$A$2700)</f>
        <v>2053.2150000000001</v>
      </c>
      <c r="AL134" s="512">
        <f t="shared" si="52"/>
        <v>65777.448000000004</v>
      </c>
      <c r="AM134" s="512">
        <f>SUMIFS(PURCHASE!$K$6:$K$10008,PURCHASE!$A$6:$A$10008,$AL$2,PURCHASE!$H$6:$H$10008,$A$4:$A$2700)</f>
        <v>55743.6</v>
      </c>
      <c r="AN134" s="512">
        <f>SUMIFS(PURCHASE!$L$6:$L$10008,PURCHASE!$A$6:$A$10008,$AL$2,PURCHASE!$H$6:$H$10008,$A$4:$A$2700)</f>
        <v>0</v>
      </c>
      <c r="AO134" s="512">
        <f>SUMIFS(PURCHASE!$M$6:$M$10008,PURCHASE!$A$6:$A$10008,$AL$2,PURCHASE!$H$6:$H$10008,$A$4:$A$2700)</f>
        <v>5016.924</v>
      </c>
      <c r="AP134" s="512">
        <f>SUMIFS(PURCHASE!$N$6:$N$10008,PURCHASE!$A$6:$A$10008,$AL$2,PURCHASE!$H$6:$H$10008,$A$4:$A$2700)</f>
        <v>5016.924</v>
      </c>
      <c r="AQ134" s="512">
        <f t="shared" si="53"/>
        <v>57218.306199999992</v>
      </c>
      <c r="AR134" s="512">
        <f>SUMIFS(PURCHASE!$K$6:$K$10008,PURCHASE!$A$6:$A$10008,$AQ$2,PURCHASE!$H$6:$H$10008,$A$4:$A$2700)</f>
        <v>48490.09</v>
      </c>
      <c r="AS134" s="512">
        <f>SUMIFS(PURCHASE!$L$6:$L$10008,PURCHASE!$A$6:$A$10008,$AQ$2,PURCHASE!$H$6:$H$10008,$A$4:$A$2700)</f>
        <v>0</v>
      </c>
      <c r="AT134" s="512">
        <f>SUMIFS(PURCHASE!$M$6:$M$10008,PURCHASE!$A$6:$A$10008,$AQ$2,PURCHASE!$H$6:$H$10008,$A$4:$A$2700)</f>
        <v>4364.1080999999995</v>
      </c>
      <c r="AU134" s="512">
        <f>SUMIFS(PURCHASE!$N$6:$N$10008,PURCHASE!$A$6:$A$10008,$AQ$2,PURCHASE!$H$6:$H$10008,$A$4:$A$2700)</f>
        <v>4364.1080999999995</v>
      </c>
      <c r="AV134" s="512">
        <f t="shared" si="54"/>
        <v>0</v>
      </c>
      <c r="AW134" s="512">
        <f>SUMIFS(PURCHASE!$K$6:$K$10008,PURCHASE!$A$6:$A$10008,$AV$2,PURCHASE!$H$6:$H$10008,$A$4:$A$2700)</f>
        <v>0</v>
      </c>
      <c r="AX134" s="512">
        <f>SUMIFS(PURCHASE!$L$6:$L$10008,PURCHASE!$A$6:$A$10008,$AV$2,PURCHASE!$H$6:$H$10008,$A$4:$A$2700)</f>
        <v>0</v>
      </c>
      <c r="AY134" s="512">
        <f>SUMIFS(PURCHASE!$M$6:$M$10008,PURCHASE!$A$6:$A$10008,$AV$2,PURCHASE!$H$6:$H$10008,$A$4:$A$2700)</f>
        <v>0</v>
      </c>
      <c r="AZ134" s="512">
        <f>SUMIFS(PURCHASE!$N$6:$N$10008,PURCHASE!$A$6:$A$10008,$AV$2,PURCHASE!$H$6:$H$10008,$A$4:$A$2700)</f>
        <v>0</v>
      </c>
      <c r="BA134" s="512">
        <f t="shared" si="55"/>
        <v>0</v>
      </c>
      <c r="BB134" s="512">
        <f>SUMIFS(PURCHASE!$K$6:$K$10008,PURCHASE!$A$6:$A$10008,$BA$2,PURCHASE!$H$6:$H$10008,$A$4:$A$2700)</f>
        <v>0</v>
      </c>
      <c r="BC134" s="512">
        <f>SUMIFS(PURCHASE!$L$6:$L$10008,PURCHASE!$A$6:$A$10008,$BA$2,PURCHASE!$H$6:$H$10008,$A$4:$A$2700)</f>
        <v>0</v>
      </c>
      <c r="BD134" s="512">
        <f>SUMIFS(PURCHASE!$M$6:$M$10008,PURCHASE!$A$6:$A$10008,$BA$2,PURCHASE!$H$6:$H$10008,$A$4:$A$2700)</f>
        <v>0</v>
      </c>
      <c r="BE134" s="512">
        <f>SUMIFS(PURCHASE!$N$6:$N$10008,PURCHASE!$A$6:$A$10008,$BA$2,PURCHASE!$H$6:$H$10008,$A$4:$A$2700)</f>
        <v>0</v>
      </c>
      <c r="BF134" s="512">
        <f t="shared" si="56"/>
        <v>0</v>
      </c>
      <c r="BG134" s="512">
        <f>SUMIFS(PURCHASE!$K$6:$K$10008,PURCHASE!$A$6:$A$10008,$BF$2,PURCHASE!$H$6:$H$10008,$A$4:$A$2700)</f>
        <v>0</v>
      </c>
      <c r="BH134" s="512">
        <f>SUMIFS(PURCHASE!$L$6:$L$10008,PURCHASE!$A$6:$A$10008,$BF$2,PURCHASE!$H$6:$H$10008,$A$4:$A$2700)</f>
        <v>0</v>
      </c>
      <c r="BI134" s="512">
        <f>SUMIFS(PURCHASE!$M$6:$M$10008,PURCHASE!$A$6:$A$10008,$BF$2,PURCHASE!$H$6:$H$10008,$A$4:$A$2700)</f>
        <v>0</v>
      </c>
      <c r="BJ134" s="512">
        <f>SUMIFS(PURCHASE!$N$6:$N$10008,PURCHASE!$A$6:$A$10008,$BF$2,PURCHASE!$H$6:$H$10008,$A$4:$A$2700)</f>
        <v>0</v>
      </c>
      <c r="BK134" s="72">
        <f t="shared" si="40"/>
        <v>1049707.4561999999</v>
      </c>
      <c r="BL134" s="72">
        <f t="shared" si="41"/>
        <v>889582.58999999985</v>
      </c>
      <c r="BM134" s="72">
        <f t="shared" si="42"/>
        <v>0</v>
      </c>
      <c r="BN134" s="72">
        <f t="shared" si="43"/>
        <v>80062.433099999995</v>
      </c>
      <c r="BO134" s="72">
        <f t="shared" si="44"/>
        <v>80062.433099999995</v>
      </c>
    </row>
    <row r="135" spans="1:67" x14ac:dyDescent="0.2">
      <c r="A135" s="511">
        <v>48171000</v>
      </c>
      <c r="B135" s="467" t="s">
        <v>1281</v>
      </c>
      <c r="C135" s="512">
        <f t="shared" si="45"/>
        <v>0</v>
      </c>
      <c r="D135" s="512">
        <f>SUMIFS(PURCHASE!$K$6:$K$10008,PURCHASE!$A$6:$A$10008,$M$2,PURCHASE!$H$6:$H$10008,$A$4:$A$2700)</f>
        <v>0</v>
      </c>
      <c r="E135" s="512">
        <f>SUMIFS(PURCHASE!$L$6:$L$10008,PURCHASE!$A$6:$A$10008,$M$2,PURCHASE!$H$6:$H$10008,$A$4:$A$2700)</f>
        <v>0</v>
      </c>
      <c r="F135" s="512">
        <f>SUMIFS(PURCHASE!$M$6:$M$10008,PURCHASE!$A$6:$A$10008,$M$2,PURCHASE!$H$6:$H$10008,$A$4:$A$2700)</f>
        <v>0</v>
      </c>
      <c r="G135" s="512">
        <f>SUMIFS(PURCHASE!$N$6:$N$10008,PURCHASE!$A$6:$A$10008,$M$2,PURCHASE!$H$6:$H$10008,$A$4:$A$2700)</f>
        <v>0</v>
      </c>
      <c r="H135" s="512">
        <f t="shared" si="46"/>
        <v>0</v>
      </c>
      <c r="I135" s="512">
        <f>SUMIFS(PURCHASE!$K$6:$K$10008,PURCHASE!$A$6:$A$10008,$H$2,PURCHASE!$H$6:$H$10008,$A$4:$A$2700)</f>
        <v>0</v>
      </c>
      <c r="J135" s="512">
        <f>SUMIFS(PURCHASE!$L$6:$L$10008,PURCHASE!$A$6:$A$10008,$H$2,PURCHASE!$H$6:$H$10008,$A$4:$A$2700)</f>
        <v>0</v>
      </c>
      <c r="K135" s="512">
        <f>SUMIFS(PURCHASE!$M$6:$M$10008,PURCHASE!$A$6:$A$10008,$H$2,PURCHASE!$H$6:$H$10008,$A$4:$A$2700)</f>
        <v>0</v>
      </c>
      <c r="L135" s="512">
        <f>SUMIFS(PURCHASE!$N$6:$N$10008,PURCHASE!$A$6:$A$10008,$H$2,PURCHASE!$H$6:$H$10008,$A$4:$A$2700)</f>
        <v>0</v>
      </c>
      <c r="M135" s="512">
        <f t="shared" si="47"/>
        <v>0</v>
      </c>
      <c r="N135" s="512">
        <f>SUMIFS(PURCHASE!$K$6:$K$10008,PURCHASE!$A$6:$A$10008,$M$2,PURCHASE!$H$6:$H$10008,$A$4:$A$2700)</f>
        <v>0</v>
      </c>
      <c r="O135" s="512">
        <f>SUMIFS(PURCHASE!$L$6:$L$10008,PURCHASE!$A$6:$A$10008,$M$2,PURCHASE!$H$6:$H$10008,$A$4:$A$2700)</f>
        <v>0</v>
      </c>
      <c r="P135" s="512">
        <f>SUMIFS(PURCHASE!$M$6:$M$10008,PURCHASE!$A$6:$A$10008,$M$2,PURCHASE!$H$6:$H$10008,$A$4:$A$2700)</f>
        <v>0</v>
      </c>
      <c r="Q135" s="512">
        <f>SUMIFS(PURCHASE!$N$6:$N$10008,PURCHASE!$A$6:$A$10008,$M$2,PURCHASE!$H$6:$H$10008,$A$4:$A$2700)</f>
        <v>0</v>
      </c>
      <c r="R135" s="512">
        <f t="shared" si="48"/>
        <v>0</v>
      </c>
      <c r="S135" s="512">
        <f>SUMIFS(PURCHASE!$K$6:$K$10008,PURCHASE!$A$6:$A$10008,$R$2,PURCHASE!$H$6:$H$10008,$A$4:$A$2700)</f>
        <v>0</v>
      </c>
      <c r="T135" s="512">
        <f>SUMIFS(PURCHASE!$L$6:$L$10008,PURCHASE!$A$6:$A$10008,$R$2,PURCHASE!$H$6:$H$10008,$A$4:$A$2700)</f>
        <v>0</v>
      </c>
      <c r="U135" s="512">
        <f>SUMIFS(PURCHASE!$M$6:$M$10008,PURCHASE!$A$6:$A$10008,$R$2,PURCHASE!$H$6:$H$10008,$A$4:$A$2700)</f>
        <v>0</v>
      </c>
      <c r="V135" s="512">
        <f>SUMIFS(PURCHASE!$N$6:$N$10008,PURCHASE!$A$6:$A$10008,$R$2,PURCHASE!$H$6:$H$10008,$A$4:$A$2700)</f>
        <v>0</v>
      </c>
      <c r="W135" s="512">
        <f t="shared" si="49"/>
        <v>0</v>
      </c>
      <c r="X135" s="512">
        <f>SUMIFS(PURCHASE!$K$6:$K$10008,PURCHASE!$A$6:$A$10008,$W$2,PURCHASE!$H$6:$H$10008,$A$4:$A$2700)</f>
        <v>0</v>
      </c>
      <c r="Y135" s="512">
        <f>SUMIFS(PURCHASE!$L$6:$L$10008,PURCHASE!$A$6:$A$10008,$W$2,PURCHASE!$H$6:$H$10008,$A$4:$A$2700)</f>
        <v>0</v>
      </c>
      <c r="Z135" s="512">
        <f>SUMIFS(PURCHASE!$M$6:$M$10008,PURCHASE!$A$6:$A$10008,$W$2,PURCHASE!$H$6:$H$10008,$A$4:$A$2700)</f>
        <v>0</v>
      </c>
      <c r="AA135" s="512">
        <f>SUMIFS(PURCHASE!$N$6:$N$10008,PURCHASE!$A$6:$A$10008,$W$2,PURCHASE!$H$6:$H$10008,$A$4:$A$2700)</f>
        <v>0</v>
      </c>
      <c r="AB135" s="512">
        <f t="shared" si="50"/>
        <v>0</v>
      </c>
      <c r="AC135" s="512">
        <f>SUMIFS(PURCHASE!$K$6:$K$10008,PURCHASE!$A$6:$A$10008,$AB$2,PURCHASE!$H$6:$H$10008,$A$4:$A$2700)</f>
        <v>0</v>
      </c>
      <c r="AD135" s="512">
        <f>SUMIFS(PURCHASE!$L$6:$L$10008,PURCHASE!$A$6:$A$10008,$AB$2,PURCHASE!$H$6:$H$10008,$A$4:$A$2700)</f>
        <v>0</v>
      </c>
      <c r="AE135" s="512">
        <f>SUMIFS(PURCHASE!$M$6:$M$10008,PURCHASE!$A$6:$A$10008,$AB$2,PURCHASE!$H$6:$H$10008,$A$4:$A$2700)</f>
        <v>0</v>
      </c>
      <c r="AF135" s="512">
        <f>SUMIFS(PURCHASE!$N$6:$N$10008,PURCHASE!$A$6:$A$10008,$AB$2,PURCHASE!$H$6:$H$10008,$A$4:$A$2700)</f>
        <v>0</v>
      </c>
      <c r="AG135" s="512">
        <f t="shared" si="51"/>
        <v>0</v>
      </c>
      <c r="AH135" s="512">
        <f>SUMIFS(PURCHASE!$K$6:$K$10008,PURCHASE!$A$6:$A$10008,$AG$2,PURCHASE!$H$6:$H$10008,$A$4:$A$2700)</f>
        <v>0</v>
      </c>
      <c r="AI135" s="512">
        <f>SUMIFS(PURCHASE!$L$6:$L$10008,PURCHASE!$A$6:$A$10008,$AG$2,PURCHASE!$H$6:$H$10008,$A$4:$A$2700)</f>
        <v>0</v>
      </c>
      <c r="AJ135" s="512">
        <f>SUMIFS(PURCHASE!$M$6:$M$10008,PURCHASE!$A$6:$A$10008,$AG$2,PURCHASE!$H$6:$H$10008,$A$4:$A$2700)</f>
        <v>0</v>
      </c>
      <c r="AK135" s="512">
        <f>SUMIFS(PURCHASE!$N$6:$N$10008,PURCHASE!$A$6:$A$10008,$AG$2,PURCHASE!$H$6:$H$10008,$A$4:$A$2700)</f>
        <v>0</v>
      </c>
      <c r="AL135" s="512">
        <f t="shared" si="52"/>
        <v>0</v>
      </c>
      <c r="AM135" s="512">
        <f>SUMIFS(PURCHASE!$K$6:$K$10008,PURCHASE!$A$6:$A$10008,$AL$2,PURCHASE!$H$6:$H$10008,$A$4:$A$2700)</f>
        <v>0</v>
      </c>
      <c r="AN135" s="512">
        <f>SUMIFS(PURCHASE!$L$6:$L$10008,PURCHASE!$A$6:$A$10008,$AL$2,PURCHASE!$H$6:$H$10008,$A$4:$A$2700)</f>
        <v>0</v>
      </c>
      <c r="AO135" s="512">
        <f>SUMIFS(PURCHASE!$M$6:$M$10008,PURCHASE!$A$6:$A$10008,$AL$2,PURCHASE!$H$6:$H$10008,$A$4:$A$2700)</f>
        <v>0</v>
      </c>
      <c r="AP135" s="512">
        <f>SUMIFS(PURCHASE!$N$6:$N$10008,PURCHASE!$A$6:$A$10008,$AL$2,PURCHASE!$H$6:$H$10008,$A$4:$A$2700)</f>
        <v>0</v>
      </c>
      <c r="AQ135" s="512">
        <f t="shared" si="53"/>
        <v>0</v>
      </c>
      <c r="AR135" s="512">
        <f>SUMIFS(PURCHASE!$K$6:$K$10008,PURCHASE!$A$6:$A$10008,$AQ$2,PURCHASE!$H$6:$H$10008,$A$4:$A$2700)</f>
        <v>0</v>
      </c>
      <c r="AS135" s="512">
        <f>SUMIFS(PURCHASE!$L$6:$L$10008,PURCHASE!$A$6:$A$10008,$AQ$2,PURCHASE!$H$6:$H$10008,$A$4:$A$2700)</f>
        <v>0</v>
      </c>
      <c r="AT135" s="512">
        <f>SUMIFS(PURCHASE!$M$6:$M$10008,PURCHASE!$A$6:$A$10008,$AQ$2,PURCHASE!$H$6:$H$10008,$A$4:$A$2700)</f>
        <v>0</v>
      </c>
      <c r="AU135" s="512">
        <f>SUMIFS(PURCHASE!$N$6:$N$10008,PURCHASE!$A$6:$A$10008,$AQ$2,PURCHASE!$H$6:$H$10008,$A$4:$A$2700)</f>
        <v>0</v>
      </c>
      <c r="AV135" s="512">
        <f t="shared" si="54"/>
        <v>0</v>
      </c>
      <c r="AW135" s="512">
        <f>SUMIFS(PURCHASE!$K$6:$K$10008,PURCHASE!$A$6:$A$10008,$AV$2,PURCHASE!$H$6:$H$10008,$A$4:$A$2700)</f>
        <v>0</v>
      </c>
      <c r="AX135" s="512">
        <f>SUMIFS(PURCHASE!$L$6:$L$10008,PURCHASE!$A$6:$A$10008,$AV$2,PURCHASE!$H$6:$H$10008,$A$4:$A$2700)</f>
        <v>0</v>
      </c>
      <c r="AY135" s="512">
        <f>SUMIFS(PURCHASE!$M$6:$M$10008,PURCHASE!$A$6:$A$10008,$AV$2,PURCHASE!$H$6:$H$10008,$A$4:$A$2700)</f>
        <v>0</v>
      </c>
      <c r="AZ135" s="512">
        <f>SUMIFS(PURCHASE!$N$6:$N$10008,PURCHASE!$A$6:$A$10008,$AV$2,PURCHASE!$H$6:$H$10008,$A$4:$A$2700)</f>
        <v>0</v>
      </c>
      <c r="BA135" s="512">
        <f t="shared" si="55"/>
        <v>0</v>
      </c>
      <c r="BB135" s="512">
        <f>SUMIFS(PURCHASE!$K$6:$K$10008,PURCHASE!$A$6:$A$10008,$BA$2,PURCHASE!$H$6:$H$10008,$A$4:$A$2700)</f>
        <v>0</v>
      </c>
      <c r="BC135" s="512">
        <f>SUMIFS(PURCHASE!$L$6:$L$10008,PURCHASE!$A$6:$A$10008,$BA$2,PURCHASE!$H$6:$H$10008,$A$4:$A$2700)</f>
        <v>0</v>
      </c>
      <c r="BD135" s="512">
        <f>SUMIFS(PURCHASE!$M$6:$M$10008,PURCHASE!$A$6:$A$10008,$BA$2,PURCHASE!$H$6:$H$10008,$A$4:$A$2700)</f>
        <v>0</v>
      </c>
      <c r="BE135" s="512">
        <f>SUMIFS(PURCHASE!$N$6:$N$10008,PURCHASE!$A$6:$A$10008,$BA$2,PURCHASE!$H$6:$H$10008,$A$4:$A$2700)</f>
        <v>0</v>
      </c>
      <c r="BF135" s="512">
        <f t="shared" si="56"/>
        <v>0</v>
      </c>
      <c r="BG135" s="512">
        <f>SUMIFS(PURCHASE!$K$6:$K$10008,PURCHASE!$A$6:$A$10008,$BF$2,PURCHASE!$H$6:$H$10008,$A$4:$A$2700)</f>
        <v>0</v>
      </c>
      <c r="BH135" s="512">
        <f>SUMIFS(PURCHASE!$L$6:$L$10008,PURCHASE!$A$6:$A$10008,$BF$2,PURCHASE!$H$6:$H$10008,$A$4:$A$2700)</f>
        <v>0</v>
      </c>
      <c r="BI135" s="512">
        <f>SUMIFS(PURCHASE!$M$6:$M$10008,PURCHASE!$A$6:$A$10008,$BF$2,PURCHASE!$H$6:$H$10008,$A$4:$A$2700)</f>
        <v>0</v>
      </c>
      <c r="BJ135" s="512">
        <f>SUMIFS(PURCHASE!$N$6:$N$10008,PURCHASE!$A$6:$A$10008,$BF$2,PURCHASE!$H$6:$H$10008,$A$4:$A$2700)</f>
        <v>0</v>
      </c>
      <c r="BK135" s="72">
        <f t="shared" si="40"/>
        <v>0</v>
      </c>
      <c r="BL135" s="72">
        <f t="shared" si="41"/>
        <v>0</v>
      </c>
      <c r="BM135" s="72">
        <f t="shared" si="42"/>
        <v>0</v>
      </c>
      <c r="BN135" s="72">
        <f t="shared" si="43"/>
        <v>0</v>
      </c>
      <c r="BO135" s="72">
        <f t="shared" si="44"/>
        <v>0</v>
      </c>
    </row>
    <row r="136" spans="1:67" x14ac:dyDescent="0.2">
      <c r="A136" s="511">
        <v>48021010</v>
      </c>
      <c r="B136" s="467" t="s">
        <v>3355</v>
      </c>
      <c r="C136" s="512">
        <f t="shared" si="45"/>
        <v>0</v>
      </c>
      <c r="D136" s="512">
        <f>SUMIFS(PURCHASE!$K$6:$K$10008,PURCHASE!$A$6:$A$10008,$M$2,PURCHASE!$H$6:$H$10008,$A$4:$A$2700)</f>
        <v>0</v>
      </c>
      <c r="E136" s="512">
        <f>SUMIFS(PURCHASE!$L$6:$L$10008,PURCHASE!$A$6:$A$10008,$M$2,PURCHASE!$H$6:$H$10008,$A$4:$A$2700)</f>
        <v>0</v>
      </c>
      <c r="F136" s="512">
        <f>SUMIFS(PURCHASE!$M$6:$M$10008,PURCHASE!$A$6:$A$10008,$M$2,PURCHASE!$H$6:$H$10008,$A$4:$A$2700)</f>
        <v>0</v>
      </c>
      <c r="G136" s="512">
        <f>SUMIFS(PURCHASE!$N$6:$N$10008,PURCHASE!$A$6:$A$10008,$M$2,PURCHASE!$H$6:$H$10008,$A$4:$A$2700)</f>
        <v>0</v>
      </c>
      <c r="H136" s="512">
        <f t="shared" si="46"/>
        <v>0</v>
      </c>
      <c r="I136" s="512">
        <f>SUMIFS(PURCHASE!$K$6:$K$10008,PURCHASE!$A$6:$A$10008,$H$2,PURCHASE!$H$6:$H$10008,$A$4:$A$2700)</f>
        <v>0</v>
      </c>
      <c r="J136" s="512">
        <f>SUMIFS(PURCHASE!$L$6:$L$10008,PURCHASE!$A$6:$A$10008,$H$2,PURCHASE!$H$6:$H$10008,$A$4:$A$2700)</f>
        <v>0</v>
      </c>
      <c r="K136" s="512">
        <f>SUMIFS(PURCHASE!$M$6:$M$10008,PURCHASE!$A$6:$A$10008,$H$2,PURCHASE!$H$6:$H$10008,$A$4:$A$2700)</f>
        <v>0</v>
      </c>
      <c r="L136" s="512">
        <f>SUMIFS(PURCHASE!$N$6:$N$10008,PURCHASE!$A$6:$A$10008,$H$2,PURCHASE!$H$6:$H$10008,$A$4:$A$2700)</f>
        <v>0</v>
      </c>
      <c r="M136" s="512">
        <f t="shared" si="47"/>
        <v>0</v>
      </c>
      <c r="N136" s="512">
        <f>SUMIFS(PURCHASE!$K$6:$K$10008,PURCHASE!$A$6:$A$10008,$M$2,PURCHASE!$H$6:$H$10008,$A$4:$A$2700)</f>
        <v>0</v>
      </c>
      <c r="O136" s="512">
        <f>SUMIFS(PURCHASE!$L$6:$L$10008,PURCHASE!$A$6:$A$10008,$M$2,PURCHASE!$H$6:$H$10008,$A$4:$A$2700)</f>
        <v>0</v>
      </c>
      <c r="P136" s="512">
        <f>SUMIFS(PURCHASE!$M$6:$M$10008,PURCHASE!$A$6:$A$10008,$M$2,PURCHASE!$H$6:$H$10008,$A$4:$A$2700)</f>
        <v>0</v>
      </c>
      <c r="Q136" s="512">
        <f>SUMIFS(PURCHASE!$N$6:$N$10008,PURCHASE!$A$6:$A$10008,$M$2,PURCHASE!$H$6:$H$10008,$A$4:$A$2700)</f>
        <v>0</v>
      </c>
      <c r="R136" s="512">
        <f t="shared" si="48"/>
        <v>0</v>
      </c>
      <c r="S136" s="512">
        <f>SUMIFS(PURCHASE!$K$6:$K$10008,PURCHASE!$A$6:$A$10008,$R$2,PURCHASE!$H$6:$H$10008,$A$4:$A$2700)</f>
        <v>0</v>
      </c>
      <c r="T136" s="512">
        <f>SUMIFS(PURCHASE!$L$6:$L$10008,PURCHASE!$A$6:$A$10008,$R$2,PURCHASE!$H$6:$H$10008,$A$4:$A$2700)</f>
        <v>0</v>
      </c>
      <c r="U136" s="512">
        <f>SUMIFS(PURCHASE!$M$6:$M$10008,PURCHASE!$A$6:$A$10008,$R$2,PURCHASE!$H$6:$H$10008,$A$4:$A$2700)</f>
        <v>0</v>
      </c>
      <c r="V136" s="512">
        <f>SUMIFS(PURCHASE!$N$6:$N$10008,PURCHASE!$A$6:$A$10008,$R$2,PURCHASE!$H$6:$H$10008,$A$4:$A$2700)</f>
        <v>0</v>
      </c>
      <c r="W136" s="512">
        <f t="shared" si="49"/>
        <v>0</v>
      </c>
      <c r="X136" s="512">
        <f>SUMIFS(PURCHASE!$K$6:$K$10008,PURCHASE!$A$6:$A$10008,$W$2,PURCHASE!$H$6:$H$10008,$A$4:$A$2700)</f>
        <v>0</v>
      </c>
      <c r="Y136" s="512">
        <f>SUMIFS(PURCHASE!$L$6:$L$10008,PURCHASE!$A$6:$A$10008,$W$2,PURCHASE!$H$6:$H$10008,$A$4:$A$2700)</f>
        <v>0</v>
      </c>
      <c r="Z136" s="512">
        <f>SUMIFS(PURCHASE!$M$6:$M$10008,PURCHASE!$A$6:$A$10008,$W$2,PURCHASE!$H$6:$H$10008,$A$4:$A$2700)</f>
        <v>0</v>
      </c>
      <c r="AA136" s="512">
        <f>SUMIFS(PURCHASE!$N$6:$N$10008,PURCHASE!$A$6:$A$10008,$W$2,PURCHASE!$H$6:$H$10008,$A$4:$A$2700)</f>
        <v>0</v>
      </c>
      <c r="AB136" s="512">
        <f t="shared" si="50"/>
        <v>0</v>
      </c>
      <c r="AC136" s="512">
        <f>SUMIFS(PURCHASE!$K$6:$K$10008,PURCHASE!$A$6:$A$10008,$AB$2,PURCHASE!$H$6:$H$10008,$A$4:$A$2700)</f>
        <v>0</v>
      </c>
      <c r="AD136" s="512">
        <f>SUMIFS(PURCHASE!$L$6:$L$10008,PURCHASE!$A$6:$A$10008,$AB$2,PURCHASE!$H$6:$H$10008,$A$4:$A$2700)</f>
        <v>0</v>
      </c>
      <c r="AE136" s="512">
        <f>SUMIFS(PURCHASE!$M$6:$M$10008,PURCHASE!$A$6:$A$10008,$AB$2,PURCHASE!$H$6:$H$10008,$A$4:$A$2700)</f>
        <v>0</v>
      </c>
      <c r="AF136" s="512">
        <f>SUMIFS(PURCHASE!$N$6:$N$10008,PURCHASE!$A$6:$A$10008,$AB$2,PURCHASE!$H$6:$H$10008,$A$4:$A$2700)</f>
        <v>0</v>
      </c>
      <c r="AG136" s="512">
        <f t="shared" si="51"/>
        <v>1904</v>
      </c>
      <c r="AH136" s="512">
        <f>SUMIFS(PURCHASE!$K$6:$K$10008,PURCHASE!$A$6:$A$10008,$AG$2,PURCHASE!$H$6:$H$10008,$A$4:$A$2700)</f>
        <v>1700</v>
      </c>
      <c r="AI136" s="512">
        <f>SUMIFS(PURCHASE!$L$6:$L$10008,PURCHASE!$A$6:$A$10008,$AG$2,PURCHASE!$H$6:$H$10008,$A$4:$A$2700)</f>
        <v>0</v>
      </c>
      <c r="AJ136" s="512">
        <f>SUMIFS(PURCHASE!$M$6:$M$10008,PURCHASE!$A$6:$A$10008,$AG$2,PURCHASE!$H$6:$H$10008,$A$4:$A$2700)</f>
        <v>102</v>
      </c>
      <c r="AK136" s="512">
        <f>SUMIFS(PURCHASE!$N$6:$N$10008,PURCHASE!$A$6:$A$10008,$AG$2,PURCHASE!$H$6:$H$10008,$A$4:$A$2700)</f>
        <v>102</v>
      </c>
      <c r="AL136" s="512">
        <f t="shared" si="52"/>
        <v>0</v>
      </c>
      <c r="AM136" s="512">
        <f>SUMIFS(PURCHASE!$K$6:$K$10008,PURCHASE!$A$6:$A$10008,$AL$2,PURCHASE!$H$6:$H$10008,$A$4:$A$2700)</f>
        <v>0</v>
      </c>
      <c r="AN136" s="512">
        <f>SUMIFS(PURCHASE!$L$6:$L$10008,PURCHASE!$A$6:$A$10008,$AL$2,PURCHASE!$H$6:$H$10008,$A$4:$A$2700)</f>
        <v>0</v>
      </c>
      <c r="AO136" s="512">
        <f>SUMIFS(PURCHASE!$M$6:$M$10008,PURCHASE!$A$6:$A$10008,$AL$2,PURCHASE!$H$6:$H$10008,$A$4:$A$2700)</f>
        <v>0</v>
      </c>
      <c r="AP136" s="512">
        <f>SUMIFS(PURCHASE!$N$6:$N$10008,PURCHASE!$A$6:$A$10008,$AL$2,PURCHASE!$H$6:$H$10008,$A$4:$A$2700)</f>
        <v>0</v>
      </c>
      <c r="AQ136" s="512">
        <f t="shared" si="53"/>
        <v>0</v>
      </c>
      <c r="AR136" s="512">
        <f>SUMIFS(PURCHASE!$K$6:$K$10008,PURCHASE!$A$6:$A$10008,$AQ$2,PURCHASE!$H$6:$H$10008,$A$4:$A$2700)</f>
        <v>0</v>
      </c>
      <c r="AS136" s="512">
        <f>SUMIFS(PURCHASE!$L$6:$L$10008,PURCHASE!$A$6:$A$10008,$AQ$2,PURCHASE!$H$6:$H$10008,$A$4:$A$2700)</f>
        <v>0</v>
      </c>
      <c r="AT136" s="512">
        <f>SUMIFS(PURCHASE!$M$6:$M$10008,PURCHASE!$A$6:$A$10008,$AQ$2,PURCHASE!$H$6:$H$10008,$A$4:$A$2700)</f>
        <v>0</v>
      </c>
      <c r="AU136" s="512">
        <f>SUMIFS(PURCHASE!$N$6:$N$10008,PURCHASE!$A$6:$A$10008,$AQ$2,PURCHASE!$H$6:$H$10008,$A$4:$A$2700)</f>
        <v>0</v>
      </c>
      <c r="AV136" s="512">
        <f t="shared" si="54"/>
        <v>0</v>
      </c>
      <c r="AW136" s="512">
        <f>SUMIFS(PURCHASE!$K$6:$K$10008,PURCHASE!$A$6:$A$10008,$AV$2,PURCHASE!$H$6:$H$10008,$A$4:$A$2700)</f>
        <v>0</v>
      </c>
      <c r="AX136" s="512">
        <f>SUMIFS(PURCHASE!$L$6:$L$10008,PURCHASE!$A$6:$A$10008,$AV$2,PURCHASE!$H$6:$H$10008,$A$4:$A$2700)</f>
        <v>0</v>
      </c>
      <c r="AY136" s="512">
        <f>SUMIFS(PURCHASE!$M$6:$M$10008,PURCHASE!$A$6:$A$10008,$AV$2,PURCHASE!$H$6:$H$10008,$A$4:$A$2700)</f>
        <v>0</v>
      </c>
      <c r="AZ136" s="512">
        <f>SUMIFS(PURCHASE!$N$6:$N$10008,PURCHASE!$A$6:$A$10008,$AV$2,PURCHASE!$H$6:$H$10008,$A$4:$A$2700)</f>
        <v>0</v>
      </c>
      <c r="BA136" s="512">
        <f t="shared" si="55"/>
        <v>0</v>
      </c>
      <c r="BB136" s="512">
        <f>SUMIFS(PURCHASE!$K$6:$K$10008,PURCHASE!$A$6:$A$10008,$BA$2,PURCHASE!$H$6:$H$10008,$A$4:$A$2700)</f>
        <v>0</v>
      </c>
      <c r="BC136" s="512">
        <f>SUMIFS(PURCHASE!$L$6:$L$10008,PURCHASE!$A$6:$A$10008,$BA$2,PURCHASE!$H$6:$H$10008,$A$4:$A$2700)</f>
        <v>0</v>
      </c>
      <c r="BD136" s="512">
        <f>SUMIFS(PURCHASE!$M$6:$M$10008,PURCHASE!$A$6:$A$10008,$BA$2,PURCHASE!$H$6:$H$10008,$A$4:$A$2700)</f>
        <v>0</v>
      </c>
      <c r="BE136" s="512">
        <f>SUMIFS(PURCHASE!$N$6:$N$10008,PURCHASE!$A$6:$A$10008,$BA$2,PURCHASE!$H$6:$H$10008,$A$4:$A$2700)</f>
        <v>0</v>
      </c>
      <c r="BF136" s="512">
        <f t="shared" si="56"/>
        <v>0</v>
      </c>
      <c r="BG136" s="512">
        <f>SUMIFS(PURCHASE!$K$6:$K$10008,PURCHASE!$A$6:$A$10008,$BF$2,PURCHASE!$H$6:$H$10008,$A$4:$A$2700)</f>
        <v>0</v>
      </c>
      <c r="BH136" s="512">
        <f>SUMIFS(PURCHASE!$L$6:$L$10008,PURCHASE!$A$6:$A$10008,$BF$2,PURCHASE!$H$6:$H$10008,$A$4:$A$2700)</f>
        <v>0</v>
      </c>
      <c r="BI136" s="512">
        <f>SUMIFS(PURCHASE!$M$6:$M$10008,PURCHASE!$A$6:$A$10008,$BF$2,PURCHASE!$H$6:$H$10008,$A$4:$A$2700)</f>
        <v>0</v>
      </c>
      <c r="BJ136" s="512">
        <f>SUMIFS(PURCHASE!$N$6:$N$10008,PURCHASE!$A$6:$A$10008,$BF$2,PURCHASE!$H$6:$H$10008,$A$4:$A$2700)</f>
        <v>0</v>
      </c>
      <c r="BK136" s="72">
        <f t="shared" si="40"/>
        <v>1904</v>
      </c>
      <c r="BL136" s="72">
        <f t="shared" si="41"/>
        <v>1700</v>
      </c>
      <c r="BM136" s="72">
        <f t="shared" si="42"/>
        <v>0</v>
      </c>
      <c r="BN136" s="72">
        <f t="shared" si="43"/>
        <v>102</v>
      </c>
      <c r="BO136" s="72">
        <f t="shared" si="44"/>
        <v>102</v>
      </c>
    </row>
    <row r="137" spans="1:67" x14ac:dyDescent="0.2">
      <c r="A137" s="511">
        <v>48196000</v>
      </c>
      <c r="B137" s="467" t="s">
        <v>1203</v>
      </c>
      <c r="C137" s="512">
        <f t="shared" si="45"/>
        <v>637.20000000000005</v>
      </c>
      <c r="D137" s="512">
        <f>SUMIFS(PURCHASE!$K$6:$K$10008,PURCHASE!$A$6:$A$10008,$M$2,PURCHASE!$H$6:$H$10008,$A$4:$A$2700)</f>
        <v>540</v>
      </c>
      <c r="E137" s="512">
        <f>SUMIFS(PURCHASE!$L$6:$L$10008,PURCHASE!$A$6:$A$10008,$M$2,PURCHASE!$H$6:$H$10008,$A$4:$A$2700)</f>
        <v>0</v>
      </c>
      <c r="F137" s="512">
        <f>SUMIFS(PURCHASE!$M$6:$M$10008,PURCHASE!$A$6:$A$10008,$M$2,PURCHASE!$H$6:$H$10008,$A$4:$A$2700)</f>
        <v>48.6</v>
      </c>
      <c r="G137" s="512">
        <f>SUMIFS(PURCHASE!$N$6:$N$10008,PURCHASE!$A$6:$A$10008,$M$2,PURCHASE!$H$6:$H$10008,$A$4:$A$2700)</f>
        <v>48.6</v>
      </c>
      <c r="H137" s="512">
        <f t="shared" si="46"/>
        <v>1014.8</v>
      </c>
      <c r="I137" s="512">
        <f>SUMIFS(PURCHASE!$K$6:$K$10008,PURCHASE!$A$6:$A$10008,$H$2,PURCHASE!$H$6:$H$10008,$A$4:$A$2700)</f>
        <v>860</v>
      </c>
      <c r="J137" s="512">
        <f>SUMIFS(PURCHASE!$L$6:$L$10008,PURCHASE!$A$6:$A$10008,$H$2,PURCHASE!$H$6:$H$10008,$A$4:$A$2700)</f>
        <v>0</v>
      </c>
      <c r="K137" s="512">
        <f>SUMIFS(PURCHASE!$M$6:$M$10008,PURCHASE!$A$6:$A$10008,$H$2,PURCHASE!$H$6:$H$10008,$A$4:$A$2700)</f>
        <v>77.399999999999991</v>
      </c>
      <c r="L137" s="512">
        <f>SUMIFS(PURCHASE!$N$6:$N$10008,PURCHASE!$A$6:$A$10008,$H$2,PURCHASE!$H$6:$H$10008,$A$4:$A$2700)</f>
        <v>77.399999999999991</v>
      </c>
      <c r="M137" s="512">
        <f t="shared" si="47"/>
        <v>637.20000000000005</v>
      </c>
      <c r="N137" s="512">
        <f>SUMIFS(PURCHASE!$K$6:$K$10008,PURCHASE!$A$6:$A$10008,$M$2,PURCHASE!$H$6:$H$10008,$A$4:$A$2700)</f>
        <v>540</v>
      </c>
      <c r="O137" s="512">
        <f>SUMIFS(PURCHASE!$L$6:$L$10008,PURCHASE!$A$6:$A$10008,$M$2,PURCHASE!$H$6:$H$10008,$A$4:$A$2700)</f>
        <v>0</v>
      </c>
      <c r="P137" s="512">
        <f>SUMIFS(PURCHASE!$M$6:$M$10008,PURCHASE!$A$6:$A$10008,$M$2,PURCHASE!$H$6:$H$10008,$A$4:$A$2700)</f>
        <v>48.6</v>
      </c>
      <c r="Q137" s="512">
        <f>SUMIFS(PURCHASE!$N$6:$N$10008,PURCHASE!$A$6:$A$10008,$M$2,PURCHASE!$H$6:$H$10008,$A$4:$A$2700)</f>
        <v>48.6</v>
      </c>
      <c r="R137" s="512">
        <f t="shared" si="48"/>
        <v>0</v>
      </c>
      <c r="S137" s="512">
        <f>SUMIFS(PURCHASE!$K$6:$K$10008,PURCHASE!$A$6:$A$10008,$R$2,PURCHASE!$H$6:$H$10008,$A$4:$A$2700)</f>
        <v>0</v>
      </c>
      <c r="T137" s="512">
        <f>SUMIFS(PURCHASE!$L$6:$L$10008,PURCHASE!$A$6:$A$10008,$R$2,PURCHASE!$H$6:$H$10008,$A$4:$A$2700)</f>
        <v>0</v>
      </c>
      <c r="U137" s="512">
        <f>SUMIFS(PURCHASE!$M$6:$M$10008,PURCHASE!$A$6:$A$10008,$R$2,PURCHASE!$H$6:$H$10008,$A$4:$A$2700)</f>
        <v>0</v>
      </c>
      <c r="V137" s="512">
        <f>SUMIFS(PURCHASE!$N$6:$N$10008,PURCHASE!$A$6:$A$10008,$R$2,PURCHASE!$H$6:$H$10008,$A$4:$A$2700)</f>
        <v>0</v>
      </c>
      <c r="W137" s="512">
        <f t="shared" si="49"/>
        <v>0</v>
      </c>
      <c r="X137" s="512">
        <f>SUMIFS(PURCHASE!$K$6:$K$10008,PURCHASE!$A$6:$A$10008,$W$2,PURCHASE!$H$6:$H$10008,$A$4:$A$2700)</f>
        <v>0</v>
      </c>
      <c r="Y137" s="512">
        <f>SUMIFS(PURCHASE!$L$6:$L$10008,PURCHASE!$A$6:$A$10008,$W$2,PURCHASE!$H$6:$H$10008,$A$4:$A$2700)</f>
        <v>0</v>
      </c>
      <c r="Z137" s="512">
        <f>SUMIFS(PURCHASE!$M$6:$M$10008,PURCHASE!$A$6:$A$10008,$W$2,PURCHASE!$H$6:$H$10008,$A$4:$A$2700)</f>
        <v>0</v>
      </c>
      <c r="AA137" s="512">
        <f>SUMIFS(PURCHASE!$N$6:$N$10008,PURCHASE!$A$6:$A$10008,$W$2,PURCHASE!$H$6:$H$10008,$A$4:$A$2700)</f>
        <v>0</v>
      </c>
      <c r="AB137" s="512">
        <f t="shared" si="50"/>
        <v>590</v>
      </c>
      <c r="AC137" s="512">
        <f>SUMIFS(PURCHASE!$K$6:$K$10008,PURCHASE!$A$6:$A$10008,$AB$2,PURCHASE!$H$6:$H$10008,$A$4:$A$2700)</f>
        <v>500</v>
      </c>
      <c r="AD137" s="512">
        <f>SUMIFS(PURCHASE!$L$6:$L$10008,PURCHASE!$A$6:$A$10008,$AB$2,PURCHASE!$H$6:$H$10008,$A$4:$A$2700)</f>
        <v>0</v>
      </c>
      <c r="AE137" s="512">
        <f>SUMIFS(PURCHASE!$M$6:$M$10008,PURCHASE!$A$6:$A$10008,$AB$2,PURCHASE!$H$6:$H$10008,$A$4:$A$2700)</f>
        <v>45</v>
      </c>
      <c r="AF137" s="512">
        <f>SUMIFS(PURCHASE!$N$6:$N$10008,PURCHASE!$A$6:$A$10008,$AB$2,PURCHASE!$H$6:$H$10008,$A$4:$A$2700)</f>
        <v>45</v>
      </c>
      <c r="AG137" s="512">
        <f t="shared" si="51"/>
        <v>849.59999999999991</v>
      </c>
      <c r="AH137" s="512">
        <f>SUMIFS(PURCHASE!$K$6:$K$10008,PURCHASE!$A$6:$A$10008,$AG$2,PURCHASE!$H$6:$H$10008,$A$4:$A$2700)</f>
        <v>720</v>
      </c>
      <c r="AI137" s="512">
        <f>SUMIFS(PURCHASE!$L$6:$L$10008,PURCHASE!$A$6:$A$10008,$AG$2,PURCHASE!$H$6:$H$10008,$A$4:$A$2700)</f>
        <v>0</v>
      </c>
      <c r="AJ137" s="512">
        <f>SUMIFS(PURCHASE!$M$6:$M$10008,PURCHASE!$A$6:$A$10008,$AG$2,PURCHASE!$H$6:$H$10008,$A$4:$A$2700)</f>
        <v>64.8</v>
      </c>
      <c r="AK137" s="512">
        <f>SUMIFS(PURCHASE!$N$6:$N$10008,PURCHASE!$A$6:$A$10008,$AG$2,PURCHASE!$H$6:$H$10008,$A$4:$A$2700)</f>
        <v>64.8</v>
      </c>
      <c r="AL137" s="512">
        <f t="shared" si="52"/>
        <v>0</v>
      </c>
      <c r="AM137" s="512">
        <f>SUMIFS(PURCHASE!$K$6:$K$10008,PURCHASE!$A$6:$A$10008,$AL$2,PURCHASE!$H$6:$H$10008,$A$4:$A$2700)</f>
        <v>0</v>
      </c>
      <c r="AN137" s="512">
        <f>SUMIFS(PURCHASE!$L$6:$L$10008,PURCHASE!$A$6:$A$10008,$AL$2,PURCHASE!$H$6:$H$10008,$A$4:$A$2700)</f>
        <v>0</v>
      </c>
      <c r="AO137" s="512">
        <f>SUMIFS(PURCHASE!$M$6:$M$10008,PURCHASE!$A$6:$A$10008,$AL$2,PURCHASE!$H$6:$H$10008,$A$4:$A$2700)</f>
        <v>0</v>
      </c>
      <c r="AP137" s="512">
        <f>SUMIFS(PURCHASE!$N$6:$N$10008,PURCHASE!$A$6:$A$10008,$AL$2,PURCHASE!$H$6:$H$10008,$A$4:$A$2700)</f>
        <v>0</v>
      </c>
      <c r="AQ137" s="512">
        <f t="shared" si="53"/>
        <v>0</v>
      </c>
      <c r="AR137" s="512">
        <f>SUMIFS(PURCHASE!$K$6:$K$10008,PURCHASE!$A$6:$A$10008,$AQ$2,PURCHASE!$H$6:$H$10008,$A$4:$A$2700)</f>
        <v>0</v>
      </c>
      <c r="AS137" s="512">
        <f>SUMIFS(PURCHASE!$L$6:$L$10008,PURCHASE!$A$6:$A$10008,$AQ$2,PURCHASE!$H$6:$H$10008,$A$4:$A$2700)</f>
        <v>0</v>
      </c>
      <c r="AT137" s="512">
        <f>SUMIFS(PURCHASE!$M$6:$M$10008,PURCHASE!$A$6:$A$10008,$AQ$2,PURCHASE!$H$6:$H$10008,$A$4:$A$2700)</f>
        <v>0</v>
      </c>
      <c r="AU137" s="512">
        <f>SUMIFS(PURCHASE!$N$6:$N$10008,PURCHASE!$A$6:$A$10008,$AQ$2,PURCHASE!$H$6:$H$10008,$A$4:$A$2700)</f>
        <v>0</v>
      </c>
      <c r="AV137" s="512">
        <f t="shared" si="54"/>
        <v>0</v>
      </c>
      <c r="AW137" s="512">
        <f>SUMIFS(PURCHASE!$K$6:$K$10008,PURCHASE!$A$6:$A$10008,$AV$2,PURCHASE!$H$6:$H$10008,$A$4:$A$2700)</f>
        <v>0</v>
      </c>
      <c r="AX137" s="512">
        <f>SUMIFS(PURCHASE!$L$6:$L$10008,PURCHASE!$A$6:$A$10008,$AV$2,PURCHASE!$H$6:$H$10008,$A$4:$A$2700)</f>
        <v>0</v>
      </c>
      <c r="AY137" s="512">
        <f>SUMIFS(PURCHASE!$M$6:$M$10008,PURCHASE!$A$6:$A$10008,$AV$2,PURCHASE!$H$6:$H$10008,$A$4:$A$2700)</f>
        <v>0</v>
      </c>
      <c r="AZ137" s="512">
        <f>SUMIFS(PURCHASE!$N$6:$N$10008,PURCHASE!$A$6:$A$10008,$AV$2,PURCHASE!$H$6:$H$10008,$A$4:$A$2700)</f>
        <v>0</v>
      </c>
      <c r="BA137" s="512">
        <f t="shared" si="55"/>
        <v>0</v>
      </c>
      <c r="BB137" s="512">
        <f>SUMIFS(PURCHASE!$K$6:$K$10008,PURCHASE!$A$6:$A$10008,$BA$2,PURCHASE!$H$6:$H$10008,$A$4:$A$2700)</f>
        <v>0</v>
      </c>
      <c r="BC137" s="512">
        <f>SUMIFS(PURCHASE!$L$6:$L$10008,PURCHASE!$A$6:$A$10008,$BA$2,PURCHASE!$H$6:$H$10008,$A$4:$A$2700)</f>
        <v>0</v>
      </c>
      <c r="BD137" s="512">
        <f>SUMIFS(PURCHASE!$M$6:$M$10008,PURCHASE!$A$6:$A$10008,$BA$2,PURCHASE!$H$6:$H$10008,$A$4:$A$2700)</f>
        <v>0</v>
      </c>
      <c r="BE137" s="512">
        <f>SUMIFS(PURCHASE!$N$6:$N$10008,PURCHASE!$A$6:$A$10008,$BA$2,PURCHASE!$H$6:$H$10008,$A$4:$A$2700)</f>
        <v>0</v>
      </c>
      <c r="BF137" s="512">
        <f t="shared" si="56"/>
        <v>0</v>
      </c>
      <c r="BG137" s="512">
        <f>SUMIFS(PURCHASE!$K$6:$K$10008,PURCHASE!$A$6:$A$10008,$BF$2,PURCHASE!$H$6:$H$10008,$A$4:$A$2700)</f>
        <v>0</v>
      </c>
      <c r="BH137" s="512">
        <f>SUMIFS(PURCHASE!$L$6:$L$10008,PURCHASE!$A$6:$A$10008,$BF$2,PURCHASE!$H$6:$H$10008,$A$4:$A$2700)</f>
        <v>0</v>
      </c>
      <c r="BI137" s="512">
        <f>SUMIFS(PURCHASE!$M$6:$M$10008,PURCHASE!$A$6:$A$10008,$BF$2,PURCHASE!$H$6:$H$10008,$A$4:$A$2700)</f>
        <v>0</v>
      </c>
      <c r="BJ137" s="512">
        <f>SUMIFS(PURCHASE!$N$6:$N$10008,PURCHASE!$A$6:$A$10008,$BF$2,PURCHASE!$H$6:$H$10008,$A$4:$A$2700)</f>
        <v>0</v>
      </c>
      <c r="BK137" s="72">
        <f t="shared" si="40"/>
        <v>3728.7999999999997</v>
      </c>
      <c r="BL137" s="72">
        <f t="shared" si="41"/>
        <v>3160</v>
      </c>
      <c r="BM137" s="72">
        <f t="shared" si="42"/>
        <v>0</v>
      </c>
      <c r="BN137" s="72">
        <f t="shared" si="43"/>
        <v>284.39999999999998</v>
      </c>
      <c r="BO137" s="72">
        <f t="shared" si="44"/>
        <v>284.39999999999998</v>
      </c>
    </row>
    <row r="138" spans="1:67" x14ac:dyDescent="0.2">
      <c r="A138" s="511">
        <v>48211020</v>
      </c>
      <c r="B138" s="467" t="s">
        <v>1282</v>
      </c>
      <c r="C138" s="512">
        <f t="shared" si="45"/>
        <v>0</v>
      </c>
      <c r="D138" s="512">
        <f>SUMIFS(PURCHASE!$K$6:$K$10008,PURCHASE!$A$6:$A$10008,$M$2,PURCHASE!$H$6:$H$10008,$A$4:$A$2700)</f>
        <v>0</v>
      </c>
      <c r="E138" s="512">
        <f>SUMIFS(PURCHASE!$L$6:$L$10008,PURCHASE!$A$6:$A$10008,$M$2,PURCHASE!$H$6:$H$10008,$A$4:$A$2700)</f>
        <v>0</v>
      </c>
      <c r="F138" s="512">
        <f>SUMIFS(PURCHASE!$M$6:$M$10008,PURCHASE!$A$6:$A$10008,$M$2,PURCHASE!$H$6:$H$10008,$A$4:$A$2700)</f>
        <v>0</v>
      </c>
      <c r="G138" s="512">
        <f>SUMIFS(PURCHASE!$N$6:$N$10008,PURCHASE!$A$6:$A$10008,$M$2,PURCHASE!$H$6:$H$10008,$A$4:$A$2700)</f>
        <v>0</v>
      </c>
      <c r="H138" s="512">
        <f t="shared" si="46"/>
        <v>0</v>
      </c>
      <c r="I138" s="512">
        <f>SUMIFS(PURCHASE!$K$6:$K$10008,PURCHASE!$A$6:$A$10008,$H$2,PURCHASE!$H$6:$H$10008,$A$4:$A$2700)</f>
        <v>0</v>
      </c>
      <c r="J138" s="512">
        <f>SUMIFS(PURCHASE!$L$6:$L$10008,PURCHASE!$A$6:$A$10008,$H$2,PURCHASE!$H$6:$H$10008,$A$4:$A$2700)</f>
        <v>0</v>
      </c>
      <c r="K138" s="512">
        <f>SUMIFS(PURCHASE!$M$6:$M$10008,PURCHASE!$A$6:$A$10008,$H$2,PURCHASE!$H$6:$H$10008,$A$4:$A$2700)</f>
        <v>0</v>
      </c>
      <c r="L138" s="512">
        <f>SUMIFS(PURCHASE!$N$6:$N$10008,PURCHASE!$A$6:$A$10008,$H$2,PURCHASE!$H$6:$H$10008,$A$4:$A$2700)</f>
        <v>0</v>
      </c>
      <c r="M138" s="512">
        <f t="shared" si="47"/>
        <v>0</v>
      </c>
      <c r="N138" s="512">
        <f>SUMIFS(PURCHASE!$K$6:$K$10008,PURCHASE!$A$6:$A$10008,$M$2,PURCHASE!$H$6:$H$10008,$A$4:$A$2700)</f>
        <v>0</v>
      </c>
      <c r="O138" s="512">
        <f>SUMIFS(PURCHASE!$L$6:$L$10008,PURCHASE!$A$6:$A$10008,$M$2,PURCHASE!$H$6:$H$10008,$A$4:$A$2700)</f>
        <v>0</v>
      </c>
      <c r="P138" s="512">
        <f>SUMIFS(PURCHASE!$M$6:$M$10008,PURCHASE!$A$6:$A$10008,$M$2,PURCHASE!$H$6:$H$10008,$A$4:$A$2700)</f>
        <v>0</v>
      </c>
      <c r="Q138" s="512">
        <f>SUMIFS(PURCHASE!$N$6:$N$10008,PURCHASE!$A$6:$A$10008,$M$2,PURCHASE!$H$6:$H$10008,$A$4:$A$2700)</f>
        <v>0</v>
      </c>
      <c r="R138" s="512">
        <f t="shared" si="48"/>
        <v>0</v>
      </c>
      <c r="S138" s="512">
        <f>SUMIFS(PURCHASE!$K$6:$K$10008,PURCHASE!$A$6:$A$10008,$R$2,PURCHASE!$H$6:$H$10008,$A$4:$A$2700)</f>
        <v>0</v>
      </c>
      <c r="T138" s="512">
        <f>SUMIFS(PURCHASE!$L$6:$L$10008,PURCHASE!$A$6:$A$10008,$R$2,PURCHASE!$H$6:$H$10008,$A$4:$A$2700)</f>
        <v>0</v>
      </c>
      <c r="U138" s="512">
        <f>SUMIFS(PURCHASE!$M$6:$M$10008,PURCHASE!$A$6:$A$10008,$R$2,PURCHASE!$H$6:$H$10008,$A$4:$A$2700)</f>
        <v>0</v>
      </c>
      <c r="V138" s="512">
        <f>SUMIFS(PURCHASE!$N$6:$N$10008,PURCHASE!$A$6:$A$10008,$R$2,PURCHASE!$H$6:$H$10008,$A$4:$A$2700)</f>
        <v>0</v>
      </c>
      <c r="W138" s="512">
        <f t="shared" si="49"/>
        <v>0</v>
      </c>
      <c r="X138" s="512">
        <f>SUMIFS(PURCHASE!$K$6:$K$10008,PURCHASE!$A$6:$A$10008,$W$2,PURCHASE!$H$6:$H$10008,$A$4:$A$2700)</f>
        <v>0</v>
      </c>
      <c r="Y138" s="512">
        <f>SUMIFS(PURCHASE!$L$6:$L$10008,PURCHASE!$A$6:$A$10008,$W$2,PURCHASE!$H$6:$H$10008,$A$4:$A$2700)</f>
        <v>0</v>
      </c>
      <c r="Z138" s="512">
        <f>SUMIFS(PURCHASE!$M$6:$M$10008,PURCHASE!$A$6:$A$10008,$W$2,PURCHASE!$H$6:$H$10008,$A$4:$A$2700)</f>
        <v>0</v>
      </c>
      <c r="AA138" s="512">
        <f>SUMIFS(PURCHASE!$N$6:$N$10008,PURCHASE!$A$6:$A$10008,$W$2,PURCHASE!$H$6:$H$10008,$A$4:$A$2700)</f>
        <v>0</v>
      </c>
      <c r="AB138" s="512">
        <f t="shared" si="50"/>
        <v>0</v>
      </c>
      <c r="AC138" s="512">
        <f>SUMIFS(PURCHASE!$K$6:$K$10008,PURCHASE!$A$6:$A$10008,$AB$2,PURCHASE!$H$6:$H$10008,$A$4:$A$2700)</f>
        <v>0</v>
      </c>
      <c r="AD138" s="512">
        <f>SUMIFS(PURCHASE!$L$6:$L$10008,PURCHASE!$A$6:$A$10008,$AB$2,PURCHASE!$H$6:$H$10008,$A$4:$A$2700)</f>
        <v>0</v>
      </c>
      <c r="AE138" s="512">
        <f>SUMIFS(PURCHASE!$M$6:$M$10008,PURCHASE!$A$6:$A$10008,$AB$2,PURCHASE!$H$6:$H$10008,$A$4:$A$2700)</f>
        <v>0</v>
      </c>
      <c r="AF138" s="512">
        <f>SUMIFS(PURCHASE!$N$6:$N$10008,PURCHASE!$A$6:$A$10008,$AB$2,PURCHASE!$H$6:$H$10008,$A$4:$A$2700)</f>
        <v>0</v>
      </c>
      <c r="AG138" s="512">
        <f t="shared" si="51"/>
        <v>0</v>
      </c>
      <c r="AH138" s="512">
        <f>SUMIFS(PURCHASE!$K$6:$K$10008,PURCHASE!$A$6:$A$10008,$AG$2,PURCHASE!$H$6:$H$10008,$A$4:$A$2700)</f>
        <v>0</v>
      </c>
      <c r="AI138" s="512">
        <f>SUMIFS(PURCHASE!$L$6:$L$10008,PURCHASE!$A$6:$A$10008,$AG$2,PURCHASE!$H$6:$H$10008,$A$4:$A$2700)</f>
        <v>0</v>
      </c>
      <c r="AJ138" s="512">
        <f>SUMIFS(PURCHASE!$M$6:$M$10008,PURCHASE!$A$6:$A$10008,$AG$2,PURCHASE!$H$6:$H$10008,$A$4:$A$2700)</f>
        <v>0</v>
      </c>
      <c r="AK138" s="512">
        <f>SUMIFS(PURCHASE!$N$6:$N$10008,PURCHASE!$A$6:$A$10008,$AG$2,PURCHASE!$H$6:$H$10008,$A$4:$A$2700)</f>
        <v>0</v>
      </c>
      <c r="AL138" s="512">
        <f t="shared" si="52"/>
        <v>0</v>
      </c>
      <c r="AM138" s="512">
        <f>SUMIFS(PURCHASE!$K$6:$K$10008,PURCHASE!$A$6:$A$10008,$AL$2,PURCHASE!$H$6:$H$10008,$A$4:$A$2700)</f>
        <v>0</v>
      </c>
      <c r="AN138" s="512">
        <f>SUMIFS(PURCHASE!$L$6:$L$10008,PURCHASE!$A$6:$A$10008,$AL$2,PURCHASE!$H$6:$H$10008,$A$4:$A$2700)</f>
        <v>0</v>
      </c>
      <c r="AO138" s="512">
        <f>SUMIFS(PURCHASE!$M$6:$M$10008,PURCHASE!$A$6:$A$10008,$AL$2,PURCHASE!$H$6:$H$10008,$A$4:$A$2700)</f>
        <v>0</v>
      </c>
      <c r="AP138" s="512">
        <f>SUMIFS(PURCHASE!$N$6:$N$10008,PURCHASE!$A$6:$A$10008,$AL$2,PURCHASE!$H$6:$H$10008,$A$4:$A$2700)</f>
        <v>0</v>
      </c>
      <c r="AQ138" s="512">
        <f t="shared" si="53"/>
        <v>0</v>
      </c>
      <c r="AR138" s="512">
        <f>SUMIFS(PURCHASE!$K$6:$K$10008,PURCHASE!$A$6:$A$10008,$AQ$2,PURCHASE!$H$6:$H$10008,$A$4:$A$2700)</f>
        <v>0</v>
      </c>
      <c r="AS138" s="512">
        <f>SUMIFS(PURCHASE!$L$6:$L$10008,PURCHASE!$A$6:$A$10008,$AQ$2,PURCHASE!$H$6:$H$10008,$A$4:$A$2700)</f>
        <v>0</v>
      </c>
      <c r="AT138" s="512">
        <f>SUMIFS(PURCHASE!$M$6:$M$10008,PURCHASE!$A$6:$A$10008,$AQ$2,PURCHASE!$H$6:$H$10008,$A$4:$A$2700)</f>
        <v>0</v>
      </c>
      <c r="AU138" s="512">
        <f>SUMIFS(PURCHASE!$N$6:$N$10008,PURCHASE!$A$6:$A$10008,$AQ$2,PURCHASE!$H$6:$H$10008,$A$4:$A$2700)</f>
        <v>0</v>
      </c>
      <c r="AV138" s="512">
        <f t="shared" si="54"/>
        <v>0</v>
      </c>
      <c r="AW138" s="512">
        <f>SUMIFS(PURCHASE!$K$6:$K$10008,PURCHASE!$A$6:$A$10008,$AV$2,PURCHASE!$H$6:$H$10008,$A$4:$A$2700)</f>
        <v>0</v>
      </c>
      <c r="AX138" s="512">
        <f>SUMIFS(PURCHASE!$L$6:$L$10008,PURCHASE!$A$6:$A$10008,$AV$2,PURCHASE!$H$6:$H$10008,$A$4:$A$2700)</f>
        <v>0</v>
      </c>
      <c r="AY138" s="512">
        <f>SUMIFS(PURCHASE!$M$6:$M$10008,PURCHASE!$A$6:$A$10008,$AV$2,PURCHASE!$H$6:$H$10008,$A$4:$A$2700)</f>
        <v>0</v>
      </c>
      <c r="AZ138" s="512">
        <f>SUMIFS(PURCHASE!$N$6:$N$10008,PURCHASE!$A$6:$A$10008,$AV$2,PURCHASE!$H$6:$H$10008,$A$4:$A$2700)</f>
        <v>0</v>
      </c>
      <c r="BA138" s="512">
        <f t="shared" si="55"/>
        <v>0</v>
      </c>
      <c r="BB138" s="512">
        <f>SUMIFS(PURCHASE!$K$6:$K$10008,PURCHASE!$A$6:$A$10008,$BA$2,PURCHASE!$H$6:$H$10008,$A$4:$A$2700)</f>
        <v>0</v>
      </c>
      <c r="BC138" s="512">
        <f>SUMIFS(PURCHASE!$L$6:$L$10008,PURCHASE!$A$6:$A$10008,$BA$2,PURCHASE!$H$6:$H$10008,$A$4:$A$2700)</f>
        <v>0</v>
      </c>
      <c r="BD138" s="512">
        <f>SUMIFS(PURCHASE!$M$6:$M$10008,PURCHASE!$A$6:$A$10008,$BA$2,PURCHASE!$H$6:$H$10008,$A$4:$A$2700)</f>
        <v>0</v>
      </c>
      <c r="BE138" s="512">
        <f>SUMIFS(PURCHASE!$N$6:$N$10008,PURCHASE!$A$6:$A$10008,$BA$2,PURCHASE!$H$6:$H$10008,$A$4:$A$2700)</f>
        <v>0</v>
      </c>
      <c r="BF138" s="512">
        <f t="shared" si="56"/>
        <v>0</v>
      </c>
      <c r="BG138" s="512">
        <f>SUMIFS(PURCHASE!$K$6:$K$10008,PURCHASE!$A$6:$A$10008,$BF$2,PURCHASE!$H$6:$H$10008,$A$4:$A$2700)</f>
        <v>0</v>
      </c>
      <c r="BH138" s="512">
        <f>SUMIFS(PURCHASE!$L$6:$L$10008,PURCHASE!$A$6:$A$10008,$BF$2,PURCHASE!$H$6:$H$10008,$A$4:$A$2700)</f>
        <v>0</v>
      </c>
      <c r="BI138" s="512">
        <f>SUMIFS(PURCHASE!$M$6:$M$10008,PURCHASE!$A$6:$A$10008,$BF$2,PURCHASE!$H$6:$H$10008,$A$4:$A$2700)</f>
        <v>0</v>
      </c>
      <c r="BJ138" s="512">
        <f>SUMIFS(PURCHASE!$N$6:$N$10008,PURCHASE!$A$6:$A$10008,$BF$2,PURCHASE!$H$6:$H$10008,$A$4:$A$2700)</f>
        <v>0</v>
      </c>
      <c r="BK138" s="72">
        <f t="shared" si="40"/>
        <v>0</v>
      </c>
      <c r="BL138" s="72">
        <f t="shared" si="41"/>
        <v>0</v>
      </c>
      <c r="BM138" s="72">
        <f t="shared" si="42"/>
        <v>0</v>
      </c>
      <c r="BN138" s="72">
        <f t="shared" si="43"/>
        <v>0</v>
      </c>
      <c r="BO138" s="72">
        <f t="shared" si="44"/>
        <v>0</v>
      </c>
    </row>
    <row r="139" spans="1:67" x14ac:dyDescent="0.2">
      <c r="A139" s="511">
        <v>48211090</v>
      </c>
      <c r="B139" s="467" t="s">
        <v>1283</v>
      </c>
      <c r="C139" s="512">
        <f t="shared" si="45"/>
        <v>0</v>
      </c>
      <c r="D139" s="512">
        <f>SUMIFS(PURCHASE!$K$6:$K$10008,PURCHASE!$A$6:$A$10008,$M$2,PURCHASE!$H$6:$H$10008,$A$4:$A$2700)</f>
        <v>0</v>
      </c>
      <c r="E139" s="512">
        <f>SUMIFS(PURCHASE!$L$6:$L$10008,PURCHASE!$A$6:$A$10008,$M$2,PURCHASE!$H$6:$H$10008,$A$4:$A$2700)</f>
        <v>0</v>
      </c>
      <c r="F139" s="512">
        <f>SUMIFS(PURCHASE!$M$6:$M$10008,PURCHASE!$A$6:$A$10008,$M$2,PURCHASE!$H$6:$H$10008,$A$4:$A$2700)</f>
        <v>0</v>
      </c>
      <c r="G139" s="512">
        <f>SUMIFS(PURCHASE!$N$6:$N$10008,PURCHASE!$A$6:$A$10008,$M$2,PURCHASE!$H$6:$H$10008,$A$4:$A$2700)</f>
        <v>0</v>
      </c>
      <c r="H139" s="512">
        <f t="shared" si="46"/>
        <v>0</v>
      </c>
      <c r="I139" s="512">
        <f>SUMIFS(PURCHASE!$K$6:$K$10008,PURCHASE!$A$6:$A$10008,$H$2,PURCHASE!$H$6:$H$10008,$A$4:$A$2700)</f>
        <v>0</v>
      </c>
      <c r="J139" s="512">
        <f>SUMIFS(PURCHASE!$L$6:$L$10008,PURCHASE!$A$6:$A$10008,$H$2,PURCHASE!$H$6:$H$10008,$A$4:$A$2700)</f>
        <v>0</v>
      </c>
      <c r="K139" s="512">
        <f>SUMIFS(PURCHASE!$M$6:$M$10008,PURCHASE!$A$6:$A$10008,$H$2,PURCHASE!$H$6:$H$10008,$A$4:$A$2700)</f>
        <v>0</v>
      </c>
      <c r="L139" s="512">
        <f>SUMIFS(PURCHASE!$N$6:$N$10008,PURCHASE!$A$6:$A$10008,$H$2,PURCHASE!$H$6:$H$10008,$A$4:$A$2700)</f>
        <v>0</v>
      </c>
      <c r="M139" s="512">
        <f t="shared" si="47"/>
        <v>0</v>
      </c>
      <c r="N139" s="512">
        <f>SUMIFS(PURCHASE!$K$6:$K$10008,PURCHASE!$A$6:$A$10008,$M$2,PURCHASE!$H$6:$H$10008,$A$4:$A$2700)</f>
        <v>0</v>
      </c>
      <c r="O139" s="512">
        <f>SUMIFS(PURCHASE!$L$6:$L$10008,PURCHASE!$A$6:$A$10008,$M$2,PURCHASE!$H$6:$H$10008,$A$4:$A$2700)</f>
        <v>0</v>
      </c>
      <c r="P139" s="512">
        <f>SUMIFS(PURCHASE!$M$6:$M$10008,PURCHASE!$A$6:$A$10008,$M$2,PURCHASE!$H$6:$H$10008,$A$4:$A$2700)</f>
        <v>0</v>
      </c>
      <c r="Q139" s="512">
        <f>SUMIFS(PURCHASE!$N$6:$N$10008,PURCHASE!$A$6:$A$10008,$M$2,PURCHASE!$H$6:$H$10008,$A$4:$A$2700)</f>
        <v>0</v>
      </c>
      <c r="R139" s="512">
        <f t="shared" si="48"/>
        <v>0</v>
      </c>
      <c r="S139" s="512">
        <f>SUMIFS(PURCHASE!$K$6:$K$10008,PURCHASE!$A$6:$A$10008,$R$2,PURCHASE!$H$6:$H$10008,$A$4:$A$2700)</f>
        <v>0</v>
      </c>
      <c r="T139" s="512">
        <f>SUMIFS(PURCHASE!$L$6:$L$10008,PURCHASE!$A$6:$A$10008,$R$2,PURCHASE!$H$6:$H$10008,$A$4:$A$2700)</f>
        <v>0</v>
      </c>
      <c r="U139" s="512">
        <f>SUMIFS(PURCHASE!$M$6:$M$10008,PURCHASE!$A$6:$A$10008,$R$2,PURCHASE!$H$6:$H$10008,$A$4:$A$2700)</f>
        <v>0</v>
      </c>
      <c r="V139" s="512">
        <f>SUMIFS(PURCHASE!$N$6:$N$10008,PURCHASE!$A$6:$A$10008,$R$2,PURCHASE!$H$6:$H$10008,$A$4:$A$2700)</f>
        <v>0</v>
      </c>
      <c r="W139" s="512">
        <f t="shared" si="49"/>
        <v>3658.59</v>
      </c>
      <c r="X139" s="512">
        <f>SUMIFS(PURCHASE!$K$6:$K$10008,PURCHASE!$A$6:$A$10008,$W$2,PURCHASE!$H$6:$H$10008,$A$4:$A$2700)</f>
        <v>3100.5</v>
      </c>
      <c r="Y139" s="512">
        <f>SUMIFS(PURCHASE!$L$6:$L$10008,PURCHASE!$A$6:$A$10008,$W$2,PURCHASE!$H$6:$H$10008,$A$4:$A$2700)</f>
        <v>0</v>
      </c>
      <c r="Z139" s="512">
        <f>SUMIFS(PURCHASE!$M$6:$M$10008,PURCHASE!$A$6:$A$10008,$W$2,PURCHASE!$H$6:$H$10008,$A$4:$A$2700)</f>
        <v>279.04500000000002</v>
      </c>
      <c r="AA139" s="512">
        <f>SUMIFS(PURCHASE!$N$6:$N$10008,PURCHASE!$A$6:$A$10008,$W$2,PURCHASE!$H$6:$H$10008,$A$4:$A$2700)</f>
        <v>279.04500000000002</v>
      </c>
      <c r="AB139" s="512">
        <f t="shared" si="50"/>
        <v>0</v>
      </c>
      <c r="AC139" s="512">
        <f>SUMIFS(PURCHASE!$K$6:$K$10008,PURCHASE!$A$6:$A$10008,$AB$2,PURCHASE!$H$6:$H$10008,$A$4:$A$2700)</f>
        <v>0</v>
      </c>
      <c r="AD139" s="512">
        <f>SUMIFS(PURCHASE!$L$6:$L$10008,PURCHASE!$A$6:$A$10008,$AB$2,PURCHASE!$H$6:$H$10008,$A$4:$A$2700)</f>
        <v>0</v>
      </c>
      <c r="AE139" s="512">
        <f>SUMIFS(PURCHASE!$M$6:$M$10008,PURCHASE!$A$6:$A$10008,$AB$2,PURCHASE!$H$6:$H$10008,$A$4:$A$2700)</f>
        <v>0</v>
      </c>
      <c r="AF139" s="512">
        <f>SUMIFS(PURCHASE!$N$6:$N$10008,PURCHASE!$A$6:$A$10008,$AB$2,PURCHASE!$H$6:$H$10008,$A$4:$A$2700)</f>
        <v>0</v>
      </c>
      <c r="AG139" s="512">
        <f t="shared" si="51"/>
        <v>0</v>
      </c>
      <c r="AH139" s="512">
        <f>SUMIFS(PURCHASE!$K$6:$K$10008,PURCHASE!$A$6:$A$10008,$AG$2,PURCHASE!$H$6:$H$10008,$A$4:$A$2700)</f>
        <v>0</v>
      </c>
      <c r="AI139" s="512">
        <f>SUMIFS(PURCHASE!$L$6:$L$10008,PURCHASE!$A$6:$A$10008,$AG$2,PURCHASE!$H$6:$H$10008,$A$4:$A$2700)</f>
        <v>0</v>
      </c>
      <c r="AJ139" s="512">
        <f>SUMIFS(PURCHASE!$M$6:$M$10008,PURCHASE!$A$6:$A$10008,$AG$2,PURCHASE!$H$6:$H$10008,$A$4:$A$2700)</f>
        <v>0</v>
      </c>
      <c r="AK139" s="512">
        <f>SUMIFS(PURCHASE!$N$6:$N$10008,PURCHASE!$A$6:$A$10008,$AG$2,PURCHASE!$H$6:$H$10008,$A$4:$A$2700)</f>
        <v>0</v>
      </c>
      <c r="AL139" s="512">
        <f t="shared" si="52"/>
        <v>0</v>
      </c>
      <c r="AM139" s="512">
        <f>SUMIFS(PURCHASE!$K$6:$K$10008,PURCHASE!$A$6:$A$10008,$AL$2,PURCHASE!$H$6:$H$10008,$A$4:$A$2700)</f>
        <v>0</v>
      </c>
      <c r="AN139" s="512">
        <f>SUMIFS(PURCHASE!$L$6:$L$10008,PURCHASE!$A$6:$A$10008,$AL$2,PURCHASE!$H$6:$H$10008,$A$4:$A$2700)</f>
        <v>0</v>
      </c>
      <c r="AO139" s="512">
        <f>SUMIFS(PURCHASE!$M$6:$M$10008,PURCHASE!$A$6:$A$10008,$AL$2,PURCHASE!$H$6:$H$10008,$A$4:$A$2700)</f>
        <v>0</v>
      </c>
      <c r="AP139" s="512">
        <f>SUMIFS(PURCHASE!$N$6:$N$10008,PURCHASE!$A$6:$A$10008,$AL$2,PURCHASE!$H$6:$H$10008,$A$4:$A$2700)</f>
        <v>0</v>
      </c>
      <c r="AQ139" s="512">
        <f t="shared" si="53"/>
        <v>0</v>
      </c>
      <c r="AR139" s="512">
        <f>SUMIFS(PURCHASE!$K$6:$K$10008,PURCHASE!$A$6:$A$10008,$AQ$2,PURCHASE!$H$6:$H$10008,$A$4:$A$2700)</f>
        <v>0</v>
      </c>
      <c r="AS139" s="512">
        <f>SUMIFS(PURCHASE!$L$6:$L$10008,PURCHASE!$A$6:$A$10008,$AQ$2,PURCHASE!$H$6:$H$10008,$A$4:$A$2700)</f>
        <v>0</v>
      </c>
      <c r="AT139" s="512">
        <f>SUMIFS(PURCHASE!$M$6:$M$10008,PURCHASE!$A$6:$A$10008,$AQ$2,PURCHASE!$H$6:$H$10008,$A$4:$A$2700)</f>
        <v>0</v>
      </c>
      <c r="AU139" s="512">
        <f>SUMIFS(PURCHASE!$N$6:$N$10008,PURCHASE!$A$6:$A$10008,$AQ$2,PURCHASE!$H$6:$H$10008,$A$4:$A$2700)</f>
        <v>0</v>
      </c>
      <c r="AV139" s="512">
        <f t="shared" si="54"/>
        <v>0</v>
      </c>
      <c r="AW139" s="512">
        <f>SUMIFS(PURCHASE!$K$6:$K$10008,PURCHASE!$A$6:$A$10008,$AV$2,PURCHASE!$H$6:$H$10008,$A$4:$A$2700)</f>
        <v>0</v>
      </c>
      <c r="AX139" s="512">
        <f>SUMIFS(PURCHASE!$L$6:$L$10008,PURCHASE!$A$6:$A$10008,$AV$2,PURCHASE!$H$6:$H$10008,$A$4:$A$2700)</f>
        <v>0</v>
      </c>
      <c r="AY139" s="512">
        <f>SUMIFS(PURCHASE!$M$6:$M$10008,PURCHASE!$A$6:$A$10008,$AV$2,PURCHASE!$H$6:$H$10008,$A$4:$A$2700)</f>
        <v>0</v>
      </c>
      <c r="AZ139" s="512">
        <f>SUMIFS(PURCHASE!$N$6:$N$10008,PURCHASE!$A$6:$A$10008,$AV$2,PURCHASE!$H$6:$H$10008,$A$4:$A$2700)</f>
        <v>0</v>
      </c>
      <c r="BA139" s="512">
        <f t="shared" si="55"/>
        <v>0</v>
      </c>
      <c r="BB139" s="512">
        <f>SUMIFS(PURCHASE!$K$6:$K$10008,PURCHASE!$A$6:$A$10008,$BA$2,PURCHASE!$H$6:$H$10008,$A$4:$A$2700)</f>
        <v>0</v>
      </c>
      <c r="BC139" s="512">
        <f>SUMIFS(PURCHASE!$L$6:$L$10008,PURCHASE!$A$6:$A$10008,$BA$2,PURCHASE!$H$6:$H$10008,$A$4:$A$2700)</f>
        <v>0</v>
      </c>
      <c r="BD139" s="512">
        <f>SUMIFS(PURCHASE!$M$6:$M$10008,PURCHASE!$A$6:$A$10008,$BA$2,PURCHASE!$H$6:$H$10008,$A$4:$A$2700)</f>
        <v>0</v>
      </c>
      <c r="BE139" s="512">
        <f>SUMIFS(PURCHASE!$N$6:$N$10008,PURCHASE!$A$6:$A$10008,$BA$2,PURCHASE!$H$6:$H$10008,$A$4:$A$2700)</f>
        <v>0</v>
      </c>
      <c r="BF139" s="512">
        <f t="shared" si="56"/>
        <v>0</v>
      </c>
      <c r="BG139" s="512">
        <f>SUMIFS(PURCHASE!$K$6:$K$10008,PURCHASE!$A$6:$A$10008,$BF$2,PURCHASE!$H$6:$H$10008,$A$4:$A$2700)</f>
        <v>0</v>
      </c>
      <c r="BH139" s="512">
        <f>SUMIFS(PURCHASE!$L$6:$L$10008,PURCHASE!$A$6:$A$10008,$BF$2,PURCHASE!$H$6:$H$10008,$A$4:$A$2700)</f>
        <v>0</v>
      </c>
      <c r="BI139" s="512">
        <f>SUMIFS(PURCHASE!$M$6:$M$10008,PURCHASE!$A$6:$A$10008,$BF$2,PURCHASE!$H$6:$H$10008,$A$4:$A$2700)</f>
        <v>0</v>
      </c>
      <c r="BJ139" s="512">
        <f>SUMIFS(PURCHASE!$N$6:$N$10008,PURCHASE!$A$6:$A$10008,$BF$2,PURCHASE!$H$6:$H$10008,$A$4:$A$2700)</f>
        <v>0</v>
      </c>
      <c r="BK139" s="72">
        <f t="shared" si="40"/>
        <v>3658.59</v>
      </c>
      <c r="BL139" s="72">
        <f t="shared" si="41"/>
        <v>3100.5</v>
      </c>
      <c r="BM139" s="72">
        <f t="shared" si="42"/>
        <v>0</v>
      </c>
      <c r="BN139" s="72">
        <f t="shared" si="43"/>
        <v>279.04500000000002</v>
      </c>
      <c r="BO139" s="72">
        <f t="shared" si="44"/>
        <v>279.04500000000002</v>
      </c>
    </row>
    <row r="140" spans="1:67" x14ac:dyDescent="0.2">
      <c r="A140" s="511">
        <v>59114000</v>
      </c>
      <c r="B140" s="467" t="s">
        <v>1284</v>
      </c>
      <c r="C140" s="512">
        <f t="shared" si="45"/>
        <v>0</v>
      </c>
      <c r="D140" s="512">
        <f>SUMIFS(PURCHASE!$K$6:$K$10008,PURCHASE!$A$6:$A$10008,$M$2,PURCHASE!$H$6:$H$10008,$A$4:$A$2700)</f>
        <v>0</v>
      </c>
      <c r="E140" s="512">
        <f>SUMIFS(PURCHASE!$L$6:$L$10008,PURCHASE!$A$6:$A$10008,$M$2,PURCHASE!$H$6:$H$10008,$A$4:$A$2700)</f>
        <v>0</v>
      </c>
      <c r="F140" s="512">
        <f>SUMIFS(PURCHASE!$M$6:$M$10008,PURCHASE!$A$6:$A$10008,$M$2,PURCHASE!$H$6:$H$10008,$A$4:$A$2700)</f>
        <v>0</v>
      </c>
      <c r="G140" s="512">
        <f>SUMIFS(PURCHASE!$N$6:$N$10008,PURCHASE!$A$6:$A$10008,$M$2,PURCHASE!$H$6:$H$10008,$A$4:$A$2700)</f>
        <v>0</v>
      </c>
      <c r="H140" s="512">
        <f t="shared" si="46"/>
        <v>0</v>
      </c>
      <c r="I140" s="512">
        <f>SUMIFS(PURCHASE!$K$6:$K$10008,PURCHASE!$A$6:$A$10008,$H$2,PURCHASE!$H$6:$H$10008,$A$4:$A$2700)</f>
        <v>0</v>
      </c>
      <c r="J140" s="512">
        <f>SUMIFS(PURCHASE!$L$6:$L$10008,PURCHASE!$A$6:$A$10008,$H$2,PURCHASE!$H$6:$H$10008,$A$4:$A$2700)</f>
        <v>0</v>
      </c>
      <c r="K140" s="512">
        <f>SUMIFS(PURCHASE!$M$6:$M$10008,PURCHASE!$A$6:$A$10008,$H$2,PURCHASE!$H$6:$H$10008,$A$4:$A$2700)</f>
        <v>0</v>
      </c>
      <c r="L140" s="512">
        <f>SUMIFS(PURCHASE!$N$6:$N$10008,PURCHASE!$A$6:$A$10008,$H$2,PURCHASE!$H$6:$H$10008,$A$4:$A$2700)</f>
        <v>0</v>
      </c>
      <c r="M140" s="512">
        <f t="shared" si="47"/>
        <v>0</v>
      </c>
      <c r="N140" s="512">
        <f>SUMIFS(PURCHASE!$K$6:$K$10008,PURCHASE!$A$6:$A$10008,$M$2,PURCHASE!$H$6:$H$10008,$A$4:$A$2700)</f>
        <v>0</v>
      </c>
      <c r="O140" s="512">
        <f>SUMIFS(PURCHASE!$L$6:$L$10008,PURCHASE!$A$6:$A$10008,$M$2,PURCHASE!$H$6:$H$10008,$A$4:$A$2700)</f>
        <v>0</v>
      </c>
      <c r="P140" s="512">
        <f>SUMIFS(PURCHASE!$M$6:$M$10008,PURCHASE!$A$6:$A$10008,$M$2,PURCHASE!$H$6:$H$10008,$A$4:$A$2700)</f>
        <v>0</v>
      </c>
      <c r="Q140" s="512">
        <f>SUMIFS(PURCHASE!$N$6:$N$10008,PURCHASE!$A$6:$A$10008,$M$2,PURCHASE!$H$6:$H$10008,$A$4:$A$2700)</f>
        <v>0</v>
      </c>
      <c r="R140" s="512">
        <f t="shared" si="48"/>
        <v>0</v>
      </c>
      <c r="S140" s="512">
        <f>SUMIFS(PURCHASE!$K$6:$K$10008,PURCHASE!$A$6:$A$10008,$R$2,PURCHASE!$H$6:$H$10008,$A$4:$A$2700)</f>
        <v>0</v>
      </c>
      <c r="T140" s="512">
        <f>SUMIFS(PURCHASE!$L$6:$L$10008,PURCHASE!$A$6:$A$10008,$R$2,PURCHASE!$H$6:$H$10008,$A$4:$A$2700)</f>
        <v>0</v>
      </c>
      <c r="U140" s="512">
        <f>SUMIFS(PURCHASE!$M$6:$M$10008,PURCHASE!$A$6:$A$10008,$R$2,PURCHASE!$H$6:$H$10008,$A$4:$A$2700)</f>
        <v>0</v>
      </c>
      <c r="V140" s="512">
        <f>SUMIFS(PURCHASE!$N$6:$N$10008,PURCHASE!$A$6:$A$10008,$R$2,PURCHASE!$H$6:$H$10008,$A$4:$A$2700)</f>
        <v>0</v>
      </c>
      <c r="W140" s="512">
        <f t="shared" si="49"/>
        <v>0</v>
      </c>
      <c r="X140" s="512">
        <f>SUMIFS(PURCHASE!$K$6:$K$10008,PURCHASE!$A$6:$A$10008,$W$2,PURCHASE!$H$6:$H$10008,$A$4:$A$2700)</f>
        <v>0</v>
      </c>
      <c r="Y140" s="512">
        <f>SUMIFS(PURCHASE!$L$6:$L$10008,PURCHASE!$A$6:$A$10008,$W$2,PURCHASE!$H$6:$H$10008,$A$4:$A$2700)</f>
        <v>0</v>
      </c>
      <c r="Z140" s="512">
        <f>SUMIFS(PURCHASE!$M$6:$M$10008,PURCHASE!$A$6:$A$10008,$W$2,PURCHASE!$H$6:$H$10008,$A$4:$A$2700)</f>
        <v>0</v>
      </c>
      <c r="AA140" s="512">
        <f>SUMIFS(PURCHASE!$N$6:$N$10008,PURCHASE!$A$6:$A$10008,$W$2,PURCHASE!$H$6:$H$10008,$A$4:$A$2700)</f>
        <v>0</v>
      </c>
      <c r="AB140" s="512">
        <f t="shared" si="50"/>
        <v>0</v>
      </c>
      <c r="AC140" s="512">
        <f>SUMIFS(PURCHASE!$K$6:$K$10008,PURCHASE!$A$6:$A$10008,$AB$2,PURCHASE!$H$6:$H$10008,$A$4:$A$2700)</f>
        <v>0</v>
      </c>
      <c r="AD140" s="512">
        <f>SUMIFS(PURCHASE!$L$6:$L$10008,PURCHASE!$A$6:$A$10008,$AB$2,PURCHASE!$H$6:$H$10008,$A$4:$A$2700)</f>
        <v>0</v>
      </c>
      <c r="AE140" s="512">
        <f>SUMIFS(PURCHASE!$M$6:$M$10008,PURCHASE!$A$6:$A$10008,$AB$2,PURCHASE!$H$6:$H$10008,$A$4:$A$2700)</f>
        <v>0</v>
      </c>
      <c r="AF140" s="512">
        <f>SUMIFS(PURCHASE!$N$6:$N$10008,PURCHASE!$A$6:$A$10008,$AB$2,PURCHASE!$H$6:$H$10008,$A$4:$A$2700)</f>
        <v>0</v>
      </c>
      <c r="AG140" s="512">
        <f t="shared" si="51"/>
        <v>0</v>
      </c>
      <c r="AH140" s="512">
        <f>SUMIFS(PURCHASE!$K$6:$K$10008,PURCHASE!$A$6:$A$10008,$AG$2,PURCHASE!$H$6:$H$10008,$A$4:$A$2700)</f>
        <v>0</v>
      </c>
      <c r="AI140" s="512">
        <f>SUMIFS(PURCHASE!$L$6:$L$10008,PURCHASE!$A$6:$A$10008,$AG$2,PURCHASE!$H$6:$H$10008,$A$4:$A$2700)</f>
        <v>0</v>
      </c>
      <c r="AJ140" s="512">
        <f>SUMIFS(PURCHASE!$M$6:$M$10008,PURCHASE!$A$6:$A$10008,$AG$2,PURCHASE!$H$6:$H$10008,$A$4:$A$2700)</f>
        <v>0</v>
      </c>
      <c r="AK140" s="512">
        <f>SUMIFS(PURCHASE!$N$6:$N$10008,PURCHASE!$A$6:$A$10008,$AG$2,PURCHASE!$H$6:$H$10008,$A$4:$A$2700)</f>
        <v>0</v>
      </c>
      <c r="AL140" s="512">
        <f t="shared" si="52"/>
        <v>0</v>
      </c>
      <c r="AM140" s="512">
        <f>SUMIFS(PURCHASE!$K$6:$K$10008,PURCHASE!$A$6:$A$10008,$AL$2,PURCHASE!$H$6:$H$10008,$A$4:$A$2700)</f>
        <v>0</v>
      </c>
      <c r="AN140" s="512">
        <f>SUMIFS(PURCHASE!$L$6:$L$10008,PURCHASE!$A$6:$A$10008,$AL$2,PURCHASE!$H$6:$H$10008,$A$4:$A$2700)</f>
        <v>0</v>
      </c>
      <c r="AO140" s="512">
        <f>SUMIFS(PURCHASE!$M$6:$M$10008,PURCHASE!$A$6:$A$10008,$AL$2,PURCHASE!$H$6:$H$10008,$A$4:$A$2700)</f>
        <v>0</v>
      </c>
      <c r="AP140" s="512">
        <f>SUMIFS(PURCHASE!$N$6:$N$10008,PURCHASE!$A$6:$A$10008,$AL$2,PURCHASE!$H$6:$H$10008,$A$4:$A$2700)</f>
        <v>0</v>
      </c>
      <c r="AQ140" s="512">
        <f t="shared" si="53"/>
        <v>0</v>
      </c>
      <c r="AR140" s="512">
        <f>SUMIFS(PURCHASE!$K$6:$K$10008,PURCHASE!$A$6:$A$10008,$AQ$2,PURCHASE!$H$6:$H$10008,$A$4:$A$2700)</f>
        <v>0</v>
      </c>
      <c r="AS140" s="512">
        <f>SUMIFS(PURCHASE!$L$6:$L$10008,PURCHASE!$A$6:$A$10008,$AQ$2,PURCHASE!$H$6:$H$10008,$A$4:$A$2700)</f>
        <v>0</v>
      </c>
      <c r="AT140" s="512">
        <f>SUMIFS(PURCHASE!$M$6:$M$10008,PURCHASE!$A$6:$A$10008,$AQ$2,PURCHASE!$H$6:$H$10008,$A$4:$A$2700)</f>
        <v>0</v>
      </c>
      <c r="AU140" s="512">
        <f>SUMIFS(PURCHASE!$N$6:$N$10008,PURCHASE!$A$6:$A$10008,$AQ$2,PURCHASE!$H$6:$H$10008,$A$4:$A$2700)</f>
        <v>0</v>
      </c>
      <c r="AV140" s="512">
        <f t="shared" si="54"/>
        <v>0</v>
      </c>
      <c r="AW140" s="512">
        <f>SUMIFS(PURCHASE!$K$6:$K$10008,PURCHASE!$A$6:$A$10008,$AV$2,PURCHASE!$H$6:$H$10008,$A$4:$A$2700)</f>
        <v>0</v>
      </c>
      <c r="AX140" s="512">
        <f>SUMIFS(PURCHASE!$L$6:$L$10008,PURCHASE!$A$6:$A$10008,$AV$2,PURCHASE!$H$6:$H$10008,$A$4:$A$2700)</f>
        <v>0</v>
      </c>
      <c r="AY140" s="512">
        <f>SUMIFS(PURCHASE!$M$6:$M$10008,PURCHASE!$A$6:$A$10008,$AV$2,PURCHASE!$H$6:$H$10008,$A$4:$A$2700)</f>
        <v>0</v>
      </c>
      <c r="AZ140" s="512">
        <f>SUMIFS(PURCHASE!$N$6:$N$10008,PURCHASE!$A$6:$A$10008,$AV$2,PURCHASE!$H$6:$H$10008,$A$4:$A$2700)</f>
        <v>0</v>
      </c>
      <c r="BA140" s="512">
        <f t="shared" si="55"/>
        <v>0</v>
      </c>
      <c r="BB140" s="512">
        <f>SUMIFS(PURCHASE!$K$6:$K$10008,PURCHASE!$A$6:$A$10008,$BA$2,PURCHASE!$H$6:$H$10008,$A$4:$A$2700)</f>
        <v>0</v>
      </c>
      <c r="BC140" s="512">
        <f>SUMIFS(PURCHASE!$L$6:$L$10008,PURCHASE!$A$6:$A$10008,$BA$2,PURCHASE!$H$6:$H$10008,$A$4:$A$2700)</f>
        <v>0</v>
      </c>
      <c r="BD140" s="512">
        <f>SUMIFS(PURCHASE!$M$6:$M$10008,PURCHASE!$A$6:$A$10008,$BA$2,PURCHASE!$H$6:$H$10008,$A$4:$A$2700)</f>
        <v>0</v>
      </c>
      <c r="BE140" s="512">
        <f>SUMIFS(PURCHASE!$N$6:$N$10008,PURCHASE!$A$6:$A$10008,$BA$2,PURCHASE!$H$6:$H$10008,$A$4:$A$2700)</f>
        <v>0</v>
      </c>
      <c r="BF140" s="512">
        <f t="shared" si="56"/>
        <v>0</v>
      </c>
      <c r="BG140" s="512">
        <f>SUMIFS(PURCHASE!$K$6:$K$10008,PURCHASE!$A$6:$A$10008,$BF$2,PURCHASE!$H$6:$H$10008,$A$4:$A$2700)</f>
        <v>0</v>
      </c>
      <c r="BH140" s="512">
        <f>SUMIFS(PURCHASE!$L$6:$L$10008,PURCHASE!$A$6:$A$10008,$BF$2,PURCHASE!$H$6:$H$10008,$A$4:$A$2700)</f>
        <v>0</v>
      </c>
      <c r="BI140" s="512">
        <f>SUMIFS(PURCHASE!$M$6:$M$10008,PURCHASE!$A$6:$A$10008,$BF$2,PURCHASE!$H$6:$H$10008,$A$4:$A$2700)</f>
        <v>0</v>
      </c>
      <c r="BJ140" s="512">
        <f>SUMIFS(PURCHASE!$N$6:$N$10008,PURCHASE!$A$6:$A$10008,$BF$2,PURCHASE!$H$6:$H$10008,$A$4:$A$2700)</f>
        <v>0</v>
      </c>
      <c r="BK140" s="72">
        <f t="shared" si="40"/>
        <v>0</v>
      </c>
      <c r="BL140" s="72">
        <f t="shared" si="41"/>
        <v>0</v>
      </c>
      <c r="BM140" s="72">
        <f t="shared" si="42"/>
        <v>0</v>
      </c>
      <c r="BN140" s="72">
        <f t="shared" si="43"/>
        <v>0</v>
      </c>
      <c r="BO140" s="72">
        <f t="shared" si="44"/>
        <v>0</v>
      </c>
    </row>
    <row r="141" spans="1:67" x14ac:dyDescent="0.2">
      <c r="A141" s="511">
        <v>59111000</v>
      </c>
      <c r="B141" s="467" t="s">
        <v>1284</v>
      </c>
      <c r="C141" s="512">
        <f t="shared" si="45"/>
        <v>0</v>
      </c>
      <c r="D141" s="512">
        <f>SUMIFS(PURCHASE!$K$6:$K$10008,PURCHASE!$A$6:$A$10008,$M$2,PURCHASE!$H$6:$H$10008,$A$4:$A$2700)</f>
        <v>0</v>
      </c>
      <c r="E141" s="512">
        <f>SUMIFS(PURCHASE!$L$6:$L$10008,PURCHASE!$A$6:$A$10008,$M$2,PURCHASE!$H$6:$H$10008,$A$4:$A$2700)</f>
        <v>0</v>
      </c>
      <c r="F141" s="512">
        <f>SUMIFS(PURCHASE!$M$6:$M$10008,PURCHASE!$A$6:$A$10008,$M$2,PURCHASE!$H$6:$H$10008,$A$4:$A$2700)</f>
        <v>0</v>
      </c>
      <c r="G141" s="512">
        <f>SUMIFS(PURCHASE!$N$6:$N$10008,PURCHASE!$A$6:$A$10008,$M$2,PURCHASE!$H$6:$H$10008,$A$4:$A$2700)</f>
        <v>0</v>
      </c>
      <c r="H141" s="512">
        <f t="shared" si="46"/>
        <v>0</v>
      </c>
      <c r="I141" s="512">
        <f>SUMIFS(PURCHASE!$K$6:$K$10008,PURCHASE!$A$6:$A$10008,$H$2,PURCHASE!$H$6:$H$10008,$A$4:$A$2700)</f>
        <v>0</v>
      </c>
      <c r="J141" s="512">
        <f>SUMIFS(PURCHASE!$L$6:$L$10008,PURCHASE!$A$6:$A$10008,$H$2,PURCHASE!$H$6:$H$10008,$A$4:$A$2700)</f>
        <v>0</v>
      </c>
      <c r="K141" s="512">
        <f>SUMIFS(PURCHASE!$M$6:$M$10008,PURCHASE!$A$6:$A$10008,$H$2,PURCHASE!$H$6:$H$10008,$A$4:$A$2700)</f>
        <v>0</v>
      </c>
      <c r="L141" s="512">
        <f>SUMIFS(PURCHASE!$N$6:$N$10008,PURCHASE!$A$6:$A$10008,$H$2,PURCHASE!$H$6:$H$10008,$A$4:$A$2700)</f>
        <v>0</v>
      </c>
      <c r="M141" s="512">
        <f t="shared" si="47"/>
        <v>0</v>
      </c>
      <c r="N141" s="512">
        <f>SUMIFS(PURCHASE!$K$6:$K$10008,PURCHASE!$A$6:$A$10008,$M$2,PURCHASE!$H$6:$H$10008,$A$4:$A$2700)</f>
        <v>0</v>
      </c>
      <c r="O141" s="512">
        <f>SUMIFS(PURCHASE!$L$6:$L$10008,PURCHASE!$A$6:$A$10008,$M$2,PURCHASE!$H$6:$H$10008,$A$4:$A$2700)</f>
        <v>0</v>
      </c>
      <c r="P141" s="512">
        <f>SUMIFS(PURCHASE!$M$6:$M$10008,PURCHASE!$A$6:$A$10008,$M$2,PURCHASE!$H$6:$H$10008,$A$4:$A$2700)</f>
        <v>0</v>
      </c>
      <c r="Q141" s="512">
        <f>SUMIFS(PURCHASE!$N$6:$N$10008,PURCHASE!$A$6:$A$10008,$M$2,PURCHASE!$H$6:$H$10008,$A$4:$A$2700)</f>
        <v>0</v>
      </c>
      <c r="R141" s="512">
        <f t="shared" si="48"/>
        <v>0</v>
      </c>
      <c r="S141" s="512">
        <f>SUMIFS(PURCHASE!$K$6:$K$10008,PURCHASE!$A$6:$A$10008,$R$2,PURCHASE!$H$6:$H$10008,$A$4:$A$2700)</f>
        <v>0</v>
      </c>
      <c r="T141" s="512">
        <f>SUMIFS(PURCHASE!$L$6:$L$10008,PURCHASE!$A$6:$A$10008,$R$2,PURCHASE!$H$6:$H$10008,$A$4:$A$2700)</f>
        <v>0</v>
      </c>
      <c r="U141" s="512">
        <f>SUMIFS(PURCHASE!$M$6:$M$10008,PURCHASE!$A$6:$A$10008,$R$2,PURCHASE!$H$6:$H$10008,$A$4:$A$2700)</f>
        <v>0</v>
      </c>
      <c r="V141" s="512">
        <f>SUMIFS(PURCHASE!$N$6:$N$10008,PURCHASE!$A$6:$A$10008,$R$2,PURCHASE!$H$6:$H$10008,$A$4:$A$2700)</f>
        <v>0</v>
      </c>
      <c r="W141" s="512">
        <f t="shared" si="49"/>
        <v>0</v>
      </c>
      <c r="X141" s="512">
        <f>SUMIFS(PURCHASE!$K$6:$K$10008,PURCHASE!$A$6:$A$10008,$W$2,PURCHASE!$H$6:$H$10008,$A$4:$A$2700)</f>
        <v>0</v>
      </c>
      <c r="Y141" s="512">
        <f>SUMIFS(PURCHASE!$L$6:$L$10008,PURCHASE!$A$6:$A$10008,$W$2,PURCHASE!$H$6:$H$10008,$A$4:$A$2700)</f>
        <v>0</v>
      </c>
      <c r="Z141" s="512">
        <f>SUMIFS(PURCHASE!$M$6:$M$10008,PURCHASE!$A$6:$A$10008,$W$2,PURCHASE!$H$6:$H$10008,$A$4:$A$2700)</f>
        <v>0</v>
      </c>
      <c r="AA141" s="512">
        <f>SUMIFS(PURCHASE!$N$6:$N$10008,PURCHASE!$A$6:$A$10008,$W$2,PURCHASE!$H$6:$H$10008,$A$4:$A$2700)</f>
        <v>0</v>
      </c>
      <c r="AB141" s="512">
        <f t="shared" si="50"/>
        <v>1456</v>
      </c>
      <c r="AC141" s="512">
        <f>SUMIFS(PURCHASE!$K$6:$K$10008,PURCHASE!$A$6:$A$10008,$AB$2,PURCHASE!$H$6:$H$10008,$A$4:$A$2700)</f>
        <v>1300</v>
      </c>
      <c r="AD141" s="512">
        <f>SUMIFS(PURCHASE!$L$6:$L$10008,PURCHASE!$A$6:$A$10008,$AB$2,PURCHASE!$H$6:$H$10008,$A$4:$A$2700)</f>
        <v>0</v>
      </c>
      <c r="AE141" s="512">
        <f>SUMIFS(PURCHASE!$M$6:$M$10008,PURCHASE!$A$6:$A$10008,$AB$2,PURCHASE!$H$6:$H$10008,$A$4:$A$2700)</f>
        <v>78</v>
      </c>
      <c r="AF141" s="512">
        <f>SUMIFS(PURCHASE!$N$6:$N$10008,PURCHASE!$A$6:$A$10008,$AB$2,PURCHASE!$H$6:$H$10008,$A$4:$A$2700)</f>
        <v>78</v>
      </c>
      <c r="AG141" s="512">
        <f t="shared" si="51"/>
        <v>1456</v>
      </c>
      <c r="AH141" s="512">
        <f>SUMIFS(PURCHASE!$K$6:$K$10008,PURCHASE!$A$6:$A$10008,$AG$2,PURCHASE!$H$6:$H$10008,$A$4:$A$2700)</f>
        <v>1300</v>
      </c>
      <c r="AI141" s="512">
        <f>SUMIFS(PURCHASE!$L$6:$L$10008,PURCHASE!$A$6:$A$10008,$AG$2,PURCHASE!$H$6:$H$10008,$A$4:$A$2700)</f>
        <v>0</v>
      </c>
      <c r="AJ141" s="512">
        <f>SUMIFS(PURCHASE!$M$6:$M$10008,PURCHASE!$A$6:$A$10008,$AG$2,PURCHASE!$H$6:$H$10008,$A$4:$A$2700)</f>
        <v>78</v>
      </c>
      <c r="AK141" s="512">
        <f>SUMIFS(PURCHASE!$N$6:$N$10008,PURCHASE!$A$6:$A$10008,$AG$2,PURCHASE!$H$6:$H$10008,$A$4:$A$2700)</f>
        <v>78</v>
      </c>
      <c r="AL141" s="512">
        <f t="shared" si="52"/>
        <v>0</v>
      </c>
      <c r="AM141" s="512">
        <f>SUMIFS(PURCHASE!$K$6:$K$10008,PURCHASE!$A$6:$A$10008,$AL$2,PURCHASE!$H$6:$H$10008,$A$4:$A$2700)</f>
        <v>0</v>
      </c>
      <c r="AN141" s="512">
        <f>SUMIFS(PURCHASE!$L$6:$L$10008,PURCHASE!$A$6:$A$10008,$AL$2,PURCHASE!$H$6:$H$10008,$A$4:$A$2700)</f>
        <v>0</v>
      </c>
      <c r="AO141" s="512">
        <f>SUMIFS(PURCHASE!$M$6:$M$10008,PURCHASE!$A$6:$A$10008,$AL$2,PURCHASE!$H$6:$H$10008,$A$4:$A$2700)</f>
        <v>0</v>
      </c>
      <c r="AP141" s="512">
        <f>SUMIFS(PURCHASE!$N$6:$N$10008,PURCHASE!$A$6:$A$10008,$AL$2,PURCHASE!$H$6:$H$10008,$A$4:$A$2700)</f>
        <v>0</v>
      </c>
      <c r="AQ141" s="512">
        <f t="shared" si="53"/>
        <v>0</v>
      </c>
      <c r="AR141" s="512">
        <f>SUMIFS(PURCHASE!$K$6:$K$10008,PURCHASE!$A$6:$A$10008,$AQ$2,PURCHASE!$H$6:$H$10008,$A$4:$A$2700)</f>
        <v>0</v>
      </c>
      <c r="AS141" s="512">
        <f>SUMIFS(PURCHASE!$L$6:$L$10008,PURCHASE!$A$6:$A$10008,$AQ$2,PURCHASE!$H$6:$H$10008,$A$4:$A$2700)</f>
        <v>0</v>
      </c>
      <c r="AT141" s="512">
        <f>SUMIFS(PURCHASE!$M$6:$M$10008,PURCHASE!$A$6:$A$10008,$AQ$2,PURCHASE!$H$6:$H$10008,$A$4:$A$2700)</f>
        <v>0</v>
      </c>
      <c r="AU141" s="512">
        <f>SUMIFS(PURCHASE!$N$6:$N$10008,PURCHASE!$A$6:$A$10008,$AQ$2,PURCHASE!$H$6:$H$10008,$A$4:$A$2700)</f>
        <v>0</v>
      </c>
      <c r="AV141" s="512">
        <f t="shared" si="54"/>
        <v>0</v>
      </c>
      <c r="AW141" s="512">
        <f>SUMIFS(PURCHASE!$K$6:$K$10008,PURCHASE!$A$6:$A$10008,$AV$2,PURCHASE!$H$6:$H$10008,$A$4:$A$2700)</f>
        <v>0</v>
      </c>
      <c r="AX141" s="512">
        <f>SUMIFS(PURCHASE!$L$6:$L$10008,PURCHASE!$A$6:$A$10008,$AV$2,PURCHASE!$H$6:$H$10008,$A$4:$A$2700)</f>
        <v>0</v>
      </c>
      <c r="AY141" s="512">
        <f>SUMIFS(PURCHASE!$M$6:$M$10008,PURCHASE!$A$6:$A$10008,$AV$2,PURCHASE!$H$6:$H$10008,$A$4:$A$2700)</f>
        <v>0</v>
      </c>
      <c r="AZ141" s="512">
        <f>SUMIFS(PURCHASE!$N$6:$N$10008,PURCHASE!$A$6:$A$10008,$AV$2,PURCHASE!$H$6:$H$10008,$A$4:$A$2700)</f>
        <v>0</v>
      </c>
      <c r="BA141" s="512">
        <f t="shared" si="55"/>
        <v>0</v>
      </c>
      <c r="BB141" s="512">
        <f>SUMIFS(PURCHASE!$K$6:$K$10008,PURCHASE!$A$6:$A$10008,$BA$2,PURCHASE!$H$6:$H$10008,$A$4:$A$2700)</f>
        <v>0</v>
      </c>
      <c r="BC141" s="512">
        <f>SUMIFS(PURCHASE!$L$6:$L$10008,PURCHASE!$A$6:$A$10008,$BA$2,PURCHASE!$H$6:$H$10008,$A$4:$A$2700)</f>
        <v>0</v>
      </c>
      <c r="BD141" s="512">
        <f>SUMIFS(PURCHASE!$M$6:$M$10008,PURCHASE!$A$6:$A$10008,$BA$2,PURCHASE!$H$6:$H$10008,$A$4:$A$2700)</f>
        <v>0</v>
      </c>
      <c r="BE141" s="512">
        <f>SUMIFS(PURCHASE!$N$6:$N$10008,PURCHASE!$A$6:$A$10008,$BA$2,PURCHASE!$H$6:$H$10008,$A$4:$A$2700)</f>
        <v>0</v>
      </c>
      <c r="BF141" s="512">
        <f t="shared" si="56"/>
        <v>0</v>
      </c>
      <c r="BG141" s="512">
        <f>SUMIFS(PURCHASE!$K$6:$K$10008,PURCHASE!$A$6:$A$10008,$BF$2,PURCHASE!$H$6:$H$10008,$A$4:$A$2700)</f>
        <v>0</v>
      </c>
      <c r="BH141" s="512">
        <f>SUMIFS(PURCHASE!$L$6:$L$10008,PURCHASE!$A$6:$A$10008,$BF$2,PURCHASE!$H$6:$H$10008,$A$4:$A$2700)</f>
        <v>0</v>
      </c>
      <c r="BI141" s="512">
        <f>SUMIFS(PURCHASE!$M$6:$M$10008,PURCHASE!$A$6:$A$10008,$BF$2,PURCHASE!$H$6:$H$10008,$A$4:$A$2700)</f>
        <v>0</v>
      </c>
      <c r="BJ141" s="512">
        <f>SUMIFS(PURCHASE!$N$6:$N$10008,PURCHASE!$A$6:$A$10008,$BF$2,PURCHASE!$H$6:$H$10008,$A$4:$A$2700)</f>
        <v>0</v>
      </c>
      <c r="BK141" s="72">
        <f t="shared" si="40"/>
        <v>2912</v>
      </c>
      <c r="BL141" s="72">
        <f t="shared" si="41"/>
        <v>2600</v>
      </c>
      <c r="BM141" s="72">
        <f t="shared" si="42"/>
        <v>0</v>
      </c>
      <c r="BN141" s="72">
        <f t="shared" si="43"/>
        <v>156</v>
      </c>
      <c r="BO141" s="72">
        <f t="shared" si="44"/>
        <v>156</v>
      </c>
    </row>
    <row r="142" spans="1:67" x14ac:dyDescent="0.2">
      <c r="A142" s="511">
        <v>60060000</v>
      </c>
      <c r="B142" s="467" t="s">
        <v>1285</v>
      </c>
      <c r="C142" s="512">
        <f t="shared" si="45"/>
        <v>3118.5</v>
      </c>
      <c r="D142" s="512">
        <f>SUMIFS(PURCHASE!$K$6:$K$10008,PURCHASE!$A$6:$A$10008,$M$2,PURCHASE!$H$6:$H$10008,$A$4:$A$2700)</f>
        <v>2970</v>
      </c>
      <c r="E142" s="512">
        <f>SUMIFS(PURCHASE!$L$6:$L$10008,PURCHASE!$A$6:$A$10008,$M$2,PURCHASE!$H$6:$H$10008,$A$4:$A$2700)</f>
        <v>0</v>
      </c>
      <c r="F142" s="512">
        <f>SUMIFS(PURCHASE!$M$6:$M$10008,PURCHASE!$A$6:$A$10008,$M$2,PURCHASE!$H$6:$H$10008,$A$4:$A$2700)</f>
        <v>74.25</v>
      </c>
      <c r="G142" s="512">
        <f>SUMIFS(PURCHASE!$N$6:$N$10008,PURCHASE!$A$6:$A$10008,$M$2,PURCHASE!$H$6:$H$10008,$A$4:$A$2700)</f>
        <v>74.25</v>
      </c>
      <c r="H142" s="512">
        <f t="shared" si="46"/>
        <v>1559.25</v>
      </c>
      <c r="I142" s="512">
        <f>SUMIFS(PURCHASE!$K$6:$K$10008,PURCHASE!$A$6:$A$10008,$H$2,PURCHASE!$H$6:$H$10008,$A$4:$A$2700)</f>
        <v>1485</v>
      </c>
      <c r="J142" s="512">
        <f>SUMIFS(PURCHASE!$L$6:$L$10008,PURCHASE!$A$6:$A$10008,$H$2,PURCHASE!$H$6:$H$10008,$A$4:$A$2700)</f>
        <v>0</v>
      </c>
      <c r="K142" s="512">
        <f>SUMIFS(PURCHASE!$M$6:$M$10008,PURCHASE!$A$6:$A$10008,$H$2,PURCHASE!$H$6:$H$10008,$A$4:$A$2700)</f>
        <v>37.125</v>
      </c>
      <c r="L142" s="512">
        <f>SUMIFS(PURCHASE!$N$6:$N$10008,PURCHASE!$A$6:$A$10008,$H$2,PURCHASE!$H$6:$H$10008,$A$4:$A$2700)</f>
        <v>37.125</v>
      </c>
      <c r="M142" s="512">
        <f t="shared" si="47"/>
        <v>3118.5</v>
      </c>
      <c r="N142" s="512">
        <f>SUMIFS(PURCHASE!$K$6:$K$10008,PURCHASE!$A$6:$A$10008,$M$2,PURCHASE!$H$6:$H$10008,$A$4:$A$2700)</f>
        <v>2970</v>
      </c>
      <c r="O142" s="512">
        <f>SUMIFS(PURCHASE!$L$6:$L$10008,PURCHASE!$A$6:$A$10008,$M$2,PURCHASE!$H$6:$H$10008,$A$4:$A$2700)</f>
        <v>0</v>
      </c>
      <c r="P142" s="512">
        <f>SUMIFS(PURCHASE!$M$6:$M$10008,PURCHASE!$A$6:$A$10008,$M$2,PURCHASE!$H$6:$H$10008,$A$4:$A$2700)</f>
        <v>74.25</v>
      </c>
      <c r="Q142" s="512">
        <f>SUMIFS(PURCHASE!$N$6:$N$10008,PURCHASE!$A$6:$A$10008,$M$2,PURCHASE!$H$6:$H$10008,$A$4:$A$2700)</f>
        <v>74.25</v>
      </c>
      <c r="R142" s="512">
        <f t="shared" si="48"/>
        <v>5197.5</v>
      </c>
      <c r="S142" s="512">
        <f>SUMIFS(PURCHASE!$K$6:$K$10008,PURCHASE!$A$6:$A$10008,$R$2,PURCHASE!$H$6:$H$10008,$A$4:$A$2700)</f>
        <v>4950</v>
      </c>
      <c r="T142" s="512">
        <f>SUMIFS(PURCHASE!$L$6:$L$10008,PURCHASE!$A$6:$A$10008,$R$2,PURCHASE!$H$6:$H$10008,$A$4:$A$2700)</f>
        <v>0</v>
      </c>
      <c r="U142" s="512">
        <f>SUMIFS(PURCHASE!$M$6:$M$10008,PURCHASE!$A$6:$A$10008,$R$2,PURCHASE!$H$6:$H$10008,$A$4:$A$2700)</f>
        <v>123.75</v>
      </c>
      <c r="V142" s="512">
        <f>SUMIFS(PURCHASE!$N$6:$N$10008,PURCHASE!$A$6:$A$10008,$R$2,PURCHASE!$H$6:$H$10008,$A$4:$A$2700)</f>
        <v>123.75</v>
      </c>
      <c r="W142" s="512">
        <f t="shared" si="49"/>
        <v>6583.5</v>
      </c>
      <c r="X142" s="512">
        <f>SUMIFS(PURCHASE!$K$6:$K$10008,PURCHASE!$A$6:$A$10008,$W$2,PURCHASE!$H$6:$H$10008,$A$4:$A$2700)</f>
        <v>6270</v>
      </c>
      <c r="Y142" s="512">
        <f>SUMIFS(PURCHASE!$L$6:$L$10008,PURCHASE!$A$6:$A$10008,$W$2,PURCHASE!$H$6:$H$10008,$A$4:$A$2700)</f>
        <v>0</v>
      </c>
      <c r="Z142" s="512">
        <f>SUMIFS(PURCHASE!$M$6:$M$10008,PURCHASE!$A$6:$A$10008,$W$2,PURCHASE!$H$6:$H$10008,$A$4:$A$2700)</f>
        <v>156.75</v>
      </c>
      <c r="AA142" s="512">
        <f>SUMIFS(PURCHASE!$N$6:$N$10008,PURCHASE!$A$6:$A$10008,$W$2,PURCHASE!$H$6:$H$10008,$A$4:$A$2700)</f>
        <v>156.75</v>
      </c>
      <c r="AB142" s="512">
        <f t="shared" si="50"/>
        <v>0</v>
      </c>
      <c r="AC142" s="512">
        <f>SUMIFS(PURCHASE!$K$6:$K$10008,PURCHASE!$A$6:$A$10008,$AB$2,PURCHASE!$H$6:$H$10008,$A$4:$A$2700)</f>
        <v>0</v>
      </c>
      <c r="AD142" s="512">
        <f>SUMIFS(PURCHASE!$L$6:$L$10008,PURCHASE!$A$6:$A$10008,$AB$2,PURCHASE!$H$6:$H$10008,$A$4:$A$2700)</f>
        <v>0</v>
      </c>
      <c r="AE142" s="512">
        <f>SUMIFS(PURCHASE!$M$6:$M$10008,PURCHASE!$A$6:$A$10008,$AB$2,PURCHASE!$H$6:$H$10008,$A$4:$A$2700)</f>
        <v>0</v>
      </c>
      <c r="AF142" s="512">
        <f>SUMIFS(PURCHASE!$N$6:$N$10008,PURCHASE!$A$6:$A$10008,$AB$2,PURCHASE!$H$6:$H$10008,$A$4:$A$2700)</f>
        <v>0</v>
      </c>
      <c r="AG142" s="512">
        <f t="shared" si="51"/>
        <v>1732.5</v>
      </c>
      <c r="AH142" s="512">
        <f>SUMIFS(PURCHASE!$K$6:$K$10008,PURCHASE!$A$6:$A$10008,$AG$2,PURCHASE!$H$6:$H$10008,$A$4:$A$2700)</f>
        <v>1650</v>
      </c>
      <c r="AI142" s="512">
        <f>SUMIFS(PURCHASE!$L$6:$L$10008,PURCHASE!$A$6:$A$10008,$AG$2,PURCHASE!$H$6:$H$10008,$A$4:$A$2700)</f>
        <v>0</v>
      </c>
      <c r="AJ142" s="512">
        <f>SUMIFS(PURCHASE!$M$6:$M$10008,PURCHASE!$A$6:$A$10008,$AG$2,PURCHASE!$H$6:$H$10008,$A$4:$A$2700)</f>
        <v>41.25</v>
      </c>
      <c r="AK142" s="512">
        <f>SUMIFS(PURCHASE!$N$6:$N$10008,PURCHASE!$A$6:$A$10008,$AG$2,PURCHASE!$H$6:$H$10008,$A$4:$A$2700)</f>
        <v>41.25</v>
      </c>
      <c r="AL142" s="512">
        <f t="shared" si="52"/>
        <v>1732.5</v>
      </c>
      <c r="AM142" s="512">
        <f>SUMIFS(PURCHASE!$K$6:$K$10008,PURCHASE!$A$6:$A$10008,$AL$2,PURCHASE!$H$6:$H$10008,$A$4:$A$2700)</f>
        <v>1650</v>
      </c>
      <c r="AN142" s="512">
        <f>SUMIFS(PURCHASE!$L$6:$L$10008,PURCHASE!$A$6:$A$10008,$AL$2,PURCHASE!$H$6:$H$10008,$A$4:$A$2700)</f>
        <v>0</v>
      </c>
      <c r="AO142" s="512">
        <f>SUMIFS(PURCHASE!$M$6:$M$10008,PURCHASE!$A$6:$A$10008,$AL$2,PURCHASE!$H$6:$H$10008,$A$4:$A$2700)</f>
        <v>41.25</v>
      </c>
      <c r="AP142" s="512">
        <f>SUMIFS(PURCHASE!$N$6:$N$10008,PURCHASE!$A$6:$A$10008,$AL$2,PURCHASE!$H$6:$H$10008,$A$4:$A$2700)</f>
        <v>41.25</v>
      </c>
      <c r="AQ142" s="512">
        <f t="shared" si="53"/>
        <v>866.25</v>
      </c>
      <c r="AR142" s="512">
        <f>SUMIFS(PURCHASE!$K$6:$K$10008,PURCHASE!$A$6:$A$10008,$AQ$2,PURCHASE!$H$6:$H$10008,$A$4:$A$2700)</f>
        <v>825</v>
      </c>
      <c r="AS142" s="512">
        <f>SUMIFS(PURCHASE!$L$6:$L$10008,PURCHASE!$A$6:$A$10008,$AQ$2,PURCHASE!$H$6:$H$10008,$A$4:$A$2700)</f>
        <v>0</v>
      </c>
      <c r="AT142" s="512">
        <f>SUMIFS(PURCHASE!$M$6:$M$10008,PURCHASE!$A$6:$A$10008,$AQ$2,PURCHASE!$H$6:$H$10008,$A$4:$A$2700)</f>
        <v>20.625</v>
      </c>
      <c r="AU142" s="512">
        <f>SUMIFS(PURCHASE!$N$6:$N$10008,PURCHASE!$A$6:$A$10008,$AQ$2,PURCHASE!$H$6:$H$10008,$A$4:$A$2700)</f>
        <v>20.625</v>
      </c>
      <c r="AV142" s="512">
        <f t="shared" si="54"/>
        <v>3465</v>
      </c>
      <c r="AW142" s="512">
        <f>SUMIFS(PURCHASE!$K$6:$K$10008,PURCHASE!$A$6:$A$10008,$AV$2,PURCHASE!$H$6:$H$10008,$A$4:$A$2700)</f>
        <v>3300</v>
      </c>
      <c r="AX142" s="512">
        <f>SUMIFS(PURCHASE!$L$6:$L$10008,PURCHASE!$A$6:$A$10008,$AV$2,PURCHASE!$H$6:$H$10008,$A$4:$A$2700)</f>
        <v>0</v>
      </c>
      <c r="AY142" s="512">
        <f>SUMIFS(PURCHASE!$M$6:$M$10008,PURCHASE!$A$6:$A$10008,$AV$2,PURCHASE!$H$6:$H$10008,$A$4:$A$2700)</f>
        <v>82.5</v>
      </c>
      <c r="AZ142" s="512">
        <f>SUMIFS(PURCHASE!$N$6:$N$10008,PURCHASE!$A$6:$A$10008,$AV$2,PURCHASE!$H$6:$H$10008,$A$4:$A$2700)</f>
        <v>82.5</v>
      </c>
      <c r="BA142" s="512">
        <f t="shared" si="55"/>
        <v>0</v>
      </c>
      <c r="BB142" s="512">
        <f>SUMIFS(PURCHASE!$K$6:$K$10008,PURCHASE!$A$6:$A$10008,$BA$2,PURCHASE!$H$6:$H$10008,$A$4:$A$2700)</f>
        <v>0</v>
      </c>
      <c r="BC142" s="512">
        <f>SUMIFS(PURCHASE!$L$6:$L$10008,PURCHASE!$A$6:$A$10008,$BA$2,PURCHASE!$H$6:$H$10008,$A$4:$A$2700)</f>
        <v>0</v>
      </c>
      <c r="BD142" s="512">
        <f>SUMIFS(PURCHASE!$M$6:$M$10008,PURCHASE!$A$6:$A$10008,$BA$2,PURCHASE!$H$6:$H$10008,$A$4:$A$2700)</f>
        <v>0</v>
      </c>
      <c r="BE142" s="512">
        <f>SUMIFS(PURCHASE!$N$6:$N$10008,PURCHASE!$A$6:$A$10008,$BA$2,PURCHASE!$H$6:$H$10008,$A$4:$A$2700)</f>
        <v>0</v>
      </c>
      <c r="BF142" s="512">
        <f t="shared" si="56"/>
        <v>0</v>
      </c>
      <c r="BG142" s="512">
        <f>SUMIFS(PURCHASE!$K$6:$K$10008,PURCHASE!$A$6:$A$10008,$BF$2,PURCHASE!$H$6:$H$10008,$A$4:$A$2700)</f>
        <v>0</v>
      </c>
      <c r="BH142" s="512">
        <f>SUMIFS(PURCHASE!$L$6:$L$10008,PURCHASE!$A$6:$A$10008,$BF$2,PURCHASE!$H$6:$H$10008,$A$4:$A$2700)</f>
        <v>0</v>
      </c>
      <c r="BI142" s="512">
        <f>SUMIFS(PURCHASE!$M$6:$M$10008,PURCHASE!$A$6:$A$10008,$BF$2,PURCHASE!$H$6:$H$10008,$A$4:$A$2700)</f>
        <v>0</v>
      </c>
      <c r="BJ142" s="512">
        <f>SUMIFS(PURCHASE!$N$6:$N$10008,PURCHASE!$A$6:$A$10008,$BF$2,PURCHASE!$H$6:$H$10008,$A$4:$A$2700)</f>
        <v>0</v>
      </c>
      <c r="BK142" s="72">
        <f t="shared" si="40"/>
        <v>27373.5</v>
      </c>
      <c r="BL142" s="72">
        <f t="shared" si="41"/>
        <v>26070</v>
      </c>
      <c r="BM142" s="72">
        <f t="shared" si="42"/>
        <v>0</v>
      </c>
      <c r="BN142" s="72">
        <f t="shared" si="43"/>
        <v>651.75</v>
      </c>
      <c r="BO142" s="72">
        <f t="shared" si="44"/>
        <v>651.75</v>
      </c>
    </row>
    <row r="143" spans="1:67" x14ac:dyDescent="0.2">
      <c r="A143" s="511">
        <v>61169200</v>
      </c>
      <c r="B143" s="467" t="s">
        <v>1286</v>
      </c>
      <c r="C143" s="512">
        <f t="shared" si="45"/>
        <v>0</v>
      </c>
      <c r="D143" s="512">
        <f>SUMIFS(PURCHASE!$K$6:$K$10008,PURCHASE!$A$6:$A$10008,$M$2,PURCHASE!$H$6:$H$10008,$A$4:$A$2700)</f>
        <v>0</v>
      </c>
      <c r="E143" s="512">
        <f>SUMIFS(PURCHASE!$L$6:$L$10008,PURCHASE!$A$6:$A$10008,$M$2,PURCHASE!$H$6:$H$10008,$A$4:$A$2700)</f>
        <v>0</v>
      </c>
      <c r="F143" s="512">
        <f>SUMIFS(PURCHASE!$M$6:$M$10008,PURCHASE!$A$6:$A$10008,$M$2,PURCHASE!$H$6:$H$10008,$A$4:$A$2700)</f>
        <v>0</v>
      </c>
      <c r="G143" s="512">
        <f>SUMIFS(PURCHASE!$N$6:$N$10008,PURCHASE!$A$6:$A$10008,$M$2,PURCHASE!$H$6:$H$10008,$A$4:$A$2700)</f>
        <v>0</v>
      </c>
      <c r="H143" s="512">
        <f t="shared" si="46"/>
        <v>0</v>
      </c>
      <c r="I143" s="512">
        <f>SUMIFS(PURCHASE!$K$6:$K$10008,PURCHASE!$A$6:$A$10008,$H$2,PURCHASE!$H$6:$H$10008,$A$4:$A$2700)</f>
        <v>0</v>
      </c>
      <c r="J143" s="512">
        <f>SUMIFS(PURCHASE!$L$6:$L$10008,PURCHASE!$A$6:$A$10008,$H$2,PURCHASE!$H$6:$H$10008,$A$4:$A$2700)</f>
        <v>0</v>
      </c>
      <c r="K143" s="512">
        <f>SUMIFS(PURCHASE!$M$6:$M$10008,PURCHASE!$A$6:$A$10008,$H$2,PURCHASE!$H$6:$H$10008,$A$4:$A$2700)</f>
        <v>0</v>
      </c>
      <c r="L143" s="512">
        <f>SUMIFS(PURCHASE!$N$6:$N$10008,PURCHASE!$A$6:$A$10008,$H$2,PURCHASE!$H$6:$H$10008,$A$4:$A$2700)</f>
        <v>0</v>
      </c>
      <c r="M143" s="512">
        <f t="shared" si="47"/>
        <v>0</v>
      </c>
      <c r="N143" s="512">
        <f>SUMIFS(PURCHASE!$K$6:$K$10008,PURCHASE!$A$6:$A$10008,$M$2,PURCHASE!$H$6:$H$10008,$A$4:$A$2700)</f>
        <v>0</v>
      </c>
      <c r="O143" s="512">
        <f>SUMIFS(PURCHASE!$L$6:$L$10008,PURCHASE!$A$6:$A$10008,$M$2,PURCHASE!$H$6:$H$10008,$A$4:$A$2700)</f>
        <v>0</v>
      </c>
      <c r="P143" s="512">
        <f>SUMIFS(PURCHASE!$M$6:$M$10008,PURCHASE!$A$6:$A$10008,$M$2,PURCHASE!$H$6:$H$10008,$A$4:$A$2700)</f>
        <v>0</v>
      </c>
      <c r="Q143" s="512">
        <f>SUMIFS(PURCHASE!$N$6:$N$10008,PURCHASE!$A$6:$A$10008,$M$2,PURCHASE!$H$6:$H$10008,$A$4:$A$2700)</f>
        <v>0</v>
      </c>
      <c r="R143" s="512">
        <f t="shared" si="48"/>
        <v>0</v>
      </c>
      <c r="S143" s="512">
        <f>SUMIFS(PURCHASE!$K$6:$K$10008,PURCHASE!$A$6:$A$10008,$R$2,PURCHASE!$H$6:$H$10008,$A$4:$A$2700)</f>
        <v>0</v>
      </c>
      <c r="T143" s="512">
        <f>SUMIFS(PURCHASE!$L$6:$L$10008,PURCHASE!$A$6:$A$10008,$R$2,PURCHASE!$H$6:$H$10008,$A$4:$A$2700)</f>
        <v>0</v>
      </c>
      <c r="U143" s="512">
        <f>SUMIFS(PURCHASE!$M$6:$M$10008,PURCHASE!$A$6:$A$10008,$R$2,PURCHASE!$H$6:$H$10008,$A$4:$A$2700)</f>
        <v>0</v>
      </c>
      <c r="V143" s="512">
        <f>SUMIFS(PURCHASE!$N$6:$N$10008,PURCHASE!$A$6:$A$10008,$R$2,PURCHASE!$H$6:$H$10008,$A$4:$A$2700)</f>
        <v>0</v>
      </c>
      <c r="W143" s="512">
        <f t="shared" si="49"/>
        <v>0</v>
      </c>
      <c r="X143" s="512">
        <f>SUMIFS(PURCHASE!$K$6:$K$10008,PURCHASE!$A$6:$A$10008,$W$2,PURCHASE!$H$6:$H$10008,$A$4:$A$2700)</f>
        <v>0</v>
      </c>
      <c r="Y143" s="512">
        <f>SUMIFS(PURCHASE!$L$6:$L$10008,PURCHASE!$A$6:$A$10008,$W$2,PURCHASE!$H$6:$H$10008,$A$4:$A$2700)</f>
        <v>0</v>
      </c>
      <c r="Z143" s="512">
        <f>SUMIFS(PURCHASE!$M$6:$M$10008,PURCHASE!$A$6:$A$10008,$W$2,PURCHASE!$H$6:$H$10008,$A$4:$A$2700)</f>
        <v>0</v>
      </c>
      <c r="AA143" s="512">
        <f>SUMIFS(PURCHASE!$N$6:$N$10008,PURCHASE!$A$6:$A$10008,$W$2,PURCHASE!$H$6:$H$10008,$A$4:$A$2700)</f>
        <v>0</v>
      </c>
      <c r="AB143" s="512">
        <f t="shared" si="50"/>
        <v>0</v>
      </c>
      <c r="AC143" s="512">
        <f>SUMIFS(PURCHASE!$K$6:$K$10008,PURCHASE!$A$6:$A$10008,$AB$2,PURCHASE!$H$6:$H$10008,$A$4:$A$2700)</f>
        <v>0</v>
      </c>
      <c r="AD143" s="512">
        <f>SUMIFS(PURCHASE!$L$6:$L$10008,PURCHASE!$A$6:$A$10008,$AB$2,PURCHASE!$H$6:$H$10008,$A$4:$A$2700)</f>
        <v>0</v>
      </c>
      <c r="AE143" s="512">
        <f>SUMIFS(PURCHASE!$M$6:$M$10008,PURCHASE!$A$6:$A$10008,$AB$2,PURCHASE!$H$6:$H$10008,$A$4:$A$2700)</f>
        <v>0</v>
      </c>
      <c r="AF143" s="512">
        <f>SUMIFS(PURCHASE!$N$6:$N$10008,PURCHASE!$A$6:$A$10008,$AB$2,PURCHASE!$H$6:$H$10008,$A$4:$A$2700)</f>
        <v>0</v>
      </c>
      <c r="AG143" s="512">
        <f t="shared" si="51"/>
        <v>0</v>
      </c>
      <c r="AH143" s="512">
        <f>SUMIFS(PURCHASE!$K$6:$K$10008,PURCHASE!$A$6:$A$10008,$AG$2,PURCHASE!$H$6:$H$10008,$A$4:$A$2700)</f>
        <v>0</v>
      </c>
      <c r="AI143" s="512">
        <f>SUMIFS(PURCHASE!$L$6:$L$10008,PURCHASE!$A$6:$A$10008,$AG$2,PURCHASE!$H$6:$H$10008,$A$4:$A$2700)</f>
        <v>0</v>
      </c>
      <c r="AJ143" s="512">
        <f>SUMIFS(PURCHASE!$M$6:$M$10008,PURCHASE!$A$6:$A$10008,$AG$2,PURCHASE!$H$6:$H$10008,$A$4:$A$2700)</f>
        <v>0</v>
      </c>
      <c r="AK143" s="512">
        <f>SUMIFS(PURCHASE!$N$6:$N$10008,PURCHASE!$A$6:$A$10008,$AG$2,PURCHASE!$H$6:$H$10008,$A$4:$A$2700)</f>
        <v>0</v>
      </c>
      <c r="AL143" s="512">
        <f t="shared" si="52"/>
        <v>2520</v>
      </c>
      <c r="AM143" s="512">
        <f>SUMIFS(PURCHASE!$K$6:$K$10008,PURCHASE!$A$6:$A$10008,$AL$2,PURCHASE!$H$6:$H$10008,$A$4:$A$2700)</f>
        <v>2400</v>
      </c>
      <c r="AN143" s="512">
        <f>SUMIFS(PURCHASE!$L$6:$L$10008,PURCHASE!$A$6:$A$10008,$AL$2,PURCHASE!$H$6:$H$10008,$A$4:$A$2700)</f>
        <v>0</v>
      </c>
      <c r="AO143" s="512">
        <f>SUMIFS(PURCHASE!$M$6:$M$10008,PURCHASE!$A$6:$A$10008,$AL$2,PURCHASE!$H$6:$H$10008,$A$4:$A$2700)</f>
        <v>60</v>
      </c>
      <c r="AP143" s="512">
        <f>SUMIFS(PURCHASE!$N$6:$N$10008,PURCHASE!$A$6:$A$10008,$AL$2,PURCHASE!$H$6:$H$10008,$A$4:$A$2700)</f>
        <v>60</v>
      </c>
      <c r="AQ143" s="512">
        <f t="shared" si="53"/>
        <v>0</v>
      </c>
      <c r="AR143" s="512">
        <f>SUMIFS(PURCHASE!$K$6:$K$10008,PURCHASE!$A$6:$A$10008,$AQ$2,PURCHASE!$H$6:$H$10008,$A$4:$A$2700)</f>
        <v>0</v>
      </c>
      <c r="AS143" s="512">
        <f>SUMIFS(PURCHASE!$L$6:$L$10008,PURCHASE!$A$6:$A$10008,$AQ$2,PURCHASE!$H$6:$H$10008,$A$4:$A$2700)</f>
        <v>0</v>
      </c>
      <c r="AT143" s="512">
        <f>SUMIFS(PURCHASE!$M$6:$M$10008,PURCHASE!$A$6:$A$10008,$AQ$2,PURCHASE!$H$6:$H$10008,$A$4:$A$2700)</f>
        <v>0</v>
      </c>
      <c r="AU143" s="512">
        <f>SUMIFS(PURCHASE!$N$6:$N$10008,PURCHASE!$A$6:$A$10008,$AQ$2,PURCHASE!$H$6:$H$10008,$A$4:$A$2700)</f>
        <v>0</v>
      </c>
      <c r="AV143" s="512">
        <f t="shared" si="54"/>
        <v>0</v>
      </c>
      <c r="AW143" s="512">
        <f>SUMIFS(PURCHASE!$K$6:$K$10008,PURCHASE!$A$6:$A$10008,$AV$2,PURCHASE!$H$6:$H$10008,$A$4:$A$2700)</f>
        <v>0</v>
      </c>
      <c r="AX143" s="512">
        <f>SUMIFS(PURCHASE!$L$6:$L$10008,PURCHASE!$A$6:$A$10008,$AV$2,PURCHASE!$H$6:$H$10008,$A$4:$A$2700)</f>
        <v>0</v>
      </c>
      <c r="AY143" s="512">
        <f>SUMIFS(PURCHASE!$M$6:$M$10008,PURCHASE!$A$6:$A$10008,$AV$2,PURCHASE!$H$6:$H$10008,$A$4:$A$2700)</f>
        <v>0</v>
      </c>
      <c r="AZ143" s="512">
        <f>SUMIFS(PURCHASE!$N$6:$N$10008,PURCHASE!$A$6:$A$10008,$AV$2,PURCHASE!$H$6:$H$10008,$A$4:$A$2700)</f>
        <v>0</v>
      </c>
      <c r="BA143" s="512">
        <f t="shared" si="55"/>
        <v>0</v>
      </c>
      <c r="BB143" s="512">
        <f>SUMIFS(PURCHASE!$K$6:$K$10008,PURCHASE!$A$6:$A$10008,$BA$2,PURCHASE!$H$6:$H$10008,$A$4:$A$2700)</f>
        <v>0</v>
      </c>
      <c r="BC143" s="512">
        <f>SUMIFS(PURCHASE!$L$6:$L$10008,PURCHASE!$A$6:$A$10008,$BA$2,PURCHASE!$H$6:$H$10008,$A$4:$A$2700)</f>
        <v>0</v>
      </c>
      <c r="BD143" s="512">
        <f>SUMIFS(PURCHASE!$M$6:$M$10008,PURCHASE!$A$6:$A$10008,$BA$2,PURCHASE!$H$6:$H$10008,$A$4:$A$2700)</f>
        <v>0</v>
      </c>
      <c r="BE143" s="512">
        <f>SUMIFS(PURCHASE!$N$6:$N$10008,PURCHASE!$A$6:$A$10008,$BA$2,PURCHASE!$H$6:$H$10008,$A$4:$A$2700)</f>
        <v>0</v>
      </c>
      <c r="BF143" s="512">
        <f t="shared" si="56"/>
        <v>0</v>
      </c>
      <c r="BG143" s="512">
        <f>SUMIFS(PURCHASE!$K$6:$K$10008,PURCHASE!$A$6:$A$10008,$BF$2,PURCHASE!$H$6:$H$10008,$A$4:$A$2700)</f>
        <v>0</v>
      </c>
      <c r="BH143" s="512">
        <f>SUMIFS(PURCHASE!$L$6:$L$10008,PURCHASE!$A$6:$A$10008,$BF$2,PURCHASE!$H$6:$H$10008,$A$4:$A$2700)</f>
        <v>0</v>
      </c>
      <c r="BI143" s="512">
        <f>SUMIFS(PURCHASE!$M$6:$M$10008,PURCHASE!$A$6:$A$10008,$BF$2,PURCHASE!$H$6:$H$10008,$A$4:$A$2700)</f>
        <v>0</v>
      </c>
      <c r="BJ143" s="512">
        <f>SUMIFS(PURCHASE!$N$6:$N$10008,PURCHASE!$A$6:$A$10008,$BF$2,PURCHASE!$H$6:$H$10008,$A$4:$A$2700)</f>
        <v>0</v>
      </c>
      <c r="BK143" s="72">
        <f t="shared" si="40"/>
        <v>2520</v>
      </c>
      <c r="BL143" s="72">
        <f t="shared" si="41"/>
        <v>2400</v>
      </c>
      <c r="BM143" s="72">
        <f t="shared" si="42"/>
        <v>0</v>
      </c>
      <c r="BN143" s="72">
        <f t="shared" si="43"/>
        <v>60</v>
      </c>
      <c r="BO143" s="72">
        <f t="shared" si="44"/>
        <v>60</v>
      </c>
    </row>
    <row r="144" spans="1:67" x14ac:dyDescent="0.2">
      <c r="A144" s="511">
        <v>63071030</v>
      </c>
      <c r="B144" s="467" t="s">
        <v>1287</v>
      </c>
      <c r="C144" s="512">
        <f t="shared" si="45"/>
        <v>16506</v>
      </c>
      <c r="D144" s="512">
        <f>SUMIFS(PURCHASE!$K$6:$K$10008,PURCHASE!$A$6:$A$10008,$M$2,PURCHASE!$H$6:$H$10008,$A$4:$A$2700)</f>
        <v>15720</v>
      </c>
      <c r="E144" s="512">
        <f>SUMIFS(PURCHASE!$L$6:$L$10008,PURCHASE!$A$6:$A$10008,$M$2,PURCHASE!$H$6:$H$10008,$A$4:$A$2700)</f>
        <v>0</v>
      </c>
      <c r="F144" s="512">
        <f>SUMIFS(PURCHASE!$M$6:$M$10008,PURCHASE!$A$6:$A$10008,$M$2,PURCHASE!$H$6:$H$10008,$A$4:$A$2700)</f>
        <v>393</v>
      </c>
      <c r="G144" s="512">
        <f>SUMIFS(PURCHASE!$N$6:$N$10008,PURCHASE!$A$6:$A$10008,$M$2,PURCHASE!$H$6:$H$10008,$A$4:$A$2700)</f>
        <v>393</v>
      </c>
      <c r="H144" s="512">
        <f t="shared" si="46"/>
        <v>0</v>
      </c>
      <c r="I144" s="512">
        <f>SUMIFS(PURCHASE!$K$6:$K$10008,PURCHASE!$A$6:$A$10008,$H$2,PURCHASE!$H$6:$H$10008,$A$4:$A$2700)</f>
        <v>0</v>
      </c>
      <c r="J144" s="512">
        <f>SUMIFS(PURCHASE!$L$6:$L$10008,PURCHASE!$A$6:$A$10008,$H$2,PURCHASE!$H$6:$H$10008,$A$4:$A$2700)</f>
        <v>0</v>
      </c>
      <c r="K144" s="512">
        <f>SUMIFS(PURCHASE!$M$6:$M$10008,PURCHASE!$A$6:$A$10008,$H$2,PURCHASE!$H$6:$H$10008,$A$4:$A$2700)</f>
        <v>0</v>
      </c>
      <c r="L144" s="512">
        <f>SUMIFS(PURCHASE!$N$6:$N$10008,PURCHASE!$A$6:$A$10008,$H$2,PURCHASE!$H$6:$H$10008,$A$4:$A$2700)</f>
        <v>0</v>
      </c>
      <c r="M144" s="512">
        <f t="shared" si="47"/>
        <v>16506</v>
      </c>
      <c r="N144" s="512">
        <f>SUMIFS(PURCHASE!$K$6:$K$10008,PURCHASE!$A$6:$A$10008,$M$2,PURCHASE!$H$6:$H$10008,$A$4:$A$2700)</f>
        <v>15720</v>
      </c>
      <c r="O144" s="512">
        <f>SUMIFS(PURCHASE!$L$6:$L$10008,PURCHASE!$A$6:$A$10008,$M$2,PURCHASE!$H$6:$H$10008,$A$4:$A$2700)</f>
        <v>0</v>
      </c>
      <c r="P144" s="512">
        <f>SUMIFS(PURCHASE!$M$6:$M$10008,PURCHASE!$A$6:$A$10008,$M$2,PURCHASE!$H$6:$H$10008,$A$4:$A$2700)</f>
        <v>393</v>
      </c>
      <c r="Q144" s="512">
        <f>SUMIFS(PURCHASE!$N$6:$N$10008,PURCHASE!$A$6:$A$10008,$M$2,PURCHASE!$H$6:$H$10008,$A$4:$A$2700)</f>
        <v>393</v>
      </c>
      <c r="R144" s="512">
        <f t="shared" si="48"/>
        <v>5502</v>
      </c>
      <c r="S144" s="512">
        <f>SUMIFS(PURCHASE!$K$6:$K$10008,PURCHASE!$A$6:$A$10008,$R$2,PURCHASE!$H$6:$H$10008,$A$4:$A$2700)</f>
        <v>5240</v>
      </c>
      <c r="T144" s="512">
        <f>SUMIFS(PURCHASE!$L$6:$L$10008,PURCHASE!$A$6:$A$10008,$R$2,PURCHASE!$H$6:$H$10008,$A$4:$A$2700)</f>
        <v>0</v>
      </c>
      <c r="U144" s="512">
        <f>SUMIFS(PURCHASE!$M$6:$M$10008,PURCHASE!$A$6:$A$10008,$R$2,PURCHASE!$H$6:$H$10008,$A$4:$A$2700)</f>
        <v>131</v>
      </c>
      <c r="V144" s="512">
        <f>SUMIFS(PURCHASE!$N$6:$N$10008,PURCHASE!$A$6:$A$10008,$R$2,PURCHASE!$H$6:$H$10008,$A$4:$A$2700)</f>
        <v>131</v>
      </c>
      <c r="W144" s="512">
        <f t="shared" si="49"/>
        <v>0</v>
      </c>
      <c r="X144" s="512">
        <f>SUMIFS(PURCHASE!$K$6:$K$10008,PURCHASE!$A$6:$A$10008,$W$2,PURCHASE!$H$6:$H$10008,$A$4:$A$2700)</f>
        <v>0</v>
      </c>
      <c r="Y144" s="512">
        <f>SUMIFS(PURCHASE!$L$6:$L$10008,PURCHASE!$A$6:$A$10008,$W$2,PURCHASE!$H$6:$H$10008,$A$4:$A$2700)</f>
        <v>0</v>
      </c>
      <c r="Z144" s="512">
        <f>SUMIFS(PURCHASE!$M$6:$M$10008,PURCHASE!$A$6:$A$10008,$W$2,PURCHASE!$H$6:$H$10008,$A$4:$A$2700)</f>
        <v>0</v>
      </c>
      <c r="AA144" s="512">
        <f>SUMIFS(PURCHASE!$N$6:$N$10008,PURCHASE!$A$6:$A$10008,$W$2,PURCHASE!$H$6:$H$10008,$A$4:$A$2700)</f>
        <v>0</v>
      </c>
      <c r="AB144" s="512">
        <f t="shared" si="50"/>
        <v>3675</v>
      </c>
      <c r="AC144" s="512">
        <f>SUMIFS(PURCHASE!$K$6:$K$10008,PURCHASE!$A$6:$A$10008,$AB$2,PURCHASE!$H$6:$H$10008,$A$4:$A$2700)</f>
        <v>3500</v>
      </c>
      <c r="AD144" s="512">
        <f>SUMIFS(PURCHASE!$L$6:$L$10008,PURCHASE!$A$6:$A$10008,$AB$2,PURCHASE!$H$6:$H$10008,$A$4:$A$2700)</f>
        <v>0</v>
      </c>
      <c r="AE144" s="512">
        <f>SUMIFS(PURCHASE!$M$6:$M$10008,PURCHASE!$A$6:$A$10008,$AB$2,PURCHASE!$H$6:$H$10008,$A$4:$A$2700)</f>
        <v>87.5</v>
      </c>
      <c r="AF144" s="512">
        <f>SUMIFS(PURCHASE!$N$6:$N$10008,PURCHASE!$A$6:$A$10008,$AB$2,PURCHASE!$H$6:$H$10008,$A$4:$A$2700)</f>
        <v>87.5</v>
      </c>
      <c r="AG144" s="512">
        <f t="shared" si="51"/>
        <v>24759</v>
      </c>
      <c r="AH144" s="512">
        <f>SUMIFS(PURCHASE!$K$6:$K$10008,PURCHASE!$A$6:$A$10008,$AG$2,PURCHASE!$H$6:$H$10008,$A$4:$A$2700)</f>
        <v>23580</v>
      </c>
      <c r="AI144" s="512">
        <f>SUMIFS(PURCHASE!$L$6:$L$10008,PURCHASE!$A$6:$A$10008,$AG$2,PURCHASE!$H$6:$H$10008,$A$4:$A$2700)</f>
        <v>0</v>
      </c>
      <c r="AJ144" s="512">
        <f>SUMIFS(PURCHASE!$M$6:$M$10008,PURCHASE!$A$6:$A$10008,$AG$2,PURCHASE!$H$6:$H$10008,$A$4:$A$2700)</f>
        <v>589.5</v>
      </c>
      <c r="AK144" s="512">
        <f>SUMIFS(PURCHASE!$N$6:$N$10008,PURCHASE!$A$6:$A$10008,$AG$2,PURCHASE!$H$6:$H$10008,$A$4:$A$2700)</f>
        <v>589.5</v>
      </c>
      <c r="AL144" s="512">
        <f t="shared" si="52"/>
        <v>0</v>
      </c>
      <c r="AM144" s="512">
        <f>SUMIFS(PURCHASE!$K$6:$K$10008,PURCHASE!$A$6:$A$10008,$AL$2,PURCHASE!$H$6:$H$10008,$A$4:$A$2700)</f>
        <v>0</v>
      </c>
      <c r="AN144" s="512">
        <f>SUMIFS(PURCHASE!$L$6:$L$10008,PURCHASE!$A$6:$A$10008,$AL$2,PURCHASE!$H$6:$H$10008,$A$4:$A$2700)</f>
        <v>0</v>
      </c>
      <c r="AO144" s="512">
        <f>SUMIFS(PURCHASE!$M$6:$M$10008,PURCHASE!$A$6:$A$10008,$AL$2,PURCHASE!$H$6:$H$10008,$A$4:$A$2700)</f>
        <v>0</v>
      </c>
      <c r="AP144" s="512">
        <f>SUMIFS(PURCHASE!$N$6:$N$10008,PURCHASE!$A$6:$A$10008,$AL$2,PURCHASE!$H$6:$H$10008,$A$4:$A$2700)</f>
        <v>0</v>
      </c>
      <c r="AQ144" s="512">
        <f t="shared" si="53"/>
        <v>0</v>
      </c>
      <c r="AR144" s="512">
        <f>SUMIFS(PURCHASE!$K$6:$K$10008,PURCHASE!$A$6:$A$10008,$AQ$2,PURCHASE!$H$6:$H$10008,$A$4:$A$2700)</f>
        <v>0</v>
      </c>
      <c r="AS144" s="512">
        <f>SUMIFS(PURCHASE!$L$6:$L$10008,PURCHASE!$A$6:$A$10008,$AQ$2,PURCHASE!$H$6:$H$10008,$A$4:$A$2700)</f>
        <v>0</v>
      </c>
      <c r="AT144" s="512">
        <f>SUMIFS(PURCHASE!$M$6:$M$10008,PURCHASE!$A$6:$A$10008,$AQ$2,PURCHASE!$H$6:$H$10008,$A$4:$A$2700)</f>
        <v>0</v>
      </c>
      <c r="AU144" s="512">
        <f>SUMIFS(PURCHASE!$N$6:$N$10008,PURCHASE!$A$6:$A$10008,$AQ$2,PURCHASE!$H$6:$H$10008,$A$4:$A$2700)</f>
        <v>0</v>
      </c>
      <c r="AV144" s="512">
        <f t="shared" si="54"/>
        <v>0</v>
      </c>
      <c r="AW144" s="512">
        <f>SUMIFS(PURCHASE!$K$6:$K$10008,PURCHASE!$A$6:$A$10008,$AV$2,PURCHASE!$H$6:$H$10008,$A$4:$A$2700)</f>
        <v>0</v>
      </c>
      <c r="AX144" s="512">
        <f>SUMIFS(PURCHASE!$L$6:$L$10008,PURCHASE!$A$6:$A$10008,$AV$2,PURCHASE!$H$6:$H$10008,$A$4:$A$2700)</f>
        <v>0</v>
      </c>
      <c r="AY144" s="512">
        <f>SUMIFS(PURCHASE!$M$6:$M$10008,PURCHASE!$A$6:$A$10008,$AV$2,PURCHASE!$H$6:$H$10008,$A$4:$A$2700)</f>
        <v>0</v>
      </c>
      <c r="AZ144" s="512">
        <f>SUMIFS(PURCHASE!$N$6:$N$10008,PURCHASE!$A$6:$A$10008,$AV$2,PURCHASE!$H$6:$H$10008,$A$4:$A$2700)</f>
        <v>0</v>
      </c>
      <c r="BA144" s="512">
        <f t="shared" si="55"/>
        <v>0</v>
      </c>
      <c r="BB144" s="512">
        <f>SUMIFS(PURCHASE!$K$6:$K$10008,PURCHASE!$A$6:$A$10008,$BA$2,PURCHASE!$H$6:$H$10008,$A$4:$A$2700)</f>
        <v>0</v>
      </c>
      <c r="BC144" s="512">
        <f>SUMIFS(PURCHASE!$L$6:$L$10008,PURCHASE!$A$6:$A$10008,$BA$2,PURCHASE!$H$6:$H$10008,$A$4:$A$2700)</f>
        <v>0</v>
      </c>
      <c r="BD144" s="512">
        <f>SUMIFS(PURCHASE!$M$6:$M$10008,PURCHASE!$A$6:$A$10008,$BA$2,PURCHASE!$H$6:$H$10008,$A$4:$A$2700)</f>
        <v>0</v>
      </c>
      <c r="BE144" s="512">
        <f>SUMIFS(PURCHASE!$N$6:$N$10008,PURCHASE!$A$6:$A$10008,$BA$2,PURCHASE!$H$6:$H$10008,$A$4:$A$2700)</f>
        <v>0</v>
      </c>
      <c r="BF144" s="512">
        <f t="shared" si="56"/>
        <v>0</v>
      </c>
      <c r="BG144" s="512">
        <f>SUMIFS(PURCHASE!$K$6:$K$10008,PURCHASE!$A$6:$A$10008,$BF$2,PURCHASE!$H$6:$H$10008,$A$4:$A$2700)</f>
        <v>0</v>
      </c>
      <c r="BH144" s="512">
        <f>SUMIFS(PURCHASE!$L$6:$L$10008,PURCHASE!$A$6:$A$10008,$BF$2,PURCHASE!$H$6:$H$10008,$A$4:$A$2700)</f>
        <v>0</v>
      </c>
      <c r="BI144" s="512">
        <f>SUMIFS(PURCHASE!$M$6:$M$10008,PURCHASE!$A$6:$A$10008,$BF$2,PURCHASE!$H$6:$H$10008,$A$4:$A$2700)</f>
        <v>0</v>
      </c>
      <c r="BJ144" s="512">
        <f>SUMIFS(PURCHASE!$N$6:$N$10008,PURCHASE!$A$6:$A$10008,$BF$2,PURCHASE!$H$6:$H$10008,$A$4:$A$2700)</f>
        <v>0</v>
      </c>
      <c r="BK144" s="72">
        <f t="shared" si="40"/>
        <v>66948</v>
      </c>
      <c r="BL144" s="72">
        <f t="shared" si="41"/>
        <v>63760</v>
      </c>
      <c r="BM144" s="72">
        <f t="shared" si="42"/>
        <v>0</v>
      </c>
      <c r="BN144" s="72">
        <f t="shared" si="43"/>
        <v>1594</v>
      </c>
      <c r="BO144" s="72">
        <f t="shared" si="44"/>
        <v>1594</v>
      </c>
    </row>
    <row r="145" spans="1:67" x14ac:dyDescent="0.2">
      <c r="A145" s="511">
        <v>63071090</v>
      </c>
      <c r="B145" s="467" t="s">
        <v>1288</v>
      </c>
      <c r="C145" s="512">
        <f t="shared" si="45"/>
        <v>339.84000000000003</v>
      </c>
      <c r="D145" s="512">
        <f>SUMIFS(PURCHASE!$K$6:$K$10008,PURCHASE!$A$6:$A$10008,$M$2,PURCHASE!$H$6:$H$10008,$A$4:$A$2700)</f>
        <v>288</v>
      </c>
      <c r="E145" s="512">
        <f>SUMIFS(PURCHASE!$L$6:$L$10008,PURCHASE!$A$6:$A$10008,$M$2,PURCHASE!$H$6:$H$10008,$A$4:$A$2700)</f>
        <v>0</v>
      </c>
      <c r="F145" s="512">
        <f>SUMIFS(PURCHASE!$M$6:$M$10008,PURCHASE!$A$6:$A$10008,$M$2,PURCHASE!$H$6:$H$10008,$A$4:$A$2700)</f>
        <v>25.919999999999998</v>
      </c>
      <c r="G145" s="512">
        <f>SUMIFS(PURCHASE!$N$6:$N$10008,PURCHASE!$A$6:$A$10008,$M$2,PURCHASE!$H$6:$H$10008,$A$4:$A$2700)</f>
        <v>25.919999999999998</v>
      </c>
      <c r="H145" s="512">
        <f t="shared" si="46"/>
        <v>0</v>
      </c>
      <c r="I145" s="512">
        <f>SUMIFS(PURCHASE!$K$6:$K$10008,PURCHASE!$A$6:$A$10008,$H$2,PURCHASE!$H$6:$H$10008,$A$4:$A$2700)</f>
        <v>0</v>
      </c>
      <c r="J145" s="512">
        <f>SUMIFS(PURCHASE!$L$6:$L$10008,PURCHASE!$A$6:$A$10008,$H$2,PURCHASE!$H$6:$H$10008,$A$4:$A$2700)</f>
        <v>0</v>
      </c>
      <c r="K145" s="512">
        <f>SUMIFS(PURCHASE!$M$6:$M$10008,PURCHASE!$A$6:$A$10008,$H$2,PURCHASE!$H$6:$H$10008,$A$4:$A$2700)</f>
        <v>0</v>
      </c>
      <c r="L145" s="512">
        <f>SUMIFS(PURCHASE!$N$6:$N$10008,PURCHASE!$A$6:$A$10008,$H$2,PURCHASE!$H$6:$H$10008,$A$4:$A$2700)</f>
        <v>0</v>
      </c>
      <c r="M145" s="512">
        <f t="shared" si="47"/>
        <v>339.84000000000003</v>
      </c>
      <c r="N145" s="512">
        <f>SUMIFS(PURCHASE!$K$6:$K$10008,PURCHASE!$A$6:$A$10008,$M$2,PURCHASE!$H$6:$H$10008,$A$4:$A$2700)</f>
        <v>288</v>
      </c>
      <c r="O145" s="512">
        <f>SUMIFS(PURCHASE!$L$6:$L$10008,PURCHASE!$A$6:$A$10008,$M$2,PURCHASE!$H$6:$H$10008,$A$4:$A$2700)</f>
        <v>0</v>
      </c>
      <c r="P145" s="512">
        <f>SUMIFS(PURCHASE!$M$6:$M$10008,PURCHASE!$A$6:$A$10008,$M$2,PURCHASE!$H$6:$H$10008,$A$4:$A$2700)</f>
        <v>25.919999999999998</v>
      </c>
      <c r="Q145" s="512">
        <f>SUMIFS(PURCHASE!$N$6:$N$10008,PURCHASE!$A$6:$A$10008,$M$2,PURCHASE!$H$6:$H$10008,$A$4:$A$2700)</f>
        <v>25.919999999999998</v>
      </c>
      <c r="R145" s="512">
        <f t="shared" si="48"/>
        <v>679.68000000000006</v>
      </c>
      <c r="S145" s="512">
        <f>SUMIFS(PURCHASE!$K$6:$K$10008,PURCHASE!$A$6:$A$10008,$R$2,PURCHASE!$H$6:$H$10008,$A$4:$A$2700)</f>
        <v>576</v>
      </c>
      <c r="T145" s="512">
        <f>SUMIFS(PURCHASE!$L$6:$L$10008,PURCHASE!$A$6:$A$10008,$R$2,PURCHASE!$H$6:$H$10008,$A$4:$A$2700)</f>
        <v>0</v>
      </c>
      <c r="U145" s="512">
        <f>SUMIFS(PURCHASE!$M$6:$M$10008,PURCHASE!$A$6:$A$10008,$R$2,PURCHASE!$H$6:$H$10008,$A$4:$A$2700)</f>
        <v>51.839999999999996</v>
      </c>
      <c r="V145" s="512">
        <f>SUMIFS(PURCHASE!$N$6:$N$10008,PURCHASE!$A$6:$A$10008,$R$2,PURCHASE!$H$6:$H$10008,$A$4:$A$2700)</f>
        <v>51.839999999999996</v>
      </c>
      <c r="W145" s="512">
        <f t="shared" si="49"/>
        <v>169.92000000000002</v>
      </c>
      <c r="X145" s="512">
        <f>SUMIFS(PURCHASE!$K$6:$K$10008,PURCHASE!$A$6:$A$10008,$W$2,PURCHASE!$H$6:$H$10008,$A$4:$A$2700)</f>
        <v>144</v>
      </c>
      <c r="Y145" s="512">
        <f>SUMIFS(PURCHASE!$L$6:$L$10008,PURCHASE!$A$6:$A$10008,$W$2,PURCHASE!$H$6:$H$10008,$A$4:$A$2700)</f>
        <v>0</v>
      </c>
      <c r="Z145" s="512">
        <f>SUMIFS(PURCHASE!$M$6:$M$10008,PURCHASE!$A$6:$A$10008,$W$2,PURCHASE!$H$6:$H$10008,$A$4:$A$2700)</f>
        <v>12.959999999999999</v>
      </c>
      <c r="AA145" s="512">
        <f>SUMIFS(PURCHASE!$N$6:$N$10008,PURCHASE!$A$6:$A$10008,$W$2,PURCHASE!$H$6:$H$10008,$A$4:$A$2700)</f>
        <v>12.959999999999999</v>
      </c>
      <c r="AB145" s="512">
        <f t="shared" si="50"/>
        <v>0</v>
      </c>
      <c r="AC145" s="512">
        <f>SUMIFS(PURCHASE!$K$6:$K$10008,PURCHASE!$A$6:$A$10008,$AB$2,PURCHASE!$H$6:$H$10008,$A$4:$A$2700)</f>
        <v>0</v>
      </c>
      <c r="AD145" s="512">
        <f>SUMIFS(PURCHASE!$L$6:$L$10008,PURCHASE!$A$6:$A$10008,$AB$2,PURCHASE!$H$6:$H$10008,$A$4:$A$2700)</f>
        <v>0</v>
      </c>
      <c r="AE145" s="512">
        <f>SUMIFS(PURCHASE!$M$6:$M$10008,PURCHASE!$A$6:$A$10008,$AB$2,PURCHASE!$H$6:$H$10008,$A$4:$A$2700)</f>
        <v>0</v>
      </c>
      <c r="AF145" s="512">
        <f>SUMIFS(PURCHASE!$N$6:$N$10008,PURCHASE!$A$6:$A$10008,$AB$2,PURCHASE!$H$6:$H$10008,$A$4:$A$2700)</f>
        <v>0</v>
      </c>
      <c r="AG145" s="512">
        <f t="shared" si="51"/>
        <v>679.68000000000006</v>
      </c>
      <c r="AH145" s="512">
        <f>SUMIFS(PURCHASE!$K$6:$K$10008,PURCHASE!$A$6:$A$10008,$AG$2,PURCHASE!$H$6:$H$10008,$A$4:$A$2700)</f>
        <v>576</v>
      </c>
      <c r="AI145" s="512">
        <f>SUMIFS(PURCHASE!$L$6:$L$10008,PURCHASE!$A$6:$A$10008,$AG$2,PURCHASE!$H$6:$H$10008,$A$4:$A$2700)</f>
        <v>0</v>
      </c>
      <c r="AJ145" s="512">
        <f>SUMIFS(PURCHASE!$M$6:$M$10008,PURCHASE!$A$6:$A$10008,$AG$2,PURCHASE!$H$6:$H$10008,$A$4:$A$2700)</f>
        <v>51.839999999999996</v>
      </c>
      <c r="AK145" s="512">
        <f>SUMIFS(PURCHASE!$N$6:$N$10008,PURCHASE!$A$6:$A$10008,$AG$2,PURCHASE!$H$6:$H$10008,$A$4:$A$2700)</f>
        <v>51.839999999999996</v>
      </c>
      <c r="AL145" s="512">
        <f t="shared" si="52"/>
        <v>835.44</v>
      </c>
      <c r="AM145" s="512">
        <f>SUMIFS(PURCHASE!$K$6:$K$10008,PURCHASE!$A$6:$A$10008,$AL$2,PURCHASE!$H$6:$H$10008,$A$4:$A$2700)</f>
        <v>708</v>
      </c>
      <c r="AN145" s="512">
        <f>SUMIFS(PURCHASE!$L$6:$L$10008,PURCHASE!$A$6:$A$10008,$AL$2,PURCHASE!$H$6:$H$10008,$A$4:$A$2700)</f>
        <v>0</v>
      </c>
      <c r="AO145" s="512">
        <f>SUMIFS(PURCHASE!$M$6:$M$10008,PURCHASE!$A$6:$A$10008,$AL$2,PURCHASE!$H$6:$H$10008,$A$4:$A$2700)</f>
        <v>63.72</v>
      </c>
      <c r="AP145" s="512">
        <f>SUMIFS(PURCHASE!$N$6:$N$10008,PURCHASE!$A$6:$A$10008,$AL$2,PURCHASE!$H$6:$H$10008,$A$4:$A$2700)</f>
        <v>63.72</v>
      </c>
      <c r="AQ145" s="512">
        <f t="shared" si="53"/>
        <v>0</v>
      </c>
      <c r="AR145" s="512">
        <f>SUMIFS(PURCHASE!$K$6:$K$10008,PURCHASE!$A$6:$A$10008,$AQ$2,PURCHASE!$H$6:$H$10008,$A$4:$A$2700)</f>
        <v>0</v>
      </c>
      <c r="AS145" s="512">
        <f>SUMIFS(PURCHASE!$L$6:$L$10008,PURCHASE!$A$6:$A$10008,$AQ$2,PURCHASE!$H$6:$H$10008,$A$4:$A$2700)</f>
        <v>0</v>
      </c>
      <c r="AT145" s="512">
        <f>SUMIFS(PURCHASE!$M$6:$M$10008,PURCHASE!$A$6:$A$10008,$AQ$2,PURCHASE!$H$6:$H$10008,$A$4:$A$2700)</f>
        <v>0</v>
      </c>
      <c r="AU145" s="512">
        <f>SUMIFS(PURCHASE!$N$6:$N$10008,PURCHASE!$A$6:$A$10008,$AQ$2,PURCHASE!$H$6:$H$10008,$A$4:$A$2700)</f>
        <v>0</v>
      </c>
      <c r="AV145" s="512">
        <f t="shared" si="54"/>
        <v>679.68000000000006</v>
      </c>
      <c r="AW145" s="512">
        <f>SUMIFS(PURCHASE!$K$6:$K$10008,PURCHASE!$A$6:$A$10008,$AV$2,PURCHASE!$H$6:$H$10008,$A$4:$A$2700)</f>
        <v>576</v>
      </c>
      <c r="AX145" s="512">
        <f>SUMIFS(PURCHASE!$L$6:$L$10008,PURCHASE!$A$6:$A$10008,$AV$2,PURCHASE!$H$6:$H$10008,$A$4:$A$2700)</f>
        <v>0</v>
      </c>
      <c r="AY145" s="512">
        <f>SUMIFS(PURCHASE!$M$6:$M$10008,PURCHASE!$A$6:$A$10008,$AV$2,PURCHASE!$H$6:$H$10008,$A$4:$A$2700)</f>
        <v>51.839999999999996</v>
      </c>
      <c r="AZ145" s="512">
        <f>SUMIFS(PURCHASE!$N$6:$N$10008,PURCHASE!$A$6:$A$10008,$AV$2,PURCHASE!$H$6:$H$10008,$A$4:$A$2700)</f>
        <v>51.839999999999996</v>
      </c>
      <c r="BA145" s="512">
        <f t="shared" si="55"/>
        <v>0</v>
      </c>
      <c r="BB145" s="512">
        <f>SUMIFS(PURCHASE!$K$6:$K$10008,PURCHASE!$A$6:$A$10008,$BA$2,PURCHASE!$H$6:$H$10008,$A$4:$A$2700)</f>
        <v>0</v>
      </c>
      <c r="BC145" s="512">
        <f>SUMIFS(PURCHASE!$L$6:$L$10008,PURCHASE!$A$6:$A$10008,$BA$2,PURCHASE!$H$6:$H$10008,$A$4:$A$2700)</f>
        <v>0</v>
      </c>
      <c r="BD145" s="512">
        <f>SUMIFS(PURCHASE!$M$6:$M$10008,PURCHASE!$A$6:$A$10008,$BA$2,PURCHASE!$H$6:$H$10008,$A$4:$A$2700)</f>
        <v>0</v>
      </c>
      <c r="BE145" s="512">
        <f>SUMIFS(PURCHASE!$N$6:$N$10008,PURCHASE!$A$6:$A$10008,$BA$2,PURCHASE!$H$6:$H$10008,$A$4:$A$2700)</f>
        <v>0</v>
      </c>
      <c r="BF145" s="512">
        <f t="shared" si="56"/>
        <v>0</v>
      </c>
      <c r="BG145" s="512">
        <f>SUMIFS(PURCHASE!$K$6:$K$10008,PURCHASE!$A$6:$A$10008,$BF$2,PURCHASE!$H$6:$H$10008,$A$4:$A$2700)</f>
        <v>0</v>
      </c>
      <c r="BH145" s="512">
        <f>SUMIFS(PURCHASE!$L$6:$L$10008,PURCHASE!$A$6:$A$10008,$BF$2,PURCHASE!$H$6:$H$10008,$A$4:$A$2700)</f>
        <v>0</v>
      </c>
      <c r="BI145" s="512">
        <f>SUMIFS(PURCHASE!$M$6:$M$10008,PURCHASE!$A$6:$A$10008,$BF$2,PURCHASE!$H$6:$H$10008,$A$4:$A$2700)</f>
        <v>0</v>
      </c>
      <c r="BJ145" s="512">
        <f>SUMIFS(PURCHASE!$N$6:$N$10008,PURCHASE!$A$6:$A$10008,$BF$2,PURCHASE!$H$6:$H$10008,$A$4:$A$2700)</f>
        <v>0</v>
      </c>
      <c r="BK145" s="72">
        <f t="shared" si="40"/>
        <v>3724.08</v>
      </c>
      <c r="BL145" s="72">
        <f t="shared" si="41"/>
        <v>3156</v>
      </c>
      <c r="BM145" s="72">
        <f t="shared" si="42"/>
        <v>0</v>
      </c>
      <c r="BN145" s="72">
        <f t="shared" si="43"/>
        <v>284.03999999999996</v>
      </c>
      <c r="BO145" s="72">
        <f t="shared" si="44"/>
        <v>284.03999999999996</v>
      </c>
    </row>
    <row r="146" spans="1:67" x14ac:dyDescent="0.2">
      <c r="A146" s="511">
        <v>63079090</v>
      </c>
      <c r="B146" s="467" t="s">
        <v>1289</v>
      </c>
      <c r="C146" s="512">
        <f t="shared" si="45"/>
        <v>0</v>
      </c>
      <c r="D146" s="512">
        <f>SUMIFS(PURCHASE!$K$6:$K$10008,PURCHASE!$A$6:$A$10008,$M$2,PURCHASE!$H$6:$H$10008,$A$4:$A$2700)</f>
        <v>0</v>
      </c>
      <c r="E146" s="512">
        <f>SUMIFS(PURCHASE!$L$6:$L$10008,PURCHASE!$A$6:$A$10008,$M$2,PURCHASE!$H$6:$H$10008,$A$4:$A$2700)</f>
        <v>0</v>
      </c>
      <c r="F146" s="512">
        <f>SUMIFS(PURCHASE!$M$6:$M$10008,PURCHASE!$A$6:$A$10008,$M$2,PURCHASE!$H$6:$H$10008,$A$4:$A$2700)</f>
        <v>0</v>
      </c>
      <c r="G146" s="512">
        <f>SUMIFS(PURCHASE!$N$6:$N$10008,PURCHASE!$A$6:$A$10008,$M$2,PURCHASE!$H$6:$H$10008,$A$4:$A$2700)</f>
        <v>0</v>
      </c>
      <c r="H146" s="512">
        <f t="shared" si="46"/>
        <v>813.75</v>
      </c>
      <c r="I146" s="512">
        <f>SUMIFS(PURCHASE!$K$6:$K$10008,PURCHASE!$A$6:$A$10008,$H$2,PURCHASE!$H$6:$H$10008,$A$4:$A$2700)</f>
        <v>775</v>
      </c>
      <c r="J146" s="512">
        <f>SUMIFS(PURCHASE!$L$6:$L$10008,PURCHASE!$A$6:$A$10008,$H$2,PURCHASE!$H$6:$H$10008,$A$4:$A$2700)</f>
        <v>0</v>
      </c>
      <c r="K146" s="512">
        <f>SUMIFS(PURCHASE!$M$6:$M$10008,PURCHASE!$A$6:$A$10008,$H$2,PURCHASE!$H$6:$H$10008,$A$4:$A$2700)</f>
        <v>19.375</v>
      </c>
      <c r="L146" s="512">
        <f>SUMIFS(PURCHASE!$N$6:$N$10008,PURCHASE!$A$6:$A$10008,$H$2,PURCHASE!$H$6:$H$10008,$A$4:$A$2700)</f>
        <v>19.375</v>
      </c>
      <c r="M146" s="512">
        <f t="shared" si="47"/>
        <v>0</v>
      </c>
      <c r="N146" s="512">
        <f>SUMIFS(PURCHASE!$K$6:$K$10008,PURCHASE!$A$6:$A$10008,$M$2,PURCHASE!$H$6:$H$10008,$A$4:$A$2700)</f>
        <v>0</v>
      </c>
      <c r="O146" s="512">
        <f>SUMIFS(PURCHASE!$L$6:$L$10008,PURCHASE!$A$6:$A$10008,$M$2,PURCHASE!$H$6:$H$10008,$A$4:$A$2700)</f>
        <v>0</v>
      </c>
      <c r="P146" s="512">
        <f>SUMIFS(PURCHASE!$M$6:$M$10008,PURCHASE!$A$6:$A$10008,$M$2,PURCHASE!$H$6:$H$10008,$A$4:$A$2700)</f>
        <v>0</v>
      </c>
      <c r="Q146" s="512">
        <f>SUMIFS(PURCHASE!$N$6:$N$10008,PURCHASE!$A$6:$A$10008,$M$2,PURCHASE!$H$6:$H$10008,$A$4:$A$2700)</f>
        <v>0</v>
      </c>
      <c r="R146" s="512">
        <f t="shared" si="48"/>
        <v>0</v>
      </c>
      <c r="S146" s="512">
        <f>SUMIFS(PURCHASE!$K$6:$K$10008,PURCHASE!$A$6:$A$10008,$R$2,PURCHASE!$H$6:$H$10008,$A$4:$A$2700)</f>
        <v>0</v>
      </c>
      <c r="T146" s="512">
        <f>SUMIFS(PURCHASE!$L$6:$L$10008,PURCHASE!$A$6:$A$10008,$R$2,PURCHASE!$H$6:$H$10008,$A$4:$A$2700)</f>
        <v>0</v>
      </c>
      <c r="U146" s="512">
        <f>SUMIFS(PURCHASE!$M$6:$M$10008,PURCHASE!$A$6:$A$10008,$R$2,PURCHASE!$H$6:$H$10008,$A$4:$A$2700)</f>
        <v>0</v>
      </c>
      <c r="V146" s="512">
        <f>SUMIFS(PURCHASE!$N$6:$N$10008,PURCHASE!$A$6:$A$10008,$R$2,PURCHASE!$H$6:$H$10008,$A$4:$A$2700)</f>
        <v>0</v>
      </c>
      <c r="W146" s="512">
        <f t="shared" si="49"/>
        <v>1627.5</v>
      </c>
      <c r="X146" s="512">
        <f>SUMIFS(PURCHASE!$K$6:$K$10008,PURCHASE!$A$6:$A$10008,$W$2,PURCHASE!$H$6:$H$10008,$A$4:$A$2700)</f>
        <v>1550</v>
      </c>
      <c r="Y146" s="512">
        <f>SUMIFS(PURCHASE!$L$6:$L$10008,PURCHASE!$A$6:$A$10008,$W$2,PURCHASE!$H$6:$H$10008,$A$4:$A$2700)</f>
        <v>0</v>
      </c>
      <c r="Z146" s="512">
        <f>SUMIFS(PURCHASE!$M$6:$M$10008,PURCHASE!$A$6:$A$10008,$W$2,PURCHASE!$H$6:$H$10008,$A$4:$A$2700)</f>
        <v>38.75</v>
      </c>
      <c r="AA146" s="512">
        <f>SUMIFS(PURCHASE!$N$6:$N$10008,PURCHASE!$A$6:$A$10008,$W$2,PURCHASE!$H$6:$H$10008,$A$4:$A$2700)</f>
        <v>38.75</v>
      </c>
      <c r="AB146" s="512">
        <f t="shared" si="50"/>
        <v>0</v>
      </c>
      <c r="AC146" s="512">
        <f>SUMIFS(PURCHASE!$K$6:$K$10008,PURCHASE!$A$6:$A$10008,$AB$2,PURCHASE!$H$6:$H$10008,$A$4:$A$2700)</f>
        <v>0</v>
      </c>
      <c r="AD146" s="512">
        <f>SUMIFS(PURCHASE!$L$6:$L$10008,PURCHASE!$A$6:$A$10008,$AB$2,PURCHASE!$H$6:$H$10008,$A$4:$A$2700)</f>
        <v>0</v>
      </c>
      <c r="AE146" s="512">
        <f>SUMIFS(PURCHASE!$M$6:$M$10008,PURCHASE!$A$6:$A$10008,$AB$2,PURCHASE!$H$6:$H$10008,$A$4:$A$2700)</f>
        <v>0</v>
      </c>
      <c r="AF146" s="512">
        <f>SUMIFS(PURCHASE!$N$6:$N$10008,PURCHASE!$A$6:$A$10008,$AB$2,PURCHASE!$H$6:$H$10008,$A$4:$A$2700)</f>
        <v>0</v>
      </c>
      <c r="AG146" s="512">
        <f t="shared" si="51"/>
        <v>0</v>
      </c>
      <c r="AH146" s="512">
        <f>SUMIFS(PURCHASE!$K$6:$K$10008,PURCHASE!$A$6:$A$10008,$AG$2,PURCHASE!$H$6:$H$10008,$A$4:$A$2700)</f>
        <v>0</v>
      </c>
      <c r="AI146" s="512">
        <f>SUMIFS(PURCHASE!$L$6:$L$10008,PURCHASE!$A$6:$A$10008,$AG$2,PURCHASE!$H$6:$H$10008,$A$4:$A$2700)</f>
        <v>0</v>
      </c>
      <c r="AJ146" s="512">
        <f>SUMIFS(PURCHASE!$M$6:$M$10008,PURCHASE!$A$6:$A$10008,$AG$2,PURCHASE!$H$6:$H$10008,$A$4:$A$2700)</f>
        <v>0</v>
      </c>
      <c r="AK146" s="512">
        <f>SUMIFS(PURCHASE!$N$6:$N$10008,PURCHASE!$A$6:$A$10008,$AG$2,PURCHASE!$H$6:$H$10008,$A$4:$A$2700)</f>
        <v>0</v>
      </c>
      <c r="AL146" s="512">
        <f t="shared" si="52"/>
        <v>0</v>
      </c>
      <c r="AM146" s="512">
        <f>SUMIFS(PURCHASE!$K$6:$K$10008,PURCHASE!$A$6:$A$10008,$AL$2,PURCHASE!$H$6:$H$10008,$A$4:$A$2700)</f>
        <v>0</v>
      </c>
      <c r="AN146" s="512">
        <f>SUMIFS(PURCHASE!$L$6:$L$10008,PURCHASE!$A$6:$A$10008,$AL$2,PURCHASE!$H$6:$H$10008,$A$4:$A$2700)</f>
        <v>0</v>
      </c>
      <c r="AO146" s="512">
        <f>SUMIFS(PURCHASE!$M$6:$M$10008,PURCHASE!$A$6:$A$10008,$AL$2,PURCHASE!$H$6:$H$10008,$A$4:$A$2700)</f>
        <v>0</v>
      </c>
      <c r="AP146" s="512">
        <f>SUMIFS(PURCHASE!$N$6:$N$10008,PURCHASE!$A$6:$A$10008,$AL$2,PURCHASE!$H$6:$H$10008,$A$4:$A$2700)</f>
        <v>0</v>
      </c>
      <c r="AQ146" s="512">
        <f t="shared" si="53"/>
        <v>0</v>
      </c>
      <c r="AR146" s="512">
        <f>SUMIFS(PURCHASE!$K$6:$K$10008,PURCHASE!$A$6:$A$10008,$AQ$2,PURCHASE!$H$6:$H$10008,$A$4:$A$2700)</f>
        <v>0</v>
      </c>
      <c r="AS146" s="512">
        <f>SUMIFS(PURCHASE!$L$6:$L$10008,PURCHASE!$A$6:$A$10008,$AQ$2,PURCHASE!$H$6:$H$10008,$A$4:$A$2700)</f>
        <v>0</v>
      </c>
      <c r="AT146" s="512">
        <f>SUMIFS(PURCHASE!$M$6:$M$10008,PURCHASE!$A$6:$A$10008,$AQ$2,PURCHASE!$H$6:$H$10008,$A$4:$A$2700)</f>
        <v>0</v>
      </c>
      <c r="AU146" s="512">
        <f>SUMIFS(PURCHASE!$N$6:$N$10008,PURCHASE!$A$6:$A$10008,$AQ$2,PURCHASE!$H$6:$H$10008,$A$4:$A$2700)</f>
        <v>0</v>
      </c>
      <c r="AV146" s="512">
        <f t="shared" si="54"/>
        <v>813.75</v>
      </c>
      <c r="AW146" s="512">
        <f>SUMIFS(PURCHASE!$K$6:$K$10008,PURCHASE!$A$6:$A$10008,$AV$2,PURCHASE!$H$6:$H$10008,$A$4:$A$2700)</f>
        <v>775</v>
      </c>
      <c r="AX146" s="512">
        <f>SUMIFS(PURCHASE!$L$6:$L$10008,PURCHASE!$A$6:$A$10008,$AV$2,PURCHASE!$H$6:$H$10008,$A$4:$A$2700)</f>
        <v>0</v>
      </c>
      <c r="AY146" s="512">
        <f>SUMIFS(PURCHASE!$M$6:$M$10008,PURCHASE!$A$6:$A$10008,$AV$2,PURCHASE!$H$6:$H$10008,$A$4:$A$2700)</f>
        <v>19.375</v>
      </c>
      <c r="AZ146" s="512">
        <f>SUMIFS(PURCHASE!$N$6:$N$10008,PURCHASE!$A$6:$A$10008,$AV$2,PURCHASE!$H$6:$H$10008,$A$4:$A$2700)</f>
        <v>19.375</v>
      </c>
      <c r="BA146" s="512">
        <f t="shared" si="55"/>
        <v>0</v>
      </c>
      <c r="BB146" s="512">
        <f>SUMIFS(PURCHASE!$K$6:$K$10008,PURCHASE!$A$6:$A$10008,$BA$2,PURCHASE!$H$6:$H$10008,$A$4:$A$2700)</f>
        <v>0</v>
      </c>
      <c r="BC146" s="512">
        <f>SUMIFS(PURCHASE!$L$6:$L$10008,PURCHASE!$A$6:$A$10008,$BA$2,PURCHASE!$H$6:$H$10008,$A$4:$A$2700)</f>
        <v>0</v>
      </c>
      <c r="BD146" s="512">
        <f>SUMIFS(PURCHASE!$M$6:$M$10008,PURCHASE!$A$6:$A$10008,$BA$2,PURCHASE!$H$6:$H$10008,$A$4:$A$2700)</f>
        <v>0</v>
      </c>
      <c r="BE146" s="512">
        <f>SUMIFS(PURCHASE!$N$6:$N$10008,PURCHASE!$A$6:$A$10008,$BA$2,PURCHASE!$H$6:$H$10008,$A$4:$A$2700)</f>
        <v>0</v>
      </c>
      <c r="BF146" s="512">
        <f t="shared" si="56"/>
        <v>0</v>
      </c>
      <c r="BG146" s="512">
        <f>SUMIFS(PURCHASE!$K$6:$K$10008,PURCHASE!$A$6:$A$10008,$BF$2,PURCHASE!$H$6:$H$10008,$A$4:$A$2700)</f>
        <v>0</v>
      </c>
      <c r="BH146" s="512">
        <f>SUMIFS(PURCHASE!$L$6:$L$10008,PURCHASE!$A$6:$A$10008,$BF$2,PURCHASE!$H$6:$H$10008,$A$4:$A$2700)</f>
        <v>0</v>
      </c>
      <c r="BI146" s="512">
        <f>SUMIFS(PURCHASE!$M$6:$M$10008,PURCHASE!$A$6:$A$10008,$BF$2,PURCHASE!$H$6:$H$10008,$A$4:$A$2700)</f>
        <v>0</v>
      </c>
      <c r="BJ146" s="512">
        <f>SUMIFS(PURCHASE!$N$6:$N$10008,PURCHASE!$A$6:$A$10008,$BF$2,PURCHASE!$H$6:$H$10008,$A$4:$A$2700)</f>
        <v>0</v>
      </c>
      <c r="BK146" s="72">
        <f t="shared" si="40"/>
        <v>3255</v>
      </c>
      <c r="BL146" s="72">
        <f t="shared" si="41"/>
        <v>3100</v>
      </c>
      <c r="BM146" s="72">
        <f t="shared" si="42"/>
        <v>0</v>
      </c>
      <c r="BN146" s="72">
        <f t="shared" si="43"/>
        <v>77.5</v>
      </c>
      <c r="BO146" s="72">
        <f t="shared" si="44"/>
        <v>77.5</v>
      </c>
    </row>
    <row r="147" spans="1:67" x14ac:dyDescent="0.2">
      <c r="A147" s="511">
        <v>64011090</v>
      </c>
      <c r="B147" s="467" t="s">
        <v>1290</v>
      </c>
      <c r="C147" s="512">
        <f t="shared" si="45"/>
        <v>0</v>
      </c>
      <c r="D147" s="512">
        <f>SUMIFS(PURCHASE!$K$6:$K$10008,PURCHASE!$A$6:$A$10008,$M$2,PURCHASE!$H$6:$H$10008,$A$4:$A$2700)</f>
        <v>0</v>
      </c>
      <c r="E147" s="512">
        <f>SUMIFS(PURCHASE!$L$6:$L$10008,PURCHASE!$A$6:$A$10008,$M$2,PURCHASE!$H$6:$H$10008,$A$4:$A$2700)</f>
        <v>0</v>
      </c>
      <c r="F147" s="512">
        <f>SUMIFS(PURCHASE!$M$6:$M$10008,PURCHASE!$A$6:$A$10008,$M$2,PURCHASE!$H$6:$H$10008,$A$4:$A$2700)</f>
        <v>0</v>
      </c>
      <c r="G147" s="512">
        <f>SUMIFS(PURCHASE!$N$6:$N$10008,PURCHASE!$A$6:$A$10008,$M$2,PURCHASE!$H$6:$H$10008,$A$4:$A$2700)</f>
        <v>0</v>
      </c>
      <c r="H147" s="512">
        <f t="shared" si="46"/>
        <v>0</v>
      </c>
      <c r="I147" s="512">
        <f>SUMIFS(PURCHASE!$K$6:$K$10008,PURCHASE!$A$6:$A$10008,$H$2,PURCHASE!$H$6:$H$10008,$A$4:$A$2700)</f>
        <v>0</v>
      </c>
      <c r="J147" s="512">
        <f>SUMIFS(PURCHASE!$L$6:$L$10008,PURCHASE!$A$6:$A$10008,$H$2,PURCHASE!$H$6:$H$10008,$A$4:$A$2700)</f>
        <v>0</v>
      </c>
      <c r="K147" s="512">
        <f>SUMIFS(PURCHASE!$M$6:$M$10008,PURCHASE!$A$6:$A$10008,$H$2,PURCHASE!$H$6:$H$10008,$A$4:$A$2700)</f>
        <v>0</v>
      </c>
      <c r="L147" s="512">
        <f>SUMIFS(PURCHASE!$N$6:$N$10008,PURCHASE!$A$6:$A$10008,$H$2,PURCHASE!$H$6:$H$10008,$A$4:$A$2700)</f>
        <v>0</v>
      </c>
      <c r="M147" s="512">
        <f t="shared" si="47"/>
        <v>0</v>
      </c>
      <c r="N147" s="512">
        <f>SUMIFS(PURCHASE!$K$6:$K$10008,PURCHASE!$A$6:$A$10008,$M$2,PURCHASE!$H$6:$H$10008,$A$4:$A$2700)</f>
        <v>0</v>
      </c>
      <c r="O147" s="512">
        <f>SUMIFS(PURCHASE!$L$6:$L$10008,PURCHASE!$A$6:$A$10008,$M$2,PURCHASE!$H$6:$H$10008,$A$4:$A$2700)</f>
        <v>0</v>
      </c>
      <c r="P147" s="512">
        <f>SUMIFS(PURCHASE!$M$6:$M$10008,PURCHASE!$A$6:$A$10008,$M$2,PURCHASE!$H$6:$H$10008,$A$4:$A$2700)</f>
        <v>0</v>
      </c>
      <c r="Q147" s="512">
        <f>SUMIFS(PURCHASE!$N$6:$N$10008,PURCHASE!$A$6:$A$10008,$M$2,PURCHASE!$H$6:$H$10008,$A$4:$A$2700)</f>
        <v>0</v>
      </c>
      <c r="R147" s="512">
        <f t="shared" si="48"/>
        <v>0</v>
      </c>
      <c r="S147" s="512">
        <f>SUMIFS(PURCHASE!$K$6:$K$10008,PURCHASE!$A$6:$A$10008,$R$2,PURCHASE!$H$6:$H$10008,$A$4:$A$2700)</f>
        <v>0</v>
      </c>
      <c r="T147" s="512">
        <f>SUMIFS(PURCHASE!$L$6:$L$10008,PURCHASE!$A$6:$A$10008,$R$2,PURCHASE!$H$6:$H$10008,$A$4:$A$2700)</f>
        <v>0</v>
      </c>
      <c r="U147" s="512">
        <f>SUMIFS(PURCHASE!$M$6:$M$10008,PURCHASE!$A$6:$A$10008,$R$2,PURCHASE!$H$6:$H$10008,$A$4:$A$2700)</f>
        <v>0</v>
      </c>
      <c r="V147" s="512">
        <f>SUMIFS(PURCHASE!$N$6:$N$10008,PURCHASE!$A$6:$A$10008,$R$2,PURCHASE!$H$6:$H$10008,$A$4:$A$2700)</f>
        <v>0</v>
      </c>
      <c r="W147" s="512">
        <f t="shared" si="49"/>
        <v>0</v>
      </c>
      <c r="X147" s="512">
        <f>SUMIFS(PURCHASE!$K$6:$K$10008,PURCHASE!$A$6:$A$10008,$W$2,PURCHASE!$H$6:$H$10008,$A$4:$A$2700)</f>
        <v>0</v>
      </c>
      <c r="Y147" s="512">
        <f>SUMIFS(PURCHASE!$L$6:$L$10008,PURCHASE!$A$6:$A$10008,$W$2,PURCHASE!$H$6:$H$10008,$A$4:$A$2700)</f>
        <v>0</v>
      </c>
      <c r="Z147" s="512">
        <f>SUMIFS(PURCHASE!$M$6:$M$10008,PURCHASE!$A$6:$A$10008,$W$2,PURCHASE!$H$6:$H$10008,$A$4:$A$2700)</f>
        <v>0</v>
      </c>
      <c r="AA147" s="512">
        <f>SUMIFS(PURCHASE!$N$6:$N$10008,PURCHASE!$A$6:$A$10008,$W$2,PURCHASE!$H$6:$H$10008,$A$4:$A$2700)</f>
        <v>0</v>
      </c>
      <c r="AB147" s="512">
        <f t="shared" si="50"/>
        <v>0</v>
      </c>
      <c r="AC147" s="512">
        <f>SUMIFS(PURCHASE!$K$6:$K$10008,PURCHASE!$A$6:$A$10008,$AB$2,PURCHASE!$H$6:$H$10008,$A$4:$A$2700)</f>
        <v>0</v>
      </c>
      <c r="AD147" s="512">
        <f>SUMIFS(PURCHASE!$L$6:$L$10008,PURCHASE!$A$6:$A$10008,$AB$2,PURCHASE!$H$6:$H$10008,$A$4:$A$2700)</f>
        <v>0</v>
      </c>
      <c r="AE147" s="512">
        <f>SUMIFS(PURCHASE!$M$6:$M$10008,PURCHASE!$A$6:$A$10008,$AB$2,PURCHASE!$H$6:$H$10008,$A$4:$A$2700)</f>
        <v>0</v>
      </c>
      <c r="AF147" s="512">
        <f>SUMIFS(PURCHASE!$N$6:$N$10008,PURCHASE!$A$6:$A$10008,$AB$2,PURCHASE!$H$6:$H$10008,$A$4:$A$2700)</f>
        <v>0</v>
      </c>
      <c r="AG147" s="512">
        <f t="shared" si="51"/>
        <v>0</v>
      </c>
      <c r="AH147" s="512">
        <f>SUMIFS(PURCHASE!$K$6:$K$10008,PURCHASE!$A$6:$A$10008,$AG$2,PURCHASE!$H$6:$H$10008,$A$4:$A$2700)</f>
        <v>0</v>
      </c>
      <c r="AI147" s="512">
        <f>SUMIFS(PURCHASE!$L$6:$L$10008,PURCHASE!$A$6:$A$10008,$AG$2,PURCHASE!$H$6:$H$10008,$A$4:$A$2700)</f>
        <v>0</v>
      </c>
      <c r="AJ147" s="512">
        <f>SUMIFS(PURCHASE!$M$6:$M$10008,PURCHASE!$A$6:$A$10008,$AG$2,PURCHASE!$H$6:$H$10008,$A$4:$A$2700)</f>
        <v>0</v>
      </c>
      <c r="AK147" s="512">
        <f>SUMIFS(PURCHASE!$N$6:$N$10008,PURCHASE!$A$6:$A$10008,$AG$2,PURCHASE!$H$6:$H$10008,$A$4:$A$2700)</f>
        <v>0</v>
      </c>
      <c r="AL147" s="512">
        <f t="shared" si="52"/>
        <v>0</v>
      </c>
      <c r="AM147" s="512">
        <f>SUMIFS(PURCHASE!$K$6:$K$10008,PURCHASE!$A$6:$A$10008,$AL$2,PURCHASE!$H$6:$H$10008,$A$4:$A$2700)</f>
        <v>0</v>
      </c>
      <c r="AN147" s="512">
        <f>SUMIFS(PURCHASE!$L$6:$L$10008,PURCHASE!$A$6:$A$10008,$AL$2,PURCHASE!$H$6:$H$10008,$A$4:$A$2700)</f>
        <v>0</v>
      </c>
      <c r="AO147" s="512">
        <f>SUMIFS(PURCHASE!$M$6:$M$10008,PURCHASE!$A$6:$A$10008,$AL$2,PURCHASE!$H$6:$H$10008,$A$4:$A$2700)</f>
        <v>0</v>
      </c>
      <c r="AP147" s="512">
        <f>SUMIFS(PURCHASE!$N$6:$N$10008,PURCHASE!$A$6:$A$10008,$AL$2,PURCHASE!$H$6:$H$10008,$A$4:$A$2700)</f>
        <v>0</v>
      </c>
      <c r="AQ147" s="512">
        <f t="shared" si="53"/>
        <v>0</v>
      </c>
      <c r="AR147" s="512">
        <f>SUMIFS(PURCHASE!$K$6:$K$10008,PURCHASE!$A$6:$A$10008,$AQ$2,PURCHASE!$H$6:$H$10008,$A$4:$A$2700)</f>
        <v>0</v>
      </c>
      <c r="AS147" s="512">
        <f>SUMIFS(PURCHASE!$L$6:$L$10008,PURCHASE!$A$6:$A$10008,$AQ$2,PURCHASE!$H$6:$H$10008,$A$4:$A$2700)</f>
        <v>0</v>
      </c>
      <c r="AT147" s="512">
        <f>SUMIFS(PURCHASE!$M$6:$M$10008,PURCHASE!$A$6:$A$10008,$AQ$2,PURCHASE!$H$6:$H$10008,$A$4:$A$2700)</f>
        <v>0</v>
      </c>
      <c r="AU147" s="512">
        <f>SUMIFS(PURCHASE!$N$6:$N$10008,PURCHASE!$A$6:$A$10008,$AQ$2,PURCHASE!$H$6:$H$10008,$A$4:$A$2700)</f>
        <v>0</v>
      </c>
      <c r="AV147" s="512">
        <f t="shared" si="54"/>
        <v>0</v>
      </c>
      <c r="AW147" s="512">
        <f>SUMIFS(PURCHASE!$K$6:$K$10008,PURCHASE!$A$6:$A$10008,$AV$2,PURCHASE!$H$6:$H$10008,$A$4:$A$2700)</f>
        <v>0</v>
      </c>
      <c r="AX147" s="512">
        <f>SUMIFS(PURCHASE!$L$6:$L$10008,PURCHASE!$A$6:$A$10008,$AV$2,PURCHASE!$H$6:$H$10008,$A$4:$A$2700)</f>
        <v>0</v>
      </c>
      <c r="AY147" s="512">
        <f>SUMIFS(PURCHASE!$M$6:$M$10008,PURCHASE!$A$6:$A$10008,$AV$2,PURCHASE!$H$6:$H$10008,$A$4:$A$2700)</f>
        <v>0</v>
      </c>
      <c r="AZ147" s="512">
        <f>SUMIFS(PURCHASE!$N$6:$N$10008,PURCHASE!$A$6:$A$10008,$AV$2,PURCHASE!$H$6:$H$10008,$A$4:$A$2700)</f>
        <v>0</v>
      </c>
      <c r="BA147" s="512">
        <f t="shared" si="55"/>
        <v>0</v>
      </c>
      <c r="BB147" s="512">
        <f>SUMIFS(PURCHASE!$K$6:$K$10008,PURCHASE!$A$6:$A$10008,$BA$2,PURCHASE!$H$6:$H$10008,$A$4:$A$2700)</f>
        <v>0</v>
      </c>
      <c r="BC147" s="512">
        <f>SUMIFS(PURCHASE!$L$6:$L$10008,PURCHASE!$A$6:$A$10008,$BA$2,PURCHASE!$H$6:$H$10008,$A$4:$A$2700)</f>
        <v>0</v>
      </c>
      <c r="BD147" s="512">
        <f>SUMIFS(PURCHASE!$M$6:$M$10008,PURCHASE!$A$6:$A$10008,$BA$2,PURCHASE!$H$6:$H$10008,$A$4:$A$2700)</f>
        <v>0</v>
      </c>
      <c r="BE147" s="512">
        <f>SUMIFS(PURCHASE!$N$6:$N$10008,PURCHASE!$A$6:$A$10008,$BA$2,PURCHASE!$H$6:$H$10008,$A$4:$A$2700)</f>
        <v>0</v>
      </c>
      <c r="BF147" s="512">
        <f t="shared" si="56"/>
        <v>0</v>
      </c>
      <c r="BG147" s="512">
        <f>SUMIFS(PURCHASE!$K$6:$K$10008,PURCHASE!$A$6:$A$10008,$BF$2,PURCHASE!$H$6:$H$10008,$A$4:$A$2700)</f>
        <v>0</v>
      </c>
      <c r="BH147" s="512">
        <f>SUMIFS(PURCHASE!$L$6:$L$10008,PURCHASE!$A$6:$A$10008,$BF$2,PURCHASE!$H$6:$H$10008,$A$4:$A$2700)</f>
        <v>0</v>
      </c>
      <c r="BI147" s="512">
        <f>SUMIFS(PURCHASE!$M$6:$M$10008,PURCHASE!$A$6:$A$10008,$BF$2,PURCHASE!$H$6:$H$10008,$A$4:$A$2700)</f>
        <v>0</v>
      </c>
      <c r="BJ147" s="512">
        <f>SUMIFS(PURCHASE!$N$6:$N$10008,PURCHASE!$A$6:$A$10008,$BF$2,PURCHASE!$H$6:$H$10008,$A$4:$A$2700)</f>
        <v>0</v>
      </c>
      <c r="BK147" s="72">
        <f t="shared" si="40"/>
        <v>0</v>
      </c>
      <c r="BL147" s="72">
        <f t="shared" si="41"/>
        <v>0</v>
      </c>
      <c r="BM147" s="72">
        <f t="shared" si="42"/>
        <v>0</v>
      </c>
      <c r="BN147" s="72">
        <f t="shared" si="43"/>
        <v>0</v>
      </c>
      <c r="BO147" s="72">
        <f t="shared" si="44"/>
        <v>0</v>
      </c>
    </row>
    <row r="148" spans="1:67" x14ac:dyDescent="0.2">
      <c r="A148" s="511">
        <v>68052090</v>
      </c>
      <c r="B148" s="467" t="s">
        <v>1207</v>
      </c>
      <c r="C148" s="512">
        <f t="shared" si="45"/>
        <v>0</v>
      </c>
      <c r="D148" s="512">
        <f>SUMIFS(PURCHASE!$K$6:$K$10008,PURCHASE!$A$6:$A$10008,$M$2,PURCHASE!$H$6:$H$10008,$A$4:$A$2700)</f>
        <v>0</v>
      </c>
      <c r="E148" s="512">
        <f>SUMIFS(PURCHASE!$L$6:$L$10008,PURCHASE!$A$6:$A$10008,$M$2,PURCHASE!$H$6:$H$10008,$A$4:$A$2700)</f>
        <v>0</v>
      </c>
      <c r="F148" s="512">
        <f>SUMIFS(PURCHASE!$M$6:$M$10008,PURCHASE!$A$6:$A$10008,$M$2,PURCHASE!$H$6:$H$10008,$A$4:$A$2700)</f>
        <v>0</v>
      </c>
      <c r="G148" s="512">
        <f>SUMIFS(PURCHASE!$N$6:$N$10008,PURCHASE!$A$6:$A$10008,$M$2,PURCHASE!$H$6:$H$10008,$A$4:$A$2700)</f>
        <v>0</v>
      </c>
      <c r="H148" s="512">
        <f t="shared" si="46"/>
        <v>29500</v>
      </c>
      <c r="I148" s="512">
        <f>SUMIFS(PURCHASE!$K$6:$K$10008,PURCHASE!$A$6:$A$10008,$H$2,PURCHASE!$H$6:$H$10008,$A$4:$A$2700)</f>
        <v>25000</v>
      </c>
      <c r="J148" s="512">
        <f>SUMIFS(PURCHASE!$L$6:$L$10008,PURCHASE!$A$6:$A$10008,$H$2,PURCHASE!$H$6:$H$10008,$A$4:$A$2700)</f>
        <v>0</v>
      </c>
      <c r="K148" s="512">
        <f>SUMIFS(PURCHASE!$M$6:$M$10008,PURCHASE!$A$6:$A$10008,$H$2,PURCHASE!$H$6:$H$10008,$A$4:$A$2700)</f>
        <v>2250</v>
      </c>
      <c r="L148" s="512">
        <f>SUMIFS(PURCHASE!$N$6:$N$10008,PURCHASE!$A$6:$A$10008,$H$2,PURCHASE!$H$6:$H$10008,$A$4:$A$2700)</f>
        <v>2250</v>
      </c>
      <c r="M148" s="512">
        <f t="shared" si="47"/>
        <v>0</v>
      </c>
      <c r="N148" s="512">
        <f>SUMIFS(PURCHASE!$K$6:$K$10008,PURCHASE!$A$6:$A$10008,$M$2,PURCHASE!$H$6:$H$10008,$A$4:$A$2700)</f>
        <v>0</v>
      </c>
      <c r="O148" s="512">
        <f>SUMIFS(PURCHASE!$L$6:$L$10008,PURCHASE!$A$6:$A$10008,$M$2,PURCHASE!$H$6:$H$10008,$A$4:$A$2700)</f>
        <v>0</v>
      </c>
      <c r="P148" s="512">
        <f>SUMIFS(PURCHASE!$M$6:$M$10008,PURCHASE!$A$6:$A$10008,$M$2,PURCHASE!$H$6:$H$10008,$A$4:$A$2700)</f>
        <v>0</v>
      </c>
      <c r="Q148" s="512">
        <f>SUMIFS(PURCHASE!$N$6:$N$10008,PURCHASE!$A$6:$A$10008,$M$2,PURCHASE!$H$6:$H$10008,$A$4:$A$2700)</f>
        <v>0</v>
      </c>
      <c r="R148" s="512">
        <f t="shared" si="48"/>
        <v>11800</v>
      </c>
      <c r="S148" s="512">
        <f>SUMIFS(PURCHASE!$K$6:$K$10008,PURCHASE!$A$6:$A$10008,$R$2,PURCHASE!$H$6:$H$10008,$A$4:$A$2700)</f>
        <v>10000</v>
      </c>
      <c r="T148" s="512">
        <f>SUMIFS(PURCHASE!$L$6:$L$10008,PURCHASE!$A$6:$A$10008,$R$2,PURCHASE!$H$6:$H$10008,$A$4:$A$2700)</f>
        <v>0</v>
      </c>
      <c r="U148" s="512">
        <f>SUMIFS(PURCHASE!$M$6:$M$10008,PURCHASE!$A$6:$A$10008,$R$2,PURCHASE!$H$6:$H$10008,$A$4:$A$2700)</f>
        <v>900</v>
      </c>
      <c r="V148" s="512">
        <f>SUMIFS(PURCHASE!$N$6:$N$10008,PURCHASE!$A$6:$A$10008,$R$2,PURCHASE!$H$6:$H$10008,$A$4:$A$2700)</f>
        <v>900</v>
      </c>
      <c r="W148" s="512">
        <f t="shared" si="49"/>
        <v>9676</v>
      </c>
      <c r="X148" s="512">
        <f>SUMIFS(PURCHASE!$K$6:$K$10008,PURCHASE!$A$6:$A$10008,$W$2,PURCHASE!$H$6:$H$10008,$A$4:$A$2700)</f>
        <v>8200</v>
      </c>
      <c r="Y148" s="512">
        <f>SUMIFS(PURCHASE!$L$6:$L$10008,PURCHASE!$A$6:$A$10008,$W$2,PURCHASE!$H$6:$H$10008,$A$4:$A$2700)</f>
        <v>0</v>
      </c>
      <c r="Z148" s="512">
        <f>SUMIFS(PURCHASE!$M$6:$M$10008,PURCHASE!$A$6:$A$10008,$W$2,PURCHASE!$H$6:$H$10008,$A$4:$A$2700)</f>
        <v>738</v>
      </c>
      <c r="AA148" s="512">
        <f>SUMIFS(PURCHASE!$N$6:$N$10008,PURCHASE!$A$6:$A$10008,$W$2,PURCHASE!$H$6:$H$10008,$A$4:$A$2700)</f>
        <v>738</v>
      </c>
      <c r="AB148" s="512">
        <f t="shared" si="50"/>
        <v>0</v>
      </c>
      <c r="AC148" s="512">
        <f>SUMIFS(PURCHASE!$K$6:$K$10008,PURCHASE!$A$6:$A$10008,$AB$2,PURCHASE!$H$6:$H$10008,$A$4:$A$2700)</f>
        <v>0</v>
      </c>
      <c r="AD148" s="512">
        <f>SUMIFS(PURCHASE!$L$6:$L$10008,PURCHASE!$A$6:$A$10008,$AB$2,PURCHASE!$H$6:$H$10008,$A$4:$A$2700)</f>
        <v>0</v>
      </c>
      <c r="AE148" s="512">
        <f>SUMIFS(PURCHASE!$M$6:$M$10008,PURCHASE!$A$6:$A$10008,$AB$2,PURCHASE!$H$6:$H$10008,$A$4:$A$2700)</f>
        <v>0</v>
      </c>
      <c r="AF148" s="512">
        <f>SUMIFS(PURCHASE!$N$6:$N$10008,PURCHASE!$A$6:$A$10008,$AB$2,PURCHASE!$H$6:$H$10008,$A$4:$A$2700)</f>
        <v>0</v>
      </c>
      <c r="AG148" s="512">
        <f t="shared" si="51"/>
        <v>29500</v>
      </c>
      <c r="AH148" s="512">
        <f>SUMIFS(PURCHASE!$K$6:$K$10008,PURCHASE!$A$6:$A$10008,$AG$2,PURCHASE!$H$6:$H$10008,$A$4:$A$2700)</f>
        <v>25000</v>
      </c>
      <c r="AI148" s="512">
        <f>SUMIFS(PURCHASE!$L$6:$L$10008,PURCHASE!$A$6:$A$10008,$AG$2,PURCHASE!$H$6:$H$10008,$A$4:$A$2700)</f>
        <v>0</v>
      </c>
      <c r="AJ148" s="512">
        <f>SUMIFS(PURCHASE!$M$6:$M$10008,PURCHASE!$A$6:$A$10008,$AG$2,PURCHASE!$H$6:$H$10008,$A$4:$A$2700)</f>
        <v>2250</v>
      </c>
      <c r="AK148" s="512">
        <f>SUMIFS(PURCHASE!$N$6:$N$10008,PURCHASE!$A$6:$A$10008,$AG$2,PURCHASE!$H$6:$H$10008,$A$4:$A$2700)</f>
        <v>2250</v>
      </c>
      <c r="AL148" s="512">
        <f t="shared" si="52"/>
        <v>764.6400000000001</v>
      </c>
      <c r="AM148" s="512">
        <f>SUMIFS(PURCHASE!$K$6:$K$10008,PURCHASE!$A$6:$A$10008,$AL$2,PURCHASE!$H$6:$H$10008,$A$4:$A$2700)</f>
        <v>648</v>
      </c>
      <c r="AN148" s="512">
        <f>SUMIFS(PURCHASE!$L$6:$L$10008,PURCHASE!$A$6:$A$10008,$AL$2,PURCHASE!$H$6:$H$10008,$A$4:$A$2700)</f>
        <v>0</v>
      </c>
      <c r="AO148" s="512">
        <f>SUMIFS(PURCHASE!$M$6:$M$10008,PURCHASE!$A$6:$A$10008,$AL$2,PURCHASE!$H$6:$H$10008,$A$4:$A$2700)</f>
        <v>58.320000000000007</v>
      </c>
      <c r="AP148" s="512">
        <f>SUMIFS(PURCHASE!$N$6:$N$10008,PURCHASE!$A$6:$A$10008,$AL$2,PURCHASE!$H$6:$H$10008,$A$4:$A$2700)</f>
        <v>58.320000000000007</v>
      </c>
      <c r="AQ148" s="512">
        <f t="shared" si="53"/>
        <v>0</v>
      </c>
      <c r="AR148" s="512">
        <f>SUMIFS(PURCHASE!$K$6:$K$10008,PURCHASE!$A$6:$A$10008,$AQ$2,PURCHASE!$H$6:$H$10008,$A$4:$A$2700)</f>
        <v>0</v>
      </c>
      <c r="AS148" s="512">
        <f>SUMIFS(PURCHASE!$L$6:$L$10008,PURCHASE!$A$6:$A$10008,$AQ$2,PURCHASE!$H$6:$H$10008,$A$4:$A$2700)</f>
        <v>0</v>
      </c>
      <c r="AT148" s="512">
        <f>SUMIFS(PURCHASE!$M$6:$M$10008,PURCHASE!$A$6:$A$10008,$AQ$2,PURCHASE!$H$6:$H$10008,$A$4:$A$2700)</f>
        <v>0</v>
      </c>
      <c r="AU148" s="512">
        <f>SUMIFS(PURCHASE!$N$6:$N$10008,PURCHASE!$A$6:$A$10008,$AQ$2,PURCHASE!$H$6:$H$10008,$A$4:$A$2700)</f>
        <v>0</v>
      </c>
      <c r="AV148" s="512">
        <f t="shared" si="54"/>
        <v>0</v>
      </c>
      <c r="AW148" s="512">
        <f>SUMIFS(PURCHASE!$K$6:$K$10008,PURCHASE!$A$6:$A$10008,$AV$2,PURCHASE!$H$6:$H$10008,$A$4:$A$2700)</f>
        <v>0</v>
      </c>
      <c r="AX148" s="512">
        <f>SUMIFS(PURCHASE!$L$6:$L$10008,PURCHASE!$A$6:$A$10008,$AV$2,PURCHASE!$H$6:$H$10008,$A$4:$A$2700)</f>
        <v>0</v>
      </c>
      <c r="AY148" s="512">
        <f>SUMIFS(PURCHASE!$M$6:$M$10008,PURCHASE!$A$6:$A$10008,$AV$2,PURCHASE!$H$6:$H$10008,$A$4:$A$2700)</f>
        <v>0</v>
      </c>
      <c r="AZ148" s="512">
        <f>SUMIFS(PURCHASE!$N$6:$N$10008,PURCHASE!$A$6:$A$10008,$AV$2,PURCHASE!$H$6:$H$10008,$A$4:$A$2700)</f>
        <v>0</v>
      </c>
      <c r="BA148" s="512">
        <f t="shared" si="55"/>
        <v>0</v>
      </c>
      <c r="BB148" s="512">
        <f>SUMIFS(PURCHASE!$K$6:$K$10008,PURCHASE!$A$6:$A$10008,$BA$2,PURCHASE!$H$6:$H$10008,$A$4:$A$2700)</f>
        <v>0</v>
      </c>
      <c r="BC148" s="512">
        <f>SUMIFS(PURCHASE!$L$6:$L$10008,PURCHASE!$A$6:$A$10008,$BA$2,PURCHASE!$H$6:$H$10008,$A$4:$A$2700)</f>
        <v>0</v>
      </c>
      <c r="BD148" s="512">
        <f>SUMIFS(PURCHASE!$M$6:$M$10008,PURCHASE!$A$6:$A$10008,$BA$2,PURCHASE!$H$6:$H$10008,$A$4:$A$2700)</f>
        <v>0</v>
      </c>
      <c r="BE148" s="512">
        <f>SUMIFS(PURCHASE!$N$6:$N$10008,PURCHASE!$A$6:$A$10008,$BA$2,PURCHASE!$H$6:$H$10008,$A$4:$A$2700)</f>
        <v>0</v>
      </c>
      <c r="BF148" s="512">
        <f t="shared" si="56"/>
        <v>0</v>
      </c>
      <c r="BG148" s="512">
        <f>SUMIFS(PURCHASE!$K$6:$K$10008,PURCHASE!$A$6:$A$10008,$BF$2,PURCHASE!$H$6:$H$10008,$A$4:$A$2700)</f>
        <v>0</v>
      </c>
      <c r="BH148" s="512">
        <f>SUMIFS(PURCHASE!$L$6:$L$10008,PURCHASE!$A$6:$A$10008,$BF$2,PURCHASE!$H$6:$H$10008,$A$4:$A$2700)</f>
        <v>0</v>
      </c>
      <c r="BI148" s="512">
        <f>SUMIFS(PURCHASE!$M$6:$M$10008,PURCHASE!$A$6:$A$10008,$BF$2,PURCHASE!$H$6:$H$10008,$A$4:$A$2700)</f>
        <v>0</v>
      </c>
      <c r="BJ148" s="512">
        <f>SUMIFS(PURCHASE!$N$6:$N$10008,PURCHASE!$A$6:$A$10008,$BF$2,PURCHASE!$H$6:$H$10008,$A$4:$A$2700)</f>
        <v>0</v>
      </c>
      <c r="BK148" s="72">
        <f t="shared" si="40"/>
        <v>81240.639999999999</v>
      </c>
      <c r="BL148" s="72">
        <f t="shared" si="41"/>
        <v>68848</v>
      </c>
      <c r="BM148" s="72">
        <f t="shared" si="42"/>
        <v>0</v>
      </c>
      <c r="BN148" s="72">
        <f t="shared" si="43"/>
        <v>6196.32</v>
      </c>
      <c r="BO148" s="72">
        <f t="shared" si="44"/>
        <v>6196.32</v>
      </c>
    </row>
    <row r="149" spans="1:67" x14ac:dyDescent="0.2">
      <c r="A149" s="511">
        <v>68053050</v>
      </c>
      <c r="B149" s="467" t="s">
        <v>1291</v>
      </c>
      <c r="C149" s="512">
        <f t="shared" si="45"/>
        <v>0</v>
      </c>
      <c r="D149" s="512">
        <f>SUMIFS(PURCHASE!$K$6:$K$10008,PURCHASE!$A$6:$A$10008,$M$2,PURCHASE!$H$6:$H$10008,$A$4:$A$2700)</f>
        <v>0</v>
      </c>
      <c r="E149" s="512">
        <f>SUMIFS(PURCHASE!$L$6:$L$10008,PURCHASE!$A$6:$A$10008,$M$2,PURCHASE!$H$6:$H$10008,$A$4:$A$2700)</f>
        <v>0</v>
      </c>
      <c r="F149" s="512">
        <f>SUMIFS(PURCHASE!$M$6:$M$10008,PURCHASE!$A$6:$A$10008,$M$2,PURCHASE!$H$6:$H$10008,$A$4:$A$2700)</f>
        <v>0</v>
      </c>
      <c r="G149" s="512">
        <f>SUMIFS(PURCHASE!$N$6:$N$10008,PURCHASE!$A$6:$A$10008,$M$2,PURCHASE!$H$6:$H$10008,$A$4:$A$2700)</f>
        <v>0</v>
      </c>
      <c r="H149" s="512">
        <f t="shared" si="46"/>
        <v>0</v>
      </c>
      <c r="I149" s="512">
        <f>SUMIFS(PURCHASE!$K$6:$K$10008,PURCHASE!$A$6:$A$10008,$H$2,PURCHASE!$H$6:$H$10008,$A$4:$A$2700)</f>
        <v>0</v>
      </c>
      <c r="J149" s="512">
        <f>SUMIFS(PURCHASE!$L$6:$L$10008,PURCHASE!$A$6:$A$10008,$H$2,PURCHASE!$H$6:$H$10008,$A$4:$A$2700)</f>
        <v>0</v>
      </c>
      <c r="K149" s="512">
        <f>SUMIFS(PURCHASE!$M$6:$M$10008,PURCHASE!$A$6:$A$10008,$H$2,PURCHASE!$H$6:$H$10008,$A$4:$A$2700)</f>
        <v>0</v>
      </c>
      <c r="L149" s="512">
        <f>SUMIFS(PURCHASE!$N$6:$N$10008,PURCHASE!$A$6:$A$10008,$H$2,PURCHASE!$H$6:$H$10008,$A$4:$A$2700)</f>
        <v>0</v>
      </c>
      <c r="M149" s="512">
        <f t="shared" si="47"/>
        <v>0</v>
      </c>
      <c r="N149" s="512">
        <f>SUMIFS(PURCHASE!$K$6:$K$10008,PURCHASE!$A$6:$A$10008,$M$2,PURCHASE!$H$6:$H$10008,$A$4:$A$2700)</f>
        <v>0</v>
      </c>
      <c r="O149" s="512">
        <f>SUMIFS(PURCHASE!$L$6:$L$10008,PURCHASE!$A$6:$A$10008,$M$2,PURCHASE!$H$6:$H$10008,$A$4:$A$2700)</f>
        <v>0</v>
      </c>
      <c r="P149" s="512">
        <f>SUMIFS(PURCHASE!$M$6:$M$10008,PURCHASE!$A$6:$A$10008,$M$2,PURCHASE!$H$6:$H$10008,$A$4:$A$2700)</f>
        <v>0</v>
      </c>
      <c r="Q149" s="512">
        <f>SUMIFS(PURCHASE!$N$6:$N$10008,PURCHASE!$A$6:$A$10008,$M$2,PURCHASE!$H$6:$H$10008,$A$4:$A$2700)</f>
        <v>0</v>
      </c>
      <c r="R149" s="512">
        <f t="shared" si="48"/>
        <v>3097.5</v>
      </c>
      <c r="S149" s="512">
        <f>SUMIFS(PURCHASE!$K$6:$K$10008,PURCHASE!$A$6:$A$10008,$R$2,PURCHASE!$H$6:$H$10008,$A$4:$A$2700)</f>
        <v>2625</v>
      </c>
      <c r="T149" s="512">
        <f>SUMIFS(PURCHASE!$L$6:$L$10008,PURCHASE!$A$6:$A$10008,$R$2,PURCHASE!$H$6:$H$10008,$A$4:$A$2700)</f>
        <v>0</v>
      </c>
      <c r="U149" s="512">
        <f>SUMIFS(PURCHASE!$M$6:$M$10008,PURCHASE!$A$6:$A$10008,$R$2,PURCHASE!$H$6:$H$10008,$A$4:$A$2700)</f>
        <v>236.25</v>
      </c>
      <c r="V149" s="512">
        <f>SUMIFS(PURCHASE!$N$6:$N$10008,PURCHASE!$A$6:$A$10008,$R$2,PURCHASE!$H$6:$H$10008,$A$4:$A$2700)</f>
        <v>236.25</v>
      </c>
      <c r="W149" s="512">
        <f t="shared" si="49"/>
        <v>0</v>
      </c>
      <c r="X149" s="512">
        <f>SUMIFS(PURCHASE!$K$6:$K$10008,PURCHASE!$A$6:$A$10008,$W$2,PURCHASE!$H$6:$H$10008,$A$4:$A$2700)</f>
        <v>0</v>
      </c>
      <c r="Y149" s="512">
        <f>SUMIFS(PURCHASE!$L$6:$L$10008,PURCHASE!$A$6:$A$10008,$W$2,PURCHASE!$H$6:$H$10008,$A$4:$A$2700)</f>
        <v>0</v>
      </c>
      <c r="Z149" s="512">
        <f>SUMIFS(PURCHASE!$M$6:$M$10008,PURCHASE!$A$6:$A$10008,$W$2,PURCHASE!$H$6:$H$10008,$A$4:$A$2700)</f>
        <v>0</v>
      </c>
      <c r="AA149" s="512">
        <f>SUMIFS(PURCHASE!$N$6:$N$10008,PURCHASE!$A$6:$A$10008,$W$2,PURCHASE!$H$6:$H$10008,$A$4:$A$2700)</f>
        <v>0</v>
      </c>
      <c r="AB149" s="512">
        <f t="shared" si="50"/>
        <v>0</v>
      </c>
      <c r="AC149" s="512">
        <f>SUMIFS(PURCHASE!$K$6:$K$10008,PURCHASE!$A$6:$A$10008,$AB$2,PURCHASE!$H$6:$H$10008,$A$4:$A$2700)</f>
        <v>0</v>
      </c>
      <c r="AD149" s="512">
        <f>SUMIFS(PURCHASE!$L$6:$L$10008,PURCHASE!$A$6:$A$10008,$AB$2,PURCHASE!$H$6:$H$10008,$A$4:$A$2700)</f>
        <v>0</v>
      </c>
      <c r="AE149" s="512">
        <f>SUMIFS(PURCHASE!$M$6:$M$10008,PURCHASE!$A$6:$A$10008,$AB$2,PURCHASE!$H$6:$H$10008,$A$4:$A$2700)</f>
        <v>0</v>
      </c>
      <c r="AF149" s="512">
        <f>SUMIFS(PURCHASE!$N$6:$N$10008,PURCHASE!$A$6:$A$10008,$AB$2,PURCHASE!$H$6:$H$10008,$A$4:$A$2700)</f>
        <v>0</v>
      </c>
      <c r="AG149" s="512">
        <f t="shared" si="51"/>
        <v>3097.5</v>
      </c>
      <c r="AH149" s="512">
        <f>SUMIFS(PURCHASE!$K$6:$K$10008,PURCHASE!$A$6:$A$10008,$AG$2,PURCHASE!$H$6:$H$10008,$A$4:$A$2700)</f>
        <v>2625</v>
      </c>
      <c r="AI149" s="512">
        <f>SUMIFS(PURCHASE!$L$6:$L$10008,PURCHASE!$A$6:$A$10008,$AG$2,PURCHASE!$H$6:$H$10008,$A$4:$A$2700)</f>
        <v>0</v>
      </c>
      <c r="AJ149" s="512">
        <f>SUMIFS(PURCHASE!$M$6:$M$10008,PURCHASE!$A$6:$A$10008,$AG$2,PURCHASE!$H$6:$H$10008,$A$4:$A$2700)</f>
        <v>236.25</v>
      </c>
      <c r="AK149" s="512">
        <f>SUMIFS(PURCHASE!$N$6:$N$10008,PURCHASE!$A$6:$A$10008,$AG$2,PURCHASE!$H$6:$H$10008,$A$4:$A$2700)</f>
        <v>236.25</v>
      </c>
      <c r="AL149" s="512">
        <f t="shared" si="52"/>
        <v>0</v>
      </c>
      <c r="AM149" s="512">
        <f>SUMIFS(PURCHASE!$K$6:$K$10008,PURCHASE!$A$6:$A$10008,$AL$2,PURCHASE!$H$6:$H$10008,$A$4:$A$2700)</f>
        <v>0</v>
      </c>
      <c r="AN149" s="512">
        <f>SUMIFS(PURCHASE!$L$6:$L$10008,PURCHASE!$A$6:$A$10008,$AL$2,PURCHASE!$H$6:$H$10008,$A$4:$A$2700)</f>
        <v>0</v>
      </c>
      <c r="AO149" s="512">
        <f>SUMIFS(PURCHASE!$M$6:$M$10008,PURCHASE!$A$6:$A$10008,$AL$2,PURCHASE!$H$6:$H$10008,$A$4:$A$2700)</f>
        <v>0</v>
      </c>
      <c r="AP149" s="512">
        <f>SUMIFS(PURCHASE!$N$6:$N$10008,PURCHASE!$A$6:$A$10008,$AL$2,PURCHASE!$H$6:$H$10008,$A$4:$A$2700)</f>
        <v>0</v>
      </c>
      <c r="AQ149" s="512">
        <f t="shared" si="53"/>
        <v>0</v>
      </c>
      <c r="AR149" s="512">
        <f>SUMIFS(PURCHASE!$K$6:$K$10008,PURCHASE!$A$6:$A$10008,$AQ$2,PURCHASE!$H$6:$H$10008,$A$4:$A$2700)</f>
        <v>0</v>
      </c>
      <c r="AS149" s="512">
        <f>SUMIFS(PURCHASE!$L$6:$L$10008,PURCHASE!$A$6:$A$10008,$AQ$2,PURCHASE!$H$6:$H$10008,$A$4:$A$2700)</f>
        <v>0</v>
      </c>
      <c r="AT149" s="512">
        <f>SUMIFS(PURCHASE!$M$6:$M$10008,PURCHASE!$A$6:$A$10008,$AQ$2,PURCHASE!$H$6:$H$10008,$A$4:$A$2700)</f>
        <v>0</v>
      </c>
      <c r="AU149" s="512">
        <f>SUMIFS(PURCHASE!$N$6:$N$10008,PURCHASE!$A$6:$A$10008,$AQ$2,PURCHASE!$H$6:$H$10008,$A$4:$A$2700)</f>
        <v>0</v>
      </c>
      <c r="AV149" s="512">
        <f t="shared" si="54"/>
        <v>0</v>
      </c>
      <c r="AW149" s="512">
        <f>SUMIFS(PURCHASE!$K$6:$K$10008,PURCHASE!$A$6:$A$10008,$AV$2,PURCHASE!$H$6:$H$10008,$A$4:$A$2700)</f>
        <v>0</v>
      </c>
      <c r="AX149" s="512">
        <f>SUMIFS(PURCHASE!$L$6:$L$10008,PURCHASE!$A$6:$A$10008,$AV$2,PURCHASE!$H$6:$H$10008,$A$4:$A$2700)</f>
        <v>0</v>
      </c>
      <c r="AY149" s="512">
        <f>SUMIFS(PURCHASE!$M$6:$M$10008,PURCHASE!$A$6:$A$10008,$AV$2,PURCHASE!$H$6:$H$10008,$A$4:$A$2700)</f>
        <v>0</v>
      </c>
      <c r="AZ149" s="512">
        <f>SUMIFS(PURCHASE!$N$6:$N$10008,PURCHASE!$A$6:$A$10008,$AV$2,PURCHASE!$H$6:$H$10008,$A$4:$A$2700)</f>
        <v>0</v>
      </c>
      <c r="BA149" s="512">
        <f t="shared" si="55"/>
        <v>0</v>
      </c>
      <c r="BB149" s="512">
        <f>SUMIFS(PURCHASE!$K$6:$K$10008,PURCHASE!$A$6:$A$10008,$BA$2,PURCHASE!$H$6:$H$10008,$A$4:$A$2700)</f>
        <v>0</v>
      </c>
      <c r="BC149" s="512">
        <f>SUMIFS(PURCHASE!$L$6:$L$10008,PURCHASE!$A$6:$A$10008,$BA$2,PURCHASE!$H$6:$H$10008,$A$4:$A$2700)</f>
        <v>0</v>
      </c>
      <c r="BD149" s="512">
        <f>SUMIFS(PURCHASE!$M$6:$M$10008,PURCHASE!$A$6:$A$10008,$BA$2,PURCHASE!$H$6:$H$10008,$A$4:$A$2700)</f>
        <v>0</v>
      </c>
      <c r="BE149" s="512">
        <f>SUMIFS(PURCHASE!$N$6:$N$10008,PURCHASE!$A$6:$A$10008,$BA$2,PURCHASE!$H$6:$H$10008,$A$4:$A$2700)</f>
        <v>0</v>
      </c>
      <c r="BF149" s="512">
        <f t="shared" si="56"/>
        <v>0</v>
      </c>
      <c r="BG149" s="512">
        <f>SUMIFS(PURCHASE!$K$6:$K$10008,PURCHASE!$A$6:$A$10008,$BF$2,PURCHASE!$H$6:$H$10008,$A$4:$A$2700)</f>
        <v>0</v>
      </c>
      <c r="BH149" s="512">
        <f>SUMIFS(PURCHASE!$L$6:$L$10008,PURCHASE!$A$6:$A$10008,$BF$2,PURCHASE!$H$6:$H$10008,$A$4:$A$2700)</f>
        <v>0</v>
      </c>
      <c r="BI149" s="512">
        <f>SUMIFS(PURCHASE!$M$6:$M$10008,PURCHASE!$A$6:$A$10008,$BF$2,PURCHASE!$H$6:$H$10008,$A$4:$A$2700)</f>
        <v>0</v>
      </c>
      <c r="BJ149" s="512">
        <f>SUMIFS(PURCHASE!$N$6:$N$10008,PURCHASE!$A$6:$A$10008,$BF$2,PURCHASE!$H$6:$H$10008,$A$4:$A$2700)</f>
        <v>0</v>
      </c>
      <c r="BK149" s="72">
        <f t="shared" si="40"/>
        <v>6195</v>
      </c>
      <c r="BL149" s="72">
        <f t="shared" si="41"/>
        <v>5250</v>
      </c>
      <c r="BM149" s="72">
        <f t="shared" si="42"/>
        <v>0</v>
      </c>
      <c r="BN149" s="72">
        <f t="shared" si="43"/>
        <v>472.5</v>
      </c>
      <c r="BO149" s="72">
        <f t="shared" si="44"/>
        <v>472.5</v>
      </c>
    </row>
    <row r="150" spans="1:67" x14ac:dyDescent="0.2">
      <c r="A150" s="511">
        <v>73182100</v>
      </c>
      <c r="B150" s="467" t="s">
        <v>1292</v>
      </c>
      <c r="C150" s="512">
        <f t="shared" si="45"/>
        <v>4956</v>
      </c>
      <c r="D150" s="512">
        <f>SUMIFS(PURCHASE!$K$6:$K$10008,PURCHASE!$A$6:$A$10008,$M$2,PURCHASE!$H$6:$H$10008,$A$4:$A$2700)</f>
        <v>4200</v>
      </c>
      <c r="E150" s="512">
        <f>SUMIFS(PURCHASE!$L$6:$L$10008,PURCHASE!$A$6:$A$10008,$M$2,PURCHASE!$H$6:$H$10008,$A$4:$A$2700)</f>
        <v>0</v>
      </c>
      <c r="F150" s="512">
        <f>SUMIFS(PURCHASE!$M$6:$M$10008,PURCHASE!$A$6:$A$10008,$M$2,PURCHASE!$H$6:$H$10008,$A$4:$A$2700)</f>
        <v>378</v>
      </c>
      <c r="G150" s="512">
        <f>SUMIFS(PURCHASE!$N$6:$N$10008,PURCHASE!$A$6:$A$10008,$M$2,PURCHASE!$H$6:$H$10008,$A$4:$A$2700)</f>
        <v>378</v>
      </c>
      <c r="H150" s="512">
        <f t="shared" si="46"/>
        <v>0</v>
      </c>
      <c r="I150" s="512">
        <f>SUMIFS(PURCHASE!$K$6:$K$10008,PURCHASE!$A$6:$A$10008,$H$2,PURCHASE!$H$6:$H$10008,$A$4:$A$2700)</f>
        <v>0</v>
      </c>
      <c r="J150" s="512">
        <f>SUMIFS(PURCHASE!$L$6:$L$10008,PURCHASE!$A$6:$A$10008,$H$2,PURCHASE!$H$6:$H$10008,$A$4:$A$2700)</f>
        <v>0</v>
      </c>
      <c r="K150" s="512">
        <f>SUMIFS(PURCHASE!$M$6:$M$10008,PURCHASE!$A$6:$A$10008,$H$2,PURCHASE!$H$6:$H$10008,$A$4:$A$2700)</f>
        <v>0</v>
      </c>
      <c r="L150" s="512">
        <f>SUMIFS(PURCHASE!$N$6:$N$10008,PURCHASE!$A$6:$A$10008,$H$2,PURCHASE!$H$6:$H$10008,$A$4:$A$2700)</f>
        <v>0</v>
      </c>
      <c r="M150" s="512">
        <f t="shared" si="47"/>
        <v>4956</v>
      </c>
      <c r="N150" s="512">
        <f>SUMIFS(PURCHASE!$K$6:$K$10008,PURCHASE!$A$6:$A$10008,$M$2,PURCHASE!$H$6:$H$10008,$A$4:$A$2700)</f>
        <v>4200</v>
      </c>
      <c r="O150" s="512">
        <f>SUMIFS(PURCHASE!$L$6:$L$10008,PURCHASE!$A$6:$A$10008,$M$2,PURCHASE!$H$6:$H$10008,$A$4:$A$2700)</f>
        <v>0</v>
      </c>
      <c r="P150" s="512">
        <f>SUMIFS(PURCHASE!$M$6:$M$10008,PURCHASE!$A$6:$A$10008,$M$2,PURCHASE!$H$6:$H$10008,$A$4:$A$2700)</f>
        <v>378</v>
      </c>
      <c r="Q150" s="512">
        <f>SUMIFS(PURCHASE!$N$6:$N$10008,PURCHASE!$A$6:$A$10008,$M$2,PURCHASE!$H$6:$H$10008,$A$4:$A$2700)</f>
        <v>378</v>
      </c>
      <c r="R150" s="512">
        <f t="shared" si="48"/>
        <v>0</v>
      </c>
      <c r="S150" s="512">
        <f>SUMIFS(PURCHASE!$K$6:$K$10008,PURCHASE!$A$6:$A$10008,$R$2,PURCHASE!$H$6:$H$10008,$A$4:$A$2700)</f>
        <v>0</v>
      </c>
      <c r="T150" s="512">
        <f>SUMIFS(PURCHASE!$L$6:$L$10008,PURCHASE!$A$6:$A$10008,$R$2,PURCHASE!$H$6:$H$10008,$A$4:$A$2700)</f>
        <v>0</v>
      </c>
      <c r="U150" s="512">
        <f>SUMIFS(PURCHASE!$M$6:$M$10008,PURCHASE!$A$6:$A$10008,$R$2,PURCHASE!$H$6:$H$10008,$A$4:$A$2700)</f>
        <v>0</v>
      </c>
      <c r="V150" s="512">
        <f>SUMIFS(PURCHASE!$N$6:$N$10008,PURCHASE!$A$6:$A$10008,$R$2,PURCHASE!$H$6:$H$10008,$A$4:$A$2700)</f>
        <v>0</v>
      </c>
      <c r="W150" s="512">
        <f t="shared" si="49"/>
        <v>0</v>
      </c>
      <c r="X150" s="512">
        <f>SUMIFS(PURCHASE!$K$6:$K$10008,PURCHASE!$A$6:$A$10008,$W$2,PURCHASE!$H$6:$H$10008,$A$4:$A$2700)</f>
        <v>0</v>
      </c>
      <c r="Y150" s="512">
        <f>SUMIFS(PURCHASE!$L$6:$L$10008,PURCHASE!$A$6:$A$10008,$W$2,PURCHASE!$H$6:$H$10008,$A$4:$A$2700)</f>
        <v>0</v>
      </c>
      <c r="Z150" s="512">
        <f>SUMIFS(PURCHASE!$M$6:$M$10008,PURCHASE!$A$6:$A$10008,$W$2,PURCHASE!$H$6:$H$10008,$A$4:$A$2700)</f>
        <v>0</v>
      </c>
      <c r="AA150" s="512">
        <f>SUMIFS(PURCHASE!$N$6:$N$10008,PURCHASE!$A$6:$A$10008,$W$2,PURCHASE!$H$6:$H$10008,$A$4:$A$2700)</f>
        <v>0</v>
      </c>
      <c r="AB150" s="512">
        <f t="shared" si="50"/>
        <v>0</v>
      </c>
      <c r="AC150" s="512">
        <f>SUMIFS(PURCHASE!$K$6:$K$10008,PURCHASE!$A$6:$A$10008,$AB$2,PURCHASE!$H$6:$H$10008,$A$4:$A$2700)</f>
        <v>0</v>
      </c>
      <c r="AD150" s="512">
        <f>SUMIFS(PURCHASE!$L$6:$L$10008,PURCHASE!$A$6:$A$10008,$AB$2,PURCHASE!$H$6:$H$10008,$A$4:$A$2700)</f>
        <v>0</v>
      </c>
      <c r="AE150" s="512">
        <f>SUMIFS(PURCHASE!$M$6:$M$10008,PURCHASE!$A$6:$A$10008,$AB$2,PURCHASE!$H$6:$H$10008,$A$4:$A$2700)</f>
        <v>0</v>
      </c>
      <c r="AF150" s="512">
        <f>SUMIFS(PURCHASE!$N$6:$N$10008,PURCHASE!$A$6:$A$10008,$AB$2,PURCHASE!$H$6:$H$10008,$A$4:$A$2700)</f>
        <v>0</v>
      </c>
      <c r="AG150" s="512">
        <f t="shared" si="51"/>
        <v>0</v>
      </c>
      <c r="AH150" s="512">
        <f>SUMIFS(PURCHASE!$K$6:$K$10008,PURCHASE!$A$6:$A$10008,$AG$2,PURCHASE!$H$6:$H$10008,$A$4:$A$2700)</f>
        <v>0</v>
      </c>
      <c r="AI150" s="512">
        <f>SUMIFS(PURCHASE!$L$6:$L$10008,PURCHASE!$A$6:$A$10008,$AG$2,PURCHASE!$H$6:$H$10008,$A$4:$A$2700)</f>
        <v>0</v>
      </c>
      <c r="AJ150" s="512">
        <f>SUMIFS(PURCHASE!$M$6:$M$10008,PURCHASE!$A$6:$A$10008,$AG$2,PURCHASE!$H$6:$H$10008,$A$4:$A$2700)</f>
        <v>0</v>
      </c>
      <c r="AK150" s="512">
        <f>SUMIFS(PURCHASE!$N$6:$N$10008,PURCHASE!$A$6:$A$10008,$AG$2,PURCHASE!$H$6:$H$10008,$A$4:$A$2700)</f>
        <v>0</v>
      </c>
      <c r="AL150" s="512">
        <f t="shared" si="52"/>
        <v>0</v>
      </c>
      <c r="AM150" s="512">
        <f>SUMIFS(PURCHASE!$K$6:$K$10008,PURCHASE!$A$6:$A$10008,$AL$2,PURCHASE!$H$6:$H$10008,$A$4:$A$2700)</f>
        <v>0</v>
      </c>
      <c r="AN150" s="512">
        <f>SUMIFS(PURCHASE!$L$6:$L$10008,PURCHASE!$A$6:$A$10008,$AL$2,PURCHASE!$H$6:$H$10008,$A$4:$A$2700)</f>
        <v>0</v>
      </c>
      <c r="AO150" s="512">
        <f>SUMIFS(PURCHASE!$M$6:$M$10008,PURCHASE!$A$6:$A$10008,$AL$2,PURCHASE!$H$6:$H$10008,$A$4:$A$2700)</f>
        <v>0</v>
      </c>
      <c r="AP150" s="512">
        <f>SUMIFS(PURCHASE!$N$6:$N$10008,PURCHASE!$A$6:$A$10008,$AL$2,PURCHASE!$H$6:$H$10008,$A$4:$A$2700)</f>
        <v>0</v>
      </c>
      <c r="AQ150" s="512">
        <f t="shared" si="53"/>
        <v>0</v>
      </c>
      <c r="AR150" s="512">
        <f>SUMIFS(PURCHASE!$K$6:$K$10008,PURCHASE!$A$6:$A$10008,$AQ$2,PURCHASE!$H$6:$H$10008,$A$4:$A$2700)</f>
        <v>0</v>
      </c>
      <c r="AS150" s="512">
        <f>SUMIFS(PURCHASE!$L$6:$L$10008,PURCHASE!$A$6:$A$10008,$AQ$2,PURCHASE!$H$6:$H$10008,$A$4:$A$2700)</f>
        <v>0</v>
      </c>
      <c r="AT150" s="512">
        <f>SUMIFS(PURCHASE!$M$6:$M$10008,PURCHASE!$A$6:$A$10008,$AQ$2,PURCHASE!$H$6:$H$10008,$A$4:$A$2700)</f>
        <v>0</v>
      </c>
      <c r="AU150" s="512">
        <f>SUMIFS(PURCHASE!$N$6:$N$10008,PURCHASE!$A$6:$A$10008,$AQ$2,PURCHASE!$H$6:$H$10008,$A$4:$A$2700)</f>
        <v>0</v>
      </c>
      <c r="AV150" s="512">
        <f t="shared" si="54"/>
        <v>0</v>
      </c>
      <c r="AW150" s="512">
        <f>SUMIFS(PURCHASE!$K$6:$K$10008,PURCHASE!$A$6:$A$10008,$AV$2,PURCHASE!$H$6:$H$10008,$A$4:$A$2700)</f>
        <v>0</v>
      </c>
      <c r="AX150" s="512">
        <f>SUMIFS(PURCHASE!$L$6:$L$10008,PURCHASE!$A$6:$A$10008,$AV$2,PURCHASE!$H$6:$H$10008,$A$4:$A$2700)</f>
        <v>0</v>
      </c>
      <c r="AY150" s="512">
        <f>SUMIFS(PURCHASE!$M$6:$M$10008,PURCHASE!$A$6:$A$10008,$AV$2,PURCHASE!$H$6:$H$10008,$A$4:$A$2700)</f>
        <v>0</v>
      </c>
      <c r="AZ150" s="512">
        <f>SUMIFS(PURCHASE!$N$6:$N$10008,PURCHASE!$A$6:$A$10008,$AV$2,PURCHASE!$H$6:$H$10008,$A$4:$A$2700)</f>
        <v>0</v>
      </c>
      <c r="BA150" s="512">
        <f t="shared" si="55"/>
        <v>0</v>
      </c>
      <c r="BB150" s="512">
        <f>SUMIFS(PURCHASE!$K$6:$K$10008,PURCHASE!$A$6:$A$10008,$BA$2,PURCHASE!$H$6:$H$10008,$A$4:$A$2700)</f>
        <v>0</v>
      </c>
      <c r="BC150" s="512">
        <f>SUMIFS(PURCHASE!$L$6:$L$10008,PURCHASE!$A$6:$A$10008,$BA$2,PURCHASE!$H$6:$H$10008,$A$4:$A$2700)</f>
        <v>0</v>
      </c>
      <c r="BD150" s="512">
        <f>SUMIFS(PURCHASE!$M$6:$M$10008,PURCHASE!$A$6:$A$10008,$BA$2,PURCHASE!$H$6:$H$10008,$A$4:$A$2700)</f>
        <v>0</v>
      </c>
      <c r="BE150" s="512">
        <f>SUMIFS(PURCHASE!$N$6:$N$10008,PURCHASE!$A$6:$A$10008,$BA$2,PURCHASE!$H$6:$H$10008,$A$4:$A$2700)</f>
        <v>0</v>
      </c>
      <c r="BF150" s="512">
        <f t="shared" si="56"/>
        <v>0</v>
      </c>
      <c r="BG150" s="512">
        <f>SUMIFS(PURCHASE!$K$6:$K$10008,PURCHASE!$A$6:$A$10008,$BF$2,PURCHASE!$H$6:$H$10008,$A$4:$A$2700)</f>
        <v>0</v>
      </c>
      <c r="BH150" s="512">
        <f>SUMIFS(PURCHASE!$L$6:$L$10008,PURCHASE!$A$6:$A$10008,$BF$2,PURCHASE!$H$6:$H$10008,$A$4:$A$2700)</f>
        <v>0</v>
      </c>
      <c r="BI150" s="512">
        <f>SUMIFS(PURCHASE!$M$6:$M$10008,PURCHASE!$A$6:$A$10008,$BF$2,PURCHASE!$H$6:$H$10008,$A$4:$A$2700)</f>
        <v>0</v>
      </c>
      <c r="BJ150" s="512">
        <f>SUMIFS(PURCHASE!$N$6:$N$10008,PURCHASE!$A$6:$A$10008,$BF$2,PURCHASE!$H$6:$H$10008,$A$4:$A$2700)</f>
        <v>0</v>
      </c>
      <c r="BK150" s="72">
        <f t="shared" si="40"/>
        <v>9912</v>
      </c>
      <c r="BL150" s="72">
        <f t="shared" si="41"/>
        <v>8400</v>
      </c>
      <c r="BM150" s="72">
        <f t="shared" si="42"/>
        <v>0</v>
      </c>
      <c r="BN150" s="72">
        <f t="shared" si="43"/>
        <v>756</v>
      </c>
      <c r="BO150" s="72">
        <f t="shared" si="44"/>
        <v>756</v>
      </c>
    </row>
    <row r="151" spans="1:67" x14ac:dyDescent="0.2">
      <c r="A151" s="511">
        <v>9017</v>
      </c>
      <c r="B151" s="467" t="s">
        <v>1293</v>
      </c>
      <c r="C151" s="512">
        <f t="shared" si="45"/>
        <v>106.19999999999999</v>
      </c>
      <c r="D151" s="512">
        <f>SUMIFS(PURCHASE!$K$6:$K$10008,PURCHASE!$A$6:$A$10008,$M$2,PURCHASE!$H$6:$H$10008,$A$4:$A$2700)</f>
        <v>90</v>
      </c>
      <c r="E151" s="512">
        <f>SUMIFS(PURCHASE!$L$6:$L$10008,PURCHASE!$A$6:$A$10008,$M$2,PURCHASE!$H$6:$H$10008,$A$4:$A$2700)</f>
        <v>0</v>
      </c>
      <c r="F151" s="512">
        <f>SUMIFS(PURCHASE!$M$6:$M$10008,PURCHASE!$A$6:$A$10008,$M$2,PURCHASE!$H$6:$H$10008,$A$4:$A$2700)</f>
        <v>8.1</v>
      </c>
      <c r="G151" s="512">
        <f>SUMIFS(PURCHASE!$N$6:$N$10008,PURCHASE!$A$6:$A$10008,$M$2,PURCHASE!$H$6:$H$10008,$A$4:$A$2700)</f>
        <v>8.1</v>
      </c>
      <c r="H151" s="512">
        <f t="shared" si="46"/>
        <v>0</v>
      </c>
      <c r="I151" s="512">
        <f>SUMIFS(PURCHASE!$K$6:$K$10008,PURCHASE!$A$6:$A$10008,$H$2,PURCHASE!$H$6:$H$10008,$A$4:$A$2700)</f>
        <v>0</v>
      </c>
      <c r="J151" s="512">
        <f>SUMIFS(PURCHASE!$L$6:$L$10008,PURCHASE!$A$6:$A$10008,$H$2,PURCHASE!$H$6:$H$10008,$A$4:$A$2700)</f>
        <v>0</v>
      </c>
      <c r="K151" s="512">
        <f>SUMIFS(PURCHASE!$M$6:$M$10008,PURCHASE!$A$6:$A$10008,$H$2,PURCHASE!$H$6:$H$10008,$A$4:$A$2700)</f>
        <v>0</v>
      </c>
      <c r="L151" s="512">
        <f>SUMIFS(PURCHASE!$N$6:$N$10008,PURCHASE!$A$6:$A$10008,$H$2,PURCHASE!$H$6:$H$10008,$A$4:$A$2700)</f>
        <v>0</v>
      </c>
      <c r="M151" s="512">
        <f t="shared" si="47"/>
        <v>106.19999999999999</v>
      </c>
      <c r="N151" s="512">
        <f>SUMIFS(PURCHASE!$K$6:$K$10008,PURCHASE!$A$6:$A$10008,$M$2,PURCHASE!$H$6:$H$10008,$A$4:$A$2700)</f>
        <v>90</v>
      </c>
      <c r="O151" s="512">
        <f>SUMIFS(PURCHASE!$L$6:$L$10008,PURCHASE!$A$6:$A$10008,$M$2,PURCHASE!$H$6:$H$10008,$A$4:$A$2700)</f>
        <v>0</v>
      </c>
      <c r="P151" s="512">
        <f>SUMIFS(PURCHASE!$M$6:$M$10008,PURCHASE!$A$6:$A$10008,$M$2,PURCHASE!$H$6:$H$10008,$A$4:$A$2700)</f>
        <v>8.1</v>
      </c>
      <c r="Q151" s="512">
        <f>SUMIFS(PURCHASE!$N$6:$N$10008,PURCHASE!$A$6:$A$10008,$M$2,PURCHASE!$H$6:$H$10008,$A$4:$A$2700)</f>
        <v>8.1</v>
      </c>
      <c r="R151" s="512">
        <f t="shared" si="48"/>
        <v>0</v>
      </c>
      <c r="S151" s="512">
        <f>SUMIFS(PURCHASE!$K$6:$K$10008,PURCHASE!$A$6:$A$10008,$R$2,PURCHASE!$H$6:$H$10008,$A$4:$A$2700)</f>
        <v>0</v>
      </c>
      <c r="T151" s="512">
        <f>SUMIFS(PURCHASE!$L$6:$L$10008,PURCHASE!$A$6:$A$10008,$R$2,PURCHASE!$H$6:$H$10008,$A$4:$A$2700)</f>
        <v>0</v>
      </c>
      <c r="U151" s="512">
        <f>SUMIFS(PURCHASE!$M$6:$M$10008,PURCHASE!$A$6:$A$10008,$R$2,PURCHASE!$H$6:$H$10008,$A$4:$A$2700)</f>
        <v>0</v>
      </c>
      <c r="V151" s="512">
        <f>SUMIFS(PURCHASE!$N$6:$N$10008,PURCHASE!$A$6:$A$10008,$R$2,PURCHASE!$H$6:$H$10008,$A$4:$A$2700)</f>
        <v>0</v>
      </c>
      <c r="W151" s="512">
        <f t="shared" si="49"/>
        <v>0</v>
      </c>
      <c r="X151" s="512">
        <f>SUMIFS(PURCHASE!$K$6:$K$10008,PURCHASE!$A$6:$A$10008,$W$2,PURCHASE!$H$6:$H$10008,$A$4:$A$2700)</f>
        <v>0</v>
      </c>
      <c r="Y151" s="512">
        <f>SUMIFS(PURCHASE!$L$6:$L$10008,PURCHASE!$A$6:$A$10008,$W$2,PURCHASE!$H$6:$H$10008,$A$4:$A$2700)</f>
        <v>0</v>
      </c>
      <c r="Z151" s="512">
        <f>SUMIFS(PURCHASE!$M$6:$M$10008,PURCHASE!$A$6:$A$10008,$W$2,PURCHASE!$H$6:$H$10008,$A$4:$A$2700)</f>
        <v>0</v>
      </c>
      <c r="AA151" s="512">
        <f>SUMIFS(PURCHASE!$N$6:$N$10008,PURCHASE!$A$6:$A$10008,$W$2,PURCHASE!$H$6:$H$10008,$A$4:$A$2700)</f>
        <v>0</v>
      </c>
      <c r="AB151" s="512">
        <f t="shared" si="50"/>
        <v>0</v>
      </c>
      <c r="AC151" s="512">
        <f>SUMIFS(PURCHASE!$K$6:$K$10008,PURCHASE!$A$6:$A$10008,$AB$2,PURCHASE!$H$6:$H$10008,$A$4:$A$2700)</f>
        <v>0</v>
      </c>
      <c r="AD151" s="512">
        <f>SUMIFS(PURCHASE!$L$6:$L$10008,PURCHASE!$A$6:$A$10008,$AB$2,PURCHASE!$H$6:$H$10008,$A$4:$A$2700)</f>
        <v>0</v>
      </c>
      <c r="AE151" s="512">
        <f>SUMIFS(PURCHASE!$M$6:$M$10008,PURCHASE!$A$6:$A$10008,$AB$2,PURCHASE!$H$6:$H$10008,$A$4:$A$2700)</f>
        <v>0</v>
      </c>
      <c r="AF151" s="512">
        <f>SUMIFS(PURCHASE!$N$6:$N$10008,PURCHASE!$A$6:$A$10008,$AB$2,PURCHASE!$H$6:$H$10008,$A$4:$A$2700)</f>
        <v>0</v>
      </c>
      <c r="AG151" s="512">
        <f t="shared" si="51"/>
        <v>0</v>
      </c>
      <c r="AH151" s="512">
        <f>SUMIFS(PURCHASE!$K$6:$K$10008,PURCHASE!$A$6:$A$10008,$AG$2,PURCHASE!$H$6:$H$10008,$A$4:$A$2700)</f>
        <v>0</v>
      </c>
      <c r="AI151" s="512">
        <f>SUMIFS(PURCHASE!$L$6:$L$10008,PURCHASE!$A$6:$A$10008,$AG$2,PURCHASE!$H$6:$H$10008,$A$4:$A$2700)</f>
        <v>0</v>
      </c>
      <c r="AJ151" s="512">
        <f>SUMIFS(PURCHASE!$M$6:$M$10008,PURCHASE!$A$6:$A$10008,$AG$2,PURCHASE!$H$6:$H$10008,$A$4:$A$2700)</f>
        <v>0</v>
      </c>
      <c r="AK151" s="512">
        <f>SUMIFS(PURCHASE!$N$6:$N$10008,PURCHASE!$A$6:$A$10008,$AG$2,PURCHASE!$H$6:$H$10008,$A$4:$A$2700)</f>
        <v>0</v>
      </c>
      <c r="AL151" s="512">
        <f t="shared" si="52"/>
        <v>0</v>
      </c>
      <c r="AM151" s="512">
        <f>SUMIFS(PURCHASE!$K$6:$K$10008,PURCHASE!$A$6:$A$10008,$AL$2,PURCHASE!$H$6:$H$10008,$A$4:$A$2700)</f>
        <v>0</v>
      </c>
      <c r="AN151" s="512">
        <f>SUMIFS(PURCHASE!$L$6:$L$10008,PURCHASE!$A$6:$A$10008,$AL$2,PURCHASE!$H$6:$H$10008,$A$4:$A$2700)</f>
        <v>0</v>
      </c>
      <c r="AO151" s="512">
        <f>SUMIFS(PURCHASE!$M$6:$M$10008,PURCHASE!$A$6:$A$10008,$AL$2,PURCHASE!$H$6:$H$10008,$A$4:$A$2700)</f>
        <v>0</v>
      </c>
      <c r="AP151" s="512">
        <f>SUMIFS(PURCHASE!$N$6:$N$10008,PURCHASE!$A$6:$A$10008,$AL$2,PURCHASE!$H$6:$H$10008,$A$4:$A$2700)</f>
        <v>0</v>
      </c>
      <c r="AQ151" s="512">
        <f t="shared" si="53"/>
        <v>0</v>
      </c>
      <c r="AR151" s="512">
        <f>SUMIFS(PURCHASE!$K$6:$K$10008,PURCHASE!$A$6:$A$10008,$AQ$2,PURCHASE!$H$6:$H$10008,$A$4:$A$2700)</f>
        <v>0</v>
      </c>
      <c r="AS151" s="512">
        <f>SUMIFS(PURCHASE!$L$6:$L$10008,PURCHASE!$A$6:$A$10008,$AQ$2,PURCHASE!$H$6:$H$10008,$A$4:$A$2700)</f>
        <v>0</v>
      </c>
      <c r="AT151" s="512">
        <f>SUMIFS(PURCHASE!$M$6:$M$10008,PURCHASE!$A$6:$A$10008,$AQ$2,PURCHASE!$H$6:$H$10008,$A$4:$A$2700)</f>
        <v>0</v>
      </c>
      <c r="AU151" s="512">
        <f>SUMIFS(PURCHASE!$N$6:$N$10008,PURCHASE!$A$6:$A$10008,$AQ$2,PURCHASE!$H$6:$H$10008,$A$4:$A$2700)</f>
        <v>0</v>
      </c>
      <c r="AV151" s="512">
        <f t="shared" si="54"/>
        <v>0</v>
      </c>
      <c r="AW151" s="512">
        <f>SUMIFS(PURCHASE!$K$6:$K$10008,PURCHASE!$A$6:$A$10008,$AV$2,PURCHASE!$H$6:$H$10008,$A$4:$A$2700)</f>
        <v>0</v>
      </c>
      <c r="AX151" s="512">
        <f>SUMIFS(PURCHASE!$L$6:$L$10008,PURCHASE!$A$6:$A$10008,$AV$2,PURCHASE!$H$6:$H$10008,$A$4:$A$2700)</f>
        <v>0</v>
      </c>
      <c r="AY151" s="512">
        <f>SUMIFS(PURCHASE!$M$6:$M$10008,PURCHASE!$A$6:$A$10008,$AV$2,PURCHASE!$H$6:$H$10008,$A$4:$A$2700)</f>
        <v>0</v>
      </c>
      <c r="AZ151" s="512">
        <f>SUMIFS(PURCHASE!$N$6:$N$10008,PURCHASE!$A$6:$A$10008,$AV$2,PURCHASE!$H$6:$H$10008,$A$4:$A$2700)</f>
        <v>0</v>
      </c>
      <c r="BA151" s="512">
        <f t="shared" si="55"/>
        <v>0</v>
      </c>
      <c r="BB151" s="512">
        <f>SUMIFS(PURCHASE!$K$6:$K$10008,PURCHASE!$A$6:$A$10008,$BA$2,PURCHASE!$H$6:$H$10008,$A$4:$A$2700)</f>
        <v>0</v>
      </c>
      <c r="BC151" s="512">
        <f>SUMIFS(PURCHASE!$L$6:$L$10008,PURCHASE!$A$6:$A$10008,$BA$2,PURCHASE!$H$6:$H$10008,$A$4:$A$2700)</f>
        <v>0</v>
      </c>
      <c r="BD151" s="512">
        <f>SUMIFS(PURCHASE!$M$6:$M$10008,PURCHASE!$A$6:$A$10008,$BA$2,PURCHASE!$H$6:$H$10008,$A$4:$A$2700)</f>
        <v>0</v>
      </c>
      <c r="BE151" s="512">
        <f>SUMIFS(PURCHASE!$N$6:$N$10008,PURCHASE!$A$6:$A$10008,$BA$2,PURCHASE!$H$6:$H$10008,$A$4:$A$2700)</f>
        <v>0</v>
      </c>
      <c r="BF151" s="512">
        <f t="shared" si="56"/>
        <v>0</v>
      </c>
      <c r="BG151" s="512">
        <f>SUMIFS(PURCHASE!$K$6:$K$10008,PURCHASE!$A$6:$A$10008,$BF$2,PURCHASE!$H$6:$H$10008,$A$4:$A$2700)</f>
        <v>0</v>
      </c>
      <c r="BH151" s="512">
        <f>SUMIFS(PURCHASE!$L$6:$L$10008,PURCHASE!$A$6:$A$10008,$BF$2,PURCHASE!$H$6:$H$10008,$A$4:$A$2700)</f>
        <v>0</v>
      </c>
      <c r="BI151" s="512">
        <f>SUMIFS(PURCHASE!$M$6:$M$10008,PURCHASE!$A$6:$A$10008,$BF$2,PURCHASE!$H$6:$H$10008,$A$4:$A$2700)</f>
        <v>0</v>
      </c>
      <c r="BJ151" s="512">
        <f>SUMIFS(PURCHASE!$N$6:$N$10008,PURCHASE!$A$6:$A$10008,$BF$2,PURCHASE!$H$6:$H$10008,$A$4:$A$2700)</f>
        <v>0</v>
      </c>
      <c r="BK151" s="72">
        <f t="shared" si="40"/>
        <v>212.39999999999998</v>
      </c>
      <c r="BL151" s="72">
        <f t="shared" si="41"/>
        <v>180</v>
      </c>
      <c r="BM151" s="72">
        <f t="shared" si="42"/>
        <v>0</v>
      </c>
      <c r="BN151" s="72">
        <f t="shared" si="43"/>
        <v>16.2</v>
      </c>
      <c r="BO151" s="72">
        <f t="shared" si="44"/>
        <v>16.2</v>
      </c>
    </row>
    <row r="152" spans="1:67" x14ac:dyDescent="0.2">
      <c r="A152" s="511">
        <v>9004</v>
      </c>
      <c r="B152" s="467" t="s">
        <v>1294</v>
      </c>
      <c r="C152" s="512">
        <f t="shared" si="45"/>
        <v>47.2</v>
      </c>
      <c r="D152" s="512">
        <f>SUMIFS(PURCHASE!$K$6:$K$10008,PURCHASE!$A$6:$A$10008,$M$2,PURCHASE!$H$6:$H$10008,$A$4:$A$2700)</f>
        <v>40</v>
      </c>
      <c r="E152" s="512">
        <f>SUMIFS(PURCHASE!$L$6:$L$10008,PURCHASE!$A$6:$A$10008,$M$2,PURCHASE!$H$6:$H$10008,$A$4:$A$2700)</f>
        <v>0</v>
      </c>
      <c r="F152" s="512">
        <f>SUMIFS(PURCHASE!$M$6:$M$10008,PURCHASE!$A$6:$A$10008,$M$2,PURCHASE!$H$6:$H$10008,$A$4:$A$2700)</f>
        <v>3.6</v>
      </c>
      <c r="G152" s="512">
        <f>SUMIFS(PURCHASE!$N$6:$N$10008,PURCHASE!$A$6:$A$10008,$M$2,PURCHASE!$H$6:$H$10008,$A$4:$A$2700)</f>
        <v>3.6</v>
      </c>
      <c r="H152" s="512">
        <f t="shared" si="46"/>
        <v>0</v>
      </c>
      <c r="I152" s="512">
        <f>SUMIFS(PURCHASE!$K$6:$K$10008,PURCHASE!$A$6:$A$10008,$H$2,PURCHASE!$H$6:$H$10008,$A$4:$A$2700)</f>
        <v>0</v>
      </c>
      <c r="J152" s="512">
        <f>SUMIFS(PURCHASE!$L$6:$L$10008,PURCHASE!$A$6:$A$10008,$H$2,PURCHASE!$H$6:$H$10008,$A$4:$A$2700)</f>
        <v>0</v>
      </c>
      <c r="K152" s="512">
        <f>SUMIFS(PURCHASE!$M$6:$M$10008,PURCHASE!$A$6:$A$10008,$H$2,PURCHASE!$H$6:$H$10008,$A$4:$A$2700)</f>
        <v>0</v>
      </c>
      <c r="L152" s="512">
        <f>SUMIFS(PURCHASE!$N$6:$N$10008,PURCHASE!$A$6:$A$10008,$H$2,PURCHASE!$H$6:$H$10008,$A$4:$A$2700)</f>
        <v>0</v>
      </c>
      <c r="M152" s="512">
        <f t="shared" si="47"/>
        <v>47.2</v>
      </c>
      <c r="N152" s="512">
        <f>SUMIFS(PURCHASE!$K$6:$K$10008,PURCHASE!$A$6:$A$10008,$M$2,PURCHASE!$H$6:$H$10008,$A$4:$A$2700)</f>
        <v>40</v>
      </c>
      <c r="O152" s="512">
        <f>SUMIFS(PURCHASE!$L$6:$L$10008,PURCHASE!$A$6:$A$10008,$M$2,PURCHASE!$H$6:$H$10008,$A$4:$A$2700)</f>
        <v>0</v>
      </c>
      <c r="P152" s="512">
        <f>SUMIFS(PURCHASE!$M$6:$M$10008,PURCHASE!$A$6:$A$10008,$M$2,PURCHASE!$H$6:$H$10008,$A$4:$A$2700)</f>
        <v>3.6</v>
      </c>
      <c r="Q152" s="512">
        <f>SUMIFS(PURCHASE!$N$6:$N$10008,PURCHASE!$A$6:$A$10008,$M$2,PURCHASE!$H$6:$H$10008,$A$4:$A$2700)</f>
        <v>3.6</v>
      </c>
      <c r="R152" s="512">
        <f t="shared" si="48"/>
        <v>0</v>
      </c>
      <c r="S152" s="512">
        <f>SUMIFS(PURCHASE!$K$6:$K$10008,PURCHASE!$A$6:$A$10008,$R$2,PURCHASE!$H$6:$H$10008,$A$4:$A$2700)</f>
        <v>0</v>
      </c>
      <c r="T152" s="512">
        <f>SUMIFS(PURCHASE!$L$6:$L$10008,PURCHASE!$A$6:$A$10008,$R$2,PURCHASE!$H$6:$H$10008,$A$4:$A$2700)</f>
        <v>0</v>
      </c>
      <c r="U152" s="512">
        <f>SUMIFS(PURCHASE!$M$6:$M$10008,PURCHASE!$A$6:$A$10008,$R$2,PURCHASE!$H$6:$H$10008,$A$4:$A$2700)</f>
        <v>0</v>
      </c>
      <c r="V152" s="512">
        <f>SUMIFS(PURCHASE!$N$6:$N$10008,PURCHASE!$A$6:$A$10008,$R$2,PURCHASE!$H$6:$H$10008,$A$4:$A$2700)</f>
        <v>0</v>
      </c>
      <c r="W152" s="512">
        <f t="shared" si="49"/>
        <v>0</v>
      </c>
      <c r="X152" s="512">
        <f>SUMIFS(PURCHASE!$K$6:$K$10008,PURCHASE!$A$6:$A$10008,$W$2,PURCHASE!$H$6:$H$10008,$A$4:$A$2700)</f>
        <v>0</v>
      </c>
      <c r="Y152" s="512">
        <f>SUMIFS(PURCHASE!$L$6:$L$10008,PURCHASE!$A$6:$A$10008,$W$2,PURCHASE!$H$6:$H$10008,$A$4:$A$2700)</f>
        <v>0</v>
      </c>
      <c r="Z152" s="512">
        <f>SUMIFS(PURCHASE!$M$6:$M$10008,PURCHASE!$A$6:$A$10008,$W$2,PURCHASE!$H$6:$H$10008,$A$4:$A$2700)</f>
        <v>0</v>
      </c>
      <c r="AA152" s="512">
        <f>SUMIFS(PURCHASE!$N$6:$N$10008,PURCHASE!$A$6:$A$10008,$W$2,PURCHASE!$H$6:$H$10008,$A$4:$A$2700)</f>
        <v>0</v>
      </c>
      <c r="AB152" s="512">
        <f t="shared" si="50"/>
        <v>283.20000000000005</v>
      </c>
      <c r="AC152" s="512">
        <f>SUMIFS(PURCHASE!$K$6:$K$10008,PURCHASE!$A$6:$A$10008,$AB$2,PURCHASE!$H$6:$H$10008,$A$4:$A$2700)</f>
        <v>240</v>
      </c>
      <c r="AD152" s="512">
        <f>SUMIFS(PURCHASE!$L$6:$L$10008,PURCHASE!$A$6:$A$10008,$AB$2,PURCHASE!$H$6:$H$10008,$A$4:$A$2700)</f>
        <v>0</v>
      </c>
      <c r="AE152" s="512">
        <f>SUMIFS(PURCHASE!$M$6:$M$10008,PURCHASE!$A$6:$A$10008,$AB$2,PURCHASE!$H$6:$H$10008,$A$4:$A$2700)</f>
        <v>21.599999999999998</v>
      </c>
      <c r="AF152" s="512">
        <f>SUMIFS(PURCHASE!$N$6:$N$10008,PURCHASE!$A$6:$A$10008,$AB$2,PURCHASE!$H$6:$H$10008,$A$4:$A$2700)</f>
        <v>21.599999999999998</v>
      </c>
      <c r="AG152" s="512">
        <f t="shared" si="51"/>
        <v>0</v>
      </c>
      <c r="AH152" s="512">
        <f>SUMIFS(PURCHASE!$K$6:$K$10008,PURCHASE!$A$6:$A$10008,$AG$2,PURCHASE!$H$6:$H$10008,$A$4:$A$2700)</f>
        <v>0</v>
      </c>
      <c r="AI152" s="512">
        <f>SUMIFS(PURCHASE!$L$6:$L$10008,PURCHASE!$A$6:$A$10008,$AG$2,PURCHASE!$H$6:$H$10008,$A$4:$A$2700)</f>
        <v>0</v>
      </c>
      <c r="AJ152" s="512">
        <f>SUMIFS(PURCHASE!$M$6:$M$10008,PURCHASE!$A$6:$A$10008,$AG$2,PURCHASE!$H$6:$H$10008,$A$4:$A$2700)</f>
        <v>0</v>
      </c>
      <c r="AK152" s="512">
        <f>SUMIFS(PURCHASE!$N$6:$N$10008,PURCHASE!$A$6:$A$10008,$AG$2,PURCHASE!$H$6:$H$10008,$A$4:$A$2700)</f>
        <v>0</v>
      </c>
      <c r="AL152" s="512">
        <f t="shared" si="52"/>
        <v>0</v>
      </c>
      <c r="AM152" s="512">
        <f>SUMIFS(PURCHASE!$K$6:$K$10008,PURCHASE!$A$6:$A$10008,$AL$2,PURCHASE!$H$6:$H$10008,$A$4:$A$2700)</f>
        <v>0</v>
      </c>
      <c r="AN152" s="512">
        <f>SUMIFS(PURCHASE!$L$6:$L$10008,PURCHASE!$A$6:$A$10008,$AL$2,PURCHASE!$H$6:$H$10008,$A$4:$A$2700)</f>
        <v>0</v>
      </c>
      <c r="AO152" s="512">
        <f>SUMIFS(PURCHASE!$M$6:$M$10008,PURCHASE!$A$6:$A$10008,$AL$2,PURCHASE!$H$6:$H$10008,$A$4:$A$2700)</f>
        <v>0</v>
      </c>
      <c r="AP152" s="512">
        <f>SUMIFS(PURCHASE!$N$6:$N$10008,PURCHASE!$A$6:$A$10008,$AL$2,PURCHASE!$H$6:$H$10008,$A$4:$A$2700)</f>
        <v>0</v>
      </c>
      <c r="AQ152" s="512">
        <f t="shared" si="53"/>
        <v>0</v>
      </c>
      <c r="AR152" s="512">
        <f>SUMIFS(PURCHASE!$K$6:$K$10008,PURCHASE!$A$6:$A$10008,$AQ$2,PURCHASE!$H$6:$H$10008,$A$4:$A$2700)</f>
        <v>0</v>
      </c>
      <c r="AS152" s="512">
        <f>SUMIFS(PURCHASE!$L$6:$L$10008,PURCHASE!$A$6:$A$10008,$AQ$2,PURCHASE!$H$6:$H$10008,$A$4:$A$2700)</f>
        <v>0</v>
      </c>
      <c r="AT152" s="512">
        <f>SUMIFS(PURCHASE!$M$6:$M$10008,PURCHASE!$A$6:$A$10008,$AQ$2,PURCHASE!$H$6:$H$10008,$A$4:$A$2700)</f>
        <v>0</v>
      </c>
      <c r="AU152" s="512">
        <f>SUMIFS(PURCHASE!$N$6:$N$10008,PURCHASE!$A$6:$A$10008,$AQ$2,PURCHASE!$H$6:$H$10008,$A$4:$A$2700)</f>
        <v>0</v>
      </c>
      <c r="AV152" s="512">
        <f t="shared" si="54"/>
        <v>0</v>
      </c>
      <c r="AW152" s="512">
        <f>SUMIFS(PURCHASE!$K$6:$K$10008,PURCHASE!$A$6:$A$10008,$AV$2,PURCHASE!$H$6:$H$10008,$A$4:$A$2700)</f>
        <v>0</v>
      </c>
      <c r="AX152" s="512">
        <f>SUMIFS(PURCHASE!$L$6:$L$10008,PURCHASE!$A$6:$A$10008,$AV$2,PURCHASE!$H$6:$H$10008,$A$4:$A$2700)</f>
        <v>0</v>
      </c>
      <c r="AY152" s="512">
        <f>SUMIFS(PURCHASE!$M$6:$M$10008,PURCHASE!$A$6:$A$10008,$AV$2,PURCHASE!$H$6:$H$10008,$A$4:$A$2700)</f>
        <v>0</v>
      </c>
      <c r="AZ152" s="512">
        <f>SUMIFS(PURCHASE!$N$6:$N$10008,PURCHASE!$A$6:$A$10008,$AV$2,PURCHASE!$H$6:$H$10008,$A$4:$A$2700)</f>
        <v>0</v>
      </c>
      <c r="BA152" s="512">
        <f t="shared" si="55"/>
        <v>0</v>
      </c>
      <c r="BB152" s="512">
        <f>SUMIFS(PURCHASE!$K$6:$K$10008,PURCHASE!$A$6:$A$10008,$BA$2,PURCHASE!$H$6:$H$10008,$A$4:$A$2700)</f>
        <v>0</v>
      </c>
      <c r="BC152" s="512">
        <f>SUMIFS(PURCHASE!$L$6:$L$10008,PURCHASE!$A$6:$A$10008,$BA$2,PURCHASE!$H$6:$H$10008,$A$4:$A$2700)</f>
        <v>0</v>
      </c>
      <c r="BD152" s="512">
        <f>SUMIFS(PURCHASE!$M$6:$M$10008,PURCHASE!$A$6:$A$10008,$BA$2,PURCHASE!$H$6:$H$10008,$A$4:$A$2700)</f>
        <v>0</v>
      </c>
      <c r="BE152" s="512">
        <f>SUMIFS(PURCHASE!$N$6:$N$10008,PURCHASE!$A$6:$A$10008,$BA$2,PURCHASE!$H$6:$H$10008,$A$4:$A$2700)</f>
        <v>0</v>
      </c>
      <c r="BF152" s="512">
        <f t="shared" si="56"/>
        <v>0</v>
      </c>
      <c r="BG152" s="512">
        <f>SUMIFS(PURCHASE!$K$6:$K$10008,PURCHASE!$A$6:$A$10008,$BF$2,PURCHASE!$H$6:$H$10008,$A$4:$A$2700)</f>
        <v>0</v>
      </c>
      <c r="BH152" s="512">
        <f>SUMIFS(PURCHASE!$L$6:$L$10008,PURCHASE!$A$6:$A$10008,$BF$2,PURCHASE!$H$6:$H$10008,$A$4:$A$2700)</f>
        <v>0</v>
      </c>
      <c r="BI152" s="512">
        <f>SUMIFS(PURCHASE!$M$6:$M$10008,PURCHASE!$A$6:$A$10008,$BF$2,PURCHASE!$H$6:$H$10008,$A$4:$A$2700)</f>
        <v>0</v>
      </c>
      <c r="BJ152" s="512">
        <f>SUMIFS(PURCHASE!$N$6:$N$10008,PURCHASE!$A$6:$A$10008,$BF$2,PURCHASE!$H$6:$H$10008,$A$4:$A$2700)</f>
        <v>0</v>
      </c>
      <c r="BK152" s="72">
        <f t="shared" si="40"/>
        <v>377.6</v>
      </c>
      <c r="BL152" s="72">
        <f t="shared" si="41"/>
        <v>320</v>
      </c>
      <c r="BM152" s="72">
        <f t="shared" si="42"/>
        <v>0</v>
      </c>
      <c r="BN152" s="72">
        <f t="shared" si="43"/>
        <v>28.799999999999997</v>
      </c>
      <c r="BO152" s="72">
        <f t="shared" si="44"/>
        <v>28.799999999999997</v>
      </c>
    </row>
    <row r="153" spans="1:67" x14ac:dyDescent="0.2">
      <c r="A153" s="511">
        <v>84716060</v>
      </c>
      <c r="B153" s="467" t="s">
        <v>1295</v>
      </c>
      <c r="C153" s="512">
        <f t="shared" si="45"/>
        <v>0</v>
      </c>
      <c r="D153" s="512">
        <f>SUMIFS(PURCHASE!$K$6:$K$10008,PURCHASE!$A$6:$A$10008,$M$2,PURCHASE!$H$6:$H$10008,$A$4:$A$2700)</f>
        <v>0</v>
      </c>
      <c r="E153" s="512">
        <f>SUMIFS(PURCHASE!$L$6:$L$10008,PURCHASE!$A$6:$A$10008,$M$2,PURCHASE!$H$6:$H$10008,$A$4:$A$2700)</f>
        <v>0</v>
      </c>
      <c r="F153" s="512">
        <f>SUMIFS(PURCHASE!$M$6:$M$10008,PURCHASE!$A$6:$A$10008,$M$2,PURCHASE!$H$6:$H$10008,$A$4:$A$2700)</f>
        <v>0</v>
      </c>
      <c r="G153" s="512">
        <f>SUMIFS(PURCHASE!$N$6:$N$10008,PURCHASE!$A$6:$A$10008,$M$2,PURCHASE!$H$6:$H$10008,$A$4:$A$2700)</f>
        <v>0</v>
      </c>
      <c r="H153" s="512">
        <f t="shared" si="46"/>
        <v>0</v>
      </c>
      <c r="I153" s="512">
        <f>SUMIFS(PURCHASE!$K$6:$K$10008,PURCHASE!$A$6:$A$10008,$H$2,PURCHASE!$H$6:$H$10008,$A$4:$A$2700)</f>
        <v>0</v>
      </c>
      <c r="J153" s="512">
        <f>SUMIFS(PURCHASE!$L$6:$L$10008,PURCHASE!$A$6:$A$10008,$H$2,PURCHASE!$H$6:$H$10008,$A$4:$A$2700)</f>
        <v>0</v>
      </c>
      <c r="K153" s="512">
        <f>SUMIFS(PURCHASE!$M$6:$M$10008,PURCHASE!$A$6:$A$10008,$H$2,PURCHASE!$H$6:$H$10008,$A$4:$A$2700)</f>
        <v>0</v>
      </c>
      <c r="L153" s="512">
        <f>SUMIFS(PURCHASE!$N$6:$N$10008,PURCHASE!$A$6:$A$10008,$H$2,PURCHASE!$H$6:$H$10008,$A$4:$A$2700)</f>
        <v>0</v>
      </c>
      <c r="M153" s="512">
        <f t="shared" si="47"/>
        <v>0</v>
      </c>
      <c r="N153" s="512">
        <f>SUMIFS(PURCHASE!$K$6:$K$10008,PURCHASE!$A$6:$A$10008,$M$2,PURCHASE!$H$6:$H$10008,$A$4:$A$2700)</f>
        <v>0</v>
      </c>
      <c r="O153" s="512">
        <f>SUMIFS(PURCHASE!$L$6:$L$10008,PURCHASE!$A$6:$A$10008,$M$2,PURCHASE!$H$6:$H$10008,$A$4:$A$2700)</f>
        <v>0</v>
      </c>
      <c r="P153" s="512">
        <f>SUMIFS(PURCHASE!$M$6:$M$10008,PURCHASE!$A$6:$A$10008,$M$2,PURCHASE!$H$6:$H$10008,$A$4:$A$2700)</f>
        <v>0</v>
      </c>
      <c r="Q153" s="512">
        <f>SUMIFS(PURCHASE!$N$6:$N$10008,PURCHASE!$A$6:$A$10008,$M$2,PURCHASE!$H$6:$H$10008,$A$4:$A$2700)</f>
        <v>0</v>
      </c>
      <c r="R153" s="512">
        <f t="shared" si="48"/>
        <v>1416</v>
      </c>
      <c r="S153" s="512">
        <f>SUMIFS(PURCHASE!$K$6:$K$10008,PURCHASE!$A$6:$A$10008,$R$2,PURCHASE!$H$6:$H$10008,$A$4:$A$2700)</f>
        <v>1200</v>
      </c>
      <c r="T153" s="512">
        <f>SUMIFS(PURCHASE!$L$6:$L$10008,PURCHASE!$A$6:$A$10008,$R$2,PURCHASE!$H$6:$H$10008,$A$4:$A$2700)</f>
        <v>0</v>
      </c>
      <c r="U153" s="512">
        <f>SUMIFS(PURCHASE!$M$6:$M$10008,PURCHASE!$A$6:$A$10008,$R$2,PURCHASE!$H$6:$H$10008,$A$4:$A$2700)</f>
        <v>108</v>
      </c>
      <c r="V153" s="512">
        <f>SUMIFS(PURCHASE!$N$6:$N$10008,PURCHASE!$A$6:$A$10008,$R$2,PURCHASE!$H$6:$H$10008,$A$4:$A$2700)</f>
        <v>108</v>
      </c>
      <c r="W153" s="512">
        <f t="shared" si="49"/>
        <v>0</v>
      </c>
      <c r="X153" s="512">
        <f>SUMIFS(PURCHASE!$K$6:$K$10008,PURCHASE!$A$6:$A$10008,$W$2,PURCHASE!$H$6:$H$10008,$A$4:$A$2700)</f>
        <v>0</v>
      </c>
      <c r="Y153" s="512">
        <f>SUMIFS(PURCHASE!$L$6:$L$10008,PURCHASE!$A$6:$A$10008,$W$2,PURCHASE!$H$6:$H$10008,$A$4:$A$2700)</f>
        <v>0</v>
      </c>
      <c r="Z153" s="512">
        <f>SUMIFS(PURCHASE!$M$6:$M$10008,PURCHASE!$A$6:$A$10008,$W$2,PURCHASE!$H$6:$H$10008,$A$4:$A$2700)</f>
        <v>0</v>
      </c>
      <c r="AA153" s="512">
        <f>SUMIFS(PURCHASE!$N$6:$N$10008,PURCHASE!$A$6:$A$10008,$W$2,PURCHASE!$H$6:$H$10008,$A$4:$A$2700)</f>
        <v>0</v>
      </c>
      <c r="AB153" s="512">
        <f t="shared" si="50"/>
        <v>0</v>
      </c>
      <c r="AC153" s="512">
        <f>SUMIFS(PURCHASE!$K$6:$K$10008,PURCHASE!$A$6:$A$10008,$AB$2,PURCHASE!$H$6:$H$10008,$A$4:$A$2700)</f>
        <v>0</v>
      </c>
      <c r="AD153" s="512">
        <f>SUMIFS(PURCHASE!$L$6:$L$10008,PURCHASE!$A$6:$A$10008,$AB$2,PURCHASE!$H$6:$H$10008,$A$4:$A$2700)</f>
        <v>0</v>
      </c>
      <c r="AE153" s="512">
        <f>SUMIFS(PURCHASE!$M$6:$M$10008,PURCHASE!$A$6:$A$10008,$AB$2,PURCHASE!$H$6:$H$10008,$A$4:$A$2700)</f>
        <v>0</v>
      </c>
      <c r="AF153" s="512">
        <f>SUMIFS(PURCHASE!$N$6:$N$10008,PURCHASE!$A$6:$A$10008,$AB$2,PURCHASE!$H$6:$H$10008,$A$4:$A$2700)</f>
        <v>0</v>
      </c>
      <c r="AG153" s="512">
        <f t="shared" si="51"/>
        <v>0</v>
      </c>
      <c r="AH153" s="512">
        <f>SUMIFS(PURCHASE!$K$6:$K$10008,PURCHASE!$A$6:$A$10008,$AG$2,PURCHASE!$H$6:$H$10008,$A$4:$A$2700)</f>
        <v>0</v>
      </c>
      <c r="AI153" s="512">
        <f>SUMIFS(PURCHASE!$L$6:$L$10008,PURCHASE!$A$6:$A$10008,$AG$2,PURCHASE!$H$6:$H$10008,$A$4:$A$2700)</f>
        <v>0</v>
      </c>
      <c r="AJ153" s="512">
        <f>SUMIFS(PURCHASE!$M$6:$M$10008,PURCHASE!$A$6:$A$10008,$AG$2,PURCHASE!$H$6:$H$10008,$A$4:$A$2700)</f>
        <v>0</v>
      </c>
      <c r="AK153" s="512">
        <f>SUMIFS(PURCHASE!$N$6:$N$10008,PURCHASE!$A$6:$A$10008,$AG$2,PURCHASE!$H$6:$H$10008,$A$4:$A$2700)</f>
        <v>0</v>
      </c>
      <c r="AL153" s="512">
        <f t="shared" si="52"/>
        <v>0</v>
      </c>
      <c r="AM153" s="512">
        <f>SUMIFS(PURCHASE!$K$6:$K$10008,PURCHASE!$A$6:$A$10008,$AL$2,PURCHASE!$H$6:$H$10008,$A$4:$A$2700)</f>
        <v>0</v>
      </c>
      <c r="AN153" s="512">
        <f>SUMIFS(PURCHASE!$L$6:$L$10008,PURCHASE!$A$6:$A$10008,$AL$2,PURCHASE!$H$6:$H$10008,$A$4:$A$2700)</f>
        <v>0</v>
      </c>
      <c r="AO153" s="512">
        <f>SUMIFS(PURCHASE!$M$6:$M$10008,PURCHASE!$A$6:$A$10008,$AL$2,PURCHASE!$H$6:$H$10008,$A$4:$A$2700)</f>
        <v>0</v>
      </c>
      <c r="AP153" s="512">
        <f>SUMIFS(PURCHASE!$N$6:$N$10008,PURCHASE!$A$6:$A$10008,$AL$2,PURCHASE!$H$6:$H$10008,$A$4:$A$2700)</f>
        <v>0</v>
      </c>
      <c r="AQ153" s="512">
        <f t="shared" si="53"/>
        <v>0</v>
      </c>
      <c r="AR153" s="512">
        <f>SUMIFS(PURCHASE!$K$6:$K$10008,PURCHASE!$A$6:$A$10008,$AQ$2,PURCHASE!$H$6:$H$10008,$A$4:$A$2700)</f>
        <v>0</v>
      </c>
      <c r="AS153" s="512">
        <f>SUMIFS(PURCHASE!$L$6:$L$10008,PURCHASE!$A$6:$A$10008,$AQ$2,PURCHASE!$H$6:$H$10008,$A$4:$A$2700)</f>
        <v>0</v>
      </c>
      <c r="AT153" s="512">
        <f>SUMIFS(PURCHASE!$M$6:$M$10008,PURCHASE!$A$6:$A$10008,$AQ$2,PURCHASE!$H$6:$H$10008,$A$4:$A$2700)</f>
        <v>0</v>
      </c>
      <c r="AU153" s="512">
        <f>SUMIFS(PURCHASE!$N$6:$N$10008,PURCHASE!$A$6:$A$10008,$AQ$2,PURCHASE!$H$6:$H$10008,$A$4:$A$2700)</f>
        <v>0</v>
      </c>
      <c r="AV153" s="512">
        <f t="shared" si="54"/>
        <v>0</v>
      </c>
      <c r="AW153" s="512">
        <f>SUMIFS(PURCHASE!$K$6:$K$10008,PURCHASE!$A$6:$A$10008,$AV$2,PURCHASE!$H$6:$H$10008,$A$4:$A$2700)</f>
        <v>0</v>
      </c>
      <c r="AX153" s="512">
        <f>SUMIFS(PURCHASE!$L$6:$L$10008,PURCHASE!$A$6:$A$10008,$AV$2,PURCHASE!$H$6:$H$10008,$A$4:$A$2700)</f>
        <v>0</v>
      </c>
      <c r="AY153" s="512">
        <f>SUMIFS(PURCHASE!$M$6:$M$10008,PURCHASE!$A$6:$A$10008,$AV$2,PURCHASE!$H$6:$H$10008,$A$4:$A$2700)</f>
        <v>0</v>
      </c>
      <c r="AZ153" s="512">
        <f>SUMIFS(PURCHASE!$N$6:$N$10008,PURCHASE!$A$6:$A$10008,$AV$2,PURCHASE!$H$6:$H$10008,$A$4:$A$2700)</f>
        <v>0</v>
      </c>
      <c r="BA153" s="512">
        <f t="shared" si="55"/>
        <v>0</v>
      </c>
      <c r="BB153" s="512">
        <f>SUMIFS(PURCHASE!$K$6:$K$10008,PURCHASE!$A$6:$A$10008,$BA$2,PURCHASE!$H$6:$H$10008,$A$4:$A$2700)</f>
        <v>0</v>
      </c>
      <c r="BC153" s="512">
        <f>SUMIFS(PURCHASE!$L$6:$L$10008,PURCHASE!$A$6:$A$10008,$BA$2,PURCHASE!$H$6:$H$10008,$A$4:$A$2700)</f>
        <v>0</v>
      </c>
      <c r="BD153" s="512">
        <f>SUMIFS(PURCHASE!$M$6:$M$10008,PURCHASE!$A$6:$A$10008,$BA$2,PURCHASE!$H$6:$H$10008,$A$4:$A$2700)</f>
        <v>0</v>
      </c>
      <c r="BE153" s="512">
        <f>SUMIFS(PURCHASE!$N$6:$N$10008,PURCHASE!$A$6:$A$10008,$BA$2,PURCHASE!$H$6:$H$10008,$A$4:$A$2700)</f>
        <v>0</v>
      </c>
      <c r="BF153" s="512">
        <f t="shared" si="56"/>
        <v>0</v>
      </c>
      <c r="BG153" s="512">
        <f>SUMIFS(PURCHASE!$K$6:$K$10008,PURCHASE!$A$6:$A$10008,$BF$2,PURCHASE!$H$6:$H$10008,$A$4:$A$2700)</f>
        <v>0</v>
      </c>
      <c r="BH153" s="512">
        <f>SUMIFS(PURCHASE!$L$6:$L$10008,PURCHASE!$A$6:$A$10008,$BF$2,PURCHASE!$H$6:$H$10008,$A$4:$A$2700)</f>
        <v>0</v>
      </c>
      <c r="BI153" s="512">
        <f>SUMIFS(PURCHASE!$M$6:$M$10008,PURCHASE!$A$6:$A$10008,$BF$2,PURCHASE!$H$6:$H$10008,$A$4:$A$2700)</f>
        <v>0</v>
      </c>
      <c r="BJ153" s="512">
        <f>SUMIFS(PURCHASE!$N$6:$N$10008,PURCHASE!$A$6:$A$10008,$BF$2,PURCHASE!$H$6:$H$10008,$A$4:$A$2700)</f>
        <v>0</v>
      </c>
      <c r="BK153" s="72">
        <f t="shared" si="40"/>
        <v>1416</v>
      </c>
      <c r="BL153" s="72">
        <f t="shared" si="41"/>
        <v>1200</v>
      </c>
      <c r="BM153" s="72">
        <f t="shared" si="42"/>
        <v>0</v>
      </c>
      <c r="BN153" s="72">
        <f t="shared" si="43"/>
        <v>108</v>
      </c>
      <c r="BO153" s="72">
        <f t="shared" si="44"/>
        <v>108</v>
      </c>
    </row>
    <row r="154" spans="1:67" x14ac:dyDescent="0.2">
      <c r="A154" s="511">
        <v>29041030</v>
      </c>
      <c r="B154" s="467" t="s">
        <v>1296</v>
      </c>
      <c r="C154" s="512">
        <f t="shared" si="45"/>
        <v>0</v>
      </c>
      <c r="D154" s="512">
        <f>SUMIFS(PURCHASE!$K$6:$K$10008,PURCHASE!$A$6:$A$10008,$M$2,PURCHASE!$H$6:$H$10008,$A$4:$A$2700)</f>
        <v>0</v>
      </c>
      <c r="E154" s="512">
        <f>SUMIFS(PURCHASE!$L$6:$L$10008,PURCHASE!$A$6:$A$10008,$M$2,PURCHASE!$H$6:$H$10008,$A$4:$A$2700)</f>
        <v>0</v>
      </c>
      <c r="F154" s="512">
        <f>SUMIFS(PURCHASE!$M$6:$M$10008,PURCHASE!$A$6:$A$10008,$M$2,PURCHASE!$H$6:$H$10008,$A$4:$A$2700)</f>
        <v>0</v>
      </c>
      <c r="G154" s="512">
        <f>SUMIFS(PURCHASE!$N$6:$N$10008,PURCHASE!$A$6:$A$10008,$M$2,PURCHASE!$H$6:$H$10008,$A$4:$A$2700)</f>
        <v>0</v>
      </c>
      <c r="H154" s="512">
        <f t="shared" si="46"/>
        <v>0</v>
      </c>
      <c r="I154" s="512">
        <f>SUMIFS(PURCHASE!$K$6:$K$10008,PURCHASE!$A$6:$A$10008,$H$2,PURCHASE!$H$6:$H$10008,$A$4:$A$2700)</f>
        <v>0</v>
      </c>
      <c r="J154" s="512">
        <f>SUMIFS(PURCHASE!$L$6:$L$10008,PURCHASE!$A$6:$A$10008,$H$2,PURCHASE!$H$6:$H$10008,$A$4:$A$2700)</f>
        <v>0</v>
      </c>
      <c r="K154" s="512">
        <f>SUMIFS(PURCHASE!$M$6:$M$10008,PURCHASE!$A$6:$A$10008,$H$2,PURCHASE!$H$6:$H$10008,$A$4:$A$2700)</f>
        <v>0</v>
      </c>
      <c r="L154" s="512">
        <f>SUMIFS(PURCHASE!$N$6:$N$10008,PURCHASE!$A$6:$A$10008,$H$2,PURCHASE!$H$6:$H$10008,$A$4:$A$2700)</f>
        <v>0</v>
      </c>
      <c r="M154" s="512">
        <f t="shared" si="47"/>
        <v>0</v>
      </c>
      <c r="N154" s="512">
        <f>SUMIFS(PURCHASE!$K$6:$K$10008,PURCHASE!$A$6:$A$10008,$M$2,PURCHASE!$H$6:$H$10008,$A$4:$A$2700)</f>
        <v>0</v>
      </c>
      <c r="O154" s="512">
        <f>SUMIFS(PURCHASE!$L$6:$L$10008,PURCHASE!$A$6:$A$10008,$M$2,PURCHASE!$H$6:$H$10008,$A$4:$A$2700)</f>
        <v>0</v>
      </c>
      <c r="P154" s="512">
        <f>SUMIFS(PURCHASE!$M$6:$M$10008,PURCHASE!$A$6:$A$10008,$M$2,PURCHASE!$H$6:$H$10008,$A$4:$A$2700)</f>
        <v>0</v>
      </c>
      <c r="Q154" s="512">
        <f>SUMIFS(PURCHASE!$N$6:$N$10008,PURCHASE!$A$6:$A$10008,$M$2,PURCHASE!$H$6:$H$10008,$A$4:$A$2700)</f>
        <v>0</v>
      </c>
      <c r="R154" s="512">
        <f t="shared" si="48"/>
        <v>0</v>
      </c>
      <c r="S154" s="512">
        <f>SUMIFS(PURCHASE!$K$6:$K$10008,PURCHASE!$A$6:$A$10008,$R$2,PURCHASE!$H$6:$H$10008,$A$4:$A$2700)</f>
        <v>0</v>
      </c>
      <c r="T154" s="512">
        <f>SUMIFS(PURCHASE!$L$6:$L$10008,PURCHASE!$A$6:$A$10008,$R$2,PURCHASE!$H$6:$H$10008,$A$4:$A$2700)</f>
        <v>0</v>
      </c>
      <c r="U154" s="512">
        <f>SUMIFS(PURCHASE!$M$6:$M$10008,PURCHASE!$A$6:$A$10008,$R$2,PURCHASE!$H$6:$H$10008,$A$4:$A$2700)</f>
        <v>0</v>
      </c>
      <c r="V154" s="512">
        <f>SUMIFS(PURCHASE!$N$6:$N$10008,PURCHASE!$A$6:$A$10008,$R$2,PURCHASE!$H$6:$H$10008,$A$4:$A$2700)</f>
        <v>0</v>
      </c>
      <c r="W154" s="512">
        <f t="shared" si="49"/>
        <v>460.20000000000005</v>
      </c>
      <c r="X154" s="512">
        <f>SUMIFS(PURCHASE!$K$6:$K$10008,PURCHASE!$A$6:$A$10008,$W$2,PURCHASE!$H$6:$H$10008,$A$4:$A$2700)</f>
        <v>390</v>
      </c>
      <c r="Y154" s="512">
        <f>SUMIFS(PURCHASE!$L$6:$L$10008,PURCHASE!$A$6:$A$10008,$W$2,PURCHASE!$H$6:$H$10008,$A$4:$A$2700)</f>
        <v>0</v>
      </c>
      <c r="Z154" s="512">
        <f>SUMIFS(PURCHASE!$M$6:$M$10008,PURCHASE!$A$6:$A$10008,$W$2,PURCHASE!$H$6:$H$10008,$A$4:$A$2700)</f>
        <v>35.1</v>
      </c>
      <c r="AA154" s="512">
        <f>SUMIFS(PURCHASE!$N$6:$N$10008,PURCHASE!$A$6:$A$10008,$W$2,PURCHASE!$H$6:$H$10008,$A$4:$A$2700)</f>
        <v>35.1</v>
      </c>
      <c r="AB154" s="512">
        <f t="shared" si="50"/>
        <v>0</v>
      </c>
      <c r="AC154" s="512">
        <f>SUMIFS(PURCHASE!$K$6:$K$10008,PURCHASE!$A$6:$A$10008,$AB$2,PURCHASE!$H$6:$H$10008,$A$4:$A$2700)</f>
        <v>0</v>
      </c>
      <c r="AD154" s="512">
        <f>SUMIFS(PURCHASE!$L$6:$L$10008,PURCHASE!$A$6:$A$10008,$AB$2,PURCHASE!$H$6:$H$10008,$A$4:$A$2700)</f>
        <v>0</v>
      </c>
      <c r="AE154" s="512">
        <f>SUMIFS(PURCHASE!$M$6:$M$10008,PURCHASE!$A$6:$A$10008,$AB$2,PURCHASE!$H$6:$H$10008,$A$4:$A$2700)</f>
        <v>0</v>
      </c>
      <c r="AF154" s="512">
        <f>SUMIFS(PURCHASE!$N$6:$N$10008,PURCHASE!$A$6:$A$10008,$AB$2,PURCHASE!$H$6:$H$10008,$A$4:$A$2700)</f>
        <v>0</v>
      </c>
      <c r="AG154" s="512">
        <f t="shared" si="51"/>
        <v>0</v>
      </c>
      <c r="AH154" s="512">
        <f>SUMIFS(PURCHASE!$K$6:$K$10008,PURCHASE!$A$6:$A$10008,$AG$2,PURCHASE!$H$6:$H$10008,$A$4:$A$2700)</f>
        <v>0</v>
      </c>
      <c r="AI154" s="512">
        <f>SUMIFS(PURCHASE!$L$6:$L$10008,PURCHASE!$A$6:$A$10008,$AG$2,PURCHASE!$H$6:$H$10008,$A$4:$A$2700)</f>
        <v>0</v>
      </c>
      <c r="AJ154" s="512">
        <f>SUMIFS(PURCHASE!$M$6:$M$10008,PURCHASE!$A$6:$A$10008,$AG$2,PURCHASE!$H$6:$H$10008,$A$4:$A$2700)</f>
        <v>0</v>
      </c>
      <c r="AK154" s="512">
        <f>SUMIFS(PURCHASE!$N$6:$N$10008,PURCHASE!$A$6:$A$10008,$AG$2,PURCHASE!$H$6:$H$10008,$A$4:$A$2700)</f>
        <v>0</v>
      </c>
      <c r="AL154" s="512">
        <f t="shared" si="52"/>
        <v>0</v>
      </c>
      <c r="AM154" s="512">
        <f>SUMIFS(PURCHASE!$K$6:$K$10008,PURCHASE!$A$6:$A$10008,$AL$2,PURCHASE!$H$6:$H$10008,$A$4:$A$2700)</f>
        <v>0</v>
      </c>
      <c r="AN154" s="512">
        <f>SUMIFS(PURCHASE!$L$6:$L$10008,PURCHASE!$A$6:$A$10008,$AL$2,PURCHASE!$H$6:$H$10008,$A$4:$A$2700)</f>
        <v>0</v>
      </c>
      <c r="AO154" s="512">
        <f>SUMIFS(PURCHASE!$M$6:$M$10008,PURCHASE!$A$6:$A$10008,$AL$2,PURCHASE!$H$6:$H$10008,$A$4:$A$2700)</f>
        <v>0</v>
      </c>
      <c r="AP154" s="512">
        <f>SUMIFS(PURCHASE!$N$6:$N$10008,PURCHASE!$A$6:$A$10008,$AL$2,PURCHASE!$H$6:$H$10008,$A$4:$A$2700)</f>
        <v>0</v>
      </c>
      <c r="AQ154" s="512">
        <f t="shared" si="53"/>
        <v>0</v>
      </c>
      <c r="AR154" s="512">
        <f>SUMIFS(PURCHASE!$K$6:$K$10008,PURCHASE!$A$6:$A$10008,$AQ$2,PURCHASE!$H$6:$H$10008,$A$4:$A$2700)</f>
        <v>0</v>
      </c>
      <c r="AS154" s="512">
        <f>SUMIFS(PURCHASE!$L$6:$L$10008,PURCHASE!$A$6:$A$10008,$AQ$2,PURCHASE!$H$6:$H$10008,$A$4:$A$2700)</f>
        <v>0</v>
      </c>
      <c r="AT154" s="512">
        <f>SUMIFS(PURCHASE!$M$6:$M$10008,PURCHASE!$A$6:$A$10008,$AQ$2,PURCHASE!$H$6:$H$10008,$A$4:$A$2700)</f>
        <v>0</v>
      </c>
      <c r="AU154" s="512">
        <f>SUMIFS(PURCHASE!$N$6:$N$10008,PURCHASE!$A$6:$A$10008,$AQ$2,PURCHASE!$H$6:$H$10008,$A$4:$A$2700)</f>
        <v>0</v>
      </c>
      <c r="AV154" s="512">
        <f t="shared" si="54"/>
        <v>0</v>
      </c>
      <c r="AW154" s="512">
        <f>SUMIFS(PURCHASE!$K$6:$K$10008,PURCHASE!$A$6:$A$10008,$AV$2,PURCHASE!$H$6:$H$10008,$A$4:$A$2700)</f>
        <v>0</v>
      </c>
      <c r="AX154" s="512">
        <f>SUMIFS(PURCHASE!$L$6:$L$10008,PURCHASE!$A$6:$A$10008,$AV$2,PURCHASE!$H$6:$H$10008,$A$4:$A$2700)</f>
        <v>0</v>
      </c>
      <c r="AY154" s="512">
        <f>SUMIFS(PURCHASE!$M$6:$M$10008,PURCHASE!$A$6:$A$10008,$AV$2,PURCHASE!$H$6:$H$10008,$A$4:$A$2700)</f>
        <v>0</v>
      </c>
      <c r="AZ154" s="512">
        <f>SUMIFS(PURCHASE!$N$6:$N$10008,PURCHASE!$A$6:$A$10008,$AV$2,PURCHASE!$H$6:$H$10008,$A$4:$A$2700)</f>
        <v>0</v>
      </c>
      <c r="BA154" s="512">
        <f t="shared" si="55"/>
        <v>0</v>
      </c>
      <c r="BB154" s="512">
        <f>SUMIFS(PURCHASE!$K$6:$K$10008,PURCHASE!$A$6:$A$10008,$BA$2,PURCHASE!$H$6:$H$10008,$A$4:$A$2700)</f>
        <v>0</v>
      </c>
      <c r="BC154" s="512">
        <f>SUMIFS(PURCHASE!$L$6:$L$10008,PURCHASE!$A$6:$A$10008,$BA$2,PURCHASE!$H$6:$H$10008,$A$4:$A$2700)</f>
        <v>0</v>
      </c>
      <c r="BD154" s="512">
        <f>SUMIFS(PURCHASE!$M$6:$M$10008,PURCHASE!$A$6:$A$10008,$BA$2,PURCHASE!$H$6:$H$10008,$A$4:$A$2700)</f>
        <v>0</v>
      </c>
      <c r="BE154" s="512">
        <f>SUMIFS(PURCHASE!$N$6:$N$10008,PURCHASE!$A$6:$A$10008,$BA$2,PURCHASE!$H$6:$H$10008,$A$4:$A$2700)</f>
        <v>0</v>
      </c>
      <c r="BF154" s="512">
        <f t="shared" si="56"/>
        <v>0</v>
      </c>
      <c r="BG154" s="512">
        <f>SUMIFS(PURCHASE!$K$6:$K$10008,PURCHASE!$A$6:$A$10008,$BF$2,PURCHASE!$H$6:$H$10008,$A$4:$A$2700)</f>
        <v>0</v>
      </c>
      <c r="BH154" s="512">
        <f>SUMIFS(PURCHASE!$L$6:$L$10008,PURCHASE!$A$6:$A$10008,$BF$2,PURCHASE!$H$6:$H$10008,$A$4:$A$2700)</f>
        <v>0</v>
      </c>
      <c r="BI154" s="512">
        <f>SUMIFS(PURCHASE!$M$6:$M$10008,PURCHASE!$A$6:$A$10008,$BF$2,PURCHASE!$H$6:$H$10008,$A$4:$A$2700)</f>
        <v>0</v>
      </c>
      <c r="BJ154" s="512">
        <f>SUMIFS(PURCHASE!$N$6:$N$10008,PURCHASE!$A$6:$A$10008,$BF$2,PURCHASE!$H$6:$H$10008,$A$4:$A$2700)</f>
        <v>0</v>
      </c>
      <c r="BK154" s="72">
        <f t="shared" si="40"/>
        <v>460.20000000000005</v>
      </c>
      <c r="BL154" s="72">
        <f t="shared" si="41"/>
        <v>390</v>
      </c>
      <c r="BM154" s="72">
        <f t="shared" si="42"/>
        <v>0</v>
      </c>
      <c r="BN154" s="72">
        <f t="shared" si="43"/>
        <v>35.1</v>
      </c>
      <c r="BO154" s="72">
        <f t="shared" si="44"/>
        <v>35.1</v>
      </c>
    </row>
    <row r="155" spans="1:67" x14ac:dyDescent="0.2">
      <c r="A155" s="511">
        <v>84671190</v>
      </c>
      <c r="B155" s="467" t="s">
        <v>1297</v>
      </c>
      <c r="C155" s="512">
        <f t="shared" si="45"/>
        <v>0</v>
      </c>
      <c r="D155" s="512">
        <f>SUMIFS(PURCHASE!$K$6:$K$10008,PURCHASE!$A$6:$A$10008,$M$2,PURCHASE!$H$6:$H$10008,$A$4:$A$2700)</f>
        <v>0</v>
      </c>
      <c r="E155" s="512">
        <f>SUMIFS(PURCHASE!$L$6:$L$10008,PURCHASE!$A$6:$A$10008,$M$2,PURCHASE!$H$6:$H$10008,$A$4:$A$2700)</f>
        <v>0</v>
      </c>
      <c r="F155" s="512">
        <f>SUMIFS(PURCHASE!$M$6:$M$10008,PURCHASE!$A$6:$A$10008,$M$2,PURCHASE!$H$6:$H$10008,$A$4:$A$2700)</f>
        <v>0</v>
      </c>
      <c r="G155" s="512">
        <f>SUMIFS(PURCHASE!$N$6:$N$10008,PURCHASE!$A$6:$A$10008,$M$2,PURCHASE!$H$6:$H$10008,$A$4:$A$2700)</f>
        <v>0</v>
      </c>
      <c r="H155" s="512">
        <f t="shared" si="46"/>
        <v>0</v>
      </c>
      <c r="I155" s="512">
        <f>SUMIFS(PURCHASE!$K$6:$K$10008,PURCHASE!$A$6:$A$10008,$H$2,PURCHASE!$H$6:$H$10008,$A$4:$A$2700)</f>
        <v>0</v>
      </c>
      <c r="J155" s="512">
        <f>SUMIFS(PURCHASE!$L$6:$L$10008,PURCHASE!$A$6:$A$10008,$H$2,PURCHASE!$H$6:$H$10008,$A$4:$A$2700)</f>
        <v>0</v>
      </c>
      <c r="K155" s="512">
        <f>SUMIFS(PURCHASE!$M$6:$M$10008,PURCHASE!$A$6:$A$10008,$H$2,PURCHASE!$H$6:$H$10008,$A$4:$A$2700)</f>
        <v>0</v>
      </c>
      <c r="L155" s="512">
        <f>SUMIFS(PURCHASE!$N$6:$N$10008,PURCHASE!$A$6:$A$10008,$H$2,PURCHASE!$H$6:$H$10008,$A$4:$A$2700)</f>
        <v>0</v>
      </c>
      <c r="M155" s="512">
        <f t="shared" si="47"/>
        <v>0</v>
      </c>
      <c r="N155" s="512">
        <f>SUMIFS(PURCHASE!$K$6:$K$10008,PURCHASE!$A$6:$A$10008,$M$2,PURCHASE!$H$6:$H$10008,$A$4:$A$2700)</f>
        <v>0</v>
      </c>
      <c r="O155" s="512">
        <f>SUMIFS(PURCHASE!$L$6:$L$10008,PURCHASE!$A$6:$A$10008,$M$2,PURCHASE!$H$6:$H$10008,$A$4:$A$2700)</f>
        <v>0</v>
      </c>
      <c r="P155" s="512">
        <f>SUMIFS(PURCHASE!$M$6:$M$10008,PURCHASE!$A$6:$A$10008,$M$2,PURCHASE!$H$6:$H$10008,$A$4:$A$2700)</f>
        <v>0</v>
      </c>
      <c r="Q155" s="512">
        <f>SUMIFS(PURCHASE!$N$6:$N$10008,PURCHASE!$A$6:$A$10008,$M$2,PURCHASE!$H$6:$H$10008,$A$4:$A$2700)</f>
        <v>0</v>
      </c>
      <c r="R155" s="512">
        <f t="shared" si="48"/>
        <v>9812.9980000000014</v>
      </c>
      <c r="S155" s="512">
        <f>SUMIFS(PURCHASE!$K$6:$K$10008,PURCHASE!$A$6:$A$10008,$R$2,PURCHASE!$H$6:$H$10008,$A$4:$A$2700)</f>
        <v>8316.1</v>
      </c>
      <c r="T155" s="512">
        <f>SUMIFS(PURCHASE!$L$6:$L$10008,PURCHASE!$A$6:$A$10008,$R$2,PURCHASE!$H$6:$H$10008,$A$4:$A$2700)</f>
        <v>0</v>
      </c>
      <c r="U155" s="512">
        <f>SUMIFS(PURCHASE!$M$6:$M$10008,PURCHASE!$A$6:$A$10008,$R$2,PURCHASE!$H$6:$H$10008,$A$4:$A$2700)</f>
        <v>748.44900000000007</v>
      </c>
      <c r="V155" s="512">
        <f>SUMIFS(PURCHASE!$N$6:$N$10008,PURCHASE!$A$6:$A$10008,$R$2,PURCHASE!$H$6:$H$10008,$A$4:$A$2700)</f>
        <v>748.44900000000007</v>
      </c>
      <c r="W155" s="512">
        <f t="shared" si="49"/>
        <v>0</v>
      </c>
      <c r="X155" s="512">
        <f>SUMIFS(PURCHASE!$K$6:$K$10008,PURCHASE!$A$6:$A$10008,$W$2,PURCHASE!$H$6:$H$10008,$A$4:$A$2700)</f>
        <v>0</v>
      </c>
      <c r="Y155" s="512">
        <f>SUMIFS(PURCHASE!$L$6:$L$10008,PURCHASE!$A$6:$A$10008,$W$2,PURCHASE!$H$6:$H$10008,$A$4:$A$2700)</f>
        <v>0</v>
      </c>
      <c r="Z155" s="512">
        <f>SUMIFS(PURCHASE!$M$6:$M$10008,PURCHASE!$A$6:$A$10008,$W$2,PURCHASE!$H$6:$H$10008,$A$4:$A$2700)</f>
        <v>0</v>
      </c>
      <c r="AA155" s="512">
        <f>SUMIFS(PURCHASE!$N$6:$N$10008,PURCHASE!$A$6:$A$10008,$W$2,PURCHASE!$H$6:$H$10008,$A$4:$A$2700)</f>
        <v>0</v>
      </c>
      <c r="AB155" s="512">
        <f t="shared" si="50"/>
        <v>0</v>
      </c>
      <c r="AC155" s="512">
        <f>SUMIFS(PURCHASE!$K$6:$K$10008,PURCHASE!$A$6:$A$10008,$AB$2,PURCHASE!$H$6:$H$10008,$A$4:$A$2700)</f>
        <v>0</v>
      </c>
      <c r="AD155" s="512">
        <f>SUMIFS(PURCHASE!$L$6:$L$10008,PURCHASE!$A$6:$A$10008,$AB$2,PURCHASE!$H$6:$H$10008,$A$4:$A$2700)</f>
        <v>0</v>
      </c>
      <c r="AE155" s="512">
        <f>SUMIFS(PURCHASE!$M$6:$M$10008,PURCHASE!$A$6:$A$10008,$AB$2,PURCHASE!$H$6:$H$10008,$A$4:$A$2700)</f>
        <v>0</v>
      </c>
      <c r="AF155" s="512">
        <f>SUMIFS(PURCHASE!$N$6:$N$10008,PURCHASE!$A$6:$A$10008,$AB$2,PURCHASE!$H$6:$H$10008,$A$4:$A$2700)</f>
        <v>0</v>
      </c>
      <c r="AG155" s="512">
        <f t="shared" si="51"/>
        <v>0</v>
      </c>
      <c r="AH155" s="512">
        <f>SUMIFS(PURCHASE!$K$6:$K$10008,PURCHASE!$A$6:$A$10008,$AG$2,PURCHASE!$H$6:$H$10008,$A$4:$A$2700)</f>
        <v>0</v>
      </c>
      <c r="AI155" s="512">
        <f>SUMIFS(PURCHASE!$L$6:$L$10008,PURCHASE!$A$6:$A$10008,$AG$2,PURCHASE!$H$6:$H$10008,$A$4:$A$2700)</f>
        <v>0</v>
      </c>
      <c r="AJ155" s="512">
        <f>SUMIFS(PURCHASE!$M$6:$M$10008,PURCHASE!$A$6:$A$10008,$AG$2,PURCHASE!$H$6:$H$10008,$A$4:$A$2700)</f>
        <v>0</v>
      </c>
      <c r="AK155" s="512">
        <f>SUMIFS(PURCHASE!$N$6:$N$10008,PURCHASE!$A$6:$A$10008,$AG$2,PURCHASE!$H$6:$H$10008,$A$4:$A$2700)</f>
        <v>0</v>
      </c>
      <c r="AL155" s="512">
        <f t="shared" si="52"/>
        <v>0</v>
      </c>
      <c r="AM155" s="512">
        <f>SUMIFS(PURCHASE!$K$6:$K$10008,PURCHASE!$A$6:$A$10008,$AL$2,PURCHASE!$H$6:$H$10008,$A$4:$A$2700)</f>
        <v>0</v>
      </c>
      <c r="AN155" s="512">
        <f>SUMIFS(PURCHASE!$L$6:$L$10008,PURCHASE!$A$6:$A$10008,$AL$2,PURCHASE!$H$6:$H$10008,$A$4:$A$2700)</f>
        <v>0</v>
      </c>
      <c r="AO155" s="512">
        <f>SUMIFS(PURCHASE!$M$6:$M$10008,PURCHASE!$A$6:$A$10008,$AL$2,PURCHASE!$H$6:$H$10008,$A$4:$A$2700)</f>
        <v>0</v>
      </c>
      <c r="AP155" s="512">
        <f>SUMIFS(PURCHASE!$N$6:$N$10008,PURCHASE!$A$6:$A$10008,$AL$2,PURCHASE!$H$6:$H$10008,$A$4:$A$2700)</f>
        <v>0</v>
      </c>
      <c r="AQ155" s="512">
        <f t="shared" si="53"/>
        <v>0</v>
      </c>
      <c r="AR155" s="512">
        <f>SUMIFS(PURCHASE!$K$6:$K$10008,PURCHASE!$A$6:$A$10008,$AQ$2,PURCHASE!$H$6:$H$10008,$A$4:$A$2700)</f>
        <v>0</v>
      </c>
      <c r="AS155" s="512">
        <f>SUMIFS(PURCHASE!$L$6:$L$10008,PURCHASE!$A$6:$A$10008,$AQ$2,PURCHASE!$H$6:$H$10008,$A$4:$A$2700)</f>
        <v>0</v>
      </c>
      <c r="AT155" s="512">
        <f>SUMIFS(PURCHASE!$M$6:$M$10008,PURCHASE!$A$6:$A$10008,$AQ$2,PURCHASE!$H$6:$H$10008,$A$4:$A$2700)</f>
        <v>0</v>
      </c>
      <c r="AU155" s="512">
        <f>SUMIFS(PURCHASE!$N$6:$N$10008,PURCHASE!$A$6:$A$10008,$AQ$2,PURCHASE!$H$6:$H$10008,$A$4:$A$2700)</f>
        <v>0</v>
      </c>
      <c r="AV155" s="512">
        <f t="shared" si="54"/>
        <v>0</v>
      </c>
      <c r="AW155" s="512">
        <f>SUMIFS(PURCHASE!$K$6:$K$10008,PURCHASE!$A$6:$A$10008,$AV$2,PURCHASE!$H$6:$H$10008,$A$4:$A$2700)</f>
        <v>0</v>
      </c>
      <c r="AX155" s="512">
        <f>SUMIFS(PURCHASE!$L$6:$L$10008,PURCHASE!$A$6:$A$10008,$AV$2,PURCHASE!$H$6:$H$10008,$A$4:$A$2700)</f>
        <v>0</v>
      </c>
      <c r="AY155" s="512">
        <f>SUMIFS(PURCHASE!$M$6:$M$10008,PURCHASE!$A$6:$A$10008,$AV$2,PURCHASE!$H$6:$H$10008,$A$4:$A$2700)</f>
        <v>0</v>
      </c>
      <c r="AZ155" s="512">
        <f>SUMIFS(PURCHASE!$N$6:$N$10008,PURCHASE!$A$6:$A$10008,$AV$2,PURCHASE!$H$6:$H$10008,$A$4:$A$2700)</f>
        <v>0</v>
      </c>
      <c r="BA155" s="512">
        <f t="shared" si="55"/>
        <v>0</v>
      </c>
      <c r="BB155" s="512">
        <f>SUMIFS(PURCHASE!$K$6:$K$10008,PURCHASE!$A$6:$A$10008,$BA$2,PURCHASE!$H$6:$H$10008,$A$4:$A$2700)</f>
        <v>0</v>
      </c>
      <c r="BC155" s="512">
        <f>SUMIFS(PURCHASE!$L$6:$L$10008,PURCHASE!$A$6:$A$10008,$BA$2,PURCHASE!$H$6:$H$10008,$A$4:$A$2700)</f>
        <v>0</v>
      </c>
      <c r="BD155" s="512">
        <f>SUMIFS(PURCHASE!$M$6:$M$10008,PURCHASE!$A$6:$A$10008,$BA$2,PURCHASE!$H$6:$H$10008,$A$4:$A$2700)</f>
        <v>0</v>
      </c>
      <c r="BE155" s="512">
        <f>SUMIFS(PURCHASE!$N$6:$N$10008,PURCHASE!$A$6:$A$10008,$BA$2,PURCHASE!$H$6:$H$10008,$A$4:$A$2700)</f>
        <v>0</v>
      </c>
      <c r="BF155" s="512">
        <f t="shared" si="56"/>
        <v>0</v>
      </c>
      <c r="BG155" s="512">
        <f>SUMIFS(PURCHASE!$K$6:$K$10008,PURCHASE!$A$6:$A$10008,$BF$2,PURCHASE!$H$6:$H$10008,$A$4:$A$2700)</f>
        <v>0</v>
      </c>
      <c r="BH155" s="512">
        <f>SUMIFS(PURCHASE!$L$6:$L$10008,PURCHASE!$A$6:$A$10008,$BF$2,PURCHASE!$H$6:$H$10008,$A$4:$A$2700)</f>
        <v>0</v>
      </c>
      <c r="BI155" s="512">
        <f>SUMIFS(PURCHASE!$M$6:$M$10008,PURCHASE!$A$6:$A$10008,$BF$2,PURCHASE!$H$6:$H$10008,$A$4:$A$2700)</f>
        <v>0</v>
      </c>
      <c r="BJ155" s="512">
        <f>SUMIFS(PURCHASE!$N$6:$N$10008,PURCHASE!$A$6:$A$10008,$BF$2,PURCHASE!$H$6:$H$10008,$A$4:$A$2700)</f>
        <v>0</v>
      </c>
      <c r="BK155" s="72">
        <f t="shared" si="40"/>
        <v>9812.9980000000014</v>
      </c>
      <c r="BL155" s="72">
        <f t="shared" si="41"/>
        <v>8316.1</v>
      </c>
      <c r="BM155" s="72">
        <f t="shared" si="42"/>
        <v>0</v>
      </c>
      <c r="BN155" s="72">
        <f t="shared" si="43"/>
        <v>748.44900000000007</v>
      </c>
      <c r="BO155" s="72">
        <f t="shared" si="44"/>
        <v>748.44900000000007</v>
      </c>
    </row>
    <row r="156" spans="1:67" x14ac:dyDescent="0.2">
      <c r="A156" s="511">
        <v>9985</v>
      </c>
      <c r="B156" s="467" t="s">
        <v>1298</v>
      </c>
      <c r="C156" s="512">
        <f t="shared" si="45"/>
        <v>0</v>
      </c>
      <c r="D156" s="512">
        <f>SUMIFS(PURCHASE!$K$6:$K$10008,PURCHASE!$A$6:$A$10008,$M$2,PURCHASE!$H$6:$H$10008,$A$4:$A$2700)</f>
        <v>0</v>
      </c>
      <c r="E156" s="512">
        <f>SUMIFS(PURCHASE!$L$6:$L$10008,PURCHASE!$A$6:$A$10008,$M$2,PURCHASE!$H$6:$H$10008,$A$4:$A$2700)</f>
        <v>0</v>
      </c>
      <c r="F156" s="512">
        <f>SUMIFS(PURCHASE!$M$6:$M$10008,PURCHASE!$A$6:$A$10008,$M$2,PURCHASE!$H$6:$H$10008,$A$4:$A$2700)</f>
        <v>0</v>
      </c>
      <c r="G156" s="512">
        <f>SUMIFS(PURCHASE!$N$6:$N$10008,PURCHASE!$A$6:$A$10008,$M$2,PURCHASE!$H$6:$H$10008,$A$4:$A$2700)</f>
        <v>0</v>
      </c>
      <c r="H156" s="512">
        <f t="shared" si="46"/>
        <v>0</v>
      </c>
      <c r="I156" s="512">
        <f>SUMIFS(PURCHASE!$K$6:$K$10008,PURCHASE!$A$6:$A$10008,$H$2,PURCHASE!$H$6:$H$10008,$A$4:$A$2700)</f>
        <v>0</v>
      </c>
      <c r="J156" s="512">
        <f>SUMIFS(PURCHASE!$L$6:$L$10008,PURCHASE!$A$6:$A$10008,$H$2,PURCHASE!$H$6:$H$10008,$A$4:$A$2700)</f>
        <v>0</v>
      </c>
      <c r="K156" s="512">
        <f>SUMIFS(PURCHASE!$M$6:$M$10008,PURCHASE!$A$6:$A$10008,$H$2,PURCHASE!$H$6:$H$10008,$A$4:$A$2700)</f>
        <v>0</v>
      </c>
      <c r="L156" s="512">
        <f>SUMIFS(PURCHASE!$N$6:$N$10008,PURCHASE!$A$6:$A$10008,$H$2,PURCHASE!$H$6:$H$10008,$A$4:$A$2700)</f>
        <v>0</v>
      </c>
      <c r="M156" s="512">
        <f t="shared" si="47"/>
        <v>0</v>
      </c>
      <c r="N156" s="512">
        <f>SUMIFS(PURCHASE!$K$6:$K$10008,PURCHASE!$A$6:$A$10008,$M$2,PURCHASE!$H$6:$H$10008,$A$4:$A$2700)</f>
        <v>0</v>
      </c>
      <c r="O156" s="512">
        <f>SUMIFS(PURCHASE!$L$6:$L$10008,PURCHASE!$A$6:$A$10008,$M$2,PURCHASE!$H$6:$H$10008,$A$4:$A$2700)</f>
        <v>0</v>
      </c>
      <c r="P156" s="512">
        <f>SUMIFS(PURCHASE!$M$6:$M$10008,PURCHASE!$A$6:$A$10008,$M$2,PURCHASE!$H$6:$H$10008,$A$4:$A$2700)</f>
        <v>0</v>
      </c>
      <c r="Q156" s="512">
        <f>SUMIFS(PURCHASE!$N$6:$N$10008,PURCHASE!$A$6:$A$10008,$M$2,PURCHASE!$H$6:$H$10008,$A$4:$A$2700)</f>
        <v>0</v>
      </c>
      <c r="R156" s="512">
        <f t="shared" si="48"/>
        <v>0</v>
      </c>
      <c r="S156" s="512">
        <f>SUMIFS(PURCHASE!$K$6:$K$10008,PURCHASE!$A$6:$A$10008,$R$2,PURCHASE!$H$6:$H$10008,$A$4:$A$2700)</f>
        <v>0</v>
      </c>
      <c r="T156" s="512">
        <f>SUMIFS(PURCHASE!$L$6:$L$10008,PURCHASE!$A$6:$A$10008,$R$2,PURCHASE!$H$6:$H$10008,$A$4:$A$2700)</f>
        <v>0</v>
      </c>
      <c r="U156" s="512">
        <f>SUMIFS(PURCHASE!$M$6:$M$10008,PURCHASE!$A$6:$A$10008,$R$2,PURCHASE!$H$6:$H$10008,$A$4:$A$2700)</f>
        <v>0</v>
      </c>
      <c r="V156" s="512">
        <f>SUMIFS(PURCHASE!$N$6:$N$10008,PURCHASE!$A$6:$A$10008,$R$2,PURCHASE!$H$6:$H$10008,$A$4:$A$2700)</f>
        <v>0</v>
      </c>
      <c r="W156" s="512">
        <f t="shared" si="49"/>
        <v>3129.3599999999997</v>
      </c>
      <c r="X156" s="512">
        <f>SUMIFS(PURCHASE!$K$6:$K$10008,PURCHASE!$A$6:$A$10008,$W$2,PURCHASE!$H$6:$H$10008,$A$4:$A$2700)</f>
        <v>2652</v>
      </c>
      <c r="Y156" s="512">
        <f>SUMIFS(PURCHASE!$L$6:$L$10008,PURCHASE!$A$6:$A$10008,$W$2,PURCHASE!$H$6:$H$10008,$A$4:$A$2700)</f>
        <v>0</v>
      </c>
      <c r="Z156" s="512">
        <f>SUMIFS(PURCHASE!$M$6:$M$10008,PURCHASE!$A$6:$A$10008,$W$2,PURCHASE!$H$6:$H$10008,$A$4:$A$2700)</f>
        <v>238.68</v>
      </c>
      <c r="AA156" s="512">
        <f>SUMIFS(PURCHASE!$N$6:$N$10008,PURCHASE!$A$6:$A$10008,$W$2,PURCHASE!$H$6:$H$10008,$A$4:$A$2700)</f>
        <v>238.68</v>
      </c>
      <c r="AB156" s="512">
        <f t="shared" si="50"/>
        <v>0</v>
      </c>
      <c r="AC156" s="512">
        <f>SUMIFS(PURCHASE!$K$6:$K$10008,PURCHASE!$A$6:$A$10008,$AB$2,PURCHASE!$H$6:$H$10008,$A$4:$A$2700)</f>
        <v>0</v>
      </c>
      <c r="AD156" s="512">
        <f>SUMIFS(PURCHASE!$L$6:$L$10008,PURCHASE!$A$6:$A$10008,$AB$2,PURCHASE!$H$6:$H$10008,$A$4:$A$2700)</f>
        <v>0</v>
      </c>
      <c r="AE156" s="512">
        <f>SUMIFS(PURCHASE!$M$6:$M$10008,PURCHASE!$A$6:$A$10008,$AB$2,PURCHASE!$H$6:$H$10008,$A$4:$A$2700)</f>
        <v>0</v>
      </c>
      <c r="AF156" s="512">
        <f>SUMIFS(PURCHASE!$N$6:$N$10008,PURCHASE!$A$6:$A$10008,$AB$2,PURCHASE!$H$6:$H$10008,$A$4:$A$2700)</f>
        <v>0</v>
      </c>
      <c r="AG156" s="512">
        <f t="shared" si="51"/>
        <v>20060</v>
      </c>
      <c r="AH156" s="512">
        <f>SUMIFS(PURCHASE!$K$6:$K$10008,PURCHASE!$A$6:$A$10008,$AG$2,PURCHASE!$H$6:$H$10008,$A$4:$A$2700)</f>
        <v>17000</v>
      </c>
      <c r="AI156" s="512">
        <f>SUMIFS(PURCHASE!$L$6:$L$10008,PURCHASE!$A$6:$A$10008,$AG$2,PURCHASE!$H$6:$H$10008,$A$4:$A$2700)</f>
        <v>0</v>
      </c>
      <c r="AJ156" s="512">
        <f>SUMIFS(PURCHASE!$M$6:$M$10008,PURCHASE!$A$6:$A$10008,$AG$2,PURCHASE!$H$6:$H$10008,$A$4:$A$2700)</f>
        <v>1530</v>
      </c>
      <c r="AK156" s="512">
        <f>SUMIFS(PURCHASE!$N$6:$N$10008,PURCHASE!$A$6:$A$10008,$AG$2,PURCHASE!$H$6:$H$10008,$A$4:$A$2700)</f>
        <v>1530</v>
      </c>
      <c r="AL156" s="512">
        <f t="shared" si="52"/>
        <v>0</v>
      </c>
      <c r="AM156" s="512">
        <f>SUMIFS(PURCHASE!$K$6:$K$10008,PURCHASE!$A$6:$A$10008,$AL$2,PURCHASE!$H$6:$H$10008,$A$4:$A$2700)</f>
        <v>0</v>
      </c>
      <c r="AN156" s="512">
        <f>SUMIFS(PURCHASE!$L$6:$L$10008,PURCHASE!$A$6:$A$10008,$AL$2,PURCHASE!$H$6:$H$10008,$A$4:$A$2700)</f>
        <v>0</v>
      </c>
      <c r="AO156" s="512">
        <f>SUMIFS(PURCHASE!$M$6:$M$10008,PURCHASE!$A$6:$A$10008,$AL$2,PURCHASE!$H$6:$H$10008,$A$4:$A$2700)</f>
        <v>0</v>
      </c>
      <c r="AP156" s="512">
        <f>SUMIFS(PURCHASE!$N$6:$N$10008,PURCHASE!$A$6:$A$10008,$AL$2,PURCHASE!$H$6:$H$10008,$A$4:$A$2700)</f>
        <v>0</v>
      </c>
      <c r="AQ156" s="512">
        <f t="shared" si="53"/>
        <v>0</v>
      </c>
      <c r="AR156" s="512">
        <f>SUMIFS(PURCHASE!$K$6:$K$10008,PURCHASE!$A$6:$A$10008,$AQ$2,PURCHASE!$H$6:$H$10008,$A$4:$A$2700)</f>
        <v>0</v>
      </c>
      <c r="AS156" s="512">
        <f>SUMIFS(PURCHASE!$L$6:$L$10008,PURCHASE!$A$6:$A$10008,$AQ$2,PURCHASE!$H$6:$H$10008,$A$4:$A$2700)</f>
        <v>0</v>
      </c>
      <c r="AT156" s="512">
        <f>SUMIFS(PURCHASE!$M$6:$M$10008,PURCHASE!$A$6:$A$10008,$AQ$2,PURCHASE!$H$6:$H$10008,$A$4:$A$2700)</f>
        <v>0</v>
      </c>
      <c r="AU156" s="512">
        <f>SUMIFS(PURCHASE!$N$6:$N$10008,PURCHASE!$A$6:$A$10008,$AQ$2,PURCHASE!$H$6:$H$10008,$A$4:$A$2700)</f>
        <v>0</v>
      </c>
      <c r="AV156" s="512">
        <f t="shared" si="54"/>
        <v>0</v>
      </c>
      <c r="AW156" s="512">
        <f>SUMIFS(PURCHASE!$K$6:$K$10008,PURCHASE!$A$6:$A$10008,$AV$2,PURCHASE!$H$6:$H$10008,$A$4:$A$2700)</f>
        <v>0</v>
      </c>
      <c r="AX156" s="512">
        <f>SUMIFS(PURCHASE!$L$6:$L$10008,PURCHASE!$A$6:$A$10008,$AV$2,PURCHASE!$H$6:$H$10008,$A$4:$A$2700)</f>
        <v>0</v>
      </c>
      <c r="AY156" s="512">
        <f>SUMIFS(PURCHASE!$M$6:$M$10008,PURCHASE!$A$6:$A$10008,$AV$2,PURCHASE!$H$6:$H$10008,$A$4:$A$2700)</f>
        <v>0</v>
      </c>
      <c r="AZ156" s="512">
        <f>SUMIFS(PURCHASE!$N$6:$N$10008,PURCHASE!$A$6:$A$10008,$AV$2,PURCHASE!$H$6:$H$10008,$A$4:$A$2700)</f>
        <v>0</v>
      </c>
      <c r="BA156" s="512">
        <f t="shared" si="55"/>
        <v>0</v>
      </c>
      <c r="BB156" s="512">
        <f>SUMIFS(PURCHASE!$K$6:$K$10008,PURCHASE!$A$6:$A$10008,$BA$2,PURCHASE!$H$6:$H$10008,$A$4:$A$2700)</f>
        <v>0</v>
      </c>
      <c r="BC156" s="512">
        <f>SUMIFS(PURCHASE!$L$6:$L$10008,PURCHASE!$A$6:$A$10008,$BA$2,PURCHASE!$H$6:$H$10008,$A$4:$A$2700)</f>
        <v>0</v>
      </c>
      <c r="BD156" s="512">
        <f>SUMIFS(PURCHASE!$M$6:$M$10008,PURCHASE!$A$6:$A$10008,$BA$2,PURCHASE!$H$6:$H$10008,$A$4:$A$2700)</f>
        <v>0</v>
      </c>
      <c r="BE156" s="512">
        <f>SUMIFS(PURCHASE!$N$6:$N$10008,PURCHASE!$A$6:$A$10008,$BA$2,PURCHASE!$H$6:$H$10008,$A$4:$A$2700)</f>
        <v>0</v>
      </c>
      <c r="BF156" s="512">
        <f t="shared" si="56"/>
        <v>0</v>
      </c>
      <c r="BG156" s="512">
        <f>SUMIFS(PURCHASE!$K$6:$K$10008,PURCHASE!$A$6:$A$10008,$BF$2,PURCHASE!$H$6:$H$10008,$A$4:$A$2700)</f>
        <v>0</v>
      </c>
      <c r="BH156" s="512">
        <f>SUMIFS(PURCHASE!$L$6:$L$10008,PURCHASE!$A$6:$A$10008,$BF$2,PURCHASE!$H$6:$H$10008,$A$4:$A$2700)</f>
        <v>0</v>
      </c>
      <c r="BI156" s="512">
        <f>SUMIFS(PURCHASE!$M$6:$M$10008,PURCHASE!$A$6:$A$10008,$BF$2,PURCHASE!$H$6:$H$10008,$A$4:$A$2700)</f>
        <v>0</v>
      </c>
      <c r="BJ156" s="512">
        <f>SUMIFS(PURCHASE!$N$6:$N$10008,PURCHASE!$A$6:$A$10008,$BF$2,PURCHASE!$H$6:$H$10008,$A$4:$A$2700)</f>
        <v>0</v>
      </c>
      <c r="BK156" s="72">
        <f t="shared" si="40"/>
        <v>23189.360000000001</v>
      </c>
      <c r="BL156" s="72">
        <f t="shared" si="41"/>
        <v>19652</v>
      </c>
      <c r="BM156" s="72">
        <f t="shared" si="42"/>
        <v>0</v>
      </c>
      <c r="BN156" s="72">
        <f t="shared" si="43"/>
        <v>1768.68</v>
      </c>
      <c r="BO156" s="72">
        <f t="shared" si="44"/>
        <v>1768.68</v>
      </c>
    </row>
    <row r="157" spans="1:67" x14ac:dyDescent="0.2">
      <c r="A157" s="511">
        <v>33074900</v>
      </c>
      <c r="B157" s="467" t="s">
        <v>1299</v>
      </c>
      <c r="C157" s="512">
        <f t="shared" si="45"/>
        <v>0</v>
      </c>
      <c r="D157" s="512">
        <f>SUMIFS(PURCHASE!$K$6:$K$10008,PURCHASE!$A$6:$A$10008,$M$2,PURCHASE!$H$6:$H$10008,$A$4:$A$2700)</f>
        <v>0</v>
      </c>
      <c r="E157" s="512">
        <f>SUMIFS(PURCHASE!$L$6:$L$10008,PURCHASE!$A$6:$A$10008,$M$2,PURCHASE!$H$6:$H$10008,$A$4:$A$2700)</f>
        <v>0</v>
      </c>
      <c r="F157" s="512">
        <f>SUMIFS(PURCHASE!$M$6:$M$10008,PURCHASE!$A$6:$A$10008,$M$2,PURCHASE!$H$6:$H$10008,$A$4:$A$2700)</f>
        <v>0</v>
      </c>
      <c r="G157" s="512">
        <f>SUMIFS(PURCHASE!$N$6:$N$10008,PURCHASE!$A$6:$A$10008,$M$2,PURCHASE!$H$6:$H$10008,$A$4:$A$2700)</f>
        <v>0</v>
      </c>
      <c r="H157" s="512">
        <f t="shared" si="46"/>
        <v>0</v>
      </c>
      <c r="I157" s="512">
        <f>SUMIFS(PURCHASE!$K$6:$K$10008,PURCHASE!$A$6:$A$10008,$H$2,PURCHASE!$H$6:$H$10008,$A$4:$A$2700)</f>
        <v>0</v>
      </c>
      <c r="J157" s="512">
        <f>SUMIFS(PURCHASE!$L$6:$L$10008,PURCHASE!$A$6:$A$10008,$H$2,PURCHASE!$H$6:$H$10008,$A$4:$A$2700)</f>
        <v>0</v>
      </c>
      <c r="K157" s="512">
        <f>SUMIFS(PURCHASE!$M$6:$M$10008,PURCHASE!$A$6:$A$10008,$H$2,PURCHASE!$H$6:$H$10008,$A$4:$A$2700)</f>
        <v>0</v>
      </c>
      <c r="L157" s="512">
        <f>SUMIFS(PURCHASE!$N$6:$N$10008,PURCHASE!$A$6:$A$10008,$H$2,PURCHASE!$H$6:$H$10008,$A$4:$A$2700)</f>
        <v>0</v>
      </c>
      <c r="M157" s="512">
        <f t="shared" si="47"/>
        <v>0</v>
      </c>
      <c r="N157" s="512">
        <f>SUMIFS(PURCHASE!$K$6:$K$10008,PURCHASE!$A$6:$A$10008,$M$2,PURCHASE!$H$6:$H$10008,$A$4:$A$2700)</f>
        <v>0</v>
      </c>
      <c r="O157" s="512">
        <f>SUMIFS(PURCHASE!$L$6:$L$10008,PURCHASE!$A$6:$A$10008,$M$2,PURCHASE!$H$6:$H$10008,$A$4:$A$2700)</f>
        <v>0</v>
      </c>
      <c r="P157" s="512">
        <f>SUMIFS(PURCHASE!$M$6:$M$10008,PURCHASE!$A$6:$A$10008,$M$2,PURCHASE!$H$6:$H$10008,$A$4:$A$2700)</f>
        <v>0</v>
      </c>
      <c r="Q157" s="512">
        <f>SUMIFS(PURCHASE!$N$6:$N$10008,PURCHASE!$A$6:$A$10008,$M$2,PURCHASE!$H$6:$H$10008,$A$4:$A$2700)</f>
        <v>0</v>
      </c>
      <c r="R157" s="512">
        <f t="shared" si="48"/>
        <v>0</v>
      </c>
      <c r="S157" s="512">
        <f>SUMIFS(PURCHASE!$K$6:$K$10008,PURCHASE!$A$6:$A$10008,$R$2,PURCHASE!$H$6:$H$10008,$A$4:$A$2700)</f>
        <v>0</v>
      </c>
      <c r="T157" s="512">
        <f>SUMIFS(PURCHASE!$L$6:$L$10008,PURCHASE!$A$6:$A$10008,$R$2,PURCHASE!$H$6:$H$10008,$A$4:$A$2700)</f>
        <v>0</v>
      </c>
      <c r="U157" s="512">
        <f>SUMIFS(PURCHASE!$M$6:$M$10008,PURCHASE!$A$6:$A$10008,$R$2,PURCHASE!$H$6:$H$10008,$A$4:$A$2700)</f>
        <v>0</v>
      </c>
      <c r="V157" s="512">
        <f>SUMIFS(PURCHASE!$N$6:$N$10008,PURCHASE!$A$6:$A$10008,$R$2,PURCHASE!$H$6:$H$10008,$A$4:$A$2700)</f>
        <v>0</v>
      </c>
      <c r="W157" s="512">
        <f t="shared" si="49"/>
        <v>417.72</v>
      </c>
      <c r="X157" s="512">
        <f>SUMIFS(PURCHASE!$K$6:$K$10008,PURCHASE!$A$6:$A$10008,$W$2,PURCHASE!$H$6:$H$10008,$A$4:$A$2700)</f>
        <v>354</v>
      </c>
      <c r="Y157" s="512">
        <f>SUMIFS(PURCHASE!$L$6:$L$10008,PURCHASE!$A$6:$A$10008,$W$2,PURCHASE!$H$6:$H$10008,$A$4:$A$2700)</f>
        <v>0</v>
      </c>
      <c r="Z157" s="512">
        <f>SUMIFS(PURCHASE!$M$6:$M$10008,PURCHASE!$A$6:$A$10008,$W$2,PURCHASE!$H$6:$H$10008,$A$4:$A$2700)</f>
        <v>31.86</v>
      </c>
      <c r="AA157" s="512">
        <f>SUMIFS(PURCHASE!$N$6:$N$10008,PURCHASE!$A$6:$A$10008,$W$2,PURCHASE!$H$6:$H$10008,$A$4:$A$2700)</f>
        <v>31.86</v>
      </c>
      <c r="AB157" s="512">
        <f t="shared" si="50"/>
        <v>0</v>
      </c>
      <c r="AC157" s="512">
        <f>SUMIFS(PURCHASE!$K$6:$K$10008,PURCHASE!$A$6:$A$10008,$AB$2,PURCHASE!$H$6:$H$10008,$A$4:$A$2700)</f>
        <v>0</v>
      </c>
      <c r="AD157" s="512">
        <f>SUMIFS(PURCHASE!$L$6:$L$10008,PURCHASE!$A$6:$A$10008,$AB$2,PURCHASE!$H$6:$H$10008,$A$4:$A$2700)</f>
        <v>0</v>
      </c>
      <c r="AE157" s="512">
        <f>SUMIFS(PURCHASE!$M$6:$M$10008,PURCHASE!$A$6:$A$10008,$AB$2,PURCHASE!$H$6:$H$10008,$A$4:$A$2700)</f>
        <v>0</v>
      </c>
      <c r="AF157" s="512">
        <f>SUMIFS(PURCHASE!$N$6:$N$10008,PURCHASE!$A$6:$A$10008,$AB$2,PURCHASE!$H$6:$H$10008,$A$4:$A$2700)</f>
        <v>0</v>
      </c>
      <c r="AG157" s="512">
        <f t="shared" si="51"/>
        <v>556.96</v>
      </c>
      <c r="AH157" s="512">
        <f>SUMIFS(PURCHASE!$K$6:$K$10008,PURCHASE!$A$6:$A$10008,$AG$2,PURCHASE!$H$6:$H$10008,$A$4:$A$2700)</f>
        <v>472</v>
      </c>
      <c r="AI157" s="512">
        <f>SUMIFS(PURCHASE!$L$6:$L$10008,PURCHASE!$A$6:$A$10008,$AG$2,PURCHASE!$H$6:$H$10008,$A$4:$A$2700)</f>
        <v>0</v>
      </c>
      <c r="AJ157" s="512">
        <f>SUMIFS(PURCHASE!$M$6:$M$10008,PURCHASE!$A$6:$A$10008,$AG$2,PURCHASE!$H$6:$H$10008,$A$4:$A$2700)</f>
        <v>42.48</v>
      </c>
      <c r="AK157" s="512">
        <f>SUMIFS(PURCHASE!$N$6:$N$10008,PURCHASE!$A$6:$A$10008,$AG$2,PURCHASE!$H$6:$H$10008,$A$4:$A$2700)</f>
        <v>42.48</v>
      </c>
      <c r="AL157" s="512">
        <f t="shared" si="52"/>
        <v>556.96</v>
      </c>
      <c r="AM157" s="512">
        <f>SUMIFS(PURCHASE!$K$6:$K$10008,PURCHASE!$A$6:$A$10008,$AL$2,PURCHASE!$H$6:$H$10008,$A$4:$A$2700)</f>
        <v>472</v>
      </c>
      <c r="AN157" s="512">
        <f>SUMIFS(PURCHASE!$L$6:$L$10008,PURCHASE!$A$6:$A$10008,$AL$2,PURCHASE!$H$6:$H$10008,$A$4:$A$2700)</f>
        <v>0</v>
      </c>
      <c r="AO157" s="512">
        <f>SUMIFS(PURCHASE!$M$6:$M$10008,PURCHASE!$A$6:$A$10008,$AL$2,PURCHASE!$H$6:$H$10008,$A$4:$A$2700)</f>
        <v>42.48</v>
      </c>
      <c r="AP157" s="512">
        <f>SUMIFS(PURCHASE!$N$6:$N$10008,PURCHASE!$A$6:$A$10008,$AL$2,PURCHASE!$H$6:$H$10008,$A$4:$A$2700)</f>
        <v>42.48</v>
      </c>
      <c r="AQ157" s="512">
        <f t="shared" si="53"/>
        <v>0</v>
      </c>
      <c r="AR157" s="512">
        <f>SUMIFS(PURCHASE!$K$6:$K$10008,PURCHASE!$A$6:$A$10008,$AQ$2,PURCHASE!$H$6:$H$10008,$A$4:$A$2700)</f>
        <v>0</v>
      </c>
      <c r="AS157" s="512">
        <f>SUMIFS(PURCHASE!$L$6:$L$10008,PURCHASE!$A$6:$A$10008,$AQ$2,PURCHASE!$H$6:$H$10008,$A$4:$A$2700)</f>
        <v>0</v>
      </c>
      <c r="AT157" s="512">
        <f>SUMIFS(PURCHASE!$M$6:$M$10008,PURCHASE!$A$6:$A$10008,$AQ$2,PURCHASE!$H$6:$H$10008,$A$4:$A$2700)</f>
        <v>0</v>
      </c>
      <c r="AU157" s="512">
        <f>SUMIFS(PURCHASE!$N$6:$N$10008,PURCHASE!$A$6:$A$10008,$AQ$2,PURCHASE!$H$6:$H$10008,$A$4:$A$2700)</f>
        <v>0</v>
      </c>
      <c r="AV157" s="512">
        <f t="shared" si="54"/>
        <v>0</v>
      </c>
      <c r="AW157" s="512">
        <f>SUMIFS(PURCHASE!$K$6:$K$10008,PURCHASE!$A$6:$A$10008,$AV$2,PURCHASE!$H$6:$H$10008,$A$4:$A$2700)</f>
        <v>0</v>
      </c>
      <c r="AX157" s="512">
        <f>SUMIFS(PURCHASE!$L$6:$L$10008,PURCHASE!$A$6:$A$10008,$AV$2,PURCHASE!$H$6:$H$10008,$A$4:$A$2700)</f>
        <v>0</v>
      </c>
      <c r="AY157" s="512">
        <f>SUMIFS(PURCHASE!$M$6:$M$10008,PURCHASE!$A$6:$A$10008,$AV$2,PURCHASE!$H$6:$H$10008,$A$4:$A$2700)</f>
        <v>0</v>
      </c>
      <c r="AZ157" s="512">
        <f>SUMIFS(PURCHASE!$N$6:$N$10008,PURCHASE!$A$6:$A$10008,$AV$2,PURCHASE!$H$6:$H$10008,$A$4:$A$2700)</f>
        <v>0</v>
      </c>
      <c r="BA157" s="512">
        <f t="shared" si="55"/>
        <v>0</v>
      </c>
      <c r="BB157" s="512">
        <f>SUMIFS(PURCHASE!$K$6:$K$10008,PURCHASE!$A$6:$A$10008,$BA$2,PURCHASE!$H$6:$H$10008,$A$4:$A$2700)</f>
        <v>0</v>
      </c>
      <c r="BC157" s="512">
        <f>SUMIFS(PURCHASE!$L$6:$L$10008,PURCHASE!$A$6:$A$10008,$BA$2,PURCHASE!$H$6:$H$10008,$A$4:$A$2700)</f>
        <v>0</v>
      </c>
      <c r="BD157" s="512">
        <f>SUMIFS(PURCHASE!$M$6:$M$10008,PURCHASE!$A$6:$A$10008,$BA$2,PURCHASE!$H$6:$H$10008,$A$4:$A$2700)</f>
        <v>0</v>
      </c>
      <c r="BE157" s="512">
        <f>SUMIFS(PURCHASE!$N$6:$N$10008,PURCHASE!$A$6:$A$10008,$BA$2,PURCHASE!$H$6:$H$10008,$A$4:$A$2700)</f>
        <v>0</v>
      </c>
      <c r="BF157" s="512">
        <f t="shared" si="56"/>
        <v>0</v>
      </c>
      <c r="BG157" s="512">
        <f>SUMIFS(PURCHASE!$K$6:$K$10008,PURCHASE!$A$6:$A$10008,$BF$2,PURCHASE!$H$6:$H$10008,$A$4:$A$2700)</f>
        <v>0</v>
      </c>
      <c r="BH157" s="512">
        <f>SUMIFS(PURCHASE!$L$6:$L$10008,PURCHASE!$A$6:$A$10008,$BF$2,PURCHASE!$H$6:$H$10008,$A$4:$A$2700)</f>
        <v>0</v>
      </c>
      <c r="BI157" s="512">
        <f>SUMIFS(PURCHASE!$M$6:$M$10008,PURCHASE!$A$6:$A$10008,$BF$2,PURCHASE!$H$6:$H$10008,$A$4:$A$2700)</f>
        <v>0</v>
      </c>
      <c r="BJ157" s="512">
        <f>SUMIFS(PURCHASE!$N$6:$N$10008,PURCHASE!$A$6:$A$10008,$BF$2,PURCHASE!$H$6:$H$10008,$A$4:$A$2700)</f>
        <v>0</v>
      </c>
      <c r="BK157" s="72">
        <f t="shared" si="40"/>
        <v>1531.64</v>
      </c>
      <c r="BL157" s="72">
        <f t="shared" si="41"/>
        <v>1298</v>
      </c>
      <c r="BM157" s="72">
        <f t="shared" si="42"/>
        <v>0</v>
      </c>
      <c r="BN157" s="72">
        <f t="shared" si="43"/>
        <v>116.82</v>
      </c>
      <c r="BO157" s="72">
        <f t="shared" si="44"/>
        <v>116.82</v>
      </c>
    </row>
    <row r="158" spans="1:67" x14ac:dyDescent="0.2">
      <c r="A158" s="511">
        <v>85131090</v>
      </c>
      <c r="B158" s="467" t="s">
        <v>1300</v>
      </c>
      <c r="C158" s="512">
        <f t="shared" si="45"/>
        <v>0</v>
      </c>
      <c r="D158" s="512">
        <f>SUMIFS(PURCHASE!$K$6:$K$10008,PURCHASE!$A$6:$A$10008,$M$2,PURCHASE!$H$6:$H$10008,$A$4:$A$2700)</f>
        <v>0</v>
      </c>
      <c r="E158" s="512">
        <f>SUMIFS(PURCHASE!$L$6:$L$10008,PURCHASE!$A$6:$A$10008,$M$2,PURCHASE!$H$6:$H$10008,$A$4:$A$2700)</f>
        <v>0</v>
      </c>
      <c r="F158" s="512">
        <f>SUMIFS(PURCHASE!$M$6:$M$10008,PURCHASE!$A$6:$A$10008,$M$2,PURCHASE!$H$6:$H$10008,$A$4:$A$2700)</f>
        <v>0</v>
      </c>
      <c r="G158" s="512">
        <f>SUMIFS(PURCHASE!$N$6:$N$10008,PURCHASE!$A$6:$A$10008,$M$2,PURCHASE!$H$6:$H$10008,$A$4:$A$2700)</f>
        <v>0</v>
      </c>
      <c r="H158" s="512">
        <f t="shared" si="46"/>
        <v>0</v>
      </c>
      <c r="I158" s="512">
        <f>SUMIFS(PURCHASE!$K$6:$K$10008,PURCHASE!$A$6:$A$10008,$H$2,PURCHASE!$H$6:$H$10008,$A$4:$A$2700)</f>
        <v>0</v>
      </c>
      <c r="J158" s="512">
        <f>SUMIFS(PURCHASE!$L$6:$L$10008,PURCHASE!$A$6:$A$10008,$H$2,PURCHASE!$H$6:$H$10008,$A$4:$A$2700)</f>
        <v>0</v>
      </c>
      <c r="K158" s="512">
        <f>SUMIFS(PURCHASE!$M$6:$M$10008,PURCHASE!$A$6:$A$10008,$H$2,PURCHASE!$H$6:$H$10008,$A$4:$A$2700)</f>
        <v>0</v>
      </c>
      <c r="L158" s="512">
        <f>SUMIFS(PURCHASE!$N$6:$N$10008,PURCHASE!$A$6:$A$10008,$H$2,PURCHASE!$H$6:$H$10008,$A$4:$A$2700)</f>
        <v>0</v>
      </c>
      <c r="M158" s="512">
        <f t="shared" si="47"/>
        <v>0</v>
      </c>
      <c r="N158" s="512">
        <f>SUMIFS(PURCHASE!$K$6:$K$10008,PURCHASE!$A$6:$A$10008,$M$2,PURCHASE!$H$6:$H$10008,$A$4:$A$2700)</f>
        <v>0</v>
      </c>
      <c r="O158" s="512">
        <f>SUMIFS(PURCHASE!$L$6:$L$10008,PURCHASE!$A$6:$A$10008,$M$2,PURCHASE!$H$6:$H$10008,$A$4:$A$2700)</f>
        <v>0</v>
      </c>
      <c r="P158" s="512">
        <f>SUMIFS(PURCHASE!$M$6:$M$10008,PURCHASE!$A$6:$A$10008,$M$2,PURCHASE!$H$6:$H$10008,$A$4:$A$2700)</f>
        <v>0</v>
      </c>
      <c r="Q158" s="512">
        <f>SUMIFS(PURCHASE!$N$6:$N$10008,PURCHASE!$A$6:$A$10008,$M$2,PURCHASE!$H$6:$H$10008,$A$4:$A$2700)</f>
        <v>0</v>
      </c>
      <c r="R158" s="512">
        <f t="shared" si="48"/>
        <v>0</v>
      </c>
      <c r="S158" s="512">
        <f>SUMIFS(PURCHASE!$K$6:$K$10008,PURCHASE!$A$6:$A$10008,$R$2,PURCHASE!$H$6:$H$10008,$A$4:$A$2700)</f>
        <v>0</v>
      </c>
      <c r="T158" s="512">
        <f>SUMIFS(PURCHASE!$L$6:$L$10008,PURCHASE!$A$6:$A$10008,$R$2,PURCHASE!$H$6:$H$10008,$A$4:$A$2700)</f>
        <v>0</v>
      </c>
      <c r="U158" s="512">
        <f>SUMIFS(PURCHASE!$M$6:$M$10008,PURCHASE!$A$6:$A$10008,$R$2,PURCHASE!$H$6:$H$10008,$A$4:$A$2700)</f>
        <v>0</v>
      </c>
      <c r="V158" s="512">
        <f>SUMIFS(PURCHASE!$N$6:$N$10008,PURCHASE!$A$6:$A$10008,$R$2,PURCHASE!$H$6:$H$10008,$A$4:$A$2700)</f>
        <v>0</v>
      </c>
      <c r="W158" s="512">
        <f t="shared" si="49"/>
        <v>2100.4</v>
      </c>
      <c r="X158" s="512">
        <f>SUMIFS(PURCHASE!$K$6:$K$10008,PURCHASE!$A$6:$A$10008,$W$2,PURCHASE!$H$6:$H$10008,$A$4:$A$2700)</f>
        <v>1780</v>
      </c>
      <c r="Y158" s="512">
        <f>SUMIFS(PURCHASE!$L$6:$L$10008,PURCHASE!$A$6:$A$10008,$W$2,PURCHASE!$H$6:$H$10008,$A$4:$A$2700)</f>
        <v>0</v>
      </c>
      <c r="Z158" s="512">
        <f>SUMIFS(PURCHASE!$M$6:$M$10008,PURCHASE!$A$6:$A$10008,$W$2,PURCHASE!$H$6:$H$10008,$A$4:$A$2700)</f>
        <v>160.20000000000002</v>
      </c>
      <c r="AA158" s="512">
        <f>SUMIFS(PURCHASE!$N$6:$N$10008,PURCHASE!$A$6:$A$10008,$W$2,PURCHASE!$H$6:$H$10008,$A$4:$A$2700)</f>
        <v>160.20000000000002</v>
      </c>
      <c r="AB158" s="512">
        <f t="shared" si="50"/>
        <v>0</v>
      </c>
      <c r="AC158" s="512">
        <f>SUMIFS(PURCHASE!$K$6:$K$10008,PURCHASE!$A$6:$A$10008,$AB$2,PURCHASE!$H$6:$H$10008,$A$4:$A$2700)</f>
        <v>0</v>
      </c>
      <c r="AD158" s="512">
        <f>SUMIFS(PURCHASE!$L$6:$L$10008,PURCHASE!$A$6:$A$10008,$AB$2,PURCHASE!$H$6:$H$10008,$A$4:$A$2700)</f>
        <v>0</v>
      </c>
      <c r="AE158" s="512">
        <f>SUMIFS(PURCHASE!$M$6:$M$10008,PURCHASE!$A$6:$A$10008,$AB$2,PURCHASE!$H$6:$H$10008,$A$4:$A$2700)</f>
        <v>0</v>
      </c>
      <c r="AF158" s="512">
        <f>SUMIFS(PURCHASE!$N$6:$N$10008,PURCHASE!$A$6:$A$10008,$AB$2,PURCHASE!$H$6:$H$10008,$A$4:$A$2700)</f>
        <v>0</v>
      </c>
      <c r="AG158" s="512">
        <f t="shared" si="51"/>
        <v>0</v>
      </c>
      <c r="AH158" s="512">
        <f>SUMIFS(PURCHASE!$K$6:$K$10008,PURCHASE!$A$6:$A$10008,$AG$2,PURCHASE!$H$6:$H$10008,$A$4:$A$2700)</f>
        <v>0</v>
      </c>
      <c r="AI158" s="512">
        <f>SUMIFS(PURCHASE!$L$6:$L$10008,PURCHASE!$A$6:$A$10008,$AG$2,PURCHASE!$H$6:$H$10008,$A$4:$A$2700)</f>
        <v>0</v>
      </c>
      <c r="AJ158" s="512">
        <f>SUMIFS(PURCHASE!$M$6:$M$10008,PURCHASE!$A$6:$A$10008,$AG$2,PURCHASE!$H$6:$H$10008,$A$4:$A$2700)</f>
        <v>0</v>
      </c>
      <c r="AK158" s="512">
        <f>SUMIFS(PURCHASE!$N$6:$N$10008,PURCHASE!$A$6:$A$10008,$AG$2,PURCHASE!$H$6:$H$10008,$A$4:$A$2700)</f>
        <v>0</v>
      </c>
      <c r="AL158" s="512">
        <f t="shared" si="52"/>
        <v>0</v>
      </c>
      <c r="AM158" s="512">
        <f>SUMIFS(PURCHASE!$K$6:$K$10008,PURCHASE!$A$6:$A$10008,$AL$2,PURCHASE!$H$6:$H$10008,$A$4:$A$2700)</f>
        <v>0</v>
      </c>
      <c r="AN158" s="512">
        <f>SUMIFS(PURCHASE!$L$6:$L$10008,PURCHASE!$A$6:$A$10008,$AL$2,PURCHASE!$H$6:$H$10008,$A$4:$A$2700)</f>
        <v>0</v>
      </c>
      <c r="AO158" s="512">
        <f>SUMIFS(PURCHASE!$M$6:$M$10008,PURCHASE!$A$6:$A$10008,$AL$2,PURCHASE!$H$6:$H$10008,$A$4:$A$2700)</f>
        <v>0</v>
      </c>
      <c r="AP158" s="512">
        <f>SUMIFS(PURCHASE!$N$6:$N$10008,PURCHASE!$A$6:$A$10008,$AL$2,PURCHASE!$H$6:$H$10008,$A$4:$A$2700)</f>
        <v>0</v>
      </c>
      <c r="AQ158" s="512">
        <f t="shared" si="53"/>
        <v>0</v>
      </c>
      <c r="AR158" s="512">
        <f>SUMIFS(PURCHASE!$K$6:$K$10008,PURCHASE!$A$6:$A$10008,$AQ$2,PURCHASE!$H$6:$H$10008,$A$4:$A$2700)</f>
        <v>0</v>
      </c>
      <c r="AS158" s="512">
        <f>SUMIFS(PURCHASE!$L$6:$L$10008,PURCHASE!$A$6:$A$10008,$AQ$2,PURCHASE!$H$6:$H$10008,$A$4:$A$2700)</f>
        <v>0</v>
      </c>
      <c r="AT158" s="512">
        <f>SUMIFS(PURCHASE!$M$6:$M$10008,PURCHASE!$A$6:$A$10008,$AQ$2,PURCHASE!$H$6:$H$10008,$A$4:$A$2700)</f>
        <v>0</v>
      </c>
      <c r="AU158" s="512">
        <f>SUMIFS(PURCHASE!$N$6:$N$10008,PURCHASE!$A$6:$A$10008,$AQ$2,PURCHASE!$H$6:$H$10008,$A$4:$A$2700)</f>
        <v>0</v>
      </c>
      <c r="AV158" s="512">
        <f t="shared" si="54"/>
        <v>0</v>
      </c>
      <c r="AW158" s="512">
        <f>SUMIFS(PURCHASE!$K$6:$K$10008,PURCHASE!$A$6:$A$10008,$AV$2,PURCHASE!$H$6:$H$10008,$A$4:$A$2700)</f>
        <v>0</v>
      </c>
      <c r="AX158" s="512">
        <f>SUMIFS(PURCHASE!$L$6:$L$10008,PURCHASE!$A$6:$A$10008,$AV$2,PURCHASE!$H$6:$H$10008,$A$4:$A$2700)</f>
        <v>0</v>
      </c>
      <c r="AY158" s="512">
        <f>SUMIFS(PURCHASE!$M$6:$M$10008,PURCHASE!$A$6:$A$10008,$AV$2,PURCHASE!$H$6:$H$10008,$A$4:$A$2700)</f>
        <v>0</v>
      </c>
      <c r="AZ158" s="512">
        <f>SUMIFS(PURCHASE!$N$6:$N$10008,PURCHASE!$A$6:$A$10008,$AV$2,PURCHASE!$H$6:$H$10008,$A$4:$A$2700)</f>
        <v>0</v>
      </c>
      <c r="BA158" s="512">
        <f t="shared" si="55"/>
        <v>0</v>
      </c>
      <c r="BB158" s="512">
        <f>SUMIFS(PURCHASE!$K$6:$K$10008,PURCHASE!$A$6:$A$10008,$BA$2,PURCHASE!$H$6:$H$10008,$A$4:$A$2700)</f>
        <v>0</v>
      </c>
      <c r="BC158" s="512">
        <f>SUMIFS(PURCHASE!$L$6:$L$10008,PURCHASE!$A$6:$A$10008,$BA$2,PURCHASE!$H$6:$H$10008,$A$4:$A$2700)</f>
        <v>0</v>
      </c>
      <c r="BD158" s="512">
        <f>SUMIFS(PURCHASE!$M$6:$M$10008,PURCHASE!$A$6:$A$10008,$BA$2,PURCHASE!$H$6:$H$10008,$A$4:$A$2700)</f>
        <v>0</v>
      </c>
      <c r="BE158" s="512">
        <f>SUMIFS(PURCHASE!$N$6:$N$10008,PURCHASE!$A$6:$A$10008,$BA$2,PURCHASE!$H$6:$H$10008,$A$4:$A$2700)</f>
        <v>0</v>
      </c>
      <c r="BF158" s="512">
        <f t="shared" si="56"/>
        <v>0</v>
      </c>
      <c r="BG158" s="512">
        <f>SUMIFS(PURCHASE!$K$6:$K$10008,PURCHASE!$A$6:$A$10008,$BF$2,PURCHASE!$H$6:$H$10008,$A$4:$A$2700)</f>
        <v>0</v>
      </c>
      <c r="BH158" s="512">
        <f>SUMIFS(PURCHASE!$L$6:$L$10008,PURCHASE!$A$6:$A$10008,$BF$2,PURCHASE!$H$6:$H$10008,$A$4:$A$2700)</f>
        <v>0</v>
      </c>
      <c r="BI158" s="512">
        <f>SUMIFS(PURCHASE!$M$6:$M$10008,PURCHASE!$A$6:$A$10008,$BF$2,PURCHASE!$H$6:$H$10008,$A$4:$A$2700)</f>
        <v>0</v>
      </c>
      <c r="BJ158" s="512">
        <f>SUMIFS(PURCHASE!$N$6:$N$10008,PURCHASE!$A$6:$A$10008,$BF$2,PURCHASE!$H$6:$H$10008,$A$4:$A$2700)</f>
        <v>0</v>
      </c>
      <c r="BK158" s="72">
        <f t="shared" si="40"/>
        <v>2100.4</v>
      </c>
      <c r="BL158" s="72">
        <f t="shared" si="41"/>
        <v>1780</v>
      </c>
      <c r="BM158" s="72">
        <f t="shared" si="42"/>
        <v>0</v>
      </c>
      <c r="BN158" s="72">
        <f t="shared" si="43"/>
        <v>160.20000000000002</v>
      </c>
      <c r="BO158" s="72">
        <f t="shared" si="44"/>
        <v>160.20000000000002</v>
      </c>
    </row>
    <row r="159" spans="1:67" x14ac:dyDescent="0.2">
      <c r="A159" s="511">
        <v>96039090</v>
      </c>
      <c r="B159" s="467" t="s">
        <v>1237</v>
      </c>
      <c r="C159" s="512">
        <f t="shared" si="45"/>
        <v>0</v>
      </c>
      <c r="D159" s="512">
        <f>SUMIFS(PURCHASE!$K$6:$K$10008,PURCHASE!$A$6:$A$10008,$M$2,PURCHASE!$H$6:$H$10008,$A$4:$A$2700)</f>
        <v>0</v>
      </c>
      <c r="E159" s="512">
        <f>SUMIFS(PURCHASE!$L$6:$L$10008,PURCHASE!$A$6:$A$10008,$M$2,PURCHASE!$H$6:$H$10008,$A$4:$A$2700)</f>
        <v>0</v>
      </c>
      <c r="F159" s="512">
        <f>SUMIFS(PURCHASE!$M$6:$M$10008,PURCHASE!$A$6:$A$10008,$M$2,PURCHASE!$H$6:$H$10008,$A$4:$A$2700)</f>
        <v>0</v>
      </c>
      <c r="G159" s="512">
        <f>SUMIFS(PURCHASE!$N$6:$N$10008,PURCHASE!$A$6:$A$10008,$M$2,PURCHASE!$H$6:$H$10008,$A$4:$A$2700)</f>
        <v>0</v>
      </c>
      <c r="H159" s="512">
        <f t="shared" si="46"/>
        <v>0</v>
      </c>
      <c r="I159" s="512">
        <f>SUMIFS(PURCHASE!$K$6:$K$10008,PURCHASE!$A$6:$A$10008,$H$2,PURCHASE!$H$6:$H$10008,$A$4:$A$2700)</f>
        <v>0</v>
      </c>
      <c r="J159" s="512">
        <f>SUMIFS(PURCHASE!$L$6:$L$10008,PURCHASE!$A$6:$A$10008,$H$2,PURCHASE!$H$6:$H$10008,$A$4:$A$2700)</f>
        <v>0</v>
      </c>
      <c r="K159" s="512">
        <f>SUMIFS(PURCHASE!$M$6:$M$10008,PURCHASE!$A$6:$A$10008,$H$2,PURCHASE!$H$6:$H$10008,$A$4:$A$2700)</f>
        <v>0</v>
      </c>
      <c r="L159" s="512">
        <f>SUMIFS(PURCHASE!$N$6:$N$10008,PURCHASE!$A$6:$A$10008,$H$2,PURCHASE!$H$6:$H$10008,$A$4:$A$2700)</f>
        <v>0</v>
      </c>
      <c r="M159" s="512">
        <f t="shared" si="47"/>
        <v>0</v>
      </c>
      <c r="N159" s="512">
        <f>SUMIFS(PURCHASE!$K$6:$K$10008,PURCHASE!$A$6:$A$10008,$M$2,PURCHASE!$H$6:$H$10008,$A$4:$A$2700)</f>
        <v>0</v>
      </c>
      <c r="O159" s="512">
        <f>SUMIFS(PURCHASE!$L$6:$L$10008,PURCHASE!$A$6:$A$10008,$M$2,PURCHASE!$H$6:$H$10008,$A$4:$A$2700)</f>
        <v>0</v>
      </c>
      <c r="P159" s="512">
        <f>SUMIFS(PURCHASE!$M$6:$M$10008,PURCHASE!$A$6:$A$10008,$M$2,PURCHASE!$H$6:$H$10008,$A$4:$A$2700)</f>
        <v>0</v>
      </c>
      <c r="Q159" s="512">
        <f>SUMIFS(PURCHASE!$N$6:$N$10008,PURCHASE!$A$6:$A$10008,$M$2,PURCHASE!$H$6:$H$10008,$A$4:$A$2700)</f>
        <v>0</v>
      </c>
      <c r="R159" s="512">
        <f t="shared" si="48"/>
        <v>0</v>
      </c>
      <c r="S159" s="512">
        <f>SUMIFS(PURCHASE!$K$6:$K$10008,PURCHASE!$A$6:$A$10008,$R$2,PURCHASE!$H$6:$H$10008,$A$4:$A$2700)</f>
        <v>0</v>
      </c>
      <c r="T159" s="512">
        <f>SUMIFS(PURCHASE!$L$6:$L$10008,PURCHASE!$A$6:$A$10008,$R$2,PURCHASE!$H$6:$H$10008,$A$4:$A$2700)</f>
        <v>0</v>
      </c>
      <c r="U159" s="512">
        <f>SUMIFS(PURCHASE!$M$6:$M$10008,PURCHASE!$A$6:$A$10008,$R$2,PURCHASE!$H$6:$H$10008,$A$4:$A$2700)</f>
        <v>0</v>
      </c>
      <c r="V159" s="512">
        <f>SUMIFS(PURCHASE!$N$6:$N$10008,PURCHASE!$A$6:$A$10008,$R$2,PURCHASE!$H$6:$H$10008,$A$4:$A$2700)</f>
        <v>0</v>
      </c>
      <c r="W159" s="512">
        <f t="shared" si="49"/>
        <v>792.96</v>
      </c>
      <c r="X159" s="512">
        <f>SUMIFS(PURCHASE!$K$6:$K$10008,PURCHASE!$A$6:$A$10008,$W$2,PURCHASE!$H$6:$H$10008,$A$4:$A$2700)</f>
        <v>672</v>
      </c>
      <c r="Y159" s="512">
        <f>SUMIFS(PURCHASE!$L$6:$L$10008,PURCHASE!$A$6:$A$10008,$W$2,PURCHASE!$H$6:$H$10008,$A$4:$A$2700)</f>
        <v>0</v>
      </c>
      <c r="Z159" s="512">
        <f>SUMIFS(PURCHASE!$M$6:$M$10008,PURCHASE!$A$6:$A$10008,$W$2,PURCHASE!$H$6:$H$10008,$A$4:$A$2700)</f>
        <v>60.48</v>
      </c>
      <c r="AA159" s="512">
        <f>SUMIFS(PURCHASE!$N$6:$N$10008,PURCHASE!$A$6:$A$10008,$W$2,PURCHASE!$H$6:$H$10008,$A$4:$A$2700)</f>
        <v>60.48</v>
      </c>
      <c r="AB159" s="512">
        <f t="shared" si="50"/>
        <v>0</v>
      </c>
      <c r="AC159" s="512">
        <f>SUMIFS(PURCHASE!$K$6:$K$10008,PURCHASE!$A$6:$A$10008,$AB$2,PURCHASE!$H$6:$H$10008,$A$4:$A$2700)</f>
        <v>0</v>
      </c>
      <c r="AD159" s="512">
        <f>SUMIFS(PURCHASE!$L$6:$L$10008,PURCHASE!$A$6:$A$10008,$AB$2,PURCHASE!$H$6:$H$10008,$A$4:$A$2700)</f>
        <v>0</v>
      </c>
      <c r="AE159" s="512">
        <f>SUMIFS(PURCHASE!$M$6:$M$10008,PURCHASE!$A$6:$A$10008,$AB$2,PURCHASE!$H$6:$H$10008,$A$4:$A$2700)</f>
        <v>0</v>
      </c>
      <c r="AF159" s="512">
        <f>SUMIFS(PURCHASE!$N$6:$N$10008,PURCHASE!$A$6:$A$10008,$AB$2,PURCHASE!$H$6:$H$10008,$A$4:$A$2700)</f>
        <v>0</v>
      </c>
      <c r="AG159" s="512">
        <f t="shared" si="51"/>
        <v>0</v>
      </c>
      <c r="AH159" s="512">
        <f>SUMIFS(PURCHASE!$K$6:$K$10008,PURCHASE!$A$6:$A$10008,$AG$2,PURCHASE!$H$6:$H$10008,$A$4:$A$2700)</f>
        <v>0</v>
      </c>
      <c r="AI159" s="512">
        <f>SUMIFS(PURCHASE!$L$6:$L$10008,PURCHASE!$A$6:$A$10008,$AG$2,PURCHASE!$H$6:$H$10008,$A$4:$A$2700)</f>
        <v>0</v>
      </c>
      <c r="AJ159" s="512">
        <f>SUMIFS(PURCHASE!$M$6:$M$10008,PURCHASE!$A$6:$A$10008,$AG$2,PURCHASE!$H$6:$H$10008,$A$4:$A$2700)</f>
        <v>0</v>
      </c>
      <c r="AK159" s="512">
        <f>SUMIFS(PURCHASE!$N$6:$N$10008,PURCHASE!$A$6:$A$10008,$AG$2,PURCHASE!$H$6:$H$10008,$A$4:$A$2700)</f>
        <v>0</v>
      </c>
      <c r="AL159" s="512">
        <f t="shared" si="52"/>
        <v>0</v>
      </c>
      <c r="AM159" s="512">
        <f>SUMIFS(PURCHASE!$K$6:$K$10008,PURCHASE!$A$6:$A$10008,$AL$2,PURCHASE!$H$6:$H$10008,$A$4:$A$2700)</f>
        <v>0</v>
      </c>
      <c r="AN159" s="512">
        <f>SUMIFS(PURCHASE!$L$6:$L$10008,PURCHASE!$A$6:$A$10008,$AL$2,PURCHASE!$H$6:$H$10008,$A$4:$A$2700)</f>
        <v>0</v>
      </c>
      <c r="AO159" s="512">
        <f>SUMIFS(PURCHASE!$M$6:$M$10008,PURCHASE!$A$6:$A$10008,$AL$2,PURCHASE!$H$6:$H$10008,$A$4:$A$2700)</f>
        <v>0</v>
      </c>
      <c r="AP159" s="512">
        <f>SUMIFS(PURCHASE!$N$6:$N$10008,PURCHASE!$A$6:$A$10008,$AL$2,PURCHASE!$H$6:$H$10008,$A$4:$A$2700)</f>
        <v>0</v>
      </c>
      <c r="AQ159" s="512">
        <f t="shared" si="53"/>
        <v>0</v>
      </c>
      <c r="AR159" s="512">
        <f>SUMIFS(PURCHASE!$K$6:$K$10008,PURCHASE!$A$6:$A$10008,$AQ$2,PURCHASE!$H$6:$H$10008,$A$4:$A$2700)</f>
        <v>0</v>
      </c>
      <c r="AS159" s="512">
        <f>SUMIFS(PURCHASE!$L$6:$L$10008,PURCHASE!$A$6:$A$10008,$AQ$2,PURCHASE!$H$6:$H$10008,$A$4:$A$2700)</f>
        <v>0</v>
      </c>
      <c r="AT159" s="512">
        <f>SUMIFS(PURCHASE!$M$6:$M$10008,PURCHASE!$A$6:$A$10008,$AQ$2,PURCHASE!$H$6:$H$10008,$A$4:$A$2700)</f>
        <v>0</v>
      </c>
      <c r="AU159" s="512">
        <f>SUMIFS(PURCHASE!$N$6:$N$10008,PURCHASE!$A$6:$A$10008,$AQ$2,PURCHASE!$H$6:$H$10008,$A$4:$A$2700)</f>
        <v>0</v>
      </c>
      <c r="AV159" s="512">
        <f t="shared" si="54"/>
        <v>0</v>
      </c>
      <c r="AW159" s="512">
        <f>SUMIFS(PURCHASE!$K$6:$K$10008,PURCHASE!$A$6:$A$10008,$AV$2,PURCHASE!$H$6:$H$10008,$A$4:$A$2700)</f>
        <v>0</v>
      </c>
      <c r="AX159" s="512">
        <f>SUMIFS(PURCHASE!$L$6:$L$10008,PURCHASE!$A$6:$A$10008,$AV$2,PURCHASE!$H$6:$H$10008,$A$4:$A$2700)</f>
        <v>0</v>
      </c>
      <c r="AY159" s="512">
        <f>SUMIFS(PURCHASE!$M$6:$M$10008,PURCHASE!$A$6:$A$10008,$AV$2,PURCHASE!$H$6:$H$10008,$A$4:$A$2700)</f>
        <v>0</v>
      </c>
      <c r="AZ159" s="512">
        <f>SUMIFS(PURCHASE!$N$6:$N$10008,PURCHASE!$A$6:$A$10008,$AV$2,PURCHASE!$H$6:$H$10008,$A$4:$A$2700)</f>
        <v>0</v>
      </c>
      <c r="BA159" s="512">
        <f t="shared" si="55"/>
        <v>0</v>
      </c>
      <c r="BB159" s="512">
        <f>SUMIFS(PURCHASE!$K$6:$K$10008,PURCHASE!$A$6:$A$10008,$BA$2,PURCHASE!$H$6:$H$10008,$A$4:$A$2700)</f>
        <v>0</v>
      </c>
      <c r="BC159" s="512">
        <f>SUMIFS(PURCHASE!$L$6:$L$10008,PURCHASE!$A$6:$A$10008,$BA$2,PURCHASE!$H$6:$H$10008,$A$4:$A$2700)</f>
        <v>0</v>
      </c>
      <c r="BD159" s="512">
        <f>SUMIFS(PURCHASE!$M$6:$M$10008,PURCHASE!$A$6:$A$10008,$BA$2,PURCHASE!$H$6:$H$10008,$A$4:$A$2700)</f>
        <v>0</v>
      </c>
      <c r="BE159" s="512">
        <f>SUMIFS(PURCHASE!$N$6:$N$10008,PURCHASE!$A$6:$A$10008,$BA$2,PURCHASE!$H$6:$H$10008,$A$4:$A$2700)</f>
        <v>0</v>
      </c>
      <c r="BF159" s="512">
        <f t="shared" si="56"/>
        <v>0</v>
      </c>
      <c r="BG159" s="512">
        <f>SUMIFS(PURCHASE!$K$6:$K$10008,PURCHASE!$A$6:$A$10008,$BF$2,PURCHASE!$H$6:$H$10008,$A$4:$A$2700)</f>
        <v>0</v>
      </c>
      <c r="BH159" s="512">
        <f>SUMIFS(PURCHASE!$L$6:$L$10008,PURCHASE!$A$6:$A$10008,$BF$2,PURCHASE!$H$6:$H$10008,$A$4:$A$2700)</f>
        <v>0</v>
      </c>
      <c r="BI159" s="512">
        <f>SUMIFS(PURCHASE!$M$6:$M$10008,PURCHASE!$A$6:$A$10008,$BF$2,PURCHASE!$H$6:$H$10008,$A$4:$A$2700)</f>
        <v>0</v>
      </c>
      <c r="BJ159" s="512">
        <f>SUMIFS(PURCHASE!$N$6:$N$10008,PURCHASE!$A$6:$A$10008,$BF$2,PURCHASE!$H$6:$H$10008,$A$4:$A$2700)</f>
        <v>0</v>
      </c>
      <c r="BK159" s="72">
        <f t="shared" si="40"/>
        <v>792.96</v>
      </c>
      <c r="BL159" s="72">
        <f t="shared" si="41"/>
        <v>672</v>
      </c>
      <c r="BM159" s="72">
        <f t="shared" si="42"/>
        <v>0</v>
      </c>
      <c r="BN159" s="72">
        <f t="shared" si="43"/>
        <v>60.48</v>
      </c>
      <c r="BO159" s="72">
        <f t="shared" si="44"/>
        <v>60.48</v>
      </c>
    </row>
    <row r="160" spans="1:67" x14ac:dyDescent="0.2">
      <c r="A160" s="511">
        <v>42034010</v>
      </c>
      <c r="B160" s="467" t="s">
        <v>1287</v>
      </c>
      <c r="C160" s="512">
        <f t="shared" si="45"/>
        <v>0</v>
      </c>
      <c r="D160" s="512">
        <f>SUMIFS(PURCHASE!$K$6:$K$10008,PURCHASE!$A$6:$A$10008,$M$2,PURCHASE!$H$6:$H$10008,$A$4:$A$2700)</f>
        <v>0</v>
      </c>
      <c r="E160" s="512">
        <f>SUMIFS(PURCHASE!$L$6:$L$10008,PURCHASE!$A$6:$A$10008,$M$2,PURCHASE!$H$6:$H$10008,$A$4:$A$2700)</f>
        <v>0</v>
      </c>
      <c r="F160" s="512">
        <f>SUMIFS(PURCHASE!$M$6:$M$10008,PURCHASE!$A$6:$A$10008,$M$2,PURCHASE!$H$6:$H$10008,$A$4:$A$2700)</f>
        <v>0</v>
      </c>
      <c r="G160" s="512">
        <f>SUMIFS(PURCHASE!$N$6:$N$10008,PURCHASE!$A$6:$A$10008,$M$2,PURCHASE!$H$6:$H$10008,$A$4:$A$2700)</f>
        <v>0</v>
      </c>
      <c r="H160" s="512">
        <f t="shared" si="46"/>
        <v>0</v>
      </c>
      <c r="I160" s="512">
        <f>SUMIFS(PURCHASE!$K$6:$K$10008,PURCHASE!$A$6:$A$10008,$H$2,PURCHASE!$H$6:$H$10008,$A$4:$A$2700)</f>
        <v>0</v>
      </c>
      <c r="J160" s="512">
        <f>SUMIFS(PURCHASE!$L$6:$L$10008,PURCHASE!$A$6:$A$10008,$H$2,PURCHASE!$H$6:$H$10008,$A$4:$A$2700)</f>
        <v>0</v>
      </c>
      <c r="K160" s="512">
        <f>SUMIFS(PURCHASE!$M$6:$M$10008,PURCHASE!$A$6:$A$10008,$H$2,PURCHASE!$H$6:$H$10008,$A$4:$A$2700)</f>
        <v>0</v>
      </c>
      <c r="L160" s="512">
        <f>SUMIFS(PURCHASE!$N$6:$N$10008,PURCHASE!$A$6:$A$10008,$H$2,PURCHASE!$H$6:$H$10008,$A$4:$A$2700)</f>
        <v>0</v>
      </c>
      <c r="M160" s="512">
        <f t="shared" si="47"/>
        <v>0</v>
      </c>
      <c r="N160" s="512">
        <f>SUMIFS(PURCHASE!$K$6:$K$10008,PURCHASE!$A$6:$A$10008,$M$2,PURCHASE!$H$6:$H$10008,$A$4:$A$2700)</f>
        <v>0</v>
      </c>
      <c r="O160" s="512">
        <f>SUMIFS(PURCHASE!$L$6:$L$10008,PURCHASE!$A$6:$A$10008,$M$2,PURCHASE!$H$6:$H$10008,$A$4:$A$2700)</f>
        <v>0</v>
      </c>
      <c r="P160" s="512">
        <f>SUMIFS(PURCHASE!$M$6:$M$10008,PURCHASE!$A$6:$A$10008,$M$2,PURCHASE!$H$6:$H$10008,$A$4:$A$2700)</f>
        <v>0</v>
      </c>
      <c r="Q160" s="512">
        <f>SUMIFS(PURCHASE!$N$6:$N$10008,PURCHASE!$A$6:$A$10008,$M$2,PURCHASE!$H$6:$H$10008,$A$4:$A$2700)</f>
        <v>0</v>
      </c>
      <c r="R160" s="512">
        <f t="shared" si="48"/>
        <v>0</v>
      </c>
      <c r="S160" s="512">
        <f>SUMIFS(PURCHASE!$K$6:$K$10008,PURCHASE!$A$6:$A$10008,$R$2,PURCHASE!$H$6:$H$10008,$A$4:$A$2700)</f>
        <v>0</v>
      </c>
      <c r="T160" s="512">
        <f>SUMIFS(PURCHASE!$L$6:$L$10008,PURCHASE!$A$6:$A$10008,$R$2,PURCHASE!$H$6:$H$10008,$A$4:$A$2700)</f>
        <v>0</v>
      </c>
      <c r="U160" s="512">
        <f>SUMIFS(PURCHASE!$M$6:$M$10008,PURCHASE!$A$6:$A$10008,$R$2,PURCHASE!$H$6:$H$10008,$A$4:$A$2700)</f>
        <v>0</v>
      </c>
      <c r="V160" s="512">
        <f>SUMIFS(PURCHASE!$N$6:$N$10008,PURCHASE!$A$6:$A$10008,$R$2,PURCHASE!$H$6:$H$10008,$A$4:$A$2700)</f>
        <v>0</v>
      </c>
      <c r="W160" s="512">
        <f t="shared" si="49"/>
        <v>0</v>
      </c>
      <c r="X160" s="512">
        <f>SUMIFS(PURCHASE!$K$6:$K$10008,PURCHASE!$A$6:$A$10008,$W$2,PURCHASE!$H$6:$H$10008,$A$4:$A$2700)</f>
        <v>0</v>
      </c>
      <c r="Y160" s="512">
        <f>SUMIFS(PURCHASE!$L$6:$L$10008,PURCHASE!$A$6:$A$10008,$W$2,PURCHASE!$H$6:$H$10008,$A$4:$A$2700)</f>
        <v>0</v>
      </c>
      <c r="Z160" s="512">
        <f>SUMIFS(PURCHASE!$M$6:$M$10008,PURCHASE!$A$6:$A$10008,$W$2,PURCHASE!$H$6:$H$10008,$A$4:$A$2700)</f>
        <v>0</v>
      </c>
      <c r="AA160" s="512">
        <f>SUMIFS(PURCHASE!$N$6:$N$10008,PURCHASE!$A$6:$A$10008,$W$2,PURCHASE!$H$6:$H$10008,$A$4:$A$2700)</f>
        <v>0</v>
      </c>
      <c r="AB160" s="512">
        <f t="shared" si="50"/>
        <v>4051.95</v>
      </c>
      <c r="AC160" s="512">
        <f>SUMIFS(PURCHASE!$K$6:$K$10008,PURCHASE!$A$6:$A$10008,$AB$2,PURCHASE!$H$6:$H$10008,$A$4:$A$2700)</f>
        <v>3859</v>
      </c>
      <c r="AD160" s="512">
        <f>SUMIFS(PURCHASE!$L$6:$L$10008,PURCHASE!$A$6:$A$10008,$AB$2,PURCHASE!$H$6:$H$10008,$A$4:$A$2700)</f>
        <v>0</v>
      </c>
      <c r="AE160" s="512">
        <f>SUMIFS(PURCHASE!$M$6:$M$10008,PURCHASE!$A$6:$A$10008,$AB$2,PURCHASE!$H$6:$H$10008,$A$4:$A$2700)</f>
        <v>96.475000000000009</v>
      </c>
      <c r="AF160" s="512">
        <f>SUMIFS(PURCHASE!$N$6:$N$10008,PURCHASE!$A$6:$A$10008,$AB$2,PURCHASE!$H$6:$H$10008,$A$4:$A$2700)</f>
        <v>96.475000000000009</v>
      </c>
      <c r="AG160" s="512">
        <f t="shared" si="51"/>
        <v>0</v>
      </c>
      <c r="AH160" s="512">
        <f>SUMIFS(PURCHASE!$K$6:$K$10008,PURCHASE!$A$6:$A$10008,$AG$2,PURCHASE!$H$6:$H$10008,$A$4:$A$2700)</f>
        <v>0</v>
      </c>
      <c r="AI160" s="512">
        <f>SUMIFS(PURCHASE!$L$6:$L$10008,PURCHASE!$A$6:$A$10008,$AG$2,PURCHASE!$H$6:$H$10008,$A$4:$A$2700)</f>
        <v>0</v>
      </c>
      <c r="AJ160" s="512">
        <f>SUMIFS(PURCHASE!$M$6:$M$10008,PURCHASE!$A$6:$A$10008,$AG$2,PURCHASE!$H$6:$H$10008,$A$4:$A$2700)</f>
        <v>0</v>
      </c>
      <c r="AK160" s="512">
        <f>SUMIFS(PURCHASE!$N$6:$N$10008,PURCHASE!$A$6:$A$10008,$AG$2,PURCHASE!$H$6:$H$10008,$A$4:$A$2700)</f>
        <v>0</v>
      </c>
      <c r="AL160" s="512">
        <f t="shared" si="52"/>
        <v>0</v>
      </c>
      <c r="AM160" s="512">
        <f>SUMIFS(PURCHASE!$K$6:$K$10008,PURCHASE!$A$6:$A$10008,$AL$2,PURCHASE!$H$6:$H$10008,$A$4:$A$2700)</f>
        <v>0</v>
      </c>
      <c r="AN160" s="512">
        <f>SUMIFS(PURCHASE!$L$6:$L$10008,PURCHASE!$A$6:$A$10008,$AL$2,PURCHASE!$H$6:$H$10008,$A$4:$A$2700)</f>
        <v>0</v>
      </c>
      <c r="AO160" s="512">
        <f>SUMIFS(PURCHASE!$M$6:$M$10008,PURCHASE!$A$6:$A$10008,$AL$2,PURCHASE!$H$6:$H$10008,$A$4:$A$2700)</f>
        <v>0</v>
      </c>
      <c r="AP160" s="512">
        <f>SUMIFS(PURCHASE!$N$6:$N$10008,PURCHASE!$A$6:$A$10008,$AL$2,PURCHASE!$H$6:$H$10008,$A$4:$A$2700)</f>
        <v>0</v>
      </c>
      <c r="AQ160" s="512">
        <f t="shared" si="53"/>
        <v>0</v>
      </c>
      <c r="AR160" s="512">
        <f>SUMIFS(PURCHASE!$K$6:$K$10008,PURCHASE!$A$6:$A$10008,$AQ$2,PURCHASE!$H$6:$H$10008,$A$4:$A$2700)</f>
        <v>0</v>
      </c>
      <c r="AS160" s="512">
        <f>SUMIFS(PURCHASE!$L$6:$L$10008,PURCHASE!$A$6:$A$10008,$AQ$2,PURCHASE!$H$6:$H$10008,$A$4:$A$2700)</f>
        <v>0</v>
      </c>
      <c r="AT160" s="512">
        <f>SUMIFS(PURCHASE!$M$6:$M$10008,PURCHASE!$A$6:$A$10008,$AQ$2,PURCHASE!$H$6:$H$10008,$A$4:$A$2700)</f>
        <v>0</v>
      </c>
      <c r="AU160" s="512">
        <f>SUMIFS(PURCHASE!$N$6:$N$10008,PURCHASE!$A$6:$A$10008,$AQ$2,PURCHASE!$H$6:$H$10008,$A$4:$A$2700)</f>
        <v>0</v>
      </c>
      <c r="AV160" s="512">
        <f t="shared" si="54"/>
        <v>0</v>
      </c>
      <c r="AW160" s="512">
        <f>SUMIFS(PURCHASE!$K$6:$K$10008,PURCHASE!$A$6:$A$10008,$AV$2,PURCHASE!$H$6:$H$10008,$A$4:$A$2700)</f>
        <v>0</v>
      </c>
      <c r="AX160" s="512">
        <f>SUMIFS(PURCHASE!$L$6:$L$10008,PURCHASE!$A$6:$A$10008,$AV$2,PURCHASE!$H$6:$H$10008,$A$4:$A$2700)</f>
        <v>0</v>
      </c>
      <c r="AY160" s="512">
        <f>SUMIFS(PURCHASE!$M$6:$M$10008,PURCHASE!$A$6:$A$10008,$AV$2,PURCHASE!$H$6:$H$10008,$A$4:$A$2700)</f>
        <v>0</v>
      </c>
      <c r="AZ160" s="512">
        <f>SUMIFS(PURCHASE!$N$6:$N$10008,PURCHASE!$A$6:$A$10008,$AV$2,PURCHASE!$H$6:$H$10008,$A$4:$A$2700)</f>
        <v>0</v>
      </c>
      <c r="BA160" s="512">
        <f t="shared" si="55"/>
        <v>0</v>
      </c>
      <c r="BB160" s="512">
        <f>SUMIFS(PURCHASE!$K$6:$K$10008,PURCHASE!$A$6:$A$10008,$BA$2,PURCHASE!$H$6:$H$10008,$A$4:$A$2700)</f>
        <v>0</v>
      </c>
      <c r="BC160" s="512">
        <f>SUMIFS(PURCHASE!$L$6:$L$10008,PURCHASE!$A$6:$A$10008,$BA$2,PURCHASE!$H$6:$H$10008,$A$4:$A$2700)</f>
        <v>0</v>
      </c>
      <c r="BD160" s="512">
        <f>SUMIFS(PURCHASE!$M$6:$M$10008,PURCHASE!$A$6:$A$10008,$BA$2,PURCHASE!$H$6:$H$10008,$A$4:$A$2700)</f>
        <v>0</v>
      </c>
      <c r="BE160" s="512">
        <f>SUMIFS(PURCHASE!$N$6:$N$10008,PURCHASE!$A$6:$A$10008,$BA$2,PURCHASE!$H$6:$H$10008,$A$4:$A$2700)</f>
        <v>0</v>
      </c>
      <c r="BF160" s="512">
        <f t="shared" si="56"/>
        <v>0</v>
      </c>
      <c r="BG160" s="512">
        <f>SUMIFS(PURCHASE!$K$6:$K$10008,PURCHASE!$A$6:$A$10008,$BF$2,PURCHASE!$H$6:$H$10008,$A$4:$A$2700)</f>
        <v>0</v>
      </c>
      <c r="BH160" s="512">
        <f>SUMIFS(PURCHASE!$L$6:$L$10008,PURCHASE!$A$6:$A$10008,$BF$2,PURCHASE!$H$6:$H$10008,$A$4:$A$2700)</f>
        <v>0</v>
      </c>
      <c r="BI160" s="512">
        <f>SUMIFS(PURCHASE!$M$6:$M$10008,PURCHASE!$A$6:$A$10008,$BF$2,PURCHASE!$H$6:$H$10008,$A$4:$A$2700)</f>
        <v>0</v>
      </c>
      <c r="BJ160" s="512">
        <f>SUMIFS(PURCHASE!$N$6:$N$10008,PURCHASE!$A$6:$A$10008,$BF$2,PURCHASE!$H$6:$H$10008,$A$4:$A$2700)</f>
        <v>0</v>
      </c>
      <c r="BK160" s="72">
        <f t="shared" si="40"/>
        <v>4051.95</v>
      </c>
      <c r="BL160" s="72">
        <f t="shared" si="41"/>
        <v>3859</v>
      </c>
      <c r="BM160" s="72">
        <f t="shared" si="42"/>
        <v>0</v>
      </c>
      <c r="BN160" s="72">
        <f t="shared" si="43"/>
        <v>96.475000000000009</v>
      </c>
      <c r="BO160" s="72">
        <f t="shared" si="44"/>
        <v>96.475000000000009</v>
      </c>
    </row>
    <row r="161" spans="1:67" x14ac:dyDescent="0.2">
      <c r="A161" s="511">
        <v>9405</v>
      </c>
      <c r="B161" s="467" t="s">
        <v>1300</v>
      </c>
      <c r="C161" s="512">
        <f t="shared" si="45"/>
        <v>0</v>
      </c>
      <c r="D161" s="512">
        <f>SUMIFS(PURCHASE!$K$6:$K$10008,PURCHASE!$A$6:$A$10008,$M$2,PURCHASE!$H$6:$H$10008,$A$4:$A$2700)</f>
        <v>0</v>
      </c>
      <c r="E161" s="512">
        <f>SUMIFS(PURCHASE!$L$6:$L$10008,PURCHASE!$A$6:$A$10008,$M$2,PURCHASE!$H$6:$H$10008,$A$4:$A$2700)</f>
        <v>0</v>
      </c>
      <c r="F161" s="512">
        <f>SUMIFS(PURCHASE!$M$6:$M$10008,PURCHASE!$A$6:$A$10008,$M$2,PURCHASE!$H$6:$H$10008,$A$4:$A$2700)</f>
        <v>0</v>
      </c>
      <c r="G161" s="512">
        <f>SUMIFS(PURCHASE!$N$6:$N$10008,PURCHASE!$A$6:$A$10008,$M$2,PURCHASE!$H$6:$H$10008,$A$4:$A$2700)</f>
        <v>0</v>
      </c>
      <c r="H161" s="512">
        <f t="shared" si="46"/>
        <v>0</v>
      </c>
      <c r="I161" s="512">
        <f>SUMIFS(PURCHASE!$K$6:$K$10008,PURCHASE!$A$6:$A$10008,$H$2,PURCHASE!$H$6:$H$10008,$A$4:$A$2700)</f>
        <v>0</v>
      </c>
      <c r="J161" s="512">
        <f>SUMIFS(PURCHASE!$L$6:$L$10008,PURCHASE!$A$6:$A$10008,$H$2,PURCHASE!$H$6:$H$10008,$A$4:$A$2700)</f>
        <v>0</v>
      </c>
      <c r="K161" s="512">
        <f>SUMIFS(PURCHASE!$M$6:$M$10008,PURCHASE!$A$6:$A$10008,$H$2,PURCHASE!$H$6:$H$10008,$A$4:$A$2700)</f>
        <v>0</v>
      </c>
      <c r="L161" s="512">
        <f>SUMIFS(PURCHASE!$N$6:$N$10008,PURCHASE!$A$6:$A$10008,$H$2,PURCHASE!$H$6:$H$10008,$A$4:$A$2700)</f>
        <v>0</v>
      </c>
      <c r="M161" s="512">
        <f t="shared" si="47"/>
        <v>0</v>
      </c>
      <c r="N161" s="512">
        <f>SUMIFS(PURCHASE!$K$6:$K$10008,PURCHASE!$A$6:$A$10008,$M$2,PURCHASE!$H$6:$H$10008,$A$4:$A$2700)</f>
        <v>0</v>
      </c>
      <c r="O161" s="512">
        <f>SUMIFS(PURCHASE!$L$6:$L$10008,PURCHASE!$A$6:$A$10008,$M$2,PURCHASE!$H$6:$H$10008,$A$4:$A$2700)</f>
        <v>0</v>
      </c>
      <c r="P161" s="512">
        <f>SUMIFS(PURCHASE!$M$6:$M$10008,PURCHASE!$A$6:$A$10008,$M$2,PURCHASE!$H$6:$H$10008,$A$4:$A$2700)</f>
        <v>0</v>
      </c>
      <c r="Q161" s="512">
        <f>SUMIFS(PURCHASE!$N$6:$N$10008,PURCHASE!$A$6:$A$10008,$M$2,PURCHASE!$H$6:$H$10008,$A$4:$A$2700)</f>
        <v>0</v>
      </c>
      <c r="R161" s="512">
        <f t="shared" si="48"/>
        <v>0</v>
      </c>
      <c r="S161" s="512">
        <f>SUMIFS(PURCHASE!$K$6:$K$10008,PURCHASE!$A$6:$A$10008,$R$2,PURCHASE!$H$6:$H$10008,$A$4:$A$2700)</f>
        <v>0</v>
      </c>
      <c r="T161" s="512">
        <f>SUMIFS(PURCHASE!$L$6:$L$10008,PURCHASE!$A$6:$A$10008,$R$2,PURCHASE!$H$6:$H$10008,$A$4:$A$2700)</f>
        <v>0</v>
      </c>
      <c r="U161" s="512">
        <f>SUMIFS(PURCHASE!$M$6:$M$10008,PURCHASE!$A$6:$A$10008,$R$2,PURCHASE!$H$6:$H$10008,$A$4:$A$2700)</f>
        <v>0</v>
      </c>
      <c r="V161" s="512">
        <f>SUMIFS(PURCHASE!$N$6:$N$10008,PURCHASE!$A$6:$A$10008,$R$2,PURCHASE!$H$6:$H$10008,$A$4:$A$2700)</f>
        <v>0</v>
      </c>
      <c r="W161" s="512">
        <f t="shared" si="49"/>
        <v>0</v>
      </c>
      <c r="X161" s="512">
        <f>SUMIFS(PURCHASE!$K$6:$K$10008,PURCHASE!$A$6:$A$10008,$W$2,PURCHASE!$H$6:$H$10008,$A$4:$A$2700)</f>
        <v>0</v>
      </c>
      <c r="Y161" s="512">
        <f>SUMIFS(PURCHASE!$L$6:$L$10008,PURCHASE!$A$6:$A$10008,$W$2,PURCHASE!$H$6:$H$10008,$A$4:$A$2700)</f>
        <v>0</v>
      </c>
      <c r="Z161" s="512">
        <f>SUMIFS(PURCHASE!$M$6:$M$10008,PURCHASE!$A$6:$A$10008,$W$2,PURCHASE!$H$6:$H$10008,$A$4:$A$2700)</f>
        <v>0</v>
      </c>
      <c r="AA161" s="512">
        <f>SUMIFS(PURCHASE!$N$6:$N$10008,PURCHASE!$A$6:$A$10008,$W$2,PURCHASE!$H$6:$H$10008,$A$4:$A$2700)</f>
        <v>0</v>
      </c>
      <c r="AB161" s="512">
        <f t="shared" si="50"/>
        <v>15433.599999999999</v>
      </c>
      <c r="AC161" s="512">
        <f>SUMIFS(PURCHASE!$K$6:$K$10008,PURCHASE!$A$6:$A$10008,$AB$2,PURCHASE!$H$6:$H$10008,$A$4:$A$2700)</f>
        <v>13780</v>
      </c>
      <c r="AD161" s="512">
        <f>SUMIFS(PURCHASE!$L$6:$L$10008,PURCHASE!$A$6:$A$10008,$AB$2,PURCHASE!$H$6:$H$10008,$A$4:$A$2700)</f>
        <v>0</v>
      </c>
      <c r="AE161" s="512">
        <f>SUMIFS(PURCHASE!$M$6:$M$10008,PURCHASE!$A$6:$A$10008,$AB$2,PURCHASE!$H$6:$H$10008,$A$4:$A$2700)</f>
        <v>826.8</v>
      </c>
      <c r="AF161" s="512">
        <f>SUMIFS(PURCHASE!$N$6:$N$10008,PURCHASE!$A$6:$A$10008,$AB$2,PURCHASE!$H$6:$H$10008,$A$4:$A$2700)</f>
        <v>826.8</v>
      </c>
      <c r="AG161" s="512">
        <f t="shared" si="51"/>
        <v>0</v>
      </c>
      <c r="AH161" s="512">
        <f>SUMIFS(PURCHASE!$K$6:$K$10008,PURCHASE!$A$6:$A$10008,$AG$2,PURCHASE!$H$6:$H$10008,$A$4:$A$2700)</f>
        <v>0</v>
      </c>
      <c r="AI161" s="512">
        <f>SUMIFS(PURCHASE!$L$6:$L$10008,PURCHASE!$A$6:$A$10008,$AG$2,PURCHASE!$H$6:$H$10008,$A$4:$A$2700)</f>
        <v>0</v>
      </c>
      <c r="AJ161" s="512">
        <f>SUMIFS(PURCHASE!$M$6:$M$10008,PURCHASE!$A$6:$A$10008,$AG$2,PURCHASE!$H$6:$H$10008,$A$4:$A$2700)</f>
        <v>0</v>
      </c>
      <c r="AK161" s="512">
        <f>SUMIFS(PURCHASE!$N$6:$N$10008,PURCHASE!$A$6:$A$10008,$AG$2,PURCHASE!$H$6:$H$10008,$A$4:$A$2700)</f>
        <v>0</v>
      </c>
      <c r="AL161" s="512">
        <f t="shared" si="52"/>
        <v>28179.199999999997</v>
      </c>
      <c r="AM161" s="512">
        <f>SUMIFS(PURCHASE!$K$6:$K$10008,PURCHASE!$A$6:$A$10008,$AL$2,PURCHASE!$H$6:$H$10008,$A$4:$A$2700)</f>
        <v>25160</v>
      </c>
      <c r="AN161" s="512">
        <f>SUMIFS(PURCHASE!$L$6:$L$10008,PURCHASE!$A$6:$A$10008,$AL$2,PURCHASE!$H$6:$H$10008,$A$4:$A$2700)</f>
        <v>0</v>
      </c>
      <c r="AO161" s="512">
        <f>SUMIFS(PURCHASE!$M$6:$M$10008,PURCHASE!$A$6:$A$10008,$AL$2,PURCHASE!$H$6:$H$10008,$A$4:$A$2700)</f>
        <v>1509.6</v>
      </c>
      <c r="AP161" s="512">
        <f>SUMIFS(PURCHASE!$N$6:$N$10008,PURCHASE!$A$6:$A$10008,$AL$2,PURCHASE!$H$6:$H$10008,$A$4:$A$2700)</f>
        <v>1509.6</v>
      </c>
      <c r="AQ161" s="512">
        <f t="shared" si="53"/>
        <v>582.40000000000009</v>
      </c>
      <c r="AR161" s="512">
        <f>SUMIFS(PURCHASE!$K$6:$K$10008,PURCHASE!$A$6:$A$10008,$AQ$2,PURCHASE!$H$6:$H$10008,$A$4:$A$2700)</f>
        <v>520</v>
      </c>
      <c r="AS161" s="512">
        <f>SUMIFS(PURCHASE!$L$6:$L$10008,PURCHASE!$A$6:$A$10008,$AQ$2,PURCHASE!$H$6:$H$10008,$A$4:$A$2700)</f>
        <v>0</v>
      </c>
      <c r="AT161" s="512">
        <f>SUMIFS(PURCHASE!$M$6:$M$10008,PURCHASE!$A$6:$A$10008,$AQ$2,PURCHASE!$H$6:$H$10008,$A$4:$A$2700)</f>
        <v>31.200000000000003</v>
      </c>
      <c r="AU161" s="512">
        <f>SUMIFS(PURCHASE!$N$6:$N$10008,PURCHASE!$A$6:$A$10008,$AQ$2,PURCHASE!$H$6:$H$10008,$A$4:$A$2700)</f>
        <v>31.200000000000003</v>
      </c>
      <c r="AV161" s="512">
        <f t="shared" si="54"/>
        <v>0</v>
      </c>
      <c r="AW161" s="512">
        <f>SUMIFS(PURCHASE!$K$6:$K$10008,PURCHASE!$A$6:$A$10008,$AV$2,PURCHASE!$H$6:$H$10008,$A$4:$A$2700)</f>
        <v>0</v>
      </c>
      <c r="AX161" s="512">
        <f>SUMIFS(PURCHASE!$L$6:$L$10008,PURCHASE!$A$6:$A$10008,$AV$2,PURCHASE!$H$6:$H$10008,$A$4:$A$2700)</f>
        <v>0</v>
      </c>
      <c r="AY161" s="512">
        <f>SUMIFS(PURCHASE!$M$6:$M$10008,PURCHASE!$A$6:$A$10008,$AV$2,PURCHASE!$H$6:$H$10008,$A$4:$A$2700)</f>
        <v>0</v>
      </c>
      <c r="AZ161" s="512">
        <f>SUMIFS(PURCHASE!$N$6:$N$10008,PURCHASE!$A$6:$A$10008,$AV$2,PURCHASE!$H$6:$H$10008,$A$4:$A$2700)</f>
        <v>0</v>
      </c>
      <c r="BA161" s="512">
        <f t="shared" si="55"/>
        <v>0</v>
      </c>
      <c r="BB161" s="512">
        <f>SUMIFS(PURCHASE!$K$6:$K$10008,PURCHASE!$A$6:$A$10008,$BA$2,PURCHASE!$H$6:$H$10008,$A$4:$A$2700)</f>
        <v>0</v>
      </c>
      <c r="BC161" s="512">
        <f>SUMIFS(PURCHASE!$L$6:$L$10008,PURCHASE!$A$6:$A$10008,$BA$2,PURCHASE!$H$6:$H$10008,$A$4:$A$2700)</f>
        <v>0</v>
      </c>
      <c r="BD161" s="512">
        <f>SUMIFS(PURCHASE!$M$6:$M$10008,PURCHASE!$A$6:$A$10008,$BA$2,PURCHASE!$H$6:$H$10008,$A$4:$A$2700)</f>
        <v>0</v>
      </c>
      <c r="BE161" s="512">
        <f>SUMIFS(PURCHASE!$N$6:$N$10008,PURCHASE!$A$6:$A$10008,$BA$2,PURCHASE!$H$6:$H$10008,$A$4:$A$2700)</f>
        <v>0</v>
      </c>
      <c r="BF161" s="512">
        <f t="shared" si="56"/>
        <v>0</v>
      </c>
      <c r="BG161" s="512">
        <f>SUMIFS(PURCHASE!$K$6:$K$10008,PURCHASE!$A$6:$A$10008,$BF$2,PURCHASE!$H$6:$H$10008,$A$4:$A$2700)</f>
        <v>0</v>
      </c>
      <c r="BH161" s="512">
        <f>SUMIFS(PURCHASE!$L$6:$L$10008,PURCHASE!$A$6:$A$10008,$BF$2,PURCHASE!$H$6:$H$10008,$A$4:$A$2700)</f>
        <v>0</v>
      </c>
      <c r="BI161" s="512">
        <f>SUMIFS(PURCHASE!$M$6:$M$10008,PURCHASE!$A$6:$A$10008,$BF$2,PURCHASE!$H$6:$H$10008,$A$4:$A$2700)</f>
        <v>0</v>
      </c>
      <c r="BJ161" s="512">
        <f>SUMIFS(PURCHASE!$N$6:$N$10008,PURCHASE!$A$6:$A$10008,$BF$2,PURCHASE!$H$6:$H$10008,$A$4:$A$2700)</f>
        <v>0</v>
      </c>
      <c r="BK161" s="72">
        <f t="shared" si="40"/>
        <v>44195.199999999997</v>
      </c>
      <c r="BL161" s="72">
        <f t="shared" si="41"/>
        <v>39460</v>
      </c>
      <c r="BM161" s="72">
        <f t="shared" si="42"/>
        <v>0</v>
      </c>
      <c r="BN161" s="72">
        <f t="shared" si="43"/>
        <v>2367.5999999999995</v>
      </c>
      <c r="BO161" s="72">
        <f t="shared" si="44"/>
        <v>2367.5999999999995</v>
      </c>
    </row>
    <row r="162" spans="1:67" x14ac:dyDescent="0.2">
      <c r="A162" s="511">
        <v>998311</v>
      </c>
      <c r="B162" s="467" t="s">
        <v>1301</v>
      </c>
      <c r="C162" s="512">
        <f t="shared" si="45"/>
        <v>0</v>
      </c>
      <c r="D162" s="512">
        <f>SUMIFS(PURCHASE!$K$6:$K$10008,PURCHASE!$A$6:$A$10008,$M$2,PURCHASE!$H$6:$H$10008,$A$4:$A$2700)</f>
        <v>0</v>
      </c>
      <c r="E162" s="512">
        <f>SUMIFS(PURCHASE!$L$6:$L$10008,PURCHASE!$A$6:$A$10008,$M$2,PURCHASE!$H$6:$H$10008,$A$4:$A$2700)</f>
        <v>0</v>
      </c>
      <c r="F162" s="512">
        <f>SUMIFS(PURCHASE!$M$6:$M$10008,PURCHASE!$A$6:$A$10008,$M$2,PURCHASE!$H$6:$H$10008,$A$4:$A$2700)</f>
        <v>0</v>
      </c>
      <c r="G162" s="512">
        <f>SUMIFS(PURCHASE!$N$6:$N$10008,PURCHASE!$A$6:$A$10008,$M$2,PURCHASE!$H$6:$H$10008,$A$4:$A$2700)</f>
        <v>0</v>
      </c>
      <c r="H162" s="512">
        <f t="shared" si="46"/>
        <v>0</v>
      </c>
      <c r="I162" s="512">
        <f>SUMIFS(PURCHASE!$K$6:$K$10008,PURCHASE!$A$6:$A$10008,$H$2,PURCHASE!$H$6:$H$10008,$A$4:$A$2700)</f>
        <v>0</v>
      </c>
      <c r="J162" s="512">
        <f>SUMIFS(PURCHASE!$L$6:$L$10008,PURCHASE!$A$6:$A$10008,$H$2,PURCHASE!$H$6:$H$10008,$A$4:$A$2700)</f>
        <v>0</v>
      </c>
      <c r="K162" s="512">
        <f>SUMIFS(PURCHASE!$M$6:$M$10008,PURCHASE!$A$6:$A$10008,$H$2,PURCHASE!$H$6:$H$10008,$A$4:$A$2700)</f>
        <v>0</v>
      </c>
      <c r="L162" s="512">
        <f>SUMIFS(PURCHASE!$N$6:$N$10008,PURCHASE!$A$6:$A$10008,$H$2,PURCHASE!$H$6:$H$10008,$A$4:$A$2700)</f>
        <v>0</v>
      </c>
      <c r="M162" s="512">
        <f t="shared" si="47"/>
        <v>0</v>
      </c>
      <c r="N162" s="512">
        <f>SUMIFS(PURCHASE!$K$6:$K$10008,PURCHASE!$A$6:$A$10008,$M$2,PURCHASE!$H$6:$H$10008,$A$4:$A$2700)</f>
        <v>0</v>
      </c>
      <c r="O162" s="512">
        <f>SUMIFS(PURCHASE!$L$6:$L$10008,PURCHASE!$A$6:$A$10008,$M$2,PURCHASE!$H$6:$H$10008,$A$4:$A$2700)</f>
        <v>0</v>
      </c>
      <c r="P162" s="512">
        <f>SUMIFS(PURCHASE!$M$6:$M$10008,PURCHASE!$A$6:$A$10008,$M$2,PURCHASE!$H$6:$H$10008,$A$4:$A$2700)</f>
        <v>0</v>
      </c>
      <c r="Q162" s="512">
        <f>SUMIFS(PURCHASE!$N$6:$N$10008,PURCHASE!$A$6:$A$10008,$M$2,PURCHASE!$H$6:$H$10008,$A$4:$A$2700)</f>
        <v>0</v>
      </c>
      <c r="R162" s="512">
        <f t="shared" si="48"/>
        <v>11800</v>
      </c>
      <c r="S162" s="512">
        <f>SUMIFS(PURCHASE!$K$6:$K$10008,PURCHASE!$A$6:$A$10008,$R$2,PURCHASE!$H$6:$H$10008,$A$4:$A$2700)</f>
        <v>10000</v>
      </c>
      <c r="T162" s="512">
        <f>SUMIFS(PURCHASE!$L$6:$L$10008,PURCHASE!$A$6:$A$10008,$R$2,PURCHASE!$H$6:$H$10008,$A$4:$A$2700)</f>
        <v>0</v>
      </c>
      <c r="U162" s="512">
        <f>SUMIFS(PURCHASE!$M$6:$M$10008,PURCHASE!$A$6:$A$10008,$R$2,PURCHASE!$H$6:$H$10008,$A$4:$A$2700)</f>
        <v>900</v>
      </c>
      <c r="V162" s="512">
        <f>SUMIFS(PURCHASE!$N$6:$N$10008,PURCHASE!$A$6:$A$10008,$R$2,PURCHASE!$H$6:$H$10008,$A$4:$A$2700)</f>
        <v>900</v>
      </c>
      <c r="W162" s="512">
        <f t="shared" si="49"/>
        <v>29500</v>
      </c>
      <c r="X162" s="512">
        <f>SUMIFS(PURCHASE!$K$6:$K$10008,PURCHASE!$A$6:$A$10008,$W$2,PURCHASE!$H$6:$H$10008,$A$4:$A$2700)</f>
        <v>25000</v>
      </c>
      <c r="Y162" s="512">
        <f>SUMIFS(PURCHASE!$L$6:$L$10008,PURCHASE!$A$6:$A$10008,$W$2,PURCHASE!$H$6:$H$10008,$A$4:$A$2700)</f>
        <v>0</v>
      </c>
      <c r="Z162" s="512">
        <f>SUMIFS(PURCHASE!$M$6:$M$10008,PURCHASE!$A$6:$A$10008,$W$2,PURCHASE!$H$6:$H$10008,$A$4:$A$2700)</f>
        <v>2250</v>
      </c>
      <c r="AA162" s="512">
        <f>SUMIFS(PURCHASE!$N$6:$N$10008,PURCHASE!$A$6:$A$10008,$W$2,PURCHASE!$H$6:$H$10008,$A$4:$A$2700)</f>
        <v>2250</v>
      </c>
      <c r="AB162" s="512">
        <f t="shared" si="50"/>
        <v>0</v>
      </c>
      <c r="AC162" s="512">
        <f>SUMIFS(PURCHASE!$K$6:$K$10008,PURCHASE!$A$6:$A$10008,$AB$2,PURCHASE!$H$6:$H$10008,$A$4:$A$2700)</f>
        <v>0</v>
      </c>
      <c r="AD162" s="512">
        <f>SUMIFS(PURCHASE!$L$6:$L$10008,PURCHASE!$A$6:$A$10008,$AB$2,PURCHASE!$H$6:$H$10008,$A$4:$A$2700)</f>
        <v>0</v>
      </c>
      <c r="AE162" s="512">
        <f>SUMIFS(PURCHASE!$M$6:$M$10008,PURCHASE!$A$6:$A$10008,$AB$2,PURCHASE!$H$6:$H$10008,$A$4:$A$2700)</f>
        <v>0</v>
      </c>
      <c r="AF162" s="512">
        <f>SUMIFS(PURCHASE!$N$6:$N$10008,PURCHASE!$A$6:$A$10008,$AB$2,PURCHASE!$H$6:$H$10008,$A$4:$A$2700)</f>
        <v>0</v>
      </c>
      <c r="AG162" s="512">
        <f t="shared" si="51"/>
        <v>0</v>
      </c>
      <c r="AH162" s="512">
        <f>SUMIFS(PURCHASE!$K$6:$K$10008,PURCHASE!$A$6:$A$10008,$AG$2,PURCHASE!$H$6:$H$10008,$A$4:$A$2700)</f>
        <v>0</v>
      </c>
      <c r="AI162" s="512">
        <f>SUMIFS(PURCHASE!$L$6:$L$10008,PURCHASE!$A$6:$A$10008,$AG$2,PURCHASE!$H$6:$H$10008,$A$4:$A$2700)</f>
        <v>0</v>
      </c>
      <c r="AJ162" s="512">
        <f>SUMIFS(PURCHASE!$M$6:$M$10008,PURCHASE!$A$6:$A$10008,$AG$2,PURCHASE!$H$6:$H$10008,$A$4:$A$2700)</f>
        <v>0</v>
      </c>
      <c r="AK162" s="512">
        <f>SUMIFS(PURCHASE!$N$6:$N$10008,PURCHASE!$A$6:$A$10008,$AG$2,PURCHASE!$H$6:$H$10008,$A$4:$A$2700)</f>
        <v>0</v>
      </c>
      <c r="AL162" s="512">
        <f t="shared" si="52"/>
        <v>0</v>
      </c>
      <c r="AM162" s="512">
        <f>SUMIFS(PURCHASE!$K$6:$K$10008,PURCHASE!$A$6:$A$10008,$AL$2,PURCHASE!$H$6:$H$10008,$A$4:$A$2700)</f>
        <v>0</v>
      </c>
      <c r="AN162" s="512">
        <f>SUMIFS(PURCHASE!$L$6:$L$10008,PURCHASE!$A$6:$A$10008,$AL$2,PURCHASE!$H$6:$H$10008,$A$4:$A$2700)</f>
        <v>0</v>
      </c>
      <c r="AO162" s="512">
        <f>SUMIFS(PURCHASE!$M$6:$M$10008,PURCHASE!$A$6:$A$10008,$AL$2,PURCHASE!$H$6:$H$10008,$A$4:$A$2700)</f>
        <v>0</v>
      </c>
      <c r="AP162" s="512">
        <f>SUMIFS(PURCHASE!$N$6:$N$10008,PURCHASE!$A$6:$A$10008,$AL$2,PURCHASE!$H$6:$H$10008,$A$4:$A$2700)</f>
        <v>0</v>
      </c>
      <c r="AQ162" s="512">
        <f t="shared" si="53"/>
        <v>0</v>
      </c>
      <c r="AR162" s="512">
        <f>SUMIFS(PURCHASE!$K$6:$K$10008,PURCHASE!$A$6:$A$10008,$AQ$2,PURCHASE!$H$6:$H$10008,$A$4:$A$2700)</f>
        <v>0</v>
      </c>
      <c r="AS162" s="512">
        <f>SUMIFS(PURCHASE!$L$6:$L$10008,PURCHASE!$A$6:$A$10008,$AQ$2,PURCHASE!$H$6:$H$10008,$A$4:$A$2700)</f>
        <v>0</v>
      </c>
      <c r="AT162" s="512">
        <f>SUMIFS(PURCHASE!$M$6:$M$10008,PURCHASE!$A$6:$A$10008,$AQ$2,PURCHASE!$H$6:$H$10008,$A$4:$A$2700)</f>
        <v>0</v>
      </c>
      <c r="AU162" s="512">
        <f>SUMIFS(PURCHASE!$N$6:$N$10008,PURCHASE!$A$6:$A$10008,$AQ$2,PURCHASE!$H$6:$H$10008,$A$4:$A$2700)</f>
        <v>0</v>
      </c>
      <c r="AV162" s="512">
        <f t="shared" si="54"/>
        <v>0</v>
      </c>
      <c r="AW162" s="512">
        <f>SUMIFS(PURCHASE!$K$6:$K$10008,PURCHASE!$A$6:$A$10008,$AV$2,PURCHASE!$H$6:$H$10008,$A$4:$A$2700)</f>
        <v>0</v>
      </c>
      <c r="AX162" s="512">
        <f>SUMIFS(PURCHASE!$L$6:$L$10008,PURCHASE!$A$6:$A$10008,$AV$2,PURCHASE!$H$6:$H$10008,$A$4:$A$2700)</f>
        <v>0</v>
      </c>
      <c r="AY162" s="512">
        <f>SUMIFS(PURCHASE!$M$6:$M$10008,PURCHASE!$A$6:$A$10008,$AV$2,PURCHASE!$H$6:$H$10008,$A$4:$A$2700)</f>
        <v>0</v>
      </c>
      <c r="AZ162" s="512">
        <f>SUMIFS(PURCHASE!$N$6:$N$10008,PURCHASE!$A$6:$A$10008,$AV$2,PURCHASE!$H$6:$H$10008,$A$4:$A$2700)</f>
        <v>0</v>
      </c>
      <c r="BA162" s="512">
        <f t="shared" si="55"/>
        <v>0</v>
      </c>
      <c r="BB162" s="512">
        <f>SUMIFS(PURCHASE!$K$6:$K$10008,PURCHASE!$A$6:$A$10008,$BA$2,PURCHASE!$H$6:$H$10008,$A$4:$A$2700)</f>
        <v>0</v>
      </c>
      <c r="BC162" s="512">
        <f>SUMIFS(PURCHASE!$L$6:$L$10008,PURCHASE!$A$6:$A$10008,$BA$2,PURCHASE!$H$6:$H$10008,$A$4:$A$2700)</f>
        <v>0</v>
      </c>
      <c r="BD162" s="512">
        <f>SUMIFS(PURCHASE!$M$6:$M$10008,PURCHASE!$A$6:$A$10008,$BA$2,PURCHASE!$H$6:$H$10008,$A$4:$A$2700)</f>
        <v>0</v>
      </c>
      <c r="BE162" s="512">
        <f>SUMIFS(PURCHASE!$N$6:$N$10008,PURCHASE!$A$6:$A$10008,$BA$2,PURCHASE!$H$6:$H$10008,$A$4:$A$2700)</f>
        <v>0</v>
      </c>
      <c r="BF162" s="512">
        <f t="shared" si="56"/>
        <v>0</v>
      </c>
      <c r="BG162" s="512">
        <f>SUMIFS(PURCHASE!$K$6:$K$10008,PURCHASE!$A$6:$A$10008,$BF$2,PURCHASE!$H$6:$H$10008,$A$4:$A$2700)</f>
        <v>0</v>
      </c>
      <c r="BH162" s="512">
        <f>SUMIFS(PURCHASE!$L$6:$L$10008,PURCHASE!$A$6:$A$10008,$BF$2,PURCHASE!$H$6:$H$10008,$A$4:$A$2700)</f>
        <v>0</v>
      </c>
      <c r="BI162" s="512">
        <f>SUMIFS(PURCHASE!$M$6:$M$10008,PURCHASE!$A$6:$A$10008,$BF$2,PURCHASE!$H$6:$H$10008,$A$4:$A$2700)</f>
        <v>0</v>
      </c>
      <c r="BJ162" s="512">
        <f>SUMIFS(PURCHASE!$N$6:$N$10008,PURCHASE!$A$6:$A$10008,$BF$2,PURCHASE!$H$6:$H$10008,$A$4:$A$2700)</f>
        <v>0</v>
      </c>
      <c r="BK162" s="72">
        <f t="shared" si="40"/>
        <v>41300</v>
      </c>
      <c r="BL162" s="72">
        <f t="shared" si="41"/>
        <v>35000</v>
      </c>
      <c r="BM162" s="72">
        <f t="shared" si="42"/>
        <v>0</v>
      </c>
      <c r="BN162" s="72">
        <f t="shared" si="43"/>
        <v>3150</v>
      </c>
      <c r="BO162" s="72">
        <f t="shared" si="44"/>
        <v>3150</v>
      </c>
    </row>
    <row r="163" spans="1:67" x14ac:dyDescent="0.2">
      <c r="A163" s="511">
        <v>32149090</v>
      </c>
      <c r="B163" s="467" t="s">
        <v>1302</v>
      </c>
      <c r="C163" s="512">
        <f t="shared" si="45"/>
        <v>0</v>
      </c>
      <c r="D163" s="512">
        <f>SUMIFS(PURCHASE!$K$6:$K$10008,PURCHASE!$A$6:$A$10008,$M$2,PURCHASE!$H$6:$H$10008,$A$4:$A$2700)</f>
        <v>0</v>
      </c>
      <c r="E163" s="512">
        <f>SUMIFS(PURCHASE!$L$6:$L$10008,PURCHASE!$A$6:$A$10008,$M$2,PURCHASE!$H$6:$H$10008,$A$4:$A$2700)</f>
        <v>0</v>
      </c>
      <c r="F163" s="512">
        <f>SUMIFS(PURCHASE!$M$6:$M$10008,PURCHASE!$A$6:$A$10008,$M$2,PURCHASE!$H$6:$H$10008,$A$4:$A$2700)</f>
        <v>0</v>
      </c>
      <c r="G163" s="512">
        <f>SUMIFS(PURCHASE!$N$6:$N$10008,PURCHASE!$A$6:$A$10008,$M$2,PURCHASE!$H$6:$H$10008,$A$4:$A$2700)</f>
        <v>0</v>
      </c>
      <c r="H163" s="512">
        <f t="shared" si="46"/>
        <v>0</v>
      </c>
      <c r="I163" s="512">
        <f>SUMIFS(PURCHASE!$K$6:$K$10008,PURCHASE!$A$6:$A$10008,$H$2,PURCHASE!$H$6:$H$10008,$A$4:$A$2700)</f>
        <v>0</v>
      </c>
      <c r="J163" s="512">
        <f>SUMIFS(PURCHASE!$L$6:$L$10008,PURCHASE!$A$6:$A$10008,$H$2,PURCHASE!$H$6:$H$10008,$A$4:$A$2700)</f>
        <v>0</v>
      </c>
      <c r="K163" s="512">
        <f>SUMIFS(PURCHASE!$M$6:$M$10008,PURCHASE!$A$6:$A$10008,$H$2,PURCHASE!$H$6:$H$10008,$A$4:$A$2700)</f>
        <v>0</v>
      </c>
      <c r="L163" s="512">
        <f>SUMIFS(PURCHASE!$N$6:$N$10008,PURCHASE!$A$6:$A$10008,$H$2,PURCHASE!$H$6:$H$10008,$A$4:$A$2700)</f>
        <v>0</v>
      </c>
      <c r="M163" s="512">
        <f t="shared" si="47"/>
        <v>0</v>
      </c>
      <c r="N163" s="512">
        <f>SUMIFS(PURCHASE!$K$6:$K$10008,PURCHASE!$A$6:$A$10008,$M$2,PURCHASE!$H$6:$H$10008,$A$4:$A$2700)</f>
        <v>0</v>
      </c>
      <c r="O163" s="512">
        <f>SUMIFS(PURCHASE!$L$6:$L$10008,PURCHASE!$A$6:$A$10008,$M$2,PURCHASE!$H$6:$H$10008,$A$4:$A$2700)</f>
        <v>0</v>
      </c>
      <c r="P163" s="512">
        <f>SUMIFS(PURCHASE!$M$6:$M$10008,PURCHASE!$A$6:$A$10008,$M$2,PURCHASE!$H$6:$H$10008,$A$4:$A$2700)</f>
        <v>0</v>
      </c>
      <c r="Q163" s="512">
        <f>SUMIFS(PURCHASE!$N$6:$N$10008,PURCHASE!$A$6:$A$10008,$M$2,PURCHASE!$H$6:$H$10008,$A$4:$A$2700)</f>
        <v>0</v>
      </c>
      <c r="R163" s="512">
        <f t="shared" si="48"/>
        <v>6796.7999999999993</v>
      </c>
      <c r="S163" s="512">
        <f>SUMIFS(PURCHASE!$K$6:$K$10008,PURCHASE!$A$6:$A$10008,$R$2,PURCHASE!$H$6:$H$10008,$A$4:$A$2700)</f>
        <v>5760</v>
      </c>
      <c r="T163" s="512">
        <f>SUMIFS(PURCHASE!$L$6:$L$10008,PURCHASE!$A$6:$A$10008,$R$2,PURCHASE!$H$6:$H$10008,$A$4:$A$2700)</f>
        <v>0</v>
      </c>
      <c r="U163" s="512">
        <f>SUMIFS(PURCHASE!$M$6:$M$10008,PURCHASE!$A$6:$A$10008,$R$2,PURCHASE!$H$6:$H$10008,$A$4:$A$2700)</f>
        <v>518.4</v>
      </c>
      <c r="V163" s="512">
        <f>SUMIFS(PURCHASE!$N$6:$N$10008,PURCHASE!$A$6:$A$10008,$R$2,PURCHASE!$H$6:$H$10008,$A$4:$A$2700)</f>
        <v>518.4</v>
      </c>
      <c r="W163" s="512">
        <f t="shared" si="49"/>
        <v>0</v>
      </c>
      <c r="X163" s="512">
        <f>SUMIFS(PURCHASE!$K$6:$K$10008,PURCHASE!$A$6:$A$10008,$W$2,PURCHASE!$H$6:$H$10008,$A$4:$A$2700)</f>
        <v>0</v>
      </c>
      <c r="Y163" s="512">
        <f>SUMIFS(PURCHASE!$L$6:$L$10008,PURCHASE!$A$6:$A$10008,$W$2,PURCHASE!$H$6:$H$10008,$A$4:$A$2700)</f>
        <v>0</v>
      </c>
      <c r="Z163" s="512">
        <f>SUMIFS(PURCHASE!$M$6:$M$10008,PURCHASE!$A$6:$A$10008,$W$2,PURCHASE!$H$6:$H$10008,$A$4:$A$2700)</f>
        <v>0</v>
      </c>
      <c r="AA163" s="512">
        <f>SUMIFS(PURCHASE!$N$6:$N$10008,PURCHASE!$A$6:$A$10008,$W$2,PURCHASE!$H$6:$H$10008,$A$4:$A$2700)</f>
        <v>0</v>
      </c>
      <c r="AB163" s="512">
        <f t="shared" si="50"/>
        <v>0</v>
      </c>
      <c r="AC163" s="512">
        <f>SUMIFS(PURCHASE!$K$6:$K$10008,PURCHASE!$A$6:$A$10008,$AB$2,PURCHASE!$H$6:$H$10008,$A$4:$A$2700)</f>
        <v>0</v>
      </c>
      <c r="AD163" s="512">
        <f>SUMIFS(PURCHASE!$L$6:$L$10008,PURCHASE!$A$6:$A$10008,$AB$2,PURCHASE!$H$6:$H$10008,$A$4:$A$2700)</f>
        <v>0</v>
      </c>
      <c r="AE163" s="512">
        <f>SUMIFS(PURCHASE!$M$6:$M$10008,PURCHASE!$A$6:$A$10008,$AB$2,PURCHASE!$H$6:$H$10008,$A$4:$A$2700)</f>
        <v>0</v>
      </c>
      <c r="AF163" s="512">
        <f>SUMIFS(PURCHASE!$N$6:$N$10008,PURCHASE!$A$6:$A$10008,$AB$2,PURCHASE!$H$6:$H$10008,$A$4:$A$2700)</f>
        <v>0</v>
      </c>
      <c r="AG163" s="512">
        <f t="shared" si="51"/>
        <v>0</v>
      </c>
      <c r="AH163" s="512">
        <f>SUMIFS(PURCHASE!$K$6:$K$10008,PURCHASE!$A$6:$A$10008,$AG$2,PURCHASE!$H$6:$H$10008,$A$4:$A$2700)</f>
        <v>0</v>
      </c>
      <c r="AI163" s="512">
        <f>SUMIFS(PURCHASE!$L$6:$L$10008,PURCHASE!$A$6:$A$10008,$AG$2,PURCHASE!$H$6:$H$10008,$A$4:$A$2700)</f>
        <v>0</v>
      </c>
      <c r="AJ163" s="512">
        <f>SUMIFS(PURCHASE!$M$6:$M$10008,PURCHASE!$A$6:$A$10008,$AG$2,PURCHASE!$H$6:$H$10008,$A$4:$A$2700)</f>
        <v>0</v>
      </c>
      <c r="AK163" s="512">
        <f>SUMIFS(PURCHASE!$N$6:$N$10008,PURCHASE!$A$6:$A$10008,$AG$2,PURCHASE!$H$6:$H$10008,$A$4:$A$2700)</f>
        <v>0</v>
      </c>
      <c r="AL163" s="512">
        <f t="shared" si="52"/>
        <v>0</v>
      </c>
      <c r="AM163" s="512">
        <f>SUMIFS(PURCHASE!$K$6:$K$10008,PURCHASE!$A$6:$A$10008,$AL$2,PURCHASE!$H$6:$H$10008,$A$4:$A$2700)</f>
        <v>0</v>
      </c>
      <c r="AN163" s="512">
        <f>SUMIFS(PURCHASE!$L$6:$L$10008,PURCHASE!$A$6:$A$10008,$AL$2,PURCHASE!$H$6:$H$10008,$A$4:$A$2700)</f>
        <v>0</v>
      </c>
      <c r="AO163" s="512">
        <f>SUMIFS(PURCHASE!$M$6:$M$10008,PURCHASE!$A$6:$A$10008,$AL$2,PURCHASE!$H$6:$H$10008,$A$4:$A$2700)</f>
        <v>0</v>
      </c>
      <c r="AP163" s="512">
        <f>SUMIFS(PURCHASE!$N$6:$N$10008,PURCHASE!$A$6:$A$10008,$AL$2,PURCHASE!$H$6:$H$10008,$A$4:$A$2700)</f>
        <v>0</v>
      </c>
      <c r="AQ163" s="512">
        <f t="shared" si="53"/>
        <v>0</v>
      </c>
      <c r="AR163" s="512">
        <f>SUMIFS(PURCHASE!$K$6:$K$10008,PURCHASE!$A$6:$A$10008,$AQ$2,PURCHASE!$H$6:$H$10008,$A$4:$A$2700)</f>
        <v>0</v>
      </c>
      <c r="AS163" s="512">
        <f>SUMIFS(PURCHASE!$L$6:$L$10008,PURCHASE!$A$6:$A$10008,$AQ$2,PURCHASE!$H$6:$H$10008,$A$4:$A$2700)</f>
        <v>0</v>
      </c>
      <c r="AT163" s="512">
        <f>SUMIFS(PURCHASE!$M$6:$M$10008,PURCHASE!$A$6:$A$10008,$AQ$2,PURCHASE!$H$6:$H$10008,$A$4:$A$2700)</f>
        <v>0</v>
      </c>
      <c r="AU163" s="512">
        <f>SUMIFS(PURCHASE!$N$6:$N$10008,PURCHASE!$A$6:$A$10008,$AQ$2,PURCHASE!$H$6:$H$10008,$A$4:$A$2700)</f>
        <v>0</v>
      </c>
      <c r="AV163" s="512">
        <f t="shared" si="54"/>
        <v>0</v>
      </c>
      <c r="AW163" s="512">
        <f>SUMIFS(PURCHASE!$K$6:$K$10008,PURCHASE!$A$6:$A$10008,$AV$2,PURCHASE!$H$6:$H$10008,$A$4:$A$2700)</f>
        <v>0</v>
      </c>
      <c r="AX163" s="512">
        <f>SUMIFS(PURCHASE!$L$6:$L$10008,PURCHASE!$A$6:$A$10008,$AV$2,PURCHASE!$H$6:$H$10008,$A$4:$A$2700)</f>
        <v>0</v>
      </c>
      <c r="AY163" s="512">
        <f>SUMIFS(PURCHASE!$M$6:$M$10008,PURCHASE!$A$6:$A$10008,$AV$2,PURCHASE!$H$6:$H$10008,$A$4:$A$2700)</f>
        <v>0</v>
      </c>
      <c r="AZ163" s="512">
        <f>SUMIFS(PURCHASE!$N$6:$N$10008,PURCHASE!$A$6:$A$10008,$AV$2,PURCHASE!$H$6:$H$10008,$A$4:$A$2700)</f>
        <v>0</v>
      </c>
      <c r="BA163" s="512">
        <f t="shared" si="55"/>
        <v>0</v>
      </c>
      <c r="BB163" s="512">
        <f>SUMIFS(PURCHASE!$K$6:$K$10008,PURCHASE!$A$6:$A$10008,$BA$2,PURCHASE!$H$6:$H$10008,$A$4:$A$2700)</f>
        <v>0</v>
      </c>
      <c r="BC163" s="512">
        <f>SUMIFS(PURCHASE!$L$6:$L$10008,PURCHASE!$A$6:$A$10008,$BA$2,PURCHASE!$H$6:$H$10008,$A$4:$A$2700)</f>
        <v>0</v>
      </c>
      <c r="BD163" s="512">
        <f>SUMIFS(PURCHASE!$M$6:$M$10008,PURCHASE!$A$6:$A$10008,$BA$2,PURCHASE!$H$6:$H$10008,$A$4:$A$2700)</f>
        <v>0</v>
      </c>
      <c r="BE163" s="512">
        <f>SUMIFS(PURCHASE!$N$6:$N$10008,PURCHASE!$A$6:$A$10008,$BA$2,PURCHASE!$H$6:$H$10008,$A$4:$A$2700)</f>
        <v>0</v>
      </c>
      <c r="BF163" s="512">
        <f t="shared" si="56"/>
        <v>0</v>
      </c>
      <c r="BG163" s="512">
        <f>SUMIFS(PURCHASE!$K$6:$K$10008,PURCHASE!$A$6:$A$10008,$BF$2,PURCHASE!$H$6:$H$10008,$A$4:$A$2700)</f>
        <v>0</v>
      </c>
      <c r="BH163" s="512">
        <f>SUMIFS(PURCHASE!$L$6:$L$10008,PURCHASE!$A$6:$A$10008,$BF$2,PURCHASE!$H$6:$H$10008,$A$4:$A$2700)</f>
        <v>0</v>
      </c>
      <c r="BI163" s="512">
        <f>SUMIFS(PURCHASE!$M$6:$M$10008,PURCHASE!$A$6:$A$10008,$BF$2,PURCHASE!$H$6:$H$10008,$A$4:$A$2700)</f>
        <v>0</v>
      </c>
      <c r="BJ163" s="512">
        <f>SUMIFS(PURCHASE!$N$6:$N$10008,PURCHASE!$A$6:$A$10008,$BF$2,PURCHASE!$H$6:$H$10008,$A$4:$A$2700)</f>
        <v>0</v>
      </c>
      <c r="BK163" s="72">
        <f t="shared" si="40"/>
        <v>6796.7999999999993</v>
      </c>
      <c r="BL163" s="72">
        <f t="shared" si="41"/>
        <v>5760</v>
      </c>
      <c r="BM163" s="72">
        <f t="shared" si="42"/>
        <v>0</v>
      </c>
      <c r="BN163" s="72">
        <f t="shared" si="43"/>
        <v>518.4</v>
      </c>
      <c r="BO163" s="72">
        <f t="shared" si="44"/>
        <v>518.4</v>
      </c>
    </row>
    <row r="164" spans="1:67" x14ac:dyDescent="0.2">
      <c r="A164" s="511">
        <v>85015210</v>
      </c>
      <c r="B164" s="467" t="s">
        <v>1303</v>
      </c>
      <c r="C164" s="512">
        <f t="shared" si="45"/>
        <v>0</v>
      </c>
      <c r="D164" s="512">
        <f>SUMIFS(PURCHASE!$K$6:$K$10008,PURCHASE!$A$6:$A$10008,$M$2,PURCHASE!$H$6:$H$10008,$A$4:$A$2700)</f>
        <v>0</v>
      </c>
      <c r="E164" s="512">
        <f>SUMIFS(PURCHASE!$L$6:$L$10008,PURCHASE!$A$6:$A$10008,$M$2,PURCHASE!$H$6:$H$10008,$A$4:$A$2700)</f>
        <v>0</v>
      </c>
      <c r="F164" s="512">
        <f>SUMIFS(PURCHASE!$M$6:$M$10008,PURCHASE!$A$6:$A$10008,$M$2,PURCHASE!$H$6:$H$10008,$A$4:$A$2700)</f>
        <v>0</v>
      </c>
      <c r="G164" s="512">
        <f>SUMIFS(PURCHASE!$N$6:$N$10008,PURCHASE!$A$6:$A$10008,$M$2,PURCHASE!$H$6:$H$10008,$A$4:$A$2700)</f>
        <v>0</v>
      </c>
      <c r="H164" s="512">
        <f t="shared" si="46"/>
        <v>0</v>
      </c>
      <c r="I164" s="512">
        <f>SUMIFS(PURCHASE!$K$6:$K$10008,PURCHASE!$A$6:$A$10008,$H$2,PURCHASE!$H$6:$H$10008,$A$4:$A$2700)</f>
        <v>0</v>
      </c>
      <c r="J164" s="512">
        <f>SUMIFS(PURCHASE!$L$6:$L$10008,PURCHASE!$A$6:$A$10008,$H$2,PURCHASE!$H$6:$H$10008,$A$4:$A$2700)</f>
        <v>0</v>
      </c>
      <c r="K164" s="512">
        <f>SUMIFS(PURCHASE!$M$6:$M$10008,PURCHASE!$A$6:$A$10008,$H$2,PURCHASE!$H$6:$H$10008,$A$4:$A$2700)</f>
        <v>0</v>
      </c>
      <c r="L164" s="512">
        <f>SUMIFS(PURCHASE!$N$6:$N$10008,PURCHASE!$A$6:$A$10008,$H$2,PURCHASE!$H$6:$H$10008,$A$4:$A$2700)</f>
        <v>0</v>
      </c>
      <c r="M164" s="512">
        <f t="shared" si="47"/>
        <v>0</v>
      </c>
      <c r="N164" s="512">
        <f>SUMIFS(PURCHASE!$K$6:$K$10008,PURCHASE!$A$6:$A$10008,$M$2,PURCHASE!$H$6:$H$10008,$A$4:$A$2700)</f>
        <v>0</v>
      </c>
      <c r="O164" s="512">
        <f>SUMIFS(PURCHASE!$L$6:$L$10008,PURCHASE!$A$6:$A$10008,$M$2,PURCHASE!$H$6:$H$10008,$A$4:$A$2700)</f>
        <v>0</v>
      </c>
      <c r="P164" s="512">
        <f>SUMIFS(PURCHASE!$M$6:$M$10008,PURCHASE!$A$6:$A$10008,$M$2,PURCHASE!$H$6:$H$10008,$A$4:$A$2700)</f>
        <v>0</v>
      </c>
      <c r="Q164" s="512">
        <f>SUMIFS(PURCHASE!$N$6:$N$10008,PURCHASE!$A$6:$A$10008,$M$2,PURCHASE!$H$6:$H$10008,$A$4:$A$2700)</f>
        <v>0</v>
      </c>
      <c r="R164" s="512">
        <f t="shared" si="48"/>
        <v>0</v>
      </c>
      <c r="S164" s="512">
        <f>SUMIFS(PURCHASE!$K$6:$K$10008,PURCHASE!$A$6:$A$10008,$R$2,PURCHASE!$H$6:$H$10008,$A$4:$A$2700)</f>
        <v>0</v>
      </c>
      <c r="T164" s="512">
        <f>SUMIFS(PURCHASE!$L$6:$L$10008,PURCHASE!$A$6:$A$10008,$R$2,PURCHASE!$H$6:$H$10008,$A$4:$A$2700)</f>
        <v>0</v>
      </c>
      <c r="U164" s="512">
        <f>SUMIFS(PURCHASE!$M$6:$M$10008,PURCHASE!$A$6:$A$10008,$R$2,PURCHASE!$H$6:$H$10008,$A$4:$A$2700)</f>
        <v>0</v>
      </c>
      <c r="V164" s="512">
        <f>SUMIFS(PURCHASE!$N$6:$N$10008,PURCHASE!$A$6:$A$10008,$R$2,PURCHASE!$H$6:$H$10008,$A$4:$A$2700)</f>
        <v>0</v>
      </c>
      <c r="W164" s="512">
        <f t="shared" si="49"/>
        <v>44397.5</v>
      </c>
      <c r="X164" s="512">
        <f>SUMIFS(PURCHASE!$K$6:$K$10008,PURCHASE!$A$6:$A$10008,$W$2,PURCHASE!$H$6:$H$10008,$A$4:$A$2700)</f>
        <v>37625</v>
      </c>
      <c r="Y164" s="512">
        <f>SUMIFS(PURCHASE!$L$6:$L$10008,PURCHASE!$A$6:$A$10008,$W$2,PURCHASE!$H$6:$H$10008,$A$4:$A$2700)</f>
        <v>0</v>
      </c>
      <c r="Z164" s="512">
        <f>SUMIFS(PURCHASE!$M$6:$M$10008,PURCHASE!$A$6:$A$10008,$W$2,PURCHASE!$H$6:$H$10008,$A$4:$A$2700)</f>
        <v>3386.2500000000005</v>
      </c>
      <c r="AA164" s="512">
        <f>SUMIFS(PURCHASE!$N$6:$N$10008,PURCHASE!$A$6:$A$10008,$W$2,PURCHASE!$H$6:$H$10008,$A$4:$A$2700)</f>
        <v>3386.2500000000005</v>
      </c>
      <c r="AB164" s="512">
        <f t="shared" si="50"/>
        <v>0</v>
      </c>
      <c r="AC164" s="512">
        <f>SUMIFS(PURCHASE!$K$6:$K$10008,PURCHASE!$A$6:$A$10008,$AB$2,PURCHASE!$H$6:$H$10008,$A$4:$A$2700)</f>
        <v>0</v>
      </c>
      <c r="AD164" s="512">
        <f>SUMIFS(PURCHASE!$L$6:$L$10008,PURCHASE!$A$6:$A$10008,$AB$2,PURCHASE!$H$6:$H$10008,$A$4:$A$2700)</f>
        <v>0</v>
      </c>
      <c r="AE164" s="512">
        <f>SUMIFS(PURCHASE!$M$6:$M$10008,PURCHASE!$A$6:$A$10008,$AB$2,PURCHASE!$H$6:$H$10008,$A$4:$A$2700)</f>
        <v>0</v>
      </c>
      <c r="AF164" s="512">
        <f>SUMIFS(PURCHASE!$N$6:$N$10008,PURCHASE!$A$6:$A$10008,$AB$2,PURCHASE!$H$6:$H$10008,$A$4:$A$2700)</f>
        <v>0</v>
      </c>
      <c r="AG164" s="512">
        <f t="shared" si="51"/>
        <v>0</v>
      </c>
      <c r="AH164" s="512">
        <f>SUMIFS(PURCHASE!$K$6:$K$10008,PURCHASE!$A$6:$A$10008,$AG$2,PURCHASE!$H$6:$H$10008,$A$4:$A$2700)</f>
        <v>0</v>
      </c>
      <c r="AI164" s="512">
        <f>SUMIFS(PURCHASE!$L$6:$L$10008,PURCHASE!$A$6:$A$10008,$AG$2,PURCHASE!$H$6:$H$10008,$A$4:$A$2700)</f>
        <v>0</v>
      </c>
      <c r="AJ164" s="512">
        <f>SUMIFS(PURCHASE!$M$6:$M$10008,PURCHASE!$A$6:$A$10008,$AG$2,PURCHASE!$H$6:$H$10008,$A$4:$A$2700)</f>
        <v>0</v>
      </c>
      <c r="AK164" s="512">
        <f>SUMIFS(PURCHASE!$N$6:$N$10008,PURCHASE!$A$6:$A$10008,$AG$2,PURCHASE!$H$6:$H$10008,$A$4:$A$2700)</f>
        <v>0</v>
      </c>
      <c r="AL164" s="512">
        <f t="shared" si="52"/>
        <v>0</v>
      </c>
      <c r="AM164" s="512">
        <f>SUMIFS(PURCHASE!$K$6:$K$10008,PURCHASE!$A$6:$A$10008,$AL$2,PURCHASE!$H$6:$H$10008,$A$4:$A$2700)</f>
        <v>0</v>
      </c>
      <c r="AN164" s="512">
        <f>SUMIFS(PURCHASE!$L$6:$L$10008,PURCHASE!$A$6:$A$10008,$AL$2,PURCHASE!$H$6:$H$10008,$A$4:$A$2700)</f>
        <v>0</v>
      </c>
      <c r="AO164" s="512">
        <f>SUMIFS(PURCHASE!$M$6:$M$10008,PURCHASE!$A$6:$A$10008,$AL$2,PURCHASE!$H$6:$H$10008,$A$4:$A$2700)</f>
        <v>0</v>
      </c>
      <c r="AP164" s="512">
        <f>SUMIFS(PURCHASE!$N$6:$N$10008,PURCHASE!$A$6:$A$10008,$AL$2,PURCHASE!$H$6:$H$10008,$A$4:$A$2700)</f>
        <v>0</v>
      </c>
      <c r="AQ164" s="512">
        <f t="shared" si="53"/>
        <v>0</v>
      </c>
      <c r="AR164" s="512">
        <f>SUMIFS(PURCHASE!$K$6:$K$10008,PURCHASE!$A$6:$A$10008,$AQ$2,PURCHASE!$H$6:$H$10008,$A$4:$A$2700)</f>
        <v>0</v>
      </c>
      <c r="AS164" s="512">
        <f>SUMIFS(PURCHASE!$L$6:$L$10008,PURCHASE!$A$6:$A$10008,$AQ$2,PURCHASE!$H$6:$H$10008,$A$4:$A$2700)</f>
        <v>0</v>
      </c>
      <c r="AT164" s="512">
        <f>SUMIFS(PURCHASE!$M$6:$M$10008,PURCHASE!$A$6:$A$10008,$AQ$2,PURCHASE!$H$6:$H$10008,$A$4:$A$2700)</f>
        <v>0</v>
      </c>
      <c r="AU164" s="512">
        <f>SUMIFS(PURCHASE!$N$6:$N$10008,PURCHASE!$A$6:$A$10008,$AQ$2,PURCHASE!$H$6:$H$10008,$A$4:$A$2700)</f>
        <v>0</v>
      </c>
      <c r="AV164" s="512">
        <f t="shared" si="54"/>
        <v>0</v>
      </c>
      <c r="AW164" s="512">
        <f>SUMIFS(PURCHASE!$K$6:$K$10008,PURCHASE!$A$6:$A$10008,$AV$2,PURCHASE!$H$6:$H$10008,$A$4:$A$2700)</f>
        <v>0</v>
      </c>
      <c r="AX164" s="512">
        <f>SUMIFS(PURCHASE!$L$6:$L$10008,PURCHASE!$A$6:$A$10008,$AV$2,PURCHASE!$H$6:$H$10008,$A$4:$A$2700)</f>
        <v>0</v>
      </c>
      <c r="AY164" s="512">
        <f>SUMIFS(PURCHASE!$M$6:$M$10008,PURCHASE!$A$6:$A$10008,$AV$2,PURCHASE!$H$6:$H$10008,$A$4:$A$2700)</f>
        <v>0</v>
      </c>
      <c r="AZ164" s="512">
        <f>SUMIFS(PURCHASE!$N$6:$N$10008,PURCHASE!$A$6:$A$10008,$AV$2,PURCHASE!$H$6:$H$10008,$A$4:$A$2700)</f>
        <v>0</v>
      </c>
      <c r="BA164" s="512">
        <f t="shared" si="55"/>
        <v>0</v>
      </c>
      <c r="BB164" s="512">
        <f>SUMIFS(PURCHASE!$K$6:$K$10008,PURCHASE!$A$6:$A$10008,$BA$2,PURCHASE!$H$6:$H$10008,$A$4:$A$2700)</f>
        <v>0</v>
      </c>
      <c r="BC164" s="512">
        <f>SUMIFS(PURCHASE!$L$6:$L$10008,PURCHASE!$A$6:$A$10008,$BA$2,PURCHASE!$H$6:$H$10008,$A$4:$A$2700)</f>
        <v>0</v>
      </c>
      <c r="BD164" s="512">
        <f>SUMIFS(PURCHASE!$M$6:$M$10008,PURCHASE!$A$6:$A$10008,$BA$2,PURCHASE!$H$6:$H$10008,$A$4:$A$2700)</f>
        <v>0</v>
      </c>
      <c r="BE164" s="512">
        <f>SUMIFS(PURCHASE!$N$6:$N$10008,PURCHASE!$A$6:$A$10008,$BA$2,PURCHASE!$H$6:$H$10008,$A$4:$A$2700)</f>
        <v>0</v>
      </c>
      <c r="BF164" s="512">
        <f t="shared" si="56"/>
        <v>0</v>
      </c>
      <c r="BG164" s="512">
        <f>SUMIFS(PURCHASE!$K$6:$K$10008,PURCHASE!$A$6:$A$10008,$BF$2,PURCHASE!$H$6:$H$10008,$A$4:$A$2700)</f>
        <v>0</v>
      </c>
      <c r="BH164" s="512">
        <f>SUMIFS(PURCHASE!$L$6:$L$10008,PURCHASE!$A$6:$A$10008,$BF$2,PURCHASE!$H$6:$H$10008,$A$4:$A$2700)</f>
        <v>0</v>
      </c>
      <c r="BI164" s="512">
        <f>SUMIFS(PURCHASE!$M$6:$M$10008,PURCHASE!$A$6:$A$10008,$BF$2,PURCHASE!$H$6:$H$10008,$A$4:$A$2700)</f>
        <v>0</v>
      </c>
      <c r="BJ164" s="512">
        <f>SUMIFS(PURCHASE!$N$6:$N$10008,PURCHASE!$A$6:$A$10008,$BF$2,PURCHASE!$H$6:$H$10008,$A$4:$A$2700)</f>
        <v>0</v>
      </c>
      <c r="BK164" s="72">
        <f t="shared" si="40"/>
        <v>44397.5</v>
      </c>
      <c r="BL164" s="72">
        <f t="shared" si="41"/>
        <v>37625</v>
      </c>
      <c r="BM164" s="72">
        <f t="shared" si="42"/>
        <v>0</v>
      </c>
      <c r="BN164" s="72">
        <f t="shared" si="43"/>
        <v>3386.2500000000005</v>
      </c>
      <c r="BO164" s="72">
        <f t="shared" si="44"/>
        <v>3386.2500000000005</v>
      </c>
    </row>
    <row r="165" spans="1:67" x14ac:dyDescent="0.2">
      <c r="A165" s="511">
        <v>3923</v>
      </c>
      <c r="B165" s="467" t="s">
        <v>1304</v>
      </c>
      <c r="C165" s="512">
        <f t="shared" si="45"/>
        <v>0</v>
      </c>
      <c r="D165" s="512">
        <f>SUMIFS(PURCHASE!$K$6:$K$10008,PURCHASE!$A$6:$A$10008,$M$2,PURCHASE!$H$6:$H$10008,$A$4:$A$2700)</f>
        <v>0</v>
      </c>
      <c r="E165" s="512">
        <f>SUMIFS(PURCHASE!$L$6:$L$10008,PURCHASE!$A$6:$A$10008,$M$2,PURCHASE!$H$6:$H$10008,$A$4:$A$2700)</f>
        <v>0</v>
      </c>
      <c r="F165" s="512">
        <f>SUMIFS(PURCHASE!$M$6:$M$10008,PURCHASE!$A$6:$A$10008,$M$2,PURCHASE!$H$6:$H$10008,$A$4:$A$2700)</f>
        <v>0</v>
      </c>
      <c r="G165" s="512">
        <f>SUMIFS(PURCHASE!$N$6:$N$10008,PURCHASE!$A$6:$A$10008,$M$2,PURCHASE!$H$6:$H$10008,$A$4:$A$2700)</f>
        <v>0</v>
      </c>
      <c r="H165" s="512">
        <f t="shared" si="46"/>
        <v>0</v>
      </c>
      <c r="I165" s="512">
        <f>SUMIFS(PURCHASE!$K$6:$K$10008,PURCHASE!$A$6:$A$10008,$H$2,PURCHASE!$H$6:$H$10008,$A$4:$A$2700)</f>
        <v>0</v>
      </c>
      <c r="J165" s="512">
        <f>SUMIFS(PURCHASE!$L$6:$L$10008,PURCHASE!$A$6:$A$10008,$H$2,PURCHASE!$H$6:$H$10008,$A$4:$A$2700)</f>
        <v>0</v>
      </c>
      <c r="K165" s="512">
        <f>SUMIFS(PURCHASE!$M$6:$M$10008,PURCHASE!$A$6:$A$10008,$H$2,PURCHASE!$H$6:$H$10008,$A$4:$A$2700)</f>
        <v>0</v>
      </c>
      <c r="L165" s="512">
        <f>SUMIFS(PURCHASE!$N$6:$N$10008,PURCHASE!$A$6:$A$10008,$H$2,PURCHASE!$H$6:$H$10008,$A$4:$A$2700)</f>
        <v>0</v>
      </c>
      <c r="M165" s="512">
        <f t="shared" si="47"/>
        <v>0</v>
      </c>
      <c r="N165" s="512">
        <f>SUMIFS(PURCHASE!$K$6:$K$10008,PURCHASE!$A$6:$A$10008,$M$2,PURCHASE!$H$6:$H$10008,$A$4:$A$2700)</f>
        <v>0</v>
      </c>
      <c r="O165" s="512">
        <f>SUMIFS(PURCHASE!$L$6:$L$10008,PURCHASE!$A$6:$A$10008,$M$2,PURCHASE!$H$6:$H$10008,$A$4:$A$2700)</f>
        <v>0</v>
      </c>
      <c r="P165" s="512">
        <f>SUMIFS(PURCHASE!$M$6:$M$10008,PURCHASE!$A$6:$A$10008,$M$2,PURCHASE!$H$6:$H$10008,$A$4:$A$2700)</f>
        <v>0</v>
      </c>
      <c r="Q165" s="512">
        <f>SUMIFS(PURCHASE!$N$6:$N$10008,PURCHASE!$A$6:$A$10008,$M$2,PURCHASE!$H$6:$H$10008,$A$4:$A$2700)</f>
        <v>0</v>
      </c>
      <c r="R165" s="512">
        <f t="shared" si="48"/>
        <v>0</v>
      </c>
      <c r="S165" s="512">
        <f>SUMIFS(PURCHASE!$K$6:$K$10008,PURCHASE!$A$6:$A$10008,$R$2,PURCHASE!$H$6:$H$10008,$A$4:$A$2700)</f>
        <v>0</v>
      </c>
      <c r="T165" s="512">
        <f>SUMIFS(PURCHASE!$L$6:$L$10008,PURCHASE!$A$6:$A$10008,$R$2,PURCHASE!$H$6:$H$10008,$A$4:$A$2700)</f>
        <v>0</v>
      </c>
      <c r="U165" s="512">
        <f>SUMIFS(PURCHASE!$M$6:$M$10008,PURCHASE!$A$6:$A$10008,$R$2,PURCHASE!$H$6:$H$10008,$A$4:$A$2700)</f>
        <v>0</v>
      </c>
      <c r="V165" s="512">
        <f>SUMIFS(PURCHASE!$N$6:$N$10008,PURCHASE!$A$6:$A$10008,$R$2,PURCHASE!$H$6:$H$10008,$A$4:$A$2700)</f>
        <v>0</v>
      </c>
      <c r="W165" s="512">
        <f t="shared" si="49"/>
        <v>0</v>
      </c>
      <c r="X165" s="512">
        <f>SUMIFS(PURCHASE!$K$6:$K$10008,PURCHASE!$A$6:$A$10008,$W$2,PURCHASE!$H$6:$H$10008,$A$4:$A$2700)</f>
        <v>0</v>
      </c>
      <c r="Y165" s="512">
        <f>SUMIFS(PURCHASE!$L$6:$L$10008,PURCHASE!$A$6:$A$10008,$W$2,PURCHASE!$H$6:$H$10008,$A$4:$A$2700)</f>
        <v>0</v>
      </c>
      <c r="Z165" s="512">
        <f>SUMIFS(PURCHASE!$M$6:$M$10008,PURCHASE!$A$6:$A$10008,$W$2,PURCHASE!$H$6:$H$10008,$A$4:$A$2700)</f>
        <v>0</v>
      </c>
      <c r="AA165" s="512">
        <f>SUMIFS(PURCHASE!$N$6:$N$10008,PURCHASE!$A$6:$A$10008,$W$2,PURCHASE!$H$6:$H$10008,$A$4:$A$2700)</f>
        <v>0</v>
      </c>
      <c r="AB165" s="512">
        <f t="shared" si="50"/>
        <v>283.20000000000005</v>
      </c>
      <c r="AC165" s="512">
        <f>SUMIFS(PURCHASE!$K$6:$K$10008,PURCHASE!$A$6:$A$10008,$AB$2,PURCHASE!$H$6:$H$10008,$A$4:$A$2700)</f>
        <v>240</v>
      </c>
      <c r="AD165" s="512">
        <f>SUMIFS(PURCHASE!$L$6:$L$10008,PURCHASE!$A$6:$A$10008,$AB$2,PURCHASE!$H$6:$H$10008,$A$4:$A$2700)</f>
        <v>0</v>
      </c>
      <c r="AE165" s="512">
        <f>SUMIFS(PURCHASE!$M$6:$M$10008,PURCHASE!$A$6:$A$10008,$AB$2,PURCHASE!$H$6:$H$10008,$A$4:$A$2700)</f>
        <v>21.599999999999998</v>
      </c>
      <c r="AF165" s="512">
        <f>SUMIFS(PURCHASE!$N$6:$N$10008,PURCHASE!$A$6:$A$10008,$AB$2,PURCHASE!$H$6:$H$10008,$A$4:$A$2700)</f>
        <v>21.599999999999998</v>
      </c>
      <c r="AG165" s="512">
        <f t="shared" si="51"/>
        <v>0</v>
      </c>
      <c r="AH165" s="512">
        <f>SUMIFS(PURCHASE!$K$6:$K$10008,PURCHASE!$A$6:$A$10008,$AG$2,PURCHASE!$H$6:$H$10008,$A$4:$A$2700)</f>
        <v>0</v>
      </c>
      <c r="AI165" s="512">
        <f>SUMIFS(PURCHASE!$L$6:$L$10008,PURCHASE!$A$6:$A$10008,$AG$2,PURCHASE!$H$6:$H$10008,$A$4:$A$2700)</f>
        <v>0</v>
      </c>
      <c r="AJ165" s="512">
        <f>SUMIFS(PURCHASE!$M$6:$M$10008,PURCHASE!$A$6:$A$10008,$AG$2,PURCHASE!$H$6:$H$10008,$A$4:$A$2700)</f>
        <v>0</v>
      </c>
      <c r="AK165" s="512">
        <f>SUMIFS(PURCHASE!$N$6:$N$10008,PURCHASE!$A$6:$A$10008,$AG$2,PURCHASE!$H$6:$H$10008,$A$4:$A$2700)</f>
        <v>0</v>
      </c>
      <c r="AL165" s="512">
        <f t="shared" si="52"/>
        <v>0</v>
      </c>
      <c r="AM165" s="512">
        <f>SUMIFS(PURCHASE!$K$6:$K$10008,PURCHASE!$A$6:$A$10008,$AL$2,PURCHASE!$H$6:$H$10008,$A$4:$A$2700)</f>
        <v>0</v>
      </c>
      <c r="AN165" s="512">
        <f>SUMIFS(PURCHASE!$L$6:$L$10008,PURCHASE!$A$6:$A$10008,$AL$2,PURCHASE!$H$6:$H$10008,$A$4:$A$2700)</f>
        <v>0</v>
      </c>
      <c r="AO165" s="512">
        <f>SUMIFS(PURCHASE!$M$6:$M$10008,PURCHASE!$A$6:$A$10008,$AL$2,PURCHASE!$H$6:$H$10008,$A$4:$A$2700)</f>
        <v>0</v>
      </c>
      <c r="AP165" s="512">
        <f>SUMIFS(PURCHASE!$N$6:$N$10008,PURCHASE!$A$6:$A$10008,$AL$2,PURCHASE!$H$6:$H$10008,$A$4:$A$2700)</f>
        <v>0</v>
      </c>
      <c r="AQ165" s="512">
        <f t="shared" si="53"/>
        <v>1113.92</v>
      </c>
      <c r="AR165" s="512">
        <f>SUMIFS(PURCHASE!$K$6:$K$10008,PURCHASE!$A$6:$A$10008,$AQ$2,PURCHASE!$H$6:$H$10008,$A$4:$A$2700)</f>
        <v>944</v>
      </c>
      <c r="AS165" s="512">
        <f>SUMIFS(PURCHASE!$L$6:$L$10008,PURCHASE!$A$6:$A$10008,$AQ$2,PURCHASE!$H$6:$H$10008,$A$4:$A$2700)</f>
        <v>0</v>
      </c>
      <c r="AT165" s="512">
        <f>SUMIFS(PURCHASE!$M$6:$M$10008,PURCHASE!$A$6:$A$10008,$AQ$2,PURCHASE!$H$6:$H$10008,$A$4:$A$2700)</f>
        <v>84.96</v>
      </c>
      <c r="AU165" s="512">
        <f>SUMIFS(PURCHASE!$N$6:$N$10008,PURCHASE!$A$6:$A$10008,$AQ$2,PURCHASE!$H$6:$H$10008,$A$4:$A$2700)</f>
        <v>84.96</v>
      </c>
      <c r="AV165" s="512">
        <f t="shared" si="54"/>
        <v>0</v>
      </c>
      <c r="AW165" s="512">
        <f>SUMIFS(PURCHASE!$K$6:$K$10008,PURCHASE!$A$6:$A$10008,$AV$2,PURCHASE!$H$6:$H$10008,$A$4:$A$2700)</f>
        <v>0</v>
      </c>
      <c r="AX165" s="512">
        <f>SUMIFS(PURCHASE!$L$6:$L$10008,PURCHASE!$A$6:$A$10008,$AV$2,PURCHASE!$H$6:$H$10008,$A$4:$A$2700)</f>
        <v>0</v>
      </c>
      <c r="AY165" s="512">
        <f>SUMIFS(PURCHASE!$M$6:$M$10008,PURCHASE!$A$6:$A$10008,$AV$2,PURCHASE!$H$6:$H$10008,$A$4:$A$2700)</f>
        <v>0</v>
      </c>
      <c r="AZ165" s="512">
        <f>SUMIFS(PURCHASE!$N$6:$N$10008,PURCHASE!$A$6:$A$10008,$AV$2,PURCHASE!$H$6:$H$10008,$A$4:$A$2700)</f>
        <v>0</v>
      </c>
      <c r="BA165" s="512">
        <f t="shared" si="55"/>
        <v>0</v>
      </c>
      <c r="BB165" s="512">
        <f>SUMIFS(PURCHASE!$K$6:$K$10008,PURCHASE!$A$6:$A$10008,$BA$2,PURCHASE!$H$6:$H$10008,$A$4:$A$2700)</f>
        <v>0</v>
      </c>
      <c r="BC165" s="512">
        <f>SUMIFS(PURCHASE!$L$6:$L$10008,PURCHASE!$A$6:$A$10008,$BA$2,PURCHASE!$H$6:$H$10008,$A$4:$A$2700)</f>
        <v>0</v>
      </c>
      <c r="BD165" s="512">
        <f>SUMIFS(PURCHASE!$M$6:$M$10008,PURCHASE!$A$6:$A$10008,$BA$2,PURCHASE!$H$6:$H$10008,$A$4:$A$2700)</f>
        <v>0</v>
      </c>
      <c r="BE165" s="512">
        <f>SUMIFS(PURCHASE!$N$6:$N$10008,PURCHASE!$A$6:$A$10008,$BA$2,PURCHASE!$H$6:$H$10008,$A$4:$A$2700)</f>
        <v>0</v>
      </c>
      <c r="BF165" s="512">
        <f t="shared" si="56"/>
        <v>0</v>
      </c>
      <c r="BG165" s="512">
        <f>SUMIFS(PURCHASE!$K$6:$K$10008,PURCHASE!$A$6:$A$10008,$BF$2,PURCHASE!$H$6:$H$10008,$A$4:$A$2700)</f>
        <v>0</v>
      </c>
      <c r="BH165" s="512">
        <f>SUMIFS(PURCHASE!$L$6:$L$10008,PURCHASE!$A$6:$A$10008,$BF$2,PURCHASE!$H$6:$H$10008,$A$4:$A$2700)</f>
        <v>0</v>
      </c>
      <c r="BI165" s="512">
        <f>SUMIFS(PURCHASE!$M$6:$M$10008,PURCHASE!$A$6:$A$10008,$BF$2,PURCHASE!$H$6:$H$10008,$A$4:$A$2700)</f>
        <v>0</v>
      </c>
      <c r="BJ165" s="512">
        <f>SUMIFS(PURCHASE!$N$6:$N$10008,PURCHASE!$A$6:$A$10008,$BF$2,PURCHASE!$H$6:$H$10008,$A$4:$A$2700)</f>
        <v>0</v>
      </c>
      <c r="BK165" s="72">
        <f t="shared" si="40"/>
        <v>1397.1200000000001</v>
      </c>
      <c r="BL165" s="72">
        <f t="shared" si="41"/>
        <v>1184</v>
      </c>
      <c r="BM165" s="72">
        <f t="shared" si="42"/>
        <v>0</v>
      </c>
      <c r="BN165" s="72">
        <f t="shared" si="43"/>
        <v>106.55999999999999</v>
      </c>
      <c r="BO165" s="72">
        <f t="shared" si="44"/>
        <v>106.55999999999999</v>
      </c>
    </row>
    <row r="166" spans="1:67" x14ac:dyDescent="0.2">
      <c r="A166" s="511">
        <v>84248910</v>
      </c>
      <c r="B166" s="467" t="s">
        <v>1305</v>
      </c>
      <c r="C166" s="512">
        <f t="shared" si="45"/>
        <v>0</v>
      </c>
      <c r="D166" s="512">
        <f>SUMIFS(PURCHASE!$K$6:$K$10008,PURCHASE!$A$6:$A$10008,$M$2,PURCHASE!$H$6:$H$10008,$A$4:$A$2700)</f>
        <v>0</v>
      </c>
      <c r="E166" s="512">
        <f>SUMIFS(PURCHASE!$L$6:$L$10008,PURCHASE!$A$6:$A$10008,$M$2,PURCHASE!$H$6:$H$10008,$A$4:$A$2700)</f>
        <v>0</v>
      </c>
      <c r="F166" s="512">
        <f>SUMIFS(PURCHASE!$M$6:$M$10008,PURCHASE!$A$6:$A$10008,$M$2,PURCHASE!$H$6:$H$10008,$A$4:$A$2700)</f>
        <v>0</v>
      </c>
      <c r="G166" s="512">
        <f>SUMIFS(PURCHASE!$N$6:$N$10008,PURCHASE!$A$6:$A$10008,$M$2,PURCHASE!$H$6:$H$10008,$A$4:$A$2700)</f>
        <v>0</v>
      </c>
      <c r="H166" s="512">
        <f t="shared" si="46"/>
        <v>0</v>
      </c>
      <c r="I166" s="512">
        <f>SUMIFS(PURCHASE!$K$6:$K$10008,PURCHASE!$A$6:$A$10008,$H$2,PURCHASE!$H$6:$H$10008,$A$4:$A$2700)</f>
        <v>0</v>
      </c>
      <c r="J166" s="512">
        <f>SUMIFS(PURCHASE!$L$6:$L$10008,PURCHASE!$A$6:$A$10008,$H$2,PURCHASE!$H$6:$H$10008,$A$4:$A$2700)</f>
        <v>0</v>
      </c>
      <c r="K166" s="512">
        <f>SUMIFS(PURCHASE!$M$6:$M$10008,PURCHASE!$A$6:$A$10008,$H$2,PURCHASE!$H$6:$H$10008,$A$4:$A$2700)</f>
        <v>0</v>
      </c>
      <c r="L166" s="512">
        <f>SUMIFS(PURCHASE!$N$6:$N$10008,PURCHASE!$A$6:$A$10008,$H$2,PURCHASE!$H$6:$H$10008,$A$4:$A$2700)</f>
        <v>0</v>
      </c>
      <c r="M166" s="512">
        <f t="shared" si="47"/>
        <v>0</v>
      </c>
      <c r="N166" s="512">
        <f>SUMIFS(PURCHASE!$K$6:$K$10008,PURCHASE!$A$6:$A$10008,$M$2,PURCHASE!$H$6:$H$10008,$A$4:$A$2700)</f>
        <v>0</v>
      </c>
      <c r="O166" s="512">
        <f>SUMIFS(PURCHASE!$L$6:$L$10008,PURCHASE!$A$6:$A$10008,$M$2,PURCHASE!$H$6:$H$10008,$A$4:$A$2700)</f>
        <v>0</v>
      </c>
      <c r="P166" s="512">
        <f>SUMIFS(PURCHASE!$M$6:$M$10008,PURCHASE!$A$6:$A$10008,$M$2,PURCHASE!$H$6:$H$10008,$A$4:$A$2700)</f>
        <v>0</v>
      </c>
      <c r="Q166" s="512">
        <f>SUMIFS(PURCHASE!$N$6:$N$10008,PURCHASE!$A$6:$A$10008,$M$2,PURCHASE!$H$6:$H$10008,$A$4:$A$2700)</f>
        <v>0</v>
      </c>
      <c r="R166" s="512">
        <f t="shared" si="48"/>
        <v>0</v>
      </c>
      <c r="S166" s="512">
        <f>SUMIFS(PURCHASE!$K$6:$K$10008,PURCHASE!$A$6:$A$10008,$R$2,PURCHASE!$H$6:$H$10008,$A$4:$A$2700)</f>
        <v>0</v>
      </c>
      <c r="T166" s="512">
        <f>SUMIFS(PURCHASE!$L$6:$L$10008,PURCHASE!$A$6:$A$10008,$R$2,PURCHASE!$H$6:$H$10008,$A$4:$A$2700)</f>
        <v>0</v>
      </c>
      <c r="U166" s="512">
        <f>SUMIFS(PURCHASE!$M$6:$M$10008,PURCHASE!$A$6:$A$10008,$R$2,PURCHASE!$H$6:$H$10008,$A$4:$A$2700)</f>
        <v>0</v>
      </c>
      <c r="V166" s="512">
        <f>SUMIFS(PURCHASE!$N$6:$N$10008,PURCHASE!$A$6:$A$10008,$R$2,PURCHASE!$H$6:$H$10008,$A$4:$A$2700)</f>
        <v>0</v>
      </c>
      <c r="W166" s="512">
        <f t="shared" si="49"/>
        <v>8555</v>
      </c>
      <c r="X166" s="512">
        <f>SUMIFS(PURCHASE!$K$6:$K$10008,PURCHASE!$A$6:$A$10008,$W$2,PURCHASE!$H$6:$H$10008,$A$4:$A$2700)</f>
        <v>7250</v>
      </c>
      <c r="Y166" s="512">
        <f>SUMIFS(PURCHASE!$L$6:$L$10008,PURCHASE!$A$6:$A$10008,$W$2,PURCHASE!$H$6:$H$10008,$A$4:$A$2700)</f>
        <v>1305</v>
      </c>
      <c r="Z166" s="512">
        <f>SUMIFS(PURCHASE!$M$6:$M$10008,PURCHASE!$A$6:$A$10008,$W$2,PURCHASE!$H$6:$H$10008,$A$4:$A$2700)</f>
        <v>0</v>
      </c>
      <c r="AA166" s="512">
        <f>SUMIFS(PURCHASE!$N$6:$N$10008,PURCHASE!$A$6:$A$10008,$W$2,PURCHASE!$H$6:$H$10008,$A$4:$A$2700)</f>
        <v>0</v>
      </c>
      <c r="AB166" s="512">
        <f t="shared" si="50"/>
        <v>0</v>
      </c>
      <c r="AC166" s="512">
        <f>SUMIFS(PURCHASE!$K$6:$K$10008,PURCHASE!$A$6:$A$10008,$AB$2,PURCHASE!$H$6:$H$10008,$A$4:$A$2700)</f>
        <v>0</v>
      </c>
      <c r="AD166" s="512">
        <f>SUMIFS(PURCHASE!$L$6:$L$10008,PURCHASE!$A$6:$A$10008,$AB$2,PURCHASE!$H$6:$H$10008,$A$4:$A$2700)</f>
        <v>0</v>
      </c>
      <c r="AE166" s="512">
        <f>SUMIFS(PURCHASE!$M$6:$M$10008,PURCHASE!$A$6:$A$10008,$AB$2,PURCHASE!$H$6:$H$10008,$A$4:$A$2700)</f>
        <v>0</v>
      </c>
      <c r="AF166" s="512">
        <f>SUMIFS(PURCHASE!$N$6:$N$10008,PURCHASE!$A$6:$A$10008,$AB$2,PURCHASE!$H$6:$H$10008,$A$4:$A$2700)</f>
        <v>0</v>
      </c>
      <c r="AG166" s="512">
        <f t="shared" si="51"/>
        <v>0</v>
      </c>
      <c r="AH166" s="512">
        <f>SUMIFS(PURCHASE!$K$6:$K$10008,PURCHASE!$A$6:$A$10008,$AG$2,PURCHASE!$H$6:$H$10008,$A$4:$A$2700)</f>
        <v>0</v>
      </c>
      <c r="AI166" s="512">
        <f>SUMIFS(PURCHASE!$L$6:$L$10008,PURCHASE!$A$6:$A$10008,$AG$2,PURCHASE!$H$6:$H$10008,$A$4:$A$2700)</f>
        <v>0</v>
      </c>
      <c r="AJ166" s="512">
        <f>SUMIFS(PURCHASE!$M$6:$M$10008,PURCHASE!$A$6:$A$10008,$AG$2,PURCHASE!$H$6:$H$10008,$A$4:$A$2700)</f>
        <v>0</v>
      </c>
      <c r="AK166" s="512">
        <f>SUMIFS(PURCHASE!$N$6:$N$10008,PURCHASE!$A$6:$A$10008,$AG$2,PURCHASE!$H$6:$H$10008,$A$4:$A$2700)</f>
        <v>0</v>
      </c>
      <c r="AL166" s="512">
        <f t="shared" si="52"/>
        <v>0</v>
      </c>
      <c r="AM166" s="512">
        <f>SUMIFS(PURCHASE!$K$6:$K$10008,PURCHASE!$A$6:$A$10008,$AL$2,PURCHASE!$H$6:$H$10008,$A$4:$A$2700)</f>
        <v>0</v>
      </c>
      <c r="AN166" s="512">
        <f>SUMIFS(PURCHASE!$L$6:$L$10008,PURCHASE!$A$6:$A$10008,$AL$2,PURCHASE!$H$6:$H$10008,$A$4:$A$2700)</f>
        <v>0</v>
      </c>
      <c r="AO166" s="512">
        <f>SUMIFS(PURCHASE!$M$6:$M$10008,PURCHASE!$A$6:$A$10008,$AL$2,PURCHASE!$H$6:$H$10008,$A$4:$A$2700)</f>
        <v>0</v>
      </c>
      <c r="AP166" s="512">
        <f>SUMIFS(PURCHASE!$N$6:$N$10008,PURCHASE!$A$6:$A$10008,$AL$2,PURCHASE!$H$6:$H$10008,$A$4:$A$2700)</f>
        <v>0</v>
      </c>
      <c r="AQ166" s="512">
        <f t="shared" si="53"/>
        <v>0</v>
      </c>
      <c r="AR166" s="512">
        <f>SUMIFS(PURCHASE!$K$6:$K$10008,PURCHASE!$A$6:$A$10008,$AQ$2,PURCHASE!$H$6:$H$10008,$A$4:$A$2700)</f>
        <v>0</v>
      </c>
      <c r="AS166" s="512">
        <f>SUMIFS(PURCHASE!$L$6:$L$10008,PURCHASE!$A$6:$A$10008,$AQ$2,PURCHASE!$H$6:$H$10008,$A$4:$A$2700)</f>
        <v>0</v>
      </c>
      <c r="AT166" s="512">
        <f>SUMIFS(PURCHASE!$M$6:$M$10008,PURCHASE!$A$6:$A$10008,$AQ$2,PURCHASE!$H$6:$H$10008,$A$4:$A$2700)</f>
        <v>0</v>
      </c>
      <c r="AU166" s="512">
        <f>SUMIFS(PURCHASE!$N$6:$N$10008,PURCHASE!$A$6:$A$10008,$AQ$2,PURCHASE!$H$6:$H$10008,$A$4:$A$2700)</f>
        <v>0</v>
      </c>
      <c r="AV166" s="512">
        <f t="shared" si="54"/>
        <v>0</v>
      </c>
      <c r="AW166" s="512">
        <f>SUMIFS(PURCHASE!$K$6:$K$10008,PURCHASE!$A$6:$A$10008,$AV$2,PURCHASE!$H$6:$H$10008,$A$4:$A$2700)</f>
        <v>0</v>
      </c>
      <c r="AX166" s="512">
        <f>SUMIFS(PURCHASE!$L$6:$L$10008,PURCHASE!$A$6:$A$10008,$AV$2,PURCHASE!$H$6:$H$10008,$A$4:$A$2700)</f>
        <v>0</v>
      </c>
      <c r="AY166" s="512">
        <f>SUMIFS(PURCHASE!$M$6:$M$10008,PURCHASE!$A$6:$A$10008,$AV$2,PURCHASE!$H$6:$H$10008,$A$4:$A$2700)</f>
        <v>0</v>
      </c>
      <c r="AZ166" s="512">
        <f>SUMIFS(PURCHASE!$N$6:$N$10008,PURCHASE!$A$6:$A$10008,$AV$2,PURCHASE!$H$6:$H$10008,$A$4:$A$2700)</f>
        <v>0</v>
      </c>
      <c r="BA166" s="512">
        <f t="shared" si="55"/>
        <v>0</v>
      </c>
      <c r="BB166" s="512">
        <f>SUMIFS(PURCHASE!$K$6:$K$10008,PURCHASE!$A$6:$A$10008,$BA$2,PURCHASE!$H$6:$H$10008,$A$4:$A$2700)</f>
        <v>0</v>
      </c>
      <c r="BC166" s="512">
        <f>SUMIFS(PURCHASE!$L$6:$L$10008,PURCHASE!$A$6:$A$10008,$BA$2,PURCHASE!$H$6:$H$10008,$A$4:$A$2700)</f>
        <v>0</v>
      </c>
      <c r="BD166" s="512">
        <f>SUMIFS(PURCHASE!$M$6:$M$10008,PURCHASE!$A$6:$A$10008,$BA$2,PURCHASE!$H$6:$H$10008,$A$4:$A$2700)</f>
        <v>0</v>
      </c>
      <c r="BE166" s="512">
        <f>SUMIFS(PURCHASE!$N$6:$N$10008,PURCHASE!$A$6:$A$10008,$BA$2,PURCHASE!$H$6:$H$10008,$A$4:$A$2700)</f>
        <v>0</v>
      </c>
      <c r="BF166" s="512">
        <f t="shared" si="56"/>
        <v>0</v>
      </c>
      <c r="BG166" s="512">
        <f>SUMIFS(PURCHASE!$K$6:$K$10008,PURCHASE!$A$6:$A$10008,$BF$2,PURCHASE!$H$6:$H$10008,$A$4:$A$2700)</f>
        <v>0</v>
      </c>
      <c r="BH166" s="512">
        <f>SUMIFS(PURCHASE!$L$6:$L$10008,PURCHASE!$A$6:$A$10008,$BF$2,PURCHASE!$H$6:$H$10008,$A$4:$A$2700)</f>
        <v>0</v>
      </c>
      <c r="BI166" s="512">
        <f>SUMIFS(PURCHASE!$M$6:$M$10008,PURCHASE!$A$6:$A$10008,$BF$2,PURCHASE!$H$6:$H$10008,$A$4:$A$2700)</f>
        <v>0</v>
      </c>
      <c r="BJ166" s="512">
        <f>SUMIFS(PURCHASE!$N$6:$N$10008,PURCHASE!$A$6:$A$10008,$BF$2,PURCHASE!$H$6:$H$10008,$A$4:$A$2700)</f>
        <v>0</v>
      </c>
      <c r="BK166" s="72">
        <f t="shared" si="40"/>
        <v>8555</v>
      </c>
      <c r="BL166" s="72">
        <f t="shared" si="41"/>
        <v>7250</v>
      </c>
      <c r="BM166" s="72">
        <f t="shared" si="42"/>
        <v>1305</v>
      </c>
      <c r="BN166" s="72">
        <f t="shared" si="43"/>
        <v>0</v>
      </c>
      <c r="BO166" s="72">
        <f t="shared" si="44"/>
        <v>0</v>
      </c>
    </row>
    <row r="167" spans="1:67" x14ac:dyDescent="0.2">
      <c r="A167" s="511">
        <v>84716040</v>
      </c>
      <c r="B167" s="467" t="s">
        <v>1306</v>
      </c>
      <c r="C167" s="512">
        <f t="shared" si="45"/>
        <v>0</v>
      </c>
      <c r="D167" s="512">
        <f>SUMIFS(PURCHASE!$K$6:$K$10008,PURCHASE!$A$6:$A$10008,$M$2,PURCHASE!$H$6:$H$10008,$A$4:$A$2700)</f>
        <v>0</v>
      </c>
      <c r="E167" s="512">
        <f>SUMIFS(PURCHASE!$L$6:$L$10008,PURCHASE!$A$6:$A$10008,$M$2,PURCHASE!$H$6:$H$10008,$A$4:$A$2700)</f>
        <v>0</v>
      </c>
      <c r="F167" s="512">
        <f>SUMIFS(PURCHASE!$M$6:$M$10008,PURCHASE!$A$6:$A$10008,$M$2,PURCHASE!$H$6:$H$10008,$A$4:$A$2700)</f>
        <v>0</v>
      </c>
      <c r="G167" s="512">
        <f>SUMIFS(PURCHASE!$N$6:$N$10008,PURCHASE!$A$6:$A$10008,$M$2,PURCHASE!$H$6:$H$10008,$A$4:$A$2700)</f>
        <v>0</v>
      </c>
      <c r="H167" s="512">
        <f t="shared" si="46"/>
        <v>0</v>
      </c>
      <c r="I167" s="512">
        <f>SUMIFS(PURCHASE!$K$6:$K$10008,PURCHASE!$A$6:$A$10008,$H$2,PURCHASE!$H$6:$H$10008,$A$4:$A$2700)</f>
        <v>0</v>
      </c>
      <c r="J167" s="512">
        <f>SUMIFS(PURCHASE!$L$6:$L$10008,PURCHASE!$A$6:$A$10008,$H$2,PURCHASE!$H$6:$H$10008,$A$4:$A$2700)</f>
        <v>0</v>
      </c>
      <c r="K167" s="512">
        <f>SUMIFS(PURCHASE!$M$6:$M$10008,PURCHASE!$A$6:$A$10008,$H$2,PURCHASE!$H$6:$H$10008,$A$4:$A$2700)</f>
        <v>0</v>
      </c>
      <c r="L167" s="512">
        <f>SUMIFS(PURCHASE!$N$6:$N$10008,PURCHASE!$A$6:$A$10008,$H$2,PURCHASE!$H$6:$H$10008,$A$4:$A$2700)</f>
        <v>0</v>
      </c>
      <c r="M167" s="512">
        <f t="shared" si="47"/>
        <v>0</v>
      </c>
      <c r="N167" s="512">
        <f>SUMIFS(PURCHASE!$K$6:$K$10008,PURCHASE!$A$6:$A$10008,$M$2,PURCHASE!$H$6:$H$10008,$A$4:$A$2700)</f>
        <v>0</v>
      </c>
      <c r="O167" s="512">
        <f>SUMIFS(PURCHASE!$L$6:$L$10008,PURCHASE!$A$6:$A$10008,$M$2,PURCHASE!$H$6:$H$10008,$A$4:$A$2700)</f>
        <v>0</v>
      </c>
      <c r="P167" s="512">
        <f>SUMIFS(PURCHASE!$M$6:$M$10008,PURCHASE!$A$6:$A$10008,$M$2,PURCHASE!$H$6:$H$10008,$A$4:$A$2700)</f>
        <v>0</v>
      </c>
      <c r="Q167" s="512">
        <f>SUMIFS(PURCHASE!$N$6:$N$10008,PURCHASE!$A$6:$A$10008,$M$2,PURCHASE!$H$6:$H$10008,$A$4:$A$2700)</f>
        <v>0</v>
      </c>
      <c r="R167" s="512">
        <f t="shared" si="48"/>
        <v>0</v>
      </c>
      <c r="S167" s="512">
        <f>SUMIFS(PURCHASE!$K$6:$K$10008,PURCHASE!$A$6:$A$10008,$R$2,PURCHASE!$H$6:$H$10008,$A$4:$A$2700)</f>
        <v>0</v>
      </c>
      <c r="T167" s="512">
        <f>SUMIFS(PURCHASE!$L$6:$L$10008,PURCHASE!$A$6:$A$10008,$R$2,PURCHASE!$H$6:$H$10008,$A$4:$A$2700)</f>
        <v>0</v>
      </c>
      <c r="U167" s="512">
        <f>SUMIFS(PURCHASE!$M$6:$M$10008,PURCHASE!$A$6:$A$10008,$R$2,PURCHASE!$H$6:$H$10008,$A$4:$A$2700)</f>
        <v>0</v>
      </c>
      <c r="V167" s="512">
        <f>SUMIFS(PURCHASE!$N$6:$N$10008,PURCHASE!$A$6:$A$10008,$R$2,PURCHASE!$H$6:$H$10008,$A$4:$A$2700)</f>
        <v>0</v>
      </c>
      <c r="W167" s="512">
        <f t="shared" si="49"/>
        <v>0</v>
      </c>
      <c r="X167" s="512">
        <f>SUMIFS(PURCHASE!$K$6:$K$10008,PURCHASE!$A$6:$A$10008,$W$2,PURCHASE!$H$6:$H$10008,$A$4:$A$2700)</f>
        <v>0</v>
      </c>
      <c r="Y167" s="512">
        <f>SUMIFS(PURCHASE!$L$6:$L$10008,PURCHASE!$A$6:$A$10008,$W$2,PURCHASE!$H$6:$H$10008,$A$4:$A$2700)</f>
        <v>0</v>
      </c>
      <c r="Z167" s="512">
        <f>SUMIFS(PURCHASE!$M$6:$M$10008,PURCHASE!$A$6:$A$10008,$W$2,PURCHASE!$H$6:$H$10008,$A$4:$A$2700)</f>
        <v>0</v>
      </c>
      <c r="AA167" s="512">
        <f>SUMIFS(PURCHASE!$N$6:$N$10008,PURCHASE!$A$6:$A$10008,$W$2,PURCHASE!$H$6:$H$10008,$A$4:$A$2700)</f>
        <v>0</v>
      </c>
      <c r="AB167" s="512">
        <f t="shared" si="50"/>
        <v>0</v>
      </c>
      <c r="AC167" s="512">
        <f>SUMIFS(PURCHASE!$K$6:$K$10008,PURCHASE!$A$6:$A$10008,$AB$2,PURCHASE!$H$6:$H$10008,$A$4:$A$2700)</f>
        <v>0</v>
      </c>
      <c r="AD167" s="512">
        <f>SUMIFS(PURCHASE!$L$6:$L$10008,PURCHASE!$A$6:$A$10008,$AB$2,PURCHASE!$H$6:$H$10008,$A$4:$A$2700)</f>
        <v>0</v>
      </c>
      <c r="AE167" s="512">
        <f>SUMIFS(PURCHASE!$M$6:$M$10008,PURCHASE!$A$6:$A$10008,$AB$2,PURCHASE!$H$6:$H$10008,$A$4:$A$2700)</f>
        <v>0</v>
      </c>
      <c r="AF167" s="512">
        <f>SUMIFS(PURCHASE!$N$6:$N$10008,PURCHASE!$A$6:$A$10008,$AB$2,PURCHASE!$H$6:$H$10008,$A$4:$A$2700)</f>
        <v>0</v>
      </c>
      <c r="AG167" s="512">
        <f t="shared" si="51"/>
        <v>0</v>
      </c>
      <c r="AH167" s="512">
        <f>SUMIFS(PURCHASE!$K$6:$K$10008,PURCHASE!$A$6:$A$10008,$AG$2,PURCHASE!$H$6:$H$10008,$A$4:$A$2700)</f>
        <v>0</v>
      </c>
      <c r="AI167" s="512">
        <f>SUMIFS(PURCHASE!$L$6:$L$10008,PURCHASE!$A$6:$A$10008,$AG$2,PURCHASE!$H$6:$H$10008,$A$4:$A$2700)</f>
        <v>0</v>
      </c>
      <c r="AJ167" s="512">
        <f>SUMIFS(PURCHASE!$M$6:$M$10008,PURCHASE!$A$6:$A$10008,$AG$2,PURCHASE!$H$6:$H$10008,$A$4:$A$2700)</f>
        <v>0</v>
      </c>
      <c r="AK167" s="512">
        <f>SUMIFS(PURCHASE!$N$6:$N$10008,PURCHASE!$A$6:$A$10008,$AG$2,PURCHASE!$H$6:$H$10008,$A$4:$A$2700)</f>
        <v>0</v>
      </c>
      <c r="AL167" s="512">
        <f t="shared" si="52"/>
        <v>0</v>
      </c>
      <c r="AM167" s="512">
        <f>SUMIFS(PURCHASE!$K$6:$K$10008,PURCHASE!$A$6:$A$10008,$AL$2,PURCHASE!$H$6:$H$10008,$A$4:$A$2700)</f>
        <v>0</v>
      </c>
      <c r="AN167" s="512">
        <f>SUMIFS(PURCHASE!$L$6:$L$10008,PURCHASE!$A$6:$A$10008,$AL$2,PURCHASE!$H$6:$H$10008,$A$4:$A$2700)</f>
        <v>0</v>
      </c>
      <c r="AO167" s="512">
        <f>SUMIFS(PURCHASE!$M$6:$M$10008,PURCHASE!$A$6:$A$10008,$AL$2,PURCHASE!$H$6:$H$10008,$A$4:$A$2700)</f>
        <v>0</v>
      </c>
      <c r="AP167" s="512">
        <f>SUMIFS(PURCHASE!$N$6:$N$10008,PURCHASE!$A$6:$A$10008,$AL$2,PURCHASE!$H$6:$H$10008,$A$4:$A$2700)</f>
        <v>0</v>
      </c>
      <c r="AQ167" s="512">
        <f t="shared" si="53"/>
        <v>0</v>
      </c>
      <c r="AR167" s="512">
        <f>SUMIFS(PURCHASE!$K$6:$K$10008,PURCHASE!$A$6:$A$10008,$AQ$2,PURCHASE!$H$6:$H$10008,$A$4:$A$2700)</f>
        <v>0</v>
      </c>
      <c r="AS167" s="512">
        <f>SUMIFS(PURCHASE!$L$6:$L$10008,PURCHASE!$A$6:$A$10008,$AQ$2,PURCHASE!$H$6:$H$10008,$A$4:$A$2700)</f>
        <v>0</v>
      </c>
      <c r="AT167" s="512">
        <f>SUMIFS(PURCHASE!$M$6:$M$10008,PURCHASE!$A$6:$A$10008,$AQ$2,PURCHASE!$H$6:$H$10008,$A$4:$A$2700)</f>
        <v>0</v>
      </c>
      <c r="AU167" s="512">
        <f>SUMIFS(PURCHASE!$N$6:$N$10008,PURCHASE!$A$6:$A$10008,$AQ$2,PURCHASE!$H$6:$H$10008,$A$4:$A$2700)</f>
        <v>0</v>
      </c>
      <c r="AV167" s="512">
        <f t="shared" si="54"/>
        <v>472</v>
      </c>
      <c r="AW167" s="512">
        <f>SUMIFS(PURCHASE!$K$6:$K$10008,PURCHASE!$A$6:$A$10008,$AV$2,PURCHASE!$H$6:$H$10008,$A$4:$A$2700)</f>
        <v>400</v>
      </c>
      <c r="AX167" s="512">
        <f>SUMIFS(PURCHASE!$L$6:$L$10008,PURCHASE!$A$6:$A$10008,$AV$2,PURCHASE!$H$6:$H$10008,$A$4:$A$2700)</f>
        <v>0</v>
      </c>
      <c r="AY167" s="512">
        <f>SUMIFS(PURCHASE!$M$6:$M$10008,PURCHASE!$A$6:$A$10008,$AV$2,PURCHASE!$H$6:$H$10008,$A$4:$A$2700)</f>
        <v>36</v>
      </c>
      <c r="AZ167" s="512">
        <f>SUMIFS(PURCHASE!$N$6:$N$10008,PURCHASE!$A$6:$A$10008,$AV$2,PURCHASE!$H$6:$H$10008,$A$4:$A$2700)</f>
        <v>36</v>
      </c>
      <c r="BA167" s="512">
        <f t="shared" si="55"/>
        <v>0</v>
      </c>
      <c r="BB167" s="512">
        <f>SUMIFS(PURCHASE!$K$6:$K$10008,PURCHASE!$A$6:$A$10008,$BA$2,PURCHASE!$H$6:$H$10008,$A$4:$A$2700)</f>
        <v>0</v>
      </c>
      <c r="BC167" s="512">
        <f>SUMIFS(PURCHASE!$L$6:$L$10008,PURCHASE!$A$6:$A$10008,$BA$2,PURCHASE!$H$6:$H$10008,$A$4:$A$2700)</f>
        <v>0</v>
      </c>
      <c r="BD167" s="512">
        <f>SUMIFS(PURCHASE!$M$6:$M$10008,PURCHASE!$A$6:$A$10008,$BA$2,PURCHASE!$H$6:$H$10008,$A$4:$A$2700)</f>
        <v>0</v>
      </c>
      <c r="BE167" s="512">
        <f>SUMIFS(PURCHASE!$N$6:$N$10008,PURCHASE!$A$6:$A$10008,$BA$2,PURCHASE!$H$6:$H$10008,$A$4:$A$2700)</f>
        <v>0</v>
      </c>
      <c r="BF167" s="512">
        <f t="shared" si="56"/>
        <v>0</v>
      </c>
      <c r="BG167" s="512">
        <f>SUMIFS(PURCHASE!$K$6:$K$10008,PURCHASE!$A$6:$A$10008,$BF$2,PURCHASE!$H$6:$H$10008,$A$4:$A$2700)</f>
        <v>0</v>
      </c>
      <c r="BH167" s="512">
        <f>SUMIFS(PURCHASE!$L$6:$L$10008,PURCHASE!$A$6:$A$10008,$BF$2,PURCHASE!$H$6:$H$10008,$A$4:$A$2700)</f>
        <v>0</v>
      </c>
      <c r="BI167" s="512">
        <f>SUMIFS(PURCHASE!$M$6:$M$10008,PURCHASE!$A$6:$A$10008,$BF$2,PURCHASE!$H$6:$H$10008,$A$4:$A$2700)</f>
        <v>0</v>
      </c>
      <c r="BJ167" s="512">
        <f>SUMIFS(PURCHASE!$N$6:$N$10008,PURCHASE!$A$6:$A$10008,$BF$2,PURCHASE!$H$6:$H$10008,$A$4:$A$2700)</f>
        <v>0</v>
      </c>
      <c r="BK167" s="72">
        <f t="shared" si="40"/>
        <v>472</v>
      </c>
      <c r="BL167" s="72">
        <f t="shared" si="41"/>
        <v>400</v>
      </c>
      <c r="BM167" s="72">
        <f t="shared" si="42"/>
        <v>0</v>
      </c>
      <c r="BN167" s="72">
        <f t="shared" si="43"/>
        <v>36</v>
      </c>
      <c r="BO167" s="72">
        <f t="shared" si="44"/>
        <v>36</v>
      </c>
    </row>
    <row r="168" spans="1:67" x14ac:dyDescent="0.2">
      <c r="A168" s="511">
        <v>39206290</v>
      </c>
      <c r="B168" s="467" t="s">
        <v>1307</v>
      </c>
      <c r="C168" s="512">
        <f t="shared" si="45"/>
        <v>0</v>
      </c>
      <c r="D168" s="512">
        <f>SUMIFS(PURCHASE!$K$6:$K$10008,PURCHASE!$A$6:$A$10008,$M$2,PURCHASE!$H$6:$H$10008,$A$4:$A$2700)</f>
        <v>0</v>
      </c>
      <c r="E168" s="512">
        <f>SUMIFS(PURCHASE!$L$6:$L$10008,PURCHASE!$A$6:$A$10008,$M$2,PURCHASE!$H$6:$H$10008,$A$4:$A$2700)</f>
        <v>0</v>
      </c>
      <c r="F168" s="512">
        <f>SUMIFS(PURCHASE!$M$6:$M$10008,PURCHASE!$A$6:$A$10008,$M$2,PURCHASE!$H$6:$H$10008,$A$4:$A$2700)</f>
        <v>0</v>
      </c>
      <c r="G168" s="512">
        <f>SUMIFS(PURCHASE!$N$6:$N$10008,PURCHASE!$A$6:$A$10008,$M$2,PURCHASE!$H$6:$H$10008,$A$4:$A$2700)</f>
        <v>0</v>
      </c>
      <c r="H168" s="512">
        <f t="shared" si="46"/>
        <v>669564.21400000004</v>
      </c>
      <c r="I168" s="512">
        <f>SUMIFS(PURCHASE!$K$6:$K$10008,PURCHASE!$A$6:$A$10008,$H$2,PURCHASE!$H$6:$H$10008,$A$4:$A$2700)</f>
        <v>567427.30000000005</v>
      </c>
      <c r="J168" s="512">
        <f>SUMIFS(PURCHASE!$L$6:$L$10008,PURCHASE!$A$6:$A$10008,$H$2,PURCHASE!$H$6:$H$10008,$A$4:$A$2700)</f>
        <v>102136.914</v>
      </c>
      <c r="K168" s="512">
        <f>SUMIFS(PURCHASE!$M$6:$M$10008,PURCHASE!$A$6:$A$10008,$H$2,PURCHASE!$H$6:$H$10008,$A$4:$A$2700)</f>
        <v>0</v>
      </c>
      <c r="L168" s="512">
        <f>SUMIFS(PURCHASE!$N$6:$N$10008,PURCHASE!$A$6:$A$10008,$H$2,PURCHASE!$H$6:$H$10008,$A$4:$A$2700)</f>
        <v>0</v>
      </c>
      <c r="M168" s="512">
        <f t="shared" si="47"/>
        <v>0</v>
      </c>
      <c r="N168" s="512">
        <f>SUMIFS(PURCHASE!$K$6:$K$10008,PURCHASE!$A$6:$A$10008,$M$2,PURCHASE!$H$6:$H$10008,$A$4:$A$2700)</f>
        <v>0</v>
      </c>
      <c r="O168" s="512">
        <f>SUMIFS(PURCHASE!$L$6:$L$10008,PURCHASE!$A$6:$A$10008,$M$2,PURCHASE!$H$6:$H$10008,$A$4:$A$2700)</f>
        <v>0</v>
      </c>
      <c r="P168" s="512">
        <f>SUMIFS(PURCHASE!$M$6:$M$10008,PURCHASE!$A$6:$A$10008,$M$2,PURCHASE!$H$6:$H$10008,$A$4:$A$2700)</f>
        <v>0</v>
      </c>
      <c r="Q168" s="512">
        <f>SUMIFS(PURCHASE!$N$6:$N$10008,PURCHASE!$A$6:$A$10008,$M$2,PURCHASE!$H$6:$H$10008,$A$4:$A$2700)</f>
        <v>0</v>
      </c>
      <c r="R168" s="512">
        <f t="shared" si="48"/>
        <v>297529.92</v>
      </c>
      <c r="S168" s="512">
        <f>SUMIFS(PURCHASE!$K$6:$K$10008,PURCHASE!$A$6:$A$10008,$R$2,PURCHASE!$H$6:$H$10008,$A$4:$A$2700)</f>
        <v>252144</v>
      </c>
      <c r="T168" s="512">
        <f>SUMIFS(PURCHASE!$L$6:$L$10008,PURCHASE!$A$6:$A$10008,$R$2,PURCHASE!$H$6:$H$10008,$A$4:$A$2700)</f>
        <v>45385.919999999998</v>
      </c>
      <c r="U168" s="512">
        <f>SUMIFS(PURCHASE!$M$6:$M$10008,PURCHASE!$A$6:$A$10008,$R$2,PURCHASE!$H$6:$H$10008,$A$4:$A$2700)</f>
        <v>0</v>
      </c>
      <c r="V168" s="512">
        <f>SUMIFS(PURCHASE!$N$6:$N$10008,PURCHASE!$A$6:$A$10008,$R$2,PURCHASE!$H$6:$H$10008,$A$4:$A$2700)</f>
        <v>0</v>
      </c>
      <c r="W168" s="512">
        <f t="shared" si="49"/>
        <v>570047</v>
      </c>
      <c r="X168" s="512">
        <f>SUMIFS(PURCHASE!$K$6:$K$10008,PURCHASE!$A$6:$A$10008,$W$2,PURCHASE!$H$6:$H$10008,$A$4:$A$2700)</f>
        <v>570047</v>
      </c>
      <c r="Y168" s="512">
        <f>SUMIFS(PURCHASE!$L$6:$L$10008,PURCHASE!$A$6:$A$10008,$W$2,PURCHASE!$H$6:$H$10008,$A$4:$A$2700)</f>
        <v>0</v>
      </c>
      <c r="Z168" s="512">
        <f>SUMIFS(PURCHASE!$M$6:$M$10008,PURCHASE!$A$6:$A$10008,$W$2,PURCHASE!$H$6:$H$10008,$A$4:$A$2700)</f>
        <v>0</v>
      </c>
      <c r="AA168" s="512">
        <f>SUMIFS(PURCHASE!$N$6:$N$10008,PURCHASE!$A$6:$A$10008,$W$2,PURCHASE!$H$6:$H$10008,$A$4:$A$2700)</f>
        <v>0</v>
      </c>
      <c r="AB168" s="512">
        <f t="shared" si="50"/>
        <v>0</v>
      </c>
      <c r="AC168" s="512">
        <f>SUMIFS(PURCHASE!$K$6:$K$10008,PURCHASE!$A$6:$A$10008,$AB$2,PURCHASE!$H$6:$H$10008,$A$4:$A$2700)</f>
        <v>0</v>
      </c>
      <c r="AD168" s="512">
        <f>SUMIFS(PURCHASE!$L$6:$L$10008,PURCHASE!$A$6:$A$10008,$AB$2,PURCHASE!$H$6:$H$10008,$A$4:$A$2700)</f>
        <v>0</v>
      </c>
      <c r="AE168" s="512">
        <f>SUMIFS(PURCHASE!$M$6:$M$10008,PURCHASE!$A$6:$A$10008,$AB$2,PURCHASE!$H$6:$H$10008,$A$4:$A$2700)</f>
        <v>0</v>
      </c>
      <c r="AF168" s="512">
        <f>SUMIFS(PURCHASE!$N$6:$N$10008,PURCHASE!$A$6:$A$10008,$AB$2,PURCHASE!$H$6:$H$10008,$A$4:$A$2700)</f>
        <v>0</v>
      </c>
      <c r="AG168" s="512">
        <f t="shared" si="51"/>
        <v>925504.67999999993</v>
      </c>
      <c r="AH168" s="512">
        <f>SUMIFS(PURCHASE!$K$6:$K$10008,PURCHASE!$A$6:$A$10008,$AG$2,PURCHASE!$H$6:$H$10008,$A$4:$A$2700)</f>
        <v>784326</v>
      </c>
      <c r="AI168" s="512">
        <f>SUMIFS(PURCHASE!$L$6:$L$10008,PURCHASE!$A$6:$A$10008,$AG$2,PURCHASE!$H$6:$H$10008,$A$4:$A$2700)</f>
        <v>141178.68</v>
      </c>
      <c r="AJ168" s="512">
        <f>SUMIFS(PURCHASE!$M$6:$M$10008,PURCHASE!$A$6:$A$10008,$AG$2,PURCHASE!$H$6:$H$10008,$A$4:$A$2700)</f>
        <v>0</v>
      </c>
      <c r="AK168" s="512">
        <f>SUMIFS(PURCHASE!$N$6:$N$10008,PURCHASE!$A$6:$A$10008,$AG$2,PURCHASE!$H$6:$H$10008,$A$4:$A$2700)</f>
        <v>0</v>
      </c>
      <c r="AL168" s="512">
        <f t="shared" si="52"/>
        <v>0</v>
      </c>
      <c r="AM168" s="512">
        <f>SUMIFS(PURCHASE!$K$6:$K$10008,PURCHASE!$A$6:$A$10008,$AL$2,PURCHASE!$H$6:$H$10008,$A$4:$A$2700)</f>
        <v>0</v>
      </c>
      <c r="AN168" s="512">
        <f>SUMIFS(PURCHASE!$L$6:$L$10008,PURCHASE!$A$6:$A$10008,$AL$2,PURCHASE!$H$6:$H$10008,$A$4:$A$2700)</f>
        <v>0</v>
      </c>
      <c r="AO168" s="512">
        <f>SUMIFS(PURCHASE!$M$6:$M$10008,PURCHASE!$A$6:$A$10008,$AL$2,PURCHASE!$H$6:$H$10008,$A$4:$A$2700)</f>
        <v>0</v>
      </c>
      <c r="AP168" s="512">
        <f>SUMIFS(PURCHASE!$N$6:$N$10008,PURCHASE!$A$6:$A$10008,$AL$2,PURCHASE!$H$6:$H$10008,$A$4:$A$2700)</f>
        <v>0</v>
      </c>
      <c r="AQ168" s="512">
        <f t="shared" si="53"/>
        <v>206146.70800000001</v>
      </c>
      <c r="AR168" s="512">
        <f>SUMIFS(PURCHASE!$K$6:$K$10008,PURCHASE!$A$6:$A$10008,$AQ$2,PURCHASE!$H$6:$H$10008,$A$4:$A$2700)</f>
        <v>174700.6</v>
      </c>
      <c r="AS168" s="512">
        <f>SUMIFS(PURCHASE!$L$6:$L$10008,PURCHASE!$A$6:$A$10008,$AQ$2,PURCHASE!$H$6:$H$10008,$A$4:$A$2700)</f>
        <v>31446.108</v>
      </c>
      <c r="AT168" s="512">
        <f>SUMIFS(PURCHASE!$M$6:$M$10008,PURCHASE!$A$6:$A$10008,$AQ$2,PURCHASE!$H$6:$H$10008,$A$4:$A$2700)</f>
        <v>0</v>
      </c>
      <c r="AU168" s="512">
        <f>SUMIFS(PURCHASE!$N$6:$N$10008,PURCHASE!$A$6:$A$10008,$AQ$2,PURCHASE!$H$6:$H$10008,$A$4:$A$2700)</f>
        <v>0</v>
      </c>
      <c r="AV168" s="512">
        <f t="shared" si="54"/>
        <v>0</v>
      </c>
      <c r="AW168" s="512">
        <f>SUMIFS(PURCHASE!$K$6:$K$10008,PURCHASE!$A$6:$A$10008,$AV$2,PURCHASE!$H$6:$H$10008,$A$4:$A$2700)</f>
        <v>0</v>
      </c>
      <c r="AX168" s="512">
        <f>SUMIFS(PURCHASE!$L$6:$L$10008,PURCHASE!$A$6:$A$10008,$AV$2,PURCHASE!$H$6:$H$10008,$A$4:$A$2700)</f>
        <v>0</v>
      </c>
      <c r="AY168" s="512">
        <f>SUMIFS(PURCHASE!$M$6:$M$10008,PURCHASE!$A$6:$A$10008,$AV$2,PURCHASE!$H$6:$H$10008,$A$4:$A$2700)</f>
        <v>0</v>
      </c>
      <c r="AZ168" s="512">
        <f>SUMIFS(PURCHASE!$N$6:$N$10008,PURCHASE!$A$6:$A$10008,$AV$2,PURCHASE!$H$6:$H$10008,$A$4:$A$2700)</f>
        <v>0</v>
      </c>
      <c r="BA168" s="512">
        <f t="shared" si="55"/>
        <v>0</v>
      </c>
      <c r="BB168" s="512">
        <f>SUMIFS(PURCHASE!$K$6:$K$10008,PURCHASE!$A$6:$A$10008,$BA$2,PURCHASE!$H$6:$H$10008,$A$4:$A$2700)</f>
        <v>0</v>
      </c>
      <c r="BC168" s="512">
        <f>SUMIFS(PURCHASE!$L$6:$L$10008,PURCHASE!$A$6:$A$10008,$BA$2,PURCHASE!$H$6:$H$10008,$A$4:$A$2700)</f>
        <v>0</v>
      </c>
      <c r="BD168" s="512">
        <f>SUMIFS(PURCHASE!$M$6:$M$10008,PURCHASE!$A$6:$A$10008,$BA$2,PURCHASE!$H$6:$H$10008,$A$4:$A$2700)</f>
        <v>0</v>
      </c>
      <c r="BE168" s="512">
        <f>SUMIFS(PURCHASE!$N$6:$N$10008,PURCHASE!$A$6:$A$10008,$BA$2,PURCHASE!$H$6:$H$10008,$A$4:$A$2700)</f>
        <v>0</v>
      </c>
      <c r="BF168" s="512">
        <f t="shared" si="56"/>
        <v>0</v>
      </c>
      <c r="BG168" s="512">
        <f>SUMIFS(PURCHASE!$K$6:$K$10008,PURCHASE!$A$6:$A$10008,$BF$2,PURCHASE!$H$6:$H$10008,$A$4:$A$2700)</f>
        <v>0</v>
      </c>
      <c r="BH168" s="512">
        <f>SUMIFS(PURCHASE!$L$6:$L$10008,PURCHASE!$A$6:$A$10008,$BF$2,PURCHASE!$H$6:$H$10008,$A$4:$A$2700)</f>
        <v>0</v>
      </c>
      <c r="BI168" s="512">
        <f>SUMIFS(PURCHASE!$M$6:$M$10008,PURCHASE!$A$6:$A$10008,$BF$2,PURCHASE!$H$6:$H$10008,$A$4:$A$2700)</f>
        <v>0</v>
      </c>
      <c r="BJ168" s="512">
        <f>SUMIFS(PURCHASE!$N$6:$N$10008,PURCHASE!$A$6:$A$10008,$BF$2,PURCHASE!$H$6:$H$10008,$A$4:$A$2700)</f>
        <v>0</v>
      </c>
      <c r="BK168" s="72">
        <f t="shared" si="40"/>
        <v>2668792.5220000003</v>
      </c>
      <c r="BL168" s="72">
        <f t="shared" si="41"/>
        <v>2348644.9</v>
      </c>
      <c r="BM168" s="72">
        <f t="shared" si="42"/>
        <v>320147.62199999997</v>
      </c>
      <c r="BN168" s="72">
        <f t="shared" si="43"/>
        <v>0</v>
      </c>
      <c r="BO168" s="72">
        <f t="shared" si="44"/>
        <v>0</v>
      </c>
    </row>
    <row r="169" spans="1:67" x14ac:dyDescent="0.2">
      <c r="A169" s="511">
        <v>998717</v>
      </c>
      <c r="B169" s="467" t="s">
        <v>1308</v>
      </c>
      <c r="C169" s="512">
        <f t="shared" si="45"/>
        <v>0</v>
      </c>
      <c r="D169" s="512">
        <f>SUMIFS(PURCHASE!$K$6:$K$10008,PURCHASE!$A$6:$A$10008,$M$2,PURCHASE!$H$6:$H$10008,$A$4:$A$2700)</f>
        <v>0</v>
      </c>
      <c r="E169" s="512">
        <f>SUMIFS(PURCHASE!$L$6:$L$10008,PURCHASE!$A$6:$A$10008,$M$2,PURCHASE!$H$6:$H$10008,$A$4:$A$2700)</f>
        <v>0</v>
      </c>
      <c r="F169" s="512">
        <f>SUMIFS(PURCHASE!$M$6:$M$10008,PURCHASE!$A$6:$A$10008,$M$2,PURCHASE!$H$6:$H$10008,$A$4:$A$2700)</f>
        <v>0</v>
      </c>
      <c r="G169" s="512">
        <f>SUMIFS(PURCHASE!$N$6:$N$10008,PURCHASE!$A$6:$A$10008,$M$2,PURCHASE!$H$6:$H$10008,$A$4:$A$2700)</f>
        <v>0</v>
      </c>
      <c r="H169" s="512">
        <f t="shared" si="46"/>
        <v>0</v>
      </c>
      <c r="I169" s="512">
        <f>SUMIFS(PURCHASE!$K$6:$K$10008,PURCHASE!$A$6:$A$10008,$H$2,PURCHASE!$H$6:$H$10008,$A$4:$A$2700)</f>
        <v>0</v>
      </c>
      <c r="J169" s="512">
        <f>SUMIFS(PURCHASE!$L$6:$L$10008,PURCHASE!$A$6:$A$10008,$H$2,PURCHASE!$H$6:$H$10008,$A$4:$A$2700)</f>
        <v>0</v>
      </c>
      <c r="K169" s="512">
        <f>SUMIFS(PURCHASE!$M$6:$M$10008,PURCHASE!$A$6:$A$10008,$H$2,PURCHASE!$H$6:$H$10008,$A$4:$A$2700)</f>
        <v>0</v>
      </c>
      <c r="L169" s="512">
        <f>SUMIFS(PURCHASE!$N$6:$N$10008,PURCHASE!$A$6:$A$10008,$H$2,PURCHASE!$H$6:$H$10008,$A$4:$A$2700)</f>
        <v>0</v>
      </c>
      <c r="M169" s="512">
        <f t="shared" si="47"/>
        <v>0</v>
      </c>
      <c r="N169" s="512">
        <f>SUMIFS(PURCHASE!$K$6:$K$10008,PURCHASE!$A$6:$A$10008,$M$2,PURCHASE!$H$6:$H$10008,$A$4:$A$2700)</f>
        <v>0</v>
      </c>
      <c r="O169" s="512">
        <f>SUMIFS(PURCHASE!$L$6:$L$10008,PURCHASE!$A$6:$A$10008,$M$2,PURCHASE!$H$6:$H$10008,$A$4:$A$2700)</f>
        <v>0</v>
      </c>
      <c r="P169" s="512">
        <f>SUMIFS(PURCHASE!$M$6:$M$10008,PURCHASE!$A$6:$A$10008,$M$2,PURCHASE!$H$6:$H$10008,$A$4:$A$2700)</f>
        <v>0</v>
      </c>
      <c r="Q169" s="512">
        <f>SUMIFS(PURCHASE!$N$6:$N$10008,PURCHASE!$A$6:$A$10008,$M$2,PURCHASE!$H$6:$H$10008,$A$4:$A$2700)</f>
        <v>0</v>
      </c>
      <c r="R169" s="512">
        <f t="shared" si="48"/>
        <v>0</v>
      </c>
      <c r="S169" s="512">
        <f>SUMIFS(PURCHASE!$K$6:$K$10008,PURCHASE!$A$6:$A$10008,$R$2,PURCHASE!$H$6:$H$10008,$A$4:$A$2700)</f>
        <v>0</v>
      </c>
      <c r="T169" s="512">
        <f>SUMIFS(PURCHASE!$L$6:$L$10008,PURCHASE!$A$6:$A$10008,$R$2,PURCHASE!$H$6:$H$10008,$A$4:$A$2700)</f>
        <v>0</v>
      </c>
      <c r="U169" s="512">
        <f>SUMIFS(PURCHASE!$M$6:$M$10008,PURCHASE!$A$6:$A$10008,$R$2,PURCHASE!$H$6:$H$10008,$A$4:$A$2700)</f>
        <v>0</v>
      </c>
      <c r="V169" s="512">
        <f>SUMIFS(PURCHASE!$N$6:$N$10008,PURCHASE!$A$6:$A$10008,$R$2,PURCHASE!$H$6:$H$10008,$A$4:$A$2700)</f>
        <v>0</v>
      </c>
      <c r="W169" s="512">
        <f t="shared" si="49"/>
        <v>3540</v>
      </c>
      <c r="X169" s="512">
        <f>SUMIFS(PURCHASE!$K$6:$K$10008,PURCHASE!$A$6:$A$10008,$W$2,PURCHASE!$H$6:$H$10008,$A$4:$A$2700)</f>
        <v>3000</v>
      </c>
      <c r="Y169" s="512">
        <f>SUMIFS(PURCHASE!$L$6:$L$10008,PURCHASE!$A$6:$A$10008,$W$2,PURCHASE!$H$6:$H$10008,$A$4:$A$2700)</f>
        <v>0</v>
      </c>
      <c r="Z169" s="512">
        <f>SUMIFS(PURCHASE!$M$6:$M$10008,PURCHASE!$A$6:$A$10008,$W$2,PURCHASE!$H$6:$H$10008,$A$4:$A$2700)</f>
        <v>270</v>
      </c>
      <c r="AA169" s="512">
        <f>SUMIFS(PURCHASE!$N$6:$N$10008,PURCHASE!$A$6:$A$10008,$W$2,PURCHASE!$H$6:$H$10008,$A$4:$A$2700)</f>
        <v>270</v>
      </c>
      <c r="AB169" s="512">
        <f t="shared" si="50"/>
        <v>0</v>
      </c>
      <c r="AC169" s="512">
        <f>SUMIFS(PURCHASE!$K$6:$K$10008,PURCHASE!$A$6:$A$10008,$AB$2,PURCHASE!$H$6:$H$10008,$A$4:$A$2700)</f>
        <v>0</v>
      </c>
      <c r="AD169" s="512">
        <f>SUMIFS(PURCHASE!$L$6:$L$10008,PURCHASE!$A$6:$A$10008,$AB$2,PURCHASE!$H$6:$H$10008,$A$4:$A$2700)</f>
        <v>0</v>
      </c>
      <c r="AE169" s="512">
        <f>SUMIFS(PURCHASE!$M$6:$M$10008,PURCHASE!$A$6:$A$10008,$AB$2,PURCHASE!$H$6:$H$10008,$A$4:$A$2700)</f>
        <v>0</v>
      </c>
      <c r="AF169" s="512">
        <f>SUMIFS(PURCHASE!$N$6:$N$10008,PURCHASE!$A$6:$A$10008,$AB$2,PURCHASE!$H$6:$H$10008,$A$4:$A$2700)</f>
        <v>0</v>
      </c>
      <c r="AG169" s="512">
        <f t="shared" si="51"/>
        <v>0</v>
      </c>
      <c r="AH169" s="512">
        <f>SUMIFS(PURCHASE!$K$6:$K$10008,PURCHASE!$A$6:$A$10008,$AG$2,PURCHASE!$H$6:$H$10008,$A$4:$A$2700)</f>
        <v>0</v>
      </c>
      <c r="AI169" s="512">
        <f>SUMIFS(PURCHASE!$L$6:$L$10008,PURCHASE!$A$6:$A$10008,$AG$2,PURCHASE!$H$6:$H$10008,$A$4:$A$2700)</f>
        <v>0</v>
      </c>
      <c r="AJ169" s="512">
        <f>SUMIFS(PURCHASE!$M$6:$M$10008,PURCHASE!$A$6:$A$10008,$AG$2,PURCHASE!$H$6:$H$10008,$A$4:$A$2700)</f>
        <v>0</v>
      </c>
      <c r="AK169" s="512">
        <f>SUMIFS(PURCHASE!$N$6:$N$10008,PURCHASE!$A$6:$A$10008,$AG$2,PURCHASE!$H$6:$H$10008,$A$4:$A$2700)</f>
        <v>0</v>
      </c>
      <c r="AL169" s="512">
        <f t="shared" si="52"/>
        <v>0</v>
      </c>
      <c r="AM169" s="512">
        <f>SUMIFS(PURCHASE!$K$6:$K$10008,PURCHASE!$A$6:$A$10008,$AL$2,PURCHASE!$H$6:$H$10008,$A$4:$A$2700)</f>
        <v>0</v>
      </c>
      <c r="AN169" s="512">
        <f>SUMIFS(PURCHASE!$L$6:$L$10008,PURCHASE!$A$6:$A$10008,$AL$2,PURCHASE!$H$6:$H$10008,$A$4:$A$2700)</f>
        <v>0</v>
      </c>
      <c r="AO169" s="512">
        <f>SUMIFS(PURCHASE!$M$6:$M$10008,PURCHASE!$A$6:$A$10008,$AL$2,PURCHASE!$H$6:$H$10008,$A$4:$A$2700)</f>
        <v>0</v>
      </c>
      <c r="AP169" s="512">
        <f>SUMIFS(PURCHASE!$N$6:$N$10008,PURCHASE!$A$6:$A$10008,$AL$2,PURCHASE!$H$6:$H$10008,$A$4:$A$2700)</f>
        <v>0</v>
      </c>
      <c r="AQ169" s="512">
        <f t="shared" si="53"/>
        <v>0</v>
      </c>
      <c r="AR169" s="512">
        <f>SUMIFS(PURCHASE!$K$6:$K$10008,PURCHASE!$A$6:$A$10008,$AQ$2,PURCHASE!$H$6:$H$10008,$A$4:$A$2700)</f>
        <v>0</v>
      </c>
      <c r="AS169" s="512">
        <f>SUMIFS(PURCHASE!$L$6:$L$10008,PURCHASE!$A$6:$A$10008,$AQ$2,PURCHASE!$H$6:$H$10008,$A$4:$A$2700)</f>
        <v>0</v>
      </c>
      <c r="AT169" s="512">
        <f>SUMIFS(PURCHASE!$M$6:$M$10008,PURCHASE!$A$6:$A$10008,$AQ$2,PURCHASE!$H$6:$H$10008,$A$4:$A$2700)</f>
        <v>0</v>
      </c>
      <c r="AU169" s="512">
        <f>SUMIFS(PURCHASE!$N$6:$N$10008,PURCHASE!$A$6:$A$10008,$AQ$2,PURCHASE!$H$6:$H$10008,$A$4:$A$2700)</f>
        <v>0</v>
      </c>
      <c r="AV169" s="512">
        <f t="shared" si="54"/>
        <v>0</v>
      </c>
      <c r="AW169" s="512">
        <f>SUMIFS(PURCHASE!$K$6:$K$10008,PURCHASE!$A$6:$A$10008,$AV$2,PURCHASE!$H$6:$H$10008,$A$4:$A$2700)</f>
        <v>0</v>
      </c>
      <c r="AX169" s="512">
        <f>SUMIFS(PURCHASE!$L$6:$L$10008,PURCHASE!$A$6:$A$10008,$AV$2,PURCHASE!$H$6:$H$10008,$A$4:$A$2700)</f>
        <v>0</v>
      </c>
      <c r="AY169" s="512">
        <f>SUMIFS(PURCHASE!$M$6:$M$10008,PURCHASE!$A$6:$A$10008,$AV$2,PURCHASE!$H$6:$H$10008,$A$4:$A$2700)</f>
        <v>0</v>
      </c>
      <c r="AZ169" s="512">
        <f>SUMIFS(PURCHASE!$N$6:$N$10008,PURCHASE!$A$6:$A$10008,$AV$2,PURCHASE!$H$6:$H$10008,$A$4:$A$2700)</f>
        <v>0</v>
      </c>
      <c r="BA169" s="512">
        <f t="shared" si="55"/>
        <v>0</v>
      </c>
      <c r="BB169" s="512">
        <f>SUMIFS(PURCHASE!$K$6:$K$10008,PURCHASE!$A$6:$A$10008,$BA$2,PURCHASE!$H$6:$H$10008,$A$4:$A$2700)</f>
        <v>0</v>
      </c>
      <c r="BC169" s="512">
        <f>SUMIFS(PURCHASE!$L$6:$L$10008,PURCHASE!$A$6:$A$10008,$BA$2,PURCHASE!$H$6:$H$10008,$A$4:$A$2700)</f>
        <v>0</v>
      </c>
      <c r="BD169" s="512">
        <f>SUMIFS(PURCHASE!$M$6:$M$10008,PURCHASE!$A$6:$A$10008,$BA$2,PURCHASE!$H$6:$H$10008,$A$4:$A$2700)</f>
        <v>0</v>
      </c>
      <c r="BE169" s="512">
        <f>SUMIFS(PURCHASE!$N$6:$N$10008,PURCHASE!$A$6:$A$10008,$BA$2,PURCHASE!$H$6:$H$10008,$A$4:$A$2700)</f>
        <v>0</v>
      </c>
      <c r="BF169" s="512">
        <f t="shared" si="56"/>
        <v>0</v>
      </c>
      <c r="BG169" s="512">
        <f>SUMIFS(PURCHASE!$K$6:$K$10008,PURCHASE!$A$6:$A$10008,$BF$2,PURCHASE!$H$6:$H$10008,$A$4:$A$2700)</f>
        <v>0</v>
      </c>
      <c r="BH169" s="512">
        <f>SUMIFS(PURCHASE!$L$6:$L$10008,PURCHASE!$A$6:$A$10008,$BF$2,PURCHASE!$H$6:$H$10008,$A$4:$A$2700)</f>
        <v>0</v>
      </c>
      <c r="BI169" s="512">
        <f>SUMIFS(PURCHASE!$M$6:$M$10008,PURCHASE!$A$6:$A$10008,$BF$2,PURCHASE!$H$6:$H$10008,$A$4:$A$2700)</f>
        <v>0</v>
      </c>
      <c r="BJ169" s="512">
        <f>SUMIFS(PURCHASE!$N$6:$N$10008,PURCHASE!$A$6:$A$10008,$BF$2,PURCHASE!$H$6:$H$10008,$A$4:$A$2700)</f>
        <v>0</v>
      </c>
      <c r="BK169" s="72">
        <f t="shared" si="40"/>
        <v>3540</v>
      </c>
      <c r="BL169" s="72">
        <f t="shared" si="41"/>
        <v>3000</v>
      </c>
      <c r="BM169" s="72">
        <f t="shared" si="42"/>
        <v>0</v>
      </c>
      <c r="BN169" s="72">
        <f t="shared" si="43"/>
        <v>270</v>
      </c>
      <c r="BO169" s="72">
        <f t="shared" si="44"/>
        <v>270</v>
      </c>
    </row>
    <row r="170" spans="1:67" x14ac:dyDescent="0.2">
      <c r="A170" s="511">
        <v>21069030</v>
      </c>
      <c r="B170" s="467" t="s">
        <v>1309</v>
      </c>
      <c r="C170" s="512">
        <f t="shared" si="45"/>
        <v>0</v>
      </c>
      <c r="D170" s="512">
        <f>SUMIFS(PURCHASE!$K$6:$K$10008,PURCHASE!$A$6:$A$10008,$M$2,PURCHASE!$H$6:$H$10008,$A$4:$A$2700)</f>
        <v>0</v>
      </c>
      <c r="E170" s="512">
        <f>SUMIFS(PURCHASE!$L$6:$L$10008,PURCHASE!$A$6:$A$10008,$M$2,PURCHASE!$H$6:$H$10008,$A$4:$A$2700)</f>
        <v>0</v>
      </c>
      <c r="F170" s="512">
        <f>SUMIFS(PURCHASE!$M$6:$M$10008,PURCHASE!$A$6:$A$10008,$M$2,PURCHASE!$H$6:$H$10008,$A$4:$A$2700)</f>
        <v>0</v>
      </c>
      <c r="G170" s="512">
        <f>SUMIFS(PURCHASE!$N$6:$N$10008,PURCHASE!$A$6:$A$10008,$M$2,PURCHASE!$H$6:$H$10008,$A$4:$A$2700)</f>
        <v>0</v>
      </c>
      <c r="H170" s="512">
        <f t="shared" si="46"/>
        <v>0</v>
      </c>
      <c r="I170" s="512">
        <f>SUMIFS(PURCHASE!$K$6:$K$10008,PURCHASE!$A$6:$A$10008,$H$2,PURCHASE!$H$6:$H$10008,$A$4:$A$2700)</f>
        <v>0</v>
      </c>
      <c r="J170" s="512">
        <f>SUMIFS(PURCHASE!$L$6:$L$10008,PURCHASE!$A$6:$A$10008,$H$2,PURCHASE!$H$6:$H$10008,$A$4:$A$2700)</f>
        <v>0</v>
      </c>
      <c r="K170" s="512">
        <f>SUMIFS(PURCHASE!$M$6:$M$10008,PURCHASE!$A$6:$A$10008,$H$2,PURCHASE!$H$6:$H$10008,$A$4:$A$2700)</f>
        <v>0</v>
      </c>
      <c r="L170" s="512">
        <f>SUMIFS(PURCHASE!$N$6:$N$10008,PURCHASE!$A$6:$A$10008,$H$2,PURCHASE!$H$6:$H$10008,$A$4:$A$2700)</f>
        <v>0</v>
      </c>
      <c r="M170" s="512">
        <f t="shared" si="47"/>
        <v>0</v>
      </c>
      <c r="N170" s="512">
        <f>SUMIFS(PURCHASE!$K$6:$K$10008,PURCHASE!$A$6:$A$10008,$M$2,PURCHASE!$H$6:$H$10008,$A$4:$A$2700)</f>
        <v>0</v>
      </c>
      <c r="O170" s="512">
        <f>SUMIFS(PURCHASE!$L$6:$L$10008,PURCHASE!$A$6:$A$10008,$M$2,PURCHASE!$H$6:$H$10008,$A$4:$A$2700)</f>
        <v>0</v>
      </c>
      <c r="P170" s="512">
        <f>SUMIFS(PURCHASE!$M$6:$M$10008,PURCHASE!$A$6:$A$10008,$M$2,PURCHASE!$H$6:$H$10008,$A$4:$A$2700)</f>
        <v>0</v>
      </c>
      <c r="Q170" s="512">
        <f>SUMIFS(PURCHASE!$N$6:$N$10008,PURCHASE!$A$6:$A$10008,$M$2,PURCHASE!$H$6:$H$10008,$A$4:$A$2700)</f>
        <v>0</v>
      </c>
      <c r="R170" s="512">
        <f t="shared" si="48"/>
        <v>0</v>
      </c>
      <c r="S170" s="512">
        <f>SUMIFS(PURCHASE!$K$6:$K$10008,PURCHASE!$A$6:$A$10008,$R$2,PURCHASE!$H$6:$H$10008,$A$4:$A$2700)</f>
        <v>0</v>
      </c>
      <c r="T170" s="512">
        <f>SUMIFS(PURCHASE!$L$6:$L$10008,PURCHASE!$A$6:$A$10008,$R$2,PURCHASE!$H$6:$H$10008,$A$4:$A$2700)</f>
        <v>0</v>
      </c>
      <c r="U170" s="512">
        <f>SUMIFS(PURCHASE!$M$6:$M$10008,PURCHASE!$A$6:$A$10008,$R$2,PURCHASE!$H$6:$H$10008,$A$4:$A$2700)</f>
        <v>0</v>
      </c>
      <c r="V170" s="512">
        <f>SUMIFS(PURCHASE!$N$6:$N$10008,PURCHASE!$A$6:$A$10008,$R$2,PURCHASE!$H$6:$H$10008,$A$4:$A$2700)</f>
        <v>0</v>
      </c>
      <c r="W170" s="512">
        <f t="shared" si="49"/>
        <v>212.39999999999998</v>
      </c>
      <c r="X170" s="512">
        <f>SUMIFS(PURCHASE!$K$6:$K$10008,PURCHASE!$A$6:$A$10008,$W$2,PURCHASE!$H$6:$H$10008,$A$4:$A$2700)</f>
        <v>180</v>
      </c>
      <c r="Y170" s="512">
        <f>SUMIFS(PURCHASE!$L$6:$L$10008,PURCHASE!$A$6:$A$10008,$W$2,PURCHASE!$H$6:$H$10008,$A$4:$A$2700)</f>
        <v>0</v>
      </c>
      <c r="Z170" s="512">
        <f>SUMIFS(PURCHASE!$M$6:$M$10008,PURCHASE!$A$6:$A$10008,$W$2,PURCHASE!$H$6:$H$10008,$A$4:$A$2700)</f>
        <v>16.2</v>
      </c>
      <c r="AA170" s="512">
        <f>SUMIFS(PURCHASE!$N$6:$N$10008,PURCHASE!$A$6:$A$10008,$W$2,PURCHASE!$H$6:$H$10008,$A$4:$A$2700)</f>
        <v>16.2</v>
      </c>
      <c r="AB170" s="512">
        <f t="shared" si="50"/>
        <v>0</v>
      </c>
      <c r="AC170" s="512">
        <f>SUMIFS(PURCHASE!$K$6:$K$10008,PURCHASE!$A$6:$A$10008,$AB$2,PURCHASE!$H$6:$H$10008,$A$4:$A$2700)</f>
        <v>0</v>
      </c>
      <c r="AD170" s="512">
        <f>SUMIFS(PURCHASE!$L$6:$L$10008,PURCHASE!$A$6:$A$10008,$AB$2,PURCHASE!$H$6:$H$10008,$A$4:$A$2700)</f>
        <v>0</v>
      </c>
      <c r="AE170" s="512">
        <f>SUMIFS(PURCHASE!$M$6:$M$10008,PURCHASE!$A$6:$A$10008,$AB$2,PURCHASE!$H$6:$H$10008,$A$4:$A$2700)</f>
        <v>0</v>
      </c>
      <c r="AF170" s="512">
        <f>SUMIFS(PURCHASE!$N$6:$N$10008,PURCHASE!$A$6:$A$10008,$AB$2,PURCHASE!$H$6:$H$10008,$A$4:$A$2700)</f>
        <v>0</v>
      </c>
      <c r="AG170" s="512">
        <f t="shared" si="51"/>
        <v>0</v>
      </c>
      <c r="AH170" s="512">
        <f>SUMIFS(PURCHASE!$K$6:$K$10008,PURCHASE!$A$6:$A$10008,$AG$2,PURCHASE!$H$6:$H$10008,$A$4:$A$2700)</f>
        <v>0</v>
      </c>
      <c r="AI170" s="512">
        <f>SUMIFS(PURCHASE!$L$6:$L$10008,PURCHASE!$A$6:$A$10008,$AG$2,PURCHASE!$H$6:$H$10008,$A$4:$A$2700)</f>
        <v>0</v>
      </c>
      <c r="AJ170" s="512">
        <f>SUMIFS(PURCHASE!$M$6:$M$10008,PURCHASE!$A$6:$A$10008,$AG$2,PURCHASE!$H$6:$H$10008,$A$4:$A$2700)</f>
        <v>0</v>
      </c>
      <c r="AK170" s="512">
        <f>SUMIFS(PURCHASE!$N$6:$N$10008,PURCHASE!$A$6:$A$10008,$AG$2,PURCHASE!$H$6:$H$10008,$A$4:$A$2700)</f>
        <v>0</v>
      </c>
      <c r="AL170" s="512">
        <f t="shared" si="52"/>
        <v>0</v>
      </c>
      <c r="AM170" s="512">
        <f>SUMIFS(PURCHASE!$K$6:$K$10008,PURCHASE!$A$6:$A$10008,$AL$2,PURCHASE!$H$6:$H$10008,$A$4:$A$2700)</f>
        <v>0</v>
      </c>
      <c r="AN170" s="512">
        <f>SUMIFS(PURCHASE!$L$6:$L$10008,PURCHASE!$A$6:$A$10008,$AL$2,PURCHASE!$H$6:$H$10008,$A$4:$A$2700)</f>
        <v>0</v>
      </c>
      <c r="AO170" s="512">
        <f>SUMIFS(PURCHASE!$M$6:$M$10008,PURCHASE!$A$6:$A$10008,$AL$2,PURCHASE!$H$6:$H$10008,$A$4:$A$2700)</f>
        <v>0</v>
      </c>
      <c r="AP170" s="512">
        <f>SUMIFS(PURCHASE!$N$6:$N$10008,PURCHASE!$A$6:$A$10008,$AL$2,PURCHASE!$H$6:$H$10008,$A$4:$A$2700)</f>
        <v>0</v>
      </c>
      <c r="AQ170" s="512">
        <f t="shared" si="53"/>
        <v>0</v>
      </c>
      <c r="AR170" s="512">
        <f>SUMIFS(PURCHASE!$K$6:$K$10008,PURCHASE!$A$6:$A$10008,$AQ$2,PURCHASE!$H$6:$H$10008,$A$4:$A$2700)</f>
        <v>0</v>
      </c>
      <c r="AS170" s="512">
        <f>SUMIFS(PURCHASE!$L$6:$L$10008,PURCHASE!$A$6:$A$10008,$AQ$2,PURCHASE!$H$6:$H$10008,$A$4:$A$2700)</f>
        <v>0</v>
      </c>
      <c r="AT170" s="512">
        <f>SUMIFS(PURCHASE!$M$6:$M$10008,PURCHASE!$A$6:$A$10008,$AQ$2,PURCHASE!$H$6:$H$10008,$A$4:$A$2700)</f>
        <v>0</v>
      </c>
      <c r="AU170" s="512">
        <f>SUMIFS(PURCHASE!$N$6:$N$10008,PURCHASE!$A$6:$A$10008,$AQ$2,PURCHASE!$H$6:$H$10008,$A$4:$A$2700)</f>
        <v>0</v>
      </c>
      <c r="AV170" s="512">
        <f t="shared" si="54"/>
        <v>0</v>
      </c>
      <c r="AW170" s="512">
        <f>SUMIFS(PURCHASE!$K$6:$K$10008,PURCHASE!$A$6:$A$10008,$AV$2,PURCHASE!$H$6:$H$10008,$A$4:$A$2700)</f>
        <v>0</v>
      </c>
      <c r="AX170" s="512">
        <f>SUMIFS(PURCHASE!$L$6:$L$10008,PURCHASE!$A$6:$A$10008,$AV$2,PURCHASE!$H$6:$H$10008,$A$4:$A$2700)</f>
        <v>0</v>
      </c>
      <c r="AY170" s="512">
        <f>SUMIFS(PURCHASE!$M$6:$M$10008,PURCHASE!$A$6:$A$10008,$AV$2,PURCHASE!$H$6:$H$10008,$A$4:$A$2700)</f>
        <v>0</v>
      </c>
      <c r="AZ170" s="512">
        <f>SUMIFS(PURCHASE!$N$6:$N$10008,PURCHASE!$A$6:$A$10008,$AV$2,PURCHASE!$H$6:$H$10008,$A$4:$A$2700)</f>
        <v>0</v>
      </c>
      <c r="BA170" s="512">
        <f t="shared" si="55"/>
        <v>0</v>
      </c>
      <c r="BB170" s="512">
        <f>SUMIFS(PURCHASE!$K$6:$K$10008,PURCHASE!$A$6:$A$10008,$BA$2,PURCHASE!$H$6:$H$10008,$A$4:$A$2700)</f>
        <v>0</v>
      </c>
      <c r="BC170" s="512">
        <f>SUMIFS(PURCHASE!$L$6:$L$10008,PURCHASE!$A$6:$A$10008,$BA$2,PURCHASE!$H$6:$H$10008,$A$4:$A$2700)</f>
        <v>0</v>
      </c>
      <c r="BD170" s="512">
        <f>SUMIFS(PURCHASE!$M$6:$M$10008,PURCHASE!$A$6:$A$10008,$BA$2,PURCHASE!$H$6:$H$10008,$A$4:$A$2700)</f>
        <v>0</v>
      </c>
      <c r="BE170" s="512">
        <f>SUMIFS(PURCHASE!$N$6:$N$10008,PURCHASE!$A$6:$A$10008,$BA$2,PURCHASE!$H$6:$H$10008,$A$4:$A$2700)</f>
        <v>0</v>
      </c>
      <c r="BF170" s="512">
        <f t="shared" si="56"/>
        <v>0</v>
      </c>
      <c r="BG170" s="512">
        <f>SUMIFS(PURCHASE!$K$6:$K$10008,PURCHASE!$A$6:$A$10008,$BF$2,PURCHASE!$H$6:$H$10008,$A$4:$A$2700)</f>
        <v>0</v>
      </c>
      <c r="BH170" s="512">
        <f>SUMIFS(PURCHASE!$L$6:$L$10008,PURCHASE!$A$6:$A$10008,$BF$2,PURCHASE!$H$6:$H$10008,$A$4:$A$2700)</f>
        <v>0</v>
      </c>
      <c r="BI170" s="512">
        <f>SUMIFS(PURCHASE!$M$6:$M$10008,PURCHASE!$A$6:$A$10008,$BF$2,PURCHASE!$H$6:$H$10008,$A$4:$A$2700)</f>
        <v>0</v>
      </c>
      <c r="BJ170" s="512">
        <f>SUMIFS(PURCHASE!$N$6:$N$10008,PURCHASE!$A$6:$A$10008,$BF$2,PURCHASE!$H$6:$H$10008,$A$4:$A$2700)</f>
        <v>0</v>
      </c>
      <c r="BK170" s="72">
        <f t="shared" si="40"/>
        <v>212.39999999999998</v>
      </c>
      <c r="BL170" s="72">
        <f t="shared" si="41"/>
        <v>180</v>
      </c>
      <c r="BM170" s="72">
        <f t="shared" si="42"/>
        <v>0</v>
      </c>
      <c r="BN170" s="72">
        <f t="shared" si="43"/>
        <v>16.2</v>
      </c>
      <c r="BO170" s="72">
        <f t="shared" si="44"/>
        <v>16.2</v>
      </c>
    </row>
    <row r="171" spans="1:67" x14ac:dyDescent="0.2">
      <c r="A171" s="511">
        <v>4010</v>
      </c>
      <c r="B171" s="467" t="s">
        <v>1310</v>
      </c>
      <c r="C171" s="512">
        <f t="shared" si="45"/>
        <v>0</v>
      </c>
      <c r="D171" s="512">
        <f>SUMIFS(PURCHASE!$K$6:$K$10008,PURCHASE!$A$6:$A$10008,$M$2,PURCHASE!$H$6:$H$10008,$A$4:$A$2700)</f>
        <v>0</v>
      </c>
      <c r="E171" s="512">
        <f>SUMIFS(PURCHASE!$L$6:$L$10008,PURCHASE!$A$6:$A$10008,$M$2,PURCHASE!$H$6:$H$10008,$A$4:$A$2700)</f>
        <v>0</v>
      </c>
      <c r="F171" s="512">
        <f>SUMIFS(PURCHASE!$M$6:$M$10008,PURCHASE!$A$6:$A$10008,$M$2,PURCHASE!$H$6:$H$10008,$A$4:$A$2700)</f>
        <v>0</v>
      </c>
      <c r="G171" s="512">
        <f>SUMIFS(PURCHASE!$N$6:$N$10008,PURCHASE!$A$6:$A$10008,$M$2,PURCHASE!$H$6:$H$10008,$A$4:$A$2700)</f>
        <v>0</v>
      </c>
      <c r="H171" s="512">
        <f t="shared" si="46"/>
        <v>0</v>
      </c>
      <c r="I171" s="512">
        <f>SUMIFS(PURCHASE!$K$6:$K$10008,PURCHASE!$A$6:$A$10008,$H$2,PURCHASE!$H$6:$H$10008,$A$4:$A$2700)</f>
        <v>0</v>
      </c>
      <c r="J171" s="512">
        <f>SUMIFS(PURCHASE!$L$6:$L$10008,PURCHASE!$A$6:$A$10008,$H$2,PURCHASE!$H$6:$H$10008,$A$4:$A$2700)</f>
        <v>0</v>
      </c>
      <c r="K171" s="512">
        <f>SUMIFS(PURCHASE!$M$6:$M$10008,PURCHASE!$A$6:$A$10008,$H$2,PURCHASE!$H$6:$H$10008,$A$4:$A$2700)</f>
        <v>0</v>
      </c>
      <c r="L171" s="512">
        <f>SUMIFS(PURCHASE!$N$6:$N$10008,PURCHASE!$A$6:$A$10008,$H$2,PURCHASE!$H$6:$H$10008,$A$4:$A$2700)</f>
        <v>0</v>
      </c>
      <c r="M171" s="512">
        <f t="shared" si="47"/>
        <v>0</v>
      </c>
      <c r="N171" s="512">
        <f>SUMIFS(PURCHASE!$K$6:$K$10008,PURCHASE!$A$6:$A$10008,$M$2,PURCHASE!$H$6:$H$10008,$A$4:$A$2700)</f>
        <v>0</v>
      </c>
      <c r="O171" s="512">
        <f>SUMIFS(PURCHASE!$L$6:$L$10008,PURCHASE!$A$6:$A$10008,$M$2,PURCHASE!$H$6:$H$10008,$A$4:$A$2700)</f>
        <v>0</v>
      </c>
      <c r="P171" s="512">
        <f>SUMIFS(PURCHASE!$M$6:$M$10008,PURCHASE!$A$6:$A$10008,$M$2,PURCHASE!$H$6:$H$10008,$A$4:$A$2700)</f>
        <v>0</v>
      </c>
      <c r="Q171" s="512">
        <f>SUMIFS(PURCHASE!$N$6:$N$10008,PURCHASE!$A$6:$A$10008,$M$2,PURCHASE!$H$6:$H$10008,$A$4:$A$2700)</f>
        <v>0</v>
      </c>
      <c r="R171" s="512">
        <f t="shared" si="48"/>
        <v>920.81999999999994</v>
      </c>
      <c r="S171" s="512">
        <f>SUMIFS(PURCHASE!$K$6:$K$10008,PURCHASE!$A$6:$A$10008,$R$2,PURCHASE!$H$6:$H$10008,$A$4:$A$2700)</f>
        <v>780</v>
      </c>
      <c r="T171" s="512">
        <f>SUMIFS(PURCHASE!$L$6:$L$10008,PURCHASE!$A$6:$A$10008,$R$2,PURCHASE!$H$6:$H$10008,$A$4:$A$2700)</f>
        <v>0</v>
      </c>
      <c r="U171" s="512">
        <f>SUMIFS(PURCHASE!$M$6:$M$10008,PURCHASE!$A$6:$A$10008,$R$2,PURCHASE!$H$6:$H$10008,$A$4:$A$2700)</f>
        <v>70.41</v>
      </c>
      <c r="V171" s="512">
        <f>SUMIFS(PURCHASE!$N$6:$N$10008,PURCHASE!$A$6:$A$10008,$R$2,PURCHASE!$H$6:$H$10008,$A$4:$A$2700)</f>
        <v>70.41</v>
      </c>
      <c r="W171" s="512">
        <f t="shared" si="49"/>
        <v>0</v>
      </c>
      <c r="X171" s="512">
        <f>SUMIFS(PURCHASE!$K$6:$K$10008,PURCHASE!$A$6:$A$10008,$W$2,PURCHASE!$H$6:$H$10008,$A$4:$A$2700)</f>
        <v>0</v>
      </c>
      <c r="Y171" s="512">
        <f>SUMIFS(PURCHASE!$L$6:$L$10008,PURCHASE!$A$6:$A$10008,$W$2,PURCHASE!$H$6:$H$10008,$A$4:$A$2700)</f>
        <v>0</v>
      </c>
      <c r="Z171" s="512">
        <f>SUMIFS(PURCHASE!$M$6:$M$10008,PURCHASE!$A$6:$A$10008,$W$2,PURCHASE!$H$6:$H$10008,$A$4:$A$2700)</f>
        <v>0</v>
      </c>
      <c r="AA171" s="512">
        <f>SUMIFS(PURCHASE!$N$6:$N$10008,PURCHASE!$A$6:$A$10008,$W$2,PURCHASE!$H$6:$H$10008,$A$4:$A$2700)</f>
        <v>0</v>
      </c>
      <c r="AB171" s="512">
        <f t="shared" si="50"/>
        <v>0</v>
      </c>
      <c r="AC171" s="512">
        <f>SUMIFS(PURCHASE!$K$6:$K$10008,PURCHASE!$A$6:$A$10008,$AB$2,PURCHASE!$H$6:$H$10008,$A$4:$A$2700)</f>
        <v>0</v>
      </c>
      <c r="AD171" s="512">
        <f>SUMIFS(PURCHASE!$L$6:$L$10008,PURCHASE!$A$6:$A$10008,$AB$2,PURCHASE!$H$6:$H$10008,$A$4:$A$2700)</f>
        <v>0</v>
      </c>
      <c r="AE171" s="512">
        <f>SUMIFS(PURCHASE!$M$6:$M$10008,PURCHASE!$A$6:$A$10008,$AB$2,PURCHASE!$H$6:$H$10008,$A$4:$A$2700)</f>
        <v>0</v>
      </c>
      <c r="AF171" s="512">
        <f>SUMIFS(PURCHASE!$N$6:$N$10008,PURCHASE!$A$6:$A$10008,$AB$2,PURCHASE!$H$6:$H$10008,$A$4:$A$2700)</f>
        <v>0</v>
      </c>
      <c r="AG171" s="512">
        <f t="shared" si="51"/>
        <v>0</v>
      </c>
      <c r="AH171" s="512">
        <f>SUMIFS(PURCHASE!$K$6:$K$10008,PURCHASE!$A$6:$A$10008,$AG$2,PURCHASE!$H$6:$H$10008,$A$4:$A$2700)</f>
        <v>0</v>
      </c>
      <c r="AI171" s="512">
        <f>SUMIFS(PURCHASE!$L$6:$L$10008,PURCHASE!$A$6:$A$10008,$AG$2,PURCHASE!$H$6:$H$10008,$A$4:$A$2700)</f>
        <v>0</v>
      </c>
      <c r="AJ171" s="512">
        <f>SUMIFS(PURCHASE!$M$6:$M$10008,PURCHASE!$A$6:$A$10008,$AG$2,PURCHASE!$H$6:$H$10008,$A$4:$A$2700)</f>
        <v>0</v>
      </c>
      <c r="AK171" s="512">
        <f>SUMIFS(PURCHASE!$N$6:$N$10008,PURCHASE!$A$6:$A$10008,$AG$2,PURCHASE!$H$6:$H$10008,$A$4:$A$2700)</f>
        <v>0</v>
      </c>
      <c r="AL171" s="512">
        <f t="shared" si="52"/>
        <v>0</v>
      </c>
      <c r="AM171" s="512">
        <f>SUMIFS(PURCHASE!$K$6:$K$10008,PURCHASE!$A$6:$A$10008,$AL$2,PURCHASE!$H$6:$H$10008,$A$4:$A$2700)</f>
        <v>0</v>
      </c>
      <c r="AN171" s="512">
        <f>SUMIFS(PURCHASE!$L$6:$L$10008,PURCHASE!$A$6:$A$10008,$AL$2,PURCHASE!$H$6:$H$10008,$A$4:$A$2700)</f>
        <v>0</v>
      </c>
      <c r="AO171" s="512">
        <f>SUMIFS(PURCHASE!$M$6:$M$10008,PURCHASE!$A$6:$A$10008,$AL$2,PURCHASE!$H$6:$H$10008,$A$4:$A$2700)</f>
        <v>0</v>
      </c>
      <c r="AP171" s="512">
        <f>SUMIFS(PURCHASE!$N$6:$N$10008,PURCHASE!$A$6:$A$10008,$AL$2,PURCHASE!$H$6:$H$10008,$A$4:$A$2700)</f>
        <v>0</v>
      </c>
      <c r="AQ171" s="512">
        <f t="shared" si="53"/>
        <v>0</v>
      </c>
      <c r="AR171" s="512">
        <f>SUMIFS(PURCHASE!$K$6:$K$10008,PURCHASE!$A$6:$A$10008,$AQ$2,PURCHASE!$H$6:$H$10008,$A$4:$A$2700)</f>
        <v>0</v>
      </c>
      <c r="AS171" s="512">
        <f>SUMIFS(PURCHASE!$L$6:$L$10008,PURCHASE!$A$6:$A$10008,$AQ$2,PURCHASE!$H$6:$H$10008,$A$4:$A$2700)</f>
        <v>0</v>
      </c>
      <c r="AT171" s="512">
        <f>SUMIFS(PURCHASE!$M$6:$M$10008,PURCHASE!$A$6:$A$10008,$AQ$2,PURCHASE!$H$6:$H$10008,$A$4:$A$2700)</f>
        <v>0</v>
      </c>
      <c r="AU171" s="512">
        <f>SUMIFS(PURCHASE!$N$6:$N$10008,PURCHASE!$A$6:$A$10008,$AQ$2,PURCHASE!$H$6:$H$10008,$A$4:$A$2700)</f>
        <v>0</v>
      </c>
      <c r="AV171" s="512">
        <f t="shared" si="54"/>
        <v>0</v>
      </c>
      <c r="AW171" s="512">
        <f>SUMIFS(PURCHASE!$K$6:$K$10008,PURCHASE!$A$6:$A$10008,$AV$2,PURCHASE!$H$6:$H$10008,$A$4:$A$2700)</f>
        <v>0</v>
      </c>
      <c r="AX171" s="512">
        <f>SUMIFS(PURCHASE!$L$6:$L$10008,PURCHASE!$A$6:$A$10008,$AV$2,PURCHASE!$H$6:$H$10008,$A$4:$A$2700)</f>
        <v>0</v>
      </c>
      <c r="AY171" s="512">
        <f>SUMIFS(PURCHASE!$M$6:$M$10008,PURCHASE!$A$6:$A$10008,$AV$2,PURCHASE!$H$6:$H$10008,$A$4:$A$2700)</f>
        <v>0</v>
      </c>
      <c r="AZ171" s="512">
        <f>SUMIFS(PURCHASE!$N$6:$N$10008,PURCHASE!$A$6:$A$10008,$AV$2,PURCHASE!$H$6:$H$10008,$A$4:$A$2700)</f>
        <v>0</v>
      </c>
      <c r="BA171" s="512">
        <f t="shared" si="55"/>
        <v>0</v>
      </c>
      <c r="BB171" s="512">
        <f>SUMIFS(PURCHASE!$K$6:$K$10008,PURCHASE!$A$6:$A$10008,$BA$2,PURCHASE!$H$6:$H$10008,$A$4:$A$2700)</f>
        <v>0</v>
      </c>
      <c r="BC171" s="512">
        <f>SUMIFS(PURCHASE!$L$6:$L$10008,PURCHASE!$A$6:$A$10008,$BA$2,PURCHASE!$H$6:$H$10008,$A$4:$A$2700)</f>
        <v>0</v>
      </c>
      <c r="BD171" s="512">
        <f>SUMIFS(PURCHASE!$M$6:$M$10008,PURCHASE!$A$6:$A$10008,$BA$2,PURCHASE!$H$6:$H$10008,$A$4:$A$2700)</f>
        <v>0</v>
      </c>
      <c r="BE171" s="512">
        <f>SUMIFS(PURCHASE!$N$6:$N$10008,PURCHASE!$A$6:$A$10008,$BA$2,PURCHASE!$H$6:$H$10008,$A$4:$A$2700)</f>
        <v>0</v>
      </c>
      <c r="BF171" s="512">
        <f t="shared" si="56"/>
        <v>0</v>
      </c>
      <c r="BG171" s="512">
        <f>SUMIFS(PURCHASE!$K$6:$K$10008,PURCHASE!$A$6:$A$10008,$BF$2,PURCHASE!$H$6:$H$10008,$A$4:$A$2700)</f>
        <v>0</v>
      </c>
      <c r="BH171" s="512">
        <f>SUMIFS(PURCHASE!$L$6:$L$10008,PURCHASE!$A$6:$A$10008,$BF$2,PURCHASE!$H$6:$H$10008,$A$4:$A$2700)</f>
        <v>0</v>
      </c>
      <c r="BI171" s="512">
        <f>SUMIFS(PURCHASE!$M$6:$M$10008,PURCHASE!$A$6:$A$10008,$BF$2,PURCHASE!$H$6:$H$10008,$A$4:$A$2700)</f>
        <v>0</v>
      </c>
      <c r="BJ171" s="512">
        <f>SUMIFS(PURCHASE!$N$6:$N$10008,PURCHASE!$A$6:$A$10008,$BF$2,PURCHASE!$H$6:$H$10008,$A$4:$A$2700)</f>
        <v>0</v>
      </c>
      <c r="BK171" s="72">
        <f t="shared" si="40"/>
        <v>920.81999999999994</v>
      </c>
      <c r="BL171" s="72">
        <f t="shared" si="41"/>
        <v>780</v>
      </c>
      <c r="BM171" s="72">
        <f t="shared" si="42"/>
        <v>0</v>
      </c>
      <c r="BN171" s="72">
        <f t="shared" si="43"/>
        <v>70.41</v>
      </c>
      <c r="BO171" s="72">
        <f t="shared" si="44"/>
        <v>70.41</v>
      </c>
    </row>
    <row r="172" spans="1:67" x14ac:dyDescent="0.2">
      <c r="A172" s="511">
        <v>6116</v>
      </c>
      <c r="B172" s="467" t="s">
        <v>1286</v>
      </c>
      <c r="C172" s="512">
        <f t="shared" si="45"/>
        <v>0</v>
      </c>
      <c r="D172" s="512">
        <f>SUMIFS(PURCHASE!$K$6:$K$10008,PURCHASE!$A$6:$A$10008,$M$2,PURCHASE!$H$6:$H$10008,$A$4:$A$2700)</f>
        <v>0</v>
      </c>
      <c r="E172" s="512">
        <f>SUMIFS(PURCHASE!$L$6:$L$10008,PURCHASE!$A$6:$A$10008,$M$2,PURCHASE!$H$6:$H$10008,$A$4:$A$2700)</f>
        <v>0</v>
      </c>
      <c r="F172" s="512">
        <f>SUMIFS(PURCHASE!$M$6:$M$10008,PURCHASE!$A$6:$A$10008,$M$2,PURCHASE!$H$6:$H$10008,$A$4:$A$2700)</f>
        <v>0</v>
      </c>
      <c r="G172" s="512">
        <f>SUMIFS(PURCHASE!$N$6:$N$10008,PURCHASE!$A$6:$A$10008,$M$2,PURCHASE!$H$6:$H$10008,$A$4:$A$2700)</f>
        <v>0</v>
      </c>
      <c r="H172" s="512">
        <f t="shared" si="46"/>
        <v>0</v>
      </c>
      <c r="I172" s="512">
        <f>SUMIFS(PURCHASE!$K$6:$K$10008,PURCHASE!$A$6:$A$10008,$H$2,PURCHASE!$H$6:$H$10008,$A$4:$A$2700)</f>
        <v>0</v>
      </c>
      <c r="J172" s="512">
        <f>SUMIFS(PURCHASE!$L$6:$L$10008,PURCHASE!$A$6:$A$10008,$H$2,PURCHASE!$H$6:$H$10008,$A$4:$A$2700)</f>
        <v>0</v>
      </c>
      <c r="K172" s="512">
        <f>SUMIFS(PURCHASE!$M$6:$M$10008,PURCHASE!$A$6:$A$10008,$H$2,PURCHASE!$H$6:$H$10008,$A$4:$A$2700)</f>
        <v>0</v>
      </c>
      <c r="L172" s="512">
        <f>SUMIFS(PURCHASE!$N$6:$N$10008,PURCHASE!$A$6:$A$10008,$H$2,PURCHASE!$H$6:$H$10008,$A$4:$A$2700)</f>
        <v>0</v>
      </c>
      <c r="M172" s="512">
        <f t="shared" si="47"/>
        <v>0</v>
      </c>
      <c r="N172" s="512">
        <f>SUMIFS(PURCHASE!$K$6:$K$10008,PURCHASE!$A$6:$A$10008,$M$2,PURCHASE!$H$6:$H$10008,$A$4:$A$2700)</f>
        <v>0</v>
      </c>
      <c r="O172" s="512">
        <f>SUMIFS(PURCHASE!$L$6:$L$10008,PURCHASE!$A$6:$A$10008,$M$2,PURCHASE!$H$6:$H$10008,$A$4:$A$2700)</f>
        <v>0</v>
      </c>
      <c r="P172" s="512">
        <f>SUMIFS(PURCHASE!$M$6:$M$10008,PURCHASE!$A$6:$A$10008,$M$2,PURCHASE!$H$6:$H$10008,$A$4:$A$2700)</f>
        <v>0</v>
      </c>
      <c r="Q172" s="512">
        <f>SUMIFS(PURCHASE!$N$6:$N$10008,PURCHASE!$A$6:$A$10008,$M$2,PURCHASE!$H$6:$H$10008,$A$4:$A$2700)</f>
        <v>0</v>
      </c>
      <c r="R172" s="512">
        <f t="shared" si="48"/>
        <v>1260</v>
      </c>
      <c r="S172" s="512">
        <f>SUMIFS(PURCHASE!$K$6:$K$10008,PURCHASE!$A$6:$A$10008,$R$2,PURCHASE!$H$6:$H$10008,$A$4:$A$2700)</f>
        <v>1200</v>
      </c>
      <c r="T172" s="512">
        <f>SUMIFS(PURCHASE!$L$6:$L$10008,PURCHASE!$A$6:$A$10008,$R$2,PURCHASE!$H$6:$H$10008,$A$4:$A$2700)</f>
        <v>0</v>
      </c>
      <c r="U172" s="512">
        <f>SUMIFS(PURCHASE!$M$6:$M$10008,PURCHASE!$A$6:$A$10008,$R$2,PURCHASE!$H$6:$H$10008,$A$4:$A$2700)</f>
        <v>30</v>
      </c>
      <c r="V172" s="512">
        <f>SUMIFS(PURCHASE!$N$6:$N$10008,PURCHASE!$A$6:$A$10008,$R$2,PURCHASE!$H$6:$H$10008,$A$4:$A$2700)</f>
        <v>30</v>
      </c>
      <c r="W172" s="512">
        <f t="shared" si="49"/>
        <v>0</v>
      </c>
      <c r="X172" s="512">
        <f>SUMIFS(PURCHASE!$K$6:$K$10008,PURCHASE!$A$6:$A$10008,$W$2,PURCHASE!$H$6:$H$10008,$A$4:$A$2700)</f>
        <v>0</v>
      </c>
      <c r="Y172" s="512">
        <f>SUMIFS(PURCHASE!$L$6:$L$10008,PURCHASE!$A$6:$A$10008,$W$2,PURCHASE!$H$6:$H$10008,$A$4:$A$2700)</f>
        <v>0</v>
      </c>
      <c r="Z172" s="512">
        <f>SUMIFS(PURCHASE!$M$6:$M$10008,PURCHASE!$A$6:$A$10008,$W$2,PURCHASE!$H$6:$H$10008,$A$4:$A$2700)</f>
        <v>0</v>
      </c>
      <c r="AA172" s="512">
        <f>SUMIFS(PURCHASE!$N$6:$N$10008,PURCHASE!$A$6:$A$10008,$W$2,PURCHASE!$H$6:$H$10008,$A$4:$A$2700)</f>
        <v>0</v>
      </c>
      <c r="AB172" s="512">
        <f t="shared" si="50"/>
        <v>2268</v>
      </c>
      <c r="AC172" s="512">
        <f>SUMIFS(PURCHASE!$K$6:$K$10008,PURCHASE!$A$6:$A$10008,$AB$2,PURCHASE!$H$6:$H$10008,$A$4:$A$2700)</f>
        <v>2160</v>
      </c>
      <c r="AD172" s="512">
        <f>SUMIFS(PURCHASE!$L$6:$L$10008,PURCHASE!$A$6:$A$10008,$AB$2,PURCHASE!$H$6:$H$10008,$A$4:$A$2700)</f>
        <v>0</v>
      </c>
      <c r="AE172" s="512">
        <f>SUMIFS(PURCHASE!$M$6:$M$10008,PURCHASE!$A$6:$A$10008,$AB$2,PURCHASE!$H$6:$H$10008,$A$4:$A$2700)</f>
        <v>54</v>
      </c>
      <c r="AF172" s="512">
        <f>SUMIFS(PURCHASE!$N$6:$N$10008,PURCHASE!$A$6:$A$10008,$AB$2,PURCHASE!$H$6:$H$10008,$A$4:$A$2700)</f>
        <v>54</v>
      </c>
      <c r="AG172" s="512">
        <f t="shared" si="51"/>
        <v>0</v>
      </c>
      <c r="AH172" s="512">
        <f>SUMIFS(PURCHASE!$K$6:$K$10008,PURCHASE!$A$6:$A$10008,$AG$2,PURCHASE!$H$6:$H$10008,$A$4:$A$2700)</f>
        <v>0</v>
      </c>
      <c r="AI172" s="512">
        <f>SUMIFS(PURCHASE!$L$6:$L$10008,PURCHASE!$A$6:$A$10008,$AG$2,PURCHASE!$H$6:$H$10008,$A$4:$A$2700)</f>
        <v>0</v>
      </c>
      <c r="AJ172" s="512">
        <f>SUMIFS(PURCHASE!$M$6:$M$10008,PURCHASE!$A$6:$A$10008,$AG$2,PURCHASE!$H$6:$H$10008,$A$4:$A$2700)</f>
        <v>0</v>
      </c>
      <c r="AK172" s="512">
        <f>SUMIFS(PURCHASE!$N$6:$N$10008,PURCHASE!$A$6:$A$10008,$AG$2,PURCHASE!$H$6:$H$10008,$A$4:$A$2700)</f>
        <v>0</v>
      </c>
      <c r="AL172" s="512">
        <f t="shared" si="52"/>
        <v>0</v>
      </c>
      <c r="AM172" s="512">
        <f>SUMIFS(PURCHASE!$K$6:$K$10008,PURCHASE!$A$6:$A$10008,$AL$2,PURCHASE!$H$6:$H$10008,$A$4:$A$2700)</f>
        <v>0</v>
      </c>
      <c r="AN172" s="512">
        <f>SUMIFS(PURCHASE!$L$6:$L$10008,PURCHASE!$A$6:$A$10008,$AL$2,PURCHASE!$H$6:$H$10008,$A$4:$A$2700)</f>
        <v>0</v>
      </c>
      <c r="AO172" s="512">
        <f>SUMIFS(PURCHASE!$M$6:$M$10008,PURCHASE!$A$6:$A$10008,$AL$2,PURCHASE!$H$6:$H$10008,$A$4:$A$2700)</f>
        <v>0</v>
      </c>
      <c r="AP172" s="512">
        <f>SUMIFS(PURCHASE!$N$6:$N$10008,PURCHASE!$A$6:$A$10008,$AL$2,PURCHASE!$H$6:$H$10008,$A$4:$A$2700)</f>
        <v>0</v>
      </c>
      <c r="AQ172" s="512">
        <f t="shared" si="53"/>
        <v>0</v>
      </c>
      <c r="AR172" s="512">
        <f>SUMIFS(PURCHASE!$K$6:$K$10008,PURCHASE!$A$6:$A$10008,$AQ$2,PURCHASE!$H$6:$H$10008,$A$4:$A$2700)</f>
        <v>0</v>
      </c>
      <c r="AS172" s="512">
        <f>SUMIFS(PURCHASE!$L$6:$L$10008,PURCHASE!$A$6:$A$10008,$AQ$2,PURCHASE!$H$6:$H$10008,$A$4:$A$2700)</f>
        <v>0</v>
      </c>
      <c r="AT172" s="512">
        <f>SUMIFS(PURCHASE!$M$6:$M$10008,PURCHASE!$A$6:$A$10008,$AQ$2,PURCHASE!$H$6:$H$10008,$A$4:$A$2700)</f>
        <v>0</v>
      </c>
      <c r="AU172" s="512">
        <f>SUMIFS(PURCHASE!$N$6:$N$10008,PURCHASE!$A$6:$A$10008,$AQ$2,PURCHASE!$H$6:$H$10008,$A$4:$A$2700)</f>
        <v>0</v>
      </c>
      <c r="AV172" s="512">
        <f t="shared" si="54"/>
        <v>0</v>
      </c>
      <c r="AW172" s="512">
        <f>SUMIFS(PURCHASE!$K$6:$K$10008,PURCHASE!$A$6:$A$10008,$AV$2,PURCHASE!$H$6:$H$10008,$A$4:$A$2700)</f>
        <v>0</v>
      </c>
      <c r="AX172" s="512">
        <f>SUMIFS(PURCHASE!$L$6:$L$10008,PURCHASE!$A$6:$A$10008,$AV$2,PURCHASE!$H$6:$H$10008,$A$4:$A$2700)</f>
        <v>0</v>
      </c>
      <c r="AY172" s="512">
        <f>SUMIFS(PURCHASE!$M$6:$M$10008,PURCHASE!$A$6:$A$10008,$AV$2,PURCHASE!$H$6:$H$10008,$A$4:$A$2700)</f>
        <v>0</v>
      </c>
      <c r="AZ172" s="512">
        <f>SUMIFS(PURCHASE!$N$6:$N$10008,PURCHASE!$A$6:$A$10008,$AV$2,PURCHASE!$H$6:$H$10008,$A$4:$A$2700)</f>
        <v>0</v>
      </c>
      <c r="BA172" s="512">
        <f t="shared" si="55"/>
        <v>0</v>
      </c>
      <c r="BB172" s="512">
        <f>SUMIFS(PURCHASE!$K$6:$K$10008,PURCHASE!$A$6:$A$10008,$BA$2,PURCHASE!$H$6:$H$10008,$A$4:$A$2700)</f>
        <v>0</v>
      </c>
      <c r="BC172" s="512">
        <f>SUMIFS(PURCHASE!$L$6:$L$10008,PURCHASE!$A$6:$A$10008,$BA$2,PURCHASE!$H$6:$H$10008,$A$4:$A$2700)</f>
        <v>0</v>
      </c>
      <c r="BD172" s="512">
        <f>SUMIFS(PURCHASE!$M$6:$M$10008,PURCHASE!$A$6:$A$10008,$BA$2,PURCHASE!$H$6:$H$10008,$A$4:$A$2700)</f>
        <v>0</v>
      </c>
      <c r="BE172" s="512">
        <f>SUMIFS(PURCHASE!$N$6:$N$10008,PURCHASE!$A$6:$A$10008,$BA$2,PURCHASE!$H$6:$H$10008,$A$4:$A$2700)</f>
        <v>0</v>
      </c>
      <c r="BF172" s="512">
        <f t="shared" si="56"/>
        <v>0</v>
      </c>
      <c r="BG172" s="512">
        <f>SUMIFS(PURCHASE!$K$6:$K$10008,PURCHASE!$A$6:$A$10008,$BF$2,PURCHASE!$H$6:$H$10008,$A$4:$A$2700)</f>
        <v>0</v>
      </c>
      <c r="BH172" s="512">
        <f>SUMIFS(PURCHASE!$L$6:$L$10008,PURCHASE!$A$6:$A$10008,$BF$2,PURCHASE!$H$6:$H$10008,$A$4:$A$2700)</f>
        <v>0</v>
      </c>
      <c r="BI172" s="512">
        <f>SUMIFS(PURCHASE!$M$6:$M$10008,PURCHASE!$A$6:$A$10008,$BF$2,PURCHASE!$H$6:$H$10008,$A$4:$A$2700)</f>
        <v>0</v>
      </c>
      <c r="BJ172" s="512">
        <f>SUMIFS(PURCHASE!$N$6:$N$10008,PURCHASE!$A$6:$A$10008,$BF$2,PURCHASE!$H$6:$H$10008,$A$4:$A$2700)</f>
        <v>0</v>
      </c>
      <c r="BK172" s="72">
        <f t="shared" si="40"/>
        <v>3528</v>
      </c>
      <c r="BL172" s="72">
        <f t="shared" si="41"/>
        <v>3360</v>
      </c>
      <c r="BM172" s="72">
        <f t="shared" si="42"/>
        <v>0</v>
      </c>
      <c r="BN172" s="72">
        <f t="shared" si="43"/>
        <v>84</v>
      </c>
      <c r="BO172" s="72">
        <f t="shared" si="44"/>
        <v>84</v>
      </c>
    </row>
    <row r="173" spans="1:67" x14ac:dyDescent="0.2">
      <c r="A173" s="511">
        <v>8482</v>
      </c>
      <c r="B173" s="467" t="s">
        <v>1311</v>
      </c>
      <c r="C173" s="512">
        <f t="shared" si="45"/>
        <v>0</v>
      </c>
      <c r="D173" s="512">
        <f>SUMIFS(PURCHASE!$K$6:$K$10008,PURCHASE!$A$6:$A$10008,$M$2,PURCHASE!$H$6:$H$10008,$A$4:$A$2700)</f>
        <v>0</v>
      </c>
      <c r="E173" s="512">
        <f>SUMIFS(PURCHASE!$L$6:$L$10008,PURCHASE!$A$6:$A$10008,$M$2,PURCHASE!$H$6:$H$10008,$A$4:$A$2700)</f>
        <v>0</v>
      </c>
      <c r="F173" s="512">
        <f>SUMIFS(PURCHASE!$M$6:$M$10008,PURCHASE!$A$6:$A$10008,$M$2,PURCHASE!$H$6:$H$10008,$A$4:$A$2700)</f>
        <v>0</v>
      </c>
      <c r="G173" s="512">
        <f>SUMIFS(PURCHASE!$N$6:$N$10008,PURCHASE!$A$6:$A$10008,$M$2,PURCHASE!$H$6:$H$10008,$A$4:$A$2700)</f>
        <v>0</v>
      </c>
      <c r="H173" s="512">
        <f t="shared" si="46"/>
        <v>0</v>
      </c>
      <c r="I173" s="512">
        <f>SUMIFS(PURCHASE!$K$6:$K$10008,PURCHASE!$A$6:$A$10008,$H$2,PURCHASE!$H$6:$H$10008,$A$4:$A$2700)</f>
        <v>0</v>
      </c>
      <c r="J173" s="512">
        <f>SUMIFS(PURCHASE!$L$6:$L$10008,PURCHASE!$A$6:$A$10008,$H$2,PURCHASE!$H$6:$H$10008,$A$4:$A$2700)</f>
        <v>0</v>
      </c>
      <c r="K173" s="512">
        <f>SUMIFS(PURCHASE!$M$6:$M$10008,PURCHASE!$A$6:$A$10008,$H$2,PURCHASE!$H$6:$H$10008,$A$4:$A$2700)</f>
        <v>0</v>
      </c>
      <c r="L173" s="512">
        <f>SUMIFS(PURCHASE!$N$6:$N$10008,PURCHASE!$A$6:$A$10008,$H$2,PURCHASE!$H$6:$H$10008,$A$4:$A$2700)</f>
        <v>0</v>
      </c>
      <c r="M173" s="512">
        <f t="shared" si="47"/>
        <v>0</v>
      </c>
      <c r="N173" s="512">
        <f>SUMIFS(PURCHASE!$K$6:$K$10008,PURCHASE!$A$6:$A$10008,$M$2,PURCHASE!$H$6:$H$10008,$A$4:$A$2700)</f>
        <v>0</v>
      </c>
      <c r="O173" s="512">
        <f>SUMIFS(PURCHASE!$L$6:$L$10008,PURCHASE!$A$6:$A$10008,$M$2,PURCHASE!$H$6:$H$10008,$A$4:$A$2700)</f>
        <v>0</v>
      </c>
      <c r="P173" s="512">
        <f>SUMIFS(PURCHASE!$M$6:$M$10008,PURCHASE!$A$6:$A$10008,$M$2,PURCHASE!$H$6:$H$10008,$A$4:$A$2700)</f>
        <v>0</v>
      </c>
      <c r="Q173" s="512">
        <f>SUMIFS(PURCHASE!$N$6:$N$10008,PURCHASE!$A$6:$A$10008,$M$2,PURCHASE!$H$6:$H$10008,$A$4:$A$2700)</f>
        <v>0</v>
      </c>
      <c r="R173" s="512">
        <f t="shared" si="48"/>
        <v>3540.42</v>
      </c>
      <c r="S173" s="512">
        <f>SUMIFS(PURCHASE!$K$6:$K$10008,PURCHASE!$A$6:$A$10008,$R$2,PURCHASE!$H$6:$H$10008,$A$4:$A$2700)</f>
        <v>3000</v>
      </c>
      <c r="T173" s="512">
        <f>SUMIFS(PURCHASE!$L$6:$L$10008,PURCHASE!$A$6:$A$10008,$R$2,PURCHASE!$H$6:$H$10008,$A$4:$A$2700)</f>
        <v>0</v>
      </c>
      <c r="U173" s="512">
        <f>SUMIFS(PURCHASE!$M$6:$M$10008,PURCHASE!$A$6:$A$10008,$R$2,PURCHASE!$H$6:$H$10008,$A$4:$A$2700)</f>
        <v>270.20999999999998</v>
      </c>
      <c r="V173" s="512">
        <f>SUMIFS(PURCHASE!$N$6:$N$10008,PURCHASE!$A$6:$A$10008,$R$2,PURCHASE!$H$6:$H$10008,$A$4:$A$2700)</f>
        <v>270.20999999999998</v>
      </c>
      <c r="W173" s="512">
        <f t="shared" si="49"/>
        <v>0</v>
      </c>
      <c r="X173" s="512">
        <f>SUMIFS(PURCHASE!$K$6:$K$10008,PURCHASE!$A$6:$A$10008,$W$2,PURCHASE!$H$6:$H$10008,$A$4:$A$2700)</f>
        <v>0</v>
      </c>
      <c r="Y173" s="512">
        <f>SUMIFS(PURCHASE!$L$6:$L$10008,PURCHASE!$A$6:$A$10008,$W$2,PURCHASE!$H$6:$H$10008,$A$4:$A$2700)</f>
        <v>0</v>
      </c>
      <c r="Z173" s="512">
        <f>SUMIFS(PURCHASE!$M$6:$M$10008,PURCHASE!$A$6:$A$10008,$W$2,PURCHASE!$H$6:$H$10008,$A$4:$A$2700)</f>
        <v>0</v>
      </c>
      <c r="AA173" s="512">
        <f>SUMIFS(PURCHASE!$N$6:$N$10008,PURCHASE!$A$6:$A$10008,$W$2,PURCHASE!$H$6:$H$10008,$A$4:$A$2700)</f>
        <v>0</v>
      </c>
      <c r="AB173" s="512">
        <f t="shared" si="50"/>
        <v>0</v>
      </c>
      <c r="AC173" s="512">
        <f>SUMIFS(PURCHASE!$K$6:$K$10008,PURCHASE!$A$6:$A$10008,$AB$2,PURCHASE!$H$6:$H$10008,$A$4:$A$2700)</f>
        <v>0</v>
      </c>
      <c r="AD173" s="512">
        <f>SUMIFS(PURCHASE!$L$6:$L$10008,PURCHASE!$A$6:$A$10008,$AB$2,PURCHASE!$H$6:$H$10008,$A$4:$A$2700)</f>
        <v>0</v>
      </c>
      <c r="AE173" s="512">
        <f>SUMIFS(PURCHASE!$M$6:$M$10008,PURCHASE!$A$6:$A$10008,$AB$2,PURCHASE!$H$6:$H$10008,$A$4:$A$2700)</f>
        <v>0</v>
      </c>
      <c r="AF173" s="512">
        <f>SUMIFS(PURCHASE!$N$6:$N$10008,PURCHASE!$A$6:$A$10008,$AB$2,PURCHASE!$H$6:$H$10008,$A$4:$A$2700)</f>
        <v>0</v>
      </c>
      <c r="AG173" s="512">
        <f t="shared" si="51"/>
        <v>0</v>
      </c>
      <c r="AH173" s="512">
        <f>SUMIFS(PURCHASE!$K$6:$K$10008,PURCHASE!$A$6:$A$10008,$AG$2,PURCHASE!$H$6:$H$10008,$A$4:$A$2700)</f>
        <v>0</v>
      </c>
      <c r="AI173" s="512">
        <f>SUMIFS(PURCHASE!$L$6:$L$10008,PURCHASE!$A$6:$A$10008,$AG$2,PURCHASE!$H$6:$H$10008,$A$4:$A$2700)</f>
        <v>0</v>
      </c>
      <c r="AJ173" s="512">
        <f>SUMIFS(PURCHASE!$M$6:$M$10008,PURCHASE!$A$6:$A$10008,$AG$2,PURCHASE!$H$6:$H$10008,$A$4:$A$2700)</f>
        <v>0</v>
      </c>
      <c r="AK173" s="512">
        <f>SUMIFS(PURCHASE!$N$6:$N$10008,PURCHASE!$A$6:$A$10008,$AG$2,PURCHASE!$H$6:$H$10008,$A$4:$A$2700)</f>
        <v>0</v>
      </c>
      <c r="AL173" s="512">
        <f t="shared" si="52"/>
        <v>0</v>
      </c>
      <c r="AM173" s="512">
        <f>SUMIFS(PURCHASE!$K$6:$K$10008,PURCHASE!$A$6:$A$10008,$AL$2,PURCHASE!$H$6:$H$10008,$A$4:$A$2700)</f>
        <v>0</v>
      </c>
      <c r="AN173" s="512">
        <f>SUMIFS(PURCHASE!$L$6:$L$10008,PURCHASE!$A$6:$A$10008,$AL$2,PURCHASE!$H$6:$H$10008,$A$4:$A$2700)</f>
        <v>0</v>
      </c>
      <c r="AO173" s="512">
        <f>SUMIFS(PURCHASE!$M$6:$M$10008,PURCHASE!$A$6:$A$10008,$AL$2,PURCHASE!$H$6:$H$10008,$A$4:$A$2700)</f>
        <v>0</v>
      </c>
      <c r="AP173" s="512">
        <f>SUMIFS(PURCHASE!$N$6:$N$10008,PURCHASE!$A$6:$A$10008,$AL$2,PURCHASE!$H$6:$H$10008,$A$4:$A$2700)</f>
        <v>0</v>
      </c>
      <c r="AQ173" s="512">
        <f t="shared" si="53"/>
        <v>0</v>
      </c>
      <c r="AR173" s="512">
        <f>SUMIFS(PURCHASE!$K$6:$K$10008,PURCHASE!$A$6:$A$10008,$AQ$2,PURCHASE!$H$6:$H$10008,$A$4:$A$2700)</f>
        <v>0</v>
      </c>
      <c r="AS173" s="512">
        <f>SUMIFS(PURCHASE!$L$6:$L$10008,PURCHASE!$A$6:$A$10008,$AQ$2,PURCHASE!$H$6:$H$10008,$A$4:$A$2700)</f>
        <v>0</v>
      </c>
      <c r="AT173" s="512">
        <f>SUMIFS(PURCHASE!$M$6:$M$10008,PURCHASE!$A$6:$A$10008,$AQ$2,PURCHASE!$H$6:$H$10008,$A$4:$A$2700)</f>
        <v>0</v>
      </c>
      <c r="AU173" s="512">
        <f>SUMIFS(PURCHASE!$N$6:$N$10008,PURCHASE!$A$6:$A$10008,$AQ$2,PURCHASE!$H$6:$H$10008,$A$4:$A$2700)</f>
        <v>0</v>
      </c>
      <c r="AV173" s="512">
        <f t="shared" si="54"/>
        <v>0</v>
      </c>
      <c r="AW173" s="512">
        <f>SUMIFS(PURCHASE!$K$6:$K$10008,PURCHASE!$A$6:$A$10008,$AV$2,PURCHASE!$H$6:$H$10008,$A$4:$A$2700)</f>
        <v>0</v>
      </c>
      <c r="AX173" s="512">
        <f>SUMIFS(PURCHASE!$L$6:$L$10008,PURCHASE!$A$6:$A$10008,$AV$2,PURCHASE!$H$6:$H$10008,$A$4:$A$2700)</f>
        <v>0</v>
      </c>
      <c r="AY173" s="512">
        <f>SUMIFS(PURCHASE!$M$6:$M$10008,PURCHASE!$A$6:$A$10008,$AV$2,PURCHASE!$H$6:$H$10008,$A$4:$A$2700)</f>
        <v>0</v>
      </c>
      <c r="AZ173" s="512">
        <f>SUMIFS(PURCHASE!$N$6:$N$10008,PURCHASE!$A$6:$A$10008,$AV$2,PURCHASE!$H$6:$H$10008,$A$4:$A$2700)</f>
        <v>0</v>
      </c>
      <c r="BA173" s="512">
        <f t="shared" si="55"/>
        <v>0</v>
      </c>
      <c r="BB173" s="512">
        <f>SUMIFS(PURCHASE!$K$6:$K$10008,PURCHASE!$A$6:$A$10008,$BA$2,PURCHASE!$H$6:$H$10008,$A$4:$A$2700)</f>
        <v>0</v>
      </c>
      <c r="BC173" s="512">
        <f>SUMIFS(PURCHASE!$L$6:$L$10008,PURCHASE!$A$6:$A$10008,$BA$2,PURCHASE!$H$6:$H$10008,$A$4:$A$2700)</f>
        <v>0</v>
      </c>
      <c r="BD173" s="512">
        <f>SUMIFS(PURCHASE!$M$6:$M$10008,PURCHASE!$A$6:$A$10008,$BA$2,PURCHASE!$H$6:$H$10008,$A$4:$A$2700)</f>
        <v>0</v>
      </c>
      <c r="BE173" s="512">
        <f>SUMIFS(PURCHASE!$N$6:$N$10008,PURCHASE!$A$6:$A$10008,$BA$2,PURCHASE!$H$6:$H$10008,$A$4:$A$2700)</f>
        <v>0</v>
      </c>
      <c r="BF173" s="512">
        <f t="shared" si="56"/>
        <v>0</v>
      </c>
      <c r="BG173" s="512">
        <f>SUMIFS(PURCHASE!$K$6:$K$10008,PURCHASE!$A$6:$A$10008,$BF$2,PURCHASE!$H$6:$H$10008,$A$4:$A$2700)</f>
        <v>0</v>
      </c>
      <c r="BH173" s="512">
        <f>SUMIFS(PURCHASE!$L$6:$L$10008,PURCHASE!$A$6:$A$10008,$BF$2,PURCHASE!$H$6:$H$10008,$A$4:$A$2700)</f>
        <v>0</v>
      </c>
      <c r="BI173" s="512">
        <f>SUMIFS(PURCHASE!$M$6:$M$10008,PURCHASE!$A$6:$A$10008,$BF$2,PURCHASE!$H$6:$H$10008,$A$4:$A$2700)</f>
        <v>0</v>
      </c>
      <c r="BJ173" s="512">
        <f>SUMIFS(PURCHASE!$N$6:$N$10008,PURCHASE!$A$6:$A$10008,$BF$2,PURCHASE!$H$6:$H$10008,$A$4:$A$2700)</f>
        <v>0</v>
      </c>
      <c r="BK173" s="72">
        <f t="shared" si="40"/>
        <v>3540.42</v>
      </c>
      <c r="BL173" s="72">
        <f t="shared" si="41"/>
        <v>3000</v>
      </c>
      <c r="BM173" s="72">
        <f t="shared" si="42"/>
        <v>0</v>
      </c>
      <c r="BN173" s="72">
        <f t="shared" si="43"/>
        <v>270.20999999999998</v>
      </c>
      <c r="BO173" s="72">
        <f t="shared" si="44"/>
        <v>270.20999999999998</v>
      </c>
    </row>
    <row r="174" spans="1:67" x14ac:dyDescent="0.2">
      <c r="A174" s="511">
        <v>32089029</v>
      </c>
      <c r="B174" s="467" t="s">
        <v>1312</v>
      </c>
      <c r="C174" s="512">
        <f t="shared" si="45"/>
        <v>0</v>
      </c>
      <c r="D174" s="512">
        <f>SUMIFS(PURCHASE!$K$6:$K$10008,PURCHASE!$A$6:$A$10008,$M$2,PURCHASE!$H$6:$H$10008,$A$4:$A$2700)</f>
        <v>0</v>
      </c>
      <c r="E174" s="512">
        <f>SUMIFS(PURCHASE!$L$6:$L$10008,PURCHASE!$A$6:$A$10008,$M$2,PURCHASE!$H$6:$H$10008,$A$4:$A$2700)</f>
        <v>0</v>
      </c>
      <c r="F174" s="512">
        <f>SUMIFS(PURCHASE!$M$6:$M$10008,PURCHASE!$A$6:$A$10008,$M$2,PURCHASE!$H$6:$H$10008,$A$4:$A$2700)</f>
        <v>0</v>
      </c>
      <c r="G174" s="512">
        <f>SUMIFS(PURCHASE!$N$6:$N$10008,PURCHASE!$A$6:$A$10008,$M$2,PURCHASE!$H$6:$H$10008,$A$4:$A$2700)</f>
        <v>0</v>
      </c>
      <c r="H174" s="512">
        <f t="shared" si="46"/>
        <v>0</v>
      </c>
      <c r="I174" s="512">
        <f>SUMIFS(PURCHASE!$K$6:$K$10008,PURCHASE!$A$6:$A$10008,$H$2,PURCHASE!$H$6:$H$10008,$A$4:$A$2700)</f>
        <v>0</v>
      </c>
      <c r="J174" s="512">
        <f>SUMIFS(PURCHASE!$L$6:$L$10008,PURCHASE!$A$6:$A$10008,$H$2,PURCHASE!$H$6:$H$10008,$A$4:$A$2700)</f>
        <v>0</v>
      </c>
      <c r="K174" s="512">
        <f>SUMIFS(PURCHASE!$M$6:$M$10008,PURCHASE!$A$6:$A$10008,$H$2,PURCHASE!$H$6:$H$10008,$A$4:$A$2700)</f>
        <v>0</v>
      </c>
      <c r="L174" s="512">
        <f>SUMIFS(PURCHASE!$N$6:$N$10008,PURCHASE!$A$6:$A$10008,$H$2,PURCHASE!$H$6:$H$10008,$A$4:$A$2700)</f>
        <v>0</v>
      </c>
      <c r="M174" s="512">
        <f t="shared" si="47"/>
        <v>0</v>
      </c>
      <c r="N174" s="512">
        <f>SUMIFS(PURCHASE!$K$6:$K$10008,PURCHASE!$A$6:$A$10008,$M$2,PURCHASE!$H$6:$H$10008,$A$4:$A$2700)</f>
        <v>0</v>
      </c>
      <c r="O174" s="512">
        <f>SUMIFS(PURCHASE!$L$6:$L$10008,PURCHASE!$A$6:$A$10008,$M$2,PURCHASE!$H$6:$H$10008,$A$4:$A$2700)</f>
        <v>0</v>
      </c>
      <c r="P174" s="512">
        <f>SUMIFS(PURCHASE!$M$6:$M$10008,PURCHASE!$A$6:$A$10008,$M$2,PURCHASE!$H$6:$H$10008,$A$4:$A$2700)</f>
        <v>0</v>
      </c>
      <c r="Q174" s="512">
        <f>SUMIFS(PURCHASE!$N$6:$N$10008,PURCHASE!$A$6:$A$10008,$M$2,PURCHASE!$H$6:$H$10008,$A$4:$A$2700)</f>
        <v>0</v>
      </c>
      <c r="R174" s="512">
        <f t="shared" si="48"/>
        <v>92984</v>
      </c>
      <c r="S174" s="512">
        <f>SUMIFS(PURCHASE!$K$6:$K$10008,PURCHASE!$A$6:$A$10008,$R$2,PURCHASE!$H$6:$H$10008,$A$4:$A$2700)</f>
        <v>78800</v>
      </c>
      <c r="T174" s="512">
        <f>SUMIFS(PURCHASE!$L$6:$L$10008,PURCHASE!$A$6:$A$10008,$R$2,PURCHASE!$H$6:$H$10008,$A$4:$A$2700)</f>
        <v>0</v>
      </c>
      <c r="U174" s="512">
        <f>SUMIFS(PURCHASE!$M$6:$M$10008,PURCHASE!$A$6:$A$10008,$R$2,PURCHASE!$H$6:$H$10008,$A$4:$A$2700)</f>
        <v>7092</v>
      </c>
      <c r="V174" s="512">
        <f>SUMIFS(PURCHASE!$N$6:$N$10008,PURCHASE!$A$6:$A$10008,$R$2,PURCHASE!$H$6:$H$10008,$A$4:$A$2700)</f>
        <v>7092</v>
      </c>
      <c r="W174" s="512">
        <f t="shared" si="49"/>
        <v>0</v>
      </c>
      <c r="X174" s="512">
        <f>SUMIFS(PURCHASE!$K$6:$K$10008,PURCHASE!$A$6:$A$10008,$W$2,PURCHASE!$H$6:$H$10008,$A$4:$A$2700)</f>
        <v>0</v>
      </c>
      <c r="Y174" s="512">
        <f>SUMIFS(PURCHASE!$L$6:$L$10008,PURCHASE!$A$6:$A$10008,$W$2,PURCHASE!$H$6:$H$10008,$A$4:$A$2700)</f>
        <v>0</v>
      </c>
      <c r="Z174" s="512">
        <f>SUMIFS(PURCHASE!$M$6:$M$10008,PURCHASE!$A$6:$A$10008,$W$2,PURCHASE!$H$6:$H$10008,$A$4:$A$2700)</f>
        <v>0</v>
      </c>
      <c r="AA174" s="512">
        <f>SUMIFS(PURCHASE!$N$6:$N$10008,PURCHASE!$A$6:$A$10008,$W$2,PURCHASE!$H$6:$H$10008,$A$4:$A$2700)</f>
        <v>0</v>
      </c>
      <c r="AB174" s="512">
        <f t="shared" si="50"/>
        <v>17228</v>
      </c>
      <c r="AC174" s="512">
        <f>SUMIFS(PURCHASE!$K$6:$K$10008,PURCHASE!$A$6:$A$10008,$AB$2,PURCHASE!$H$6:$H$10008,$A$4:$A$2700)</f>
        <v>14600</v>
      </c>
      <c r="AD174" s="512">
        <f>SUMIFS(PURCHASE!$L$6:$L$10008,PURCHASE!$A$6:$A$10008,$AB$2,PURCHASE!$H$6:$H$10008,$A$4:$A$2700)</f>
        <v>0</v>
      </c>
      <c r="AE174" s="512">
        <f>SUMIFS(PURCHASE!$M$6:$M$10008,PURCHASE!$A$6:$A$10008,$AB$2,PURCHASE!$H$6:$H$10008,$A$4:$A$2700)</f>
        <v>1314</v>
      </c>
      <c r="AF174" s="512">
        <f>SUMIFS(PURCHASE!$N$6:$N$10008,PURCHASE!$A$6:$A$10008,$AB$2,PURCHASE!$H$6:$H$10008,$A$4:$A$2700)</f>
        <v>1314</v>
      </c>
      <c r="AG174" s="512">
        <f t="shared" si="51"/>
        <v>25842</v>
      </c>
      <c r="AH174" s="512">
        <f>SUMIFS(PURCHASE!$K$6:$K$10008,PURCHASE!$A$6:$A$10008,$AG$2,PURCHASE!$H$6:$H$10008,$A$4:$A$2700)</f>
        <v>21900</v>
      </c>
      <c r="AI174" s="512">
        <f>SUMIFS(PURCHASE!$L$6:$L$10008,PURCHASE!$A$6:$A$10008,$AG$2,PURCHASE!$H$6:$H$10008,$A$4:$A$2700)</f>
        <v>0</v>
      </c>
      <c r="AJ174" s="512">
        <f>SUMIFS(PURCHASE!$M$6:$M$10008,PURCHASE!$A$6:$A$10008,$AG$2,PURCHASE!$H$6:$H$10008,$A$4:$A$2700)</f>
        <v>1971</v>
      </c>
      <c r="AK174" s="512">
        <f>SUMIFS(PURCHASE!$N$6:$N$10008,PURCHASE!$A$6:$A$10008,$AG$2,PURCHASE!$H$6:$H$10008,$A$4:$A$2700)</f>
        <v>1971</v>
      </c>
      <c r="AL174" s="512">
        <f t="shared" si="52"/>
        <v>0</v>
      </c>
      <c r="AM174" s="512">
        <f>SUMIFS(PURCHASE!$K$6:$K$10008,PURCHASE!$A$6:$A$10008,$AL$2,PURCHASE!$H$6:$H$10008,$A$4:$A$2700)</f>
        <v>0</v>
      </c>
      <c r="AN174" s="512">
        <f>SUMIFS(PURCHASE!$L$6:$L$10008,PURCHASE!$A$6:$A$10008,$AL$2,PURCHASE!$H$6:$H$10008,$A$4:$A$2700)</f>
        <v>0</v>
      </c>
      <c r="AO174" s="512">
        <f>SUMIFS(PURCHASE!$M$6:$M$10008,PURCHASE!$A$6:$A$10008,$AL$2,PURCHASE!$H$6:$H$10008,$A$4:$A$2700)</f>
        <v>0</v>
      </c>
      <c r="AP174" s="512">
        <f>SUMIFS(PURCHASE!$N$6:$N$10008,PURCHASE!$A$6:$A$10008,$AL$2,PURCHASE!$H$6:$H$10008,$A$4:$A$2700)</f>
        <v>0</v>
      </c>
      <c r="AQ174" s="512">
        <f t="shared" si="53"/>
        <v>0</v>
      </c>
      <c r="AR174" s="512">
        <f>SUMIFS(PURCHASE!$K$6:$K$10008,PURCHASE!$A$6:$A$10008,$AQ$2,PURCHASE!$H$6:$H$10008,$A$4:$A$2700)</f>
        <v>0</v>
      </c>
      <c r="AS174" s="512">
        <f>SUMIFS(PURCHASE!$L$6:$L$10008,PURCHASE!$A$6:$A$10008,$AQ$2,PURCHASE!$H$6:$H$10008,$A$4:$A$2700)</f>
        <v>0</v>
      </c>
      <c r="AT174" s="512">
        <f>SUMIFS(PURCHASE!$M$6:$M$10008,PURCHASE!$A$6:$A$10008,$AQ$2,PURCHASE!$H$6:$H$10008,$A$4:$A$2700)</f>
        <v>0</v>
      </c>
      <c r="AU174" s="512">
        <f>SUMIFS(PURCHASE!$N$6:$N$10008,PURCHASE!$A$6:$A$10008,$AQ$2,PURCHASE!$H$6:$H$10008,$A$4:$A$2700)</f>
        <v>0</v>
      </c>
      <c r="AV174" s="512">
        <f t="shared" si="54"/>
        <v>0</v>
      </c>
      <c r="AW174" s="512">
        <f>SUMIFS(PURCHASE!$K$6:$K$10008,PURCHASE!$A$6:$A$10008,$AV$2,PURCHASE!$H$6:$H$10008,$A$4:$A$2700)</f>
        <v>0</v>
      </c>
      <c r="AX174" s="512">
        <f>SUMIFS(PURCHASE!$L$6:$L$10008,PURCHASE!$A$6:$A$10008,$AV$2,PURCHASE!$H$6:$H$10008,$A$4:$A$2700)</f>
        <v>0</v>
      </c>
      <c r="AY174" s="512">
        <f>SUMIFS(PURCHASE!$M$6:$M$10008,PURCHASE!$A$6:$A$10008,$AV$2,PURCHASE!$H$6:$H$10008,$A$4:$A$2700)</f>
        <v>0</v>
      </c>
      <c r="AZ174" s="512">
        <f>SUMIFS(PURCHASE!$N$6:$N$10008,PURCHASE!$A$6:$A$10008,$AV$2,PURCHASE!$H$6:$H$10008,$A$4:$A$2700)</f>
        <v>0</v>
      </c>
      <c r="BA174" s="512">
        <f t="shared" si="55"/>
        <v>0</v>
      </c>
      <c r="BB174" s="512">
        <f>SUMIFS(PURCHASE!$K$6:$K$10008,PURCHASE!$A$6:$A$10008,$BA$2,PURCHASE!$H$6:$H$10008,$A$4:$A$2700)</f>
        <v>0</v>
      </c>
      <c r="BC174" s="512">
        <f>SUMIFS(PURCHASE!$L$6:$L$10008,PURCHASE!$A$6:$A$10008,$BA$2,PURCHASE!$H$6:$H$10008,$A$4:$A$2700)</f>
        <v>0</v>
      </c>
      <c r="BD174" s="512">
        <f>SUMIFS(PURCHASE!$M$6:$M$10008,PURCHASE!$A$6:$A$10008,$BA$2,PURCHASE!$H$6:$H$10008,$A$4:$A$2700)</f>
        <v>0</v>
      </c>
      <c r="BE174" s="512">
        <f>SUMIFS(PURCHASE!$N$6:$N$10008,PURCHASE!$A$6:$A$10008,$BA$2,PURCHASE!$H$6:$H$10008,$A$4:$A$2700)</f>
        <v>0</v>
      </c>
      <c r="BF174" s="512">
        <f t="shared" si="56"/>
        <v>0</v>
      </c>
      <c r="BG174" s="512">
        <f>SUMIFS(PURCHASE!$K$6:$K$10008,PURCHASE!$A$6:$A$10008,$BF$2,PURCHASE!$H$6:$H$10008,$A$4:$A$2700)</f>
        <v>0</v>
      </c>
      <c r="BH174" s="512">
        <f>SUMIFS(PURCHASE!$L$6:$L$10008,PURCHASE!$A$6:$A$10008,$BF$2,PURCHASE!$H$6:$H$10008,$A$4:$A$2700)</f>
        <v>0</v>
      </c>
      <c r="BI174" s="512">
        <f>SUMIFS(PURCHASE!$M$6:$M$10008,PURCHASE!$A$6:$A$10008,$BF$2,PURCHASE!$H$6:$H$10008,$A$4:$A$2700)</f>
        <v>0</v>
      </c>
      <c r="BJ174" s="512">
        <f>SUMIFS(PURCHASE!$N$6:$N$10008,PURCHASE!$A$6:$A$10008,$BF$2,PURCHASE!$H$6:$H$10008,$A$4:$A$2700)</f>
        <v>0</v>
      </c>
      <c r="BK174" s="72">
        <f t="shared" si="40"/>
        <v>136054</v>
      </c>
      <c r="BL174" s="72">
        <f t="shared" si="41"/>
        <v>115300</v>
      </c>
      <c r="BM174" s="72">
        <f t="shared" si="42"/>
        <v>0</v>
      </c>
      <c r="BN174" s="72">
        <f t="shared" si="43"/>
        <v>10377</v>
      </c>
      <c r="BO174" s="72">
        <f t="shared" si="44"/>
        <v>10377</v>
      </c>
    </row>
    <row r="175" spans="1:67" x14ac:dyDescent="0.2">
      <c r="A175" s="511">
        <v>38249090</v>
      </c>
      <c r="B175" s="467" t="s">
        <v>1313</v>
      </c>
      <c r="C175" s="512">
        <f t="shared" si="45"/>
        <v>0</v>
      </c>
      <c r="D175" s="512">
        <f>SUMIFS(PURCHASE!$K$6:$K$10008,PURCHASE!$A$6:$A$10008,$M$2,PURCHASE!$H$6:$H$10008,$A$4:$A$2700)</f>
        <v>0</v>
      </c>
      <c r="E175" s="512">
        <f>SUMIFS(PURCHASE!$L$6:$L$10008,PURCHASE!$A$6:$A$10008,$M$2,PURCHASE!$H$6:$H$10008,$A$4:$A$2700)</f>
        <v>0</v>
      </c>
      <c r="F175" s="512">
        <f>SUMIFS(PURCHASE!$M$6:$M$10008,PURCHASE!$A$6:$A$10008,$M$2,PURCHASE!$H$6:$H$10008,$A$4:$A$2700)</f>
        <v>0</v>
      </c>
      <c r="G175" s="512">
        <f>SUMIFS(PURCHASE!$N$6:$N$10008,PURCHASE!$A$6:$A$10008,$M$2,PURCHASE!$H$6:$H$10008,$A$4:$A$2700)</f>
        <v>0</v>
      </c>
      <c r="H175" s="512">
        <f t="shared" si="46"/>
        <v>0</v>
      </c>
      <c r="I175" s="512">
        <f>SUMIFS(PURCHASE!$K$6:$K$10008,PURCHASE!$A$6:$A$10008,$H$2,PURCHASE!$H$6:$H$10008,$A$4:$A$2700)</f>
        <v>0</v>
      </c>
      <c r="J175" s="512">
        <f>SUMIFS(PURCHASE!$L$6:$L$10008,PURCHASE!$A$6:$A$10008,$H$2,PURCHASE!$H$6:$H$10008,$A$4:$A$2700)</f>
        <v>0</v>
      </c>
      <c r="K175" s="512">
        <f>SUMIFS(PURCHASE!$M$6:$M$10008,PURCHASE!$A$6:$A$10008,$H$2,PURCHASE!$H$6:$H$10008,$A$4:$A$2700)</f>
        <v>0</v>
      </c>
      <c r="L175" s="512">
        <f>SUMIFS(PURCHASE!$N$6:$N$10008,PURCHASE!$A$6:$A$10008,$H$2,PURCHASE!$H$6:$H$10008,$A$4:$A$2700)</f>
        <v>0</v>
      </c>
      <c r="M175" s="512">
        <f t="shared" si="47"/>
        <v>0</v>
      </c>
      <c r="N175" s="512">
        <f>SUMIFS(PURCHASE!$K$6:$K$10008,PURCHASE!$A$6:$A$10008,$M$2,PURCHASE!$H$6:$H$10008,$A$4:$A$2700)</f>
        <v>0</v>
      </c>
      <c r="O175" s="512">
        <f>SUMIFS(PURCHASE!$L$6:$L$10008,PURCHASE!$A$6:$A$10008,$M$2,PURCHASE!$H$6:$H$10008,$A$4:$A$2700)</f>
        <v>0</v>
      </c>
      <c r="P175" s="512">
        <f>SUMIFS(PURCHASE!$M$6:$M$10008,PURCHASE!$A$6:$A$10008,$M$2,PURCHASE!$H$6:$H$10008,$A$4:$A$2700)</f>
        <v>0</v>
      </c>
      <c r="Q175" s="512">
        <f>SUMIFS(PURCHASE!$N$6:$N$10008,PURCHASE!$A$6:$A$10008,$M$2,PURCHASE!$H$6:$H$10008,$A$4:$A$2700)</f>
        <v>0</v>
      </c>
      <c r="R175" s="512">
        <f t="shared" si="48"/>
        <v>101716</v>
      </c>
      <c r="S175" s="512">
        <f>SUMIFS(PURCHASE!$K$6:$K$10008,PURCHASE!$A$6:$A$10008,$R$2,PURCHASE!$H$6:$H$10008,$A$4:$A$2700)</f>
        <v>86200</v>
      </c>
      <c r="T175" s="512">
        <f>SUMIFS(PURCHASE!$L$6:$L$10008,PURCHASE!$A$6:$A$10008,$R$2,PURCHASE!$H$6:$H$10008,$A$4:$A$2700)</f>
        <v>0</v>
      </c>
      <c r="U175" s="512">
        <f>SUMIFS(PURCHASE!$M$6:$M$10008,PURCHASE!$A$6:$A$10008,$R$2,PURCHASE!$H$6:$H$10008,$A$4:$A$2700)</f>
        <v>7758</v>
      </c>
      <c r="V175" s="512">
        <f>SUMIFS(PURCHASE!$N$6:$N$10008,PURCHASE!$A$6:$A$10008,$R$2,PURCHASE!$H$6:$H$10008,$A$4:$A$2700)</f>
        <v>7758</v>
      </c>
      <c r="W175" s="512">
        <f t="shared" si="49"/>
        <v>0</v>
      </c>
      <c r="X175" s="512">
        <f>SUMIFS(PURCHASE!$K$6:$K$10008,PURCHASE!$A$6:$A$10008,$W$2,PURCHASE!$H$6:$H$10008,$A$4:$A$2700)</f>
        <v>0</v>
      </c>
      <c r="Y175" s="512">
        <f>SUMIFS(PURCHASE!$L$6:$L$10008,PURCHASE!$A$6:$A$10008,$W$2,PURCHASE!$H$6:$H$10008,$A$4:$A$2700)</f>
        <v>0</v>
      </c>
      <c r="Z175" s="512">
        <f>SUMIFS(PURCHASE!$M$6:$M$10008,PURCHASE!$A$6:$A$10008,$W$2,PURCHASE!$H$6:$H$10008,$A$4:$A$2700)</f>
        <v>0</v>
      </c>
      <c r="AA175" s="512">
        <f>SUMIFS(PURCHASE!$N$6:$N$10008,PURCHASE!$A$6:$A$10008,$W$2,PURCHASE!$H$6:$H$10008,$A$4:$A$2700)</f>
        <v>0</v>
      </c>
      <c r="AB175" s="512">
        <f t="shared" si="50"/>
        <v>0</v>
      </c>
      <c r="AC175" s="512">
        <f>SUMIFS(PURCHASE!$K$6:$K$10008,PURCHASE!$A$6:$A$10008,$AB$2,PURCHASE!$H$6:$H$10008,$A$4:$A$2700)</f>
        <v>0</v>
      </c>
      <c r="AD175" s="512">
        <f>SUMIFS(PURCHASE!$L$6:$L$10008,PURCHASE!$A$6:$A$10008,$AB$2,PURCHASE!$H$6:$H$10008,$A$4:$A$2700)</f>
        <v>0</v>
      </c>
      <c r="AE175" s="512">
        <f>SUMIFS(PURCHASE!$M$6:$M$10008,PURCHASE!$A$6:$A$10008,$AB$2,PURCHASE!$H$6:$H$10008,$A$4:$A$2700)</f>
        <v>0</v>
      </c>
      <c r="AF175" s="512">
        <f>SUMIFS(PURCHASE!$N$6:$N$10008,PURCHASE!$A$6:$A$10008,$AB$2,PURCHASE!$H$6:$H$10008,$A$4:$A$2700)</f>
        <v>0</v>
      </c>
      <c r="AG175" s="512">
        <f t="shared" si="51"/>
        <v>0</v>
      </c>
      <c r="AH175" s="512">
        <f>SUMIFS(PURCHASE!$K$6:$K$10008,PURCHASE!$A$6:$A$10008,$AG$2,PURCHASE!$H$6:$H$10008,$A$4:$A$2700)</f>
        <v>0</v>
      </c>
      <c r="AI175" s="512">
        <f>SUMIFS(PURCHASE!$L$6:$L$10008,PURCHASE!$A$6:$A$10008,$AG$2,PURCHASE!$H$6:$H$10008,$A$4:$A$2700)</f>
        <v>0</v>
      </c>
      <c r="AJ175" s="512">
        <f>SUMIFS(PURCHASE!$M$6:$M$10008,PURCHASE!$A$6:$A$10008,$AG$2,PURCHASE!$H$6:$H$10008,$A$4:$A$2700)</f>
        <v>0</v>
      </c>
      <c r="AK175" s="512">
        <f>SUMIFS(PURCHASE!$N$6:$N$10008,PURCHASE!$A$6:$A$10008,$AG$2,PURCHASE!$H$6:$H$10008,$A$4:$A$2700)</f>
        <v>0</v>
      </c>
      <c r="AL175" s="512">
        <f t="shared" si="52"/>
        <v>0</v>
      </c>
      <c r="AM175" s="512">
        <f>SUMIFS(PURCHASE!$K$6:$K$10008,PURCHASE!$A$6:$A$10008,$AL$2,PURCHASE!$H$6:$H$10008,$A$4:$A$2700)</f>
        <v>0</v>
      </c>
      <c r="AN175" s="512">
        <f>SUMIFS(PURCHASE!$L$6:$L$10008,PURCHASE!$A$6:$A$10008,$AL$2,PURCHASE!$H$6:$H$10008,$A$4:$A$2700)</f>
        <v>0</v>
      </c>
      <c r="AO175" s="512">
        <f>SUMIFS(PURCHASE!$M$6:$M$10008,PURCHASE!$A$6:$A$10008,$AL$2,PURCHASE!$H$6:$H$10008,$A$4:$A$2700)</f>
        <v>0</v>
      </c>
      <c r="AP175" s="512">
        <f>SUMIFS(PURCHASE!$N$6:$N$10008,PURCHASE!$A$6:$A$10008,$AL$2,PURCHASE!$H$6:$H$10008,$A$4:$A$2700)</f>
        <v>0</v>
      </c>
      <c r="AQ175" s="512">
        <f t="shared" si="53"/>
        <v>15340</v>
      </c>
      <c r="AR175" s="512">
        <f>SUMIFS(PURCHASE!$K$6:$K$10008,PURCHASE!$A$6:$A$10008,$AQ$2,PURCHASE!$H$6:$H$10008,$A$4:$A$2700)</f>
        <v>13000</v>
      </c>
      <c r="AS175" s="512">
        <f>SUMIFS(PURCHASE!$L$6:$L$10008,PURCHASE!$A$6:$A$10008,$AQ$2,PURCHASE!$H$6:$H$10008,$A$4:$A$2700)</f>
        <v>0</v>
      </c>
      <c r="AT175" s="512">
        <f>SUMIFS(PURCHASE!$M$6:$M$10008,PURCHASE!$A$6:$A$10008,$AQ$2,PURCHASE!$H$6:$H$10008,$A$4:$A$2700)</f>
        <v>1170</v>
      </c>
      <c r="AU175" s="512">
        <f>SUMIFS(PURCHASE!$N$6:$N$10008,PURCHASE!$A$6:$A$10008,$AQ$2,PURCHASE!$H$6:$H$10008,$A$4:$A$2700)</f>
        <v>1170</v>
      </c>
      <c r="AV175" s="512">
        <f t="shared" si="54"/>
        <v>0</v>
      </c>
      <c r="AW175" s="512">
        <f>SUMIFS(PURCHASE!$K$6:$K$10008,PURCHASE!$A$6:$A$10008,$AV$2,PURCHASE!$H$6:$H$10008,$A$4:$A$2700)</f>
        <v>0</v>
      </c>
      <c r="AX175" s="512">
        <f>SUMIFS(PURCHASE!$L$6:$L$10008,PURCHASE!$A$6:$A$10008,$AV$2,PURCHASE!$H$6:$H$10008,$A$4:$A$2700)</f>
        <v>0</v>
      </c>
      <c r="AY175" s="512">
        <f>SUMIFS(PURCHASE!$M$6:$M$10008,PURCHASE!$A$6:$A$10008,$AV$2,PURCHASE!$H$6:$H$10008,$A$4:$A$2700)</f>
        <v>0</v>
      </c>
      <c r="AZ175" s="512">
        <f>SUMIFS(PURCHASE!$N$6:$N$10008,PURCHASE!$A$6:$A$10008,$AV$2,PURCHASE!$H$6:$H$10008,$A$4:$A$2700)</f>
        <v>0</v>
      </c>
      <c r="BA175" s="512">
        <f t="shared" si="55"/>
        <v>0</v>
      </c>
      <c r="BB175" s="512">
        <f>SUMIFS(PURCHASE!$K$6:$K$10008,PURCHASE!$A$6:$A$10008,$BA$2,PURCHASE!$H$6:$H$10008,$A$4:$A$2700)</f>
        <v>0</v>
      </c>
      <c r="BC175" s="512">
        <f>SUMIFS(PURCHASE!$L$6:$L$10008,PURCHASE!$A$6:$A$10008,$BA$2,PURCHASE!$H$6:$H$10008,$A$4:$A$2700)</f>
        <v>0</v>
      </c>
      <c r="BD175" s="512">
        <f>SUMIFS(PURCHASE!$M$6:$M$10008,PURCHASE!$A$6:$A$10008,$BA$2,PURCHASE!$H$6:$H$10008,$A$4:$A$2700)</f>
        <v>0</v>
      </c>
      <c r="BE175" s="512">
        <f>SUMIFS(PURCHASE!$N$6:$N$10008,PURCHASE!$A$6:$A$10008,$BA$2,PURCHASE!$H$6:$H$10008,$A$4:$A$2700)</f>
        <v>0</v>
      </c>
      <c r="BF175" s="512">
        <f t="shared" si="56"/>
        <v>0</v>
      </c>
      <c r="BG175" s="512">
        <f>SUMIFS(PURCHASE!$K$6:$K$10008,PURCHASE!$A$6:$A$10008,$BF$2,PURCHASE!$H$6:$H$10008,$A$4:$A$2700)</f>
        <v>0</v>
      </c>
      <c r="BH175" s="512">
        <f>SUMIFS(PURCHASE!$L$6:$L$10008,PURCHASE!$A$6:$A$10008,$BF$2,PURCHASE!$H$6:$H$10008,$A$4:$A$2700)</f>
        <v>0</v>
      </c>
      <c r="BI175" s="512">
        <f>SUMIFS(PURCHASE!$M$6:$M$10008,PURCHASE!$A$6:$A$10008,$BF$2,PURCHASE!$H$6:$H$10008,$A$4:$A$2700)</f>
        <v>0</v>
      </c>
      <c r="BJ175" s="512">
        <f>SUMIFS(PURCHASE!$N$6:$N$10008,PURCHASE!$A$6:$A$10008,$BF$2,PURCHASE!$H$6:$H$10008,$A$4:$A$2700)</f>
        <v>0</v>
      </c>
      <c r="BK175" s="72">
        <f t="shared" si="40"/>
        <v>117056</v>
      </c>
      <c r="BL175" s="72">
        <f t="shared" si="41"/>
        <v>99200</v>
      </c>
      <c r="BM175" s="72">
        <f t="shared" si="42"/>
        <v>0</v>
      </c>
      <c r="BN175" s="72">
        <f t="shared" si="43"/>
        <v>8928</v>
      </c>
      <c r="BO175" s="72">
        <f t="shared" si="44"/>
        <v>8928</v>
      </c>
    </row>
    <row r="176" spans="1:67" x14ac:dyDescent="0.2">
      <c r="A176" s="511">
        <v>4811</v>
      </c>
      <c r="B176" s="467" t="s">
        <v>1314</v>
      </c>
      <c r="C176" s="512">
        <f t="shared" si="45"/>
        <v>1836.434</v>
      </c>
      <c r="D176" s="512">
        <f>SUMIFS(PURCHASE!$K$6:$K$10008,PURCHASE!$A$6:$A$10008,$M$2,PURCHASE!$H$6:$H$10008,$A$4:$A$2700)</f>
        <v>1556.3</v>
      </c>
      <c r="E176" s="512">
        <f>SUMIFS(PURCHASE!$L$6:$L$10008,PURCHASE!$A$6:$A$10008,$M$2,PURCHASE!$H$6:$H$10008,$A$4:$A$2700)</f>
        <v>0</v>
      </c>
      <c r="F176" s="512">
        <f>SUMIFS(PURCHASE!$M$6:$M$10008,PURCHASE!$A$6:$A$10008,$M$2,PURCHASE!$H$6:$H$10008,$A$4:$A$2700)</f>
        <v>140.06700000000001</v>
      </c>
      <c r="G176" s="512">
        <f>SUMIFS(PURCHASE!$N$6:$N$10008,PURCHASE!$A$6:$A$10008,$M$2,PURCHASE!$H$6:$H$10008,$A$4:$A$2700)</f>
        <v>140.06700000000001</v>
      </c>
      <c r="H176" s="512">
        <f t="shared" si="46"/>
        <v>0</v>
      </c>
      <c r="I176" s="512">
        <f>SUMIFS(PURCHASE!$K$6:$K$10008,PURCHASE!$A$6:$A$10008,$H$2,PURCHASE!$H$6:$H$10008,$A$4:$A$2700)</f>
        <v>0</v>
      </c>
      <c r="J176" s="512">
        <f>SUMIFS(PURCHASE!$L$6:$L$10008,PURCHASE!$A$6:$A$10008,$H$2,PURCHASE!$H$6:$H$10008,$A$4:$A$2700)</f>
        <v>0</v>
      </c>
      <c r="K176" s="512">
        <f>SUMIFS(PURCHASE!$M$6:$M$10008,PURCHASE!$A$6:$A$10008,$H$2,PURCHASE!$H$6:$H$10008,$A$4:$A$2700)</f>
        <v>0</v>
      </c>
      <c r="L176" s="512">
        <f>SUMIFS(PURCHASE!$N$6:$N$10008,PURCHASE!$A$6:$A$10008,$H$2,PURCHASE!$H$6:$H$10008,$A$4:$A$2700)</f>
        <v>0</v>
      </c>
      <c r="M176" s="512">
        <f t="shared" si="47"/>
        <v>1836.434</v>
      </c>
      <c r="N176" s="512">
        <f>SUMIFS(PURCHASE!$K$6:$K$10008,PURCHASE!$A$6:$A$10008,$M$2,PURCHASE!$H$6:$H$10008,$A$4:$A$2700)</f>
        <v>1556.3</v>
      </c>
      <c r="O176" s="512">
        <f>SUMIFS(PURCHASE!$L$6:$L$10008,PURCHASE!$A$6:$A$10008,$M$2,PURCHASE!$H$6:$H$10008,$A$4:$A$2700)</f>
        <v>0</v>
      </c>
      <c r="P176" s="512">
        <f>SUMIFS(PURCHASE!$M$6:$M$10008,PURCHASE!$A$6:$A$10008,$M$2,PURCHASE!$H$6:$H$10008,$A$4:$A$2700)</f>
        <v>140.06700000000001</v>
      </c>
      <c r="Q176" s="512">
        <f>SUMIFS(PURCHASE!$N$6:$N$10008,PURCHASE!$A$6:$A$10008,$M$2,PURCHASE!$H$6:$H$10008,$A$4:$A$2700)</f>
        <v>140.06700000000001</v>
      </c>
      <c r="R176" s="512">
        <f t="shared" si="48"/>
        <v>8379.18</v>
      </c>
      <c r="S176" s="512">
        <f>SUMIFS(PURCHASE!$K$6:$K$10008,PURCHASE!$A$6:$A$10008,$R$2,PURCHASE!$H$6:$H$10008,$A$4:$A$2700)</f>
        <v>7101</v>
      </c>
      <c r="T176" s="512">
        <f>SUMIFS(PURCHASE!$L$6:$L$10008,PURCHASE!$A$6:$A$10008,$R$2,PURCHASE!$H$6:$H$10008,$A$4:$A$2700)</f>
        <v>0</v>
      </c>
      <c r="U176" s="512">
        <f>SUMIFS(PURCHASE!$M$6:$M$10008,PURCHASE!$A$6:$A$10008,$R$2,PURCHASE!$H$6:$H$10008,$A$4:$A$2700)</f>
        <v>639.09</v>
      </c>
      <c r="V176" s="512">
        <f>SUMIFS(PURCHASE!$N$6:$N$10008,PURCHASE!$A$6:$A$10008,$R$2,PURCHASE!$H$6:$H$10008,$A$4:$A$2700)</f>
        <v>639.09</v>
      </c>
      <c r="W176" s="512">
        <f t="shared" si="49"/>
        <v>1602.558</v>
      </c>
      <c r="X176" s="512">
        <f>SUMIFS(PURCHASE!$K$6:$K$10008,PURCHASE!$A$6:$A$10008,$W$2,PURCHASE!$H$6:$H$10008,$A$4:$A$2700)</f>
        <v>1358.1</v>
      </c>
      <c r="Y176" s="512">
        <f>SUMIFS(PURCHASE!$L$6:$L$10008,PURCHASE!$A$6:$A$10008,$W$2,PURCHASE!$H$6:$H$10008,$A$4:$A$2700)</f>
        <v>0</v>
      </c>
      <c r="Z176" s="512">
        <f>SUMIFS(PURCHASE!$M$6:$M$10008,PURCHASE!$A$6:$A$10008,$W$2,PURCHASE!$H$6:$H$10008,$A$4:$A$2700)</f>
        <v>122.229</v>
      </c>
      <c r="AA176" s="512">
        <f>SUMIFS(PURCHASE!$N$6:$N$10008,PURCHASE!$A$6:$A$10008,$W$2,PURCHASE!$H$6:$H$10008,$A$4:$A$2700)</f>
        <v>122.229</v>
      </c>
      <c r="AB176" s="512">
        <f t="shared" si="50"/>
        <v>0</v>
      </c>
      <c r="AC176" s="512">
        <f>SUMIFS(PURCHASE!$K$6:$K$10008,PURCHASE!$A$6:$A$10008,$AB$2,PURCHASE!$H$6:$H$10008,$A$4:$A$2700)</f>
        <v>0</v>
      </c>
      <c r="AD176" s="512">
        <f>SUMIFS(PURCHASE!$L$6:$L$10008,PURCHASE!$A$6:$A$10008,$AB$2,PURCHASE!$H$6:$H$10008,$A$4:$A$2700)</f>
        <v>0</v>
      </c>
      <c r="AE176" s="512">
        <f>SUMIFS(PURCHASE!$M$6:$M$10008,PURCHASE!$A$6:$A$10008,$AB$2,PURCHASE!$H$6:$H$10008,$A$4:$A$2700)</f>
        <v>0</v>
      </c>
      <c r="AF176" s="512">
        <f>SUMIFS(PURCHASE!$N$6:$N$10008,PURCHASE!$A$6:$A$10008,$AB$2,PURCHASE!$H$6:$H$10008,$A$4:$A$2700)</f>
        <v>0</v>
      </c>
      <c r="AG176" s="512">
        <f t="shared" si="51"/>
        <v>0</v>
      </c>
      <c r="AH176" s="512">
        <f>SUMIFS(PURCHASE!$K$6:$K$10008,PURCHASE!$A$6:$A$10008,$AG$2,PURCHASE!$H$6:$H$10008,$A$4:$A$2700)</f>
        <v>0</v>
      </c>
      <c r="AI176" s="512">
        <f>SUMIFS(PURCHASE!$L$6:$L$10008,PURCHASE!$A$6:$A$10008,$AG$2,PURCHASE!$H$6:$H$10008,$A$4:$A$2700)</f>
        <v>0</v>
      </c>
      <c r="AJ176" s="512">
        <f>SUMIFS(PURCHASE!$M$6:$M$10008,PURCHASE!$A$6:$A$10008,$AG$2,PURCHASE!$H$6:$H$10008,$A$4:$A$2700)</f>
        <v>0</v>
      </c>
      <c r="AK176" s="512">
        <f>SUMIFS(PURCHASE!$N$6:$N$10008,PURCHASE!$A$6:$A$10008,$AG$2,PURCHASE!$H$6:$H$10008,$A$4:$A$2700)</f>
        <v>0</v>
      </c>
      <c r="AL176" s="512">
        <f t="shared" si="52"/>
        <v>0</v>
      </c>
      <c r="AM176" s="512">
        <f>SUMIFS(PURCHASE!$K$6:$K$10008,PURCHASE!$A$6:$A$10008,$AL$2,PURCHASE!$H$6:$H$10008,$A$4:$A$2700)</f>
        <v>0</v>
      </c>
      <c r="AN176" s="512">
        <f>SUMIFS(PURCHASE!$L$6:$L$10008,PURCHASE!$A$6:$A$10008,$AL$2,PURCHASE!$H$6:$H$10008,$A$4:$A$2700)</f>
        <v>0</v>
      </c>
      <c r="AO176" s="512">
        <f>SUMIFS(PURCHASE!$M$6:$M$10008,PURCHASE!$A$6:$A$10008,$AL$2,PURCHASE!$H$6:$H$10008,$A$4:$A$2700)</f>
        <v>0</v>
      </c>
      <c r="AP176" s="512">
        <f>SUMIFS(PURCHASE!$N$6:$N$10008,PURCHASE!$A$6:$A$10008,$AL$2,PURCHASE!$H$6:$H$10008,$A$4:$A$2700)</f>
        <v>0</v>
      </c>
      <c r="AQ176" s="512">
        <f t="shared" si="53"/>
        <v>0</v>
      </c>
      <c r="AR176" s="512">
        <f>SUMIFS(PURCHASE!$K$6:$K$10008,PURCHASE!$A$6:$A$10008,$AQ$2,PURCHASE!$H$6:$H$10008,$A$4:$A$2700)</f>
        <v>0</v>
      </c>
      <c r="AS176" s="512">
        <f>SUMIFS(PURCHASE!$L$6:$L$10008,PURCHASE!$A$6:$A$10008,$AQ$2,PURCHASE!$H$6:$H$10008,$A$4:$A$2700)</f>
        <v>0</v>
      </c>
      <c r="AT176" s="512">
        <f>SUMIFS(PURCHASE!$M$6:$M$10008,PURCHASE!$A$6:$A$10008,$AQ$2,PURCHASE!$H$6:$H$10008,$A$4:$A$2700)</f>
        <v>0</v>
      </c>
      <c r="AU176" s="512">
        <f>SUMIFS(PURCHASE!$N$6:$N$10008,PURCHASE!$A$6:$A$10008,$AQ$2,PURCHASE!$H$6:$H$10008,$A$4:$A$2700)</f>
        <v>0</v>
      </c>
      <c r="AV176" s="512">
        <f t="shared" si="54"/>
        <v>0</v>
      </c>
      <c r="AW176" s="512">
        <f>SUMIFS(PURCHASE!$K$6:$K$10008,PURCHASE!$A$6:$A$10008,$AV$2,PURCHASE!$H$6:$H$10008,$A$4:$A$2700)</f>
        <v>0</v>
      </c>
      <c r="AX176" s="512">
        <f>SUMIFS(PURCHASE!$L$6:$L$10008,PURCHASE!$A$6:$A$10008,$AV$2,PURCHASE!$H$6:$H$10008,$A$4:$A$2700)</f>
        <v>0</v>
      </c>
      <c r="AY176" s="512">
        <f>SUMIFS(PURCHASE!$M$6:$M$10008,PURCHASE!$A$6:$A$10008,$AV$2,PURCHASE!$H$6:$H$10008,$A$4:$A$2700)</f>
        <v>0</v>
      </c>
      <c r="AZ176" s="512">
        <f>SUMIFS(PURCHASE!$N$6:$N$10008,PURCHASE!$A$6:$A$10008,$AV$2,PURCHASE!$H$6:$H$10008,$A$4:$A$2700)</f>
        <v>0</v>
      </c>
      <c r="BA176" s="512">
        <f t="shared" si="55"/>
        <v>0</v>
      </c>
      <c r="BB176" s="512">
        <f>SUMIFS(PURCHASE!$K$6:$K$10008,PURCHASE!$A$6:$A$10008,$BA$2,PURCHASE!$H$6:$H$10008,$A$4:$A$2700)</f>
        <v>0</v>
      </c>
      <c r="BC176" s="512">
        <f>SUMIFS(PURCHASE!$L$6:$L$10008,PURCHASE!$A$6:$A$10008,$BA$2,PURCHASE!$H$6:$H$10008,$A$4:$A$2700)</f>
        <v>0</v>
      </c>
      <c r="BD176" s="512">
        <f>SUMIFS(PURCHASE!$M$6:$M$10008,PURCHASE!$A$6:$A$10008,$BA$2,PURCHASE!$H$6:$H$10008,$A$4:$A$2700)</f>
        <v>0</v>
      </c>
      <c r="BE176" s="512">
        <f>SUMIFS(PURCHASE!$N$6:$N$10008,PURCHASE!$A$6:$A$10008,$BA$2,PURCHASE!$H$6:$H$10008,$A$4:$A$2700)</f>
        <v>0</v>
      </c>
      <c r="BF176" s="512">
        <f t="shared" si="56"/>
        <v>0</v>
      </c>
      <c r="BG176" s="512">
        <f>SUMIFS(PURCHASE!$K$6:$K$10008,PURCHASE!$A$6:$A$10008,$BF$2,PURCHASE!$H$6:$H$10008,$A$4:$A$2700)</f>
        <v>0</v>
      </c>
      <c r="BH176" s="512">
        <f>SUMIFS(PURCHASE!$L$6:$L$10008,PURCHASE!$A$6:$A$10008,$BF$2,PURCHASE!$H$6:$H$10008,$A$4:$A$2700)</f>
        <v>0</v>
      </c>
      <c r="BI176" s="512">
        <f>SUMIFS(PURCHASE!$M$6:$M$10008,PURCHASE!$A$6:$A$10008,$BF$2,PURCHASE!$H$6:$H$10008,$A$4:$A$2700)</f>
        <v>0</v>
      </c>
      <c r="BJ176" s="512">
        <f>SUMIFS(PURCHASE!$N$6:$N$10008,PURCHASE!$A$6:$A$10008,$BF$2,PURCHASE!$H$6:$H$10008,$A$4:$A$2700)</f>
        <v>0</v>
      </c>
      <c r="BK176" s="72">
        <f t="shared" si="40"/>
        <v>13654.606</v>
      </c>
      <c r="BL176" s="72">
        <f t="shared" si="41"/>
        <v>11571.7</v>
      </c>
      <c r="BM176" s="72">
        <f t="shared" si="42"/>
        <v>0</v>
      </c>
      <c r="BN176" s="72">
        <f t="shared" si="43"/>
        <v>1041.453</v>
      </c>
      <c r="BO176" s="72">
        <f t="shared" si="44"/>
        <v>1041.453</v>
      </c>
    </row>
    <row r="177" spans="1:67" x14ac:dyDescent="0.2">
      <c r="A177" s="511">
        <v>38140020</v>
      </c>
      <c r="B177" s="467" t="s">
        <v>1315</v>
      </c>
      <c r="C177" s="512">
        <f t="shared" si="45"/>
        <v>110566</v>
      </c>
      <c r="D177" s="512">
        <f>SUMIFS(PURCHASE!$K$6:$K$10008,PURCHASE!$A$6:$A$10008,$M$2,PURCHASE!$H$6:$H$10008,$A$4:$A$2700)</f>
        <v>93700</v>
      </c>
      <c r="E177" s="512">
        <f>SUMIFS(PURCHASE!$L$6:$L$10008,PURCHASE!$A$6:$A$10008,$M$2,PURCHASE!$H$6:$H$10008,$A$4:$A$2700)</f>
        <v>0</v>
      </c>
      <c r="F177" s="512">
        <f>SUMIFS(PURCHASE!$M$6:$M$10008,PURCHASE!$A$6:$A$10008,$M$2,PURCHASE!$H$6:$H$10008,$A$4:$A$2700)</f>
        <v>8433</v>
      </c>
      <c r="G177" s="512">
        <f>SUMIFS(PURCHASE!$N$6:$N$10008,PURCHASE!$A$6:$A$10008,$M$2,PURCHASE!$H$6:$H$10008,$A$4:$A$2700)</f>
        <v>8433</v>
      </c>
      <c r="H177" s="512">
        <f t="shared" si="46"/>
        <v>0</v>
      </c>
      <c r="I177" s="512">
        <f>SUMIFS(PURCHASE!$K$6:$K$10008,PURCHASE!$A$6:$A$10008,$H$2,PURCHASE!$H$6:$H$10008,$A$4:$A$2700)</f>
        <v>0</v>
      </c>
      <c r="J177" s="512">
        <f>SUMIFS(PURCHASE!$L$6:$L$10008,PURCHASE!$A$6:$A$10008,$H$2,PURCHASE!$H$6:$H$10008,$A$4:$A$2700)</f>
        <v>0</v>
      </c>
      <c r="K177" s="512">
        <f>SUMIFS(PURCHASE!$M$6:$M$10008,PURCHASE!$A$6:$A$10008,$H$2,PURCHASE!$H$6:$H$10008,$A$4:$A$2700)</f>
        <v>0</v>
      </c>
      <c r="L177" s="512">
        <f>SUMIFS(PURCHASE!$N$6:$N$10008,PURCHASE!$A$6:$A$10008,$H$2,PURCHASE!$H$6:$H$10008,$A$4:$A$2700)</f>
        <v>0</v>
      </c>
      <c r="M177" s="512">
        <f t="shared" si="47"/>
        <v>110566</v>
      </c>
      <c r="N177" s="512">
        <f>SUMIFS(PURCHASE!$K$6:$K$10008,PURCHASE!$A$6:$A$10008,$M$2,PURCHASE!$H$6:$H$10008,$A$4:$A$2700)</f>
        <v>93700</v>
      </c>
      <c r="O177" s="512">
        <f>SUMIFS(PURCHASE!$L$6:$L$10008,PURCHASE!$A$6:$A$10008,$M$2,PURCHASE!$H$6:$H$10008,$A$4:$A$2700)</f>
        <v>0</v>
      </c>
      <c r="P177" s="512">
        <f>SUMIFS(PURCHASE!$M$6:$M$10008,PURCHASE!$A$6:$A$10008,$M$2,PURCHASE!$H$6:$H$10008,$A$4:$A$2700)</f>
        <v>8433</v>
      </c>
      <c r="Q177" s="512">
        <f>SUMIFS(PURCHASE!$N$6:$N$10008,PURCHASE!$A$6:$A$10008,$M$2,PURCHASE!$H$6:$H$10008,$A$4:$A$2700)</f>
        <v>8433</v>
      </c>
      <c r="R177" s="512">
        <f t="shared" si="48"/>
        <v>6962</v>
      </c>
      <c r="S177" s="512">
        <f>SUMIFS(PURCHASE!$K$6:$K$10008,PURCHASE!$A$6:$A$10008,$R$2,PURCHASE!$H$6:$H$10008,$A$4:$A$2700)</f>
        <v>5900</v>
      </c>
      <c r="T177" s="512">
        <f>SUMIFS(PURCHASE!$L$6:$L$10008,PURCHASE!$A$6:$A$10008,$R$2,PURCHASE!$H$6:$H$10008,$A$4:$A$2700)</f>
        <v>0</v>
      </c>
      <c r="U177" s="512">
        <f>SUMIFS(PURCHASE!$M$6:$M$10008,PURCHASE!$A$6:$A$10008,$R$2,PURCHASE!$H$6:$H$10008,$A$4:$A$2700)</f>
        <v>531</v>
      </c>
      <c r="V177" s="512">
        <f>SUMIFS(PURCHASE!$N$6:$N$10008,PURCHASE!$A$6:$A$10008,$R$2,PURCHASE!$H$6:$H$10008,$A$4:$A$2700)</f>
        <v>531</v>
      </c>
      <c r="W177" s="512">
        <f t="shared" si="49"/>
        <v>0</v>
      </c>
      <c r="X177" s="512">
        <f>SUMIFS(PURCHASE!$K$6:$K$10008,PURCHASE!$A$6:$A$10008,$W$2,PURCHASE!$H$6:$H$10008,$A$4:$A$2700)</f>
        <v>0</v>
      </c>
      <c r="Y177" s="512">
        <f>SUMIFS(PURCHASE!$L$6:$L$10008,PURCHASE!$A$6:$A$10008,$W$2,PURCHASE!$H$6:$H$10008,$A$4:$A$2700)</f>
        <v>0</v>
      </c>
      <c r="Z177" s="512">
        <f>SUMIFS(PURCHASE!$M$6:$M$10008,PURCHASE!$A$6:$A$10008,$W$2,PURCHASE!$H$6:$H$10008,$A$4:$A$2700)</f>
        <v>0</v>
      </c>
      <c r="AA177" s="512">
        <f>SUMIFS(PURCHASE!$N$6:$N$10008,PURCHASE!$A$6:$A$10008,$W$2,PURCHASE!$H$6:$H$10008,$A$4:$A$2700)</f>
        <v>0</v>
      </c>
      <c r="AB177" s="512">
        <f t="shared" si="50"/>
        <v>0</v>
      </c>
      <c r="AC177" s="512">
        <f>SUMIFS(PURCHASE!$K$6:$K$10008,PURCHASE!$A$6:$A$10008,$AB$2,PURCHASE!$H$6:$H$10008,$A$4:$A$2700)</f>
        <v>0</v>
      </c>
      <c r="AD177" s="512">
        <f>SUMIFS(PURCHASE!$L$6:$L$10008,PURCHASE!$A$6:$A$10008,$AB$2,PURCHASE!$H$6:$H$10008,$A$4:$A$2700)</f>
        <v>0</v>
      </c>
      <c r="AE177" s="512">
        <f>SUMIFS(PURCHASE!$M$6:$M$10008,PURCHASE!$A$6:$A$10008,$AB$2,PURCHASE!$H$6:$H$10008,$A$4:$A$2700)</f>
        <v>0</v>
      </c>
      <c r="AF177" s="512">
        <f>SUMIFS(PURCHASE!$N$6:$N$10008,PURCHASE!$A$6:$A$10008,$AB$2,PURCHASE!$H$6:$H$10008,$A$4:$A$2700)</f>
        <v>0</v>
      </c>
      <c r="AG177" s="512">
        <f t="shared" si="51"/>
        <v>0</v>
      </c>
      <c r="AH177" s="512">
        <f>SUMIFS(PURCHASE!$K$6:$K$10008,PURCHASE!$A$6:$A$10008,$AG$2,PURCHASE!$H$6:$H$10008,$A$4:$A$2700)</f>
        <v>0</v>
      </c>
      <c r="AI177" s="512">
        <f>SUMIFS(PURCHASE!$L$6:$L$10008,PURCHASE!$A$6:$A$10008,$AG$2,PURCHASE!$H$6:$H$10008,$A$4:$A$2700)</f>
        <v>0</v>
      </c>
      <c r="AJ177" s="512">
        <f>SUMIFS(PURCHASE!$M$6:$M$10008,PURCHASE!$A$6:$A$10008,$AG$2,PURCHASE!$H$6:$H$10008,$A$4:$A$2700)</f>
        <v>0</v>
      </c>
      <c r="AK177" s="512">
        <f>SUMIFS(PURCHASE!$N$6:$N$10008,PURCHASE!$A$6:$A$10008,$AG$2,PURCHASE!$H$6:$H$10008,$A$4:$A$2700)</f>
        <v>0</v>
      </c>
      <c r="AL177" s="512">
        <f t="shared" si="52"/>
        <v>0</v>
      </c>
      <c r="AM177" s="512">
        <f>SUMIFS(PURCHASE!$K$6:$K$10008,PURCHASE!$A$6:$A$10008,$AL$2,PURCHASE!$H$6:$H$10008,$A$4:$A$2700)</f>
        <v>0</v>
      </c>
      <c r="AN177" s="512">
        <f>SUMIFS(PURCHASE!$L$6:$L$10008,PURCHASE!$A$6:$A$10008,$AL$2,PURCHASE!$H$6:$H$10008,$A$4:$A$2700)</f>
        <v>0</v>
      </c>
      <c r="AO177" s="512">
        <f>SUMIFS(PURCHASE!$M$6:$M$10008,PURCHASE!$A$6:$A$10008,$AL$2,PURCHASE!$H$6:$H$10008,$A$4:$A$2700)</f>
        <v>0</v>
      </c>
      <c r="AP177" s="512">
        <f>SUMIFS(PURCHASE!$N$6:$N$10008,PURCHASE!$A$6:$A$10008,$AL$2,PURCHASE!$H$6:$H$10008,$A$4:$A$2700)</f>
        <v>0</v>
      </c>
      <c r="AQ177" s="512">
        <f t="shared" si="53"/>
        <v>0</v>
      </c>
      <c r="AR177" s="512">
        <f>SUMIFS(PURCHASE!$K$6:$K$10008,PURCHASE!$A$6:$A$10008,$AQ$2,PURCHASE!$H$6:$H$10008,$A$4:$A$2700)</f>
        <v>0</v>
      </c>
      <c r="AS177" s="512">
        <f>SUMIFS(PURCHASE!$L$6:$L$10008,PURCHASE!$A$6:$A$10008,$AQ$2,PURCHASE!$H$6:$H$10008,$A$4:$A$2700)</f>
        <v>0</v>
      </c>
      <c r="AT177" s="512">
        <f>SUMIFS(PURCHASE!$M$6:$M$10008,PURCHASE!$A$6:$A$10008,$AQ$2,PURCHASE!$H$6:$H$10008,$A$4:$A$2700)</f>
        <v>0</v>
      </c>
      <c r="AU177" s="512">
        <f>SUMIFS(PURCHASE!$N$6:$N$10008,PURCHASE!$A$6:$A$10008,$AQ$2,PURCHASE!$H$6:$H$10008,$A$4:$A$2700)</f>
        <v>0</v>
      </c>
      <c r="AV177" s="512">
        <f t="shared" si="54"/>
        <v>0</v>
      </c>
      <c r="AW177" s="512">
        <f>SUMIFS(PURCHASE!$K$6:$K$10008,PURCHASE!$A$6:$A$10008,$AV$2,PURCHASE!$H$6:$H$10008,$A$4:$A$2700)</f>
        <v>0</v>
      </c>
      <c r="AX177" s="512">
        <f>SUMIFS(PURCHASE!$L$6:$L$10008,PURCHASE!$A$6:$A$10008,$AV$2,PURCHASE!$H$6:$H$10008,$A$4:$A$2700)</f>
        <v>0</v>
      </c>
      <c r="AY177" s="512">
        <f>SUMIFS(PURCHASE!$M$6:$M$10008,PURCHASE!$A$6:$A$10008,$AV$2,PURCHASE!$H$6:$H$10008,$A$4:$A$2700)</f>
        <v>0</v>
      </c>
      <c r="AZ177" s="512">
        <f>SUMIFS(PURCHASE!$N$6:$N$10008,PURCHASE!$A$6:$A$10008,$AV$2,PURCHASE!$H$6:$H$10008,$A$4:$A$2700)</f>
        <v>0</v>
      </c>
      <c r="BA177" s="512">
        <f t="shared" si="55"/>
        <v>0</v>
      </c>
      <c r="BB177" s="512">
        <f>SUMIFS(PURCHASE!$K$6:$K$10008,PURCHASE!$A$6:$A$10008,$BA$2,PURCHASE!$H$6:$H$10008,$A$4:$A$2700)</f>
        <v>0</v>
      </c>
      <c r="BC177" s="512">
        <f>SUMIFS(PURCHASE!$L$6:$L$10008,PURCHASE!$A$6:$A$10008,$BA$2,PURCHASE!$H$6:$H$10008,$A$4:$A$2700)</f>
        <v>0</v>
      </c>
      <c r="BD177" s="512">
        <f>SUMIFS(PURCHASE!$M$6:$M$10008,PURCHASE!$A$6:$A$10008,$BA$2,PURCHASE!$H$6:$H$10008,$A$4:$A$2700)</f>
        <v>0</v>
      </c>
      <c r="BE177" s="512">
        <f>SUMIFS(PURCHASE!$N$6:$N$10008,PURCHASE!$A$6:$A$10008,$BA$2,PURCHASE!$H$6:$H$10008,$A$4:$A$2700)</f>
        <v>0</v>
      </c>
      <c r="BF177" s="512">
        <f t="shared" si="56"/>
        <v>0</v>
      </c>
      <c r="BG177" s="512">
        <f>SUMIFS(PURCHASE!$K$6:$K$10008,PURCHASE!$A$6:$A$10008,$BF$2,PURCHASE!$H$6:$H$10008,$A$4:$A$2700)</f>
        <v>0</v>
      </c>
      <c r="BH177" s="512">
        <f>SUMIFS(PURCHASE!$L$6:$L$10008,PURCHASE!$A$6:$A$10008,$BF$2,PURCHASE!$H$6:$H$10008,$A$4:$A$2700)</f>
        <v>0</v>
      </c>
      <c r="BI177" s="512">
        <f>SUMIFS(PURCHASE!$M$6:$M$10008,PURCHASE!$A$6:$A$10008,$BF$2,PURCHASE!$H$6:$H$10008,$A$4:$A$2700)</f>
        <v>0</v>
      </c>
      <c r="BJ177" s="512">
        <f>SUMIFS(PURCHASE!$N$6:$N$10008,PURCHASE!$A$6:$A$10008,$BF$2,PURCHASE!$H$6:$H$10008,$A$4:$A$2700)</f>
        <v>0</v>
      </c>
      <c r="BK177" s="72">
        <f t="shared" si="40"/>
        <v>228094</v>
      </c>
      <c r="BL177" s="72">
        <f t="shared" si="41"/>
        <v>193300</v>
      </c>
      <c r="BM177" s="72">
        <f t="shared" si="42"/>
        <v>0</v>
      </c>
      <c r="BN177" s="72">
        <f t="shared" si="43"/>
        <v>17397</v>
      </c>
      <c r="BO177" s="72">
        <f t="shared" si="44"/>
        <v>17397</v>
      </c>
    </row>
    <row r="178" spans="1:67" x14ac:dyDescent="0.2">
      <c r="A178" s="511">
        <v>85198990</v>
      </c>
      <c r="B178" s="467" t="s">
        <v>1295</v>
      </c>
      <c r="C178" s="512">
        <f t="shared" si="45"/>
        <v>472</v>
      </c>
      <c r="D178" s="512">
        <f>SUMIFS(PURCHASE!$K$6:$K$10008,PURCHASE!$A$6:$A$10008,$M$2,PURCHASE!$H$6:$H$10008,$A$4:$A$2700)</f>
        <v>400</v>
      </c>
      <c r="E178" s="512">
        <f>SUMIFS(PURCHASE!$L$6:$L$10008,PURCHASE!$A$6:$A$10008,$M$2,PURCHASE!$H$6:$H$10008,$A$4:$A$2700)</f>
        <v>0</v>
      </c>
      <c r="F178" s="512">
        <f>SUMIFS(PURCHASE!$M$6:$M$10008,PURCHASE!$A$6:$A$10008,$M$2,PURCHASE!$H$6:$H$10008,$A$4:$A$2700)</f>
        <v>36</v>
      </c>
      <c r="G178" s="512">
        <f>SUMIFS(PURCHASE!$N$6:$N$10008,PURCHASE!$A$6:$A$10008,$M$2,PURCHASE!$H$6:$H$10008,$A$4:$A$2700)</f>
        <v>36</v>
      </c>
      <c r="H178" s="512">
        <f t="shared" si="46"/>
        <v>0</v>
      </c>
      <c r="I178" s="512">
        <f>SUMIFS(PURCHASE!$K$6:$K$10008,PURCHASE!$A$6:$A$10008,$H$2,PURCHASE!$H$6:$H$10008,$A$4:$A$2700)</f>
        <v>0</v>
      </c>
      <c r="J178" s="512">
        <f>SUMIFS(PURCHASE!$L$6:$L$10008,PURCHASE!$A$6:$A$10008,$H$2,PURCHASE!$H$6:$H$10008,$A$4:$A$2700)</f>
        <v>0</v>
      </c>
      <c r="K178" s="512">
        <f>SUMIFS(PURCHASE!$M$6:$M$10008,PURCHASE!$A$6:$A$10008,$H$2,PURCHASE!$H$6:$H$10008,$A$4:$A$2700)</f>
        <v>0</v>
      </c>
      <c r="L178" s="512">
        <f>SUMIFS(PURCHASE!$N$6:$N$10008,PURCHASE!$A$6:$A$10008,$H$2,PURCHASE!$H$6:$H$10008,$A$4:$A$2700)</f>
        <v>0</v>
      </c>
      <c r="M178" s="512">
        <f t="shared" si="47"/>
        <v>472</v>
      </c>
      <c r="N178" s="512">
        <f>SUMIFS(PURCHASE!$K$6:$K$10008,PURCHASE!$A$6:$A$10008,$M$2,PURCHASE!$H$6:$H$10008,$A$4:$A$2700)</f>
        <v>400</v>
      </c>
      <c r="O178" s="512">
        <f>SUMIFS(PURCHASE!$L$6:$L$10008,PURCHASE!$A$6:$A$10008,$M$2,PURCHASE!$H$6:$H$10008,$A$4:$A$2700)</f>
        <v>0</v>
      </c>
      <c r="P178" s="512">
        <f>SUMIFS(PURCHASE!$M$6:$M$10008,PURCHASE!$A$6:$A$10008,$M$2,PURCHASE!$H$6:$H$10008,$A$4:$A$2700)</f>
        <v>36</v>
      </c>
      <c r="Q178" s="512">
        <f>SUMIFS(PURCHASE!$N$6:$N$10008,PURCHASE!$A$6:$A$10008,$M$2,PURCHASE!$H$6:$H$10008,$A$4:$A$2700)</f>
        <v>36</v>
      </c>
      <c r="R178" s="512">
        <f t="shared" si="48"/>
        <v>0</v>
      </c>
      <c r="S178" s="512">
        <f>SUMIFS(PURCHASE!$K$6:$K$10008,PURCHASE!$A$6:$A$10008,$R$2,PURCHASE!$H$6:$H$10008,$A$4:$A$2700)</f>
        <v>0</v>
      </c>
      <c r="T178" s="512">
        <f>SUMIFS(PURCHASE!$L$6:$L$10008,PURCHASE!$A$6:$A$10008,$R$2,PURCHASE!$H$6:$H$10008,$A$4:$A$2700)</f>
        <v>0</v>
      </c>
      <c r="U178" s="512">
        <f>SUMIFS(PURCHASE!$M$6:$M$10008,PURCHASE!$A$6:$A$10008,$R$2,PURCHASE!$H$6:$H$10008,$A$4:$A$2700)</f>
        <v>0</v>
      </c>
      <c r="V178" s="512">
        <f>SUMIFS(PURCHASE!$N$6:$N$10008,PURCHASE!$A$6:$A$10008,$R$2,PURCHASE!$H$6:$H$10008,$A$4:$A$2700)</f>
        <v>0</v>
      </c>
      <c r="W178" s="512">
        <f t="shared" si="49"/>
        <v>0</v>
      </c>
      <c r="X178" s="512">
        <f>SUMIFS(PURCHASE!$K$6:$K$10008,PURCHASE!$A$6:$A$10008,$W$2,PURCHASE!$H$6:$H$10008,$A$4:$A$2700)</f>
        <v>0</v>
      </c>
      <c r="Y178" s="512">
        <f>SUMIFS(PURCHASE!$L$6:$L$10008,PURCHASE!$A$6:$A$10008,$W$2,PURCHASE!$H$6:$H$10008,$A$4:$A$2700)</f>
        <v>0</v>
      </c>
      <c r="Z178" s="512">
        <f>SUMIFS(PURCHASE!$M$6:$M$10008,PURCHASE!$A$6:$A$10008,$W$2,PURCHASE!$H$6:$H$10008,$A$4:$A$2700)</f>
        <v>0</v>
      </c>
      <c r="AA178" s="512">
        <f>SUMIFS(PURCHASE!$N$6:$N$10008,PURCHASE!$A$6:$A$10008,$W$2,PURCHASE!$H$6:$H$10008,$A$4:$A$2700)</f>
        <v>0</v>
      </c>
      <c r="AB178" s="512">
        <f t="shared" si="50"/>
        <v>0</v>
      </c>
      <c r="AC178" s="512">
        <f>SUMIFS(PURCHASE!$K$6:$K$10008,PURCHASE!$A$6:$A$10008,$AB$2,PURCHASE!$H$6:$H$10008,$A$4:$A$2700)</f>
        <v>0</v>
      </c>
      <c r="AD178" s="512">
        <f>SUMIFS(PURCHASE!$L$6:$L$10008,PURCHASE!$A$6:$A$10008,$AB$2,PURCHASE!$H$6:$H$10008,$A$4:$A$2700)</f>
        <v>0</v>
      </c>
      <c r="AE178" s="512">
        <f>SUMIFS(PURCHASE!$M$6:$M$10008,PURCHASE!$A$6:$A$10008,$AB$2,PURCHASE!$H$6:$H$10008,$A$4:$A$2700)</f>
        <v>0</v>
      </c>
      <c r="AF178" s="512">
        <f>SUMIFS(PURCHASE!$N$6:$N$10008,PURCHASE!$A$6:$A$10008,$AB$2,PURCHASE!$H$6:$H$10008,$A$4:$A$2700)</f>
        <v>0</v>
      </c>
      <c r="AG178" s="512">
        <f t="shared" si="51"/>
        <v>0</v>
      </c>
      <c r="AH178" s="512">
        <f>SUMIFS(PURCHASE!$K$6:$K$10008,PURCHASE!$A$6:$A$10008,$AG$2,PURCHASE!$H$6:$H$10008,$A$4:$A$2700)</f>
        <v>0</v>
      </c>
      <c r="AI178" s="512">
        <f>SUMIFS(PURCHASE!$L$6:$L$10008,PURCHASE!$A$6:$A$10008,$AG$2,PURCHASE!$H$6:$H$10008,$A$4:$A$2700)</f>
        <v>0</v>
      </c>
      <c r="AJ178" s="512">
        <f>SUMIFS(PURCHASE!$M$6:$M$10008,PURCHASE!$A$6:$A$10008,$AG$2,PURCHASE!$H$6:$H$10008,$A$4:$A$2700)</f>
        <v>0</v>
      </c>
      <c r="AK178" s="512">
        <f>SUMIFS(PURCHASE!$N$6:$N$10008,PURCHASE!$A$6:$A$10008,$AG$2,PURCHASE!$H$6:$H$10008,$A$4:$A$2700)</f>
        <v>0</v>
      </c>
      <c r="AL178" s="512">
        <f t="shared" si="52"/>
        <v>0</v>
      </c>
      <c r="AM178" s="512">
        <f>SUMIFS(PURCHASE!$K$6:$K$10008,PURCHASE!$A$6:$A$10008,$AL$2,PURCHASE!$H$6:$H$10008,$A$4:$A$2700)</f>
        <v>0</v>
      </c>
      <c r="AN178" s="512">
        <f>SUMIFS(PURCHASE!$L$6:$L$10008,PURCHASE!$A$6:$A$10008,$AL$2,PURCHASE!$H$6:$H$10008,$A$4:$A$2700)</f>
        <v>0</v>
      </c>
      <c r="AO178" s="512">
        <f>SUMIFS(PURCHASE!$M$6:$M$10008,PURCHASE!$A$6:$A$10008,$AL$2,PURCHASE!$H$6:$H$10008,$A$4:$A$2700)</f>
        <v>0</v>
      </c>
      <c r="AP178" s="512">
        <f>SUMIFS(PURCHASE!$N$6:$N$10008,PURCHASE!$A$6:$A$10008,$AL$2,PURCHASE!$H$6:$H$10008,$A$4:$A$2700)</f>
        <v>0</v>
      </c>
      <c r="AQ178" s="512">
        <f t="shared" si="53"/>
        <v>0</v>
      </c>
      <c r="AR178" s="512">
        <f>SUMIFS(PURCHASE!$K$6:$K$10008,PURCHASE!$A$6:$A$10008,$AQ$2,PURCHASE!$H$6:$H$10008,$A$4:$A$2700)</f>
        <v>0</v>
      </c>
      <c r="AS178" s="512">
        <f>SUMIFS(PURCHASE!$L$6:$L$10008,PURCHASE!$A$6:$A$10008,$AQ$2,PURCHASE!$H$6:$H$10008,$A$4:$A$2700)</f>
        <v>0</v>
      </c>
      <c r="AT178" s="512">
        <f>SUMIFS(PURCHASE!$M$6:$M$10008,PURCHASE!$A$6:$A$10008,$AQ$2,PURCHASE!$H$6:$H$10008,$A$4:$A$2700)</f>
        <v>0</v>
      </c>
      <c r="AU178" s="512">
        <f>SUMIFS(PURCHASE!$N$6:$N$10008,PURCHASE!$A$6:$A$10008,$AQ$2,PURCHASE!$H$6:$H$10008,$A$4:$A$2700)</f>
        <v>0</v>
      </c>
      <c r="AV178" s="512">
        <f t="shared" si="54"/>
        <v>0</v>
      </c>
      <c r="AW178" s="512">
        <f>SUMIFS(PURCHASE!$K$6:$K$10008,PURCHASE!$A$6:$A$10008,$AV$2,PURCHASE!$H$6:$H$10008,$A$4:$A$2700)</f>
        <v>0</v>
      </c>
      <c r="AX178" s="512">
        <f>SUMIFS(PURCHASE!$L$6:$L$10008,PURCHASE!$A$6:$A$10008,$AV$2,PURCHASE!$H$6:$H$10008,$A$4:$A$2700)</f>
        <v>0</v>
      </c>
      <c r="AY178" s="512">
        <f>SUMIFS(PURCHASE!$M$6:$M$10008,PURCHASE!$A$6:$A$10008,$AV$2,PURCHASE!$H$6:$H$10008,$A$4:$A$2700)</f>
        <v>0</v>
      </c>
      <c r="AZ178" s="512">
        <f>SUMIFS(PURCHASE!$N$6:$N$10008,PURCHASE!$A$6:$A$10008,$AV$2,PURCHASE!$H$6:$H$10008,$A$4:$A$2700)</f>
        <v>0</v>
      </c>
      <c r="BA178" s="512">
        <f t="shared" si="55"/>
        <v>0</v>
      </c>
      <c r="BB178" s="512">
        <f>SUMIFS(PURCHASE!$K$6:$K$10008,PURCHASE!$A$6:$A$10008,$BA$2,PURCHASE!$H$6:$H$10008,$A$4:$A$2700)</f>
        <v>0</v>
      </c>
      <c r="BC178" s="512">
        <f>SUMIFS(PURCHASE!$L$6:$L$10008,PURCHASE!$A$6:$A$10008,$BA$2,PURCHASE!$H$6:$H$10008,$A$4:$A$2700)</f>
        <v>0</v>
      </c>
      <c r="BD178" s="512">
        <f>SUMIFS(PURCHASE!$M$6:$M$10008,PURCHASE!$A$6:$A$10008,$BA$2,PURCHASE!$H$6:$H$10008,$A$4:$A$2700)</f>
        <v>0</v>
      </c>
      <c r="BE178" s="512">
        <f>SUMIFS(PURCHASE!$N$6:$N$10008,PURCHASE!$A$6:$A$10008,$BA$2,PURCHASE!$H$6:$H$10008,$A$4:$A$2700)</f>
        <v>0</v>
      </c>
      <c r="BF178" s="512">
        <f t="shared" si="56"/>
        <v>0</v>
      </c>
      <c r="BG178" s="512">
        <f>SUMIFS(PURCHASE!$K$6:$K$10008,PURCHASE!$A$6:$A$10008,$BF$2,PURCHASE!$H$6:$H$10008,$A$4:$A$2700)</f>
        <v>0</v>
      </c>
      <c r="BH178" s="512">
        <f>SUMIFS(PURCHASE!$L$6:$L$10008,PURCHASE!$A$6:$A$10008,$BF$2,PURCHASE!$H$6:$H$10008,$A$4:$A$2700)</f>
        <v>0</v>
      </c>
      <c r="BI178" s="512">
        <f>SUMIFS(PURCHASE!$M$6:$M$10008,PURCHASE!$A$6:$A$10008,$BF$2,PURCHASE!$H$6:$H$10008,$A$4:$A$2700)</f>
        <v>0</v>
      </c>
      <c r="BJ178" s="512">
        <f>SUMIFS(PURCHASE!$N$6:$N$10008,PURCHASE!$A$6:$A$10008,$BF$2,PURCHASE!$H$6:$H$10008,$A$4:$A$2700)</f>
        <v>0</v>
      </c>
      <c r="BK178" s="72">
        <f t="shared" si="40"/>
        <v>944</v>
      </c>
      <c r="BL178" s="72">
        <f t="shared" si="41"/>
        <v>800</v>
      </c>
      <c r="BM178" s="72">
        <f t="shared" si="42"/>
        <v>0</v>
      </c>
      <c r="BN178" s="72">
        <f t="shared" si="43"/>
        <v>72</v>
      </c>
      <c r="BO178" s="72">
        <f t="shared" si="44"/>
        <v>72</v>
      </c>
    </row>
    <row r="179" spans="1:67" x14ac:dyDescent="0.2">
      <c r="A179" s="511">
        <v>96081019</v>
      </c>
      <c r="B179" s="467" t="s">
        <v>1316</v>
      </c>
      <c r="C179" s="512">
        <f t="shared" si="45"/>
        <v>59.584000000000003</v>
      </c>
      <c r="D179" s="512">
        <f>SUMIFS(PURCHASE!$K$6:$K$10008,PURCHASE!$A$6:$A$10008,$M$2,PURCHASE!$H$6:$H$10008,$A$4:$A$2700)</f>
        <v>53.2</v>
      </c>
      <c r="E179" s="512">
        <f>SUMIFS(PURCHASE!$L$6:$L$10008,PURCHASE!$A$6:$A$10008,$M$2,PURCHASE!$H$6:$H$10008,$A$4:$A$2700)</f>
        <v>0</v>
      </c>
      <c r="F179" s="512">
        <f>SUMIFS(PURCHASE!$M$6:$M$10008,PURCHASE!$A$6:$A$10008,$M$2,PURCHASE!$H$6:$H$10008,$A$4:$A$2700)</f>
        <v>3.1920000000000002</v>
      </c>
      <c r="G179" s="512">
        <f>SUMIFS(PURCHASE!$N$6:$N$10008,PURCHASE!$A$6:$A$10008,$M$2,PURCHASE!$H$6:$H$10008,$A$4:$A$2700)</f>
        <v>3.1920000000000002</v>
      </c>
      <c r="H179" s="512">
        <f t="shared" si="46"/>
        <v>0</v>
      </c>
      <c r="I179" s="512">
        <f>SUMIFS(PURCHASE!$K$6:$K$10008,PURCHASE!$A$6:$A$10008,$H$2,PURCHASE!$H$6:$H$10008,$A$4:$A$2700)</f>
        <v>0</v>
      </c>
      <c r="J179" s="512">
        <f>SUMIFS(PURCHASE!$L$6:$L$10008,PURCHASE!$A$6:$A$10008,$H$2,PURCHASE!$H$6:$H$10008,$A$4:$A$2700)</f>
        <v>0</v>
      </c>
      <c r="K179" s="512">
        <f>SUMIFS(PURCHASE!$M$6:$M$10008,PURCHASE!$A$6:$A$10008,$H$2,PURCHASE!$H$6:$H$10008,$A$4:$A$2700)</f>
        <v>0</v>
      </c>
      <c r="L179" s="512">
        <f>SUMIFS(PURCHASE!$N$6:$N$10008,PURCHASE!$A$6:$A$10008,$H$2,PURCHASE!$H$6:$H$10008,$A$4:$A$2700)</f>
        <v>0</v>
      </c>
      <c r="M179" s="512">
        <f t="shared" si="47"/>
        <v>59.584000000000003</v>
      </c>
      <c r="N179" s="512">
        <f>SUMIFS(PURCHASE!$K$6:$K$10008,PURCHASE!$A$6:$A$10008,$M$2,PURCHASE!$H$6:$H$10008,$A$4:$A$2700)</f>
        <v>53.2</v>
      </c>
      <c r="O179" s="512">
        <f>SUMIFS(PURCHASE!$L$6:$L$10008,PURCHASE!$A$6:$A$10008,$M$2,PURCHASE!$H$6:$H$10008,$A$4:$A$2700)</f>
        <v>0</v>
      </c>
      <c r="P179" s="512">
        <f>SUMIFS(PURCHASE!$M$6:$M$10008,PURCHASE!$A$6:$A$10008,$M$2,PURCHASE!$H$6:$H$10008,$A$4:$A$2700)</f>
        <v>3.1920000000000002</v>
      </c>
      <c r="Q179" s="512">
        <f>SUMIFS(PURCHASE!$N$6:$N$10008,PURCHASE!$A$6:$A$10008,$M$2,PURCHASE!$H$6:$H$10008,$A$4:$A$2700)</f>
        <v>3.1920000000000002</v>
      </c>
      <c r="R179" s="512">
        <f t="shared" si="48"/>
        <v>0</v>
      </c>
      <c r="S179" s="512">
        <f>SUMIFS(PURCHASE!$K$6:$K$10008,PURCHASE!$A$6:$A$10008,$R$2,PURCHASE!$H$6:$H$10008,$A$4:$A$2700)</f>
        <v>0</v>
      </c>
      <c r="T179" s="512">
        <f>SUMIFS(PURCHASE!$L$6:$L$10008,PURCHASE!$A$6:$A$10008,$R$2,PURCHASE!$H$6:$H$10008,$A$4:$A$2700)</f>
        <v>0</v>
      </c>
      <c r="U179" s="512">
        <f>SUMIFS(PURCHASE!$M$6:$M$10008,PURCHASE!$A$6:$A$10008,$R$2,PURCHASE!$H$6:$H$10008,$A$4:$A$2700)</f>
        <v>0</v>
      </c>
      <c r="V179" s="512">
        <f>SUMIFS(PURCHASE!$N$6:$N$10008,PURCHASE!$A$6:$A$10008,$R$2,PURCHASE!$H$6:$H$10008,$A$4:$A$2700)</f>
        <v>0</v>
      </c>
      <c r="W179" s="512">
        <f t="shared" si="49"/>
        <v>59.584000000000003</v>
      </c>
      <c r="X179" s="512">
        <f>SUMIFS(PURCHASE!$K$6:$K$10008,PURCHASE!$A$6:$A$10008,$W$2,PURCHASE!$H$6:$H$10008,$A$4:$A$2700)</f>
        <v>53.2</v>
      </c>
      <c r="Y179" s="512">
        <f>SUMIFS(PURCHASE!$L$6:$L$10008,PURCHASE!$A$6:$A$10008,$W$2,PURCHASE!$H$6:$H$10008,$A$4:$A$2700)</f>
        <v>0</v>
      </c>
      <c r="Z179" s="512">
        <f>SUMIFS(PURCHASE!$M$6:$M$10008,PURCHASE!$A$6:$A$10008,$W$2,PURCHASE!$H$6:$H$10008,$A$4:$A$2700)</f>
        <v>3.1920000000000002</v>
      </c>
      <c r="AA179" s="512">
        <f>SUMIFS(PURCHASE!$N$6:$N$10008,PURCHASE!$A$6:$A$10008,$W$2,PURCHASE!$H$6:$H$10008,$A$4:$A$2700)</f>
        <v>3.1920000000000002</v>
      </c>
      <c r="AB179" s="512">
        <f t="shared" si="50"/>
        <v>0</v>
      </c>
      <c r="AC179" s="512">
        <f>SUMIFS(PURCHASE!$K$6:$K$10008,PURCHASE!$A$6:$A$10008,$AB$2,PURCHASE!$H$6:$H$10008,$A$4:$A$2700)</f>
        <v>0</v>
      </c>
      <c r="AD179" s="512">
        <f>SUMIFS(PURCHASE!$L$6:$L$10008,PURCHASE!$A$6:$A$10008,$AB$2,PURCHASE!$H$6:$H$10008,$A$4:$A$2700)</f>
        <v>0</v>
      </c>
      <c r="AE179" s="512">
        <f>SUMIFS(PURCHASE!$M$6:$M$10008,PURCHASE!$A$6:$A$10008,$AB$2,PURCHASE!$H$6:$H$10008,$A$4:$A$2700)</f>
        <v>0</v>
      </c>
      <c r="AF179" s="512">
        <f>SUMIFS(PURCHASE!$N$6:$N$10008,PURCHASE!$A$6:$A$10008,$AB$2,PURCHASE!$H$6:$H$10008,$A$4:$A$2700)</f>
        <v>0</v>
      </c>
      <c r="AG179" s="512">
        <f t="shared" si="51"/>
        <v>0</v>
      </c>
      <c r="AH179" s="512">
        <f>SUMIFS(PURCHASE!$K$6:$K$10008,PURCHASE!$A$6:$A$10008,$AG$2,PURCHASE!$H$6:$H$10008,$A$4:$A$2700)</f>
        <v>0</v>
      </c>
      <c r="AI179" s="512">
        <f>SUMIFS(PURCHASE!$L$6:$L$10008,PURCHASE!$A$6:$A$10008,$AG$2,PURCHASE!$H$6:$H$10008,$A$4:$A$2700)</f>
        <v>0</v>
      </c>
      <c r="AJ179" s="512">
        <f>SUMIFS(PURCHASE!$M$6:$M$10008,PURCHASE!$A$6:$A$10008,$AG$2,PURCHASE!$H$6:$H$10008,$A$4:$A$2700)</f>
        <v>0</v>
      </c>
      <c r="AK179" s="512">
        <f>SUMIFS(PURCHASE!$N$6:$N$10008,PURCHASE!$A$6:$A$10008,$AG$2,PURCHASE!$H$6:$H$10008,$A$4:$A$2700)</f>
        <v>0</v>
      </c>
      <c r="AL179" s="512">
        <f t="shared" si="52"/>
        <v>59.584000000000003</v>
      </c>
      <c r="AM179" s="512">
        <f>SUMIFS(PURCHASE!$K$6:$K$10008,PURCHASE!$A$6:$A$10008,$AL$2,PURCHASE!$H$6:$H$10008,$A$4:$A$2700)</f>
        <v>53.2</v>
      </c>
      <c r="AN179" s="512">
        <f>SUMIFS(PURCHASE!$L$6:$L$10008,PURCHASE!$A$6:$A$10008,$AL$2,PURCHASE!$H$6:$H$10008,$A$4:$A$2700)</f>
        <v>0</v>
      </c>
      <c r="AO179" s="512">
        <f>SUMIFS(PURCHASE!$M$6:$M$10008,PURCHASE!$A$6:$A$10008,$AL$2,PURCHASE!$H$6:$H$10008,$A$4:$A$2700)</f>
        <v>3.1920000000000002</v>
      </c>
      <c r="AP179" s="512">
        <f>SUMIFS(PURCHASE!$N$6:$N$10008,PURCHASE!$A$6:$A$10008,$AL$2,PURCHASE!$H$6:$H$10008,$A$4:$A$2700)</f>
        <v>3.1920000000000002</v>
      </c>
      <c r="AQ179" s="512">
        <f t="shared" si="53"/>
        <v>0</v>
      </c>
      <c r="AR179" s="512">
        <f>SUMIFS(PURCHASE!$K$6:$K$10008,PURCHASE!$A$6:$A$10008,$AQ$2,PURCHASE!$H$6:$H$10008,$A$4:$A$2700)</f>
        <v>0</v>
      </c>
      <c r="AS179" s="512">
        <f>SUMIFS(PURCHASE!$L$6:$L$10008,PURCHASE!$A$6:$A$10008,$AQ$2,PURCHASE!$H$6:$H$10008,$A$4:$A$2700)</f>
        <v>0</v>
      </c>
      <c r="AT179" s="512">
        <f>SUMIFS(PURCHASE!$M$6:$M$10008,PURCHASE!$A$6:$A$10008,$AQ$2,PURCHASE!$H$6:$H$10008,$A$4:$A$2700)</f>
        <v>0</v>
      </c>
      <c r="AU179" s="512">
        <f>SUMIFS(PURCHASE!$N$6:$N$10008,PURCHASE!$A$6:$A$10008,$AQ$2,PURCHASE!$H$6:$H$10008,$A$4:$A$2700)</f>
        <v>0</v>
      </c>
      <c r="AV179" s="512">
        <f t="shared" si="54"/>
        <v>0</v>
      </c>
      <c r="AW179" s="512">
        <f>SUMIFS(PURCHASE!$K$6:$K$10008,PURCHASE!$A$6:$A$10008,$AV$2,PURCHASE!$H$6:$H$10008,$A$4:$A$2700)</f>
        <v>0</v>
      </c>
      <c r="AX179" s="512">
        <f>SUMIFS(PURCHASE!$L$6:$L$10008,PURCHASE!$A$6:$A$10008,$AV$2,PURCHASE!$H$6:$H$10008,$A$4:$A$2700)</f>
        <v>0</v>
      </c>
      <c r="AY179" s="512">
        <f>SUMIFS(PURCHASE!$M$6:$M$10008,PURCHASE!$A$6:$A$10008,$AV$2,PURCHASE!$H$6:$H$10008,$A$4:$A$2700)</f>
        <v>0</v>
      </c>
      <c r="AZ179" s="512">
        <f>SUMIFS(PURCHASE!$N$6:$N$10008,PURCHASE!$A$6:$A$10008,$AV$2,PURCHASE!$H$6:$H$10008,$A$4:$A$2700)</f>
        <v>0</v>
      </c>
      <c r="BA179" s="512">
        <f t="shared" si="55"/>
        <v>0</v>
      </c>
      <c r="BB179" s="512">
        <f>SUMIFS(PURCHASE!$K$6:$K$10008,PURCHASE!$A$6:$A$10008,$BA$2,PURCHASE!$H$6:$H$10008,$A$4:$A$2700)</f>
        <v>0</v>
      </c>
      <c r="BC179" s="512">
        <f>SUMIFS(PURCHASE!$L$6:$L$10008,PURCHASE!$A$6:$A$10008,$BA$2,PURCHASE!$H$6:$H$10008,$A$4:$A$2700)</f>
        <v>0</v>
      </c>
      <c r="BD179" s="512">
        <f>SUMIFS(PURCHASE!$M$6:$M$10008,PURCHASE!$A$6:$A$10008,$BA$2,PURCHASE!$H$6:$H$10008,$A$4:$A$2700)</f>
        <v>0</v>
      </c>
      <c r="BE179" s="512">
        <f>SUMIFS(PURCHASE!$N$6:$N$10008,PURCHASE!$A$6:$A$10008,$BA$2,PURCHASE!$H$6:$H$10008,$A$4:$A$2700)</f>
        <v>0</v>
      </c>
      <c r="BF179" s="512">
        <f t="shared" si="56"/>
        <v>0</v>
      </c>
      <c r="BG179" s="512">
        <f>SUMIFS(PURCHASE!$K$6:$K$10008,PURCHASE!$A$6:$A$10008,$BF$2,PURCHASE!$H$6:$H$10008,$A$4:$A$2700)</f>
        <v>0</v>
      </c>
      <c r="BH179" s="512">
        <f>SUMIFS(PURCHASE!$L$6:$L$10008,PURCHASE!$A$6:$A$10008,$BF$2,PURCHASE!$H$6:$H$10008,$A$4:$A$2700)</f>
        <v>0</v>
      </c>
      <c r="BI179" s="512">
        <f>SUMIFS(PURCHASE!$M$6:$M$10008,PURCHASE!$A$6:$A$10008,$BF$2,PURCHASE!$H$6:$H$10008,$A$4:$A$2700)</f>
        <v>0</v>
      </c>
      <c r="BJ179" s="512">
        <f>SUMIFS(PURCHASE!$N$6:$N$10008,PURCHASE!$A$6:$A$10008,$BF$2,PURCHASE!$H$6:$H$10008,$A$4:$A$2700)</f>
        <v>0</v>
      </c>
      <c r="BK179" s="72">
        <f t="shared" si="40"/>
        <v>238.33600000000001</v>
      </c>
      <c r="BL179" s="72">
        <f t="shared" si="41"/>
        <v>212.8</v>
      </c>
      <c r="BM179" s="72">
        <f t="shared" si="42"/>
        <v>0</v>
      </c>
      <c r="BN179" s="72">
        <f t="shared" si="43"/>
        <v>12.768000000000001</v>
      </c>
      <c r="BO179" s="72">
        <f t="shared" si="44"/>
        <v>12.768000000000001</v>
      </c>
    </row>
    <row r="180" spans="1:67" x14ac:dyDescent="0.2">
      <c r="A180" s="511">
        <v>999432</v>
      </c>
      <c r="B180" s="467" t="s">
        <v>1317</v>
      </c>
      <c r="C180" s="512">
        <f t="shared" si="45"/>
        <v>29012.660000000003</v>
      </c>
      <c r="D180" s="512">
        <f>SUMIFS(PURCHASE!$K$6:$K$10008,PURCHASE!$A$6:$A$10008,$M$2,PURCHASE!$H$6:$H$10008,$A$4:$A$2700)</f>
        <v>24587</v>
      </c>
      <c r="E180" s="512">
        <f>SUMIFS(PURCHASE!$L$6:$L$10008,PURCHASE!$A$6:$A$10008,$M$2,PURCHASE!$H$6:$H$10008,$A$4:$A$2700)</f>
        <v>0</v>
      </c>
      <c r="F180" s="512">
        <f>SUMIFS(PURCHASE!$M$6:$M$10008,PURCHASE!$A$6:$A$10008,$M$2,PURCHASE!$H$6:$H$10008,$A$4:$A$2700)</f>
        <v>2212.83</v>
      </c>
      <c r="G180" s="512">
        <f>SUMIFS(PURCHASE!$N$6:$N$10008,PURCHASE!$A$6:$A$10008,$M$2,PURCHASE!$H$6:$H$10008,$A$4:$A$2700)</f>
        <v>2212.83</v>
      </c>
      <c r="H180" s="512">
        <f t="shared" si="46"/>
        <v>0</v>
      </c>
      <c r="I180" s="512">
        <f>SUMIFS(PURCHASE!$K$6:$K$10008,PURCHASE!$A$6:$A$10008,$H$2,PURCHASE!$H$6:$H$10008,$A$4:$A$2700)</f>
        <v>0</v>
      </c>
      <c r="J180" s="512">
        <f>SUMIFS(PURCHASE!$L$6:$L$10008,PURCHASE!$A$6:$A$10008,$H$2,PURCHASE!$H$6:$H$10008,$A$4:$A$2700)</f>
        <v>0</v>
      </c>
      <c r="K180" s="512">
        <f>SUMIFS(PURCHASE!$M$6:$M$10008,PURCHASE!$A$6:$A$10008,$H$2,PURCHASE!$H$6:$H$10008,$A$4:$A$2700)</f>
        <v>0</v>
      </c>
      <c r="L180" s="512">
        <f>SUMIFS(PURCHASE!$N$6:$N$10008,PURCHASE!$A$6:$A$10008,$H$2,PURCHASE!$H$6:$H$10008,$A$4:$A$2700)</f>
        <v>0</v>
      </c>
      <c r="M180" s="512">
        <f t="shared" si="47"/>
        <v>29012.660000000003</v>
      </c>
      <c r="N180" s="512">
        <f>SUMIFS(PURCHASE!$K$6:$K$10008,PURCHASE!$A$6:$A$10008,$M$2,PURCHASE!$H$6:$H$10008,$A$4:$A$2700)</f>
        <v>24587</v>
      </c>
      <c r="O180" s="512">
        <f>SUMIFS(PURCHASE!$L$6:$L$10008,PURCHASE!$A$6:$A$10008,$M$2,PURCHASE!$H$6:$H$10008,$A$4:$A$2700)</f>
        <v>0</v>
      </c>
      <c r="P180" s="512">
        <f>SUMIFS(PURCHASE!$M$6:$M$10008,PURCHASE!$A$6:$A$10008,$M$2,PURCHASE!$H$6:$H$10008,$A$4:$A$2700)</f>
        <v>2212.83</v>
      </c>
      <c r="Q180" s="512">
        <f>SUMIFS(PURCHASE!$N$6:$N$10008,PURCHASE!$A$6:$A$10008,$M$2,PURCHASE!$H$6:$H$10008,$A$4:$A$2700)</f>
        <v>2212.83</v>
      </c>
      <c r="R180" s="512">
        <f t="shared" si="48"/>
        <v>0</v>
      </c>
      <c r="S180" s="512">
        <f>SUMIFS(PURCHASE!$K$6:$K$10008,PURCHASE!$A$6:$A$10008,$R$2,PURCHASE!$H$6:$H$10008,$A$4:$A$2700)</f>
        <v>0</v>
      </c>
      <c r="T180" s="512">
        <f>SUMIFS(PURCHASE!$L$6:$L$10008,PURCHASE!$A$6:$A$10008,$R$2,PURCHASE!$H$6:$H$10008,$A$4:$A$2700)</f>
        <v>0</v>
      </c>
      <c r="U180" s="512">
        <f>SUMIFS(PURCHASE!$M$6:$M$10008,PURCHASE!$A$6:$A$10008,$R$2,PURCHASE!$H$6:$H$10008,$A$4:$A$2700)</f>
        <v>0</v>
      </c>
      <c r="V180" s="512">
        <f>SUMIFS(PURCHASE!$N$6:$N$10008,PURCHASE!$A$6:$A$10008,$R$2,PURCHASE!$H$6:$H$10008,$A$4:$A$2700)</f>
        <v>0</v>
      </c>
      <c r="W180" s="512">
        <f t="shared" si="49"/>
        <v>0</v>
      </c>
      <c r="X180" s="512">
        <f>SUMIFS(PURCHASE!$K$6:$K$10008,PURCHASE!$A$6:$A$10008,$W$2,PURCHASE!$H$6:$H$10008,$A$4:$A$2700)</f>
        <v>0</v>
      </c>
      <c r="Y180" s="512">
        <f>SUMIFS(PURCHASE!$L$6:$L$10008,PURCHASE!$A$6:$A$10008,$W$2,PURCHASE!$H$6:$H$10008,$A$4:$A$2700)</f>
        <v>0</v>
      </c>
      <c r="Z180" s="512">
        <f>SUMIFS(PURCHASE!$M$6:$M$10008,PURCHASE!$A$6:$A$10008,$W$2,PURCHASE!$H$6:$H$10008,$A$4:$A$2700)</f>
        <v>0</v>
      </c>
      <c r="AA180" s="512">
        <f>SUMIFS(PURCHASE!$N$6:$N$10008,PURCHASE!$A$6:$A$10008,$W$2,PURCHASE!$H$6:$H$10008,$A$4:$A$2700)</f>
        <v>0</v>
      </c>
      <c r="AB180" s="512">
        <f t="shared" si="50"/>
        <v>0</v>
      </c>
      <c r="AC180" s="512">
        <f>SUMIFS(PURCHASE!$K$6:$K$10008,PURCHASE!$A$6:$A$10008,$AB$2,PURCHASE!$H$6:$H$10008,$A$4:$A$2700)</f>
        <v>0</v>
      </c>
      <c r="AD180" s="512">
        <f>SUMIFS(PURCHASE!$L$6:$L$10008,PURCHASE!$A$6:$A$10008,$AB$2,PURCHASE!$H$6:$H$10008,$A$4:$A$2700)</f>
        <v>0</v>
      </c>
      <c r="AE180" s="512">
        <f>SUMIFS(PURCHASE!$M$6:$M$10008,PURCHASE!$A$6:$A$10008,$AB$2,PURCHASE!$H$6:$H$10008,$A$4:$A$2700)</f>
        <v>0</v>
      </c>
      <c r="AF180" s="512">
        <f>SUMIFS(PURCHASE!$N$6:$N$10008,PURCHASE!$A$6:$A$10008,$AB$2,PURCHASE!$H$6:$H$10008,$A$4:$A$2700)</f>
        <v>0</v>
      </c>
      <c r="AG180" s="512">
        <f t="shared" si="51"/>
        <v>0</v>
      </c>
      <c r="AH180" s="512">
        <f>SUMIFS(PURCHASE!$K$6:$K$10008,PURCHASE!$A$6:$A$10008,$AG$2,PURCHASE!$H$6:$H$10008,$A$4:$A$2700)</f>
        <v>0</v>
      </c>
      <c r="AI180" s="512">
        <f>SUMIFS(PURCHASE!$L$6:$L$10008,PURCHASE!$A$6:$A$10008,$AG$2,PURCHASE!$H$6:$H$10008,$A$4:$A$2700)</f>
        <v>0</v>
      </c>
      <c r="AJ180" s="512">
        <f>SUMIFS(PURCHASE!$M$6:$M$10008,PURCHASE!$A$6:$A$10008,$AG$2,PURCHASE!$H$6:$H$10008,$A$4:$A$2700)</f>
        <v>0</v>
      </c>
      <c r="AK180" s="512">
        <f>SUMIFS(PURCHASE!$N$6:$N$10008,PURCHASE!$A$6:$A$10008,$AG$2,PURCHASE!$H$6:$H$10008,$A$4:$A$2700)</f>
        <v>0</v>
      </c>
      <c r="AL180" s="512">
        <f t="shared" si="52"/>
        <v>0</v>
      </c>
      <c r="AM180" s="512">
        <f>SUMIFS(PURCHASE!$K$6:$K$10008,PURCHASE!$A$6:$A$10008,$AL$2,PURCHASE!$H$6:$H$10008,$A$4:$A$2700)</f>
        <v>0</v>
      </c>
      <c r="AN180" s="512">
        <f>SUMIFS(PURCHASE!$L$6:$L$10008,PURCHASE!$A$6:$A$10008,$AL$2,PURCHASE!$H$6:$H$10008,$A$4:$A$2700)</f>
        <v>0</v>
      </c>
      <c r="AO180" s="512">
        <f>SUMIFS(PURCHASE!$M$6:$M$10008,PURCHASE!$A$6:$A$10008,$AL$2,PURCHASE!$H$6:$H$10008,$A$4:$A$2700)</f>
        <v>0</v>
      </c>
      <c r="AP180" s="512">
        <f>SUMIFS(PURCHASE!$N$6:$N$10008,PURCHASE!$A$6:$A$10008,$AL$2,PURCHASE!$H$6:$H$10008,$A$4:$A$2700)</f>
        <v>0</v>
      </c>
      <c r="AQ180" s="512">
        <f t="shared" si="53"/>
        <v>0</v>
      </c>
      <c r="AR180" s="512">
        <f>SUMIFS(PURCHASE!$K$6:$K$10008,PURCHASE!$A$6:$A$10008,$AQ$2,PURCHASE!$H$6:$H$10008,$A$4:$A$2700)</f>
        <v>0</v>
      </c>
      <c r="AS180" s="512">
        <f>SUMIFS(PURCHASE!$L$6:$L$10008,PURCHASE!$A$6:$A$10008,$AQ$2,PURCHASE!$H$6:$H$10008,$A$4:$A$2700)</f>
        <v>0</v>
      </c>
      <c r="AT180" s="512">
        <f>SUMIFS(PURCHASE!$M$6:$M$10008,PURCHASE!$A$6:$A$10008,$AQ$2,PURCHASE!$H$6:$H$10008,$A$4:$A$2700)</f>
        <v>0</v>
      </c>
      <c r="AU180" s="512">
        <f>SUMIFS(PURCHASE!$N$6:$N$10008,PURCHASE!$A$6:$A$10008,$AQ$2,PURCHASE!$H$6:$H$10008,$A$4:$A$2700)</f>
        <v>0</v>
      </c>
      <c r="AV180" s="512">
        <f t="shared" si="54"/>
        <v>0</v>
      </c>
      <c r="AW180" s="512">
        <f>SUMIFS(PURCHASE!$K$6:$K$10008,PURCHASE!$A$6:$A$10008,$AV$2,PURCHASE!$H$6:$H$10008,$A$4:$A$2700)</f>
        <v>0</v>
      </c>
      <c r="AX180" s="512">
        <f>SUMIFS(PURCHASE!$L$6:$L$10008,PURCHASE!$A$6:$A$10008,$AV$2,PURCHASE!$H$6:$H$10008,$A$4:$A$2700)</f>
        <v>0</v>
      </c>
      <c r="AY180" s="512">
        <f>SUMIFS(PURCHASE!$M$6:$M$10008,PURCHASE!$A$6:$A$10008,$AV$2,PURCHASE!$H$6:$H$10008,$A$4:$A$2700)</f>
        <v>0</v>
      </c>
      <c r="AZ180" s="512">
        <f>SUMIFS(PURCHASE!$N$6:$N$10008,PURCHASE!$A$6:$A$10008,$AV$2,PURCHASE!$H$6:$H$10008,$A$4:$A$2700)</f>
        <v>0</v>
      </c>
      <c r="BA180" s="512">
        <f t="shared" si="55"/>
        <v>0</v>
      </c>
      <c r="BB180" s="512">
        <f>SUMIFS(PURCHASE!$K$6:$K$10008,PURCHASE!$A$6:$A$10008,$BA$2,PURCHASE!$H$6:$H$10008,$A$4:$A$2700)</f>
        <v>0</v>
      </c>
      <c r="BC180" s="512">
        <f>SUMIFS(PURCHASE!$L$6:$L$10008,PURCHASE!$A$6:$A$10008,$BA$2,PURCHASE!$H$6:$H$10008,$A$4:$A$2700)</f>
        <v>0</v>
      </c>
      <c r="BD180" s="512">
        <f>SUMIFS(PURCHASE!$M$6:$M$10008,PURCHASE!$A$6:$A$10008,$BA$2,PURCHASE!$H$6:$H$10008,$A$4:$A$2700)</f>
        <v>0</v>
      </c>
      <c r="BE180" s="512">
        <f>SUMIFS(PURCHASE!$N$6:$N$10008,PURCHASE!$A$6:$A$10008,$BA$2,PURCHASE!$H$6:$H$10008,$A$4:$A$2700)</f>
        <v>0</v>
      </c>
      <c r="BF180" s="512">
        <f t="shared" si="56"/>
        <v>0</v>
      </c>
      <c r="BG180" s="512">
        <f>SUMIFS(PURCHASE!$K$6:$K$10008,PURCHASE!$A$6:$A$10008,$BF$2,PURCHASE!$H$6:$H$10008,$A$4:$A$2700)</f>
        <v>0</v>
      </c>
      <c r="BH180" s="512">
        <f>SUMIFS(PURCHASE!$L$6:$L$10008,PURCHASE!$A$6:$A$10008,$BF$2,PURCHASE!$H$6:$H$10008,$A$4:$A$2700)</f>
        <v>0</v>
      </c>
      <c r="BI180" s="512">
        <f>SUMIFS(PURCHASE!$M$6:$M$10008,PURCHASE!$A$6:$A$10008,$BF$2,PURCHASE!$H$6:$H$10008,$A$4:$A$2700)</f>
        <v>0</v>
      </c>
      <c r="BJ180" s="512">
        <f>SUMIFS(PURCHASE!$N$6:$N$10008,PURCHASE!$A$6:$A$10008,$BF$2,PURCHASE!$H$6:$H$10008,$A$4:$A$2700)</f>
        <v>0</v>
      </c>
      <c r="BK180" s="72">
        <f t="shared" si="40"/>
        <v>58025.320000000007</v>
      </c>
      <c r="BL180" s="72">
        <f t="shared" si="41"/>
        <v>49174</v>
      </c>
      <c r="BM180" s="72">
        <f t="shared" si="42"/>
        <v>0</v>
      </c>
      <c r="BN180" s="72">
        <f t="shared" si="43"/>
        <v>4425.66</v>
      </c>
      <c r="BO180" s="72">
        <f t="shared" si="44"/>
        <v>4425.66</v>
      </c>
    </row>
    <row r="181" spans="1:67" x14ac:dyDescent="0.2">
      <c r="A181" s="511">
        <v>32129090</v>
      </c>
      <c r="B181" s="467" t="s">
        <v>1318</v>
      </c>
      <c r="C181" s="512">
        <f t="shared" si="45"/>
        <v>6865.24</v>
      </c>
      <c r="D181" s="512">
        <f>SUMIFS(PURCHASE!$K$6:$K$10008,PURCHASE!$A$6:$A$10008,$M$2,PURCHASE!$H$6:$H$10008,$A$4:$A$2700)</f>
        <v>5818</v>
      </c>
      <c r="E181" s="512">
        <f>SUMIFS(PURCHASE!$L$6:$L$10008,PURCHASE!$A$6:$A$10008,$M$2,PURCHASE!$H$6:$H$10008,$A$4:$A$2700)</f>
        <v>457.92</v>
      </c>
      <c r="F181" s="512">
        <f>SUMIFS(PURCHASE!$M$6:$M$10008,PURCHASE!$A$6:$A$10008,$M$2,PURCHASE!$H$6:$H$10008,$A$4:$A$2700)</f>
        <v>294.65999999999997</v>
      </c>
      <c r="G181" s="512">
        <f>SUMIFS(PURCHASE!$N$6:$N$10008,PURCHASE!$A$6:$A$10008,$M$2,PURCHASE!$H$6:$H$10008,$A$4:$A$2700)</f>
        <v>294.65999999999997</v>
      </c>
      <c r="H181" s="512">
        <f t="shared" si="46"/>
        <v>0</v>
      </c>
      <c r="I181" s="512">
        <f>SUMIFS(PURCHASE!$K$6:$K$10008,PURCHASE!$A$6:$A$10008,$H$2,PURCHASE!$H$6:$H$10008,$A$4:$A$2700)</f>
        <v>0</v>
      </c>
      <c r="J181" s="512">
        <f>SUMIFS(PURCHASE!$L$6:$L$10008,PURCHASE!$A$6:$A$10008,$H$2,PURCHASE!$H$6:$H$10008,$A$4:$A$2700)</f>
        <v>0</v>
      </c>
      <c r="K181" s="512">
        <f>SUMIFS(PURCHASE!$M$6:$M$10008,PURCHASE!$A$6:$A$10008,$H$2,PURCHASE!$H$6:$H$10008,$A$4:$A$2700)</f>
        <v>0</v>
      </c>
      <c r="L181" s="512">
        <f>SUMIFS(PURCHASE!$N$6:$N$10008,PURCHASE!$A$6:$A$10008,$H$2,PURCHASE!$H$6:$H$10008,$A$4:$A$2700)</f>
        <v>0</v>
      </c>
      <c r="M181" s="512">
        <f t="shared" si="47"/>
        <v>6865.24</v>
      </c>
      <c r="N181" s="512">
        <f>SUMIFS(PURCHASE!$K$6:$K$10008,PURCHASE!$A$6:$A$10008,$M$2,PURCHASE!$H$6:$H$10008,$A$4:$A$2700)</f>
        <v>5818</v>
      </c>
      <c r="O181" s="512">
        <f>SUMIFS(PURCHASE!$L$6:$L$10008,PURCHASE!$A$6:$A$10008,$M$2,PURCHASE!$H$6:$H$10008,$A$4:$A$2700)</f>
        <v>457.92</v>
      </c>
      <c r="P181" s="512">
        <f>SUMIFS(PURCHASE!$M$6:$M$10008,PURCHASE!$A$6:$A$10008,$M$2,PURCHASE!$H$6:$H$10008,$A$4:$A$2700)</f>
        <v>294.65999999999997</v>
      </c>
      <c r="Q181" s="512">
        <f>SUMIFS(PURCHASE!$N$6:$N$10008,PURCHASE!$A$6:$A$10008,$M$2,PURCHASE!$H$6:$H$10008,$A$4:$A$2700)</f>
        <v>294.65999999999997</v>
      </c>
      <c r="R181" s="512">
        <f t="shared" si="48"/>
        <v>0</v>
      </c>
      <c r="S181" s="512">
        <f>SUMIFS(PURCHASE!$K$6:$K$10008,PURCHASE!$A$6:$A$10008,$R$2,PURCHASE!$H$6:$H$10008,$A$4:$A$2700)</f>
        <v>0</v>
      </c>
      <c r="T181" s="512">
        <f>SUMIFS(PURCHASE!$L$6:$L$10008,PURCHASE!$A$6:$A$10008,$R$2,PURCHASE!$H$6:$H$10008,$A$4:$A$2700)</f>
        <v>0</v>
      </c>
      <c r="U181" s="512">
        <f>SUMIFS(PURCHASE!$M$6:$M$10008,PURCHASE!$A$6:$A$10008,$R$2,PURCHASE!$H$6:$H$10008,$A$4:$A$2700)</f>
        <v>0</v>
      </c>
      <c r="V181" s="512">
        <f>SUMIFS(PURCHASE!$N$6:$N$10008,PURCHASE!$A$6:$A$10008,$R$2,PURCHASE!$H$6:$H$10008,$A$4:$A$2700)</f>
        <v>0</v>
      </c>
      <c r="W181" s="512">
        <f t="shared" si="49"/>
        <v>0</v>
      </c>
      <c r="X181" s="512">
        <f>SUMIFS(PURCHASE!$K$6:$K$10008,PURCHASE!$A$6:$A$10008,$W$2,PURCHASE!$H$6:$H$10008,$A$4:$A$2700)</f>
        <v>0</v>
      </c>
      <c r="Y181" s="512">
        <f>SUMIFS(PURCHASE!$L$6:$L$10008,PURCHASE!$A$6:$A$10008,$W$2,PURCHASE!$H$6:$H$10008,$A$4:$A$2700)</f>
        <v>0</v>
      </c>
      <c r="Z181" s="512">
        <f>SUMIFS(PURCHASE!$M$6:$M$10008,PURCHASE!$A$6:$A$10008,$W$2,PURCHASE!$H$6:$H$10008,$A$4:$A$2700)</f>
        <v>0</v>
      </c>
      <c r="AA181" s="512">
        <f>SUMIFS(PURCHASE!$N$6:$N$10008,PURCHASE!$A$6:$A$10008,$W$2,PURCHASE!$H$6:$H$10008,$A$4:$A$2700)</f>
        <v>0</v>
      </c>
      <c r="AB181" s="512">
        <f t="shared" si="50"/>
        <v>0</v>
      </c>
      <c r="AC181" s="512">
        <f>SUMIFS(PURCHASE!$K$6:$K$10008,PURCHASE!$A$6:$A$10008,$AB$2,PURCHASE!$H$6:$H$10008,$A$4:$A$2700)</f>
        <v>0</v>
      </c>
      <c r="AD181" s="512">
        <f>SUMIFS(PURCHASE!$L$6:$L$10008,PURCHASE!$A$6:$A$10008,$AB$2,PURCHASE!$H$6:$H$10008,$A$4:$A$2700)</f>
        <v>0</v>
      </c>
      <c r="AE181" s="512">
        <f>SUMIFS(PURCHASE!$M$6:$M$10008,PURCHASE!$A$6:$A$10008,$AB$2,PURCHASE!$H$6:$H$10008,$A$4:$A$2700)</f>
        <v>0</v>
      </c>
      <c r="AF181" s="512">
        <f>SUMIFS(PURCHASE!$N$6:$N$10008,PURCHASE!$A$6:$A$10008,$AB$2,PURCHASE!$H$6:$H$10008,$A$4:$A$2700)</f>
        <v>0</v>
      </c>
      <c r="AG181" s="512">
        <f t="shared" si="51"/>
        <v>0</v>
      </c>
      <c r="AH181" s="512">
        <f>SUMIFS(PURCHASE!$K$6:$K$10008,PURCHASE!$A$6:$A$10008,$AG$2,PURCHASE!$H$6:$H$10008,$A$4:$A$2700)</f>
        <v>0</v>
      </c>
      <c r="AI181" s="512">
        <f>SUMIFS(PURCHASE!$L$6:$L$10008,PURCHASE!$A$6:$A$10008,$AG$2,PURCHASE!$H$6:$H$10008,$A$4:$A$2700)</f>
        <v>0</v>
      </c>
      <c r="AJ181" s="512">
        <f>SUMIFS(PURCHASE!$M$6:$M$10008,PURCHASE!$A$6:$A$10008,$AG$2,PURCHASE!$H$6:$H$10008,$A$4:$A$2700)</f>
        <v>0</v>
      </c>
      <c r="AK181" s="512">
        <f>SUMIFS(PURCHASE!$N$6:$N$10008,PURCHASE!$A$6:$A$10008,$AG$2,PURCHASE!$H$6:$H$10008,$A$4:$A$2700)</f>
        <v>0</v>
      </c>
      <c r="AL181" s="512">
        <f t="shared" si="52"/>
        <v>0</v>
      </c>
      <c r="AM181" s="512">
        <f>SUMIFS(PURCHASE!$K$6:$K$10008,PURCHASE!$A$6:$A$10008,$AL$2,PURCHASE!$H$6:$H$10008,$A$4:$A$2700)</f>
        <v>0</v>
      </c>
      <c r="AN181" s="512">
        <f>SUMIFS(PURCHASE!$L$6:$L$10008,PURCHASE!$A$6:$A$10008,$AL$2,PURCHASE!$H$6:$H$10008,$A$4:$A$2700)</f>
        <v>0</v>
      </c>
      <c r="AO181" s="512">
        <f>SUMIFS(PURCHASE!$M$6:$M$10008,PURCHASE!$A$6:$A$10008,$AL$2,PURCHASE!$H$6:$H$10008,$A$4:$A$2700)</f>
        <v>0</v>
      </c>
      <c r="AP181" s="512">
        <f>SUMIFS(PURCHASE!$N$6:$N$10008,PURCHASE!$A$6:$A$10008,$AL$2,PURCHASE!$H$6:$H$10008,$A$4:$A$2700)</f>
        <v>0</v>
      </c>
      <c r="AQ181" s="512">
        <f t="shared" si="53"/>
        <v>0</v>
      </c>
      <c r="AR181" s="512">
        <f>SUMIFS(PURCHASE!$K$6:$K$10008,PURCHASE!$A$6:$A$10008,$AQ$2,PURCHASE!$H$6:$H$10008,$A$4:$A$2700)</f>
        <v>0</v>
      </c>
      <c r="AS181" s="512">
        <f>SUMIFS(PURCHASE!$L$6:$L$10008,PURCHASE!$A$6:$A$10008,$AQ$2,PURCHASE!$H$6:$H$10008,$A$4:$A$2700)</f>
        <v>0</v>
      </c>
      <c r="AT181" s="512">
        <f>SUMIFS(PURCHASE!$M$6:$M$10008,PURCHASE!$A$6:$A$10008,$AQ$2,PURCHASE!$H$6:$H$10008,$A$4:$A$2700)</f>
        <v>0</v>
      </c>
      <c r="AU181" s="512">
        <f>SUMIFS(PURCHASE!$N$6:$N$10008,PURCHASE!$A$6:$A$10008,$AQ$2,PURCHASE!$H$6:$H$10008,$A$4:$A$2700)</f>
        <v>0</v>
      </c>
      <c r="AV181" s="512">
        <f t="shared" si="54"/>
        <v>0</v>
      </c>
      <c r="AW181" s="512">
        <f>SUMIFS(PURCHASE!$K$6:$K$10008,PURCHASE!$A$6:$A$10008,$AV$2,PURCHASE!$H$6:$H$10008,$A$4:$A$2700)</f>
        <v>0</v>
      </c>
      <c r="AX181" s="512">
        <f>SUMIFS(PURCHASE!$L$6:$L$10008,PURCHASE!$A$6:$A$10008,$AV$2,PURCHASE!$H$6:$H$10008,$A$4:$A$2700)</f>
        <v>0</v>
      </c>
      <c r="AY181" s="512">
        <f>SUMIFS(PURCHASE!$M$6:$M$10008,PURCHASE!$A$6:$A$10008,$AV$2,PURCHASE!$H$6:$H$10008,$A$4:$A$2700)</f>
        <v>0</v>
      </c>
      <c r="AZ181" s="512">
        <f>SUMIFS(PURCHASE!$N$6:$N$10008,PURCHASE!$A$6:$A$10008,$AV$2,PURCHASE!$H$6:$H$10008,$A$4:$A$2700)</f>
        <v>0</v>
      </c>
      <c r="BA181" s="512">
        <f t="shared" si="55"/>
        <v>0</v>
      </c>
      <c r="BB181" s="512">
        <f>SUMIFS(PURCHASE!$K$6:$K$10008,PURCHASE!$A$6:$A$10008,$BA$2,PURCHASE!$H$6:$H$10008,$A$4:$A$2700)</f>
        <v>0</v>
      </c>
      <c r="BC181" s="512">
        <f>SUMIFS(PURCHASE!$L$6:$L$10008,PURCHASE!$A$6:$A$10008,$BA$2,PURCHASE!$H$6:$H$10008,$A$4:$A$2700)</f>
        <v>0</v>
      </c>
      <c r="BD181" s="512">
        <f>SUMIFS(PURCHASE!$M$6:$M$10008,PURCHASE!$A$6:$A$10008,$BA$2,PURCHASE!$H$6:$H$10008,$A$4:$A$2700)</f>
        <v>0</v>
      </c>
      <c r="BE181" s="512">
        <f>SUMIFS(PURCHASE!$N$6:$N$10008,PURCHASE!$A$6:$A$10008,$BA$2,PURCHASE!$H$6:$H$10008,$A$4:$A$2700)</f>
        <v>0</v>
      </c>
      <c r="BF181" s="512">
        <f t="shared" si="56"/>
        <v>0</v>
      </c>
      <c r="BG181" s="512">
        <f>SUMIFS(PURCHASE!$K$6:$K$10008,PURCHASE!$A$6:$A$10008,$BF$2,PURCHASE!$H$6:$H$10008,$A$4:$A$2700)</f>
        <v>0</v>
      </c>
      <c r="BH181" s="512">
        <f>SUMIFS(PURCHASE!$L$6:$L$10008,PURCHASE!$A$6:$A$10008,$BF$2,PURCHASE!$H$6:$H$10008,$A$4:$A$2700)</f>
        <v>0</v>
      </c>
      <c r="BI181" s="512">
        <f>SUMIFS(PURCHASE!$M$6:$M$10008,PURCHASE!$A$6:$A$10008,$BF$2,PURCHASE!$H$6:$H$10008,$A$4:$A$2700)</f>
        <v>0</v>
      </c>
      <c r="BJ181" s="512">
        <f>SUMIFS(PURCHASE!$N$6:$N$10008,PURCHASE!$A$6:$A$10008,$BF$2,PURCHASE!$H$6:$H$10008,$A$4:$A$2700)</f>
        <v>0</v>
      </c>
      <c r="BK181" s="72">
        <f t="shared" si="40"/>
        <v>13730.48</v>
      </c>
      <c r="BL181" s="72">
        <f t="shared" si="41"/>
        <v>11636</v>
      </c>
      <c r="BM181" s="72">
        <f t="shared" si="42"/>
        <v>915.84</v>
      </c>
      <c r="BN181" s="72">
        <f t="shared" si="43"/>
        <v>589.31999999999994</v>
      </c>
      <c r="BO181" s="72">
        <f t="shared" si="44"/>
        <v>589.31999999999994</v>
      </c>
    </row>
    <row r="182" spans="1:67" x14ac:dyDescent="0.2">
      <c r="A182" s="511">
        <v>85051900</v>
      </c>
      <c r="B182" s="467" t="s">
        <v>1191</v>
      </c>
      <c r="C182" s="512">
        <f t="shared" si="45"/>
        <v>7906</v>
      </c>
      <c r="D182" s="512">
        <f>SUMIFS(PURCHASE!$K$6:$K$10008,PURCHASE!$A$6:$A$10008,$M$2,PURCHASE!$H$6:$H$10008,$A$4:$A$2700)</f>
        <v>6700</v>
      </c>
      <c r="E182" s="512">
        <f>SUMIFS(PURCHASE!$L$6:$L$10008,PURCHASE!$A$6:$A$10008,$M$2,PURCHASE!$H$6:$H$10008,$A$4:$A$2700)</f>
        <v>0</v>
      </c>
      <c r="F182" s="512">
        <f>SUMIFS(PURCHASE!$M$6:$M$10008,PURCHASE!$A$6:$A$10008,$M$2,PURCHASE!$H$6:$H$10008,$A$4:$A$2700)</f>
        <v>603</v>
      </c>
      <c r="G182" s="512">
        <f>SUMIFS(PURCHASE!$N$6:$N$10008,PURCHASE!$A$6:$A$10008,$M$2,PURCHASE!$H$6:$H$10008,$A$4:$A$2700)</f>
        <v>603</v>
      </c>
      <c r="H182" s="512">
        <f t="shared" si="46"/>
        <v>0</v>
      </c>
      <c r="I182" s="512">
        <f>SUMIFS(PURCHASE!$K$6:$K$10008,PURCHASE!$A$6:$A$10008,$H$2,PURCHASE!$H$6:$H$10008,$A$4:$A$2700)</f>
        <v>0</v>
      </c>
      <c r="J182" s="512">
        <f>SUMIFS(PURCHASE!$L$6:$L$10008,PURCHASE!$A$6:$A$10008,$H$2,PURCHASE!$H$6:$H$10008,$A$4:$A$2700)</f>
        <v>0</v>
      </c>
      <c r="K182" s="512">
        <f>SUMIFS(PURCHASE!$M$6:$M$10008,PURCHASE!$A$6:$A$10008,$H$2,PURCHASE!$H$6:$H$10008,$A$4:$A$2700)</f>
        <v>0</v>
      </c>
      <c r="L182" s="512">
        <f>SUMIFS(PURCHASE!$N$6:$N$10008,PURCHASE!$A$6:$A$10008,$H$2,PURCHASE!$H$6:$H$10008,$A$4:$A$2700)</f>
        <v>0</v>
      </c>
      <c r="M182" s="512">
        <f t="shared" si="47"/>
        <v>7906</v>
      </c>
      <c r="N182" s="512">
        <f>SUMIFS(PURCHASE!$K$6:$K$10008,PURCHASE!$A$6:$A$10008,$M$2,PURCHASE!$H$6:$H$10008,$A$4:$A$2700)</f>
        <v>6700</v>
      </c>
      <c r="O182" s="512">
        <f>SUMIFS(PURCHASE!$L$6:$L$10008,PURCHASE!$A$6:$A$10008,$M$2,PURCHASE!$H$6:$H$10008,$A$4:$A$2700)</f>
        <v>0</v>
      </c>
      <c r="P182" s="512">
        <f>SUMIFS(PURCHASE!$M$6:$M$10008,PURCHASE!$A$6:$A$10008,$M$2,PURCHASE!$H$6:$H$10008,$A$4:$A$2700)</f>
        <v>603</v>
      </c>
      <c r="Q182" s="512">
        <f>SUMIFS(PURCHASE!$N$6:$N$10008,PURCHASE!$A$6:$A$10008,$M$2,PURCHASE!$H$6:$H$10008,$A$4:$A$2700)</f>
        <v>603</v>
      </c>
      <c r="R182" s="512">
        <f t="shared" si="48"/>
        <v>28084</v>
      </c>
      <c r="S182" s="512">
        <f>SUMIFS(PURCHASE!$K$6:$K$10008,PURCHASE!$A$6:$A$10008,$R$2,PURCHASE!$H$6:$H$10008,$A$4:$A$2700)</f>
        <v>23800</v>
      </c>
      <c r="T182" s="512">
        <f>SUMIFS(PURCHASE!$L$6:$L$10008,PURCHASE!$A$6:$A$10008,$R$2,PURCHASE!$H$6:$H$10008,$A$4:$A$2700)</f>
        <v>0</v>
      </c>
      <c r="U182" s="512">
        <f>SUMIFS(PURCHASE!$M$6:$M$10008,PURCHASE!$A$6:$A$10008,$R$2,PURCHASE!$H$6:$H$10008,$A$4:$A$2700)</f>
        <v>2142</v>
      </c>
      <c r="V182" s="512">
        <f>SUMIFS(PURCHASE!$N$6:$N$10008,PURCHASE!$A$6:$A$10008,$R$2,PURCHASE!$H$6:$H$10008,$A$4:$A$2700)</f>
        <v>2142</v>
      </c>
      <c r="W182" s="512">
        <f t="shared" si="49"/>
        <v>0</v>
      </c>
      <c r="X182" s="512">
        <f>SUMIFS(PURCHASE!$K$6:$K$10008,PURCHASE!$A$6:$A$10008,$W$2,PURCHASE!$H$6:$H$10008,$A$4:$A$2700)</f>
        <v>0</v>
      </c>
      <c r="Y182" s="512">
        <f>SUMIFS(PURCHASE!$L$6:$L$10008,PURCHASE!$A$6:$A$10008,$W$2,PURCHASE!$H$6:$H$10008,$A$4:$A$2700)</f>
        <v>0</v>
      </c>
      <c r="Z182" s="512">
        <f>SUMIFS(PURCHASE!$M$6:$M$10008,PURCHASE!$A$6:$A$10008,$W$2,PURCHASE!$H$6:$H$10008,$A$4:$A$2700)</f>
        <v>0</v>
      </c>
      <c r="AA182" s="512">
        <f>SUMIFS(PURCHASE!$N$6:$N$10008,PURCHASE!$A$6:$A$10008,$W$2,PURCHASE!$H$6:$H$10008,$A$4:$A$2700)</f>
        <v>0</v>
      </c>
      <c r="AB182" s="512">
        <f t="shared" si="50"/>
        <v>0</v>
      </c>
      <c r="AC182" s="512">
        <f>SUMIFS(PURCHASE!$K$6:$K$10008,PURCHASE!$A$6:$A$10008,$AB$2,PURCHASE!$H$6:$H$10008,$A$4:$A$2700)</f>
        <v>0</v>
      </c>
      <c r="AD182" s="512">
        <f>SUMIFS(PURCHASE!$L$6:$L$10008,PURCHASE!$A$6:$A$10008,$AB$2,PURCHASE!$H$6:$H$10008,$A$4:$A$2700)</f>
        <v>0</v>
      </c>
      <c r="AE182" s="512">
        <f>SUMIFS(PURCHASE!$M$6:$M$10008,PURCHASE!$A$6:$A$10008,$AB$2,PURCHASE!$H$6:$H$10008,$A$4:$A$2700)</f>
        <v>0</v>
      </c>
      <c r="AF182" s="512">
        <f>SUMIFS(PURCHASE!$N$6:$N$10008,PURCHASE!$A$6:$A$10008,$AB$2,PURCHASE!$H$6:$H$10008,$A$4:$A$2700)</f>
        <v>0</v>
      </c>
      <c r="AG182" s="512">
        <f t="shared" si="51"/>
        <v>0</v>
      </c>
      <c r="AH182" s="512">
        <f>SUMIFS(PURCHASE!$K$6:$K$10008,PURCHASE!$A$6:$A$10008,$AG$2,PURCHASE!$H$6:$H$10008,$A$4:$A$2700)</f>
        <v>0</v>
      </c>
      <c r="AI182" s="512">
        <f>SUMIFS(PURCHASE!$L$6:$L$10008,PURCHASE!$A$6:$A$10008,$AG$2,PURCHASE!$H$6:$H$10008,$A$4:$A$2700)</f>
        <v>0</v>
      </c>
      <c r="AJ182" s="512">
        <f>SUMIFS(PURCHASE!$M$6:$M$10008,PURCHASE!$A$6:$A$10008,$AG$2,PURCHASE!$H$6:$H$10008,$A$4:$A$2700)</f>
        <v>0</v>
      </c>
      <c r="AK182" s="512">
        <f>SUMIFS(PURCHASE!$N$6:$N$10008,PURCHASE!$A$6:$A$10008,$AG$2,PURCHASE!$H$6:$H$10008,$A$4:$A$2700)</f>
        <v>0</v>
      </c>
      <c r="AL182" s="512">
        <f t="shared" si="52"/>
        <v>0</v>
      </c>
      <c r="AM182" s="512">
        <f>SUMIFS(PURCHASE!$K$6:$K$10008,PURCHASE!$A$6:$A$10008,$AL$2,PURCHASE!$H$6:$H$10008,$A$4:$A$2700)</f>
        <v>0</v>
      </c>
      <c r="AN182" s="512">
        <f>SUMIFS(PURCHASE!$L$6:$L$10008,PURCHASE!$A$6:$A$10008,$AL$2,PURCHASE!$H$6:$H$10008,$A$4:$A$2700)</f>
        <v>0</v>
      </c>
      <c r="AO182" s="512">
        <f>SUMIFS(PURCHASE!$M$6:$M$10008,PURCHASE!$A$6:$A$10008,$AL$2,PURCHASE!$H$6:$H$10008,$A$4:$A$2700)</f>
        <v>0</v>
      </c>
      <c r="AP182" s="512">
        <f>SUMIFS(PURCHASE!$N$6:$N$10008,PURCHASE!$A$6:$A$10008,$AL$2,PURCHASE!$H$6:$H$10008,$A$4:$A$2700)</f>
        <v>0</v>
      </c>
      <c r="AQ182" s="512">
        <f t="shared" si="53"/>
        <v>0</v>
      </c>
      <c r="AR182" s="512">
        <f>SUMIFS(PURCHASE!$K$6:$K$10008,PURCHASE!$A$6:$A$10008,$AQ$2,PURCHASE!$H$6:$H$10008,$A$4:$A$2700)</f>
        <v>0</v>
      </c>
      <c r="AS182" s="512">
        <f>SUMIFS(PURCHASE!$L$6:$L$10008,PURCHASE!$A$6:$A$10008,$AQ$2,PURCHASE!$H$6:$H$10008,$A$4:$A$2700)</f>
        <v>0</v>
      </c>
      <c r="AT182" s="512">
        <f>SUMIFS(PURCHASE!$M$6:$M$10008,PURCHASE!$A$6:$A$10008,$AQ$2,PURCHASE!$H$6:$H$10008,$A$4:$A$2700)</f>
        <v>0</v>
      </c>
      <c r="AU182" s="512">
        <f>SUMIFS(PURCHASE!$N$6:$N$10008,PURCHASE!$A$6:$A$10008,$AQ$2,PURCHASE!$H$6:$H$10008,$A$4:$A$2700)</f>
        <v>0</v>
      </c>
      <c r="AV182" s="512">
        <f t="shared" si="54"/>
        <v>0</v>
      </c>
      <c r="AW182" s="512">
        <f>SUMIFS(PURCHASE!$K$6:$K$10008,PURCHASE!$A$6:$A$10008,$AV$2,PURCHASE!$H$6:$H$10008,$A$4:$A$2700)</f>
        <v>0</v>
      </c>
      <c r="AX182" s="512">
        <f>SUMIFS(PURCHASE!$L$6:$L$10008,PURCHASE!$A$6:$A$10008,$AV$2,PURCHASE!$H$6:$H$10008,$A$4:$A$2700)</f>
        <v>0</v>
      </c>
      <c r="AY182" s="512">
        <f>SUMIFS(PURCHASE!$M$6:$M$10008,PURCHASE!$A$6:$A$10008,$AV$2,PURCHASE!$H$6:$H$10008,$A$4:$A$2700)</f>
        <v>0</v>
      </c>
      <c r="AZ182" s="512">
        <f>SUMIFS(PURCHASE!$N$6:$N$10008,PURCHASE!$A$6:$A$10008,$AV$2,PURCHASE!$H$6:$H$10008,$A$4:$A$2700)</f>
        <v>0</v>
      </c>
      <c r="BA182" s="512">
        <f t="shared" si="55"/>
        <v>0</v>
      </c>
      <c r="BB182" s="512">
        <f>SUMIFS(PURCHASE!$K$6:$K$10008,PURCHASE!$A$6:$A$10008,$BA$2,PURCHASE!$H$6:$H$10008,$A$4:$A$2700)</f>
        <v>0</v>
      </c>
      <c r="BC182" s="512">
        <f>SUMIFS(PURCHASE!$L$6:$L$10008,PURCHASE!$A$6:$A$10008,$BA$2,PURCHASE!$H$6:$H$10008,$A$4:$A$2700)</f>
        <v>0</v>
      </c>
      <c r="BD182" s="512">
        <f>SUMIFS(PURCHASE!$M$6:$M$10008,PURCHASE!$A$6:$A$10008,$BA$2,PURCHASE!$H$6:$H$10008,$A$4:$A$2700)</f>
        <v>0</v>
      </c>
      <c r="BE182" s="512">
        <f>SUMIFS(PURCHASE!$N$6:$N$10008,PURCHASE!$A$6:$A$10008,$BA$2,PURCHASE!$H$6:$H$10008,$A$4:$A$2700)</f>
        <v>0</v>
      </c>
      <c r="BF182" s="512">
        <f t="shared" si="56"/>
        <v>0</v>
      </c>
      <c r="BG182" s="512">
        <f>SUMIFS(PURCHASE!$K$6:$K$10008,PURCHASE!$A$6:$A$10008,$BF$2,PURCHASE!$H$6:$H$10008,$A$4:$A$2700)</f>
        <v>0</v>
      </c>
      <c r="BH182" s="512">
        <f>SUMIFS(PURCHASE!$L$6:$L$10008,PURCHASE!$A$6:$A$10008,$BF$2,PURCHASE!$H$6:$H$10008,$A$4:$A$2700)</f>
        <v>0</v>
      </c>
      <c r="BI182" s="512">
        <f>SUMIFS(PURCHASE!$M$6:$M$10008,PURCHASE!$A$6:$A$10008,$BF$2,PURCHASE!$H$6:$H$10008,$A$4:$A$2700)</f>
        <v>0</v>
      </c>
      <c r="BJ182" s="512">
        <f>SUMIFS(PURCHASE!$N$6:$N$10008,PURCHASE!$A$6:$A$10008,$BF$2,PURCHASE!$H$6:$H$10008,$A$4:$A$2700)</f>
        <v>0</v>
      </c>
      <c r="BK182" s="72">
        <f t="shared" si="40"/>
        <v>43896</v>
      </c>
      <c r="BL182" s="72">
        <f t="shared" si="41"/>
        <v>37200</v>
      </c>
      <c r="BM182" s="72">
        <f t="shared" si="42"/>
        <v>0</v>
      </c>
      <c r="BN182" s="72">
        <f t="shared" si="43"/>
        <v>3348</v>
      </c>
      <c r="BO182" s="72">
        <f t="shared" si="44"/>
        <v>3348</v>
      </c>
    </row>
    <row r="183" spans="1:67" x14ac:dyDescent="0.2">
      <c r="A183" s="511">
        <v>29141100</v>
      </c>
      <c r="B183" s="467" t="s">
        <v>1319</v>
      </c>
      <c r="C183" s="512">
        <f t="shared" si="45"/>
        <v>0</v>
      </c>
      <c r="D183" s="512">
        <f>SUMIFS(PURCHASE!$K$6:$K$10008,PURCHASE!$A$6:$A$10008,$M$2,PURCHASE!$H$6:$H$10008,$A$4:$A$2700)</f>
        <v>0</v>
      </c>
      <c r="E183" s="512">
        <f>SUMIFS(PURCHASE!$L$6:$L$10008,PURCHASE!$A$6:$A$10008,$M$2,PURCHASE!$H$6:$H$10008,$A$4:$A$2700)</f>
        <v>0</v>
      </c>
      <c r="F183" s="512">
        <f>SUMIFS(PURCHASE!$M$6:$M$10008,PURCHASE!$A$6:$A$10008,$M$2,PURCHASE!$H$6:$H$10008,$A$4:$A$2700)</f>
        <v>0</v>
      </c>
      <c r="G183" s="512">
        <f>SUMIFS(PURCHASE!$N$6:$N$10008,PURCHASE!$A$6:$A$10008,$M$2,PURCHASE!$H$6:$H$10008,$A$4:$A$2700)</f>
        <v>0</v>
      </c>
      <c r="H183" s="512">
        <f t="shared" si="46"/>
        <v>81774</v>
      </c>
      <c r="I183" s="512">
        <f>SUMIFS(PURCHASE!$K$6:$K$10008,PURCHASE!$A$6:$A$10008,$H$2,PURCHASE!$H$6:$H$10008,$A$4:$A$2700)</f>
        <v>69300</v>
      </c>
      <c r="J183" s="512">
        <f>SUMIFS(PURCHASE!$L$6:$L$10008,PURCHASE!$A$6:$A$10008,$H$2,PURCHASE!$H$6:$H$10008,$A$4:$A$2700)</f>
        <v>0</v>
      </c>
      <c r="K183" s="512">
        <f>SUMIFS(PURCHASE!$M$6:$M$10008,PURCHASE!$A$6:$A$10008,$H$2,PURCHASE!$H$6:$H$10008,$A$4:$A$2700)</f>
        <v>6237</v>
      </c>
      <c r="L183" s="512">
        <f>SUMIFS(PURCHASE!$N$6:$N$10008,PURCHASE!$A$6:$A$10008,$H$2,PURCHASE!$H$6:$H$10008,$A$4:$A$2700)</f>
        <v>6237</v>
      </c>
      <c r="M183" s="512">
        <f t="shared" si="47"/>
        <v>0</v>
      </c>
      <c r="N183" s="512">
        <f>SUMIFS(PURCHASE!$K$6:$K$10008,PURCHASE!$A$6:$A$10008,$M$2,PURCHASE!$H$6:$H$10008,$A$4:$A$2700)</f>
        <v>0</v>
      </c>
      <c r="O183" s="512">
        <f>SUMIFS(PURCHASE!$L$6:$L$10008,PURCHASE!$A$6:$A$10008,$M$2,PURCHASE!$H$6:$H$10008,$A$4:$A$2700)</f>
        <v>0</v>
      </c>
      <c r="P183" s="512">
        <f>SUMIFS(PURCHASE!$M$6:$M$10008,PURCHASE!$A$6:$A$10008,$M$2,PURCHASE!$H$6:$H$10008,$A$4:$A$2700)</f>
        <v>0</v>
      </c>
      <c r="Q183" s="512">
        <f>SUMIFS(PURCHASE!$N$6:$N$10008,PURCHASE!$A$6:$A$10008,$M$2,PURCHASE!$H$6:$H$10008,$A$4:$A$2700)</f>
        <v>0</v>
      </c>
      <c r="R183" s="512">
        <f t="shared" si="48"/>
        <v>65419</v>
      </c>
      <c r="S183" s="512">
        <f>SUMIFS(PURCHASE!$K$6:$K$10008,PURCHASE!$A$6:$A$10008,$R$2,PURCHASE!$H$6:$H$10008,$A$4:$A$2700)</f>
        <v>55440</v>
      </c>
      <c r="T183" s="512">
        <f>SUMIFS(PURCHASE!$L$6:$L$10008,PURCHASE!$A$6:$A$10008,$R$2,PURCHASE!$H$6:$H$10008,$A$4:$A$2700)</f>
        <v>0</v>
      </c>
      <c r="U183" s="512">
        <f>SUMIFS(PURCHASE!$M$6:$M$10008,PURCHASE!$A$6:$A$10008,$R$2,PURCHASE!$H$6:$H$10008,$A$4:$A$2700)</f>
        <v>4989.4999999999991</v>
      </c>
      <c r="V183" s="512">
        <f>SUMIFS(PURCHASE!$N$6:$N$10008,PURCHASE!$A$6:$A$10008,$R$2,PURCHASE!$H$6:$H$10008,$A$4:$A$2700)</f>
        <v>4989.4999999999991</v>
      </c>
      <c r="W183" s="512">
        <f t="shared" si="49"/>
        <v>110566</v>
      </c>
      <c r="X183" s="512">
        <f>SUMIFS(PURCHASE!$K$6:$K$10008,PURCHASE!$A$6:$A$10008,$W$2,PURCHASE!$H$6:$H$10008,$A$4:$A$2700)</f>
        <v>93700</v>
      </c>
      <c r="Y183" s="512">
        <f>SUMIFS(PURCHASE!$L$6:$L$10008,PURCHASE!$A$6:$A$10008,$W$2,PURCHASE!$H$6:$H$10008,$A$4:$A$2700)</f>
        <v>0</v>
      </c>
      <c r="Z183" s="512">
        <f>SUMIFS(PURCHASE!$M$6:$M$10008,PURCHASE!$A$6:$A$10008,$W$2,PURCHASE!$H$6:$H$10008,$A$4:$A$2700)</f>
        <v>8433</v>
      </c>
      <c r="AA183" s="512">
        <f>SUMIFS(PURCHASE!$N$6:$N$10008,PURCHASE!$A$6:$A$10008,$W$2,PURCHASE!$H$6:$H$10008,$A$4:$A$2700)</f>
        <v>8433</v>
      </c>
      <c r="AB183" s="512">
        <f t="shared" si="50"/>
        <v>0</v>
      </c>
      <c r="AC183" s="512">
        <f>SUMIFS(PURCHASE!$K$6:$K$10008,PURCHASE!$A$6:$A$10008,$AB$2,PURCHASE!$H$6:$H$10008,$A$4:$A$2700)</f>
        <v>0</v>
      </c>
      <c r="AD183" s="512">
        <f>SUMIFS(PURCHASE!$L$6:$L$10008,PURCHASE!$A$6:$A$10008,$AB$2,PURCHASE!$H$6:$H$10008,$A$4:$A$2700)</f>
        <v>0</v>
      </c>
      <c r="AE183" s="512">
        <f>SUMIFS(PURCHASE!$M$6:$M$10008,PURCHASE!$A$6:$A$10008,$AB$2,PURCHASE!$H$6:$H$10008,$A$4:$A$2700)</f>
        <v>0</v>
      </c>
      <c r="AF183" s="512">
        <f>SUMIFS(PURCHASE!$N$6:$N$10008,PURCHASE!$A$6:$A$10008,$AB$2,PURCHASE!$H$6:$H$10008,$A$4:$A$2700)</f>
        <v>0</v>
      </c>
      <c r="AG183" s="512">
        <f t="shared" si="51"/>
        <v>49064.399999999994</v>
      </c>
      <c r="AH183" s="512">
        <f>SUMIFS(PURCHASE!$K$6:$K$10008,PURCHASE!$A$6:$A$10008,$AG$2,PURCHASE!$H$6:$H$10008,$A$4:$A$2700)</f>
        <v>41580</v>
      </c>
      <c r="AI183" s="512">
        <f>SUMIFS(PURCHASE!$L$6:$L$10008,PURCHASE!$A$6:$A$10008,$AG$2,PURCHASE!$H$6:$H$10008,$A$4:$A$2700)</f>
        <v>0</v>
      </c>
      <c r="AJ183" s="512">
        <f>SUMIFS(PURCHASE!$M$6:$M$10008,PURCHASE!$A$6:$A$10008,$AG$2,PURCHASE!$H$6:$H$10008,$A$4:$A$2700)</f>
        <v>3742.2000000000003</v>
      </c>
      <c r="AK183" s="512">
        <f>SUMIFS(PURCHASE!$N$6:$N$10008,PURCHASE!$A$6:$A$10008,$AG$2,PURCHASE!$H$6:$H$10008,$A$4:$A$2700)</f>
        <v>3742.2000000000003</v>
      </c>
      <c r="AL183" s="512">
        <f t="shared" si="52"/>
        <v>49064.399999999994</v>
      </c>
      <c r="AM183" s="512">
        <f>SUMIFS(PURCHASE!$K$6:$K$10008,PURCHASE!$A$6:$A$10008,$AL$2,PURCHASE!$H$6:$H$10008,$A$4:$A$2700)</f>
        <v>41580</v>
      </c>
      <c r="AN183" s="512">
        <f>SUMIFS(PURCHASE!$L$6:$L$10008,PURCHASE!$A$6:$A$10008,$AL$2,PURCHASE!$H$6:$H$10008,$A$4:$A$2700)</f>
        <v>0</v>
      </c>
      <c r="AO183" s="512">
        <f>SUMIFS(PURCHASE!$M$6:$M$10008,PURCHASE!$A$6:$A$10008,$AL$2,PURCHASE!$H$6:$H$10008,$A$4:$A$2700)</f>
        <v>3742.2000000000003</v>
      </c>
      <c r="AP183" s="512">
        <f>SUMIFS(PURCHASE!$N$6:$N$10008,PURCHASE!$A$6:$A$10008,$AL$2,PURCHASE!$H$6:$H$10008,$A$4:$A$2700)</f>
        <v>3742.2000000000003</v>
      </c>
      <c r="AQ183" s="512">
        <f t="shared" si="53"/>
        <v>0</v>
      </c>
      <c r="AR183" s="512">
        <f>SUMIFS(PURCHASE!$K$6:$K$10008,PURCHASE!$A$6:$A$10008,$AQ$2,PURCHASE!$H$6:$H$10008,$A$4:$A$2700)</f>
        <v>0</v>
      </c>
      <c r="AS183" s="512">
        <f>SUMIFS(PURCHASE!$L$6:$L$10008,PURCHASE!$A$6:$A$10008,$AQ$2,PURCHASE!$H$6:$H$10008,$A$4:$A$2700)</f>
        <v>0</v>
      </c>
      <c r="AT183" s="512">
        <f>SUMIFS(PURCHASE!$M$6:$M$10008,PURCHASE!$A$6:$A$10008,$AQ$2,PURCHASE!$H$6:$H$10008,$A$4:$A$2700)</f>
        <v>0</v>
      </c>
      <c r="AU183" s="512">
        <f>SUMIFS(PURCHASE!$N$6:$N$10008,PURCHASE!$A$6:$A$10008,$AQ$2,PURCHASE!$H$6:$H$10008,$A$4:$A$2700)</f>
        <v>0</v>
      </c>
      <c r="AV183" s="512">
        <f t="shared" si="54"/>
        <v>0</v>
      </c>
      <c r="AW183" s="512">
        <f>SUMIFS(PURCHASE!$K$6:$K$10008,PURCHASE!$A$6:$A$10008,$AV$2,PURCHASE!$H$6:$H$10008,$A$4:$A$2700)</f>
        <v>0</v>
      </c>
      <c r="AX183" s="512">
        <f>SUMIFS(PURCHASE!$L$6:$L$10008,PURCHASE!$A$6:$A$10008,$AV$2,PURCHASE!$H$6:$H$10008,$A$4:$A$2700)</f>
        <v>0</v>
      </c>
      <c r="AY183" s="512">
        <f>SUMIFS(PURCHASE!$M$6:$M$10008,PURCHASE!$A$6:$A$10008,$AV$2,PURCHASE!$H$6:$H$10008,$A$4:$A$2700)</f>
        <v>0</v>
      </c>
      <c r="AZ183" s="512">
        <f>SUMIFS(PURCHASE!$N$6:$N$10008,PURCHASE!$A$6:$A$10008,$AV$2,PURCHASE!$H$6:$H$10008,$A$4:$A$2700)</f>
        <v>0</v>
      </c>
      <c r="BA183" s="512">
        <f t="shared" si="55"/>
        <v>0</v>
      </c>
      <c r="BB183" s="512">
        <f>SUMIFS(PURCHASE!$K$6:$K$10008,PURCHASE!$A$6:$A$10008,$BA$2,PURCHASE!$H$6:$H$10008,$A$4:$A$2700)</f>
        <v>0</v>
      </c>
      <c r="BC183" s="512">
        <f>SUMIFS(PURCHASE!$L$6:$L$10008,PURCHASE!$A$6:$A$10008,$BA$2,PURCHASE!$H$6:$H$10008,$A$4:$A$2700)</f>
        <v>0</v>
      </c>
      <c r="BD183" s="512">
        <f>SUMIFS(PURCHASE!$M$6:$M$10008,PURCHASE!$A$6:$A$10008,$BA$2,PURCHASE!$H$6:$H$10008,$A$4:$A$2700)</f>
        <v>0</v>
      </c>
      <c r="BE183" s="512">
        <f>SUMIFS(PURCHASE!$N$6:$N$10008,PURCHASE!$A$6:$A$10008,$BA$2,PURCHASE!$H$6:$H$10008,$A$4:$A$2700)</f>
        <v>0</v>
      </c>
      <c r="BF183" s="512">
        <f t="shared" si="56"/>
        <v>0</v>
      </c>
      <c r="BG183" s="512">
        <f>SUMIFS(PURCHASE!$K$6:$K$10008,PURCHASE!$A$6:$A$10008,$BF$2,PURCHASE!$H$6:$H$10008,$A$4:$A$2700)</f>
        <v>0</v>
      </c>
      <c r="BH183" s="512">
        <f>SUMIFS(PURCHASE!$L$6:$L$10008,PURCHASE!$A$6:$A$10008,$BF$2,PURCHASE!$H$6:$H$10008,$A$4:$A$2700)</f>
        <v>0</v>
      </c>
      <c r="BI183" s="512">
        <f>SUMIFS(PURCHASE!$M$6:$M$10008,PURCHASE!$A$6:$A$10008,$BF$2,PURCHASE!$H$6:$H$10008,$A$4:$A$2700)</f>
        <v>0</v>
      </c>
      <c r="BJ183" s="512">
        <f>SUMIFS(PURCHASE!$N$6:$N$10008,PURCHASE!$A$6:$A$10008,$BF$2,PURCHASE!$H$6:$H$10008,$A$4:$A$2700)</f>
        <v>0</v>
      </c>
      <c r="BK183" s="72">
        <f t="shared" si="40"/>
        <v>355887.80000000005</v>
      </c>
      <c r="BL183" s="72">
        <f t="shared" si="41"/>
        <v>301600</v>
      </c>
      <c r="BM183" s="72">
        <f t="shared" si="42"/>
        <v>0</v>
      </c>
      <c r="BN183" s="72">
        <f t="shared" si="43"/>
        <v>27143.9</v>
      </c>
      <c r="BO183" s="72">
        <f t="shared" si="44"/>
        <v>27143.9</v>
      </c>
    </row>
    <row r="184" spans="1:67" x14ac:dyDescent="0.2">
      <c r="A184" s="511">
        <v>62160010</v>
      </c>
      <c r="B184" s="467" t="s">
        <v>1286</v>
      </c>
      <c r="C184" s="512">
        <f t="shared" si="45"/>
        <v>0</v>
      </c>
      <c r="D184" s="512">
        <f>SUMIFS(PURCHASE!$K$6:$K$10008,PURCHASE!$A$6:$A$10008,$M$2,PURCHASE!$H$6:$H$10008,$A$4:$A$2700)</f>
        <v>0</v>
      </c>
      <c r="E184" s="512">
        <f>SUMIFS(PURCHASE!$L$6:$L$10008,PURCHASE!$A$6:$A$10008,$M$2,PURCHASE!$H$6:$H$10008,$A$4:$A$2700)</f>
        <v>0</v>
      </c>
      <c r="F184" s="512">
        <f>SUMIFS(PURCHASE!$M$6:$M$10008,PURCHASE!$A$6:$A$10008,$M$2,PURCHASE!$H$6:$H$10008,$A$4:$A$2700)</f>
        <v>0</v>
      </c>
      <c r="G184" s="512">
        <f>SUMIFS(PURCHASE!$N$6:$N$10008,PURCHASE!$A$6:$A$10008,$M$2,PURCHASE!$H$6:$H$10008,$A$4:$A$2700)</f>
        <v>0</v>
      </c>
      <c r="H184" s="512">
        <f t="shared" si="46"/>
        <v>2520</v>
      </c>
      <c r="I184" s="512">
        <f>SUMIFS(PURCHASE!$K$6:$K$10008,PURCHASE!$A$6:$A$10008,$H$2,PURCHASE!$H$6:$H$10008,$A$4:$A$2700)</f>
        <v>2400</v>
      </c>
      <c r="J184" s="512">
        <f>SUMIFS(PURCHASE!$L$6:$L$10008,PURCHASE!$A$6:$A$10008,$H$2,PURCHASE!$H$6:$H$10008,$A$4:$A$2700)</f>
        <v>0</v>
      </c>
      <c r="K184" s="512">
        <f>SUMIFS(PURCHASE!$M$6:$M$10008,PURCHASE!$A$6:$A$10008,$H$2,PURCHASE!$H$6:$H$10008,$A$4:$A$2700)</f>
        <v>60</v>
      </c>
      <c r="L184" s="512">
        <f>SUMIFS(PURCHASE!$N$6:$N$10008,PURCHASE!$A$6:$A$10008,$H$2,PURCHASE!$H$6:$H$10008,$A$4:$A$2700)</f>
        <v>60</v>
      </c>
      <c r="M184" s="512">
        <f t="shared" si="47"/>
        <v>0</v>
      </c>
      <c r="N184" s="512">
        <f>SUMIFS(PURCHASE!$K$6:$K$10008,PURCHASE!$A$6:$A$10008,$M$2,PURCHASE!$H$6:$H$10008,$A$4:$A$2700)</f>
        <v>0</v>
      </c>
      <c r="O184" s="512">
        <f>SUMIFS(PURCHASE!$L$6:$L$10008,PURCHASE!$A$6:$A$10008,$M$2,PURCHASE!$H$6:$H$10008,$A$4:$A$2700)</f>
        <v>0</v>
      </c>
      <c r="P184" s="512">
        <f>SUMIFS(PURCHASE!$M$6:$M$10008,PURCHASE!$A$6:$A$10008,$M$2,PURCHASE!$H$6:$H$10008,$A$4:$A$2700)</f>
        <v>0</v>
      </c>
      <c r="Q184" s="512">
        <f>SUMIFS(PURCHASE!$N$6:$N$10008,PURCHASE!$A$6:$A$10008,$M$2,PURCHASE!$H$6:$H$10008,$A$4:$A$2700)</f>
        <v>0</v>
      </c>
      <c r="R184" s="512">
        <f t="shared" si="48"/>
        <v>0</v>
      </c>
      <c r="S184" s="512">
        <f>SUMIFS(PURCHASE!$K$6:$K$10008,PURCHASE!$A$6:$A$10008,$R$2,PURCHASE!$H$6:$H$10008,$A$4:$A$2700)</f>
        <v>0</v>
      </c>
      <c r="T184" s="512">
        <f>SUMIFS(PURCHASE!$L$6:$L$10008,PURCHASE!$A$6:$A$10008,$R$2,PURCHASE!$H$6:$H$10008,$A$4:$A$2700)</f>
        <v>0</v>
      </c>
      <c r="U184" s="512">
        <f>SUMIFS(PURCHASE!$M$6:$M$10008,PURCHASE!$A$6:$A$10008,$R$2,PURCHASE!$H$6:$H$10008,$A$4:$A$2700)</f>
        <v>0</v>
      </c>
      <c r="V184" s="512">
        <f>SUMIFS(PURCHASE!$N$6:$N$10008,PURCHASE!$A$6:$A$10008,$R$2,PURCHASE!$H$6:$H$10008,$A$4:$A$2700)</f>
        <v>0</v>
      </c>
      <c r="W184" s="512">
        <f t="shared" si="49"/>
        <v>0</v>
      </c>
      <c r="X184" s="512">
        <f>SUMIFS(PURCHASE!$K$6:$K$10008,PURCHASE!$A$6:$A$10008,$W$2,PURCHASE!$H$6:$H$10008,$A$4:$A$2700)</f>
        <v>0</v>
      </c>
      <c r="Y184" s="512">
        <f>SUMIFS(PURCHASE!$L$6:$L$10008,PURCHASE!$A$6:$A$10008,$W$2,PURCHASE!$H$6:$H$10008,$A$4:$A$2700)</f>
        <v>0</v>
      </c>
      <c r="Z184" s="512">
        <f>SUMIFS(PURCHASE!$M$6:$M$10008,PURCHASE!$A$6:$A$10008,$W$2,PURCHASE!$H$6:$H$10008,$A$4:$A$2700)</f>
        <v>0</v>
      </c>
      <c r="AA184" s="512">
        <f>SUMIFS(PURCHASE!$N$6:$N$10008,PURCHASE!$A$6:$A$10008,$W$2,PURCHASE!$H$6:$H$10008,$A$4:$A$2700)</f>
        <v>0</v>
      </c>
      <c r="AB184" s="512">
        <f t="shared" si="50"/>
        <v>0</v>
      </c>
      <c r="AC184" s="512">
        <f>SUMIFS(PURCHASE!$K$6:$K$10008,PURCHASE!$A$6:$A$10008,$AB$2,PURCHASE!$H$6:$H$10008,$A$4:$A$2700)</f>
        <v>0</v>
      </c>
      <c r="AD184" s="512">
        <f>SUMIFS(PURCHASE!$L$6:$L$10008,PURCHASE!$A$6:$A$10008,$AB$2,PURCHASE!$H$6:$H$10008,$A$4:$A$2700)</f>
        <v>0</v>
      </c>
      <c r="AE184" s="512">
        <f>SUMIFS(PURCHASE!$M$6:$M$10008,PURCHASE!$A$6:$A$10008,$AB$2,PURCHASE!$H$6:$H$10008,$A$4:$A$2700)</f>
        <v>0</v>
      </c>
      <c r="AF184" s="512">
        <f>SUMIFS(PURCHASE!$N$6:$N$10008,PURCHASE!$A$6:$A$10008,$AB$2,PURCHASE!$H$6:$H$10008,$A$4:$A$2700)</f>
        <v>0</v>
      </c>
      <c r="AG184" s="512">
        <f t="shared" si="51"/>
        <v>0</v>
      </c>
      <c r="AH184" s="512">
        <f>SUMIFS(PURCHASE!$K$6:$K$10008,PURCHASE!$A$6:$A$10008,$AG$2,PURCHASE!$H$6:$H$10008,$A$4:$A$2700)</f>
        <v>0</v>
      </c>
      <c r="AI184" s="512">
        <f>SUMIFS(PURCHASE!$L$6:$L$10008,PURCHASE!$A$6:$A$10008,$AG$2,PURCHASE!$H$6:$H$10008,$A$4:$A$2700)</f>
        <v>0</v>
      </c>
      <c r="AJ184" s="512">
        <f>SUMIFS(PURCHASE!$M$6:$M$10008,PURCHASE!$A$6:$A$10008,$AG$2,PURCHASE!$H$6:$H$10008,$A$4:$A$2700)</f>
        <v>0</v>
      </c>
      <c r="AK184" s="512">
        <f>SUMIFS(PURCHASE!$N$6:$N$10008,PURCHASE!$A$6:$A$10008,$AG$2,PURCHASE!$H$6:$H$10008,$A$4:$A$2700)</f>
        <v>0</v>
      </c>
      <c r="AL184" s="512">
        <f t="shared" si="52"/>
        <v>0</v>
      </c>
      <c r="AM184" s="512">
        <f>SUMIFS(PURCHASE!$K$6:$K$10008,PURCHASE!$A$6:$A$10008,$AL$2,PURCHASE!$H$6:$H$10008,$A$4:$A$2700)</f>
        <v>0</v>
      </c>
      <c r="AN184" s="512">
        <f>SUMIFS(PURCHASE!$L$6:$L$10008,PURCHASE!$A$6:$A$10008,$AL$2,PURCHASE!$H$6:$H$10008,$A$4:$A$2700)</f>
        <v>0</v>
      </c>
      <c r="AO184" s="512">
        <f>SUMIFS(PURCHASE!$M$6:$M$10008,PURCHASE!$A$6:$A$10008,$AL$2,PURCHASE!$H$6:$H$10008,$A$4:$A$2700)</f>
        <v>0</v>
      </c>
      <c r="AP184" s="512">
        <f>SUMIFS(PURCHASE!$N$6:$N$10008,PURCHASE!$A$6:$A$10008,$AL$2,PURCHASE!$H$6:$H$10008,$A$4:$A$2700)</f>
        <v>0</v>
      </c>
      <c r="AQ184" s="512">
        <f t="shared" si="53"/>
        <v>0</v>
      </c>
      <c r="AR184" s="512">
        <f>SUMIFS(PURCHASE!$K$6:$K$10008,PURCHASE!$A$6:$A$10008,$AQ$2,PURCHASE!$H$6:$H$10008,$A$4:$A$2700)</f>
        <v>0</v>
      </c>
      <c r="AS184" s="512">
        <f>SUMIFS(PURCHASE!$L$6:$L$10008,PURCHASE!$A$6:$A$10008,$AQ$2,PURCHASE!$H$6:$H$10008,$A$4:$A$2700)</f>
        <v>0</v>
      </c>
      <c r="AT184" s="512">
        <f>SUMIFS(PURCHASE!$M$6:$M$10008,PURCHASE!$A$6:$A$10008,$AQ$2,PURCHASE!$H$6:$H$10008,$A$4:$A$2700)</f>
        <v>0</v>
      </c>
      <c r="AU184" s="512">
        <f>SUMIFS(PURCHASE!$N$6:$N$10008,PURCHASE!$A$6:$A$10008,$AQ$2,PURCHASE!$H$6:$H$10008,$A$4:$A$2700)</f>
        <v>0</v>
      </c>
      <c r="AV184" s="512">
        <f t="shared" si="54"/>
        <v>0</v>
      </c>
      <c r="AW184" s="512">
        <f>SUMIFS(PURCHASE!$K$6:$K$10008,PURCHASE!$A$6:$A$10008,$AV$2,PURCHASE!$H$6:$H$10008,$A$4:$A$2700)</f>
        <v>0</v>
      </c>
      <c r="AX184" s="512">
        <f>SUMIFS(PURCHASE!$L$6:$L$10008,PURCHASE!$A$6:$A$10008,$AV$2,PURCHASE!$H$6:$H$10008,$A$4:$A$2700)</f>
        <v>0</v>
      </c>
      <c r="AY184" s="512">
        <f>SUMIFS(PURCHASE!$M$6:$M$10008,PURCHASE!$A$6:$A$10008,$AV$2,PURCHASE!$H$6:$H$10008,$A$4:$A$2700)</f>
        <v>0</v>
      </c>
      <c r="AZ184" s="512">
        <f>SUMIFS(PURCHASE!$N$6:$N$10008,PURCHASE!$A$6:$A$10008,$AV$2,PURCHASE!$H$6:$H$10008,$A$4:$A$2700)</f>
        <v>0</v>
      </c>
      <c r="BA184" s="512">
        <f t="shared" si="55"/>
        <v>0</v>
      </c>
      <c r="BB184" s="512">
        <f>SUMIFS(PURCHASE!$K$6:$K$10008,PURCHASE!$A$6:$A$10008,$BA$2,PURCHASE!$H$6:$H$10008,$A$4:$A$2700)</f>
        <v>0</v>
      </c>
      <c r="BC184" s="512">
        <f>SUMIFS(PURCHASE!$L$6:$L$10008,PURCHASE!$A$6:$A$10008,$BA$2,PURCHASE!$H$6:$H$10008,$A$4:$A$2700)</f>
        <v>0</v>
      </c>
      <c r="BD184" s="512">
        <f>SUMIFS(PURCHASE!$M$6:$M$10008,PURCHASE!$A$6:$A$10008,$BA$2,PURCHASE!$H$6:$H$10008,$A$4:$A$2700)</f>
        <v>0</v>
      </c>
      <c r="BE184" s="512">
        <f>SUMIFS(PURCHASE!$N$6:$N$10008,PURCHASE!$A$6:$A$10008,$BA$2,PURCHASE!$H$6:$H$10008,$A$4:$A$2700)</f>
        <v>0</v>
      </c>
      <c r="BF184" s="512">
        <f t="shared" si="56"/>
        <v>0</v>
      </c>
      <c r="BG184" s="512">
        <f>SUMIFS(PURCHASE!$K$6:$K$10008,PURCHASE!$A$6:$A$10008,$BF$2,PURCHASE!$H$6:$H$10008,$A$4:$A$2700)</f>
        <v>0</v>
      </c>
      <c r="BH184" s="512">
        <f>SUMIFS(PURCHASE!$L$6:$L$10008,PURCHASE!$A$6:$A$10008,$BF$2,PURCHASE!$H$6:$H$10008,$A$4:$A$2700)</f>
        <v>0</v>
      </c>
      <c r="BI184" s="512">
        <f>SUMIFS(PURCHASE!$M$6:$M$10008,PURCHASE!$A$6:$A$10008,$BF$2,PURCHASE!$H$6:$H$10008,$A$4:$A$2700)</f>
        <v>0</v>
      </c>
      <c r="BJ184" s="512">
        <f>SUMIFS(PURCHASE!$N$6:$N$10008,PURCHASE!$A$6:$A$10008,$BF$2,PURCHASE!$H$6:$H$10008,$A$4:$A$2700)</f>
        <v>0</v>
      </c>
      <c r="BK184" s="72">
        <f t="shared" si="40"/>
        <v>2520</v>
      </c>
      <c r="BL184" s="72">
        <f t="shared" si="41"/>
        <v>2400</v>
      </c>
      <c r="BM184" s="72">
        <f t="shared" si="42"/>
        <v>0</v>
      </c>
      <c r="BN184" s="72">
        <f t="shared" si="43"/>
        <v>60</v>
      </c>
      <c r="BO184" s="72">
        <f t="shared" si="44"/>
        <v>60</v>
      </c>
    </row>
    <row r="185" spans="1:67" x14ac:dyDescent="0.2">
      <c r="A185" s="511">
        <v>998531</v>
      </c>
      <c r="B185" s="467" t="s">
        <v>1320</v>
      </c>
      <c r="C185" s="512">
        <f t="shared" si="45"/>
        <v>0</v>
      </c>
      <c r="D185" s="512">
        <f>SUMIFS(PURCHASE!$K$6:$K$10008,PURCHASE!$A$6:$A$10008,$M$2,PURCHASE!$H$6:$H$10008,$A$4:$A$2700)</f>
        <v>0</v>
      </c>
      <c r="E185" s="512">
        <f>SUMIFS(PURCHASE!$L$6:$L$10008,PURCHASE!$A$6:$A$10008,$M$2,PURCHASE!$H$6:$H$10008,$A$4:$A$2700)</f>
        <v>0</v>
      </c>
      <c r="F185" s="512">
        <f>SUMIFS(PURCHASE!$M$6:$M$10008,PURCHASE!$A$6:$A$10008,$M$2,PURCHASE!$H$6:$H$10008,$A$4:$A$2700)</f>
        <v>0</v>
      </c>
      <c r="G185" s="512">
        <f>SUMIFS(PURCHASE!$N$6:$N$10008,PURCHASE!$A$6:$A$10008,$M$2,PURCHASE!$H$6:$H$10008,$A$4:$A$2700)</f>
        <v>0</v>
      </c>
      <c r="H185" s="512">
        <f t="shared" si="46"/>
        <v>2360</v>
      </c>
      <c r="I185" s="512">
        <f>SUMIFS(PURCHASE!$K$6:$K$10008,PURCHASE!$A$6:$A$10008,$H$2,PURCHASE!$H$6:$H$10008,$A$4:$A$2700)</f>
        <v>2000</v>
      </c>
      <c r="J185" s="512">
        <f>SUMIFS(PURCHASE!$L$6:$L$10008,PURCHASE!$A$6:$A$10008,$H$2,PURCHASE!$H$6:$H$10008,$A$4:$A$2700)</f>
        <v>0</v>
      </c>
      <c r="K185" s="512">
        <f>SUMIFS(PURCHASE!$M$6:$M$10008,PURCHASE!$A$6:$A$10008,$H$2,PURCHASE!$H$6:$H$10008,$A$4:$A$2700)</f>
        <v>180</v>
      </c>
      <c r="L185" s="512">
        <f>SUMIFS(PURCHASE!$N$6:$N$10008,PURCHASE!$A$6:$A$10008,$H$2,PURCHASE!$H$6:$H$10008,$A$4:$A$2700)</f>
        <v>180</v>
      </c>
      <c r="M185" s="512">
        <f t="shared" si="47"/>
        <v>0</v>
      </c>
      <c r="N185" s="512">
        <f>SUMIFS(PURCHASE!$K$6:$K$10008,PURCHASE!$A$6:$A$10008,$M$2,PURCHASE!$H$6:$H$10008,$A$4:$A$2700)</f>
        <v>0</v>
      </c>
      <c r="O185" s="512">
        <f>SUMIFS(PURCHASE!$L$6:$L$10008,PURCHASE!$A$6:$A$10008,$M$2,PURCHASE!$H$6:$H$10008,$A$4:$A$2700)</f>
        <v>0</v>
      </c>
      <c r="P185" s="512">
        <f>SUMIFS(PURCHASE!$M$6:$M$10008,PURCHASE!$A$6:$A$10008,$M$2,PURCHASE!$H$6:$H$10008,$A$4:$A$2700)</f>
        <v>0</v>
      </c>
      <c r="Q185" s="512">
        <f>SUMIFS(PURCHASE!$N$6:$N$10008,PURCHASE!$A$6:$A$10008,$M$2,PURCHASE!$H$6:$H$10008,$A$4:$A$2700)</f>
        <v>0</v>
      </c>
      <c r="R185" s="512">
        <f t="shared" si="48"/>
        <v>0</v>
      </c>
      <c r="S185" s="512">
        <f>SUMIFS(PURCHASE!$K$6:$K$10008,PURCHASE!$A$6:$A$10008,$R$2,PURCHASE!$H$6:$H$10008,$A$4:$A$2700)</f>
        <v>0</v>
      </c>
      <c r="T185" s="512">
        <f>SUMIFS(PURCHASE!$L$6:$L$10008,PURCHASE!$A$6:$A$10008,$R$2,PURCHASE!$H$6:$H$10008,$A$4:$A$2700)</f>
        <v>0</v>
      </c>
      <c r="U185" s="512">
        <f>SUMIFS(PURCHASE!$M$6:$M$10008,PURCHASE!$A$6:$A$10008,$R$2,PURCHASE!$H$6:$H$10008,$A$4:$A$2700)</f>
        <v>0</v>
      </c>
      <c r="V185" s="512">
        <f>SUMIFS(PURCHASE!$N$6:$N$10008,PURCHASE!$A$6:$A$10008,$R$2,PURCHASE!$H$6:$H$10008,$A$4:$A$2700)</f>
        <v>0</v>
      </c>
      <c r="W185" s="512">
        <f t="shared" si="49"/>
        <v>0</v>
      </c>
      <c r="X185" s="512">
        <f>SUMIFS(PURCHASE!$K$6:$K$10008,PURCHASE!$A$6:$A$10008,$W$2,PURCHASE!$H$6:$H$10008,$A$4:$A$2700)</f>
        <v>0</v>
      </c>
      <c r="Y185" s="512">
        <f>SUMIFS(PURCHASE!$L$6:$L$10008,PURCHASE!$A$6:$A$10008,$W$2,PURCHASE!$H$6:$H$10008,$A$4:$A$2700)</f>
        <v>0</v>
      </c>
      <c r="Z185" s="512">
        <f>SUMIFS(PURCHASE!$M$6:$M$10008,PURCHASE!$A$6:$A$10008,$W$2,PURCHASE!$H$6:$H$10008,$A$4:$A$2700)</f>
        <v>0</v>
      </c>
      <c r="AA185" s="512">
        <f>SUMIFS(PURCHASE!$N$6:$N$10008,PURCHASE!$A$6:$A$10008,$W$2,PURCHASE!$H$6:$H$10008,$A$4:$A$2700)</f>
        <v>0</v>
      </c>
      <c r="AB185" s="512">
        <f t="shared" si="50"/>
        <v>48245</v>
      </c>
      <c r="AC185" s="512">
        <f>SUMIFS(PURCHASE!$K$6:$K$10008,PURCHASE!$A$6:$A$10008,$AB$2,PURCHASE!$H$6:$H$10008,$A$4:$A$2700)</f>
        <v>40885</v>
      </c>
      <c r="AD185" s="512">
        <f>SUMIFS(PURCHASE!$L$6:$L$10008,PURCHASE!$A$6:$A$10008,$AB$2,PURCHASE!$H$6:$H$10008,$A$4:$A$2700)</f>
        <v>0</v>
      </c>
      <c r="AE185" s="512">
        <f>SUMIFS(PURCHASE!$M$6:$M$10008,PURCHASE!$A$6:$A$10008,$AB$2,PURCHASE!$H$6:$H$10008,$A$4:$A$2700)</f>
        <v>3680</v>
      </c>
      <c r="AF185" s="512">
        <f>SUMIFS(PURCHASE!$N$6:$N$10008,PURCHASE!$A$6:$A$10008,$AB$2,PURCHASE!$H$6:$H$10008,$A$4:$A$2700)</f>
        <v>3680</v>
      </c>
      <c r="AG185" s="512">
        <f t="shared" si="51"/>
        <v>2832</v>
      </c>
      <c r="AH185" s="512">
        <f>SUMIFS(PURCHASE!$K$6:$K$10008,PURCHASE!$A$6:$A$10008,$AG$2,PURCHASE!$H$6:$H$10008,$A$4:$A$2700)</f>
        <v>2400</v>
      </c>
      <c r="AI185" s="512">
        <f>SUMIFS(PURCHASE!$L$6:$L$10008,PURCHASE!$A$6:$A$10008,$AG$2,PURCHASE!$H$6:$H$10008,$A$4:$A$2700)</f>
        <v>0</v>
      </c>
      <c r="AJ185" s="512">
        <f>SUMIFS(PURCHASE!$M$6:$M$10008,PURCHASE!$A$6:$A$10008,$AG$2,PURCHASE!$H$6:$H$10008,$A$4:$A$2700)</f>
        <v>216</v>
      </c>
      <c r="AK185" s="512">
        <f>SUMIFS(PURCHASE!$N$6:$N$10008,PURCHASE!$A$6:$A$10008,$AG$2,PURCHASE!$H$6:$H$10008,$A$4:$A$2700)</f>
        <v>216</v>
      </c>
      <c r="AL185" s="512">
        <f t="shared" si="52"/>
        <v>1416</v>
      </c>
      <c r="AM185" s="512">
        <f>SUMIFS(PURCHASE!$K$6:$K$10008,PURCHASE!$A$6:$A$10008,$AL$2,PURCHASE!$H$6:$H$10008,$A$4:$A$2700)</f>
        <v>1200</v>
      </c>
      <c r="AN185" s="512">
        <f>SUMIFS(PURCHASE!$L$6:$L$10008,PURCHASE!$A$6:$A$10008,$AL$2,PURCHASE!$H$6:$H$10008,$A$4:$A$2700)</f>
        <v>0</v>
      </c>
      <c r="AO185" s="512">
        <f>SUMIFS(PURCHASE!$M$6:$M$10008,PURCHASE!$A$6:$A$10008,$AL$2,PURCHASE!$H$6:$H$10008,$A$4:$A$2700)</f>
        <v>108</v>
      </c>
      <c r="AP185" s="512">
        <f>SUMIFS(PURCHASE!$N$6:$N$10008,PURCHASE!$A$6:$A$10008,$AL$2,PURCHASE!$H$6:$H$10008,$A$4:$A$2700)</f>
        <v>108</v>
      </c>
      <c r="AQ185" s="512">
        <f t="shared" si="53"/>
        <v>2360</v>
      </c>
      <c r="AR185" s="512">
        <f>SUMIFS(PURCHASE!$K$6:$K$10008,PURCHASE!$A$6:$A$10008,$AQ$2,PURCHASE!$H$6:$H$10008,$A$4:$A$2700)</f>
        <v>2000</v>
      </c>
      <c r="AS185" s="512">
        <f>SUMIFS(PURCHASE!$L$6:$L$10008,PURCHASE!$A$6:$A$10008,$AQ$2,PURCHASE!$H$6:$H$10008,$A$4:$A$2700)</f>
        <v>0</v>
      </c>
      <c r="AT185" s="512">
        <f>SUMIFS(PURCHASE!$M$6:$M$10008,PURCHASE!$A$6:$A$10008,$AQ$2,PURCHASE!$H$6:$H$10008,$A$4:$A$2700)</f>
        <v>180</v>
      </c>
      <c r="AU185" s="512">
        <f>SUMIFS(PURCHASE!$N$6:$N$10008,PURCHASE!$A$6:$A$10008,$AQ$2,PURCHASE!$H$6:$H$10008,$A$4:$A$2700)</f>
        <v>180</v>
      </c>
      <c r="AV185" s="512">
        <f t="shared" si="54"/>
        <v>0</v>
      </c>
      <c r="AW185" s="512">
        <f>SUMIFS(PURCHASE!$K$6:$K$10008,PURCHASE!$A$6:$A$10008,$AV$2,PURCHASE!$H$6:$H$10008,$A$4:$A$2700)</f>
        <v>0</v>
      </c>
      <c r="AX185" s="512">
        <f>SUMIFS(PURCHASE!$L$6:$L$10008,PURCHASE!$A$6:$A$10008,$AV$2,PURCHASE!$H$6:$H$10008,$A$4:$A$2700)</f>
        <v>0</v>
      </c>
      <c r="AY185" s="512">
        <f>SUMIFS(PURCHASE!$M$6:$M$10008,PURCHASE!$A$6:$A$10008,$AV$2,PURCHASE!$H$6:$H$10008,$A$4:$A$2700)</f>
        <v>0</v>
      </c>
      <c r="AZ185" s="512">
        <f>SUMIFS(PURCHASE!$N$6:$N$10008,PURCHASE!$A$6:$A$10008,$AV$2,PURCHASE!$H$6:$H$10008,$A$4:$A$2700)</f>
        <v>0</v>
      </c>
      <c r="BA185" s="512">
        <f t="shared" si="55"/>
        <v>0</v>
      </c>
      <c r="BB185" s="512">
        <f>SUMIFS(PURCHASE!$K$6:$K$10008,PURCHASE!$A$6:$A$10008,$BA$2,PURCHASE!$H$6:$H$10008,$A$4:$A$2700)</f>
        <v>0</v>
      </c>
      <c r="BC185" s="512">
        <f>SUMIFS(PURCHASE!$L$6:$L$10008,PURCHASE!$A$6:$A$10008,$BA$2,PURCHASE!$H$6:$H$10008,$A$4:$A$2700)</f>
        <v>0</v>
      </c>
      <c r="BD185" s="512">
        <f>SUMIFS(PURCHASE!$M$6:$M$10008,PURCHASE!$A$6:$A$10008,$BA$2,PURCHASE!$H$6:$H$10008,$A$4:$A$2700)</f>
        <v>0</v>
      </c>
      <c r="BE185" s="512">
        <f>SUMIFS(PURCHASE!$N$6:$N$10008,PURCHASE!$A$6:$A$10008,$BA$2,PURCHASE!$H$6:$H$10008,$A$4:$A$2700)</f>
        <v>0</v>
      </c>
      <c r="BF185" s="512">
        <f t="shared" si="56"/>
        <v>0</v>
      </c>
      <c r="BG185" s="512">
        <f>SUMIFS(PURCHASE!$K$6:$K$10008,PURCHASE!$A$6:$A$10008,$BF$2,PURCHASE!$H$6:$H$10008,$A$4:$A$2700)</f>
        <v>0</v>
      </c>
      <c r="BH185" s="512">
        <f>SUMIFS(PURCHASE!$L$6:$L$10008,PURCHASE!$A$6:$A$10008,$BF$2,PURCHASE!$H$6:$H$10008,$A$4:$A$2700)</f>
        <v>0</v>
      </c>
      <c r="BI185" s="512">
        <f>SUMIFS(PURCHASE!$M$6:$M$10008,PURCHASE!$A$6:$A$10008,$BF$2,PURCHASE!$H$6:$H$10008,$A$4:$A$2700)</f>
        <v>0</v>
      </c>
      <c r="BJ185" s="512">
        <f>SUMIFS(PURCHASE!$N$6:$N$10008,PURCHASE!$A$6:$A$10008,$BF$2,PURCHASE!$H$6:$H$10008,$A$4:$A$2700)</f>
        <v>0</v>
      </c>
      <c r="BK185" s="72">
        <f t="shared" si="40"/>
        <v>57213</v>
      </c>
      <c r="BL185" s="72">
        <f t="shared" si="41"/>
        <v>48485</v>
      </c>
      <c r="BM185" s="72">
        <f t="shared" si="42"/>
        <v>0</v>
      </c>
      <c r="BN185" s="72">
        <f t="shared" si="43"/>
        <v>4364</v>
      </c>
      <c r="BO185" s="72">
        <f t="shared" si="44"/>
        <v>4364</v>
      </c>
    </row>
    <row r="186" spans="1:67" x14ac:dyDescent="0.2">
      <c r="A186" s="511">
        <v>32082020</v>
      </c>
      <c r="B186" s="467" t="s">
        <v>1312</v>
      </c>
      <c r="C186" s="512">
        <f t="shared" si="45"/>
        <v>0</v>
      </c>
      <c r="D186" s="512">
        <f>SUMIFS(PURCHASE!$K$6:$K$10008,PURCHASE!$A$6:$A$10008,$M$2,PURCHASE!$H$6:$H$10008,$A$4:$A$2700)</f>
        <v>0</v>
      </c>
      <c r="E186" s="512">
        <f>SUMIFS(PURCHASE!$L$6:$L$10008,PURCHASE!$A$6:$A$10008,$M$2,PURCHASE!$H$6:$H$10008,$A$4:$A$2700)</f>
        <v>0</v>
      </c>
      <c r="F186" s="512">
        <f>SUMIFS(PURCHASE!$M$6:$M$10008,PURCHASE!$A$6:$A$10008,$M$2,PURCHASE!$H$6:$H$10008,$A$4:$A$2700)</f>
        <v>0</v>
      </c>
      <c r="G186" s="512">
        <f>SUMIFS(PURCHASE!$N$6:$N$10008,PURCHASE!$A$6:$A$10008,$M$2,PURCHASE!$H$6:$H$10008,$A$4:$A$2700)</f>
        <v>0</v>
      </c>
      <c r="H186" s="512">
        <f t="shared" si="46"/>
        <v>16992</v>
      </c>
      <c r="I186" s="512">
        <f>SUMIFS(PURCHASE!$K$6:$K$10008,PURCHASE!$A$6:$A$10008,$H$2,PURCHASE!$H$6:$H$10008,$A$4:$A$2700)</f>
        <v>14400</v>
      </c>
      <c r="J186" s="512">
        <f>SUMIFS(PURCHASE!$L$6:$L$10008,PURCHASE!$A$6:$A$10008,$H$2,PURCHASE!$H$6:$H$10008,$A$4:$A$2700)</f>
        <v>0</v>
      </c>
      <c r="K186" s="512">
        <f>SUMIFS(PURCHASE!$M$6:$M$10008,PURCHASE!$A$6:$A$10008,$H$2,PURCHASE!$H$6:$H$10008,$A$4:$A$2700)</f>
        <v>1296</v>
      </c>
      <c r="L186" s="512">
        <f>SUMIFS(PURCHASE!$N$6:$N$10008,PURCHASE!$A$6:$A$10008,$H$2,PURCHASE!$H$6:$H$10008,$A$4:$A$2700)</f>
        <v>1296</v>
      </c>
      <c r="M186" s="512">
        <f t="shared" si="47"/>
        <v>0</v>
      </c>
      <c r="N186" s="512">
        <f>SUMIFS(PURCHASE!$K$6:$K$10008,PURCHASE!$A$6:$A$10008,$M$2,PURCHASE!$H$6:$H$10008,$A$4:$A$2700)</f>
        <v>0</v>
      </c>
      <c r="O186" s="512">
        <f>SUMIFS(PURCHASE!$L$6:$L$10008,PURCHASE!$A$6:$A$10008,$M$2,PURCHASE!$H$6:$H$10008,$A$4:$A$2700)</f>
        <v>0</v>
      </c>
      <c r="P186" s="512">
        <f>SUMIFS(PURCHASE!$M$6:$M$10008,PURCHASE!$A$6:$A$10008,$M$2,PURCHASE!$H$6:$H$10008,$A$4:$A$2700)</f>
        <v>0</v>
      </c>
      <c r="Q186" s="512">
        <f>SUMIFS(PURCHASE!$N$6:$N$10008,PURCHASE!$A$6:$A$10008,$M$2,PURCHASE!$H$6:$H$10008,$A$4:$A$2700)</f>
        <v>0</v>
      </c>
      <c r="R186" s="512">
        <f t="shared" si="48"/>
        <v>0</v>
      </c>
      <c r="S186" s="512">
        <f>SUMIFS(PURCHASE!$K$6:$K$10008,PURCHASE!$A$6:$A$10008,$R$2,PURCHASE!$H$6:$H$10008,$A$4:$A$2700)</f>
        <v>0</v>
      </c>
      <c r="T186" s="512">
        <f>SUMIFS(PURCHASE!$L$6:$L$10008,PURCHASE!$A$6:$A$10008,$R$2,PURCHASE!$H$6:$H$10008,$A$4:$A$2700)</f>
        <v>0</v>
      </c>
      <c r="U186" s="512">
        <f>SUMIFS(PURCHASE!$M$6:$M$10008,PURCHASE!$A$6:$A$10008,$R$2,PURCHASE!$H$6:$H$10008,$A$4:$A$2700)</f>
        <v>0</v>
      </c>
      <c r="V186" s="512">
        <f>SUMIFS(PURCHASE!$N$6:$N$10008,PURCHASE!$A$6:$A$10008,$R$2,PURCHASE!$H$6:$H$10008,$A$4:$A$2700)</f>
        <v>0</v>
      </c>
      <c r="W186" s="512">
        <f t="shared" si="49"/>
        <v>0</v>
      </c>
      <c r="X186" s="512">
        <f>SUMIFS(PURCHASE!$K$6:$K$10008,PURCHASE!$A$6:$A$10008,$W$2,PURCHASE!$H$6:$H$10008,$A$4:$A$2700)</f>
        <v>0</v>
      </c>
      <c r="Y186" s="512">
        <f>SUMIFS(PURCHASE!$L$6:$L$10008,PURCHASE!$A$6:$A$10008,$W$2,PURCHASE!$H$6:$H$10008,$A$4:$A$2700)</f>
        <v>0</v>
      </c>
      <c r="Z186" s="512">
        <f>SUMIFS(PURCHASE!$M$6:$M$10008,PURCHASE!$A$6:$A$10008,$W$2,PURCHASE!$H$6:$H$10008,$A$4:$A$2700)</f>
        <v>0</v>
      </c>
      <c r="AA186" s="512">
        <f>SUMIFS(PURCHASE!$N$6:$N$10008,PURCHASE!$A$6:$A$10008,$W$2,PURCHASE!$H$6:$H$10008,$A$4:$A$2700)</f>
        <v>0</v>
      </c>
      <c r="AB186" s="512">
        <f t="shared" si="50"/>
        <v>82600</v>
      </c>
      <c r="AC186" s="512">
        <f>SUMIFS(PURCHASE!$K$6:$K$10008,PURCHASE!$A$6:$A$10008,$AB$2,PURCHASE!$H$6:$H$10008,$A$4:$A$2700)</f>
        <v>70000</v>
      </c>
      <c r="AD186" s="512">
        <f>SUMIFS(PURCHASE!$L$6:$L$10008,PURCHASE!$A$6:$A$10008,$AB$2,PURCHASE!$H$6:$H$10008,$A$4:$A$2700)</f>
        <v>0</v>
      </c>
      <c r="AE186" s="512">
        <f>SUMIFS(PURCHASE!$M$6:$M$10008,PURCHASE!$A$6:$A$10008,$AB$2,PURCHASE!$H$6:$H$10008,$A$4:$A$2700)</f>
        <v>6300</v>
      </c>
      <c r="AF186" s="512">
        <f>SUMIFS(PURCHASE!$N$6:$N$10008,PURCHASE!$A$6:$A$10008,$AB$2,PURCHASE!$H$6:$H$10008,$A$4:$A$2700)</f>
        <v>6300</v>
      </c>
      <c r="AG186" s="512">
        <f t="shared" si="51"/>
        <v>24780</v>
      </c>
      <c r="AH186" s="512">
        <f>SUMIFS(PURCHASE!$K$6:$K$10008,PURCHASE!$A$6:$A$10008,$AG$2,PURCHASE!$H$6:$H$10008,$A$4:$A$2700)</f>
        <v>21000</v>
      </c>
      <c r="AI186" s="512">
        <f>SUMIFS(PURCHASE!$L$6:$L$10008,PURCHASE!$A$6:$A$10008,$AG$2,PURCHASE!$H$6:$H$10008,$A$4:$A$2700)</f>
        <v>0</v>
      </c>
      <c r="AJ186" s="512">
        <f>SUMIFS(PURCHASE!$M$6:$M$10008,PURCHASE!$A$6:$A$10008,$AG$2,PURCHASE!$H$6:$H$10008,$A$4:$A$2700)</f>
        <v>1890</v>
      </c>
      <c r="AK186" s="512">
        <f>SUMIFS(PURCHASE!$N$6:$N$10008,PURCHASE!$A$6:$A$10008,$AG$2,PURCHASE!$H$6:$H$10008,$A$4:$A$2700)</f>
        <v>1890</v>
      </c>
      <c r="AL186" s="512">
        <f t="shared" si="52"/>
        <v>0</v>
      </c>
      <c r="AM186" s="512">
        <f>SUMIFS(PURCHASE!$K$6:$K$10008,PURCHASE!$A$6:$A$10008,$AL$2,PURCHASE!$H$6:$H$10008,$A$4:$A$2700)</f>
        <v>0</v>
      </c>
      <c r="AN186" s="512">
        <f>SUMIFS(PURCHASE!$L$6:$L$10008,PURCHASE!$A$6:$A$10008,$AL$2,PURCHASE!$H$6:$H$10008,$A$4:$A$2700)</f>
        <v>0</v>
      </c>
      <c r="AO186" s="512">
        <f>SUMIFS(PURCHASE!$M$6:$M$10008,PURCHASE!$A$6:$A$10008,$AL$2,PURCHASE!$H$6:$H$10008,$A$4:$A$2700)</f>
        <v>0</v>
      </c>
      <c r="AP186" s="512">
        <f>SUMIFS(PURCHASE!$N$6:$N$10008,PURCHASE!$A$6:$A$10008,$AL$2,PURCHASE!$H$6:$H$10008,$A$4:$A$2700)</f>
        <v>0</v>
      </c>
      <c r="AQ186" s="512">
        <f t="shared" si="53"/>
        <v>41300</v>
      </c>
      <c r="AR186" s="512">
        <f>SUMIFS(PURCHASE!$K$6:$K$10008,PURCHASE!$A$6:$A$10008,$AQ$2,PURCHASE!$H$6:$H$10008,$A$4:$A$2700)</f>
        <v>35000</v>
      </c>
      <c r="AS186" s="512">
        <f>SUMIFS(PURCHASE!$L$6:$L$10008,PURCHASE!$A$6:$A$10008,$AQ$2,PURCHASE!$H$6:$H$10008,$A$4:$A$2700)</f>
        <v>0</v>
      </c>
      <c r="AT186" s="512">
        <f>SUMIFS(PURCHASE!$M$6:$M$10008,PURCHASE!$A$6:$A$10008,$AQ$2,PURCHASE!$H$6:$H$10008,$A$4:$A$2700)</f>
        <v>3150</v>
      </c>
      <c r="AU186" s="512">
        <f>SUMIFS(PURCHASE!$N$6:$N$10008,PURCHASE!$A$6:$A$10008,$AQ$2,PURCHASE!$H$6:$H$10008,$A$4:$A$2700)</f>
        <v>3150</v>
      </c>
      <c r="AV186" s="512">
        <f t="shared" si="54"/>
        <v>82314.44</v>
      </c>
      <c r="AW186" s="512">
        <f>SUMIFS(PURCHASE!$K$6:$K$10008,PURCHASE!$A$6:$A$10008,$AV$2,PURCHASE!$H$6:$H$10008,$A$4:$A$2700)</f>
        <v>69758</v>
      </c>
      <c r="AX186" s="512">
        <f>SUMIFS(PURCHASE!$L$6:$L$10008,PURCHASE!$A$6:$A$10008,$AV$2,PURCHASE!$H$6:$H$10008,$A$4:$A$2700)</f>
        <v>0</v>
      </c>
      <c r="AY186" s="512">
        <f>SUMIFS(PURCHASE!$M$6:$M$10008,PURCHASE!$A$6:$A$10008,$AV$2,PURCHASE!$H$6:$H$10008,$A$4:$A$2700)</f>
        <v>6278.22</v>
      </c>
      <c r="AZ186" s="512">
        <f>SUMIFS(PURCHASE!$N$6:$N$10008,PURCHASE!$A$6:$A$10008,$AV$2,PURCHASE!$H$6:$H$10008,$A$4:$A$2700)</f>
        <v>6278.22</v>
      </c>
      <c r="BA186" s="512">
        <f t="shared" si="55"/>
        <v>0</v>
      </c>
      <c r="BB186" s="512">
        <f>SUMIFS(PURCHASE!$K$6:$K$10008,PURCHASE!$A$6:$A$10008,$BA$2,PURCHASE!$H$6:$H$10008,$A$4:$A$2700)</f>
        <v>0</v>
      </c>
      <c r="BC186" s="512">
        <f>SUMIFS(PURCHASE!$L$6:$L$10008,PURCHASE!$A$6:$A$10008,$BA$2,PURCHASE!$H$6:$H$10008,$A$4:$A$2700)</f>
        <v>0</v>
      </c>
      <c r="BD186" s="512">
        <f>SUMIFS(PURCHASE!$M$6:$M$10008,PURCHASE!$A$6:$A$10008,$BA$2,PURCHASE!$H$6:$H$10008,$A$4:$A$2700)</f>
        <v>0</v>
      </c>
      <c r="BE186" s="512">
        <f>SUMIFS(PURCHASE!$N$6:$N$10008,PURCHASE!$A$6:$A$10008,$BA$2,PURCHASE!$H$6:$H$10008,$A$4:$A$2700)</f>
        <v>0</v>
      </c>
      <c r="BF186" s="512">
        <f t="shared" si="56"/>
        <v>0</v>
      </c>
      <c r="BG186" s="512">
        <f>SUMIFS(PURCHASE!$K$6:$K$10008,PURCHASE!$A$6:$A$10008,$BF$2,PURCHASE!$H$6:$H$10008,$A$4:$A$2700)</f>
        <v>0</v>
      </c>
      <c r="BH186" s="512">
        <f>SUMIFS(PURCHASE!$L$6:$L$10008,PURCHASE!$A$6:$A$10008,$BF$2,PURCHASE!$H$6:$H$10008,$A$4:$A$2700)</f>
        <v>0</v>
      </c>
      <c r="BI186" s="512">
        <f>SUMIFS(PURCHASE!$M$6:$M$10008,PURCHASE!$A$6:$A$10008,$BF$2,PURCHASE!$H$6:$H$10008,$A$4:$A$2700)</f>
        <v>0</v>
      </c>
      <c r="BJ186" s="512">
        <f>SUMIFS(PURCHASE!$N$6:$N$10008,PURCHASE!$A$6:$A$10008,$BF$2,PURCHASE!$H$6:$H$10008,$A$4:$A$2700)</f>
        <v>0</v>
      </c>
      <c r="BK186" s="72">
        <f t="shared" si="40"/>
        <v>247986.44</v>
      </c>
      <c r="BL186" s="72">
        <f t="shared" si="41"/>
        <v>210158</v>
      </c>
      <c r="BM186" s="72">
        <f t="shared" si="42"/>
        <v>0</v>
      </c>
      <c r="BN186" s="72">
        <f t="shared" si="43"/>
        <v>18914.22</v>
      </c>
      <c r="BO186" s="72">
        <f t="shared" si="44"/>
        <v>18914.22</v>
      </c>
    </row>
    <row r="187" spans="1:67" x14ac:dyDescent="0.2">
      <c r="A187" s="511">
        <v>38245010</v>
      </c>
      <c r="B187" s="467" t="s">
        <v>1321</v>
      </c>
      <c r="C187" s="512">
        <f t="shared" si="45"/>
        <v>0</v>
      </c>
      <c r="D187" s="512">
        <f>SUMIFS(PURCHASE!$K$6:$K$10008,PURCHASE!$A$6:$A$10008,$M$2,PURCHASE!$H$6:$H$10008,$A$4:$A$2700)</f>
        <v>0</v>
      </c>
      <c r="E187" s="512">
        <f>SUMIFS(PURCHASE!$L$6:$L$10008,PURCHASE!$A$6:$A$10008,$M$2,PURCHASE!$H$6:$H$10008,$A$4:$A$2700)</f>
        <v>0</v>
      </c>
      <c r="F187" s="512">
        <f>SUMIFS(PURCHASE!$M$6:$M$10008,PURCHASE!$A$6:$A$10008,$M$2,PURCHASE!$H$6:$H$10008,$A$4:$A$2700)</f>
        <v>0</v>
      </c>
      <c r="G187" s="512">
        <f>SUMIFS(PURCHASE!$N$6:$N$10008,PURCHASE!$A$6:$A$10008,$M$2,PURCHASE!$H$6:$H$10008,$A$4:$A$2700)</f>
        <v>0</v>
      </c>
      <c r="H187" s="512">
        <f t="shared" si="46"/>
        <v>45100.048399999992</v>
      </c>
      <c r="I187" s="512">
        <f>SUMIFS(PURCHASE!$K$6:$K$10008,PURCHASE!$A$6:$A$10008,$H$2,PURCHASE!$H$6:$H$10008,$A$4:$A$2700)</f>
        <v>38220.379999999997</v>
      </c>
      <c r="J187" s="512">
        <f>SUMIFS(PURCHASE!$L$6:$L$10008,PURCHASE!$A$6:$A$10008,$H$2,PURCHASE!$H$6:$H$10008,$A$4:$A$2700)</f>
        <v>0</v>
      </c>
      <c r="K187" s="512">
        <f>SUMIFS(PURCHASE!$M$6:$M$10008,PURCHASE!$A$6:$A$10008,$H$2,PURCHASE!$H$6:$H$10008,$A$4:$A$2700)</f>
        <v>3439.8342000000002</v>
      </c>
      <c r="L187" s="512">
        <f>SUMIFS(PURCHASE!$N$6:$N$10008,PURCHASE!$A$6:$A$10008,$H$2,PURCHASE!$H$6:$H$10008,$A$4:$A$2700)</f>
        <v>3439.8342000000002</v>
      </c>
      <c r="M187" s="512">
        <f t="shared" si="47"/>
        <v>0</v>
      </c>
      <c r="N187" s="512">
        <f>SUMIFS(PURCHASE!$K$6:$K$10008,PURCHASE!$A$6:$A$10008,$M$2,PURCHASE!$H$6:$H$10008,$A$4:$A$2700)</f>
        <v>0</v>
      </c>
      <c r="O187" s="512">
        <f>SUMIFS(PURCHASE!$L$6:$L$10008,PURCHASE!$A$6:$A$10008,$M$2,PURCHASE!$H$6:$H$10008,$A$4:$A$2700)</f>
        <v>0</v>
      </c>
      <c r="P187" s="512">
        <f>SUMIFS(PURCHASE!$M$6:$M$10008,PURCHASE!$A$6:$A$10008,$M$2,PURCHASE!$H$6:$H$10008,$A$4:$A$2700)</f>
        <v>0</v>
      </c>
      <c r="Q187" s="512">
        <f>SUMIFS(PURCHASE!$N$6:$N$10008,PURCHASE!$A$6:$A$10008,$M$2,PURCHASE!$H$6:$H$10008,$A$4:$A$2700)</f>
        <v>0</v>
      </c>
      <c r="R187" s="512">
        <f t="shared" si="48"/>
        <v>0</v>
      </c>
      <c r="S187" s="512">
        <f>SUMIFS(PURCHASE!$K$6:$K$10008,PURCHASE!$A$6:$A$10008,$R$2,PURCHASE!$H$6:$H$10008,$A$4:$A$2700)</f>
        <v>0</v>
      </c>
      <c r="T187" s="512">
        <f>SUMIFS(PURCHASE!$L$6:$L$10008,PURCHASE!$A$6:$A$10008,$R$2,PURCHASE!$H$6:$H$10008,$A$4:$A$2700)</f>
        <v>0</v>
      </c>
      <c r="U187" s="512">
        <f>SUMIFS(PURCHASE!$M$6:$M$10008,PURCHASE!$A$6:$A$10008,$R$2,PURCHASE!$H$6:$H$10008,$A$4:$A$2700)</f>
        <v>0</v>
      </c>
      <c r="V187" s="512">
        <f>SUMIFS(PURCHASE!$N$6:$N$10008,PURCHASE!$A$6:$A$10008,$R$2,PURCHASE!$H$6:$H$10008,$A$4:$A$2700)</f>
        <v>0</v>
      </c>
      <c r="W187" s="512">
        <f t="shared" si="49"/>
        <v>0</v>
      </c>
      <c r="X187" s="512">
        <f>SUMIFS(PURCHASE!$K$6:$K$10008,PURCHASE!$A$6:$A$10008,$W$2,PURCHASE!$H$6:$H$10008,$A$4:$A$2700)</f>
        <v>0</v>
      </c>
      <c r="Y187" s="512">
        <f>SUMIFS(PURCHASE!$L$6:$L$10008,PURCHASE!$A$6:$A$10008,$W$2,PURCHASE!$H$6:$H$10008,$A$4:$A$2700)</f>
        <v>0</v>
      </c>
      <c r="Z187" s="512">
        <f>SUMIFS(PURCHASE!$M$6:$M$10008,PURCHASE!$A$6:$A$10008,$W$2,PURCHASE!$H$6:$H$10008,$A$4:$A$2700)</f>
        <v>0</v>
      </c>
      <c r="AA187" s="512">
        <f>SUMIFS(PURCHASE!$N$6:$N$10008,PURCHASE!$A$6:$A$10008,$W$2,PURCHASE!$H$6:$H$10008,$A$4:$A$2700)</f>
        <v>0</v>
      </c>
      <c r="AB187" s="512">
        <f t="shared" si="50"/>
        <v>0</v>
      </c>
      <c r="AC187" s="512">
        <f>SUMIFS(PURCHASE!$K$6:$K$10008,PURCHASE!$A$6:$A$10008,$AB$2,PURCHASE!$H$6:$H$10008,$A$4:$A$2700)</f>
        <v>0</v>
      </c>
      <c r="AD187" s="512">
        <f>SUMIFS(PURCHASE!$L$6:$L$10008,PURCHASE!$A$6:$A$10008,$AB$2,PURCHASE!$H$6:$H$10008,$A$4:$A$2700)</f>
        <v>0</v>
      </c>
      <c r="AE187" s="512">
        <f>SUMIFS(PURCHASE!$M$6:$M$10008,PURCHASE!$A$6:$A$10008,$AB$2,PURCHASE!$H$6:$H$10008,$A$4:$A$2700)</f>
        <v>0</v>
      </c>
      <c r="AF187" s="512">
        <f>SUMIFS(PURCHASE!$N$6:$N$10008,PURCHASE!$A$6:$A$10008,$AB$2,PURCHASE!$H$6:$H$10008,$A$4:$A$2700)</f>
        <v>0</v>
      </c>
      <c r="AG187" s="512">
        <f t="shared" si="51"/>
        <v>0</v>
      </c>
      <c r="AH187" s="512">
        <f>SUMIFS(PURCHASE!$K$6:$K$10008,PURCHASE!$A$6:$A$10008,$AG$2,PURCHASE!$H$6:$H$10008,$A$4:$A$2700)</f>
        <v>0</v>
      </c>
      <c r="AI187" s="512">
        <f>SUMIFS(PURCHASE!$L$6:$L$10008,PURCHASE!$A$6:$A$10008,$AG$2,PURCHASE!$H$6:$H$10008,$A$4:$A$2700)</f>
        <v>0</v>
      </c>
      <c r="AJ187" s="512">
        <f>SUMIFS(PURCHASE!$M$6:$M$10008,PURCHASE!$A$6:$A$10008,$AG$2,PURCHASE!$H$6:$H$10008,$A$4:$A$2700)</f>
        <v>0</v>
      </c>
      <c r="AK187" s="512">
        <f>SUMIFS(PURCHASE!$N$6:$N$10008,PURCHASE!$A$6:$A$10008,$AG$2,PURCHASE!$H$6:$H$10008,$A$4:$A$2700)</f>
        <v>0</v>
      </c>
      <c r="AL187" s="512">
        <f t="shared" si="52"/>
        <v>0</v>
      </c>
      <c r="AM187" s="512">
        <f>SUMIFS(PURCHASE!$K$6:$K$10008,PURCHASE!$A$6:$A$10008,$AL$2,PURCHASE!$H$6:$H$10008,$A$4:$A$2700)</f>
        <v>0</v>
      </c>
      <c r="AN187" s="512">
        <f>SUMIFS(PURCHASE!$L$6:$L$10008,PURCHASE!$A$6:$A$10008,$AL$2,PURCHASE!$H$6:$H$10008,$A$4:$A$2700)</f>
        <v>0</v>
      </c>
      <c r="AO187" s="512">
        <f>SUMIFS(PURCHASE!$M$6:$M$10008,PURCHASE!$A$6:$A$10008,$AL$2,PURCHASE!$H$6:$H$10008,$A$4:$A$2700)</f>
        <v>0</v>
      </c>
      <c r="AP187" s="512">
        <f>SUMIFS(PURCHASE!$N$6:$N$10008,PURCHASE!$A$6:$A$10008,$AL$2,PURCHASE!$H$6:$H$10008,$A$4:$A$2700)</f>
        <v>0</v>
      </c>
      <c r="AQ187" s="512">
        <f t="shared" si="53"/>
        <v>0</v>
      </c>
      <c r="AR187" s="512">
        <f>SUMIFS(PURCHASE!$K$6:$K$10008,PURCHASE!$A$6:$A$10008,$AQ$2,PURCHASE!$H$6:$H$10008,$A$4:$A$2700)</f>
        <v>0</v>
      </c>
      <c r="AS187" s="512">
        <f>SUMIFS(PURCHASE!$L$6:$L$10008,PURCHASE!$A$6:$A$10008,$AQ$2,PURCHASE!$H$6:$H$10008,$A$4:$A$2700)</f>
        <v>0</v>
      </c>
      <c r="AT187" s="512">
        <f>SUMIFS(PURCHASE!$M$6:$M$10008,PURCHASE!$A$6:$A$10008,$AQ$2,PURCHASE!$H$6:$H$10008,$A$4:$A$2700)</f>
        <v>0</v>
      </c>
      <c r="AU187" s="512">
        <f>SUMIFS(PURCHASE!$N$6:$N$10008,PURCHASE!$A$6:$A$10008,$AQ$2,PURCHASE!$H$6:$H$10008,$A$4:$A$2700)</f>
        <v>0</v>
      </c>
      <c r="AV187" s="512">
        <f t="shared" si="54"/>
        <v>0</v>
      </c>
      <c r="AW187" s="512">
        <f>SUMIFS(PURCHASE!$K$6:$K$10008,PURCHASE!$A$6:$A$10008,$AV$2,PURCHASE!$H$6:$H$10008,$A$4:$A$2700)</f>
        <v>0</v>
      </c>
      <c r="AX187" s="512">
        <f>SUMIFS(PURCHASE!$L$6:$L$10008,PURCHASE!$A$6:$A$10008,$AV$2,PURCHASE!$H$6:$H$10008,$A$4:$A$2700)</f>
        <v>0</v>
      </c>
      <c r="AY187" s="512">
        <f>SUMIFS(PURCHASE!$M$6:$M$10008,PURCHASE!$A$6:$A$10008,$AV$2,PURCHASE!$H$6:$H$10008,$A$4:$A$2700)</f>
        <v>0</v>
      </c>
      <c r="AZ187" s="512">
        <f>SUMIFS(PURCHASE!$N$6:$N$10008,PURCHASE!$A$6:$A$10008,$AV$2,PURCHASE!$H$6:$H$10008,$A$4:$A$2700)</f>
        <v>0</v>
      </c>
      <c r="BA187" s="512">
        <f t="shared" si="55"/>
        <v>0</v>
      </c>
      <c r="BB187" s="512">
        <f>SUMIFS(PURCHASE!$K$6:$K$10008,PURCHASE!$A$6:$A$10008,$BA$2,PURCHASE!$H$6:$H$10008,$A$4:$A$2700)</f>
        <v>0</v>
      </c>
      <c r="BC187" s="512">
        <f>SUMIFS(PURCHASE!$L$6:$L$10008,PURCHASE!$A$6:$A$10008,$BA$2,PURCHASE!$H$6:$H$10008,$A$4:$A$2700)</f>
        <v>0</v>
      </c>
      <c r="BD187" s="512">
        <f>SUMIFS(PURCHASE!$M$6:$M$10008,PURCHASE!$A$6:$A$10008,$BA$2,PURCHASE!$H$6:$H$10008,$A$4:$A$2700)</f>
        <v>0</v>
      </c>
      <c r="BE187" s="512">
        <f>SUMIFS(PURCHASE!$N$6:$N$10008,PURCHASE!$A$6:$A$10008,$BA$2,PURCHASE!$H$6:$H$10008,$A$4:$A$2700)</f>
        <v>0</v>
      </c>
      <c r="BF187" s="512">
        <f t="shared" si="56"/>
        <v>0</v>
      </c>
      <c r="BG187" s="512">
        <f>SUMIFS(PURCHASE!$K$6:$K$10008,PURCHASE!$A$6:$A$10008,$BF$2,PURCHASE!$H$6:$H$10008,$A$4:$A$2700)</f>
        <v>0</v>
      </c>
      <c r="BH187" s="512">
        <f>SUMIFS(PURCHASE!$L$6:$L$10008,PURCHASE!$A$6:$A$10008,$BF$2,PURCHASE!$H$6:$H$10008,$A$4:$A$2700)</f>
        <v>0</v>
      </c>
      <c r="BI187" s="512">
        <f>SUMIFS(PURCHASE!$M$6:$M$10008,PURCHASE!$A$6:$A$10008,$BF$2,PURCHASE!$H$6:$H$10008,$A$4:$A$2700)</f>
        <v>0</v>
      </c>
      <c r="BJ187" s="512">
        <f>SUMIFS(PURCHASE!$N$6:$N$10008,PURCHASE!$A$6:$A$10008,$BF$2,PURCHASE!$H$6:$H$10008,$A$4:$A$2700)</f>
        <v>0</v>
      </c>
      <c r="BK187" s="72">
        <f t="shared" si="40"/>
        <v>45100.048399999992</v>
      </c>
      <c r="BL187" s="72">
        <f t="shared" si="41"/>
        <v>38220.379999999997</v>
      </c>
      <c r="BM187" s="72">
        <f t="shared" si="42"/>
        <v>0</v>
      </c>
      <c r="BN187" s="72">
        <f t="shared" si="43"/>
        <v>3439.8342000000002</v>
      </c>
      <c r="BO187" s="72">
        <f t="shared" si="44"/>
        <v>3439.8342000000002</v>
      </c>
    </row>
    <row r="188" spans="1:67" x14ac:dyDescent="0.2">
      <c r="A188" s="511">
        <v>7411</v>
      </c>
      <c r="B188" s="467" t="s">
        <v>1322</v>
      </c>
      <c r="C188" s="512">
        <f t="shared" si="45"/>
        <v>14372.400000000001</v>
      </c>
      <c r="D188" s="512">
        <f>SUMIFS(PURCHASE!$K$6:$K$10008,PURCHASE!$A$6:$A$10008,$M$2,PURCHASE!$H$6:$H$10008,$A$4:$A$2700)</f>
        <v>12180</v>
      </c>
      <c r="E188" s="512">
        <f>SUMIFS(PURCHASE!$L$6:$L$10008,PURCHASE!$A$6:$A$10008,$M$2,PURCHASE!$H$6:$H$10008,$A$4:$A$2700)</f>
        <v>0</v>
      </c>
      <c r="F188" s="512">
        <f>SUMIFS(PURCHASE!$M$6:$M$10008,PURCHASE!$A$6:$A$10008,$M$2,PURCHASE!$H$6:$H$10008,$A$4:$A$2700)</f>
        <v>1096.2</v>
      </c>
      <c r="G188" s="512">
        <f>SUMIFS(PURCHASE!$N$6:$N$10008,PURCHASE!$A$6:$A$10008,$M$2,PURCHASE!$H$6:$H$10008,$A$4:$A$2700)</f>
        <v>1096.2</v>
      </c>
      <c r="H188" s="512">
        <f t="shared" si="46"/>
        <v>0</v>
      </c>
      <c r="I188" s="512">
        <f>SUMIFS(PURCHASE!$K$6:$K$10008,PURCHASE!$A$6:$A$10008,$H$2,PURCHASE!$H$6:$H$10008,$A$4:$A$2700)</f>
        <v>0</v>
      </c>
      <c r="J188" s="512">
        <f>SUMIFS(PURCHASE!$L$6:$L$10008,PURCHASE!$A$6:$A$10008,$H$2,PURCHASE!$H$6:$H$10008,$A$4:$A$2700)</f>
        <v>0</v>
      </c>
      <c r="K188" s="512">
        <f>SUMIFS(PURCHASE!$M$6:$M$10008,PURCHASE!$A$6:$A$10008,$H$2,PURCHASE!$H$6:$H$10008,$A$4:$A$2700)</f>
        <v>0</v>
      </c>
      <c r="L188" s="512">
        <f>SUMIFS(PURCHASE!$N$6:$N$10008,PURCHASE!$A$6:$A$10008,$H$2,PURCHASE!$H$6:$H$10008,$A$4:$A$2700)</f>
        <v>0</v>
      </c>
      <c r="M188" s="512">
        <f t="shared" si="47"/>
        <v>14372.400000000001</v>
      </c>
      <c r="N188" s="512">
        <f>SUMIFS(PURCHASE!$K$6:$K$10008,PURCHASE!$A$6:$A$10008,$M$2,PURCHASE!$H$6:$H$10008,$A$4:$A$2700)</f>
        <v>12180</v>
      </c>
      <c r="O188" s="512">
        <f>SUMIFS(PURCHASE!$L$6:$L$10008,PURCHASE!$A$6:$A$10008,$M$2,PURCHASE!$H$6:$H$10008,$A$4:$A$2700)</f>
        <v>0</v>
      </c>
      <c r="P188" s="512">
        <f>SUMIFS(PURCHASE!$M$6:$M$10008,PURCHASE!$A$6:$A$10008,$M$2,PURCHASE!$H$6:$H$10008,$A$4:$A$2700)</f>
        <v>1096.2</v>
      </c>
      <c r="Q188" s="512">
        <f>SUMIFS(PURCHASE!$N$6:$N$10008,PURCHASE!$A$6:$A$10008,$M$2,PURCHASE!$H$6:$H$10008,$A$4:$A$2700)</f>
        <v>1096.2</v>
      </c>
      <c r="R188" s="512">
        <f t="shared" si="48"/>
        <v>0</v>
      </c>
      <c r="S188" s="512">
        <f>SUMIFS(PURCHASE!$K$6:$K$10008,PURCHASE!$A$6:$A$10008,$R$2,PURCHASE!$H$6:$H$10008,$A$4:$A$2700)</f>
        <v>0</v>
      </c>
      <c r="T188" s="512">
        <f>SUMIFS(PURCHASE!$L$6:$L$10008,PURCHASE!$A$6:$A$10008,$R$2,PURCHASE!$H$6:$H$10008,$A$4:$A$2700)</f>
        <v>0</v>
      </c>
      <c r="U188" s="512">
        <f>SUMIFS(PURCHASE!$M$6:$M$10008,PURCHASE!$A$6:$A$10008,$R$2,PURCHASE!$H$6:$H$10008,$A$4:$A$2700)</f>
        <v>0</v>
      </c>
      <c r="V188" s="512">
        <f>SUMIFS(PURCHASE!$N$6:$N$10008,PURCHASE!$A$6:$A$10008,$R$2,PURCHASE!$H$6:$H$10008,$A$4:$A$2700)</f>
        <v>0</v>
      </c>
      <c r="W188" s="512">
        <f t="shared" si="49"/>
        <v>0</v>
      </c>
      <c r="X188" s="512">
        <f>SUMIFS(PURCHASE!$K$6:$K$10008,PURCHASE!$A$6:$A$10008,$W$2,PURCHASE!$H$6:$H$10008,$A$4:$A$2700)</f>
        <v>0</v>
      </c>
      <c r="Y188" s="512">
        <f>SUMIFS(PURCHASE!$L$6:$L$10008,PURCHASE!$A$6:$A$10008,$W$2,PURCHASE!$H$6:$H$10008,$A$4:$A$2700)</f>
        <v>0</v>
      </c>
      <c r="Z188" s="512">
        <f>SUMIFS(PURCHASE!$M$6:$M$10008,PURCHASE!$A$6:$A$10008,$W$2,PURCHASE!$H$6:$H$10008,$A$4:$A$2700)</f>
        <v>0</v>
      </c>
      <c r="AA188" s="512">
        <f>SUMIFS(PURCHASE!$N$6:$N$10008,PURCHASE!$A$6:$A$10008,$W$2,PURCHASE!$H$6:$H$10008,$A$4:$A$2700)</f>
        <v>0</v>
      </c>
      <c r="AB188" s="512">
        <f t="shared" si="50"/>
        <v>0</v>
      </c>
      <c r="AC188" s="512">
        <f>SUMIFS(PURCHASE!$K$6:$K$10008,PURCHASE!$A$6:$A$10008,$AB$2,PURCHASE!$H$6:$H$10008,$A$4:$A$2700)</f>
        <v>0</v>
      </c>
      <c r="AD188" s="512">
        <f>SUMIFS(PURCHASE!$L$6:$L$10008,PURCHASE!$A$6:$A$10008,$AB$2,PURCHASE!$H$6:$H$10008,$A$4:$A$2700)</f>
        <v>0</v>
      </c>
      <c r="AE188" s="512">
        <f>SUMIFS(PURCHASE!$M$6:$M$10008,PURCHASE!$A$6:$A$10008,$AB$2,PURCHASE!$H$6:$H$10008,$A$4:$A$2700)</f>
        <v>0</v>
      </c>
      <c r="AF188" s="512">
        <f>SUMIFS(PURCHASE!$N$6:$N$10008,PURCHASE!$A$6:$A$10008,$AB$2,PURCHASE!$H$6:$H$10008,$A$4:$A$2700)</f>
        <v>0</v>
      </c>
      <c r="AG188" s="512">
        <f t="shared" si="51"/>
        <v>0</v>
      </c>
      <c r="AH188" s="512">
        <f>SUMIFS(PURCHASE!$K$6:$K$10008,PURCHASE!$A$6:$A$10008,$AG$2,PURCHASE!$H$6:$H$10008,$A$4:$A$2700)</f>
        <v>0</v>
      </c>
      <c r="AI188" s="512">
        <f>SUMIFS(PURCHASE!$L$6:$L$10008,PURCHASE!$A$6:$A$10008,$AG$2,PURCHASE!$H$6:$H$10008,$A$4:$A$2700)</f>
        <v>0</v>
      </c>
      <c r="AJ188" s="512">
        <f>SUMIFS(PURCHASE!$M$6:$M$10008,PURCHASE!$A$6:$A$10008,$AG$2,PURCHASE!$H$6:$H$10008,$A$4:$A$2700)</f>
        <v>0</v>
      </c>
      <c r="AK188" s="512">
        <f>SUMIFS(PURCHASE!$N$6:$N$10008,PURCHASE!$A$6:$A$10008,$AG$2,PURCHASE!$H$6:$H$10008,$A$4:$A$2700)</f>
        <v>0</v>
      </c>
      <c r="AL188" s="512">
        <f t="shared" si="52"/>
        <v>0</v>
      </c>
      <c r="AM188" s="512">
        <f>SUMIFS(PURCHASE!$K$6:$K$10008,PURCHASE!$A$6:$A$10008,$AL$2,PURCHASE!$H$6:$H$10008,$A$4:$A$2700)</f>
        <v>0</v>
      </c>
      <c r="AN188" s="512">
        <f>SUMIFS(PURCHASE!$L$6:$L$10008,PURCHASE!$A$6:$A$10008,$AL$2,PURCHASE!$H$6:$H$10008,$A$4:$A$2700)</f>
        <v>0</v>
      </c>
      <c r="AO188" s="512">
        <f>SUMIFS(PURCHASE!$M$6:$M$10008,PURCHASE!$A$6:$A$10008,$AL$2,PURCHASE!$H$6:$H$10008,$A$4:$A$2700)</f>
        <v>0</v>
      </c>
      <c r="AP188" s="512">
        <f>SUMIFS(PURCHASE!$N$6:$N$10008,PURCHASE!$A$6:$A$10008,$AL$2,PURCHASE!$H$6:$H$10008,$A$4:$A$2700)</f>
        <v>0</v>
      </c>
      <c r="AQ188" s="512">
        <f t="shared" si="53"/>
        <v>0</v>
      </c>
      <c r="AR188" s="512">
        <f>SUMIFS(PURCHASE!$K$6:$K$10008,PURCHASE!$A$6:$A$10008,$AQ$2,PURCHASE!$H$6:$H$10008,$A$4:$A$2700)</f>
        <v>0</v>
      </c>
      <c r="AS188" s="512">
        <f>SUMIFS(PURCHASE!$L$6:$L$10008,PURCHASE!$A$6:$A$10008,$AQ$2,PURCHASE!$H$6:$H$10008,$A$4:$A$2700)</f>
        <v>0</v>
      </c>
      <c r="AT188" s="512">
        <f>SUMIFS(PURCHASE!$M$6:$M$10008,PURCHASE!$A$6:$A$10008,$AQ$2,PURCHASE!$H$6:$H$10008,$A$4:$A$2700)</f>
        <v>0</v>
      </c>
      <c r="AU188" s="512">
        <f>SUMIFS(PURCHASE!$N$6:$N$10008,PURCHASE!$A$6:$A$10008,$AQ$2,PURCHASE!$H$6:$H$10008,$A$4:$A$2700)</f>
        <v>0</v>
      </c>
      <c r="AV188" s="512">
        <f t="shared" si="54"/>
        <v>0</v>
      </c>
      <c r="AW188" s="512">
        <f>SUMIFS(PURCHASE!$K$6:$K$10008,PURCHASE!$A$6:$A$10008,$AV$2,PURCHASE!$H$6:$H$10008,$A$4:$A$2700)</f>
        <v>0</v>
      </c>
      <c r="AX188" s="512">
        <f>SUMIFS(PURCHASE!$L$6:$L$10008,PURCHASE!$A$6:$A$10008,$AV$2,PURCHASE!$H$6:$H$10008,$A$4:$A$2700)</f>
        <v>0</v>
      </c>
      <c r="AY188" s="512">
        <f>SUMIFS(PURCHASE!$M$6:$M$10008,PURCHASE!$A$6:$A$10008,$AV$2,PURCHASE!$H$6:$H$10008,$A$4:$A$2700)</f>
        <v>0</v>
      </c>
      <c r="AZ188" s="512">
        <f>SUMIFS(PURCHASE!$N$6:$N$10008,PURCHASE!$A$6:$A$10008,$AV$2,PURCHASE!$H$6:$H$10008,$A$4:$A$2700)</f>
        <v>0</v>
      </c>
      <c r="BA188" s="512">
        <f t="shared" si="55"/>
        <v>0</v>
      </c>
      <c r="BB188" s="512">
        <f>SUMIFS(PURCHASE!$K$6:$K$10008,PURCHASE!$A$6:$A$10008,$BA$2,PURCHASE!$H$6:$H$10008,$A$4:$A$2700)</f>
        <v>0</v>
      </c>
      <c r="BC188" s="512">
        <f>SUMIFS(PURCHASE!$L$6:$L$10008,PURCHASE!$A$6:$A$10008,$BA$2,PURCHASE!$H$6:$H$10008,$A$4:$A$2700)</f>
        <v>0</v>
      </c>
      <c r="BD188" s="512">
        <f>SUMIFS(PURCHASE!$M$6:$M$10008,PURCHASE!$A$6:$A$10008,$BA$2,PURCHASE!$H$6:$H$10008,$A$4:$A$2700)</f>
        <v>0</v>
      </c>
      <c r="BE188" s="512">
        <f>SUMIFS(PURCHASE!$N$6:$N$10008,PURCHASE!$A$6:$A$10008,$BA$2,PURCHASE!$H$6:$H$10008,$A$4:$A$2700)</f>
        <v>0</v>
      </c>
      <c r="BF188" s="512">
        <f t="shared" si="56"/>
        <v>0</v>
      </c>
      <c r="BG188" s="512">
        <f>SUMIFS(PURCHASE!$K$6:$K$10008,PURCHASE!$A$6:$A$10008,$BF$2,PURCHASE!$H$6:$H$10008,$A$4:$A$2700)</f>
        <v>0</v>
      </c>
      <c r="BH188" s="512">
        <f>SUMIFS(PURCHASE!$L$6:$L$10008,PURCHASE!$A$6:$A$10008,$BF$2,PURCHASE!$H$6:$H$10008,$A$4:$A$2700)</f>
        <v>0</v>
      </c>
      <c r="BI188" s="512">
        <f>SUMIFS(PURCHASE!$M$6:$M$10008,PURCHASE!$A$6:$A$10008,$BF$2,PURCHASE!$H$6:$H$10008,$A$4:$A$2700)</f>
        <v>0</v>
      </c>
      <c r="BJ188" s="512">
        <f>SUMIFS(PURCHASE!$N$6:$N$10008,PURCHASE!$A$6:$A$10008,$BF$2,PURCHASE!$H$6:$H$10008,$A$4:$A$2700)</f>
        <v>0</v>
      </c>
      <c r="BK188" s="72">
        <f t="shared" si="40"/>
        <v>28744.800000000003</v>
      </c>
      <c r="BL188" s="72">
        <f t="shared" si="41"/>
        <v>24360</v>
      </c>
      <c r="BM188" s="72">
        <f t="shared" si="42"/>
        <v>0</v>
      </c>
      <c r="BN188" s="72">
        <f t="shared" si="43"/>
        <v>2192.4</v>
      </c>
      <c r="BO188" s="72">
        <f t="shared" si="44"/>
        <v>2192.4</v>
      </c>
    </row>
    <row r="189" spans="1:67" x14ac:dyDescent="0.2">
      <c r="A189" s="511">
        <v>7314</v>
      </c>
      <c r="B189" s="467" t="s">
        <v>1323</v>
      </c>
      <c r="C189" s="512">
        <f t="shared" si="45"/>
        <v>3635.1079999999997</v>
      </c>
      <c r="D189" s="512">
        <f>SUMIFS(PURCHASE!$K$6:$K$10008,PURCHASE!$A$6:$A$10008,$M$2,PURCHASE!$H$6:$H$10008,$A$4:$A$2700)</f>
        <v>3080.6</v>
      </c>
      <c r="E189" s="512">
        <f>SUMIFS(PURCHASE!$L$6:$L$10008,PURCHASE!$A$6:$A$10008,$M$2,PURCHASE!$H$6:$H$10008,$A$4:$A$2700)</f>
        <v>0</v>
      </c>
      <c r="F189" s="512">
        <f>SUMIFS(PURCHASE!$M$6:$M$10008,PURCHASE!$A$6:$A$10008,$M$2,PURCHASE!$H$6:$H$10008,$A$4:$A$2700)</f>
        <v>277.25399999999996</v>
      </c>
      <c r="G189" s="512">
        <f>SUMIFS(PURCHASE!$N$6:$N$10008,PURCHASE!$A$6:$A$10008,$M$2,PURCHASE!$H$6:$H$10008,$A$4:$A$2700)</f>
        <v>277.25399999999996</v>
      </c>
      <c r="H189" s="512">
        <f t="shared" si="46"/>
        <v>3626.4939999999997</v>
      </c>
      <c r="I189" s="512">
        <f>SUMIFS(PURCHASE!$K$6:$K$10008,PURCHASE!$A$6:$A$10008,$H$2,PURCHASE!$H$6:$H$10008,$A$4:$A$2700)</f>
        <v>3073.3</v>
      </c>
      <c r="J189" s="512">
        <f>SUMIFS(PURCHASE!$L$6:$L$10008,PURCHASE!$A$6:$A$10008,$H$2,PURCHASE!$H$6:$H$10008,$A$4:$A$2700)</f>
        <v>0</v>
      </c>
      <c r="K189" s="512">
        <f>SUMIFS(PURCHASE!$M$6:$M$10008,PURCHASE!$A$6:$A$10008,$H$2,PURCHASE!$H$6:$H$10008,$A$4:$A$2700)</f>
        <v>276.59699999999998</v>
      </c>
      <c r="L189" s="512">
        <f>SUMIFS(PURCHASE!$N$6:$N$10008,PURCHASE!$A$6:$A$10008,$H$2,PURCHASE!$H$6:$H$10008,$A$4:$A$2700)</f>
        <v>276.59699999999998</v>
      </c>
      <c r="M189" s="512">
        <f t="shared" si="47"/>
        <v>3635.1079999999997</v>
      </c>
      <c r="N189" s="512">
        <f>SUMIFS(PURCHASE!$K$6:$K$10008,PURCHASE!$A$6:$A$10008,$M$2,PURCHASE!$H$6:$H$10008,$A$4:$A$2700)</f>
        <v>3080.6</v>
      </c>
      <c r="O189" s="512">
        <f>SUMIFS(PURCHASE!$L$6:$L$10008,PURCHASE!$A$6:$A$10008,$M$2,PURCHASE!$H$6:$H$10008,$A$4:$A$2700)</f>
        <v>0</v>
      </c>
      <c r="P189" s="512">
        <f>SUMIFS(PURCHASE!$M$6:$M$10008,PURCHASE!$A$6:$A$10008,$M$2,PURCHASE!$H$6:$H$10008,$A$4:$A$2700)</f>
        <v>277.25399999999996</v>
      </c>
      <c r="Q189" s="512">
        <f>SUMIFS(PURCHASE!$N$6:$N$10008,PURCHASE!$A$6:$A$10008,$M$2,PURCHASE!$H$6:$H$10008,$A$4:$A$2700)</f>
        <v>277.25399999999996</v>
      </c>
      <c r="R189" s="512">
        <f t="shared" si="48"/>
        <v>0</v>
      </c>
      <c r="S189" s="512">
        <f>SUMIFS(PURCHASE!$K$6:$K$10008,PURCHASE!$A$6:$A$10008,$R$2,PURCHASE!$H$6:$H$10008,$A$4:$A$2700)</f>
        <v>0</v>
      </c>
      <c r="T189" s="512">
        <f>SUMIFS(PURCHASE!$L$6:$L$10008,PURCHASE!$A$6:$A$10008,$R$2,PURCHASE!$H$6:$H$10008,$A$4:$A$2700)</f>
        <v>0</v>
      </c>
      <c r="U189" s="512">
        <f>SUMIFS(PURCHASE!$M$6:$M$10008,PURCHASE!$A$6:$A$10008,$R$2,PURCHASE!$H$6:$H$10008,$A$4:$A$2700)</f>
        <v>0</v>
      </c>
      <c r="V189" s="512">
        <f>SUMIFS(PURCHASE!$N$6:$N$10008,PURCHASE!$A$6:$A$10008,$R$2,PURCHASE!$H$6:$H$10008,$A$4:$A$2700)</f>
        <v>0</v>
      </c>
      <c r="W189" s="512">
        <f t="shared" si="49"/>
        <v>0</v>
      </c>
      <c r="X189" s="512">
        <f>SUMIFS(PURCHASE!$K$6:$K$10008,PURCHASE!$A$6:$A$10008,$W$2,PURCHASE!$H$6:$H$10008,$A$4:$A$2700)</f>
        <v>0</v>
      </c>
      <c r="Y189" s="512">
        <f>SUMIFS(PURCHASE!$L$6:$L$10008,PURCHASE!$A$6:$A$10008,$W$2,PURCHASE!$H$6:$H$10008,$A$4:$A$2700)</f>
        <v>0</v>
      </c>
      <c r="Z189" s="512">
        <f>SUMIFS(PURCHASE!$M$6:$M$10008,PURCHASE!$A$6:$A$10008,$W$2,PURCHASE!$H$6:$H$10008,$A$4:$A$2700)</f>
        <v>0</v>
      </c>
      <c r="AA189" s="512">
        <f>SUMIFS(PURCHASE!$N$6:$N$10008,PURCHASE!$A$6:$A$10008,$W$2,PURCHASE!$H$6:$H$10008,$A$4:$A$2700)</f>
        <v>0</v>
      </c>
      <c r="AB189" s="512">
        <f t="shared" si="50"/>
        <v>4106.3999999999996</v>
      </c>
      <c r="AC189" s="512">
        <f>SUMIFS(PURCHASE!$K$6:$K$10008,PURCHASE!$A$6:$A$10008,$AB$2,PURCHASE!$H$6:$H$10008,$A$4:$A$2700)</f>
        <v>3480</v>
      </c>
      <c r="AD189" s="512">
        <f>SUMIFS(PURCHASE!$L$6:$L$10008,PURCHASE!$A$6:$A$10008,$AB$2,PURCHASE!$H$6:$H$10008,$A$4:$A$2700)</f>
        <v>0</v>
      </c>
      <c r="AE189" s="512">
        <f>SUMIFS(PURCHASE!$M$6:$M$10008,PURCHASE!$A$6:$A$10008,$AB$2,PURCHASE!$H$6:$H$10008,$A$4:$A$2700)</f>
        <v>313.2</v>
      </c>
      <c r="AF189" s="512">
        <f>SUMIFS(PURCHASE!$N$6:$N$10008,PURCHASE!$A$6:$A$10008,$AB$2,PURCHASE!$H$6:$H$10008,$A$4:$A$2700)</f>
        <v>313.2</v>
      </c>
      <c r="AG189" s="512">
        <f t="shared" si="51"/>
        <v>0</v>
      </c>
      <c r="AH189" s="512">
        <f>SUMIFS(PURCHASE!$K$6:$K$10008,PURCHASE!$A$6:$A$10008,$AG$2,PURCHASE!$H$6:$H$10008,$A$4:$A$2700)</f>
        <v>0</v>
      </c>
      <c r="AI189" s="512">
        <f>SUMIFS(PURCHASE!$L$6:$L$10008,PURCHASE!$A$6:$A$10008,$AG$2,PURCHASE!$H$6:$H$10008,$A$4:$A$2700)</f>
        <v>0</v>
      </c>
      <c r="AJ189" s="512">
        <f>SUMIFS(PURCHASE!$M$6:$M$10008,PURCHASE!$A$6:$A$10008,$AG$2,PURCHASE!$H$6:$H$10008,$A$4:$A$2700)</f>
        <v>0</v>
      </c>
      <c r="AK189" s="512">
        <f>SUMIFS(PURCHASE!$N$6:$N$10008,PURCHASE!$A$6:$A$10008,$AG$2,PURCHASE!$H$6:$H$10008,$A$4:$A$2700)</f>
        <v>0</v>
      </c>
      <c r="AL189" s="512">
        <f t="shared" si="52"/>
        <v>0</v>
      </c>
      <c r="AM189" s="512">
        <f>SUMIFS(PURCHASE!$K$6:$K$10008,PURCHASE!$A$6:$A$10008,$AL$2,PURCHASE!$H$6:$H$10008,$A$4:$A$2700)</f>
        <v>0</v>
      </c>
      <c r="AN189" s="512">
        <f>SUMIFS(PURCHASE!$L$6:$L$10008,PURCHASE!$A$6:$A$10008,$AL$2,PURCHASE!$H$6:$H$10008,$A$4:$A$2700)</f>
        <v>0</v>
      </c>
      <c r="AO189" s="512">
        <f>SUMIFS(PURCHASE!$M$6:$M$10008,PURCHASE!$A$6:$A$10008,$AL$2,PURCHASE!$H$6:$H$10008,$A$4:$A$2700)</f>
        <v>0</v>
      </c>
      <c r="AP189" s="512">
        <f>SUMIFS(PURCHASE!$N$6:$N$10008,PURCHASE!$A$6:$A$10008,$AL$2,PURCHASE!$H$6:$H$10008,$A$4:$A$2700)</f>
        <v>0</v>
      </c>
      <c r="AQ189" s="512">
        <f t="shared" si="53"/>
        <v>0</v>
      </c>
      <c r="AR189" s="512">
        <f>SUMIFS(PURCHASE!$K$6:$K$10008,PURCHASE!$A$6:$A$10008,$AQ$2,PURCHASE!$H$6:$H$10008,$A$4:$A$2700)</f>
        <v>0</v>
      </c>
      <c r="AS189" s="512">
        <f>SUMIFS(PURCHASE!$L$6:$L$10008,PURCHASE!$A$6:$A$10008,$AQ$2,PURCHASE!$H$6:$H$10008,$A$4:$A$2700)</f>
        <v>0</v>
      </c>
      <c r="AT189" s="512">
        <f>SUMIFS(PURCHASE!$M$6:$M$10008,PURCHASE!$A$6:$A$10008,$AQ$2,PURCHASE!$H$6:$H$10008,$A$4:$A$2700)</f>
        <v>0</v>
      </c>
      <c r="AU189" s="512">
        <f>SUMIFS(PURCHASE!$N$6:$N$10008,PURCHASE!$A$6:$A$10008,$AQ$2,PURCHASE!$H$6:$H$10008,$A$4:$A$2700)</f>
        <v>0</v>
      </c>
      <c r="AV189" s="512">
        <f t="shared" si="54"/>
        <v>0</v>
      </c>
      <c r="AW189" s="512">
        <f>SUMIFS(PURCHASE!$K$6:$K$10008,PURCHASE!$A$6:$A$10008,$AV$2,PURCHASE!$H$6:$H$10008,$A$4:$A$2700)</f>
        <v>0</v>
      </c>
      <c r="AX189" s="512">
        <f>SUMIFS(PURCHASE!$L$6:$L$10008,PURCHASE!$A$6:$A$10008,$AV$2,PURCHASE!$H$6:$H$10008,$A$4:$A$2700)</f>
        <v>0</v>
      </c>
      <c r="AY189" s="512">
        <f>SUMIFS(PURCHASE!$M$6:$M$10008,PURCHASE!$A$6:$A$10008,$AV$2,PURCHASE!$H$6:$H$10008,$A$4:$A$2700)</f>
        <v>0</v>
      </c>
      <c r="AZ189" s="512">
        <f>SUMIFS(PURCHASE!$N$6:$N$10008,PURCHASE!$A$6:$A$10008,$AV$2,PURCHASE!$H$6:$H$10008,$A$4:$A$2700)</f>
        <v>0</v>
      </c>
      <c r="BA189" s="512">
        <f t="shared" si="55"/>
        <v>0</v>
      </c>
      <c r="BB189" s="512">
        <f>SUMIFS(PURCHASE!$K$6:$K$10008,PURCHASE!$A$6:$A$10008,$BA$2,PURCHASE!$H$6:$H$10008,$A$4:$A$2700)</f>
        <v>0</v>
      </c>
      <c r="BC189" s="512">
        <f>SUMIFS(PURCHASE!$L$6:$L$10008,PURCHASE!$A$6:$A$10008,$BA$2,PURCHASE!$H$6:$H$10008,$A$4:$A$2700)</f>
        <v>0</v>
      </c>
      <c r="BD189" s="512">
        <f>SUMIFS(PURCHASE!$M$6:$M$10008,PURCHASE!$A$6:$A$10008,$BA$2,PURCHASE!$H$6:$H$10008,$A$4:$A$2700)</f>
        <v>0</v>
      </c>
      <c r="BE189" s="512">
        <f>SUMIFS(PURCHASE!$N$6:$N$10008,PURCHASE!$A$6:$A$10008,$BA$2,PURCHASE!$H$6:$H$10008,$A$4:$A$2700)</f>
        <v>0</v>
      </c>
      <c r="BF189" s="512">
        <f t="shared" si="56"/>
        <v>0</v>
      </c>
      <c r="BG189" s="512">
        <f>SUMIFS(PURCHASE!$K$6:$K$10008,PURCHASE!$A$6:$A$10008,$BF$2,PURCHASE!$H$6:$H$10008,$A$4:$A$2700)</f>
        <v>0</v>
      </c>
      <c r="BH189" s="512">
        <f>SUMIFS(PURCHASE!$L$6:$L$10008,PURCHASE!$A$6:$A$10008,$BF$2,PURCHASE!$H$6:$H$10008,$A$4:$A$2700)</f>
        <v>0</v>
      </c>
      <c r="BI189" s="512">
        <f>SUMIFS(PURCHASE!$M$6:$M$10008,PURCHASE!$A$6:$A$10008,$BF$2,PURCHASE!$H$6:$H$10008,$A$4:$A$2700)</f>
        <v>0</v>
      </c>
      <c r="BJ189" s="512">
        <f>SUMIFS(PURCHASE!$N$6:$N$10008,PURCHASE!$A$6:$A$10008,$BF$2,PURCHASE!$H$6:$H$10008,$A$4:$A$2700)</f>
        <v>0</v>
      </c>
      <c r="BK189" s="72">
        <f t="shared" si="40"/>
        <v>15003.109999999999</v>
      </c>
      <c r="BL189" s="72">
        <f t="shared" si="41"/>
        <v>12714.5</v>
      </c>
      <c r="BM189" s="72">
        <f t="shared" si="42"/>
        <v>0</v>
      </c>
      <c r="BN189" s="72">
        <f t="shared" si="43"/>
        <v>1144.3049999999998</v>
      </c>
      <c r="BO189" s="72">
        <f t="shared" si="44"/>
        <v>1144.3049999999998</v>
      </c>
    </row>
    <row r="190" spans="1:67" x14ac:dyDescent="0.2">
      <c r="A190" s="511">
        <v>7301</v>
      </c>
      <c r="B190" s="467" t="s">
        <v>1324</v>
      </c>
      <c r="C190" s="512">
        <f t="shared" si="45"/>
        <v>1770</v>
      </c>
      <c r="D190" s="512">
        <f>SUMIFS(PURCHASE!$K$6:$K$10008,PURCHASE!$A$6:$A$10008,$M$2,PURCHASE!$H$6:$H$10008,$A$4:$A$2700)</f>
        <v>1500</v>
      </c>
      <c r="E190" s="512">
        <f>SUMIFS(PURCHASE!$L$6:$L$10008,PURCHASE!$A$6:$A$10008,$M$2,PURCHASE!$H$6:$H$10008,$A$4:$A$2700)</f>
        <v>0</v>
      </c>
      <c r="F190" s="512">
        <f>SUMIFS(PURCHASE!$M$6:$M$10008,PURCHASE!$A$6:$A$10008,$M$2,PURCHASE!$H$6:$H$10008,$A$4:$A$2700)</f>
        <v>135</v>
      </c>
      <c r="G190" s="512">
        <f>SUMIFS(PURCHASE!$N$6:$N$10008,PURCHASE!$A$6:$A$10008,$M$2,PURCHASE!$H$6:$H$10008,$A$4:$A$2700)</f>
        <v>135</v>
      </c>
      <c r="H190" s="512">
        <f t="shared" si="46"/>
        <v>0</v>
      </c>
      <c r="I190" s="512">
        <f>SUMIFS(PURCHASE!$K$6:$K$10008,PURCHASE!$A$6:$A$10008,$H$2,PURCHASE!$H$6:$H$10008,$A$4:$A$2700)</f>
        <v>0</v>
      </c>
      <c r="J190" s="512">
        <f>SUMIFS(PURCHASE!$L$6:$L$10008,PURCHASE!$A$6:$A$10008,$H$2,PURCHASE!$H$6:$H$10008,$A$4:$A$2700)</f>
        <v>0</v>
      </c>
      <c r="K190" s="512">
        <f>SUMIFS(PURCHASE!$M$6:$M$10008,PURCHASE!$A$6:$A$10008,$H$2,PURCHASE!$H$6:$H$10008,$A$4:$A$2700)</f>
        <v>0</v>
      </c>
      <c r="L190" s="512">
        <f>SUMIFS(PURCHASE!$N$6:$N$10008,PURCHASE!$A$6:$A$10008,$H$2,PURCHASE!$H$6:$H$10008,$A$4:$A$2700)</f>
        <v>0</v>
      </c>
      <c r="M190" s="512">
        <f t="shared" si="47"/>
        <v>1770</v>
      </c>
      <c r="N190" s="512">
        <f>SUMIFS(PURCHASE!$K$6:$K$10008,PURCHASE!$A$6:$A$10008,$M$2,PURCHASE!$H$6:$H$10008,$A$4:$A$2700)</f>
        <v>1500</v>
      </c>
      <c r="O190" s="512">
        <f>SUMIFS(PURCHASE!$L$6:$L$10008,PURCHASE!$A$6:$A$10008,$M$2,PURCHASE!$H$6:$H$10008,$A$4:$A$2700)</f>
        <v>0</v>
      </c>
      <c r="P190" s="512">
        <f>SUMIFS(PURCHASE!$M$6:$M$10008,PURCHASE!$A$6:$A$10008,$M$2,PURCHASE!$H$6:$H$10008,$A$4:$A$2700)</f>
        <v>135</v>
      </c>
      <c r="Q190" s="512">
        <f>SUMIFS(PURCHASE!$N$6:$N$10008,PURCHASE!$A$6:$A$10008,$M$2,PURCHASE!$H$6:$H$10008,$A$4:$A$2700)</f>
        <v>135</v>
      </c>
      <c r="R190" s="512">
        <f t="shared" si="48"/>
        <v>0</v>
      </c>
      <c r="S190" s="512">
        <f>SUMIFS(PURCHASE!$K$6:$K$10008,PURCHASE!$A$6:$A$10008,$R$2,PURCHASE!$H$6:$H$10008,$A$4:$A$2700)</f>
        <v>0</v>
      </c>
      <c r="T190" s="512">
        <f>SUMIFS(PURCHASE!$L$6:$L$10008,PURCHASE!$A$6:$A$10008,$R$2,PURCHASE!$H$6:$H$10008,$A$4:$A$2700)</f>
        <v>0</v>
      </c>
      <c r="U190" s="512">
        <f>SUMIFS(PURCHASE!$M$6:$M$10008,PURCHASE!$A$6:$A$10008,$R$2,PURCHASE!$H$6:$H$10008,$A$4:$A$2700)</f>
        <v>0</v>
      </c>
      <c r="V190" s="512">
        <f>SUMIFS(PURCHASE!$N$6:$N$10008,PURCHASE!$A$6:$A$10008,$R$2,PURCHASE!$H$6:$H$10008,$A$4:$A$2700)</f>
        <v>0</v>
      </c>
      <c r="W190" s="512">
        <f t="shared" si="49"/>
        <v>0</v>
      </c>
      <c r="X190" s="512">
        <f>SUMIFS(PURCHASE!$K$6:$K$10008,PURCHASE!$A$6:$A$10008,$W$2,PURCHASE!$H$6:$H$10008,$A$4:$A$2700)</f>
        <v>0</v>
      </c>
      <c r="Y190" s="512">
        <f>SUMIFS(PURCHASE!$L$6:$L$10008,PURCHASE!$A$6:$A$10008,$W$2,PURCHASE!$H$6:$H$10008,$A$4:$A$2700)</f>
        <v>0</v>
      </c>
      <c r="Z190" s="512">
        <f>SUMIFS(PURCHASE!$M$6:$M$10008,PURCHASE!$A$6:$A$10008,$W$2,PURCHASE!$H$6:$H$10008,$A$4:$A$2700)</f>
        <v>0</v>
      </c>
      <c r="AA190" s="512">
        <f>SUMIFS(PURCHASE!$N$6:$N$10008,PURCHASE!$A$6:$A$10008,$W$2,PURCHASE!$H$6:$H$10008,$A$4:$A$2700)</f>
        <v>0</v>
      </c>
      <c r="AB190" s="512">
        <f t="shared" si="50"/>
        <v>0</v>
      </c>
      <c r="AC190" s="512">
        <f>SUMIFS(PURCHASE!$K$6:$K$10008,PURCHASE!$A$6:$A$10008,$AB$2,PURCHASE!$H$6:$H$10008,$A$4:$A$2700)</f>
        <v>0</v>
      </c>
      <c r="AD190" s="512">
        <f>SUMIFS(PURCHASE!$L$6:$L$10008,PURCHASE!$A$6:$A$10008,$AB$2,PURCHASE!$H$6:$H$10008,$A$4:$A$2700)</f>
        <v>0</v>
      </c>
      <c r="AE190" s="512">
        <f>SUMIFS(PURCHASE!$M$6:$M$10008,PURCHASE!$A$6:$A$10008,$AB$2,PURCHASE!$H$6:$H$10008,$A$4:$A$2700)</f>
        <v>0</v>
      </c>
      <c r="AF190" s="512">
        <f>SUMIFS(PURCHASE!$N$6:$N$10008,PURCHASE!$A$6:$A$10008,$AB$2,PURCHASE!$H$6:$H$10008,$A$4:$A$2700)</f>
        <v>0</v>
      </c>
      <c r="AG190" s="512">
        <f t="shared" si="51"/>
        <v>0</v>
      </c>
      <c r="AH190" s="512">
        <f>SUMIFS(PURCHASE!$K$6:$K$10008,PURCHASE!$A$6:$A$10008,$AG$2,PURCHASE!$H$6:$H$10008,$A$4:$A$2700)</f>
        <v>0</v>
      </c>
      <c r="AI190" s="512">
        <f>SUMIFS(PURCHASE!$L$6:$L$10008,PURCHASE!$A$6:$A$10008,$AG$2,PURCHASE!$H$6:$H$10008,$A$4:$A$2700)</f>
        <v>0</v>
      </c>
      <c r="AJ190" s="512">
        <f>SUMIFS(PURCHASE!$M$6:$M$10008,PURCHASE!$A$6:$A$10008,$AG$2,PURCHASE!$H$6:$H$10008,$A$4:$A$2700)</f>
        <v>0</v>
      </c>
      <c r="AK190" s="512">
        <f>SUMIFS(PURCHASE!$N$6:$N$10008,PURCHASE!$A$6:$A$10008,$AG$2,PURCHASE!$H$6:$H$10008,$A$4:$A$2700)</f>
        <v>0</v>
      </c>
      <c r="AL190" s="512">
        <f t="shared" si="52"/>
        <v>0</v>
      </c>
      <c r="AM190" s="512">
        <f>SUMIFS(PURCHASE!$K$6:$K$10008,PURCHASE!$A$6:$A$10008,$AL$2,PURCHASE!$H$6:$H$10008,$A$4:$A$2700)</f>
        <v>0</v>
      </c>
      <c r="AN190" s="512">
        <f>SUMIFS(PURCHASE!$L$6:$L$10008,PURCHASE!$A$6:$A$10008,$AL$2,PURCHASE!$H$6:$H$10008,$A$4:$A$2700)</f>
        <v>0</v>
      </c>
      <c r="AO190" s="512">
        <f>SUMIFS(PURCHASE!$M$6:$M$10008,PURCHASE!$A$6:$A$10008,$AL$2,PURCHASE!$H$6:$H$10008,$A$4:$A$2700)</f>
        <v>0</v>
      </c>
      <c r="AP190" s="512">
        <f>SUMIFS(PURCHASE!$N$6:$N$10008,PURCHASE!$A$6:$A$10008,$AL$2,PURCHASE!$H$6:$H$10008,$A$4:$A$2700)</f>
        <v>0</v>
      </c>
      <c r="AQ190" s="512">
        <f t="shared" si="53"/>
        <v>0</v>
      </c>
      <c r="AR190" s="512">
        <f>SUMIFS(PURCHASE!$K$6:$K$10008,PURCHASE!$A$6:$A$10008,$AQ$2,PURCHASE!$H$6:$H$10008,$A$4:$A$2700)</f>
        <v>0</v>
      </c>
      <c r="AS190" s="512">
        <f>SUMIFS(PURCHASE!$L$6:$L$10008,PURCHASE!$A$6:$A$10008,$AQ$2,PURCHASE!$H$6:$H$10008,$A$4:$A$2700)</f>
        <v>0</v>
      </c>
      <c r="AT190" s="512">
        <f>SUMIFS(PURCHASE!$M$6:$M$10008,PURCHASE!$A$6:$A$10008,$AQ$2,PURCHASE!$H$6:$H$10008,$A$4:$A$2700)</f>
        <v>0</v>
      </c>
      <c r="AU190" s="512">
        <f>SUMIFS(PURCHASE!$N$6:$N$10008,PURCHASE!$A$6:$A$10008,$AQ$2,PURCHASE!$H$6:$H$10008,$A$4:$A$2700)</f>
        <v>0</v>
      </c>
      <c r="AV190" s="512">
        <f t="shared" si="54"/>
        <v>0</v>
      </c>
      <c r="AW190" s="512">
        <f>SUMIFS(PURCHASE!$K$6:$K$10008,PURCHASE!$A$6:$A$10008,$AV$2,PURCHASE!$H$6:$H$10008,$A$4:$A$2700)</f>
        <v>0</v>
      </c>
      <c r="AX190" s="512">
        <f>SUMIFS(PURCHASE!$L$6:$L$10008,PURCHASE!$A$6:$A$10008,$AV$2,PURCHASE!$H$6:$H$10008,$A$4:$A$2700)</f>
        <v>0</v>
      </c>
      <c r="AY190" s="512">
        <f>SUMIFS(PURCHASE!$M$6:$M$10008,PURCHASE!$A$6:$A$10008,$AV$2,PURCHASE!$H$6:$H$10008,$A$4:$A$2700)</f>
        <v>0</v>
      </c>
      <c r="AZ190" s="512">
        <f>SUMIFS(PURCHASE!$N$6:$N$10008,PURCHASE!$A$6:$A$10008,$AV$2,PURCHASE!$H$6:$H$10008,$A$4:$A$2700)</f>
        <v>0</v>
      </c>
      <c r="BA190" s="512">
        <f t="shared" si="55"/>
        <v>0</v>
      </c>
      <c r="BB190" s="512">
        <f>SUMIFS(PURCHASE!$K$6:$K$10008,PURCHASE!$A$6:$A$10008,$BA$2,PURCHASE!$H$6:$H$10008,$A$4:$A$2700)</f>
        <v>0</v>
      </c>
      <c r="BC190" s="512">
        <f>SUMIFS(PURCHASE!$L$6:$L$10008,PURCHASE!$A$6:$A$10008,$BA$2,PURCHASE!$H$6:$H$10008,$A$4:$A$2700)</f>
        <v>0</v>
      </c>
      <c r="BD190" s="512">
        <f>SUMIFS(PURCHASE!$M$6:$M$10008,PURCHASE!$A$6:$A$10008,$BA$2,PURCHASE!$H$6:$H$10008,$A$4:$A$2700)</f>
        <v>0</v>
      </c>
      <c r="BE190" s="512">
        <f>SUMIFS(PURCHASE!$N$6:$N$10008,PURCHASE!$A$6:$A$10008,$BA$2,PURCHASE!$H$6:$H$10008,$A$4:$A$2700)</f>
        <v>0</v>
      </c>
      <c r="BF190" s="512">
        <f t="shared" si="56"/>
        <v>0</v>
      </c>
      <c r="BG190" s="512">
        <f>SUMIFS(PURCHASE!$K$6:$K$10008,PURCHASE!$A$6:$A$10008,$BF$2,PURCHASE!$H$6:$H$10008,$A$4:$A$2700)</f>
        <v>0</v>
      </c>
      <c r="BH190" s="512">
        <f>SUMIFS(PURCHASE!$L$6:$L$10008,PURCHASE!$A$6:$A$10008,$BF$2,PURCHASE!$H$6:$H$10008,$A$4:$A$2700)</f>
        <v>0</v>
      </c>
      <c r="BI190" s="512">
        <f>SUMIFS(PURCHASE!$M$6:$M$10008,PURCHASE!$A$6:$A$10008,$BF$2,PURCHASE!$H$6:$H$10008,$A$4:$A$2700)</f>
        <v>0</v>
      </c>
      <c r="BJ190" s="512">
        <f>SUMIFS(PURCHASE!$N$6:$N$10008,PURCHASE!$A$6:$A$10008,$BF$2,PURCHASE!$H$6:$H$10008,$A$4:$A$2700)</f>
        <v>0</v>
      </c>
      <c r="BK190" s="72">
        <f t="shared" si="40"/>
        <v>3540</v>
      </c>
      <c r="BL190" s="72">
        <f t="shared" si="41"/>
        <v>3000</v>
      </c>
      <c r="BM190" s="72">
        <f t="shared" si="42"/>
        <v>0</v>
      </c>
      <c r="BN190" s="72">
        <f t="shared" si="43"/>
        <v>270</v>
      </c>
      <c r="BO190" s="72">
        <f t="shared" si="44"/>
        <v>270</v>
      </c>
    </row>
    <row r="191" spans="1:67" x14ac:dyDescent="0.2">
      <c r="A191" s="511">
        <v>8424</v>
      </c>
      <c r="B191" s="467" t="s">
        <v>1325</v>
      </c>
      <c r="C191" s="512">
        <f t="shared" si="45"/>
        <v>0</v>
      </c>
      <c r="D191" s="512">
        <f>SUMIFS(PURCHASE!$K$6:$K$10008,PURCHASE!$A$6:$A$10008,$M$2,PURCHASE!$H$6:$H$10008,$A$4:$A$2700)</f>
        <v>0</v>
      </c>
      <c r="E191" s="512">
        <f>SUMIFS(PURCHASE!$L$6:$L$10008,PURCHASE!$A$6:$A$10008,$M$2,PURCHASE!$H$6:$H$10008,$A$4:$A$2700)</f>
        <v>0</v>
      </c>
      <c r="F191" s="512">
        <f>SUMIFS(PURCHASE!$M$6:$M$10008,PURCHASE!$A$6:$A$10008,$M$2,PURCHASE!$H$6:$H$10008,$A$4:$A$2700)</f>
        <v>0</v>
      </c>
      <c r="G191" s="512">
        <f>SUMIFS(PURCHASE!$N$6:$N$10008,PURCHASE!$A$6:$A$10008,$M$2,PURCHASE!$H$6:$H$10008,$A$4:$A$2700)</f>
        <v>0</v>
      </c>
      <c r="H191" s="512">
        <f t="shared" si="46"/>
        <v>0</v>
      </c>
      <c r="I191" s="512">
        <f>SUMIFS(PURCHASE!$K$6:$K$10008,PURCHASE!$A$6:$A$10008,$H$2,PURCHASE!$H$6:$H$10008,$A$4:$A$2700)</f>
        <v>0</v>
      </c>
      <c r="J191" s="512">
        <f>SUMIFS(PURCHASE!$L$6:$L$10008,PURCHASE!$A$6:$A$10008,$H$2,PURCHASE!$H$6:$H$10008,$A$4:$A$2700)</f>
        <v>0</v>
      </c>
      <c r="K191" s="512">
        <f>SUMIFS(PURCHASE!$M$6:$M$10008,PURCHASE!$A$6:$A$10008,$H$2,PURCHASE!$H$6:$H$10008,$A$4:$A$2700)</f>
        <v>0</v>
      </c>
      <c r="L191" s="512">
        <f>SUMIFS(PURCHASE!$N$6:$N$10008,PURCHASE!$A$6:$A$10008,$H$2,PURCHASE!$H$6:$H$10008,$A$4:$A$2700)</f>
        <v>0</v>
      </c>
      <c r="M191" s="512">
        <f t="shared" si="47"/>
        <v>0</v>
      </c>
      <c r="N191" s="512">
        <f>SUMIFS(PURCHASE!$K$6:$K$10008,PURCHASE!$A$6:$A$10008,$M$2,PURCHASE!$H$6:$H$10008,$A$4:$A$2700)</f>
        <v>0</v>
      </c>
      <c r="O191" s="512">
        <f>SUMIFS(PURCHASE!$L$6:$L$10008,PURCHASE!$A$6:$A$10008,$M$2,PURCHASE!$H$6:$H$10008,$A$4:$A$2700)</f>
        <v>0</v>
      </c>
      <c r="P191" s="512">
        <f>SUMIFS(PURCHASE!$M$6:$M$10008,PURCHASE!$A$6:$A$10008,$M$2,PURCHASE!$H$6:$H$10008,$A$4:$A$2700)</f>
        <v>0</v>
      </c>
      <c r="Q191" s="512">
        <f>SUMIFS(PURCHASE!$N$6:$N$10008,PURCHASE!$A$6:$A$10008,$M$2,PURCHASE!$H$6:$H$10008,$A$4:$A$2700)</f>
        <v>0</v>
      </c>
      <c r="R191" s="512">
        <f t="shared" si="48"/>
        <v>698560</v>
      </c>
      <c r="S191" s="512">
        <f>SUMIFS(PURCHASE!$K$6:$K$10008,PURCHASE!$A$6:$A$10008,$R$2,PURCHASE!$H$6:$H$10008,$A$4:$A$2700)</f>
        <v>592000</v>
      </c>
      <c r="T191" s="512">
        <f>SUMIFS(PURCHASE!$L$6:$L$10008,PURCHASE!$A$6:$A$10008,$R$2,PURCHASE!$H$6:$H$10008,$A$4:$A$2700)</f>
        <v>0</v>
      </c>
      <c r="U191" s="512">
        <f>SUMIFS(PURCHASE!$M$6:$M$10008,PURCHASE!$A$6:$A$10008,$R$2,PURCHASE!$H$6:$H$10008,$A$4:$A$2700)</f>
        <v>53280</v>
      </c>
      <c r="V191" s="512">
        <f>SUMIFS(PURCHASE!$N$6:$N$10008,PURCHASE!$A$6:$A$10008,$R$2,PURCHASE!$H$6:$H$10008,$A$4:$A$2700)</f>
        <v>53280</v>
      </c>
      <c r="W191" s="512">
        <f t="shared" si="49"/>
        <v>0</v>
      </c>
      <c r="X191" s="512">
        <f>SUMIFS(PURCHASE!$K$6:$K$10008,PURCHASE!$A$6:$A$10008,$W$2,PURCHASE!$H$6:$H$10008,$A$4:$A$2700)</f>
        <v>0</v>
      </c>
      <c r="Y191" s="512">
        <f>SUMIFS(PURCHASE!$L$6:$L$10008,PURCHASE!$A$6:$A$10008,$W$2,PURCHASE!$H$6:$H$10008,$A$4:$A$2700)</f>
        <v>0</v>
      </c>
      <c r="Z191" s="512">
        <f>SUMIFS(PURCHASE!$M$6:$M$10008,PURCHASE!$A$6:$A$10008,$W$2,PURCHASE!$H$6:$H$10008,$A$4:$A$2700)</f>
        <v>0</v>
      </c>
      <c r="AA191" s="512">
        <f>SUMIFS(PURCHASE!$N$6:$N$10008,PURCHASE!$A$6:$A$10008,$W$2,PURCHASE!$H$6:$H$10008,$A$4:$A$2700)</f>
        <v>0</v>
      </c>
      <c r="AB191" s="512">
        <f t="shared" si="50"/>
        <v>0</v>
      </c>
      <c r="AC191" s="512">
        <f>SUMIFS(PURCHASE!$K$6:$K$10008,PURCHASE!$A$6:$A$10008,$AB$2,PURCHASE!$H$6:$H$10008,$A$4:$A$2700)</f>
        <v>0</v>
      </c>
      <c r="AD191" s="512">
        <f>SUMIFS(PURCHASE!$L$6:$L$10008,PURCHASE!$A$6:$A$10008,$AB$2,PURCHASE!$H$6:$H$10008,$A$4:$A$2700)</f>
        <v>0</v>
      </c>
      <c r="AE191" s="512">
        <f>SUMIFS(PURCHASE!$M$6:$M$10008,PURCHASE!$A$6:$A$10008,$AB$2,PURCHASE!$H$6:$H$10008,$A$4:$A$2700)</f>
        <v>0</v>
      </c>
      <c r="AF191" s="512">
        <f>SUMIFS(PURCHASE!$N$6:$N$10008,PURCHASE!$A$6:$A$10008,$AB$2,PURCHASE!$H$6:$H$10008,$A$4:$A$2700)</f>
        <v>0</v>
      </c>
      <c r="AG191" s="512">
        <f t="shared" si="51"/>
        <v>0</v>
      </c>
      <c r="AH191" s="512">
        <f>SUMIFS(PURCHASE!$K$6:$K$10008,PURCHASE!$A$6:$A$10008,$AG$2,PURCHASE!$H$6:$H$10008,$A$4:$A$2700)</f>
        <v>0</v>
      </c>
      <c r="AI191" s="512">
        <f>SUMIFS(PURCHASE!$L$6:$L$10008,PURCHASE!$A$6:$A$10008,$AG$2,PURCHASE!$H$6:$H$10008,$A$4:$A$2700)</f>
        <v>0</v>
      </c>
      <c r="AJ191" s="512">
        <f>SUMIFS(PURCHASE!$M$6:$M$10008,PURCHASE!$A$6:$A$10008,$AG$2,PURCHASE!$H$6:$H$10008,$A$4:$A$2700)</f>
        <v>0</v>
      </c>
      <c r="AK191" s="512">
        <f>SUMIFS(PURCHASE!$N$6:$N$10008,PURCHASE!$A$6:$A$10008,$AG$2,PURCHASE!$H$6:$H$10008,$A$4:$A$2700)</f>
        <v>0</v>
      </c>
      <c r="AL191" s="512">
        <f t="shared" si="52"/>
        <v>35400</v>
      </c>
      <c r="AM191" s="512">
        <f>SUMIFS(PURCHASE!$K$6:$K$10008,PURCHASE!$A$6:$A$10008,$AL$2,PURCHASE!$H$6:$H$10008,$A$4:$A$2700)</f>
        <v>30000</v>
      </c>
      <c r="AN191" s="512">
        <f>SUMIFS(PURCHASE!$L$6:$L$10008,PURCHASE!$A$6:$A$10008,$AL$2,PURCHASE!$H$6:$H$10008,$A$4:$A$2700)</f>
        <v>0</v>
      </c>
      <c r="AO191" s="512">
        <f>SUMIFS(PURCHASE!$M$6:$M$10008,PURCHASE!$A$6:$A$10008,$AL$2,PURCHASE!$H$6:$H$10008,$A$4:$A$2700)</f>
        <v>2700</v>
      </c>
      <c r="AP191" s="512">
        <f>SUMIFS(PURCHASE!$N$6:$N$10008,PURCHASE!$A$6:$A$10008,$AL$2,PURCHASE!$H$6:$H$10008,$A$4:$A$2700)</f>
        <v>2700</v>
      </c>
      <c r="AQ191" s="512">
        <f t="shared" si="53"/>
        <v>720744</v>
      </c>
      <c r="AR191" s="512">
        <f>SUMIFS(PURCHASE!$K$6:$K$10008,PURCHASE!$A$6:$A$10008,$AQ$2,PURCHASE!$H$6:$H$10008,$A$4:$A$2700)</f>
        <v>610800</v>
      </c>
      <c r="AS191" s="512">
        <f>SUMIFS(PURCHASE!$L$6:$L$10008,PURCHASE!$A$6:$A$10008,$AQ$2,PURCHASE!$H$6:$H$10008,$A$4:$A$2700)</f>
        <v>0</v>
      </c>
      <c r="AT191" s="512">
        <f>SUMIFS(PURCHASE!$M$6:$M$10008,PURCHASE!$A$6:$A$10008,$AQ$2,PURCHASE!$H$6:$H$10008,$A$4:$A$2700)</f>
        <v>54972</v>
      </c>
      <c r="AU191" s="512">
        <f>SUMIFS(PURCHASE!$N$6:$N$10008,PURCHASE!$A$6:$A$10008,$AQ$2,PURCHASE!$H$6:$H$10008,$A$4:$A$2700)</f>
        <v>54972</v>
      </c>
      <c r="AV191" s="512">
        <f t="shared" si="54"/>
        <v>0</v>
      </c>
      <c r="AW191" s="512">
        <f>SUMIFS(PURCHASE!$K$6:$K$10008,PURCHASE!$A$6:$A$10008,$AV$2,PURCHASE!$H$6:$H$10008,$A$4:$A$2700)</f>
        <v>0</v>
      </c>
      <c r="AX191" s="512">
        <f>SUMIFS(PURCHASE!$L$6:$L$10008,PURCHASE!$A$6:$A$10008,$AV$2,PURCHASE!$H$6:$H$10008,$A$4:$A$2700)</f>
        <v>0</v>
      </c>
      <c r="AY191" s="512">
        <f>SUMIFS(PURCHASE!$M$6:$M$10008,PURCHASE!$A$6:$A$10008,$AV$2,PURCHASE!$H$6:$H$10008,$A$4:$A$2700)</f>
        <v>0</v>
      </c>
      <c r="AZ191" s="512">
        <f>SUMIFS(PURCHASE!$N$6:$N$10008,PURCHASE!$A$6:$A$10008,$AV$2,PURCHASE!$H$6:$H$10008,$A$4:$A$2700)</f>
        <v>0</v>
      </c>
      <c r="BA191" s="512">
        <f t="shared" si="55"/>
        <v>0</v>
      </c>
      <c r="BB191" s="512">
        <f>SUMIFS(PURCHASE!$K$6:$K$10008,PURCHASE!$A$6:$A$10008,$BA$2,PURCHASE!$H$6:$H$10008,$A$4:$A$2700)</f>
        <v>0</v>
      </c>
      <c r="BC191" s="512">
        <f>SUMIFS(PURCHASE!$L$6:$L$10008,PURCHASE!$A$6:$A$10008,$BA$2,PURCHASE!$H$6:$H$10008,$A$4:$A$2700)</f>
        <v>0</v>
      </c>
      <c r="BD191" s="512">
        <f>SUMIFS(PURCHASE!$M$6:$M$10008,PURCHASE!$A$6:$A$10008,$BA$2,PURCHASE!$H$6:$H$10008,$A$4:$A$2700)</f>
        <v>0</v>
      </c>
      <c r="BE191" s="512">
        <f>SUMIFS(PURCHASE!$N$6:$N$10008,PURCHASE!$A$6:$A$10008,$BA$2,PURCHASE!$H$6:$H$10008,$A$4:$A$2700)</f>
        <v>0</v>
      </c>
      <c r="BF191" s="512">
        <f t="shared" si="56"/>
        <v>0</v>
      </c>
      <c r="BG191" s="512">
        <f>SUMIFS(PURCHASE!$K$6:$K$10008,PURCHASE!$A$6:$A$10008,$BF$2,PURCHASE!$H$6:$H$10008,$A$4:$A$2700)</f>
        <v>0</v>
      </c>
      <c r="BH191" s="512">
        <f>SUMIFS(PURCHASE!$L$6:$L$10008,PURCHASE!$A$6:$A$10008,$BF$2,PURCHASE!$H$6:$H$10008,$A$4:$A$2700)</f>
        <v>0</v>
      </c>
      <c r="BI191" s="512">
        <f>SUMIFS(PURCHASE!$M$6:$M$10008,PURCHASE!$A$6:$A$10008,$BF$2,PURCHASE!$H$6:$H$10008,$A$4:$A$2700)</f>
        <v>0</v>
      </c>
      <c r="BJ191" s="512">
        <f>SUMIFS(PURCHASE!$N$6:$N$10008,PURCHASE!$A$6:$A$10008,$BF$2,PURCHASE!$H$6:$H$10008,$A$4:$A$2700)</f>
        <v>0</v>
      </c>
      <c r="BK191" s="72">
        <f t="shared" si="40"/>
        <v>1454704</v>
      </c>
      <c r="BL191" s="72">
        <f t="shared" si="41"/>
        <v>1232800</v>
      </c>
      <c r="BM191" s="72">
        <f t="shared" si="42"/>
        <v>0</v>
      </c>
      <c r="BN191" s="72">
        <f t="shared" si="43"/>
        <v>110952</v>
      </c>
      <c r="BO191" s="72">
        <f t="shared" si="44"/>
        <v>110952</v>
      </c>
    </row>
    <row r="192" spans="1:67" x14ac:dyDescent="0.2">
      <c r="A192" s="511">
        <v>73259999</v>
      </c>
      <c r="B192" s="467" t="s">
        <v>1326</v>
      </c>
      <c r="C192" s="512">
        <f t="shared" si="45"/>
        <v>0</v>
      </c>
      <c r="D192" s="512">
        <f>SUMIFS(PURCHASE!$K$6:$K$10008,PURCHASE!$A$6:$A$10008,$M$2,PURCHASE!$H$6:$H$10008,$A$4:$A$2700)</f>
        <v>0</v>
      </c>
      <c r="E192" s="512">
        <f>SUMIFS(PURCHASE!$L$6:$L$10008,PURCHASE!$A$6:$A$10008,$M$2,PURCHASE!$H$6:$H$10008,$A$4:$A$2700)</f>
        <v>0</v>
      </c>
      <c r="F192" s="512">
        <f>SUMIFS(PURCHASE!$M$6:$M$10008,PURCHASE!$A$6:$A$10008,$M$2,PURCHASE!$H$6:$H$10008,$A$4:$A$2700)</f>
        <v>0</v>
      </c>
      <c r="G192" s="512">
        <f>SUMIFS(PURCHASE!$N$6:$N$10008,PURCHASE!$A$6:$A$10008,$M$2,PURCHASE!$H$6:$H$10008,$A$4:$A$2700)</f>
        <v>0</v>
      </c>
      <c r="H192" s="512">
        <f t="shared" si="46"/>
        <v>0</v>
      </c>
      <c r="I192" s="512">
        <f>SUMIFS(PURCHASE!$K$6:$K$10008,PURCHASE!$A$6:$A$10008,$H$2,PURCHASE!$H$6:$H$10008,$A$4:$A$2700)</f>
        <v>0</v>
      </c>
      <c r="J192" s="512">
        <f>SUMIFS(PURCHASE!$L$6:$L$10008,PURCHASE!$A$6:$A$10008,$H$2,PURCHASE!$H$6:$H$10008,$A$4:$A$2700)</f>
        <v>0</v>
      </c>
      <c r="K192" s="512">
        <f>SUMIFS(PURCHASE!$M$6:$M$10008,PURCHASE!$A$6:$A$10008,$H$2,PURCHASE!$H$6:$H$10008,$A$4:$A$2700)</f>
        <v>0</v>
      </c>
      <c r="L192" s="512">
        <f>SUMIFS(PURCHASE!$N$6:$N$10008,PURCHASE!$A$6:$A$10008,$H$2,PURCHASE!$H$6:$H$10008,$A$4:$A$2700)</f>
        <v>0</v>
      </c>
      <c r="M192" s="512">
        <f t="shared" si="47"/>
        <v>0</v>
      </c>
      <c r="N192" s="512">
        <f>SUMIFS(PURCHASE!$K$6:$K$10008,PURCHASE!$A$6:$A$10008,$M$2,PURCHASE!$H$6:$H$10008,$A$4:$A$2700)</f>
        <v>0</v>
      </c>
      <c r="O192" s="512">
        <f>SUMIFS(PURCHASE!$L$6:$L$10008,PURCHASE!$A$6:$A$10008,$M$2,PURCHASE!$H$6:$H$10008,$A$4:$A$2700)</f>
        <v>0</v>
      </c>
      <c r="P192" s="512">
        <f>SUMIFS(PURCHASE!$M$6:$M$10008,PURCHASE!$A$6:$A$10008,$M$2,PURCHASE!$H$6:$H$10008,$A$4:$A$2700)</f>
        <v>0</v>
      </c>
      <c r="Q192" s="512">
        <f>SUMIFS(PURCHASE!$N$6:$N$10008,PURCHASE!$A$6:$A$10008,$M$2,PURCHASE!$H$6:$H$10008,$A$4:$A$2700)</f>
        <v>0</v>
      </c>
      <c r="R192" s="512">
        <f t="shared" si="48"/>
        <v>0</v>
      </c>
      <c r="S192" s="512">
        <f>SUMIFS(PURCHASE!$K$6:$K$10008,PURCHASE!$A$6:$A$10008,$R$2,PURCHASE!$H$6:$H$10008,$A$4:$A$2700)</f>
        <v>0</v>
      </c>
      <c r="T192" s="512">
        <f>SUMIFS(PURCHASE!$L$6:$L$10008,PURCHASE!$A$6:$A$10008,$R$2,PURCHASE!$H$6:$H$10008,$A$4:$A$2700)</f>
        <v>0</v>
      </c>
      <c r="U192" s="512">
        <f>SUMIFS(PURCHASE!$M$6:$M$10008,PURCHASE!$A$6:$A$10008,$R$2,PURCHASE!$H$6:$H$10008,$A$4:$A$2700)</f>
        <v>0</v>
      </c>
      <c r="V192" s="512">
        <f>SUMIFS(PURCHASE!$N$6:$N$10008,PURCHASE!$A$6:$A$10008,$R$2,PURCHASE!$H$6:$H$10008,$A$4:$A$2700)</f>
        <v>0</v>
      </c>
      <c r="W192" s="512">
        <f t="shared" si="49"/>
        <v>0</v>
      </c>
      <c r="X192" s="512">
        <f>SUMIFS(PURCHASE!$K$6:$K$10008,PURCHASE!$A$6:$A$10008,$W$2,PURCHASE!$H$6:$H$10008,$A$4:$A$2700)</f>
        <v>0</v>
      </c>
      <c r="Y192" s="512">
        <f>SUMIFS(PURCHASE!$L$6:$L$10008,PURCHASE!$A$6:$A$10008,$W$2,PURCHASE!$H$6:$H$10008,$A$4:$A$2700)</f>
        <v>0</v>
      </c>
      <c r="Z192" s="512">
        <f>SUMIFS(PURCHASE!$M$6:$M$10008,PURCHASE!$A$6:$A$10008,$W$2,PURCHASE!$H$6:$H$10008,$A$4:$A$2700)</f>
        <v>0</v>
      </c>
      <c r="AA192" s="512">
        <f>SUMIFS(PURCHASE!$N$6:$N$10008,PURCHASE!$A$6:$A$10008,$W$2,PURCHASE!$H$6:$H$10008,$A$4:$A$2700)</f>
        <v>0</v>
      </c>
      <c r="AB192" s="512">
        <f t="shared" si="50"/>
        <v>0</v>
      </c>
      <c r="AC192" s="512">
        <f>SUMIFS(PURCHASE!$K$6:$K$10008,PURCHASE!$A$6:$A$10008,$AB$2,PURCHASE!$H$6:$H$10008,$A$4:$A$2700)</f>
        <v>0</v>
      </c>
      <c r="AD192" s="512">
        <f>SUMIFS(PURCHASE!$L$6:$L$10008,PURCHASE!$A$6:$A$10008,$AB$2,PURCHASE!$H$6:$H$10008,$A$4:$A$2700)</f>
        <v>0</v>
      </c>
      <c r="AE192" s="512">
        <f>SUMIFS(PURCHASE!$M$6:$M$10008,PURCHASE!$A$6:$A$10008,$AB$2,PURCHASE!$H$6:$H$10008,$A$4:$A$2700)</f>
        <v>0</v>
      </c>
      <c r="AF192" s="512">
        <f>SUMIFS(PURCHASE!$N$6:$N$10008,PURCHASE!$A$6:$A$10008,$AB$2,PURCHASE!$H$6:$H$10008,$A$4:$A$2700)</f>
        <v>0</v>
      </c>
      <c r="AG192" s="512">
        <f t="shared" si="51"/>
        <v>0</v>
      </c>
      <c r="AH192" s="512">
        <f>SUMIFS(PURCHASE!$K$6:$K$10008,PURCHASE!$A$6:$A$10008,$AG$2,PURCHASE!$H$6:$H$10008,$A$4:$A$2700)</f>
        <v>0</v>
      </c>
      <c r="AI192" s="512">
        <f>SUMIFS(PURCHASE!$L$6:$L$10008,PURCHASE!$A$6:$A$10008,$AG$2,PURCHASE!$H$6:$H$10008,$A$4:$A$2700)</f>
        <v>0</v>
      </c>
      <c r="AJ192" s="512">
        <f>SUMIFS(PURCHASE!$M$6:$M$10008,PURCHASE!$A$6:$A$10008,$AG$2,PURCHASE!$H$6:$H$10008,$A$4:$A$2700)</f>
        <v>0</v>
      </c>
      <c r="AK192" s="512">
        <f>SUMIFS(PURCHASE!$N$6:$N$10008,PURCHASE!$A$6:$A$10008,$AG$2,PURCHASE!$H$6:$H$10008,$A$4:$A$2700)</f>
        <v>0</v>
      </c>
      <c r="AL192" s="512">
        <f t="shared" si="52"/>
        <v>0</v>
      </c>
      <c r="AM192" s="512">
        <f>SUMIFS(PURCHASE!$K$6:$K$10008,PURCHASE!$A$6:$A$10008,$AL$2,PURCHASE!$H$6:$H$10008,$A$4:$A$2700)</f>
        <v>0</v>
      </c>
      <c r="AN192" s="512">
        <f>SUMIFS(PURCHASE!$L$6:$L$10008,PURCHASE!$A$6:$A$10008,$AL$2,PURCHASE!$H$6:$H$10008,$A$4:$A$2700)</f>
        <v>0</v>
      </c>
      <c r="AO192" s="512">
        <f>SUMIFS(PURCHASE!$M$6:$M$10008,PURCHASE!$A$6:$A$10008,$AL$2,PURCHASE!$H$6:$H$10008,$A$4:$A$2700)</f>
        <v>0</v>
      </c>
      <c r="AP192" s="512">
        <f>SUMIFS(PURCHASE!$N$6:$N$10008,PURCHASE!$A$6:$A$10008,$AL$2,PURCHASE!$H$6:$H$10008,$A$4:$A$2700)</f>
        <v>0</v>
      </c>
      <c r="AQ192" s="512">
        <f t="shared" si="53"/>
        <v>0</v>
      </c>
      <c r="AR192" s="512">
        <f>SUMIFS(PURCHASE!$K$6:$K$10008,PURCHASE!$A$6:$A$10008,$AQ$2,PURCHASE!$H$6:$H$10008,$A$4:$A$2700)</f>
        <v>0</v>
      </c>
      <c r="AS192" s="512">
        <f>SUMIFS(PURCHASE!$L$6:$L$10008,PURCHASE!$A$6:$A$10008,$AQ$2,PURCHASE!$H$6:$H$10008,$A$4:$A$2700)</f>
        <v>0</v>
      </c>
      <c r="AT192" s="512">
        <f>SUMIFS(PURCHASE!$M$6:$M$10008,PURCHASE!$A$6:$A$10008,$AQ$2,PURCHASE!$H$6:$H$10008,$A$4:$A$2700)</f>
        <v>0</v>
      </c>
      <c r="AU192" s="512">
        <f>SUMIFS(PURCHASE!$N$6:$N$10008,PURCHASE!$A$6:$A$10008,$AQ$2,PURCHASE!$H$6:$H$10008,$A$4:$A$2700)</f>
        <v>0</v>
      </c>
      <c r="AV192" s="512">
        <f t="shared" si="54"/>
        <v>0</v>
      </c>
      <c r="AW192" s="512">
        <f>SUMIFS(PURCHASE!$K$6:$K$10008,PURCHASE!$A$6:$A$10008,$AV$2,PURCHASE!$H$6:$H$10008,$A$4:$A$2700)</f>
        <v>0</v>
      </c>
      <c r="AX192" s="512">
        <f>SUMIFS(PURCHASE!$L$6:$L$10008,PURCHASE!$A$6:$A$10008,$AV$2,PURCHASE!$H$6:$H$10008,$A$4:$A$2700)</f>
        <v>0</v>
      </c>
      <c r="AY192" s="512">
        <f>SUMIFS(PURCHASE!$M$6:$M$10008,PURCHASE!$A$6:$A$10008,$AV$2,PURCHASE!$H$6:$H$10008,$A$4:$A$2700)</f>
        <v>0</v>
      </c>
      <c r="AZ192" s="512">
        <f>SUMIFS(PURCHASE!$N$6:$N$10008,PURCHASE!$A$6:$A$10008,$AV$2,PURCHASE!$H$6:$H$10008,$A$4:$A$2700)</f>
        <v>0</v>
      </c>
      <c r="BA192" s="512">
        <f t="shared" si="55"/>
        <v>0</v>
      </c>
      <c r="BB192" s="512">
        <f>SUMIFS(PURCHASE!$K$6:$K$10008,PURCHASE!$A$6:$A$10008,$BA$2,PURCHASE!$H$6:$H$10008,$A$4:$A$2700)</f>
        <v>0</v>
      </c>
      <c r="BC192" s="512">
        <f>SUMIFS(PURCHASE!$L$6:$L$10008,PURCHASE!$A$6:$A$10008,$BA$2,PURCHASE!$H$6:$H$10008,$A$4:$A$2700)</f>
        <v>0</v>
      </c>
      <c r="BD192" s="512">
        <f>SUMIFS(PURCHASE!$M$6:$M$10008,PURCHASE!$A$6:$A$10008,$BA$2,PURCHASE!$H$6:$H$10008,$A$4:$A$2700)</f>
        <v>0</v>
      </c>
      <c r="BE192" s="512">
        <f>SUMIFS(PURCHASE!$N$6:$N$10008,PURCHASE!$A$6:$A$10008,$BA$2,PURCHASE!$H$6:$H$10008,$A$4:$A$2700)</f>
        <v>0</v>
      </c>
      <c r="BF192" s="512">
        <f t="shared" si="56"/>
        <v>0</v>
      </c>
      <c r="BG192" s="512">
        <f>SUMIFS(PURCHASE!$K$6:$K$10008,PURCHASE!$A$6:$A$10008,$BF$2,PURCHASE!$H$6:$H$10008,$A$4:$A$2700)</f>
        <v>0</v>
      </c>
      <c r="BH192" s="512">
        <f>SUMIFS(PURCHASE!$L$6:$L$10008,PURCHASE!$A$6:$A$10008,$BF$2,PURCHASE!$H$6:$H$10008,$A$4:$A$2700)</f>
        <v>0</v>
      </c>
      <c r="BI192" s="512">
        <f>SUMIFS(PURCHASE!$M$6:$M$10008,PURCHASE!$A$6:$A$10008,$BF$2,PURCHASE!$H$6:$H$10008,$A$4:$A$2700)</f>
        <v>0</v>
      </c>
      <c r="BJ192" s="512">
        <f>SUMIFS(PURCHASE!$N$6:$N$10008,PURCHASE!$A$6:$A$10008,$BF$2,PURCHASE!$H$6:$H$10008,$A$4:$A$2700)</f>
        <v>0</v>
      </c>
      <c r="BK192" s="72">
        <f t="shared" si="40"/>
        <v>0</v>
      </c>
      <c r="BL192" s="72">
        <f t="shared" si="41"/>
        <v>0</v>
      </c>
      <c r="BM192" s="72">
        <f t="shared" si="42"/>
        <v>0</v>
      </c>
      <c r="BN192" s="72">
        <f t="shared" si="43"/>
        <v>0</v>
      </c>
      <c r="BO192" s="72">
        <f t="shared" si="44"/>
        <v>0</v>
      </c>
    </row>
    <row r="193" spans="1:67" x14ac:dyDescent="0.2">
      <c r="A193" s="511">
        <v>40169990</v>
      </c>
      <c r="B193" s="467" t="s">
        <v>1327</v>
      </c>
      <c r="C193" s="512">
        <f t="shared" si="45"/>
        <v>0</v>
      </c>
      <c r="D193" s="512">
        <f>SUMIFS(PURCHASE!$K$6:$K$10008,PURCHASE!$A$6:$A$10008,$M$2,PURCHASE!$H$6:$H$10008,$A$4:$A$2700)</f>
        <v>0</v>
      </c>
      <c r="E193" s="512">
        <f>SUMIFS(PURCHASE!$L$6:$L$10008,PURCHASE!$A$6:$A$10008,$M$2,PURCHASE!$H$6:$H$10008,$A$4:$A$2700)</f>
        <v>0</v>
      </c>
      <c r="F193" s="512">
        <f>SUMIFS(PURCHASE!$M$6:$M$10008,PURCHASE!$A$6:$A$10008,$M$2,PURCHASE!$H$6:$H$10008,$A$4:$A$2700)</f>
        <v>0</v>
      </c>
      <c r="G193" s="512">
        <f>SUMIFS(PURCHASE!$N$6:$N$10008,PURCHASE!$A$6:$A$10008,$M$2,PURCHASE!$H$6:$H$10008,$A$4:$A$2700)</f>
        <v>0</v>
      </c>
      <c r="H193" s="512">
        <f t="shared" si="46"/>
        <v>0</v>
      </c>
      <c r="I193" s="512">
        <f>SUMIFS(PURCHASE!$K$6:$K$10008,PURCHASE!$A$6:$A$10008,$H$2,PURCHASE!$H$6:$H$10008,$A$4:$A$2700)</f>
        <v>0</v>
      </c>
      <c r="J193" s="512">
        <f>SUMIFS(PURCHASE!$L$6:$L$10008,PURCHASE!$A$6:$A$10008,$H$2,PURCHASE!$H$6:$H$10008,$A$4:$A$2700)</f>
        <v>0</v>
      </c>
      <c r="K193" s="512">
        <f>SUMIFS(PURCHASE!$M$6:$M$10008,PURCHASE!$A$6:$A$10008,$H$2,PURCHASE!$H$6:$H$10008,$A$4:$A$2700)</f>
        <v>0</v>
      </c>
      <c r="L193" s="512">
        <f>SUMIFS(PURCHASE!$N$6:$N$10008,PURCHASE!$A$6:$A$10008,$H$2,PURCHASE!$H$6:$H$10008,$A$4:$A$2700)</f>
        <v>0</v>
      </c>
      <c r="M193" s="512">
        <f t="shared" si="47"/>
        <v>0</v>
      </c>
      <c r="N193" s="512">
        <f>SUMIFS(PURCHASE!$K$6:$K$10008,PURCHASE!$A$6:$A$10008,$M$2,PURCHASE!$H$6:$H$10008,$A$4:$A$2700)</f>
        <v>0</v>
      </c>
      <c r="O193" s="512">
        <f>SUMIFS(PURCHASE!$L$6:$L$10008,PURCHASE!$A$6:$A$10008,$M$2,PURCHASE!$H$6:$H$10008,$A$4:$A$2700)</f>
        <v>0</v>
      </c>
      <c r="P193" s="512">
        <f>SUMIFS(PURCHASE!$M$6:$M$10008,PURCHASE!$A$6:$A$10008,$M$2,PURCHASE!$H$6:$H$10008,$A$4:$A$2700)</f>
        <v>0</v>
      </c>
      <c r="Q193" s="512">
        <f>SUMIFS(PURCHASE!$N$6:$N$10008,PURCHASE!$A$6:$A$10008,$M$2,PURCHASE!$H$6:$H$10008,$A$4:$A$2700)</f>
        <v>0</v>
      </c>
      <c r="R193" s="512">
        <f t="shared" si="48"/>
        <v>0</v>
      </c>
      <c r="S193" s="512">
        <f>SUMIFS(PURCHASE!$K$6:$K$10008,PURCHASE!$A$6:$A$10008,$R$2,PURCHASE!$H$6:$H$10008,$A$4:$A$2700)</f>
        <v>0</v>
      </c>
      <c r="T193" s="512">
        <f>SUMIFS(PURCHASE!$L$6:$L$10008,PURCHASE!$A$6:$A$10008,$R$2,PURCHASE!$H$6:$H$10008,$A$4:$A$2700)</f>
        <v>0</v>
      </c>
      <c r="U193" s="512">
        <f>SUMIFS(PURCHASE!$M$6:$M$10008,PURCHASE!$A$6:$A$10008,$R$2,PURCHASE!$H$6:$H$10008,$A$4:$A$2700)</f>
        <v>0</v>
      </c>
      <c r="V193" s="512">
        <f>SUMIFS(PURCHASE!$N$6:$N$10008,PURCHASE!$A$6:$A$10008,$R$2,PURCHASE!$H$6:$H$10008,$A$4:$A$2700)</f>
        <v>0</v>
      </c>
      <c r="W193" s="512">
        <f t="shared" si="49"/>
        <v>0</v>
      </c>
      <c r="X193" s="512">
        <f>SUMIFS(PURCHASE!$K$6:$K$10008,PURCHASE!$A$6:$A$10008,$W$2,PURCHASE!$H$6:$H$10008,$A$4:$A$2700)</f>
        <v>0</v>
      </c>
      <c r="Y193" s="512">
        <f>SUMIFS(PURCHASE!$L$6:$L$10008,PURCHASE!$A$6:$A$10008,$W$2,PURCHASE!$H$6:$H$10008,$A$4:$A$2700)</f>
        <v>0</v>
      </c>
      <c r="Z193" s="512">
        <f>SUMIFS(PURCHASE!$M$6:$M$10008,PURCHASE!$A$6:$A$10008,$W$2,PURCHASE!$H$6:$H$10008,$A$4:$A$2700)</f>
        <v>0</v>
      </c>
      <c r="AA193" s="512">
        <f>SUMIFS(PURCHASE!$N$6:$N$10008,PURCHASE!$A$6:$A$10008,$W$2,PURCHASE!$H$6:$H$10008,$A$4:$A$2700)</f>
        <v>0</v>
      </c>
      <c r="AB193" s="512">
        <f t="shared" si="50"/>
        <v>0</v>
      </c>
      <c r="AC193" s="512">
        <f>SUMIFS(PURCHASE!$K$6:$K$10008,PURCHASE!$A$6:$A$10008,$AB$2,PURCHASE!$H$6:$H$10008,$A$4:$A$2700)</f>
        <v>0</v>
      </c>
      <c r="AD193" s="512">
        <f>SUMIFS(PURCHASE!$L$6:$L$10008,PURCHASE!$A$6:$A$10008,$AB$2,PURCHASE!$H$6:$H$10008,$A$4:$A$2700)</f>
        <v>0</v>
      </c>
      <c r="AE193" s="512">
        <f>SUMIFS(PURCHASE!$M$6:$M$10008,PURCHASE!$A$6:$A$10008,$AB$2,PURCHASE!$H$6:$H$10008,$A$4:$A$2700)</f>
        <v>0</v>
      </c>
      <c r="AF193" s="512">
        <f>SUMIFS(PURCHASE!$N$6:$N$10008,PURCHASE!$A$6:$A$10008,$AB$2,PURCHASE!$H$6:$H$10008,$A$4:$A$2700)</f>
        <v>0</v>
      </c>
      <c r="AG193" s="512">
        <f t="shared" si="51"/>
        <v>0</v>
      </c>
      <c r="AH193" s="512">
        <f>SUMIFS(PURCHASE!$K$6:$K$10008,PURCHASE!$A$6:$A$10008,$AG$2,PURCHASE!$H$6:$H$10008,$A$4:$A$2700)</f>
        <v>0</v>
      </c>
      <c r="AI193" s="512">
        <f>SUMIFS(PURCHASE!$L$6:$L$10008,PURCHASE!$A$6:$A$10008,$AG$2,PURCHASE!$H$6:$H$10008,$A$4:$A$2700)</f>
        <v>0</v>
      </c>
      <c r="AJ193" s="512">
        <f>SUMIFS(PURCHASE!$M$6:$M$10008,PURCHASE!$A$6:$A$10008,$AG$2,PURCHASE!$H$6:$H$10008,$A$4:$A$2700)</f>
        <v>0</v>
      </c>
      <c r="AK193" s="512">
        <f>SUMIFS(PURCHASE!$N$6:$N$10008,PURCHASE!$A$6:$A$10008,$AG$2,PURCHASE!$H$6:$H$10008,$A$4:$A$2700)</f>
        <v>0</v>
      </c>
      <c r="AL193" s="512">
        <f t="shared" si="52"/>
        <v>0</v>
      </c>
      <c r="AM193" s="512">
        <f>SUMIFS(PURCHASE!$K$6:$K$10008,PURCHASE!$A$6:$A$10008,$AL$2,PURCHASE!$H$6:$H$10008,$A$4:$A$2700)</f>
        <v>0</v>
      </c>
      <c r="AN193" s="512">
        <f>SUMIFS(PURCHASE!$L$6:$L$10008,PURCHASE!$A$6:$A$10008,$AL$2,PURCHASE!$H$6:$H$10008,$A$4:$A$2700)</f>
        <v>0</v>
      </c>
      <c r="AO193" s="512">
        <f>SUMIFS(PURCHASE!$M$6:$M$10008,PURCHASE!$A$6:$A$10008,$AL$2,PURCHASE!$H$6:$H$10008,$A$4:$A$2700)</f>
        <v>0</v>
      </c>
      <c r="AP193" s="512">
        <f>SUMIFS(PURCHASE!$N$6:$N$10008,PURCHASE!$A$6:$A$10008,$AL$2,PURCHASE!$H$6:$H$10008,$A$4:$A$2700)</f>
        <v>0</v>
      </c>
      <c r="AQ193" s="512">
        <f t="shared" si="53"/>
        <v>0</v>
      </c>
      <c r="AR193" s="512">
        <f>SUMIFS(PURCHASE!$K$6:$K$10008,PURCHASE!$A$6:$A$10008,$AQ$2,PURCHASE!$H$6:$H$10008,$A$4:$A$2700)</f>
        <v>0</v>
      </c>
      <c r="AS193" s="512">
        <f>SUMIFS(PURCHASE!$L$6:$L$10008,PURCHASE!$A$6:$A$10008,$AQ$2,PURCHASE!$H$6:$H$10008,$A$4:$A$2700)</f>
        <v>0</v>
      </c>
      <c r="AT193" s="512">
        <f>SUMIFS(PURCHASE!$M$6:$M$10008,PURCHASE!$A$6:$A$10008,$AQ$2,PURCHASE!$H$6:$H$10008,$A$4:$A$2700)</f>
        <v>0</v>
      </c>
      <c r="AU193" s="512">
        <f>SUMIFS(PURCHASE!$N$6:$N$10008,PURCHASE!$A$6:$A$10008,$AQ$2,PURCHASE!$H$6:$H$10008,$A$4:$A$2700)</f>
        <v>0</v>
      </c>
      <c r="AV193" s="512">
        <f t="shared" si="54"/>
        <v>0</v>
      </c>
      <c r="AW193" s="512">
        <f>SUMIFS(PURCHASE!$K$6:$K$10008,PURCHASE!$A$6:$A$10008,$AV$2,PURCHASE!$H$6:$H$10008,$A$4:$A$2700)</f>
        <v>0</v>
      </c>
      <c r="AX193" s="512">
        <f>SUMIFS(PURCHASE!$L$6:$L$10008,PURCHASE!$A$6:$A$10008,$AV$2,PURCHASE!$H$6:$H$10008,$A$4:$A$2700)</f>
        <v>0</v>
      </c>
      <c r="AY193" s="512">
        <f>SUMIFS(PURCHASE!$M$6:$M$10008,PURCHASE!$A$6:$A$10008,$AV$2,PURCHASE!$H$6:$H$10008,$A$4:$A$2700)</f>
        <v>0</v>
      </c>
      <c r="AZ193" s="512">
        <f>SUMIFS(PURCHASE!$N$6:$N$10008,PURCHASE!$A$6:$A$10008,$AV$2,PURCHASE!$H$6:$H$10008,$A$4:$A$2700)</f>
        <v>0</v>
      </c>
      <c r="BA193" s="512">
        <f t="shared" si="55"/>
        <v>0</v>
      </c>
      <c r="BB193" s="512">
        <f>SUMIFS(PURCHASE!$K$6:$K$10008,PURCHASE!$A$6:$A$10008,$BA$2,PURCHASE!$H$6:$H$10008,$A$4:$A$2700)</f>
        <v>0</v>
      </c>
      <c r="BC193" s="512">
        <f>SUMIFS(PURCHASE!$L$6:$L$10008,PURCHASE!$A$6:$A$10008,$BA$2,PURCHASE!$H$6:$H$10008,$A$4:$A$2700)</f>
        <v>0</v>
      </c>
      <c r="BD193" s="512">
        <f>SUMIFS(PURCHASE!$M$6:$M$10008,PURCHASE!$A$6:$A$10008,$BA$2,PURCHASE!$H$6:$H$10008,$A$4:$A$2700)</f>
        <v>0</v>
      </c>
      <c r="BE193" s="512">
        <f>SUMIFS(PURCHASE!$N$6:$N$10008,PURCHASE!$A$6:$A$10008,$BA$2,PURCHASE!$H$6:$H$10008,$A$4:$A$2700)</f>
        <v>0</v>
      </c>
      <c r="BF193" s="512">
        <f t="shared" si="56"/>
        <v>0</v>
      </c>
      <c r="BG193" s="512">
        <f>SUMIFS(PURCHASE!$K$6:$K$10008,PURCHASE!$A$6:$A$10008,$BF$2,PURCHASE!$H$6:$H$10008,$A$4:$A$2700)</f>
        <v>0</v>
      </c>
      <c r="BH193" s="512">
        <f>SUMIFS(PURCHASE!$L$6:$L$10008,PURCHASE!$A$6:$A$10008,$BF$2,PURCHASE!$H$6:$H$10008,$A$4:$A$2700)</f>
        <v>0</v>
      </c>
      <c r="BI193" s="512">
        <f>SUMIFS(PURCHASE!$M$6:$M$10008,PURCHASE!$A$6:$A$10008,$BF$2,PURCHASE!$H$6:$H$10008,$A$4:$A$2700)</f>
        <v>0</v>
      </c>
      <c r="BJ193" s="512">
        <f>SUMIFS(PURCHASE!$N$6:$N$10008,PURCHASE!$A$6:$A$10008,$BF$2,PURCHASE!$H$6:$H$10008,$A$4:$A$2700)</f>
        <v>0</v>
      </c>
      <c r="BK193" s="72">
        <f t="shared" si="40"/>
        <v>0</v>
      </c>
      <c r="BL193" s="72">
        <f t="shared" si="41"/>
        <v>0</v>
      </c>
      <c r="BM193" s="72">
        <f t="shared" si="42"/>
        <v>0</v>
      </c>
      <c r="BN193" s="72">
        <f t="shared" si="43"/>
        <v>0</v>
      </c>
      <c r="BO193" s="72">
        <f t="shared" si="44"/>
        <v>0</v>
      </c>
    </row>
    <row r="194" spans="1:67" x14ac:dyDescent="0.2">
      <c r="A194" s="511">
        <v>84249000</v>
      </c>
      <c r="B194" s="467" t="s">
        <v>1328</v>
      </c>
      <c r="C194" s="512">
        <f t="shared" si="45"/>
        <v>0</v>
      </c>
      <c r="D194" s="512">
        <f>SUMIFS(PURCHASE!$K$6:$K$10008,PURCHASE!$A$6:$A$10008,$M$2,PURCHASE!$H$6:$H$10008,$A$4:$A$2700)</f>
        <v>0</v>
      </c>
      <c r="E194" s="512">
        <f>SUMIFS(PURCHASE!$L$6:$L$10008,PURCHASE!$A$6:$A$10008,$M$2,PURCHASE!$H$6:$H$10008,$A$4:$A$2700)</f>
        <v>0</v>
      </c>
      <c r="F194" s="512">
        <f>SUMIFS(PURCHASE!$M$6:$M$10008,PURCHASE!$A$6:$A$10008,$M$2,PURCHASE!$H$6:$H$10008,$A$4:$A$2700)</f>
        <v>0</v>
      </c>
      <c r="G194" s="512">
        <f>SUMIFS(PURCHASE!$N$6:$N$10008,PURCHASE!$A$6:$A$10008,$M$2,PURCHASE!$H$6:$H$10008,$A$4:$A$2700)</f>
        <v>0</v>
      </c>
      <c r="H194" s="512">
        <f t="shared" si="46"/>
        <v>0</v>
      </c>
      <c r="I194" s="512">
        <f>SUMIFS(PURCHASE!$K$6:$K$10008,PURCHASE!$A$6:$A$10008,$H$2,PURCHASE!$H$6:$H$10008,$A$4:$A$2700)</f>
        <v>0</v>
      </c>
      <c r="J194" s="512">
        <f>SUMIFS(PURCHASE!$L$6:$L$10008,PURCHASE!$A$6:$A$10008,$H$2,PURCHASE!$H$6:$H$10008,$A$4:$A$2700)</f>
        <v>0</v>
      </c>
      <c r="K194" s="512">
        <f>SUMIFS(PURCHASE!$M$6:$M$10008,PURCHASE!$A$6:$A$10008,$H$2,PURCHASE!$H$6:$H$10008,$A$4:$A$2700)</f>
        <v>0</v>
      </c>
      <c r="L194" s="512">
        <f>SUMIFS(PURCHASE!$N$6:$N$10008,PURCHASE!$A$6:$A$10008,$H$2,PURCHASE!$H$6:$H$10008,$A$4:$A$2700)</f>
        <v>0</v>
      </c>
      <c r="M194" s="512">
        <f t="shared" si="47"/>
        <v>0</v>
      </c>
      <c r="N194" s="512">
        <f>SUMIFS(PURCHASE!$K$6:$K$10008,PURCHASE!$A$6:$A$10008,$M$2,PURCHASE!$H$6:$H$10008,$A$4:$A$2700)</f>
        <v>0</v>
      </c>
      <c r="O194" s="512">
        <f>SUMIFS(PURCHASE!$L$6:$L$10008,PURCHASE!$A$6:$A$10008,$M$2,PURCHASE!$H$6:$H$10008,$A$4:$A$2700)</f>
        <v>0</v>
      </c>
      <c r="P194" s="512">
        <f>SUMIFS(PURCHASE!$M$6:$M$10008,PURCHASE!$A$6:$A$10008,$M$2,PURCHASE!$H$6:$H$10008,$A$4:$A$2700)</f>
        <v>0</v>
      </c>
      <c r="Q194" s="512">
        <f>SUMIFS(PURCHASE!$N$6:$N$10008,PURCHASE!$A$6:$A$10008,$M$2,PURCHASE!$H$6:$H$10008,$A$4:$A$2700)</f>
        <v>0</v>
      </c>
      <c r="R194" s="512">
        <f t="shared" si="48"/>
        <v>0</v>
      </c>
      <c r="S194" s="512">
        <f>SUMIFS(PURCHASE!$K$6:$K$10008,PURCHASE!$A$6:$A$10008,$R$2,PURCHASE!$H$6:$H$10008,$A$4:$A$2700)</f>
        <v>0</v>
      </c>
      <c r="T194" s="512">
        <f>SUMIFS(PURCHASE!$L$6:$L$10008,PURCHASE!$A$6:$A$10008,$R$2,PURCHASE!$H$6:$H$10008,$A$4:$A$2700)</f>
        <v>0</v>
      </c>
      <c r="U194" s="512">
        <f>SUMIFS(PURCHASE!$M$6:$M$10008,PURCHASE!$A$6:$A$10008,$R$2,PURCHASE!$H$6:$H$10008,$A$4:$A$2700)</f>
        <v>0</v>
      </c>
      <c r="V194" s="512">
        <f>SUMIFS(PURCHASE!$N$6:$N$10008,PURCHASE!$A$6:$A$10008,$R$2,PURCHASE!$H$6:$H$10008,$A$4:$A$2700)</f>
        <v>0</v>
      </c>
      <c r="W194" s="512">
        <f t="shared" si="49"/>
        <v>0</v>
      </c>
      <c r="X194" s="512">
        <f>SUMIFS(PURCHASE!$K$6:$K$10008,PURCHASE!$A$6:$A$10008,$W$2,PURCHASE!$H$6:$H$10008,$A$4:$A$2700)</f>
        <v>0</v>
      </c>
      <c r="Y194" s="512">
        <f>SUMIFS(PURCHASE!$L$6:$L$10008,PURCHASE!$A$6:$A$10008,$W$2,PURCHASE!$H$6:$H$10008,$A$4:$A$2700)</f>
        <v>0</v>
      </c>
      <c r="Z194" s="512">
        <f>SUMIFS(PURCHASE!$M$6:$M$10008,PURCHASE!$A$6:$A$10008,$W$2,PURCHASE!$H$6:$H$10008,$A$4:$A$2700)</f>
        <v>0</v>
      </c>
      <c r="AA194" s="512">
        <f>SUMIFS(PURCHASE!$N$6:$N$10008,PURCHASE!$A$6:$A$10008,$W$2,PURCHASE!$H$6:$H$10008,$A$4:$A$2700)</f>
        <v>0</v>
      </c>
      <c r="AB194" s="512">
        <f t="shared" si="50"/>
        <v>0</v>
      </c>
      <c r="AC194" s="512">
        <f>SUMIFS(PURCHASE!$K$6:$K$10008,PURCHASE!$A$6:$A$10008,$AB$2,PURCHASE!$H$6:$H$10008,$A$4:$A$2700)</f>
        <v>0</v>
      </c>
      <c r="AD194" s="512">
        <f>SUMIFS(PURCHASE!$L$6:$L$10008,PURCHASE!$A$6:$A$10008,$AB$2,PURCHASE!$H$6:$H$10008,$A$4:$A$2700)</f>
        <v>0</v>
      </c>
      <c r="AE194" s="512">
        <f>SUMIFS(PURCHASE!$M$6:$M$10008,PURCHASE!$A$6:$A$10008,$AB$2,PURCHASE!$H$6:$H$10008,$A$4:$A$2700)</f>
        <v>0</v>
      </c>
      <c r="AF194" s="512">
        <f>SUMIFS(PURCHASE!$N$6:$N$10008,PURCHASE!$A$6:$A$10008,$AB$2,PURCHASE!$H$6:$H$10008,$A$4:$A$2700)</f>
        <v>0</v>
      </c>
      <c r="AG194" s="512">
        <f t="shared" si="51"/>
        <v>0</v>
      </c>
      <c r="AH194" s="512">
        <f>SUMIFS(PURCHASE!$K$6:$K$10008,PURCHASE!$A$6:$A$10008,$AG$2,PURCHASE!$H$6:$H$10008,$A$4:$A$2700)</f>
        <v>0</v>
      </c>
      <c r="AI194" s="512">
        <f>SUMIFS(PURCHASE!$L$6:$L$10008,PURCHASE!$A$6:$A$10008,$AG$2,PURCHASE!$H$6:$H$10008,$A$4:$A$2700)</f>
        <v>0</v>
      </c>
      <c r="AJ194" s="512">
        <f>SUMIFS(PURCHASE!$M$6:$M$10008,PURCHASE!$A$6:$A$10008,$AG$2,PURCHASE!$H$6:$H$10008,$A$4:$A$2700)</f>
        <v>0</v>
      </c>
      <c r="AK194" s="512">
        <f>SUMIFS(PURCHASE!$N$6:$N$10008,PURCHASE!$A$6:$A$10008,$AG$2,PURCHASE!$H$6:$H$10008,$A$4:$A$2700)</f>
        <v>0</v>
      </c>
      <c r="AL194" s="512">
        <f t="shared" si="52"/>
        <v>247800</v>
      </c>
      <c r="AM194" s="512">
        <f>SUMIFS(PURCHASE!$K$6:$K$10008,PURCHASE!$A$6:$A$10008,$AL$2,PURCHASE!$H$6:$H$10008,$A$4:$A$2700)</f>
        <v>210000</v>
      </c>
      <c r="AN194" s="512">
        <f>SUMIFS(PURCHASE!$L$6:$L$10008,PURCHASE!$A$6:$A$10008,$AL$2,PURCHASE!$H$6:$H$10008,$A$4:$A$2700)</f>
        <v>0</v>
      </c>
      <c r="AO194" s="512">
        <f>SUMIFS(PURCHASE!$M$6:$M$10008,PURCHASE!$A$6:$A$10008,$AL$2,PURCHASE!$H$6:$H$10008,$A$4:$A$2700)</f>
        <v>18900</v>
      </c>
      <c r="AP194" s="512">
        <f>SUMIFS(PURCHASE!$N$6:$N$10008,PURCHASE!$A$6:$A$10008,$AL$2,PURCHASE!$H$6:$H$10008,$A$4:$A$2700)</f>
        <v>18900</v>
      </c>
      <c r="AQ194" s="512">
        <f t="shared" si="53"/>
        <v>0</v>
      </c>
      <c r="AR194" s="512">
        <f>SUMIFS(PURCHASE!$K$6:$K$10008,PURCHASE!$A$6:$A$10008,$AQ$2,PURCHASE!$H$6:$H$10008,$A$4:$A$2700)</f>
        <v>0</v>
      </c>
      <c r="AS194" s="512">
        <f>SUMIFS(PURCHASE!$L$6:$L$10008,PURCHASE!$A$6:$A$10008,$AQ$2,PURCHASE!$H$6:$H$10008,$A$4:$A$2700)</f>
        <v>0</v>
      </c>
      <c r="AT194" s="512">
        <f>SUMIFS(PURCHASE!$M$6:$M$10008,PURCHASE!$A$6:$A$10008,$AQ$2,PURCHASE!$H$6:$H$10008,$A$4:$A$2700)</f>
        <v>0</v>
      </c>
      <c r="AU194" s="512">
        <f>SUMIFS(PURCHASE!$N$6:$N$10008,PURCHASE!$A$6:$A$10008,$AQ$2,PURCHASE!$H$6:$H$10008,$A$4:$A$2700)</f>
        <v>0</v>
      </c>
      <c r="AV194" s="512">
        <f t="shared" si="54"/>
        <v>0</v>
      </c>
      <c r="AW194" s="512">
        <f>SUMIFS(PURCHASE!$K$6:$K$10008,PURCHASE!$A$6:$A$10008,$AV$2,PURCHASE!$H$6:$H$10008,$A$4:$A$2700)</f>
        <v>0</v>
      </c>
      <c r="AX194" s="512">
        <f>SUMIFS(PURCHASE!$L$6:$L$10008,PURCHASE!$A$6:$A$10008,$AV$2,PURCHASE!$H$6:$H$10008,$A$4:$A$2700)</f>
        <v>0</v>
      </c>
      <c r="AY194" s="512">
        <f>SUMIFS(PURCHASE!$M$6:$M$10008,PURCHASE!$A$6:$A$10008,$AV$2,PURCHASE!$H$6:$H$10008,$A$4:$A$2700)</f>
        <v>0</v>
      </c>
      <c r="AZ194" s="512">
        <f>SUMIFS(PURCHASE!$N$6:$N$10008,PURCHASE!$A$6:$A$10008,$AV$2,PURCHASE!$H$6:$H$10008,$A$4:$A$2700)</f>
        <v>0</v>
      </c>
      <c r="BA194" s="512">
        <f t="shared" si="55"/>
        <v>0</v>
      </c>
      <c r="BB194" s="512">
        <f>SUMIFS(PURCHASE!$K$6:$K$10008,PURCHASE!$A$6:$A$10008,$BA$2,PURCHASE!$H$6:$H$10008,$A$4:$A$2700)</f>
        <v>0</v>
      </c>
      <c r="BC194" s="512">
        <f>SUMIFS(PURCHASE!$L$6:$L$10008,PURCHASE!$A$6:$A$10008,$BA$2,PURCHASE!$H$6:$H$10008,$A$4:$A$2700)</f>
        <v>0</v>
      </c>
      <c r="BD194" s="512">
        <f>SUMIFS(PURCHASE!$M$6:$M$10008,PURCHASE!$A$6:$A$10008,$BA$2,PURCHASE!$H$6:$H$10008,$A$4:$A$2700)</f>
        <v>0</v>
      </c>
      <c r="BE194" s="512">
        <f>SUMIFS(PURCHASE!$N$6:$N$10008,PURCHASE!$A$6:$A$10008,$BA$2,PURCHASE!$H$6:$H$10008,$A$4:$A$2700)</f>
        <v>0</v>
      </c>
      <c r="BF194" s="512">
        <f t="shared" si="56"/>
        <v>0</v>
      </c>
      <c r="BG194" s="512">
        <f>SUMIFS(PURCHASE!$K$6:$K$10008,PURCHASE!$A$6:$A$10008,$BF$2,PURCHASE!$H$6:$H$10008,$A$4:$A$2700)</f>
        <v>0</v>
      </c>
      <c r="BH194" s="512">
        <f>SUMIFS(PURCHASE!$L$6:$L$10008,PURCHASE!$A$6:$A$10008,$BF$2,PURCHASE!$H$6:$H$10008,$A$4:$A$2700)</f>
        <v>0</v>
      </c>
      <c r="BI194" s="512">
        <f>SUMIFS(PURCHASE!$M$6:$M$10008,PURCHASE!$A$6:$A$10008,$BF$2,PURCHASE!$H$6:$H$10008,$A$4:$A$2700)</f>
        <v>0</v>
      </c>
      <c r="BJ194" s="512">
        <f>SUMIFS(PURCHASE!$N$6:$N$10008,PURCHASE!$A$6:$A$10008,$BF$2,PURCHASE!$H$6:$H$10008,$A$4:$A$2700)</f>
        <v>0</v>
      </c>
      <c r="BK194" s="72">
        <f t="shared" si="40"/>
        <v>247800</v>
      </c>
      <c r="BL194" s="72">
        <f t="shared" si="41"/>
        <v>210000</v>
      </c>
      <c r="BM194" s="72">
        <f t="shared" si="42"/>
        <v>0</v>
      </c>
      <c r="BN194" s="72">
        <f t="shared" si="43"/>
        <v>18900</v>
      </c>
      <c r="BO194" s="72">
        <f t="shared" si="44"/>
        <v>18900</v>
      </c>
    </row>
    <row r="195" spans="1:67" x14ac:dyDescent="0.2">
      <c r="A195" s="511">
        <v>96039000</v>
      </c>
      <c r="B195" s="467" t="s">
        <v>1329</v>
      </c>
      <c r="C195" s="512">
        <f t="shared" si="45"/>
        <v>0</v>
      </c>
      <c r="D195" s="512">
        <f>SUMIFS(PURCHASE!$K$6:$K$10008,PURCHASE!$A$6:$A$10008,$M$2,PURCHASE!$H$6:$H$10008,$A$4:$A$2700)</f>
        <v>0</v>
      </c>
      <c r="E195" s="512">
        <f>SUMIFS(PURCHASE!$L$6:$L$10008,PURCHASE!$A$6:$A$10008,$M$2,PURCHASE!$H$6:$H$10008,$A$4:$A$2700)</f>
        <v>0</v>
      </c>
      <c r="F195" s="512">
        <f>SUMIFS(PURCHASE!$M$6:$M$10008,PURCHASE!$A$6:$A$10008,$M$2,PURCHASE!$H$6:$H$10008,$A$4:$A$2700)</f>
        <v>0</v>
      </c>
      <c r="G195" s="512">
        <f>SUMIFS(PURCHASE!$N$6:$N$10008,PURCHASE!$A$6:$A$10008,$M$2,PURCHASE!$H$6:$H$10008,$A$4:$A$2700)</f>
        <v>0</v>
      </c>
      <c r="H195" s="512">
        <f t="shared" si="46"/>
        <v>0</v>
      </c>
      <c r="I195" s="512">
        <f>SUMIFS(PURCHASE!$K$6:$K$10008,PURCHASE!$A$6:$A$10008,$H$2,PURCHASE!$H$6:$H$10008,$A$4:$A$2700)</f>
        <v>0</v>
      </c>
      <c r="J195" s="512">
        <f>SUMIFS(PURCHASE!$L$6:$L$10008,PURCHASE!$A$6:$A$10008,$H$2,PURCHASE!$H$6:$H$10008,$A$4:$A$2700)</f>
        <v>0</v>
      </c>
      <c r="K195" s="512">
        <f>SUMIFS(PURCHASE!$M$6:$M$10008,PURCHASE!$A$6:$A$10008,$H$2,PURCHASE!$H$6:$H$10008,$A$4:$A$2700)</f>
        <v>0</v>
      </c>
      <c r="L195" s="512">
        <f>SUMIFS(PURCHASE!$N$6:$N$10008,PURCHASE!$A$6:$A$10008,$H$2,PURCHASE!$H$6:$H$10008,$A$4:$A$2700)</f>
        <v>0</v>
      </c>
      <c r="M195" s="512">
        <f t="shared" si="47"/>
        <v>0</v>
      </c>
      <c r="N195" s="512">
        <f>SUMIFS(PURCHASE!$K$6:$K$10008,PURCHASE!$A$6:$A$10008,$M$2,PURCHASE!$H$6:$H$10008,$A$4:$A$2700)</f>
        <v>0</v>
      </c>
      <c r="O195" s="512">
        <f>SUMIFS(PURCHASE!$L$6:$L$10008,PURCHASE!$A$6:$A$10008,$M$2,PURCHASE!$H$6:$H$10008,$A$4:$A$2700)</f>
        <v>0</v>
      </c>
      <c r="P195" s="512">
        <f>SUMIFS(PURCHASE!$M$6:$M$10008,PURCHASE!$A$6:$A$10008,$M$2,PURCHASE!$H$6:$H$10008,$A$4:$A$2700)</f>
        <v>0</v>
      </c>
      <c r="Q195" s="512">
        <f>SUMIFS(PURCHASE!$N$6:$N$10008,PURCHASE!$A$6:$A$10008,$M$2,PURCHASE!$H$6:$H$10008,$A$4:$A$2700)</f>
        <v>0</v>
      </c>
      <c r="R195" s="512">
        <f t="shared" si="48"/>
        <v>0</v>
      </c>
      <c r="S195" s="512">
        <f>SUMIFS(PURCHASE!$K$6:$K$10008,PURCHASE!$A$6:$A$10008,$R$2,PURCHASE!$H$6:$H$10008,$A$4:$A$2700)</f>
        <v>0</v>
      </c>
      <c r="T195" s="512">
        <f>SUMIFS(PURCHASE!$L$6:$L$10008,PURCHASE!$A$6:$A$10008,$R$2,PURCHASE!$H$6:$H$10008,$A$4:$A$2700)</f>
        <v>0</v>
      </c>
      <c r="U195" s="512">
        <f>SUMIFS(PURCHASE!$M$6:$M$10008,PURCHASE!$A$6:$A$10008,$R$2,PURCHASE!$H$6:$H$10008,$A$4:$A$2700)</f>
        <v>0</v>
      </c>
      <c r="V195" s="512">
        <f>SUMIFS(PURCHASE!$N$6:$N$10008,PURCHASE!$A$6:$A$10008,$R$2,PURCHASE!$H$6:$H$10008,$A$4:$A$2700)</f>
        <v>0</v>
      </c>
      <c r="W195" s="512">
        <f t="shared" si="49"/>
        <v>0</v>
      </c>
      <c r="X195" s="512">
        <f>SUMIFS(PURCHASE!$K$6:$K$10008,PURCHASE!$A$6:$A$10008,$W$2,PURCHASE!$H$6:$H$10008,$A$4:$A$2700)</f>
        <v>0</v>
      </c>
      <c r="Y195" s="512">
        <f>SUMIFS(PURCHASE!$L$6:$L$10008,PURCHASE!$A$6:$A$10008,$W$2,PURCHASE!$H$6:$H$10008,$A$4:$A$2700)</f>
        <v>0</v>
      </c>
      <c r="Z195" s="512">
        <f>SUMIFS(PURCHASE!$M$6:$M$10008,PURCHASE!$A$6:$A$10008,$W$2,PURCHASE!$H$6:$H$10008,$A$4:$A$2700)</f>
        <v>0</v>
      </c>
      <c r="AA195" s="512">
        <f>SUMIFS(PURCHASE!$N$6:$N$10008,PURCHASE!$A$6:$A$10008,$W$2,PURCHASE!$H$6:$H$10008,$A$4:$A$2700)</f>
        <v>0</v>
      </c>
      <c r="AB195" s="512">
        <f t="shared" si="50"/>
        <v>0</v>
      </c>
      <c r="AC195" s="512">
        <f>SUMIFS(PURCHASE!$K$6:$K$10008,PURCHASE!$A$6:$A$10008,$AB$2,PURCHASE!$H$6:$H$10008,$A$4:$A$2700)</f>
        <v>0</v>
      </c>
      <c r="AD195" s="512">
        <f>SUMIFS(PURCHASE!$L$6:$L$10008,PURCHASE!$A$6:$A$10008,$AB$2,PURCHASE!$H$6:$H$10008,$A$4:$A$2700)</f>
        <v>0</v>
      </c>
      <c r="AE195" s="512">
        <f>SUMIFS(PURCHASE!$M$6:$M$10008,PURCHASE!$A$6:$A$10008,$AB$2,PURCHASE!$H$6:$H$10008,$A$4:$A$2700)</f>
        <v>0</v>
      </c>
      <c r="AF195" s="512">
        <f>SUMIFS(PURCHASE!$N$6:$N$10008,PURCHASE!$A$6:$A$10008,$AB$2,PURCHASE!$H$6:$H$10008,$A$4:$A$2700)</f>
        <v>0</v>
      </c>
      <c r="AG195" s="512">
        <f t="shared" si="51"/>
        <v>0</v>
      </c>
      <c r="AH195" s="512">
        <f>SUMIFS(PURCHASE!$K$6:$K$10008,PURCHASE!$A$6:$A$10008,$AG$2,PURCHASE!$H$6:$H$10008,$A$4:$A$2700)</f>
        <v>0</v>
      </c>
      <c r="AI195" s="512">
        <f>SUMIFS(PURCHASE!$L$6:$L$10008,PURCHASE!$A$6:$A$10008,$AG$2,PURCHASE!$H$6:$H$10008,$A$4:$A$2700)</f>
        <v>0</v>
      </c>
      <c r="AJ195" s="512">
        <f>SUMIFS(PURCHASE!$M$6:$M$10008,PURCHASE!$A$6:$A$10008,$AG$2,PURCHASE!$H$6:$H$10008,$A$4:$A$2700)</f>
        <v>0</v>
      </c>
      <c r="AK195" s="512">
        <f>SUMIFS(PURCHASE!$N$6:$N$10008,PURCHASE!$A$6:$A$10008,$AG$2,PURCHASE!$H$6:$H$10008,$A$4:$A$2700)</f>
        <v>0</v>
      </c>
      <c r="AL195" s="512">
        <f t="shared" si="52"/>
        <v>0</v>
      </c>
      <c r="AM195" s="512">
        <f>SUMIFS(PURCHASE!$K$6:$K$10008,PURCHASE!$A$6:$A$10008,$AL$2,PURCHASE!$H$6:$H$10008,$A$4:$A$2700)</f>
        <v>0</v>
      </c>
      <c r="AN195" s="512">
        <f>SUMIFS(PURCHASE!$L$6:$L$10008,PURCHASE!$A$6:$A$10008,$AL$2,PURCHASE!$H$6:$H$10008,$A$4:$A$2700)</f>
        <v>0</v>
      </c>
      <c r="AO195" s="512">
        <f>SUMIFS(PURCHASE!$M$6:$M$10008,PURCHASE!$A$6:$A$10008,$AL$2,PURCHASE!$H$6:$H$10008,$A$4:$A$2700)</f>
        <v>0</v>
      </c>
      <c r="AP195" s="512">
        <f>SUMIFS(PURCHASE!$N$6:$N$10008,PURCHASE!$A$6:$A$10008,$AL$2,PURCHASE!$H$6:$H$10008,$A$4:$A$2700)</f>
        <v>0</v>
      </c>
      <c r="AQ195" s="512">
        <f t="shared" si="53"/>
        <v>0</v>
      </c>
      <c r="AR195" s="512">
        <f>SUMIFS(PURCHASE!$K$6:$K$10008,PURCHASE!$A$6:$A$10008,$AQ$2,PURCHASE!$H$6:$H$10008,$A$4:$A$2700)</f>
        <v>0</v>
      </c>
      <c r="AS195" s="512">
        <f>SUMIFS(PURCHASE!$L$6:$L$10008,PURCHASE!$A$6:$A$10008,$AQ$2,PURCHASE!$H$6:$H$10008,$A$4:$A$2700)</f>
        <v>0</v>
      </c>
      <c r="AT195" s="512">
        <f>SUMIFS(PURCHASE!$M$6:$M$10008,PURCHASE!$A$6:$A$10008,$AQ$2,PURCHASE!$H$6:$H$10008,$A$4:$A$2700)</f>
        <v>0</v>
      </c>
      <c r="AU195" s="512">
        <f>SUMIFS(PURCHASE!$N$6:$N$10008,PURCHASE!$A$6:$A$10008,$AQ$2,PURCHASE!$H$6:$H$10008,$A$4:$A$2700)</f>
        <v>0</v>
      </c>
      <c r="AV195" s="512">
        <f t="shared" si="54"/>
        <v>552.24</v>
      </c>
      <c r="AW195" s="512">
        <f>SUMIFS(PURCHASE!$K$6:$K$10008,PURCHASE!$A$6:$A$10008,$AV$2,PURCHASE!$H$6:$H$10008,$A$4:$A$2700)</f>
        <v>468</v>
      </c>
      <c r="AX195" s="512">
        <f>SUMIFS(PURCHASE!$L$6:$L$10008,PURCHASE!$A$6:$A$10008,$AV$2,PURCHASE!$H$6:$H$10008,$A$4:$A$2700)</f>
        <v>0</v>
      </c>
      <c r="AY195" s="512">
        <f>SUMIFS(PURCHASE!$M$6:$M$10008,PURCHASE!$A$6:$A$10008,$AV$2,PURCHASE!$H$6:$H$10008,$A$4:$A$2700)</f>
        <v>42.12</v>
      </c>
      <c r="AZ195" s="512">
        <f>SUMIFS(PURCHASE!$N$6:$N$10008,PURCHASE!$A$6:$A$10008,$AV$2,PURCHASE!$H$6:$H$10008,$A$4:$A$2700)</f>
        <v>42.12</v>
      </c>
      <c r="BA195" s="512">
        <f t="shared" si="55"/>
        <v>0</v>
      </c>
      <c r="BB195" s="512">
        <f>SUMIFS(PURCHASE!$K$6:$K$10008,PURCHASE!$A$6:$A$10008,$BA$2,PURCHASE!$H$6:$H$10008,$A$4:$A$2700)</f>
        <v>0</v>
      </c>
      <c r="BC195" s="512">
        <f>SUMIFS(PURCHASE!$L$6:$L$10008,PURCHASE!$A$6:$A$10008,$BA$2,PURCHASE!$H$6:$H$10008,$A$4:$A$2700)</f>
        <v>0</v>
      </c>
      <c r="BD195" s="512">
        <f>SUMIFS(PURCHASE!$M$6:$M$10008,PURCHASE!$A$6:$A$10008,$BA$2,PURCHASE!$H$6:$H$10008,$A$4:$A$2700)</f>
        <v>0</v>
      </c>
      <c r="BE195" s="512">
        <f>SUMIFS(PURCHASE!$N$6:$N$10008,PURCHASE!$A$6:$A$10008,$BA$2,PURCHASE!$H$6:$H$10008,$A$4:$A$2700)</f>
        <v>0</v>
      </c>
      <c r="BF195" s="512">
        <f t="shared" si="56"/>
        <v>0</v>
      </c>
      <c r="BG195" s="512">
        <f>SUMIFS(PURCHASE!$K$6:$K$10008,PURCHASE!$A$6:$A$10008,$BF$2,PURCHASE!$H$6:$H$10008,$A$4:$A$2700)</f>
        <v>0</v>
      </c>
      <c r="BH195" s="512">
        <f>SUMIFS(PURCHASE!$L$6:$L$10008,PURCHASE!$A$6:$A$10008,$BF$2,PURCHASE!$H$6:$H$10008,$A$4:$A$2700)</f>
        <v>0</v>
      </c>
      <c r="BI195" s="512">
        <f>SUMIFS(PURCHASE!$M$6:$M$10008,PURCHASE!$A$6:$A$10008,$BF$2,PURCHASE!$H$6:$H$10008,$A$4:$A$2700)</f>
        <v>0</v>
      </c>
      <c r="BJ195" s="512">
        <f>SUMIFS(PURCHASE!$N$6:$N$10008,PURCHASE!$A$6:$A$10008,$BF$2,PURCHASE!$H$6:$H$10008,$A$4:$A$2700)</f>
        <v>0</v>
      </c>
      <c r="BK195" s="72">
        <f t="shared" si="40"/>
        <v>552.24</v>
      </c>
      <c r="BL195" s="72">
        <f t="shared" si="41"/>
        <v>468</v>
      </c>
      <c r="BM195" s="72">
        <f t="shared" si="42"/>
        <v>0</v>
      </c>
      <c r="BN195" s="72">
        <f t="shared" si="43"/>
        <v>42.12</v>
      </c>
      <c r="BO195" s="72">
        <f t="shared" si="44"/>
        <v>42.12</v>
      </c>
    </row>
    <row r="196" spans="1:67" x14ac:dyDescent="0.2">
      <c r="A196" s="511">
        <v>74122012</v>
      </c>
      <c r="B196" s="467" t="s">
        <v>1330</v>
      </c>
      <c r="C196" s="512">
        <f t="shared" si="45"/>
        <v>0</v>
      </c>
      <c r="D196" s="512">
        <f>SUMIFS(PURCHASE!$K$6:$K$10008,PURCHASE!$A$6:$A$10008,$M$2,PURCHASE!$H$6:$H$10008,$A$4:$A$2700)</f>
        <v>0</v>
      </c>
      <c r="E196" s="512">
        <f>SUMIFS(PURCHASE!$L$6:$L$10008,PURCHASE!$A$6:$A$10008,$M$2,PURCHASE!$H$6:$H$10008,$A$4:$A$2700)</f>
        <v>0</v>
      </c>
      <c r="F196" s="512">
        <f>SUMIFS(PURCHASE!$M$6:$M$10008,PURCHASE!$A$6:$A$10008,$M$2,PURCHASE!$H$6:$H$10008,$A$4:$A$2700)</f>
        <v>0</v>
      </c>
      <c r="G196" s="512">
        <f>SUMIFS(PURCHASE!$N$6:$N$10008,PURCHASE!$A$6:$A$10008,$M$2,PURCHASE!$H$6:$H$10008,$A$4:$A$2700)</f>
        <v>0</v>
      </c>
      <c r="H196" s="512">
        <f t="shared" si="46"/>
        <v>241.89999999999998</v>
      </c>
      <c r="I196" s="512">
        <f>SUMIFS(PURCHASE!$K$6:$K$10008,PURCHASE!$A$6:$A$10008,$H$2,PURCHASE!$H$6:$H$10008,$A$4:$A$2700)</f>
        <v>205</v>
      </c>
      <c r="J196" s="512">
        <f>SUMIFS(PURCHASE!$L$6:$L$10008,PURCHASE!$A$6:$A$10008,$H$2,PURCHASE!$H$6:$H$10008,$A$4:$A$2700)</f>
        <v>0</v>
      </c>
      <c r="K196" s="512">
        <f>SUMIFS(PURCHASE!$M$6:$M$10008,PURCHASE!$A$6:$A$10008,$H$2,PURCHASE!$H$6:$H$10008,$A$4:$A$2700)</f>
        <v>18.45</v>
      </c>
      <c r="L196" s="512">
        <f>SUMIFS(PURCHASE!$N$6:$N$10008,PURCHASE!$A$6:$A$10008,$H$2,PURCHASE!$H$6:$H$10008,$A$4:$A$2700)</f>
        <v>18.45</v>
      </c>
      <c r="M196" s="512">
        <f t="shared" si="47"/>
        <v>0</v>
      </c>
      <c r="N196" s="512">
        <f>SUMIFS(PURCHASE!$K$6:$K$10008,PURCHASE!$A$6:$A$10008,$M$2,PURCHASE!$H$6:$H$10008,$A$4:$A$2700)</f>
        <v>0</v>
      </c>
      <c r="O196" s="512">
        <f>SUMIFS(PURCHASE!$L$6:$L$10008,PURCHASE!$A$6:$A$10008,$M$2,PURCHASE!$H$6:$H$10008,$A$4:$A$2700)</f>
        <v>0</v>
      </c>
      <c r="P196" s="512">
        <f>SUMIFS(PURCHASE!$M$6:$M$10008,PURCHASE!$A$6:$A$10008,$M$2,PURCHASE!$H$6:$H$10008,$A$4:$A$2700)</f>
        <v>0</v>
      </c>
      <c r="Q196" s="512">
        <f>SUMIFS(PURCHASE!$N$6:$N$10008,PURCHASE!$A$6:$A$10008,$M$2,PURCHASE!$H$6:$H$10008,$A$4:$A$2700)</f>
        <v>0</v>
      </c>
      <c r="R196" s="512">
        <f t="shared" si="48"/>
        <v>0</v>
      </c>
      <c r="S196" s="512">
        <f>SUMIFS(PURCHASE!$K$6:$K$10008,PURCHASE!$A$6:$A$10008,$R$2,PURCHASE!$H$6:$H$10008,$A$4:$A$2700)</f>
        <v>0</v>
      </c>
      <c r="T196" s="512">
        <f>SUMIFS(PURCHASE!$L$6:$L$10008,PURCHASE!$A$6:$A$10008,$R$2,PURCHASE!$H$6:$H$10008,$A$4:$A$2700)</f>
        <v>0</v>
      </c>
      <c r="U196" s="512">
        <f>SUMIFS(PURCHASE!$M$6:$M$10008,PURCHASE!$A$6:$A$10008,$R$2,PURCHASE!$H$6:$H$10008,$A$4:$A$2700)</f>
        <v>0</v>
      </c>
      <c r="V196" s="512">
        <f>SUMIFS(PURCHASE!$N$6:$N$10008,PURCHASE!$A$6:$A$10008,$R$2,PURCHASE!$H$6:$H$10008,$A$4:$A$2700)</f>
        <v>0</v>
      </c>
      <c r="W196" s="512">
        <f t="shared" si="49"/>
        <v>0</v>
      </c>
      <c r="X196" s="512">
        <f>SUMIFS(PURCHASE!$K$6:$K$10008,PURCHASE!$A$6:$A$10008,$W$2,PURCHASE!$H$6:$H$10008,$A$4:$A$2700)</f>
        <v>0</v>
      </c>
      <c r="Y196" s="512">
        <f>SUMIFS(PURCHASE!$L$6:$L$10008,PURCHASE!$A$6:$A$10008,$W$2,PURCHASE!$H$6:$H$10008,$A$4:$A$2700)</f>
        <v>0</v>
      </c>
      <c r="Z196" s="512">
        <f>SUMIFS(PURCHASE!$M$6:$M$10008,PURCHASE!$A$6:$A$10008,$W$2,PURCHASE!$H$6:$H$10008,$A$4:$A$2700)</f>
        <v>0</v>
      </c>
      <c r="AA196" s="512">
        <f>SUMIFS(PURCHASE!$N$6:$N$10008,PURCHASE!$A$6:$A$10008,$W$2,PURCHASE!$H$6:$H$10008,$A$4:$A$2700)</f>
        <v>0</v>
      </c>
      <c r="AB196" s="512">
        <f t="shared" si="50"/>
        <v>0</v>
      </c>
      <c r="AC196" s="512">
        <f>SUMIFS(PURCHASE!$K$6:$K$10008,PURCHASE!$A$6:$A$10008,$AB$2,PURCHASE!$H$6:$H$10008,$A$4:$A$2700)</f>
        <v>0</v>
      </c>
      <c r="AD196" s="512">
        <f>SUMIFS(PURCHASE!$L$6:$L$10008,PURCHASE!$A$6:$A$10008,$AB$2,PURCHASE!$H$6:$H$10008,$A$4:$A$2700)</f>
        <v>0</v>
      </c>
      <c r="AE196" s="512">
        <f>SUMIFS(PURCHASE!$M$6:$M$10008,PURCHASE!$A$6:$A$10008,$AB$2,PURCHASE!$H$6:$H$10008,$A$4:$A$2700)</f>
        <v>0</v>
      </c>
      <c r="AF196" s="512">
        <f>SUMIFS(PURCHASE!$N$6:$N$10008,PURCHASE!$A$6:$A$10008,$AB$2,PURCHASE!$H$6:$H$10008,$A$4:$A$2700)</f>
        <v>0</v>
      </c>
      <c r="AG196" s="512">
        <f t="shared" si="51"/>
        <v>0</v>
      </c>
      <c r="AH196" s="512">
        <f>SUMIFS(PURCHASE!$K$6:$K$10008,PURCHASE!$A$6:$A$10008,$AG$2,PURCHASE!$H$6:$H$10008,$A$4:$A$2700)</f>
        <v>0</v>
      </c>
      <c r="AI196" s="512">
        <f>SUMIFS(PURCHASE!$L$6:$L$10008,PURCHASE!$A$6:$A$10008,$AG$2,PURCHASE!$H$6:$H$10008,$A$4:$A$2700)</f>
        <v>0</v>
      </c>
      <c r="AJ196" s="512">
        <f>SUMIFS(PURCHASE!$M$6:$M$10008,PURCHASE!$A$6:$A$10008,$AG$2,PURCHASE!$H$6:$H$10008,$A$4:$A$2700)</f>
        <v>0</v>
      </c>
      <c r="AK196" s="512">
        <f>SUMIFS(PURCHASE!$N$6:$N$10008,PURCHASE!$A$6:$A$10008,$AG$2,PURCHASE!$H$6:$H$10008,$A$4:$A$2700)</f>
        <v>0</v>
      </c>
      <c r="AL196" s="512">
        <f t="shared" si="52"/>
        <v>0</v>
      </c>
      <c r="AM196" s="512">
        <f>SUMIFS(PURCHASE!$K$6:$K$10008,PURCHASE!$A$6:$A$10008,$AL$2,PURCHASE!$H$6:$H$10008,$A$4:$A$2700)</f>
        <v>0</v>
      </c>
      <c r="AN196" s="512">
        <f>SUMIFS(PURCHASE!$L$6:$L$10008,PURCHASE!$A$6:$A$10008,$AL$2,PURCHASE!$H$6:$H$10008,$A$4:$A$2700)</f>
        <v>0</v>
      </c>
      <c r="AO196" s="512">
        <f>SUMIFS(PURCHASE!$M$6:$M$10008,PURCHASE!$A$6:$A$10008,$AL$2,PURCHASE!$H$6:$H$10008,$A$4:$A$2700)</f>
        <v>0</v>
      </c>
      <c r="AP196" s="512">
        <f>SUMIFS(PURCHASE!$N$6:$N$10008,PURCHASE!$A$6:$A$10008,$AL$2,PURCHASE!$H$6:$H$10008,$A$4:$A$2700)</f>
        <v>0</v>
      </c>
      <c r="AQ196" s="512">
        <f t="shared" si="53"/>
        <v>0</v>
      </c>
      <c r="AR196" s="512">
        <f>SUMIFS(PURCHASE!$K$6:$K$10008,PURCHASE!$A$6:$A$10008,$AQ$2,PURCHASE!$H$6:$H$10008,$A$4:$A$2700)</f>
        <v>0</v>
      </c>
      <c r="AS196" s="512">
        <f>SUMIFS(PURCHASE!$L$6:$L$10008,PURCHASE!$A$6:$A$10008,$AQ$2,PURCHASE!$H$6:$H$10008,$A$4:$A$2700)</f>
        <v>0</v>
      </c>
      <c r="AT196" s="512">
        <f>SUMIFS(PURCHASE!$M$6:$M$10008,PURCHASE!$A$6:$A$10008,$AQ$2,PURCHASE!$H$6:$H$10008,$A$4:$A$2700)</f>
        <v>0</v>
      </c>
      <c r="AU196" s="512">
        <f>SUMIFS(PURCHASE!$N$6:$N$10008,PURCHASE!$A$6:$A$10008,$AQ$2,PURCHASE!$H$6:$H$10008,$A$4:$A$2700)</f>
        <v>0</v>
      </c>
      <c r="AV196" s="512">
        <f t="shared" si="54"/>
        <v>0</v>
      </c>
      <c r="AW196" s="512">
        <f>SUMIFS(PURCHASE!$K$6:$K$10008,PURCHASE!$A$6:$A$10008,$AV$2,PURCHASE!$H$6:$H$10008,$A$4:$A$2700)</f>
        <v>0</v>
      </c>
      <c r="AX196" s="512">
        <f>SUMIFS(PURCHASE!$L$6:$L$10008,PURCHASE!$A$6:$A$10008,$AV$2,PURCHASE!$H$6:$H$10008,$A$4:$A$2700)</f>
        <v>0</v>
      </c>
      <c r="AY196" s="512">
        <f>SUMIFS(PURCHASE!$M$6:$M$10008,PURCHASE!$A$6:$A$10008,$AV$2,PURCHASE!$H$6:$H$10008,$A$4:$A$2700)</f>
        <v>0</v>
      </c>
      <c r="AZ196" s="512">
        <f>SUMIFS(PURCHASE!$N$6:$N$10008,PURCHASE!$A$6:$A$10008,$AV$2,PURCHASE!$H$6:$H$10008,$A$4:$A$2700)</f>
        <v>0</v>
      </c>
      <c r="BA196" s="512">
        <f t="shared" si="55"/>
        <v>0</v>
      </c>
      <c r="BB196" s="512">
        <f>SUMIFS(PURCHASE!$K$6:$K$10008,PURCHASE!$A$6:$A$10008,$BA$2,PURCHASE!$H$6:$H$10008,$A$4:$A$2700)</f>
        <v>0</v>
      </c>
      <c r="BC196" s="512">
        <f>SUMIFS(PURCHASE!$L$6:$L$10008,PURCHASE!$A$6:$A$10008,$BA$2,PURCHASE!$H$6:$H$10008,$A$4:$A$2700)</f>
        <v>0</v>
      </c>
      <c r="BD196" s="512">
        <f>SUMIFS(PURCHASE!$M$6:$M$10008,PURCHASE!$A$6:$A$10008,$BA$2,PURCHASE!$H$6:$H$10008,$A$4:$A$2700)</f>
        <v>0</v>
      </c>
      <c r="BE196" s="512">
        <f>SUMIFS(PURCHASE!$N$6:$N$10008,PURCHASE!$A$6:$A$10008,$BA$2,PURCHASE!$H$6:$H$10008,$A$4:$A$2700)</f>
        <v>0</v>
      </c>
      <c r="BF196" s="512">
        <f t="shared" si="56"/>
        <v>0</v>
      </c>
      <c r="BG196" s="512">
        <f>SUMIFS(PURCHASE!$K$6:$K$10008,PURCHASE!$A$6:$A$10008,$BF$2,PURCHASE!$H$6:$H$10008,$A$4:$A$2700)</f>
        <v>0</v>
      </c>
      <c r="BH196" s="512">
        <f>SUMIFS(PURCHASE!$L$6:$L$10008,PURCHASE!$A$6:$A$10008,$BF$2,PURCHASE!$H$6:$H$10008,$A$4:$A$2700)</f>
        <v>0</v>
      </c>
      <c r="BI196" s="512">
        <f>SUMIFS(PURCHASE!$M$6:$M$10008,PURCHASE!$A$6:$A$10008,$BF$2,PURCHASE!$H$6:$H$10008,$A$4:$A$2700)</f>
        <v>0</v>
      </c>
      <c r="BJ196" s="512">
        <f>SUMIFS(PURCHASE!$N$6:$N$10008,PURCHASE!$A$6:$A$10008,$BF$2,PURCHASE!$H$6:$H$10008,$A$4:$A$2700)</f>
        <v>0</v>
      </c>
      <c r="BK196" s="72">
        <f t="shared" ref="BK196:BK228" si="57">+C196+H196+M196+R196+W196+AB196+AG196+AL196+AQ196+AV196+BA196+BF196</f>
        <v>241.89999999999998</v>
      </c>
      <c r="BL196" s="72">
        <f t="shared" ref="BL196:BL228" si="58">+D196+I196+N196+S196+X196+AC196+AH196+AM196+AR196+AW196+BB196+BG196</f>
        <v>205</v>
      </c>
      <c r="BM196" s="72">
        <f t="shared" ref="BM196:BM228" si="59">+E196+J196+O196+T196+Y196+AD196+AI196+AN196+AS196+AX196+BC196+BH196</f>
        <v>0</v>
      </c>
      <c r="BN196" s="72">
        <f t="shared" ref="BN196:BN228" si="60">+F196+K196+P196+U196+Z196+AE196+AJ196+AO196+AT196+AY196+BD196+BI196</f>
        <v>18.45</v>
      </c>
      <c r="BO196" s="72">
        <f t="shared" ref="BO196:BO228" si="61">+G196+L196+Q196+V196+AA196+AF196+AK196+AP196+AU196+AZ196+BE196+BJ196</f>
        <v>18.45</v>
      </c>
    </row>
    <row r="197" spans="1:67" x14ac:dyDescent="0.2">
      <c r="A197" s="511">
        <v>84818030</v>
      </c>
      <c r="B197" s="467" t="s">
        <v>1331</v>
      </c>
      <c r="C197" s="512">
        <f t="shared" ref="C197:C260" si="62">+D197+E197+F197+G197</f>
        <v>0</v>
      </c>
      <c r="D197" s="512">
        <f>SUMIFS(PURCHASE!$K$6:$K$10008,PURCHASE!$A$6:$A$10008,$M$2,PURCHASE!$H$6:$H$10008,$A$4:$A$2700)</f>
        <v>0</v>
      </c>
      <c r="E197" s="512">
        <f>SUMIFS(PURCHASE!$L$6:$L$10008,PURCHASE!$A$6:$A$10008,$M$2,PURCHASE!$H$6:$H$10008,$A$4:$A$2700)</f>
        <v>0</v>
      </c>
      <c r="F197" s="512">
        <f>SUMIFS(PURCHASE!$M$6:$M$10008,PURCHASE!$A$6:$A$10008,$M$2,PURCHASE!$H$6:$H$10008,$A$4:$A$2700)</f>
        <v>0</v>
      </c>
      <c r="G197" s="512">
        <f>SUMIFS(PURCHASE!$N$6:$N$10008,PURCHASE!$A$6:$A$10008,$M$2,PURCHASE!$H$6:$H$10008,$A$4:$A$2700)</f>
        <v>0</v>
      </c>
      <c r="H197" s="512">
        <f t="shared" ref="H197:H260" si="63">+I197+J197+K197+L197</f>
        <v>0</v>
      </c>
      <c r="I197" s="512">
        <f>SUMIFS(PURCHASE!$K$6:$K$10008,PURCHASE!$A$6:$A$10008,$H$2,PURCHASE!$H$6:$H$10008,$A$4:$A$2700)</f>
        <v>0</v>
      </c>
      <c r="J197" s="512">
        <f>SUMIFS(PURCHASE!$L$6:$L$10008,PURCHASE!$A$6:$A$10008,$H$2,PURCHASE!$H$6:$H$10008,$A$4:$A$2700)</f>
        <v>0</v>
      </c>
      <c r="K197" s="512">
        <f>SUMIFS(PURCHASE!$M$6:$M$10008,PURCHASE!$A$6:$A$10008,$H$2,PURCHASE!$H$6:$H$10008,$A$4:$A$2700)</f>
        <v>0</v>
      </c>
      <c r="L197" s="512">
        <f>SUMIFS(PURCHASE!$N$6:$N$10008,PURCHASE!$A$6:$A$10008,$H$2,PURCHASE!$H$6:$H$10008,$A$4:$A$2700)</f>
        <v>0</v>
      </c>
      <c r="M197" s="512">
        <f t="shared" ref="M197:M260" si="64">+N197+O197+P197+Q197</f>
        <v>0</v>
      </c>
      <c r="N197" s="512">
        <f>SUMIFS(PURCHASE!$K$6:$K$10008,PURCHASE!$A$6:$A$10008,$M$2,PURCHASE!$H$6:$H$10008,$A$4:$A$2700)</f>
        <v>0</v>
      </c>
      <c r="O197" s="512">
        <f>SUMIFS(PURCHASE!$L$6:$L$10008,PURCHASE!$A$6:$A$10008,$M$2,PURCHASE!$H$6:$H$10008,$A$4:$A$2700)</f>
        <v>0</v>
      </c>
      <c r="P197" s="512">
        <f>SUMIFS(PURCHASE!$M$6:$M$10008,PURCHASE!$A$6:$A$10008,$M$2,PURCHASE!$H$6:$H$10008,$A$4:$A$2700)</f>
        <v>0</v>
      </c>
      <c r="Q197" s="512">
        <f>SUMIFS(PURCHASE!$N$6:$N$10008,PURCHASE!$A$6:$A$10008,$M$2,PURCHASE!$H$6:$H$10008,$A$4:$A$2700)</f>
        <v>0</v>
      </c>
      <c r="R197" s="512">
        <f t="shared" ref="R197:R260" si="65">+S197+T197+U197+V197</f>
        <v>0</v>
      </c>
      <c r="S197" s="512">
        <f>SUMIFS(PURCHASE!$K$6:$K$10008,PURCHASE!$A$6:$A$10008,$R$2,PURCHASE!$H$6:$H$10008,$A$4:$A$2700)</f>
        <v>0</v>
      </c>
      <c r="T197" s="512">
        <f>SUMIFS(PURCHASE!$L$6:$L$10008,PURCHASE!$A$6:$A$10008,$R$2,PURCHASE!$H$6:$H$10008,$A$4:$A$2700)</f>
        <v>0</v>
      </c>
      <c r="U197" s="512">
        <f>SUMIFS(PURCHASE!$M$6:$M$10008,PURCHASE!$A$6:$A$10008,$R$2,PURCHASE!$H$6:$H$10008,$A$4:$A$2700)</f>
        <v>0</v>
      </c>
      <c r="V197" s="512">
        <f>SUMIFS(PURCHASE!$N$6:$N$10008,PURCHASE!$A$6:$A$10008,$R$2,PURCHASE!$H$6:$H$10008,$A$4:$A$2700)</f>
        <v>0</v>
      </c>
      <c r="W197" s="512">
        <f t="shared" ref="W197:W260" si="66">+X197+Y197+Z197+AA197</f>
        <v>0</v>
      </c>
      <c r="X197" s="512">
        <f>SUMIFS(PURCHASE!$K$6:$K$10008,PURCHASE!$A$6:$A$10008,$W$2,PURCHASE!$H$6:$H$10008,$A$4:$A$2700)</f>
        <v>0</v>
      </c>
      <c r="Y197" s="512">
        <f>SUMIFS(PURCHASE!$L$6:$L$10008,PURCHASE!$A$6:$A$10008,$W$2,PURCHASE!$H$6:$H$10008,$A$4:$A$2700)</f>
        <v>0</v>
      </c>
      <c r="Z197" s="512">
        <f>SUMIFS(PURCHASE!$M$6:$M$10008,PURCHASE!$A$6:$A$10008,$W$2,PURCHASE!$H$6:$H$10008,$A$4:$A$2700)</f>
        <v>0</v>
      </c>
      <c r="AA197" s="512">
        <f>SUMIFS(PURCHASE!$N$6:$N$10008,PURCHASE!$A$6:$A$10008,$W$2,PURCHASE!$H$6:$H$10008,$A$4:$A$2700)</f>
        <v>0</v>
      </c>
      <c r="AB197" s="512">
        <f t="shared" ref="AB197:AB260" si="67">+AC197+AD197+AE197+AF197</f>
        <v>0</v>
      </c>
      <c r="AC197" s="512">
        <f>SUMIFS(PURCHASE!$K$6:$K$10008,PURCHASE!$A$6:$A$10008,$AB$2,PURCHASE!$H$6:$H$10008,$A$4:$A$2700)</f>
        <v>0</v>
      </c>
      <c r="AD197" s="512">
        <f>SUMIFS(PURCHASE!$L$6:$L$10008,PURCHASE!$A$6:$A$10008,$AB$2,PURCHASE!$H$6:$H$10008,$A$4:$A$2700)</f>
        <v>0</v>
      </c>
      <c r="AE197" s="512">
        <f>SUMIFS(PURCHASE!$M$6:$M$10008,PURCHASE!$A$6:$A$10008,$AB$2,PURCHASE!$H$6:$H$10008,$A$4:$A$2700)</f>
        <v>0</v>
      </c>
      <c r="AF197" s="512">
        <f>SUMIFS(PURCHASE!$N$6:$N$10008,PURCHASE!$A$6:$A$10008,$AB$2,PURCHASE!$H$6:$H$10008,$A$4:$A$2700)</f>
        <v>0</v>
      </c>
      <c r="AG197" s="512">
        <f t="shared" ref="AG197:AG260" si="68">+AH197+AI197+AJ197+AK197</f>
        <v>0</v>
      </c>
      <c r="AH197" s="512">
        <f>SUMIFS(PURCHASE!$K$6:$K$10008,PURCHASE!$A$6:$A$10008,$AG$2,PURCHASE!$H$6:$H$10008,$A$4:$A$2700)</f>
        <v>0</v>
      </c>
      <c r="AI197" s="512">
        <f>SUMIFS(PURCHASE!$L$6:$L$10008,PURCHASE!$A$6:$A$10008,$AG$2,PURCHASE!$H$6:$H$10008,$A$4:$A$2700)</f>
        <v>0</v>
      </c>
      <c r="AJ197" s="512">
        <f>SUMIFS(PURCHASE!$M$6:$M$10008,PURCHASE!$A$6:$A$10008,$AG$2,PURCHASE!$H$6:$H$10008,$A$4:$A$2700)</f>
        <v>0</v>
      </c>
      <c r="AK197" s="512">
        <f>SUMIFS(PURCHASE!$N$6:$N$10008,PURCHASE!$A$6:$A$10008,$AG$2,PURCHASE!$H$6:$H$10008,$A$4:$A$2700)</f>
        <v>0</v>
      </c>
      <c r="AL197" s="512">
        <f t="shared" ref="AL197:AL260" si="69">+AM197+AN197+AO197+AP197</f>
        <v>0</v>
      </c>
      <c r="AM197" s="512">
        <f>SUMIFS(PURCHASE!$K$6:$K$10008,PURCHASE!$A$6:$A$10008,$AL$2,PURCHASE!$H$6:$H$10008,$A$4:$A$2700)</f>
        <v>0</v>
      </c>
      <c r="AN197" s="512">
        <f>SUMIFS(PURCHASE!$L$6:$L$10008,PURCHASE!$A$6:$A$10008,$AL$2,PURCHASE!$H$6:$H$10008,$A$4:$A$2700)</f>
        <v>0</v>
      </c>
      <c r="AO197" s="512">
        <f>SUMIFS(PURCHASE!$M$6:$M$10008,PURCHASE!$A$6:$A$10008,$AL$2,PURCHASE!$H$6:$H$10008,$A$4:$A$2700)</f>
        <v>0</v>
      </c>
      <c r="AP197" s="512">
        <f>SUMIFS(PURCHASE!$N$6:$N$10008,PURCHASE!$A$6:$A$10008,$AL$2,PURCHASE!$H$6:$H$10008,$A$4:$A$2700)</f>
        <v>0</v>
      </c>
      <c r="AQ197" s="512">
        <f t="shared" ref="AQ197:AQ260" si="70">+AR197+AS197+AT197+AU197</f>
        <v>0</v>
      </c>
      <c r="AR197" s="512">
        <f>SUMIFS(PURCHASE!$K$6:$K$10008,PURCHASE!$A$6:$A$10008,$AQ$2,PURCHASE!$H$6:$H$10008,$A$4:$A$2700)</f>
        <v>0</v>
      </c>
      <c r="AS197" s="512">
        <f>SUMIFS(PURCHASE!$L$6:$L$10008,PURCHASE!$A$6:$A$10008,$AQ$2,PURCHASE!$H$6:$H$10008,$A$4:$A$2700)</f>
        <v>0</v>
      </c>
      <c r="AT197" s="512">
        <f>SUMIFS(PURCHASE!$M$6:$M$10008,PURCHASE!$A$6:$A$10008,$AQ$2,PURCHASE!$H$6:$H$10008,$A$4:$A$2700)</f>
        <v>0</v>
      </c>
      <c r="AU197" s="512">
        <f>SUMIFS(PURCHASE!$N$6:$N$10008,PURCHASE!$A$6:$A$10008,$AQ$2,PURCHASE!$H$6:$H$10008,$A$4:$A$2700)</f>
        <v>0</v>
      </c>
      <c r="AV197" s="512">
        <f t="shared" ref="AV197:AV260" si="71">+AW197+AX197+AY197+AZ197</f>
        <v>0</v>
      </c>
      <c r="AW197" s="512">
        <f>SUMIFS(PURCHASE!$K$6:$K$10008,PURCHASE!$A$6:$A$10008,$AV$2,PURCHASE!$H$6:$H$10008,$A$4:$A$2700)</f>
        <v>0</v>
      </c>
      <c r="AX197" s="512">
        <f>SUMIFS(PURCHASE!$L$6:$L$10008,PURCHASE!$A$6:$A$10008,$AV$2,PURCHASE!$H$6:$H$10008,$A$4:$A$2700)</f>
        <v>0</v>
      </c>
      <c r="AY197" s="512">
        <f>SUMIFS(PURCHASE!$M$6:$M$10008,PURCHASE!$A$6:$A$10008,$AV$2,PURCHASE!$H$6:$H$10008,$A$4:$A$2700)</f>
        <v>0</v>
      </c>
      <c r="AZ197" s="512">
        <f>SUMIFS(PURCHASE!$N$6:$N$10008,PURCHASE!$A$6:$A$10008,$AV$2,PURCHASE!$H$6:$H$10008,$A$4:$A$2700)</f>
        <v>0</v>
      </c>
      <c r="BA197" s="512">
        <f t="shared" ref="BA197:BA260" si="72">+BB197+BC197+BD197+BE197</f>
        <v>0</v>
      </c>
      <c r="BB197" s="512">
        <f>SUMIFS(PURCHASE!$K$6:$K$10008,PURCHASE!$A$6:$A$10008,$BA$2,PURCHASE!$H$6:$H$10008,$A$4:$A$2700)</f>
        <v>0</v>
      </c>
      <c r="BC197" s="512">
        <f>SUMIFS(PURCHASE!$L$6:$L$10008,PURCHASE!$A$6:$A$10008,$BA$2,PURCHASE!$H$6:$H$10008,$A$4:$A$2700)</f>
        <v>0</v>
      </c>
      <c r="BD197" s="512">
        <f>SUMIFS(PURCHASE!$M$6:$M$10008,PURCHASE!$A$6:$A$10008,$BA$2,PURCHASE!$H$6:$H$10008,$A$4:$A$2700)</f>
        <v>0</v>
      </c>
      <c r="BE197" s="512">
        <f>SUMIFS(PURCHASE!$N$6:$N$10008,PURCHASE!$A$6:$A$10008,$BA$2,PURCHASE!$H$6:$H$10008,$A$4:$A$2700)</f>
        <v>0</v>
      </c>
      <c r="BF197" s="512">
        <f t="shared" ref="BF197:BF260" si="73">+BG197+BH197+BI197+BJ197</f>
        <v>0</v>
      </c>
      <c r="BG197" s="512">
        <f>SUMIFS(PURCHASE!$K$6:$K$10008,PURCHASE!$A$6:$A$10008,$BF$2,PURCHASE!$H$6:$H$10008,$A$4:$A$2700)</f>
        <v>0</v>
      </c>
      <c r="BH197" s="512">
        <f>SUMIFS(PURCHASE!$L$6:$L$10008,PURCHASE!$A$6:$A$10008,$BF$2,PURCHASE!$H$6:$H$10008,$A$4:$A$2700)</f>
        <v>0</v>
      </c>
      <c r="BI197" s="512">
        <f>SUMIFS(PURCHASE!$M$6:$M$10008,PURCHASE!$A$6:$A$10008,$BF$2,PURCHASE!$H$6:$H$10008,$A$4:$A$2700)</f>
        <v>0</v>
      </c>
      <c r="BJ197" s="512">
        <f>SUMIFS(PURCHASE!$N$6:$N$10008,PURCHASE!$A$6:$A$10008,$BF$2,PURCHASE!$H$6:$H$10008,$A$4:$A$2700)</f>
        <v>0</v>
      </c>
      <c r="BK197" s="72">
        <f t="shared" si="57"/>
        <v>0</v>
      </c>
      <c r="BL197" s="72">
        <f t="shared" si="58"/>
        <v>0</v>
      </c>
      <c r="BM197" s="72">
        <f t="shared" si="59"/>
        <v>0</v>
      </c>
      <c r="BN197" s="72">
        <f t="shared" si="60"/>
        <v>0</v>
      </c>
      <c r="BO197" s="72">
        <f t="shared" si="61"/>
        <v>0</v>
      </c>
    </row>
    <row r="198" spans="1:67" x14ac:dyDescent="0.2">
      <c r="A198" s="511">
        <v>73182200</v>
      </c>
      <c r="B198" s="500" t="s">
        <v>1211</v>
      </c>
      <c r="C198" s="512">
        <f t="shared" si="62"/>
        <v>0</v>
      </c>
      <c r="D198" s="512">
        <f>SUMIFS(PURCHASE!$K$6:$K$10008,PURCHASE!$A$6:$A$10008,$M$2,PURCHASE!$H$6:$H$10008,$A$4:$A$2700)</f>
        <v>0</v>
      </c>
      <c r="E198" s="512">
        <f>SUMIFS(PURCHASE!$L$6:$L$10008,PURCHASE!$A$6:$A$10008,$M$2,PURCHASE!$H$6:$H$10008,$A$4:$A$2700)</f>
        <v>0</v>
      </c>
      <c r="F198" s="512">
        <f>SUMIFS(PURCHASE!$M$6:$M$10008,PURCHASE!$A$6:$A$10008,$M$2,PURCHASE!$H$6:$H$10008,$A$4:$A$2700)</f>
        <v>0</v>
      </c>
      <c r="G198" s="512">
        <f>SUMIFS(PURCHASE!$N$6:$N$10008,PURCHASE!$A$6:$A$10008,$M$2,PURCHASE!$H$6:$H$10008,$A$4:$A$2700)</f>
        <v>0</v>
      </c>
      <c r="H198" s="512">
        <f t="shared" si="63"/>
        <v>0</v>
      </c>
      <c r="I198" s="512">
        <f>SUMIFS(PURCHASE!$K$6:$K$10008,PURCHASE!$A$6:$A$10008,$H$2,PURCHASE!$H$6:$H$10008,$A$4:$A$2700)</f>
        <v>0</v>
      </c>
      <c r="J198" s="512">
        <f>SUMIFS(PURCHASE!$L$6:$L$10008,PURCHASE!$A$6:$A$10008,$H$2,PURCHASE!$H$6:$H$10008,$A$4:$A$2700)</f>
        <v>0</v>
      </c>
      <c r="K198" s="512">
        <f>SUMIFS(PURCHASE!$M$6:$M$10008,PURCHASE!$A$6:$A$10008,$H$2,PURCHASE!$H$6:$H$10008,$A$4:$A$2700)</f>
        <v>0</v>
      </c>
      <c r="L198" s="512">
        <f>SUMIFS(PURCHASE!$N$6:$N$10008,PURCHASE!$A$6:$A$10008,$H$2,PURCHASE!$H$6:$H$10008,$A$4:$A$2700)</f>
        <v>0</v>
      </c>
      <c r="M198" s="512">
        <f t="shared" si="64"/>
        <v>0</v>
      </c>
      <c r="N198" s="512">
        <f>SUMIFS(PURCHASE!$K$6:$K$10008,PURCHASE!$A$6:$A$10008,$M$2,PURCHASE!$H$6:$H$10008,$A$4:$A$2700)</f>
        <v>0</v>
      </c>
      <c r="O198" s="512">
        <f>SUMIFS(PURCHASE!$L$6:$L$10008,PURCHASE!$A$6:$A$10008,$M$2,PURCHASE!$H$6:$H$10008,$A$4:$A$2700)</f>
        <v>0</v>
      </c>
      <c r="P198" s="512">
        <f>SUMIFS(PURCHASE!$M$6:$M$10008,PURCHASE!$A$6:$A$10008,$M$2,PURCHASE!$H$6:$H$10008,$A$4:$A$2700)</f>
        <v>0</v>
      </c>
      <c r="Q198" s="512">
        <f>SUMIFS(PURCHASE!$N$6:$N$10008,PURCHASE!$A$6:$A$10008,$M$2,PURCHASE!$H$6:$H$10008,$A$4:$A$2700)</f>
        <v>0</v>
      </c>
      <c r="R198" s="512">
        <f t="shared" si="65"/>
        <v>0</v>
      </c>
      <c r="S198" s="512">
        <f>SUMIFS(PURCHASE!$K$6:$K$10008,PURCHASE!$A$6:$A$10008,$R$2,PURCHASE!$H$6:$H$10008,$A$4:$A$2700)</f>
        <v>0</v>
      </c>
      <c r="T198" s="512">
        <f>SUMIFS(PURCHASE!$L$6:$L$10008,PURCHASE!$A$6:$A$10008,$R$2,PURCHASE!$H$6:$H$10008,$A$4:$A$2700)</f>
        <v>0</v>
      </c>
      <c r="U198" s="512">
        <f>SUMIFS(PURCHASE!$M$6:$M$10008,PURCHASE!$A$6:$A$10008,$R$2,PURCHASE!$H$6:$H$10008,$A$4:$A$2700)</f>
        <v>0</v>
      </c>
      <c r="V198" s="512">
        <f>SUMIFS(PURCHASE!$N$6:$N$10008,PURCHASE!$A$6:$A$10008,$R$2,PURCHASE!$H$6:$H$10008,$A$4:$A$2700)</f>
        <v>0</v>
      </c>
      <c r="W198" s="512">
        <f t="shared" si="66"/>
        <v>0</v>
      </c>
      <c r="X198" s="512">
        <f>SUMIFS(PURCHASE!$K$6:$K$10008,PURCHASE!$A$6:$A$10008,$W$2,PURCHASE!$H$6:$H$10008,$A$4:$A$2700)</f>
        <v>0</v>
      </c>
      <c r="Y198" s="512">
        <f>SUMIFS(PURCHASE!$L$6:$L$10008,PURCHASE!$A$6:$A$10008,$W$2,PURCHASE!$H$6:$H$10008,$A$4:$A$2700)</f>
        <v>0</v>
      </c>
      <c r="Z198" s="512">
        <f>SUMIFS(PURCHASE!$M$6:$M$10008,PURCHASE!$A$6:$A$10008,$W$2,PURCHASE!$H$6:$H$10008,$A$4:$A$2700)</f>
        <v>0</v>
      </c>
      <c r="AA198" s="512">
        <f>SUMIFS(PURCHASE!$N$6:$N$10008,PURCHASE!$A$6:$A$10008,$W$2,PURCHASE!$H$6:$H$10008,$A$4:$A$2700)</f>
        <v>0</v>
      </c>
      <c r="AB198" s="512">
        <f t="shared" si="67"/>
        <v>0</v>
      </c>
      <c r="AC198" s="512">
        <f>SUMIFS(PURCHASE!$K$6:$K$10008,PURCHASE!$A$6:$A$10008,$AB$2,PURCHASE!$H$6:$H$10008,$A$4:$A$2700)</f>
        <v>0</v>
      </c>
      <c r="AD198" s="512">
        <f>SUMIFS(PURCHASE!$L$6:$L$10008,PURCHASE!$A$6:$A$10008,$AB$2,PURCHASE!$H$6:$H$10008,$A$4:$A$2700)</f>
        <v>0</v>
      </c>
      <c r="AE198" s="512">
        <f>SUMIFS(PURCHASE!$M$6:$M$10008,PURCHASE!$A$6:$A$10008,$AB$2,PURCHASE!$H$6:$H$10008,$A$4:$A$2700)</f>
        <v>0</v>
      </c>
      <c r="AF198" s="512">
        <f>SUMIFS(PURCHASE!$N$6:$N$10008,PURCHASE!$A$6:$A$10008,$AB$2,PURCHASE!$H$6:$H$10008,$A$4:$A$2700)</f>
        <v>0</v>
      </c>
      <c r="AG198" s="512">
        <f t="shared" si="68"/>
        <v>0</v>
      </c>
      <c r="AH198" s="512">
        <f>SUMIFS(PURCHASE!$K$6:$K$10008,PURCHASE!$A$6:$A$10008,$AG$2,PURCHASE!$H$6:$H$10008,$A$4:$A$2700)</f>
        <v>0</v>
      </c>
      <c r="AI198" s="512">
        <f>SUMIFS(PURCHASE!$L$6:$L$10008,PURCHASE!$A$6:$A$10008,$AG$2,PURCHASE!$H$6:$H$10008,$A$4:$A$2700)</f>
        <v>0</v>
      </c>
      <c r="AJ198" s="512">
        <f>SUMIFS(PURCHASE!$M$6:$M$10008,PURCHASE!$A$6:$A$10008,$AG$2,PURCHASE!$H$6:$H$10008,$A$4:$A$2700)</f>
        <v>0</v>
      </c>
      <c r="AK198" s="512">
        <f>SUMIFS(PURCHASE!$N$6:$N$10008,PURCHASE!$A$6:$A$10008,$AG$2,PURCHASE!$H$6:$H$10008,$A$4:$A$2700)</f>
        <v>0</v>
      </c>
      <c r="AL198" s="512">
        <f t="shared" si="69"/>
        <v>0</v>
      </c>
      <c r="AM198" s="512">
        <f>SUMIFS(PURCHASE!$K$6:$K$10008,PURCHASE!$A$6:$A$10008,$AL$2,PURCHASE!$H$6:$H$10008,$A$4:$A$2700)</f>
        <v>0</v>
      </c>
      <c r="AN198" s="512">
        <f>SUMIFS(PURCHASE!$L$6:$L$10008,PURCHASE!$A$6:$A$10008,$AL$2,PURCHASE!$H$6:$H$10008,$A$4:$A$2700)</f>
        <v>0</v>
      </c>
      <c r="AO198" s="512">
        <f>SUMIFS(PURCHASE!$M$6:$M$10008,PURCHASE!$A$6:$A$10008,$AL$2,PURCHASE!$H$6:$H$10008,$A$4:$A$2700)</f>
        <v>0</v>
      </c>
      <c r="AP198" s="512">
        <f>SUMIFS(PURCHASE!$N$6:$N$10008,PURCHASE!$A$6:$A$10008,$AL$2,PURCHASE!$H$6:$H$10008,$A$4:$A$2700)</f>
        <v>0</v>
      </c>
      <c r="AQ198" s="512">
        <f t="shared" si="70"/>
        <v>74.34</v>
      </c>
      <c r="AR198" s="512">
        <f>SUMIFS(PURCHASE!$K$6:$K$10008,PURCHASE!$A$6:$A$10008,$AQ$2,PURCHASE!$H$6:$H$10008,$A$4:$A$2700)</f>
        <v>63</v>
      </c>
      <c r="AS198" s="512">
        <f>SUMIFS(PURCHASE!$L$6:$L$10008,PURCHASE!$A$6:$A$10008,$AQ$2,PURCHASE!$H$6:$H$10008,$A$4:$A$2700)</f>
        <v>0</v>
      </c>
      <c r="AT198" s="512">
        <f>SUMIFS(PURCHASE!$M$6:$M$10008,PURCHASE!$A$6:$A$10008,$AQ$2,PURCHASE!$H$6:$H$10008,$A$4:$A$2700)</f>
        <v>5.67</v>
      </c>
      <c r="AU198" s="512">
        <f>SUMIFS(PURCHASE!$N$6:$N$10008,PURCHASE!$A$6:$A$10008,$AQ$2,PURCHASE!$H$6:$H$10008,$A$4:$A$2700)</f>
        <v>5.67</v>
      </c>
      <c r="AV198" s="512">
        <f t="shared" si="71"/>
        <v>0</v>
      </c>
      <c r="AW198" s="512">
        <f>SUMIFS(PURCHASE!$K$6:$K$10008,PURCHASE!$A$6:$A$10008,$AV$2,PURCHASE!$H$6:$H$10008,$A$4:$A$2700)</f>
        <v>0</v>
      </c>
      <c r="AX198" s="512">
        <f>SUMIFS(PURCHASE!$L$6:$L$10008,PURCHASE!$A$6:$A$10008,$AV$2,PURCHASE!$H$6:$H$10008,$A$4:$A$2700)</f>
        <v>0</v>
      </c>
      <c r="AY198" s="512">
        <f>SUMIFS(PURCHASE!$M$6:$M$10008,PURCHASE!$A$6:$A$10008,$AV$2,PURCHASE!$H$6:$H$10008,$A$4:$A$2700)</f>
        <v>0</v>
      </c>
      <c r="AZ198" s="512">
        <f>SUMIFS(PURCHASE!$N$6:$N$10008,PURCHASE!$A$6:$A$10008,$AV$2,PURCHASE!$H$6:$H$10008,$A$4:$A$2700)</f>
        <v>0</v>
      </c>
      <c r="BA198" s="512">
        <f t="shared" si="72"/>
        <v>0</v>
      </c>
      <c r="BB198" s="512">
        <f>SUMIFS(PURCHASE!$K$6:$K$10008,PURCHASE!$A$6:$A$10008,$BA$2,PURCHASE!$H$6:$H$10008,$A$4:$A$2700)</f>
        <v>0</v>
      </c>
      <c r="BC198" s="512">
        <f>SUMIFS(PURCHASE!$L$6:$L$10008,PURCHASE!$A$6:$A$10008,$BA$2,PURCHASE!$H$6:$H$10008,$A$4:$A$2700)</f>
        <v>0</v>
      </c>
      <c r="BD198" s="512">
        <f>SUMIFS(PURCHASE!$M$6:$M$10008,PURCHASE!$A$6:$A$10008,$BA$2,PURCHASE!$H$6:$H$10008,$A$4:$A$2700)</f>
        <v>0</v>
      </c>
      <c r="BE198" s="512">
        <f>SUMIFS(PURCHASE!$N$6:$N$10008,PURCHASE!$A$6:$A$10008,$BA$2,PURCHASE!$H$6:$H$10008,$A$4:$A$2700)</f>
        <v>0</v>
      </c>
      <c r="BF198" s="512">
        <f t="shared" si="73"/>
        <v>0</v>
      </c>
      <c r="BG198" s="512">
        <f>SUMIFS(PURCHASE!$K$6:$K$10008,PURCHASE!$A$6:$A$10008,$BF$2,PURCHASE!$H$6:$H$10008,$A$4:$A$2700)</f>
        <v>0</v>
      </c>
      <c r="BH198" s="512">
        <f>SUMIFS(PURCHASE!$L$6:$L$10008,PURCHASE!$A$6:$A$10008,$BF$2,PURCHASE!$H$6:$H$10008,$A$4:$A$2700)</f>
        <v>0</v>
      </c>
      <c r="BI198" s="512">
        <f>SUMIFS(PURCHASE!$M$6:$M$10008,PURCHASE!$A$6:$A$10008,$BF$2,PURCHASE!$H$6:$H$10008,$A$4:$A$2700)</f>
        <v>0</v>
      </c>
      <c r="BJ198" s="512">
        <f>SUMIFS(PURCHASE!$N$6:$N$10008,PURCHASE!$A$6:$A$10008,$BF$2,PURCHASE!$H$6:$H$10008,$A$4:$A$2700)</f>
        <v>0</v>
      </c>
      <c r="BK198" s="72">
        <f t="shared" si="57"/>
        <v>74.34</v>
      </c>
      <c r="BL198" s="72">
        <f t="shared" si="58"/>
        <v>63</v>
      </c>
      <c r="BM198" s="72">
        <f t="shared" si="59"/>
        <v>0</v>
      </c>
      <c r="BN198" s="72">
        <f t="shared" si="60"/>
        <v>5.67</v>
      </c>
      <c r="BO198" s="72">
        <f t="shared" si="61"/>
        <v>5.67</v>
      </c>
    </row>
    <row r="199" spans="1:67" x14ac:dyDescent="0.2">
      <c r="A199" s="511">
        <v>84219100</v>
      </c>
      <c r="B199" s="500" t="s">
        <v>1332</v>
      </c>
      <c r="C199" s="512">
        <f t="shared" si="62"/>
        <v>0</v>
      </c>
      <c r="D199" s="512">
        <f>SUMIFS(PURCHASE!$K$6:$K$10008,PURCHASE!$A$6:$A$10008,$M$2,PURCHASE!$H$6:$H$10008,$A$4:$A$2700)</f>
        <v>0</v>
      </c>
      <c r="E199" s="512">
        <f>SUMIFS(PURCHASE!$L$6:$L$10008,PURCHASE!$A$6:$A$10008,$M$2,PURCHASE!$H$6:$H$10008,$A$4:$A$2700)</f>
        <v>0</v>
      </c>
      <c r="F199" s="512">
        <f>SUMIFS(PURCHASE!$M$6:$M$10008,PURCHASE!$A$6:$A$10008,$M$2,PURCHASE!$H$6:$H$10008,$A$4:$A$2700)</f>
        <v>0</v>
      </c>
      <c r="G199" s="512">
        <f>SUMIFS(PURCHASE!$N$6:$N$10008,PURCHASE!$A$6:$A$10008,$M$2,PURCHASE!$H$6:$H$10008,$A$4:$A$2700)</f>
        <v>0</v>
      </c>
      <c r="H199" s="512">
        <f t="shared" si="63"/>
        <v>0</v>
      </c>
      <c r="I199" s="512">
        <f>SUMIFS(PURCHASE!$K$6:$K$10008,PURCHASE!$A$6:$A$10008,$H$2,PURCHASE!$H$6:$H$10008,$A$4:$A$2700)</f>
        <v>0</v>
      </c>
      <c r="J199" s="512">
        <f>SUMIFS(PURCHASE!$L$6:$L$10008,PURCHASE!$A$6:$A$10008,$H$2,PURCHASE!$H$6:$H$10008,$A$4:$A$2700)</f>
        <v>0</v>
      </c>
      <c r="K199" s="512">
        <f>SUMIFS(PURCHASE!$M$6:$M$10008,PURCHASE!$A$6:$A$10008,$H$2,PURCHASE!$H$6:$H$10008,$A$4:$A$2700)</f>
        <v>0</v>
      </c>
      <c r="L199" s="512">
        <f>SUMIFS(PURCHASE!$N$6:$N$10008,PURCHASE!$A$6:$A$10008,$H$2,PURCHASE!$H$6:$H$10008,$A$4:$A$2700)</f>
        <v>0</v>
      </c>
      <c r="M199" s="512">
        <f t="shared" si="64"/>
        <v>0</v>
      </c>
      <c r="N199" s="512">
        <f>SUMIFS(PURCHASE!$K$6:$K$10008,PURCHASE!$A$6:$A$10008,$M$2,PURCHASE!$H$6:$H$10008,$A$4:$A$2700)</f>
        <v>0</v>
      </c>
      <c r="O199" s="512">
        <f>SUMIFS(PURCHASE!$L$6:$L$10008,PURCHASE!$A$6:$A$10008,$M$2,PURCHASE!$H$6:$H$10008,$A$4:$A$2700)</f>
        <v>0</v>
      </c>
      <c r="P199" s="512">
        <f>SUMIFS(PURCHASE!$M$6:$M$10008,PURCHASE!$A$6:$A$10008,$M$2,PURCHASE!$H$6:$H$10008,$A$4:$A$2700)</f>
        <v>0</v>
      </c>
      <c r="Q199" s="512">
        <f>SUMIFS(PURCHASE!$N$6:$N$10008,PURCHASE!$A$6:$A$10008,$M$2,PURCHASE!$H$6:$H$10008,$A$4:$A$2700)</f>
        <v>0</v>
      </c>
      <c r="R199" s="512">
        <f t="shared" si="65"/>
        <v>0</v>
      </c>
      <c r="S199" s="512">
        <f>SUMIFS(PURCHASE!$K$6:$K$10008,PURCHASE!$A$6:$A$10008,$R$2,PURCHASE!$H$6:$H$10008,$A$4:$A$2700)</f>
        <v>0</v>
      </c>
      <c r="T199" s="512">
        <f>SUMIFS(PURCHASE!$L$6:$L$10008,PURCHASE!$A$6:$A$10008,$R$2,PURCHASE!$H$6:$H$10008,$A$4:$A$2700)</f>
        <v>0</v>
      </c>
      <c r="U199" s="512">
        <f>SUMIFS(PURCHASE!$M$6:$M$10008,PURCHASE!$A$6:$A$10008,$R$2,PURCHASE!$H$6:$H$10008,$A$4:$A$2700)</f>
        <v>0</v>
      </c>
      <c r="V199" s="512">
        <f>SUMIFS(PURCHASE!$N$6:$N$10008,PURCHASE!$A$6:$A$10008,$R$2,PURCHASE!$H$6:$H$10008,$A$4:$A$2700)</f>
        <v>0</v>
      </c>
      <c r="W199" s="512">
        <f t="shared" si="66"/>
        <v>0</v>
      </c>
      <c r="X199" s="512">
        <f>SUMIFS(PURCHASE!$K$6:$K$10008,PURCHASE!$A$6:$A$10008,$W$2,PURCHASE!$H$6:$H$10008,$A$4:$A$2700)</f>
        <v>0</v>
      </c>
      <c r="Y199" s="512">
        <f>SUMIFS(PURCHASE!$L$6:$L$10008,PURCHASE!$A$6:$A$10008,$W$2,PURCHASE!$H$6:$H$10008,$A$4:$A$2700)</f>
        <v>0</v>
      </c>
      <c r="Z199" s="512">
        <f>SUMIFS(PURCHASE!$M$6:$M$10008,PURCHASE!$A$6:$A$10008,$W$2,PURCHASE!$H$6:$H$10008,$A$4:$A$2700)</f>
        <v>0</v>
      </c>
      <c r="AA199" s="512">
        <f>SUMIFS(PURCHASE!$N$6:$N$10008,PURCHASE!$A$6:$A$10008,$W$2,PURCHASE!$H$6:$H$10008,$A$4:$A$2700)</f>
        <v>0</v>
      </c>
      <c r="AB199" s="512">
        <f t="shared" si="67"/>
        <v>0</v>
      </c>
      <c r="AC199" s="512">
        <f>SUMIFS(PURCHASE!$K$6:$K$10008,PURCHASE!$A$6:$A$10008,$AB$2,PURCHASE!$H$6:$H$10008,$A$4:$A$2700)</f>
        <v>0</v>
      </c>
      <c r="AD199" s="512">
        <f>SUMIFS(PURCHASE!$L$6:$L$10008,PURCHASE!$A$6:$A$10008,$AB$2,PURCHASE!$H$6:$H$10008,$A$4:$A$2700)</f>
        <v>0</v>
      </c>
      <c r="AE199" s="512">
        <f>SUMIFS(PURCHASE!$M$6:$M$10008,PURCHASE!$A$6:$A$10008,$AB$2,PURCHASE!$H$6:$H$10008,$A$4:$A$2700)</f>
        <v>0</v>
      </c>
      <c r="AF199" s="512">
        <f>SUMIFS(PURCHASE!$N$6:$N$10008,PURCHASE!$A$6:$A$10008,$AB$2,PURCHASE!$H$6:$H$10008,$A$4:$A$2700)</f>
        <v>0</v>
      </c>
      <c r="AG199" s="512">
        <f t="shared" si="68"/>
        <v>0</v>
      </c>
      <c r="AH199" s="512">
        <f>SUMIFS(PURCHASE!$K$6:$K$10008,PURCHASE!$A$6:$A$10008,$AG$2,PURCHASE!$H$6:$H$10008,$A$4:$A$2700)</f>
        <v>0</v>
      </c>
      <c r="AI199" s="512">
        <f>SUMIFS(PURCHASE!$L$6:$L$10008,PURCHASE!$A$6:$A$10008,$AG$2,PURCHASE!$H$6:$H$10008,$A$4:$A$2700)</f>
        <v>0</v>
      </c>
      <c r="AJ199" s="512">
        <f>SUMIFS(PURCHASE!$M$6:$M$10008,PURCHASE!$A$6:$A$10008,$AG$2,PURCHASE!$H$6:$H$10008,$A$4:$A$2700)</f>
        <v>0</v>
      </c>
      <c r="AK199" s="512">
        <f>SUMIFS(PURCHASE!$N$6:$N$10008,PURCHASE!$A$6:$A$10008,$AG$2,PURCHASE!$H$6:$H$10008,$A$4:$A$2700)</f>
        <v>0</v>
      </c>
      <c r="AL199" s="512">
        <f t="shared" si="69"/>
        <v>0</v>
      </c>
      <c r="AM199" s="512">
        <f>SUMIFS(PURCHASE!$K$6:$K$10008,PURCHASE!$A$6:$A$10008,$AL$2,PURCHASE!$H$6:$H$10008,$A$4:$A$2700)</f>
        <v>0</v>
      </c>
      <c r="AN199" s="512">
        <f>SUMIFS(PURCHASE!$L$6:$L$10008,PURCHASE!$A$6:$A$10008,$AL$2,PURCHASE!$H$6:$H$10008,$A$4:$A$2700)</f>
        <v>0</v>
      </c>
      <c r="AO199" s="512">
        <f>SUMIFS(PURCHASE!$M$6:$M$10008,PURCHASE!$A$6:$A$10008,$AL$2,PURCHASE!$H$6:$H$10008,$A$4:$A$2700)</f>
        <v>0</v>
      </c>
      <c r="AP199" s="512">
        <f>SUMIFS(PURCHASE!$N$6:$N$10008,PURCHASE!$A$6:$A$10008,$AL$2,PURCHASE!$H$6:$H$10008,$A$4:$A$2700)</f>
        <v>0</v>
      </c>
      <c r="AQ199" s="512">
        <f t="shared" si="70"/>
        <v>0</v>
      </c>
      <c r="AR199" s="512">
        <f>SUMIFS(PURCHASE!$K$6:$K$10008,PURCHASE!$A$6:$A$10008,$AQ$2,PURCHASE!$H$6:$H$10008,$A$4:$A$2700)</f>
        <v>0</v>
      </c>
      <c r="AS199" s="512">
        <f>SUMIFS(PURCHASE!$L$6:$L$10008,PURCHASE!$A$6:$A$10008,$AQ$2,PURCHASE!$H$6:$H$10008,$A$4:$A$2700)</f>
        <v>0</v>
      </c>
      <c r="AT199" s="512">
        <f>SUMIFS(PURCHASE!$M$6:$M$10008,PURCHASE!$A$6:$A$10008,$AQ$2,PURCHASE!$H$6:$H$10008,$A$4:$A$2700)</f>
        <v>0</v>
      </c>
      <c r="AU199" s="512">
        <f>SUMIFS(PURCHASE!$N$6:$N$10008,PURCHASE!$A$6:$A$10008,$AQ$2,PURCHASE!$H$6:$H$10008,$A$4:$A$2700)</f>
        <v>0</v>
      </c>
      <c r="AV199" s="512">
        <f t="shared" si="71"/>
        <v>0</v>
      </c>
      <c r="AW199" s="512">
        <f>SUMIFS(PURCHASE!$K$6:$K$10008,PURCHASE!$A$6:$A$10008,$AV$2,PURCHASE!$H$6:$H$10008,$A$4:$A$2700)</f>
        <v>0</v>
      </c>
      <c r="AX199" s="512">
        <f>SUMIFS(PURCHASE!$L$6:$L$10008,PURCHASE!$A$6:$A$10008,$AV$2,PURCHASE!$H$6:$H$10008,$A$4:$A$2700)</f>
        <v>0</v>
      </c>
      <c r="AY199" s="512">
        <f>SUMIFS(PURCHASE!$M$6:$M$10008,PURCHASE!$A$6:$A$10008,$AV$2,PURCHASE!$H$6:$H$10008,$A$4:$A$2700)</f>
        <v>0</v>
      </c>
      <c r="AZ199" s="512">
        <f>SUMIFS(PURCHASE!$N$6:$N$10008,PURCHASE!$A$6:$A$10008,$AV$2,PURCHASE!$H$6:$H$10008,$A$4:$A$2700)</f>
        <v>0</v>
      </c>
      <c r="BA199" s="512">
        <f t="shared" si="72"/>
        <v>0</v>
      </c>
      <c r="BB199" s="512">
        <f>SUMIFS(PURCHASE!$K$6:$K$10008,PURCHASE!$A$6:$A$10008,$BA$2,PURCHASE!$H$6:$H$10008,$A$4:$A$2700)</f>
        <v>0</v>
      </c>
      <c r="BC199" s="512">
        <f>SUMIFS(PURCHASE!$L$6:$L$10008,PURCHASE!$A$6:$A$10008,$BA$2,PURCHASE!$H$6:$H$10008,$A$4:$A$2700)</f>
        <v>0</v>
      </c>
      <c r="BD199" s="512">
        <f>SUMIFS(PURCHASE!$M$6:$M$10008,PURCHASE!$A$6:$A$10008,$BA$2,PURCHASE!$H$6:$H$10008,$A$4:$A$2700)</f>
        <v>0</v>
      </c>
      <c r="BE199" s="512">
        <f>SUMIFS(PURCHASE!$N$6:$N$10008,PURCHASE!$A$6:$A$10008,$BA$2,PURCHASE!$H$6:$H$10008,$A$4:$A$2700)</f>
        <v>0</v>
      </c>
      <c r="BF199" s="512">
        <f t="shared" si="73"/>
        <v>0</v>
      </c>
      <c r="BG199" s="512">
        <f>SUMIFS(PURCHASE!$K$6:$K$10008,PURCHASE!$A$6:$A$10008,$BF$2,PURCHASE!$H$6:$H$10008,$A$4:$A$2700)</f>
        <v>0</v>
      </c>
      <c r="BH199" s="512">
        <f>SUMIFS(PURCHASE!$L$6:$L$10008,PURCHASE!$A$6:$A$10008,$BF$2,PURCHASE!$H$6:$H$10008,$A$4:$A$2700)</f>
        <v>0</v>
      </c>
      <c r="BI199" s="512">
        <f>SUMIFS(PURCHASE!$M$6:$M$10008,PURCHASE!$A$6:$A$10008,$BF$2,PURCHASE!$H$6:$H$10008,$A$4:$A$2700)</f>
        <v>0</v>
      </c>
      <c r="BJ199" s="512">
        <f>SUMIFS(PURCHASE!$N$6:$N$10008,PURCHASE!$A$6:$A$10008,$BF$2,PURCHASE!$H$6:$H$10008,$A$4:$A$2700)</f>
        <v>0</v>
      </c>
      <c r="BK199" s="72">
        <f t="shared" si="57"/>
        <v>0</v>
      </c>
      <c r="BL199" s="72">
        <f t="shared" si="58"/>
        <v>0</v>
      </c>
      <c r="BM199" s="72">
        <f t="shared" si="59"/>
        <v>0</v>
      </c>
      <c r="BN199" s="72">
        <f t="shared" si="60"/>
        <v>0</v>
      </c>
      <c r="BO199" s="72">
        <f t="shared" si="61"/>
        <v>0</v>
      </c>
    </row>
    <row r="200" spans="1:67" x14ac:dyDescent="0.2">
      <c r="A200" s="511">
        <v>82055990</v>
      </c>
      <c r="B200" s="467" t="s">
        <v>1217</v>
      </c>
      <c r="C200" s="512">
        <f t="shared" si="62"/>
        <v>0</v>
      </c>
      <c r="D200" s="512">
        <f>SUMIFS(PURCHASE!$K$6:$K$10008,PURCHASE!$A$6:$A$10008,$M$2,PURCHASE!$H$6:$H$10008,$A$4:$A$2700)</f>
        <v>0</v>
      </c>
      <c r="E200" s="512">
        <f>SUMIFS(PURCHASE!$L$6:$L$10008,PURCHASE!$A$6:$A$10008,$M$2,PURCHASE!$H$6:$H$10008,$A$4:$A$2700)</f>
        <v>0</v>
      </c>
      <c r="F200" s="512">
        <f>SUMIFS(PURCHASE!$M$6:$M$10008,PURCHASE!$A$6:$A$10008,$M$2,PURCHASE!$H$6:$H$10008,$A$4:$A$2700)</f>
        <v>0</v>
      </c>
      <c r="G200" s="512">
        <f>SUMIFS(PURCHASE!$N$6:$N$10008,PURCHASE!$A$6:$A$10008,$M$2,PURCHASE!$H$6:$H$10008,$A$4:$A$2700)</f>
        <v>0</v>
      </c>
      <c r="H200" s="512">
        <f t="shared" si="63"/>
        <v>0</v>
      </c>
      <c r="I200" s="512">
        <f>SUMIFS(PURCHASE!$K$6:$K$10008,PURCHASE!$A$6:$A$10008,$H$2,PURCHASE!$H$6:$H$10008,$A$4:$A$2700)</f>
        <v>0</v>
      </c>
      <c r="J200" s="512">
        <f>SUMIFS(PURCHASE!$L$6:$L$10008,PURCHASE!$A$6:$A$10008,$H$2,PURCHASE!$H$6:$H$10008,$A$4:$A$2700)</f>
        <v>0</v>
      </c>
      <c r="K200" s="512">
        <f>SUMIFS(PURCHASE!$M$6:$M$10008,PURCHASE!$A$6:$A$10008,$H$2,PURCHASE!$H$6:$H$10008,$A$4:$A$2700)</f>
        <v>0</v>
      </c>
      <c r="L200" s="512">
        <f>SUMIFS(PURCHASE!$N$6:$N$10008,PURCHASE!$A$6:$A$10008,$H$2,PURCHASE!$H$6:$H$10008,$A$4:$A$2700)</f>
        <v>0</v>
      </c>
      <c r="M200" s="512">
        <f t="shared" si="64"/>
        <v>0</v>
      </c>
      <c r="N200" s="512">
        <f>SUMIFS(PURCHASE!$K$6:$K$10008,PURCHASE!$A$6:$A$10008,$M$2,PURCHASE!$H$6:$H$10008,$A$4:$A$2700)</f>
        <v>0</v>
      </c>
      <c r="O200" s="512">
        <f>SUMIFS(PURCHASE!$L$6:$L$10008,PURCHASE!$A$6:$A$10008,$M$2,PURCHASE!$H$6:$H$10008,$A$4:$A$2700)</f>
        <v>0</v>
      </c>
      <c r="P200" s="512">
        <f>SUMIFS(PURCHASE!$M$6:$M$10008,PURCHASE!$A$6:$A$10008,$M$2,PURCHASE!$H$6:$H$10008,$A$4:$A$2700)</f>
        <v>0</v>
      </c>
      <c r="Q200" s="512">
        <f>SUMIFS(PURCHASE!$N$6:$N$10008,PURCHASE!$A$6:$A$10008,$M$2,PURCHASE!$H$6:$H$10008,$A$4:$A$2700)</f>
        <v>0</v>
      </c>
      <c r="R200" s="512">
        <f t="shared" si="65"/>
        <v>0</v>
      </c>
      <c r="S200" s="512">
        <f>SUMIFS(PURCHASE!$K$6:$K$10008,PURCHASE!$A$6:$A$10008,$R$2,PURCHASE!$H$6:$H$10008,$A$4:$A$2700)</f>
        <v>0</v>
      </c>
      <c r="T200" s="512">
        <f>SUMIFS(PURCHASE!$L$6:$L$10008,PURCHASE!$A$6:$A$10008,$R$2,PURCHASE!$H$6:$H$10008,$A$4:$A$2700)</f>
        <v>0</v>
      </c>
      <c r="U200" s="512">
        <f>SUMIFS(PURCHASE!$M$6:$M$10008,PURCHASE!$A$6:$A$10008,$R$2,PURCHASE!$H$6:$H$10008,$A$4:$A$2700)</f>
        <v>0</v>
      </c>
      <c r="V200" s="512">
        <f>SUMIFS(PURCHASE!$N$6:$N$10008,PURCHASE!$A$6:$A$10008,$R$2,PURCHASE!$H$6:$H$10008,$A$4:$A$2700)</f>
        <v>0</v>
      </c>
      <c r="W200" s="512">
        <f t="shared" si="66"/>
        <v>0</v>
      </c>
      <c r="X200" s="512">
        <f>SUMIFS(PURCHASE!$K$6:$K$10008,PURCHASE!$A$6:$A$10008,$W$2,PURCHASE!$H$6:$H$10008,$A$4:$A$2700)</f>
        <v>0</v>
      </c>
      <c r="Y200" s="512">
        <f>SUMIFS(PURCHASE!$L$6:$L$10008,PURCHASE!$A$6:$A$10008,$W$2,PURCHASE!$H$6:$H$10008,$A$4:$A$2700)</f>
        <v>0</v>
      </c>
      <c r="Z200" s="512">
        <f>SUMIFS(PURCHASE!$M$6:$M$10008,PURCHASE!$A$6:$A$10008,$W$2,PURCHASE!$H$6:$H$10008,$A$4:$A$2700)</f>
        <v>0</v>
      </c>
      <c r="AA200" s="512">
        <f>SUMIFS(PURCHASE!$N$6:$N$10008,PURCHASE!$A$6:$A$10008,$W$2,PURCHASE!$H$6:$H$10008,$A$4:$A$2700)</f>
        <v>0</v>
      </c>
      <c r="AB200" s="512">
        <f t="shared" si="67"/>
        <v>0</v>
      </c>
      <c r="AC200" s="512">
        <f>SUMIFS(PURCHASE!$K$6:$K$10008,PURCHASE!$A$6:$A$10008,$AB$2,PURCHASE!$H$6:$H$10008,$A$4:$A$2700)</f>
        <v>0</v>
      </c>
      <c r="AD200" s="512">
        <f>SUMIFS(PURCHASE!$L$6:$L$10008,PURCHASE!$A$6:$A$10008,$AB$2,PURCHASE!$H$6:$H$10008,$A$4:$A$2700)</f>
        <v>0</v>
      </c>
      <c r="AE200" s="512">
        <f>SUMIFS(PURCHASE!$M$6:$M$10008,PURCHASE!$A$6:$A$10008,$AB$2,PURCHASE!$H$6:$H$10008,$A$4:$A$2700)</f>
        <v>0</v>
      </c>
      <c r="AF200" s="512">
        <f>SUMIFS(PURCHASE!$N$6:$N$10008,PURCHASE!$A$6:$A$10008,$AB$2,PURCHASE!$H$6:$H$10008,$A$4:$A$2700)</f>
        <v>0</v>
      </c>
      <c r="AG200" s="512">
        <f t="shared" si="68"/>
        <v>0</v>
      </c>
      <c r="AH200" s="512">
        <f>SUMIFS(PURCHASE!$K$6:$K$10008,PURCHASE!$A$6:$A$10008,$AG$2,PURCHASE!$H$6:$H$10008,$A$4:$A$2700)</f>
        <v>0</v>
      </c>
      <c r="AI200" s="512">
        <f>SUMIFS(PURCHASE!$L$6:$L$10008,PURCHASE!$A$6:$A$10008,$AG$2,PURCHASE!$H$6:$H$10008,$A$4:$A$2700)</f>
        <v>0</v>
      </c>
      <c r="AJ200" s="512">
        <f>SUMIFS(PURCHASE!$M$6:$M$10008,PURCHASE!$A$6:$A$10008,$AG$2,PURCHASE!$H$6:$H$10008,$A$4:$A$2700)</f>
        <v>0</v>
      </c>
      <c r="AK200" s="512">
        <f>SUMIFS(PURCHASE!$N$6:$N$10008,PURCHASE!$A$6:$A$10008,$AG$2,PURCHASE!$H$6:$H$10008,$A$4:$A$2700)</f>
        <v>0</v>
      </c>
      <c r="AL200" s="512">
        <f t="shared" si="69"/>
        <v>0</v>
      </c>
      <c r="AM200" s="512">
        <f>SUMIFS(PURCHASE!$K$6:$K$10008,PURCHASE!$A$6:$A$10008,$AL$2,PURCHASE!$H$6:$H$10008,$A$4:$A$2700)</f>
        <v>0</v>
      </c>
      <c r="AN200" s="512">
        <f>SUMIFS(PURCHASE!$L$6:$L$10008,PURCHASE!$A$6:$A$10008,$AL$2,PURCHASE!$H$6:$H$10008,$A$4:$A$2700)</f>
        <v>0</v>
      </c>
      <c r="AO200" s="512">
        <f>SUMIFS(PURCHASE!$M$6:$M$10008,PURCHASE!$A$6:$A$10008,$AL$2,PURCHASE!$H$6:$H$10008,$A$4:$A$2700)</f>
        <v>0</v>
      </c>
      <c r="AP200" s="512">
        <f>SUMIFS(PURCHASE!$N$6:$N$10008,PURCHASE!$A$6:$A$10008,$AL$2,PURCHASE!$H$6:$H$10008,$A$4:$A$2700)</f>
        <v>0</v>
      </c>
      <c r="AQ200" s="512">
        <f t="shared" si="70"/>
        <v>0</v>
      </c>
      <c r="AR200" s="512">
        <f>SUMIFS(PURCHASE!$K$6:$K$10008,PURCHASE!$A$6:$A$10008,$AQ$2,PURCHASE!$H$6:$H$10008,$A$4:$A$2700)</f>
        <v>0</v>
      </c>
      <c r="AS200" s="512">
        <f>SUMIFS(PURCHASE!$L$6:$L$10008,PURCHASE!$A$6:$A$10008,$AQ$2,PURCHASE!$H$6:$H$10008,$A$4:$A$2700)</f>
        <v>0</v>
      </c>
      <c r="AT200" s="512">
        <f>SUMIFS(PURCHASE!$M$6:$M$10008,PURCHASE!$A$6:$A$10008,$AQ$2,PURCHASE!$H$6:$H$10008,$A$4:$A$2700)</f>
        <v>0</v>
      </c>
      <c r="AU200" s="512">
        <f>SUMIFS(PURCHASE!$N$6:$N$10008,PURCHASE!$A$6:$A$10008,$AQ$2,PURCHASE!$H$6:$H$10008,$A$4:$A$2700)</f>
        <v>0</v>
      </c>
      <c r="AV200" s="512">
        <f t="shared" si="71"/>
        <v>33.04</v>
      </c>
      <c r="AW200" s="512">
        <f>SUMIFS(PURCHASE!$K$6:$K$10008,PURCHASE!$A$6:$A$10008,$AV$2,PURCHASE!$H$6:$H$10008,$A$4:$A$2700)</f>
        <v>28</v>
      </c>
      <c r="AX200" s="512">
        <f>SUMIFS(PURCHASE!$L$6:$L$10008,PURCHASE!$A$6:$A$10008,$AV$2,PURCHASE!$H$6:$H$10008,$A$4:$A$2700)</f>
        <v>0</v>
      </c>
      <c r="AY200" s="512">
        <f>SUMIFS(PURCHASE!$M$6:$M$10008,PURCHASE!$A$6:$A$10008,$AV$2,PURCHASE!$H$6:$H$10008,$A$4:$A$2700)</f>
        <v>2.5200000000000005</v>
      </c>
      <c r="AZ200" s="512">
        <f>SUMIFS(PURCHASE!$N$6:$N$10008,PURCHASE!$A$6:$A$10008,$AV$2,PURCHASE!$H$6:$H$10008,$A$4:$A$2700)</f>
        <v>2.5200000000000005</v>
      </c>
      <c r="BA200" s="512">
        <f t="shared" si="72"/>
        <v>0</v>
      </c>
      <c r="BB200" s="512">
        <f>SUMIFS(PURCHASE!$K$6:$K$10008,PURCHASE!$A$6:$A$10008,$BA$2,PURCHASE!$H$6:$H$10008,$A$4:$A$2700)</f>
        <v>0</v>
      </c>
      <c r="BC200" s="512">
        <f>SUMIFS(PURCHASE!$L$6:$L$10008,PURCHASE!$A$6:$A$10008,$BA$2,PURCHASE!$H$6:$H$10008,$A$4:$A$2700)</f>
        <v>0</v>
      </c>
      <c r="BD200" s="512">
        <f>SUMIFS(PURCHASE!$M$6:$M$10008,PURCHASE!$A$6:$A$10008,$BA$2,PURCHASE!$H$6:$H$10008,$A$4:$A$2700)</f>
        <v>0</v>
      </c>
      <c r="BE200" s="512">
        <f>SUMIFS(PURCHASE!$N$6:$N$10008,PURCHASE!$A$6:$A$10008,$BA$2,PURCHASE!$H$6:$H$10008,$A$4:$A$2700)</f>
        <v>0</v>
      </c>
      <c r="BF200" s="512">
        <f t="shared" si="73"/>
        <v>0</v>
      </c>
      <c r="BG200" s="512">
        <f>SUMIFS(PURCHASE!$K$6:$K$10008,PURCHASE!$A$6:$A$10008,$BF$2,PURCHASE!$H$6:$H$10008,$A$4:$A$2700)</f>
        <v>0</v>
      </c>
      <c r="BH200" s="512">
        <f>SUMIFS(PURCHASE!$L$6:$L$10008,PURCHASE!$A$6:$A$10008,$BF$2,PURCHASE!$H$6:$H$10008,$A$4:$A$2700)</f>
        <v>0</v>
      </c>
      <c r="BI200" s="512">
        <f>SUMIFS(PURCHASE!$M$6:$M$10008,PURCHASE!$A$6:$A$10008,$BF$2,PURCHASE!$H$6:$H$10008,$A$4:$A$2700)</f>
        <v>0</v>
      </c>
      <c r="BJ200" s="512">
        <f>SUMIFS(PURCHASE!$N$6:$N$10008,PURCHASE!$A$6:$A$10008,$BF$2,PURCHASE!$H$6:$H$10008,$A$4:$A$2700)</f>
        <v>0</v>
      </c>
      <c r="BK200" s="72">
        <f t="shared" si="57"/>
        <v>33.04</v>
      </c>
      <c r="BL200" s="72">
        <f t="shared" si="58"/>
        <v>28</v>
      </c>
      <c r="BM200" s="72">
        <f t="shared" si="59"/>
        <v>0</v>
      </c>
      <c r="BN200" s="72">
        <f t="shared" si="60"/>
        <v>2.5200000000000005</v>
      </c>
      <c r="BO200" s="72">
        <f t="shared" si="61"/>
        <v>2.5200000000000005</v>
      </c>
    </row>
    <row r="201" spans="1:67" x14ac:dyDescent="0.2">
      <c r="A201" s="511">
        <v>84137010</v>
      </c>
      <c r="B201" s="467" t="s">
        <v>1333</v>
      </c>
      <c r="C201" s="512">
        <f t="shared" si="62"/>
        <v>0</v>
      </c>
      <c r="D201" s="512">
        <f>SUMIFS(PURCHASE!$K$6:$K$10008,PURCHASE!$A$6:$A$10008,$M$2,PURCHASE!$H$6:$H$10008,$A$4:$A$2700)</f>
        <v>0</v>
      </c>
      <c r="E201" s="512">
        <f>SUMIFS(PURCHASE!$L$6:$L$10008,PURCHASE!$A$6:$A$10008,$M$2,PURCHASE!$H$6:$H$10008,$A$4:$A$2700)</f>
        <v>0</v>
      </c>
      <c r="F201" s="512">
        <f>SUMIFS(PURCHASE!$M$6:$M$10008,PURCHASE!$A$6:$A$10008,$M$2,PURCHASE!$H$6:$H$10008,$A$4:$A$2700)</f>
        <v>0</v>
      </c>
      <c r="G201" s="512">
        <f>SUMIFS(PURCHASE!$N$6:$N$10008,PURCHASE!$A$6:$A$10008,$M$2,PURCHASE!$H$6:$H$10008,$A$4:$A$2700)</f>
        <v>0</v>
      </c>
      <c r="H201" s="512">
        <f t="shared" si="63"/>
        <v>0</v>
      </c>
      <c r="I201" s="512">
        <f>SUMIFS(PURCHASE!$K$6:$K$10008,PURCHASE!$A$6:$A$10008,$H$2,PURCHASE!$H$6:$H$10008,$A$4:$A$2700)</f>
        <v>0</v>
      </c>
      <c r="J201" s="512">
        <f>SUMIFS(PURCHASE!$L$6:$L$10008,PURCHASE!$A$6:$A$10008,$H$2,PURCHASE!$H$6:$H$10008,$A$4:$A$2700)</f>
        <v>0</v>
      </c>
      <c r="K201" s="512">
        <f>SUMIFS(PURCHASE!$M$6:$M$10008,PURCHASE!$A$6:$A$10008,$H$2,PURCHASE!$H$6:$H$10008,$A$4:$A$2700)</f>
        <v>0</v>
      </c>
      <c r="L201" s="512">
        <f>SUMIFS(PURCHASE!$N$6:$N$10008,PURCHASE!$A$6:$A$10008,$H$2,PURCHASE!$H$6:$H$10008,$A$4:$A$2700)</f>
        <v>0</v>
      </c>
      <c r="M201" s="512">
        <f t="shared" si="64"/>
        <v>0</v>
      </c>
      <c r="N201" s="512">
        <f>SUMIFS(PURCHASE!$K$6:$K$10008,PURCHASE!$A$6:$A$10008,$M$2,PURCHASE!$H$6:$H$10008,$A$4:$A$2700)</f>
        <v>0</v>
      </c>
      <c r="O201" s="512">
        <f>SUMIFS(PURCHASE!$L$6:$L$10008,PURCHASE!$A$6:$A$10008,$M$2,PURCHASE!$H$6:$H$10008,$A$4:$A$2700)</f>
        <v>0</v>
      </c>
      <c r="P201" s="512">
        <f>SUMIFS(PURCHASE!$M$6:$M$10008,PURCHASE!$A$6:$A$10008,$M$2,PURCHASE!$H$6:$H$10008,$A$4:$A$2700)</f>
        <v>0</v>
      </c>
      <c r="Q201" s="512">
        <f>SUMIFS(PURCHASE!$N$6:$N$10008,PURCHASE!$A$6:$A$10008,$M$2,PURCHASE!$H$6:$H$10008,$A$4:$A$2700)</f>
        <v>0</v>
      </c>
      <c r="R201" s="512">
        <f t="shared" si="65"/>
        <v>0</v>
      </c>
      <c r="S201" s="512">
        <f>SUMIFS(PURCHASE!$K$6:$K$10008,PURCHASE!$A$6:$A$10008,$R$2,PURCHASE!$H$6:$H$10008,$A$4:$A$2700)</f>
        <v>0</v>
      </c>
      <c r="T201" s="512">
        <f>SUMIFS(PURCHASE!$L$6:$L$10008,PURCHASE!$A$6:$A$10008,$R$2,PURCHASE!$H$6:$H$10008,$A$4:$A$2700)</f>
        <v>0</v>
      </c>
      <c r="U201" s="512">
        <f>SUMIFS(PURCHASE!$M$6:$M$10008,PURCHASE!$A$6:$A$10008,$R$2,PURCHASE!$H$6:$H$10008,$A$4:$A$2700)</f>
        <v>0</v>
      </c>
      <c r="V201" s="512">
        <f>SUMIFS(PURCHASE!$N$6:$N$10008,PURCHASE!$A$6:$A$10008,$R$2,PURCHASE!$H$6:$H$10008,$A$4:$A$2700)</f>
        <v>0</v>
      </c>
      <c r="W201" s="512">
        <f t="shared" si="66"/>
        <v>0</v>
      </c>
      <c r="X201" s="512">
        <f>SUMIFS(PURCHASE!$K$6:$K$10008,PURCHASE!$A$6:$A$10008,$W$2,PURCHASE!$H$6:$H$10008,$A$4:$A$2700)</f>
        <v>0</v>
      </c>
      <c r="Y201" s="512">
        <f>SUMIFS(PURCHASE!$L$6:$L$10008,PURCHASE!$A$6:$A$10008,$W$2,PURCHASE!$H$6:$H$10008,$A$4:$A$2700)</f>
        <v>0</v>
      </c>
      <c r="Z201" s="512">
        <f>SUMIFS(PURCHASE!$M$6:$M$10008,PURCHASE!$A$6:$A$10008,$W$2,PURCHASE!$H$6:$H$10008,$A$4:$A$2700)</f>
        <v>0</v>
      </c>
      <c r="AA201" s="512">
        <f>SUMIFS(PURCHASE!$N$6:$N$10008,PURCHASE!$A$6:$A$10008,$W$2,PURCHASE!$H$6:$H$10008,$A$4:$A$2700)</f>
        <v>0</v>
      </c>
      <c r="AB201" s="512">
        <f t="shared" si="67"/>
        <v>2587.1999999999998</v>
      </c>
      <c r="AC201" s="512">
        <f>SUMIFS(PURCHASE!$K$6:$K$10008,PURCHASE!$A$6:$A$10008,$AB$2,PURCHASE!$H$6:$H$10008,$A$4:$A$2700)</f>
        <v>2310</v>
      </c>
      <c r="AD201" s="512">
        <f>SUMIFS(PURCHASE!$L$6:$L$10008,PURCHASE!$A$6:$A$10008,$AB$2,PURCHASE!$H$6:$H$10008,$A$4:$A$2700)</f>
        <v>0</v>
      </c>
      <c r="AE201" s="512">
        <f>SUMIFS(PURCHASE!$M$6:$M$10008,PURCHASE!$A$6:$A$10008,$AB$2,PURCHASE!$H$6:$H$10008,$A$4:$A$2700)</f>
        <v>138.60000000000002</v>
      </c>
      <c r="AF201" s="512">
        <f>SUMIFS(PURCHASE!$N$6:$N$10008,PURCHASE!$A$6:$A$10008,$AB$2,PURCHASE!$H$6:$H$10008,$A$4:$A$2700)</f>
        <v>138.60000000000002</v>
      </c>
      <c r="AG201" s="512">
        <f t="shared" si="68"/>
        <v>0</v>
      </c>
      <c r="AH201" s="512">
        <f>SUMIFS(PURCHASE!$K$6:$K$10008,PURCHASE!$A$6:$A$10008,$AG$2,PURCHASE!$H$6:$H$10008,$A$4:$A$2700)</f>
        <v>0</v>
      </c>
      <c r="AI201" s="512">
        <f>SUMIFS(PURCHASE!$L$6:$L$10008,PURCHASE!$A$6:$A$10008,$AG$2,PURCHASE!$H$6:$H$10008,$A$4:$A$2700)</f>
        <v>0</v>
      </c>
      <c r="AJ201" s="512">
        <f>SUMIFS(PURCHASE!$M$6:$M$10008,PURCHASE!$A$6:$A$10008,$AG$2,PURCHASE!$H$6:$H$10008,$A$4:$A$2700)</f>
        <v>0</v>
      </c>
      <c r="AK201" s="512">
        <f>SUMIFS(PURCHASE!$N$6:$N$10008,PURCHASE!$A$6:$A$10008,$AG$2,PURCHASE!$H$6:$H$10008,$A$4:$A$2700)</f>
        <v>0</v>
      </c>
      <c r="AL201" s="512">
        <f t="shared" si="69"/>
        <v>2968</v>
      </c>
      <c r="AM201" s="512">
        <f>SUMIFS(PURCHASE!$K$6:$K$10008,PURCHASE!$A$6:$A$10008,$AL$2,PURCHASE!$H$6:$H$10008,$A$4:$A$2700)</f>
        <v>2650</v>
      </c>
      <c r="AN201" s="512">
        <f>SUMIFS(PURCHASE!$L$6:$L$10008,PURCHASE!$A$6:$A$10008,$AL$2,PURCHASE!$H$6:$H$10008,$A$4:$A$2700)</f>
        <v>0</v>
      </c>
      <c r="AO201" s="512">
        <f>SUMIFS(PURCHASE!$M$6:$M$10008,PURCHASE!$A$6:$A$10008,$AL$2,PURCHASE!$H$6:$H$10008,$A$4:$A$2700)</f>
        <v>159</v>
      </c>
      <c r="AP201" s="512">
        <f>SUMIFS(PURCHASE!$N$6:$N$10008,PURCHASE!$A$6:$A$10008,$AL$2,PURCHASE!$H$6:$H$10008,$A$4:$A$2700)</f>
        <v>159</v>
      </c>
      <c r="AQ201" s="512">
        <f t="shared" si="70"/>
        <v>0</v>
      </c>
      <c r="AR201" s="512">
        <f>SUMIFS(PURCHASE!$K$6:$K$10008,PURCHASE!$A$6:$A$10008,$AQ$2,PURCHASE!$H$6:$H$10008,$A$4:$A$2700)</f>
        <v>0</v>
      </c>
      <c r="AS201" s="512">
        <f>SUMIFS(PURCHASE!$L$6:$L$10008,PURCHASE!$A$6:$A$10008,$AQ$2,PURCHASE!$H$6:$H$10008,$A$4:$A$2700)</f>
        <v>0</v>
      </c>
      <c r="AT201" s="512">
        <f>SUMIFS(PURCHASE!$M$6:$M$10008,PURCHASE!$A$6:$A$10008,$AQ$2,PURCHASE!$H$6:$H$10008,$A$4:$A$2700)</f>
        <v>0</v>
      </c>
      <c r="AU201" s="512">
        <f>SUMIFS(PURCHASE!$N$6:$N$10008,PURCHASE!$A$6:$A$10008,$AQ$2,PURCHASE!$H$6:$H$10008,$A$4:$A$2700)</f>
        <v>0</v>
      </c>
      <c r="AV201" s="512">
        <f t="shared" si="71"/>
        <v>0</v>
      </c>
      <c r="AW201" s="512">
        <f>SUMIFS(PURCHASE!$K$6:$K$10008,PURCHASE!$A$6:$A$10008,$AV$2,PURCHASE!$H$6:$H$10008,$A$4:$A$2700)</f>
        <v>0</v>
      </c>
      <c r="AX201" s="512">
        <f>SUMIFS(PURCHASE!$L$6:$L$10008,PURCHASE!$A$6:$A$10008,$AV$2,PURCHASE!$H$6:$H$10008,$A$4:$A$2700)</f>
        <v>0</v>
      </c>
      <c r="AY201" s="512">
        <f>SUMIFS(PURCHASE!$M$6:$M$10008,PURCHASE!$A$6:$A$10008,$AV$2,PURCHASE!$H$6:$H$10008,$A$4:$A$2700)</f>
        <v>0</v>
      </c>
      <c r="AZ201" s="512">
        <f>SUMIFS(PURCHASE!$N$6:$N$10008,PURCHASE!$A$6:$A$10008,$AV$2,PURCHASE!$H$6:$H$10008,$A$4:$A$2700)</f>
        <v>0</v>
      </c>
      <c r="BA201" s="512">
        <f t="shared" si="72"/>
        <v>0</v>
      </c>
      <c r="BB201" s="512">
        <f>SUMIFS(PURCHASE!$K$6:$K$10008,PURCHASE!$A$6:$A$10008,$BA$2,PURCHASE!$H$6:$H$10008,$A$4:$A$2700)</f>
        <v>0</v>
      </c>
      <c r="BC201" s="512">
        <f>SUMIFS(PURCHASE!$L$6:$L$10008,PURCHASE!$A$6:$A$10008,$BA$2,PURCHASE!$H$6:$H$10008,$A$4:$A$2700)</f>
        <v>0</v>
      </c>
      <c r="BD201" s="512">
        <f>SUMIFS(PURCHASE!$M$6:$M$10008,PURCHASE!$A$6:$A$10008,$BA$2,PURCHASE!$H$6:$H$10008,$A$4:$A$2700)</f>
        <v>0</v>
      </c>
      <c r="BE201" s="512">
        <f>SUMIFS(PURCHASE!$N$6:$N$10008,PURCHASE!$A$6:$A$10008,$BA$2,PURCHASE!$H$6:$H$10008,$A$4:$A$2700)</f>
        <v>0</v>
      </c>
      <c r="BF201" s="512">
        <f t="shared" si="73"/>
        <v>0</v>
      </c>
      <c r="BG201" s="512">
        <f>SUMIFS(PURCHASE!$K$6:$K$10008,PURCHASE!$A$6:$A$10008,$BF$2,PURCHASE!$H$6:$H$10008,$A$4:$A$2700)</f>
        <v>0</v>
      </c>
      <c r="BH201" s="512">
        <f>SUMIFS(PURCHASE!$L$6:$L$10008,PURCHASE!$A$6:$A$10008,$BF$2,PURCHASE!$H$6:$H$10008,$A$4:$A$2700)</f>
        <v>0</v>
      </c>
      <c r="BI201" s="512">
        <f>SUMIFS(PURCHASE!$M$6:$M$10008,PURCHASE!$A$6:$A$10008,$BF$2,PURCHASE!$H$6:$H$10008,$A$4:$A$2700)</f>
        <v>0</v>
      </c>
      <c r="BJ201" s="512">
        <f>SUMIFS(PURCHASE!$N$6:$N$10008,PURCHASE!$A$6:$A$10008,$BF$2,PURCHASE!$H$6:$H$10008,$A$4:$A$2700)</f>
        <v>0</v>
      </c>
      <c r="BK201" s="72">
        <f t="shared" si="57"/>
        <v>5555.2</v>
      </c>
      <c r="BL201" s="72">
        <f t="shared" si="58"/>
        <v>4960</v>
      </c>
      <c r="BM201" s="72">
        <f t="shared" si="59"/>
        <v>0</v>
      </c>
      <c r="BN201" s="72">
        <f t="shared" si="60"/>
        <v>297.60000000000002</v>
      </c>
      <c r="BO201" s="72">
        <f t="shared" si="61"/>
        <v>297.60000000000002</v>
      </c>
    </row>
    <row r="202" spans="1:67" x14ac:dyDescent="0.2">
      <c r="A202" s="511">
        <v>84149019</v>
      </c>
      <c r="B202" s="467" t="s">
        <v>1334</v>
      </c>
      <c r="C202" s="512">
        <f t="shared" si="62"/>
        <v>0</v>
      </c>
      <c r="D202" s="512">
        <f>SUMIFS(PURCHASE!$K$6:$K$10008,PURCHASE!$A$6:$A$10008,$M$2,PURCHASE!$H$6:$H$10008,$A$4:$A$2700)</f>
        <v>0</v>
      </c>
      <c r="E202" s="512">
        <f>SUMIFS(PURCHASE!$L$6:$L$10008,PURCHASE!$A$6:$A$10008,$M$2,PURCHASE!$H$6:$H$10008,$A$4:$A$2700)</f>
        <v>0</v>
      </c>
      <c r="F202" s="512">
        <f>SUMIFS(PURCHASE!$M$6:$M$10008,PURCHASE!$A$6:$A$10008,$M$2,PURCHASE!$H$6:$H$10008,$A$4:$A$2700)</f>
        <v>0</v>
      </c>
      <c r="G202" s="512">
        <f>SUMIFS(PURCHASE!$N$6:$N$10008,PURCHASE!$A$6:$A$10008,$M$2,PURCHASE!$H$6:$H$10008,$A$4:$A$2700)</f>
        <v>0</v>
      </c>
      <c r="H202" s="512">
        <f t="shared" si="63"/>
        <v>0</v>
      </c>
      <c r="I202" s="512">
        <f>SUMIFS(PURCHASE!$K$6:$K$10008,PURCHASE!$A$6:$A$10008,$H$2,PURCHASE!$H$6:$H$10008,$A$4:$A$2700)</f>
        <v>0</v>
      </c>
      <c r="J202" s="512">
        <f>SUMIFS(PURCHASE!$L$6:$L$10008,PURCHASE!$A$6:$A$10008,$H$2,PURCHASE!$H$6:$H$10008,$A$4:$A$2700)</f>
        <v>0</v>
      </c>
      <c r="K202" s="512">
        <f>SUMIFS(PURCHASE!$M$6:$M$10008,PURCHASE!$A$6:$A$10008,$H$2,PURCHASE!$H$6:$H$10008,$A$4:$A$2700)</f>
        <v>0</v>
      </c>
      <c r="L202" s="512">
        <f>SUMIFS(PURCHASE!$N$6:$N$10008,PURCHASE!$A$6:$A$10008,$H$2,PURCHASE!$H$6:$H$10008,$A$4:$A$2700)</f>
        <v>0</v>
      </c>
      <c r="M202" s="512">
        <f t="shared" si="64"/>
        <v>0</v>
      </c>
      <c r="N202" s="512">
        <f>SUMIFS(PURCHASE!$K$6:$K$10008,PURCHASE!$A$6:$A$10008,$M$2,PURCHASE!$H$6:$H$10008,$A$4:$A$2700)</f>
        <v>0</v>
      </c>
      <c r="O202" s="512">
        <f>SUMIFS(PURCHASE!$L$6:$L$10008,PURCHASE!$A$6:$A$10008,$M$2,PURCHASE!$H$6:$H$10008,$A$4:$A$2700)</f>
        <v>0</v>
      </c>
      <c r="P202" s="512">
        <f>SUMIFS(PURCHASE!$M$6:$M$10008,PURCHASE!$A$6:$A$10008,$M$2,PURCHASE!$H$6:$H$10008,$A$4:$A$2700)</f>
        <v>0</v>
      </c>
      <c r="Q202" s="512">
        <f>SUMIFS(PURCHASE!$N$6:$N$10008,PURCHASE!$A$6:$A$10008,$M$2,PURCHASE!$H$6:$H$10008,$A$4:$A$2700)</f>
        <v>0</v>
      </c>
      <c r="R202" s="512">
        <f t="shared" si="65"/>
        <v>0</v>
      </c>
      <c r="S202" s="512">
        <f>SUMIFS(PURCHASE!$K$6:$K$10008,PURCHASE!$A$6:$A$10008,$R$2,PURCHASE!$H$6:$H$10008,$A$4:$A$2700)</f>
        <v>0</v>
      </c>
      <c r="T202" s="512">
        <f>SUMIFS(PURCHASE!$L$6:$L$10008,PURCHASE!$A$6:$A$10008,$R$2,PURCHASE!$H$6:$H$10008,$A$4:$A$2700)</f>
        <v>0</v>
      </c>
      <c r="U202" s="512">
        <f>SUMIFS(PURCHASE!$M$6:$M$10008,PURCHASE!$A$6:$A$10008,$R$2,PURCHASE!$H$6:$H$10008,$A$4:$A$2700)</f>
        <v>0</v>
      </c>
      <c r="V202" s="512">
        <f>SUMIFS(PURCHASE!$N$6:$N$10008,PURCHASE!$A$6:$A$10008,$R$2,PURCHASE!$H$6:$H$10008,$A$4:$A$2700)</f>
        <v>0</v>
      </c>
      <c r="W202" s="512">
        <f t="shared" si="66"/>
        <v>0</v>
      </c>
      <c r="X202" s="512">
        <f>SUMIFS(PURCHASE!$K$6:$K$10008,PURCHASE!$A$6:$A$10008,$W$2,PURCHASE!$H$6:$H$10008,$A$4:$A$2700)</f>
        <v>0</v>
      </c>
      <c r="Y202" s="512">
        <f>SUMIFS(PURCHASE!$L$6:$L$10008,PURCHASE!$A$6:$A$10008,$W$2,PURCHASE!$H$6:$H$10008,$A$4:$A$2700)</f>
        <v>0</v>
      </c>
      <c r="Z202" s="512">
        <f>SUMIFS(PURCHASE!$M$6:$M$10008,PURCHASE!$A$6:$A$10008,$W$2,PURCHASE!$H$6:$H$10008,$A$4:$A$2700)</f>
        <v>0</v>
      </c>
      <c r="AA202" s="512">
        <f>SUMIFS(PURCHASE!$N$6:$N$10008,PURCHASE!$A$6:$A$10008,$W$2,PURCHASE!$H$6:$H$10008,$A$4:$A$2700)</f>
        <v>0</v>
      </c>
      <c r="AB202" s="512">
        <f t="shared" si="67"/>
        <v>0</v>
      </c>
      <c r="AC202" s="512">
        <f>SUMIFS(PURCHASE!$K$6:$K$10008,PURCHASE!$A$6:$A$10008,$AB$2,PURCHASE!$H$6:$H$10008,$A$4:$A$2700)</f>
        <v>0</v>
      </c>
      <c r="AD202" s="512">
        <f>SUMIFS(PURCHASE!$L$6:$L$10008,PURCHASE!$A$6:$A$10008,$AB$2,PURCHASE!$H$6:$H$10008,$A$4:$A$2700)</f>
        <v>0</v>
      </c>
      <c r="AE202" s="512">
        <f>SUMIFS(PURCHASE!$M$6:$M$10008,PURCHASE!$A$6:$A$10008,$AB$2,PURCHASE!$H$6:$H$10008,$A$4:$A$2700)</f>
        <v>0</v>
      </c>
      <c r="AF202" s="512">
        <f>SUMIFS(PURCHASE!$N$6:$N$10008,PURCHASE!$A$6:$A$10008,$AB$2,PURCHASE!$H$6:$H$10008,$A$4:$A$2700)</f>
        <v>0</v>
      </c>
      <c r="AG202" s="512">
        <f t="shared" si="68"/>
        <v>0</v>
      </c>
      <c r="AH202" s="512">
        <f>SUMIFS(PURCHASE!$K$6:$K$10008,PURCHASE!$A$6:$A$10008,$AG$2,PURCHASE!$H$6:$H$10008,$A$4:$A$2700)</f>
        <v>0</v>
      </c>
      <c r="AI202" s="512">
        <f>SUMIFS(PURCHASE!$L$6:$L$10008,PURCHASE!$A$6:$A$10008,$AG$2,PURCHASE!$H$6:$H$10008,$A$4:$A$2700)</f>
        <v>0</v>
      </c>
      <c r="AJ202" s="512">
        <f>SUMIFS(PURCHASE!$M$6:$M$10008,PURCHASE!$A$6:$A$10008,$AG$2,PURCHASE!$H$6:$H$10008,$A$4:$A$2700)</f>
        <v>0</v>
      </c>
      <c r="AK202" s="512">
        <f>SUMIFS(PURCHASE!$N$6:$N$10008,PURCHASE!$A$6:$A$10008,$AG$2,PURCHASE!$H$6:$H$10008,$A$4:$A$2700)</f>
        <v>0</v>
      </c>
      <c r="AL202" s="512">
        <f t="shared" si="69"/>
        <v>0</v>
      </c>
      <c r="AM202" s="512">
        <f>SUMIFS(PURCHASE!$K$6:$K$10008,PURCHASE!$A$6:$A$10008,$AL$2,PURCHASE!$H$6:$H$10008,$A$4:$A$2700)</f>
        <v>0</v>
      </c>
      <c r="AN202" s="512">
        <f>SUMIFS(PURCHASE!$L$6:$L$10008,PURCHASE!$A$6:$A$10008,$AL$2,PURCHASE!$H$6:$H$10008,$A$4:$A$2700)</f>
        <v>0</v>
      </c>
      <c r="AO202" s="512">
        <f>SUMIFS(PURCHASE!$M$6:$M$10008,PURCHASE!$A$6:$A$10008,$AL$2,PURCHASE!$H$6:$H$10008,$A$4:$A$2700)</f>
        <v>0</v>
      </c>
      <c r="AP202" s="512">
        <f>SUMIFS(PURCHASE!$N$6:$N$10008,PURCHASE!$A$6:$A$10008,$AL$2,PURCHASE!$H$6:$H$10008,$A$4:$A$2700)</f>
        <v>0</v>
      </c>
      <c r="AQ202" s="512">
        <f t="shared" si="70"/>
        <v>0</v>
      </c>
      <c r="AR202" s="512">
        <f>SUMIFS(PURCHASE!$K$6:$K$10008,PURCHASE!$A$6:$A$10008,$AQ$2,PURCHASE!$H$6:$H$10008,$A$4:$A$2700)</f>
        <v>0</v>
      </c>
      <c r="AS202" s="512">
        <f>SUMIFS(PURCHASE!$L$6:$L$10008,PURCHASE!$A$6:$A$10008,$AQ$2,PURCHASE!$H$6:$H$10008,$A$4:$A$2700)</f>
        <v>0</v>
      </c>
      <c r="AT202" s="512">
        <f>SUMIFS(PURCHASE!$M$6:$M$10008,PURCHASE!$A$6:$A$10008,$AQ$2,PURCHASE!$H$6:$H$10008,$A$4:$A$2700)</f>
        <v>0</v>
      </c>
      <c r="AU202" s="512">
        <f>SUMIFS(PURCHASE!$N$6:$N$10008,PURCHASE!$A$6:$A$10008,$AQ$2,PURCHASE!$H$6:$H$10008,$A$4:$A$2700)</f>
        <v>0</v>
      </c>
      <c r="AV202" s="512">
        <f t="shared" si="71"/>
        <v>0</v>
      </c>
      <c r="AW202" s="512">
        <f>SUMIFS(PURCHASE!$K$6:$K$10008,PURCHASE!$A$6:$A$10008,$AV$2,PURCHASE!$H$6:$H$10008,$A$4:$A$2700)</f>
        <v>0</v>
      </c>
      <c r="AX202" s="512">
        <f>SUMIFS(PURCHASE!$L$6:$L$10008,PURCHASE!$A$6:$A$10008,$AV$2,PURCHASE!$H$6:$H$10008,$A$4:$A$2700)</f>
        <v>0</v>
      </c>
      <c r="AY202" s="512">
        <f>SUMIFS(PURCHASE!$M$6:$M$10008,PURCHASE!$A$6:$A$10008,$AV$2,PURCHASE!$H$6:$H$10008,$A$4:$A$2700)</f>
        <v>0</v>
      </c>
      <c r="AZ202" s="512">
        <f>SUMIFS(PURCHASE!$N$6:$N$10008,PURCHASE!$A$6:$A$10008,$AV$2,PURCHASE!$H$6:$H$10008,$A$4:$A$2700)</f>
        <v>0</v>
      </c>
      <c r="BA202" s="512">
        <f t="shared" si="72"/>
        <v>0</v>
      </c>
      <c r="BB202" s="512">
        <f>SUMIFS(PURCHASE!$K$6:$K$10008,PURCHASE!$A$6:$A$10008,$BA$2,PURCHASE!$H$6:$H$10008,$A$4:$A$2700)</f>
        <v>0</v>
      </c>
      <c r="BC202" s="512">
        <f>SUMIFS(PURCHASE!$L$6:$L$10008,PURCHASE!$A$6:$A$10008,$BA$2,PURCHASE!$H$6:$H$10008,$A$4:$A$2700)</f>
        <v>0</v>
      </c>
      <c r="BD202" s="512">
        <f>SUMIFS(PURCHASE!$M$6:$M$10008,PURCHASE!$A$6:$A$10008,$BA$2,PURCHASE!$H$6:$H$10008,$A$4:$A$2700)</f>
        <v>0</v>
      </c>
      <c r="BE202" s="512">
        <f>SUMIFS(PURCHASE!$N$6:$N$10008,PURCHASE!$A$6:$A$10008,$BA$2,PURCHASE!$H$6:$H$10008,$A$4:$A$2700)</f>
        <v>0</v>
      </c>
      <c r="BF202" s="512">
        <f t="shared" si="73"/>
        <v>0</v>
      </c>
      <c r="BG202" s="512">
        <f>SUMIFS(PURCHASE!$K$6:$K$10008,PURCHASE!$A$6:$A$10008,$BF$2,PURCHASE!$H$6:$H$10008,$A$4:$A$2700)</f>
        <v>0</v>
      </c>
      <c r="BH202" s="512">
        <f>SUMIFS(PURCHASE!$L$6:$L$10008,PURCHASE!$A$6:$A$10008,$BF$2,PURCHASE!$H$6:$H$10008,$A$4:$A$2700)</f>
        <v>0</v>
      </c>
      <c r="BI202" s="512">
        <f>SUMIFS(PURCHASE!$M$6:$M$10008,PURCHASE!$A$6:$A$10008,$BF$2,PURCHASE!$H$6:$H$10008,$A$4:$A$2700)</f>
        <v>0</v>
      </c>
      <c r="BJ202" s="512">
        <f>SUMIFS(PURCHASE!$N$6:$N$10008,PURCHASE!$A$6:$A$10008,$BF$2,PURCHASE!$H$6:$H$10008,$A$4:$A$2700)</f>
        <v>0</v>
      </c>
      <c r="BK202" s="72">
        <f t="shared" si="57"/>
        <v>0</v>
      </c>
      <c r="BL202" s="72">
        <f t="shared" si="58"/>
        <v>0</v>
      </c>
      <c r="BM202" s="72">
        <f t="shared" si="59"/>
        <v>0</v>
      </c>
      <c r="BN202" s="72">
        <f t="shared" si="60"/>
        <v>0</v>
      </c>
      <c r="BO202" s="72">
        <f t="shared" si="61"/>
        <v>0</v>
      </c>
    </row>
    <row r="203" spans="1:67" x14ac:dyDescent="0.2">
      <c r="A203" s="511">
        <v>84212900</v>
      </c>
      <c r="B203" s="467" t="s">
        <v>1335</v>
      </c>
      <c r="C203" s="512">
        <f t="shared" si="62"/>
        <v>0</v>
      </c>
      <c r="D203" s="512">
        <f>SUMIFS(PURCHASE!$K$6:$K$10008,PURCHASE!$A$6:$A$10008,$M$2,PURCHASE!$H$6:$H$10008,$A$4:$A$2700)</f>
        <v>0</v>
      </c>
      <c r="E203" s="512">
        <f>SUMIFS(PURCHASE!$L$6:$L$10008,PURCHASE!$A$6:$A$10008,$M$2,PURCHASE!$H$6:$H$10008,$A$4:$A$2700)</f>
        <v>0</v>
      </c>
      <c r="F203" s="512">
        <f>SUMIFS(PURCHASE!$M$6:$M$10008,PURCHASE!$A$6:$A$10008,$M$2,PURCHASE!$H$6:$H$10008,$A$4:$A$2700)</f>
        <v>0</v>
      </c>
      <c r="G203" s="512">
        <f>SUMIFS(PURCHASE!$N$6:$N$10008,PURCHASE!$A$6:$A$10008,$M$2,PURCHASE!$H$6:$H$10008,$A$4:$A$2700)</f>
        <v>0</v>
      </c>
      <c r="H203" s="512">
        <f t="shared" si="63"/>
        <v>0</v>
      </c>
      <c r="I203" s="512">
        <f>SUMIFS(PURCHASE!$K$6:$K$10008,PURCHASE!$A$6:$A$10008,$H$2,PURCHASE!$H$6:$H$10008,$A$4:$A$2700)</f>
        <v>0</v>
      </c>
      <c r="J203" s="512">
        <f>SUMIFS(PURCHASE!$L$6:$L$10008,PURCHASE!$A$6:$A$10008,$H$2,PURCHASE!$H$6:$H$10008,$A$4:$A$2700)</f>
        <v>0</v>
      </c>
      <c r="K203" s="512">
        <f>SUMIFS(PURCHASE!$M$6:$M$10008,PURCHASE!$A$6:$A$10008,$H$2,PURCHASE!$H$6:$H$10008,$A$4:$A$2700)</f>
        <v>0</v>
      </c>
      <c r="L203" s="512">
        <f>SUMIFS(PURCHASE!$N$6:$N$10008,PURCHASE!$A$6:$A$10008,$H$2,PURCHASE!$H$6:$H$10008,$A$4:$A$2700)</f>
        <v>0</v>
      </c>
      <c r="M203" s="512">
        <f t="shared" si="64"/>
        <v>0</v>
      </c>
      <c r="N203" s="512">
        <f>SUMIFS(PURCHASE!$K$6:$K$10008,PURCHASE!$A$6:$A$10008,$M$2,PURCHASE!$H$6:$H$10008,$A$4:$A$2700)</f>
        <v>0</v>
      </c>
      <c r="O203" s="512">
        <f>SUMIFS(PURCHASE!$L$6:$L$10008,PURCHASE!$A$6:$A$10008,$M$2,PURCHASE!$H$6:$H$10008,$A$4:$A$2700)</f>
        <v>0</v>
      </c>
      <c r="P203" s="512">
        <f>SUMIFS(PURCHASE!$M$6:$M$10008,PURCHASE!$A$6:$A$10008,$M$2,PURCHASE!$H$6:$H$10008,$A$4:$A$2700)</f>
        <v>0</v>
      </c>
      <c r="Q203" s="512">
        <f>SUMIFS(PURCHASE!$N$6:$N$10008,PURCHASE!$A$6:$A$10008,$M$2,PURCHASE!$H$6:$H$10008,$A$4:$A$2700)</f>
        <v>0</v>
      </c>
      <c r="R203" s="512">
        <f t="shared" si="65"/>
        <v>0</v>
      </c>
      <c r="S203" s="512">
        <f>SUMIFS(PURCHASE!$K$6:$K$10008,PURCHASE!$A$6:$A$10008,$R$2,PURCHASE!$H$6:$H$10008,$A$4:$A$2700)</f>
        <v>0</v>
      </c>
      <c r="T203" s="512">
        <f>SUMIFS(PURCHASE!$L$6:$L$10008,PURCHASE!$A$6:$A$10008,$R$2,PURCHASE!$H$6:$H$10008,$A$4:$A$2700)</f>
        <v>0</v>
      </c>
      <c r="U203" s="512">
        <f>SUMIFS(PURCHASE!$M$6:$M$10008,PURCHASE!$A$6:$A$10008,$R$2,PURCHASE!$H$6:$H$10008,$A$4:$A$2700)</f>
        <v>0</v>
      </c>
      <c r="V203" s="512">
        <f>SUMIFS(PURCHASE!$N$6:$N$10008,PURCHASE!$A$6:$A$10008,$R$2,PURCHASE!$H$6:$H$10008,$A$4:$A$2700)</f>
        <v>0</v>
      </c>
      <c r="W203" s="512">
        <f t="shared" si="66"/>
        <v>0</v>
      </c>
      <c r="X203" s="512">
        <f>SUMIFS(PURCHASE!$K$6:$K$10008,PURCHASE!$A$6:$A$10008,$W$2,PURCHASE!$H$6:$H$10008,$A$4:$A$2700)</f>
        <v>0</v>
      </c>
      <c r="Y203" s="512">
        <f>SUMIFS(PURCHASE!$L$6:$L$10008,PURCHASE!$A$6:$A$10008,$W$2,PURCHASE!$H$6:$H$10008,$A$4:$A$2700)</f>
        <v>0</v>
      </c>
      <c r="Z203" s="512">
        <f>SUMIFS(PURCHASE!$M$6:$M$10008,PURCHASE!$A$6:$A$10008,$W$2,PURCHASE!$H$6:$H$10008,$A$4:$A$2700)</f>
        <v>0</v>
      </c>
      <c r="AA203" s="512">
        <f>SUMIFS(PURCHASE!$N$6:$N$10008,PURCHASE!$A$6:$A$10008,$W$2,PURCHASE!$H$6:$H$10008,$A$4:$A$2700)</f>
        <v>0</v>
      </c>
      <c r="AB203" s="512">
        <f t="shared" si="67"/>
        <v>0</v>
      </c>
      <c r="AC203" s="512">
        <f>SUMIFS(PURCHASE!$K$6:$K$10008,PURCHASE!$A$6:$A$10008,$AB$2,PURCHASE!$H$6:$H$10008,$A$4:$A$2700)</f>
        <v>0</v>
      </c>
      <c r="AD203" s="512">
        <f>SUMIFS(PURCHASE!$L$6:$L$10008,PURCHASE!$A$6:$A$10008,$AB$2,PURCHASE!$H$6:$H$10008,$A$4:$A$2700)</f>
        <v>0</v>
      </c>
      <c r="AE203" s="512">
        <f>SUMIFS(PURCHASE!$M$6:$M$10008,PURCHASE!$A$6:$A$10008,$AB$2,PURCHASE!$H$6:$H$10008,$A$4:$A$2700)</f>
        <v>0</v>
      </c>
      <c r="AF203" s="512">
        <f>SUMIFS(PURCHASE!$N$6:$N$10008,PURCHASE!$A$6:$A$10008,$AB$2,PURCHASE!$H$6:$H$10008,$A$4:$A$2700)</f>
        <v>0</v>
      </c>
      <c r="AG203" s="512">
        <f t="shared" si="68"/>
        <v>0</v>
      </c>
      <c r="AH203" s="512">
        <f>SUMIFS(PURCHASE!$K$6:$K$10008,PURCHASE!$A$6:$A$10008,$AG$2,PURCHASE!$H$6:$H$10008,$A$4:$A$2700)</f>
        <v>0</v>
      </c>
      <c r="AI203" s="512">
        <f>SUMIFS(PURCHASE!$L$6:$L$10008,PURCHASE!$A$6:$A$10008,$AG$2,PURCHASE!$H$6:$H$10008,$A$4:$A$2700)</f>
        <v>0</v>
      </c>
      <c r="AJ203" s="512">
        <f>SUMIFS(PURCHASE!$M$6:$M$10008,PURCHASE!$A$6:$A$10008,$AG$2,PURCHASE!$H$6:$H$10008,$A$4:$A$2700)</f>
        <v>0</v>
      </c>
      <c r="AK203" s="512">
        <f>SUMIFS(PURCHASE!$N$6:$N$10008,PURCHASE!$A$6:$A$10008,$AG$2,PURCHASE!$H$6:$H$10008,$A$4:$A$2700)</f>
        <v>0</v>
      </c>
      <c r="AL203" s="512">
        <f t="shared" si="69"/>
        <v>0</v>
      </c>
      <c r="AM203" s="512">
        <f>SUMIFS(PURCHASE!$K$6:$K$10008,PURCHASE!$A$6:$A$10008,$AL$2,PURCHASE!$H$6:$H$10008,$A$4:$A$2700)</f>
        <v>0</v>
      </c>
      <c r="AN203" s="512">
        <f>SUMIFS(PURCHASE!$L$6:$L$10008,PURCHASE!$A$6:$A$10008,$AL$2,PURCHASE!$H$6:$H$10008,$A$4:$A$2700)</f>
        <v>0</v>
      </c>
      <c r="AO203" s="512">
        <f>SUMIFS(PURCHASE!$M$6:$M$10008,PURCHASE!$A$6:$A$10008,$AL$2,PURCHASE!$H$6:$H$10008,$A$4:$A$2700)</f>
        <v>0</v>
      </c>
      <c r="AP203" s="512">
        <f>SUMIFS(PURCHASE!$N$6:$N$10008,PURCHASE!$A$6:$A$10008,$AL$2,PURCHASE!$H$6:$H$10008,$A$4:$A$2700)</f>
        <v>0</v>
      </c>
      <c r="AQ203" s="512">
        <f t="shared" si="70"/>
        <v>28074.559999999998</v>
      </c>
      <c r="AR203" s="512">
        <f>SUMIFS(PURCHASE!$K$6:$K$10008,PURCHASE!$A$6:$A$10008,$AQ$2,PURCHASE!$H$6:$H$10008,$A$4:$A$2700)</f>
        <v>23792</v>
      </c>
      <c r="AS203" s="512">
        <f>SUMIFS(PURCHASE!$L$6:$L$10008,PURCHASE!$A$6:$A$10008,$AQ$2,PURCHASE!$H$6:$H$10008,$A$4:$A$2700)</f>
        <v>0</v>
      </c>
      <c r="AT203" s="512">
        <f>SUMIFS(PURCHASE!$M$6:$M$10008,PURCHASE!$A$6:$A$10008,$AQ$2,PURCHASE!$H$6:$H$10008,$A$4:$A$2700)</f>
        <v>2141.2799999999997</v>
      </c>
      <c r="AU203" s="512">
        <f>SUMIFS(PURCHASE!$N$6:$N$10008,PURCHASE!$A$6:$A$10008,$AQ$2,PURCHASE!$H$6:$H$10008,$A$4:$A$2700)</f>
        <v>2141.2799999999997</v>
      </c>
      <c r="AV203" s="512">
        <f t="shared" si="71"/>
        <v>0</v>
      </c>
      <c r="AW203" s="512">
        <f>SUMIFS(PURCHASE!$K$6:$K$10008,PURCHASE!$A$6:$A$10008,$AV$2,PURCHASE!$H$6:$H$10008,$A$4:$A$2700)</f>
        <v>0</v>
      </c>
      <c r="AX203" s="512">
        <f>SUMIFS(PURCHASE!$L$6:$L$10008,PURCHASE!$A$6:$A$10008,$AV$2,PURCHASE!$H$6:$H$10008,$A$4:$A$2700)</f>
        <v>0</v>
      </c>
      <c r="AY203" s="512">
        <f>SUMIFS(PURCHASE!$M$6:$M$10008,PURCHASE!$A$6:$A$10008,$AV$2,PURCHASE!$H$6:$H$10008,$A$4:$A$2700)</f>
        <v>0</v>
      </c>
      <c r="AZ203" s="512">
        <f>SUMIFS(PURCHASE!$N$6:$N$10008,PURCHASE!$A$6:$A$10008,$AV$2,PURCHASE!$H$6:$H$10008,$A$4:$A$2700)</f>
        <v>0</v>
      </c>
      <c r="BA203" s="512">
        <f t="shared" si="72"/>
        <v>0</v>
      </c>
      <c r="BB203" s="512">
        <f>SUMIFS(PURCHASE!$K$6:$K$10008,PURCHASE!$A$6:$A$10008,$BA$2,PURCHASE!$H$6:$H$10008,$A$4:$A$2700)</f>
        <v>0</v>
      </c>
      <c r="BC203" s="512">
        <f>SUMIFS(PURCHASE!$L$6:$L$10008,PURCHASE!$A$6:$A$10008,$BA$2,PURCHASE!$H$6:$H$10008,$A$4:$A$2700)</f>
        <v>0</v>
      </c>
      <c r="BD203" s="512">
        <f>SUMIFS(PURCHASE!$M$6:$M$10008,PURCHASE!$A$6:$A$10008,$BA$2,PURCHASE!$H$6:$H$10008,$A$4:$A$2700)</f>
        <v>0</v>
      </c>
      <c r="BE203" s="512">
        <f>SUMIFS(PURCHASE!$N$6:$N$10008,PURCHASE!$A$6:$A$10008,$BA$2,PURCHASE!$H$6:$H$10008,$A$4:$A$2700)</f>
        <v>0</v>
      </c>
      <c r="BF203" s="512">
        <f t="shared" si="73"/>
        <v>0</v>
      </c>
      <c r="BG203" s="512">
        <f>SUMIFS(PURCHASE!$K$6:$K$10008,PURCHASE!$A$6:$A$10008,$BF$2,PURCHASE!$H$6:$H$10008,$A$4:$A$2700)</f>
        <v>0</v>
      </c>
      <c r="BH203" s="512">
        <f>SUMIFS(PURCHASE!$L$6:$L$10008,PURCHASE!$A$6:$A$10008,$BF$2,PURCHASE!$H$6:$H$10008,$A$4:$A$2700)</f>
        <v>0</v>
      </c>
      <c r="BI203" s="512">
        <f>SUMIFS(PURCHASE!$M$6:$M$10008,PURCHASE!$A$6:$A$10008,$BF$2,PURCHASE!$H$6:$H$10008,$A$4:$A$2700)</f>
        <v>0</v>
      </c>
      <c r="BJ203" s="512">
        <f>SUMIFS(PURCHASE!$N$6:$N$10008,PURCHASE!$A$6:$A$10008,$BF$2,PURCHASE!$H$6:$H$10008,$A$4:$A$2700)</f>
        <v>0</v>
      </c>
      <c r="BK203" s="72">
        <f t="shared" si="57"/>
        <v>28074.559999999998</v>
      </c>
      <c r="BL203" s="72">
        <f t="shared" si="58"/>
        <v>23792</v>
      </c>
      <c r="BM203" s="72">
        <f t="shared" si="59"/>
        <v>0</v>
      </c>
      <c r="BN203" s="72">
        <f t="shared" si="60"/>
        <v>2141.2799999999997</v>
      </c>
      <c r="BO203" s="72">
        <f t="shared" si="61"/>
        <v>2141.2799999999997</v>
      </c>
    </row>
    <row r="204" spans="1:67" x14ac:dyDescent="0.2">
      <c r="A204" s="511">
        <v>84213920</v>
      </c>
      <c r="B204" s="467" t="s">
        <v>1336</v>
      </c>
      <c r="C204" s="512">
        <f t="shared" si="62"/>
        <v>0</v>
      </c>
      <c r="D204" s="512">
        <f>SUMIFS(PURCHASE!$K$6:$K$10008,PURCHASE!$A$6:$A$10008,$M$2,PURCHASE!$H$6:$H$10008,$A$4:$A$2700)</f>
        <v>0</v>
      </c>
      <c r="E204" s="512">
        <f>SUMIFS(PURCHASE!$L$6:$L$10008,PURCHASE!$A$6:$A$10008,$M$2,PURCHASE!$H$6:$H$10008,$A$4:$A$2700)</f>
        <v>0</v>
      </c>
      <c r="F204" s="512">
        <f>SUMIFS(PURCHASE!$M$6:$M$10008,PURCHASE!$A$6:$A$10008,$M$2,PURCHASE!$H$6:$H$10008,$A$4:$A$2700)</f>
        <v>0</v>
      </c>
      <c r="G204" s="512">
        <f>SUMIFS(PURCHASE!$N$6:$N$10008,PURCHASE!$A$6:$A$10008,$M$2,PURCHASE!$H$6:$H$10008,$A$4:$A$2700)</f>
        <v>0</v>
      </c>
      <c r="H204" s="512">
        <f t="shared" si="63"/>
        <v>0</v>
      </c>
      <c r="I204" s="512">
        <f>SUMIFS(PURCHASE!$K$6:$K$10008,PURCHASE!$A$6:$A$10008,$H$2,PURCHASE!$H$6:$H$10008,$A$4:$A$2700)</f>
        <v>0</v>
      </c>
      <c r="J204" s="512">
        <f>SUMIFS(PURCHASE!$L$6:$L$10008,PURCHASE!$A$6:$A$10008,$H$2,PURCHASE!$H$6:$H$10008,$A$4:$A$2700)</f>
        <v>0</v>
      </c>
      <c r="K204" s="512">
        <f>SUMIFS(PURCHASE!$M$6:$M$10008,PURCHASE!$A$6:$A$10008,$H$2,PURCHASE!$H$6:$H$10008,$A$4:$A$2700)</f>
        <v>0</v>
      </c>
      <c r="L204" s="512">
        <f>SUMIFS(PURCHASE!$N$6:$N$10008,PURCHASE!$A$6:$A$10008,$H$2,PURCHASE!$H$6:$H$10008,$A$4:$A$2700)</f>
        <v>0</v>
      </c>
      <c r="M204" s="512">
        <f t="shared" si="64"/>
        <v>0</v>
      </c>
      <c r="N204" s="512">
        <f>SUMIFS(PURCHASE!$K$6:$K$10008,PURCHASE!$A$6:$A$10008,$M$2,PURCHASE!$H$6:$H$10008,$A$4:$A$2700)</f>
        <v>0</v>
      </c>
      <c r="O204" s="512">
        <f>SUMIFS(PURCHASE!$L$6:$L$10008,PURCHASE!$A$6:$A$10008,$M$2,PURCHASE!$H$6:$H$10008,$A$4:$A$2700)</f>
        <v>0</v>
      </c>
      <c r="P204" s="512">
        <f>SUMIFS(PURCHASE!$M$6:$M$10008,PURCHASE!$A$6:$A$10008,$M$2,PURCHASE!$H$6:$H$10008,$A$4:$A$2700)</f>
        <v>0</v>
      </c>
      <c r="Q204" s="512">
        <f>SUMIFS(PURCHASE!$N$6:$N$10008,PURCHASE!$A$6:$A$10008,$M$2,PURCHASE!$H$6:$H$10008,$A$4:$A$2700)</f>
        <v>0</v>
      </c>
      <c r="R204" s="512">
        <f t="shared" si="65"/>
        <v>0</v>
      </c>
      <c r="S204" s="512">
        <f>SUMIFS(PURCHASE!$K$6:$K$10008,PURCHASE!$A$6:$A$10008,$R$2,PURCHASE!$H$6:$H$10008,$A$4:$A$2700)</f>
        <v>0</v>
      </c>
      <c r="T204" s="512">
        <f>SUMIFS(PURCHASE!$L$6:$L$10008,PURCHASE!$A$6:$A$10008,$R$2,PURCHASE!$H$6:$H$10008,$A$4:$A$2700)</f>
        <v>0</v>
      </c>
      <c r="U204" s="512">
        <f>SUMIFS(PURCHASE!$M$6:$M$10008,PURCHASE!$A$6:$A$10008,$R$2,PURCHASE!$H$6:$H$10008,$A$4:$A$2700)</f>
        <v>0</v>
      </c>
      <c r="V204" s="512">
        <f>SUMIFS(PURCHASE!$N$6:$N$10008,PURCHASE!$A$6:$A$10008,$R$2,PURCHASE!$H$6:$H$10008,$A$4:$A$2700)</f>
        <v>0</v>
      </c>
      <c r="W204" s="512">
        <f t="shared" si="66"/>
        <v>0</v>
      </c>
      <c r="X204" s="512">
        <f>SUMIFS(PURCHASE!$K$6:$K$10008,PURCHASE!$A$6:$A$10008,$W$2,PURCHASE!$H$6:$H$10008,$A$4:$A$2700)</f>
        <v>0</v>
      </c>
      <c r="Y204" s="512">
        <f>SUMIFS(PURCHASE!$L$6:$L$10008,PURCHASE!$A$6:$A$10008,$W$2,PURCHASE!$H$6:$H$10008,$A$4:$A$2700)</f>
        <v>0</v>
      </c>
      <c r="Z204" s="512">
        <f>SUMIFS(PURCHASE!$M$6:$M$10008,PURCHASE!$A$6:$A$10008,$W$2,PURCHASE!$H$6:$H$10008,$A$4:$A$2700)</f>
        <v>0</v>
      </c>
      <c r="AA204" s="512">
        <f>SUMIFS(PURCHASE!$N$6:$N$10008,PURCHASE!$A$6:$A$10008,$W$2,PURCHASE!$H$6:$H$10008,$A$4:$A$2700)</f>
        <v>0</v>
      </c>
      <c r="AB204" s="512">
        <f t="shared" si="67"/>
        <v>44368</v>
      </c>
      <c r="AC204" s="512">
        <f>SUMIFS(PURCHASE!$K$6:$K$10008,PURCHASE!$A$6:$A$10008,$AB$2,PURCHASE!$H$6:$H$10008,$A$4:$A$2700)</f>
        <v>37600</v>
      </c>
      <c r="AD204" s="512">
        <f>SUMIFS(PURCHASE!$L$6:$L$10008,PURCHASE!$A$6:$A$10008,$AB$2,PURCHASE!$H$6:$H$10008,$A$4:$A$2700)</f>
        <v>0</v>
      </c>
      <c r="AE204" s="512">
        <f>SUMIFS(PURCHASE!$M$6:$M$10008,PURCHASE!$A$6:$A$10008,$AB$2,PURCHASE!$H$6:$H$10008,$A$4:$A$2700)</f>
        <v>3384</v>
      </c>
      <c r="AF204" s="512">
        <f>SUMIFS(PURCHASE!$N$6:$N$10008,PURCHASE!$A$6:$A$10008,$AB$2,PURCHASE!$H$6:$H$10008,$A$4:$A$2700)</f>
        <v>3384</v>
      </c>
      <c r="AG204" s="512">
        <f t="shared" si="68"/>
        <v>0</v>
      </c>
      <c r="AH204" s="512">
        <f>SUMIFS(PURCHASE!$K$6:$K$10008,PURCHASE!$A$6:$A$10008,$AG$2,PURCHASE!$H$6:$H$10008,$A$4:$A$2700)</f>
        <v>0</v>
      </c>
      <c r="AI204" s="512">
        <f>SUMIFS(PURCHASE!$L$6:$L$10008,PURCHASE!$A$6:$A$10008,$AG$2,PURCHASE!$H$6:$H$10008,$A$4:$A$2700)</f>
        <v>0</v>
      </c>
      <c r="AJ204" s="512">
        <f>SUMIFS(PURCHASE!$M$6:$M$10008,PURCHASE!$A$6:$A$10008,$AG$2,PURCHASE!$H$6:$H$10008,$A$4:$A$2700)</f>
        <v>0</v>
      </c>
      <c r="AK204" s="512">
        <f>SUMIFS(PURCHASE!$N$6:$N$10008,PURCHASE!$A$6:$A$10008,$AG$2,PURCHASE!$H$6:$H$10008,$A$4:$A$2700)</f>
        <v>0</v>
      </c>
      <c r="AL204" s="512">
        <f t="shared" si="69"/>
        <v>0</v>
      </c>
      <c r="AM204" s="512">
        <f>SUMIFS(PURCHASE!$K$6:$K$10008,PURCHASE!$A$6:$A$10008,$AL$2,PURCHASE!$H$6:$H$10008,$A$4:$A$2700)</f>
        <v>0</v>
      </c>
      <c r="AN204" s="512">
        <f>SUMIFS(PURCHASE!$L$6:$L$10008,PURCHASE!$A$6:$A$10008,$AL$2,PURCHASE!$H$6:$H$10008,$A$4:$A$2700)</f>
        <v>0</v>
      </c>
      <c r="AO204" s="512">
        <f>SUMIFS(PURCHASE!$M$6:$M$10008,PURCHASE!$A$6:$A$10008,$AL$2,PURCHASE!$H$6:$H$10008,$A$4:$A$2700)</f>
        <v>0</v>
      </c>
      <c r="AP204" s="512">
        <f>SUMIFS(PURCHASE!$N$6:$N$10008,PURCHASE!$A$6:$A$10008,$AL$2,PURCHASE!$H$6:$H$10008,$A$4:$A$2700)</f>
        <v>0</v>
      </c>
      <c r="AQ204" s="512">
        <f t="shared" si="70"/>
        <v>0</v>
      </c>
      <c r="AR204" s="512">
        <f>SUMIFS(PURCHASE!$K$6:$K$10008,PURCHASE!$A$6:$A$10008,$AQ$2,PURCHASE!$H$6:$H$10008,$A$4:$A$2700)</f>
        <v>0</v>
      </c>
      <c r="AS204" s="512">
        <f>SUMIFS(PURCHASE!$L$6:$L$10008,PURCHASE!$A$6:$A$10008,$AQ$2,PURCHASE!$H$6:$H$10008,$A$4:$A$2700)</f>
        <v>0</v>
      </c>
      <c r="AT204" s="512">
        <f>SUMIFS(PURCHASE!$M$6:$M$10008,PURCHASE!$A$6:$A$10008,$AQ$2,PURCHASE!$H$6:$H$10008,$A$4:$A$2700)</f>
        <v>0</v>
      </c>
      <c r="AU204" s="512">
        <f>SUMIFS(PURCHASE!$N$6:$N$10008,PURCHASE!$A$6:$A$10008,$AQ$2,PURCHASE!$H$6:$H$10008,$A$4:$A$2700)</f>
        <v>0</v>
      </c>
      <c r="AV204" s="512">
        <f t="shared" si="71"/>
        <v>0</v>
      </c>
      <c r="AW204" s="512">
        <f>SUMIFS(PURCHASE!$K$6:$K$10008,PURCHASE!$A$6:$A$10008,$AV$2,PURCHASE!$H$6:$H$10008,$A$4:$A$2700)</f>
        <v>0</v>
      </c>
      <c r="AX204" s="512">
        <f>SUMIFS(PURCHASE!$L$6:$L$10008,PURCHASE!$A$6:$A$10008,$AV$2,PURCHASE!$H$6:$H$10008,$A$4:$A$2700)</f>
        <v>0</v>
      </c>
      <c r="AY204" s="512">
        <f>SUMIFS(PURCHASE!$M$6:$M$10008,PURCHASE!$A$6:$A$10008,$AV$2,PURCHASE!$H$6:$H$10008,$A$4:$A$2700)</f>
        <v>0</v>
      </c>
      <c r="AZ204" s="512">
        <f>SUMIFS(PURCHASE!$N$6:$N$10008,PURCHASE!$A$6:$A$10008,$AV$2,PURCHASE!$H$6:$H$10008,$A$4:$A$2700)</f>
        <v>0</v>
      </c>
      <c r="BA204" s="512">
        <f t="shared" si="72"/>
        <v>0</v>
      </c>
      <c r="BB204" s="512">
        <f>SUMIFS(PURCHASE!$K$6:$K$10008,PURCHASE!$A$6:$A$10008,$BA$2,PURCHASE!$H$6:$H$10008,$A$4:$A$2700)</f>
        <v>0</v>
      </c>
      <c r="BC204" s="512">
        <f>SUMIFS(PURCHASE!$L$6:$L$10008,PURCHASE!$A$6:$A$10008,$BA$2,PURCHASE!$H$6:$H$10008,$A$4:$A$2700)</f>
        <v>0</v>
      </c>
      <c r="BD204" s="512">
        <f>SUMIFS(PURCHASE!$M$6:$M$10008,PURCHASE!$A$6:$A$10008,$BA$2,PURCHASE!$H$6:$H$10008,$A$4:$A$2700)</f>
        <v>0</v>
      </c>
      <c r="BE204" s="512">
        <f>SUMIFS(PURCHASE!$N$6:$N$10008,PURCHASE!$A$6:$A$10008,$BA$2,PURCHASE!$H$6:$H$10008,$A$4:$A$2700)</f>
        <v>0</v>
      </c>
      <c r="BF204" s="512">
        <f t="shared" si="73"/>
        <v>0</v>
      </c>
      <c r="BG204" s="512">
        <f>SUMIFS(PURCHASE!$K$6:$K$10008,PURCHASE!$A$6:$A$10008,$BF$2,PURCHASE!$H$6:$H$10008,$A$4:$A$2700)</f>
        <v>0</v>
      </c>
      <c r="BH204" s="512">
        <f>SUMIFS(PURCHASE!$L$6:$L$10008,PURCHASE!$A$6:$A$10008,$BF$2,PURCHASE!$H$6:$H$10008,$A$4:$A$2700)</f>
        <v>0</v>
      </c>
      <c r="BI204" s="512">
        <f>SUMIFS(PURCHASE!$M$6:$M$10008,PURCHASE!$A$6:$A$10008,$BF$2,PURCHASE!$H$6:$H$10008,$A$4:$A$2700)</f>
        <v>0</v>
      </c>
      <c r="BJ204" s="512">
        <f>SUMIFS(PURCHASE!$N$6:$N$10008,PURCHASE!$A$6:$A$10008,$BF$2,PURCHASE!$H$6:$H$10008,$A$4:$A$2700)</f>
        <v>0</v>
      </c>
      <c r="BK204" s="72">
        <f t="shared" si="57"/>
        <v>44368</v>
      </c>
      <c r="BL204" s="72">
        <f t="shared" si="58"/>
        <v>37600</v>
      </c>
      <c r="BM204" s="72">
        <f t="shared" si="59"/>
        <v>0</v>
      </c>
      <c r="BN204" s="72">
        <f t="shared" si="60"/>
        <v>3384</v>
      </c>
      <c r="BO204" s="72">
        <f t="shared" si="61"/>
        <v>3384</v>
      </c>
    </row>
    <row r="205" spans="1:67" x14ac:dyDescent="0.2">
      <c r="A205" s="511">
        <v>84242000</v>
      </c>
      <c r="B205" s="467" t="s">
        <v>266</v>
      </c>
      <c r="C205" s="512">
        <f t="shared" si="62"/>
        <v>0</v>
      </c>
      <c r="D205" s="512">
        <f>SUMIFS(PURCHASE!$K$6:$K$10008,PURCHASE!$A$6:$A$10008,$M$2,PURCHASE!$H$6:$H$10008,$A$4:$A$2700)</f>
        <v>0</v>
      </c>
      <c r="E205" s="512">
        <f>SUMIFS(PURCHASE!$L$6:$L$10008,PURCHASE!$A$6:$A$10008,$M$2,PURCHASE!$H$6:$H$10008,$A$4:$A$2700)</f>
        <v>0</v>
      </c>
      <c r="F205" s="512">
        <f>SUMIFS(PURCHASE!$M$6:$M$10008,PURCHASE!$A$6:$A$10008,$M$2,PURCHASE!$H$6:$H$10008,$A$4:$A$2700)</f>
        <v>0</v>
      </c>
      <c r="G205" s="512">
        <f>SUMIFS(PURCHASE!$N$6:$N$10008,PURCHASE!$A$6:$A$10008,$M$2,PURCHASE!$H$6:$H$10008,$A$4:$A$2700)</f>
        <v>0</v>
      </c>
      <c r="H205" s="512">
        <f t="shared" si="63"/>
        <v>0</v>
      </c>
      <c r="I205" s="512">
        <f>SUMIFS(PURCHASE!$K$6:$K$10008,PURCHASE!$A$6:$A$10008,$H$2,PURCHASE!$H$6:$H$10008,$A$4:$A$2700)</f>
        <v>0</v>
      </c>
      <c r="J205" s="512">
        <f>SUMIFS(PURCHASE!$L$6:$L$10008,PURCHASE!$A$6:$A$10008,$H$2,PURCHASE!$H$6:$H$10008,$A$4:$A$2700)</f>
        <v>0</v>
      </c>
      <c r="K205" s="512">
        <f>SUMIFS(PURCHASE!$M$6:$M$10008,PURCHASE!$A$6:$A$10008,$H$2,PURCHASE!$H$6:$H$10008,$A$4:$A$2700)</f>
        <v>0</v>
      </c>
      <c r="L205" s="512">
        <f>SUMIFS(PURCHASE!$N$6:$N$10008,PURCHASE!$A$6:$A$10008,$H$2,PURCHASE!$H$6:$H$10008,$A$4:$A$2700)</f>
        <v>0</v>
      </c>
      <c r="M205" s="512">
        <f t="shared" si="64"/>
        <v>0</v>
      </c>
      <c r="N205" s="512">
        <f>SUMIFS(PURCHASE!$K$6:$K$10008,PURCHASE!$A$6:$A$10008,$M$2,PURCHASE!$H$6:$H$10008,$A$4:$A$2700)</f>
        <v>0</v>
      </c>
      <c r="O205" s="512">
        <f>SUMIFS(PURCHASE!$L$6:$L$10008,PURCHASE!$A$6:$A$10008,$M$2,PURCHASE!$H$6:$H$10008,$A$4:$A$2700)</f>
        <v>0</v>
      </c>
      <c r="P205" s="512">
        <f>SUMIFS(PURCHASE!$M$6:$M$10008,PURCHASE!$A$6:$A$10008,$M$2,PURCHASE!$H$6:$H$10008,$A$4:$A$2700)</f>
        <v>0</v>
      </c>
      <c r="Q205" s="512">
        <f>SUMIFS(PURCHASE!$N$6:$N$10008,PURCHASE!$A$6:$A$10008,$M$2,PURCHASE!$H$6:$H$10008,$A$4:$A$2700)</f>
        <v>0</v>
      </c>
      <c r="R205" s="512">
        <f t="shared" si="65"/>
        <v>0</v>
      </c>
      <c r="S205" s="512">
        <f>SUMIFS(PURCHASE!$K$6:$K$10008,PURCHASE!$A$6:$A$10008,$R$2,PURCHASE!$H$6:$H$10008,$A$4:$A$2700)</f>
        <v>0</v>
      </c>
      <c r="T205" s="512">
        <f>SUMIFS(PURCHASE!$L$6:$L$10008,PURCHASE!$A$6:$A$10008,$R$2,PURCHASE!$H$6:$H$10008,$A$4:$A$2700)</f>
        <v>0</v>
      </c>
      <c r="U205" s="512">
        <f>SUMIFS(PURCHASE!$M$6:$M$10008,PURCHASE!$A$6:$A$10008,$R$2,PURCHASE!$H$6:$H$10008,$A$4:$A$2700)</f>
        <v>0</v>
      </c>
      <c r="V205" s="512">
        <f>SUMIFS(PURCHASE!$N$6:$N$10008,PURCHASE!$A$6:$A$10008,$R$2,PURCHASE!$H$6:$H$10008,$A$4:$A$2700)</f>
        <v>0</v>
      </c>
      <c r="W205" s="512">
        <f t="shared" si="66"/>
        <v>0</v>
      </c>
      <c r="X205" s="512">
        <f>SUMIFS(PURCHASE!$K$6:$K$10008,PURCHASE!$A$6:$A$10008,$W$2,PURCHASE!$H$6:$H$10008,$A$4:$A$2700)</f>
        <v>0</v>
      </c>
      <c r="Y205" s="512">
        <f>SUMIFS(PURCHASE!$L$6:$L$10008,PURCHASE!$A$6:$A$10008,$W$2,PURCHASE!$H$6:$H$10008,$A$4:$A$2700)</f>
        <v>0</v>
      </c>
      <c r="Z205" s="512">
        <f>SUMIFS(PURCHASE!$M$6:$M$10008,PURCHASE!$A$6:$A$10008,$W$2,PURCHASE!$H$6:$H$10008,$A$4:$A$2700)</f>
        <v>0</v>
      </c>
      <c r="AA205" s="512">
        <f>SUMIFS(PURCHASE!$N$6:$N$10008,PURCHASE!$A$6:$A$10008,$W$2,PURCHASE!$H$6:$H$10008,$A$4:$A$2700)</f>
        <v>0</v>
      </c>
      <c r="AB205" s="512">
        <f t="shared" si="67"/>
        <v>0</v>
      </c>
      <c r="AC205" s="512">
        <f>SUMIFS(PURCHASE!$K$6:$K$10008,PURCHASE!$A$6:$A$10008,$AB$2,PURCHASE!$H$6:$H$10008,$A$4:$A$2700)</f>
        <v>0</v>
      </c>
      <c r="AD205" s="512">
        <f>SUMIFS(PURCHASE!$L$6:$L$10008,PURCHASE!$A$6:$A$10008,$AB$2,PURCHASE!$H$6:$H$10008,$A$4:$A$2700)</f>
        <v>0</v>
      </c>
      <c r="AE205" s="512">
        <f>SUMIFS(PURCHASE!$M$6:$M$10008,PURCHASE!$A$6:$A$10008,$AB$2,PURCHASE!$H$6:$H$10008,$A$4:$A$2700)</f>
        <v>0</v>
      </c>
      <c r="AF205" s="512">
        <f>SUMIFS(PURCHASE!$N$6:$N$10008,PURCHASE!$A$6:$A$10008,$AB$2,PURCHASE!$H$6:$H$10008,$A$4:$A$2700)</f>
        <v>0</v>
      </c>
      <c r="AG205" s="512">
        <f t="shared" si="68"/>
        <v>0</v>
      </c>
      <c r="AH205" s="512">
        <f>SUMIFS(PURCHASE!$K$6:$K$10008,PURCHASE!$A$6:$A$10008,$AG$2,PURCHASE!$H$6:$H$10008,$A$4:$A$2700)</f>
        <v>0</v>
      </c>
      <c r="AI205" s="512">
        <f>SUMIFS(PURCHASE!$L$6:$L$10008,PURCHASE!$A$6:$A$10008,$AG$2,PURCHASE!$H$6:$H$10008,$A$4:$A$2700)</f>
        <v>0</v>
      </c>
      <c r="AJ205" s="512">
        <f>SUMIFS(PURCHASE!$M$6:$M$10008,PURCHASE!$A$6:$A$10008,$AG$2,PURCHASE!$H$6:$H$10008,$A$4:$A$2700)</f>
        <v>0</v>
      </c>
      <c r="AK205" s="512">
        <f>SUMIFS(PURCHASE!$N$6:$N$10008,PURCHASE!$A$6:$A$10008,$AG$2,PURCHASE!$H$6:$H$10008,$A$4:$A$2700)</f>
        <v>0</v>
      </c>
      <c r="AL205" s="512">
        <f t="shared" si="69"/>
        <v>0</v>
      </c>
      <c r="AM205" s="512">
        <f>SUMIFS(PURCHASE!$K$6:$K$10008,PURCHASE!$A$6:$A$10008,$AL$2,PURCHASE!$H$6:$H$10008,$A$4:$A$2700)</f>
        <v>0</v>
      </c>
      <c r="AN205" s="512">
        <f>SUMIFS(PURCHASE!$L$6:$L$10008,PURCHASE!$A$6:$A$10008,$AL$2,PURCHASE!$H$6:$H$10008,$A$4:$A$2700)</f>
        <v>0</v>
      </c>
      <c r="AO205" s="512">
        <f>SUMIFS(PURCHASE!$M$6:$M$10008,PURCHASE!$A$6:$A$10008,$AL$2,PURCHASE!$H$6:$H$10008,$A$4:$A$2700)</f>
        <v>0</v>
      </c>
      <c r="AP205" s="512">
        <f>SUMIFS(PURCHASE!$N$6:$N$10008,PURCHASE!$A$6:$A$10008,$AL$2,PURCHASE!$H$6:$H$10008,$A$4:$A$2700)</f>
        <v>0</v>
      </c>
      <c r="AQ205" s="512">
        <f t="shared" si="70"/>
        <v>0</v>
      </c>
      <c r="AR205" s="512">
        <f>SUMIFS(PURCHASE!$K$6:$K$10008,PURCHASE!$A$6:$A$10008,$AQ$2,PURCHASE!$H$6:$H$10008,$A$4:$A$2700)</f>
        <v>0</v>
      </c>
      <c r="AS205" s="512">
        <f>SUMIFS(PURCHASE!$L$6:$L$10008,PURCHASE!$A$6:$A$10008,$AQ$2,PURCHASE!$H$6:$H$10008,$A$4:$A$2700)</f>
        <v>0</v>
      </c>
      <c r="AT205" s="512">
        <f>SUMIFS(PURCHASE!$M$6:$M$10008,PURCHASE!$A$6:$A$10008,$AQ$2,PURCHASE!$H$6:$H$10008,$A$4:$A$2700)</f>
        <v>0</v>
      </c>
      <c r="AU205" s="512">
        <f>SUMIFS(PURCHASE!$N$6:$N$10008,PURCHASE!$A$6:$A$10008,$AQ$2,PURCHASE!$H$6:$H$10008,$A$4:$A$2700)</f>
        <v>0</v>
      </c>
      <c r="AV205" s="512">
        <f t="shared" si="71"/>
        <v>0</v>
      </c>
      <c r="AW205" s="512">
        <f>SUMIFS(PURCHASE!$K$6:$K$10008,PURCHASE!$A$6:$A$10008,$AV$2,PURCHASE!$H$6:$H$10008,$A$4:$A$2700)</f>
        <v>0</v>
      </c>
      <c r="AX205" s="512">
        <f>SUMIFS(PURCHASE!$L$6:$L$10008,PURCHASE!$A$6:$A$10008,$AV$2,PURCHASE!$H$6:$H$10008,$A$4:$A$2700)</f>
        <v>0</v>
      </c>
      <c r="AY205" s="512">
        <f>SUMIFS(PURCHASE!$M$6:$M$10008,PURCHASE!$A$6:$A$10008,$AV$2,PURCHASE!$H$6:$H$10008,$A$4:$A$2700)</f>
        <v>0</v>
      </c>
      <c r="AZ205" s="512">
        <f>SUMIFS(PURCHASE!$N$6:$N$10008,PURCHASE!$A$6:$A$10008,$AV$2,PURCHASE!$H$6:$H$10008,$A$4:$A$2700)</f>
        <v>0</v>
      </c>
      <c r="BA205" s="512">
        <f t="shared" si="72"/>
        <v>0</v>
      </c>
      <c r="BB205" s="512">
        <f>SUMIFS(PURCHASE!$K$6:$K$10008,PURCHASE!$A$6:$A$10008,$BA$2,PURCHASE!$H$6:$H$10008,$A$4:$A$2700)</f>
        <v>0</v>
      </c>
      <c r="BC205" s="512">
        <f>SUMIFS(PURCHASE!$L$6:$L$10008,PURCHASE!$A$6:$A$10008,$BA$2,PURCHASE!$H$6:$H$10008,$A$4:$A$2700)</f>
        <v>0</v>
      </c>
      <c r="BD205" s="512">
        <f>SUMIFS(PURCHASE!$M$6:$M$10008,PURCHASE!$A$6:$A$10008,$BA$2,PURCHASE!$H$6:$H$10008,$A$4:$A$2700)</f>
        <v>0</v>
      </c>
      <c r="BE205" s="512">
        <f>SUMIFS(PURCHASE!$N$6:$N$10008,PURCHASE!$A$6:$A$10008,$BA$2,PURCHASE!$H$6:$H$10008,$A$4:$A$2700)</f>
        <v>0</v>
      </c>
      <c r="BF205" s="512">
        <f t="shared" si="73"/>
        <v>0</v>
      </c>
      <c r="BG205" s="512">
        <f>SUMIFS(PURCHASE!$K$6:$K$10008,PURCHASE!$A$6:$A$10008,$BF$2,PURCHASE!$H$6:$H$10008,$A$4:$A$2700)</f>
        <v>0</v>
      </c>
      <c r="BH205" s="512">
        <f>SUMIFS(PURCHASE!$L$6:$L$10008,PURCHASE!$A$6:$A$10008,$BF$2,PURCHASE!$H$6:$H$10008,$A$4:$A$2700)</f>
        <v>0</v>
      </c>
      <c r="BI205" s="512">
        <f>SUMIFS(PURCHASE!$M$6:$M$10008,PURCHASE!$A$6:$A$10008,$BF$2,PURCHASE!$H$6:$H$10008,$A$4:$A$2700)</f>
        <v>0</v>
      </c>
      <c r="BJ205" s="512">
        <f>SUMIFS(PURCHASE!$N$6:$N$10008,PURCHASE!$A$6:$A$10008,$BF$2,PURCHASE!$H$6:$H$10008,$A$4:$A$2700)</f>
        <v>0</v>
      </c>
      <c r="BK205" s="72">
        <f t="shared" si="57"/>
        <v>0</v>
      </c>
      <c r="BL205" s="72">
        <f t="shared" si="58"/>
        <v>0</v>
      </c>
      <c r="BM205" s="72">
        <f t="shared" si="59"/>
        <v>0</v>
      </c>
      <c r="BN205" s="72">
        <f t="shared" si="60"/>
        <v>0</v>
      </c>
      <c r="BO205" s="72">
        <f t="shared" si="61"/>
        <v>0</v>
      </c>
    </row>
    <row r="206" spans="1:67" x14ac:dyDescent="0.2">
      <c r="A206" s="511">
        <v>34011190</v>
      </c>
      <c r="B206" s="467" t="s">
        <v>1337</v>
      </c>
      <c r="C206" s="512">
        <f t="shared" si="62"/>
        <v>169.92000000000002</v>
      </c>
      <c r="D206" s="512">
        <f>SUMIFS(PURCHASE!$K$6:$K$10008,PURCHASE!$A$6:$A$10008,$M$2,PURCHASE!$H$6:$H$10008,$A$4:$A$2700)</f>
        <v>144</v>
      </c>
      <c r="E206" s="512">
        <f>SUMIFS(PURCHASE!$L$6:$L$10008,PURCHASE!$A$6:$A$10008,$M$2,PURCHASE!$H$6:$H$10008,$A$4:$A$2700)</f>
        <v>0</v>
      </c>
      <c r="F206" s="512">
        <f>SUMIFS(PURCHASE!$M$6:$M$10008,PURCHASE!$A$6:$A$10008,$M$2,PURCHASE!$H$6:$H$10008,$A$4:$A$2700)</f>
        <v>12.959999999999999</v>
      </c>
      <c r="G206" s="512">
        <f>SUMIFS(PURCHASE!$N$6:$N$10008,PURCHASE!$A$6:$A$10008,$M$2,PURCHASE!$H$6:$H$10008,$A$4:$A$2700)</f>
        <v>12.959999999999999</v>
      </c>
      <c r="H206" s="512">
        <f t="shared" si="63"/>
        <v>0</v>
      </c>
      <c r="I206" s="512">
        <f>SUMIFS(PURCHASE!$K$6:$K$10008,PURCHASE!$A$6:$A$10008,$H$2,PURCHASE!$H$6:$H$10008,$A$4:$A$2700)</f>
        <v>0</v>
      </c>
      <c r="J206" s="512">
        <f>SUMIFS(PURCHASE!$L$6:$L$10008,PURCHASE!$A$6:$A$10008,$H$2,PURCHASE!$H$6:$H$10008,$A$4:$A$2700)</f>
        <v>0</v>
      </c>
      <c r="K206" s="512">
        <f>SUMIFS(PURCHASE!$M$6:$M$10008,PURCHASE!$A$6:$A$10008,$H$2,PURCHASE!$H$6:$H$10008,$A$4:$A$2700)</f>
        <v>0</v>
      </c>
      <c r="L206" s="512">
        <f>SUMIFS(PURCHASE!$N$6:$N$10008,PURCHASE!$A$6:$A$10008,$H$2,PURCHASE!$H$6:$H$10008,$A$4:$A$2700)</f>
        <v>0</v>
      </c>
      <c r="M206" s="512">
        <f t="shared" si="64"/>
        <v>169.92000000000002</v>
      </c>
      <c r="N206" s="512">
        <f>SUMIFS(PURCHASE!$K$6:$K$10008,PURCHASE!$A$6:$A$10008,$M$2,PURCHASE!$H$6:$H$10008,$A$4:$A$2700)</f>
        <v>144</v>
      </c>
      <c r="O206" s="512">
        <f>SUMIFS(PURCHASE!$L$6:$L$10008,PURCHASE!$A$6:$A$10008,$M$2,PURCHASE!$H$6:$H$10008,$A$4:$A$2700)</f>
        <v>0</v>
      </c>
      <c r="P206" s="512">
        <f>SUMIFS(PURCHASE!$M$6:$M$10008,PURCHASE!$A$6:$A$10008,$M$2,PURCHASE!$H$6:$H$10008,$A$4:$A$2700)</f>
        <v>12.959999999999999</v>
      </c>
      <c r="Q206" s="512">
        <f>SUMIFS(PURCHASE!$N$6:$N$10008,PURCHASE!$A$6:$A$10008,$M$2,PURCHASE!$H$6:$H$10008,$A$4:$A$2700)</f>
        <v>12.959999999999999</v>
      </c>
      <c r="R206" s="512">
        <f t="shared" si="65"/>
        <v>0</v>
      </c>
      <c r="S206" s="512">
        <f>SUMIFS(PURCHASE!$K$6:$K$10008,PURCHASE!$A$6:$A$10008,$R$2,PURCHASE!$H$6:$H$10008,$A$4:$A$2700)</f>
        <v>0</v>
      </c>
      <c r="T206" s="512">
        <f>SUMIFS(PURCHASE!$L$6:$L$10008,PURCHASE!$A$6:$A$10008,$R$2,PURCHASE!$H$6:$H$10008,$A$4:$A$2700)</f>
        <v>0</v>
      </c>
      <c r="U206" s="512">
        <f>SUMIFS(PURCHASE!$M$6:$M$10008,PURCHASE!$A$6:$A$10008,$R$2,PURCHASE!$H$6:$H$10008,$A$4:$A$2700)</f>
        <v>0</v>
      </c>
      <c r="V206" s="512">
        <f>SUMIFS(PURCHASE!$N$6:$N$10008,PURCHASE!$A$6:$A$10008,$R$2,PURCHASE!$H$6:$H$10008,$A$4:$A$2700)</f>
        <v>0</v>
      </c>
      <c r="W206" s="512">
        <f t="shared" si="66"/>
        <v>509.76</v>
      </c>
      <c r="X206" s="512">
        <f>SUMIFS(PURCHASE!$K$6:$K$10008,PURCHASE!$A$6:$A$10008,$W$2,PURCHASE!$H$6:$H$10008,$A$4:$A$2700)</f>
        <v>432</v>
      </c>
      <c r="Y206" s="512">
        <f>SUMIFS(PURCHASE!$L$6:$L$10008,PURCHASE!$A$6:$A$10008,$W$2,PURCHASE!$H$6:$H$10008,$A$4:$A$2700)</f>
        <v>0</v>
      </c>
      <c r="Z206" s="512">
        <f>SUMIFS(PURCHASE!$M$6:$M$10008,PURCHASE!$A$6:$A$10008,$W$2,PURCHASE!$H$6:$H$10008,$A$4:$A$2700)</f>
        <v>38.880000000000003</v>
      </c>
      <c r="AA206" s="512">
        <f>SUMIFS(PURCHASE!$N$6:$N$10008,PURCHASE!$A$6:$A$10008,$W$2,PURCHASE!$H$6:$H$10008,$A$4:$A$2700)</f>
        <v>38.880000000000003</v>
      </c>
      <c r="AB206" s="512">
        <f t="shared" si="67"/>
        <v>0</v>
      </c>
      <c r="AC206" s="512">
        <f>SUMIFS(PURCHASE!$K$6:$K$10008,PURCHASE!$A$6:$A$10008,$AB$2,PURCHASE!$H$6:$H$10008,$A$4:$A$2700)</f>
        <v>0</v>
      </c>
      <c r="AD206" s="512">
        <f>SUMIFS(PURCHASE!$L$6:$L$10008,PURCHASE!$A$6:$A$10008,$AB$2,PURCHASE!$H$6:$H$10008,$A$4:$A$2700)</f>
        <v>0</v>
      </c>
      <c r="AE206" s="512">
        <f>SUMIFS(PURCHASE!$M$6:$M$10008,PURCHASE!$A$6:$A$10008,$AB$2,PURCHASE!$H$6:$H$10008,$A$4:$A$2700)</f>
        <v>0</v>
      </c>
      <c r="AF206" s="512">
        <f>SUMIFS(PURCHASE!$N$6:$N$10008,PURCHASE!$A$6:$A$10008,$AB$2,PURCHASE!$H$6:$H$10008,$A$4:$A$2700)</f>
        <v>0</v>
      </c>
      <c r="AG206" s="512">
        <f t="shared" si="68"/>
        <v>0</v>
      </c>
      <c r="AH206" s="512">
        <f>SUMIFS(PURCHASE!$K$6:$K$10008,PURCHASE!$A$6:$A$10008,$AG$2,PURCHASE!$H$6:$H$10008,$A$4:$A$2700)</f>
        <v>0</v>
      </c>
      <c r="AI206" s="512">
        <f>SUMIFS(PURCHASE!$L$6:$L$10008,PURCHASE!$A$6:$A$10008,$AG$2,PURCHASE!$H$6:$H$10008,$A$4:$A$2700)</f>
        <v>0</v>
      </c>
      <c r="AJ206" s="512">
        <f>SUMIFS(PURCHASE!$M$6:$M$10008,PURCHASE!$A$6:$A$10008,$AG$2,PURCHASE!$H$6:$H$10008,$A$4:$A$2700)</f>
        <v>0</v>
      </c>
      <c r="AK206" s="512">
        <f>SUMIFS(PURCHASE!$N$6:$N$10008,PURCHASE!$A$6:$A$10008,$AG$2,PURCHASE!$H$6:$H$10008,$A$4:$A$2700)</f>
        <v>0</v>
      </c>
      <c r="AL206" s="512">
        <f t="shared" si="69"/>
        <v>0</v>
      </c>
      <c r="AM206" s="512">
        <f>SUMIFS(PURCHASE!$K$6:$K$10008,PURCHASE!$A$6:$A$10008,$AL$2,PURCHASE!$H$6:$H$10008,$A$4:$A$2700)</f>
        <v>0</v>
      </c>
      <c r="AN206" s="512">
        <f>SUMIFS(PURCHASE!$L$6:$L$10008,PURCHASE!$A$6:$A$10008,$AL$2,PURCHASE!$H$6:$H$10008,$A$4:$A$2700)</f>
        <v>0</v>
      </c>
      <c r="AO206" s="512">
        <f>SUMIFS(PURCHASE!$M$6:$M$10008,PURCHASE!$A$6:$A$10008,$AL$2,PURCHASE!$H$6:$H$10008,$A$4:$A$2700)</f>
        <v>0</v>
      </c>
      <c r="AP206" s="512">
        <f>SUMIFS(PURCHASE!$N$6:$N$10008,PURCHASE!$A$6:$A$10008,$AL$2,PURCHASE!$H$6:$H$10008,$A$4:$A$2700)</f>
        <v>0</v>
      </c>
      <c r="AQ206" s="512">
        <f t="shared" si="70"/>
        <v>0</v>
      </c>
      <c r="AR206" s="512">
        <f>SUMIFS(PURCHASE!$K$6:$K$10008,PURCHASE!$A$6:$A$10008,$AQ$2,PURCHASE!$H$6:$H$10008,$A$4:$A$2700)</f>
        <v>0</v>
      </c>
      <c r="AS206" s="512">
        <f>SUMIFS(PURCHASE!$L$6:$L$10008,PURCHASE!$A$6:$A$10008,$AQ$2,PURCHASE!$H$6:$H$10008,$A$4:$A$2700)</f>
        <v>0</v>
      </c>
      <c r="AT206" s="512">
        <f>SUMIFS(PURCHASE!$M$6:$M$10008,PURCHASE!$A$6:$A$10008,$AQ$2,PURCHASE!$H$6:$H$10008,$A$4:$A$2700)</f>
        <v>0</v>
      </c>
      <c r="AU206" s="512">
        <f>SUMIFS(PURCHASE!$N$6:$N$10008,PURCHASE!$A$6:$A$10008,$AQ$2,PURCHASE!$H$6:$H$10008,$A$4:$A$2700)</f>
        <v>0</v>
      </c>
      <c r="AV206" s="512">
        <f t="shared" si="71"/>
        <v>0</v>
      </c>
      <c r="AW206" s="512">
        <f>SUMIFS(PURCHASE!$K$6:$K$10008,PURCHASE!$A$6:$A$10008,$AV$2,PURCHASE!$H$6:$H$10008,$A$4:$A$2700)</f>
        <v>0</v>
      </c>
      <c r="AX206" s="512">
        <f>SUMIFS(PURCHASE!$L$6:$L$10008,PURCHASE!$A$6:$A$10008,$AV$2,PURCHASE!$H$6:$H$10008,$A$4:$A$2700)</f>
        <v>0</v>
      </c>
      <c r="AY206" s="512">
        <f>SUMIFS(PURCHASE!$M$6:$M$10008,PURCHASE!$A$6:$A$10008,$AV$2,PURCHASE!$H$6:$H$10008,$A$4:$A$2700)</f>
        <v>0</v>
      </c>
      <c r="AZ206" s="512">
        <f>SUMIFS(PURCHASE!$N$6:$N$10008,PURCHASE!$A$6:$A$10008,$AV$2,PURCHASE!$H$6:$H$10008,$A$4:$A$2700)</f>
        <v>0</v>
      </c>
      <c r="BA206" s="512">
        <f t="shared" si="72"/>
        <v>0</v>
      </c>
      <c r="BB206" s="512">
        <f>SUMIFS(PURCHASE!$K$6:$K$10008,PURCHASE!$A$6:$A$10008,$BA$2,PURCHASE!$H$6:$H$10008,$A$4:$A$2700)</f>
        <v>0</v>
      </c>
      <c r="BC206" s="512">
        <f>SUMIFS(PURCHASE!$L$6:$L$10008,PURCHASE!$A$6:$A$10008,$BA$2,PURCHASE!$H$6:$H$10008,$A$4:$A$2700)</f>
        <v>0</v>
      </c>
      <c r="BD206" s="512">
        <f>SUMIFS(PURCHASE!$M$6:$M$10008,PURCHASE!$A$6:$A$10008,$BA$2,PURCHASE!$H$6:$H$10008,$A$4:$A$2700)</f>
        <v>0</v>
      </c>
      <c r="BE206" s="512">
        <f>SUMIFS(PURCHASE!$N$6:$N$10008,PURCHASE!$A$6:$A$10008,$BA$2,PURCHASE!$H$6:$H$10008,$A$4:$A$2700)</f>
        <v>0</v>
      </c>
      <c r="BF206" s="512">
        <f t="shared" si="73"/>
        <v>0</v>
      </c>
      <c r="BG206" s="512">
        <f>SUMIFS(PURCHASE!$K$6:$K$10008,PURCHASE!$A$6:$A$10008,$BF$2,PURCHASE!$H$6:$H$10008,$A$4:$A$2700)</f>
        <v>0</v>
      </c>
      <c r="BH206" s="512">
        <f>SUMIFS(PURCHASE!$L$6:$L$10008,PURCHASE!$A$6:$A$10008,$BF$2,PURCHASE!$H$6:$H$10008,$A$4:$A$2700)</f>
        <v>0</v>
      </c>
      <c r="BI206" s="512">
        <f>SUMIFS(PURCHASE!$M$6:$M$10008,PURCHASE!$A$6:$A$10008,$BF$2,PURCHASE!$H$6:$H$10008,$A$4:$A$2700)</f>
        <v>0</v>
      </c>
      <c r="BJ206" s="512">
        <f>SUMIFS(PURCHASE!$N$6:$N$10008,PURCHASE!$A$6:$A$10008,$BF$2,PURCHASE!$H$6:$H$10008,$A$4:$A$2700)</f>
        <v>0</v>
      </c>
      <c r="BK206" s="72">
        <f t="shared" si="57"/>
        <v>849.6</v>
      </c>
      <c r="BL206" s="72">
        <f t="shared" si="58"/>
        <v>720</v>
      </c>
      <c r="BM206" s="72">
        <f t="shared" si="59"/>
        <v>0</v>
      </c>
      <c r="BN206" s="72">
        <f t="shared" si="60"/>
        <v>64.8</v>
      </c>
      <c r="BO206" s="72">
        <f t="shared" si="61"/>
        <v>64.8</v>
      </c>
    </row>
    <row r="207" spans="1:67" x14ac:dyDescent="0.2">
      <c r="A207" s="511">
        <v>84411090</v>
      </c>
      <c r="B207" s="467" t="s">
        <v>1219</v>
      </c>
      <c r="C207" s="512">
        <f t="shared" si="62"/>
        <v>0</v>
      </c>
      <c r="D207" s="512">
        <f>SUMIFS(PURCHASE!$K$6:$K$10008,PURCHASE!$A$6:$A$10008,$M$2,PURCHASE!$H$6:$H$10008,$A$4:$A$2700)</f>
        <v>0</v>
      </c>
      <c r="E207" s="512">
        <f>SUMIFS(PURCHASE!$L$6:$L$10008,PURCHASE!$A$6:$A$10008,$M$2,PURCHASE!$H$6:$H$10008,$A$4:$A$2700)</f>
        <v>0</v>
      </c>
      <c r="F207" s="512">
        <f>SUMIFS(PURCHASE!$M$6:$M$10008,PURCHASE!$A$6:$A$10008,$M$2,PURCHASE!$H$6:$H$10008,$A$4:$A$2700)</f>
        <v>0</v>
      </c>
      <c r="G207" s="512">
        <f>SUMIFS(PURCHASE!$N$6:$N$10008,PURCHASE!$A$6:$A$10008,$M$2,PURCHASE!$H$6:$H$10008,$A$4:$A$2700)</f>
        <v>0</v>
      </c>
      <c r="H207" s="512">
        <f t="shared" si="63"/>
        <v>0</v>
      </c>
      <c r="I207" s="512">
        <f>SUMIFS(PURCHASE!$K$6:$K$10008,PURCHASE!$A$6:$A$10008,$H$2,PURCHASE!$H$6:$H$10008,$A$4:$A$2700)</f>
        <v>0</v>
      </c>
      <c r="J207" s="512">
        <f>SUMIFS(PURCHASE!$L$6:$L$10008,PURCHASE!$A$6:$A$10008,$H$2,PURCHASE!$H$6:$H$10008,$A$4:$A$2700)</f>
        <v>0</v>
      </c>
      <c r="K207" s="512">
        <f>SUMIFS(PURCHASE!$M$6:$M$10008,PURCHASE!$A$6:$A$10008,$H$2,PURCHASE!$H$6:$H$10008,$A$4:$A$2700)</f>
        <v>0</v>
      </c>
      <c r="L207" s="512">
        <f>SUMIFS(PURCHASE!$N$6:$N$10008,PURCHASE!$A$6:$A$10008,$H$2,PURCHASE!$H$6:$H$10008,$A$4:$A$2700)</f>
        <v>0</v>
      </c>
      <c r="M207" s="512">
        <f t="shared" si="64"/>
        <v>0</v>
      </c>
      <c r="N207" s="512">
        <f>SUMIFS(PURCHASE!$K$6:$K$10008,PURCHASE!$A$6:$A$10008,$M$2,PURCHASE!$H$6:$H$10008,$A$4:$A$2700)</f>
        <v>0</v>
      </c>
      <c r="O207" s="512">
        <f>SUMIFS(PURCHASE!$L$6:$L$10008,PURCHASE!$A$6:$A$10008,$M$2,PURCHASE!$H$6:$H$10008,$A$4:$A$2700)</f>
        <v>0</v>
      </c>
      <c r="P207" s="512">
        <f>SUMIFS(PURCHASE!$M$6:$M$10008,PURCHASE!$A$6:$A$10008,$M$2,PURCHASE!$H$6:$H$10008,$A$4:$A$2700)</f>
        <v>0</v>
      </c>
      <c r="Q207" s="512">
        <f>SUMIFS(PURCHASE!$N$6:$N$10008,PURCHASE!$A$6:$A$10008,$M$2,PURCHASE!$H$6:$H$10008,$A$4:$A$2700)</f>
        <v>0</v>
      </c>
      <c r="R207" s="512">
        <f t="shared" si="65"/>
        <v>0</v>
      </c>
      <c r="S207" s="512">
        <f>SUMIFS(PURCHASE!$K$6:$K$10008,PURCHASE!$A$6:$A$10008,$R$2,PURCHASE!$H$6:$H$10008,$A$4:$A$2700)</f>
        <v>0</v>
      </c>
      <c r="T207" s="512">
        <f>SUMIFS(PURCHASE!$L$6:$L$10008,PURCHASE!$A$6:$A$10008,$R$2,PURCHASE!$H$6:$H$10008,$A$4:$A$2700)</f>
        <v>0</v>
      </c>
      <c r="U207" s="512">
        <f>SUMIFS(PURCHASE!$M$6:$M$10008,PURCHASE!$A$6:$A$10008,$R$2,PURCHASE!$H$6:$H$10008,$A$4:$A$2700)</f>
        <v>0</v>
      </c>
      <c r="V207" s="512">
        <f>SUMIFS(PURCHASE!$N$6:$N$10008,PURCHASE!$A$6:$A$10008,$R$2,PURCHASE!$H$6:$H$10008,$A$4:$A$2700)</f>
        <v>0</v>
      </c>
      <c r="W207" s="512">
        <f t="shared" si="66"/>
        <v>0</v>
      </c>
      <c r="X207" s="512">
        <f>SUMIFS(PURCHASE!$K$6:$K$10008,PURCHASE!$A$6:$A$10008,$W$2,PURCHASE!$H$6:$H$10008,$A$4:$A$2700)</f>
        <v>0</v>
      </c>
      <c r="Y207" s="512">
        <f>SUMIFS(PURCHASE!$L$6:$L$10008,PURCHASE!$A$6:$A$10008,$W$2,PURCHASE!$H$6:$H$10008,$A$4:$A$2700)</f>
        <v>0</v>
      </c>
      <c r="Z207" s="512">
        <f>SUMIFS(PURCHASE!$M$6:$M$10008,PURCHASE!$A$6:$A$10008,$W$2,PURCHASE!$H$6:$H$10008,$A$4:$A$2700)</f>
        <v>0</v>
      </c>
      <c r="AA207" s="512">
        <f>SUMIFS(PURCHASE!$N$6:$N$10008,PURCHASE!$A$6:$A$10008,$W$2,PURCHASE!$H$6:$H$10008,$A$4:$A$2700)</f>
        <v>0</v>
      </c>
      <c r="AB207" s="512">
        <f t="shared" si="67"/>
        <v>1869.12</v>
      </c>
      <c r="AC207" s="512">
        <f>SUMIFS(PURCHASE!$K$6:$K$10008,PURCHASE!$A$6:$A$10008,$AB$2,PURCHASE!$H$6:$H$10008,$A$4:$A$2700)</f>
        <v>1584</v>
      </c>
      <c r="AD207" s="512">
        <f>SUMIFS(PURCHASE!$L$6:$L$10008,PURCHASE!$A$6:$A$10008,$AB$2,PURCHASE!$H$6:$H$10008,$A$4:$A$2700)</f>
        <v>0</v>
      </c>
      <c r="AE207" s="512">
        <f>SUMIFS(PURCHASE!$M$6:$M$10008,PURCHASE!$A$6:$A$10008,$AB$2,PURCHASE!$H$6:$H$10008,$A$4:$A$2700)</f>
        <v>142.56</v>
      </c>
      <c r="AF207" s="512">
        <f>SUMIFS(PURCHASE!$N$6:$N$10008,PURCHASE!$A$6:$A$10008,$AB$2,PURCHASE!$H$6:$H$10008,$A$4:$A$2700)</f>
        <v>142.56</v>
      </c>
      <c r="AG207" s="512">
        <f t="shared" si="68"/>
        <v>0</v>
      </c>
      <c r="AH207" s="512">
        <f>SUMIFS(PURCHASE!$K$6:$K$10008,PURCHASE!$A$6:$A$10008,$AG$2,PURCHASE!$H$6:$H$10008,$A$4:$A$2700)</f>
        <v>0</v>
      </c>
      <c r="AI207" s="512">
        <f>SUMIFS(PURCHASE!$L$6:$L$10008,PURCHASE!$A$6:$A$10008,$AG$2,PURCHASE!$H$6:$H$10008,$A$4:$A$2700)</f>
        <v>0</v>
      </c>
      <c r="AJ207" s="512">
        <f>SUMIFS(PURCHASE!$M$6:$M$10008,PURCHASE!$A$6:$A$10008,$AG$2,PURCHASE!$H$6:$H$10008,$A$4:$A$2700)</f>
        <v>0</v>
      </c>
      <c r="AK207" s="512">
        <f>SUMIFS(PURCHASE!$N$6:$N$10008,PURCHASE!$A$6:$A$10008,$AG$2,PURCHASE!$H$6:$H$10008,$A$4:$A$2700)</f>
        <v>0</v>
      </c>
      <c r="AL207" s="512">
        <f t="shared" si="69"/>
        <v>0</v>
      </c>
      <c r="AM207" s="512">
        <f>SUMIFS(PURCHASE!$K$6:$K$10008,PURCHASE!$A$6:$A$10008,$AL$2,PURCHASE!$H$6:$H$10008,$A$4:$A$2700)</f>
        <v>0</v>
      </c>
      <c r="AN207" s="512">
        <f>SUMIFS(PURCHASE!$L$6:$L$10008,PURCHASE!$A$6:$A$10008,$AL$2,PURCHASE!$H$6:$H$10008,$A$4:$A$2700)</f>
        <v>0</v>
      </c>
      <c r="AO207" s="512">
        <f>SUMIFS(PURCHASE!$M$6:$M$10008,PURCHASE!$A$6:$A$10008,$AL$2,PURCHASE!$H$6:$H$10008,$A$4:$A$2700)</f>
        <v>0</v>
      </c>
      <c r="AP207" s="512">
        <f>SUMIFS(PURCHASE!$N$6:$N$10008,PURCHASE!$A$6:$A$10008,$AL$2,PURCHASE!$H$6:$H$10008,$A$4:$A$2700)</f>
        <v>0</v>
      </c>
      <c r="AQ207" s="512">
        <f t="shared" si="70"/>
        <v>0</v>
      </c>
      <c r="AR207" s="512">
        <f>SUMIFS(PURCHASE!$K$6:$K$10008,PURCHASE!$A$6:$A$10008,$AQ$2,PURCHASE!$H$6:$H$10008,$A$4:$A$2700)</f>
        <v>0</v>
      </c>
      <c r="AS207" s="512">
        <f>SUMIFS(PURCHASE!$L$6:$L$10008,PURCHASE!$A$6:$A$10008,$AQ$2,PURCHASE!$H$6:$H$10008,$A$4:$A$2700)</f>
        <v>0</v>
      </c>
      <c r="AT207" s="512">
        <f>SUMIFS(PURCHASE!$M$6:$M$10008,PURCHASE!$A$6:$A$10008,$AQ$2,PURCHASE!$H$6:$H$10008,$A$4:$A$2700)</f>
        <v>0</v>
      </c>
      <c r="AU207" s="512">
        <f>SUMIFS(PURCHASE!$N$6:$N$10008,PURCHASE!$A$6:$A$10008,$AQ$2,PURCHASE!$H$6:$H$10008,$A$4:$A$2700)</f>
        <v>0</v>
      </c>
      <c r="AV207" s="512">
        <f t="shared" si="71"/>
        <v>0</v>
      </c>
      <c r="AW207" s="512">
        <f>SUMIFS(PURCHASE!$K$6:$K$10008,PURCHASE!$A$6:$A$10008,$AV$2,PURCHASE!$H$6:$H$10008,$A$4:$A$2700)</f>
        <v>0</v>
      </c>
      <c r="AX207" s="512">
        <f>SUMIFS(PURCHASE!$L$6:$L$10008,PURCHASE!$A$6:$A$10008,$AV$2,PURCHASE!$H$6:$H$10008,$A$4:$A$2700)</f>
        <v>0</v>
      </c>
      <c r="AY207" s="512">
        <f>SUMIFS(PURCHASE!$M$6:$M$10008,PURCHASE!$A$6:$A$10008,$AV$2,PURCHASE!$H$6:$H$10008,$A$4:$A$2700)</f>
        <v>0</v>
      </c>
      <c r="AZ207" s="512">
        <f>SUMIFS(PURCHASE!$N$6:$N$10008,PURCHASE!$A$6:$A$10008,$AV$2,PURCHASE!$H$6:$H$10008,$A$4:$A$2700)</f>
        <v>0</v>
      </c>
      <c r="BA207" s="512">
        <f t="shared" si="72"/>
        <v>0</v>
      </c>
      <c r="BB207" s="512">
        <f>SUMIFS(PURCHASE!$K$6:$K$10008,PURCHASE!$A$6:$A$10008,$BA$2,PURCHASE!$H$6:$H$10008,$A$4:$A$2700)</f>
        <v>0</v>
      </c>
      <c r="BC207" s="512">
        <f>SUMIFS(PURCHASE!$L$6:$L$10008,PURCHASE!$A$6:$A$10008,$BA$2,PURCHASE!$H$6:$H$10008,$A$4:$A$2700)</f>
        <v>0</v>
      </c>
      <c r="BD207" s="512">
        <f>SUMIFS(PURCHASE!$M$6:$M$10008,PURCHASE!$A$6:$A$10008,$BA$2,PURCHASE!$H$6:$H$10008,$A$4:$A$2700)</f>
        <v>0</v>
      </c>
      <c r="BE207" s="512">
        <f>SUMIFS(PURCHASE!$N$6:$N$10008,PURCHASE!$A$6:$A$10008,$BA$2,PURCHASE!$H$6:$H$10008,$A$4:$A$2700)</f>
        <v>0</v>
      </c>
      <c r="BF207" s="512">
        <f t="shared" si="73"/>
        <v>0</v>
      </c>
      <c r="BG207" s="512">
        <f>SUMIFS(PURCHASE!$K$6:$K$10008,PURCHASE!$A$6:$A$10008,$BF$2,PURCHASE!$H$6:$H$10008,$A$4:$A$2700)</f>
        <v>0</v>
      </c>
      <c r="BH207" s="512">
        <f>SUMIFS(PURCHASE!$L$6:$L$10008,PURCHASE!$A$6:$A$10008,$BF$2,PURCHASE!$H$6:$H$10008,$A$4:$A$2700)</f>
        <v>0</v>
      </c>
      <c r="BI207" s="512">
        <f>SUMIFS(PURCHASE!$M$6:$M$10008,PURCHASE!$A$6:$A$10008,$BF$2,PURCHASE!$H$6:$H$10008,$A$4:$A$2700)</f>
        <v>0</v>
      </c>
      <c r="BJ207" s="512">
        <f>SUMIFS(PURCHASE!$N$6:$N$10008,PURCHASE!$A$6:$A$10008,$BF$2,PURCHASE!$H$6:$H$10008,$A$4:$A$2700)</f>
        <v>0</v>
      </c>
      <c r="BK207" s="72">
        <f t="shared" si="57"/>
        <v>1869.12</v>
      </c>
      <c r="BL207" s="72">
        <f t="shared" si="58"/>
        <v>1584</v>
      </c>
      <c r="BM207" s="72">
        <f t="shared" si="59"/>
        <v>0</v>
      </c>
      <c r="BN207" s="72">
        <f t="shared" si="60"/>
        <v>142.56</v>
      </c>
      <c r="BO207" s="72">
        <f t="shared" si="61"/>
        <v>142.56</v>
      </c>
    </row>
    <row r="208" spans="1:67" x14ac:dyDescent="0.2">
      <c r="A208" s="511">
        <v>84439959</v>
      </c>
      <c r="B208" s="467" t="s">
        <v>1191</v>
      </c>
      <c r="C208" s="512">
        <f t="shared" si="62"/>
        <v>1121</v>
      </c>
      <c r="D208" s="512">
        <f>SUMIFS(PURCHASE!$K$6:$K$10008,PURCHASE!$A$6:$A$10008,$M$2,PURCHASE!$H$6:$H$10008,$A$4:$A$2700)</f>
        <v>950</v>
      </c>
      <c r="E208" s="512">
        <f>SUMIFS(PURCHASE!$L$6:$L$10008,PURCHASE!$A$6:$A$10008,$M$2,PURCHASE!$H$6:$H$10008,$A$4:$A$2700)</f>
        <v>0</v>
      </c>
      <c r="F208" s="512">
        <f>SUMIFS(PURCHASE!$M$6:$M$10008,PURCHASE!$A$6:$A$10008,$M$2,PURCHASE!$H$6:$H$10008,$A$4:$A$2700)</f>
        <v>85.5</v>
      </c>
      <c r="G208" s="512">
        <f>SUMIFS(PURCHASE!$N$6:$N$10008,PURCHASE!$A$6:$A$10008,$M$2,PURCHASE!$H$6:$H$10008,$A$4:$A$2700)</f>
        <v>85.5</v>
      </c>
      <c r="H208" s="512">
        <f t="shared" si="63"/>
        <v>0</v>
      </c>
      <c r="I208" s="512">
        <f>SUMIFS(PURCHASE!$K$6:$K$10008,PURCHASE!$A$6:$A$10008,$H$2,PURCHASE!$H$6:$H$10008,$A$4:$A$2700)</f>
        <v>0</v>
      </c>
      <c r="J208" s="512">
        <f>SUMIFS(PURCHASE!$L$6:$L$10008,PURCHASE!$A$6:$A$10008,$H$2,PURCHASE!$H$6:$H$10008,$A$4:$A$2700)</f>
        <v>0</v>
      </c>
      <c r="K208" s="512">
        <f>SUMIFS(PURCHASE!$M$6:$M$10008,PURCHASE!$A$6:$A$10008,$H$2,PURCHASE!$H$6:$H$10008,$A$4:$A$2700)</f>
        <v>0</v>
      </c>
      <c r="L208" s="512">
        <f>SUMIFS(PURCHASE!$N$6:$N$10008,PURCHASE!$A$6:$A$10008,$H$2,PURCHASE!$H$6:$H$10008,$A$4:$A$2700)</f>
        <v>0</v>
      </c>
      <c r="M208" s="512">
        <f t="shared" si="64"/>
        <v>1121</v>
      </c>
      <c r="N208" s="512">
        <f>SUMIFS(PURCHASE!$K$6:$K$10008,PURCHASE!$A$6:$A$10008,$M$2,PURCHASE!$H$6:$H$10008,$A$4:$A$2700)</f>
        <v>950</v>
      </c>
      <c r="O208" s="512">
        <f>SUMIFS(PURCHASE!$L$6:$L$10008,PURCHASE!$A$6:$A$10008,$M$2,PURCHASE!$H$6:$H$10008,$A$4:$A$2700)</f>
        <v>0</v>
      </c>
      <c r="P208" s="512">
        <f>SUMIFS(PURCHASE!$M$6:$M$10008,PURCHASE!$A$6:$A$10008,$M$2,PURCHASE!$H$6:$H$10008,$A$4:$A$2700)</f>
        <v>85.5</v>
      </c>
      <c r="Q208" s="512">
        <f>SUMIFS(PURCHASE!$N$6:$N$10008,PURCHASE!$A$6:$A$10008,$M$2,PURCHASE!$H$6:$H$10008,$A$4:$A$2700)</f>
        <v>85.5</v>
      </c>
      <c r="R208" s="512">
        <f t="shared" si="65"/>
        <v>0</v>
      </c>
      <c r="S208" s="512">
        <f>SUMIFS(PURCHASE!$K$6:$K$10008,PURCHASE!$A$6:$A$10008,$R$2,PURCHASE!$H$6:$H$10008,$A$4:$A$2700)</f>
        <v>0</v>
      </c>
      <c r="T208" s="512">
        <f>SUMIFS(PURCHASE!$L$6:$L$10008,PURCHASE!$A$6:$A$10008,$R$2,PURCHASE!$H$6:$H$10008,$A$4:$A$2700)</f>
        <v>0</v>
      </c>
      <c r="U208" s="512">
        <f>SUMIFS(PURCHASE!$M$6:$M$10008,PURCHASE!$A$6:$A$10008,$R$2,PURCHASE!$H$6:$H$10008,$A$4:$A$2700)</f>
        <v>0</v>
      </c>
      <c r="V208" s="512">
        <f>SUMIFS(PURCHASE!$N$6:$N$10008,PURCHASE!$A$6:$A$10008,$R$2,PURCHASE!$H$6:$H$10008,$A$4:$A$2700)</f>
        <v>0</v>
      </c>
      <c r="W208" s="512">
        <f t="shared" si="66"/>
        <v>0</v>
      </c>
      <c r="X208" s="512">
        <f>SUMIFS(PURCHASE!$K$6:$K$10008,PURCHASE!$A$6:$A$10008,$W$2,PURCHASE!$H$6:$H$10008,$A$4:$A$2700)</f>
        <v>0</v>
      </c>
      <c r="Y208" s="512">
        <f>SUMIFS(PURCHASE!$L$6:$L$10008,PURCHASE!$A$6:$A$10008,$W$2,PURCHASE!$H$6:$H$10008,$A$4:$A$2700)</f>
        <v>0</v>
      </c>
      <c r="Z208" s="512">
        <f>SUMIFS(PURCHASE!$M$6:$M$10008,PURCHASE!$A$6:$A$10008,$W$2,PURCHASE!$H$6:$H$10008,$A$4:$A$2700)</f>
        <v>0</v>
      </c>
      <c r="AA208" s="512">
        <f>SUMIFS(PURCHASE!$N$6:$N$10008,PURCHASE!$A$6:$A$10008,$W$2,PURCHASE!$H$6:$H$10008,$A$4:$A$2700)</f>
        <v>0</v>
      </c>
      <c r="AB208" s="512">
        <f t="shared" si="67"/>
        <v>0</v>
      </c>
      <c r="AC208" s="512">
        <f>SUMIFS(PURCHASE!$K$6:$K$10008,PURCHASE!$A$6:$A$10008,$AB$2,PURCHASE!$H$6:$H$10008,$A$4:$A$2700)</f>
        <v>0</v>
      </c>
      <c r="AD208" s="512">
        <f>SUMIFS(PURCHASE!$L$6:$L$10008,PURCHASE!$A$6:$A$10008,$AB$2,PURCHASE!$H$6:$H$10008,$A$4:$A$2700)</f>
        <v>0</v>
      </c>
      <c r="AE208" s="512">
        <f>SUMIFS(PURCHASE!$M$6:$M$10008,PURCHASE!$A$6:$A$10008,$AB$2,PURCHASE!$H$6:$H$10008,$A$4:$A$2700)</f>
        <v>0</v>
      </c>
      <c r="AF208" s="512">
        <f>SUMIFS(PURCHASE!$N$6:$N$10008,PURCHASE!$A$6:$A$10008,$AB$2,PURCHASE!$H$6:$H$10008,$A$4:$A$2700)</f>
        <v>0</v>
      </c>
      <c r="AG208" s="512">
        <f t="shared" si="68"/>
        <v>2006</v>
      </c>
      <c r="AH208" s="512">
        <f>SUMIFS(PURCHASE!$K$6:$K$10008,PURCHASE!$A$6:$A$10008,$AG$2,PURCHASE!$H$6:$H$10008,$A$4:$A$2700)</f>
        <v>1700</v>
      </c>
      <c r="AI208" s="512">
        <f>SUMIFS(PURCHASE!$L$6:$L$10008,PURCHASE!$A$6:$A$10008,$AG$2,PURCHASE!$H$6:$H$10008,$A$4:$A$2700)</f>
        <v>0</v>
      </c>
      <c r="AJ208" s="512">
        <f>SUMIFS(PURCHASE!$M$6:$M$10008,PURCHASE!$A$6:$A$10008,$AG$2,PURCHASE!$H$6:$H$10008,$A$4:$A$2700)</f>
        <v>153</v>
      </c>
      <c r="AK208" s="512">
        <f>SUMIFS(PURCHASE!$N$6:$N$10008,PURCHASE!$A$6:$A$10008,$AG$2,PURCHASE!$H$6:$H$10008,$A$4:$A$2700)</f>
        <v>153</v>
      </c>
      <c r="AL208" s="512">
        <f t="shared" si="69"/>
        <v>1003</v>
      </c>
      <c r="AM208" s="512">
        <f>SUMIFS(PURCHASE!$K$6:$K$10008,PURCHASE!$A$6:$A$10008,$AL$2,PURCHASE!$H$6:$H$10008,$A$4:$A$2700)</f>
        <v>850</v>
      </c>
      <c r="AN208" s="512">
        <f>SUMIFS(PURCHASE!$L$6:$L$10008,PURCHASE!$A$6:$A$10008,$AL$2,PURCHASE!$H$6:$H$10008,$A$4:$A$2700)</f>
        <v>0</v>
      </c>
      <c r="AO208" s="512">
        <f>SUMIFS(PURCHASE!$M$6:$M$10008,PURCHASE!$A$6:$A$10008,$AL$2,PURCHASE!$H$6:$H$10008,$A$4:$A$2700)</f>
        <v>76.5</v>
      </c>
      <c r="AP208" s="512">
        <f>SUMIFS(PURCHASE!$N$6:$N$10008,PURCHASE!$A$6:$A$10008,$AL$2,PURCHASE!$H$6:$H$10008,$A$4:$A$2700)</f>
        <v>76.5</v>
      </c>
      <c r="AQ208" s="512">
        <f t="shared" si="70"/>
        <v>2301</v>
      </c>
      <c r="AR208" s="512">
        <f>SUMIFS(PURCHASE!$K$6:$K$10008,PURCHASE!$A$6:$A$10008,$AQ$2,PURCHASE!$H$6:$H$10008,$A$4:$A$2700)</f>
        <v>1950</v>
      </c>
      <c r="AS208" s="512">
        <f>SUMIFS(PURCHASE!$L$6:$L$10008,PURCHASE!$A$6:$A$10008,$AQ$2,PURCHASE!$H$6:$H$10008,$A$4:$A$2700)</f>
        <v>0</v>
      </c>
      <c r="AT208" s="512">
        <f>SUMIFS(PURCHASE!$M$6:$M$10008,PURCHASE!$A$6:$A$10008,$AQ$2,PURCHASE!$H$6:$H$10008,$A$4:$A$2700)</f>
        <v>175.5</v>
      </c>
      <c r="AU208" s="512">
        <f>SUMIFS(PURCHASE!$N$6:$N$10008,PURCHASE!$A$6:$A$10008,$AQ$2,PURCHASE!$H$6:$H$10008,$A$4:$A$2700)</f>
        <v>175.5</v>
      </c>
      <c r="AV208" s="512">
        <f t="shared" si="71"/>
        <v>0</v>
      </c>
      <c r="AW208" s="512">
        <f>SUMIFS(PURCHASE!$K$6:$K$10008,PURCHASE!$A$6:$A$10008,$AV$2,PURCHASE!$H$6:$H$10008,$A$4:$A$2700)</f>
        <v>0</v>
      </c>
      <c r="AX208" s="512">
        <f>SUMIFS(PURCHASE!$L$6:$L$10008,PURCHASE!$A$6:$A$10008,$AV$2,PURCHASE!$H$6:$H$10008,$A$4:$A$2700)</f>
        <v>0</v>
      </c>
      <c r="AY208" s="512">
        <f>SUMIFS(PURCHASE!$M$6:$M$10008,PURCHASE!$A$6:$A$10008,$AV$2,PURCHASE!$H$6:$H$10008,$A$4:$A$2700)</f>
        <v>0</v>
      </c>
      <c r="AZ208" s="512">
        <f>SUMIFS(PURCHASE!$N$6:$N$10008,PURCHASE!$A$6:$A$10008,$AV$2,PURCHASE!$H$6:$H$10008,$A$4:$A$2700)</f>
        <v>0</v>
      </c>
      <c r="BA208" s="512">
        <f t="shared" si="72"/>
        <v>0</v>
      </c>
      <c r="BB208" s="512">
        <f>SUMIFS(PURCHASE!$K$6:$K$10008,PURCHASE!$A$6:$A$10008,$BA$2,PURCHASE!$H$6:$H$10008,$A$4:$A$2700)</f>
        <v>0</v>
      </c>
      <c r="BC208" s="512">
        <f>SUMIFS(PURCHASE!$L$6:$L$10008,PURCHASE!$A$6:$A$10008,$BA$2,PURCHASE!$H$6:$H$10008,$A$4:$A$2700)</f>
        <v>0</v>
      </c>
      <c r="BD208" s="512">
        <f>SUMIFS(PURCHASE!$M$6:$M$10008,PURCHASE!$A$6:$A$10008,$BA$2,PURCHASE!$H$6:$H$10008,$A$4:$A$2700)</f>
        <v>0</v>
      </c>
      <c r="BE208" s="512">
        <f>SUMIFS(PURCHASE!$N$6:$N$10008,PURCHASE!$A$6:$A$10008,$BA$2,PURCHASE!$H$6:$H$10008,$A$4:$A$2700)</f>
        <v>0</v>
      </c>
      <c r="BF208" s="512">
        <f t="shared" si="73"/>
        <v>0</v>
      </c>
      <c r="BG208" s="512">
        <f>SUMIFS(PURCHASE!$K$6:$K$10008,PURCHASE!$A$6:$A$10008,$BF$2,PURCHASE!$H$6:$H$10008,$A$4:$A$2700)</f>
        <v>0</v>
      </c>
      <c r="BH208" s="512">
        <f>SUMIFS(PURCHASE!$L$6:$L$10008,PURCHASE!$A$6:$A$10008,$BF$2,PURCHASE!$H$6:$H$10008,$A$4:$A$2700)</f>
        <v>0</v>
      </c>
      <c r="BI208" s="512">
        <f>SUMIFS(PURCHASE!$M$6:$M$10008,PURCHASE!$A$6:$A$10008,$BF$2,PURCHASE!$H$6:$H$10008,$A$4:$A$2700)</f>
        <v>0</v>
      </c>
      <c r="BJ208" s="512">
        <f>SUMIFS(PURCHASE!$N$6:$N$10008,PURCHASE!$A$6:$A$10008,$BF$2,PURCHASE!$H$6:$H$10008,$A$4:$A$2700)</f>
        <v>0</v>
      </c>
      <c r="BK208" s="72">
        <f t="shared" si="57"/>
        <v>7552</v>
      </c>
      <c r="BL208" s="72">
        <f t="shared" si="58"/>
        <v>6400</v>
      </c>
      <c r="BM208" s="72">
        <f t="shared" si="59"/>
        <v>0</v>
      </c>
      <c r="BN208" s="72">
        <f t="shared" si="60"/>
        <v>576</v>
      </c>
      <c r="BO208" s="72">
        <f t="shared" si="61"/>
        <v>576</v>
      </c>
    </row>
    <row r="209" spans="1:67" x14ac:dyDescent="0.2">
      <c r="A209" s="511">
        <v>84679900</v>
      </c>
      <c r="B209" s="467" t="s">
        <v>1245</v>
      </c>
      <c r="C209" s="512">
        <f t="shared" si="62"/>
        <v>0</v>
      </c>
      <c r="D209" s="512">
        <f>SUMIFS(PURCHASE!$K$6:$K$10008,PURCHASE!$A$6:$A$10008,$M$2,PURCHASE!$H$6:$H$10008,$A$4:$A$2700)</f>
        <v>0</v>
      </c>
      <c r="E209" s="512">
        <f>SUMIFS(PURCHASE!$L$6:$L$10008,PURCHASE!$A$6:$A$10008,$M$2,PURCHASE!$H$6:$H$10008,$A$4:$A$2700)</f>
        <v>0</v>
      </c>
      <c r="F209" s="512">
        <f>SUMIFS(PURCHASE!$M$6:$M$10008,PURCHASE!$A$6:$A$10008,$M$2,PURCHASE!$H$6:$H$10008,$A$4:$A$2700)</f>
        <v>0</v>
      </c>
      <c r="G209" s="512">
        <f>SUMIFS(PURCHASE!$N$6:$N$10008,PURCHASE!$A$6:$A$10008,$M$2,PURCHASE!$H$6:$H$10008,$A$4:$A$2700)</f>
        <v>0</v>
      </c>
      <c r="H209" s="512">
        <f t="shared" si="63"/>
        <v>0</v>
      </c>
      <c r="I209" s="512">
        <f>SUMIFS(PURCHASE!$K$6:$K$10008,PURCHASE!$A$6:$A$10008,$H$2,PURCHASE!$H$6:$H$10008,$A$4:$A$2700)</f>
        <v>0</v>
      </c>
      <c r="J209" s="512">
        <f>SUMIFS(PURCHASE!$L$6:$L$10008,PURCHASE!$A$6:$A$10008,$H$2,PURCHASE!$H$6:$H$10008,$A$4:$A$2700)</f>
        <v>0</v>
      </c>
      <c r="K209" s="512">
        <f>SUMIFS(PURCHASE!$M$6:$M$10008,PURCHASE!$A$6:$A$10008,$H$2,PURCHASE!$H$6:$H$10008,$A$4:$A$2700)</f>
        <v>0</v>
      </c>
      <c r="L209" s="512">
        <f>SUMIFS(PURCHASE!$N$6:$N$10008,PURCHASE!$A$6:$A$10008,$H$2,PURCHASE!$H$6:$H$10008,$A$4:$A$2700)</f>
        <v>0</v>
      </c>
      <c r="M209" s="512">
        <f t="shared" si="64"/>
        <v>0</v>
      </c>
      <c r="N209" s="512">
        <f>SUMIFS(PURCHASE!$K$6:$K$10008,PURCHASE!$A$6:$A$10008,$M$2,PURCHASE!$H$6:$H$10008,$A$4:$A$2700)</f>
        <v>0</v>
      </c>
      <c r="O209" s="512">
        <f>SUMIFS(PURCHASE!$L$6:$L$10008,PURCHASE!$A$6:$A$10008,$M$2,PURCHASE!$H$6:$H$10008,$A$4:$A$2700)</f>
        <v>0</v>
      </c>
      <c r="P209" s="512">
        <f>SUMIFS(PURCHASE!$M$6:$M$10008,PURCHASE!$A$6:$A$10008,$M$2,PURCHASE!$H$6:$H$10008,$A$4:$A$2700)</f>
        <v>0</v>
      </c>
      <c r="Q209" s="512">
        <f>SUMIFS(PURCHASE!$N$6:$N$10008,PURCHASE!$A$6:$A$10008,$M$2,PURCHASE!$H$6:$H$10008,$A$4:$A$2700)</f>
        <v>0</v>
      </c>
      <c r="R209" s="512">
        <f t="shared" si="65"/>
        <v>0</v>
      </c>
      <c r="S209" s="512">
        <f>SUMIFS(PURCHASE!$K$6:$K$10008,PURCHASE!$A$6:$A$10008,$R$2,PURCHASE!$H$6:$H$10008,$A$4:$A$2700)</f>
        <v>0</v>
      </c>
      <c r="T209" s="512">
        <f>SUMIFS(PURCHASE!$L$6:$L$10008,PURCHASE!$A$6:$A$10008,$R$2,PURCHASE!$H$6:$H$10008,$A$4:$A$2700)</f>
        <v>0</v>
      </c>
      <c r="U209" s="512">
        <f>SUMIFS(PURCHASE!$M$6:$M$10008,PURCHASE!$A$6:$A$10008,$R$2,PURCHASE!$H$6:$H$10008,$A$4:$A$2700)</f>
        <v>0</v>
      </c>
      <c r="V209" s="512">
        <f>SUMIFS(PURCHASE!$N$6:$N$10008,PURCHASE!$A$6:$A$10008,$R$2,PURCHASE!$H$6:$H$10008,$A$4:$A$2700)</f>
        <v>0</v>
      </c>
      <c r="W209" s="512">
        <f t="shared" si="66"/>
        <v>0</v>
      </c>
      <c r="X209" s="512">
        <f>SUMIFS(PURCHASE!$K$6:$K$10008,PURCHASE!$A$6:$A$10008,$W$2,PURCHASE!$H$6:$H$10008,$A$4:$A$2700)</f>
        <v>0</v>
      </c>
      <c r="Y209" s="512">
        <f>SUMIFS(PURCHASE!$L$6:$L$10008,PURCHASE!$A$6:$A$10008,$W$2,PURCHASE!$H$6:$H$10008,$A$4:$A$2700)</f>
        <v>0</v>
      </c>
      <c r="Z209" s="512">
        <f>SUMIFS(PURCHASE!$M$6:$M$10008,PURCHASE!$A$6:$A$10008,$W$2,PURCHASE!$H$6:$H$10008,$A$4:$A$2700)</f>
        <v>0</v>
      </c>
      <c r="AA209" s="512">
        <f>SUMIFS(PURCHASE!$N$6:$N$10008,PURCHASE!$A$6:$A$10008,$W$2,PURCHASE!$H$6:$H$10008,$A$4:$A$2700)</f>
        <v>0</v>
      </c>
      <c r="AB209" s="512">
        <f t="shared" si="67"/>
        <v>0</v>
      </c>
      <c r="AC209" s="512">
        <f>SUMIFS(PURCHASE!$K$6:$K$10008,PURCHASE!$A$6:$A$10008,$AB$2,PURCHASE!$H$6:$H$10008,$A$4:$A$2700)</f>
        <v>0</v>
      </c>
      <c r="AD209" s="512">
        <f>SUMIFS(PURCHASE!$L$6:$L$10008,PURCHASE!$A$6:$A$10008,$AB$2,PURCHASE!$H$6:$H$10008,$A$4:$A$2700)</f>
        <v>0</v>
      </c>
      <c r="AE209" s="512">
        <f>SUMIFS(PURCHASE!$M$6:$M$10008,PURCHASE!$A$6:$A$10008,$AB$2,PURCHASE!$H$6:$H$10008,$A$4:$A$2700)</f>
        <v>0</v>
      </c>
      <c r="AF209" s="512">
        <f>SUMIFS(PURCHASE!$N$6:$N$10008,PURCHASE!$A$6:$A$10008,$AB$2,PURCHASE!$H$6:$H$10008,$A$4:$A$2700)</f>
        <v>0</v>
      </c>
      <c r="AG209" s="512">
        <f t="shared" si="68"/>
        <v>0</v>
      </c>
      <c r="AH209" s="512">
        <f>SUMIFS(PURCHASE!$K$6:$K$10008,PURCHASE!$A$6:$A$10008,$AG$2,PURCHASE!$H$6:$H$10008,$A$4:$A$2700)</f>
        <v>0</v>
      </c>
      <c r="AI209" s="512">
        <f>SUMIFS(PURCHASE!$L$6:$L$10008,PURCHASE!$A$6:$A$10008,$AG$2,PURCHASE!$H$6:$H$10008,$A$4:$A$2700)</f>
        <v>0</v>
      </c>
      <c r="AJ209" s="512">
        <f>SUMIFS(PURCHASE!$M$6:$M$10008,PURCHASE!$A$6:$A$10008,$AG$2,PURCHASE!$H$6:$H$10008,$A$4:$A$2700)</f>
        <v>0</v>
      </c>
      <c r="AK209" s="512">
        <f>SUMIFS(PURCHASE!$N$6:$N$10008,PURCHASE!$A$6:$A$10008,$AG$2,PURCHASE!$H$6:$H$10008,$A$4:$A$2700)</f>
        <v>0</v>
      </c>
      <c r="AL209" s="512">
        <f t="shared" si="69"/>
        <v>0</v>
      </c>
      <c r="AM209" s="512">
        <f>SUMIFS(PURCHASE!$K$6:$K$10008,PURCHASE!$A$6:$A$10008,$AL$2,PURCHASE!$H$6:$H$10008,$A$4:$A$2700)</f>
        <v>0</v>
      </c>
      <c r="AN209" s="512">
        <f>SUMIFS(PURCHASE!$L$6:$L$10008,PURCHASE!$A$6:$A$10008,$AL$2,PURCHASE!$H$6:$H$10008,$A$4:$A$2700)</f>
        <v>0</v>
      </c>
      <c r="AO209" s="512">
        <f>SUMIFS(PURCHASE!$M$6:$M$10008,PURCHASE!$A$6:$A$10008,$AL$2,PURCHASE!$H$6:$H$10008,$A$4:$A$2700)</f>
        <v>0</v>
      </c>
      <c r="AP209" s="512">
        <f>SUMIFS(PURCHASE!$N$6:$N$10008,PURCHASE!$A$6:$A$10008,$AL$2,PURCHASE!$H$6:$H$10008,$A$4:$A$2700)</f>
        <v>0</v>
      </c>
      <c r="AQ209" s="512">
        <f t="shared" si="70"/>
        <v>0</v>
      </c>
      <c r="AR209" s="512">
        <f>SUMIFS(PURCHASE!$K$6:$K$10008,PURCHASE!$A$6:$A$10008,$AQ$2,PURCHASE!$H$6:$H$10008,$A$4:$A$2700)</f>
        <v>0</v>
      </c>
      <c r="AS209" s="512">
        <f>SUMIFS(PURCHASE!$L$6:$L$10008,PURCHASE!$A$6:$A$10008,$AQ$2,PURCHASE!$H$6:$H$10008,$A$4:$A$2700)</f>
        <v>0</v>
      </c>
      <c r="AT209" s="512">
        <f>SUMIFS(PURCHASE!$M$6:$M$10008,PURCHASE!$A$6:$A$10008,$AQ$2,PURCHASE!$H$6:$H$10008,$A$4:$A$2700)</f>
        <v>0</v>
      </c>
      <c r="AU209" s="512">
        <f>SUMIFS(PURCHASE!$N$6:$N$10008,PURCHASE!$A$6:$A$10008,$AQ$2,PURCHASE!$H$6:$H$10008,$A$4:$A$2700)</f>
        <v>0</v>
      </c>
      <c r="AV209" s="512">
        <f t="shared" si="71"/>
        <v>0</v>
      </c>
      <c r="AW209" s="512">
        <f>SUMIFS(PURCHASE!$K$6:$K$10008,PURCHASE!$A$6:$A$10008,$AV$2,PURCHASE!$H$6:$H$10008,$A$4:$A$2700)</f>
        <v>0</v>
      </c>
      <c r="AX209" s="512">
        <f>SUMIFS(PURCHASE!$L$6:$L$10008,PURCHASE!$A$6:$A$10008,$AV$2,PURCHASE!$H$6:$H$10008,$A$4:$A$2700)</f>
        <v>0</v>
      </c>
      <c r="AY209" s="512">
        <f>SUMIFS(PURCHASE!$M$6:$M$10008,PURCHASE!$A$6:$A$10008,$AV$2,PURCHASE!$H$6:$H$10008,$A$4:$A$2700)</f>
        <v>0</v>
      </c>
      <c r="AZ209" s="512">
        <f>SUMIFS(PURCHASE!$N$6:$N$10008,PURCHASE!$A$6:$A$10008,$AV$2,PURCHASE!$H$6:$H$10008,$A$4:$A$2700)</f>
        <v>0</v>
      </c>
      <c r="BA209" s="512">
        <f t="shared" si="72"/>
        <v>0</v>
      </c>
      <c r="BB209" s="512">
        <f>SUMIFS(PURCHASE!$K$6:$K$10008,PURCHASE!$A$6:$A$10008,$BA$2,PURCHASE!$H$6:$H$10008,$A$4:$A$2700)</f>
        <v>0</v>
      </c>
      <c r="BC209" s="512">
        <f>SUMIFS(PURCHASE!$L$6:$L$10008,PURCHASE!$A$6:$A$10008,$BA$2,PURCHASE!$H$6:$H$10008,$A$4:$A$2700)</f>
        <v>0</v>
      </c>
      <c r="BD209" s="512">
        <f>SUMIFS(PURCHASE!$M$6:$M$10008,PURCHASE!$A$6:$A$10008,$BA$2,PURCHASE!$H$6:$H$10008,$A$4:$A$2700)</f>
        <v>0</v>
      </c>
      <c r="BE209" s="512">
        <f>SUMIFS(PURCHASE!$N$6:$N$10008,PURCHASE!$A$6:$A$10008,$BA$2,PURCHASE!$H$6:$H$10008,$A$4:$A$2700)</f>
        <v>0</v>
      </c>
      <c r="BF209" s="512">
        <f t="shared" si="73"/>
        <v>0</v>
      </c>
      <c r="BG209" s="512">
        <f>SUMIFS(PURCHASE!$K$6:$K$10008,PURCHASE!$A$6:$A$10008,$BF$2,PURCHASE!$H$6:$H$10008,$A$4:$A$2700)</f>
        <v>0</v>
      </c>
      <c r="BH209" s="512">
        <f>SUMIFS(PURCHASE!$L$6:$L$10008,PURCHASE!$A$6:$A$10008,$BF$2,PURCHASE!$H$6:$H$10008,$A$4:$A$2700)</f>
        <v>0</v>
      </c>
      <c r="BI209" s="512">
        <f>SUMIFS(PURCHASE!$M$6:$M$10008,PURCHASE!$A$6:$A$10008,$BF$2,PURCHASE!$H$6:$H$10008,$A$4:$A$2700)</f>
        <v>0</v>
      </c>
      <c r="BJ209" s="512">
        <f>SUMIFS(PURCHASE!$N$6:$N$10008,PURCHASE!$A$6:$A$10008,$BF$2,PURCHASE!$H$6:$H$10008,$A$4:$A$2700)</f>
        <v>0</v>
      </c>
      <c r="BK209" s="72">
        <f t="shared" si="57"/>
        <v>0</v>
      </c>
      <c r="BL209" s="72">
        <f t="shared" si="58"/>
        <v>0</v>
      </c>
      <c r="BM209" s="72">
        <f t="shared" si="59"/>
        <v>0</v>
      </c>
      <c r="BN209" s="72">
        <f t="shared" si="60"/>
        <v>0</v>
      </c>
      <c r="BO209" s="72">
        <f t="shared" si="61"/>
        <v>0</v>
      </c>
    </row>
    <row r="210" spans="1:67" x14ac:dyDescent="0.2">
      <c r="A210" s="511">
        <v>84701000</v>
      </c>
      <c r="B210" s="467" t="s">
        <v>1338</v>
      </c>
      <c r="C210" s="512">
        <f t="shared" si="62"/>
        <v>0</v>
      </c>
      <c r="D210" s="512">
        <f>SUMIFS(PURCHASE!$K$6:$K$10008,PURCHASE!$A$6:$A$10008,$M$2,PURCHASE!$H$6:$H$10008,$A$4:$A$2700)</f>
        <v>0</v>
      </c>
      <c r="E210" s="512">
        <f>SUMIFS(PURCHASE!$L$6:$L$10008,PURCHASE!$A$6:$A$10008,$M$2,PURCHASE!$H$6:$H$10008,$A$4:$A$2700)</f>
        <v>0</v>
      </c>
      <c r="F210" s="512">
        <f>SUMIFS(PURCHASE!$M$6:$M$10008,PURCHASE!$A$6:$A$10008,$M$2,PURCHASE!$H$6:$H$10008,$A$4:$A$2700)</f>
        <v>0</v>
      </c>
      <c r="G210" s="512">
        <f>SUMIFS(PURCHASE!$N$6:$N$10008,PURCHASE!$A$6:$A$10008,$M$2,PURCHASE!$H$6:$H$10008,$A$4:$A$2700)</f>
        <v>0</v>
      </c>
      <c r="H210" s="512">
        <f t="shared" si="63"/>
        <v>377.6</v>
      </c>
      <c r="I210" s="512">
        <f>SUMIFS(PURCHASE!$K$6:$K$10008,PURCHASE!$A$6:$A$10008,$H$2,PURCHASE!$H$6:$H$10008,$A$4:$A$2700)</f>
        <v>320</v>
      </c>
      <c r="J210" s="512">
        <f>SUMIFS(PURCHASE!$L$6:$L$10008,PURCHASE!$A$6:$A$10008,$H$2,PURCHASE!$H$6:$H$10008,$A$4:$A$2700)</f>
        <v>0</v>
      </c>
      <c r="K210" s="512">
        <f>SUMIFS(PURCHASE!$M$6:$M$10008,PURCHASE!$A$6:$A$10008,$H$2,PURCHASE!$H$6:$H$10008,$A$4:$A$2700)</f>
        <v>28.8</v>
      </c>
      <c r="L210" s="512">
        <f>SUMIFS(PURCHASE!$N$6:$N$10008,PURCHASE!$A$6:$A$10008,$H$2,PURCHASE!$H$6:$H$10008,$A$4:$A$2700)</f>
        <v>28.8</v>
      </c>
      <c r="M210" s="512">
        <f t="shared" si="64"/>
        <v>0</v>
      </c>
      <c r="N210" s="512">
        <f>SUMIFS(PURCHASE!$K$6:$K$10008,PURCHASE!$A$6:$A$10008,$M$2,PURCHASE!$H$6:$H$10008,$A$4:$A$2700)</f>
        <v>0</v>
      </c>
      <c r="O210" s="512">
        <f>SUMIFS(PURCHASE!$L$6:$L$10008,PURCHASE!$A$6:$A$10008,$M$2,PURCHASE!$H$6:$H$10008,$A$4:$A$2700)</f>
        <v>0</v>
      </c>
      <c r="P210" s="512">
        <f>SUMIFS(PURCHASE!$M$6:$M$10008,PURCHASE!$A$6:$A$10008,$M$2,PURCHASE!$H$6:$H$10008,$A$4:$A$2700)</f>
        <v>0</v>
      </c>
      <c r="Q210" s="512">
        <f>SUMIFS(PURCHASE!$N$6:$N$10008,PURCHASE!$A$6:$A$10008,$M$2,PURCHASE!$H$6:$H$10008,$A$4:$A$2700)</f>
        <v>0</v>
      </c>
      <c r="R210" s="512">
        <f t="shared" si="65"/>
        <v>0</v>
      </c>
      <c r="S210" s="512">
        <f>SUMIFS(PURCHASE!$K$6:$K$10008,PURCHASE!$A$6:$A$10008,$R$2,PURCHASE!$H$6:$H$10008,$A$4:$A$2700)</f>
        <v>0</v>
      </c>
      <c r="T210" s="512">
        <f>SUMIFS(PURCHASE!$L$6:$L$10008,PURCHASE!$A$6:$A$10008,$R$2,PURCHASE!$H$6:$H$10008,$A$4:$A$2700)</f>
        <v>0</v>
      </c>
      <c r="U210" s="512">
        <f>SUMIFS(PURCHASE!$M$6:$M$10008,PURCHASE!$A$6:$A$10008,$R$2,PURCHASE!$H$6:$H$10008,$A$4:$A$2700)</f>
        <v>0</v>
      </c>
      <c r="V210" s="512">
        <f>SUMIFS(PURCHASE!$N$6:$N$10008,PURCHASE!$A$6:$A$10008,$R$2,PURCHASE!$H$6:$H$10008,$A$4:$A$2700)</f>
        <v>0</v>
      </c>
      <c r="W210" s="512">
        <f t="shared" si="66"/>
        <v>377.6</v>
      </c>
      <c r="X210" s="512">
        <f>SUMIFS(PURCHASE!$K$6:$K$10008,PURCHASE!$A$6:$A$10008,$W$2,PURCHASE!$H$6:$H$10008,$A$4:$A$2700)</f>
        <v>320</v>
      </c>
      <c r="Y210" s="512">
        <f>SUMIFS(PURCHASE!$L$6:$L$10008,PURCHASE!$A$6:$A$10008,$W$2,PURCHASE!$H$6:$H$10008,$A$4:$A$2700)</f>
        <v>0</v>
      </c>
      <c r="Z210" s="512">
        <f>SUMIFS(PURCHASE!$M$6:$M$10008,PURCHASE!$A$6:$A$10008,$W$2,PURCHASE!$H$6:$H$10008,$A$4:$A$2700)</f>
        <v>28.8</v>
      </c>
      <c r="AA210" s="512">
        <f>SUMIFS(PURCHASE!$N$6:$N$10008,PURCHASE!$A$6:$A$10008,$W$2,PURCHASE!$H$6:$H$10008,$A$4:$A$2700)</f>
        <v>28.8</v>
      </c>
      <c r="AB210" s="512">
        <f t="shared" si="67"/>
        <v>0</v>
      </c>
      <c r="AC210" s="512">
        <f>SUMIFS(PURCHASE!$K$6:$K$10008,PURCHASE!$A$6:$A$10008,$AB$2,PURCHASE!$H$6:$H$10008,$A$4:$A$2700)</f>
        <v>0</v>
      </c>
      <c r="AD210" s="512">
        <f>SUMIFS(PURCHASE!$L$6:$L$10008,PURCHASE!$A$6:$A$10008,$AB$2,PURCHASE!$H$6:$H$10008,$A$4:$A$2700)</f>
        <v>0</v>
      </c>
      <c r="AE210" s="512">
        <f>SUMIFS(PURCHASE!$M$6:$M$10008,PURCHASE!$A$6:$A$10008,$AB$2,PURCHASE!$H$6:$H$10008,$A$4:$A$2700)</f>
        <v>0</v>
      </c>
      <c r="AF210" s="512">
        <f>SUMIFS(PURCHASE!$N$6:$N$10008,PURCHASE!$A$6:$A$10008,$AB$2,PURCHASE!$H$6:$H$10008,$A$4:$A$2700)</f>
        <v>0</v>
      </c>
      <c r="AG210" s="512">
        <f t="shared" si="68"/>
        <v>0</v>
      </c>
      <c r="AH210" s="512">
        <f>SUMIFS(PURCHASE!$K$6:$K$10008,PURCHASE!$A$6:$A$10008,$AG$2,PURCHASE!$H$6:$H$10008,$A$4:$A$2700)</f>
        <v>0</v>
      </c>
      <c r="AI210" s="512">
        <f>SUMIFS(PURCHASE!$L$6:$L$10008,PURCHASE!$A$6:$A$10008,$AG$2,PURCHASE!$H$6:$H$10008,$A$4:$A$2700)</f>
        <v>0</v>
      </c>
      <c r="AJ210" s="512">
        <f>SUMIFS(PURCHASE!$M$6:$M$10008,PURCHASE!$A$6:$A$10008,$AG$2,PURCHASE!$H$6:$H$10008,$A$4:$A$2700)</f>
        <v>0</v>
      </c>
      <c r="AK210" s="512">
        <f>SUMIFS(PURCHASE!$N$6:$N$10008,PURCHASE!$A$6:$A$10008,$AG$2,PURCHASE!$H$6:$H$10008,$A$4:$A$2700)</f>
        <v>0</v>
      </c>
      <c r="AL210" s="512">
        <f t="shared" si="69"/>
        <v>0</v>
      </c>
      <c r="AM210" s="512">
        <f>SUMIFS(PURCHASE!$K$6:$K$10008,PURCHASE!$A$6:$A$10008,$AL$2,PURCHASE!$H$6:$H$10008,$A$4:$A$2700)</f>
        <v>0</v>
      </c>
      <c r="AN210" s="512">
        <f>SUMIFS(PURCHASE!$L$6:$L$10008,PURCHASE!$A$6:$A$10008,$AL$2,PURCHASE!$H$6:$H$10008,$A$4:$A$2700)</f>
        <v>0</v>
      </c>
      <c r="AO210" s="512">
        <f>SUMIFS(PURCHASE!$M$6:$M$10008,PURCHASE!$A$6:$A$10008,$AL$2,PURCHASE!$H$6:$H$10008,$A$4:$A$2700)</f>
        <v>0</v>
      </c>
      <c r="AP210" s="512">
        <f>SUMIFS(PURCHASE!$N$6:$N$10008,PURCHASE!$A$6:$A$10008,$AL$2,PURCHASE!$H$6:$H$10008,$A$4:$A$2700)</f>
        <v>0</v>
      </c>
      <c r="AQ210" s="512">
        <f t="shared" si="70"/>
        <v>0</v>
      </c>
      <c r="AR210" s="512">
        <f>SUMIFS(PURCHASE!$K$6:$K$10008,PURCHASE!$A$6:$A$10008,$AQ$2,PURCHASE!$H$6:$H$10008,$A$4:$A$2700)</f>
        <v>0</v>
      </c>
      <c r="AS210" s="512">
        <f>SUMIFS(PURCHASE!$L$6:$L$10008,PURCHASE!$A$6:$A$10008,$AQ$2,PURCHASE!$H$6:$H$10008,$A$4:$A$2700)</f>
        <v>0</v>
      </c>
      <c r="AT210" s="512">
        <f>SUMIFS(PURCHASE!$M$6:$M$10008,PURCHASE!$A$6:$A$10008,$AQ$2,PURCHASE!$H$6:$H$10008,$A$4:$A$2700)</f>
        <v>0</v>
      </c>
      <c r="AU210" s="512">
        <f>SUMIFS(PURCHASE!$N$6:$N$10008,PURCHASE!$A$6:$A$10008,$AQ$2,PURCHASE!$H$6:$H$10008,$A$4:$A$2700)</f>
        <v>0</v>
      </c>
      <c r="AV210" s="512">
        <f t="shared" si="71"/>
        <v>0</v>
      </c>
      <c r="AW210" s="512">
        <f>SUMIFS(PURCHASE!$K$6:$K$10008,PURCHASE!$A$6:$A$10008,$AV$2,PURCHASE!$H$6:$H$10008,$A$4:$A$2700)</f>
        <v>0</v>
      </c>
      <c r="AX210" s="512">
        <f>SUMIFS(PURCHASE!$L$6:$L$10008,PURCHASE!$A$6:$A$10008,$AV$2,PURCHASE!$H$6:$H$10008,$A$4:$A$2700)</f>
        <v>0</v>
      </c>
      <c r="AY210" s="512">
        <f>SUMIFS(PURCHASE!$M$6:$M$10008,PURCHASE!$A$6:$A$10008,$AV$2,PURCHASE!$H$6:$H$10008,$A$4:$A$2700)</f>
        <v>0</v>
      </c>
      <c r="AZ210" s="512">
        <f>SUMIFS(PURCHASE!$N$6:$N$10008,PURCHASE!$A$6:$A$10008,$AV$2,PURCHASE!$H$6:$H$10008,$A$4:$A$2700)</f>
        <v>0</v>
      </c>
      <c r="BA210" s="512">
        <f t="shared" si="72"/>
        <v>0</v>
      </c>
      <c r="BB210" s="512">
        <f>SUMIFS(PURCHASE!$K$6:$K$10008,PURCHASE!$A$6:$A$10008,$BA$2,PURCHASE!$H$6:$H$10008,$A$4:$A$2700)</f>
        <v>0</v>
      </c>
      <c r="BC210" s="512">
        <f>SUMIFS(PURCHASE!$L$6:$L$10008,PURCHASE!$A$6:$A$10008,$BA$2,PURCHASE!$H$6:$H$10008,$A$4:$A$2700)</f>
        <v>0</v>
      </c>
      <c r="BD210" s="512">
        <f>SUMIFS(PURCHASE!$M$6:$M$10008,PURCHASE!$A$6:$A$10008,$BA$2,PURCHASE!$H$6:$H$10008,$A$4:$A$2700)</f>
        <v>0</v>
      </c>
      <c r="BE210" s="512">
        <f>SUMIFS(PURCHASE!$N$6:$N$10008,PURCHASE!$A$6:$A$10008,$BA$2,PURCHASE!$H$6:$H$10008,$A$4:$A$2700)</f>
        <v>0</v>
      </c>
      <c r="BF210" s="512">
        <f t="shared" si="73"/>
        <v>0</v>
      </c>
      <c r="BG210" s="512">
        <f>SUMIFS(PURCHASE!$K$6:$K$10008,PURCHASE!$A$6:$A$10008,$BF$2,PURCHASE!$H$6:$H$10008,$A$4:$A$2700)</f>
        <v>0</v>
      </c>
      <c r="BH210" s="512">
        <f>SUMIFS(PURCHASE!$L$6:$L$10008,PURCHASE!$A$6:$A$10008,$BF$2,PURCHASE!$H$6:$H$10008,$A$4:$A$2700)</f>
        <v>0</v>
      </c>
      <c r="BI210" s="512">
        <f>SUMIFS(PURCHASE!$M$6:$M$10008,PURCHASE!$A$6:$A$10008,$BF$2,PURCHASE!$H$6:$H$10008,$A$4:$A$2700)</f>
        <v>0</v>
      </c>
      <c r="BJ210" s="512">
        <f>SUMIFS(PURCHASE!$N$6:$N$10008,PURCHASE!$A$6:$A$10008,$BF$2,PURCHASE!$H$6:$H$10008,$A$4:$A$2700)</f>
        <v>0</v>
      </c>
      <c r="BK210" s="72">
        <f t="shared" si="57"/>
        <v>755.2</v>
      </c>
      <c r="BL210" s="72">
        <f t="shared" si="58"/>
        <v>640</v>
      </c>
      <c r="BM210" s="72">
        <f t="shared" si="59"/>
        <v>0</v>
      </c>
      <c r="BN210" s="72">
        <f t="shared" si="60"/>
        <v>57.6</v>
      </c>
      <c r="BO210" s="72">
        <f t="shared" si="61"/>
        <v>57.6</v>
      </c>
    </row>
    <row r="211" spans="1:67" x14ac:dyDescent="0.2">
      <c r="A211" s="511">
        <v>84716090</v>
      </c>
      <c r="B211" s="467" t="s">
        <v>1270</v>
      </c>
      <c r="C211" s="512">
        <f t="shared" si="62"/>
        <v>0</v>
      </c>
      <c r="D211" s="512">
        <f>SUMIFS(PURCHASE!$K$6:$K$10008,PURCHASE!$A$6:$A$10008,$M$2,PURCHASE!$H$6:$H$10008,$A$4:$A$2700)</f>
        <v>0</v>
      </c>
      <c r="E211" s="512">
        <f>SUMIFS(PURCHASE!$L$6:$L$10008,PURCHASE!$A$6:$A$10008,$M$2,PURCHASE!$H$6:$H$10008,$A$4:$A$2700)</f>
        <v>0</v>
      </c>
      <c r="F211" s="512">
        <f>SUMIFS(PURCHASE!$M$6:$M$10008,PURCHASE!$A$6:$A$10008,$M$2,PURCHASE!$H$6:$H$10008,$A$4:$A$2700)</f>
        <v>0</v>
      </c>
      <c r="G211" s="512">
        <f>SUMIFS(PURCHASE!$N$6:$N$10008,PURCHASE!$A$6:$A$10008,$M$2,PURCHASE!$H$6:$H$10008,$A$4:$A$2700)</f>
        <v>0</v>
      </c>
      <c r="H211" s="512">
        <f t="shared" si="63"/>
        <v>0</v>
      </c>
      <c r="I211" s="512">
        <f>SUMIFS(PURCHASE!$K$6:$K$10008,PURCHASE!$A$6:$A$10008,$H$2,PURCHASE!$H$6:$H$10008,$A$4:$A$2700)</f>
        <v>0</v>
      </c>
      <c r="J211" s="512">
        <f>SUMIFS(PURCHASE!$L$6:$L$10008,PURCHASE!$A$6:$A$10008,$H$2,PURCHASE!$H$6:$H$10008,$A$4:$A$2700)</f>
        <v>0</v>
      </c>
      <c r="K211" s="512">
        <f>SUMIFS(PURCHASE!$M$6:$M$10008,PURCHASE!$A$6:$A$10008,$H$2,PURCHASE!$H$6:$H$10008,$A$4:$A$2700)</f>
        <v>0</v>
      </c>
      <c r="L211" s="512">
        <f>SUMIFS(PURCHASE!$N$6:$N$10008,PURCHASE!$A$6:$A$10008,$H$2,PURCHASE!$H$6:$H$10008,$A$4:$A$2700)</f>
        <v>0</v>
      </c>
      <c r="M211" s="512">
        <f t="shared" si="64"/>
        <v>0</v>
      </c>
      <c r="N211" s="512">
        <f>SUMIFS(PURCHASE!$K$6:$K$10008,PURCHASE!$A$6:$A$10008,$M$2,PURCHASE!$H$6:$H$10008,$A$4:$A$2700)</f>
        <v>0</v>
      </c>
      <c r="O211" s="512">
        <f>SUMIFS(PURCHASE!$L$6:$L$10008,PURCHASE!$A$6:$A$10008,$M$2,PURCHASE!$H$6:$H$10008,$A$4:$A$2700)</f>
        <v>0</v>
      </c>
      <c r="P211" s="512">
        <f>SUMIFS(PURCHASE!$M$6:$M$10008,PURCHASE!$A$6:$A$10008,$M$2,PURCHASE!$H$6:$H$10008,$A$4:$A$2700)</f>
        <v>0</v>
      </c>
      <c r="Q211" s="512">
        <f>SUMIFS(PURCHASE!$N$6:$N$10008,PURCHASE!$A$6:$A$10008,$M$2,PURCHASE!$H$6:$H$10008,$A$4:$A$2700)</f>
        <v>0</v>
      </c>
      <c r="R211" s="512">
        <f t="shared" si="65"/>
        <v>0</v>
      </c>
      <c r="S211" s="512">
        <f>SUMIFS(PURCHASE!$K$6:$K$10008,PURCHASE!$A$6:$A$10008,$R$2,PURCHASE!$H$6:$H$10008,$A$4:$A$2700)</f>
        <v>0</v>
      </c>
      <c r="T211" s="512">
        <f>SUMIFS(PURCHASE!$L$6:$L$10008,PURCHASE!$A$6:$A$10008,$R$2,PURCHASE!$H$6:$H$10008,$A$4:$A$2700)</f>
        <v>0</v>
      </c>
      <c r="U211" s="512">
        <f>SUMIFS(PURCHASE!$M$6:$M$10008,PURCHASE!$A$6:$A$10008,$R$2,PURCHASE!$H$6:$H$10008,$A$4:$A$2700)</f>
        <v>0</v>
      </c>
      <c r="V211" s="512">
        <f>SUMIFS(PURCHASE!$N$6:$N$10008,PURCHASE!$A$6:$A$10008,$R$2,PURCHASE!$H$6:$H$10008,$A$4:$A$2700)</f>
        <v>0</v>
      </c>
      <c r="W211" s="512">
        <f t="shared" si="66"/>
        <v>0</v>
      </c>
      <c r="X211" s="512">
        <f>SUMIFS(PURCHASE!$K$6:$K$10008,PURCHASE!$A$6:$A$10008,$W$2,PURCHASE!$H$6:$H$10008,$A$4:$A$2700)</f>
        <v>0</v>
      </c>
      <c r="Y211" s="512">
        <f>SUMIFS(PURCHASE!$L$6:$L$10008,PURCHASE!$A$6:$A$10008,$W$2,PURCHASE!$H$6:$H$10008,$A$4:$A$2700)</f>
        <v>0</v>
      </c>
      <c r="Z211" s="512">
        <f>SUMIFS(PURCHASE!$M$6:$M$10008,PURCHASE!$A$6:$A$10008,$W$2,PURCHASE!$H$6:$H$10008,$A$4:$A$2700)</f>
        <v>0</v>
      </c>
      <c r="AA211" s="512">
        <f>SUMIFS(PURCHASE!$N$6:$N$10008,PURCHASE!$A$6:$A$10008,$W$2,PURCHASE!$H$6:$H$10008,$A$4:$A$2700)</f>
        <v>0</v>
      </c>
      <c r="AB211" s="512">
        <f t="shared" si="67"/>
        <v>0</v>
      </c>
      <c r="AC211" s="512">
        <f>SUMIFS(PURCHASE!$K$6:$K$10008,PURCHASE!$A$6:$A$10008,$AB$2,PURCHASE!$H$6:$H$10008,$A$4:$A$2700)</f>
        <v>0</v>
      </c>
      <c r="AD211" s="512">
        <f>SUMIFS(PURCHASE!$L$6:$L$10008,PURCHASE!$A$6:$A$10008,$AB$2,PURCHASE!$H$6:$H$10008,$A$4:$A$2700)</f>
        <v>0</v>
      </c>
      <c r="AE211" s="512">
        <f>SUMIFS(PURCHASE!$M$6:$M$10008,PURCHASE!$A$6:$A$10008,$AB$2,PURCHASE!$H$6:$H$10008,$A$4:$A$2700)</f>
        <v>0</v>
      </c>
      <c r="AF211" s="512">
        <f>SUMIFS(PURCHASE!$N$6:$N$10008,PURCHASE!$A$6:$A$10008,$AB$2,PURCHASE!$H$6:$H$10008,$A$4:$A$2700)</f>
        <v>0</v>
      </c>
      <c r="AG211" s="512">
        <f t="shared" si="68"/>
        <v>0</v>
      </c>
      <c r="AH211" s="512">
        <f>SUMIFS(PURCHASE!$K$6:$K$10008,PURCHASE!$A$6:$A$10008,$AG$2,PURCHASE!$H$6:$H$10008,$A$4:$A$2700)</f>
        <v>0</v>
      </c>
      <c r="AI211" s="512">
        <f>SUMIFS(PURCHASE!$L$6:$L$10008,PURCHASE!$A$6:$A$10008,$AG$2,PURCHASE!$H$6:$H$10008,$A$4:$A$2700)</f>
        <v>0</v>
      </c>
      <c r="AJ211" s="512">
        <f>SUMIFS(PURCHASE!$M$6:$M$10008,PURCHASE!$A$6:$A$10008,$AG$2,PURCHASE!$H$6:$H$10008,$A$4:$A$2700)</f>
        <v>0</v>
      </c>
      <c r="AK211" s="512">
        <f>SUMIFS(PURCHASE!$N$6:$N$10008,PURCHASE!$A$6:$A$10008,$AG$2,PURCHASE!$H$6:$H$10008,$A$4:$A$2700)</f>
        <v>0</v>
      </c>
      <c r="AL211" s="512">
        <f t="shared" si="69"/>
        <v>0</v>
      </c>
      <c r="AM211" s="512">
        <f>SUMIFS(PURCHASE!$K$6:$K$10008,PURCHASE!$A$6:$A$10008,$AL$2,PURCHASE!$H$6:$H$10008,$A$4:$A$2700)</f>
        <v>0</v>
      </c>
      <c r="AN211" s="512">
        <f>SUMIFS(PURCHASE!$L$6:$L$10008,PURCHASE!$A$6:$A$10008,$AL$2,PURCHASE!$H$6:$H$10008,$A$4:$A$2700)</f>
        <v>0</v>
      </c>
      <c r="AO211" s="512">
        <f>SUMIFS(PURCHASE!$M$6:$M$10008,PURCHASE!$A$6:$A$10008,$AL$2,PURCHASE!$H$6:$H$10008,$A$4:$A$2700)</f>
        <v>0</v>
      </c>
      <c r="AP211" s="512">
        <f>SUMIFS(PURCHASE!$N$6:$N$10008,PURCHASE!$A$6:$A$10008,$AL$2,PURCHASE!$H$6:$H$10008,$A$4:$A$2700)</f>
        <v>0</v>
      </c>
      <c r="AQ211" s="512">
        <f t="shared" si="70"/>
        <v>0</v>
      </c>
      <c r="AR211" s="512">
        <f>SUMIFS(PURCHASE!$K$6:$K$10008,PURCHASE!$A$6:$A$10008,$AQ$2,PURCHASE!$H$6:$H$10008,$A$4:$A$2700)</f>
        <v>0</v>
      </c>
      <c r="AS211" s="512">
        <f>SUMIFS(PURCHASE!$L$6:$L$10008,PURCHASE!$A$6:$A$10008,$AQ$2,PURCHASE!$H$6:$H$10008,$A$4:$A$2700)</f>
        <v>0</v>
      </c>
      <c r="AT211" s="512">
        <f>SUMIFS(PURCHASE!$M$6:$M$10008,PURCHASE!$A$6:$A$10008,$AQ$2,PURCHASE!$H$6:$H$10008,$A$4:$A$2700)</f>
        <v>0</v>
      </c>
      <c r="AU211" s="512">
        <f>SUMIFS(PURCHASE!$N$6:$N$10008,PURCHASE!$A$6:$A$10008,$AQ$2,PURCHASE!$H$6:$H$10008,$A$4:$A$2700)</f>
        <v>0</v>
      </c>
      <c r="AV211" s="512">
        <f t="shared" si="71"/>
        <v>0</v>
      </c>
      <c r="AW211" s="512">
        <f>SUMIFS(PURCHASE!$K$6:$K$10008,PURCHASE!$A$6:$A$10008,$AV$2,PURCHASE!$H$6:$H$10008,$A$4:$A$2700)</f>
        <v>0</v>
      </c>
      <c r="AX211" s="512">
        <f>SUMIFS(PURCHASE!$L$6:$L$10008,PURCHASE!$A$6:$A$10008,$AV$2,PURCHASE!$H$6:$H$10008,$A$4:$A$2700)</f>
        <v>0</v>
      </c>
      <c r="AY211" s="512">
        <f>SUMIFS(PURCHASE!$M$6:$M$10008,PURCHASE!$A$6:$A$10008,$AV$2,PURCHASE!$H$6:$H$10008,$A$4:$A$2700)</f>
        <v>0</v>
      </c>
      <c r="AZ211" s="512">
        <f>SUMIFS(PURCHASE!$N$6:$N$10008,PURCHASE!$A$6:$A$10008,$AV$2,PURCHASE!$H$6:$H$10008,$A$4:$A$2700)</f>
        <v>0</v>
      </c>
      <c r="BA211" s="512">
        <f t="shared" si="72"/>
        <v>0</v>
      </c>
      <c r="BB211" s="512">
        <f>SUMIFS(PURCHASE!$K$6:$K$10008,PURCHASE!$A$6:$A$10008,$BA$2,PURCHASE!$H$6:$H$10008,$A$4:$A$2700)</f>
        <v>0</v>
      </c>
      <c r="BC211" s="512">
        <f>SUMIFS(PURCHASE!$L$6:$L$10008,PURCHASE!$A$6:$A$10008,$BA$2,PURCHASE!$H$6:$H$10008,$A$4:$A$2700)</f>
        <v>0</v>
      </c>
      <c r="BD211" s="512">
        <f>SUMIFS(PURCHASE!$M$6:$M$10008,PURCHASE!$A$6:$A$10008,$BA$2,PURCHASE!$H$6:$H$10008,$A$4:$A$2700)</f>
        <v>0</v>
      </c>
      <c r="BE211" s="512">
        <f>SUMIFS(PURCHASE!$N$6:$N$10008,PURCHASE!$A$6:$A$10008,$BA$2,PURCHASE!$H$6:$H$10008,$A$4:$A$2700)</f>
        <v>0</v>
      </c>
      <c r="BF211" s="512">
        <f t="shared" si="73"/>
        <v>0</v>
      </c>
      <c r="BG211" s="512">
        <f>SUMIFS(PURCHASE!$K$6:$K$10008,PURCHASE!$A$6:$A$10008,$BF$2,PURCHASE!$H$6:$H$10008,$A$4:$A$2700)</f>
        <v>0</v>
      </c>
      <c r="BH211" s="512">
        <f>SUMIFS(PURCHASE!$L$6:$L$10008,PURCHASE!$A$6:$A$10008,$BF$2,PURCHASE!$H$6:$H$10008,$A$4:$A$2700)</f>
        <v>0</v>
      </c>
      <c r="BI211" s="512">
        <f>SUMIFS(PURCHASE!$M$6:$M$10008,PURCHASE!$A$6:$A$10008,$BF$2,PURCHASE!$H$6:$H$10008,$A$4:$A$2700)</f>
        <v>0</v>
      </c>
      <c r="BJ211" s="512">
        <f>SUMIFS(PURCHASE!$N$6:$N$10008,PURCHASE!$A$6:$A$10008,$BF$2,PURCHASE!$H$6:$H$10008,$A$4:$A$2700)</f>
        <v>0</v>
      </c>
      <c r="BK211" s="72">
        <f t="shared" si="57"/>
        <v>0</v>
      </c>
      <c r="BL211" s="72">
        <f t="shared" si="58"/>
        <v>0</v>
      </c>
      <c r="BM211" s="72">
        <f t="shared" si="59"/>
        <v>0</v>
      </c>
      <c r="BN211" s="72">
        <f t="shared" si="60"/>
        <v>0</v>
      </c>
      <c r="BO211" s="72">
        <f t="shared" si="61"/>
        <v>0</v>
      </c>
    </row>
    <row r="212" spans="1:67" x14ac:dyDescent="0.2">
      <c r="A212" s="511">
        <v>84717020</v>
      </c>
      <c r="B212" s="467" t="s">
        <v>1339</v>
      </c>
      <c r="C212" s="512">
        <f t="shared" si="62"/>
        <v>0</v>
      </c>
      <c r="D212" s="512">
        <f>SUMIFS(PURCHASE!$K$6:$K$10008,PURCHASE!$A$6:$A$10008,$M$2,PURCHASE!$H$6:$H$10008,$A$4:$A$2700)</f>
        <v>0</v>
      </c>
      <c r="E212" s="512">
        <f>SUMIFS(PURCHASE!$L$6:$L$10008,PURCHASE!$A$6:$A$10008,$M$2,PURCHASE!$H$6:$H$10008,$A$4:$A$2700)</f>
        <v>0</v>
      </c>
      <c r="F212" s="512">
        <f>SUMIFS(PURCHASE!$M$6:$M$10008,PURCHASE!$A$6:$A$10008,$M$2,PURCHASE!$H$6:$H$10008,$A$4:$A$2700)</f>
        <v>0</v>
      </c>
      <c r="G212" s="512">
        <f>SUMIFS(PURCHASE!$N$6:$N$10008,PURCHASE!$A$6:$A$10008,$M$2,PURCHASE!$H$6:$H$10008,$A$4:$A$2700)</f>
        <v>0</v>
      </c>
      <c r="H212" s="512">
        <f t="shared" si="63"/>
        <v>0</v>
      </c>
      <c r="I212" s="512">
        <f>SUMIFS(PURCHASE!$K$6:$K$10008,PURCHASE!$A$6:$A$10008,$H$2,PURCHASE!$H$6:$H$10008,$A$4:$A$2700)</f>
        <v>0</v>
      </c>
      <c r="J212" s="512">
        <f>SUMIFS(PURCHASE!$L$6:$L$10008,PURCHASE!$A$6:$A$10008,$H$2,PURCHASE!$H$6:$H$10008,$A$4:$A$2700)</f>
        <v>0</v>
      </c>
      <c r="K212" s="512">
        <f>SUMIFS(PURCHASE!$M$6:$M$10008,PURCHASE!$A$6:$A$10008,$H$2,PURCHASE!$H$6:$H$10008,$A$4:$A$2700)</f>
        <v>0</v>
      </c>
      <c r="L212" s="512">
        <f>SUMIFS(PURCHASE!$N$6:$N$10008,PURCHASE!$A$6:$A$10008,$H$2,PURCHASE!$H$6:$H$10008,$A$4:$A$2700)</f>
        <v>0</v>
      </c>
      <c r="M212" s="512">
        <f t="shared" si="64"/>
        <v>0</v>
      </c>
      <c r="N212" s="512">
        <f>SUMIFS(PURCHASE!$K$6:$K$10008,PURCHASE!$A$6:$A$10008,$M$2,PURCHASE!$H$6:$H$10008,$A$4:$A$2700)</f>
        <v>0</v>
      </c>
      <c r="O212" s="512">
        <f>SUMIFS(PURCHASE!$L$6:$L$10008,PURCHASE!$A$6:$A$10008,$M$2,PURCHASE!$H$6:$H$10008,$A$4:$A$2700)</f>
        <v>0</v>
      </c>
      <c r="P212" s="512">
        <f>SUMIFS(PURCHASE!$M$6:$M$10008,PURCHASE!$A$6:$A$10008,$M$2,PURCHASE!$H$6:$H$10008,$A$4:$A$2700)</f>
        <v>0</v>
      </c>
      <c r="Q212" s="512">
        <f>SUMIFS(PURCHASE!$N$6:$N$10008,PURCHASE!$A$6:$A$10008,$M$2,PURCHASE!$H$6:$H$10008,$A$4:$A$2700)</f>
        <v>0</v>
      </c>
      <c r="R212" s="512">
        <f t="shared" si="65"/>
        <v>0</v>
      </c>
      <c r="S212" s="512">
        <f>SUMIFS(PURCHASE!$K$6:$K$10008,PURCHASE!$A$6:$A$10008,$R$2,PURCHASE!$H$6:$H$10008,$A$4:$A$2700)</f>
        <v>0</v>
      </c>
      <c r="T212" s="512">
        <f>SUMIFS(PURCHASE!$L$6:$L$10008,PURCHASE!$A$6:$A$10008,$R$2,PURCHASE!$H$6:$H$10008,$A$4:$A$2700)</f>
        <v>0</v>
      </c>
      <c r="U212" s="512">
        <f>SUMIFS(PURCHASE!$M$6:$M$10008,PURCHASE!$A$6:$A$10008,$R$2,PURCHASE!$H$6:$H$10008,$A$4:$A$2700)</f>
        <v>0</v>
      </c>
      <c r="V212" s="512">
        <f>SUMIFS(PURCHASE!$N$6:$N$10008,PURCHASE!$A$6:$A$10008,$R$2,PURCHASE!$H$6:$H$10008,$A$4:$A$2700)</f>
        <v>0</v>
      </c>
      <c r="W212" s="512">
        <f t="shared" si="66"/>
        <v>0</v>
      </c>
      <c r="X212" s="512">
        <f>SUMIFS(PURCHASE!$K$6:$K$10008,PURCHASE!$A$6:$A$10008,$W$2,PURCHASE!$H$6:$H$10008,$A$4:$A$2700)</f>
        <v>0</v>
      </c>
      <c r="Y212" s="512">
        <f>SUMIFS(PURCHASE!$L$6:$L$10008,PURCHASE!$A$6:$A$10008,$W$2,PURCHASE!$H$6:$H$10008,$A$4:$A$2700)</f>
        <v>0</v>
      </c>
      <c r="Z212" s="512">
        <f>SUMIFS(PURCHASE!$M$6:$M$10008,PURCHASE!$A$6:$A$10008,$W$2,PURCHASE!$H$6:$H$10008,$A$4:$A$2700)</f>
        <v>0</v>
      </c>
      <c r="AA212" s="512">
        <f>SUMIFS(PURCHASE!$N$6:$N$10008,PURCHASE!$A$6:$A$10008,$W$2,PURCHASE!$H$6:$H$10008,$A$4:$A$2700)</f>
        <v>0</v>
      </c>
      <c r="AB212" s="512">
        <f t="shared" si="67"/>
        <v>0</v>
      </c>
      <c r="AC212" s="512">
        <f>SUMIFS(PURCHASE!$K$6:$K$10008,PURCHASE!$A$6:$A$10008,$AB$2,PURCHASE!$H$6:$H$10008,$A$4:$A$2700)</f>
        <v>0</v>
      </c>
      <c r="AD212" s="512">
        <f>SUMIFS(PURCHASE!$L$6:$L$10008,PURCHASE!$A$6:$A$10008,$AB$2,PURCHASE!$H$6:$H$10008,$A$4:$A$2700)</f>
        <v>0</v>
      </c>
      <c r="AE212" s="512">
        <f>SUMIFS(PURCHASE!$M$6:$M$10008,PURCHASE!$A$6:$A$10008,$AB$2,PURCHASE!$H$6:$H$10008,$A$4:$A$2700)</f>
        <v>0</v>
      </c>
      <c r="AF212" s="512">
        <f>SUMIFS(PURCHASE!$N$6:$N$10008,PURCHASE!$A$6:$A$10008,$AB$2,PURCHASE!$H$6:$H$10008,$A$4:$A$2700)</f>
        <v>0</v>
      </c>
      <c r="AG212" s="512">
        <f t="shared" si="68"/>
        <v>0</v>
      </c>
      <c r="AH212" s="512">
        <f>SUMIFS(PURCHASE!$K$6:$K$10008,PURCHASE!$A$6:$A$10008,$AG$2,PURCHASE!$H$6:$H$10008,$A$4:$A$2700)</f>
        <v>0</v>
      </c>
      <c r="AI212" s="512">
        <f>SUMIFS(PURCHASE!$L$6:$L$10008,PURCHASE!$A$6:$A$10008,$AG$2,PURCHASE!$H$6:$H$10008,$A$4:$A$2700)</f>
        <v>0</v>
      </c>
      <c r="AJ212" s="512">
        <f>SUMIFS(PURCHASE!$M$6:$M$10008,PURCHASE!$A$6:$A$10008,$AG$2,PURCHASE!$H$6:$H$10008,$A$4:$A$2700)</f>
        <v>0</v>
      </c>
      <c r="AK212" s="512">
        <f>SUMIFS(PURCHASE!$N$6:$N$10008,PURCHASE!$A$6:$A$10008,$AG$2,PURCHASE!$H$6:$H$10008,$A$4:$A$2700)</f>
        <v>0</v>
      </c>
      <c r="AL212" s="512">
        <f t="shared" si="69"/>
        <v>0</v>
      </c>
      <c r="AM212" s="512">
        <f>SUMIFS(PURCHASE!$K$6:$K$10008,PURCHASE!$A$6:$A$10008,$AL$2,PURCHASE!$H$6:$H$10008,$A$4:$A$2700)</f>
        <v>0</v>
      </c>
      <c r="AN212" s="512">
        <f>SUMIFS(PURCHASE!$L$6:$L$10008,PURCHASE!$A$6:$A$10008,$AL$2,PURCHASE!$H$6:$H$10008,$A$4:$A$2700)</f>
        <v>0</v>
      </c>
      <c r="AO212" s="512">
        <f>SUMIFS(PURCHASE!$M$6:$M$10008,PURCHASE!$A$6:$A$10008,$AL$2,PURCHASE!$H$6:$H$10008,$A$4:$A$2700)</f>
        <v>0</v>
      </c>
      <c r="AP212" s="512">
        <f>SUMIFS(PURCHASE!$N$6:$N$10008,PURCHASE!$A$6:$A$10008,$AL$2,PURCHASE!$H$6:$H$10008,$A$4:$A$2700)</f>
        <v>0</v>
      </c>
      <c r="AQ212" s="512">
        <f t="shared" si="70"/>
        <v>0</v>
      </c>
      <c r="AR212" s="512">
        <f>SUMIFS(PURCHASE!$K$6:$K$10008,PURCHASE!$A$6:$A$10008,$AQ$2,PURCHASE!$H$6:$H$10008,$A$4:$A$2700)</f>
        <v>0</v>
      </c>
      <c r="AS212" s="512">
        <f>SUMIFS(PURCHASE!$L$6:$L$10008,PURCHASE!$A$6:$A$10008,$AQ$2,PURCHASE!$H$6:$H$10008,$A$4:$A$2700)</f>
        <v>0</v>
      </c>
      <c r="AT212" s="512">
        <f>SUMIFS(PURCHASE!$M$6:$M$10008,PURCHASE!$A$6:$A$10008,$AQ$2,PURCHASE!$H$6:$H$10008,$A$4:$A$2700)</f>
        <v>0</v>
      </c>
      <c r="AU212" s="512">
        <f>SUMIFS(PURCHASE!$N$6:$N$10008,PURCHASE!$A$6:$A$10008,$AQ$2,PURCHASE!$H$6:$H$10008,$A$4:$A$2700)</f>
        <v>0</v>
      </c>
      <c r="AV212" s="512">
        <f t="shared" si="71"/>
        <v>0</v>
      </c>
      <c r="AW212" s="512">
        <f>SUMIFS(PURCHASE!$K$6:$K$10008,PURCHASE!$A$6:$A$10008,$AV$2,PURCHASE!$H$6:$H$10008,$A$4:$A$2700)</f>
        <v>0</v>
      </c>
      <c r="AX212" s="512">
        <f>SUMIFS(PURCHASE!$L$6:$L$10008,PURCHASE!$A$6:$A$10008,$AV$2,PURCHASE!$H$6:$H$10008,$A$4:$A$2700)</f>
        <v>0</v>
      </c>
      <c r="AY212" s="512">
        <f>SUMIFS(PURCHASE!$M$6:$M$10008,PURCHASE!$A$6:$A$10008,$AV$2,PURCHASE!$H$6:$H$10008,$A$4:$A$2700)</f>
        <v>0</v>
      </c>
      <c r="AZ212" s="512">
        <f>SUMIFS(PURCHASE!$N$6:$N$10008,PURCHASE!$A$6:$A$10008,$AV$2,PURCHASE!$H$6:$H$10008,$A$4:$A$2700)</f>
        <v>0</v>
      </c>
      <c r="BA212" s="512">
        <f t="shared" si="72"/>
        <v>0</v>
      </c>
      <c r="BB212" s="512">
        <f>SUMIFS(PURCHASE!$K$6:$K$10008,PURCHASE!$A$6:$A$10008,$BA$2,PURCHASE!$H$6:$H$10008,$A$4:$A$2700)</f>
        <v>0</v>
      </c>
      <c r="BC212" s="512">
        <f>SUMIFS(PURCHASE!$L$6:$L$10008,PURCHASE!$A$6:$A$10008,$BA$2,PURCHASE!$H$6:$H$10008,$A$4:$A$2700)</f>
        <v>0</v>
      </c>
      <c r="BD212" s="512">
        <f>SUMIFS(PURCHASE!$M$6:$M$10008,PURCHASE!$A$6:$A$10008,$BA$2,PURCHASE!$H$6:$H$10008,$A$4:$A$2700)</f>
        <v>0</v>
      </c>
      <c r="BE212" s="512">
        <f>SUMIFS(PURCHASE!$N$6:$N$10008,PURCHASE!$A$6:$A$10008,$BA$2,PURCHASE!$H$6:$H$10008,$A$4:$A$2700)</f>
        <v>0</v>
      </c>
      <c r="BF212" s="512">
        <f t="shared" si="73"/>
        <v>0</v>
      </c>
      <c r="BG212" s="512">
        <f>SUMIFS(PURCHASE!$K$6:$K$10008,PURCHASE!$A$6:$A$10008,$BF$2,PURCHASE!$H$6:$H$10008,$A$4:$A$2700)</f>
        <v>0</v>
      </c>
      <c r="BH212" s="512">
        <f>SUMIFS(PURCHASE!$L$6:$L$10008,PURCHASE!$A$6:$A$10008,$BF$2,PURCHASE!$H$6:$H$10008,$A$4:$A$2700)</f>
        <v>0</v>
      </c>
      <c r="BI212" s="512">
        <f>SUMIFS(PURCHASE!$M$6:$M$10008,PURCHASE!$A$6:$A$10008,$BF$2,PURCHASE!$H$6:$H$10008,$A$4:$A$2700)</f>
        <v>0</v>
      </c>
      <c r="BJ212" s="512">
        <f>SUMIFS(PURCHASE!$N$6:$N$10008,PURCHASE!$A$6:$A$10008,$BF$2,PURCHASE!$H$6:$H$10008,$A$4:$A$2700)</f>
        <v>0</v>
      </c>
      <c r="BK212" s="72">
        <f t="shared" si="57"/>
        <v>0</v>
      </c>
      <c r="BL212" s="72">
        <f t="shared" si="58"/>
        <v>0</v>
      </c>
      <c r="BM212" s="72">
        <f t="shared" si="59"/>
        <v>0</v>
      </c>
      <c r="BN212" s="72">
        <f t="shared" si="60"/>
        <v>0</v>
      </c>
      <c r="BO212" s="72">
        <f t="shared" si="61"/>
        <v>0</v>
      </c>
    </row>
    <row r="213" spans="1:67" x14ac:dyDescent="0.2">
      <c r="A213" s="511">
        <v>84729010</v>
      </c>
      <c r="B213" s="467" t="s">
        <v>1340</v>
      </c>
      <c r="C213" s="512">
        <f t="shared" si="62"/>
        <v>0</v>
      </c>
      <c r="D213" s="512">
        <f>SUMIFS(PURCHASE!$K$6:$K$10008,PURCHASE!$A$6:$A$10008,$M$2,PURCHASE!$H$6:$H$10008,$A$4:$A$2700)</f>
        <v>0</v>
      </c>
      <c r="E213" s="512">
        <f>SUMIFS(PURCHASE!$L$6:$L$10008,PURCHASE!$A$6:$A$10008,$M$2,PURCHASE!$H$6:$H$10008,$A$4:$A$2700)</f>
        <v>0</v>
      </c>
      <c r="F213" s="512">
        <f>SUMIFS(PURCHASE!$M$6:$M$10008,PURCHASE!$A$6:$A$10008,$M$2,PURCHASE!$H$6:$H$10008,$A$4:$A$2700)</f>
        <v>0</v>
      </c>
      <c r="G213" s="512">
        <f>SUMIFS(PURCHASE!$N$6:$N$10008,PURCHASE!$A$6:$A$10008,$M$2,PURCHASE!$H$6:$H$10008,$A$4:$A$2700)</f>
        <v>0</v>
      </c>
      <c r="H213" s="512">
        <f t="shared" si="63"/>
        <v>141.60000000000002</v>
      </c>
      <c r="I213" s="512">
        <f>SUMIFS(PURCHASE!$K$6:$K$10008,PURCHASE!$A$6:$A$10008,$H$2,PURCHASE!$H$6:$H$10008,$A$4:$A$2700)</f>
        <v>120</v>
      </c>
      <c r="J213" s="512">
        <f>SUMIFS(PURCHASE!$L$6:$L$10008,PURCHASE!$A$6:$A$10008,$H$2,PURCHASE!$H$6:$H$10008,$A$4:$A$2700)</f>
        <v>0</v>
      </c>
      <c r="K213" s="512">
        <f>SUMIFS(PURCHASE!$M$6:$M$10008,PURCHASE!$A$6:$A$10008,$H$2,PURCHASE!$H$6:$H$10008,$A$4:$A$2700)</f>
        <v>10.799999999999999</v>
      </c>
      <c r="L213" s="512">
        <f>SUMIFS(PURCHASE!$N$6:$N$10008,PURCHASE!$A$6:$A$10008,$H$2,PURCHASE!$H$6:$H$10008,$A$4:$A$2700)</f>
        <v>10.799999999999999</v>
      </c>
      <c r="M213" s="512">
        <f t="shared" si="64"/>
        <v>0</v>
      </c>
      <c r="N213" s="512">
        <f>SUMIFS(PURCHASE!$K$6:$K$10008,PURCHASE!$A$6:$A$10008,$M$2,PURCHASE!$H$6:$H$10008,$A$4:$A$2700)</f>
        <v>0</v>
      </c>
      <c r="O213" s="512">
        <f>SUMIFS(PURCHASE!$L$6:$L$10008,PURCHASE!$A$6:$A$10008,$M$2,PURCHASE!$H$6:$H$10008,$A$4:$A$2700)</f>
        <v>0</v>
      </c>
      <c r="P213" s="512">
        <f>SUMIFS(PURCHASE!$M$6:$M$10008,PURCHASE!$A$6:$A$10008,$M$2,PURCHASE!$H$6:$H$10008,$A$4:$A$2700)</f>
        <v>0</v>
      </c>
      <c r="Q213" s="512">
        <f>SUMIFS(PURCHASE!$N$6:$N$10008,PURCHASE!$A$6:$A$10008,$M$2,PURCHASE!$H$6:$H$10008,$A$4:$A$2700)</f>
        <v>0</v>
      </c>
      <c r="R213" s="512">
        <f t="shared" si="65"/>
        <v>0</v>
      </c>
      <c r="S213" s="512">
        <f>SUMIFS(PURCHASE!$K$6:$K$10008,PURCHASE!$A$6:$A$10008,$R$2,PURCHASE!$H$6:$H$10008,$A$4:$A$2700)</f>
        <v>0</v>
      </c>
      <c r="T213" s="512">
        <f>SUMIFS(PURCHASE!$L$6:$L$10008,PURCHASE!$A$6:$A$10008,$R$2,PURCHASE!$H$6:$H$10008,$A$4:$A$2700)</f>
        <v>0</v>
      </c>
      <c r="U213" s="512">
        <f>SUMIFS(PURCHASE!$M$6:$M$10008,PURCHASE!$A$6:$A$10008,$R$2,PURCHASE!$H$6:$H$10008,$A$4:$A$2700)</f>
        <v>0</v>
      </c>
      <c r="V213" s="512">
        <f>SUMIFS(PURCHASE!$N$6:$N$10008,PURCHASE!$A$6:$A$10008,$R$2,PURCHASE!$H$6:$H$10008,$A$4:$A$2700)</f>
        <v>0</v>
      </c>
      <c r="W213" s="512">
        <f t="shared" si="66"/>
        <v>0</v>
      </c>
      <c r="X213" s="512">
        <f>SUMIFS(PURCHASE!$K$6:$K$10008,PURCHASE!$A$6:$A$10008,$W$2,PURCHASE!$H$6:$H$10008,$A$4:$A$2700)</f>
        <v>0</v>
      </c>
      <c r="Y213" s="512">
        <f>SUMIFS(PURCHASE!$L$6:$L$10008,PURCHASE!$A$6:$A$10008,$W$2,PURCHASE!$H$6:$H$10008,$A$4:$A$2700)</f>
        <v>0</v>
      </c>
      <c r="Z213" s="512">
        <f>SUMIFS(PURCHASE!$M$6:$M$10008,PURCHASE!$A$6:$A$10008,$W$2,PURCHASE!$H$6:$H$10008,$A$4:$A$2700)</f>
        <v>0</v>
      </c>
      <c r="AA213" s="512">
        <f>SUMIFS(PURCHASE!$N$6:$N$10008,PURCHASE!$A$6:$A$10008,$W$2,PURCHASE!$H$6:$H$10008,$A$4:$A$2700)</f>
        <v>0</v>
      </c>
      <c r="AB213" s="512">
        <f t="shared" si="67"/>
        <v>0</v>
      </c>
      <c r="AC213" s="512">
        <f>SUMIFS(PURCHASE!$K$6:$K$10008,PURCHASE!$A$6:$A$10008,$AB$2,PURCHASE!$H$6:$H$10008,$A$4:$A$2700)</f>
        <v>0</v>
      </c>
      <c r="AD213" s="512">
        <f>SUMIFS(PURCHASE!$L$6:$L$10008,PURCHASE!$A$6:$A$10008,$AB$2,PURCHASE!$H$6:$H$10008,$A$4:$A$2700)</f>
        <v>0</v>
      </c>
      <c r="AE213" s="512">
        <f>SUMIFS(PURCHASE!$M$6:$M$10008,PURCHASE!$A$6:$A$10008,$AB$2,PURCHASE!$H$6:$H$10008,$A$4:$A$2700)</f>
        <v>0</v>
      </c>
      <c r="AF213" s="512">
        <f>SUMIFS(PURCHASE!$N$6:$N$10008,PURCHASE!$A$6:$A$10008,$AB$2,PURCHASE!$H$6:$H$10008,$A$4:$A$2700)</f>
        <v>0</v>
      </c>
      <c r="AG213" s="512">
        <f t="shared" si="68"/>
        <v>0</v>
      </c>
      <c r="AH213" s="512">
        <f>SUMIFS(PURCHASE!$K$6:$K$10008,PURCHASE!$A$6:$A$10008,$AG$2,PURCHASE!$H$6:$H$10008,$A$4:$A$2700)</f>
        <v>0</v>
      </c>
      <c r="AI213" s="512">
        <f>SUMIFS(PURCHASE!$L$6:$L$10008,PURCHASE!$A$6:$A$10008,$AG$2,PURCHASE!$H$6:$H$10008,$A$4:$A$2700)</f>
        <v>0</v>
      </c>
      <c r="AJ213" s="512">
        <f>SUMIFS(PURCHASE!$M$6:$M$10008,PURCHASE!$A$6:$A$10008,$AG$2,PURCHASE!$H$6:$H$10008,$A$4:$A$2700)</f>
        <v>0</v>
      </c>
      <c r="AK213" s="512">
        <f>SUMIFS(PURCHASE!$N$6:$N$10008,PURCHASE!$A$6:$A$10008,$AG$2,PURCHASE!$H$6:$H$10008,$A$4:$A$2700)</f>
        <v>0</v>
      </c>
      <c r="AL213" s="512">
        <f t="shared" si="69"/>
        <v>0</v>
      </c>
      <c r="AM213" s="512">
        <f>SUMIFS(PURCHASE!$K$6:$K$10008,PURCHASE!$A$6:$A$10008,$AL$2,PURCHASE!$H$6:$H$10008,$A$4:$A$2700)</f>
        <v>0</v>
      </c>
      <c r="AN213" s="512">
        <f>SUMIFS(PURCHASE!$L$6:$L$10008,PURCHASE!$A$6:$A$10008,$AL$2,PURCHASE!$H$6:$H$10008,$A$4:$A$2700)</f>
        <v>0</v>
      </c>
      <c r="AO213" s="512">
        <f>SUMIFS(PURCHASE!$M$6:$M$10008,PURCHASE!$A$6:$A$10008,$AL$2,PURCHASE!$H$6:$H$10008,$A$4:$A$2700)</f>
        <v>0</v>
      </c>
      <c r="AP213" s="512">
        <f>SUMIFS(PURCHASE!$N$6:$N$10008,PURCHASE!$A$6:$A$10008,$AL$2,PURCHASE!$H$6:$H$10008,$A$4:$A$2700)</f>
        <v>0</v>
      </c>
      <c r="AQ213" s="512">
        <f t="shared" si="70"/>
        <v>0</v>
      </c>
      <c r="AR213" s="512">
        <f>SUMIFS(PURCHASE!$K$6:$K$10008,PURCHASE!$A$6:$A$10008,$AQ$2,PURCHASE!$H$6:$H$10008,$A$4:$A$2700)</f>
        <v>0</v>
      </c>
      <c r="AS213" s="512">
        <f>SUMIFS(PURCHASE!$L$6:$L$10008,PURCHASE!$A$6:$A$10008,$AQ$2,PURCHASE!$H$6:$H$10008,$A$4:$A$2700)</f>
        <v>0</v>
      </c>
      <c r="AT213" s="512">
        <f>SUMIFS(PURCHASE!$M$6:$M$10008,PURCHASE!$A$6:$A$10008,$AQ$2,PURCHASE!$H$6:$H$10008,$A$4:$A$2700)</f>
        <v>0</v>
      </c>
      <c r="AU213" s="512">
        <f>SUMIFS(PURCHASE!$N$6:$N$10008,PURCHASE!$A$6:$A$10008,$AQ$2,PURCHASE!$H$6:$H$10008,$A$4:$A$2700)</f>
        <v>0</v>
      </c>
      <c r="AV213" s="512">
        <f t="shared" si="71"/>
        <v>0</v>
      </c>
      <c r="AW213" s="512">
        <f>SUMIFS(PURCHASE!$K$6:$K$10008,PURCHASE!$A$6:$A$10008,$AV$2,PURCHASE!$H$6:$H$10008,$A$4:$A$2700)</f>
        <v>0</v>
      </c>
      <c r="AX213" s="512">
        <f>SUMIFS(PURCHASE!$L$6:$L$10008,PURCHASE!$A$6:$A$10008,$AV$2,PURCHASE!$H$6:$H$10008,$A$4:$A$2700)</f>
        <v>0</v>
      </c>
      <c r="AY213" s="512">
        <f>SUMIFS(PURCHASE!$M$6:$M$10008,PURCHASE!$A$6:$A$10008,$AV$2,PURCHASE!$H$6:$H$10008,$A$4:$A$2700)</f>
        <v>0</v>
      </c>
      <c r="AZ213" s="512">
        <f>SUMIFS(PURCHASE!$N$6:$N$10008,PURCHASE!$A$6:$A$10008,$AV$2,PURCHASE!$H$6:$H$10008,$A$4:$A$2700)</f>
        <v>0</v>
      </c>
      <c r="BA213" s="512">
        <f t="shared" si="72"/>
        <v>0</v>
      </c>
      <c r="BB213" s="512">
        <f>SUMIFS(PURCHASE!$K$6:$K$10008,PURCHASE!$A$6:$A$10008,$BA$2,PURCHASE!$H$6:$H$10008,$A$4:$A$2700)</f>
        <v>0</v>
      </c>
      <c r="BC213" s="512">
        <f>SUMIFS(PURCHASE!$L$6:$L$10008,PURCHASE!$A$6:$A$10008,$BA$2,PURCHASE!$H$6:$H$10008,$A$4:$A$2700)</f>
        <v>0</v>
      </c>
      <c r="BD213" s="512">
        <f>SUMIFS(PURCHASE!$M$6:$M$10008,PURCHASE!$A$6:$A$10008,$BA$2,PURCHASE!$H$6:$H$10008,$A$4:$A$2700)</f>
        <v>0</v>
      </c>
      <c r="BE213" s="512">
        <f>SUMIFS(PURCHASE!$N$6:$N$10008,PURCHASE!$A$6:$A$10008,$BA$2,PURCHASE!$H$6:$H$10008,$A$4:$A$2700)</f>
        <v>0</v>
      </c>
      <c r="BF213" s="512">
        <f t="shared" si="73"/>
        <v>0</v>
      </c>
      <c r="BG213" s="512">
        <f>SUMIFS(PURCHASE!$K$6:$K$10008,PURCHASE!$A$6:$A$10008,$BF$2,PURCHASE!$H$6:$H$10008,$A$4:$A$2700)</f>
        <v>0</v>
      </c>
      <c r="BH213" s="512">
        <f>SUMIFS(PURCHASE!$L$6:$L$10008,PURCHASE!$A$6:$A$10008,$BF$2,PURCHASE!$H$6:$H$10008,$A$4:$A$2700)</f>
        <v>0</v>
      </c>
      <c r="BI213" s="512">
        <f>SUMIFS(PURCHASE!$M$6:$M$10008,PURCHASE!$A$6:$A$10008,$BF$2,PURCHASE!$H$6:$H$10008,$A$4:$A$2700)</f>
        <v>0</v>
      </c>
      <c r="BJ213" s="512">
        <f>SUMIFS(PURCHASE!$N$6:$N$10008,PURCHASE!$A$6:$A$10008,$BF$2,PURCHASE!$H$6:$H$10008,$A$4:$A$2700)</f>
        <v>0</v>
      </c>
      <c r="BK213" s="72">
        <f t="shared" si="57"/>
        <v>141.60000000000002</v>
      </c>
      <c r="BL213" s="72">
        <f t="shared" si="58"/>
        <v>120</v>
      </c>
      <c r="BM213" s="72">
        <f t="shared" si="59"/>
        <v>0</v>
      </c>
      <c r="BN213" s="72">
        <f t="shared" si="60"/>
        <v>10.799999999999999</v>
      </c>
      <c r="BO213" s="72">
        <f t="shared" si="61"/>
        <v>10.799999999999999</v>
      </c>
    </row>
    <row r="214" spans="1:67" x14ac:dyDescent="0.2">
      <c r="A214" s="511">
        <v>84733030</v>
      </c>
      <c r="B214" s="467" t="s">
        <v>1341</v>
      </c>
      <c r="C214" s="512">
        <f t="shared" si="62"/>
        <v>0</v>
      </c>
      <c r="D214" s="512">
        <f>SUMIFS(PURCHASE!$K$6:$K$10008,PURCHASE!$A$6:$A$10008,$M$2,PURCHASE!$H$6:$H$10008,$A$4:$A$2700)</f>
        <v>0</v>
      </c>
      <c r="E214" s="512">
        <f>SUMIFS(PURCHASE!$L$6:$L$10008,PURCHASE!$A$6:$A$10008,$M$2,PURCHASE!$H$6:$H$10008,$A$4:$A$2700)</f>
        <v>0</v>
      </c>
      <c r="F214" s="512">
        <f>SUMIFS(PURCHASE!$M$6:$M$10008,PURCHASE!$A$6:$A$10008,$M$2,PURCHASE!$H$6:$H$10008,$A$4:$A$2700)</f>
        <v>0</v>
      </c>
      <c r="G214" s="512">
        <f>SUMIFS(PURCHASE!$N$6:$N$10008,PURCHASE!$A$6:$A$10008,$M$2,PURCHASE!$H$6:$H$10008,$A$4:$A$2700)</f>
        <v>0</v>
      </c>
      <c r="H214" s="512">
        <f t="shared" si="63"/>
        <v>0</v>
      </c>
      <c r="I214" s="512">
        <f>SUMIFS(PURCHASE!$K$6:$K$10008,PURCHASE!$A$6:$A$10008,$H$2,PURCHASE!$H$6:$H$10008,$A$4:$A$2700)</f>
        <v>0</v>
      </c>
      <c r="J214" s="512">
        <f>SUMIFS(PURCHASE!$L$6:$L$10008,PURCHASE!$A$6:$A$10008,$H$2,PURCHASE!$H$6:$H$10008,$A$4:$A$2700)</f>
        <v>0</v>
      </c>
      <c r="K214" s="512">
        <f>SUMIFS(PURCHASE!$M$6:$M$10008,PURCHASE!$A$6:$A$10008,$H$2,PURCHASE!$H$6:$H$10008,$A$4:$A$2700)</f>
        <v>0</v>
      </c>
      <c r="L214" s="512">
        <f>SUMIFS(PURCHASE!$N$6:$N$10008,PURCHASE!$A$6:$A$10008,$H$2,PURCHASE!$H$6:$H$10008,$A$4:$A$2700)</f>
        <v>0</v>
      </c>
      <c r="M214" s="512">
        <f t="shared" si="64"/>
        <v>0</v>
      </c>
      <c r="N214" s="512">
        <f>SUMIFS(PURCHASE!$K$6:$K$10008,PURCHASE!$A$6:$A$10008,$M$2,PURCHASE!$H$6:$H$10008,$A$4:$A$2700)</f>
        <v>0</v>
      </c>
      <c r="O214" s="512">
        <f>SUMIFS(PURCHASE!$L$6:$L$10008,PURCHASE!$A$6:$A$10008,$M$2,PURCHASE!$H$6:$H$10008,$A$4:$A$2700)</f>
        <v>0</v>
      </c>
      <c r="P214" s="512">
        <f>SUMIFS(PURCHASE!$M$6:$M$10008,PURCHASE!$A$6:$A$10008,$M$2,PURCHASE!$H$6:$H$10008,$A$4:$A$2700)</f>
        <v>0</v>
      </c>
      <c r="Q214" s="512">
        <f>SUMIFS(PURCHASE!$N$6:$N$10008,PURCHASE!$A$6:$A$10008,$M$2,PURCHASE!$H$6:$H$10008,$A$4:$A$2700)</f>
        <v>0</v>
      </c>
      <c r="R214" s="512">
        <f t="shared" si="65"/>
        <v>0</v>
      </c>
      <c r="S214" s="512">
        <f>SUMIFS(PURCHASE!$K$6:$K$10008,PURCHASE!$A$6:$A$10008,$R$2,PURCHASE!$H$6:$H$10008,$A$4:$A$2700)</f>
        <v>0</v>
      </c>
      <c r="T214" s="512">
        <f>SUMIFS(PURCHASE!$L$6:$L$10008,PURCHASE!$A$6:$A$10008,$R$2,PURCHASE!$H$6:$H$10008,$A$4:$A$2700)</f>
        <v>0</v>
      </c>
      <c r="U214" s="512">
        <f>SUMIFS(PURCHASE!$M$6:$M$10008,PURCHASE!$A$6:$A$10008,$R$2,PURCHASE!$H$6:$H$10008,$A$4:$A$2700)</f>
        <v>0</v>
      </c>
      <c r="V214" s="512">
        <f>SUMIFS(PURCHASE!$N$6:$N$10008,PURCHASE!$A$6:$A$10008,$R$2,PURCHASE!$H$6:$H$10008,$A$4:$A$2700)</f>
        <v>0</v>
      </c>
      <c r="W214" s="512">
        <f t="shared" si="66"/>
        <v>0</v>
      </c>
      <c r="X214" s="512">
        <f>SUMIFS(PURCHASE!$K$6:$K$10008,PURCHASE!$A$6:$A$10008,$W$2,PURCHASE!$H$6:$H$10008,$A$4:$A$2700)</f>
        <v>0</v>
      </c>
      <c r="Y214" s="512">
        <f>SUMIFS(PURCHASE!$L$6:$L$10008,PURCHASE!$A$6:$A$10008,$W$2,PURCHASE!$H$6:$H$10008,$A$4:$A$2700)</f>
        <v>0</v>
      </c>
      <c r="Z214" s="512">
        <f>SUMIFS(PURCHASE!$M$6:$M$10008,PURCHASE!$A$6:$A$10008,$W$2,PURCHASE!$H$6:$H$10008,$A$4:$A$2700)</f>
        <v>0</v>
      </c>
      <c r="AA214" s="512">
        <f>SUMIFS(PURCHASE!$N$6:$N$10008,PURCHASE!$A$6:$A$10008,$W$2,PURCHASE!$H$6:$H$10008,$A$4:$A$2700)</f>
        <v>0</v>
      </c>
      <c r="AB214" s="512">
        <f t="shared" si="67"/>
        <v>0</v>
      </c>
      <c r="AC214" s="512">
        <f>SUMIFS(PURCHASE!$K$6:$K$10008,PURCHASE!$A$6:$A$10008,$AB$2,PURCHASE!$H$6:$H$10008,$A$4:$A$2700)</f>
        <v>0</v>
      </c>
      <c r="AD214" s="512">
        <f>SUMIFS(PURCHASE!$L$6:$L$10008,PURCHASE!$A$6:$A$10008,$AB$2,PURCHASE!$H$6:$H$10008,$A$4:$A$2700)</f>
        <v>0</v>
      </c>
      <c r="AE214" s="512">
        <f>SUMIFS(PURCHASE!$M$6:$M$10008,PURCHASE!$A$6:$A$10008,$AB$2,PURCHASE!$H$6:$H$10008,$A$4:$A$2700)</f>
        <v>0</v>
      </c>
      <c r="AF214" s="512">
        <f>SUMIFS(PURCHASE!$N$6:$N$10008,PURCHASE!$A$6:$A$10008,$AB$2,PURCHASE!$H$6:$H$10008,$A$4:$A$2700)</f>
        <v>0</v>
      </c>
      <c r="AG214" s="512">
        <f t="shared" si="68"/>
        <v>0</v>
      </c>
      <c r="AH214" s="512">
        <f>SUMIFS(PURCHASE!$K$6:$K$10008,PURCHASE!$A$6:$A$10008,$AG$2,PURCHASE!$H$6:$H$10008,$A$4:$A$2700)</f>
        <v>0</v>
      </c>
      <c r="AI214" s="512">
        <f>SUMIFS(PURCHASE!$L$6:$L$10008,PURCHASE!$A$6:$A$10008,$AG$2,PURCHASE!$H$6:$H$10008,$A$4:$A$2700)</f>
        <v>0</v>
      </c>
      <c r="AJ214" s="512">
        <f>SUMIFS(PURCHASE!$M$6:$M$10008,PURCHASE!$A$6:$A$10008,$AG$2,PURCHASE!$H$6:$H$10008,$A$4:$A$2700)</f>
        <v>0</v>
      </c>
      <c r="AK214" s="512">
        <f>SUMIFS(PURCHASE!$N$6:$N$10008,PURCHASE!$A$6:$A$10008,$AG$2,PURCHASE!$H$6:$H$10008,$A$4:$A$2700)</f>
        <v>0</v>
      </c>
      <c r="AL214" s="512">
        <f t="shared" si="69"/>
        <v>0</v>
      </c>
      <c r="AM214" s="512">
        <f>SUMIFS(PURCHASE!$K$6:$K$10008,PURCHASE!$A$6:$A$10008,$AL$2,PURCHASE!$H$6:$H$10008,$A$4:$A$2700)</f>
        <v>0</v>
      </c>
      <c r="AN214" s="512">
        <f>SUMIFS(PURCHASE!$L$6:$L$10008,PURCHASE!$A$6:$A$10008,$AL$2,PURCHASE!$H$6:$H$10008,$A$4:$A$2700)</f>
        <v>0</v>
      </c>
      <c r="AO214" s="512">
        <f>SUMIFS(PURCHASE!$M$6:$M$10008,PURCHASE!$A$6:$A$10008,$AL$2,PURCHASE!$H$6:$H$10008,$A$4:$A$2700)</f>
        <v>0</v>
      </c>
      <c r="AP214" s="512">
        <f>SUMIFS(PURCHASE!$N$6:$N$10008,PURCHASE!$A$6:$A$10008,$AL$2,PURCHASE!$H$6:$H$10008,$A$4:$A$2700)</f>
        <v>0</v>
      </c>
      <c r="AQ214" s="512">
        <f t="shared" si="70"/>
        <v>0</v>
      </c>
      <c r="AR214" s="512">
        <f>SUMIFS(PURCHASE!$K$6:$K$10008,PURCHASE!$A$6:$A$10008,$AQ$2,PURCHASE!$H$6:$H$10008,$A$4:$A$2700)</f>
        <v>0</v>
      </c>
      <c r="AS214" s="512">
        <f>SUMIFS(PURCHASE!$L$6:$L$10008,PURCHASE!$A$6:$A$10008,$AQ$2,PURCHASE!$H$6:$H$10008,$A$4:$A$2700)</f>
        <v>0</v>
      </c>
      <c r="AT214" s="512">
        <f>SUMIFS(PURCHASE!$M$6:$M$10008,PURCHASE!$A$6:$A$10008,$AQ$2,PURCHASE!$H$6:$H$10008,$A$4:$A$2700)</f>
        <v>0</v>
      </c>
      <c r="AU214" s="512">
        <f>SUMIFS(PURCHASE!$N$6:$N$10008,PURCHASE!$A$6:$A$10008,$AQ$2,PURCHASE!$H$6:$H$10008,$A$4:$A$2700)</f>
        <v>0</v>
      </c>
      <c r="AV214" s="512">
        <f t="shared" si="71"/>
        <v>0</v>
      </c>
      <c r="AW214" s="512">
        <f>SUMIFS(PURCHASE!$K$6:$K$10008,PURCHASE!$A$6:$A$10008,$AV$2,PURCHASE!$H$6:$H$10008,$A$4:$A$2700)</f>
        <v>0</v>
      </c>
      <c r="AX214" s="512">
        <f>SUMIFS(PURCHASE!$L$6:$L$10008,PURCHASE!$A$6:$A$10008,$AV$2,PURCHASE!$H$6:$H$10008,$A$4:$A$2700)</f>
        <v>0</v>
      </c>
      <c r="AY214" s="512">
        <f>SUMIFS(PURCHASE!$M$6:$M$10008,PURCHASE!$A$6:$A$10008,$AV$2,PURCHASE!$H$6:$H$10008,$A$4:$A$2700)</f>
        <v>0</v>
      </c>
      <c r="AZ214" s="512">
        <f>SUMIFS(PURCHASE!$N$6:$N$10008,PURCHASE!$A$6:$A$10008,$AV$2,PURCHASE!$H$6:$H$10008,$A$4:$A$2700)</f>
        <v>0</v>
      </c>
      <c r="BA214" s="512">
        <f t="shared" si="72"/>
        <v>0</v>
      </c>
      <c r="BB214" s="512">
        <f>SUMIFS(PURCHASE!$K$6:$K$10008,PURCHASE!$A$6:$A$10008,$BA$2,PURCHASE!$H$6:$H$10008,$A$4:$A$2700)</f>
        <v>0</v>
      </c>
      <c r="BC214" s="512">
        <f>SUMIFS(PURCHASE!$L$6:$L$10008,PURCHASE!$A$6:$A$10008,$BA$2,PURCHASE!$H$6:$H$10008,$A$4:$A$2700)</f>
        <v>0</v>
      </c>
      <c r="BD214" s="512">
        <f>SUMIFS(PURCHASE!$M$6:$M$10008,PURCHASE!$A$6:$A$10008,$BA$2,PURCHASE!$H$6:$H$10008,$A$4:$A$2700)</f>
        <v>0</v>
      </c>
      <c r="BE214" s="512">
        <f>SUMIFS(PURCHASE!$N$6:$N$10008,PURCHASE!$A$6:$A$10008,$BA$2,PURCHASE!$H$6:$H$10008,$A$4:$A$2700)</f>
        <v>0</v>
      </c>
      <c r="BF214" s="512">
        <f t="shared" si="73"/>
        <v>0</v>
      </c>
      <c r="BG214" s="512">
        <f>SUMIFS(PURCHASE!$K$6:$K$10008,PURCHASE!$A$6:$A$10008,$BF$2,PURCHASE!$H$6:$H$10008,$A$4:$A$2700)</f>
        <v>0</v>
      </c>
      <c r="BH214" s="512">
        <f>SUMIFS(PURCHASE!$L$6:$L$10008,PURCHASE!$A$6:$A$10008,$BF$2,PURCHASE!$H$6:$H$10008,$A$4:$A$2700)</f>
        <v>0</v>
      </c>
      <c r="BI214" s="512">
        <f>SUMIFS(PURCHASE!$M$6:$M$10008,PURCHASE!$A$6:$A$10008,$BF$2,PURCHASE!$H$6:$H$10008,$A$4:$A$2700)</f>
        <v>0</v>
      </c>
      <c r="BJ214" s="512">
        <f>SUMIFS(PURCHASE!$N$6:$N$10008,PURCHASE!$A$6:$A$10008,$BF$2,PURCHASE!$H$6:$H$10008,$A$4:$A$2700)</f>
        <v>0</v>
      </c>
      <c r="BK214" s="72">
        <f t="shared" si="57"/>
        <v>0</v>
      </c>
      <c r="BL214" s="72">
        <f t="shared" si="58"/>
        <v>0</v>
      </c>
      <c r="BM214" s="72">
        <f t="shared" si="59"/>
        <v>0</v>
      </c>
      <c r="BN214" s="72">
        <f t="shared" si="60"/>
        <v>0</v>
      </c>
      <c r="BO214" s="72">
        <f t="shared" si="61"/>
        <v>0</v>
      </c>
    </row>
    <row r="215" spans="1:67" x14ac:dyDescent="0.2">
      <c r="A215" s="511">
        <v>84733099</v>
      </c>
      <c r="B215" s="467" t="s">
        <v>1270</v>
      </c>
      <c r="C215" s="512">
        <f t="shared" si="62"/>
        <v>0</v>
      </c>
      <c r="D215" s="512">
        <f>SUMIFS(PURCHASE!$K$6:$K$10008,PURCHASE!$A$6:$A$10008,$M$2,PURCHASE!$H$6:$H$10008,$A$4:$A$2700)</f>
        <v>0</v>
      </c>
      <c r="E215" s="512">
        <f>SUMIFS(PURCHASE!$L$6:$L$10008,PURCHASE!$A$6:$A$10008,$M$2,PURCHASE!$H$6:$H$10008,$A$4:$A$2700)</f>
        <v>0</v>
      </c>
      <c r="F215" s="512">
        <f>SUMIFS(PURCHASE!$M$6:$M$10008,PURCHASE!$A$6:$A$10008,$M$2,PURCHASE!$H$6:$H$10008,$A$4:$A$2700)</f>
        <v>0</v>
      </c>
      <c r="G215" s="512">
        <f>SUMIFS(PURCHASE!$N$6:$N$10008,PURCHASE!$A$6:$A$10008,$M$2,PURCHASE!$H$6:$H$10008,$A$4:$A$2700)</f>
        <v>0</v>
      </c>
      <c r="H215" s="512">
        <f t="shared" si="63"/>
        <v>0</v>
      </c>
      <c r="I215" s="512">
        <f>SUMIFS(PURCHASE!$K$6:$K$10008,PURCHASE!$A$6:$A$10008,$H$2,PURCHASE!$H$6:$H$10008,$A$4:$A$2700)</f>
        <v>0</v>
      </c>
      <c r="J215" s="512">
        <f>SUMIFS(PURCHASE!$L$6:$L$10008,PURCHASE!$A$6:$A$10008,$H$2,PURCHASE!$H$6:$H$10008,$A$4:$A$2700)</f>
        <v>0</v>
      </c>
      <c r="K215" s="512">
        <f>SUMIFS(PURCHASE!$M$6:$M$10008,PURCHASE!$A$6:$A$10008,$H$2,PURCHASE!$H$6:$H$10008,$A$4:$A$2700)</f>
        <v>0</v>
      </c>
      <c r="L215" s="512">
        <f>SUMIFS(PURCHASE!$N$6:$N$10008,PURCHASE!$A$6:$A$10008,$H$2,PURCHASE!$H$6:$H$10008,$A$4:$A$2700)</f>
        <v>0</v>
      </c>
      <c r="M215" s="512">
        <f t="shared" si="64"/>
        <v>0</v>
      </c>
      <c r="N215" s="512">
        <f>SUMIFS(PURCHASE!$K$6:$K$10008,PURCHASE!$A$6:$A$10008,$M$2,PURCHASE!$H$6:$H$10008,$A$4:$A$2700)</f>
        <v>0</v>
      </c>
      <c r="O215" s="512">
        <f>SUMIFS(PURCHASE!$L$6:$L$10008,PURCHASE!$A$6:$A$10008,$M$2,PURCHASE!$H$6:$H$10008,$A$4:$A$2700)</f>
        <v>0</v>
      </c>
      <c r="P215" s="512">
        <f>SUMIFS(PURCHASE!$M$6:$M$10008,PURCHASE!$A$6:$A$10008,$M$2,PURCHASE!$H$6:$H$10008,$A$4:$A$2700)</f>
        <v>0</v>
      </c>
      <c r="Q215" s="512">
        <f>SUMIFS(PURCHASE!$N$6:$N$10008,PURCHASE!$A$6:$A$10008,$M$2,PURCHASE!$H$6:$H$10008,$A$4:$A$2700)</f>
        <v>0</v>
      </c>
      <c r="R215" s="512">
        <f t="shared" si="65"/>
        <v>0</v>
      </c>
      <c r="S215" s="512">
        <f>SUMIFS(PURCHASE!$K$6:$K$10008,PURCHASE!$A$6:$A$10008,$R$2,PURCHASE!$H$6:$H$10008,$A$4:$A$2700)</f>
        <v>0</v>
      </c>
      <c r="T215" s="512">
        <f>SUMIFS(PURCHASE!$L$6:$L$10008,PURCHASE!$A$6:$A$10008,$R$2,PURCHASE!$H$6:$H$10008,$A$4:$A$2700)</f>
        <v>0</v>
      </c>
      <c r="U215" s="512">
        <f>SUMIFS(PURCHASE!$M$6:$M$10008,PURCHASE!$A$6:$A$10008,$R$2,PURCHASE!$H$6:$H$10008,$A$4:$A$2700)</f>
        <v>0</v>
      </c>
      <c r="V215" s="512">
        <f>SUMIFS(PURCHASE!$N$6:$N$10008,PURCHASE!$A$6:$A$10008,$R$2,PURCHASE!$H$6:$H$10008,$A$4:$A$2700)</f>
        <v>0</v>
      </c>
      <c r="W215" s="512">
        <f t="shared" si="66"/>
        <v>0</v>
      </c>
      <c r="X215" s="512">
        <f>SUMIFS(PURCHASE!$K$6:$K$10008,PURCHASE!$A$6:$A$10008,$W$2,PURCHASE!$H$6:$H$10008,$A$4:$A$2700)</f>
        <v>0</v>
      </c>
      <c r="Y215" s="512">
        <f>SUMIFS(PURCHASE!$L$6:$L$10008,PURCHASE!$A$6:$A$10008,$W$2,PURCHASE!$H$6:$H$10008,$A$4:$A$2700)</f>
        <v>0</v>
      </c>
      <c r="Z215" s="512">
        <f>SUMIFS(PURCHASE!$M$6:$M$10008,PURCHASE!$A$6:$A$10008,$W$2,PURCHASE!$H$6:$H$10008,$A$4:$A$2700)</f>
        <v>0</v>
      </c>
      <c r="AA215" s="512">
        <f>SUMIFS(PURCHASE!$N$6:$N$10008,PURCHASE!$A$6:$A$10008,$W$2,PURCHASE!$H$6:$H$10008,$A$4:$A$2700)</f>
        <v>0</v>
      </c>
      <c r="AB215" s="512">
        <f t="shared" si="67"/>
        <v>0</v>
      </c>
      <c r="AC215" s="512">
        <f>SUMIFS(PURCHASE!$K$6:$K$10008,PURCHASE!$A$6:$A$10008,$AB$2,PURCHASE!$H$6:$H$10008,$A$4:$A$2700)</f>
        <v>0</v>
      </c>
      <c r="AD215" s="512">
        <f>SUMIFS(PURCHASE!$L$6:$L$10008,PURCHASE!$A$6:$A$10008,$AB$2,PURCHASE!$H$6:$H$10008,$A$4:$A$2700)</f>
        <v>0</v>
      </c>
      <c r="AE215" s="512">
        <f>SUMIFS(PURCHASE!$M$6:$M$10008,PURCHASE!$A$6:$A$10008,$AB$2,PURCHASE!$H$6:$H$10008,$A$4:$A$2700)</f>
        <v>0</v>
      </c>
      <c r="AF215" s="512">
        <f>SUMIFS(PURCHASE!$N$6:$N$10008,PURCHASE!$A$6:$A$10008,$AB$2,PURCHASE!$H$6:$H$10008,$A$4:$A$2700)</f>
        <v>0</v>
      </c>
      <c r="AG215" s="512">
        <f t="shared" si="68"/>
        <v>0</v>
      </c>
      <c r="AH215" s="512">
        <f>SUMIFS(PURCHASE!$K$6:$K$10008,PURCHASE!$A$6:$A$10008,$AG$2,PURCHASE!$H$6:$H$10008,$A$4:$A$2700)</f>
        <v>0</v>
      </c>
      <c r="AI215" s="512">
        <f>SUMIFS(PURCHASE!$L$6:$L$10008,PURCHASE!$A$6:$A$10008,$AG$2,PURCHASE!$H$6:$H$10008,$A$4:$A$2700)</f>
        <v>0</v>
      </c>
      <c r="AJ215" s="512">
        <f>SUMIFS(PURCHASE!$M$6:$M$10008,PURCHASE!$A$6:$A$10008,$AG$2,PURCHASE!$H$6:$H$10008,$A$4:$A$2700)</f>
        <v>0</v>
      </c>
      <c r="AK215" s="512">
        <f>SUMIFS(PURCHASE!$N$6:$N$10008,PURCHASE!$A$6:$A$10008,$AG$2,PURCHASE!$H$6:$H$10008,$A$4:$A$2700)</f>
        <v>0</v>
      </c>
      <c r="AL215" s="512">
        <f t="shared" si="69"/>
        <v>0</v>
      </c>
      <c r="AM215" s="512">
        <f>SUMIFS(PURCHASE!$K$6:$K$10008,PURCHASE!$A$6:$A$10008,$AL$2,PURCHASE!$H$6:$H$10008,$A$4:$A$2700)</f>
        <v>0</v>
      </c>
      <c r="AN215" s="512">
        <f>SUMIFS(PURCHASE!$L$6:$L$10008,PURCHASE!$A$6:$A$10008,$AL$2,PURCHASE!$H$6:$H$10008,$A$4:$A$2700)</f>
        <v>0</v>
      </c>
      <c r="AO215" s="512">
        <f>SUMIFS(PURCHASE!$M$6:$M$10008,PURCHASE!$A$6:$A$10008,$AL$2,PURCHASE!$H$6:$H$10008,$A$4:$A$2700)</f>
        <v>0</v>
      </c>
      <c r="AP215" s="512">
        <f>SUMIFS(PURCHASE!$N$6:$N$10008,PURCHASE!$A$6:$A$10008,$AL$2,PURCHASE!$H$6:$H$10008,$A$4:$A$2700)</f>
        <v>0</v>
      </c>
      <c r="AQ215" s="512">
        <f t="shared" si="70"/>
        <v>0</v>
      </c>
      <c r="AR215" s="512">
        <f>SUMIFS(PURCHASE!$K$6:$K$10008,PURCHASE!$A$6:$A$10008,$AQ$2,PURCHASE!$H$6:$H$10008,$A$4:$A$2700)</f>
        <v>0</v>
      </c>
      <c r="AS215" s="512">
        <f>SUMIFS(PURCHASE!$L$6:$L$10008,PURCHASE!$A$6:$A$10008,$AQ$2,PURCHASE!$H$6:$H$10008,$A$4:$A$2700)</f>
        <v>0</v>
      </c>
      <c r="AT215" s="512">
        <f>SUMIFS(PURCHASE!$M$6:$M$10008,PURCHASE!$A$6:$A$10008,$AQ$2,PURCHASE!$H$6:$H$10008,$A$4:$A$2700)</f>
        <v>0</v>
      </c>
      <c r="AU215" s="512">
        <f>SUMIFS(PURCHASE!$N$6:$N$10008,PURCHASE!$A$6:$A$10008,$AQ$2,PURCHASE!$H$6:$H$10008,$A$4:$A$2700)</f>
        <v>0</v>
      </c>
      <c r="AV215" s="512">
        <f t="shared" si="71"/>
        <v>0</v>
      </c>
      <c r="AW215" s="512">
        <f>SUMIFS(PURCHASE!$K$6:$K$10008,PURCHASE!$A$6:$A$10008,$AV$2,PURCHASE!$H$6:$H$10008,$A$4:$A$2700)</f>
        <v>0</v>
      </c>
      <c r="AX215" s="512">
        <f>SUMIFS(PURCHASE!$L$6:$L$10008,PURCHASE!$A$6:$A$10008,$AV$2,PURCHASE!$H$6:$H$10008,$A$4:$A$2700)</f>
        <v>0</v>
      </c>
      <c r="AY215" s="512">
        <f>SUMIFS(PURCHASE!$M$6:$M$10008,PURCHASE!$A$6:$A$10008,$AV$2,PURCHASE!$H$6:$H$10008,$A$4:$A$2700)</f>
        <v>0</v>
      </c>
      <c r="AZ215" s="512">
        <f>SUMIFS(PURCHASE!$N$6:$N$10008,PURCHASE!$A$6:$A$10008,$AV$2,PURCHASE!$H$6:$H$10008,$A$4:$A$2700)</f>
        <v>0</v>
      </c>
      <c r="BA215" s="512">
        <f t="shared" si="72"/>
        <v>0</v>
      </c>
      <c r="BB215" s="512">
        <f>SUMIFS(PURCHASE!$K$6:$K$10008,PURCHASE!$A$6:$A$10008,$BA$2,PURCHASE!$H$6:$H$10008,$A$4:$A$2700)</f>
        <v>0</v>
      </c>
      <c r="BC215" s="512">
        <f>SUMIFS(PURCHASE!$L$6:$L$10008,PURCHASE!$A$6:$A$10008,$BA$2,PURCHASE!$H$6:$H$10008,$A$4:$A$2700)</f>
        <v>0</v>
      </c>
      <c r="BD215" s="512">
        <f>SUMIFS(PURCHASE!$M$6:$M$10008,PURCHASE!$A$6:$A$10008,$BA$2,PURCHASE!$H$6:$H$10008,$A$4:$A$2700)</f>
        <v>0</v>
      </c>
      <c r="BE215" s="512">
        <f>SUMIFS(PURCHASE!$N$6:$N$10008,PURCHASE!$A$6:$A$10008,$BA$2,PURCHASE!$H$6:$H$10008,$A$4:$A$2700)</f>
        <v>0</v>
      </c>
      <c r="BF215" s="512">
        <f t="shared" si="73"/>
        <v>0</v>
      </c>
      <c r="BG215" s="512">
        <f>SUMIFS(PURCHASE!$K$6:$K$10008,PURCHASE!$A$6:$A$10008,$BF$2,PURCHASE!$H$6:$H$10008,$A$4:$A$2700)</f>
        <v>0</v>
      </c>
      <c r="BH215" s="512">
        <f>SUMIFS(PURCHASE!$L$6:$L$10008,PURCHASE!$A$6:$A$10008,$BF$2,PURCHASE!$H$6:$H$10008,$A$4:$A$2700)</f>
        <v>0</v>
      </c>
      <c r="BI215" s="512">
        <f>SUMIFS(PURCHASE!$M$6:$M$10008,PURCHASE!$A$6:$A$10008,$BF$2,PURCHASE!$H$6:$H$10008,$A$4:$A$2700)</f>
        <v>0</v>
      </c>
      <c r="BJ215" s="512">
        <f>SUMIFS(PURCHASE!$N$6:$N$10008,PURCHASE!$A$6:$A$10008,$BF$2,PURCHASE!$H$6:$H$10008,$A$4:$A$2700)</f>
        <v>0</v>
      </c>
      <c r="BK215" s="72">
        <f t="shared" si="57"/>
        <v>0</v>
      </c>
      <c r="BL215" s="72">
        <f t="shared" si="58"/>
        <v>0</v>
      </c>
      <c r="BM215" s="72">
        <f t="shared" si="59"/>
        <v>0</v>
      </c>
      <c r="BN215" s="72">
        <f t="shared" si="60"/>
        <v>0</v>
      </c>
      <c r="BO215" s="72">
        <f t="shared" si="61"/>
        <v>0</v>
      </c>
    </row>
    <row r="216" spans="1:67" x14ac:dyDescent="0.2">
      <c r="A216" s="511">
        <v>84818090</v>
      </c>
      <c r="B216" s="500" t="s">
        <v>1224</v>
      </c>
      <c r="C216" s="512">
        <f t="shared" si="62"/>
        <v>0</v>
      </c>
      <c r="D216" s="512">
        <f>SUMIFS(PURCHASE!$K$6:$K$10008,PURCHASE!$A$6:$A$10008,$M$2,PURCHASE!$H$6:$H$10008,$A$4:$A$2700)</f>
        <v>0</v>
      </c>
      <c r="E216" s="512">
        <f>SUMIFS(PURCHASE!$L$6:$L$10008,PURCHASE!$A$6:$A$10008,$M$2,PURCHASE!$H$6:$H$10008,$A$4:$A$2700)</f>
        <v>0</v>
      </c>
      <c r="F216" s="512">
        <f>SUMIFS(PURCHASE!$M$6:$M$10008,PURCHASE!$A$6:$A$10008,$M$2,PURCHASE!$H$6:$H$10008,$A$4:$A$2700)</f>
        <v>0</v>
      </c>
      <c r="G216" s="512">
        <f>SUMIFS(PURCHASE!$N$6:$N$10008,PURCHASE!$A$6:$A$10008,$M$2,PURCHASE!$H$6:$H$10008,$A$4:$A$2700)</f>
        <v>0</v>
      </c>
      <c r="H216" s="512">
        <f t="shared" si="63"/>
        <v>20296</v>
      </c>
      <c r="I216" s="512">
        <f>SUMIFS(PURCHASE!$K$6:$K$10008,PURCHASE!$A$6:$A$10008,$H$2,PURCHASE!$H$6:$H$10008,$A$4:$A$2700)</f>
        <v>17200</v>
      </c>
      <c r="J216" s="512">
        <f>SUMIFS(PURCHASE!$L$6:$L$10008,PURCHASE!$A$6:$A$10008,$H$2,PURCHASE!$H$6:$H$10008,$A$4:$A$2700)</f>
        <v>0</v>
      </c>
      <c r="K216" s="512">
        <f>SUMIFS(PURCHASE!$M$6:$M$10008,PURCHASE!$A$6:$A$10008,$H$2,PURCHASE!$H$6:$H$10008,$A$4:$A$2700)</f>
        <v>1548</v>
      </c>
      <c r="L216" s="512">
        <f>SUMIFS(PURCHASE!$N$6:$N$10008,PURCHASE!$A$6:$A$10008,$H$2,PURCHASE!$H$6:$H$10008,$A$4:$A$2700)</f>
        <v>1548</v>
      </c>
      <c r="M216" s="512">
        <f t="shared" si="64"/>
        <v>0</v>
      </c>
      <c r="N216" s="512">
        <f>SUMIFS(PURCHASE!$K$6:$K$10008,PURCHASE!$A$6:$A$10008,$M$2,PURCHASE!$H$6:$H$10008,$A$4:$A$2700)</f>
        <v>0</v>
      </c>
      <c r="O216" s="512">
        <f>SUMIFS(PURCHASE!$L$6:$L$10008,PURCHASE!$A$6:$A$10008,$M$2,PURCHASE!$H$6:$H$10008,$A$4:$A$2700)</f>
        <v>0</v>
      </c>
      <c r="P216" s="512">
        <f>SUMIFS(PURCHASE!$M$6:$M$10008,PURCHASE!$A$6:$A$10008,$M$2,PURCHASE!$H$6:$H$10008,$A$4:$A$2700)</f>
        <v>0</v>
      </c>
      <c r="Q216" s="512">
        <f>SUMIFS(PURCHASE!$N$6:$N$10008,PURCHASE!$A$6:$A$10008,$M$2,PURCHASE!$H$6:$H$10008,$A$4:$A$2700)</f>
        <v>0</v>
      </c>
      <c r="R216" s="512">
        <f t="shared" si="65"/>
        <v>0</v>
      </c>
      <c r="S216" s="512">
        <f>SUMIFS(PURCHASE!$K$6:$K$10008,PURCHASE!$A$6:$A$10008,$R$2,PURCHASE!$H$6:$H$10008,$A$4:$A$2700)</f>
        <v>0</v>
      </c>
      <c r="T216" s="512">
        <f>SUMIFS(PURCHASE!$L$6:$L$10008,PURCHASE!$A$6:$A$10008,$R$2,PURCHASE!$H$6:$H$10008,$A$4:$A$2700)</f>
        <v>0</v>
      </c>
      <c r="U216" s="512">
        <f>SUMIFS(PURCHASE!$M$6:$M$10008,PURCHASE!$A$6:$A$10008,$R$2,PURCHASE!$H$6:$H$10008,$A$4:$A$2700)</f>
        <v>0</v>
      </c>
      <c r="V216" s="512">
        <f>SUMIFS(PURCHASE!$N$6:$N$10008,PURCHASE!$A$6:$A$10008,$R$2,PURCHASE!$H$6:$H$10008,$A$4:$A$2700)</f>
        <v>0</v>
      </c>
      <c r="W216" s="512">
        <f t="shared" si="66"/>
        <v>0</v>
      </c>
      <c r="X216" s="512">
        <f>SUMIFS(PURCHASE!$K$6:$K$10008,PURCHASE!$A$6:$A$10008,$W$2,PURCHASE!$H$6:$H$10008,$A$4:$A$2700)</f>
        <v>0</v>
      </c>
      <c r="Y216" s="512">
        <f>SUMIFS(PURCHASE!$L$6:$L$10008,PURCHASE!$A$6:$A$10008,$W$2,PURCHASE!$H$6:$H$10008,$A$4:$A$2700)</f>
        <v>0</v>
      </c>
      <c r="Z216" s="512">
        <f>SUMIFS(PURCHASE!$M$6:$M$10008,PURCHASE!$A$6:$A$10008,$W$2,PURCHASE!$H$6:$H$10008,$A$4:$A$2700)</f>
        <v>0</v>
      </c>
      <c r="AA216" s="512">
        <f>SUMIFS(PURCHASE!$N$6:$N$10008,PURCHASE!$A$6:$A$10008,$W$2,PURCHASE!$H$6:$H$10008,$A$4:$A$2700)</f>
        <v>0</v>
      </c>
      <c r="AB216" s="512">
        <f t="shared" si="67"/>
        <v>0</v>
      </c>
      <c r="AC216" s="512">
        <f>SUMIFS(PURCHASE!$K$6:$K$10008,PURCHASE!$A$6:$A$10008,$AB$2,PURCHASE!$H$6:$H$10008,$A$4:$A$2700)</f>
        <v>0</v>
      </c>
      <c r="AD216" s="512">
        <f>SUMIFS(PURCHASE!$L$6:$L$10008,PURCHASE!$A$6:$A$10008,$AB$2,PURCHASE!$H$6:$H$10008,$A$4:$A$2700)</f>
        <v>0</v>
      </c>
      <c r="AE216" s="512">
        <f>SUMIFS(PURCHASE!$M$6:$M$10008,PURCHASE!$A$6:$A$10008,$AB$2,PURCHASE!$H$6:$H$10008,$A$4:$A$2700)</f>
        <v>0</v>
      </c>
      <c r="AF216" s="512">
        <f>SUMIFS(PURCHASE!$N$6:$N$10008,PURCHASE!$A$6:$A$10008,$AB$2,PURCHASE!$H$6:$H$10008,$A$4:$A$2700)</f>
        <v>0</v>
      </c>
      <c r="AG216" s="512">
        <f t="shared" si="68"/>
        <v>0</v>
      </c>
      <c r="AH216" s="512">
        <f>SUMIFS(PURCHASE!$K$6:$K$10008,PURCHASE!$A$6:$A$10008,$AG$2,PURCHASE!$H$6:$H$10008,$A$4:$A$2700)</f>
        <v>0</v>
      </c>
      <c r="AI216" s="512">
        <f>SUMIFS(PURCHASE!$L$6:$L$10008,PURCHASE!$A$6:$A$10008,$AG$2,PURCHASE!$H$6:$H$10008,$A$4:$A$2700)</f>
        <v>0</v>
      </c>
      <c r="AJ216" s="512">
        <f>SUMIFS(PURCHASE!$M$6:$M$10008,PURCHASE!$A$6:$A$10008,$AG$2,PURCHASE!$H$6:$H$10008,$A$4:$A$2700)</f>
        <v>0</v>
      </c>
      <c r="AK216" s="512">
        <f>SUMIFS(PURCHASE!$N$6:$N$10008,PURCHASE!$A$6:$A$10008,$AG$2,PURCHASE!$H$6:$H$10008,$A$4:$A$2700)</f>
        <v>0</v>
      </c>
      <c r="AL216" s="512">
        <f t="shared" si="69"/>
        <v>0</v>
      </c>
      <c r="AM216" s="512">
        <f>SUMIFS(PURCHASE!$K$6:$K$10008,PURCHASE!$A$6:$A$10008,$AL$2,PURCHASE!$H$6:$H$10008,$A$4:$A$2700)</f>
        <v>0</v>
      </c>
      <c r="AN216" s="512">
        <f>SUMIFS(PURCHASE!$L$6:$L$10008,PURCHASE!$A$6:$A$10008,$AL$2,PURCHASE!$H$6:$H$10008,$A$4:$A$2700)</f>
        <v>0</v>
      </c>
      <c r="AO216" s="512">
        <f>SUMIFS(PURCHASE!$M$6:$M$10008,PURCHASE!$A$6:$A$10008,$AL$2,PURCHASE!$H$6:$H$10008,$A$4:$A$2700)</f>
        <v>0</v>
      </c>
      <c r="AP216" s="512">
        <f>SUMIFS(PURCHASE!$N$6:$N$10008,PURCHASE!$A$6:$A$10008,$AL$2,PURCHASE!$H$6:$H$10008,$A$4:$A$2700)</f>
        <v>0</v>
      </c>
      <c r="AQ216" s="512">
        <f t="shared" si="70"/>
        <v>0</v>
      </c>
      <c r="AR216" s="512">
        <f>SUMIFS(PURCHASE!$K$6:$K$10008,PURCHASE!$A$6:$A$10008,$AQ$2,PURCHASE!$H$6:$H$10008,$A$4:$A$2700)</f>
        <v>0</v>
      </c>
      <c r="AS216" s="512">
        <f>SUMIFS(PURCHASE!$L$6:$L$10008,PURCHASE!$A$6:$A$10008,$AQ$2,PURCHASE!$H$6:$H$10008,$A$4:$A$2700)</f>
        <v>0</v>
      </c>
      <c r="AT216" s="512">
        <f>SUMIFS(PURCHASE!$M$6:$M$10008,PURCHASE!$A$6:$A$10008,$AQ$2,PURCHASE!$H$6:$H$10008,$A$4:$A$2700)</f>
        <v>0</v>
      </c>
      <c r="AU216" s="512">
        <f>SUMIFS(PURCHASE!$N$6:$N$10008,PURCHASE!$A$6:$A$10008,$AQ$2,PURCHASE!$H$6:$H$10008,$A$4:$A$2700)</f>
        <v>0</v>
      </c>
      <c r="AV216" s="512">
        <f t="shared" si="71"/>
        <v>0</v>
      </c>
      <c r="AW216" s="512">
        <f>SUMIFS(PURCHASE!$K$6:$K$10008,PURCHASE!$A$6:$A$10008,$AV$2,PURCHASE!$H$6:$H$10008,$A$4:$A$2700)</f>
        <v>0</v>
      </c>
      <c r="AX216" s="512">
        <f>SUMIFS(PURCHASE!$L$6:$L$10008,PURCHASE!$A$6:$A$10008,$AV$2,PURCHASE!$H$6:$H$10008,$A$4:$A$2700)</f>
        <v>0</v>
      </c>
      <c r="AY216" s="512">
        <f>SUMIFS(PURCHASE!$M$6:$M$10008,PURCHASE!$A$6:$A$10008,$AV$2,PURCHASE!$H$6:$H$10008,$A$4:$A$2700)</f>
        <v>0</v>
      </c>
      <c r="AZ216" s="512">
        <f>SUMIFS(PURCHASE!$N$6:$N$10008,PURCHASE!$A$6:$A$10008,$AV$2,PURCHASE!$H$6:$H$10008,$A$4:$A$2700)</f>
        <v>0</v>
      </c>
      <c r="BA216" s="512">
        <f t="shared" si="72"/>
        <v>0</v>
      </c>
      <c r="BB216" s="512">
        <f>SUMIFS(PURCHASE!$K$6:$K$10008,PURCHASE!$A$6:$A$10008,$BA$2,PURCHASE!$H$6:$H$10008,$A$4:$A$2700)</f>
        <v>0</v>
      </c>
      <c r="BC216" s="512">
        <f>SUMIFS(PURCHASE!$L$6:$L$10008,PURCHASE!$A$6:$A$10008,$BA$2,PURCHASE!$H$6:$H$10008,$A$4:$A$2700)</f>
        <v>0</v>
      </c>
      <c r="BD216" s="512">
        <f>SUMIFS(PURCHASE!$M$6:$M$10008,PURCHASE!$A$6:$A$10008,$BA$2,PURCHASE!$H$6:$H$10008,$A$4:$A$2700)</f>
        <v>0</v>
      </c>
      <c r="BE216" s="512">
        <f>SUMIFS(PURCHASE!$N$6:$N$10008,PURCHASE!$A$6:$A$10008,$BA$2,PURCHASE!$H$6:$H$10008,$A$4:$A$2700)</f>
        <v>0</v>
      </c>
      <c r="BF216" s="512">
        <f t="shared" si="73"/>
        <v>0</v>
      </c>
      <c r="BG216" s="512">
        <f>SUMIFS(PURCHASE!$K$6:$K$10008,PURCHASE!$A$6:$A$10008,$BF$2,PURCHASE!$H$6:$H$10008,$A$4:$A$2700)</f>
        <v>0</v>
      </c>
      <c r="BH216" s="512">
        <f>SUMIFS(PURCHASE!$L$6:$L$10008,PURCHASE!$A$6:$A$10008,$BF$2,PURCHASE!$H$6:$H$10008,$A$4:$A$2700)</f>
        <v>0</v>
      </c>
      <c r="BI216" s="512">
        <f>SUMIFS(PURCHASE!$M$6:$M$10008,PURCHASE!$A$6:$A$10008,$BF$2,PURCHASE!$H$6:$H$10008,$A$4:$A$2700)</f>
        <v>0</v>
      </c>
      <c r="BJ216" s="512">
        <f>SUMIFS(PURCHASE!$N$6:$N$10008,PURCHASE!$A$6:$A$10008,$BF$2,PURCHASE!$H$6:$H$10008,$A$4:$A$2700)</f>
        <v>0</v>
      </c>
      <c r="BK216" s="72">
        <f t="shared" si="57"/>
        <v>20296</v>
      </c>
      <c r="BL216" s="72">
        <f t="shared" si="58"/>
        <v>17200</v>
      </c>
      <c r="BM216" s="72">
        <f t="shared" si="59"/>
        <v>0</v>
      </c>
      <c r="BN216" s="72">
        <f t="shared" si="60"/>
        <v>1548</v>
      </c>
      <c r="BO216" s="72">
        <f t="shared" si="61"/>
        <v>1548</v>
      </c>
    </row>
    <row r="217" spans="1:67" x14ac:dyDescent="0.2">
      <c r="A217" s="511">
        <v>85061000</v>
      </c>
      <c r="B217" s="467" t="s">
        <v>1226</v>
      </c>
      <c r="C217" s="512">
        <f t="shared" si="62"/>
        <v>0</v>
      </c>
      <c r="D217" s="512">
        <f>SUMIFS(PURCHASE!$K$6:$K$10008,PURCHASE!$A$6:$A$10008,$M$2,PURCHASE!$H$6:$H$10008,$A$4:$A$2700)</f>
        <v>0</v>
      </c>
      <c r="E217" s="512">
        <f>SUMIFS(PURCHASE!$L$6:$L$10008,PURCHASE!$A$6:$A$10008,$M$2,PURCHASE!$H$6:$H$10008,$A$4:$A$2700)</f>
        <v>0</v>
      </c>
      <c r="F217" s="512">
        <f>SUMIFS(PURCHASE!$M$6:$M$10008,PURCHASE!$A$6:$A$10008,$M$2,PURCHASE!$H$6:$H$10008,$A$4:$A$2700)</f>
        <v>0</v>
      </c>
      <c r="G217" s="512">
        <f>SUMIFS(PURCHASE!$N$6:$N$10008,PURCHASE!$A$6:$A$10008,$M$2,PURCHASE!$H$6:$H$10008,$A$4:$A$2700)</f>
        <v>0</v>
      </c>
      <c r="H217" s="512">
        <f t="shared" si="63"/>
        <v>0</v>
      </c>
      <c r="I217" s="512">
        <f>SUMIFS(PURCHASE!$K$6:$K$10008,PURCHASE!$A$6:$A$10008,$H$2,PURCHASE!$H$6:$H$10008,$A$4:$A$2700)</f>
        <v>0</v>
      </c>
      <c r="J217" s="512">
        <f>SUMIFS(PURCHASE!$L$6:$L$10008,PURCHASE!$A$6:$A$10008,$H$2,PURCHASE!$H$6:$H$10008,$A$4:$A$2700)</f>
        <v>0</v>
      </c>
      <c r="K217" s="512">
        <f>SUMIFS(PURCHASE!$M$6:$M$10008,PURCHASE!$A$6:$A$10008,$H$2,PURCHASE!$H$6:$H$10008,$A$4:$A$2700)</f>
        <v>0</v>
      </c>
      <c r="L217" s="512">
        <f>SUMIFS(PURCHASE!$N$6:$N$10008,PURCHASE!$A$6:$A$10008,$H$2,PURCHASE!$H$6:$H$10008,$A$4:$A$2700)</f>
        <v>0</v>
      </c>
      <c r="M217" s="512">
        <f t="shared" si="64"/>
        <v>0</v>
      </c>
      <c r="N217" s="512">
        <f>SUMIFS(PURCHASE!$K$6:$K$10008,PURCHASE!$A$6:$A$10008,$M$2,PURCHASE!$H$6:$H$10008,$A$4:$A$2700)</f>
        <v>0</v>
      </c>
      <c r="O217" s="512">
        <f>SUMIFS(PURCHASE!$L$6:$L$10008,PURCHASE!$A$6:$A$10008,$M$2,PURCHASE!$H$6:$H$10008,$A$4:$A$2700)</f>
        <v>0</v>
      </c>
      <c r="P217" s="512">
        <f>SUMIFS(PURCHASE!$M$6:$M$10008,PURCHASE!$A$6:$A$10008,$M$2,PURCHASE!$H$6:$H$10008,$A$4:$A$2700)</f>
        <v>0</v>
      </c>
      <c r="Q217" s="512">
        <f>SUMIFS(PURCHASE!$N$6:$N$10008,PURCHASE!$A$6:$A$10008,$M$2,PURCHASE!$H$6:$H$10008,$A$4:$A$2700)</f>
        <v>0</v>
      </c>
      <c r="R217" s="512">
        <f t="shared" si="65"/>
        <v>0</v>
      </c>
      <c r="S217" s="512">
        <f>SUMIFS(PURCHASE!$K$6:$K$10008,PURCHASE!$A$6:$A$10008,$R$2,PURCHASE!$H$6:$H$10008,$A$4:$A$2700)</f>
        <v>0</v>
      </c>
      <c r="T217" s="512">
        <f>SUMIFS(PURCHASE!$L$6:$L$10008,PURCHASE!$A$6:$A$10008,$R$2,PURCHASE!$H$6:$H$10008,$A$4:$A$2700)</f>
        <v>0</v>
      </c>
      <c r="U217" s="512">
        <f>SUMIFS(PURCHASE!$M$6:$M$10008,PURCHASE!$A$6:$A$10008,$R$2,PURCHASE!$H$6:$H$10008,$A$4:$A$2700)</f>
        <v>0</v>
      </c>
      <c r="V217" s="512">
        <f>SUMIFS(PURCHASE!$N$6:$N$10008,PURCHASE!$A$6:$A$10008,$R$2,PURCHASE!$H$6:$H$10008,$A$4:$A$2700)</f>
        <v>0</v>
      </c>
      <c r="W217" s="512">
        <f t="shared" si="66"/>
        <v>0</v>
      </c>
      <c r="X217" s="512">
        <f>SUMIFS(PURCHASE!$K$6:$K$10008,PURCHASE!$A$6:$A$10008,$W$2,PURCHASE!$H$6:$H$10008,$A$4:$A$2700)</f>
        <v>0</v>
      </c>
      <c r="Y217" s="512">
        <f>SUMIFS(PURCHASE!$L$6:$L$10008,PURCHASE!$A$6:$A$10008,$W$2,PURCHASE!$H$6:$H$10008,$A$4:$A$2700)</f>
        <v>0</v>
      </c>
      <c r="Z217" s="512">
        <f>SUMIFS(PURCHASE!$M$6:$M$10008,PURCHASE!$A$6:$A$10008,$W$2,PURCHASE!$H$6:$H$10008,$A$4:$A$2700)</f>
        <v>0</v>
      </c>
      <c r="AA217" s="512">
        <f>SUMIFS(PURCHASE!$N$6:$N$10008,PURCHASE!$A$6:$A$10008,$W$2,PURCHASE!$H$6:$H$10008,$A$4:$A$2700)</f>
        <v>0</v>
      </c>
      <c r="AB217" s="512">
        <f t="shared" si="67"/>
        <v>0</v>
      </c>
      <c r="AC217" s="512">
        <f>SUMIFS(PURCHASE!$K$6:$K$10008,PURCHASE!$A$6:$A$10008,$AB$2,PURCHASE!$H$6:$H$10008,$A$4:$A$2700)</f>
        <v>0</v>
      </c>
      <c r="AD217" s="512">
        <f>SUMIFS(PURCHASE!$L$6:$L$10008,PURCHASE!$A$6:$A$10008,$AB$2,PURCHASE!$H$6:$H$10008,$A$4:$A$2700)</f>
        <v>0</v>
      </c>
      <c r="AE217" s="512">
        <f>SUMIFS(PURCHASE!$M$6:$M$10008,PURCHASE!$A$6:$A$10008,$AB$2,PURCHASE!$H$6:$H$10008,$A$4:$A$2700)</f>
        <v>0</v>
      </c>
      <c r="AF217" s="512">
        <f>SUMIFS(PURCHASE!$N$6:$N$10008,PURCHASE!$A$6:$A$10008,$AB$2,PURCHASE!$H$6:$H$10008,$A$4:$A$2700)</f>
        <v>0</v>
      </c>
      <c r="AG217" s="512">
        <f t="shared" si="68"/>
        <v>0</v>
      </c>
      <c r="AH217" s="512">
        <f>SUMIFS(PURCHASE!$K$6:$K$10008,PURCHASE!$A$6:$A$10008,$AG$2,PURCHASE!$H$6:$H$10008,$A$4:$A$2700)</f>
        <v>0</v>
      </c>
      <c r="AI217" s="512">
        <f>SUMIFS(PURCHASE!$L$6:$L$10008,PURCHASE!$A$6:$A$10008,$AG$2,PURCHASE!$H$6:$H$10008,$A$4:$A$2700)</f>
        <v>0</v>
      </c>
      <c r="AJ217" s="512">
        <f>SUMIFS(PURCHASE!$M$6:$M$10008,PURCHASE!$A$6:$A$10008,$AG$2,PURCHASE!$H$6:$H$10008,$A$4:$A$2700)</f>
        <v>0</v>
      </c>
      <c r="AK217" s="512">
        <f>SUMIFS(PURCHASE!$N$6:$N$10008,PURCHASE!$A$6:$A$10008,$AG$2,PURCHASE!$H$6:$H$10008,$A$4:$A$2700)</f>
        <v>0</v>
      </c>
      <c r="AL217" s="512">
        <f t="shared" si="69"/>
        <v>0</v>
      </c>
      <c r="AM217" s="512">
        <f>SUMIFS(PURCHASE!$K$6:$K$10008,PURCHASE!$A$6:$A$10008,$AL$2,PURCHASE!$H$6:$H$10008,$A$4:$A$2700)</f>
        <v>0</v>
      </c>
      <c r="AN217" s="512">
        <f>SUMIFS(PURCHASE!$L$6:$L$10008,PURCHASE!$A$6:$A$10008,$AL$2,PURCHASE!$H$6:$H$10008,$A$4:$A$2700)</f>
        <v>0</v>
      </c>
      <c r="AO217" s="512">
        <f>SUMIFS(PURCHASE!$M$6:$M$10008,PURCHASE!$A$6:$A$10008,$AL$2,PURCHASE!$H$6:$H$10008,$A$4:$A$2700)</f>
        <v>0</v>
      </c>
      <c r="AP217" s="512">
        <f>SUMIFS(PURCHASE!$N$6:$N$10008,PURCHASE!$A$6:$A$10008,$AL$2,PURCHASE!$H$6:$H$10008,$A$4:$A$2700)</f>
        <v>0</v>
      </c>
      <c r="AQ217" s="512">
        <f t="shared" si="70"/>
        <v>0</v>
      </c>
      <c r="AR217" s="512">
        <f>SUMIFS(PURCHASE!$K$6:$K$10008,PURCHASE!$A$6:$A$10008,$AQ$2,PURCHASE!$H$6:$H$10008,$A$4:$A$2700)</f>
        <v>0</v>
      </c>
      <c r="AS217" s="512">
        <f>SUMIFS(PURCHASE!$L$6:$L$10008,PURCHASE!$A$6:$A$10008,$AQ$2,PURCHASE!$H$6:$H$10008,$A$4:$A$2700)</f>
        <v>0</v>
      </c>
      <c r="AT217" s="512">
        <f>SUMIFS(PURCHASE!$M$6:$M$10008,PURCHASE!$A$6:$A$10008,$AQ$2,PURCHASE!$H$6:$H$10008,$A$4:$A$2700)</f>
        <v>0</v>
      </c>
      <c r="AU217" s="512">
        <f>SUMIFS(PURCHASE!$N$6:$N$10008,PURCHASE!$A$6:$A$10008,$AQ$2,PURCHASE!$H$6:$H$10008,$A$4:$A$2700)</f>
        <v>0</v>
      </c>
      <c r="AV217" s="512">
        <f t="shared" si="71"/>
        <v>0</v>
      </c>
      <c r="AW217" s="512">
        <f>SUMIFS(PURCHASE!$K$6:$K$10008,PURCHASE!$A$6:$A$10008,$AV$2,PURCHASE!$H$6:$H$10008,$A$4:$A$2700)</f>
        <v>0</v>
      </c>
      <c r="AX217" s="512">
        <f>SUMIFS(PURCHASE!$L$6:$L$10008,PURCHASE!$A$6:$A$10008,$AV$2,PURCHASE!$H$6:$H$10008,$A$4:$A$2700)</f>
        <v>0</v>
      </c>
      <c r="AY217" s="512">
        <f>SUMIFS(PURCHASE!$M$6:$M$10008,PURCHASE!$A$6:$A$10008,$AV$2,PURCHASE!$H$6:$H$10008,$A$4:$A$2700)</f>
        <v>0</v>
      </c>
      <c r="AZ217" s="512">
        <f>SUMIFS(PURCHASE!$N$6:$N$10008,PURCHASE!$A$6:$A$10008,$AV$2,PURCHASE!$H$6:$H$10008,$A$4:$A$2700)</f>
        <v>0</v>
      </c>
      <c r="BA217" s="512">
        <f t="shared" si="72"/>
        <v>0</v>
      </c>
      <c r="BB217" s="512">
        <f>SUMIFS(PURCHASE!$K$6:$K$10008,PURCHASE!$A$6:$A$10008,$BA$2,PURCHASE!$H$6:$H$10008,$A$4:$A$2700)</f>
        <v>0</v>
      </c>
      <c r="BC217" s="512">
        <f>SUMIFS(PURCHASE!$L$6:$L$10008,PURCHASE!$A$6:$A$10008,$BA$2,PURCHASE!$H$6:$H$10008,$A$4:$A$2700)</f>
        <v>0</v>
      </c>
      <c r="BD217" s="512">
        <f>SUMIFS(PURCHASE!$M$6:$M$10008,PURCHASE!$A$6:$A$10008,$BA$2,PURCHASE!$H$6:$H$10008,$A$4:$A$2700)</f>
        <v>0</v>
      </c>
      <c r="BE217" s="512">
        <f>SUMIFS(PURCHASE!$N$6:$N$10008,PURCHASE!$A$6:$A$10008,$BA$2,PURCHASE!$H$6:$H$10008,$A$4:$A$2700)</f>
        <v>0</v>
      </c>
      <c r="BF217" s="512">
        <f t="shared" si="73"/>
        <v>0</v>
      </c>
      <c r="BG217" s="512">
        <f>SUMIFS(PURCHASE!$K$6:$K$10008,PURCHASE!$A$6:$A$10008,$BF$2,PURCHASE!$H$6:$H$10008,$A$4:$A$2700)</f>
        <v>0</v>
      </c>
      <c r="BH217" s="512">
        <f>SUMIFS(PURCHASE!$L$6:$L$10008,PURCHASE!$A$6:$A$10008,$BF$2,PURCHASE!$H$6:$H$10008,$A$4:$A$2700)</f>
        <v>0</v>
      </c>
      <c r="BI217" s="512">
        <f>SUMIFS(PURCHASE!$M$6:$M$10008,PURCHASE!$A$6:$A$10008,$BF$2,PURCHASE!$H$6:$H$10008,$A$4:$A$2700)</f>
        <v>0</v>
      </c>
      <c r="BJ217" s="512">
        <f>SUMIFS(PURCHASE!$N$6:$N$10008,PURCHASE!$A$6:$A$10008,$BF$2,PURCHASE!$H$6:$H$10008,$A$4:$A$2700)</f>
        <v>0</v>
      </c>
      <c r="BK217" s="72">
        <f t="shared" si="57"/>
        <v>0</v>
      </c>
      <c r="BL217" s="72">
        <f t="shared" si="58"/>
        <v>0</v>
      </c>
      <c r="BM217" s="72">
        <f t="shared" si="59"/>
        <v>0</v>
      </c>
      <c r="BN217" s="72">
        <f t="shared" si="60"/>
        <v>0</v>
      </c>
      <c r="BO217" s="72">
        <f t="shared" si="61"/>
        <v>0</v>
      </c>
    </row>
    <row r="218" spans="1:67" x14ac:dyDescent="0.2">
      <c r="A218" s="511">
        <v>85068090</v>
      </c>
      <c r="B218" s="467" t="s">
        <v>1226</v>
      </c>
      <c r="C218" s="512">
        <f t="shared" si="62"/>
        <v>0</v>
      </c>
      <c r="D218" s="512">
        <f>SUMIFS(PURCHASE!$K$6:$K$10008,PURCHASE!$A$6:$A$10008,$M$2,PURCHASE!$H$6:$H$10008,$A$4:$A$2700)</f>
        <v>0</v>
      </c>
      <c r="E218" s="512">
        <f>SUMIFS(PURCHASE!$L$6:$L$10008,PURCHASE!$A$6:$A$10008,$M$2,PURCHASE!$H$6:$H$10008,$A$4:$A$2700)</f>
        <v>0</v>
      </c>
      <c r="F218" s="512">
        <f>SUMIFS(PURCHASE!$M$6:$M$10008,PURCHASE!$A$6:$A$10008,$M$2,PURCHASE!$H$6:$H$10008,$A$4:$A$2700)</f>
        <v>0</v>
      </c>
      <c r="G218" s="512">
        <f>SUMIFS(PURCHASE!$N$6:$N$10008,PURCHASE!$A$6:$A$10008,$M$2,PURCHASE!$H$6:$H$10008,$A$4:$A$2700)</f>
        <v>0</v>
      </c>
      <c r="H218" s="512">
        <f t="shared" si="63"/>
        <v>0</v>
      </c>
      <c r="I218" s="512">
        <f>SUMIFS(PURCHASE!$K$6:$K$10008,PURCHASE!$A$6:$A$10008,$H$2,PURCHASE!$H$6:$H$10008,$A$4:$A$2700)</f>
        <v>0</v>
      </c>
      <c r="J218" s="512">
        <f>SUMIFS(PURCHASE!$L$6:$L$10008,PURCHASE!$A$6:$A$10008,$H$2,PURCHASE!$H$6:$H$10008,$A$4:$A$2700)</f>
        <v>0</v>
      </c>
      <c r="K218" s="512">
        <f>SUMIFS(PURCHASE!$M$6:$M$10008,PURCHASE!$A$6:$A$10008,$H$2,PURCHASE!$H$6:$H$10008,$A$4:$A$2700)</f>
        <v>0</v>
      </c>
      <c r="L218" s="512">
        <f>SUMIFS(PURCHASE!$N$6:$N$10008,PURCHASE!$A$6:$A$10008,$H$2,PURCHASE!$H$6:$H$10008,$A$4:$A$2700)</f>
        <v>0</v>
      </c>
      <c r="M218" s="512">
        <f t="shared" si="64"/>
        <v>0</v>
      </c>
      <c r="N218" s="512">
        <f>SUMIFS(PURCHASE!$K$6:$K$10008,PURCHASE!$A$6:$A$10008,$M$2,PURCHASE!$H$6:$H$10008,$A$4:$A$2700)</f>
        <v>0</v>
      </c>
      <c r="O218" s="512">
        <f>SUMIFS(PURCHASE!$L$6:$L$10008,PURCHASE!$A$6:$A$10008,$M$2,PURCHASE!$H$6:$H$10008,$A$4:$A$2700)</f>
        <v>0</v>
      </c>
      <c r="P218" s="512">
        <f>SUMIFS(PURCHASE!$M$6:$M$10008,PURCHASE!$A$6:$A$10008,$M$2,PURCHASE!$H$6:$H$10008,$A$4:$A$2700)</f>
        <v>0</v>
      </c>
      <c r="Q218" s="512">
        <f>SUMIFS(PURCHASE!$N$6:$N$10008,PURCHASE!$A$6:$A$10008,$M$2,PURCHASE!$H$6:$H$10008,$A$4:$A$2700)</f>
        <v>0</v>
      </c>
      <c r="R218" s="512">
        <f t="shared" si="65"/>
        <v>0</v>
      </c>
      <c r="S218" s="512">
        <f>SUMIFS(PURCHASE!$K$6:$K$10008,PURCHASE!$A$6:$A$10008,$R$2,PURCHASE!$H$6:$H$10008,$A$4:$A$2700)</f>
        <v>0</v>
      </c>
      <c r="T218" s="512">
        <f>SUMIFS(PURCHASE!$L$6:$L$10008,PURCHASE!$A$6:$A$10008,$R$2,PURCHASE!$H$6:$H$10008,$A$4:$A$2700)</f>
        <v>0</v>
      </c>
      <c r="U218" s="512">
        <f>SUMIFS(PURCHASE!$M$6:$M$10008,PURCHASE!$A$6:$A$10008,$R$2,PURCHASE!$H$6:$H$10008,$A$4:$A$2700)</f>
        <v>0</v>
      </c>
      <c r="V218" s="512">
        <f>SUMIFS(PURCHASE!$N$6:$N$10008,PURCHASE!$A$6:$A$10008,$R$2,PURCHASE!$H$6:$H$10008,$A$4:$A$2700)</f>
        <v>0</v>
      </c>
      <c r="W218" s="512">
        <f t="shared" si="66"/>
        <v>0</v>
      </c>
      <c r="X218" s="512">
        <f>SUMIFS(PURCHASE!$K$6:$K$10008,PURCHASE!$A$6:$A$10008,$W$2,PURCHASE!$H$6:$H$10008,$A$4:$A$2700)</f>
        <v>0</v>
      </c>
      <c r="Y218" s="512">
        <f>SUMIFS(PURCHASE!$L$6:$L$10008,PURCHASE!$A$6:$A$10008,$W$2,PURCHASE!$H$6:$H$10008,$A$4:$A$2700)</f>
        <v>0</v>
      </c>
      <c r="Z218" s="512">
        <f>SUMIFS(PURCHASE!$M$6:$M$10008,PURCHASE!$A$6:$A$10008,$W$2,PURCHASE!$H$6:$H$10008,$A$4:$A$2700)</f>
        <v>0</v>
      </c>
      <c r="AA218" s="512">
        <f>SUMIFS(PURCHASE!$N$6:$N$10008,PURCHASE!$A$6:$A$10008,$W$2,PURCHASE!$H$6:$H$10008,$A$4:$A$2700)</f>
        <v>0</v>
      </c>
      <c r="AB218" s="512">
        <f t="shared" si="67"/>
        <v>0</v>
      </c>
      <c r="AC218" s="512">
        <f>SUMIFS(PURCHASE!$K$6:$K$10008,PURCHASE!$A$6:$A$10008,$AB$2,PURCHASE!$H$6:$H$10008,$A$4:$A$2700)</f>
        <v>0</v>
      </c>
      <c r="AD218" s="512">
        <f>SUMIFS(PURCHASE!$L$6:$L$10008,PURCHASE!$A$6:$A$10008,$AB$2,PURCHASE!$H$6:$H$10008,$A$4:$A$2700)</f>
        <v>0</v>
      </c>
      <c r="AE218" s="512">
        <f>SUMIFS(PURCHASE!$M$6:$M$10008,PURCHASE!$A$6:$A$10008,$AB$2,PURCHASE!$H$6:$H$10008,$A$4:$A$2700)</f>
        <v>0</v>
      </c>
      <c r="AF218" s="512">
        <f>SUMIFS(PURCHASE!$N$6:$N$10008,PURCHASE!$A$6:$A$10008,$AB$2,PURCHASE!$H$6:$H$10008,$A$4:$A$2700)</f>
        <v>0</v>
      </c>
      <c r="AG218" s="512">
        <f t="shared" si="68"/>
        <v>0</v>
      </c>
      <c r="AH218" s="512">
        <f>SUMIFS(PURCHASE!$K$6:$K$10008,PURCHASE!$A$6:$A$10008,$AG$2,PURCHASE!$H$6:$H$10008,$A$4:$A$2700)</f>
        <v>0</v>
      </c>
      <c r="AI218" s="512">
        <f>SUMIFS(PURCHASE!$L$6:$L$10008,PURCHASE!$A$6:$A$10008,$AG$2,PURCHASE!$H$6:$H$10008,$A$4:$A$2700)</f>
        <v>0</v>
      </c>
      <c r="AJ218" s="512">
        <f>SUMIFS(PURCHASE!$M$6:$M$10008,PURCHASE!$A$6:$A$10008,$AG$2,PURCHASE!$H$6:$H$10008,$A$4:$A$2700)</f>
        <v>0</v>
      </c>
      <c r="AK218" s="512">
        <f>SUMIFS(PURCHASE!$N$6:$N$10008,PURCHASE!$A$6:$A$10008,$AG$2,PURCHASE!$H$6:$H$10008,$A$4:$A$2700)</f>
        <v>0</v>
      </c>
      <c r="AL218" s="512">
        <f t="shared" si="69"/>
        <v>0</v>
      </c>
      <c r="AM218" s="512">
        <f>SUMIFS(PURCHASE!$K$6:$K$10008,PURCHASE!$A$6:$A$10008,$AL$2,PURCHASE!$H$6:$H$10008,$A$4:$A$2700)</f>
        <v>0</v>
      </c>
      <c r="AN218" s="512">
        <f>SUMIFS(PURCHASE!$L$6:$L$10008,PURCHASE!$A$6:$A$10008,$AL$2,PURCHASE!$H$6:$H$10008,$A$4:$A$2700)</f>
        <v>0</v>
      </c>
      <c r="AO218" s="512">
        <f>SUMIFS(PURCHASE!$M$6:$M$10008,PURCHASE!$A$6:$A$10008,$AL$2,PURCHASE!$H$6:$H$10008,$A$4:$A$2700)</f>
        <v>0</v>
      </c>
      <c r="AP218" s="512">
        <f>SUMIFS(PURCHASE!$N$6:$N$10008,PURCHASE!$A$6:$A$10008,$AL$2,PURCHASE!$H$6:$H$10008,$A$4:$A$2700)</f>
        <v>0</v>
      </c>
      <c r="AQ218" s="512">
        <f t="shared" si="70"/>
        <v>0</v>
      </c>
      <c r="AR218" s="512">
        <f>SUMIFS(PURCHASE!$K$6:$K$10008,PURCHASE!$A$6:$A$10008,$AQ$2,PURCHASE!$H$6:$H$10008,$A$4:$A$2700)</f>
        <v>0</v>
      </c>
      <c r="AS218" s="512">
        <f>SUMIFS(PURCHASE!$L$6:$L$10008,PURCHASE!$A$6:$A$10008,$AQ$2,PURCHASE!$H$6:$H$10008,$A$4:$A$2700)</f>
        <v>0</v>
      </c>
      <c r="AT218" s="512">
        <f>SUMIFS(PURCHASE!$M$6:$M$10008,PURCHASE!$A$6:$A$10008,$AQ$2,PURCHASE!$H$6:$H$10008,$A$4:$A$2700)</f>
        <v>0</v>
      </c>
      <c r="AU218" s="512">
        <f>SUMIFS(PURCHASE!$N$6:$N$10008,PURCHASE!$A$6:$A$10008,$AQ$2,PURCHASE!$H$6:$H$10008,$A$4:$A$2700)</f>
        <v>0</v>
      </c>
      <c r="AV218" s="512">
        <f t="shared" si="71"/>
        <v>0</v>
      </c>
      <c r="AW218" s="512">
        <f>SUMIFS(PURCHASE!$K$6:$K$10008,PURCHASE!$A$6:$A$10008,$AV$2,PURCHASE!$H$6:$H$10008,$A$4:$A$2700)</f>
        <v>0</v>
      </c>
      <c r="AX218" s="512">
        <f>SUMIFS(PURCHASE!$L$6:$L$10008,PURCHASE!$A$6:$A$10008,$AV$2,PURCHASE!$H$6:$H$10008,$A$4:$A$2700)</f>
        <v>0</v>
      </c>
      <c r="AY218" s="512">
        <f>SUMIFS(PURCHASE!$M$6:$M$10008,PURCHASE!$A$6:$A$10008,$AV$2,PURCHASE!$H$6:$H$10008,$A$4:$A$2700)</f>
        <v>0</v>
      </c>
      <c r="AZ218" s="512">
        <f>SUMIFS(PURCHASE!$N$6:$N$10008,PURCHASE!$A$6:$A$10008,$AV$2,PURCHASE!$H$6:$H$10008,$A$4:$A$2700)</f>
        <v>0</v>
      </c>
      <c r="BA218" s="512">
        <f t="shared" si="72"/>
        <v>0</v>
      </c>
      <c r="BB218" s="512">
        <f>SUMIFS(PURCHASE!$K$6:$K$10008,PURCHASE!$A$6:$A$10008,$BA$2,PURCHASE!$H$6:$H$10008,$A$4:$A$2700)</f>
        <v>0</v>
      </c>
      <c r="BC218" s="512">
        <f>SUMIFS(PURCHASE!$L$6:$L$10008,PURCHASE!$A$6:$A$10008,$BA$2,PURCHASE!$H$6:$H$10008,$A$4:$A$2700)</f>
        <v>0</v>
      </c>
      <c r="BD218" s="512">
        <f>SUMIFS(PURCHASE!$M$6:$M$10008,PURCHASE!$A$6:$A$10008,$BA$2,PURCHASE!$H$6:$H$10008,$A$4:$A$2700)</f>
        <v>0</v>
      </c>
      <c r="BE218" s="512">
        <f>SUMIFS(PURCHASE!$N$6:$N$10008,PURCHASE!$A$6:$A$10008,$BA$2,PURCHASE!$H$6:$H$10008,$A$4:$A$2700)</f>
        <v>0</v>
      </c>
      <c r="BF218" s="512">
        <f t="shared" si="73"/>
        <v>0</v>
      </c>
      <c r="BG218" s="512">
        <f>SUMIFS(PURCHASE!$K$6:$K$10008,PURCHASE!$A$6:$A$10008,$BF$2,PURCHASE!$H$6:$H$10008,$A$4:$A$2700)</f>
        <v>0</v>
      </c>
      <c r="BH218" s="512">
        <f>SUMIFS(PURCHASE!$L$6:$L$10008,PURCHASE!$A$6:$A$10008,$BF$2,PURCHASE!$H$6:$H$10008,$A$4:$A$2700)</f>
        <v>0</v>
      </c>
      <c r="BI218" s="512">
        <f>SUMIFS(PURCHASE!$M$6:$M$10008,PURCHASE!$A$6:$A$10008,$BF$2,PURCHASE!$H$6:$H$10008,$A$4:$A$2700)</f>
        <v>0</v>
      </c>
      <c r="BJ218" s="512">
        <f>SUMIFS(PURCHASE!$N$6:$N$10008,PURCHASE!$A$6:$A$10008,$BF$2,PURCHASE!$H$6:$H$10008,$A$4:$A$2700)</f>
        <v>0</v>
      </c>
      <c r="BK218" s="72">
        <f t="shared" si="57"/>
        <v>0</v>
      </c>
      <c r="BL218" s="72">
        <f t="shared" si="58"/>
        <v>0</v>
      </c>
      <c r="BM218" s="72">
        <f t="shared" si="59"/>
        <v>0</v>
      </c>
      <c r="BN218" s="72">
        <f t="shared" si="60"/>
        <v>0</v>
      </c>
      <c r="BO218" s="72">
        <f t="shared" si="61"/>
        <v>0</v>
      </c>
    </row>
    <row r="219" spans="1:67" x14ac:dyDescent="0.2">
      <c r="A219" s="511">
        <v>85129000</v>
      </c>
      <c r="B219" s="467" t="s">
        <v>1281</v>
      </c>
      <c r="C219" s="512">
        <f t="shared" si="62"/>
        <v>517221.03379999998</v>
      </c>
      <c r="D219" s="512">
        <f>SUMIFS(PURCHASE!$K$6:$K$10008,PURCHASE!$A$6:$A$10008,$M$2,PURCHASE!$H$6:$H$10008,$A$4:$A$2700)</f>
        <v>438322.91</v>
      </c>
      <c r="E219" s="512">
        <f>SUMIFS(PURCHASE!$L$6:$L$10008,PURCHASE!$A$6:$A$10008,$M$2,PURCHASE!$H$6:$H$10008,$A$4:$A$2700)</f>
        <v>0</v>
      </c>
      <c r="F219" s="512">
        <f>SUMIFS(PURCHASE!$M$6:$M$10008,PURCHASE!$A$6:$A$10008,$M$2,PURCHASE!$H$6:$H$10008,$A$4:$A$2700)</f>
        <v>39449.061900000001</v>
      </c>
      <c r="G219" s="512">
        <f>SUMIFS(PURCHASE!$N$6:$N$10008,PURCHASE!$A$6:$A$10008,$M$2,PURCHASE!$H$6:$H$10008,$A$4:$A$2700)</f>
        <v>39449.061900000001</v>
      </c>
      <c r="H219" s="512">
        <f t="shared" si="63"/>
        <v>484430.52119999996</v>
      </c>
      <c r="I219" s="512">
        <f>SUMIFS(PURCHASE!$K$6:$K$10008,PURCHASE!$A$6:$A$10008,$H$2,PURCHASE!$H$6:$H$10008,$A$4:$A$2700)</f>
        <v>410534.33999999997</v>
      </c>
      <c r="J219" s="512">
        <f>SUMIFS(PURCHASE!$L$6:$L$10008,PURCHASE!$A$6:$A$10008,$H$2,PURCHASE!$H$6:$H$10008,$A$4:$A$2700)</f>
        <v>0</v>
      </c>
      <c r="K219" s="512">
        <f>SUMIFS(PURCHASE!$M$6:$M$10008,PURCHASE!$A$6:$A$10008,$H$2,PURCHASE!$H$6:$H$10008,$A$4:$A$2700)</f>
        <v>36948.090599999989</v>
      </c>
      <c r="L219" s="512">
        <f>SUMIFS(PURCHASE!$N$6:$N$10008,PURCHASE!$A$6:$A$10008,$H$2,PURCHASE!$H$6:$H$10008,$A$4:$A$2700)</f>
        <v>36948.090599999989</v>
      </c>
      <c r="M219" s="512">
        <f t="shared" si="64"/>
        <v>517221.03379999998</v>
      </c>
      <c r="N219" s="512">
        <f>SUMIFS(PURCHASE!$K$6:$K$10008,PURCHASE!$A$6:$A$10008,$M$2,PURCHASE!$H$6:$H$10008,$A$4:$A$2700)</f>
        <v>438322.91</v>
      </c>
      <c r="O219" s="512">
        <f>SUMIFS(PURCHASE!$L$6:$L$10008,PURCHASE!$A$6:$A$10008,$M$2,PURCHASE!$H$6:$H$10008,$A$4:$A$2700)</f>
        <v>0</v>
      </c>
      <c r="P219" s="512">
        <f>SUMIFS(PURCHASE!$M$6:$M$10008,PURCHASE!$A$6:$A$10008,$M$2,PURCHASE!$H$6:$H$10008,$A$4:$A$2700)</f>
        <v>39449.061900000001</v>
      </c>
      <c r="Q219" s="512">
        <f>SUMIFS(PURCHASE!$N$6:$N$10008,PURCHASE!$A$6:$A$10008,$M$2,PURCHASE!$H$6:$H$10008,$A$4:$A$2700)</f>
        <v>39449.061900000001</v>
      </c>
      <c r="R219" s="512">
        <f t="shared" si="65"/>
        <v>767174.06640000013</v>
      </c>
      <c r="S219" s="512">
        <f>SUMIFS(PURCHASE!$K$6:$K$10008,PURCHASE!$A$6:$A$10008,$R$2,PURCHASE!$H$6:$H$10008,$A$4:$A$2700)</f>
        <v>650147.4800000001</v>
      </c>
      <c r="T219" s="512">
        <f>SUMIFS(PURCHASE!$L$6:$L$10008,PURCHASE!$A$6:$A$10008,$R$2,PURCHASE!$H$6:$H$10008,$A$4:$A$2700)</f>
        <v>0</v>
      </c>
      <c r="U219" s="512">
        <f>SUMIFS(PURCHASE!$M$6:$M$10008,PURCHASE!$A$6:$A$10008,$R$2,PURCHASE!$H$6:$H$10008,$A$4:$A$2700)</f>
        <v>58513.293200000015</v>
      </c>
      <c r="V219" s="512">
        <f>SUMIFS(PURCHASE!$N$6:$N$10008,PURCHASE!$A$6:$A$10008,$R$2,PURCHASE!$H$6:$H$10008,$A$4:$A$2700)</f>
        <v>58513.293200000015</v>
      </c>
      <c r="W219" s="512">
        <f t="shared" si="66"/>
        <v>448969.42080000002</v>
      </c>
      <c r="X219" s="512">
        <f>SUMIFS(PURCHASE!$K$6:$K$10008,PURCHASE!$A$6:$A$10008,$W$2,PURCHASE!$H$6:$H$10008,$A$4:$A$2700)</f>
        <v>380482.56</v>
      </c>
      <c r="Y219" s="512">
        <f>SUMIFS(PURCHASE!$L$6:$L$10008,PURCHASE!$A$6:$A$10008,$W$2,PURCHASE!$H$6:$H$10008,$A$4:$A$2700)</f>
        <v>0</v>
      </c>
      <c r="Z219" s="512">
        <f>SUMIFS(PURCHASE!$M$6:$M$10008,PURCHASE!$A$6:$A$10008,$W$2,PURCHASE!$H$6:$H$10008,$A$4:$A$2700)</f>
        <v>34243.430400000005</v>
      </c>
      <c r="AA219" s="512">
        <f>SUMIFS(PURCHASE!$N$6:$N$10008,PURCHASE!$A$6:$A$10008,$W$2,PURCHASE!$H$6:$H$10008,$A$4:$A$2700)</f>
        <v>34243.430400000005</v>
      </c>
      <c r="AB219" s="512">
        <f t="shared" si="67"/>
        <v>359763.277</v>
      </c>
      <c r="AC219" s="512">
        <f>SUMIFS(PURCHASE!$K$6:$K$10008,PURCHASE!$A$6:$A$10008,$AB$2,PURCHASE!$H$6:$H$10008,$A$4:$A$2700)</f>
        <v>304884.15000000002</v>
      </c>
      <c r="AD219" s="512">
        <f>SUMIFS(PURCHASE!$L$6:$L$10008,PURCHASE!$A$6:$A$10008,$AB$2,PURCHASE!$H$6:$H$10008,$A$4:$A$2700)</f>
        <v>0</v>
      </c>
      <c r="AE219" s="512">
        <f>SUMIFS(PURCHASE!$M$6:$M$10008,PURCHASE!$A$6:$A$10008,$AB$2,PURCHASE!$H$6:$H$10008,$A$4:$A$2700)</f>
        <v>27439.5635</v>
      </c>
      <c r="AF219" s="512">
        <f>SUMIFS(PURCHASE!$N$6:$N$10008,PURCHASE!$A$6:$A$10008,$AB$2,PURCHASE!$H$6:$H$10008,$A$4:$A$2700)</f>
        <v>27439.5635</v>
      </c>
      <c r="AG219" s="512">
        <f t="shared" si="68"/>
        <v>323005.05799999996</v>
      </c>
      <c r="AH219" s="512">
        <f>SUMIFS(PURCHASE!$K$6:$K$10008,PURCHASE!$A$6:$A$10008,$AG$2,PURCHASE!$H$6:$H$10008,$A$4:$A$2700)</f>
        <v>273733.09999999998</v>
      </c>
      <c r="AI219" s="512">
        <f>SUMIFS(PURCHASE!$L$6:$L$10008,PURCHASE!$A$6:$A$10008,$AG$2,PURCHASE!$H$6:$H$10008,$A$4:$A$2700)</f>
        <v>0</v>
      </c>
      <c r="AJ219" s="512">
        <f>SUMIFS(PURCHASE!$M$6:$M$10008,PURCHASE!$A$6:$A$10008,$AG$2,PURCHASE!$H$6:$H$10008,$A$4:$A$2700)</f>
        <v>24635.978999999999</v>
      </c>
      <c r="AK219" s="512">
        <f>SUMIFS(PURCHASE!$N$6:$N$10008,PURCHASE!$A$6:$A$10008,$AG$2,PURCHASE!$H$6:$H$10008,$A$4:$A$2700)</f>
        <v>24635.978999999999</v>
      </c>
      <c r="AL219" s="512">
        <f t="shared" si="69"/>
        <v>644107.01199999987</v>
      </c>
      <c r="AM219" s="512">
        <f>SUMIFS(PURCHASE!$K$6:$K$10008,PURCHASE!$A$6:$A$10008,$AL$2,PURCHASE!$H$6:$H$10008,$A$4:$A$2700)</f>
        <v>545853.39999999991</v>
      </c>
      <c r="AN219" s="512">
        <f>SUMIFS(PURCHASE!$L$6:$L$10008,PURCHASE!$A$6:$A$10008,$AL$2,PURCHASE!$H$6:$H$10008,$A$4:$A$2700)</f>
        <v>0</v>
      </c>
      <c r="AO219" s="512">
        <f>SUMIFS(PURCHASE!$M$6:$M$10008,PURCHASE!$A$6:$A$10008,$AL$2,PURCHASE!$H$6:$H$10008,$A$4:$A$2700)</f>
        <v>49126.806000000004</v>
      </c>
      <c r="AP219" s="512">
        <f>SUMIFS(PURCHASE!$N$6:$N$10008,PURCHASE!$A$6:$A$10008,$AL$2,PURCHASE!$H$6:$H$10008,$A$4:$A$2700)</f>
        <v>49126.806000000004</v>
      </c>
      <c r="AQ219" s="512">
        <f t="shared" si="70"/>
        <v>38847.110400000005</v>
      </c>
      <c r="AR219" s="512">
        <f>SUMIFS(PURCHASE!$K$6:$K$10008,PURCHASE!$A$6:$A$10008,$AQ$2,PURCHASE!$H$6:$H$10008,$A$4:$A$2700)</f>
        <v>32921.279999999999</v>
      </c>
      <c r="AS219" s="512">
        <f>SUMIFS(PURCHASE!$L$6:$L$10008,PURCHASE!$A$6:$A$10008,$AQ$2,PURCHASE!$H$6:$H$10008,$A$4:$A$2700)</f>
        <v>0</v>
      </c>
      <c r="AT219" s="512">
        <f>SUMIFS(PURCHASE!$M$6:$M$10008,PURCHASE!$A$6:$A$10008,$AQ$2,PURCHASE!$H$6:$H$10008,$A$4:$A$2700)</f>
        <v>2962.9152000000004</v>
      </c>
      <c r="AU219" s="512">
        <f>SUMIFS(PURCHASE!$N$6:$N$10008,PURCHASE!$A$6:$A$10008,$AQ$2,PURCHASE!$H$6:$H$10008,$A$4:$A$2700)</f>
        <v>2962.9152000000004</v>
      </c>
      <c r="AV219" s="512">
        <f t="shared" si="71"/>
        <v>176529.43960000001</v>
      </c>
      <c r="AW219" s="512">
        <f>SUMIFS(PURCHASE!$K$6:$K$10008,PURCHASE!$A$6:$A$10008,$AV$2,PURCHASE!$H$6:$H$10008,$A$4:$A$2700)</f>
        <v>149601.22</v>
      </c>
      <c r="AX219" s="512">
        <f>SUMIFS(PURCHASE!$L$6:$L$10008,PURCHASE!$A$6:$A$10008,$AV$2,PURCHASE!$H$6:$H$10008,$A$4:$A$2700)</f>
        <v>0</v>
      </c>
      <c r="AY219" s="512">
        <f>SUMIFS(PURCHASE!$M$6:$M$10008,PURCHASE!$A$6:$A$10008,$AV$2,PURCHASE!$H$6:$H$10008,$A$4:$A$2700)</f>
        <v>13464.109799999998</v>
      </c>
      <c r="AZ219" s="512">
        <f>SUMIFS(PURCHASE!$N$6:$N$10008,PURCHASE!$A$6:$A$10008,$AV$2,PURCHASE!$H$6:$H$10008,$A$4:$A$2700)</f>
        <v>13464.109799999998</v>
      </c>
      <c r="BA219" s="512">
        <f t="shared" si="72"/>
        <v>0</v>
      </c>
      <c r="BB219" s="512">
        <f>SUMIFS(PURCHASE!$K$6:$K$10008,PURCHASE!$A$6:$A$10008,$BA$2,PURCHASE!$H$6:$H$10008,$A$4:$A$2700)</f>
        <v>0</v>
      </c>
      <c r="BC219" s="512">
        <f>SUMIFS(PURCHASE!$L$6:$L$10008,PURCHASE!$A$6:$A$10008,$BA$2,PURCHASE!$H$6:$H$10008,$A$4:$A$2700)</f>
        <v>0</v>
      </c>
      <c r="BD219" s="512">
        <f>SUMIFS(PURCHASE!$M$6:$M$10008,PURCHASE!$A$6:$A$10008,$BA$2,PURCHASE!$H$6:$H$10008,$A$4:$A$2700)</f>
        <v>0</v>
      </c>
      <c r="BE219" s="512">
        <f>SUMIFS(PURCHASE!$N$6:$N$10008,PURCHASE!$A$6:$A$10008,$BA$2,PURCHASE!$H$6:$H$10008,$A$4:$A$2700)</f>
        <v>0</v>
      </c>
      <c r="BF219" s="512">
        <f t="shared" si="73"/>
        <v>0</v>
      </c>
      <c r="BG219" s="512">
        <f>SUMIFS(PURCHASE!$K$6:$K$10008,PURCHASE!$A$6:$A$10008,$BF$2,PURCHASE!$H$6:$H$10008,$A$4:$A$2700)</f>
        <v>0</v>
      </c>
      <c r="BH219" s="512">
        <f>SUMIFS(PURCHASE!$L$6:$L$10008,PURCHASE!$A$6:$A$10008,$BF$2,PURCHASE!$H$6:$H$10008,$A$4:$A$2700)</f>
        <v>0</v>
      </c>
      <c r="BI219" s="512">
        <f>SUMIFS(PURCHASE!$M$6:$M$10008,PURCHASE!$A$6:$A$10008,$BF$2,PURCHASE!$H$6:$H$10008,$A$4:$A$2700)</f>
        <v>0</v>
      </c>
      <c r="BJ219" s="512">
        <f>SUMIFS(PURCHASE!$N$6:$N$10008,PURCHASE!$A$6:$A$10008,$BF$2,PURCHASE!$H$6:$H$10008,$A$4:$A$2700)</f>
        <v>0</v>
      </c>
      <c r="BK219" s="72">
        <f t="shared" si="57"/>
        <v>4277267.9730000002</v>
      </c>
      <c r="BL219" s="72">
        <f t="shared" si="58"/>
        <v>3624803.35</v>
      </c>
      <c r="BM219" s="72">
        <f t="shared" si="59"/>
        <v>0</v>
      </c>
      <c r="BN219" s="72">
        <f t="shared" si="60"/>
        <v>326232.31149999995</v>
      </c>
      <c r="BO219" s="72">
        <f t="shared" si="61"/>
        <v>326232.31149999995</v>
      </c>
    </row>
    <row r="220" spans="1:67" x14ac:dyDescent="0.2">
      <c r="A220" s="511">
        <v>40169330</v>
      </c>
      <c r="B220" s="467" t="s">
        <v>1342</v>
      </c>
      <c r="C220" s="512">
        <f t="shared" si="62"/>
        <v>0</v>
      </c>
      <c r="D220" s="512">
        <f>SUMIFS(PURCHASE!$K$6:$K$10008,PURCHASE!$A$6:$A$10008,$M$2,PURCHASE!$H$6:$H$10008,$A$4:$A$2700)</f>
        <v>0</v>
      </c>
      <c r="E220" s="512">
        <f>SUMIFS(PURCHASE!$L$6:$L$10008,PURCHASE!$A$6:$A$10008,$M$2,PURCHASE!$H$6:$H$10008,$A$4:$A$2700)</f>
        <v>0</v>
      </c>
      <c r="F220" s="512">
        <f>SUMIFS(PURCHASE!$M$6:$M$10008,PURCHASE!$A$6:$A$10008,$M$2,PURCHASE!$H$6:$H$10008,$A$4:$A$2700)</f>
        <v>0</v>
      </c>
      <c r="G220" s="512">
        <f>SUMIFS(PURCHASE!$N$6:$N$10008,PURCHASE!$A$6:$A$10008,$M$2,PURCHASE!$H$6:$H$10008,$A$4:$A$2700)</f>
        <v>0</v>
      </c>
      <c r="H220" s="512">
        <f t="shared" si="63"/>
        <v>0</v>
      </c>
      <c r="I220" s="512">
        <f>SUMIFS(PURCHASE!$K$6:$K$10008,PURCHASE!$A$6:$A$10008,$H$2,PURCHASE!$H$6:$H$10008,$A$4:$A$2700)</f>
        <v>0</v>
      </c>
      <c r="J220" s="512">
        <f>SUMIFS(PURCHASE!$L$6:$L$10008,PURCHASE!$A$6:$A$10008,$H$2,PURCHASE!$H$6:$H$10008,$A$4:$A$2700)</f>
        <v>0</v>
      </c>
      <c r="K220" s="512">
        <f>SUMIFS(PURCHASE!$M$6:$M$10008,PURCHASE!$A$6:$A$10008,$H$2,PURCHASE!$H$6:$H$10008,$A$4:$A$2700)</f>
        <v>0</v>
      </c>
      <c r="L220" s="512">
        <f>SUMIFS(PURCHASE!$N$6:$N$10008,PURCHASE!$A$6:$A$10008,$H$2,PURCHASE!$H$6:$H$10008,$A$4:$A$2700)</f>
        <v>0</v>
      </c>
      <c r="M220" s="512">
        <f t="shared" si="64"/>
        <v>0</v>
      </c>
      <c r="N220" s="512">
        <f>SUMIFS(PURCHASE!$K$6:$K$10008,PURCHASE!$A$6:$A$10008,$M$2,PURCHASE!$H$6:$H$10008,$A$4:$A$2700)</f>
        <v>0</v>
      </c>
      <c r="O220" s="512">
        <f>SUMIFS(PURCHASE!$L$6:$L$10008,PURCHASE!$A$6:$A$10008,$M$2,PURCHASE!$H$6:$H$10008,$A$4:$A$2700)</f>
        <v>0</v>
      </c>
      <c r="P220" s="512">
        <f>SUMIFS(PURCHASE!$M$6:$M$10008,PURCHASE!$A$6:$A$10008,$M$2,PURCHASE!$H$6:$H$10008,$A$4:$A$2700)</f>
        <v>0</v>
      </c>
      <c r="Q220" s="512">
        <f>SUMIFS(PURCHASE!$N$6:$N$10008,PURCHASE!$A$6:$A$10008,$M$2,PURCHASE!$H$6:$H$10008,$A$4:$A$2700)</f>
        <v>0</v>
      </c>
      <c r="R220" s="512">
        <f t="shared" si="65"/>
        <v>0</v>
      </c>
      <c r="S220" s="512">
        <f>SUMIFS(PURCHASE!$K$6:$K$10008,PURCHASE!$A$6:$A$10008,$R$2,PURCHASE!$H$6:$H$10008,$A$4:$A$2700)</f>
        <v>0</v>
      </c>
      <c r="T220" s="512">
        <f>SUMIFS(PURCHASE!$L$6:$L$10008,PURCHASE!$A$6:$A$10008,$R$2,PURCHASE!$H$6:$H$10008,$A$4:$A$2700)</f>
        <v>0</v>
      </c>
      <c r="U220" s="512">
        <f>SUMIFS(PURCHASE!$M$6:$M$10008,PURCHASE!$A$6:$A$10008,$R$2,PURCHASE!$H$6:$H$10008,$A$4:$A$2700)</f>
        <v>0</v>
      </c>
      <c r="V220" s="512">
        <f>SUMIFS(PURCHASE!$N$6:$N$10008,PURCHASE!$A$6:$A$10008,$R$2,PURCHASE!$H$6:$H$10008,$A$4:$A$2700)</f>
        <v>0</v>
      </c>
      <c r="W220" s="512">
        <f t="shared" si="66"/>
        <v>0</v>
      </c>
      <c r="X220" s="512">
        <f>SUMIFS(PURCHASE!$K$6:$K$10008,PURCHASE!$A$6:$A$10008,$W$2,PURCHASE!$H$6:$H$10008,$A$4:$A$2700)</f>
        <v>0</v>
      </c>
      <c r="Y220" s="512">
        <f>SUMIFS(PURCHASE!$L$6:$L$10008,PURCHASE!$A$6:$A$10008,$W$2,PURCHASE!$H$6:$H$10008,$A$4:$A$2700)</f>
        <v>0</v>
      </c>
      <c r="Z220" s="512">
        <f>SUMIFS(PURCHASE!$M$6:$M$10008,PURCHASE!$A$6:$A$10008,$W$2,PURCHASE!$H$6:$H$10008,$A$4:$A$2700)</f>
        <v>0</v>
      </c>
      <c r="AA220" s="512">
        <f>SUMIFS(PURCHASE!$N$6:$N$10008,PURCHASE!$A$6:$A$10008,$W$2,PURCHASE!$H$6:$H$10008,$A$4:$A$2700)</f>
        <v>0</v>
      </c>
      <c r="AB220" s="512">
        <f t="shared" si="67"/>
        <v>0</v>
      </c>
      <c r="AC220" s="512">
        <f>SUMIFS(PURCHASE!$K$6:$K$10008,PURCHASE!$A$6:$A$10008,$AB$2,PURCHASE!$H$6:$H$10008,$A$4:$A$2700)</f>
        <v>0</v>
      </c>
      <c r="AD220" s="512">
        <f>SUMIFS(PURCHASE!$L$6:$L$10008,PURCHASE!$A$6:$A$10008,$AB$2,PURCHASE!$H$6:$H$10008,$A$4:$A$2700)</f>
        <v>0</v>
      </c>
      <c r="AE220" s="512">
        <f>SUMIFS(PURCHASE!$M$6:$M$10008,PURCHASE!$A$6:$A$10008,$AB$2,PURCHASE!$H$6:$H$10008,$A$4:$A$2700)</f>
        <v>0</v>
      </c>
      <c r="AF220" s="512">
        <f>SUMIFS(PURCHASE!$N$6:$N$10008,PURCHASE!$A$6:$A$10008,$AB$2,PURCHASE!$H$6:$H$10008,$A$4:$A$2700)</f>
        <v>0</v>
      </c>
      <c r="AG220" s="512">
        <f t="shared" si="68"/>
        <v>0</v>
      </c>
      <c r="AH220" s="512">
        <f>SUMIFS(PURCHASE!$K$6:$K$10008,PURCHASE!$A$6:$A$10008,$AG$2,PURCHASE!$H$6:$H$10008,$A$4:$A$2700)</f>
        <v>0</v>
      </c>
      <c r="AI220" s="512">
        <f>SUMIFS(PURCHASE!$L$6:$L$10008,PURCHASE!$A$6:$A$10008,$AG$2,PURCHASE!$H$6:$H$10008,$A$4:$A$2700)</f>
        <v>0</v>
      </c>
      <c r="AJ220" s="512">
        <f>SUMIFS(PURCHASE!$M$6:$M$10008,PURCHASE!$A$6:$A$10008,$AG$2,PURCHASE!$H$6:$H$10008,$A$4:$A$2700)</f>
        <v>0</v>
      </c>
      <c r="AK220" s="512">
        <f>SUMIFS(PURCHASE!$N$6:$N$10008,PURCHASE!$A$6:$A$10008,$AG$2,PURCHASE!$H$6:$H$10008,$A$4:$A$2700)</f>
        <v>0</v>
      </c>
      <c r="AL220" s="512">
        <f t="shared" si="69"/>
        <v>0</v>
      </c>
      <c r="AM220" s="512">
        <f>SUMIFS(PURCHASE!$K$6:$K$10008,PURCHASE!$A$6:$A$10008,$AL$2,PURCHASE!$H$6:$H$10008,$A$4:$A$2700)</f>
        <v>0</v>
      </c>
      <c r="AN220" s="512">
        <f>SUMIFS(PURCHASE!$L$6:$L$10008,PURCHASE!$A$6:$A$10008,$AL$2,PURCHASE!$H$6:$H$10008,$A$4:$A$2700)</f>
        <v>0</v>
      </c>
      <c r="AO220" s="512">
        <f>SUMIFS(PURCHASE!$M$6:$M$10008,PURCHASE!$A$6:$A$10008,$AL$2,PURCHASE!$H$6:$H$10008,$A$4:$A$2700)</f>
        <v>0</v>
      </c>
      <c r="AP220" s="512">
        <f>SUMIFS(PURCHASE!$N$6:$N$10008,PURCHASE!$A$6:$A$10008,$AL$2,PURCHASE!$H$6:$H$10008,$A$4:$A$2700)</f>
        <v>0</v>
      </c>
      <c r="AQ220" s="512">
        <f t="shared" si="70"/>
        <v>0</v>
      </c>
      <c r="AR220" s="512">
        <f>SUMIFS(PURCHASE!$K$6:$K$10008,PURCHASE!$A$6:$A$10008,$AQ$2,PURCHASE!$H$6:$H$10008,$A$4:$A$2700)</f>
        <v>0</v>
      </c>
      <c r="AS220" s="512">
        <f>SUMIFS(PURCHASE!$L$6:$L$10008,PURCHASE!$A$6:$A$10008,$AQ$2,PURCHASE!$H$6:$H$10008,$A$4:$A$2700)</f>
        <v>0</v>
      </c>
      <c r="AT220" s="512">
        <f>SUMIFS(PURCHASE!$M$6:$M$10008,PURCHASE!$A$6:$A$10008,$AQ$2,PURCHASE!$H$6:$H$10008,$A$4:$A$2700)</f>
        <v>0</v>
      </c>
      <c r="AU220" s="512">
        <f>SUMIFS(PURCHASE!$N$6:$N$10008,PURCHASE!$A$6:$A$10008,$AQ$2,PURCHASE!$H$6:$H$10008,$A$4:$A$2700)</f>
        <v>0</v>
      </c>
      <c r="AV220" s="512">
        <f t="shared" si="71"/>
        <v>0</v>
      </c>
      <c r="AW220" s="512">
        <f>SUMIFS(PURCHASE!$K$6:$K$10008,PURCHASE!$A$6:$A$10008,$AV$2,PURCHASE!$H$6:$H$10008,$A$4:$A$2700)</f>
        <v>0</v>
      </c>
      <c r="AX220" s="512">
        <f>SUMIFS(PURCHASE!$L$6:$L$10008,PURCHASE!$A$6:$A$10008,$AV$2,PURCHASE!$H$6:$H$10008,$A$4:$A$2700)</f>
        <v>0</v>
      </c>
      <c r="AY220" s="512">
        <f>SUMIFS(PURCHASE!$M$6:$M$10008,PURCHASE!$A$6:$A$10008,$AV$2,PURCHASE!$H$6:$H$10008,$A$4:$A$2700)</f>
        <v>0</v>
      </c>
      <c r="AZ220" s="512">
        <f>SUMIFS(PURCHASE!$N$6:$N$10008,PURCHASE!$A$6:$A$10008,$AV$2,PURCHASE!$H$6:$H$10008,$A$4:$A$2700)</f>
        <v>0</v>
      </c>
      <c r="BA220" s="512">
        <f t="shared" si="72"/>
        <v>0</v>
      </c>
      <c r="BB220" s="512">
        <f>SUMIFS(PURCHASE!$K$6:$K$10008,PURCHASE!$A$6:$A$10008,$BA$2,PURCHASE!$H$6:$H$10008,$A$4:$A$2700)</f>
        <v>0</v>
      </c>
      <c r="BC220" s="512">
        <f>SUMIFS(PURCHASE!$L$6:$L$10008,PURCHASE!$A$6:$A$10008,$BA$2,PURCHASE!$H$6:$H$10008,$A$4:$A$2700)</f>
        <v>0</v>
      </c>
      <c r="BD220" s="512">
        <f>SUMIFS(PURCHASE!$M$6:$M$10008,PURCHASE!$A$6:$A$10008,$BA$2,PURCHASE!$H$6:$H$10008,$A$4:$A$2700)</f>
        <v>0</v>
      </c>
      <c r="BE220" s="512">
        <f>SUMIFS(PURCHASE!$N$6:$N$10008,PURCHASE!$A$6:$A$10008,$BA$2,PURCHASE!$H$6:$H$10008,$A$4:$A$2700)</f>
        <v>0</v>
      </c>
      <c r="BF220" s="512">
        <f t="shared" si="73"/>
        <v>0</v>
      </c>
      <c r="BG220" s="512">
        <f>SUMIFS(PURCHASE!$K$6:$K$10008,PURCHASE!$A$6:$A$10008,$BF$2,PURCHASE!$H$6:$H$10008,$A$4:$A$2700)</f>
        <v>0</v>
      </c>
      <c r="BH220" s="512">
        <f>SUMIFS(PURCHASE!$L$6:$L$10008,PURCHASE!$A$6:$A$10008,$BF$2,PURCHASE!$H$6:$H$10008,$A$4:$A$2700)</f>
        <v>0</v>
      </c>
      <c r="BI220" s="512">
        <f>SUMIFS(PURCHASE!$M$6:$M$10008,PURCHASE!$A$6:$A$10008,$BF$2,PURCHASE!$H$6:$H$10008,$A$4:$A$2700)</f>
        <v>0</v>
      </c>
      <c r="BJ220" s="512">
        <f>SUMIFS(PURCHASE!$N$6:$N$10008,PURCHASE!$A$6:$A$10008,$BF$2,PURCHASE!$H$6:$H$10008,$A$4:$A$2700)</f>
        <v>0</v>
      </c>
      <c r="BK220" s="72">
        <f t="shared" si="57"/>
        <v>0</v>
      </c>
      <c r="BL220" s="72">
        <f t="shared" si="58"/>
        <v>0</v>
      </c>
      <c r="BM220" s="72">
        <f t="shared" si="59"/>
        <v>0</v>
      </c>
      <c r="BN220" s="72">
        <f t="shared" si="60"/>
        <v>0</v>
      </c>
      <c r="BO220" s="72">
        <f t="shared" si="61"/>
        <v>0</v>
      </c>
    </row>
    <row r="221" spans="1:67" x14ac:dyDescent="0.2">
      <c r="A221" s="511">
        <v>85371000</v>
      </c>
      <c r="B221" s="467" t="s">
        <v>1343</v>
      </c>
      <c r="C221" s="512">
        <f t="shared" si="62"/>
        <v>0</v>
      </c>
      <c r="D221" s="512">
        <f>SUMIFS(PURCHASE!$K$6:$K$10008,PURCHASE!$A$6:$A$10008,$M$2,PURCHASE!$H$6:$H$10008,$A$4:$A$2700)</f>
        <v>0</v>
      </c>
      <c r="E221" s="512">
        <f>SUMIFS(PURCHASE!$L$6:$L$10008,PURCHASE!$A$6:$A$10008,$M$2,PURCHASE!$H$6:$H$10008,$A$4:$A$2700)</f>
        <v>0</v>
      </c>
      <c r="F221" s="512">
        <f>SUMIFS(PURCHASE!$M$6:$M$10008,PURCHASE!$A$6:$A$10008,$M$2,PURCHASE!$H$6:$H$10008,$A$4:$A$2700)</f>
        <v>0</v>
      </c>
      <c r="G221" s="512">
        <f>SUMIFS(PURCHASE!$N$6:$N$10008,PURCHASE!$A$6:$A$10008,$M$2,PURCHASE!$H$6:$H$10008,$A$4:$A$2700)</f>
        <v>0</v>
      </c>
      <c r="H221" s="512">
        <f t="shared" si="63"/>
        <v>0</v>
      </c>
      <c r="I221" s="512">
        <f>SUMIFS(PURCHASE!$K$6:$K$10008,PURCHASE!$A$6:$A$10008,$H$2,PURCHASE!$H$6:$H$10008,$A$4:$A$2700)</f>
        <v>0</v>
      </c>
      <c r="J221" s="512">
        <f>SUMIFS(PURCHASE!$L$6:$L$10008,PURCHASE!$A$6:$A$10008,$H$2,PURCHASE!$H$6:$H$10008,$A$4:$A$2700)</f>
        <v>0</v>
      </c>
      <c r="K221" s="512">
        <f>SUMIFS(PURCHASE!$M$6:$M$10008,PURCHASE!$A$6:$A$10008,$H$2,PURCHASE!$H$6:$H$10008,$A$4:$A$2700)</f>
        <v>0</v>
      </c>
      <c r="L221" s="512">
        <f>SUMIFS(PURCHASE!$N$6:$N$10008,PURCHASE!$A$6:$A$10008,$H$2,PURCHASE!$H$6:$H$10008,$A$4:$A$2700)</f>
        <v>0</v>
      </c>
      <c r="M221" s="512">
        <f t="shared" si="64"/>
        <v>0</v>
      </c>
      <c r="N221" s="512">
        <f>SUMIFS(PURCHASE!$K$6:$K$10008,PURCHASE!$A$6:$A$10008,$M$2,PURCHASE!$H$6:$H$10008,$A$4:$A$2700)</f>
        <v>0</v>
      </c>
      <c r="O221" s="512">
        <f>SUMIFS(PURCHASE!$L$6:$L$10008,PURCHASE!$A$6:$A$10008,$M$2,PURCHASE!$H$6:$H$10008,$A$4:$A$2700)</f>
        <v>0</v>
      </c>
      <c r="P221" s="512">
        <f>SUMIFS(PURCHASE!$M$6:$M$10008,PURCHASE!$A$6:$A$10008,$M$2,PURCHASE!$H$6:$H$10008,$A$4:$A$2700)</f>
        <v>0</v>
      </c>
      <c r="Q221" s="512">
        <f>SUMIFS(PURCHASE!$N$6:$N$10008,PURCHASE!$A$6:$A$10008,$M$2,PURCHASE!$H$6:$H$10008,$A$4:$A$2700)</f>
        <v>0</v>
      </c>
      <c r="R221" s="512">
        <f t="shared" si="65"/>
        <v>0</v>
      </c>
      <c r="S221" s="512">
        <f>SUMIFS(PURCHASE!$K$6:$K$10008,PURCHASE!$A$6:$A$10008,$R$2,PURCHASE!$H$6:$H$10008,$A$4:$A$2700)</f>
        <v>0</v>
      </c>
      <c r="T221" s="512">
        <f>SUMIFS(PURCHASE!$L$6:$L$10008,PURCHASE!$A$6:$A$10008,$R$2,PURCHASE!$H$6:$H$10008,$A$4:$A$2700)</f>
        <v>0</v>
      </c>
      <c r="U221" s="512">
        <f>SUMIFS(PURCHASE!$M$6:$M$10008,PURCHASE!$A$6:$A$10008,$R$2,PURCHASE!$H$6:$H$10008,$A$4:$A$2700)</f>
        <v>0</v>
      </c>
      <c r="V221" s="512">
        <f>SUMIFS(PURCHASE!$N$6:$N$10008,PURCHASE!$A$6:$A$10008,$R$2,PURCHASE!$H$6:$H$10008,$A$4:$A$2700)</f>
        <v>0</v>
      </c>
      <c r="W221" s="512">
        <f t="shared" si="66"/>
        <v>0</v>
      </c>
      <c r="X221" s="512">
        <f>SUMIFS(PURCHASE!$K$6:$K$10008,PURCHASE!$A$6:$A$10008,$W$2,PURCHASE!$H$6:$H$10008,$A$4:$A$2700)</f>
        <v>0</v>
      </c>
      <c r="Y221" s="512">
        <f>SUMIFS(PURCHASE!$L$6:$L$10008,PURCHASE!$A$6:$A$10008,$W$2,PURCHASE!$H$6:$H$10008,$A$4:$A$2700)</f>
        <v>0</v>
      </c>
      <c r="Z221" s="512">
        <f>SUMIFS(PURCHASE!$M$6:$M$10008,PURCHASE!$A$6:$A$10008,$W$2,PURCHASE!$H$6:$H$10008,$A$4:$A$2700)</f>
        <v>0</v>
      </c>
      <c r="AA221" s="512">
        <f>SUMIFS(PURCHASE!$N$6:$N$10008,PURCHASE!$A$6:$A$10008,$W$2,PURCHASE!$H$6:$H$10008,$A$4:$A$2700)</f>
        <v>0</v>
      </c>
      <c r="AB221" s="512">
        <f t="shared" si="67"/>
        <v>0</v>
      </c>
      <c r="AC221" s="512">
        <f>SUMIFS(PURCHASE!$K$6:$K$10008,PURCHASE!$A$6:$A$10008,$AB$2,PURCHASE!$H$6:$H$10008,$A$4:$A$2700)</f>
        <v>0</v>
      </c>
      <c r="AD221" s="512">
        <f>SUMIFS(PURCHASE!$L$6:$L$10008,PURCHASE!$A$6:$A$10008,$AB$2,PURCHASE!$H$6:$H$10008,$A$4:$A$2700)</f>
        <v>0</v>
      </c>
      <c r="AE221" s="512">
        <f>SUMIFS(PURCHASE!$M$6:$M$10008,PURCHASE!$A$6:$A$10008,$AB$2,PURCHASE!$H$6:$H$10008,$A$4:$A$2700)</f>
        <v>0</v>
      </c>
      <c r="AF221" s="512">
        <f>SUMIFS(PURCHASE!$N$6:$N$10008,PURCHASE!$A$6:$A$10008,$AB$2,PURCHASE!$H$6:$H$10008,$A$4:$A$2700)</f>
        <v>0</v>
      </c>
      <c r="AG221" s="512">
        <f t="shared" si="68"/>
        <v>0</v>
      </c>
      <c r="AH221" s="512">
        <f>SUMIFS(PURCHASE!$K$6:$K$10008,PURCHASE!$A$6:$A$10008,$AG$2,PURCHASE!$H$6:$H$10008,$A$4:$A$2700)</f>
        <v>0</v>
      </c>
      <c r="AI221" s="512">
        <f>SUMIFS(PURCHASE!$L$6:$L$10008,PURCHASE!$A$6:$A$10008,$AG$2,PURCHASE!$H$6:$H$10008,$A$4:$A$2700)</f>
        <v>0</v>
      </c>
      <c r="AJ221" s="512">
        <f>SUMIFS(PURCHASE!$M$6:$M$10008,PURCHASE!$A$6:$A$10008,$AG$2,PURCHASE!$H$6:$H$10008,$A$4:$A$2700)</f>
        <v>0</v>
      </c>
      <c r="AK221" s="512">
        <f>SUMIFS(PURCHASE!$N$6:$N$10008,PURCHASE!$A$6:$A$10008,$AG$2,PURCHASE!$H$6:$H$10008,$A$4:$A$2700)</f>
        <v>0</v>
      </c>
      <c r="AL221" s="512">
        <f t="shared" si="69"/>
        <v>0</v>
      </c>
      <c r="AM221" s="512">
        <f>SUMIFS(PURCHASE!$K$6:$K$10008,PURCHASE!$A$6:$A$10008,$AL$2,PURCHASE!$H$6:$H$10008,$A$4:$A$2700)</f>
        <v>0</v>
      </c>
      <c r="AN221" s="512">
        <f>SUMIFS(PURCHASE!$L$6:$L$10008,PURCHASE!$A$6:$A$10008,$AL$2,PURCHASE!$H$6:$H$10008,$A$4:$A$2700)</f>
        <v>0</v>
      </c>
      <c r="AO221" s="512">
        <f>SUMIFS(PURCHASE!$M$6:$M$10008,PURCHASE!$A$6:$A$10008,$AL$2,PURCHASE!$H$6:$H$10008,$A$4:$A$2700)</f>
        <v>0</v>
      </c>
      <c r="AP221" s="512">
        <f>SUMIFS(PURCHASE!$N$6:$N$10008,PURCHASE!$A$6:$A$10008,$AL$2,PURCHASE!$H$6:$H$10008,$A$4:$A$2700)</f>
        <v>0</v>
      </c>
      <c r="AQ221" s="512">
        <f t="shared" si="70"/>
        <v>5215.6000000000004</v>
      </c>
      <c r="AR221" s="512">
        <f>SUMIFS(PURCHASE!$K$6:$K$10008,PURCHASE!$A$6:$A$10008,$AQ$2,PURCHASE!$H$6:$H$10008,$A$4:$A$2700)</f>
        <v>4420</v>
      </c>
      <c r="AS221" s="512">
        <f>SUMIFS(PURCHASE!$L$6:$L$10008,PURCHASE!$A$6:$A$10008,$AQ$2,PURCHASE!$H$6:$H$10008,$A$4:$A$2700)</f>
        <v>0</v>
      </c>
      <c r="AT221" s="512">
        <f>SUMIFS(PURCHASE!$M$6:$M$10008,PURCHASE!$A$6:$A$10008,$AQ$2,PURCHASE!$H$6:$H$10008,$A$4:$A$2700)</f>
        <v>397.8</v>
      </c>
      <c r="AU221" s="512">
        <f>SUMIFS(PURCHASE!$N$6:$N$10008,PURCHASE!$A$6:$A$10008,$AQ$2,PURCHASE!$H$6:$H$10008,$A$4:$A$2700)</f>
        <v>397.8</v>
      </c>
      <c r="AV221" s="512">
        <f t="shared" si="71"/>
        <v>0</v>
      </c>
      <c r="AW221" s="512">
        <f>SUMIFS(PURCHASE!$K$6:$K$10008,PURCHASE!$A$6:$A$10008,$AV$2,PURCHASE!$H$6:$H$10008,$A$4:$A$2700)</f>
        <v>0</v>
      </c>
      <c r="AX221" s="512">
        <f>SUMIFS(PURCHASE!$L$6:$L$10008,PURCHASE!$A$6:$A$10008,$AV$2,PURCHASE!$H$6:$H$10008,$A$4:$A$2700)</f>
        <v>0</v>
      </c>
      <c r="AY221" s="512">
        <f>SUMIFS(PURCHASE!$M$6:$M$10008,PURCHASE!$A$6:$A$10008,$AV$2,PURCHASE!$H$6:$H$10008,$A$4:$A$2700)</f>
        <v>0</v>
      </c>
      <c r="AZ221" s="512">
        <f>SUMIFS(PURCHASE!$N$6:$N$10008,PURCHASE!$A$6:$A$10008,$AV$2,PURCHASE!$H$6:$H$10008,$A$4:$A$2700)</f>
        <v>0</v>
      </c>
      <c r="BA221" s="512">
        <f t="shared" si="72"/>
        <v>0</v>
      </c>
      <c r="BB221" s="512">
        <f>SUMIFS(PURCHASE!$K$6:$K$10008,PURCHASE!$A$6:$A$10008,$BA$2,PURCHASE!$H$6:$H$10008,$A$4:$A$2700)</f>
        <v>0</v>
      </c>
      <c r="BC221" s="512">
        <f>SUMIFS(PURCHASE!$L$6:$L$10008,PURCHASE!$A$6:$A$10008,$BA$2,PURCHASE!$H$6:$H$10008,$A$4:$A$2700)</f>
        <v>0</v>
      </c>
      <c r="BD221" s="512">
        <f>SUMIFS(PURCHASE!$M$6:$M$10008,PURCHASE!$A$6:$A$10008,$BA$2,PURCHASE!$H$6:$H$10008,$A$4:$A$2700)</f>
        <v>0</v>
      </c>
      <c r="BE221" s="512">
        <f>SUMIFS(PURCHASE!$N$6:$N$10008,PURCHASE!$A$6:$A$10008,$BA$2,PURCHASE!$H$6:$H$10008,$A$4:$A$2700)</f>
        <v>0</v>
      </c>
      <c r="BF221" s="512">
        <f t="shared" si="73"/>
        <v>0</v>
      </c>
      <c r="BG221" s="512">
        <f>SUMIFS(PURCHASE!$K$6:$K$10008,PURCHASE!$A$6:$A$10008,$BF$2,PURCHASE!$H$6:$H$10008,$A$4:$A$2700)</f>
        <v>0</v>
      </c>
      <c r="BH221" s="512">
        <f>SUMIFS(PURCHASE!$L$6:$L$10008,PURCHASE!$A$6:$A$10008,$BF$2,PURCHASE!$H$6:$H$10008,$A$4:$A$2700)</f>
        <v>0</v>
      </c>
      <c r="BI221" s="512">
        <f>SUMIFS(PURCHASE!$M$6:$M$10008,PURCHASE!$A$6:$A$10008,$BF$2,PURCHASE!$H$6:$H$10008,$A$4:$A$2700)</f>
        <v>0</v>
      </c>
      <c r="BJ221" s="512">
        <f>SUMIFS(PURCHASE!$N$6:$N$10008,PURCHASE!$A$6:$A$10008,$BF$2,PURCHASE!$H$6:$H$10008,$A$4:$A$2700)</f>
        <v>0</v>
      </c>
      <c r="BK221" s="72">
        <f t="shared" si="57"/>
        <v>5215.6000000000004</v>
      </c>
      <c r="BL221" s="72">
        <f t="shared" si="58"/>
        <v>4420</v>
      </c>
      <c r="BM221" s="72">
        <f t="shared" si="59"/>
        <v>0</v>
      </c>
      <c r="BN221" s="72">
        <f t="shared" si="60"/>
        <v>397.8</v>
      </c>
      <c r="BO221" s="72">
        <f t="shared" si="61"/>
        <v>397.8</v>
      </c>
    </row>
    <row r="222" spans="1:67" x14ac:dyDescent="0.2">
      <c r="A222" s="511">
        <v>85381090</v>
      </c>
      <c r="B222" s="467" t="s">
        <v>1344</v>
      </c>
      <c r="C222" s="512">
        <f t="shared" si="62"/>
        <v>0</v>
      </c>
      <c r="D222" s="512">
        <f>SUMIFS(PURCHASE!$K$6:$K$10008,PURCHASE!$A$6:$A$10008,$M$2,PURCHASE!$H$6:$H$10008,$A$4:$A$2700)</f>
        <v>0</v>
      </c>
      <c r="E222" s="512">
        <f>SUMIFS(PURCHASE!$L$6:$L$10008,PURCHASE!$A$6:$A$10008,$M$2,PURCHASE!$H$6:$H$10008,$A$4:$A$2700)</f>
        <v>0</v>
      </c>
      <c r="F222" s="512">
        <f>SUMIFS(PURCHASE!$M$6:$M$10008,PURCHASE!$A$6:$A$10008,$M$2,PURCHASE!$H$6:$H$10008,$A$4:$A$2700)</f>
        <v>0</v>
      </c>
      <c r="G222" s="512">
        <f>SUMIFS(PURCHASE!$N$6:$N$10008,PURCHASE!$A$6:$A$10008,$M$2,PURCHASE!$H$6:$H$10008,$A$4:$A$2700)</f>
        <v>0</v>
      </c>
      <c r="H222" s="512">
        <f t="shared" si="63"/>
        <v>0</v>
      </c>
      <c r="I222" s="512">
        <f>SUMIFS(PURCHASE!$K$6:$K$10008,PURCHASE!$A$6:$A$10008,$H$2,PURCHASE!$H$6:$H$10008,$A$4:$A$2700)</f>
        <v>0</v>
      </c>
      <c r="J222" s="512">
        <f>SUMIFS(PURCHASE!$L$6:$L$10008,PURCHASE!$A$6:$A$10008,$H$2,PURCHASE!$H$6:$H$10008,$A$4:$A$2700)</f>
        <v>0</v>
      </c>
      <c r="K222" s="512">
        <f>SUMIFS(PURCHASE!$M$6:$M$10008,PURCHASE!$A$6:$A$10008,$H$2,PURCHASE!$H$6:$H$10008,$A$4:$A$2700)</f>
        <v>0</v>
      </c>
      <c r="L222" s="512">
        <f>SUMIFS(PURCHASE!$N$6:$N$10008,PURCHASE!$A$6:$A$10008,$H$2,PURCHASE!$H$6:$H$10008,$A$4:$A$2700)</f>
        <v>0</v>
      </c>
      <c r="M222" s="512">
        <f t="shared" si="64"/>
        <v>0</v>
      </c>
      <c r="N222" s="512">
        <f>SUMIFS(PURCHASE!$K$6:$K$10008,PURCHASE!$A$6:$A$10008,$M$2,PURCHASE!$H$6:$H$10008,$A$4:$A$2700)</f>
        <v>0</v>
      </c>
      <c r="O222" s="512">
        <f>SUMIFS(PURCHASE!$L$6:$L$10008,PURCHASE!$A$6:$A$10008,$M$2,PURCHASE!$H$6:$H$10008,$A$4:$A$2700)</f>
        <v>0</v>
      </c>
      <c r="P222" s="512">
        <f>SUMIFS(PURCHASE!$M$6:$M$10008,PURCHASE!$A$6:$A$10008,$M$2,PURCHASE!$H$6:$H$10008,$A$4:$A$2700)</f>
        <v>0</v>
      </c>
      <c r="Q222" s="512">
        <f>SUMIFS(PURCHASE!$N$6:$N$10008,PURCHASE!$A$6:$A$10008,$M$2,PURCHASE!$H$6:$H$10008,$A$4:$A$2700)</f>
        <v>0</v>
      </c>
      <c r="R222" s="512">
        <f t="shared" si="65"/>
        <v>0</v>
      </c>
      <c r="S222" s="512">
        <f>SUMIFS(PURCHASE!$K$6:$K$10008,PURCHASE!$A$6:$A$10008,$R$2,PURCHASE!$H$6:$H$10008,$A$4:$A$2700)</f>
        <v>0</v>
      </c>
      <c r="T222" s="512">
        <f>SUMIFS(PURCHASE!$L$6:$L$10008,PURCHASE!$A$6:$A$10008,$R$2,PURCHASE!$H$6:$H$10008,$A$4:$A$2700)</f>
        <v>0</v>
      </c>
      <c r="U222" s="512">
        <f>SUMIFS(PURCHASE!$M$6:$M$10008,PURCHASE!$A$6:$A$10008,$R$2,PURCHASE!$H$6:$H$10008,$A$4:$A$2700)</f>
        <v>0</v>
      </c>
      <c r="V222" s="512">
        <f>SUMIFS(PURCHASE!$N$6:$N$10008,PURCHASE!$A$6:$A$10008,$R$2,PURCHASE!$H$6:$H$10008,$A$4:$A$2700)</f>
        <v>0</v>
      </c>
      <c r="W222" s="512">
        <f t="shared" si="66"/>
        <v>0</v>
      </c>
      <c r="X222" s="512">
        <f>SUMIFS(PURCHASE!$K$6:$K$10008,PURCHASE!$A$6:$A$10008,$W$2,PURCHASE!$H$6:$H$10008,$A$4:$A$2700)</f>
        <v>0</v>
      </c>
      <c r="Y222" s="512">
        <f>SUMIFS(PURCHASE!$L$6:$L$10008,PURCHASE!$A$6:$A$10008,$W$2,PURCHASE!$H$6:$H$10008,$A$4:$A$2700)</f>
        <v>0</v>
      </c>
      <c r="Z222" s="512">
        <f>SUMIFS(PURCHASE!$M$6:$M$10008,PURCHASE!$A$6:$A$10008,$W$2,PURCHASE!$H$6:$H$10008,$A$4:$A$2700)</f>
        <v>0</v>
      </c>
      <c r="AA222" s="512">
        <f>SUMIFS(PURCHASE!$N$6:$N$10008,PURCHASE!$A$6:$A$10008,$W$2,PURCHASE!$H$6:$H$10008,$A$4:$A$2700)</f>
        <v>0</v>
      </c>
      <c r="AB222" s="512">
        <f t="shared" si="67"/>
        <v>0</v>
      </c>
      <c r="AC222" s="512">
        <f>SUMIFS(PURCHASE!$K$6:$K$10008,PURCHASE!$A$6:$A$10008,$AB$2,PURCHASE!$H$6:$H$10008,$A$4:$A$2700)</f>
        <v>0</v>
      </c>
      <c r="AD222" s="512">
        <f>SUMIFS(PURCHASE!$L$6:$L$10008,PURCHASE!$A$6:$A$10008,$AB$2,PURCHASE!$H$6:$H$10008,$A$4:$A$2700)</f>
        <v>0</v>
      </c>
      <c r="AE222" s="512">
        <f>SUMIFS(PURCHASE!$M$6:$M$10008,PURCHASE!$A$6:$A$10008,$AB$2,PURCHASE!$H$6:$H$10008,$A$4:$A$2700)</f>
        <v>0</v>
      </c>
      <c r="AF222" s="512">
        <f>SUMIFS(PURCHASE!$N$6:$N$10008,PURCHASE!$A$6:$A$10008,$AB$2,PURCHASE!$H$6:$H$10008,$A$4:$A$2700)</f>
        <v>0</v>
      </c>
      <c r="AG222" s="512">
        <f t="shared" si="68"/>
        <v>0</v>
      </c>
      <c r="AH222" s="512">
        <f>SUMIFS(PURCHASE!$K$6:$K$10008,PURCHASE!$A$6:$A$10008,$AG$2,PURCHASE!$H$6:$H$10008,$A$4:$A$2700)</f>
        <v>0</v>
      </c>
      <c r="AI222" s="512">
        <f>SUMIFS(PURCHASE!$L$6:$L$10008,PURCHASE!$A$6:$A$10008,$AG$2,PURCHASE!$H$6:$H$10008,$A$4:$A$2700)</f>
        <v>0</v>
      </c>
      <c r="AJ222" s="512">
        <f>SUMIFS(PURCHASE!$M$6:$M$10008,PURCHASE!$A$6:$A$10008,$AG$2,PURCHASE!$H$6:$H$10008,$A$4:$A$2700)</f>
        <v>0</v>
      </c>
      <c r="AK222" s="512">
        <f>SUMIFS(PURCHASE!$N$6:$N$10008,PURCHASE!$A$6:$A$10008,$AG$2,PURCHASE!$H$6:$H$10008,$A$4:$A$2700)</f>
        <v>0</v>
      </c>
      <c r="AL222" s="512">
        <f t="shared" si="69"/>
        <v>0</v>
      </c>
      <c r="AM222" s="512">
        <f>SUMIFS(PURCHASE!$K$6:$K$10008,PURCHASE!$A$6:$A$10008,$AL$2,PURCHASE!$H$6:$H$10008,$A$4:$A$2700)</f>
        <v>0</v>
      </c>
      <c r="AN222" s="512">
        <f>SUMIFS(PURCHASE!$L$6:$L$10008,PURCHASE!$A$6:$A$10008,$AL$2,PURCHASE!$H$6:$H$10008,$A$4:$A$2700)</f>
        <v>0</v>
      </c>
      <c r="AO222" s="512">
        <f>SUMIFS(PURCHASE!$M$6:$M$10008,PURCHASE!$A$6:$A$10008,$AL$2,PURCHASE!$H$6:$H$10008,$A$4:$A$2700)</f>
        <v>0</v>
      </c>
      <c r="AP222" s="512">
        <f>SUMIFS(PURCHASE!$N$6:$N$10008,PURCHASE!$A$6:$A$10008,$AL$2,PURCHASE!$H$6:$H$10008,$A$4:$A$2700)</f>
        <v>0</v>
      </c>
      <c r="AQ222" s="512">
        <f t="shared" si="70"/>
        <v>0</v>
      </c>
      <c r="AR222" s="512">
        <f>SUMIFS(PURCHASE!$K$6:$K$10008,PURCHASE!$A$6:$A$10008,$AQ$2,PURCHASE!$H$6:$H$10008,$A$4:$A$2700)</f>
        <v>0</v>
      </c>
      <c r="AS222" s="512">
        <f>SUMIFS(PURCHASE!$L$6:$L$10008,PURCHASE!$A$6:$A$10008,$AQ$2,PURCHASE!$H$6:$H$10008,$A$4:$A$2700)</f>
        <v>0</v>
      </c>
      <c r="AT222" s="512">
        <f>SUMIFS(PURCHASE!$M$6:$M$10008,PURCHASE!$A$6:$A$10008,$AQ$2,PURCHASE!$H$6:$H$10008,$A$4:$A$2700)</f>
        <v>0</v>
      </c>
      <c r="AU222" s="512">
        <f>SUMIFS(PURCHASE!$N$6:$N$10008,PURCHASE!$A$6:$A$10008,$AQ$2,PURCHASE!$H$6:$H$10008,$A$4:$A$2700)</f>
        <v>0</v>
      </c>
      <c r="AV222" s="512">
        <f t="shared" si="71"/>
        <v>0</v>
      </c>
      <c r="AW222" s="512">
        <f>SUMIFS(PURCHASE!$K$6:$K$10008,PURCHASE!$A$6:$A$10008,$AV$2,PURCHASE!$H$6:$H$10008,$A$4:$A$2700)</f>
        <v>0</v>
      </c>
      <c r="AX222" s="512">
        <f>SUMIFS(PURCHASE!$L$6:$L$10008,PURCHASE!$A$6:$A$10008,$AV$2,PURCHASE!$H$6:$H$10008,$A$4:$A$2700)</f>
        <v>0</v>
      </c>
      <c r="AY222" s="512">
        <f>SUMIFS(PURCHASE!$M$6:$M$10008,PURCHASE!$A$6:$A$10008,$AV$2,PURCHASE!$H$6:$H$10008,$A$4:$A$2700)</f>
        <v>0</v>
      </c>
      <c r="AZ222" s="512">
        <f>SUMIFS(PURCHASE!$N$6:$N$10008,PURCHASE!$A$6:$A$10008,$AV$2,PURCHASE!$H$6:$H$10008,$A$4:$A$2700)</f>
        <v>0</v>
      </c>
      <c r="BA222" s="512">
        <f t="shared" si="72"/>
        <v>0</v>
      </c>
      <c r="BB222" s="512">
        <f>SUMIFS(PURCHASE!$K$6:$K$10008,PURCHASE!$A$6:$A$10008,$BA$2,PURCHASE!$H$6:$H$10008,$A$4:$A$2700)</f>
        <v>0</v>
      </c>
      <c r="BC222" s="512">
        <f>SUMIFS(PURCHASE!$L$6:$L$10008,PURCHASE!$A$6:$A$10008,$BA$2,PURCHASE!$H$6:$H$10008,$A$4:$A$2700)</f>
        <v>0</v>
      </c>
      <c r="BD222" s="512">
        <f>SUMIFS(PURCHASE!$M$6:$M$10008,PURCHASE!$A$6:$A$10008,$BA$2,PURCHASE!$H$6:$H$10008,$A$4:$A$2700)</f>
        <v>0</v>
      </c>
      <c r="BE222" s="512">
        <f>SUMIFS(PURCHASE!$N$6:$N$10008,PURCHASE!$A$6:$A$10008,$BA$2,PURCHASE!$H$6:$H$10008,$A$4:$A$2700)</f>
        <v>0</v>
      </c>
      <c r="BF222" s="512">
        <f t="shared" si="73"/>
        <v>0</v>
      </c>
      <c r="BG222" s="512">
        <f>SUMIFS(PURCHASE!$K$6:$K$10008,PURCHASE!$A$6:$A$10008,$BF$2,PURCHASE!$H$6:$H$10008,$A$4:$A$2700)</f>
        <v>0</v>
      </c>
      <c r="BH222" s="512">
        <f>SUMIFS(PURCHASE!$L$6:$L$10008,PURCHASE!$A$6:$A$10008,$BF$2,PURCHASE!$H$6:$H$10008,$A$4:$A$2700)</f>
        <v>0</v>
      </c>
      <c r="BI222" s="512">
        <f>SUMIFS(PURCHASE!$M$6:$M$10008,PURCHASE!$A$6:$A$10008,$BF$2,PURCHASE!$H$6:$H$10008,$A$4:$A$2700)</f>
        <v>0</v>
      </c>
      <c r="BJ222" s="512">
        <f>SUMIFS(PURCHASE!$N$6:$N$10008,PURCHASE!$A$6:$A$10008,$BF$2,PURCHASE!$H$6:$H$10008,$A$4:$A$2700)</f>
        <v>0</v>
      </c>
      <c r="BK222" s="72">
        <f t="shared" si="57"/>
        <v>0</v>
      </c>
      <c r="BL222" s="72">
        <f t="shared" si="58"/>
        <v>0</v>
      </c>
      <c r="BM222" s="72">
        <f t="shared" si="59"/>
        <v>0</v>
      </c>
      <c r="BN222" s="72">
        <f t="shared" si="60"/>
        <v>0</v>
      </c>
      <c r="BO222" s="72">
        <f t="shared" si="61"/>
        <v>0</v>
      </c>
    </row>
    <row r="223" spans="1:67" x14ac:dyDescent="0.2">
      <c r="A223" s="511">
        <v>85444992</v>
      </c>
      <c r="B223" s="467" t="s">
        <v>1345</v>
      </c>
      <c r="C223" s="512">
        <f t="shared" si="62"/>
        <v>0</v>
      </c>
      <c r="D223" s="512">
        <f>SUMIFS(PURCHASE!$K$6:$K$10008,PURCHASE!$A$6:$A$10008,$M$2,PURCHASE!$H$6:$H$10008,$A$4:$A$2700)</f>
        <v>0</v>
      </c>
      <c r="E223" s="512">
        <f>SUMIFS(PURCHASE!$L$6:$L$10008,PURCHASE!$A$6:$A$10008,$M$2,PURCHASE!$H$6:$H$10008,$A$4:$A$2700)</f>
        <v>0</v>
      </c>
      <c r="F223" s="512">
        <f>SUMIFS(PURCHASE!$M$6:$M$10008,PURCHASE!$A$6:$A$10008,$M$2,PURCHASE!$H$6:$H$10008,$A$4:$A$2700)</f>
        <v>0</v>
      </c>
      <c r="G223" s="512">
        <f>SUMIFS(PURCHASE!$N$6:$N$10008,PURCHASE!$A$6:$A$10008,$M$2,PURCHASE!$H$6:$H$10008,$A$4:$A$2700)</f>
        <v>0</v>
      </c>
      <c r="H223" s="512">
        <f t="shared" si="63"/>
        <v>0</v>
      </c>
      <c r="I223" s="512">
        <f>SUMIFS(PURCHASE!$K$6:$K$10008,PURCHASE!$A$6:$A$10008,$H$2,PURCHASE!$H$6:$H$10008,$A$4:$A$2700)</f>
        <v>0</v>
      </c>
      <c r="J223" s="512">
        <f>SUMIFS(PURCHASE!$L$6:$L$10008,PURCHASE!$A$6:$A$10008,$H$2,PURCHASE!$H$6:$H$10008,$A$4:$A$2700)</f>
        <v>0</v>
      </c>
      <c r="K223" s="512">
        <f>SUMIFS(PURCHASE!$M$6:$M$10008,PURCHASE!$A$6:$A$10008,$H$2,PURCHASE!$H$6:$H$10008,$A$4:$A$2700)</f>
        <v>0</v>
      </c>
      <c r="L223" s="512">
        <f>SUMIFS(PURCHASE!$N$6:$N$10008,PURCHASE!$A$6:$A$10008,$H$2,PURCHASE!$H$6:$H$10008,$A$4:$A$2700)</f>
        <v>0</v>
      </c>
      <c r="M223" s="512">
        <f t="shared" si="64"/>
        <v>0</v>
      </c>
      <c r="N223" s="512">
        <f>SUMIFS(PURCHASE!$K$6:$K$10008,PURCHASE!$A$6:$A$10008,$M$2,PURCHASE!$H$6:$H$10008,$A$4:$A$2700)</f>
        <v>0</v>
      </c>
      <c r="O223" s="512">
        <f>SUMIFS(PURCHASE!$L$6:$L$10008,PURCHASE!$A$6:$A$10008,$M$2,PURCHASE!$H$6:$H$10008,$A$4:$A$2700)</f>
        <v>0</v>
      </c>
      <c r="P223" s="512">
        <f>SUMIFS(PURCHASE!$M$6:$M$10008,PURCHASE!$A$6:$A$10008,$M$2,PURCHASE!$H$6:$H$10008,$A$4:$A$2700)</f>
        <v>0</v>
      </c>
      <c r="Q223" s="512">
        <f>SUMIFS(PURCHASE!$N$6:$N$10008,PURCHASE!$A$6:$A$10008,$M$2,PURCHASE!$H$6:$H$10008,$A$4:$A$2700)</f>
        <v>0</v>
      </c>
      <c r="R223" s="512">
        <f t="shared" si="65"/>
        <v>0</v>
      </c>
      <c r="S223" s="512">
        <f>SUMIFS(PURCHASE!$K$6:$K$10008,PURCHASE!$A$6:$A$10008,$R$2,PURCHASE!$H$6:$H$10008,$A$4:$A$2700)</f>
        <v>0</v>
      </c>
      <c r="T223" s="512">
        <f>SUMIFS(PURCHASE!$L$6:$L$10008,PURCHASE!$A$6:$A$10008,$R$2,PURCHASE!$H$6:$H$10008,$A$4:$A$2700)</f>
        <v>0</v>
      </c>
      <c r="U223" s="512">
        <f>SUMIFS(PURCHASE!$M$6:$M$10008,PURCHASE!$A$6:$A$10008,$R$2,PURCHASE!$H$6:$H$10008,$A$4:$A$2700)</f>
        <v>0</v>
      </c>
      <c r="V223" s="512">
        <f>SUMIFS(PURCHASE!$N$6:$N$10008,PURCHASE!$A$6:$A$10008,$R$2,PURCHASE!$H$6:$H$10008,$A$4:$A$2700)</f>
        <v>0</v>
      </c>
      <c r="W223" s="512">
        <f t="shared" si="66"/>
        <v>0</v>
      </c>
      <c r="X223" s="512">
        <f>SUMIFS(PURCHASE!$K$6:$K$10008,PURCHASE!$A$6:$A$10008,$W$2,PURCHASE!$H$6:$H$10008,$A$4:$A$2700)</f>
        <v>0</v>
      </c>
      <c r="Y223" s="512">
        <f>SUMIFS(PURCHASE!$L$6:$L$10008,PURCHASE!$A$6:$A$10008,$W$2,PURCHASE!$H$6:$H$10008,$A$4:$A$2700)</f>
        <v>0</v>
      </c>
      <c r="Z223" s="512">
        <f>SUMIFS(PURCHASE!$M$6:$M$10008,PURCHASE!$A$6:$A$10008,$W$2,PURCHASE!$H$6:$H$10008,$A$4:$A$2700)</f>
        <v>0</v>
      </c>
      <c r="AA223" s="512">
        <f>SUMIFS(PURCHASE!$N$6:$N$10008,PURCHASE!$A$6:$A$10008,$W$2,PURCHASE!$H$6:$H$10008,$A$4:$A$2700)</f>
        <v>0</v>
      </c>
      <c r="AB223" s="512">
        <f t="shared" si="67"/>
        <v>0</v>
      </c>
      <c r="AC223" s="512">
        <f>SUMIFS(PURCHASE!$K$6:$K$10008,PURCHASE!$A$6:$A$10008,$AB$2,PURCHASE!$H$6:$H$10008,$A$4:$A$2700)</f>
        <v>0</v>
      </c>
      <c r="AD223" s="512">
        <f>SUMIFS(PURCHASE!$L$6:$L$10008,PURCHASE!$A$6:$A$10008,$AB$2,PURCHASE!$H$6:$H$10008,$A$4:$A$2700)</f>
        <v>0</v>
      </c>
      <c r="AE223" s="512">
        <f>SUMIFS(PURCHASE!$M$6:$M$10008,PURCHASE!$A$6:$A$10008,$AB$2,PURCHASE!$H$6:$H$10008,$A$4:$A$2700)</f>
        <v>0</v>
      </c>
      <c r="AF223" s="512">
        <f>SUMIFS(PURCHASE!$N$6:$N$10008,PURCHASE!$A$6:$A$10008,$AB$2,PURCHASE!$H$6:$H$10008,$A$4:$A$2700)</f>
        <v>0</v>
      </c>
      <c r="AG223" s="512">
        <f t="shared" si="68"/>
        <v>0</v>
      </c>
      <c r="AH223" s="512">
        <f>SUMIFS(PURCHASE!$K$6:$K$10008,PURCHASE!$A$6:$A$10008,$AG$2,PURCHASE!$H$6:$H$10008,$A$4:$A$2700)</f>
        <v>0</v>
      </c>
      <c r="AI223" s="512">
        <f>SUMIFS(PURCHASE!$L$6:$L$10008,PURCHASE!$A$6:$A$10008,$AG$2,PURCHASE!$H$6:$H$10008,$A$4:$A$2700)</f>
        <v>0</v>
      </c>
      <c r="AJ223" s="512">
        <f>SUMIFS(PURCHASE!$M$6:$M$10008,PURCHASE!$A$6:$A$10008,$AG$2,PURCHASE!$H$6:$H$10008,$A$4:$A$2700)</f>
        <v>0</v>
      </c>
      <c r="AK223" s="512">
        <f>SUMIFS(PURCHASE!$N$6:$N$10008,PURCHASE!$A$6:$A$10008,$AG$2,PURCHASE!$H$6:$H$10008,$A$4:$A$2700)</f>
        <v>0</v>
      </c>
      <c r="AL223" s="512">
        <f t="shared" si="69"/>
        <v>0</v>
      </c>
      <c r="AM223" s="512">
        <f>SUMIFS(PURCHASE!$K$6:$K$10008,PURCHASE!$A$6:$A$10008,$AL$2,PURCHASE!$H$6:$H$10008,$A$4:$A$2700)</f>
        <v>0</v>
      </c>
      <c r="AN223" s="512">
        <f>SUMIFS(PURCHASE!$L$6:$L$10008,PURCHASE!$A$6:$A$10008,$AL$2,PURCHASE!$H$6:$H$10008,$A$4:$A$2700)</f>
        <v>0</v>
      </c>
      <c r="AO223" s="512">
        <f>SUMIFS(PURCHASE!$M$6:$M$10008,PURCHASE!$A$6:$A$10008,$AL$2,PURCHASE!$H$6:$H$10008,$A$4:$A$2700)</f>
        <v>0</v>
      </c>
      <c r="AP223" s="512">
        <f>SUMIFS(PURCHASE!$N$6:$N$10008,PURCHASE!$A$6:$A$10008,$AL$2,PURCHASE!$H$6:$H$10008,$A$4:$A$2700)</f>
        <v>0</v>
      </c>
      <c r="AQ223" s="512">
        <f t="shared" si="70"/>
        <v>0</v>
      </c>
      <c r="AR223" s="512">
        <f>SUMIFS(PURCHASE!$K$6:$K$10008,PURCHASE!$A$6:$A$10008,$AQ$2,PURCHASE!$H$6:$H$10008,$A$4:$A$2700)</f>
        <v>0</v>
      </c>
      <c r="AS223" s="512">
        <f>SUMIFS(PURCHASE!$L$6:$L$10008,PURCHASE!$A$6:$A$10008,$AQ$2,PURCHASE!$H$6:$H$10008,$A$4:$A$2700)</f>
        <v>0</v>
      </c>
      <c r="AT223" s="512">
        <f>SUMIFS(PURCHASE!$M$6:$M$10008,PURCHASE!$A$6:$A$10008,$AQ$2,PURCHASE!$H$6:$H$10008,$A$4:$A$2700)</f>
        <v>0</v>
      </c>
      <c r="AU223" s="512">
        <f>SUMIFS(PURCHASE!$N$6:$N$10008,PURCHASE!$A$6:$A$10008,$AQ$2,PURCHASE!$H$6:$H$10008,$A$4:$A$2700)</f>
        <v>0</v>
      </c>
      <c r="AV223" s="512">
        <f t="shared" si="71"/>
        <v>0</v>
      </c>
      <c r="AW223" s="512">
        <f>SUMIFS(PURCHASE!$K$6:$K$10008,PURCHASE!$A$6:$A$10008,$AV$2,PURCHASE!$H$6:$H$10008,$A$4:$A$2700)</f>
        <v>0</v>
      </c>
      <c r="AX223" s="512">
        <f>SUMIFS(PURCHASE!$L$6:$L$10008,PURCHASE!$A$6:$A$10008,$AV$2,PURCHASE!$H$6:$H$10008,$A$4:$A$2700)</f>
        <v>0</v>
      </c>
      <c r="AY223" s="512">
        <f>SUMIFS(PURCHASE!$M$6:$M$10008,PURCHASE!$A$6:$A$10008,$AV$2,PURCHASE!$H$6:$H$10008,$A$4:$A$2700)</f>
        <v>0</v>
      </c>
      <c r="AZ223" s="512">
        <f>SUMIFS(PURCHASE!$N$6:$N$10008,PURCHASE!$A$6:$A$10008,$AV$2,PURCHASE!$H$6:$H$10008,$A$4:$A$2700)</f>
        <v>0</v>
      </c>
      <c r="BA223" s="512">
        <f t="shared" si="72"/>
        <v>0</v>
      </c>
      <c r="BB223" s="512">
        <f>SUMIFS(PURCHASE!$K$6:$K$10008,PURCHASE!$A$6:$A$10008,$BA$2,PURCHASE!$H$6:$H$10008,$A$4:$A$2700)</f>
        <v>0</v>
      </c>
      <c r="BC223" s="512">
        <f>SUMIFS(PURCHASE!$L$6:$L$10008,PURCHASE!$A$6:$A$10008,$BA$2,PURCHASE!$H$6:$H$10008,$A$4:$A$2700)</f>
        <v>0</v>
      </c>
      <c r="BD223" s="512">
        <f>SUMIFS(PURCHASE!$M$6:$M$10008,PURCHASE!$A$6:$A$10008,$BA$2,PURCHASE!$H$6:$H$10008,$A$4:$A$2700)</f>
        <v>0</v>
      </c>
      <c r="BE223" s="512">
        <f>SUMIFS(PURCHASE!$N$6:$N$10008,PURCHASE!$A$6:$A$10008,$BA$2,PURCHASE!$H$6:$H$10008,$A$4:$A$2700)</f>
        <v>0</v>
      </c>
      <c r="BF223" s="512">
        <f t="shared" si="73"/>
        <v>0</v>
      </c>
      <c r="BG223" s="512">
        <f>SUMIFS(PURCHASE!$K$6:$K$10008,PURCHASE!$A$6:$A$10008,$BF$2,PURCHASE!$H$6:$H$10008,$A$4:$A$2700)</f>
        <v>0</v>
      </c>
      <c r="BH223" s="512">
        <f>SUMIFS(PURCHASE!$L$6:$L$10008,PURCHASE!$A$6:$A$10008,$BF$2,PURCHASE!$H$6:$H$10008,$A$4:$A$2700)</f>
        <v>0</v>
      </c>
      <c r="BI223" s="512">
        <f>SUMIFS(PURCHASE!$M$6:$M$10008,PURCHASE!$A$6:$A$10008,$BF$2,PURCHASE!$H$6:$H$10008,$A$4:$A$2700)</f>
        <v>0</v>
      </c>
      <c r="BJ223" s="512">
        <f>SUMIFS(PURCHASE!$N$6:$N$10008,PURCHASE!$A$6:$A$10008,$BF$2,PURCHASE!$H$6:$H$10008,$A$4:$A$2700)</f>
        <v>0</v>
      </c>
      <c r="BK223" s="72">
        <f t="shared" si="57"/>
        <v>0</v>
      </c>
      <c r="BL223" s="72">
        <f t="shared" si="58"/>
        <v>0</v>
      </c>
      <c r="BM223" s="72">
        <f t="shared" si="59"/>
        <v>0</v>
      </c>
      <c r="BN223" s="72">
        <f t="shared" si="60"/>
        <v>0</v>
      </c>
      <c r="BO223" s="72">
        <f t="shared" si="61"/>
        <v>0</v>
      </c>
    </row>
    <row r="224" spans="1:67" x14ac:dyDescent="0.2">
      <c r="A224" s="511">
        <v>85446090</v>
      </c>
      <c r="B224" s="467" t="s">
        <v>1346</v>
      </c>
      <c r="C224" s="512">
        <f t="shared" si="62"/>
        <v>0</v>
      </c>
      <c r="D224" s="512">
        <f>SUMIFS(PURCHASE!$K$6:$K$10008,PURCHASE!$A$6:$A$10008,$M$2,PURCHASE!$H$6:$H$10008,$A$4:$A$2700)</f>
        <v>0</v>
      </c>
      <c r="E224" s="512">
        <f>SUMIFS(PURCHASE!$L$6:$L$10008,PURCHASE!$A$6:$A$10008,$M$2,PURCHASE!$H$6:$H$10008,$A$4:$A$2700)</f>
        <v>0</v>
      </c>
      <c r="F224" s="512">
        <f>SUMIFS(PURCHASE!$M$6:$M$10008,PURCHASE!$A$6:$A$10008,$M$2,PURCHASE!$H$6:$H$10008,$A$4:$A$2700)</f>
        <v>0</v>
      </c>
      <c r="G224" s="512">
        <f>SUMIFS(PURCHASE!$N$6:$N$10008,PURCHASE!$A$6:$A$10008,$M$2,PURCHASE!$H$6:$H$10008,$A$4:$A$2700)</f>
        <v>0</v>
      </c>
      <c r="H224" s="512">
        <f t="shared" si="63"/>
        <v>0</v>
      </c>
      <c r="I224" s="512">
        <f>SUMIFS(PURCHASE!$K$6:$K$10008,PURCHASE!$A$6:$A$10008,$H$2,PURCHASE!$H$6:$H$10008,$A$4:$A$2700)</f>
        <v>0</v>
      </c>
      <c r="J224" s="512">
        <f>SUMIFS(PURCHASE!$L$6:$L$10008,PURCHASE!$A$6:$A$10008,$H$2,PURCHASE!$H$6:$H$10008,$A$4:$A$2700)</f>
        <v>0</v>
      </c>
      <c r="K224" s="512">
        <f>SUMIFS(PURCHASE!$M$6:$M$10008,PURCHASE!$A$6:$A$10008,$H$2,PURCHASE!$H$6:$H$10008,$A$4:$A$2700)</f>
        <v>0</v>
      </c>
      <c r="L224" s="512">
        <f>SUMIFS(PURCHASE!$N$6:$N$10008,PURCHASE!$A$6:$A$10008,$H$2,PURCHASE!$H$6:$H$10008,$A$4:$A$2700)</f>
        <v>0</v>
      </c>
      <c r="M224" s="512">
        <f t="shared" si="64"/>
        <v>0</v>
      </c>
      <c r="N224" s="512">
        <f>SUMIFS(PURCHASE!$K$6:$K$10008,PURCHASE!$A$6:$A$10008,$M$2,PURCHASE!$H$6:$H$10008,$A$4:$A$2700)</f>
        <v>0</v>
      </c>
      <c r="O224" s="512">
        <f>SUMIFS(PURCHASE!$L$6:$L$10008,PURCHASE!$A$6:$A$10008,$M$2,PURCHASE!$H$6:$H$10008,$A$4:$A$2700)</f>
        <v>0</v>
      </c>
      <c r="P224" s="512">
        <f>SUMIFS(PURCHASE!$M$6:$M$10008,PURCHASE!$A$6:$A$10008,$M$2,PURCHASE!$H$6:$H$10008,$A$4:$A$2700)</f>
        <v>0</v>
      </c>
      <c r="Q224" s="512">
        <f>SUMIFS(PURCHASE!$N$6:$N$10008,PURCHASE!$A$6:$A$10008,$M$2,PURCHASE!$H$6:$H$10008,$A$4:$A$2700)</f>
        <v>0</v>
      </c>
      <c r="R224" s="512">
        <f t="shared" si="65"/>
        <v>7847</v>
      </c>
      <c r="S224" s="512">
        <f>SUMIFS(PURCHASE!$K$6:$K$10008,PURCHASE!$A$6:$A$10008,$R$2,PURCHASE!$H$6:$H$10008,$A$4:$A$2700)</f>
        <v>6650</v>
      </c>
      <c r="T224" s="512">
        <f>SUMIFS(PURCHASE!$L$6:$L$10008,PURCHASE!$A$6:$A$10008,$R$2,PURCHASE!$H$6:$H$10008,$A$4:$A$2700)</f>
        <v>0</v>
      </c>
      <c r="U224" s="512">
        <f>SUMIFS(PURCHASE!$M$6:$M$10008,PURCHASE!$A$6:$A$10008,$R$2,PURCHASE!$H$6:$H$10008,$A$4:$A$2700)</f>
        <v>598.5</v>
      </c>
      <c r="V224" s="512">
        <f>SUMIFS(PURCHASE!$N$6:$N$10008,PURCHASE!$A$6:$A$10008,$R$2,PURCHASE!$H$6:$H$10008,$A$4:$A$2700)</f>
        <v>598.5</v>
      </c>
      <c r="W224" s="512">
        <f t="shared" si="66"/>
        <v>0</v>
      </c>
      <c r="X224" s="512">
        <f>SUMIFS(PURCHASE!$K$6:$K$10008,PURCHASE!$A$6:$A$10008,$W$2,PURCHASE!$H$6:$H$10008,$A$4:$A$2700)</f>
        <v>0</v>
      </c>
      <c r="Y224" s="512">
        <f>SUMIFS(PURCHASE!$L$6:$L$10008,PURCHASE!$A$6:$A$10008,$W$2,PURCHASE!$H$6:$H$10008,$A$4:$A$2700)</f>
        <v>0</v>
      </c>
      <c r="Z224" s="512">
        <f>SUMIFS(PURCHASE!$M$6:$M$10008,PURCHASE!$A$6:$A$10008,$W$2,PURCHASE!$H$6:$H$10008,$A$4:$A$2700)</f>
        <v>0</v>
      </c>
      <c r="AA224" s="512">
        <f>SUMIFS(PURCHASE!$N$6:$N$10008,PURCHASE!$A$6:$A$10008,$W$2,PURCHASE!$H$6:$H$10008,$A$4:$A$2700)</f>
        <v>0</v>
      </c>
      <c r="AB224" s="512">
        <f t="shared" si="67"/>
        <v>0</v>
      </c>
      <c r="AC224" s="512">
        <f>SUMIFS(PURCHASE!$K$6:$K$10008,PURCHASE!$A$6:$A$10008,$AB$2,PURCHASE!$H$6:$H$10008,$A$4:$A$2700)</f>
        <v>0</v>
      </c>
      <c r="AD224" s="512">
        <f>SUMIFS(PURCHASE!$L$6:$L$10008,PURCHASE!$A$6:$A$10008,$AB$2,PURCHASE!$H$6:$H$10008,$A$4:$A$2700)</f>
        <v>0</v>
      </c>
      <c r="AE224" s="512">
        <f>SUMIFS(PURCHASE!$M$6:$M$10008,PURCHASE!$A$6:$A$10008,$AB$2,PURCHASE!$H$6:$H$10008,$A$4:$A$2700)</f>
        <v>0</v>
      </c>
      <c r="AF224" s="512">
        <f>SUMIFS(PURCHASE!$N$6:$N$10008,PURCHASE!$A$6:$A$10008,$AB$2,PURCHASE!$H$6:$H$10008,$A$4:$A$2700)</f>
        <v>0</v>
      </c>
      <c r="AG224" s="512">
        <f t="shared" si="68"/>
        <v>0</v>
      </c>
      <c r="AH224" s="512">
        <f>SUMIFS(PURCHASE!$K$6:$K$10008,PURCHASE!$A$6:$A$10008,$AG$2,PURCHASE!$H$6:$H$10008,$A$4:$A$2700)</f>
        <v>0</v>
      </c>
      <c r="AI224" s="512">
        <f>SUMIFS(PURCHASE!$L$6:$L$10008,PURCHASE!$A$6:$A$10008,$AG$2,PURCHASE!$H$6:$H$10008,$A$4:$A$2700)</f>
        <v>0</v>
      </c>
      <c r="AJ224" s="512">
        <f>SUMIFS(PURCHASE!$M$6:$M$10008,PURCHASE!$A$6:$A$10008,$AG$2,PURCHASE!$H$6:$H$10008,$A$4:$A$2700)</f>
        <v>0</v>
      </c>
      <c r="AK224" s="512">
        <f>SUMIFS(PURCHASE!$N$6:$N$10008,PURCHASE!$A$6:$A$10008,$AG$2,PURCHASE!$H$6:$H$10008,$A$4:$A$2700)</f>
        <v>0</v>
      </c>
      <c r="AL224" s="512">
        <f t="shared" si="69"/>
        <v>29170.190000000002</v>
      </c>
      <c r="AM224" s="512">
        <f>SUMIFS(PURCHASE!$K$6:$K$10008,PURCHASE!$A$6:$A$10008,$AL$2,PURCHASE!$H$6:$H$10008,$A$4:$A$2700)</f>
        <v>24720.5</v>
      </c>
      <c r="AN224" s="512">
        <f>SUMIFS(PURCHASE!$L$6:$L$10008,PURCHASE!$A$6:$A$10008,$AL$2,PURCHASE!$H$6:$H$10008,$A$4:$A$2700)</f>
        <v>0</v>
      </c>
      <c r="AO224" s="512">
        <f>SUMIFS(PURCHASE!$M$6:$M$10008,PURCHASE!$A$6:$A$10008,$AL$2,PURCHASE!$H$6:$H$10008,$A$4:$A$2700)</f>
        <v>2224.8450000000003</v>
      </c>
      <c r="AP224" s="512">
        <f>SUMIFS(PURCHASE!$N$6:$N$10008,PURCHASE!$A$6:$A$10008,$AL$2,PURCHASE!$H$6:$H$10008,$A$4:$A$2700)</f>
        <v>2224.8450000000003</v>
      </c>
      <c r="AQ224" s="512">
        <f t="shared" si="70"/>
        <v>133725.85999999999</v>
      </c>
      <c r="AR224" s="512">
        <f>SUMIFS(PURCHASE!$K$6:$K$10008,PURCHASE!$A$6:$A$10008,$AQ$2,PURCHASE!$H$6:$H$10008,$A$4:$A$2700)</f>
        <v>113327</v>
      </c>
      <c r="AS224" s="512">
        <f>SUMIFS(PURCHASE!$L$6:$L$10008,PURCHASE!$A$6:$A$10008,$AQ$2,PURCHASE!$H$6:$H$10008,$A$4:$A$2700)</f>
        <v>0</v>
      </c>
      <c r="AT224" s="512">
        <f>SUMIFS(PURCHASE!$M$6:$M$10008,PURCHASE!$A$6:$A$10008,$AQ$2,PURCHASE!$H$6:$H$10008,$A$4:$A$2700)</f>
        <v>10199.43</v>
      </c>
      <c r="AU224" s="512">
        <f>SUMIFS(PURCHASE!$N$6:$N$10008,PURCHASE!$A$6:$A$10008,$AQ$2,PURCHASE!$H$6:$H$10008,$A$4:$A$2700)</f>
        <v>10199.43</v>
      </c>
      <c r="AV224" s="512">
        <f t="shared" si="71"/>
        <v>7368.8640000000005</v>
      </c>
      <c r="AW224" s="512">
        <f>SUMIFS(PURCHASE!$K$6:$K$10008,PURCHASE!$A$6:$A$10008,$AV$2,PURCHASE!$H$6:$H$10008,$A$4:$A$2700)</f>
        <v>6244.8</v>
      </c>
      <c r="AX224" s="512">
        <f>SUMIFS(PURCHASE!$L$6:$L$10008,PURCHASE!$A$6:$A$10008,$AV$2,PURCHASE!$H$6:$H$10008,$A$4:$A$2700)</f>
        <v>0</v>
      </c>
      <c r="AY224" s="512">
        <f>SUMIFS(PURCHASE!$M$6:$M$10008,PURCHASE!$A$6:$A$10008,$AV$2,PURCHASE!$H$6:$H$10008,$A$4:$A$2700)</f>
        <v>562.03200000000004</v>
      </c>
      <c r="AZ224" s="512">
        <f>SUMIFS(PURCHASE!$N$6:$N$10008,PURCHASE!$A$6:$A$10008,$AV$2,PURCHASE!$H$6:$H$10008,$A$4:$A$2700)</f>
        <v>562.03200000000004</v>
      </c>
      <c r="BA224" s="512">
        <f t="shared" si="72"/>
        <v>0</v>
      </c>
      <c r="BB224" s="512">
        <f>SUMIFS(PURCHASE!$K$6:$K$10008,PURCHASE!$A$6:$A$10008,$BA$2,PURCHASE!$H$6:$H$10008,$A$4:$A$2700)</f>
        <v>0</v>
      </c>
      <c r="BC224" s="512">
        <f>SUMIFS(PURCHASE!$L$6:$L$10008,PURCHASE!$A$6:$A$10008,$BA$2,PURCHASE!$H$6:$H$10008,$A$4:$A$2700)</f>
        <v>0</v>
      </c>
      <c r="BD224" s="512">
        <f>SUMIFS(PURCHASE!$M$6:$M$10008,PURCHASE!$A$6:$A$10008,$BA$2,PURCHASE!$H$6:$H$10008,$A$4:$A$2700)</f>
        <v>0</v>
      </c>
      <c r="BE224" s="512">
        <f>SUMIFS(PURCHASE!$N$6:$N$10008,PURCHASE!$A$6:$A$10008,$BA$2,PURCHASE!$H$6:$H$10008,$A$4:$A$2700)</f>
        <v>0</v>
      </c>
      <c r="BF224" s="512">
        <f t="shared" si="73"/>
        <v>0</v>
      </c>
      <c r="BG224" s="512">
        <f>SUMIFS(PURCHASE!$K$6:$K$10008,PURCHASE!$A$6:$A$10008,$BF$2,PURCHASE!$H$6:$H$10008,$A$4:$A$2700)</f>
        <v>0</v>
      </c>
      <c r="BH224" s="512">
        <f>SUMIFS(PURCHASE!$L$6:$L$10008,PURCHASE!$A$6:$A$10008,$BF$2,PURCHASE!$H$6:$H$10008,$A$4:$A$2700)</f>
        <v>0</v>
      </c>
      <c r="BI224" s="512">
        <f>SUMIFS(PURCHASE!$M$6:$M$10008,PURCHASE!$A$6:$A$10008,$BF$2,PURCHASE!$H$6:$H$10008,$A$4:$A$2700)</f>
        <v>0</v>
      </c>
      <c r="BJ224" s="512">
        <f>SUMIFS(PURCHASE!$N$6:$N$10008,PURCHASE!$A$6:$A$10008,$BF$2,PURCHASE!$H$6:$H$10008,$A$4:$A$2700)</f>
        <v>0</v>
      </c>
      <c r="BK224" s="72">
        <f t="shared" si="57"/>
        <v>178111.91399999999</v>
      </c>
      <c r="BL224" s="72">
        <f t="shared" si="58"/>
        <v>150942.29999999999</v>
      </c>
      <c r="BM224" s="72">
        <f t="shared" si="59"/>
        <v>0</v>
      </c>
      <c r="BN224" s="72">
        <f t="shared" si="60"/>
        <v>13584.807000000001</v>
      </c>
      <c r="BO224" s="72">
        <f t="shared" si="61"/>
        <v>13584.807000000001</v>
      </c>
    </row>
    <row r="225" spans="1:67" x14ac:dyDescent="0.2">
      <c r="A225" s="511">
        <v>87081090</v>
      </c>
      <c r="B225" s="467" t="s">
        <v>266</v>
      </c>
      <c r="C225" s="512">
        <f t="shared" si="62"/>
        <v>107180.8768</v>
      </c>
      <c r="D225" s="512">
        <f>SUMIFS(PURCHASE!$K$6:$K$10008,PURCHASE!$A$6:$A$10008,$M$2,PURCHASE!$H$6:$H$10008,$A$4:$A$2700)</f>
        <v>83735.06</v>
      </c>
      <c r="E225" s="512">
        <f>SUMIFS(PURCHASE!$L$6:$L$10008,PURCHASE!$A$6:$A$10008,$M$2,PURCHASE!$H$6:$H$10008,$A$4:$A$2700)</f>
        <v>23445.816800000001</v>
      </c>
      <c r="F225" s="512">
        <f>SUMIFS(PURCHASE!$M$6:$M$10008,PURCHASE!$A$6:$A$10008,$M$2,PURCHASE!$H$6:$H$10008,$A$4:$A$2700)</f>
        <v>0</v>
      </c>
      <c r="G225" s="512">
        <f>SUMIFS(PURCHASE!$N$6:$N$10008,PURCHASE!$A$6:$A$10008,$M$2,PURCHASE!$H$6:$H$10008,$A$4:$A$2700)</f>
        <v>0</v>
      </c>
      <c r="H225" s="512">
        <f t="shared" si="63"/>
        <v>168838.016</v>
      </c>
      <c r="I225" s="512">
        <f>SUMIFS(PURCHASE!$K$6:$K$10008,PURCHASE!$A$6:$A$10008,$H$2,PURCHASE!$H$6:$H$10008,$A$4:$A$2700)</f>
        <v>131904.70000000001</v>
      </c>
      <c r="J225" s="512">
        <f>SUMIFS(PURCHASE!$L$6:$L$10008,PURCHASE!$A$6:$A$10008,$H$2,PURCHASE!$H$6:$H$10008,$A$4:$A$2700)</f>
        <v>36933.315999999999</v>
      </c>
      <c r="K225" s="512">
        <f>SUMIFS(PURCHASE!$M$6:$M$10008,PURCHASE!$A$6:$A$10008,$H$2,PURCHASE!$H$6:$H$10008,$A$4:$A$2700)</f>
        <v>0</v>
      </c>
      <c r="L225" s="512">
        <f>SUMIFS(PURCHASE!$N$6:$N$10008,PURCHASE!$A$6:$A$10008,$H$2,PURCHASE!$H$6:$H$10008,$A$4:$A$2700)</f>
        <v>0</v>
      </c>
      <c r="M225" s="512">
        <f t="shared" si="64"/>
        <v>107180.8768</v>
      </c>
      <c r="N225" s="512">
        <f>SUMIFS(PURCHASE!$K$6:$K$10008,PURCHASE!$A$6:$A$10008,$M$2,PURCHASE!$H$6:$H$10008,$A$4:$A$2700)</f>
        <v>83735.06</v>
      </c>
      <c r="O225" s="512">
        <f>SUMIFS(PURCHASE!$L$6:$L$10008,PURCHASE!$A$6:$A$10008,$M$2,PURCHASE!$H$6:$H$10008,$A$4:$A$2700)</f>
        <v>23445.816800000001</v>
      </c>
      <c r="P225" s="512">
        <f>SUMIFS(PURCHASE!$M$6:$M$10008,PURCHASE!$A$6:$A$10008,$M$2,PURCHASE!$H$6:$H$10008,$A$4:$A$2700)</f>
        <v>0</v>
      </c>
      <c r="Q225" s="512">
        <f>SUMIFS(PURCHASE!$N$6:$N$10008,PURCHASE!$A$6:$A$10008,$M$2,PURCHASE!$H$6:$H$10008,$A$4:$A$2700)</f>
        <v>0</v>
      </c>
      <c r="R225" s="512">
        <f t="shared" si="65"/>
        <v>100368.64</v>
      </c>
      <c r="S225" s="512">
        <f>SUMIFS(PURCHASE!$K$6:$K$10008,PURCHASE!$A$6:$A$10008,$R$2,PURCHASE!$H$6:$H$10008,$A$4:$A$2700)</f>
        <v>78413</v>
      </c>
      <c r="T225" s="512">
        <f>SUMIFS(PURCHASE!$L$6:$L$10008,PURCHASE!$A$6:$A$10008,$R$2,PURCHASE!$H$6:$H$10008,$A$4:$A$2700)</f>
        <v>21955.64</v>
      </c>
      <c r="U225" s="512">
        <f>SUMIFS(PURCHASE!$M$6:$M$10008,PURCHASE!$A$6:$A$10008,$R$2,PURCHASE!$H$6:$H$10008,$A$4:$A$2700)</f>
        <v>0</v>
      </c>
      <c r="V225" s="512">
        <f>SUMIFS(PURCHASE!$N$6:$N$10008,PURCHASE!$A$6:$A$10008,$R$2,PURCHASE!$H$6:$H$10008,$A$4:$A$2700)</f>
        <v>0</v>
      </c>
      <c r="W225" s="512">
        <f t="shared" si="66"/>
        <v>44218.867199999993</v>
      </c>
      <c r="X225" s="512">
        <f>SUMIFS(PURCHASE!$K$6:$K$10008,PURCHASE!$A$6:$A$10008,$W$2,PURCHASE!$H$6:$H$10008,$A$4:$A$2700)</f>
        <v>34545.99</v>
      </c>
      <c r="Y225" s="512">
        <f>SUMIFS(PURCHASE!$L$6:$L$10008,PURCHASE!$A$6:$A$10008,$W$2,PURCHASE!$H$6:$H$10008,$A$4:$A$2700)</f>
        <v>9672.877199999999</v>
      </c>
      <c r="Z225" s="512">
        <f>SUMIFS(PURCHASE!$M$6:$M$10008,PURCHASE!$A$6:$A$10008,$W$2,PURCHASE!$H$6:$H$10008,$A$4:$A$2700)</f>
        <v>0</v>
      </c>
      <c r="AA225" s="512">
        <f>SUMIFS(PURCHASE!$N$6:$N$10008,PURCHASE!$A$6:$A$10008,$W$2,PURCHASE!$H$6:$H$10008,$A$4:$A$2700)</f>
        <v>0</v>
      </c>
      <c r="AB225" s="512">
        <f t="shared" si="67"/>
        <v>262690.72359999997</v>
      </c>
      <c r="AC225" s="512">
        <f>SUMIFS(PURCHASE!$K$6:$K$10008,PURCHASE!$A$6:$A$10008,$AB$2,PURCHASE!$H$6:$H$10008,$A$4:$A$2700)</f>
        <v>205227.12</v>
      </c>
      <c r="AD225" s="512">
        <f>SUMIFS(PURCHASE!$L$6:$L$10008,PURCHASE!$A$6:$A$10008,$AB$2,PURCHASE!$H$6:$H$10008,$A$4:$A$2700)</f>
        <v>57463.603599999988</v>
      </c>
      <c r="AE225" s="512">
        <f>SUMIFS(PURCHASE!$M$6:$M$10008,PURCHASE!$A$6:$A$10008,$AB$2,PURCHASE!$H$6:$H$10008,$A$4:$A$2700)</f>
        <v>0</v>
      </c>
      <c r="AF225" s="512">
        <f>SUMIFS(PURCHASE!$N$6:$N$10008,PURCHASE!$A$6:$A$10008,$AB$2,PURCHASE!$H$6:$H$10008,$A$4:$A$2700)</f>
        <v>0</v>
      </c>
      <c r="AG225" s="512">
        <f t="shared" si="68"/>
        <v>163548.79999999999</v>
      </c>
      <c r="AH225" s="512">
        <f>SUMIFS(PURCHASE!$K$6:$K$10008,PURCHASE!$A$6:$A$10008,$AG$2,PURCHASE!$H$6:$H$10008,$A$4:$A$2700)</f>
        <v>127772.49999999999</v>
      </c>
      <c r="AI225" s="512">
        <f>SUMIFS(PURCHASE!$L$6:$L$10008,PURCHASE!$A$6:$A$10008,$AG$2,PURCHASE!$H$6:$H$10008,$A$4:$A$2700)</f>
        <v>35776.299999999996</v>
      </c>
      <c r="AJ225" s="512">
        <f>SUMIFS(PURCHASE!$M$6:$M$10008,PURCHASE!$A$6:$A$10008,$AG$2,PURCHASE!$H$6:$H$10008,$A$4:$A$2700)</f>
        <v>0</v>
      </c>
      <c r="AK225" s="512">
        <f>SUMIFS(PURCHASE!$N$6:$N$10008,PURCHASE!$A$6:$A$10008,$AG$2,PURCHASE!$H$6:$H$10008,$A$4:$A$2700)</f>
        <v>0</v>
      </c>
      <c r="AL225" s="512">
        <f t="shared" si="69"/>
        <v>130137.09800000001</v>
      </c>
      <c r="AM225" s="512">
        <f>SUMIFS(PURCHASE!$K$6:$K$10008,PURCHASE!$A$6:$A$10008,$AL$2,PURCHASE!$H$6:$H$10008,$A$4:$A$2700)</f>
        <v>101669.6</v>
      </c>
      <c r="AN225" s="512">
        <f>SUMIFS(PURCHASE!$L$6:$L$10008,PURCHASE!$A$6:$A$10008,$AL$2,PURCHASE!$H$6:$H$10008,$A$4:$A$2700)</f>
        <v>28467.498000000003</v>
      </c>
      <c r="AO225" s="512">
        <f>SUMIFS(PURCHASE!$M$6:$M$10008,PURCHASE!$A$6:$A$10008,$AL$2,PURCHASE!$H$6:$H$10008,$A$4:$A$2700)</f>
        <v>0</v>
      </c>
      <c r="AP225" s="512">
        <f>SUMIFS(PURCHASE!$N$6:$N$10008,PURCHASE!$A$6:$A$10008,$AL$2,PURCHASE!$H$6:$H$10008,$A$4:$A$2700)</f>
        <v>0</v>
      </c>
      <c r="AQ225" s="512">
        <f t="shared" si="70"/>
        <v>66945.331200000001</v>
      </c>
      <c r="AR225" s="512">
        <f>SUMIFS(PURCHASE!$K$6:$K$10008,PURCHASE!$A$6:$A$10008,$AQ$2,PURCHASE!$H$6:$H$10008,$A$4:$A$2700)</f>
        <v>52301.04</v>
      </c>
      <c r="AS225" s="512">
        <f>SUMIFS(PURCHASE!$L$6:$L$10008,PURCHASE!$A$6:$A$10008,$AQ$2,PURCHASE!$H$6:$H$10008,$A$4:$A$2700)</f>
        <v>14644.2912</v>
      </c>
      <c r="AT225" s="512">
        <f>SUMIFS(PURCHASE!$M$6:$M$10008,PURCHASE!$A$6:$A$10008,$AQ$2,PURCHASE!$H$6:$H$10008,$A$4:$A$2700)</f>
        <v>0</v>
      </c>
      <c r="AU225" s="512">
        <f>SUMIFS(PURCHASE!$N$6:$N$10008,PURCHASE!$A$6:$A$10008,$AQ$2,PURCHASE!$H$6:$H$10008,$A$4:$A$2700)</f>
        <v>0</v>
      </c>
      <c r="AV225" s="512">
        <f t="shared" si="71"/>
        <v>105384.8576</v>
      </c>
      <c r="AW225" s="512">
        <f>SUMIFS(PURCHASE!$K$6:$K$10008,PURCHASE!$A$6:$A$10008,$AV$2,PURCHASE!$H$6:$H$10008,$A$4:$A$2700)</f>
        <v>82331.92</v>
      </c>
      <c r="AX225" s="512">
        <f>SUMIFS(PURCHASE!$L$6:$L$10008,PURCHASE!$A$6:$A$10008,$AV$2,PURCHASE!$H$6:$H$10008,$A$4:$A$2700)</f>
        <v>23052.937600000001</v>
      </c>
      <c r="AY225" s="512">
        <f>SUMIFS(PURCHASE!$M$6:$M$10008,PURCHASE!$A$6:$A$10008,$AV$2,PURCHASE!$H$6:$H$10008,$A$4:$A$2700)</f>
        <v>0</v>
      </c>
      <c r="AZ225" s="512">
        <f>SUMIFS(PURCHASE!$N$6:$N$10008,PURCHASE!$A$6:$A$10008,$AV$2,PURCHASE!$H$6:$H$10008,$A$4:$A$2700)</f>
        <v>0</v>
      </c>
      <c r="BA225" s="512">
        <f t="shared" si="72"/>
        <v>0</v>
      </c>
      <c r="BB225" s="512">
        <f>SUMIFS(PURCHASE!$K$6:$K$10008,PURCHASE!$A$6:$A$10008,$BA$2,PURCHASE!$H$6:$H$10008,$A$4:$A$2700)</f>
        <v>0</v>
      </c>
      <c r="BC225" s="512">
        <f>SUMIFS(PURCHASE!$L$6:$L$10008,PURCHASE!$A$6:$A$10008,$BA$2,PURCHASE!$H$6:$H$10008,$A$4:$A$2700)</f>
        <v>0</v>
      </c>
      <c r="BD225" s="512">
        <f>SUMIFS(PURCHASE!$M$6:$M$10008,PURCHASE!$A$6:$A$10008,$BA$2,PURCHASE!$H$6:$H$10008,$A$4:$A$2700)</f>
        <v>0</v>
      </c>
      <c r="BE225" s="512">
        <f>SUMIFS(PURCHASE!$N$6:$N$10008,PURCHASE!$A$6:$A$10008,$BA$2,PURCHASE!$H$6:$H$10008,$A$4:$A$2700)</f>
        <v>0</v>
      </c>
      <c r="BF225" s="512">
        <f t="shared" si="73"/>
        <v>0</v>
      </c>
      <c r="BG225" s="512">
        <f>SUMIFS(PURCHASE!$K$6:$K$10008,PURCHASE!$A$6:$A$10008,$BF$2,PURCHASE!$H$6:$H$10008,$A$4:$A$2700)</f>
        <v>0</v>
      </c>
      <c r="BH225" s="512">
        <f>SUMIFS(PURCHASE!$L$6:$L$10008,PURCHASE!$A$6:$A$10008,$BF$2,PURCHASE!$H$6:$H$10008,$A$4:$A$2700)</f>
        <v>0</v>
      </c>
      <c r="BI225" s="512">
        <f>SUMIFS(PURCHASE!$M$6:$M$10008,PURCHASE!$A$6:$A$10008,$BF$2,PURCHASE!$H$6:$H$10008,$A$4:$A$2700)</f>
        <v>0</v>
      </c>
      <c r="BJ225" s="512">
        <f>SUMIFS(PURCHASE!$N$6:$N$10008,PURCHASE!$A$6:$A$10008,$BF$2,PURCHASE!$H$6:$H$10008,$A$4:$A$2700)</f>
        <v>0</v>
      </c>
      <c r="BK225" s="72">
        <f t="shared" si="57"/>
        <v>1256494.0872</v>
      </c>
      <c r="BL225" s="72">
        <f t="shared" si="58"/>
        <v>981635.99</v>
      </c>
      <c r="BM225" s="72">
        <f t="shared" si="59"/>
        <v>274858.09719999996</v>
      </c>
      <c r="BN225" s="72">
        <f t="shared" si="60"/>
        <v>0</v>
      </c>
      <c r="BO225" s="72">
        <f t="shared" si="61"/>
        <v>0</v>
      </c>
    </row>
    <row r="226" spans="1:67" x14ac:dyDescent="0.2">
      <c r="A226" s="511">
        <v>84689900</v>
      </c>
      <c r="B226" s="514" t="s">
        <v>1347</v>
      </c>
      <c r="C226" s="512">
        <f t="shared" si="62"/>
        <v>0</v>
      </c>
      <c r="D226" s="512">
        <f>SUMIFS(PURCHASE!$K$6:$K$10008,PURCHASE!$A$6:$A$10008,$M$2,PURCHASE!$H$6:$H$10008,$A$4:$A$2700)</f>
        <v>0</v>
      </c>
      <c r="E226" s="512">
        <f>SUMIFS(PURCHASE!$L$6:$L$10008,PURCHASE!$A$6:$A$10008,$M$2,PURCHASE!$H$6:$H$10008,$A$4:$A$2700)</f>
        <v>0</v>
      </c>
      <c r="F226" s="512">
        <f>SUMIFS(PURCHASE!$M$6:$M$10008,PURCHASE!$A$6:$A$10008,$M$2,PURCHASE!$H$6:$H$10008,$A$4:$A$2700)</f>
        <v>0</v>
      </c>
      <c r="G226" s="512">
        <f>SUMIFS(PURCHASE!$N$6:$N$10008,PURCHASE!$A$6:$A$10008,$M$2,PURCHASE!$H$6:$H$10008,$A$4:$A$2700)</f>
        <v>0</v>
      </c>
      <c r="H226" s="512">
        <f t="shared" si="63"/>
        <v>0</v>
      </c>
      <c r="I226" s="512">
        <f>SUMIFS(PURCHASE!$K$6:$K$10008,PURCHASE!$A$6:$A$10008,$H$2,PURCHASE!$H$6:$H$10008,$A$4:$A$2700)</f>
        <v>0</v>
      </c>
      <c r="J226" s="512">
        <f>SUMIFS(PURCHASE!$L$6:$L$10008,PURCHASE!$A$6:$A$10008,$H$2,PURCHASE!$H$6:$H$10008,$A$4:$A$2700)</f>
        <v>0</v>
      </c>
      <c r="K226" s="512">
        <f>SUMIFS(PURCHASE!$M$6:$M$10008,PURCHASE!$A$6:$A$10008,$H$2,PURCHASE!$H$6:$H$10008,$A$4:$A$2700)</f>
        <v>0</v>
      </c>
      <c r="L226" s="512">
        <f>SUMIFS(PURCHASE!$N$6:$N$10008,PURCHASE!$A$6:$A$10008,$H$2,PURCHASE!$H$6:$H$10008,$A$4:$A$2700)</f>
        <v>0</v>
      </c>
      <c r="M226" s="512">
        <f t="shared" si="64"/>
        <v>0</v>
      </c>
      <c r="N226" s="512">
        <f>SUMIFS(PURCHASE!$K$6:$K$10008,PURCHASE!$A$6:$A$10008,$M$2,PURCHASE!$H$6:$H$10008,$A$4:$A$2700)</f>
        <v>0</v>
      </c>
      <c r="O226" s="512">
        <f>SUMIFS(PURCHASE!$L$6:$L$10008,PURCHASE!$A$6:$A$10008,$M$2,PURCHASE!$H$6:$H$10008,$A$4:$A$2700)</f>
        <v>0</v>
      </c>
      <c r="P226" s="512">
        <f>SUMIFS(PURCHASE!$M$6:$M$10008,PURCHASE!$A$6:$A$10008,$M$2,PURCHASE!$H$6:$H$10008,$A$4:$A$2700)</f>
        <v>0</v>
      </c>
      <c r="Q226" s="512">
        <f>SUMIFS(PURCHASE!$N$6:$N$10008,PURCHASE!$A$6:$A$10008,$M$2,PURCHASE!$H$6:$H$10008,$A$4:$A$2700)</f>
        <v>0</v>
      </c>
      <c r="R226" s="512">
        <f t="shared" si="65"/>
        <v>0</v>
      </c>
      <c r="S226" s="512">
        <f>SUMIFS(PURCHASE!$K$6:$K$10008,PURCHASE!$A$6:$A$10008,$R$2,PURCHASE!$H$6:$H$10008,$A$4:$A$2700)</f>
        <v>0</v>
      </c>
      <c r="T226" s="512">
        <f>SUMIFS(PURCHASE!$L$6:$L$10008,PURCHASE!$A$6:$A$10008,$R$2,PURCHASE!$H$6:$H$10008,$A$4:$A$2700)</f>
        <v>0</v>
      </c>
      <c r="U226" s="512">
        <f>SUMIFS(PURCHASE!$M$6:$M$10008,PURCHASE!$A$6:$A$10008,$R$2,PURCHASE!$H$6:$H$10008,$A$4:$A$2700)</f>
        <v>0</v>
      </c>
      <c r="V226" s="512">
        <f>SUMIFS(PURCHASE!$N$6:$N$10008,PURCHASE!$A$6:$A$10008,$R$2,PURCHASE!$H$6:$H$10008,$A$4:$A$2700)</f>
        <v>0</v>
      </c>
      <c r="W226" s="512">
        <f t="shared" si="66"/>
        <v>0</v>
      </c>
      <c r="X226" s="512">
        <f>SUMIFS(PURCHASE!$K$6:$K$10008,PURCHASE!$A$6:$A$10008,$W$2,PURCHASE!$H$6:$H$10008,$A$4:$A$2700)</f>
        <v>0</v>
      </c>
      <c r="Y226" s="512">
        <f>SUMIFS(PURCHASE!$L$6:$L$10008,PURCHASE!$A$6:$A$10008,$W$2,PURCHASE!$H$6:$H$10008,$A$4:$A$2700)</f>
        <v>0</v>
      </c>
      <c r="Z226" s="512">
        <f>SUMIFS(PURCHASE!$M$6:$M$10008,PURCHASE!$A$6:$A$10008,$W$2,PURCHASE!$H$6:$H$10008,$A$4:$A$2700)</f>
        <v>0</v>
      </c>
      <c r="AA226" s="512">
        <f>SUMIFS(PURCHASE!$N$6:$N$10008,PURCHASE!$A$6:$A$10008,$W$2,PURCHASE!$H$6:$H$10008,$A$4:$A$2700)</f>
        <v>0</v>
      </c>
      <c r="AB226" s="512">
        <f t="shared" si="67"/>
        <v>0</v>
      </c>
      <c r="AC226" s="512">
        <f>SUMIFS(PURCHASE!$K$6:$K$10008,PURCHASE!$A$6:$A$10008,$AB$2,PURCHASE!$H$6:$H$10008,$A$4:$A$2700)</f>
        <v>0</v>
      </c>
      <c r="AD226" s="512">
        <f>SUMIFS(PURCHASE!$L$6:$L$10008,PURCHASE!$A$6:$A$10008,$AB$2,PURCHASE!$H$6:$H$10008,$A$4:$A$2700)</f>
        <v>0</v>
      </c>
      <c r="AE226" s="512">
        <f>SUMIFS(PURCHASE!$M$6:$M$10008,PURCHASE!$A$6:$A$10008,$AB$2,PURCHASE!$H$6:$H$10008,$A$4:$A$2700)</f>
        <v>0</v>
      </c>
      <c r="AF226" s="512">
        <f>SUMIFS(PURCHASE!$N$6:$N$10008,PURCHASE!$A$6:$A$10008,$AB$2,PURCHASE!$H$6:$H$10008,$A$4:$A$2700)</f>
        <v>0</v>
      </c>
      <c r="AG226" s="512">
        <f t="shared" si="68"/>
        <v>0</v>
      </c>
      <c r="AH226" s="512">
        <f>SUMIFS(PURCHASE!$K$6:$K$10008,PURCHASE!$A$6:$A$10008,$AG$2,PURCHASE!$H$6:$H$10008,$A$4:$A$2700)</f>
        <v>0</v>
      </c>
      <c r="AI226" s="512">
        <f>SUMIFS(PURCHASE!$L$6:$L$10008,PURCHASE!$A$6:$A$10008,$AG$2,PURCHASE!$H$6:$H$10008,$A$4:$A$2700)</f>
        <v>0</v>
      </c>
      <c r="AJ226" s="512">
        <f>SUMIFS(PURCHASE!$M$6:$M$10008,PURCHASE!$A$6:$A$10008,$AG$2,PURCHASE!$H$6:$H$10008,$A$4:$A$2700)</f>
        <v>0</v>
      </c>
      <c r="AK226" s="512">
        <f>SUMIFS(PURCHASE!$N$6:$N$10008,PURCHASE!$A$6:$A$10008,$AG$2,PURCHASE!$H$6:$H$10008,$A$4:$A$2700)</f>
        <v>0</v>
      </c>
      <c r="AL226" s="512">
        <f t="shared" si="69"/>
        <v>0</v>
      </c>
      <c r="AM226" s="512">
        <f>SUMIFS(PURCHASE!$K$6:$K$10008,PURCHASE!$A$6:$A$10008,$AL$2,PURCHASE!$H$6:$H$10008,$A$4:$A$2700)</f>
        <v>0</v>
      </c>
      <c r="AN226" s="512">
        <f>SUMIFS(PURCHASE!$L$6:$L$10008,PURCHASE!$A$6:$A$10008,$AL$2,PURCHASE!$H$6:$H$10008,$A$4:$A$2700)</f>
        <v>0</v>
      </c>
      <c r="AO226" s="512">
        <f>SUMIFS(PURCHASE!$M$6:$M$10008,PURCHASE!$A$6:$A$10008,$AL$2,PURCHASE!$H$6:$H$10008,$A$4:$A$2700)</f>
        <v>0</v>
      </c>
      <c r="AP226" s="512">
        <f>SUMIFS(PURCHASE!$N$6:$N$10008,PURCHASE!$A$6:$A$10008,$AL$2,PURCHASE!$H$6:$H$10008,$A$4:$A$2700)</f>
        <v>0</v>
      </c>
      <c r="AQ226" s="512">
        <f t="shared" si="70"/>
        <v>0</v>
      </c>
      <c r="AR226" s="512">
        <f>SUMIFS(PURCHASE!$K$6:$K$10008,PURCHASE!$A$6:$A$10008,$AQ$2,PURCHASE!$H$6:$H$10008,$A$4:$A$2700)</f>
        <v>0</v>
      </c>
      <c r="AS226" s="512">
        <f>SUMIFS(PURCHASE!$L$6:$L$10008,PURCHASE!$A$6:$A$10008,$AQ$2,PURCHASE!$H$6:$H$10008,$A$4:$A$2700)</f>
        <v>0</v>
      </c>
      <c r="AT226" s="512">
        <f>SUMIFS(PURCHASE!$M$6:$M$10008,PURCHASE!$A$6:$A$10008,$AQ$2,PURCHASE!$H$6:$H$10008,$A$4:$A$2700)</f>
        <v>0</v>
      </c>
      <c r="AU226" s="512">
        <f>SUMIFS(PURCHASE!$N$6:$N$10008,PURCHASE!$A$6:$A$10008,$AQ$2,PURCHASE!$H$6:$H$10008,$A$4:$A$2700)</f>
        <v>0</v>
      </c>
      <c r="AV226" s="512">
        <f t="shared" si="71"/>
        <v>0</v>
      </c>
      <c r="AW226" s="512">
        <f>SUMIFS(PURCHASE!$K$6:$K$10008,PURCHASE!$A$6:$A$10008,$AV$2,PURCHASE!$H$6:$H$10008,$A$4:$A$2700)</f>
        <v>0</v>
      </c>
      <c r="AX226" s="512">
        <f>SUMIFS(PURCHASE!$L$6:$L$10008,PURCHASE!$A$6:$A$10008,$AV$2,PURCHASE!$H$6:$H$10008,$A$4:$A$2700)</f>
        <v>0</v>
      </c>
      <c r="AY226" s="512">
        <f>SUMIFS(PURCHASE!$M$6:$M$10008,PURCHASE!$A$6:$A$10008,$AV$2,PURCHASE!$H$6:$H$10008,$A$4:$A$2700)</f>
        <v>0</v>
      </c>
      <c r="AZ226" s="512">
        <f>SUMIFS(PURCHASE!$N$6:$N$10008,PURCHASE!$A$6:$A$10008,$AV$2,PURCHASE!$H$6:$H$10008,$A$4:$A$2700)</f>
        <v>0</v>
      </c>
      <c r="BA226" s="512">
        <f t="shared" si="72"/>
        <v>0</v>
      </c>
      <c r="BB226" s="512">
        <f>SUMIFS(PURCHASE!$K$6:$K$10008,PURCHASE!$A$6:$A$10008,$BA$2,PURCHASE!$H$6:$H$10008,$A$4:$A$2700)</f>
        <v>0</v>
      </c>
      <c r="BC226" s="512">
        <f>SUMIFS(PURCHASE!$L$6:$L$10008,PURCHASE!$A$6:$A$10008,$BA$2,PURCHASE!$H$6:$H$10008,$A$4:$A$2700)</f>
        <v>0</v>
      </c>
      <c r="BD226" s="512">
        <f>SUMIFS(PURCHASE!$M$6:$M$10008,PURCHASE!$A$6:$A$10008,$BA$2,PURCHASE!$H$6:$H$10008,$A$4:$A$2700)</f>
        <v>0</v>
      </c>
      <c r="BE226" s="512">
        <f>SUMIFS(PURCHASE!$N$6:$N$10008,PURCHASE!$A$6:$A$10008,$BA$2,PURCHASE!$H$6:$H$10008,$A$4:$A$2700)</f>
        <v>0</v>
      </c>
      <c r="BF226" s="512">
        <f t="shared" si="73"/>
        <v>0</v>
      </c>
      <c r="BG226" s="512">
        <f>SUMIFS(PURCHASE!$K$6:$K$10008,PURCHASE!$A$6:$A$10008,$BF$2,PURCHASE!$H$6:$H$10008,$A$4:$A$2700)</f>
        <v>0</v>
      </c>
      <c r="BH226" s="512">
        <f>SUMIFS(PURCHASE!$L$6:$L$10008,PURCHASE!$A$6:$A$10008,$BF$2,PURCHASE!$H$6:$H$10008,$A$4:$A$2700)</f>
        <v>0</v>
      </c>
      <c r="BI226" s="512">
        <f>SUMIFS(PURCHASE!$M$6:$M$10008,PURCHASE!$A$6:$A$10008,$BF$2,PURCHASE!$H$6:$H$10008,$A$4:$A$2700)</f>
        <v>0</v>
      </c>
      <c r="BJ226" s="512">
        <f>SUMIFS(PURCHASE!$N$6:$N$10008,PURCHASE!$A$6:$A$10008,$BF$2,PURCHASE!$H$6:$H$10008,$A$4:$A$2700)</f>
        <v>0</v>
      </c>
      <c r="BK226" s="72">
        <f t="shared" si="57"/>
        <v>0</v>
      </c>
      <c r="BL226" s="72">
        <f t="shared" si="58"/>
        <v>0</v>
      </c>
      <c r="BM226" s="72">
        <f t="shared" si="59"/>
        <v>0</v>
      </c>
      <c r="BN226" s="72">
        <f t="shared" si="60"/>
        <v>0</v>
      </c>
      <c r="BO226" s="72">
        <f t="shared" si="61"/>
        <v>0</v>
      </c>
    </row>
    <row r="227" spans="1:67" x14ac:dyDescent="0.2">
      <c r="A227" s="511">
        <v>84778090</v>
      </c>
      <c r="B227" s="514" t="s">
        <v>1348</v>
      </c>
      <c r="C227" s="512">
        <f t="shared" si="62"/>
        <v>66670</v>
      </c>
      <c r="D227" s="512">
        <f>SUMIFS(PURCHASE!$K$6:$K$10008,PURCHASE!$A$6:$A$10008,$M$2,PURCHASE!$H$6:$H$10008,$A$4:$A$2700)</f>
        <v>56500</v>
      </c>
      <c r="E227" s="512">
        <f>SUMIFS(PURCHASE!$L$6:$L$10008,PURCHASE!$A$6:$A$10008,$M$2,PURCHASE!$H$6:$H$10008,$A$4:$A$2700)</f>
        <v>0</v>
      </c>
      <c r="F227" s="512">
        <f>SUMIFS(PURCHASE!$M$6:$M$10008,PURCHASE!$A$6:$A$10008,$M$2,PURCHASE!$H$6:$H$10008,$A$4:$A$2700)</f>
        <v>5085</v>
      </c>
      <c r="G227" s="512">
        <f>SUMIFS(PURCHASE!$N$6:$N$10008,PURCHASE!$A$6:$A$10008,$M$2,PURCHASE!$H$6:$H$10008,$A$4:$A$2700)</f>
        <v>5085</v>
      </c>
      <c r="H227" s="512">
        <f t="shared" si="63"/>
        <v>38645</v>
      </c>
      <c r="I227" s="512">
        <f>SUMIFS(PURCHASE!$K$6:$K$10008,PURCHASE!$A$6:$A$10008,$H$2,PURCHASE!$H$6:$H$10008,$A$4:$A$2700)</f>
        <v>32750</v>
      </c>
      <c r="J227" s="512">
        <f>SUMIFS(PURCHASE!$L$6:$L$10008,PURCHASE!$A$6:$A$10008,$H$2,PURCHASE!$H$6:$H$10008,$A$4:$A$2700)</f>
        <v>0</v>
      </c>
      <c r="K227" s="512">
        <f>SUMIFS(PURCHASE!$M$6:$M$10008,PURCHASE!$A$6:$A$10008,$H$2,PURCHASE!$H$6:$H$10008,$A$4:$A$2700)</f>
        <v>2947.5</v>
      </c>
      <c r="L227" s="512">
        <f>SUMIFS(PURCHASE!$N$6:$N$10008,PURCHASE!$A$6:$A$10008,$H$2,PURCHASE!$H$6:$H$10008,$A$4:$A$2700)</f>
        <v>2947.5</v>
      </c>
      <c r="M227" s="512">
        <f t="shared" si="64"/>
        <v>66670</v>
      </c>
      <c r="N227" s="512">
        <f>SUMIFS(PURCHASE!$K$6:$K$10008,PURCHASE!$A$6:$A$10008,$M$2,PURCHASE!$H$6:$H$10008,$A$4:$A$2700)</f>
        <v>56500</v>
      </c>
      <c r="O227" s="512">
        <f>SUMIFS(PURCHASE!$L$6:$L$10008,PURCHASE!$A$6:$A$10008,$M$2,PURCHASE!$H$6:$H$10008,$A$4:$A$2700)</f>
        <v>0</v>
      </c>
      <c r="P227" s="512">
        <f>SUMIFS(PURCHASE!$M$6:$M$10008,PURCHASE!$A$6:$A$10008,$M$2,PURCHASE!$H$6:$H$10008,$A$4:$A$2700)</f>
        <v>5085</v>
      </c>
      <c r="Q227" s="512">
        <f>SUMIFS(PURCHASE!$N$6:$N$10008,PURCHASE!$A$6:$A$10008,$M$2,PURCHASE!$H$6:$H$10008,$A$4:$A$2700)</f>
        <v>5085</v>
      </c>
      <c r="R227" s="512">
        <f t="shared" si="65"/>
        <v>16225</v>
      </c>
      <c r="S227" s="512">
        <f>SUMIFS(PURCHASE!$K$6:$K$10008,PURCHASE!$A$6:$A$10008,$R$2,PURCHASE!$H$6:$H$10008,$A$4:$A$2700)</f>
        <v>13750</v>
      </c>
      <c r="T227" s="512">
        <f>SUMIFS(PURCHASE!$L$6:$L$10008,PURCHASE!$A$6:$A$10008,$R$2,PURCHASE!$H$6:$H$10008,$A$4:$A$2700)</f>
        <v>0</v>
      </c>
      <c r="U227" s="512">
        <f>SUMIFS(PURCHASE!$M$6:$M$10008,PURCHASE!$A$6:$A$10008,$R$2,PURCHASE!$H$6:$H$10008,$A$4:$A$2700)</f>
        <v>1237.5</v>
      </c>
      <c r="V227" s="512">
        <f>SUMIFS(PURCHASE!$N$6:$N$10008,PURCHASE!$A$6:$A$10008,$R$2,PURCHASE!$H$6:$H$10008,$A$4:$A$2700)</f>
        <v>1237.5</v>
      </c>
      <c r="W227" s="512">
        <f t="shared" si="66"/>
        <v>137169.1</v>
      </c>
      <c r="X227" s="512">
        <f>SUMIFS(PURCHASE!$K$6:$K$10008,PURCHASE!$A$6:$A$10008,$W$2,PURCHASE!$H$6:$H$10008,$A$4:$A$2700)</f>
        <v>116245</v>
      </c>
      <c r="Y227" s="512">
        <f>SUMIFS(PURCHASE!$L$6:$L$10008,PURCHASE!$A$6:$A$10008,$W$2,PURCHASE!$H$6:$H$10008,$A$4:$A$2700)</f>
        <v>0</v>
      </c>
      <c r="Z227" s="512">
        <f>SUMIFS(PURCHASE!$M$6:$M$10008,PURCHASE!$A$6:$A$10008,$W$2,PURCHASE!$H$6:$H$10008,$A$4:$A$2700)</f>
        <v>10462.049999999999</v>
      </c>
      <c r="AA227" s="512">
        <f>SUMIFS(PURCHASE!$N$6:$N$10008,PURCHASE!$A$6:$A$10008,$W$2,PURCHASE!$H$6:$H$10008,$A$4:$A$2700)</f>
        <v>10462.049999999999</v>
      </c>
      <c r="AB227" s="512">
        <f t="shared" si="67"/>
        <v>88529.5</v>
      </c>
      <c r="AC227" s="512">
        <f>SUMIFS(PURCHASE!$K$6:$K$10008,PURCHASE!$A$6:$A$10008,$AB$2,PURCHASE!$H$6:$H$10008,$A$4:$A$2700)</f>
        <v>75025</v>
      </c>
      <c r="AD227" s="512">
        <f>SUMIFS(PURCHASE!$L$6:$L$10008,PURCHASE!$A$6:$A$10008,$AB$2,PURCHASE!$H$6:$H$10008,$A$4:$A$2700)</f>
        <v>0</v>
      </c>
      <c r="AE227" s="512">
        <f>SUMIFS(PURCHASE!$M$6:$M$10008,PURCHASE!$A$6:$A$10008,$AB$2,PURCHASE!$H$6:$H$10008,$A$4:$A$2700)</f>
        <v>6752.25</v>
      </c>
      <c r="AF227" s="512">
        <f>SUMIFS(PURCHASE!$N$6:$N$10008,PURCHASE!$A$6:$A$10008,$AB$2,PURCHASE!$H$6:$H$10008,$A$4:$A$2700)</f>
        <v>6752.25</v>
      </c>
      <c r="AG227" s="512">
        <f t="shared" si="68"/>
        <v>89208</v>
      </c>
      <c r="AH227" s="512">
        <f>SUMIFS(PURCHASE!$K$6:$K$10008,PURCHASE!$A$6:$A$10008,$AG$2,PURCHASE!$H$6:$H$10008,$A$4:$A$2700)</f>
        <v>75600</v>
      </c>
      <c r="AI227" s="512">
        <f>SUMIFS(PURCHASE!$L$6:$L$10008,PURCHASE!$A$6:$A$10008,$AG$2,PURCHASE!$H$6:$H$10008,$A$4:$A$2700)</f>
        <v>0</v>
      </c>
      <c r="AJ227" s="512">
        <f>SUMIFS(PURCHASE!$M$6:$M$10008,PURCHASE!$A$6:$A$10008,$AG$2,PURCHASE!$H$6:$H$10008,$A$4:$A$2700)</f>
        <v>6804</v>
      </c>
      <c r="AK227" s="512">
        <f>SUMIFS(PURCHASE!$N$6:$N$10008,PURCHASE!$A$6:$A$10008,$AG$2,PURCHASE!$H$6:$H$10008,$A$4:$A$2700)</f>
        <v>6804</v>
      </c>
      <c r="AL227" s="512">
        <f t="shared" si="69"/>
        <v>0</v>
      </c>
      <c r="AM227" s="512">
        <f>SUMIFS(PURCHASE!$K$6:$K$10008,PURCHASE!$A$6:$A$10008,$AL$2,PURCHASE!$H$6:$H$10008,$A$4:$A$2700)</f>
        <v>0</v>
      </c>
      <c r="AN227" s="512">
        <f>SUMIFS(PURCHASE!$L$6:$L$10008,PURCHASE!$A$6:$A$10008,$AL$2,PURCHASE!$H$6:$H$10008,$A$4:$A$2700)</f>
        <v>0</v>
      </c>
      <c r="AO227" s="512">
        <f>SUMIFS(PURCHASE!$M$6:$M$10008,PURCHASE!$A$6:$A$10008,$AL$2,PURCHASE!$H$6:$H$10008,$A$4:$A$2700)</f>
        <v>0</v>
      </c>
      <c r="AP227" s="512">
        <f>SUMIFS(PURCHASE!$N$6:$N$10008,PURCHASE!$A$6:$A$10008,$AL$2,PURCHASE!$H$6:$H$10008,$A$4:$A$2700)</f>
        <v>0</v>
      </c>
      <c r="AQ227" s="512">
        <f t="shared" si="70"/>
        <v>0</v>
      </c>
      <c r="AR227" s="512">
        <f>SUMIFS(PURCHASE!$K$6:$K$10008,PURCHASE!$A$6:$A$10008,$AQ$2,PURCHASE!$H$6:$H$10008,$A$4:$A$2700)</f>
        <v>0</v>
      </c>
      <c r="AS227" s="512">
        <f>SUMIFS(PURCHASE!$L$6:$L$10008,PURCHASE!$A$6:$A$10008,$AQ$2,PURCHASE!$H$6:$H$10008,$A$4:$A$2700)</f>
        <v>0</v>
      </c>
      <c r="AT227" s="512">
        <f>SUMIFS(PURCHASE!$M$6:$M$10008,PURCHASE!$A$6:$A$10008,$AQ$2,PURCHASE!$H$6:$H$10008,$A$4:$A$2700)</f>
        <v>0</v>
      </c>
      <c r="AU227" s="512">
        <f>SUMIFS(PURCHASE!$N$6:$N$10008,PURCHASE!$A$6:$A$10008,$AQ$2,PURCHASE!$H$6:$H$10008,$A$4:$A$2700)</f>
        <v>0</v>
      </c>
      <c r="AV227" s="512">
        <f t="shared" si="71"/>
        <v>0</v>
      </c>
      <c r="AW227" s="512">
        <f>SUMIFS(PURCHASE!$K$6:$K$10008,PURCHASE!$A$6:$A$10008,$AV$2,PURCHASE!$H$6:$H$10008,$A$4:$A$2700)</f>
        <v>0</v>
      </c>
      <c r="AX227" s="512">
        <f>SUMIFS(PURCHASE!$L$6:$L$10008,PURCHASE!$A$6:$A$10008,$AV$2,PURCHASE!$H$6:$H$10008,$A$4:$A$2700)</f>
        <v>0</v>
      </c>
      <c r="AY227" s="512">
        <f>SUMIFS(PURCHASE!$M$6:$M$10008,PURCHASE!$A$6:$A$10008,$AV$2,PURCHASE!$H$6:$H$10008,$A$4:$A$2700)</f>
        <v>0</v>
      </c>
      <c r="AZ227" s="512">
        <f>SUMIFS(PURCHASE!$N$6:$N$10008,PURCHASE!$A$6:$A$10008,$AV$2,PURCHASE!$H$6:$H$10008,$A$4:$A$2700)</f>
        <v>0</v>
      </c>
      <c r="BA227" s="512">
        <f t="shared" si="72"/>
        <v>0</v>
      </c>
      <c r="BB227" s="512">
        <f>SUMIFS(PURCHASE!$K$6:$K$10008,PURCHASE!$A$6:$A$10008,$BA$2,PURCHASE!$H$6:$H$10008,$A$4:$A$2700)</f>
        <v>0</v>
      </c>
      <c r="BC227" s="512">
        <f>SUMIFS(PURCHASE!$L$6:$L$10008,PURCHASE!$A$6:$A$10008,$BA$2,PURCHASE!$H$6:$H$10008,$A$4:$A$2700)</f>
        <v>0</v>
      </c>
      <c r="BD227" s="512">
        <f>SUMIFS(PURCHASE!$M$6:$M$10008,PURCHASE!$A$6:$A$10008,$BA$2,PURCHASE!$H$6:$H$10008,$A$4:$A$2700)</f>
        <v>0</v>
      </c>
      <c r="BE227" s="512">
        <f>SUMIFS(PURCHASE!$N$6:$N$10008,PURCHASE!$A$6:$A$10008,$BA$2,PURCHASE!$H$6:$H$10008,$A$4:$A$2700)</f>
        <v>0</v>
      </c>
      <c r="BF227" s="512">
        <f t="shared" si="73"/>
        <v>0</v>
      </c>
      <c r="BG227" s="512">
        <f>SUMIFS(PURCHASE!$K$6:$K$10008,PURCHASE!$A$6:$A$10008,$BF$2,PURCHASE!$H$6:$H$10008,$A$4:$A$2700)</f>
        <v>0</v>
      </c>
      <c r="BH227" s="512">
        <f>SUMIFS(PURCHASE!$L$6:$L$10008,PURCHASE!$A$6:$A$10008,$BF$2,PURCHASE!$H$6:$H$10008,$A$4:$A$2700)</f>
        <v>0</v>
      </c>
      <c r="BI227" s="512">
        <f>SUMIFS(PURCHASE!$M$6:$M$10008,PURCHASE!$A$6:$A$10008,$BF$2,PURCHASE!$H$6:$H$10008,$A$4:$A$2700)</f>
        <v>0</v>
      </c>
      <c r="BJ227" s="512">
        <f>SUMIFS(PURCHASE!$N$6:$N$10008,PURCHASE!$A$6:$A$10008,$BF$2,PURCHASE!$H$6:$H$10008,$A$4:$A$2700)</f>
        <v>0</v>
      </c>
      <c r="BK227" s="72">
        <f t="shared" si="57"/>
        <v>503116.6</v>
      </c>
      <c r="BL227" s="72">
        <f t="shared" si="58"/>
        <v>426370</v>
      </c>
      <c r="BM227" s="72">
        <f t="shared" si="59"/>
        <v>0</v>
      </c>
      <c r="BN227" s="72">
        <f t="shared" si="60"/>
        <v>38373.300000000003</v>
      </c>
      <c r="BO227" s="72">
        <f t="shared" si="61"/>
        <v>38373.300000000003</v>
      </c>
    </row>
    <row r="228" spans="1:67" x14ac:dyDescent="0.2">
      <c r="A228" s="511">
        <v>87082900</v>
      </c>
      <c r="B228" s="467" t="s">
        <v>266</v>
      </c>
      <c r="C228" s="512">
        <f t="shared" si="62"/>
        <v>621363.84000000008</v>
      </c>
      <c r="D228" s="512">
        <f>SUMIFS(PURCHASE!$K$6:$K$10008,PURCHASE!$A$6:$A$10008,$M$2,PURCHASE!$H$6:$H$10008,$A$4:$A$2700)</f>
        <v>485440.50000000006</v>
      </c>
      <c r="E228" s="512">
        <f>SUMIFS(PURCHASE!$L$6:$L$10008,PURCHASE!$A$6:$A$10008,$M$2,PURCHASE!$H$6:$H$10008,$A$4:$A$2700)</f>
        <v>0</v>
      </c>
      <c r="F228" s="512">
        <f>SUMIFS(PURCHASE!$M$6:$M$10008,PURCHASE!$A$6:$A$10008,$M$2,PURCHASE!$H$6:$H$10008,$A$4:$A$2700)</f>
        <v>67961.67</v>
      </c>
      <c r="G228" s="512">
        <f>SUMIFS(PURCHASE!$N$6:$N$10008,PURCHASE!$A$6:$A$10008,$M$2,PURCHASE!$H$6:$H$10008,$A$4:$A$2700)</f>
        <v>67961.67</v>
      </c>
      <c r="H228" s="512">
        <f t="shared" si="63"/>
        <v>612559.56479999982</v>
      </c>
      <c r="I228" s="512">
        <f>SUMIFS(PURCHASE!$K$6:$K$10008,PURCHASE!$A$6:$A$10008,$H$2,PURCHASE!$H$6:$H$10008,$A$4:$A$2700)</f>
        <v>478562.15999999992</v>
      </c>
      <c r="J228" s="512">
        <f>SUMIFS(PURCHASE!$L$6:$L$10008,PURCHASE!$A$6:$A$10008,$H$2,PURCHASE!$H$6:$H$10008,$A$4:$A$2700)</f>
        <v>0</v>
      </c>
      <c r="K228" s="512">
        <f>SUMIFS(PURCHASE!$M$6:$M$10008,PURCHASE!$A$6:$A$10008,$H$2,PURCHASE!$H$6:$H$10008,$A$4:$A$2700)</f>
        <v>66998.702399999995</v>
      </c>
      <c r="L228" s="512">
        <f>SUMIFS(PURCHASE!$N$6:$N$10008,PURCHASE!$A$6:$A$10008,$H$2,PURCHASE!$H$6:$H$10008,$A$4:$A$2700)</f>
        <v>66998.702399999995</v>
      </c>
      <c r="M228" s="512">
        <f t="shared" si="64"/>
        <v>621363.84000000008</v>
      </c>
      <c r="N228" s="512">
        <f>SUMIFS(PURCHASE!$K$6:$K$10008,PURCHASE!$A$6:$A$10008,$M$2,PURCHASE!$H$6:$H$10008,$A$4:$A$2700)</f>
        <v>485440.50000000006</v>
      </c>
      <c r="O228" s="512">
        <f>SUMIFS(PURCHASE!$L$6:$L$10008,PURCHASE!$A$6:$A$10008,$M$2,PURCHASE!$H$6:$H$10008,$A$4:$A$2700)</f>
        <v>0</v>
      </c>
      <c r="P228" s="512">
        <f>SUMIFS(PURCHASE!$M$6:$M$10008,PURCHASE!$A$6:$A$10008,$M$2,PURCHASE!$H$6:$H$10008,$A$4:$A$2700)</f>
        <v>67961.67</v>
      </c>
      <c r="Q228" s="512">
        <f>SUMIFS(PURCHASE!$N$6:$N$10008,PURCHASE!$A$6:$A$10008,$M$2,PURCHASE!$H$6:$H$10008,$A$4:$A$2700)</f>
        <v>67961.67</v>
      </c>
      <c r="R228" s="512">
        <f t="shared" si="65"/>
        <v>537587.71199999994</v>
      </c>
      <c r="S228" s="512">
        <f>SUMIFS(PURCHASE!$K$6:$K$10008,PURCHASE!$A$6:$A$10008,$R$2,PURCHASE!$H$6:$H$10008,$A$4:$A$2700)</f>
        <v>419990.39999999997</v>
      </c>
      <c r="T228" s="512">
        <f>SUMIFS(PURCHASE!$L$6:$L$10008,PURCHASE!$A$6:$A$10008,$R$2,PURCHASE!$H$6:$H$10008,$A$4:$A$2700)</f>
        <v>0</v>
      </c>
      <c r="U228" s="512">
        <f>SUMIFS(PURCHASE!$M$6:$M$10008,PURCHASE!$A$6:$A$10008,$R$2,PURCHASE!$H$6:$H$10008,$A$4:$A$2700)</f>
        <v>58798.656000000003</v>
      </c>
      <c r="V228" s="512">
        <f>SUMIFS(PURCHASE!$N$6:$N$10008,PURCHASE!$A$6:$A$10008,$R$2,PURCHASE!$H$6:$H$10008,$A$4:$A$2700)</f>
        <v>58798.656000000003</v>
      </c>
      <c r="W228" s="512">
        <f t="shared" si="66"/>
        <v>295737.34399999998</v>
      </c>
      <c r="X228" s="512">
        <f>SUMIFS(PURCHASE!$K$6:$K$10008,PURCHASE!$A$6:$A$10008,$W$2,PURCHASE!$H$6:$H$10008,$A$4:$A$2700)</f>
        <v>231044.8</v>
      </c>
      <c r="Y228" s="512">
        <f>SUMIFS(PURCHASE!$L$6:$L$10008,PURCHASE!$A$6:$A$10008,$W$2,PURCHASE!$H$6:$H$10008,$A$4:$A$2700)</f>
        <v>0</v>
      </c>
      <c r="Z228" s="512">
        <f>SUMIFS(PURCHASE!$M$6:$M$10008,PURCHASE!$A$6:$A$10008,$W$2,PURCHASE!$H$6:$H$10008,$A$4:$A$2700)</f>
        <v>32346.271999999997</v>
      </c>
      <c r="AA228" s="512">
        <f>SUMIFS(PURCHASE!$N$6:$N$10008,PURCHASE!$A$6:$A$10008,$W$2,PURCHASE!$H$6:$H$10008,$A$4:$A$2700)</f>
        <v>32346.271999999997</v>
      </c>
      <c r="AB228" s="512">
        <f t="shared" si="67"/>
        <v>439188.47999999998</v>
      </c>
      <c r="AC228" s="512">
        <f>SUMIFS(PURCHASE!$K$6:$K$10008,PURCHASE!$A$6:$A$10008,$AB$2,PURCHASE!$H$6:$H$10008,$A$4:$A$2700)</f>
        <v>343116</v>
      </c>
      <c r="AD228" s="512">
        <f>SUMIFS(PURCHASE!$L$6:$L$10008,PURCHASE!$A$6:$A$10008,$AB$2,PURCHASE!$H$6:$H$10008,$A$4:$A$2700)</f>
        <v>0</v>
      </c>
      <c r="AE228" s="512">
        <f>SUMIFS(PURCHASE!$M$6:$M$10008,PURCHASE!$A$6:$A$10008,$AB$2,PURCHASE!$H$6:$H$10008,$A$4:$A$2700)</f>
        <v>48036.24</v>
      </c>
      <c r="AF228" s="512">
        <f>SUMIFS(PURCHASE!$N$6:$N$10008,PURCHASE!$A$6:$A$10008,$AB$2,PURCHASE!$H$6:$H$10008,$A$4:$A$2700)</f>
        <v>48036.24</v>
      </c>
      <c r="AG228" s="512">
        <f t="shared" si="68"/>
        <v>406494.71999999997</v>
      </c>
      <c r="AH228" s="512">
        <f>SUMIFS(PURCHASE!$K$6:$K$10008,PURCHASE!$A$6:$A$10008,$AG$2,PURCHASE!$H$6:$H$10008,$A$4:$A$2700)</f>
        <v>317574</v>
      </c>
      <c r="AI228" s="512">
        <f>SUMIFS(PURCHASE!$L$6:$L$10008,PURCHASE!$A$6:$A$10008,$AG$2,PURCHASE!$H$6:$H$10008,$A$4:$A$2700)</f>
        <v>0</v>
      </c>
      <c r="AJ228" s="512">
        <f>SUMIFS(PURCHASE!$M$6:$M$10008,PURCHASE!$A$6:$A$10008,$AG$2,PURCHASE!$H$6:$H$10008,$A$4:$A$2700)</f>
        <v>44460.359999999993</v>
      </c>
      <c r="AK228" s="512">
        <f>SUMIFS(PURCHASE!$N$6:$N$10008,PURCHASE!$A$6:$A$10008,$AG$2,PURCHASE!$H$6:$H$10008,$A$4:$A$2700)</f>
        <v>44460.359999999993</v>
      </c>
      <c r="AL228" s="512">
        <f t="shared" si="69"/>
        <v>339959.80800000002</v>
      </c>
      <c r="AM228" s="512">
        <f>SUMIFS(PURCHASE!$K$6:$K$10008,PURCHASE!$A$6:$A$10008,$AL$2,PURCHASE!$H$6:$H$10008,$A$4:$A$2700)</f>
        <v>265593.60000000003</v>
      </c>
      <c r="AN228" s="512">
        <f>SUMIFS(PURCHASE!$L$6:$L$10008,PURCHASE!$A$6:$A$10008,$AL$2,PURCHASE!$H$6:$H$10008,$A$4:$A$2700)</f>
        <v>0</v>
      </c>
      <c r="AO228" s="512">
        <f>SUMIFS(PURCHASE!$M$6:$M$10008,PURCHASE!$A$6:$A$10008,$AL$2,PURCHASE!$H$6:$H$10008,$A$4:$A$2700)</f>
        <v>37183.103999999999</v>
      </c>
      <c r="AP228" s="512">
        <f>SUMIFS(PURCHASE!$N$6:$N$10008,PURCHASE!$A$6:$A$10008,$AL$2,PURCHASE!$H$6:$H$10008,$A$4:$A$2700)</f>
        <v>37183.103999999999</v>
      </c>
      <c r="AQ228" s="512">
        <f t="shared" si="70"/>
        <v>124157.95199999999</v>
      </c>
      <c r="AR228" s="512">
        <f>SUMIFS(PURCHASE!$K$6:$K$10008,PURCHASE!$A$6:$A$10008,$AQ$2,PURCHASE!$H$6:$H$10008,$A$4:$A$2700)</f>
        <v>96998.399999999994</v>
      </c>
      <c r="AS228" s="512">
        <f>SUMIFS(PURCHASE!$L$6:$L$10008,PURCHASE!$A$6:$A$10008,$AQ$2,PURCHASE!$H$6:$H$10008,$A$4:$A$2700)</f>
        <v>0</v>
      </c>
      <c r="AT228" s="512">
        <f>SUMIFS(PURCHASE!$M$6:$M$10008,PURCHASE!$A$6:$A$10008,$AQ$2,PURCHASE!$H$6:$H$10008,$A$4:$A$2700)</f>
        <v>13579.776</v>
      </c>
      <c r="AU228" s="512">
        <f>SUMIFS(PURCHASE!$N$6:$N$10008,PURCHASE!$A$6:$A$10008,$AQ$2,PURCHASE!$H$6:$H$10008,$A$4:$A$2700)</f>
        <v>13579.776</v>
      </c>
      <c r="AV228" s="512">
        <f t="shared" si="71"/>
        <v>42854.399999999994</v>
      </c>
      <c r="AW228" s="512">
        <f>SUMIFS(PURCHASE!$K$6:$K$10008,PURCHASE!$A$6:$A$10008,$AV$2,PURCHASE!$H$6:$H$10008,$A$4:$A$2700)</f>
        <v>33480</v>
      </c>
      <c r="AX228" s="512">
        <f>SUMIFS(PURCHASE!$L$6:$L$10008,PURCHASE!$A$6:$A$10008,$AV$2,PURCHASE!$H$6:$H$10008,$A$4:$A$2700)</f>
        <v>0</v>
      </c>
      <c r="AY228" s="512">
        <f>SUMIFS(PURCHASE!$M$6:$M$10008,PURCHASE!$A$6:$A$10008,$AV$2,PURCHASE!$H$6:$H$10008,$A$4:$A$2700)</f>
        <v>4687.2</v>
      </c>
      <c r="AZ228" s="512">
        <f>SUMIFS(PURCHASE!$N$6:$N$10008,PURCHASE!$A$6:$A$10008,$AV$2,PURCHASE!$H$6:$H$10008,$A$4:$A$2700)</f>
        <v>4687.2</v>
      </c>
      <c r="BA228" s="512">
        <f t="shared" si="72"/>
        <v>0</v>
      </c>
      <c r="BB228" s="512">
        <f>SUMIFS(PURCHASE!$K$6:$K$10008,PURCHASE!$A$6:$A$10008,$BA$2,PURCHASE!$H$6:$H$10008,$A$4:$A$2700)</f>
        <v>0</v>
      </c>
      <c r="BC228" s="512">
        <f>SUMIFS(PURCHASE!$L$6:$L$10008,PURCHASE!$A$6:$A$10008,$BA$2,PURCHASE!$H$6:$H$10008,$A$4:$A$2700)</f>
        <v>0</v>
      </c>
      <c r="BD228" s="512">
        <f>SUMIFS(PURCHASE!$M$6:$M$10008,PURCHASE!$A$6:$A$10008,$BA$2,PURCHASE!$H$6:$H$10008,$A$4:$A$2700)</f>
        <v>0</v>
      </c>
      <c r="BE228" s="512">
        <f>SUMIFS(PURCHASE!$N$6:$N$10008,PURCHASE!$A$6:$A$10008,$BA$2,PURCHASE!$H$6:$H$10008,$A$4:$A$2700)</f>
        <v>0</v>
      </c>
      <c r="BF228" s="512">
        <f t="shared" si="73"/>
        <v>0</v>
      </c>
      <c r="BG228" s="512">
        <f>SUMIFS(PURCHASE!$K$6:$K$10008,PURCHASE!$A$6:$A$10008,$BF$2,PURCHASE!$H$6:$H$10008,$A$4:$A$2700)</f>
        <v>0</v>
      </c>
      <c r="BH228" s="512">
        <f>SUMIFS(PURCHASE!$L$6:$L$10008,PURCHASE!$A$6:$A$10008,$BF$2,PURCHASE!$H$6:$H$10008,$A$4:$A$2700)</f>
        <v>0</v>
      </c>
      <c r="BI228" s="512">
        <f>SUMIFS(PURCHASE!$M$6:$M$10008,PURCHASE!$A$6:$A$10008,$BF$2,PURCHASE!$H$6:$H$10008,$A$4:$A$2700)</f>
        <v>0</v>
      </c>
      <c r="BJ228" s="512">
        <f>SUMIFS(PURCHASE!$N$6:$N$10008,PURCHASE!$A$6:$A$10008,$BF$2,PURCHASE!$H$6:$H$10008,$A$4:$A$2700)</f>
        <v>0</v>
      </c>
      <c r="BK228" s="72">
        <f t="shared" si="57"/>
        <v>4041267.6607999997</v>
      </c>
      <c r="BL228" s="72">
        <f t="shared" si="58"/>
        <v>3157240.36</v>
      </c>
      <c r="BM228" s="72">
        <f t="shared" si="59"/>
        <v>0</v>
      </c>
      <c r="BN228" s="72">
        <f t="shared" si="60"/>
        <v>442013.65039999998</v>
      </c>
      <c r="BO228" s="72">
        <f t="shared" si="61"/>
        <v>442013.65039999998</v>
      </c>
    </row>
    <row r="229" spans="1:67" x14ac:dyDescent="0.2">
      <c r="A229" s="511">
        <v>87089900</v>
      </c>
      <c r="B229" s="467" t="s">
        <v>266</v>
      </c>
      <c r="C229" s="512">
        <f t="shared" si="62"/>
        <v>691323.26400000008</v>
      </c>
      <c r="D229" s="512">
        <f>SUMIFS(PURCHASE!$K$6:$K$10008,PURCHASE!$A$6:$A$10008,$M$2,PURCHASE!$H$6:$H$10008,$A$4:$A$2700)</f>
        <v>540096.30000000016</v>
      </c>
      <c r="E229" s="512">
        <f>SUMIFS(PURCHASE!$L$6:$L$10008,PURCHASE!$A$6:$A$10008,$M$2,PURCHASE!$H$6:$H$10008,$A$4:$A$2700)</f>
        <v>0</v>
      </c>
      <c r="F229" s="512">
        <f>SUMIFS(PURCHASE!$M$6:$M$10008,PURCHASE!$A$6:$A$10008,$M$2,PURCHASE!$H$6:$H$10008,$A$4:$A$2700)</f>
        <v>75613.481999999989</v>
      </c>
      <c r="G229" s="512">
        <f>SUMIFS(PURCHASE!$N$6:$N$10008,PURCHASE!$A$6:$A$10008,$M$2,PURCHASE!$H$6:$H$10008,$A$4:$A$2700)</f>
        <v>75613.481999999989</v>
      </c>
      <c r="H229" s="512">
        <f t="shared" si="63"/>
        <v>1016716.3008000006</v>
      </c>
      <c r="I229" s="512">
        <f>SUMIFS(PURCHASE!$K$6:$K$10008,PURCHASE!$A$6:$A$10008,$H$2,PURCHASE!$H$6:$H$10008,$A$4:$A$2700)</f>
        <v>794309.61000000045</v>
      </c>
      <c r="J229" s="512">
        <f>SUMIFS(PURCHASE!$L$6:$L$10008,PURCHASE!$A$6:$A$10008,$H$2,PURCHASE!$H$6:$H$10008,$A$4:$A$2700)</f>
        <v>0</v>
      </c>
      <c r="K229" s="512">
        <f>SUMIFS(PURCHASE!$M$6:$M$10008,PURCHASE!$A$6:$A$10008,$H$2,PURCHASE!$H$6:$H$10008,$A$4:$A$2700)</f>
        <v>111203.34540000005</v>
      </c>
      <c r="L229" s="512">
        <f>SUMIFS(PURCHASE!$N$6:$N$10008,PURCHASE!$A$6:$A$10008,$H$2,PURCHASE!$H$6:$H$10008,$A$4:$A$2700)</f>
        <v>111203.34540000005</v>
      </c>
      <c r="M229" s="512">
        <f t="shared" si="64"/>
        <v>691323.26400000008</v>
      </c>
      <c r="N229" s="512">
        <f>SUMIFS(PURCHASE!$K$6:$K$10008,PURCHASE!$A$6:$A$10008,$M$2,PURCHASE!$H$6:$H$10008,$A$4:$A$2700)</f>
        <v>540096.30000000016</v>
      </c>
      <c r="O229" s="512">
        <f>SUMIFS(PURCHASE!$L$6:$L$10008,PURCHASE!$A$6:$A$10008,$M$2,PURCHASE!$H$6:$H$10008,$A$4:$A$2700)</f>
        <v>0</v>
      </c>
      <c r="P229" s="512">
        <f>SUMIFS(PURCHASE!$M$6:$M$10008,PURCHASE!$A$6:$A$10008,$M$2,PURCHASE!$H$6:$H$10008,$A$4:$A$2700)</f>
        <v>75613.481999999989</v>
      </c>
      <c r="Q229" s="512">
        <f>SUMIFS(PURCHASE!$N$6:$N$10008,PURCHASE!$A$6:$A$10008,$M$2,PURCHASE!$H$6:$H$10008,$A$4:$A$2700)</f>
        <v>75613.481999999989</v>
      </c>
      <c r="R229" s="512">
        <f t="shared" si="65"/>
        <v>1060882.4200000006</v>
      </c>
      <c r="S229" s="512">
        <f>SUMIFS(PURCHASE!$K$6:$K$10008,PURCHASE!$A$6:$A$10008,$R$2,PURCHASE!$H$6:$H$10008,$A$4:$A$2700)</f>
        <v>828810.50000000047</v>
      </c>
      <c r="T229" s="512">
        <f>SUMIFS(PURCHASE!$L$6:$L$10008,PURCHASE!$A$6:$A$10008,$R$2,PURCHASE!$H$6:$H$10008,$A$4:$A$2700)</f>
        <v>0</v>
      </c>
      <c r="U229" s="512">
        <f>SUMIFS(PURCHASE!$M$6:$M$10008,PURCHASE!$A$6:$A$10008,$R$2,PURCHASE!$H$6:$H$10008,$A$4:$A$2700)</f>
        <v>116035.96000000005</v>
      </c>
      <c r="V229" s="512">
        <f>SUMIFS(PURCHASE!$N$6:$N$10008,PURCHASE!$A$6:$A$10008,$R$2,PURCHASE!$H$6:$H$10008,$A$4:$A$2700)</f>
        <v>116035.96000000005</v>
      </c>
      <c r="W229" s="512">
        <f t="shared" si="66"/>
        <v>699177.20079999999</v>
      </c>
      <c r="X229" s="512">
        <f>SUMIFS(PURCHASE!$K$6:$K$10008,PURCHASE!$A$6:$A$10008,$W$2,PURCHASE!$H$6:$H$10008,$A$4:$A$2700)</f>
        <v>546232.8600000001</v>
      </c>
      <c r="Y229" s="512">
        <f>SUMIFS(PURCHASE!$L$6:$L$10008,PURCHASE!$A$6:$A$10008,$W$2,PURCHASE!$H$6:$H$10008,$A$4:$A$2700)</f>
        <v>0</v>
      </c>
      <c r="Z229" s="512">
        <f>SUMIFS(PURCHASE!$M$6:$M$10008,PURCHASE!$A$6:$A$10008,$W$2,PURCHASE!$H$6:$H$10008,$A$4:$A$2700)</f>
        <v>76472.170399999988</v>
      </c>
      <c r="AA229" s="512">
        <f>SUMIFS(PURCHASE!$N$6:$N$10008,PURCHASE!$A$6:$A$10008,$W$2,PURCHASE!$H$6:$H$10008,$A$4:$A$2700)</f>
        <v>76472.170399999988</v>
      </c>
      <c r="AB229" s="512">
        <f t="shared" si="67"/>
        <v>311138.68799999997</v>
      </c>
      <c r="AC229" s="512">
        <f>SUMIFS(PURCHASE!$K$6:$K$10008,PURCHASE!$A$6:$A$10008,$AB$2,PURCHASE!$H$6:$H$10008,$A$4:$A$2700)</f>
        <v>243072.84999999995</v>
      </c>
      <c r="AD229" s="512">
        <f>SUMIFS(PURCHASE!$L$6:$L$10008,PURCHASE!$A$6:$A$10008,$AB$2,PURCHASE!$H$6:$H$10008,$A$4:$A$2700)</f>
        <v>0</v>
      </c>
      <c r="AE229" s="512">
        <f>SUMIFS(PURCHASE!$M$6:$M$10008,PURCHASE!$A$6:$A$10008,$AB$2,PURCHASE!$H$6:$H$10008,$A$4:$A$2700)</f>
        <v>34032.919000000009</v>
      </c>
      <c r="AF229" s="512">
        <f>SUMIFS(PURCHASE!$N$6:$N$10008,PURCHASE!$A$6:$A$10008,$AB$2,PURCHASE!$H$6:$H$10008,$A$4:$A$2700)</f>
        <v>34032.919000000009</v>
      </c>
      <c r="AG229" s="512">
        <f t="shared" si="68"/>
        <v>263525.14559999999</v>
      </c>
      <c r="AH229" s="512">
        <f>SUMIFS(PURCHASE!$K$6:$K$10008,PURCHASE!$A$6:$A$10008,$AG$2,PURCHASE!$H$6:$H$10008,$A$4:$A$2700)</f>
        <v>205879.02</v>
      </c>
      <c r="AI229" s="512">
        <f>SUMIFS(PURCHASE!$L$6:$L$10008,PURCHASE!$A$6:$A$10008,$AG$2,PURCHASE!$H$6:$H$10008,$A$4:$A$2700)</f>
        <v>0</v>
      </c>
      <c r="AJ229" s="512">
        <f>SUMIFS(PURCHASE!$M$6:$M$10008,PURCHASE!$A$6:$A$10008,$AG$2,PURCHASE!$H$6:$H$10008,$A$4:$A$2700)</f>
        <v>28823.062800000007</v>
      </c>
      <c r="AK229" s="512">
        <f>SUMIFS(PURCHASE!$N$6:$N$10008,PURCHASE!$A$6:$A$10008,$AG$2,PURCHASE!$H$6:$H$10008,$A$4:$A$2700)</f>
        <v>28823.062800000007</v>
      </c>
      <c r="AL229" s="512">
        <f t="shared" si="69"/>
        <v>148942.7672</v>
      </c>
      <c r="AM229" s="512">
        <f>SUMIFS(PURCHASE!$K$6:$K$10008,PURCHASE!$A$6:$A$10008,$AL$2,PURCHASE!$H$6:$H$10008,$A$4:$A$2700)</f>
        <v>116357.98999999999</v>
      </c>
      <c r="AN229" s="512">
        <f>SUMIFS(PURCHASE!$L$6:$L$10008,PURCHASE!$A$6:$A$10008,$AL$2,PURCHASE!$H$6:$H$10008,$A$4:$A$2700)</f>
        <v>0</v>
      </c>
      <c r="AO229" s="512">
        <f>SUMIFS(PURCHASE!$M$6:$M$10008,PURCHASE!$A$6:$A$10008,$AL$2,PURCHASE!$H$6:$H$10008,$A$4:$A$2700)</f>
        <v>16292.3886</v>
      </c>
      <c r="AP229" s="512">
        <f>SUMIFS(PURCHASE!$N$6:$N$10008,PURCHASE!$A$6:$A$10008,$AL$2,PURCHASE!$H$6:$H$10008,$A$4:$A$2700)</f>
        <v>16292.3886</v>
      </c>
      <c r="AQ229" s="512">
        <f t="shared" si="70"/>
        <v>150394.16400000002</v>
      </c>
      <c r="AR229" s="512">
        <f>SUMIFS(PURCHASE!$K$6:$K$10008,PURCHASE!$A$6:$A$10008,$AQ$2,PURCHASE!$H$6:$H$10008,$A$4:$A$2700)</f>
        <v>117494.55</v>
      </c>
      <c r="AS229" s="512">
        <f>SUMIFS(PURCHASE!$L$6:$L$10008,PURCHASE!$A$6:$A$10008,$AQ$2,PURCHASE!$H$6:$H$10008,$A$4:$A$2700)</f>
        <v>0</v>
      </c>
      <c r="AT229" s="512">
        <f>SUMIFS(PURCHASE!$M$6:$M$10008,PURCHASE!$A$6:$A$10008,$AQ$2,PURCHASE!$H$6:$H$10008,$A$4:$A$2700)</f>
        <v>16449.807000000004</v>
      </c>
      <c r="AU229" s="512">
        <f>SUMIFS(PURCHASE!$N$6:$N$10008,PURCHASE!$A$6:$A$10008,$AQ$2,PURCHASE!$H$6:$H$10008,$A$4:$A$2700)</f>
        <v>16449.807000000004</v>
      </c>
      <c r="AV229" s="512">
        <f t="shared" si="71"/>
        <v>201960.24480000001</v>
      </c>
      <c r="AW229" s="512">
        <f>SUMIFS(PURCHASE!$K$6:$K$10008,PURCHASE!$A$6:$A$10008,$AV$2,PURCHASE!$H$6:$H$10008,$A$4:$A$2700)</f>
        <v>157781.16</v>
      </c>
      <c r="AX229" s="512">
        <f>SUMIFS(PURCHASE!$L$6:$L$10008,PURCHASE!$A$6:$A$10008,$AV$2,PURCHASE!$H$6:$H$10008,$A$4:$A$2700)</f>
        <v>0</v>
      </c>
      <c r="AY229" s="512">
        <f>SUMIFS(PURCHASE!$M$6:$M$10008,PURCHASE!$A$6:$A$10008,$AV$2,PURCHASE!$H$6:$H$10008,$A$4:$A$2700)</f>
        <v>22089.542400000002</v>
      </c>
      <c r="AZ229" s="512">
        <f>SUMIFS(PURCHASE!$N$6:$N$10008,PURCHASE!$A$6:$A$10008,$AV$2,PURCHASE!$H$6:$H$10008,$A$4:$A$2700)</f>
        <v>22089.542400000002</v>
      </c>
      <c r="BA229" s="512">
        <f t="shared" si="72"/>
        <v>0</v>
      </c>
      <c r="BB229" s="512">
        <f>SUMIFS(PURCHASE!$K$6:$K$10008,PURCHASE!$A$6:$A$10008,$BA$2,PURCHASE!$H$6:$H$10008,$A$4:$A$2700)</f>
        <v>0</v>
      </c>
      <c r="BC229" s="512">
        <f>SUMIFS(PURCHASE!$L$6:$L$10008,PURCHASE!$A$6:$A$10008,$BA$2,PURCHASE!$H$6:$H$10008,$A$4:$A$2700)</f>
        <v>0</v>
      </c>
      <c r="BD229" s="512">
        <f>SUMIFS(PURCHASE!$M$6:$M$10008,PURCHASE!$A$6:$A$10008,$BA$2,PURCHASE!$H$6:$H$10008,$A$4:$A$2700)</f>
        <v>0</v>
      </c>
      <c r="BE229" s="512">
        <f>SUMIFS(PURCHASE!$N$6:$N$10008,PURCHASE!$A$6:$A$10008,$BA$2,PURCHASE!$H$6:$H$10008,$A$4:$A$2700)</f>
        <v>0</v>
      </c>
      <c r="BF229" s="512">
        <f t="shared" si="73"/>
        <v>0</v>
      </c>
      <c r="BG229" s="512">
        <f>SUMIFS(PURCHASE!$K$6:$K$10008,PURCHASE!$A$6:$A$10008,$BF$2,PURCHASE!$H$6:$H$10008,$A$4:$A$2700)</f>
        <v>0</v>
      </c>
      <c r="BH229" s="512">
        <f>SUMIFS(PURCHASE!$L$6:$L$10008,PURCHASE!$A$6:$A$10008,$BF$2,PURCHASE!$H$6:$H$10008,$A$4:$A$2700)</f>
        <v>0</v>
      </c>
      <c r="BI229" s="512">
        <f>SUMIFS(PURCHASE!$M$6:$M$10008,PURCHASE!$A$6:$A$10008,$BF$2,PURCHASE!$H$6:$H$10008,$A$4:$A$2700)</f>
        <v>0</v>
      </c>
      <c r="BJ229" s="512">
        <f>SUMIFS(PURCHASE!$N$6:$N$10008,PURCHASE!$A$6:$A$10008,$BF$2,PURCHASE!$H$6:$H$10008,$A$4:$A$2700)</f>
        <v>0</v>
      </c>
      <c r="BK229" s="72">
        <f>+C229+H229+M229+R229+W229+AB229+AG229+AL229+AQ229+AV229+BA229+BF229</f>
        <v>5235383.4592000013</v>
      </c>
      <c r="BL229" s="72">
        <f t="shared" ref="BL229:BO229" si="74">+D229+I229+N229+S229+X229+AC229+AH229+AM229+AR229+AW229+BB229+BG229</f>
        <v>4090131.1400000015</v>
      </c>
      <c r="BM229" s="72">
        <f t="shared" si="74"/>
        <v>0</v>
      </c>
      <c r="BN229" s="72">
        <f t="shared" si="74"/>
        <v>572626.15960000013</v>
      </c>
      <c r="BO229" s="72">
        <f t="shared" si="74"/>
        <v>572626.15960000013</v>
      </c>
    </row>
    <row r="230" spans="1:67" x14ac:dyDescent="0.2">
      <c r="A230" s="511">
        <v>87141090</v>
      </c>
      <c r="B230" s="467" t="s">
        <v>266</v>
      </c>
      <c r="C230" s="512">
        <f t="shared" si="62"/>
        <v>0</v>
      </c>
      <c r="D230" s="512">
        <f>SUMIFS(PURCHASE!$K$6:$K$10008,PURCHASE!$A$6:$A$10008,$M$2,PURCHASE!$H$6:$H$10008,$A$4:$A$2700)</f>
        <v>0</v>
      </c>
      <c r="E230" s="512">
        <f>SUMIFS(PURCHASE!$L$6:$L$10008,PURCHASE!$A$6:$A$10008,$M$2,PURCHASE!$H$6:$H$10008,$A$4:$A$2700)</f>
        <v>0</v>
      </c>
      <c r="F230" s="512">
        <f>SUMIFS(PURCHASE!$M$6:$M$10008,PURCHASE!$A$6:$A$10008,$M$2,PURCHASE!$H$6:$H$10008,$A$4:$A$2700)</f>
        <v>0</v>
      </c>
      <c r="G230" s="512">
        <f>SUMIFS(PURCHASE!$N$6:$N$10008,PURCHASE!$A$6:$A$10008,$M$2,PURCHASE!$H$6:$H$10008,$A$4:$A$2700)</f>
        <v>0</v>
      </c>
      <c r="H230" s="512">
        <f t="shared" si="63"/>
        <v>23731.199999999997</v>
      </c>
      <c r="I230" s="512">
        <f>SUMIFS(PURCHASE!$K$6:$K$10008,PURCHASE!$A$6:$A$10008,$H$2,PURCHASE!$H$6:$H$10008,$A$4:$A$2700)</f>
        <v>18540</v>
      </c>
      <c r="J230" s="512">
        <f>SUMIFS(PURCHASE!$L$6:$L$10008,PURCHASE!$A$6:$A$10008,$H$2,PURCHASE!$H$6:$H$10008,$A$4:$A$2700)</f>
        <v>0</v>
      </c>
      <c r="K230" s="512">
        <f>SUMIFS(PURCHASE!$M$6:$M$10008,PURCHASE!$A$6:$A$10008,$H$2,PURCHASE!$H$6:$H$10008,$A$4:$A$2700)</f>
        <v>2595.6</v>
      </c>
      <c r="L230" s="512">
        <f>SUMIFS(PURCHASE!$N$6:$N$10008,PURCHASE!$A$6:$A$10008,$H$2,PURCHASE!$H$6:$H$10008,$A$4:$A$2700)</f>
        <v>2595.6</v>
      </c>
      <c r="M230" s="512">
        <f t="shared" si="64"/>
        <v>0</v>
      </c>
      <c r="N230" s="512">
        <f>SUMIFS(PURCHASE!$K$6:$K$10008,PURCHASE!$A$6:$A$10008,$M$2,PURCHASE!$H$6:$H$10008,$A$4:$A$2700)</f>
        <v>0</v>
      </c>
      <c r="O230" s="512">
        <f>SUMIFS(PURCHASE!$L$6:$L$10008,PURCHASE!$A$6:$A$10008,$M$2,PURCHASE!$H$6:$H$10008,$A$4:$A$2700)</f>
        <v>0</v>
      </c>
      <c r="P230" s="512">
        <f>SUMIFS(PURCHASE!$M$6:$M$10008,PURCHASE!$A$6:$A$10008,$M$2,PURCHASE!$H$6:$H$10008,$A$4:$A$2700)</f>
        <v>0</v>
      </c>
      <c r="Q230" s="512">
        <f>SUMIFS(PURCHASE!$N$6:$N$10008,PURCHASE!$A$6:$A$10008,$M$2,PURCHASE!$H$6:$H$10008,$A$4:$A$2700)</f>
        <v>0</v>
      </c>
      <c r="R230" s="512">
        <f t="shared" si="65"/>
        <v>0</v>
      </c>
      <c r="S230" s="512">
        <f>SUMIFS(PURCHASE!$K$6:$K$10008,PURCHASE!$A$6:$A$10008,$R$2,PURCHASE!$H$6:$H$10008,$A$4:$A$2700)</f>
        <v>0</v>
      </c>
      <c r="T230" s="512">
        <f>SUMIFS(PURCHASE!$L$6:$L$10008,PURCHASE!$A$6:$A$10008,$R$2,PURCHASE!$H$6:$H$10008,$A$4:$A$2700)</f>
        <v>0</v>
      </c>
      <c r="U230" s="512">
        <f>SUMIFS(PURCHASE!$M$6:$M$10008,PURCHASE!$A$6:$A$10008,$R$2,PURCHASE!$H$6:$H$10008,$A$4:$A$2700)</f>
        <v>0</v>
      </c>
      <c r="V230" s="512">
        <f>SUMIFS(PURCHASE!$N$6:$N$10008,PURCHASE!$A$6:$A$10008,$R$2,PURCHASE!$H$6:$H$10008,$A$4:$A$2700)</f>
        <v>0</v>
      </c>
      <c r="W230" s="512">
        <f t="shared" si="66"/>
        <v>0</v>
      </c>
      <c r="X230" s="512">
        <f>SUMIFS(PURCHASE!$K$6:$K$10008,PURCHASE!$A$6:$A$10008,$W$2,PURCHASE!$H$6:$H$10008,$A$4:$A$2700)</f>
        <v>0</v>
      </c>
      <c r="Y230" s="512">
        <f>SUMIFS(PURCHASE!$L$6:$L$10008,PURCHASE!$A$6:$A$10008,$W$2,PURCHASE!$H$6:$H$10008,$A$4:$A$2700)</f>
        <v>0</v>
      </c>
      <c r="Z230" s="512">
        <f>SUMIFS(PURCHASE!$M$6:$M$10008,PURCHASE!$A$6:$A$10008,$W$2,PURCHASE!$H$6:$H$10008,$A$4:$A$2700)</f>
        <v>0</v>
      </c>
      <c r="AA230" s="512">
        <f>SUMIFS(PURCHASE!$N$6:$N$10008,PURCHASE!$A$6:$A$10008,$W$2,PURCHASE!$H$6:$H$10008,$A$4:$A$2700)</f>
        <v>0</v>
      </c>
      <c r="AB230" s="512">
        <f t="shared" si="67"/>
        <v>0</v>
      </c>
      <c r="AC230" s="512">
        <f>SUMIFS(PURCHASE!$K$6:$K$10008,PURCHASE!$A$6:$A$10008,$AB$2,PURCHASE!$H$6:$H$10008,$A$4:$A$2700)</f>
        <v>0</v>
      </c>
      <c r="AD230" s="512">
        <f>SUMIFS(PURCHASE!$L$6:$L$10008,PURCHASE!$A$6:$A$10008,$AB$2,PURCHASE!$H$6:$H$10008,$A$4:$A$2700)</f>
        <v>0</v>
      </c>
      <c r="AE230" s="512">
        <f>SUMIFS(PURCHASE!$M$6:$M$10008,PURCHASE!$A$6:$A$10008,$AB$2,PURCHASE!$H$6:$H$10008,$A$4:$A$2700)</f>
        <v>0</v>
      </c>
      <c r="AF230" s="512">
        <f>SUMIFS(PURCHASE!$N$6:$N$10008,PURCHASE!$A$6:$A$10008,$AB$2,PURCHASE!$H$6:$H$10008,$A$4:$A$2700)</f>
        <v>0</v>
      </c>
      <c r="AG230" s="512">
        <f t="shared" si="68"/>
        <v>0</v>
      </c>
      <c r="AH230" s="512">
        <f>SUMIFS(PURCHASE!$K$6:$K$10008,PURCHASE!$A$6:$A$10008,$AG$2,PURCHASE!$H$6:$H$10008,$A$4:$A$2700)</f>
        <v>0</v>
      </c>
      <c r="AI230" s="512">
        <f>SUMIFS(PURCHASE!$L$6:$L$10008,PURCHASE!$A$6:$A$10008,$AG$2,PURCHASE!$H$6:$H$10008,$A$4:$A$2700)</f>
        <v>0</v>
      </c>
      <c r="AJ230" s="512">
        <f>SUMIFS(PURCHASE!$M$6:$M$10008,PURCHASE!$A$6:$A$10008,$AG$2,PURCHASE!$H$6:$H$10008,$A$4:$A$2700)</f>
        <v>0</v>
      </c>
      <c r="AK230" s="512">
        <f>SUMIFS(PURCHASE!$N$6:$N$10008,PURCHASE!$A$6:$A$10008,$AG$2,PURCHASE!$H$6:$H$10008,$A$4:$A$2700)</f>
        <v>0</v>
      </c>
      <c r="AL230" s="512">
        <f t="shared" si="69"/>
        <v>0</v>
      </c>
      <c r="AM230" s="512">
        <f>SUMIFS(PURCHASE!$K$6:$K$10008,PURCHASE!$A$6:$A$10008,$AL$2,PURCHASE!$H$6:$H$10008,$A$4:$A$2700)</f>
        <v>0</v>
      </c>
      <c r="AN230" s="512">
        <f>SUMIFS(PURCHASE!$L$6:$L$10008,PURCHASE!$A$6:$A$10008,$AL$2,PURCHASE!$H$6:$H$10008,$A$4:$A$2700)</f>
        <v>0</v>
      </c>
      <c r="AO230" s="512">
        <f>SUMIFS(PURCHASE!$M$6:$M$10008,PURCHASE!$A$6:$A$10008,$AL$2,PURCHASE!$H$6:$H$10008,$A$4:$A$2700)</f>
        <v>0</v>
      </c>
      <c r="AP230" s="512">
        <f>SUMIFS(PURCHASE!$N$6:$N$10008,PURCHASE!$A$6:$A$10008,$AL$2,PURCHASE!$H$6:$H$10008,$A$4:$A$2700)</f>
        <v>0</v>
      </c>
      <c r="AQ230" s="512">
        <f t="shared" si="70"/>
        <v>603.20479999999998</v>
      </c>
      <c r="AR230" s="512">
        <f>SUMIFS(PURCHASE!$K$6:$K$10008,PURCHASE!$A$6:$A$10008,$AQ$2,PURCHASE!$H$6:$H$10008,$A$4:$A$2700)</f>
        <v>470.91</v>
      </c>
      <c r="AS230" s="512">
        <f>SUMIFS(PURCHASE!$L$6:$L$10008,PURCHASE!$A$6:$A$10008,$AQ$2,PURCHASE!$H$6:$H$10008,$A$4:$A$2700)</f>
        <v>0</v>
      </c>
      <c r="AT230" s="512">
        <f>SUMIFS(PURCHASE!$M$6:$M$10008,PURCHASE!$A$6:$A$10008,$AQ$2,PURCHASE!$H$6:$H$10008,$A$4:$A$2700)</f>
        <v>66.147400000000005</v>
      </c>
      <c r="AU230" s="512">
        <f>SUMIFS(PURCHASE!$N$6:$N$10008,PURCHASE!$A$6:$A$10008,$AQ$2,PURCHASE!$H$6:$H$10008,$A$4:$A$2700)</f>
        <v>66.147400000000005</v>
      </c>
      <c r="AV230" s="512">
        <f t="shared" si="71"/>
        <v>0</v>
      </c>
      <c r="AW230" s="512">
        <f>SUMIFS(PURCHASE!$K$6:$K$10008,PURCHASE!$A$6:$A$10008,$AV$2,PURCHASE!$H$6:$H$10008,$A$4:$A$2700)</f>
        <v>0</v>
      </c>
      <c r="AX230" s="512">
        <f>SUMIFS(PURCHASE!$L$6:$L$10008,PURCHASE!$A$6:$A$10008,$AV$2,PURCHASE!$H$6:$H$10008,$A$4:$A$2700)</f>
        <v>0</v>
      </c>
      <c r="AY230" s="512">
        <f>SUMIFS(PURCHASE!$M$6:$M$10008,PURCHASE!$A$6:$A$10008,$AV$2,PURCHASE!$H$6:$H$10008,$A$4:$A$2700)</f>
        <v>0</v>
      </c>
      <c r="AZ230" s="512">
        <f>SUMIFS(PURCHASE!$N$6:$N$10008,PURCHASE!$A$6:$A$10008,$AV$2,PURCHASE!$H$6:$H$10008,$A$4:$A$2700)</f>
        <v>0</v>
      </c>
      <c r="BA230" s="512">
        <f t="shared" si="72"/>
        <v>0</v>
      </c>
      <c r="BB230" s="512">
        <f>SUMIFS(PURCHASE!$K$6:$K$10008,PURCHASE!$A$6:$A$10008,$BA$2,PURCHASE!$H$6:$H$10008,$A$4:$A$2700)</f>
        <v>0</v>
      </c>
      <c r="BC230" s="512">
        <f>SUMIFS(PURCHASE!$L$6:$L$10008,PURCHASE!$A$6:$A$10008,$BA$2,PURCHASE!$H$6:$H$10008,$A$4:$A$2700)</f>
        <v>0</v>
      </c>
      <c r="BD230" s="512">
        <f>SUMIFS(PURCHASE!$M$6:$M$10008,PURCHASE!$A$6:$A$10008,$BA$2,PURCHASE!$H$6:$H$10008,$A$4:$A$2700)</f>
        <v>0</v>
      </c>
      <c r="BE230" s="512">
        <f>SUMIFS(PURCHASE!$N$6:$N$10008,PURCHASE!$A$6:$A$10008,$BA$2,PURCHASE!$H$6:$H$10008,$A$4:$A$2700)</f>
        <v>0</v>
      </c>
      <c r="BF230" s="512">
        <f t="shared" si="73"/>
        <v>0</v>
      </c>
      <c r="BG230" s="512">
        <f>SUMIFS(PURCHASE!$K$6:$K$10008,PURCHASE!$A$6:$A$10008,$BF$2,PURCHASE!$H$6:$H$10008,$A$4:$A$2700)</f>
        <v>0</v>
      </c>
      <c r="BH230" s="512">
        <f>SUMIFS(PURCHASE!$L$6:$L$10008,PURCHASE!$A$6:$A$10008,$BF$2,PURCHASE!$H$6:$H$10008,$A$4:$A$2700)</f>
        <v>0</v>
      </c>
      <c r="BI230" s="512">
        <f>SUMIFS(PURCHASE!$M$6:$M$10008,PURCHASE!$A$6:$A$10008,$BF$2,PURCHASE!$H$6:$H$10008,$A$4:$A$2700)</f>
        <v>0</v>
      </c>
      <c r="BJ230" s="512">
        <f>SUMIFS(PURCHASE!$N$6:$N$10008,PURCHASE!$A$6:$A$10008,$BF$2,PURCHASE!$H$6:$H$10008,$A$4:$A$2700)</f>
        <v>0</v>
      </c>
      <c r="BK230" s="72">
        <f t="shared" ref="BK230:BK293" si="75">+C230+H230+M230+R230+W230+AB230+AG230+AL230+AQ230+AV230+BA230+BF230</f>
        <v>24334.404799999997</v>
      </c>
      <c r="BL230" s="72">
        <f t="shared" ref="BL230:BL293" si="76">+D230+I230+N230+S230+X230+AC230+AH230+AM230+AR230+AW230+BB230+BG230</f>
        <v>19010.91</v>
      </c>
      <c r="BM230" s="72">
        <f t="shared" ref="BM230:BM293" si="77">+E230+J230+O230+T230+Y230+AD230+AI230+AN230+AS230+AX230+BC230+BH230</f>
        <v>0</v>
      </c>
      <c r="BN230" s="72">
        <f t="shared" ref="BN230:BN293" si="78">+F230+K230+P230+U230+Z230+AE230+AJ230+AO230+AT230+AY230+BD230+BI230</f>
        <v>2661.7473999999997</v>
      </c>
      <c r="BO230" s="72">
        <f t="shared" ref="BO230:BO293" si="79">+G230+L230+Q230+V230+AA230+AF230+AK230+AP230+AU230+AZ230+BE230+BJ230</f>
        <v>2661.7473999999997</v>
      </c>
    </row>
    <row r="231" spans="1:67" x14ac:dyDescent="0.2">
      <c r="A231" s="511">
        <v>87141900</v>
      </c>
      <c r="B231" s="467" t="s">
        <v>266</v>
      </c>
      <c r="C231" s="512">
        <f t="shared" si="62"/>
        <v>213860.69759999996</v>
      </c>
      <c r="D231" s="512">
        <f>SUMIFS(PURCHASE!$K$6:$K$10008,PURCHASE!$A$6:$A$10008,$M$2,PURCHASE!$H$6:$H$10008,$A$4:$A$2700)</f>
        <v>167078.66999999998</v>
      </c>
      <c r="E231" s="512">
        <f>SUMIFS(PURCHASE!$L$6:$L$10008,PURCHASE!$A$6:$A$10008,$M$2,PURCHASE!$H$6:$H$10008,$A$4:$A$2700)</f>
        <v>0</v>
      </c>
      <c r="F231" s="512">
        <f>SUMIFS(PURCHASE!$M$6:$M$10008,PURCHASE!$A$6:$A$10008,$M$2,PURCHASE!$H$6:$H$10008,$A$4:$A$2700)</f>
        <v>23391.013799999997</v>
      </c>
      <c r="G231" s="512">
        <f>SUMIFS(PURCHASE!$N$6:$N$10008,PURCHASE!$A$6:$A$10008,$M$2,PURCHASE!$H$6:$H$10008,$A$4:$A$2700)</f>
        <v>23391.013799999997</v>
      </c>
      <c r="H231" s="512">
        <f t="shared" si="63"/>
        <v>-31958.272000000004</v>
      </c>
      <c r="I231" s="512">
        <f>SUMIFS(PURCHASE!$K$6:$K$10008,PURCHASE!$A$6:$A$10008,$H$2,PURCHASE!$H$6:$H$10008,$A$4:$A$2700)</f>
        <v>-24967.4</v>
      </c>
      <c r="J231" s="512">
        <f>SUMIFS(PURCHASE!$L$6:$L$10008,PURCHASE!$A$6:$A$10008,$H$2,PURCHASE!$H$6:$H$10008,$A$4:$A$2700)</f>
        <v>0</v>
      </c>
      <c r="K231" s="512">
        <f>SUMIFS(PURCHASE!$M$6:$M$10008,PURCHASE!$A$6:$A$10008,$H$2,PURCHASE!$H$6:$H$10008,$A$4:$A$2700)</f>
        <v>-3495.4359999999997</v>
      </c>
      <c r="L231" s="512">
        <f>SUMIFS(PURCHASE!$N$6:$N$10008,PURCHASE!$A$6:$A$10008,$H$2,PURCHASE!$H$6:$H$10008,$A$4:$A$2700)</f>
        <v>-3495.4359999999997</v>
      </c>
      <c r="M231" s="512">
        <f t="shared" si="64"/>
        <v>213860.69759999996</v>
      </c>
      <c r="N231" s="512">
        <f>SUMIFS(PURCHASE!$K$6:$K$10008,PURCHASE!$A$6:$A$10008,$M$2,PURCHASE!$H$6:$H$10008,$A$4:$A$2700)</f>
        <v>167078.66999999998</v>
      </c>
      <c r="O231" s="512">
        <f>SUMIFS(PURCHASE!$L$6:$L$10008,PURCHASE!$A$6:$A$10008,$M$2,PURCHASE!$H$6:$H$10008,$A$4:$A$2700)</f>
        <v>0</v>
      </c>
      <c r="P231" s="512">
        <f>SUMIFS(PURCHASE!$M$6:$M$10008,PURCHASE!$A$6:$A$10008,$M$2,PURCHASE!$H$6:$H$10008,$A$4:$A$2700)</f>
        <v>23391.013799999997</v>
      </c>
      <c r="Q231" s="512">
        <f>SUMIFS(PURCHASE!$N$6:$N$10008,PURCHASE!$A$6:$A$10008,$M$2,PURCHASE!$H$6:$H$10008,$A$4:$A$2700)</f>
        <v>23391.013799999997</v>
      </c>
      <c r="R231" s="512">
        <f t="shared" si="65"/>
        <v>391194.79039999994</v>
      </c>
      <c r="S231" s="512">
        <f>SUMIFS(PURCHASE!$K$6:$K$10008,PURCHASE!$A$6:$A$10008,$R$2,PURCHASE!$H$6:$H$10008,$A$4:$A$2700)</f>
        <v>305620.92999999993</v>
      </c>
      <c r="T231" s="512">
        <f>SUMIFS(PURCHASE!$L$6:$L$10008,PURCHASE!$A$6:$A$10008,$R$2,PURCHASE!$H$6:$H$10008,$A$4:$A$2700)</f>
        <v>0</v>
      </c>
      <c r="U231" s="512">
        <f>SUMIFS(PURCHASE!$M$6:$M$10008,PURCHASE!$A$6:$A$10008,$R$2,PURCHASE!$H$6:$H$10008,$A$4:$A$2700)</f>
        <v>42786.930200000003</v>
      </c>
      <c r="V231" s="512">
        <f>SUMIFS(PURCHASE!$N$6:$N$10008,PURCHASE!$A$6:$A$10008,$R$2,PURCHASE!$H$6:$H$10008,$A$4:$A$2700)</f>
        <v>42786.930200000003</v>
      </c>
      <c r="W231" s="512">
        <f t="shared" si="66"/>
        <v>292716.08319999999</v>
      </c>
      <c r="X231" s="512">
        <f>SUMIFS(PURCHASE!$K$6:$K$10008,PURCHASE!$A$6:$A$10008,$W$2,PURCHASE!$H$6:$H$10008,$A$4:$A$2700)</f>
        <v>228684.44</v>
      </c>
      <c r="Y231" s="512">
        <f>SUMIFS(PURCHASE!$L$6:$L$10008,PURCHASE!$A$6:$A$10008,$W$2,PURCHASE!$H$6:$H$10008,$A$4:$A$2700)</f>
        <v>0</v>
      </c>
      <c r="Z231" s="512">
        <f>SUMIFS(PURCHASE!$M$6:$M$10008,PURCHASE!$A$6:$A$10008,$W$2,PURCHASE!$H$6:$H$10008,$A$4:$A$2700)</f>
        <v>32015.821599999999</v>
      </c>
      <c r="AA231" s="512">
        <f>SUMIFS(PURCHASE!$N$6:$N$10008,PURCHASE!$A$6:$A$10008,$W$2,PURCHASE!$H$6:$H$10008,$A$4:$A$2700)</f>
        <v>32015.821599999999</v>
      </c>
      <c r="AB231" s="512">
        <f t="shared" si="67"/>
        <v>162840.32000000001</v>
      </c>
      <c r="AC231" s="512">
        <f>SUMIFS(PURCHASE!$K$6:$K$10008,PURCHASE!$A$6:$A$10008,$AB$2,PURCHASE!$H$6:$H$10008,$A$4:$A$2700)</f>
        <v>127219</v>
      </c>
      <c r="AD231" s="512">
        <f>SUMIFS(PURCHASE!$L$6:$L$10008,PURCHASE!$A$6:$A$10008,$AB$2,PURCHASE!$H$6:$H$10008,$A$4:$A$2700)</f>
        <v>0</v>
      </c>
      <c r="AE231" s="512">
        <f>SUMIFS(PURCHASE!$M$6:$M$10008,PURCHASE!$A$6:$A$10008,$AB$2,PURCHASE!$H$6:$H$10008,$A$4:$A$2700)</f>
        <v>17810.66</v>
      </c>
      <c r="AF231" s="512">
        <f>SUMIFS(PURCHASE!$N$6:$N$10008,PURCHASE!$A$6:$A$10008,$AB$2,PURCHASE!$H$6:$H$10008,$A$4:$A$2700)</f>
        <v>17810.66</v>
      </c>
      <c r="AG231" s="512">
        <f t="shared" si="68"/>
        <v>98459.26400000001</v>
      </c>
      <c r="AH231" s="512">
        <f>SUMIFS(PURCHASE!$K$6:$K$10008,PURCHASE!$A$6:$A$10008,$AG$2,PURCHASE!$H$6:$H$10008,$A$4:$A$2700)</f>
        <v>76921.3</v>
      </c>
      <c r="AI231" s="512">
        <f>SUMIFS(PURCHASE!$L$6:$L$10008,PURCHASE!$A$6:$A$10008,$AG$2,PURCHASE!$H$6:$H$10008,$A$4:$A$2700)</f>
        <v>0</v>
      </c>
      <c r="AJ231" s="512">
        <f>SUMIFS(PURCHASE!$M$6:$M$10008,PURCHASE!$A$6:$A$10008,$AG$2,PURCHASE!$H$6:$H$10008,$A$4:$A$2700)</f>
        <v>10768.982000000002</v>
      </c>
      <c r="AK231" s="512">
        <f>SUMIFS(PURCHASE!$N$6:$N$10008,PURCHASE!$A$6:$A$10008,$AG$2,PURCHASE!$H$6:$H$10008,$A$4:$A$2700)</f>
        <v>10768.982000000002</v>
      </c>
      <c r="AL231" s="512">
        <f t="shared" si="69"/>
        <v>12596.48</v>
      </c>
      <c r="AM231" s="512">
        <f>SUMIFS(PURCHASE!$K$6:$K$10008,PURCHASE!$A$6:$A$10008,$AL$2,PURCHASE!$H$6:$H$10008,$A$4:$A$2700)</f>
        <v>9841</v>
      </c>
      <c r="AN231" s="512">
        <f>SUMIFS(PURCHASE!$L$6:$L$10008,PURCHASE!$A$6:$A$10008,$AL$2,PURCHASE!$H$6:$H$10008,$A$4:$A$2700)</f>
        <v>0</v>
      </c>
      <c r="AO231" s="512">
        <f>SUMIFS(PURCHASE!$M$6:$M$10008,PURCHASE!$A$6:$A$10008,$AL$2,PURCHASE!$H$6:$H$10008,$A$4:$A$2700)</f>
        <v>1377.74</v>
      </c>
      <c r="AP231" s="512">
        <f>SUMIFS(PURCHASE!$N$6:$N$10008,PURCHASE!$A$6:$A$10008,$AL$2,PURCHASE!$H$6:$H$10008,$A$4:$A$2700)</f>
        <v>1377.74</v>
      </c>
      <c r="AQ231" s="512">
        <f t="shared" si="70"/>
        <v>120328.75520000001</v>
      </c>
      <c r="AR231" s="512">
        <f>SUMIFS(PURCHASE!$K$6:$K$10008,PURCHASE!$A$6:$A$10008,$AQ$2,PURCHASE!$H$6:$H$10008,$A$4:$A$2700)</f>
        <v>94006.840000000011</v>
      </c>
      <c r="AS231" s="512">
        <f>SUMIFS(PURCHASE!$L$6:$L$10008,PURCHASE!$A$6:$A$10008,$AQ$2,PURCHASE!$H$6:$H$10008,$A$4:$A$2700)</f>
        <v>0</v>
      </c>
      <c r="AT231" s="512">
        <f>SUMIFS(PURCHASE!$M$6:$M$10008,PURCHASE!$A$6:$A$10008,$AQ$2,PURCHASE!$H$6:$H$10008,$A$4:$A$2700)</f>
        <v>13160.957600000002</v>
      </c>
      <c r="AU231" s="512">
        <f>SUMIFS(PURCHASE!$N$6:$N$10008,PURCHASE!$A$6:$A$10008,$AQ$2,PURCHASE!$H$6:$H$10008,$A$4:$A$2700)</f>
        <v>13160.957600000002</v>
      </c>
      <c r="AV231" s="512">
        <f t="shared" si="71"/>
        <v>3177.3440000000001</v>
      </c>
      <c r="AW231" s="512">
        <f>SUMIFS(PURCHASE!$K$6:$K$10008,PURCHASE!$A$6:$A$10008,$AV$2,PURCHASE!$H$6:$H$10008,$A$4:$A$2700)</f>
        <v>2482.3000000000002</v>
      </c>
      <c r="AX231" s="512">
        <f>SUMIFS(PURCHASE!$L$6:$L$10008,PURCHASE!$A$6:$A$10008,$AV$2,PURCHASE!$H$6:$H$10008,$A$4:$A$2700)</f>
        <v>0</v>
      </c>
      <c r="AY231" s="512">
        <f>SUMIFS(PURCHASE!$M$6:$M$10008,PURCHASE!$A$6:$A$10008,$AV$2,PURCHASE!$H$6:$H$10008,$A$4:$A$2700)</f>
        <v>347.52199999999999</v>
      </c>
      <c r="AZ231" s="512">
        <f>SUMIFS(PURCHASE!$N$6:$N$10008,PURCHASE!$A$6:$A$10008,$AV$2,PURCHASE!$H$6:$H$10008,$A$4:$A$2700)</f>
        <v>347.52199999999999</v>
      </c>
      <c r="BA231" s="512">
        <f t="shared" si="72"/>
        <v>0</v>
      </c>
      <c r="BB231" s="512">
        <f>SUMIFS(PURCHASE!$K$6:$K$10008,PURCHASE!$A$6:$A$10008,$BA$2,PURCHASE!$H$6:$H$10008,$A$4:$A$2700)</f>
        <v>0</v>
      </c>
      <c r="BC231" s="512">
        <f>SUMIFS(PURCHASE!$L$6:$L$10008,PURCHASE!$A$6:$A$10008,$BA$2,PURCHASE!$H$6:$H$10008,$A$4:$A$2700)</f>
        <v>0</v>
      </c>
      <c r="BD231" s="512">
        <f>SUMIFS(PURCHASE!$M$6:$M$10008,PURCHASE!$A$6:$A$10008,$BA$2,PURCHASE!$H$6:$H$10008,$A$4:$A$2700)</f>
        <v>0</v>
      </c>
      <c r="BE231" s="512">
        <f>SUMIFS(PURCHASE!$N$6:$N$10008,PURCHASE!$A$6:$A$10008,$BA$2,PURCHASE!$H$6:$H$10008,$A$4:$A$2700)</f>
        <v>0</v>
      </c>
      <c r="BF231" s="512">
        <f t="shared" si="73"/>
        <v>0</v>
      </c>
      <c r="BG231" s="512">
        <f>SUMIFS(PURCHASE!$K$6:$K$10008,PURCHASE!$A$6:$A$10008,$BF$2,PURCHASE!$H$6:$H$10008,$A$4:$A$2700)</f>
        <v>0</v>
      </c>
      <c r="BH231" s="512">
        <f>SUMIFS(PURCHASE!$L$6:$L$10008,PURCHASE!$A$6:$A$10008,$BF$2,PURCHASE!$H$6:$H$10008,$A$4:$A$2700)</f>
        <v>0</v>
      </c>
      <c r="BI231" s="512">
        <f>SUMIFS(PURCHASE!$M$6:$M$10008,PURCHASE!$A$6:$A$10008,$BF$2,PURCHASE!$H$6:$H$10008,$A$4:$A$2700)</f>
        <v>0</v>
      </c>
      <c r="BJ231" s="512">
        <f>SUMIFS(PURCHASE!$N$6:$N$10008,PURCHASE!$A$6:$A$10008,$BF$2,PURCHASE!$H$6:$H$10008,$A$4:$A$2700)</f>
        <v>0</v>
      </c>
      <c r="BK231" s="72">
        <f t="shared" si="75"/>
        <v>1477076.16</v>
      </c>
      <c r="BL231" s="72">
        <f t="shared" si="76"/>
        <v>1153965.75</v>
      </c>
      <c r="BM231" s="72">
        <f t="shared" si="77"/>
        <v>0</v>
      </c>
      <c r="BN231" s="72">
        <f t="shared" si="78"/>
        <v>161555.20499999996</v>
      </c>
      <c r="BO231" s="72">
        <f t="shared" si="79"/>
        <v>161555.20499999996</v>
      </c>
    </row>
    <row r="232" spans="1:67" x14ac:dyDescent="0.2">
      <c r="A232" s="511">
        <v>87142090</v>
      </c>
      <c r="B232" s="467" t="s">
        <v>266</v>
      </c>
      <c r="C232" s="512">
        <f t="shared" si="62"/>
        <v>58144.512000000002</v>
      </c>
      <c r="D232" s="512">
        <f>SUMIFS(PURCHASE!$K$6:$K$10008,PURCHASE!$A$6:$A$10008,$M$2,PURCHASE!$H$6:$H$10008,$A$4:$A$2700)</f>
        <v>45425.4</v>
      </c>
      <c r="E232" s="512">
        <f>SUMIFS(PURCHASE!$L$6:$L$10008,PURCHASE!$A$6:$A$10008,$M$2,PURCHASE!$H$6:$H$10008,$A$4:$A$2700)</f>
        <v>0</v>
      </c>
      <c r="F232" s="512">
        <f>SUMIFS(PURCHASE!$M$6:$M$10008,PURCHASE!$A$6:$A$10008,$M$2,PURCHASE!$H$6:$H$10008,$A$4:$A$2700)</f>
        <v>6359.5560000000005</v>
      </c>
      <c r="G232" s="512">
        <f>SUMIFS(PURCHASE!$N$6:$N$10008,PURCHASE!$A$6:$A$10008,$M$2,PURCHASE!$H$6:$H$10008,$A$4:$A$2700)</f>
        <v>6359.5560000000005</v>
      </c>
      <c r="H232" s="512">
        <f t="shared" si="63"/>
        <v>0</v>
      </c>
      <c r="I232" s="512">
        <f>SUMIFS(PURCHASE!$K$6:$K$10008,PURCHASE!$A$6:$A$10008,$H$2,PURCHASE!$H$6:$H$10008,$A$4:$A$2700)</f>
        <v>0</v>
      </c>
      <c r="J232" s="512">
        <f>SUMIFS(PURCHASE!$L$6:$L$10008,PURCHASE!$A$6:$A$10008,$H$2,PURCHASE!$H$6:$H$10008,$A$4:$A$2700)</f>
        <v>0</v>
      </c>
      <c r="K232" s="512">
        <f>SUMIFS(PURCHASE!$M$6:$M$10008,PURCHASE!$A$6:$A$10008,$H$2,PURCHASE!$H$6:$H$10008,$A$4:$A$2700)</f>
        <v>0</v>
      </c>
      <c r="L232" s="512">
        <f>SUMIFS(PURCHASE!$N$6:$N$10008,PURCHASE!$A$6:$A$10008,$H$2,PURCHASE!$H$6:$H$10008,$A$4:$A$2700)</f>
        <v>0</v>
      </c>
      <c r="M232" s="512">
        <f t="shared" si="64"/>
        <v>58144.512000000002</v>
      </c>
      <c r="N232" s="512">
        <f>SUMIFS(PURCHASE!$K$6:$K$10008,PURCHASE!$A$6:$A$10008,$M$2,PURCHASE!$H$6:$H$10008,$A$4:$A$2700)</f>
        <v>45425.4</v>
      </c>
      <c r="O232" s="512">
        <f>SUMIFS(PURCHASE!$L$6:$L$10008,PURCHASE!$A$6:$A$10008,$M$2,PURCHASE!$H$6:$H$10008,$A$4:$A$2700)</f>
        <v>0</v>
      </c>
      <c r="P232" s="512">
        <f>SUMIFS(PURCHASE!$M$6:$M$10008,PURCHASE!$A$6:$A$10008,$M$2,PURCHASE!$H$6:$H$10008,$A$4:$A$2700)</f>
        <v>6359.5560000000005</v>
      </c>
      <c r="Q232" s="512">
        <f>SUMIFS(PURCHASE!$N$6:$N$10008,PURCHASE!$A$6:$A$10008,$M$2,PURCHASE!$H$6:$H$10008,$A$4:$A$2700)</f>
        <v>6359.5560000000005</v>
      </c>
      <c r="R232" s="512">
        <f t="shared" si="65"/>
        <v>66721.556000000011</v>
      </c>
      <c r="S232" s="512">
        <f>SUMIFS(PURCHASE!$K$6:$K$10008,PURCHASE!$A$6:$A$10008,$R$2,PURCHASE!$H$6:$H$10008,$A$4:$A$2700)</f>
        <v>52126.200000000004</v>
      </c>
      <c r="T232" s="512">
        <f>SUMIFS(PURCHASE!$L$6:$L$10008,PURCHASE!$A$6:$A$10008,$R$2,PURCHASE!$H$6:$H$10008,$A$4:$A$2700)</f>
        <v>0</v>
      </c>
      <c r="U232" s="512">
        <f>SUMIFS(PURCHASE!$M$6:$M$10008,PURCHASE!$A$6:$A$10008,$R$2,PURCHASE!$H$6:$H$10008,$A$4:$A$2700)</f>
        <v>7297.6780000000008</v>
      </c>
      <c r="V232" s="512">
        <f>SUMIFS(PURCHASE!$N$6:$N$10008,PURCHASE!$A$6:$A$10008,$R$2,PURCHASE!$H$6:$H$10008,$A$4:$A$2700)</f>
        <v>7297.6780000000008</v>
      </c>
      <c r="W232" s="512">
        <f t="shared" si="66"/>
        <v>0</v>
      </c>
      <c r="X232" s="512">
        <f>SUMIFS(PURCHASE!$K$6:$K$10008,PURCHASE!$A$6:$A$10008,$W$2,PURCHASE!$H$6:$H$10008,$A$4:$A$2700)</f>
        <v>0</v>
      </c>
      <c r="Y232" s="512">
        <f>SUMIFS(PURCHASE!$L$6:$L$10008,PURCHASE!$A$6:$A$10008,$W$2,PURCHASE!$H$6:$H$10008,$A$4:$A$2700)</f>
        <v>0</v>
      </c>
      <c r="Z232" s="512">
        <f>SUMIFS(PURCHASE!$M$6:$M$10008,PURCHASE!$A$6:$A$10008,$W$2,PURCHASE!$H$6:$H$10008,$A$4:$A$2700)</f>
        <v>0</v>
      </c>
      <c r="AA232" s="512">
        <f>SUMIFS(PURCHASE!$N$6:$N$10008,PURCHASE!$A$6:$A$10008,$W$2,PURCHASE!$H$6:$H$10008,$A$4:$A$2700)</f>
        <v>0</v>
      </c>
      <c r="AB232" s="512">
        <f t="shared" si="67"/>
        <v>52448.255999999994</v>
      </c>
      <c r="AC232" s="512">
        <f>SUMIFS(PURCHASE!$K$6:$K$10008,PURCHASE!$A$6:$A$10008,$AB$2,PURCHASE!$H$6:$H$10008,$A$4:$A$2700)</f>
        <v>40975.199999999997</v>
      </c>
      <c r="AD232" s="512">
        <f>SUMIFS(PURCHASE!$L$6:$L$10008,PURCHASE!$A$6:$A$10008,$AB$2,PURCHASE!$H$6:$H$10008,$A$4:$A$2700)</f>
        <v>0</v>
      </c>
      <c r="AE232" s="512">
        <f>SUMIFS(PURCHASE!$M$6:$M$10008,PURCHASE!$A$6:$A$10008,$AB$2,PURCHASE!$H$6:$H$10008,$A$4:$A$2700)</f>
        <v>5736.5280000000002</v>
      </c>
      <c r="AF232" s="512">
        <f>SUMIFS(PURCHASE!$N$6:$N$10008,PURCHASE!$A$6:$A$10008,$AB$2,PURCHASE!$H$6:$H$10008,$A$4:$A$2700)</f>
        <v>5736.5280000000002</v>
      </c>
      <c r="AG232" s="512">
        <f t="shared" si="68"/>
        <v>0</v>
      </c>
      <c r="AH232" s="512">
        <f>SUMIFS(PURCHASE!$K$6:$K$10008,PURCHASE!$A$6:$A$10008,$AG$2,PURCHASE!$H$6:$H$10008,$A$4:$A$2700)</f>
        <v>0</v>
      </c>
      <c r="AI232" s="512">
        <f>SUMIFS(PURCHASE!$L$6:$L$10008,PURCHASE!$A$6:$A$10008,$AG$2,PURCHASE!$H$6:$H$10008,$A$4:$A$2700)</f>
        <v>0</v>
      </c>
      <c r="AJ232" s="512">
        <f>SUMIFS(PURCHASE!$M$6:$M$10008,PURCHASE!$A$6:$A$10008,$AG$2,PURCHASE!$H$6:$H$10008,$A$4:$A$2700)</f>
        <v>0</v>
      </c>
      <c r="AK232" s="512">
        <f>SUMIFS(PURCHASE!$N$6:$N$10008,PURCHASE!$A$6:$A$10008,$AG$2,PURCHASE!$H$6:$H$10008,$A$4:$A$2700)</f>
        <v>0</v>
      </c>
      <c r="AL232" s="512">
        <f t="shared" si="69"/>
        <v>25362.432000000001</v>
      </c>
      <c r="AM232" s="512">
        <f>SUMIFS(PURCHASE!$K$6:$K$10008,PURCHASE!$A$6:$A$10008,$AL$2,PURCHASE!$H$6:$H$10008,$A$4:$A$2700)</f>
        <v>19814.400000000001</v>
      </c>
      <c r="AN232" s="512">
        <f>SUMIFS(PURCHASE!$L$6:$L$10008,PURCHASE!$A$6:$A$10008,$AL$2,PURCHASE!$H$6:$H$10008,$A$4:$A$2700)</f>
        <v>0</v>
      </c>
      <c r="AO232" s="512">
        <f>SUMIFS(PURCHASE!$M$6:$M$10008,PURCHASE!$A$6:$A$10008,$AL$2,PURCHASE!$H$6:$H$10008,$A$4:$A$2700)</f>
        <v>2774.0160000000001</v>
      </c>
      <c r="AP232" s="512">
        <f>SUMIFS(PURCHASE!$N$6:$N$10008,PURCHASE!$A$6:$A$10008,$AL$2,PURCHASE!$H$6:$H$10008,$A$4:$A$2700)</f>
        <v>2774.0160000000001</v>
      </c>
      <c r="AQ232" s="512">
        <f t="shared" si="70"/>
        <v>0</v>
      </c>
      <c r="AR232" s="512">
        <f>SUMIFS(PURCHASE!$K$6:$K$10008,PURCHASE!$A$6:$A$10008,$AQ$2,PURCHASE!$H$6:$H$10008,$A$4:$A$2700)</f>
        <v>0</v>
      </c>
      <c r="AS232" s="512">
        <f>SUMIFS(PURCHASE!$L$6:$L$10008,PURCHASE!$A$6:$A$10008,$AQ$2,PURCHASE!$H$6:$H$10008,$A$4:$A$2700)</f>
        <v>0</v>
      </c>
      <c r="AT232" s="512">
        <f>SUMIFS(PURCHASE!$M$6:$M$10008,PURCHASE!$A$6:$A$10008,$AQ$2,PURCHASE!$H$6:$H$10008,$A$4:$A$2700)</f>
        <v>0</v>
      </c>
      <c r="AU232" s="512">
        <f>SUMIFS(PURCHASE!$N$6:$N$10008,PURCHASE!$A$6:$A$10008,$AQ$2,PURCHASE!$H$6:$H$10008,$A$4:$A$2700)</f>
        <v>0</v>
      </c>
      <c r="AV232" s="512">
        <f t="shared" si="71"/>
        <v>0</v>
      </c>
      <c r="AW232" s="512">
        <f>SUMIFS(PURCHASE!$K$6:$K$10008,PURCHASE!$A$6:$A$10008,$AV$2,PURCHASE!$H$6:$H$10008,$A$4:$A$2700)</f>
        <v>0</v>
      </c>
      <c r="AX232" s="512">
        <f>SUMIFS(PURCHASE!$L$6:$L$10008,PURCHASE!$A$6:$A$10008,$AV$2,PURCHASE!$H$6:$H$10008,$A$4:$A$2700)</f>
        <v>0</v>
      </c>
      <c r="AY232" s="512">
        <f>SUMIFS(PURCHASE!$M$6:$M$10008,PURCHASE!$A$6:$A$10008,$AV$2,PURCHASE!$H$6:$H$10008,$A$4:$A$2700)</f>
        <v>0</v>
      </c>
      <c r="AZ232" s="512">
        <f>SUMIFS(PURCHASE!$N$6:$N$10008,PURCHASE!$A$6:$A$10008,$AV$2,PURCHASE!$H$6:$H$10008,$A$4:$A$2700)</f>
        <v>0</v>
      </c>
      <c r="BA232" s="512">
        <f t="shared" si="72"/>
        <v>0</v>
      </c>
      <c r="BB232" s="512">
        <f>SUMIFS(PURCHASE!$K$6:$K$10008,PURCHASE!$A$6:$A$10008,$BA$2,PURCHASE!$H$6:$H$10008,$A$4:$A$2700)</f>
        <v>0</v>
      </c>
      <c r="BC232" s="512">
        <f>SUMIFS(PURCHASE!$L$6:$L$10008,PURCHASE!$A$6:$A$10008,$BA$2,PURCHASE!$H$6:$H$10008,$A$4:$A$2700)</f>
        <v>0</v>
      </c>
      <c r="BD232" s="512">
        <f>SUMIFS(PURCHASE!$M$6:$M$10008,PURCHASE!$A$6:$A$10008,$BA$2,PURCHASE!$H$6:$H$10008,$A$4:$A$2700)</f>
        <v>0</v>
      </c>
      <c r="BE232" s="512">
        <f>SUMIFS(PURCHASE!$N$6:$N$10008,PURCHASE!$A$6:$A$10008,$BA$2,PURCHASE!$H$6:$H$10008,$A$4:$A$2700)</f>
        <v>0</v>
      </c>
      <c r="BF232" s="512">
        <f t="shared" si="73"/>
        <v>0</v>
      </c>
      <c r="BG232" s="512">
        <f>SUMIFS(PURCHASE!$K$6:$K$10008,PURCHASE!$A$6:$A$10008,$BF$2,PURCHASE!$H$6:$H$10008,$A$4:$A$2700)</f>
        <v>0</v>
      </c>
      <c r="BH232" s="512">
        <f>SUMIFS(PURCHASE!$L$6:$L$10008,PURCHASE!$A$6:$A$10008,$BF$2,PURCHASE!$H$6:$H$10008,$A$4:$A$2700)</f>
        <v>0</v>
      </c>
      <c r="BI232" s="512">
        <f>SUMIFS(PURCHASE!$M$6:$M$10008,PURCHASE!$A$6:$A$10008,$BF$2,PURCHASE!$H$6:$H$10008,$A$4:$A$2700)</f>
        <v>0</v>
      </c>
      <c r="BJ232" s="512">
        <f>SUMIFS(PURCHASE!$N$6:$N$10008,PURCHASE!$A$6:$A$10008,$BF$2,PURCHASE!$H$6:$H$10008,$A$4:$A$2700)</f>
        <v>0</v>
      </c>
      <c r="BK232" s="72">
        <f t="shared" si="75"/>
        <v>260821.26800000001</v>
      </c>
      <c r="BL232" s="72">
        <f t="shared" si="76"/>
        <v>203766.6</v>
      </c>
      <c r="BM232" s="72">
        <f t="shared" si="77"/>
        <v>0</v>
      </c>
      <c r="BN232" s="72">
        <f t="shared" si="78"/>
        <v>28527.333999999999</v>
      </c>
      <c r="BO232" s="72">
        <f t="shared" si="79"/>
        <v>28527.333999999999</v>
      </c>
    </row>
    <row r="233" spans="1:67" x14ac:dyDescent="0.2">
      <c r="A233" s="511">
        <v>8471</v>
      </c>
      <c r="B233" s="467" t="s">
        <v>1349</v>
      </c>
      <c r="C233" s="512">
        <f t="shared" si="62"/>
        <v>0</v>
      </c>
      <c r="D233" s="512">
        <f>SUMIFS(PURCHASE!$K$6:$K$10008,PURCHASE!$A$6:$A$10008,$M$2,PURCHASE!$H$6:$H$10008,$A$4:$A$2700)</f>
        <v>0</v>
      </c>
      <c r="E233" s="512">
        <f>SUMIFS(PURCHASE!$L$6:$L$10008,PURCHASE!$A$6:$A$10008,$M$2,PURCHASE!$H$6:$H$10008,$A$4:$A$2700)</f>
        <v>0</v>
      </c>
      <c r="F233" s="512">
        <f>SUMIFS(PURCHASE!$M$6:$M$10008,PURCHASE!$A$6:$A$10008,$M$2,PURCHASE!$H$6:$H$10008,$A$4:$A$2700)</f>
        <v>0</v>
      </c>
      <c r="G233" s="512">
        <f>SUMIFS(PURCHASE!$N$6:$N$10008,PURCHASE!$A$6:$A$10008,$M$2,PURCHASE!$H$6:$H$10008,$A$4:$A$2700)</f>
        <v>0</v>
      </c>
      <c r="H233" s="512">
        <f t="shared" si="63"/>
        <v>0</v>
      </c>
      <c r="I233" s="512">
        <f>SUMIFS(PURCHASE!$K$6:$K$10008,PURCHASE!$A$6:$A$10008,$H$2,PURCHASE!$H$6:$H$10008,$A$4:$A$2700)</f>
        <v>0</v>
      </c>
      <c r="J233" s="512">
        <f>SUMIFS(PURCHASE!$L$6:$L$10008,PURCHASE!$A$6:$A$10008,$H$2,PURCHASE!$H$6:$H$10008,$A$4:$A$2700)</f>
        <v>0</v>
      </c>
      <c r="K233" s="512">
        <f>SUMIFS(PURCHASE!$M$6:$M$10008,PURCHASE!$A$6:$A$10008,$H$2,PURCHASE!$H$6:$H$10008,$A$4:$A$2700)</f>
        <v>0</v>
      </c>
      <c r="L233" s="512">
        <f>SUMIFS(PURCHASE!$N$6:$N$10008,PURCHASE!$A$6:$A$10008,$H$2,PURCHASE!$H$6:$H$10008,$A$4:$A$2700)</f>
        <v>0</v>
      </c>
      <c r="M233" s="512">
        <f t="shared" si="64"/>
        <v>0</v>
      </c>
      <c r="N233" s="512">
        <f>SUMIFS(PURCHASE!$K$6:$K$10008,PURCHASE!$A$6:$A$10008,$M$2,PURCHASE!$H$6:$H$10008,$A$4:$A$2700)</f>
        <v>0</v>
      </c>
      <c r="O233" s="512">
        <f>SUMIFS(PURCHASE!$L$6:$L$10008,PURCHASE!$A$6:$A$10008,$M$2,PURCHASE!$H$6:$H$10008,$A$4:$A$2700)</f>
        <v>0</v>
      </c>
      <c r="P233" s="512">
        <f>SUMIFS(PURCHASE!$M$6:$M$10008,PURCHASE!$A$6:$A$10008,$M$2,PURCHASE!$H$6:$H$10008,$A$4:$A$2700)</f>
        <v>0</v>
      </c>
      <c r="Q233" s="512">
        <f>SUMIFS(PURCHASE!$N$6:$N$10008,PURCHASE!$A$6:$A$10008,$M$2,PURCHASE!$H$6:$H$10008,$A$4:$A$2700)</f>
        <v>0</v>
      </c>
      <c r="R233" s="512">
        <f t="shared" si="65"/>
        <v>0</v>
      </c>
      <c r="S233" s="512">
        <f>SUMIFS(PURCHASE!$K$6:$K$10008,PURCHASE!$A$6:$A$10008,$R$2,PURCHASE!$H$6:$H$10008,$A$4:$A$2700)</f>
        <v>0</v>
      </c>
      <c r="T233" s="512">
        <f>SUMIFS(PURCHASE!$L$6:$L$10008,PURCHASE!$A$6:$A$10008,$R$2,PURCHASE!$H$6:$H$10008,$A$4:$A$2700)</f>
        <v>0</v>
      </c>
      <c r="U233" s="512">
        <f>SUMIFS(PURCHASE!$M$6:$M$10008,PURCHASE!$A$6:$A$10008,$R$2,PURCHASE!$H$6:$H$10008,$A$4:$A$2700)</f>
        <v>0</v>
      </c>
      <c r="V233" s="512">
        <f>SUMIFS(PURCHASE!$N$6:$N$10008,PURCHASE!$A$6:$A$10008,$R$2,PURCHASE!$H$6:$H$10008,$A$4:$A$2700)</f>
        <v>0</v>
      </c>
      <c r="W233" s="512">
        <f t="shared" si="66"/>
        <v>0</v>
      </c>
      <c r="X233" s="512">
        <f>SUMIFS(PURCHASE!$K$6:$K$10008,PURCHASE!$A$6:$A$10008,$W$2,PURCHASE!$H$6:$H$10008,$A$4:$A$2700)</f>
        <v>0</v>
      </c>
      <c r="Y233" s="512">
        <f>SUMIFS(PURCHASE!$L$6:$L$10008,PURCHASE!$A$6:$A$10008,$W$2,PURCHASE!$H$6:$H$10008,$A$4:$A$2700)</f>
        <v>0</v>
      </c>
      <c r="Z233" s="512">
        <f>SUMIFS(PURCHASE!$M$6:$M$10008,PURCHASE!$A$6:$A$10008,$W$2,PURCHASE!$H$6:$H$10008,$A$4:$A$2700)</f>
        <v>0</v>
      </c>
      <c r="AA233" s="512">
        <f>SUMIFS(PURCHASE!$N$6:$N$10008,PURCHASE!$A$6:$A$10008,$W$2,PURCHASE!$H$6:$H$10008,$A$4:$A$2700)</f>
        <v>0</v>
      </c>
      <c r="AB233" s="512">
        <f t="shared" si="67"/>
        <v>86500.242199999993</v>
      </c>
      <c r="AC233" s="512">
        <f>SUMIFS(PURCHASE!$K$6:$K$10008,PURCHASE!$A$6:$A$10008,$AB$2,PURCHASE!$H$6:$H$10008,$A$4:$A$2700)</f>
        <v>73305.289999999994</v>
      </c>
      <c r="AD233" s="512">
        <f>SUMIFS(PURCHASE!$L$6:$L$10008,PURCHASE!$A$6:$A$10008,$AB$2,PURCHASE!$H$6:$H$10008,$A$4:$A$2700)</f>
        <v>0</v>
      </c>
      <c r="AE233" s="512">
        <f>SUMIFS(PURCHASE!$M$6:$M$10008,PURCHASE!$A$6:$A$10008,$AB$2,PURCHASE!$H$6:$H$10008,$A$4:$A$2700)</f>
        <v>6597.476099999999</v>
      </c>
      <c r="AF233" s="512">
        <f>SUMIFS(PURCHASE!$N$6:$N$10008,PURCHASE!$A$6:$A$10008,$AB$2,PURCHASE!$H$6:$H$10008,$A$4:$A$2700)</f>
        <v>6597.476099999999</v>
      </c>
      <c r="AG233" s="512">
        <f t="shared" si="68"/>
        <v>0</v>
      </c>
      <c r="AH233" s="512">
        <f>SUMIFS(PURCHASE!$K$6:$K$10008,PURCHASE!$A$6:$A$10008,$AG$2,PURCHASE!$H$6:$H$10008,$A$4:$A$2700)</f>
        <v>0</v>
      </c>
      <c r="AI233" s="512">
        <f>SUMIFS(PURCHASE!$L$6:$L$10008,PURCHASE!$A$6:$A$10008,$AG$2,PURCHASE!$H$6:$H$10008,$A$4:$A$2700)</f>
        <v>0</v>
      </c>
      <c r="AJ233" s="512">
        <f>SUMIFS(PURCHASE!$M$6:$M$10008,PURCHASE!$A$6:$A$10008,$AG$2,PURCHASE!$H$6:$H$10008,$A$4:$A$2700)</f>
        <v>0</v>
      </c>
      <c r="AK233" s="512">
        <f>SUMIFS(PURCHASE!$N$6:$N$10008,PURCHASE!$A$6:$A$10008,$AG$2,PURCHASE!$H$6:$H$10008,$A$4:$A$2700)</f>
        <v>0</v>
      </c>
      <c r="AL233" s="512">
        <f t="shared" si="69"/>
        <v>0</v>
      </c>
      <c r="AM233" s="512">
        <f>SUMIFS(PURCHASE!$K$6:$K$10008,PURCHASE!$A$6:$A$10008,$AL$2,PURCHASE!$H$6:$H$10008,$A$4:$A$2700)</f>
        <v>0</v>
      </c>
      <c r="AN233" s="512">
        <f>SUMIFS(PURCHASE!$L$6:$L$10008,PURCHASE!$A$6:$A$10008,$AL$2,PURCHASE!$H$6:$H$10008,$A$4:$A$2700)</f>
        <v>0</v>
      </c>
      <c r="AO233" s="512">
        <f>SUMIFS(PURCHASE!$M$6:$M$10008,PURCHASE!$A$6:$A$10008,$AL$2,PURCHASE!$H$6:$H$10008,$A$4:$A$2700)</f>
        <v>0</v>
      </c>
      <c r="AP233" s="512">
        <f>SUMIFS(PURCHASE!$N$6:$N$10008,PURCHASE!$A$6:$A$10008,$AL$2,PURCHASE!$H$6:$H$10008,$A$4:$A$2700)</f>
        <v>0</v>
      </c>
      <c r="AQ233" s="512">
        <f t="shared" si="70"/>
        <v>0</v>
      </c>
      <c r="AR233" s="512">
        <f>SUMIFS(PURCHASE!$K$6:$K$10008,PURCHASE!$A$6:$A$10008,$AQ$2,PURCHASE!$H$6:$H$10008,$A$4:$A$2700)</f>
        <v>0</v>
      </c>
      <c r="AS233" s="512">
        <f>SUMIFS(PURCHASE!$L$6:$L$10008,PURCHASE!$A$6:$A$10008,$AQ$2,PURCHASE!$H$6:$H$10008,$A$4:$A$2700)</f>
        <v>0</v>
      </c>
      <c r="AT233" s="512">
        <f>SUMIFS(PURCHASE!$M$6:$M$10008,PURCHASE!$A$6:$A$10008,$AQ$2,PURCHASE!$H$6:$H$10008,$A$4:$A$2700)</f>
        <v>0</v>
      </c>
      <c r="AU233" s="512">
        <f>SUMIFS(PURCHASE!$N$6:$N$10008,PURCHASE!$A$6:$A$10008,$AQ$2,PURCHASE!$H$6:$H$10008,$A$4:$A$2700)</f>
        <v>0</v>
      </c>
      <c r="AV233" s="512">
        <f t="shared" si="71"/>
        <v>0</v>
      </c>
      <c r="AW233" s="512">
        <f>SUMIFS(PURCHASE!$K$6:$K$10008,PURCHASE!$A$6:$A$10008,$AV$2,PURCHASE!$H$6:$H$10008,$A$4:$A$2700)</f>
        <v>0</v>
      </c>
      <c r="AX233" s="512">
        <f>SUMIFS(PURCHASE!$L$6:$L$10008,PURCHASE!$A$6:$A$10008,$AV$2,PURCHASE!$H$6:$H$10008,$A$4:$A$2700)</f>
        <v>0</v>
      </c>
      <c r="AY233" s="512">
        <f>SUMIFS(PURCHASE!$M$6:$M$10008,PURCHASE!$A$6:$A$10008,$AV$2,PURCHASE!$H$6:$H$10008,$A$4:$A$2700)</f>
        <v>0</v>
      </c>
      <c r="AZ233" s="512">
        <f>SUMIFS(PURCHASE!$N$6:$N$10008,PURCHASE!$A$6:$A$10008,$AV$2,PURCHASE!$H$6:$H$10008,$A$4:$A$2700)</f>
        <v>0</v>
      </c>
      <c r="BA233" s="512">
        <f t="shared" si="72"/>
        <v>0</v>
      </c>
      <c r="BB233" s="512">
        <f>SUMIFS(PURCHASE!$K$6:$K$10008,PURCHASE!$A$6:$A$10008,$BA$2,PURCHASE!$H$6:$H$10008,$A$4:$A$2700)</f>
        <v>0</v>
      </c>
      <c r="BC233" s="512">
        <f>SUMIFS(PURCHASE!$L$6:$L$10008,PURCHASE!$A$6:$A$10008,$BA$2,PURCHASE!$H$6:$H$10008,$A$4:$A$2700)</f>
        <v>0</v>
      </c>
      <c r="BD233" s="512">
        <f>SUMIFS(PURCHASE!$M$6:$M$10008,PURCHASE!$A$6:$A$10008,$BA$2,PURCHASE!$H$6:$H$10008,$A$4:$A$2700)</f>
        <v>0</v>
      </c>
      <c r="BE233" s="512">
        <f>SUMIFS(PURCHASE!$N$6:$N$10008,PURCHASE!$A$6:$A$10008,$BA$2,PURCHASE!$H$6:$H$10008,$A$4:$A$2700)</f>
        <v>0</v>
      </c>
      <c r="BF233" s="512">
        <f t="shared" si="73"/>
        <v>0</v>
      </c>
      <c r="BG233" s="512">
        <f>SUMIFS(PURCHASE!$K$6:$K$10008,PURCHASE!$A$6:$A$10008,$BF$2,PURCHASE!$H$6:$H$10008,$A$4:$A$2700)</f>
        <v>0</v>
      </c>
      <c r="BH233" s="512">
        <f>SUMIFS(PURCHASE!$L$6:$L$10008,PURCHASE!$A$6:$A$10008,$BF$2,PURCHASE!$H$6:$H$10008,$A$4:$A$2700)</f>
        <v>0</v>
      </c>
      <c r="BI233" s="512">
        <f>SUMIFS(PURCHASE!$M$6:$M$10008,PURCHASE!$A$6:$A$10008,$BF$2,PURCHASE!$H$6:$H$10008,$A$4:$A$2700)</f>
        <v>0</v>
      </c>
      <c r="BJ233" s="512">
        <f>SUMIFS(PURCHASE!$N$6:$N$10008,PURCHASE!$A$6:$A$10008,$BF$2,PURCHASE!$H$6:$H$10008,$A$4:$A$2700)</f>
        <v>0</v>
      </c>
      <c r="BK233" s="72">
        <f t="shared" si="75"/>
        <v>86500.242199999993</v>
      </c>
      <c r="BL233" s="72">
        <f t="shared" si="76"/>
        <v>73305.289999999994</v>
      </c>
      <c r="BM233" s="72">
        <f t="shared" si="77"/>
        <v>0</v>
      </c>
      <c r="BN233" s="72">
        <f t="shared" si="78"/>
        <v>6597.476099999999</v>
      </c>
      <c r="BO233" s="72">
        <f t="shared" si="79"/>
        <v>6597.476099999999</v>
      </c>
    </row>
    <row r="234" spans="1:67" x14ac:dyDescent="0.2">
      <c r="A234" s="511">
        <v>96031000</v>
      </c>
      <c r="B234" s="467" t="s">
        <v>1350</v>
      </c>
      <c r="C234" s="512">
        <f t="shared" si="62"/>
        <v>0</v>
      </c>
      <c r="D234" s="512">
        <f>SUMIFS(PURCHASE!$K$6:$K$10008,PURCHASE!$A$6:$A$10008,$M$2,PURCHASE!$H$6:$H$10008,$A$4:$A$2700)</f>
        <v>0</v>
      </c>
      <c r="E234" s="512">
        <f>SUMIFS(PURCHASE!$L$6:$L$10008,PURCHASE!$A$6:$A$10008,$M$2,PURCHASE!$H$6:$H$10008,$A$4:$A$2700)</f>
        <v>0</v>
      </c>
      <c r="F234" s="512">
        <f>SUMIFS(PURCHASE!$M$6:$M$10008,PURCHASE!$A$6:$A$10008,$M$2,PURCHASE!$H$6:$H$10008,$A$4:$A$2700)</f>
        <v>0</v>
      </c>
      <c r="G234" s="512">
        <f>SUMIFS(PURCHASE!$N$6:$N$10008,PURCHASE!$A$6:$A$10008,$M$2,PURCHASE!$H$6:$H$10008,$A$4:$A$2700)</f>
        <v>0</v>
      </c>
      <c r="H234" s="512">
        <f t="shared" si="63"/>
        <v>0</v>
      </c>
      <c r="I234" s="512">
        <f>SUMIFS(PURCHASE!$K$6:$K$10008,PURCHASE!$A$6:$A$10008,$H$2,PURCHASE!$H$6:$H$10008,$A$4:$A$2700)</f>
        <v>0</v>
      </c>
      <c r="J234" s="512">
        <f>SUMIFS(PURCHASE!$L$6:$L$10008,PURCHASE!$A$6:$A$10008,$H$2,PURCHASE!$H$6:$H$10008,$A$4:$A$2700)</f>
        <v>0</v>
      </c>
      <c r="K234" s="512">
        <f>SUMIFS(PURCHASE!$M$6:$M$10008,PURCHASE!$A$6:$A$10008,$H$2,PURCHASE!$H$6:$H$10008,$A$4:$A$2700)</f>
        <v>0</v>
      </c>
      <c r="L234" s="512">
        <f>SUMIFS(PURCHASE!$N$6:$N$10008,PURCHASE!$A$6:$A$10008,$H$2,PURCHASE!$H$6:$H$10008,$A$4:$A$2700)</f>
        <v>0</v>
      </c>
      <c r="M234" s="512">
        <f t="shared" si="64"/>
        <v>0</v>
      </c>
      <c r="N234" s="512">
        <f>SUMIFS(PURCHASE!$K$6:$K$10008,PURCHASE!$A$6:$A$10008,$M$2,PURCHASE!$H$6:$H$10008,$A$4:$A$2700)</f>
        <v>0</v>
      </c>
      <c r="O234" s="512">
        <f>SUMIFS(PURCHASE!$L$6:$L$10008,PURCHASE!$A$6:$A$10008,$M$2,PURCHASE!$H$6:$H$10008,$A$4:$A$2700)</f>
        <v>0</v>
      </c>
      <c r="P234" s="512">
        <f>SUMIFS(PURCHASE!$M$6:$M$10008,PURCHASE!$A$6:$A$10008,$M$2,PURCHASE!$H$6:$H$10008,$A$4:$A$2700)</f>
        <v>0</v>
      </c>
      <c r="Q234" s="512">
        <f>SUMIFS(PURCHASE!$N$6:$N$10008,PURCHASE!$A$6:$A$10008,$M$2,PURCHASE!$H$6:$H$10008,$A$4:$A$2700)</f>
        <v>0</v>
      </c>
      <c r="R234" s="512">
        <f t="shared" si="65"/>
        <v>0</v>
      </c>
      <c r="S234" s="512">
        <f>SUMIFS(PURCHASE!$K$6:$K$10008,PURCHASE!$A$6:$A$10008,$R$2,PURCHASE!$H$6:$H$10008,$A$4:$A$2700)</f>
        <v>0</v>
      </c>
      <c r="T234" s="512">
        <f>SUMIFS(PURCHASE!$L$6:$L$10008,PURCHASE!$A$6:$A$10008,$R$2,PURCHASE!$H$6:$H$10008,$A$4:$A$2700)</f>
        <v>0</v>
      </c>
      <c r="U234" s="512">
        <f>SUMIFS(PURCHASE!$M$6:$M$10008,PURCHASE!$A$6:$A$10008,$R$2,PURCHASE!$H$6:$H$10008,$A$4:$A$2700)</f>
        <v>0</v>
      </c>
      <c r="V234" s="512">
        <f>SUMIFS(PURCHASE!$N$6:$N$10008,PURCHASE!$A$6:$A$10008,$R$2,PURCHASE!$H$6:$H$10008,$A$4:$A$2700)</f>
        <v>0</v>
      </c>
      <c r="W234" s="512">
        <f t="shared" si="66"/>
        <v>50</v>
      </c>
      <c r="X234" s="512">
        <f>SUMIFS(PURCHASE!$K$6:$K$10008,PURCHASE!$A$6:$A$10008,$W$2,PURCHASE!$H$6:$H$10008,$A$4:$A$2700)</f>
        <v>50</v>
      </c>
      <c r="Y234" s="512">
        <f>SUMIFS(PURCHASE!$L$6:$L$10008,PURCHASE!$A$6:$A$10008,$W$2,PURCHASE!$H$6:$H$10008,$A$4:$A$2700)</f>
        <v>0</v>
      </c>
      <c r="Z234" s="512">
        <f>SUMIFS(PURCHASE!$M$6:$M$10008,PURCHASE!$A$6:$A$10008,$W$2,PURCHASE!$H$6:$H$10008,$A$4:$A$2700)</f>
        <v>0</v>
      </c>
      <c r="AA234" s="512">
        <f>SUMIFS(PURCHASE!$N$6:$N$10008,PURCHASE!$A$6:$A$10008,$W$2,PURCHASE!$H$6:$H$10008,$A$4:$A$2700)</f>
        <v>0</v>
      </c>
      <c r="AB234" s="512">
        <f t="shared" si="67"/>
        <v>180</v>
      </c>
      <c r="AC234" s="512">
        <f>SUMIFS(PURCHASE!$K$6:$K$10008,PURCHASE!$A$6:$A$10008,$AB$2,PURCHASE!$H$6:$H$10008,$A$4:$A$2700)</f>
        <v>180</v>
      </c>
      <c r="AD234" s="512">
        <f>SUMIFS(PURCHASE!$L$6:$L$10008,PURCHASE!$A$6:$A$10008,$AB$2,PURCHASE!$H$6:$H$10008,$A$4:$A$2700)</f>
        <v>0</v>
      </c>
      <c r="AE234" s="512">
        <f>SUMIFS(PURCHASE!$M$6:$M$10008,PURCHASE!$A$6:$A$10008,$AB$2,PURCHASE!$H$6:$H$10008,$A$4:$A$2700)</f>
        <v>0</v>
      </c>
      <c r="AF234" s="512">
        <f>SUMIFS(PURCHASE!$N$6:$N$10008,PURCHASE!$A$6:$A$10008,$AB$2,PURCHASE!$H$6:$H$10008,$A$4:$A$2700)</f>
        <v>0</v>
      </c>
      <c r="AG234" s="512">
        <f t="shared" si="68"/>
        <v>250</v>
      </c>
      <c r="AH234" s="512">
        <f>SUMIFS(PURCHASE!$K$6:$K$10008,PURCHASE!$A$6:$A$10008,$AG$2,PURCHASE!$H$6:$H$10008,$A$4:$A$2700)</f>
        <v>250</v>
      </c>
      <c r="AI234" s="512">
        <f>SUMIFS(PURCHASE!$L$6:$L$10008,PURCHASE!$A$6:$A$10008,$AG$2,PURCHASE!$H$6:$H$10008,$A$4:$A$2700)</f>
        <v>0</v>
      </c>
      <c r="AJ234" s="512">
        <f>SUMIFS(PURCHASE!$M$6:$M$10008,PURCHASE!$A$6:$A$10008,$AG$2,PURCHASE!$H$6:$H$10008,$A$4:$A$2700)</f>
        <v>0</v>
      </c>
      <c r="AK234" s="512">
        <f>SUMIFS(PURCHASE!$N$6:$N$10008,PURCHASE!$A$6:$A$10008,$AG$2,PURCHASE!$H$6:$H$10008,$A$4:$A$2700)</f>
        <v>0</v>
      </c>
      <c r="AL234" s="512">
        <f t="shared" si="69"/>
        <v>585</v>
      </c>
      <c r="AM234" s="512">
        <f>SUMIFS(PURCHASE!$K$6:$K$10008,PURCHASE!$A$6:$A$10008,$AL$2,PURCHASE!$H$6:$H$10008,$A$4:$A$2700)</f>
        <v>585</v>
      </c>
      <c r="AN234" s="512">
        <f>SUMIFS(PURCHASE!$L$6:$L$10008,PURCHASE!$A$6:$A$10008,$AL$2,PURCHASE!$H$6:$H$10008,$A$4:$A$2700)</f>
        <v>0</v>
      </c>
      <c r="AO234" s="512">
        <f>SUMIFS(PURCHASE!$M$6:$M$10008,PURCHASE!$A$6:$A$10008,$AL$2,PURCHASE!$H$6:$H$10008,$A$4:$A$2700)</f>
        <v>0</v>
      </c>
      <c r="AP234" s="512">
        <f>SUMIFS(PURCHASE!$N$6:$N$10008,PURCHASE!$A$6:$A$10008,$AL$2,PURCHASE!$H$6:$H$10008,$A$4:$A$2700)</f>
        <v>0</v>
      </c>
      <c r="AQ234" s="512">
        <f t="shared" si="70"/>
        <v>180</v>
      </c>
      <c r="AR234" s="512">
        <f>SUMIFS(PURCHASE!$K$6:$K$10008,PURCHASE!$A$6:$A$10008,$AQ$2,PURCHASE!$H$6:$H$10008,$A$4:$A$2700)</f>
        <v>180</v>
      </c>
      <c r="AS234" s="512">
        <f>SUMIFS(PURCHASE!$L$6:$L$10008,PURCHASE!$A$6:$A$10008,$AQ$2,PURCHASE!$H$6:$H$10008,$A$4:$A$2700)</f>
        <v>0</v>
      </c>
      <c r="AT234" s="512">
        <f>SUMIFS(PURCHASE!$M$6:$M$10008,PURCHASE!$A$6:$A$10008,$AQ$2,PURCHASE!$H$6:$H$10008,$A$4:$A$2700)</f>
        <v>0</v>
      </c>
      <c r="AU234" s="512">
        <f>SUMIFS(PURCHASE!$N$6:$N$10008,PURCHASE!$A$6:$A$10008,$AQ$2,PURCHASE!$H$6:$H$10008,$A$4:$A$2700)</f>
        <v>0</v>
      </c>
      <c r="AV234" s="512">
        <f t="shared" si="71"/>
        <v>600</v>
      </c>
      <c r="AW234" s="512">
        <f>SUMIFS(PURCHASE!$K$6:$K$10008,PURCHASE!$A$6:$A$10008,$AV$2,PURCHASE!$H$6:$H$10008,$A$4:$A$2700)</f>
        <v>600</v>
      </c>
      <c r="AX234" s="512">
        <f>SUMIFS(PURCHASE!$L$6:$L$10008,PURCHASE!$A$6:$A$10008,$AV$2,PURCHASE!$H$6:$H$10008,$A$4:$A$2700)</f>
        <v>0</v>
      </c>
      <c r="AY234" s="512">
        <f>SUMIFS(PURCHASE!$M$6:$M$10008,PURCHASE!$A$6:$A$10008,$AV$2,PURCHASE!$H$6:$H$10008,$A$4:$A$2700)</f>
        <v>0</v>
      </c>
      <c r="AZ234" s="512">
        <f>SUMIFS(PURCHASE!$N$6:$N$10008,PURCHASE!$A$6:$A$10008,$AV$2,PURCHASE!$H$6:$H$10008,$A$4:$A$2700)</f>
        <v>0</v>
      </c>
      <c r="BA234" s="512">
        <f t="shared" si="72"/>
        <v>0</v>
      </c>
      <c r="BB234" s="512">
        <f>SUMIFS(PURCHASE!$K$6:$K$10008,PURCHASE!$A$6:$A$10008,$BA$2,PURCHASE!$H$6:$H$10008,$A$4:$A$2700)</f>
        <v>0</v>
      </c>
      <c r="BC234" s="512">
        <f>SUMIFS(PURCHASE!$L$6:$L$10008,PURCHASE!$A$6:$A$10008,$BA$2,PURCHASE!$H$6:$H$10008,$A$4:$A$2700)</f>
        <v>0</v>
      </c>
      <c r="BD234" s="512">
        <f>SUMIFS(PURCHASE!$M$6:$M$10008,PURCHASE!$A$6:$A$10008,$BA$2,PURCHASE!$H$6:$H$10008,$A$4:$A$2700)</f>
        <v>0</v>
      </c>
      <c r="BE234" s="512">
        <f>SUMIFS(PURCHASE!$N$6:$N$10008,PURCHASE!$A$6:$A$10008,$BA$2,PURCHASE!$H$6:$H$10008,$A$4:$A$2700)</f>
        <v>0</v>
      </c>
      <c r="BF234" s="512">
        <f t="shared" si="73"/>
        <v>0</v>
      </c>
      <c r="BG234" s="512">
        <f>SUMIFS(PURCHASE!$K$6:$K$10008,PURCHASE!$A$6:$A$10008,$BF$2,PURCHASE!$H$6:$H$10008,$A$4:$A$2700)</f>
        <v>0</v>
      </c>
      <c r="BH234" s="512">
        <f>SUMIFS(PURCHASE!$L$6:$L$10008,PURCHASE!$A$6:$A$10008,$BF$2,PURCHASE!$H$6:$H$10008,$A$4:$A$2700)</f>
        <v>0</v>
      </c>
      <c r="BI234" s="512">
        <f>SUMIFS(PURCHASE!$M$6:$M$10008,PURCHASE!$A$6:$A$10008,$BF$2,PURCHASE!$H$6:$H$10008,$A$4:$A$2700)</f>
        <v>0</v>
      </c>
      <c r="BJ234" s="512">
        <f>SUMIFS(PURCHASE!$N$6:$N$10008,PURCHASE!$A$6:$A$10008,$BF$2,PURCHASE!$H$6:$H$10008,$A$4:$A$2700)</f>
        <v>0</v>
      </c>
      <c r="BK234" s="72">
        <f t="shared" si="75"/>
        <v>1845</v>
      </c>
      <c r="BL234" s="72">
        <f t="shared" si="76"/>
        <v>1845</v>
      </c>
      <c r="BM234" s="72">
        <f t="shared" si="77"/>
        <v>0</v>
      </c>
      <c r="BN234" s="72">
        <f t="shared" si="78"/>
        <v>0</v>
      </c>
      <c r="BO234" s="72">
        <f t="shared" si="79"/>
        <v>0</v>
      </c>
    </row>
    <row r="235" spans="1:67" x14ac:dyDescent="0.2">
      <c r="A235" s="511">
        <v>96082000</v>
      </c>
      <c r="B235" s="467" t="s">
        <v>1238</v>
      </c>
      <c r="C235" s="512">
        <f t="shared" si="62"/>
        <v>0</v>
      </c>
      <c r="D235" s="512">
        <f>SUMIFS(PURCHASE!$K$6:$K$10008,PURCHASE!$A$6:$A$10008,$M$2,PURCHASE!$H$6:$H$10008,$A$4:$A$2700)</f>
        <v>0</v>
      </c>
      <c r="E235" s="512">
        <f>SUMIFS(PURCHASE!$L$6:$L$10008,PURCHASE!$A$6:$A$10008,$M$2,PURCHASE!$H$6:$H$10008,$A$4:$A$2700)</f>
        <v>0</v>
      </c>
      <c r="F235" s="512">
        <f>SUMIFS(PURCHASE!$M$6:$M$10008,PURCHASE!$A$6:$A$10008,$M$2,PURCHASE!$H$6:$H$10008,$A$4:$A$2700)</f>
        <v>0</v>
      </c>
      <c r="G235" s="512">
        <f>SUMIFS(PURCHASE!$N$6:$N$10008,PURCHASE!$A$6:$A$10008,$M$2,PURCHASE!$H$6:$H$10008,$A$4:$A$2700)</f>
        <v>0</v>
      </c>
      <c r="H235" s="512">
        <f t="shared" si="63"/>
        <v>0</v>
      </c>
      <c r="I235" s="512">
        <f>SUMIFS(PURCHASE!$K$6:$K$10008,PURCHASE!$A$6:$A$10008,$H$2,PURCHASE!$H$6:$H$10008,$A$4:$A$2700)</f>
        <v>0</v>
      </c>
      <c r="J235" s="512">
        <f>SUMIFS(PURCHASE!$L$6:$L$10008,PURCHASE!$A$6:$A$10008,$H$2,PURCHASE!$H$6:$H$10008,$A$4:$A$2700)</f>
        <v>0</v>
      </c>
      <c r="K235" s="512">
        <f>SUMIFS(PURCHASE!$M$6:$M$10008,PURCHASE!$A$6:$A$10008,$H$2,PURCHASE!$H$6:$H$10008,$A$4:$A$2700)</f>
        <v>0</v>
      </c>
      <c r="L235" s="512">
        <f>SUMIFS(PURCHASE!$N$6:$N$10008,PURCHASE!$A$6:$A$10008,$H$2,PURCHASE!$H$6:$H$10008,$A$4:$A$2700)</f>
        <v>0</v>
      </c>
      <c r="M235" s="512">
        <f t="shared" si="64"/>
        <v>0</v>
      </c>
      <c r="N235" s="512">
        <f>SUMIFS(PURCHASE!$K$6:$K$10008,PURCHASE!$A$6:$A$10008,$M$2,PURCHASE!$H$6:$H$10008,$A$4:$A$2700)</f>
        <v>0</v>
      </c>
      <c r="O235" s="512">
        <f>SUMIFS(PURCHASE!$L$6:$L$10008,PURCHASE!$A$6:$A$10008,$M$2,PURCHASE!$H$6:$H$10008,$A$4:$A$2700)</f>
        <v>0</v>
      </c>
      <c r="P235" s="512">
        <f>SUMIFS(PURCHASE!$M$6:$M$10008,PURCHASE!$A$6:$A$10008,$M$2,PURCHASE!$H$6:$H$10008,$A$4:$A$2700)</f>
        <v>0</v>
      </c>
      <c r="Q235" s="512">
        <f>SUMIFS(PURCHASE!$N$6:$N$10008,PURCHASE!$A$6:$A$10008,$M$2,PURCHASE!$H$6:$H$10008,$A$4:$A$2700)</f>
        <v>0</v>
      </c>
      <c r="R235" s="512">
        <f t="shared" si="65"/>
        <v>6664</v>
      </c>
      <c r="S235" s="512">
        <f>SUMIFS(PURCHASE!$K$6:$K$10008,PURCHASE!$A$6:$A$10008,$R$2,PURCHASE!$H$6:$H$10008,$A$4:$A$2700)</f>
        <v>5950</v>
      </c>
      <c r="T235" s="512">
        <f>SUMIFS(PURCHASE!$L$6:$L$10008,PURCHASE!$A$6:$A$10008,$R$2,PURCHASE!$H$6:$H$10008,$A$4:$A$2700)</f>
        <v>0</v>
      </c>
      <c r="U235" s="512">
        <f>SUMIFS(PURCHASE!$M$6:$M$10008,PURCHASE!$A$6:$A$10008,$R$2,PURCHASE!$H$6:$H$10008,$A$4:$A$2700)</f>
        <v>357</v>
      </c>
      <c r="V235" s="512">
        <f>SUMIFS(PURCHASE!$N$6:$N$10008,PURCHASE!$A$6:$A$10008,$R$2,PURCHASE!$H$6:$H$10008,$A$4:$A$2700)</f>
        <v>357</v>
      </c>
      <c r="W235" s="512">
        <f t="shared" si="66"/>
        <v>0</v>
      </c>
      <c r="X235" s="512">
        <f>SUMIFS(PURCHASE!$K$6:$K$10008,PURCHASE!$A$6:$A$10008,$W$2,PURCHASE!$H$6:$H$10008,$A$4:$A$2700)</f>
        <v>0</v>
      </c>
      <c r="Y235" s="512">
        <f>SUMIFS(PURCHASE!$L$6:$L$10008,PURCHASE!$A$6:$A$10008,$W$2,PURCHASE!$H$6:$H$10008,$A$4:$A$2700)</f>
        <v>0</v>
      </c>
      <c r="Z235" s="512">
        <f>SUMIFS(PURCHASE!$M$6:$M$10008,PURCHASE!$A$6:$A$10008,$W$2,PURCHASE!$H$6:$H$10008,$A$4:$A$2700)</f>
        <v>0</v>
      </c>
      <c r="AA235" s="512">
        <f>SUMIFS(PURCHASE!$N$6:$N$10008,PURCHASE!$A$6:$A$10008,$W$2,PURCHASE!$H$6:$H$10008,$A$4:$A$2700)</f>
        <v>0</v>
      </c>
      <c r="AB235" s="512">
        <f t="shared" si="67"/>
        <v>0</v>
      </c>
      <c r="AC235" s="512">
        <f>SUMIFS(PURCHASE!$K$6:$K$10008,PURCHASE!$A$6:$A$10008,$AB$2,PURCHASE!$H$6:$H$10008,$A$4:$A$2700)</f>
        <v>0</v>
      </c>
      <c r="AD235" s="512">
        <f>SUMIFS(PURCHASE!$L$6:$L$10008,PURCHASE!$A$6:$A$10008,$AB$2,PURCHASE!$H$6:$H$10008,$A$4:$A$2700)</f>
        <v>0</v>
      </c>
      <c r="AE235" s="512">
        <f>SUMIFS(PURCHASE!$M$6:$M$10008,PURCHASE!$A$6:$A$10008,$AB$2,PURCHASE!$H$6:$H$10008,$A$4:$A$2700)</f>
        <v>0</v>
      </c>
      <c r="AF235" s="512">
        <f>SUMIFS(PURCHASE!$N$6:$N$10008,PURCHASE!$A$6:$A$10008,$AB$2,PURCHASE!$H$6:$H$10008,$A$4:$A$2700)</f>
        <v>0</v>
      </c>
      <c r="AG235" s="512">
        <f t="shared" si="68"/>
        <v>420</v>
      </c>
      <c r="AH235" s="512">
        <f>SUMIFS(PURCHASE!$K$6:$K$10008,PURCHASE!$A$6:$A$10008,$AG$2,PURCHASE!$H$6:$H$10008,$A$4:$A$2700)</f>
        <v>375</v>
      </c>
      <c r="AI235" s="512">
        <f>SUMIFS(PURCHASE!$L$6:$L$10008,PURCHASE!$A$6:$A$10008,$AG$2,PURCHASE!$H$6:$H$10008,$A$4:$A$2700)</f>
        <v>0</v>
      </c>
      <c r="AJ235" s="512">
        <f>SUMIFS(PURCHASE!$M$6:$M$10008,PURCHASE!$A$6:$A$10008,$AG$2,PURCHASE!$H$6:$H$10008,$A$4:$A$2700)</f>
        <v>22.5</v>
      </c>
      <c r="AK235" s="512">
        <f>SUMIFS(PURCHASE!$N$6:$N$10008,PURCHASE!$A$6:$A$10008,$AG$2,PURCHASE!$H$6:$H$10008,$A$4:$A$2700)</f>
        <v>22.5</v>
      </c>
      <c r="AL235" s="512">
        <f t="shared" si="69"/>
        <v>0</v>
      </c>
      <c r="AM235" s="512">
        <f>SUMIFS(PURCHASE!$K$6:$K$10008,PURCHASE!$A$6:$A$10008,$AL$2,PURCHASE!$H$6:$H$10008,$A$4:$A$2700)</f>
        <v>0</v>
      </c>
      <c r="AN235" s="512">
        <f>SUMIFS(PURCHASE!$L$6:$L$10008,PURCHASE!$A$6:$A$10008,$AL$2,PURCHASE!$H$6:$H$10008,$A$4:$A$2700)</f>
        <v>0</v>
      </c>
      <c r="AO235" s="512">
        <f>SUMIFS(PURCHASE!$M$6:$M$10008,PURCHASE!$A$6:$A$10008,$AL$2,PURCHASE!$H$6:$H$10008,$A$4:$A$2700)</f>
        <v>0</v>
      </c>
      <c r="AP235" s="512">
        <f>SUMIFS(PURCHASE!$N$6:$N$10008,PURCHASE!$A$6:$A$10008,$AL$2,PURCHASE!$H$6:$H$10008,$A$4:$A$2700)</f>
        <v>0</v>
      </c>
      <c r="AQ235" s="512">
        <f t="shared" si="70"/>
        <v>0</v>
      </c>
      <c r="AR235" s="512">
        <f>SUMIFS(PURCHASE!$K$6:$K$10008,PURCHASE!$A$6:$A$10008,$AQ$2,PURCHASE!$H$6:$H$10008,$A$4:$A$2700)</f>
        <v>0</v>
      </c>
      <c r="AS235" s="512">
        <f>SUMIFS(PURCHASE!$L$6:$L$10008,PURCHASE!$A$6:$A$10008,$AQ$2,PURCHASE!$H$6:$H$10008,$A$4:$A$2700)</f>
        <v>0</v>
      </c>
      <c r="AT235" s="512">
        <f>SUMIFS(PURCHASE!$M$6:$M$10008,PURCHASE!$A$6:$A$10008,$AQ$2,PURCHASE!$H$6:$H$10008,$A$4:$A$2700)</f>
        <v>0</v>
      </c>
      <c r="AU235" s="512">
        <f>SUMIFS(PURCHASE!$N$6:$N$10008,PURCHASE!$A$6:$A$10008,$AQ$2,PURCHASE!$H$6:$H$10008,$A$4:$A$2700)</f>
        <v>0</v>
      </c>
      <c r="AV235" s="512">
        <f t="shared" si="71"/>
        <v>0</v>
      </c>
      <c r="AW235" s="512">
        <f>SUMIFS(PURCHASE!$K$6:$K$10008,PURCHASE!$A$6:$A$10008,$AV$2,PURCHASE!$H$6:$H$10008,$A$4:$A$2700)</f>
        <v>0</v>
      </c>
      <c r="AX235" s="512">
        <f>SUMIFS(PURCHASE!$L$6:$L$10008,PURCHASE!$A$6:$A$10008,$AV$2,PURCHASE!$H$6:$H$10008,$A$4:$A$2700)</f>
        <v>0</v>
      </c>
      <c r="AY235" s="512">
        <f>SUMIFS(PURCHASE!$M$6:$M$10008,PURCHASE!$A$6:$A$10008,$AV$2,PURCHASE!$H$6:$H$10008,$A$4:$A$2700)</f>
        <v>0</v>
      </c>
      <c r="AZ235" s="512">
        <f>SUMIFS(PURCHASE!$N$6:$N$10008,PURCHASE!$A$6:$A$10008,$AV$2,PURCHASE!$H$6:$H$10008,$A$4:$A$2700)</f>
        <v>0</v>
      </c>
      <c r="BA235" s="512">
        <f t="shared" si="72"/>
        <v>0</v>
      </c>
      <c r="BB235" s="512">
        <f>SUMIFS(PURCHASE!$K$6:$K$10008,PURCHASE!$A$6:$A$10008,$BA$2,PURCHASE!$H$6:$H$10008,$A$4:$A$2700)</f>
        <v>0</v>
      </c>
      <c r="BC235" s="512">
        <f>SUMIFS(PURCHASE!$L$6:$L$10008,PURCHASE!$A$6:$A$10008,$BA$2,PURCHASE!$H$6:$H$10008,$A$4:$A$2700)</f>
        <v>0</v>
      </c>
      <c r="BD235" s="512">
        <f>SUMIFS(PURCHASE!$M$6:$M$10008,PURCHASE!$A$6:$A$10008,$BA$2,PURCHASE!$H$6:$H$10008,$A$4:$A$2700)</f>
        <v>0</v>
      </c>
      <c r="BE235" s="512">
        <f>SUMIFS(PURCHASE!$N$6:$N$10008,PURCHASE!$A$6:$A$10008,$BA$2,PURCHASE!$H$6:$H$10008,$A$4:$A$2700)</f>
        <v>0</v>
      </c>
      <c r="BF235" s="512">
        <f t="shared" si="73"/>
        <v>0</v>
      </c>
      <c r="BG235" s="512">
        <f>SUMIFS(PURCHASE!$K$6:$K$10008,PURCHASE!$A$6:$A$10008,$BF$2,PURCHASE!$H$6:$H$10008,$A$4:$A$2700)</f>
        <v>0</v>
      </c>
      <c r="BH235" s="512">
        <f>SUMIFS(PURCHASE!$L$6:$L$10008,PURCHASE!$A$6:$A$10008,$BF$2,PURCHASE!$H$6:$H$10008,$A$4:$A$2700)</f>
        <v>0</v>
      </c>
      <c r="BI235" s="512">
        <f>SUMIFS(PURCHASE!$M$6:$M$10008,PURCHASE!$A$6:$A$10008,$BF$2,PURCHASE!$H$6:$H$10008,$A$4:$A$2700)</f>
        <v>0</v>
      </c>
      <c r="BJ235" s="512">
        <f>SUMIFS(PURCHASE!$N$6:$N$10008,PURCHASE!$A$6:$A$10008,$BF$2,PURCHASE!$H$6:$H$10008,$A$4:$A$2700)</f>
        <v>0</v>
      </c>
      <c r="BK235" s="72">
        <f t="shared" si="75"/>
        <v>7084</v>
      </c>
      <c r="BL235" s="72">
        <f t="shared" si="76"/>
        <v>6325</v>
      </c>
      <c r="BM235" s="72">
        <f t="shared" si="77"/>
        <v>0</v>
      </c>
      <c r="BN235" s="72">
        <f t="shared" si="78"/>
        <v>379.5</v>
      </c>
      <c r="BO235" s="72">
        <f t="shared" si="79"/>
        <v>379.5</v>
      </c>
    </row>
    <row r="236" spans="1:67" x14ac:dyDescent="0.2">
      <c r="A236" s="511">
        <v>96089990</v>
      </c>
      <c r="B236" s="467" t="s">
        <v>1316</v>
      </c>
      <c r="C236" s="512">
        <f t="shared" si="62"/>
        <v>324.79999999999995</v>
      </c>
      <c r="D236" s="512">
        <f>SUMIFS(PURCHASE!$K$6:$K$10008,PURCHASE!$A$6:$A$10008,$M$2,PURCHASE!$H$6:$H$10008,$A$4:$A$2700)</f>
        <v>290</v>
      </c>
      <c r="E236" s="512">
        <f>SUMIFS(PURCHASE!$L$6:$L$10008,PURCHASE!$A$6:$A$10008,$M$2,PURCHASE!$H$6:$H$10008,$A$4:$A$2700)</f>
        <v>0</v>
      </c>
      <c r="F236" s="512">
        <f>SUMIFS(PURCHASE!$M$6:$M$10008,PURCHASE!$A$6:$A$10008,$M$2,PURCHASE!$H$6:$H$10008,$A$4:$A$2700)</f>
        <v>17.399999999999999</v>
      </c>
      <c r="G236" s="512">
        <f>SUMIFS(PURCHASE!$N$6:$N$10008,PURCHASE!$A$6:$A$10008,$M$2,PURCHASE!$H$6:$H$10008,$A$4:$A$2700)</f>
        <v>17.399999999999999</v>
      </c>
      <c r="H236" s="512">
        <f t="shared" si="63"/>
        <v>0</v>
      </c>
      <c r="I236" s="512">
        <f>SUMIFS(PURCHASE!$K$6:$K$10008,PURCHASE!$A$6:$A$10008,$H$2,PURCHASE!$H$6:$H$10008,$A$4:$A$2700)</f>
        <v>0</v>
      </c>
      <c r="J236" s="512">
        <f>SUMIFS(PURCHASE!$L$6:$L$10008,PURCHASE!$A$6:$A$10008,$H$2,PURCHASE!$H$6:$H$10008,$A$4:$A$2700)</f>
        <v>0</v>
      </c>
      <c r="K236" s="512">
        <f>SUMIFS(PURCHASE!$M$6:$M$10008,PURCHASE!$A$6:$A$10008,$H$2,PURCHASE!$H$6:$H$10008,$A$4:$A$2700)</f>
        <v>0</v>
      </c>
      <c r="L236" s="512">
        <f>SUMIFS(PURCHASE!$N$6:$N$10008,PURCHASE!$A$6:$A$10008,$H$2,PURCHASE!$H$6:$H$10008,$A$4:$A$2700)</f>
        <v>0</v>
      </c>
      <c r="M236" s="512">
        <f t="shared" si="64"/>
        <v>324.79999999999995</v>
      </c>
      <c r="N236" s="512">
        <f>SUMIFS(PURCHASE!$K$6:$K$10008,PURCHASE!$A$6:$A$10008,$M$2,PURCHASE!$H$6:$H$10008,$A$4:$A$2700)</f>
        <v>290</v>
      </c>
      <c r="O236" s="512">
        <f>SUMIFS(PURCHASE!$L$6:$L$10008,PURCHASE!$A$6:$A$10008,$M$2,PURCHASE!$H$6:$H$10008,$A$4:$A$2700)</f>
        <v>0</v>
      </c>
      <c r="P236" s="512">
        <f>SUMIFS(PURCHASE!$M$6:$M$10008,PURCHASE!$A$6:$A$10008,$M$2,PURCHASE!$H$6:$H$10008,$A$4:$A$2700)</f>
        <v>17.399999999999999</v>
      </c>
      <c r="Q236" s="512">
        <f>SUMIFS(PURCHASE!$N$6:$N$10008,PURCHASE!$A$6:$A$10008,$M$2,PURCHASE!$H$6:$H$10008,$A$4:$A$2700)</f>
        <v>17.399999999999999</v>
      </c>
      <c r="R236" s="512">
        <f t="shared" si="65"/>
        <v>448</v>
      </c>
      <c r="S236" s="512">
        <f>SUMIFS(PURCHASE!$K$6:$K$10008,PURCHASE!$A$6:$A$10008,$R$2,PURCHASE!$H$6:$H$10008,$A$4:$A$2700)</f>
        <v>400</v>
      </c>
      <c r="T236" s="512">
        <f>SUMIFS(PURCHASE!$L$6:$L$10008,PURCHASE!$A$6:$A$10008,$R$2,PURCHASE!$H$6:$H$10008,$A$4:$A$2700)</f>
        <v>0</v>
      </c>
      <c r="U236" s="512">
        <f>SUMIFS(PURCHASE!$M$6:$M$10008,PURCHASE!$A$6:$A$10008,$R$2,PURCHASE!$H$6:$H$10008,$A$4:$A$2700)</f>
        <v>24</v>
      </c>
      <c r="V236" s="512">
        <f>SUMIFS(PURCHASE!$N$6:$N$10008,PURCHASE!$A$6:$A$10008,$R$2,PURCHASE!$H$6:$H$10008,$A$4:$A$2700)</f>
        <v>24</v>
      </c>
      <c r="W236" s="512">
        <f t="shared" si="66"/>
        <v>0</v>
      </c>
      <c r="X236" s="512">
        <f>SUMIFS(PURCHASE!$K$6:$K$10008,PURCHASE!$A$6:$A$10008,$W$2,PURCHASE!$H$6:$H$10008,$A$4:$A$2700)</f>
        <v>0</v>
      </c>
      <c r="Y236" s="512">
        <f>SUMIFS(PURCHASE!$L$6:$L$10008,PURCHASE!$A$6:$A$10008,$W$2,PURCHASE!$H$6:$H$10008,$A$4:$A$2700)</f>
        <v>0</v>
      </c>
      <c r="Z236" s="512">
        <f>SUMIFS(PURCHASE!$M$6:$M$10008,PURCHASE!$A$6:$A$10008,$W$2,PURCHASE!$H$6:$H$10008,$A$4:$A$2700)</f>
        <v>0</v>
      </c>
      <c r="AA236" s="512">
        <f>SUMIFS(PURCHASE!$N$6:$N$10008,PURCHASE!$A$6:$A$10008,$W$2,PURCHASE!$H$6:$H$10008,$A$4:$A$2700)</f>
        <v>0</v>
      </c>
      <c r="AB236" s="512">
        <f t="shared" si="67"/>
        <v>0</v>
      </c>
      <c r="AC236" s="512">
        <f>SUMIFS(PURCHASE!$K$6:$K$10008,PURCHASE!$A$6:$A$10008,$AB$2,PURCHASE!$H$6:$H$10008,$A$4:$A$2700)</f>
        <v>0</v>
      </c>
      <c r="AD236" s="512">
        <f>SUMIFS(PURCHASE!$L$6:$L$10008,PURCHASE!$A$6:$A$10008,$AB$2,PURCHASE!$H$6:$H$10008,$A$4:$A$2700)</f>
        <v>0</v>
      </c>
      <c r="AE236" s="512">
        <f>SUMIFS(PURCHASE!$M$6:$M$10008,PURCHASE!$A$6:$A$10008,$AB$2,PURCHASE!$H$6:$H$10008,$A$4:$A$2700)</f>
        <v>0</v>
      </c>
      <c r="AF236" s="512">
        <f>SUMIFS(PURCHASE!$N$6:$N$10008,PURCHASE!$A$6:$A$10008,$AB$2,PURCHASE!$H$6:$H$10008,$A$4:$A$2700)</f>
        <v>0</v>
      </c>
      <c r="AG236" s="512">
        <f t="shared" si="68"/>
        <v>1120</v>
      </c>
      <c r="AH236" s="512">
        <f>SUMIFS(PURCHASE!$K$6:$K$10008,PURCHASE!$A$6:$A$10008,$AG$2,PURCHASE!$H$6:$H$10008,$A$4:$A$2700)</f>
        <v>1000</v>
      </c>
      <c r="AI236" s="512">
        <f>SUMIFS(PURCHASE!$L$6:$L$10008,PURCHASE!$A$6:$A$10008,$AG$2,PURCHASE!$H$6:$H$10008,$A$4:$A$2700)</f>
        <v>0</v>
      </c>
      <c r="AJ236" s="512">
        <f>SUMIFS(PURCHASE!$M$6:$M$10008,PURCHASE!$A$6:$A$10008,$AG$2,PURCHASE!$H$6:$H$10008,$A$4:$A$2700)</f>
        <v>60</v>
      </c>
      <c r="AK236" s="512">
        <f>SUMIFS(PURCHASE!$N$6:$N$10008,PURCHASE!$A$6:$A$10008,$AG$2,PURCHASE!$H$6:$H$10008,$A$4:$A$2700)</f>
        <v>60</v>
      </c>
      <c r="AL236" s="512">
        <f t="shared" si="69"/>
        <v>324.79999999999995</v>
      </c>
      <c r="AM236" s="512">
        <f>SUMIFS(PURCHASE!$K$6:$K$10008,PURCHASE!$A$6:$A$10008,$AL$2,PURCHASE!$H$6:$H$10008,$A$4:$A$2700)</f>
        <v>290</v>
      </c>
      <c r="AN236" s="512">
        <f>SUMIFS(PURCHASE!$L$6:$L$10008,PURCHASE!$A$6:$A$10008,$AL$2,PURCHASE!$H$6:$H$10008,$A$4:$A$2700)</f>
        <v>0</v>
      </c>
      <c r="AO236" s="512">
        <f>SUMIFS(PURCHASE!$M$6:$M$10008,PURCHASE!$A$6:$A$10008,$AL$2,PURCHASE!$H$6:$H$10008,$A$4:$A$2700)</f>
        <v>17.399999999999999</v>
      </c>
      <c r="AP236" s="512">
        <f>SUMIFS(PURCHASE!$N$6:$N$10008,PURCHASE!$A$6:$A$10008,$AL$2,PURCHASE!$H$6:$H$10008,$A$4:$A$2700)</f>
        <v>17.399999999999999</v>
      </c>
      <c r="AQ236" s="512">
        <f t="shared" si="70"/>
        <v>0</v>
      </c>
      <c r="AR236" s="512">
        <f>SUMIFS(PURCHASE!$K$6:$K$10008,PURCHASE!$A$6:$A$10008,$AQ$2,PURCHASE!$H$6:$H$10008,$A$4:$A$2700)</f>
        <v>0</v>
      </c>
      <c r="AS236" s="512">
        <f>SUMIFS(PURCHASE!$L$6:$L$10008,PURCHASE!$A$6:$A$10008,$AQ$2,PURCHASE!$H$6:$H$10008,$A$4:$A$2700)</f>
        <v>0</v>
      </c>
      <c r="AT236" s="512">
        <f>SUMIFS(PURCHASE!$M$6:$M$10008,PURCHASE!$A$6:$A$10008,$AQ$2,PURCHASE!$H$6:$H$10008,$A$4:$A$2700)</f>
        <v>0</v>
      </c>
      <c r="AU236" s="512">
        <f>SUMIFS(PURCHASE!$N$6:$N$10008,PURCHASE!$A$6:$A$10008,$AQ$2,PURCHASE!$H$6:$H$10008,$A$4:$A$2700)</f>
        <v>0</v>
      </c>
      <c r="AV236" s="512">
        <f t="shared" si="71"/>
        <v>0</v>
      </c>
      <c r="AW236" s="512">
        <f>SUMIFS(PURCHASE!$K$6:$K$10008,PURCHASE!$A$6:$A$10008,$AV$2,PURCHASE!$H$6:$H$10008,$A$4:$A$2700)</f>
        <v>0</v>
      </c>
      <c r="AX236" s="512">
        <f>SUMIFS(PURCHASE!$L$6:$L$10008,PURCHASE!$A$6:$A$10008,$AV$2,PURCHASE!$H$6:$H$10008,$A$4:$A$2700)</f>
        <v>0</v>
      </c>
      <c r="AY236" s="512">
        <f>SUMIFS(PURCHASE!$M$6:$M$10008,PURCHASE!$A$6:$A$10008,$AV$2,PURCHASE!$H$6:$H$10008,$A$4:$A$2700)</f>
        <v>0</v>
      </c>
      <c r="AZ236" s="512">
        <f>SUMIFS(PURCHASE!$N$6:$N$10008,PURCHASE!$A$6:$A$10008,$AV$2,PURCHASE!$H$6:$H$10008,$A$4:$A$2700)</f>
        <v>0</v>
      </c>
      <c r="BA236" s="512">
        <f t="shared" si="72"/>
        <v>0</v>
      </c>
      <c r="BB236" s="512">
        <f>SUMIFS(PURCHASE!$K$6:$K$10008,PURCHASE!$A$6:$A$10008,$BA$2,PURCHASE!$H$6:$H$10008,$A$4:$A$2700)</f>
        <v>0</v>
      </c>
      <c r="BC236" s="512">
        <f>SUMIFS(PURCHASE!$L$6:$L$10008,PURCHASE!$A$6:$A$10008,$BA$2,PURCHASE!$H$6:$H$10008,$A$4:$A$2700)</f>
        <v>0</v>
      </c>
      <c r="BD236" s="512">
        <f>SUMIFS(PURCHASE!$M$6:$M$10008,PURCHASE!$A$6:$A$10008,$BA$2,PURCHASE!$H$6:$H$10008,$A$4:$A$2700)</f>
        <v>0</v>
      </c>
      <c r="BE236" s="512">
        <f>SUMIFS(PURCHASE!$N$6:$N$10008,PURCHASE!$A$6:$A$10008,$BA$2,PURCHASE!$H$6:$H$10008,$A$4:$A$2700)</f>
        <v>0</v>
      </c>
      <c r="BF236" s="512">
        <f t="shared" si="73"/>
        <v>0</v>
      </c>
      <c r="BG236" s="512">
        <f>SUMIFS(PURCHASE!$K$6:$K$10008,PURCHASE!$A$6:$A$10008,$BF$2,PURCHASE!$H$6:$H$10008,$A$4:$A$2700)</f>
        <v>0</v>
      </c>
      <c r="BH236" s="512">
        <f>SUMIFS(PURCHASE!$L$6:$L$10008,PURCHASE!$A$6:$A$10008,$BF$2,PURCHASE!$H$6:$H$10008,$A$4:$A$2700)</f>
        <v>0</v>
      </c>
      <c r="BI236" s="512">
        <f>SUMIFS(PURCHASE!$M$6:$M$10008,PURCHASE!$A$6:$A$10008,$BF$2,PURCHASE!$H$6:$H$10008,$A$4:$A$2700)</f>
        <v>0</v>
      </c>
      <c r="BJ236" s="512">
        <f>SUMIFS(PURCHASE!$N$6:$N$10008,PURCHASE!$A$6:$A$10008,$BF$2,PURCHASE!$H$6:$H$10008,$A$4:$A$2700)</f>
        <v>0</v>
      </c>
      <c r="BK236" s="72">
        <f t="shared" si="75"/>
        <v>2542.3999999999996</v>
      </c>
      <c r="BL236" s="72">
        <f t="shared" si="76"/>
        <v>2270</v>
      </c>
      <c r="BM236" s="72">
        <f t="shared" si="77"/>
        <v>0</v>
      </c>
      <c r="BN236" s="72">
        <f t="shared" si="78"/>
        <v>136.19999999999999</v>
      </c>
      <c r="BO236" s="72">
        <f t="shared" si="79"/>
        <v>136.19999999999999</v>
      </c>
    </row>
    <row r="237" spans="1:67" x14ac:dyDescent="0.2">
      <c r="A237" s="511">
        <v>96091000</v>
      </c>
      <c r="B237" s="467" t="s">
        <v>1351</v>
      </c>
      <c r="C237" s="512">
        <f t="shared" si="62"/>
        <v>0</v>
      </c>
      <c r="D237" s="512">
        <f>SUMIFS(PURCHASE!$K$6:$K$10008,PURCHASE!$A$6:$A$10008,$M$2,PURCHASE!$H$6:$H$10008,$A$4:$A$2700)</f>
        <v>0</v>
      </c>
      <c r="E237" s="512">
        <f>SUMIFS(PURCHASE!$L$6:$L$10008,PURCHASE!$A$6:$A$10008,$M$2,PURCHASE!$H$6:$H$10008,$A$4:$A$2700)</f>
        <v>0</v>
      </c>
      <c r="F237" s="512">
        <f>SUMIFS(PURCHASE!$M$6:$M$10008,PURCHASE!$A$6:$A$10008,$M$2,PURCHASE!$H$6:$H$10008,$A$4:$A$2700)</f>
        <v>0</v>
      </c>
      <c r="G237" s="512">
        <f>SUMIFS(PURCHASE!$N$6:$N$10008,PURCHASE!$A$6:$A$10008,$M$2,PURCHASE!$H$6:$H$10008,$A$4:$A$2700)</f>
        <v>0</v>
      </c>
      <c r="H237" s="512">
        <f t="shared" si="63"/>
        <v>0</v>
      </c>
      <c r="I237" s="512">
        <f>SUMIFS(PURCHASE!$K$6:$K$10008,PURCHASE!$A$6:$A$10008,$H$2,PURCHASE!$H$6:$H$10008,$A$4:$A$2700)</f>
        <v>0</v>
      </c>
      <c r="J237" s="512">
        <f>SUMIFS(PURCHASE!$L$6:$L$10008,PURCHASE!$A$6:$A$10008,$H$2,PURCHASE!$H$6:$H$10008,$A$4:$A$2700)</f>
        <v>0</v>
      </c>
      <c r="K237" s="512">
        <f>SUMIFS(PURCHASE!$M$6:$M$10008,PURCHASE!$A$6:$A$10008,$H$2,PURCHASE!$H$6:$H$10008,$A$4:$A$2700)</f>
        <v>0</v>
      </c>
      <c r="L237" s="512">
        <f>SUMIFS(PURCHASE!$N$6:$N$10008,PURCHASE!$A$6:$A$10008,$H$2,PURCHASE!$H$6:$H$10008,$A$4:$A$2700)</f>
        <v>0</v>
      </c>
      <c r="M237" s="512">
        <f t="shared" si="64"/>
        <v>0</v>
      </c>
      <c r="N237" s="512">
        <f>SUMIFS(PURCHASE!$K$6:$K$10008,PURCHASE!$A$6:$A$10008,$M$2,PURCHASE!$H$6:$H$10008,$A$4:$A$2700)</f>
        <v>0</v>
      </c>
      <c r="O237" s="512">
        <f>SUMIFS(PURCHASE!$L$6:$L$10008,PURCHASE!$A$6:$A$10008,$M$2,PURCHASE!$H$6:$H$10008,$A$4:$A$2700)</f>
        <v>0</v>
      </c>
      <c r="P237" s="512">
        <f>SUMIFS(PURCHASE!$M$6:$M$10008,PURCHASE!$A$6:$A$10008,$M$2,PURCHASE!$H$6:$H$10008,$A$4:$A$2700)</f>
        <v>0</v>
      </c>
      <c r="Q237" s="512">
        <f>SUMIFS(PURCHASE!$N$6:$N$10008,PURCHASE!$A$6:$A$10008,$M$2,PURCHASE!$H$6:$H$10008,$A$4:$A$2700)</f>
        <v>0</v>
      </c>
      <c r="R237" s="512">
        <f t="shared" si="65"/>
        <v>0</v>
      </c>
      <c r="S237" s="512">
        <f>SUMIFS(PURCHASE!$K$6:$K$10008,PURCHASE!$A$6:$A$10008,$R$2,PURCHASE!$H$6:$H$10008,$A$4:$A$2700)</f>
        <v>0</v>
      </c>
      <c r="T237" s="512">
        <f>SUMIFS(PURCHASE!$L$6:$L$10008,PURCHASE!$A$6:$A$10008,$R$2,PURCHASE!$H$6:$H$10008,$A$4:$A$2700)</f>
        <v>0</v>
      </c>
      <c r="U237" s="512">
        <f>SUMIFS(PURCHASE!$M$6:$M$10008,PURCHASE!$A$6:$A$10008,$R$2,PURCHASE!$H$6:$H$10008,$A$4:$A$2700)</f>
        <v>0</v>
      </c>
      <c r="V237" s="512">
        <f>SUMIFS(PURCHASE!$N$6:$N$10008,PURCHASE!$A$6:$A$10008,$R$2,PURCHASE!$H$6:$H$10008,$A$4:$A$2700)</f>
        <v>0</v>
      </c>
      <c r="W237" s="512">
        <f t="shared" si="66"/>
        <v>0</v>
      </c>
      <c r="X237" s="512">
        <f>SUMIFS(PURCHASE!$K$6:$K$10008,PURCHASE!$A$6:$A$10008,$W$2,PURCHASE!$H$6:$H$10008,$A$4:$A$2700)</f>
        <v>0</v>
      </c>
      <c r="Y237" s="512">
        <f>SUMIFS(PURCHASE!$L$6:$L$10008,PURCHASE!$A$6:$A$10008,$W$2,PURCHASE!$H$6:$H$10008,$A$4:$A$2700)</f>
        <v>0</v>
      </c>
      <c r="Z237" s="512">
        <f>SUMIFS(PURCHASE!$M$6:$M$10008,PURCHASE!$A$6:$A$10008,$W$2,PURCHASE!$H$6:$H$10008,$A$4:$A$2700)</f>
        <v>0</v>
      </c>
      <c r="AA237" s="512">
        <f>SUMIFS(PURCHASE!$N$6:$N$10008,PURCHASE!$A$6:$A$10008,$W$2,PURCHASE!$H$6:$H$10008,$A$4:$A$2700)</f>
        <v>0</v>
      </c>
      <c r="AB237" s="512">
        <f t="shared" si="67"/>
        <v>0</v>
      </c>
      <c r="AC237" s="512">
        <f>SUMIFS(PURCHASE!$K$6:$K$10008,PURCHASE!$A$6:$A$10008,$AB$2,PURCHASE!$H$6:$H$10008,$A$4:$A$2700)</f>
        <v>0</v>
      </c>
      <c r="AD237" s="512">
        <f>SUMIFS(PURCHASE!$L$6:$L$10008,PURCHASE!$A$6:$A$10008,$AB$2,PURCHASE!$H$6:$H$10008,$A$4:$A$2700)</f>
        <v>0</v>
      </c>
      <c r="AE237" s="512">
        <f>SUMIFS(PURCHASE!$M$6:$M$10008,PURCHASE!$A$6:$A$10008,$AB$2,PURCHASE!$H$6:$H$10008,$A$4:$A$2700)</f>
        <v>0</v>
      </c>
      <c r="AF237" s="512">
        <f>SUMIFS(PURCHASE!$N$6:$N$10008,PURCHASE!$A$6:$A$10008,$AB$2,PURCHASE!$H$6:$H$10008,$A$4:$A$2700)</f>
        <v>0</v>
      </c>
      <c r="AG237" s="512">
        <f t="shared" si="68"/>
        <v>0</v>
      </c>
      <c r="AH237" s="512">
        <f>SUMIFS(PURCHASE!$K$6:$K$10008,PURCHASE!$A$6:$A$10008,$AG$2,PURCHASE!$H$6:$H$10008,$A$4:$A$2700)</f>
        <v>0</v>
      </c>
      <c r="AI237" s="512">
        <f>SUMIFS(PURCHASE!$L$6:$L$10008,PURCHASE!$A$6:$A$10008,$AG$2,PURCHASE!$H$6:$H$10008,$A$4:$A$2700)</f>
        <v>0</v>
      </c>
      <c r="AJ237" s="512">
        <f>SUMIFS(PURCHASE!$M$6:$M$10008,PURCHASE!$A$6:$A$10008,$AG$2,PURCHASE!$H$6:$H$10008,$A$4:$A$2700)</f>
        <v>0</v>
      </c>
      <c r="AK237" s="512">
        <f>SUMIFS(PURCHASE!$N$6:$N$10008,PURCHASE!$A$6:$A$10008,$AG$2,PURCHASE!$H$6:$H$10008,$A$4:$A$2700)</f>
        <v>0</v>
      </c>
      <c r="AL237" s="512">
        <f t="shared" si="69"/>
        <v>0</v>
      </c>
      <c r="AM237" s="512">
        <f>SUMIFS(PURCHASE!$K$6:$K$10008,PURCHASE!$A$6:$A$10008,$AL$2,PURCHASE!$H$6:$H$10008,$A$4:$A$2700)</f>
        <v>0</v>
      </c>
      <c r="AN237" s="512">
        <f>SUMIFS(PURCHASE!$L$6:$L$10008,PURCHASE!$A$6:$A$10008,$AL$2,PURCHASE!$H$6:$H$10008,$A$4:$A$2700)</f>
        <v>0</v>
      </c>
      <c r="AO237" s="512">
        <f>SUMIFS(PURCHASE!$M$6:$M$10008,PURCHASE!$A$6:$A$10008,$AL$2,PURCHASE!$H$6:$H$10008,$A$4:$A$2700)</f>
        <v>0</v>
      </c>
      <c r="AP237" s="512">
        <f>SUMIFS(PURCHASE!$N$6:$N$10008,PURCHASE!$A$6:$A$10008,$AL$2,PURCHASE!$H$6:$H$10008,$A$4:$A$2700)</f>
        <v>0</v>
      </c>
      <c r="AQ237" s="512">
        <f t="shared" si="70"/>
        <v>0</v>
      </c>
      <c r="AR237" s="512">
        <f>SUMIFS(PURCHASE!$K$6:$K$10008,PURCHASE!$A$6:$A$10008,$AQ$2,PURCHASE!$H$6:$H$10008,$A$4:$A$2700)</f>
        <v>0</v>
      </c>
      <c r="AS237" s="512">
        <f>SUMIFS(PURCHASE!$L$6:$L$10008,PURCHASE!$A$6:$A$10008,$AQ$2,PURCHASE!$H$6:$H$10008,$A$4:$A$2700)</f>
        <v>0</v>
      </c>
      <c r="AT237" s="512">
        <f>SUMIFS(PURCHASE!$M$6:$M$10008,PURCHASE!$A$6:$A$10008,$AQ$2,PURCHASE!$H$6:$H$10008,$A$4:$A$2700)</f>
        <v>0</v>
      </c>
      <c r="AU237" s="512">
        <f>SUMIFS(PURCHASE!$N$6:$N$10008,PURCHASE!$A$6:$A$10008,$AQ$2,PURCHASE!$H$6:$H$10008,$A$4:$A$2700)</f>
        <v>0</v>
      </c>
      <c r="AV237" s="512">
        <f t="shared" si="71"/>
        <v>0</v>
      </c>
      <c r="AW237" s="512">
        <f>SUMIFS(PURCHASE!$K$6:$K$10008,PURCHASE!$A$6:$A$10008,$AV$2,PURCHASE!$H$6:$H$10008,$A$4:$A$2700)</f>
        <v>0</v>
      </c>
      <c r="AX237" s="512">
        <f>SUMIFS(PURCHASE!$L$6:$L$10008,PURCHASE!$A$6:$A$10008,$AV$2,PURCHASE!$H$6:$H$10008,$A$4:$A$2700)</f>
        <v>0</v>
      </c>
      <c r="AY237" s="512">
        <f>SUMIFS(PURCHASE!$M$6:$M$10008,PURCHASE!$A$6:$A$10008,$AV$2,PURCHASE!$H$6:$H$10008,$A$4:$A$2700)</f>
        <v>0</v>
      </c>
      <c r="AZ237" s="512">
        <f>SUMIFS(PURCHASE!$N$6:$N$10008,PURCHASE!$A$6:$A$10008,$AV$2,PURCHASE!$H$6:$H$10008,$A$4:$A$2700)</f>
        <v>0</v>
      </c>
      <c r="BA237" s="512">
        <f t="shared" si="72"/>
        <v>0</v>
      </c>
      <c r="BB237" s="512">
        <f>SUMIFS(PURCHASE!$K$6:$K$10008,PURCHASE!$A$6:$A$10008,$BA$2,PURCHASE!$H$6:$H$10008,$A$4:$A$2700)</f>
        <v>0</v>
      </c>
      <c r="BC237" s="512">
        <f>SUMIFS(PURCHASE!$L$6:$L$10008,PURCHASE!$A$6:$A$10008,$BA$2,PURCHASE!$H$6:$H$10008,$A$4:$A$2700)</f>
        <v>0</v>
      </c>
      <c r="BD237" s="512">
        <f>SUMIFS(PURCHASE!$M$6:$M$10008,PURCHASE!$A$6:$A$10008,$BA$2,PURCHASE!$H$6:$H$10008,$A$4:$A$2700)</f>
        <v>0</v>
      </c>
      <c r="BE237" s="512">
        <f>SUMIFS(PURCHASE!$N$6:$N$10008,PURCHASE!$A$6:$A$10008,$BA$2,PURCHASE!$H$6:$H$10008,$A$4:$A$2700)</f>
        <v>0</v>
      </c>
      <c r="BF237" s="512">
        <f t="shared" si="73"/>
        <v>0</v>
      </c>
      <c r="BG237" s="512">
        <f>SUMIFS(PURCHASE!$K$6:$K$10008,PURCHASE!$A$6:$A$10008,$BF$2,PURCHASE!$H$6:$H$10008,$A$4:$A$2700)</f>
        <v>0</v>
      </c>
      <c r="BH237" s="512">
        <f>SUMIFS(PURCHASE!$L$6:$L$10008,PURCHASE!$A$6:$A$10008,$BF$2,PURCHASE!$H$6:$H$10008,$A$4:$A$2700)</f>
        <v>0</v>
      </c>
      <c r="BI237" s="512">
        <f>SUMIFS(PURCHASE!$M$6:$M$10008,PURCHASE!$A$6:$A$10008,$BF$2,PURCHASE!$H$6:$H$10008,$A$4:$A$2700)</f>
        <v>0</v>
      </c>
      <c r="BJ237" s="512">
        <f>SUMIFS(PURCHASE!$N$6:$N$10008,PURCHASE!$A$6:$A$10008,$BF$2,PURCHASE!$H$6:$H$10008,$A$4:$A$2700)</f>
        <v>0</v>
      </c>
      <c r="BK237" s="72">
        <f t="shared" si="75"/>
        <v>0</v>
      </c>
      <c r="BL237" s="72">
        <f t="shared" si="76"/>
        <v>0</v>
      </c>
      <c r="BM237" s="72">
        <f t="shared" si="77"/>
        <v>0</v>
      </c>
      <c r="BN237" s="72">
        <f t="shared" si="78"/>
        <v>0</v>
      </c>
      <c r="BO237" s="72">
        <f t="shared" si="79"/>
        <v>0</v>
      </c>
    </row>
    <row r="238" spans="1:67" x14ac:dyDescent="0.2">
      <c r="A238" s="511">
        <v>4016932003</v>
      </c>
      <c r="B238" s="500" t="s">
        <v>1243</v>
      </c>
      <c r="C238" s="512">
        <f t="shared" si="62"/>
        <v>0</v>
      </c>
      <c r="D238" s="512">
        <f>SUMIFS(PURCHASE!$K$6:$K$10008,PURCHASE!$A$6:$A$10008,$M$2,PURCHASE!$H$6:$H$10008,$A$4:$A$2700)</f>
        <v>0</v>
      </c>
      <c r="E238" s="512">
        <f>SUMIFS(PURCHASE!$L$6:$L$10008,PURCHASE!$A$6:$A$10008,$M$2,PURCHASE!$H$6:$H$10008,$A$4:$A$2700)</f>
        <v>0</v>
      </c>
      <c r="F238" s="512">
        <f>SUMIFS(PURCHASE!$M$6:$M$10008,PURCHASE!$A$6:$A$10008,$M$2,PURCHASE!$H$6:$H$10008,$A$4:$A$2700)</f>
        <v>0</v>
      </c>
      <c r="G238" s="512">
        <f>SUMIFS(PURCHASE!$N$6:$N$10008,PURCHASE!$A$6:$A$10008,$M$2,PURCHASE!$H$6:$H$10008,$A$4:$A$2700)</f>
        <v>0</v>
      </c>
      <c r="H238" s="512">
        <f t="shared" si="63"/>
        <v>0</v>
      </c>
      <c r="I238" s="512">
        <f>SUMIFS(PURCHASE!$K$6:$K$10008,PURCHASE!$A$6:$A$10008,$H$2,PURCHASE!$H$6:$H$10008,$A$4:$A$2700)</f>
        <v>0</v>
      </c>
      <c r="J238" s="512">
        <f>SUMIFS(PURCHASE!$L$6:$L$10008,PURCHASE!$A$6:$A$10008,$H$2,PURCHASE!$H$6:$H$10008,$A$4:$A$2700)</f>
        <v>0</v>
      </c>
      <c r="K238" s="512">
        <f>SUMIFS(PURCHASE!$M$6:$M$10008,PURCHASE!$A$6:$A$10008,$H$2,PURCHASE!$H$6:$H$10008,$A$4:$A$2700)</f>
        <v>0</v>
      </c>
      <c r="L238" s="512">
        <f>SUMIFS(PURCHASE!$N$6:$N$10008,PURCHASE!$A$6:$A$10008,$H$2,PURCHASE!$H$6:$H$10008,$A$4:$A$2700)</f>
        <v>0</v>
      </c>
      <c r="M238" s="512">
        <f t="shared" si="64"/>
        <v>0</v>
      </c>
      <c r="N238" s="512">
        <f>SUMIFS(PURCHASE!$K$6:$K$10008,PURCHASE!$A$6:$A$10008,$M$2,PURCHASE!$H$6:$H$10008,$A$4:$A$2700)</f>
        <v>0</v>
      </c>
      <c r="O238" s="512">
        <f>SUMIFS(PURCHASE!$L$6:$L$10008,PURCHASE!$A$6:$A$10008,$M$2,PURCHASE!$H$6:$H$10008,$A$4:$A$2700)</f>
        <v>0</v>
      </c>
      <c r="P238" s="512">
        <f>SUMIFS(PURCHASE!$M$6:$M$10008,PURCHASE!$A$6:$A$10008,$M$2,PURCHASE!$H$6:$H$10008,$A$4:$A$2700)</f>
        <v>0</v>
      </c>
      <c r="Q238" s="512">
        <f>SUMIFS(PURCHASE!$N$6:$N$10008,PURCHASE!$A$6:$A$10008,$M$2,PURCHASE!$H$6:$H$10008,$A$4:$A$2700)</f>
        <v>0</v>
      </c>
      <c r="R238" s="512">
        <f t="shared" si="65"/>
        <v>0</v>
      </c>
      <c r="S238" s="512">
        <f>SUMIFS(PURCHASE!$K$6:$K$10008,PURCHASE!$A$6:$A$10008,$R$2,PURCHASE!$H$6:$H$10008,$A$4:$A$2700)</f>
        <v>0</v>
      </c>
      <c r="T238" s="512">
        <f>SUMIFS(PURCHASE!$L$6:$L$10008,PURCHASE!$A$6:$A$10008,$R$2,PURCHASE!$H$6:$H$10008,$A$4:$A$2700)</f>
        <v>0</v>
      </c>
      <c r="U238" s="512">
        <f>SUMIFS(PURCHASE!$M$6:$M$10008,PURCHASE!$A$6:$A$10008,$R$2,PURCHASE!$H$6:$H$10008,$A$4:$A$2700)</f>
        <v>0</v>
      </c>
      <c r="V238" s="512">
        <f>SUMIFS(PURCHASE!$N$6:$N$10008,PURCHASE!$A$6:$A$10008,$R$2,PURCHASE!$H$6:$H$10008,$A$4:$A$2700)</f>
        <v>0</v>
      </c>
      <c r="W238" s="512">
        <f t="shared" si="66"/>
        <v>0</v>
      </c>
      <c r="X238" s="512">
        <f>SUMIFS(PURCHASE!$K$6:$K$10008,PURCHASE!$A$6:$A$10008,$W$2,PURCHASE!$H$6:$H$10008,$A$4:$A$2700)</f>
        <v>0</v>
      </c>
      <c r="Y238" s="512">
        <f>SUMIFS(PURCHASE!$L$6:$L$10008,PURCHASE!$A$6:$A$10008,$W$2,PURCHASE!$H$6:$H$10008,$A$4:$A$2700)</f>
        <v>0</v>
      </c>
      <c r="Z238" s="512">
        <f>SUMIFS(PURCHASE!$M$6:$M$10008,PURCHASE!$A$6:$A$10008,$W$2,PURCHASE!$H$6:$H$10008,$A$4:$A$2700)</f>
        <v>0</v>
      </c>
      <c r="AA238" s="512">
        <f>SUMIFS(PURCHASE!$N$6:$N$10008,PURCHASE!$A$6:$A$10008,$W$2,PURCHASE!$H$6:$H$10008,$A$4:$A$2700)</f>
        <v>0</v>
      </c>
      <c r="AB238" s="512">
        <f t="shared" si="67"/>
        <v>0</v>
      </c>
      <c r="AC238" s="512">
        <f>SUMIFS(PURCHASE!$K$6:$K$10008,PURCHASE!$A$6:$A$10008,$AB$2,PURCHASE!$H$6:$H$10008,$A$4:$A$2700)</f>
        <v>0</v>
      </c>
      <c r="AD238" s="512">
        <f>SUMIFS(PURCHASE!$L$6:$L$10008,PURCHASE!$A$6:$A$10008,$AB$2,PURCHASE!$H$6:$H$10008,$A$4:$A$2700)</f>
        <v>0</v>
      </c>
      <c r="AE238" s="512">
        <f>SUMIFS(PURCHASE!$M$6:$M$10008,PURCHASE!$A$6:$A$10008,$AB$2,PURCHASE!$H$6:$H$10008,$A$4:$A$2700)</f>
        <v>0</v>
      </c>
      <c r="AF238" s="512">
        <f>SUMIFS(PURCHASE!$N$6:$N$10008,PURCHASE!$A$6:$A$10008,$AB$2,PURCHASE!$H$6:$H$10008,$A$4:$A$2700)</f>
        <v>0</v>
      </c>
      <c r="AG238" s="512">
        <f t="shared" si="68"/>
        <v>0</v>
      </c>
      <c r="AH238" s="512">
        <f>SUMIFS(PURCHASE!$K$6:$K$10008,PURCHASE!$A$6:$A$10008,$AG$2,PURCHASE!$H$6:$H$10008,$A$4:$A$2700)</f>
        <v>0</v>
      </c>
      <c r="AI238" s="512">
        <f>SUMIFS(PURCHASE!$L$6:$L$10008,PURCHASE!$A$6:$A$10008,$AG$2,PURCHASE!$H$6:$H$10008,$A$4:$A$2700)</f>
        <v>0</v>
      </c>
      <c r="AJ238" s="512">
        <f>SUMIFS(PURCHASE!$M$6:$M$10008,PURCHASE!$A$6:$A$10008,$AG$2,PURCHASE!$H$6:$H$10008,$A$4:$A$2700)</f>
        <v>0</v>
      </c>
      <c r="AK238" s="512">
        <f>SUMIFS(PURCHASE!$N$6:$N$10008,PURCHASE!$A$6:$A$10008,$AG$2,PURCHASE!$H$6:$H$10008,$A$4:$A$2700)</f>
        <v>0</v>
      </c>
      <c r="AL238" s="512">
        <f t="shared" si="69"/>
        <v>0</v>
      </c>
      <c r="AM238" s="512">
        <f>SUMIFS(PURCHASE!$K$6:$K$10008,PURCHASE!$A$6:$A$10008,$AL$2,PURCHASE!$H$6:$H$10008,$A$4:$A$2700)</f>
        <v>0</v>
      </c>
      <c r="AN238" s="512">
        <f>SUMIFS(PURCHASE!$L$6:$L$10008,PURCHASE!$A$6:$A$10008,$AL$2,PURCHASE!$H$6:$H$10008,$A$4:$A$2700)</f>
        <v>0</v>
      </c>
      <c r="AO238" s="512">
        <f>SUMIFS(PURCHASE!$M$6:$M$10008,PURCHASE!$A$6:$A$10008,$AL$2,PURCHASE!$H$6:$H$10008,$A$4:$A$2700)</f>
        <v>0</v>
      </c>
      <c r="AP238" s="512">
        <f>SUMIFS(PURCHASE!$N$6:$N$10008,PURCHASE!$A$6:$A$10008,$AL$2,PURCHASE!$H$6:$H$10008,$A$4:$A$2700)</f>
        <v>0</v>
      </c>
      <c r="AQ238" s="512">
        <f t="shared" si="70"/>
        <v>0</v>
      </c>
      <c r="AR238" s="512">
        <f>SUMIFS(PURCHASE!$K$6:$K$10008,PURCHASE!$A$6:$A$10008,$AQ$2,PURCHASE!$H$6:$H$10008,$A$4:$A$2700)</f>
        <v>0</v>
      </c>
      <c r="AS238" s="512">
        <f>SUMIFS(PURCHASE!$L$6:$L$10008,PURCHASE!$A$6:$A$10008,$AQ$2,PURCHASE!$H$6:$H$10008,$A$4:$A$2700)</f>
        <v>0</v>
      </c>
      <c r="AT238" s="512">
        <f>SUMIFS(PURCHASE!$M$6:$M$10008,PURCHASE!$A$6:$A$10008,$AQ$2,PURCHASE!$H$6:$H$10008,$A$4:$A$2700)</f>
        <v>0</v>
      </c>
      <c r="AU238" s="512">
        <f>SUMIFS(PURCHASE!$N$6:$N$10008,PURCHASE!$A$6:$A$10008,$AQ$2,PURCHASE!$H$6:$H$10008,$A$4:$A$2700)</f>
        <v>0</v>
      </c>
      <c r="AV238" s="512">
        <f t="shared" si="71"/>
        <v>0</v>
      </c>
      <c r="AW238" s="512">
        <f>SUMIFS(PURCHASE!$K$6:$K$10008,PURCHASE!$A$6:$A$10008,$AV$2,PURCHASE!$H$6:$H$10008,$A$4:$A$2700)</f>
        <v>0</v>
      </c>
      <c r="AX238" s="512">
        <f>SUMIFS(PURCHASE!$L$6:$L$10008,PURCHASE!$A$6:$A$10008,$AV$2,PURCHASE!$H$6:$H$10008,$A$4:$A$2700)</f>
        <v>0</v>
      </c>
      <c r="AY238" s="512">
        <f>SUMIFS(PURCHASE!$M$6:$M$10008,PURCHASE!$A$6:$A$10008,$AV$2,PURCHASE!$H$6:$H$10008,$A$4:$A$2700)</f>
        <v>0</v>
      </c>
      <c r="AZ238" s="512">
        <f>SUMIFS(PURCHASE!$N$6:$N$10008,PURCHASE!$A$6:$A$10008,$AV$2,PURCHASE!$H$6:$H$10008,$A$4:$A$2700)</f>
        <v>0</v>
      </c>
      <c r="BA238" s="512">
        <f t="shared" si="72"/>
        <v>0</v>
      </c>
      <c r="BB238" s="512">
        <f>SUMIFS(PURCHASE!$K$6:$K$10008,PURCHASE!$A$6:$A$10008,$BA$2,PURCHASE!$H$6:$H$10008,$A$4:$A$2700)</f>
        <v>0</v>
      </c>
      <c r="BC238" s="512">
        <f>SUMIFS(PURCHASE!$L$6:$L$10008,PURCHASE!$A$6:$A$10008,$BA$2,PURCHASE!$H$6:$H$10008,$A$4:$A$2700)</f>
        <v>0</v>
      </c>
      <c r="BD238" s="512">
        <f>SUMIFS(PURCHASE!$M$6:$M$10008,PURCHASE!$A$6:$A$10008,$BA$2,PURCHASE!$H$6:$H$10008,$A$4:$A$2700)</f>
        <v>0</v>
      </c>
      <c r="BE238" s="512">
        <f>SUMIFS(PURCHASE!$N$6:$N$10008,PURCHASE!$A$6:$A$10008,$BA$2,PURCHASE!$H$6:$H$10008,$A$4:$A$2700)</f>
        <v>0</v>
      </c>
      <c r="BF238" s="512">
        <f t="shared" si="73"/>
        <v>0</v>
      </c>
      <c r="BG238" s="512">
        <f>SUMIFS(PURCHASE!$K$6:$K$10008,PURCHASE!$A$6:$A$10008,$BF$2,PURCHASE!$H$6:$H$10008,$A$4:$A$2700)</f>
        <v>0</v>
      </c>
      <c r="BH238" s="512">
        <f>SUMIFS(PURCHASE!$L$6:$L$10008,PURCHASE!$A$6:$A$10008,$BF$2,PURCHASE!$H$6:$H$10008,$A$4:$A$2700)</f>
        <v>0</v>
      </c>
      <c r="BI238" s="512">
        <f>SUMIFS(PURCHASE!$M$6:$M$10008,PURCHASE!$A$6:$A$10008,$BF$2,PURCHASE!$H$6:$H$10008,$A$4:$A$2700)</f>
        <v>0</v>
      </c>
      <c r="BJ238" s="512">
        <f>SUMIFS(PURCHASE!$N$6:$N$10008,PURCHASE!$A$6:$A$10008,$BF$2,PURCHASE!$H$6:$H$10008,$A$4:$A$2700)</f>
        <v>0</v>
      </c>
      <c r="BK238" s="72">
        <f t="shared" si="75"/>
        <v>0</v>
      </c>
      <c r="BL238" s="72">
        <f t="shared" si="76"/>
        <v>0</v>
      </c>
      <c r="BM238" s="72">
        <f t="shared" si="77"/>
        <v>0</v>
      </c>
      <c r="BN238" s="72">
        <f t="shared" si="78"/>
        <v>0</v>
      </c>
      <c r="BO238" s="72">
        <f t="shared" si="79"/>
        <v>0</v>
      </c>
    </row>
    <row r="239" spans="1:67" x14ac:dyDescent="0.2">
      <c r="A239" s="511" t="s">
        <v>1352</v>
      </c>
      <c r="B239" s="467" t="s">
        <v>1268</v>
      </c>
      <c r="C239" s="512">
        <f t="shared" si="62"/>
        <v>0</v>
      </c>
      <c r="D239" s="512">
        <f>SUMIFS(PURCHASE!$K$6:$K$10008,PURCHASE!$A$6:$A$10008,$M$2,PURCHASE!$H$6:$H$10008,$A$4:$A$2700)</f>
        <v>0</v>
      </c>
      <c r="E239" s="512">
        <f>SUMIFS(PURCHASE!$L$6:$L$10008,PURCHASE!$A$6:$A$10008,$M$2,PURCHASE!$H$6:$H$10008,$A$4:$A$2700)</f>
        <v>0</v>
      </c>
      <c r="F239" s="512">
        <f>SUMIFS(PURCHASE!$M$6:$M$10008,PURCHASE!$A$6:$A$10008,$M$2,PURCHASE!$H$6:$H$10008,$A$4:$A$2700)</f>
        <v>0</v>
      </c>
      <c r="G239" s="512">
        <f>SUMIFS(PURCHASE!$N$6:$N$10008,PURCHASE!$A$6:$A$10008,$M$2,PURCHASE!$H$6:$H$10008,$A$4:$A$2700)</f>
        <v>0</v>
      </c>
      <c r="H239" s="512">
        <f t="shared" si="63"/>
        <v>0</v>
      </c>
      <c r="I239" s="512">
        <f>SUMIFS(PURCHASE!$K$6:$K$10008,PURCHASE!$A$6:$A$10008,$H$2,PURCHASE!$H$6:$H$10008,$A$4:$A$2700)</f>
        <v>0</v>
      </c>
      <c r="J239" s="512">
        <f>SUMIFS(PURCHASE!$L$6:$L$10008,PURCHASE!$A$6:$A$10008,$H$2,PURCHASE!$H$6:$H$10008,$A$4:$A$2700)</f>
        <v>0</v>
      </c>
      <c r="K239" s="512">
        <f>SUMIFS(PURCHASE!$M$6:$M$10008,PURCHASE!$A$6:$A$10008,$H$2,PURCHASE!$H$6:$H$10008,$A$4:$A$2700)</f>
        <v>0</v>
      </c>
      <c r="L239" s="512">
        <f>SUMIFS(PURCHASE!$N$6:$N$10008,PURCHASE!$A$6:$A$10008,$H$2,PURCHASE!$H$6:$H$10008,$A$4:$A$2700)</f>
        <v>0</v>
      </c>
      <c r="M239" s="512">
        <f t="shared" si="64"/>
        <v>0</v>
      </c>
      <c r="N239" s="512">
        <f>SUMIFS(PURCHASE!$K$6:$K$10008,PURCHASE!$A$6:$A$10008,$M$2,PURCHASE!$H$6:$H$10008,$A$4:$A$2700)</f>
        <v>0</v>
      </c>
      <c r="O239" s="512">
        <f>SUMIFS(PURCHASE!$L$6:$L$10008,PURCHASE!$A$6:$A$10008,$M$2,PURCHASE!$H$6:$H$10008,$A$4:$A$2700)</f>
        <v>0</v>
      </c>
      <c r="P239" s="512">
        <f>SUMIFS(PURCHASE!$M$6:$M$10008,PURCHASE!$A$6:$A$10008,$M$2,PURCHASE!$H$6:$H$10008,$A$4:$A$2700)</f>
        <v>0</v>
      </c>
      <c r="Q239" s="512">
        <f>SUMIFS(PURCHASE!$N$6:$N$10008,PURCHASE!$A$6:$A$10008,$M$2,PURCHASE!$H$6:$H$10008,$A$4:$A$2700)</f>
        <v>0</v>
      </c>
      <c r="R239" s="512">
        <f t="shared" si="65"/>
        <v>0</v>
      </c>
      <c r="S239" s="512">
        <f>SUMIFS(PURCHASE!$K$6:$K$10008,PURCHASE!$A$6:$A$10008,$R$2,PURCHASE!$H$6:$H$10008,$A$4:$A$2700)</f>
        <v>0</v>
      </c>
      <c r="T239" s="512">
        <f>SUMIFS(PURCHASE!$L$6:$L$10008,PURCHASE!$A$6:$A$10008,$R$2,PURCHASE!$H$6:$H$10008,$A$4:$A$2700)</f>
        <v>0</v>
      </c>
      <c r="U239" s="512">
        <f>SUMIFS(PURCHASE!$M$6:$M$10008,PURCHASE!$A$6:$A$10008,$R$2,PURCHASE!$H$6:$H$10008,$A$4:$A$2700)</f>
        <v>0</v>
      </c>
      <c r="V239" s="512">
        <f>SUMIFS(PURCHASE!$N$6:$N$10008,PURCHASE!$A$6:$A$10008,$R$2,PURCHASE!$H$6:$H$10008,$A$4:$A$2700)</f>
        <v>0</v>
      </c>
      <c r="W239" s="512">
        <f t="shared" si="66"/>
        <v>0</v>
      </c>
      <c r="X239" s="512">
        <f>SUMIFS(PURCHASE!$K$6:$K$10008,PURCHASE!$A$6:$A$10008,$W$2,PURCHASE!$H$6:$H$10008,$A$4:$A$2700)</f>
        <v>0</v>
      </c>
      <c r="Y239" s="512">
        <f>SUMIFS(PURCHASE!$L$6:$L$10008,PURCHASE!$A$6:$A$10008,$W$2,PURCHASE!$H$6:$H$10008,$A$4:$A$2700)</f>
        <v>0</v>
      </c>
      <c r="Z239" s="512">
        <f>SUMIFS(PURCHASE!$M$6:$M$10008,PURCHASE!$A$6:$A$10008,$W$2,PURCHASE!$H$6:$H$10008,$A$4:$A$2700)</f>
        <v>0</v>
      </c>
      <c r="AA239" s="512">
        <f>SUMIFS(PURCHASE!$N$6:$N$10008,PURCHASE!$A$6:$A$10008,$W$2,PURCHASE!$H$6:$H$10008,$A$4:$A$2700)</f>
        <v>0</v>
      </c>
      <c r="AB239" s="512">
        <f t="shared" si="67"/>
        <v>0</v>
      </c>
      <c r="AC239" s="512">
        <f>SUMIFS(PURCHASE!$K$6:$K$10008,PURCHASE!$A$6:$A$10008,$AB$2,PURCHASE!$H$6:$H$10008,$A$4:$A$2700)</f>
        <v>0</v>
      </c>
      <c r="AD239" s="512">
        <f>SUMIFS(PURCHASE!$L$6:$L$10008,PURCHASE!$A$6:$A$10008,$AB$2,PURCHASE!$H$6:$H$10008,$A$4:$A$2700)</f>
        <v>0</v>
      </c>
      <c r="AE239" s="512">
        <f>SUMIFS(PURCHASE!$M$6:$M$10008,PURCHASE!$A$6:$A$10008,$AB$2,PURCHASE!$H$6:$H$10008,$A$4:$A$2700)</f>
        <v>0</v>
      </c>
      <c r="AF239" s="512">
        <f>SUMIFS(PURCHASE!$N$6:$N$10008,PURCHASE!$A$6:$A$10008,$AB$2,PURCHASE!$H$6:$H$10008,$A$4:$A$2700)</f>
        <v>0</v>
      </c>
      <c r="AG239" s="512">
        <f t="shared" si="68"/>
        <v>0</v>
      </c>
      <c r="AH239" s="512">
        <f>SUMIFS(PURCHASE!$K$6:$K$10008,PURCHASE!$A$6:$A$10008,$AG$2,PURCHASE!$H$6:$H$10008,$A$4:$A$2700)</f>
        <v>0</v>
      </c>
      <c r="AI239" s="512">
        <f>SUMIFS(PURCHASE!$L$6:$L$10008,PURCHASE!$A$6:$A$10008,$AG$2,PURCHASE!$H$6:$H$10008,$A$4:$A$2700)</f>
        <v>0</v>
      </c>
      <c r="AJ239" s="512">
        <f>SUMIFS(PURCHASE!$M$6:$M$10008,PURCHASE!$A$6:$A$10008,$AG$2,PURCHASE!$H$6:$H$10008,$A$4:$A$2700)</f>
        <v>0</v>
      </c>
      <c r="AK239" s="512">
        <f>SUMIFS(PURCHASE!$N$6:$N$10008,PURCHASE!$A$6:$A$10008,$AG$2,PURCHASE!$H$6:$H$10008,$A$4:$A$2700)</f>
        <v>0</v>
      </c>
      <c r="AL239" s="512">
        <f t="shared" si="69"/>
        <v>0</v>
      </c>
      <c r="AM239" s="512">
        <f>SUMIFS(PURCHASE!$K$6:$K$10008,PURCHASE!$A$6:$A$10008,$AL$2,PURCHASE!$H$6:$H$10008,$A$4:$A$2700)</f>
        <v>0</v>
      </c>
      <c r="AN239" s="512">
        <f>SUMIFS(PURCHASE!$L$6:$L$10008,PURCHASE!$A$6:$A$10008,$AL$2,PURCHASE!$H$6:$H$10008,$A$4:$A$2700)</f>
        <v>0</v>
      </c>
      <c r="AO239" s="512">
        <f>SUMIFS(PURCHASE!$M$6:$M$10008,PURCHASE!$A$6:$A$10008,$AL$2,PURCHASE!$H$6:$H$10008,$A$4:$A$2700)</f>
        <v>0</v>
      </c>
      <c r="AP239" s="512">
        <f>SUMIFS(PURCHASE!$N$6:$N$10008,PURCHASE!$A$6:$A$10008,$AL$2,PURCHASE!$H$6:$H$10008,$A$4:$A$2700)</f>
        <v>0</v>
      </c>
      <c r="AQ239" s="512">
        <f t="shared" si="70"/>
        <v>0</v>
      </c>
      <c r="AR239" s="512">
        <f>SUMIFS(PURCHASE!$K$6:$K$10008,PURCHASE!$A$6:$A$10008,$AQ$2,PURCHASE!$H$6:$H$10008,$A$4:$A$2700)</f>
        <v>0</v>
      </c>
      <c r="AS239" s="512">
        <f>SUMIFS(PURCHASE!$L$6:$L$10008,PURCHASE!$A$6:$A$10008,$AQ$2,PURCHASE!$H$6:$H$10008,$A$4:$A$2700)</f>
        <v>0</v>
      </c>
      <c r="AT239" s="512">
        <f>SUMIFS(PURCHASE!$M$6:$M$10008,PURCHASE!$A$6:$A$10008,$AQ$2,PURCHASE!$H$6:$H$10008,$A$4:$A$2700)</f>
        <v>0</v>
      </c>
      <c r="AU239" s="512">
        <f>SUMIFS(PURCHASE!$N$6:$N$10008,PURCHASE!$A$6:$A$10008,$AQ$2,PURCHASE!$H$6:$H$10008,$A$4:$A$2700)</f>
        <v>0</v>
      </c>
      <c r="AV239" s="512">
        <f t="shared" si="71"/>
        <v>0</v>
      </c>
      <c r="AW239" s="512">
        <f>SUMIFS(PURCHASE!$K$6:$K$10008,PURCHASE!$A$6:$A$10008,$AV$2,PURCHASE!$H$6:$H$10008,$A$4:$A$2700)</f>
        <v>0</v>
      </c>
      <c r="AX239" s="512">
        <f>SUMIFS(PURCHASE!$L$6:$L$10008,PURCHASE!$A$6:$A$10008,$AV$2,PURCHASE!$H$6:$H$10008,$A$4:$A$2700)</f>
        <v>0</v>
      </c>
      <c r="AY239" s="512">
        <f>SUMIFS(PURCHASE!$M$6:$M$10008,PURCHASE!$A$6:$A$10008,$AV$2,PURCHASE!$H$6:$H$10008,$A$4:$A$2700)</f>
        <v>0</v>
      </c>
      <c r="AZ239" s="512">
        <f>SUMIFS(PURCHASE!$N$6:$N$10008,PURCHASE!$A$6:$A$10008,$AV$2,PURCHASE!$H$6:$H$10008,$A$4:$A$2700)</f>
        <v>0</v>
      </c>
      <c r="BA239" s="512">
        <f t="shared" si="72"/>
        <v>0</v>
      </c>
      <c r="BB239" s="512">
        <f>SUMIFS(PURCHASE!$K$6:$K$10008,PURCHASE!$A$6:$A$10008,$BA$2,PURCHASE!$H$6:$H$10008,$A$4:$A$2700)</f>
        <v>0</v>
      </c>
      <c r="BC239" s="512">
        <f>SUMIFS(PURCHASE!$L$6:$L$10008,PURCHASE!$A$6:$A$10008,$BA$2,PURCHASE!$H$6:$H$10008,$A$4:$A$2700)</f>
        <v>0</v>
      </c>
      <c r="BD239" s="512">
        <f>SUMIFS(PURCHASE!$M$6:$M$10008,PURCHASE!$A$6:$A$10008,$BA$2,PURCHASE!$H$6:$H$10008,$A$4:$A$2700)</f>
        <v>0</v>
      </c>
      <c r="BE239" s="512">
        <f>SUMIFS(PURCHASE!$N$6:$N$10008,PURCHASE!$A$6:$A$10008,$BA$2,PURCHASE!$H$6:$H$10008,$A$4:$A$2700)</f>
        <v>0</v>
      </c>
      <c r="BF239" s="512">
        <f t="shared" si="73"/>
        <v>0</v>
      </c>
      <c r="BG239" s="512">
        <f>SUMIFS(PURCHASE!$K$6:$K$10008,PURCHASE!$A$6:$A$10008,$BF$2,PURCHASE!$H$6:$H$10008,$A$4:$A$2700)</f>
        <v>0</v>
      </c>
      <c r="BH239" s="512">
        <f>SUMIFS(PURCHASE!$L$6:$L$10008,PURCHASE!$A$6:$A$10008,$BF$2,PURCHASE!$H$6:$H$10008,$A$4:$A$2700)</f>
        <v>0</v>
      </c>
      <c r="BI239" s="512">
        <f>SUMIFS(PURCHASE!$M$6:$M$10008,PURCHASE!$A$6:$A$10008,$BF$2,PURCHASE!$H$6:$H$10008,$A$4:$A$2700)</f>
        <v>0</v>
      </c>
      <c r="BJ239" s="512">
        <f>SUMIFS(PURCHASE!$N$6:$N$10008,PURCHASE!$A$6:$A$10008,$BF$2,PURCHASE!$H$6:$H$10008,$A$4:$A$2700)</f>
        <v>0</v>
      </c>
      <c r="BK239" s="72">
        <f t="shared" si="75"/>
        <v>0</v>
      </c>
      <c r="BL239" s="72">
        <f t="shared" si="76"/>
        <v>0</v>
      </c>
      <c r="BM239" s="72">
        <f t="shared" si="77"/>
        <v>0</v>
      </c>
      <c r="BN239" s="72">
        <f t="shared" si="78"/>
        <v>0</v>
      </c>
      <c r="BO239" s="72">
        <f t="shared" si="79"/>
        <v>0</v>
      </c>
    </row>
    <row r="240" spans="1:67" x14ac:dyDescent="0.2">
      <c r="A240" s="511" t="s">
        <v>569</v>
      </c>
      <c r="B240" s="467" t="s">
        <v>1189</v>
      </c>
      <c r="C240" s="512">
        <f t="shared" si="62"/>
        <v>0</v>
      </c>
      <c r="D240" s="512">
        <f>SUMIFS(PURCHASE!$K$6:$K$10008,PURCHASE!$A$6:$A$10008,$M$2,PURCHASE!$H$6:$H$10008,$A$4:$A$2700)</f>
        <v>0</v>
      </c>
      <c r="E240" s="512">
        <f>SUMIFS(PURCHASE!$L$6:$L$10008,PURCHASE!$A$6:$A$10008,$M$2,PURCHASE!$H$6:$H$10008,$A$4:$A$2700)</f>
        <v>0</v>
      </c>
      <c r="F240" s="512">
        <f>SUMIFS(PURCHASE!$M$6:$M$10008,PURCHASE!$A$6:$A$10008,$M$2,PURCHASE!$H$6:$H$10008,$A$4:$A$2700)</f>
        <v>0</v>
      </c>
      <c r="G240" s="512">
        <f>SUMIFS(PURCHASE!$N$6:$N$10008,PURCHASE!$A$6:$A$10008,$M$2,PURCHASE!$H$6:$H$10008,$A$4:$A$2700)</f>
        <v>0</v>
      </c>
      <c r="H240" s="512">
        <f t="shared" si="63"/>
        <v>0</v>
      </c>
      <c r="I240" s="512">
        <f>SUMIFS(PURCHASE!$K$6:$K$10008,PURCHASE!$A$6:$A$10008,$H$2,PURCHASE!$H$6:$H$10008,$A$4:$A$2700)</f>
        <v>0</v>
      </c>
      <c r="J240" s="512">
        <f>SUMIFS(PURCHASE!$L$6:$L$10008,PURCHASE!$A$6:$A$10008,$H$2,PURCHASE!$H$6:$H$10008,$A$4:$A$2700)</f>
        <v>0</v>
      </c>
      <c r="K240" s="512">
        <f>SUMIFS(PURCHASE!$M$6:$M$10008,PURCHASE!$A$6:$A$10008,$H$2,PURCHASE!$H$6:$H$10008,$A$4:$A$2700)</f>
        <v>0</v>
      </c>
      <c r="L240" s="512">
        <f>SUMIFS(PURCHASE!$N$6:$N$10008,PURCHASE!$A$6:$A$10008,$H$2,PURCHASE!$H$6:$H$10008,$A$4:$A$2700)</f>
        <v>0</v>
      </c>
      <c r="M240" s="512">
        <f t="shared" si="64"/>
        <v>0</v>
      </c>
      <c r="N240" s="512">
        <f>SUMIFS(PURCHASE!$K$6:$K$10008,PURCHASE!$A$6:$A$10008,$M$2,PURCHASE!$H$6:$H$10008,$A$4:$A$2700)</f>
        <v>0</v>
      </c>
      <c r="O240" s="512">
        <f>SUMIFS(PURCHASE!$L$6:$L$10008,PURCHASE!$A$6:$A$10008,$M$2,PURCHASE!$H$6:$H$10008,$A$4:$A$2700)</f>
        <v>0</v>
      </c>
      <c r="P240" s="512">
        <f>SUMIFS(PURCHASE!$M$6:$M$10008,PURCHASE!$A$6:$A$10008,$M$2,PURCHASE!$H$6:$H$10008,$A$4:$A$2700)</f>
        <v>0</v>
      </c>
      <c r="Q240" s="512">
        <f>SUMIFS(PURCHASE!$N$6:$N$10008,PURCHASE!$A$6:$A$10008,$M$2,PURCHASE!$H$6:$H$10008,$A$4:$A$2700)</f>
        <v>0</v>
      </c>
      <c r="R240" s="512">
        <f t="shared" si="65"/>
        <v>0</v>
      </c>
      <c r="S240" s="512">
        <f>SUMIFS(PURCHASE!$K$6:$K$10008,PURCHASE!$A$6:$A$10008,$R$2,PURCHASE!$H$6:$H$10008,$A$4:$A$2700)</f>
        <v>0</v>
      </c>
      <c r="T240" s="512">
        <f>SUMIFS(PURCHASE!$L$6:$L$10008,PURCHASE!$A$6:$A$10008,$R$2,PURCHASE!$H$6:$H$10008,$A$4:$A$2700)</f>
        <v>0</v>
      </c>
      <c r="U240" s="512">
        <f>SUMIFS(PURCHASE!$M$6:$M$10008,PURCHASE!$A$6:$A$10008,$R$2,PURCHASE!$H$6:$H$10008,$A$4:$A$2700)</f>
        <v>0</v>
      </c>
      <c r="V240" s="512">
        <f>SUMIFS(PURCHASE!$N$6:$N$10008,PURCHASE!$A$6:$A$10008,$R$2,PURCHASE!$H$6:$H$10008,$A$4:$A$2700)</f>
        <v>0</v>
      </c>
      <c r="W240" s="512">
        <f t="shared" si="66"/>
        <v>0</v>
      </c>
      <c r="X240" s="512">
        <f>SUMIFS(PURCHASE!$K$6:$K$10008,PURCHASE!$A$6:$A$10008,$W$2,PURCHASE!$H$6:$H$10008,$A$4:$A$2700)</f>
        <v>0</v>
      </c>
      <c r="Y240" s="512">
        <f>SUMIFS(PURCHASE!$L$6:$L$10008,PURCHASE!$A$6:$A$10008,$W$2,PURCHASE!$H$6:$H$10008,$A$4:$A$2700)</f>
        <v>0</v>
      </c>
      <c r="Z240" s="512">
        <f>SUMIFS(PURCHASE!$M$6:$M$10008,PURCHASE!$A$6:$A$10008,$W$2,PURCHASE!$H$6:$H$10008,$A$4:$A$2700)</f>
        <v>0</v>
      </c>
      <c r="AA240" s="512">
        <f>SUMIFS(PURCHASE!$N$6:$N$10008,PURCHASE!$A$6:$A$10008,$W$2,PURCHASE!$H$6:$H$10008,$A$4:$A$2700)</f>
        <v>0</v>
      </c>
      <c r="AB240" s="512">
        <f t="shared" si="67"/>
        <v>434.97159999999997</v>
      </c>
      <c r="AC240" s="512">
        <f>SUMIFS(PURCHASE!$K$6:$K$10008,PURCHASE!$A$6:$A$10008,$AB$2,PURCHASE!$H$6:$H$10008,$A$4:$A$2700)</f>
        <v>368.62</v>
      </c>
      <c r="AD240" s="512">
        <f>SUMIFS(PURCHASE!$L$6:$L$10008,PURCHASE!$A$6:$A$10008,$AB$2,PURCHASE!$H$6:$H$10008,$A$4:$A$2700)</f>
        <v>0</v>
      </c>
      <c r="AE240" s="512">
        <f>SUMIFS(PURCHASE!$M$6:$M$10008,PURCHASE!$A$6:$A$10008,$AB$2,PURCHASE!$H$6:$H$10008,$A$4:$A$2700)</f>
        <v>33.175800000000002</v>
      </c>
      <c r="AF240" s="512">
        <f>SUMIFS(PURCHASE!$N$6:$N$10008,PURCHASE!$A$6:$A$10008,$AB$2,PURCHASE!$H$6:$H$10008,$A$4:$A$2700)</f>
        <v>33.175800000000002</v>
      </c>
      <c r="AG240" s="512">
        <f t="shared" si="68"/>
        <v>0</v>
      </c>
      <c r="AH240" s="512">
        <f>SUMIFS(PURCHASE!$K$6:$K$10008,PURCHASE!$A$6:$A$10008,$AG$2,PURCHASE!$H$6:$H$10008,$A$4:$A$2700)</f>
        <v>0</v>
      </c>
      <c r="AI240" s="512">
        <f>SUMIFS(PURCHASE!$L$6:$L$10008,PURCHASE!$A$6:$A$10008,$AG$2,PURCHASE!$H$6:$H$10008,$A$4:$A$2700)</f>
        <v>0</v>
      </c>
      <c r="AJ240" s="512">
        <f>SUMIFS(PURCHASE!$M$6:$M$10008,PURCHASE!$A$6:$A$10008,$AG$2,PURCHASE!$H$6:$H$10008,$A$4:$A$2700)</f>
        <v>0</v>
      </c>
      <c r="AK240" s="512">
        <f>SUMIFS(PURCHASE!$N$6:$N$10008,PURCHASE!$A$6:$A$10008,$AG$2,PURCHASE!$H$6:$H$10008,$A$4:$A$2700)</f>
        <v>0</v>
      </c>
      <c r="AL240" s="512">
        <f t="shared" si="69"/>
        <v>0</v>
      </c>
      <c r="AM240" s="512">
        <f>SUMIFS(PURCHASE!$K$6:$K$10008,PURCHASE!$A$6:$A$10008,$AL$2,PURCHASE!$H$6:$H$10008,$A$4:$A$2700)</f>
        <v>0</v>
      </c>
      <c r="AN240" s="512">
        <f>SUMIFS(PURCHASE!$L$6:$L$10008,PURCHASE!$A$6:$A$10008,$AL$2,PURCHASE!$H$6:$H$10008,$A$4:$A$2700)</f>
        <v>0</v>
      </c>
      <c r="AO240" s="512">
        <f>SUMIFS(PURCHASE!$M$6:$M$10008,PURCHASE!$A$6:$A$10008,$AL$2,PURCHASE!$H$6:$H$10008,$A$4:$A$2700)</f>
        <v>0</v>
      </c>
      <c r="AP240" s="512">
        <f>SUMIFS(PURCHASE!$N$6:$N$10008,PURCHASE!$A$6:$A$10008,$AL$2,PURCHASE!$H$6:$H$10008,$A$4:$A$2700)</f>
        <v>0</v>
      </c>
      <c r="AQ240" s="512">
        <f t="shared" si="70"/>
        <v>0</v>
      </c>
      <c r="AR240" s="512">
        <f>SUMIFS(PURCHASE!$K$6:$K$10008,PURCHASE!$A$6:$A$10008,$AQ$2,PURCHASE!$H$6:$H$10008,$A$4:$A$2700)</f>
        <v>0</v>
      </c>
      <c r="AS240" s="512">
        <f>SUMIFS(PURCHASE!$L$6:$L$10008,PURCHASE!$A$6:$A$10008,$AQ$2,PURCHASE!$H$6:$H$10008,$A$4:$A$2700)</f>
        <v>0</v>
      </c>
      <c r="AT240" s="512">
        <f>SUMIFS(PURCHASE!$M$6:$M$10008,PURCHASE!$A$6:$A$10008,$AQ$2,PURCHASE!$H$6:$H$10008,$A$4:$A$2700)</f>
        <v>0</v>
      </c>
      <c r="AU240" s="512">
        <f>SUMIFS(PURCHASE!$N$6:$N$10008,PURCHASE!$A$6:$A$10008,$AQ$2,PURCHASE!$H$6:$H$10008,$A$4:$A$2700)</f>
        <v>0</v>
      </c>
      <c r="AV240" s="512">
        <f t="shared" si="71"/>
        <v>0</v>
      </c>
      <c r="AW240" s="512">
        <f>SUMIFS(PURCHASE!$K$6:$K$10008,PURCHASE!$A$6:$A$10008,$AV$2,PURCHASE!$H$6:$H$10008,$A$4:$A$2700)</f>
        <v>0</v>
      </c>
      <c r="AX240" s="512">
        <f>SUMIFS(PURCHASE!$L$6:$L$10008,PURCHASE!$A$6:$A$10008,$AV$2,PURCHASE!$H$6:$H$10008,$A$4:$A$2700)</f>
        <v>0</v>
      </c>
      <c r="AY240" s="512">
        <f>SUMIFS(PURCHASE!$M$6:$M$10008,PURCHASE!$A$6:$A$10008,$AV$2,PURCHASE!$H$6:$H$10008,$A$4:$A$2700)</f>
        <v>0</v>
      </c>
      <c r="AZ240" s="512">
        <f>SUMIFS(PURCHASE!$N$6:$N$10008,PURCHASE!$A$6:$A$10008,$AV$2,PURCHASE!$H$6:$H$10008,$A$4:$A$2700)</f>
        <v>0</v>
      </c>
      <c r="BA240" s="512">
        <f t="shared" si="72"/>
        <v>0</v>
      </c>
      <c r="BB240" s="512">
        <f>SUMIFS(PURCHASE!$K$6:$K$10008,PURCHASE!$A$6:$A$10008,$BA$2,PURCHASE!$H$6:$H$10008,$A$4:$A$2700)</f>
        <v>0</v>
      </c>
      <c r="BC240" s="512">
        <f>SUMIFS(PURCHASE!$L$6:$L$10008,PURCHASE!$A$6:$A$10008,$BA$2,PURCHASE!$H$6:$H$10008,$A$4:$A$2700)</f>
        <v>0</v>
      </c>
      <c r="BD240" s="512">
        <f>SUMIFS(PURCHASE!$M$6:$M$10008,PURCHASE!$A$6:$A$10008,$BA$2,PURCHASE!$H$6:$H$10008,$A$4:$A$2700)</f>
        <v>0</v>
      </c>
      <c r="BE240" s="512">
        <f>SUMIFS(PURCHASE!$N$6:$N$10008,PURCHASE!$A$6:$A$10008,$BA$2,PURCHASE!$H$6:$H$10008,$A$4:$A$2700)</f>
        <v>0</v>
      </c>
      <c r="BF240" s="512">
        <f t="shared" si="73"/>
        <v>0</v>
      </c>
      <c r="BG240" s="512">
        <f>SUMIFS(PURCHASE!$K$6:$K$10008,PURCHASE!$A$6:$A$10008,$BF$2,PURCHASE!$H$6:$H$10008,$A$4:$A$2700)</f>
        <v>0</v>
      </c>
      <c r="BH240" s="512">
        <f>SUMIFS(PURCHASE!$L$6:$L$10008,PURCHASE!$A$6:$A$10008,$BF$2,PURCHASE!$H$6:$H$10008,$A$4:$A$2700)</f>
        <v>0</v>
      </c>
      <c r="BI240" s="512">
        <f>SUMIFS(PURCHASE!$M$6:$M$10008,PURCHASE!$A$6:$A$10008,$BF$2,PURCHASE!$H$6:$H$10008,$A$4:$A$2700)</f>
        <v>0</v>
      </c>
      <c r="BJ240" s="512">
        <f>SUMIFS(PURCHASE!$N$6:$N$10008,PURCHASE!$A$6:$A$10008,$BF$2,PURCHASE!$H$6:$H$10008,$A$4:$A$2700)</f>
        <v>0</v>
      </c>
      <c r="BK240" s="72">
        <f t="shared" si="75"/>
        <v>434.97159999999997</v>
      </c>
      <c r="BL240" s="72">
        <f t="shared" si="76"/>
        <v>368.62</v>
      </c>
      <c r="BM240" s="72">
        <f t="shared" si="77"/>
        <v>0</v>
      </c>
      <c r="BN240" s="72">
        <f t="shared" si="78"/>
        <v>33.175800000000002</v>
      </c>
      <c r="BO240" s="72">
        <f t="shared" si="79"/>
        <v>33.175800000000002</v>
      </c>
    </row>
    <row r="241" spans="1:67" x14ac:dyDescent="0.2">
      <c r="A241" s="511">
        <v>998313</v>
      </c>
      <c r="B241" s="467" t="s">
        <v>1353</v>
      </c>
      <c r="C241" s="512">
        <f t="shared" si="62"/>
        <v>0</v>
      </c>
      <c r="D241" s="512">
        <f>SUMIFS(PURCHASE!$K$6:$K$10008,PURCHASE!$A$6:$A$10008,$M$2,PURCHASE!$H$6:$H$10008,$A$4:$A$2700)</f>
        <v>0</v>
      </c>
      <c r="E241" s="512">
        <f>SUMIFS(PURCHASE!$L$6:$L$10008,PURCHASE!$A$6:$A$10008,$M$2,PURCHASE!$H$6:$H$10008,$A$4:$A$2700)</f>
        <v>0</v>
      </c>
      <c r="F241" s="512">
        <f>SUMIFS(PURCHASE!$M$6:$M$10008,PURCHASE!$A$6:$A$10008,$M$2,PURCHASE!$H$6:$H$10008,$A$4:$A$2700)</f>
        <v>0</v>
      </c>
      <c r="G241" s="512">
        <f>SUMIFS(PURCHASE!$N$6:$N$10008,PURCHASE!$A$6:$A$10008,$M$2,PURCHASE!$H$6:$H$10008,$A$4:$A$2700)</f>
        <v>0</v>
      </c>
      <c r="H241" s="512">
        <f t="shared" si="63"/>
        <v>0</v>
      </c>
      <c r="I241" s="512">
        <f>SUMIFS(PURCHASE!$K$6:$K$10008,PURCHASE!$A$6:$A$10008,$H$2,PURCHASE!$H$6:$H$10008,$A$4:$A$2700)</f>
        <v>0</v>
      </c>
      <c r="J241" s="512">
        <f>SUMIFS(PURCHASE!$L$6:$L$10008,PURCHASE!$A$6:$A$10008,$H$2,PURCHASE!$H$6:$H$10008,$A$4:$A$2700)</f>
        <v>0</v>
      </c>
      <c r="K241" s="512">
        <f>SUMIFS(PURCHASE!$M$6:$M$10008,PURCHASE!$A$6:$A$10008,$H$2,PURCHASE!$H$6:$H$10008,$A$4:$A$2700)</f>
        <v>0</v>
      </c>
      <c r="L241" s="512">
        <f>SUMIFS(PURCHASE!$N$6:$N$10008,PURCHASE!$A$6:$A$10008,$H$2,PURCHASE!$H$6:$H$10008,$A$4:$A$2700)</f>
        <v>0</v>
      </c>
      <c r="M241" s="512">
        <f t="shared" si="64"/>
        <v>0</v>
      </c>
      <c r="N241" s="512">
        <f>SUMIFS(PURCHASE!$K$6:$K$10008,PURCHASE!$A$6:$A$10008,$M$2,PURCHASE!$H$6:$H$10008,$A$4:$A$2700)</f>
        <v>0</v>
      </c>
      <c r="O241" s="512">
        <f>SUMIFS(PURCHASE!$L$6:$L$10008,PURCHASE!$A$6:$A$10008,$M$2,PURCHASE!$H$6:$H$10008,$A$4:$A$2700)</f>
        <v>0</v>
      </c>
      <c r="P241" s="512">
        <f>SUMIFS(PURCHASE!$M$6:$M$10008,PURCHASE!$A$6:$A$10008,$M$2,PURCHASE!$H$6:$H$10008,$A$4:$A$2700)</f>
        <v>0</v>
      </c>
      <c r="Q241" s="512">
        <f>SUMIFS(PURCHASE!$N$6:$N$10008,PURCHASE!$A$6:$A$10008,$M$2,PURCHASE!$H$6:$H$10008,$A$4:$A$2700)</f>
        <v>0</v>
      </c>
      <c r="R241" s="512">
        <f t="shared" si="65"/>
        <v>12744</v>
      </c>
      <c r="S241" s="512">
        <f>SUMIFS(PURCHASE!$K$6:$K$10008,PURCHASE!$A$6:$A$10008,$R$2,PURCHASE!$H$6:$H$10008,$A$4:$A$2700)</f>
        <v>10800</v>
      </c>
      <c r="T241" s="512">
        <f>SUMIFS(PURCHASE!$L$6:$L$10008,PURCHASE!$A$6:$A$10008,$R$2,PURCHASE!$H$6:$H$10008,$A$4:$A$2700)</f>
        <v>1944</v>
      </c>
      <c r="U241" s="512">
        <f>SUMIFS(PURCHASE!$M$6:$M$10008,PURCHASE!$A$6:$A$10008,$R$2,PURCHASE!$H$6:$H$10008,$A$4:$A$2700)</f>
        <v>0</v>
      </c>
      <c r="V241" s="512">
        <f>SUMIFS(PURCHASE!$N$6:$N$10008,PURCHASE!$A$6:$A$10008,$R$2,PURCHASE!$H$6:$H$10008,$A$4:$A$2700)</f>
        <v>0</v>
      </c>
      <c r="W241" s="512">
        <f t="shared" si="66"/>
        <v>0</v>
      </c>
      <c r="X241" s="512">
        <f>SUMIFS(PURCHASE!$K$6:$K$10008,PURCHASE!$A$6:$A$10008,$W$2,PURCHASE!$H$6:$H$10008,$A$4:$A$2700)</f>
        <v>0</v>
      </c>
      <c r="Y241" s="512">
        <f>SUMIFS(PURCHASE!$L$6:$L$10008,PURCHASE!$A$6:$A$10008,$W$2,PURCHASE!$H$6:$H$10008,$A$4:$A$2700)</f>
        <v>0</v>
      </c>
      <c r="Z241" s="512">
        <f>SUMIFS(PURCHASE!$M$6:$M$10008,PURCHASE!$A$6:$A$10008,$W$2,PURCHASE!$H$6:$H$10008,$A$4:$A$2700)</f>
        <v>0</v>
      </c>
      <c r="AA241" s="512">
        <f>SUMIFS(PURCHASE!$N$6:$N$10008,PURCHASE!$A$6:$A$10008,$W$2,PURCHASE!$H$6:$H$10008,$A$4:$A$2700)</f>
        <v>0</v>
      </c>
      <c r="AB241" s="512">
        <f t="shared" si="67"/>
        <v>0</v>
      </c>
      <c r="AC241" s="512">
        <f>SUMIFS(PURCHASE!$K$6:$K$10008,PURCHASE!$A$6:$A$10008,$AB$2,PURCHASE!$H$6:$H$10008,$A$4:$A$2700)</f>
        <v>0</v>
      </c>
      <c r="AD241" s="512">
        <f>SUMIFS(PURCHASE!$L$6:$L$10008,PURCHASE!$A$6:$A$10008,$AB$2,PURCHASE!$H$6:$H$10008,$A$4:$A$2700)</f>
        <v>0</v>
      </c>
      <c r="AE241" s="512">
        <f>SUMIFS(PURCHASE!$M$6:$M$10008,PURCHASE!$A$6:$A$10008,$AB$2,PURCHASE!$H$6:$H$10008,$A$4:$A$2700)</f>
        <v>0</v>
      </c>
      <c r="AF241" s="512">
        <f>SUMIFS(PURCHASE!$N$6:$N$10008,PURCHASE!$A$6:$A$10008,$AB$2,PURCHASE!$H$6:$H$10008,$A$4:$A$2700)</f>
        <v>0</v>
      </c>
      <c r="AG241" s="512">
        <f t="shared" si="68"/>
        <v>0</v>
      </c>
      <c r="AH241" s="512">
        <f>SUMIFS(PURCHASE!$K$6:$K$10008,PURCHASE!$A$6:$A$10008,$AG$2,PURCHASE!$H$6:$H$10008,$A$4:$A$2700)</f>
        <v>0</v>
      </c>
      <c r="AI241" s="512">
        <f>SUMIFS(PURCHASE!$L$6:$L$10008,PURCHASE!$A$6:$A$10008,$AG$2,PURCHASE!$H$6:$H$10008,$A$4:$A$2700)</f>
        <v>0</v>
      </c>
      <c r="AJ241" s="512">
        <f>SUMIFS(PURCHASE!$M$6:$M$10008,PURCHASE!$A$6:$A$10008,$AG$2,PURCHASE!$H$6:$H$10008,$A$4:$A$2700)</f>
        <v>0</v>
      </c>
      <c r="AK241" s="512">
        <f>SUMIFS(PURCHASE!$N$6:$N$10008,PURCHASE!$A$6:$A$10008,$AG$2,PURCHASE!$H$6:$H$10008,$A$4:$A$2700)</f>
        <v>0</v>
      </c>
      <c r="AL241" s="512">
        <f t="shared" si="69"/>
        <v>0</v>
      </c>
      <c r="AM241" s="512">
        <f>SUMIFS(PURCHASE!$K$6:$K$10008,PURCHASE!$A$6:$A$10008,$AL$2,PURCHASE!$H$6:$H$10008,$A$4:$A$2700)</f>
        <v>0</v>
      </c>
      <c r="AN241" s="512">
        <f>SUMIFS(PURCHASE!$L$6:$L$10008,PURCHASE!$A$6:$A$10008,$AL$2,PURCHASE!$H$6:$H$10008,$A$4:$A$2700)</f>
        <v>0</v>
      </c>
      <c r="AO241" s="512">
        <f>SUMIFS(PURCHASE!$M$6:$M$10008,PURCHASE!$A$6:$A$10008,$AL$2,PURCHASE!$H$6:$H$10008,$A$4:$A$2700)</f>
        <v>0</v>
      </c>
      <c r="AP241" s="512">
        <f>SUMIFS(PURCHASE!$N$6:$N$10008,PURCHASE!$A$6:$A$10008,$AL$2,PURCHASE!$H$6:$H$10008,$A$4:$A$2700)</f>
        <v>0</v>
      </c>
      <c r="AQ241" s="512">
        <f t="shared" si="70"/>
        <v>0</v>
      </c>
      <c r="AR241" s="512">
        <f>SUMIFS(PURCHASE!$K$6:$K$10008,PURCHASE!$A$6:$A$10008,$AQ$2,PURCHASE!$H$6:$H$10008,$A$4:$A$2700)</f>
        <v>0</v>
      </c>
      <c r="AS241" s="512">
        <f>SUMIFS(PURCHASE!$L$6:$L$10008,PURCHASE!$A$6:$A$10008,$AQ$2,PURCHASE!$H$6:$H$10008,$A$4:$A$2700)</f>
        <v>0</v>
      </c>
      <c r="AT241" s="512">
        <f>SUMIFS(PURCHASE!$M$6:$M$10008,PURCHASE!$A$6:$A$10008,$AQ$2,PURCHASE!$H$6:$H$10008,$A$4:$A$2700)</f>
        <v>0</v>
      </c>
      <c r="AU241" s="512">
        <f>SUMIFS(PURCHASE!$N$6:$N$10008,PURCHASE!$A$6:$A$10008,$AQ$2,PURCHASE!$H$6:$H$10008,$A$4:$A$2700)</f>
        <v>0</v>
      </c>
      <c r="AV241" s="512">
        <f t="shared" si="71"/>
        <v>0</v>
      </c>
      <c r="AW241" s="512">
        <f>SUMIFS(PURCHASE!$K$6:$K$10008,PURCHASE!$A$6:$A$10008,$AV$2,PURCHASE!$H$6:$H$10008,$A$4:$A$2700)</f>
        <v>0</v>
      </c>
      <c r="AX241" s="512">
        <f>SUMIFS(PURCHASE!$L$6:$L$10008,PURCHASE!$A$6:$A$10008,$AV$2,PURCHASE!$H$6:$H$10008,$A$4:$A$2700)</f>
        <v>0</v>
      </c>
      <c r="AY241" s="512">
        <f>SUMIFS(PURCHASE!$M$6:$M$10008,PURCHASE!$A$6:$A$10008,$AV$2,PURCHASE!$H$6:$H$10008,$A$4:$A$2700)</f>
        <v>0</v>
      </c>
      <c r="AZ241" s="512">
        <f>SUMIFS(PURCHASE!$N$6:$N$10008,PURCHASE!$A$6:$A$10008,$AV$2,PURCHASE!$H$6:$H$10008,$A$4:$A$2700)</f>
        <v>0</v>
      </c>
      <c r="BA241" s="512">
        <f t="shared" si="72"/>
        <v>0</v>
      </c>
      <c r="BB241" s="512">
        <f>SUMIFS(PURCHASE!$K$6:$K$10008,PURCHASE!$A$6:$A$10008,$BA$2,PURCHASE!$H$6:$H$10008,$A$4:$A$2700)</f>
        <v>0</v>
      </c>
      <c r="BC241" s="512">
        <f>SUMIFS(PURCHASE!$L$6:$L$10008,PURCHASE!$A$6:$A$10008,$BA$2,PURCHASE!$H$6:$H$10008,$A$4:$A$2700)</f>
        <v>0</v>
      </c>
      <c r="BD241" s="512">
        <f>SUMIFS(PURCHASE!$M$6:$M$10008,PURCHASE!$A$6:$A$10008,$BA$2,PURCHASE!$H$6:$H$10008,$A$4:$A$2700)</f>
        <v>0</v>
      </c>
      <c r="BE241" s="512">
        <f>SUMIFS(PURCHASE!$N$6:$N$10008,PURCHASE!$A$6:$A$10008,$BA$2,PURCHASE!$H$6:$H$10008,$A$4:$A$2700)</f>
        <v>0</v>
      </c>
      <c r="BF241" s="512">
        <f t="shared" si="73"/>
        <v>0</v>
      </c>
      <c r="BG241" s="512">
        <f>SUMIFS(PURCHASE!$K$6:$K$10008,PURCHASE!$A$6:$A$10008,$BF$2,PURCHASE!$H$6:$H$10008,$A$4:$A$2700)</f>
        <v>0</v>
      </c>
      <c r="BH241" s="512">
        <f>SUMIFS(PURCHASE!$L$6:$L$10008,PURCHASE!$A$6:$A$10008,$BF$2,PURCHASE!$H$6:$H$10008,$A$4:$A$2700)</f>
        <v>0</v>
      </c>
      <c r="BI241" s="512">
        <f>SUMIFS(PURCHASE!$M$6:$M$10008,PURCHASE!$A$6:$A$10008,$BF$2,PURCHASE!$H$6:$H$10008,$A$4:$A$2700)</f>
        <v>0</v>
      </c>
      <c r="BJ241" s="512">
        <f>SUMIFS(PURCHASE!$N$6:$N$10008,PURCHASE!$A$6:$A$10008,$BF$2,PURCHASE!$H$6:$H$10008,$A$4:$A$2700)</f>
        <v>0</v>
      </c>
      <c r="BK241" s="72">
        <f t="shared" si="75"/>
        <v>12744</v>
      </c>
      <c r="BL241" s="72">
        <f t="shared" si="76"/>
        <v>10800</v>
      </c>
      <c r="BM241" s="72">
        <f t="shared" si="77"/>
        <v>1944</v>
      </c>
      <c r="BN241" s="72">
        <f t="shared" si="78"/>
        <v>0</v>
      </c>
      <c r="BO241" s="72">
        <f t="shared" si="79"/>
        <v>0</v>
      </c>
    </row>
    <row r="242" spans="1:67" x14ac:dyDescent="0.2">
      <c r="A242" s="515">
        <v>3506</v>
      </c>
      <c r="B242" s="500" t="s">
        <v>1354</v>
      </c>
      <c r="C242" s="512">
        <f t="shared" si="62"/>
        <v>839.93579999999997</v>
      </c>
      <c r="D242" s="512">
        <f>SUMIFS(PURCHASE!$K$6:$K$10008,PURCHASE!$A$6:$A$10008,$M$2,PURCHASE!$H$6:$H$10008,$A$4:$A$2700)</f>
        <v>711.81</v>
      </c>
      <c r="E242" s="512">
        <f>SUMIFS(PURCHASE!$L$6:$L$10008,PURCHASE!$A$6:$A$10008,$M$2,PURCHASE!$H$6:$H$10008,$A$4:$A$2700)</f>
        <v>0</v>
      </c>
      <c r="F242" s="512">
        <f>SUMIFS(PURCHASE!$M$6:$M$10008,PURCHASE!$A$6:$A$10008,$M$2,PURCHASE!$H$6:$H$10008,$A$4:$A$2700)</f>
        <v>64.062899999999999</v>
      </c>
      <c r="G242" s="512">
        <f>SUMIFS(PURCHASE!$N$6:$N$10008,PURCHASE!$A$6:$A$10008,$M$2,PURCHASE!$H$6:$H$10008,$A$4:$A$2700)</f>
        <v>64.062899999999999</v>
      </c>
      <c r="H242" s="512">
        <f t="shared" si="63"/>
        <v>0</v>
      </c>
      <c r="I242" s="512">
        <f>SUMIFS(PURCHASE!$K$6:$K$10008,PURCHASE!$A$6:$A$10008,$H$2,PURCHASE!$H$6:$H$10008,$A$4:$A$2700)</f>
        <v>0</v>
      </c>
      <c r="J242" s="512">
        <f>SUMIFS(PURCHASE!$L$6:$L$10008,PURCHASE!$A$6:$A$10008,$H$2,PURCHASE!$H$6:$H$10008,$A$4:$A$2700)</f>
        <v>0</v>
      </c>
      <c r="K242" s="512">
        <f>SUMIFS(PURCHASE!$M$6:$M$10008,PURCHASE!$A$6:$A$10008,$H$2,PURCHASE!$H$6:$H$10008,$A$4:$A$2700)</f>
        <v>0</v>
      </c>
      <c r="L242" s="512">
        <f>SUMIFS(PURCHASE!$N$6:$N$10008,PURCHASE!$A$6:$A$10008,$H$2,PURCHASE!$H$6:$H$10008,$A$4:$A$2700)</f>
        <v>0</v>
      </c>
      <c r="M242" s="512">
        <f t="shared" si="64"/>
        <v>839.93579999999997</v>
      </c>
      <c r="N242" s="512">
        <f>SUMIFS(PURCHASE!$K$6:$K$10008,PURCHASE!$A$6:$A$10008,$M$2,PURCHASE!$H$6:$H$10008,$A$4:$A$2700)</f>
        <v>711.81</v>
      </c>
      <c r="O242" s="512">
        <f>SUMIFS(PURCHASE!$L$6:$L$10008,PURCHASE!$A$6:$A$10008,$M$2,PURCHASE!$H$6:$H$10008,$A$4:$A$2700)</f>
        <v>0</v>
      </c>
      <c r="P242" s="512">
        <f>SUMIFS(PURCHASE!$M$6:$M$10008,PURCHASE!$A$6:$A$10008,$M$2,PURCHASE!$H$6:$H$10008,$A$4:$A$2700)</f>
        <v>64.062899999999999</v>
      </c>
      <c r="Q242" s="512">
        <f>SUMIFS(PURCHASE!$N$6:$N$10008,PURCHASE!$A$6:$A$10008,$M$2,PURCHASE!$H$6:$H$10008,$A$4:$A$2700)</f>
        <v>64.062899999999999</v>
      </c>
      <c r="R242" s="512">
        <f t="shared" si="65"/>
        <v>0</v>
      </c>
      <c r="S242" s="512">
        <f>SUMIFS(PURCHASE!$K$6:$K$10008,PURCHASE!$A$6:$A$10008,$R$2,PURCHASE!$H$6:$H$10008,$A$4:$A$2700)</f>
        <v>0</v>
      </c>
      <c r="T242" s="512">
        <f>SUMIFS(PURCHASE!$L$6:$L$10008,PURCHASE!$A$6:$A$10008,$R$2,PURCHASE!$H$6:$H$10008,$A$4:$A$2700)</f>
        <v>0</v>
      </c>
      <c r="U242" s="512">
        <f>SUMIFS(PURCHASE!$M$6:$M$10008,PURCHASE!$A$6:$A$10008,$R$2,PURCHASE!$H$6:$H$10008,$A$4:$A$2700)</f>
        <v>0</v>
      </c>
      <c r="V242" s="512">
        <f>SUMIFS(PURCHASE!$N$6:$N$10008,PURCHASE!$A$6:$A$10008,$R$2,PURCHASE!$H$6:$H$10008,$A$4:$A$2700)</f>
        <v>0</v>
      </c>
      <c r="W242" s="512">
        <f t="shared" si="66"/>
        <v>0</v>
      </c>
      <c r="X242" s="512">
        <f>SUMIFS(PURCHASE!$K$6:$K$10008,PURCHASE!$A$6:$A$10008,$W$2,PURCHASE!$H$6:$H$10008,$A$4:$A$2700)</f>
        <v>0</v>
      </c>
      <c r="Y242" s="512">
        <f>SUMIFS(PURCHASE!$L$6:$L$10008,PURCHASE!$A$6:$A$10008,$W$2,PURCHASE!$H$6:$H$10008,$A$4:$A$2700)</f>
        <v>0</v>
      </c>
      <c r="Z242" s="512">
        <f>SUMIFS(PURCHASE!$M$6:$M$10008,PURCHASE!$A$6:$A$10008,$W$2,PURCHASE!$H$6:$H$10008,$A$4:$A$2700)</f>
        <v>0</v>
      </c>
      <c r="AA242" s="512">
        <f>SUMIFS(PURCHASE!$N$6:$N$10008,PURCHASE!$A$6:$A$10008,$W$2,PURCHASE!$H$6:$H$10008,$A$4:$A$2700)</f>
        <v>0</v>
      </c>
      <c r="AB242" s="512">
        <f t="shared" si="67"/>
        <v>389.96640000000002</v>
      </c>
      <c r="AC242" s="512">
        <f>SUMIFS(PURCHASE!$K$6:$K$10008,PURCHASE!$A$6:$A$10008,$AB$2,PURCHASE!$H$6:$H$10008,$A$4:$A$2700)</f>
        <v>330.48</v>
      </c>
      <c r="AD242" s="512">
        <f>SUMIFS(PURCHASE!$L$6:$L$10008,PURCHASE!$A$6:$A$10008,$AB$2,PURCHASE!$H$6:$H$10008,$A$4:$A$2700)</f>
        <v>0</v>
      </c>
      <c r="AE242" s="512">
        <f>SUMIFS(PURCHASE!$M$6:$M$10008,PURCHASE!$A$6:$A$10008,$AB$2,PURCHASE!$H$6:$H$10008,$A$4:$A$2700)</f>
        <v>29.743200000000002</v>
      </c>
      <c r="AF242" s="512">
        <f>SUMIFS(PURCHASE!$N$6:$N$10008,PURCHASE!$A$6:$A$10008,$AB$2,PURCHASE!$H$6:$H$10008,$A$4:$A$2700)</f>
        <v>29.743200000000002</v>
      </c>
      <c r="AG242" s="512">
        <f t="shared" si="68"/>
        <v>0</v>
      </c>
      <c r="AH242" s="512">
        <f>SUMIFS(PURCHASE!$K$6:$K$10008,PURCHASE!$A$6:$A$10008,$AG$2,PURCHASE!$H$6:$H$10008,$A$4:$A$2700)</f>
        <v>0</v>
      </c>
      <c r="AI242" s="512">
        <f>SUMIFS(PURCHASE!$L$6:$L$10008,PURCHASE!$A$6:$A$10008,$AG$2,PURCHASE!$H$6:$H$10008,$A$4:$A$2700)</f>
        <v>0</v>
      </c>
      <c r="AJ242" s="512">
        <f>SUMIFS(PURCHASE!$M$6:$M$10008,PURCHASE!$A$6:$A$10008,$AG$2,PURCHASE!$H$6:$H$10008,$A$4:$A$2700)</f>
        <v>0</v>
      </c>
      <c r="AK242" s="512">
        <f>SUMIFS(PURCHASE!$N$6:$N$10008,PURCHASE!$A$6:$A$10008,$AG$2,PURCHASE!$H$6:$H$10008,$A$4:$A$2700)</f>
        <v>0</v>
      </c>
      <c r="AL242" s="512">
        <f t="shared" si="69"/>
        <v>1069.9413999999999</v>
      </c>
      <c r="AM242" s="512">
        <f>SUMIFS(PURCHASE!$K$6:$K$10008,PURCHASE!$A$6:$A$10008,$AL$2,PURCHASE!$H$6:$H$10008,$A$4:$A$2700)</f>
        <v>906.73</v>
      </c>
      <c r="AN242" s="512">
        <f>SUMIFS(PURCHASE!$L$6:$L$10008,PURCHASE!$A$6:$A$10008,$AL$2,PURCHASE!$H$6:$H$10008,$A$4:$A$2700)</f>
        <v>0</v>
      </c>
      <c r="AO242" s="512">
        <f>SUMIFS(PURCHASE!$M$6:$M$10008,PURCHASE!$A$6:$A$10008,$AL$2,PURCHASE!$H$6:$H$10008,$A$4:$A$2700)</f>
        <v>81.605699999999999</v>
      </c>
      <c r="AP242" s="512">
        <f>SUMIFS(PURCHASE!$N$6:$N$10008,PURCHASE!$A$6:$A$10008,$AL$2,PURCHASE!$H$6:$H$10008,$A$4:$A$2700)</f>
        <v>81.605699999999999</v>
      </c>
      <c r="AQ242" s="512">
        <f t="shared" si="70"/>
        <v>320.06059999999997</v>
      </c>
      <c r="AR242" s="512">
        <f>SUMIFS(PURCHASE!$K$6:$K$10008,PURCHASE!$A$6:$A$10008,$AQ$2,PURCHASE!$H$6:$H$10008,$A$4:$A$2700)</f>
        <v>271.17</v>
      </c>
      <c r="AS242" s="512">
        <f>SUMIFS(PURCHASE!$L$6:$L$10008,PURCHASE!$A$6:$A$10008,$AQ$2,PURCHASE!$H$6:$H$10008,$A$4:$A$2700)</f>
        <v>0</v>
      </c>
      <c r="AT242" s="512">
        <f>SUMIFS(PURCHASE!$M$6:$M$10008,PURCHASE!$A$6:$A$10008,$AQ$2,PURCHASE!$H$6:$H$10008,$A$4:$A$2700)</f>
        <v>24.4453</v>
      </c>
      <c r="AU242" s="512">
        <f>SUMIFS(PURCHASE!$N$6:$N$10008,PURCHASE!$A$6:$A$10008,$AQ$2,PURCHASE!$H$6:$H$10008,$A$4:$A$2700)</f>
        <v>24.4453</v>
      </c>
      <c r="AV242" s="512">
        <f t="shared" si="71"/>
        <v>0</v>
      </c>
      <c r="AW242" s="512">
        <f>SUMIFS(PURCHASE!$K$6:$K$10008,PURCHASE!$A$6:$A$10008,$AV$2,PURCHASE!$H$6:$H$10008,$A$4:$A$2700)</f>
        <v>0</v>
      </c>
      <c r="AX242" s="512">
        <f>SUMIFS(PURCHASE!$L$6:$L$10008,PURCHASE!$A$6:$A$10008,$AV$2,PURCHASE!$H$6:$H$10008,$A$4:$A$2700)</f>
        <v>0</v>
      </c>
      <c r="AY242" s="512">
        <f>SUMIFS(PURCHASE!$M$6:$M$10008,PURCHASE!$A$6:$A$10008,$AV$2,PURCHASE!$H$6:$H$10008,$A$4:$A$2700)</f>
        <v>0</v>
      </c>
      <c r="AZ242" s="512">
        <f>SUMIFS(PURCHASE!$N$6:$N$10008,PURCHASE!$A$6:$A$10008,$AV$2,PURCHASE!$H$6:$H$10008,$A$4:$A$2700)</f>
        <v>0</v>
      </c>
      <c r="BA242" s="512">
        <f t="shared" si="72"/>
        <v>0</v>
      </c>
      <c r="BB242" s="512">
        <f>SUMIFS(PURCHASE!$K$6:$K$10008,PURCHASE!$A$6:$A$10008,$BA$2,PURCHASE!$H$6:$H$10008,$A$4:$A$2700)</f>
        <v>0</v>
      </c>
      <c r="BC242" s="512">
        <f>SUMIFS(PURCHASE!$L$6:$L$10008,PURCHASE!$A$6:$A$10008,$BA$2,PURCHASE!$H$6:$H$10008,$A$4:$A$2700)</f>
        <v>0</v>
      </c>
      <c r="BD242" s="512">
        <f>SUMIFS(PURCHASE!$M$6:$M$10008,PURCHASE!$A$6:$A$10008,$BA$2,PURCHASE!$H$6:$H$10008,$A$4:$A$2700)</f>
        <v>0</v>
      </c>
      <c r="BE242" s="512">
        <f>SUMIFS(PURCHASE!$N$6:$N$10008,PURCHASE!$A$6:$A$10008,$BA$2,PURCHASE!$H$6:$H$10008,$A$4:$A$2700)</f>
        <v>0</v>
      </c>
      <c r="BF242" s="512">
        <f t="shared" si="73"/>
        <v>0</v>
      </c>
      <c r="BG242" s="512">
        <f>SUMIFS(PURCHASE!$K$6:$K$10008,PURCHASE!$A$6:$A$10008,$BF$2,PURCHASE!$H$6:$H$10008,$A$4:$A$2700)</f>
        <v>0</v>
      </c>
      <c r="BH242" s="512">
        <f>SUMIFS(PURCHASE!$L$6:$L$10008,PURCHASE!$A$6:$A$10008,$BF$2,PURCHASE!$H$6:$H$10008,$A$4:$A$2700)</f>
        <v>0</v>
      </c>
      <c r="BI242" s="512">
        <f>SUMIFS(PURCHASE!$M$6:$M$10008,PURCHASE!$A$6:$A$10008,$BF$2,PURCHASE!$H$6:$H$10008,$A$4:$A$2700)</f>
        <v>0</v>
      </c>
      <c r="BJ242" s="512">
        <f>SUMIFS(PURCHASE!$N$6:$N$10008,PURCHASE!$A$6:$A$10008,$BF$2,PURCHASE!$H$6:$H$10008,$A$4:$A$2700)</f>
        <v>0</v>
      </c>
      <c r="BK242" s="72">
        <f t="shared" si="75"/>
        <v>3459.8399999999992</v>
      </c>
      <c r="BL242" s="72">
        <f t="shared" si="76"/>
        <v>2932</v>
      </c>
      <c r="BM242" s="72">
        <f t="shared" si="77"/>
        <v>0</v>
      </c>
      <c r="BN242" s="72">
        <f t="shared" si="78"/>
        <v>263.91999999999996</v>
      </c>
      <c r="BO242" s="72">
        <f t="shared" si="79"/>
        <v>263.91999999999996</v>
      </c>
    </row>
    <row r="243" spans="1:67" x14ac:dyDescent="0.2">
      <c r="A243" s="511" t="s">
        <v>624</v>
      </c>
      <c r="B243" s="467" t="s">
        <v>1186</v>
      </c>
      <c r="C243" s="512">
        <f t="shared" si="62"/>
        <v>33346.800000000003</v>
      </c>
      <c r="D243" s="512">
        <f>SUMIFS(PURCHASE!$K$6:$K$10008,PURCHASE!$A$6:$A$10008,$M$2,PURCHASE!$H$6:$H$10008,$A$4:$A$2700)</f>
        <v>28260</v>
      </c>
      <c r="E243" s="512">
        <f>SUMIFS(PURCHASE!$L$6:$L$10008,PURCHASE!$A$6:$A$10008,$M$2,PURCHASE!$H$6:$H$10008,$A$4:$A$2700)</f>
        <v>0</v>
      </c>
      <c r="F243" s="512">
        <f>SUMIFS(PURCHASE!$M$6:$M$10008,PURCHASE!$A$6:$A$10008,$M$2,PURCHASE!$H$6:$H$10008,$A$4:$A$2700)</f>
        <v>2543.4</v>
      </c>
      <c r="G243" s="512">
        <f>SUMIFS(PURCHASE!$N$6:$N$10008,PURCHASE!$A$6:$A$10008,$M$2,PURCHASE!$H$6:$H$10008,$A$4:$A$2700)</f>
        <v>2543.4</v>
      </c>
      <c r="H243" s="512">
        <f t="shared" si="63"/>
        <v>50020.2</v>
      </c>
      <c r="I243" s="512">
        <f>SUMIFS(PURCHASE!$K$6:$K$10008,PURCHASE!$A$6:$A$10008,$H$2,PURCHASE!$H$6:$H$10008,$A$4:$A$2700)</f>
        <v>42390</v>
      </c>
      <c r="J243" s="512">
        <f>SUMIFS(PURCHASE!$L$6:$L$10008,PURCHASE!$A$6:$A$10008,$H$2,PURCHASE!$H$6:$H$10008,$A$4:$A$2700)</f>
        <v>0</v>
      </c>
      <c r="K243" s="512">
        <f>SUMIFS(PURCHASE!$M$6:$M$10008,PURCHASE!$A$6:$A$10008,$H$2,PURCHASE!$H$6:$H$10008,$A$4:$A$2700)</f>
        <v>3815.1</v>
      </c>
      <c r="L243" s="512">
        <f>SUMIFS(PURCHASE!$N$6:$N$10008,PURCHASE!$A$6:$A$10008,$H$2,PURCHASE!$H$6:$H$10008,$A$4:$A$2700)</f>
        <v>3815.1</v>
      </c>
      <c r="M243" s="512">
        <f t="shared" si="64"/>
        <v>33346.800000000003</v>
      </c>
      <c r="N243" s="512">
        <f>SUMIFS(PURCHASE!$K$6:$K$10008,PURCHASE!$A$6:$A$10008,$M$2,PURCHASE!$H$6:$H$10008,$A$4:$A$2700)</f>
        <v>28260</v>
      </c>
      <c r="O243" s="512">
        <f>SUMIFS(PURCHASE!$L$6:$L$10008,PURCHASE!$A$6:$A$10008,$M$2,PURCHASE!$H$6:$H$10008,$A$4:$A$2700)</f>
        <v>0</v>
      </c>
      <c r="P243" s="512">
        <f>SUMIFS(PURCHASE!$M$6:$M$10008,PURCHASE!$A$6:$A$10008,$M$2,PURCHASE!$H$6:$H$10008,$A$4:$A$2700)</f>
        <v>2543.4</v>
      </c>
      <c r="Q243" s="512">
        <f>SUMIFS(PURCHASE!$N$6:$N$10008,PURCHASE!$A$6:$A$10008,$M$2,PURCHASE!$H$6:$H$10008,$A$4:$A$2700)</f>
        <v>2543.4</v>
      </c>
      <c r="R243" s="512">
        <f t="shared" si="65"/>
        <v>0</v>
      </c>
      <c r="S243" s="512">
        <f>SUMIFS(PURCHASE!$K$6:$K$10008,PURCHASE!$A$6:$A$10008,$R$2,PURCHASE!$H$6:$H$10008,$A$4:$A$2700)</f>
        <v>0</v>
      </c>
      <c r="T243" s="512">
        <f>SUMIFS(PURCHASE!$L$6:$L$10008,PURCHASE!$A$6:$A$10008,$R$2,PURCHASE!$H$6:$H$10008,$A$4:$A$2700)</f>
        <v>0</v>
      </c>
      <c r="U243" s="512">
        <f>SUMIFS(PURCHASE!$M$6:$M$10008,PURCHASE!$A$6:$A$10008,$R$2,PURCHASE!$H$6:$H$10008,$A$4:$A$2700)</f>
        <v>0</v>
      </c>
      <c r="V243" s="512">
        <f>SUMIFS(PURCHASE!$N$6:$N$10008,PURCHASE!$A$6:$A$10008,$R$2,PURCHASE!$H$6:$H$10008,$A$4:$A$2700)</f>
        <v>0</v>
      </c>
      <c r="W243" s="512">
        <f t="shared" si="66"/>
        <v>0</v>
      </c>
      <c r="X243" s="512">
        <f>SUMIFS(PURCHASE!$K$6:$K$10008,PURCHASE!$A$6:$A$10008,$W$2,PURCHASE!$H$6:$H$10008,$A$4:$A$2700)</f>
        <v>0</v>
      </c>
      <c r="Y243" s="512">
        <f>SUMIFS(PURCHASE!$L$6:$L$10008,PURCHASE!$A$6:$A$10008,$W$2,PURCHASE!$H$6:$H$10008,$A$4:$A$2700)</f>
        <v>0</v>
      </c>
      <c r="Z243" s="512">
        <f>SUMIFS(PURCHASE!$M$6:$M$10008,PURCHASE!$A$6:$A$10008,$W$2,PURCHASE!$H$6:$H$10008,$A$4:$A$2700)</f>
        <v>0</v>
      </c>
      <c r="AA243" s="512">
        <f>SUMIFS(PURCHASE!$N$6:$N$10008,PURCHASE!$A$6:$A$10008,$W$2,PURCHASE!$H$6:$H$10008,$A$4:$A$2700)</f>
        <v>0</v>
      </c>
      <c r="AB243" s="512">
        <f t="shared" si="67"/>
        <v>0</v>
      </c>
      <c r="AC243" s="512">
        <f>SUMIFS(PURCHASE!$K$6:$K$10008,PURCHASE!$A$6:$A$10008,$AB$2,PURCHASE!$H$6:$H$10008,$A$4:$A$2700)</f>
        <v>0</v>
      </c>
      <c r="AD243" s="512">
        <f>SUMIFS(PURCHASE!$L$6:$L$10008,PURCHASE!$A$6:$A$10008,$AB$2,PURCHASE!$H$6:$H$10008,$A$4:$A$2700)</f>
        <v>0</v>
      </c>
      <c r="AE243" s="512">
        <f>SUMIFS(PURCHASE!$M$6:$M$10008,PURCHASE!$A$6:$A$10008,$AB$2,PURCHASE!$H$6:$H$10008,$A$4:$A$2700)</f>
        <v>0</v>
      </c>
      <c r="AF243" s="512">
        <f>SUMIFS(PURCHASE!$N$6:$N$10008,PURCHASE!$A$6:$A$10008,$AB$2,PURCHASE!$H$6:$H$10008,$A$4:$A$2700)</f>
        <v>0</v>
      </c>
      <c r="AG243" s="512">
        <f t="shared" si="68"/>
        <v>0</v>
      </c>
      <c r="AH243" s="512">
        <f>SUMIFS(PURCHASE!$K$6:$K$10008,PURCHASE!$A$6:$A$10008,$AG$2,PURCHASE!$H$6:$H$10008,$A$4:$A$2700)</f>
        <v>0</v>
      </c>
      <c r="AI243" s="512">
        <f>SUMIFS(PURCHASE!$L$6:$L$10008,PURCHASE!$A$6:$A$10008,$AG$2,PURCHASE!$H$6:$H$10008,$A$4:$A$2700)</f>
        <v>0</v>
      </c>
      <c r="AJ243" s="512">
        <f>SUMIFS(PURCHASE!$M$6:$M$10008,PURCHASE!$A$6:$A$10008,$AG$2,PURCHASE!$H$6:$H$10008,$A$4:$A$2700)</f>
        <v>0</v>
      </c>
      <c r="AK243" s="512">
        <f>SUMIFS(PURCHASE!$N$6:$N$10008,PURCHASE!$A$6:$A$10008,$AG$2,PURCHASE!$H$6:$H$10008,$A$4:$A$2700)</f>
        <v>0</v>
      </c>
      <c r="AL243" s="512">
        <f t="shared" si="69"/>
        <v>0</v>
      </c>
      <c r="AM243" s="512">
        <f>SUMIFS(PURCHASE!$K$6:$K$10008,PURCHASE!$A$6:$A$10008,$AL$2,PURCHASE!$H$6:$H$10008,$A$4:$A$2700)</f>
        <v>0</v>
      </c>
      <c r="AN243" s="512">
        <f>SUMIFS(PURCHASE!$L$6:$L$10008,PURCHASE!$A$6:$A$10008,$AL$2,PURCHASE!$H$6:$H$10008,$A$4:$A$2700)</f>
        <v>0</v>
      </c>
      <c r="AO243" s="512">
        <f>SUMIFS(PURCHASE!$M$6:$M$10008,PURCHASE!$A$6:$A$10008,$AL$2,PURCHASE!$H$6:$H$10008,$A$4:$A$2700)</f>
        <v>0</v>
      </c>
      <c r="AP243" s="512">
        <f>SUMIFS(PURCHASE!$N$6:$N$10008,PURCHASE!$A$6:$A$10008,$AL$2,PURCHASE!$H$6:$H$10008,$A$4:$A$2700)</f>
        <v>0</v>
      </c>
      <c r="AQ243" s="512">
        <f t="shared" si="70"/>
        <v>0</v>
      </c>
      <c r="AR243" s="512">
        <f>SUMIFS(PURCHASE!$K$6:$K$10008,PURCHASE!$A$6:$A$10008,$AQ$2,PURCHASE!$H$6:$H$10008,$A$4:$A$2700)</f>
        <v>0</v>
      </c>
      <c r="AS243" s="512">
        <f>SUMIFS(PURCHASE!$L$6:$L$10008,PURCHASE!$A$6:$A$10008,$AQ$2,PURCHASE!$H$6:$H$10008,$A$4:$A$2700)</f>
        <v>0</v>
      </c>
      <c r="AT243" s="512">
        <f>SUMIFS(PURCHASE!$M$6:$M$10008,PURCHASE!$A$6:$A$10008,$AQ$2,PURCHASE!$H$6:$H$10008,$A$4:$A$2700)</f>
        <v>0</v>
      </c>
      <c r="AU243" s="512">
        <f>SUMIFS(PURCHASE!$N$6:$N$10008,PURCHASE!$A$6:$A$10008,$AQ$2,PURCHASE!$H$6:$H$10008,$A$4:$A$2700)</f>
        <v>0</v>
      </c>
      <c r="AV243" s="512">
        <f t="shared" si="71"/>
        <v>0</v>
      </c>
      <c r="AW243" s="512">
        <f>SUMIFS(PURCHASE!$K$6:$K$10008,PURCHASE!$A$6:$A$10008,$AV$2,PURCHASE!$H$6:$H$10008,$A$4:$A$2700)</f>
        <v>0</v>
      </c>
      <c r="AX243" s="512">
        <f>SUMIFS(PURCHASE!$L$6:$L$10008,PURCHASE!$A$6:$A$10008,$AV$2,PURCHASE!$H$6:$H$10008,$A$4:$A$2700)</f>
        <v>0</v>
      </c>
      <c r="AY243" s="512">
        <f>SUMIFS(PURCHASE!$M$6:$M$10008,PURCHASE!$A$6:$A$10008,$AV$2,PURCHASE!$H$6:$H$10008,$A$4:$A$2700)</f>
        <v>0</v>
      </c>
      <c r="AZ243" s="512">
        <f>SUMIFS(PURCHASE!$N$6:$N$10008,PURCHASE!$A$6:$A$10008,$AV$2,PURCHASE!$H$6:$H$10008,$A$4:$A$2700)</f>
        <v>0</v>
      </c>
      <c r="BA243" s="512">
        <f t="shared" si="72"/>
        <v>0</v>
      </c>
      <c r="BB243" s="512">
        <f>SUMIFS(PURCHASE!$K$6:$K$10008,PURCHASE!$A$6:$A$10008,$BA$2,PURCHASE!$H$6:$H$10008,$A$4:$A$2700)</f>
        <v>0</v>
      </c>
      <c r="BC243" s="512">
        <f>SUMIFS(PURCHASE!$L$6:$L$10008,PURCHASE!$A$6:$A$10008,$BA$2,PURCHASE!$H$6:$H$10008,$A$4:$A$2700)</f>
        <v>0</v>
      </c>
      <c r="BD243" s="512">
        <f>SUMIFS(PURCHASE!$M$6:$M$10008,PURCHASE!$A$6:$A$10008,$BA$2,PURCHASE!$H$6:$H$10008,$A$4:$A$2700)</f>
        <v>0</v>
      </c>
      <c r="BE243" s="512">
        <f>SUMIFS(PURCHASE!$N$6:$N$10008,PURCHASE!$A$6:$A$10008,$BA$2,PURCHASE!$H$6:$H$10008,$A$4:$A$2700)</f>
        <v>0</v>
      </c>
      <c r="BF243" s="512">
        <f t="shared" si="73"/>
        <v>0</v>
      </c>
      <c r="BG243" s="512">
        <f>SUMIFS(PURCHASE!$K$6:$K$10008,PURCHASE!$A$6:$A$10008,$BF$2,PURCHASE!$H$6:$H$10008,$A$4:$A$2700)</f>
        <v>0</v>
      </c>
      <c r="BH243" s="512">
        <f>SUMIFS(PURCHASE!$L$6:$L$10008,PURCHASE!$A$6:$A$10008,$BF$2,PURCHASE!$H$6:$H$10008,$A$4:$A$2700)</f>
        <v>0</v>
      </c>
      <c r="BI243" s="512">
        <f>SUMIFS(PURCHASE!$M$6:$M$10008,PURCHASE!$A$6:$A$10008,$BF$2,PURCHASE!$H$6:$H$10008,$A$4:$A$2700)</f>
        <v>0</v>
      </c>
      <c r="BJ243" s="512">
        <f>SUMIFS(PURCHASE!$N$6:$N$10008,PURCHASE!$A$6:$A$10008,$BF$2,PURCHASE!$H$6:$H$10008,$A$4:$A$2700)</f>
        <v>0</v>
      </c>
      <c r="BK243" s="72">
        <f t="shared" si="75"/>
        <v>116713.8</v>
      </c>
      <c r="BL243" s="72">
        <f t="shared" si="76"/>
        <v>98910</v>
      </c>
      <c r="BM243" s="72">
        <f t="shared" si="77"/>
        <v>0</v>
      </c>
      <c r="BN243" s="72">
        <f t="shared" si="78"/>
        <v>8901.9</v>
      </c>
      <c r="BO243" s="72">
        <f t="shared" si="79"/>
        <v>8901.9</v>
      </c>
    </row>
    <row r="244" spans="1:67" x14ac:dyDescent="0.2">
      <c r="A244" s="511" t="s">
        <v>1355</v>
      </c>
      <c r="B244" s="467" t="s">
        <v>1186</v>
      </c>
      <c r="C244" s="512">
        <f t="shared" si="62"/>
        <v>0</v>
      </c>
      <c r="D244" s="512">
        <f>SUMIFS(PURCHASE!$K$6:$K$10008,PURCHASE!$A$6:$A$10008,$M$2,PURCHASE!$H$6:$H$10008,$A$4:$A$2700)</f>
        <v>0</v>
      </c>
      <c r="E244" s="512">
        <f>SUMIFS(PURCHASE!$L$6:$L$10008,PURCHASE!$A$6:$A$10008,$M$2,PURCHASE!$H$6:$H$10008,$A$4:$A$2700)</f>
        <v>0</v>
      </c>
      <c r="F244" s="512">
        <f>SUMIFS(PURCHASE!$M$6:$M$10008,PURCHASE!$A$6:$A$10008,$M$2,PURCHASE!$H$6:$H$10008,$A$4:$A$2700)</f>
        <v>0</v>
      </c>
      <c r="G244" s="512">
        <f>SUMIFS(PURCHASE!$N$6:$N$10008,PURCHASE!$A$6:$A$10008,$M$2,PURCHASE!$H$6:$H$10008,$A$4:$A$2700)</f>
        <v>0</v>
      </c>
      <c r="H244" s="512">
        <f t="shared" si="63"/>
        <v>0</v>
      </c>
      <c r="I244" s="512">
        <f>SUMIFS(PURCHASE!$K$6:$K$10008,PURCHASE!$A$6:$A$10008,$H$2,PURCHASE!$H$6:$H$10008,$A$4:$A$2700)</f>
        <v>0</v>
      </c>
      <c r="J244" s="512">
        <f>SUMIFS(PURCHASE!$L$6:$L$10008,PURCHASE!$A$6:$A$10008,$H$2,PURCHASE!$H$6:$H$10008,$A$4:$A$2700)</f>
        <v>0</v>
      </c>
      <c r="K244" s="512">
        <f>SUMIFS(PURCHASE!$M$6:$M$10008,PURCHASE!$A$6:$A$10008,$H$2,PURCHASE!$H$6:$H$10008,$A$4:$A$2700)</f>
        <v>0</v>
      </c>
      <c r="L244" s="512">
        <f>SUMIFS(PURCHASE!$N$6:$N$10008,PURCHASE!$A$6:$A$10008,$H$2,PURCHASE!$H$6:$H$10008,$A$4:$A$2700)</f>
        <v>0</v>
      </c>
      <c r="M244" s="512">
        <f t="shared" si="64"/>
        <v>0</v>
      </c>
      <c r="N244" s="512">
        <f>SUMIFS(PURCHASE!$K$6:$K$10008,PURCHASE!$A$6:$A$10008,$M$2,PURCHASE!$H$6:$H$10008,$A$4:$A$2700)</f>
        <v>0</v>
      </c>
      <c r="O244" s="512">
        <f>SUMIFS(PURCHASE!$L$6:$L$10008,PURCHASE!$A$6:$A$10008,$M$2,PURCHASE!$H$6:$H$10008,$A$4:$A$2700)</f>
        <v>0</v>
      </c>
      <c r="P244" s="512">
        <f>SUMIFS(PURCHASE!$M$6:$M$10008,PURCHASE!$A$6:$A$10008,$M$2,PURCHASE!$H$6:$H$10008,$A$4:$A$2700)</f>
        <v>0</v>
      </c>
      <c r="Q244" s="512">
        <f>SUMIFS(PURCHASE!$N$6:$N$10008,PURCHASE!$A$6:$A$10008,$M$2,PURCHASE!$H$6:$H$10008,$A$4:$A$2700)</f>
        <v>0</v>
      </c>
      <c r="R244" s="512">
        <f t="shared" si="65"/>
        <v>0</v>
      </c>
      <c r="S244" s="512">
        <f>SUMIFS(PURCHASE!$K$6:$K$10008,PURCHASE!$A$6:$A$10008,$R$2,PURCHASE!$H$6:$H$10008,$A$4:$A$2700)</f>
        <v>0</v>
      </c>
      <c r="T244" s="512">
        <f>SUMIFS(PURCHASE!$L$6:$L$10008,PURCHASE!$A$6:$A$10008,$R$2,PURCHASE!$H$6:$H$10008,$A$4:$A$2700)</f>
        <v>0</v>
      </c>
      <c r="U244" s="512">
        <f>SUMIFS(PURCHASE!$M$6:$M$10008,PURCHASE!$A$6:$A$10008,$R$2,PURCHASE!$H$6:$H$10008,$A$4:$A$2700)</f>
        <v>0</v>
      </c>
      <c r="V244" s="512">
        <f>SUMIFS(PURCHASE!$N$6:$N$10008,PURCHASE!$A$6:$A$10008,$R$2,PURCHASE!$H$6:$H$10008,$A$4:$A$2700)</f>
        <v>0</v>
      </c>
      <c r="W244" s="512">
        <f t="shared" si="66"/>
        <v>0</v>
      </c>
      <c r="X244" s="512">
        <f>SUMIFS(PURCHASE!$K$6:$K$10008,PURCHASE!$A$6:$A$10008,$W$2,PURCHASE!$H$6:$H$10008,$A$4:$A$2700)</f>
        <v>0</v>
      </c>
      <c r="Y244" s="512">
        <f>SUMIFS(PURCHASE!$L$6:$L$10008,PURCHASE!$A$6:$A$10008,$W$2,PURCHASE!$H$6:$H$10008,$A$4:$A$2700)</f>
        <v>0</v>
      </c>
      <c r="Z244" s="512">
        <f>SUMIFS(PURCHASE!$M$6:$M$10008,PURCHASE!$A$6:$A$10008,$W$2,PURCHASE!$H$6:$H$10008,$A$4:$A$2700)</f>
        <v>0</v>
      </c>
      <c r="AA244" s="512">
        <f>SUMIFS(PURCHASE!$N$6:$N$10008,PURCHASE!$A$6:$A$10008,$W$2,PURCHASE!$H$6:$H$10008,$A$4:$A$2700)</f>
        <v>0</v>
      </c>
      <c r="AB244" s="512">
        <f t="shared" si="67"/>
        <v>0</v>
      </c>
      <c r="AC244" s="512">
        <f>SUMIFS(PURCHASE!$K$6:$K$10008,PURCHASE!$A$6:$A$10008,$AB$2,PURCHASE!$H$6:$H$10008,$A$4:$A$2700)</f>
        <v>0</v>
      </c>
      <c r="AD244" s="512">
        <f>SUMIFS(PURCHASE!$L$6:$L$10008,PURCHASE!$A$6:$A$10008,$AB$2,PURCHASE!$H$6:$H$10008,$A$4:$A$2700)</f>
        <v>0</v>
      </c>
      <c r="AE244" s="512">
        <f>SUMIFS(PURCHASE!$M$6:$M$10008,PURCHASE!$A$6:$A$10008,$AB$2,PURCHASE!$H$6:$H$10008,$A$4:$A$2700)</f>
        <v>0</v>
      </c>
      <c r="AF244" s="512">
        <f>SUMIFS(PURCHASE!$N$6:$N$10008,PURCHASE!$A$6:$A$10008,$AB$2,PURCHASE!$H$6:$H$10008,$A$4:$A$2700)</f>
        <v>0</v>
      </c>
      <c r="AG244" s="512">
        <f t="shared" si="68"/>
        <v>0</v>
      </c>
      <c r="AH244" s="512">
        <f>SUMIFS(PURCHASE!$K$6:$K$10008,PURCHASE!$A$6:$A$10008,$AG$2,PURCHASE!$H$6:$H$10008,$A$4:$A$2700)</f>
        <v>0</v>
      </c>
      <c r="AI244" s="512">
        <f>SUMIFS(PURCHASE!$L$6:$L$10008,PURCHASE!$A$6:$A$10008,$AG$2,PURCHASE!$H$6:$H$10008,$A$4:$A$2700)</f>
        <v>0</v>
      </c>
      <c r="AJ244" s="512">
        <f>SUMIFS(PURCHASE!$M$6:$M$10008,PURCHASE!$A$6:$A$10008,$AG$2,PURCHASE!$H$6:$H$10008,$A$4:$A$2700)</f>
        <v>0</v>
      </c>
      <c r="AK244" s="512">
        <f>SUMIFS(PURCHASE!$N$6:$N$10008,PURCHASE!$A$6:$A$10008,$AG$2,PURCHASE!$H$6:$H$10008,$A$4:$A$2700)</f>
        <v>0</v>
      </c>
      <c r="AL244" s="512">
        <f t="shared" si="69"/>
        <v>0</v>
      </c>
      <c r="AM244" s="512">
        <f>SUMIFS(PURCHASE!$K$6:$K$10008,PURCHASE!$A$6:$A$10008,$AL$2,PURCHASE!$H$6:$H$10008,$A$4:$A$2700)</f>
        <v>0</v>
      </c>
      <c r="AN244" s="512">
        <f>SUMIFS(PURCHASE!$L$6:$L$10008,PURCHASE!$A$6:$A$10008,$AL$2,PURCHASE!$H$6:$H$10008,$A$4:$A$2700)</f>
        <v>0</v>
      </c>
      <c r="AO244" s="512">
        <f>SUMIFS(PURCHASE!$M$6:$M$10008,PURCHASE!$A$6:$A$10008,$AL$2,PURCHASE!$H$6:$H$10008,$A$4:$A$2700)</f>
        <v>0</v>
      </c>
      <c r="AP244" s="512">
        <f>SUMIFS(PURCHASE!$N$6:$N$10008,PURCHASE!$A$6:$A$10008,$AL$2,PURCHASE!$H$6:$H$10008,$A$4:$A$2700)</f>
        <v>0</v>
      </c>
      <c r="AQ244" s="512">
        <f t="shared" si="70"/>
        <v>0</v>
      </c>
      <c r="AR244" s="512">
        <f>SUMIFS(PURCHASE!$K$6:$K$10008,PURCHASE!$A$6:$A$10008,$AQ$2,PURCHASE!$H$6:$H$10008,$A$4:$A$2700)</f>
        <v>0</v>
      </c>
      <c r="AS244" s="512">
        <f>SUMIFS(PURCHASE!$L$6:$L$10008,PURCHASE!$A$6:$A$10008,$AQ$2,PURCHASE!$H$6:$H$10008,$A$4:$A$2700)</f>
        <v>0</v>
      </c>
      <c r="AT244" s="512">
        <f>SUMIFS(PURCHASE!$M$6:$M$10008,PURCHASE!$A$6:$A$10008,$AQ$2,PURCHASE!$H$6:$H$10008,$A$4:$A$2700)</f>
        <v>0</v>
      </c>
      <c r="AU244" s="512">
        <f>SUMIFS(PURCHASE!$N$6:$N$10008,PURCHASE!$A$6:$A$10008,$AQ$2,PURCHASE!$H$6:$H$10008,$A$4:$A$2700)</f>
        <v>0</v>
      </c>
      <c r="AV244" s="512">
        <f t="shared" si="71"/>
        <v>0</v>
      </c>
      <c r="AW244" s="512">
        <f>SUMIFS(PURCHASE!$K$6:$K$10008,PURCHASE!$A$6:$A$10008,$AV$2,PURCHASE!$H$6:$H$10008,$A$4:$A$2700)</f>
        <v>0</v>
      </c>
      <c r="AX244" s="512">
        <f>SUMIFS(PURCHASE!$L$6:$L$10008,PURCHASE!$A$6:$A$10008,$AV$2,PURCHASE!$H$6:$H$10008,$A$4:$A$2700)</f>
        <v>0</v>
      </c>
      <c r="AY244" s="512">
        <f>SUMIFS(PURCHASE!$M$6:$M$10008,PURCHASE!$A$6:$A$10008,$AV$2,PURCHASE!$H$6:$H$10008,$A$4:$A$2700)</f>
        <v>0</v>
      </c>
      <c r="AZ244" s="512">
        <f>SUMIFS(PURCHASE!$N$6:$N$10008,PURCHASE!$A$6:$A$10008,$AV$2,PURCHASE!$H$6:$H$10008,$A$4:$A$2700)</f>
        <v>0</v>
      </c>
      <c r="BA244" s="512">
        <f t="shared" si="72"/>
        <v>0</v>
      </c>
      <c r="BB244" s="512">
        <f>SUMIFS(PURCHASE!$K$6:$K$10008,PURCHASE!$A$6:$A$10008,$BA$2,PURCHASE!$H$6:$H$10008,$A$4:$A$2700)</f>
        <v>0</v>
      </c>
      <c r="BC244" s="512">
        <f>SUMIFS(PURCHASE!$L$6:$L$10008,PURCHASE!$A$6:$A$10008,$BA$2,PURCHASE!$H$6:$H$10008,$A$4:$A$2700)</f>
        <v>0</v>
      </c>
      <c r="BD244" s="512">
        <f>SUMIFS(PURCHASE!$M$6:$M$10008,PURCHASE!$A$6:$A$10008,$BA$2,PURCHASE!$H$6:$H$10008,$A$4:$A$2700)</f>
        <v>0</v>
      </c>
      <c r="BE244" s="512">
        <f>SUMIFS(PURCHASE!$N$6:$N$10008,PURCHASE!$A$6:$A$10008,$BA$2,PURCHASE!$H$6:$H$10008,$A$4:$A$2700)</f>
        <v>0</v>
      </c>
      <c r="BF244" s="512">
        <f t="shared" si="73"/>
        <v>0</v>
      </c>
      <c r="BG244" s="512">
        <f>SUMIFS(PURCHASE!$K$6:$K$10008,PURCHASE!$A$6:$A$10008,$BF$2,PURCHASE!$H$6:$H$10008,$A$4:$A$2700)</f>
        <v>0</v>
      </c>
      <c r="BH244" s="512">
        <f>SUMIFS(PURCHASE!$L$6:$L$10008,PURCHASE!$A$6:$A$10008,$BF$2,PURCHASE!$H$6:$H$10008,$A$4:$A$2700)</f>
        <v>0</v>
      </c>
      <c r="BI244" s="512">
        <f>SUMIFS(PURCHASE!$M$6:$M$10008,PURCHASE!$A$6:$A$10008,$BF$2,PURCHASE!$H$6:$H$10008,$A$4:$A$2700)</f>
        <v>0</v>
      </c>
      <c r="BJ244" s="512">
        <f>SUMIFS(PURCHASE!$N$6:$N$10008,PURCHASE!$A$6:$A$10008,$BF$2,PURCHASE!$H$6:$H$10008,$A$4:$A$2700)</f>
        <v>0</v>
      </c>
      <c r="BK244" s="72">
        <f t="shared" si="75"/>
        <v>0</v>
      </c>
      <c r="BL244" s="72">
        <f t="shared" si="76"/>
        <v>0</v>
      </c>
      <c r="BM244" s="72">
        <f t="shared" si="77"/>
        <v>0</v>
      </c>
      <c r="BN244" s="72">
        <f t="shared" si="78"/>
        <v>0</v>
      </c>
      <c r="BO244" s="72">
        <f t="shared" si="79"/>
        <v>0</v>
      </c>
    </row>
    <row r="245" spans="1:67" x14ac:dyDescent="0.2">
      <c r="A245" s="511">
        <v>38249024</v>
      </c>
      <c r="B245" s="500" t="s">
        <v>1356</v>
      </c>
      <c r="C245" s="512">
        <f t="shared" si="62"/>
        <v>0</v>
      </c>
      <c r="D245" s="512">
        <f>SUMIFS(PURCHASE!$K$6:$K$10008,PURCHASE!$A$6:$A$10008,$M$2,PURCHASE!$H$6:$H$10008,$A$4:$A$2700)</f>
        <v>0</v>
      </c>
      <c r="E245" s="512">
        <f>SUMIFS(PURCHASE!$L$6:$L$10008,PURCHASE!$A$6:$A$10008,$M$2,PURCHASE!$H$6:$H$10008,$A$4:$A$2700)</f>
        <v>0</v>
      </c>
      <c r="F245" s="512">
        <f>SUMIFS(PURCHASE!$M$6:$M$10008,PURCHASE!$A$6:$A$10008,$M$2,PURCHASE!$H$6:$H$10008,$A$4:$A$2700)</f>
        <v>0</v>
      </c>
      <c r="G245" s="512">
        <f>SUMIFS(PURCHASE!$N$6:$N$10008,PURCHASE!$A$6:$A$10008,$M$2,PURCHASE!$H$6:$H$10008,$A$4:$A$2700)</f>
        <v>0</v>
      </c>
      <c r="H245" s="512">
        <f t="shared" si="63"/>
        <v>62.72</v>
      </c>
      <c r="I245" s="512">
        <f>SUMIFS(PURCHASE!$K$6:$K$10008,PURCHASE!$A$6:$A$10008,$H$2,PURCHASE!$H$6:$H$10008,$A$4:$A$2700)</f>
        <v>56</v>
      </c>
      <c r="J245" s="512">
        <f>SUMIFS(PURCHASE!$L$6:$L$10008,PURCHASE!$A$6:$A$10008,$H$2,PURCHASE!$H$6:$H$10008,$A$4:$A$2700)</f>
        <v>0</v>
      </c>
      <c r="K245" s="512">
        <f>SUMIFS(PURCHASE!$M$6:$M$10008,PURCHASE!$A$6:$A$10008,$H$2,PURCHASE!$H$6:$H$10008,$A$4:$A$2700)</f>
        <v>3.3600000000000003</v>
      </c>
      <c r="L245" s="512">
        <f>SUMIFS(PURCHASE!$N$6:$N$10008,PURCHASE!$A$6:$A$10008,$H$2,PURCHASE!$H$6:$H$10008,$A$4:$A$2700)</f>
        <v>3.3600000000000003</v>
      </c>
      <c r="M245" s="512">
        <f t="shared" si="64"/>
        <v>0</v>
      </c>
      <c r="N245" s="512">
        <f>SUMIFS(PURCHASE!$K$6:$K$10008,PURCHASE!$A$6:$A$10008,$M$2,PURCHASE!$H$6:$H$10008,$A$4:$A$2700)</f>
        <v>0</v>
      </c>
      <c r="O245" s="512">
        <f>SUMIFS(PURCHASE!$L$6:$L$10008,PURCHASE!$A$6:$A$10008,$M$2,PURCHASE!$H$6:$H$10008,$A$4:$A$2700)</f>
        <v>0</v>
      </c>
      <c r="P245" s="512">
        <f>SUMIFS(PURCHASE!$M$6:$M$10008,PURCHASE!$A$6:$A$10008,$M$2,PURCHASE!$H$6:$H$10008,$A$4:$A$2700)</f>
        <v>0</v>
      </c>
      <c r="Q245" s="512">
        <f>SUMIFS(PURCHASE!$N$6:$N$10008,PURCHASE!$A$6:$A$10008,$M$2,PURCHASE!$H$6:$H$10008,$A$4:$A$2700)</f>
        <v>0</v>
      </c>
      <c r="R245" s="512">
        <f t="shared" si="65"/>
        <v>0</v>
      </c>
      <c r="S245" s="512">
        <f>SUMIFS(PURCHASE!$K$6:$K$10008,PURCHASE!$A$6:$A$10008,$R$2,PURCHASE!$H$6:$H$10008,$A$4:$A$2700)</f>
        <v>0</v>
      </c>
      <c r="T245" s="512">
        <f>SUMIFS(PURCHASE!$L$6:$L$10008,PURCHASE!$A$6:$A$10008,$R$2,PURCHASE!$H$6:$H$10008,$A$4:$A$2700)</f>
        <v>0</v>
      </c>
      <c r="U245" s="512">
        <f>SUMIFS(PURCHASE!$M$6:$M$10008,PURCHASE!$A$6:$A$10008,$R$2,PURCHASE!$H$6:$H$10008,$A$4:$A$2700)</f>
        <v>0</v>
      </c>
      <c r="V245" s="512">
        <f>SUMIFS(PURCHASE!$N$6:$N$10008,PURCHASE!$A$6:$A$10008,$R$2,PURCHASE!$H$6:$H$10008,$A$4:$A$2700)</f>
        <v>0</v>
      </c>
      <c r="W245" s="512">
        <f t="shared" si="66"/>
        <v>0</v>
      </c>
      <c r="X245" s="512">
        <f>SUMIFS(PURCHASE!$K$6:$K$10008,PURCHASE!$A$6:$A$10008,$W$2,PURCHASE!$H$6:$H$10008,$A$4:$A$2700)</f>
        <v>0</v>
      </c>
      <c r="Y245" s="512">
        <f>SUMIFS(PURCHASE!$L$6:$L$10008,PURCHASE!$A$6:$A$10008,$W$2,PURCHASE!$H$6:$H$10008,$A$4:$A$2700)</f>
        <v>0</v>
      </c>
      <c r="Z245" s="512">
        <f>SUMIFS(PURCHASE!$M$6:$M$10008,PURCHASE!$A$6:$A$10008,$W$2,PURCHASE!$H$6:$H$10008,$A$4:$A$2700)</f>
        <v>0</v>
      </c>
      <c r="AA245" s="512">
        <f>SUMIFS(PURCHASE!$N$6:$N$10008,PURCHASE!$A$6:$A$10008,$W$2,PURCHASE!$H$6:$H$10008,$A$4:$A$2700)</f>
        <v>0</v>
      </c>
      <c r="AB245" s="512">
        <f t="shared" si="67"/>
        <v>0</v>
      </c>
      <c r="AC245" s="512">
        <f>SUMIFS(PURCHASE!$K$6:$K$10008,PURCHASE!$A$6:$A$10008,$AB$2,PURCHASE!$H$6:$H$10008,$A$4:$A$2700)</f>
        <v>0</v>
      </c>
      <c r="AD245" s="512">
        <f>SUMIFS(PURCHASE!$L$6:$L$10008,PURCHASE!$A$6:$A$10008,$AB$2,PURCHASE!$H$6:$H$10008,$A$4:$A$2700)</f>
        <v>0</v>
      </c>
      <c r="AE245" s="512">
        <f>SUMIFS(PURCHASE!$M$6:$M$10008,PURCHASE!$A$6:$A$10008,$AB$2,PURCHASE!$H$6:$H$10008,$A$4:$A$2700)</f>
        <v>0</v>
      </c>
      <c r="AF245" s="512">
        <f>SUMIFS(PURCHASE!$N$6:$N$10008,PURCHASE!$A$6:$A$10008,$AB$2,PURCHASE!$H$6:$H$10008,$A$4:$A$2700)</f>
        <v>0</v>
      </c>
      <c r="AG245" s="512">
        <f t="shared" si="68"/>
        <v>0</v>
      </c>
      <c r="AH245" s="512">
        <f>SUMIFS(PURCHASE!$K$6:$K$10008,PURCHASE!$A$6:$A$10008,$AG$2,PURCHASE!$H$6:$H$10008,$A$4:$A$2700)</f>
        <v>0</v>
      </c>
      <c r="AI245" s="512">
        <f>SUMIFS(PURCHASE!$L$6:$L$10008,PURCHASE!$A$6:$A$10008,$AG$2,PURCHASE!$H$6:$H$10008,$A$4:$A$2700)</f>
        <v>0</v>
      </c>
      <c r="AJ245" s="512">
        <f>SUMIFS(PURCHASE!$M$6:$M$10008,PURCHASE!$A$6:$A$10008,$AG$2,PURCHASE!$H$6:$H$10008,$A$4:$A$2700)</f>
        <v>0</v>
      </c>
      <c r="AK245" s="512">
        <f>SUMIFS(PURCHASE!$N$6:$N$10008,PURCHASE!$A$6:$A$10008,$AG$2,PURCHASE!$H$6:$H$10008,$A$4:$A$2700)</f>
        <v>0</v>
      </c>
      <c r="AL245" s="512">
        <f t="shared" si="69"/>
        <v>0</v>
      </c>
      <c r="AM245" s="512">
        <f>SUMIFS(PURCHASE!$K$6:$K$10008,PURCHASE!$A$6:$A$10008,$AL$2,PURCHASE!$H$6:$H$10008,$A$4:$A$2700)</f>
        <v>0</v>
      </c>
      <c r="AN245" s="512">
        <f>SUMIFS(PURCHASE!$L$6:$L$10008,PURCHASE!$A$6:$A$10008,$AL$2,PURCHASE!$H$6:$H$10008,$A$4:$A$2700)</f>
        <v>0</v>
      </c>
      <c r="AO245" s="512">
        <f>SUMIFS(PURCHASE!$M$6:$M$10008,PURCHASE!$A$6:$A$10008,$AL$2,PURCHASE!$H$6:$H$10008,$A$4:$A$2700)</f>
        <v>0</v>
      </c>
      <c r="AP245" s="512">
        <f>SUMIFS(PURCHASE!$N$6:$N$10008,PURCHASE!$A$6:$A$10008,$AL$2,PURCHASE!$H$6:$H$10008,$A$4:$A$2700)</f>
        <v>0</v>
      </c>
      <c r="AQ245" s="512">
        <f t="shared" si="70"/>
        <v>0</v>
      </c>
      <c r="AR245" s="512">
        <f>SUMIFS(PURCHASE!$K$6:$K$10008,PURCHASE!$A$6:$A$10008,$AQ$2,PURCHASE!$H$6:$H$10008,$A$4:$A$2700)</f>
        <v>0</v>
      </c>
      <c r="AS245" s="512">
        <f>SUMIFS(PURCHASE!$L$6:$L$10008,PURCHASE!$A$6:$A$10008,$AQ$2,PURCHASE!$H$6:$H$10008,$A$4:$A$2700)</f>
        <v>0</v>
      </c>
      <c r="AT245" s="512">
        <f>SUMIFS(PURCHASE!$M$6:$M$10008,PURCHASE!$A$6:$A$10008,$AQ$2,PURCHASE!$H$6:$H$10008,$A$4:$A$2700)</f>
        <v>0</v>
      </c>
      <c r="AU245" s="512">
        <f>SUMIFS(PURCHASE!$N$6:$N$10008,PURCHASE!$A$6:$A$10008,$AQ$2,PURCHASE!$H$6:$H$10008,$A$4:$A$2700)</f>
        <v>0</v>
      </c>
      <c r="AV245" s="512">
        <f t="shared" si="71"/>
        <v>0</v>
      </c>
      <c r="AW245" s="512">
        <f>SUMIFS(PURCHASE!$K$6:$K$10008,PURCHASE!$A$6:$A$10008,$AV$2,PURCHASE!$H$6:$H$10008,$A$4:$A$2700)</f>
        <v>0</v>
      </c>
      <c r="AX245" s="512">
        <f>SUMIFS(PURCHASE!$L$6:$L$10008,PURCHASE!$A$6:$A$10008,$AV$2,PURCHASE!$H$6:$H$10008,$A$4:$A$2700)</f>
        <v>0</v>
      </c>
      <c r="AY245" s="512">
        <f>SUMIFS(PURCHASE!$M$6:$M$10008,PURCHASE!$A$6:$A$10008,$AV$2,PURCHASE!$H$6:$H$10008,$A$4:$A$2700)</f>
        <v>0</v>
      </c>
      <c r="AZ245" s="512">
        <f>SUMIFS(PURCHASE!$N$6:$N$10008,PURCHASE!$A$6:$A$10008,$AV$2,PURCHASE!$H$6:$H$10008,$A$4:$A$2700)</f>
        <v>0</v>
      </c>
      <c r="BA245" s="512">
        <f t="shared" si="72"/>
        <v>0</v>
      </c>
      <c r="BB245" s="512">
        <f>SUMIFS(PURCHASE!$K$6:$K$10008,PURCHASE!$A$6:$A$10008,$BA$2,PURCHASE!$H$6:$H$10008,$A$4:$A$2700)</f>
        <v>0</v>
      </c>
      <c r="BC245" s="512">
        <f>SUMIFS(PURCHASE!$L$6:$L$10008,PURCHASE!$A$6:$A$10008,$BA$2,PURCHASE!$H$6:$H$10008,$A$4:$A$2700)</f>
        <v>0</v>
      </c>
      <c r="BD245" s="512">
        <f>SUMIFS(PURCHASE!$M$6:$M$10008,PURCHASE!$A$6:$A$10008,$BA$2,PURCHASE!$H$6:$H$10008,$A$4:$A$2700)</f>
        <v>0</v>
      </c>
      <c r="BE245" s="512">
        <f>SUMIFS(PURCHASE!$N$6:$N$10008,PURCHASE!$A$6:$A$10008,$BA$2,PURCHASE!$H$6:$H$10008,$A$4:$A$2700)</f>
        <v>0</v>
      </c>
      <c r="BF245" s="512">
        <f t="shared" si="73"/>
        <v>0</v>
      </c>
      <c r="BG245" s="512">
        <f>SUMIFS(PURCHASE!$K$6:$K$10008,PURCHASE!$A$6:$A$10008,$BF$2,PURCHASE!$H$6:$H$10008,$A$4:$A$2700)</f>
        <v>0</v>
      </c>
      <c r="BH245" s="512">
        <f>SUMIFS(PURCHASE!$L$6:$L$10008,PURCHASE!$A$6:$A$10008,$BF$2,PURCHASE!$H$6:$H$10008,$A$4:$A$2700)</f>
        <v>0</v>
      </c>
      <c r="BI245" s="512">
        <f>SUMIFS(PURCHASE!$M$6:$M$10008,PURCHASE!$A$6:$A$10008,$BF$2,PURCHASE!$H$6:$H$10008,$A$4:$A$2700)</f>
        <v>0</v>
      </c>
      <c r="BJ245" s="512">
        <f>SUMIFS(PURCHASE!$N$6:$N$10008,PURCHASE!$A$6:$A$10008,$BF$2,PURCHASE!$H$6:$H$10008,$A$4:$A$2700)</f>
        <v>0</v>
      </c>
      <c r="BK245" s="72">
        <f t="shared" si="75"/>
        <v>62.72</v>
      </c>
      <c r="BL245" s="72">
        <f t="shared" si="76"/>
        <v>56</v>
      </c>
      <c r="BM245" s="72">
        <f t="shared" si="77"/>
        <v>0</v>
      </c>
      <c r="BN245" s="72">
        <f t="shared" si="78"/>
        <v>3.3600000000000003</v>
      </c>
      <c r="BO245" s="72">
        <f t="shared" si="79"/>
        <v>3.3600000000000003</v>
      </c>
    </row>
    <row r="246" spans="1:67" x14ac:dyDescent="0.2">
      <c r="A246" s="516" t="s">
        <v>1357</v>
      </c>
      <c r="B246" s="500" t="s">
        <v>1358</v>
      </c>
      <c r="C246" s="512">
        <f t="shared" si="62"/>
        <v>0</v>
      </c>
      <c r="D246" s="512">
        <f>SUMIFS(PURCHASE!$K$6:$K$10008,PURCHASE!$A$6:$A$10008,$M$2,PURCHASE!$H$6:$H$10008,$A$4:$A$2700)</f>
        <v>0</v>
      </c>
      <c r="E246" s="512">
        <f>SUMIFS(PURCHASE!$L$6:$L$10008,PURCHASE!$A$6:$A$10008,$M$2,PURCHASE!$H$6:$H$10008,$A$4:$A$2700)</f>
        <v>0</v>
      </c>
      <c r="F246" s="512">
        <f>SUMIFS(PURCHASE!$M$6:$M$10008,PURCHASE!$A$6:$A$10008,$M$2,PURCHASE!$H$6:$H$10008,$A$4:$A$2700)</f>
        <v>0</v>
      </c>
      <c r="G246" s="512">
        <f>SUMIFS(PURCHASE!$N$6:$N$10008,PURCHASE!$A$6:$A$10008,$M$2,PURCHASE!$H$6:$H$10008,$A$4:$A$2700)</f>
        <v>0</v>
      </c>
      <c r="H246" s="512">
        <f t="shared" si="63"/>
        <v>0</v>
      </c>
      <c r="I246" s="512">
        <f>SUMIFS(PURCHASE!$K$6:$K$10008,PURCHASE!$A$6:$A$10008,$H$2,PURCHASE!$H$6:$H$10008,$A$4:$A$2700)</f>
        <v>0</v>
      </c>
      <c r="J246" s="512">
        <f>SUMIFS(PURCHASE!$L$6:$L$10008,PURCHASE!$A$6:$A$10008,$H$2,PURCHASE!$H$6:$H$10008,$A$4:$A$2700)</f>
        <v>0</v>
      </c>
      <c r="K246" s="512">
        <f>SUMIFS(PURCHASE!$M$6:$M$10008,PURCHASE!$A$6:$A$10008,$H$2,PURCHASE!$H$6:$H$10008,$A$4:$A$2700)</f>
        <v>0</v>
      </c>
      <c r="L246" s="512">
        <f>SUMIFS(PURCHASE!$N$6:$N$10008,PURCHASE!$A$6:$A$10008,$H$2,PURCHASE!$H$6:$H$10008,$A$4:$A$2700)</f>
        <v>0</v>
      </c>
      <c r="M246" s="512">
        <f t="shared" si="64"/>
        <v>0</v>
      </c>
      <c r="N246" s="512">
        <f>SUMIFS(PURCHASE!$K$6:$K$10008,PURCHASE!$A$6:$A$10008,$M$2,PURCHASE!$H$6:$H$10008,$A$4:$A$2700)</f>
        <v>0</v>
      </c>
      <c r="O246" s="512">
        <f>SUMIFS(PURCHASE!$L$6:$L$10008,PURCHASE!$A$6:$A$10008,$M$2,PURCHASE!$H$6:$H$10008,$A$4:$A$2700)</f>
        <v>0</v>
      </c>
      <c r="P246" s="512">
        <f>SUMIFS(PURCHASE!$M$6:$M$10008,PURCHASE!$A$6:$A$10008,$M$2,PURCHASE!$H$6:$H$10008,$A$4:$A$2700)</f>
        <v>0</v>
      </c>
      <c r="Q246" s="512">
        <f>SUMIFS(PURCHASE!$N$6:$N$10008,PURCHASE!$A$6:$A$10008,$M$2,PURCHASE!$H$6:$H$10008,$A$4:$A$2700)</f>
        <v>0</v>
      </c>
      <c r="R246" s="512">
        <f t="shared" si="65"/>
        <v>0</v>
      </c>
      <c r="S246" s="512">
        <f>SUMIFS(PURCHASE!$K$6:$K$10008,PURCHASE!$A$6:$A$10008,$R$2,PURCHASE!$H$6:$H$10008,$A$4:$A$2700)</f>
        <v>0</v>
      </c>
      <c r="T246" s="512">
        <f>SUMIFS(PURCHASE!$L$6:$L$10008,PURCHASE!$A$6:$A$10008,$R$2,PURCHASE!$H$6:$H$10008,$A$4:$A$2700)</f>
        <v>0</v>
      </c>
      <c r="U246" s="512">
        <f>SUMIFS(PURCHASE!$M$6:$M$10008,PURCHASE!$A$6:$A$10008,$R$2,PURCHASE!$H$6:$H$10008,$A$4:$A$2700)</f>
        <v>0</v>
      </c>
      <c r="V246" s="512">
        <f>SUMIFS(PURCHASE!$N$6:$N$10008,PURCHASE!$A$6:$A$10008,$R$2,PURCHASE!$H$6:$H$10008,$A$4:$A$2700)</f>
        <v>0</v>
      </c>
      <c r="W246" s="512">
        <f t="shared" si="66"/>
        <v>0</v>
      </c>
      <c r="X246" s="512">
        <f>SUMIFS(PURCHASE!$K$6:$K$10008,PURCHASE!$A$6:$A$10008,$W$2,PURCHASE!$H$6:$H$10008,$A$4:$A$2700)</f>
        <v>0</v>
      </c>
      <c r="Y246" s="512">
        <f>SUMIFS(PURCHASE!$L$6:$L$10008,PURCHASE!$A$6:$A$10008,$W$2,PURCHASE!$H$6:$H$10008,$A$4:$A$2700)</f>
        <v>0</v>
      </c>
      <c r="Z246" s="512">
        <f>SUMIFS(PURCHASE!$M$6:$M$10008,PURCHASE!$A$6:$A$10008,$W$2,PURCHASE!$H$6:$H$10008,$A$4:$A$2700)</f>
        <v>0</v>
      </c>
      <c r="AA246" s="512">
        <f>SUMIFS(PURCHASE!$N$6:$N$10008,PURCHASE!$A$6:$A$10008,$W$2,PURCHASE!$H$6:$H$10008,$A$4:$A$2700)</f>
        <v>0</v>
      </c>
      <c r="AB246" s="512">
        <f t="shared" si="67"/>
        <v>0</v>
      </c>
      <c r="AC246" s="512">
        <f>SUMIFS(PURCHASE!$K$6:$K$10008,PURCHASE!$A$6:$A$10008,$AB$2,PURCHASE!$H$6:$H$10008,$A$4:$A$2700)</f>
        <v>0</v>
      </c>
      <c r="AD246" s="512">
        <f>SUMIFS(PURCHASE!$L$6:$L$10008,PURCHASE!$A$6:$A$10008,$AB$2,PURCHASE!$H$6:$H$10008,$A$4:$A$2700)</f>
        <v>0</v>
      </c>
      <c r="AE246" s="512">
        <f>SUMIFS(PURCHASE!$M$6:$M$10008,PURCHASE!$A$6:$A$10008,$AB$2,PURCHASE!$H$6:$H$10008,$A$4:$A$2700)</f>
        <v>0</v>
      </c>
      <c r="AF246" s="512">
        <f>SUMIFS(PURCHASE!$N$6:$N$10008,PURCHASE!$A$6:$A$10008,$AB$2,PURCHASE!$H$6:$H$10008,$A$4:$A$2700)</f>
        <v>0</v>
      </c>
      <c r="AG246" s="512">
        <f t="shared" si="68"/>
        <v>0</v>
      </c>
      <c r="AH246" s="512">
        <f>SUMIFS(PURCHASE!$K$6:$K$10008,PURCHASE!$A$6:$A$10008,$AG$2,PURCHASE!$H$6:$H$10008,$A$4:$A$2700)</f>
        <v>0</v>
      </c>
      <c r="AI246" s="512">
        <f>SUMIFS(PURCHASE!$L$6:$L$10008,PURCHASE!$A$6:$A$10008,$AG$2,PURCHASE!$H$6:$H$10008,$A$4:$A$2700)</f>
        <v>0</v>
      </c>
      <c r="AJ246" s="512">
        <f>SUMIFS(PURCHASE!$M$6:$M$10008,PURCHASE!$A$6:$A$10008,$AG$2,PURCHASE!$H$6:$H$10008,$A$4:$A$2700)</f>
        <v>0</v>
      </c>
      <c r="AK246" s="512">
        <f>SUMIFS(PURCHASE!$N$6:$N$10008,PURCHASE!$A$6:$A$10008,$AG$2,PURCHASE!$H$6:$H$10008,$A$4:$A$2700)</f>
        <v>0</v>
      </c>
      <c r="AL246" s="512">
        <f t="shared" si="69"/>
        <v>0</v>
      </c>
      <c r="AM246" s="512">
        <f>SUMIFS(PURCHASE!$K$6:$K$10008,PURCHASE!$A$6:$A$10008,$AL$2,PURCHASE!$H$6:$H$10008,$A$4:$A$2700)</f>
        <v>0</v>
      </c>
      <c r="AN246" s="512">
        <f>SUMIFS(PURCHASE!$L$6:$L$10008,PURCHASE!$A$6:$A$10008,$AL$2,PURCHASE!$H$6:$H$10008,$A$4:$A$2700)</f>
        <v>0</v>
      </c>
      <c r="AO246" s="512">
        <f>SUMIFS(PURCHASE!$M$6:$M$10008,PURCHASE!$A$6:$A$10008,$AL$2,PURCHASE!$H$6:$H$10008,$A$4:$A$2700)</f>
        <v>0</v>
      </c>
      <c r="AP246" s="512">
        <f>SUMIFS(PURCHASE!$N$6:$N$10008,PURCHASE!$A$6:$A$10008,$AL$2,PURCHASE!$H$6:$H$10008,$A$4:$A$2700)</f>
        <v>0</v>
      </c>
      <c r="AQ246" s="512">
        <f t="shared" si="70"/>
        <v>8105.3609999999999</v>
      </c>
      <c r="AR246" s="512">
        <f>SUMIFS(PURCHASE!$K$6:$K$10008,PURCHASE!$A$6:$A$10008,$AQ$2,PURCHASE!$H$6:$H$10008,$A$4:$A$2700)</f>
        <v>6868.95</v>
      </c>
      <c r="AS246" s="512">
        <f>SUMIFS(PURCHASE!$L$6:$L$10008,PURCHASE!$A$6:$A$10008,$AQ$2,PURCHASE!$H$6:$H$10008,$A$4:$A$2700)</f>
        <v>0</v>
      </c>
      <c r="AT246" s="512">
        <f>SUMIFS(PURCHASE!$M$6:$M$10008,PURCHASE!$A$6:$A$10008,$AQ$2,PURCHASE!$H$6:$H$10008,$A$4:$A$2700)</f>
        <v>618.20550000000003</v>
      </c>
      <c r="AU246" s="512">
        <f>SUMIFS(PURCHASE!$N$6:$N$10008,PURCHASE!$A$6:$A$10008,$AQ$2,PURCHASE!$H$6:$H$10008,$A$4:$A$2700)</f>
        <v>618.20550000000003</v>
      </c>
      <c r="AV246" s="512">
        <f t="shared" si="71"/>
        <v>0</v>
      </c>
      <c r="AW246" s="512">
        <f>SUMIFS(PURCHASE!$K$6:$K$10008,PURCHASE!$A$6:$A$10008,$AV$2,PURCHASE!$H$6:$H$10008,$A$4:$A$2700)</f>
        <v>0</v>
      </c>
      <c r="AX246" s="512">
        <f>SUMIFS(PURCHASE!$L$6:$L$10008,PURCHASE!$A$6:$A$10008,$AV$2,PURCHASE!$H$6:$H$10008,$A$4:$A$2700)</f>
        <v>0</v>
      </c>
      <c r="AY246" s="512">
        <f>SUMIFS(PURCHASE!$M$6:$M$10008,PURCHASE!$A$6:$A$10008,$AV$2,PURCHASE!$H$6:$H$10008,$A$4:$A$2700)</f>
        <v>0</v>
      </c>
      <c r="AZ246" s="512">
        <f>SUMIFS(PURCHASE!$N$6:$N$10008,PURCHASE!$A$6:$A$10008,$AV$2,PURCHASE!$H$6:$H$10008,$A$4:$A$2700)</f>
        <v>0</v>
      </c>
      <c r="BA246" s="512">
        <f t="shared" si="72"/>
        <v>0</v>
      </c>
      <c r="BB246" s="512">
        <f>SUMIFS(PURCHASE!$K$6:$K$10008,PURCHASE!$A$6:$A$10008,$BA$2,PURCHASE!$H$6:$H$10008,$A$4:$A$2700)</f>
        <v>0</v>
      </c>
      <c r="BC246" s="512">
        <f>SUMIFS(PURCHASE!$L$6:$L$10008,PURCHASE!$A$6:$A$10008,$BA$2,PURCHASE!$H$6:$H$10008,$A$4:$A$2700)</f>
        <v>0</v>
      </c>
      <c r="BD246" s="512">
        <f>SUMIFS(PURCHASE!$M$6:$M$10008,PURCHASE!$A$6:$A$10008,$BA$2,PURCHASE!$H$6:$H$10008,$A$4:$A$2700)</f>
        <v>0</v>
      </c>
      <c r="BE246" s="512">
        <f>SUMIFS(PURCHASE!$N$6:$N$10008,PURCHASE!$A$6:$A$10008,$BA$2,PURCHASE!$H$6:$H$10008,$A$4:$A$2700)</f>
        <v>0</v>
      </c>
      <c r="BF246" s="512">
        <f t="shared" si="73"/>
        <v>0</v>
      </c>
      <c r="BG246" s="512">
        <f>SUMIFS(PURCHASE!$K$6:$K$10008,PURCHASE!$A$6:$A$10008,$BF$2,PURCHASE!$H$6:$H$10008,$A$4:$A$2700)</f>
        <v>0</v>
      </c>
      <c r="BH246" s="512">
        <f>SUMIFS(PURCHASE!$L$6:$L$10008,PURCHASE!$A$6:$A$10008,$BF$2,PURCHASE!$H$6:$H$10008,$A$4:$A$2700)</f>
        <v>0</v>
      </c>
      <c r="BI246" s="512">
        <f>SUMIFS(PURCHASE!$M$6:$M$10008,PURCHASE!$A$6:$A$10008,$BF$2,PURCHASE!$H$6:$H$10008,$A$4:$A$2700)</f>
        <v>0</v>
      </c>
      <c r="BJ246" s="512">
        <f>SUMIFS(PURCHASE!$N$6:$N$10008,PURCHASE!$A$6:$A$10008,$BF$2,PURCHASE!$H$6:$H$10008,$A$4:$A$2700)</f>
        <v>0</v>
      </c>
      <c r="BK246" s="72">
        <f t="shared" si="75"/>
        <v>8105.3609999999999</v>
      </c>
      <c r="BL246" s="72">
        <f t="shared" si="76"/>
        <v>6868.95</v>
      </c>
      <c r="BM246" s="72">
        <f t="shared" si="77"/>
        <v>0</v>
      </c>
      <c r="BN246" s="72">
        <f t="shared" si="78"/>
        <v>618.20550000000003</v>
      </c>
      <c r="BO246" s="72">
        <f t="shared" si="79"/>
        <v>618.20550000000003</v>
      </c>
    </row>
    <row r="247" spans="1:67" x14ac:dyDescent="0.2">
      <c r="A247" s="516" t="s">
        <v>583</v>
      </c>
      <c r="B247" s="500" t="s">
        <v>1359</v>
      </c>
      <c r="C247" s="512">
        <f t="shared" si="62"/>
        <v>0</v>
      </c>
      <c r="D247" s="512">
        <f>SUMIFS(PURCHASE!$K$6:$K$10008,PURCHASE!$A$6:$A$10008,$M$2,PURCHASE!$H$6:$H$10008,$A$4:$A$2700)</f>
        <v>0</v>
      </c>
      <c r="E247" s="512">
        <f>SUMIFS(PURCHASE!$L$6:$L$10008,PURCHASE!$A$6:$A$10008,$M$2,PURCHASE!$H$6:$H$10008,$A$4:$A$2700)</f>
        <v>0</v>
      </c>
      <c r="F247" s="512">
        <f>SUMIFS(PURCHASE!$M$6:$M$10008,PURCHASE!$A$6:$A$10008,$M$2,PURCHASE!$H$6:$H$10008,$A$4:$A$2700)</f>
        <v>0</v>
      </c>
      <c r="G247" s="512">
        <f>SUMIFS(PURCHASE!$N$6:$N$10008,PURCHASE!$A$6:$A$10008,$M$2,PURCHASE!$H$6:$H$10008,$A$4:$A$2700)</f>
        <v>0</v>
      </c>
      <c r="H247" s="512">
        <f t="shared" si="63"/>
        <v>0</v>
      </c>
      <c r="I247" s="512">
        <f>SUMIFS(PURCHASE!$K$6:$K$10008,PURCHASE!$A$6:$A$10008,$H$2,PURCHASE!$H$6:$H$10008,$A$4:$A$2700)</f>
        <v>0</v>
      </c>
      <c r="J247" s="512">
        <f>SUMIFS(PURCHASE!$L$6:$L$10008,PURCHASE!$A$6:$A$10008,$H$2,PURCHASE!$H$6:$H$10008,$A$4:$A$2700)</f>
        <v>0</v>
      </c>
      <c r="K247" s="512">
        <f>SUMIFS(PURCHASE!$M$6:$M$10008,PURCHASE!$A$6:$A$10008,$H$2,PURCHASE!$H$6:$H$10008,$A$4:$A$2700)</f>
        <v>0</v>
      </c>
      <c r="L247" s="512">
        <f>SUMIFS(PURCHASE!$N$6:$N$10008,PURCHASE!$A$6:$A$10008,$H$2,PURCHASE!$H$6:$H$10008,$A$4:$A$2700)</f>
        <v>0</v>
      </c>
      <c r="M247" s="512">
        <f t="shared" si="64"/>
        <v>0</v>
      </c>
      <c r="N247" s="512">
        <f>SUMIFS(PURCHASE!$K$6:$K$10008,PURCHASE!$A$6:$A$10008,$M$2,PURCHASE!$H$6:$H$10008,$A$4:$A$2700)</f>
        <v>0</v>
      </c>
      <c r="O247" s="512">
        <f>SUMIFS(PURCHASE!$L$6:$L$10008,PURCHASE!$A$6:$A$10008,$M$2,PURCHASE!$H$6:$H$10008,$A$4:$A$2700)</f>
        <v>0</v>
      </c>
      <c r="P247" s="512">
        <f>SUMIFS(PURCHASE!$M$6:$M$10008,PURCHASE!$A$6:$A$10008,$M$2,PURCHASE!$H$6:$H$10008,$A$4:$A$2700)</f>
        <v>0</v>
      </c>
      <c r="Q247" s="512">
        <f>SUMIFS(PURCHASE!$N$6:$N$10008,PURCHASE!$A$6:$A$10008,$M$2,PURCHASE!$H$6:$H$10008,$A$4:$A$2700)</f>
        <v>0</v>
      </c>
      <c r="R247" s="512">
        <f t="shared" si="65"/>
        <v>0</v>
      </c>
      <c r="S247" s="512">
        <f>SUMIFS(PURCHASE!$K$6:$K$10008,PURCHASE!$A$6:$A$10008,$R$2,PURCHASE!$H$6:$H$10008,$A$4:$A$2700)</f>
        <v>0</v>
      </c>
      <c r="T247" s="512">
        <f>SUMIFS(PURCHASE!$L$6:$L$10008,PURCHASE!$A$6:$A$10008,$R$2,PURCHASE!$H$6:$H$10008,$A$4:$A$2700)</f>
        <v>0</v>
      </c>
      <c r="U247" s="512">
        <f>SUMIFS(PURCHASE!$M$6:$M$10008,PURCHASE!$A$6:$A$10008,$R$2,PURCHASE!$H$6:$H$10008,$A$4:$A$2700)</f>
        <v>0</v>
      </c>
      <c r="V247" s="512">
        <f>SUMIFS(PURCHASE!$N$6:$N$10008,PURCHASE!$A$6:$A$10008,$R$2,PURCHASE!$H$6:$H$10008,$A$4:$A$2700)</f>
        <v>0</v>
      </c>
      <c r="W247" s="512">
        <f t="shared" si="66"/>
        <v>0</v>
      </c>
      <c r="X247" s="512">
        <f>SUMIFS(PURCHASE!$K$6:$K$10008,PURCHASE!$A$6:$A$10008,$W$2,PURCHASE!$H$6:$H$10008,$A$4:$A$2700)</f>
        <v>0</v>
      </c>
      <c r="Y247" s="512">
        <f>SUMIFS(PURCHASE!$L$6:$L$10008,PURCHASE!$A$6:$A$10008,$W$2,PURCHASE!$H$6:$H$10008,$A$4:$A$2700)</f>
        <v>0</v>
      </c>
      <c r="Z247" s="512">
        <f>SUMIFS(PURCHASE!$M$6:$M$10008,PURCHASE!$A$6:$A$10008,$W$2,PURCHASE!$H$6:$H$10008,$A$4:$A$2700)</f>
        <v>0</v>
      </c>
      <c r="AA247" s="512">
        <f>SUMIFS(PURCHASE!$N$6:$N$10008,PURCHASE!$A$6:$A$10008,$W$2,PURCHASE!$H$6:$H$10008,$A$4:$A$2700)</f>
        <v>0</v>
      </c>
      <c r="AB247" s="512">
        <f t="shared" si="67"/>
        <v>0</v>
      </c>
      <c r="AC247" s="512">
        <f>SUMIFS(PURCHASE!$K$6:$K$10008,PURCHASE!$A$6:$A$10008,$AB$2,PURCHASE!$H$6:$H$10008,$A$4:$A$2700)</f>
        <v>0</v>
      </c>
      <c r="AD247" s="512">
        <f>SUMIFS(PURCHASE!$L$6:$L$10008,PURCHASE!$A$6:$A$10008,$AB$2,PURCHASE!$H$6:$H$10008,$A$4:$A$2700)</f>
        <v>0</v>
      </c>
      <c r="AE247" s="512">
        <f>SUMIFS(PURCHASE!$M$6:$M$10008,PURCHASE!$A$6:$A$10008,$AB$2,PURCHASE!$H$6:$H$10008,$A$4:$A$2700)</f>
        <v>0</v>
      </c>
      <c r="AF247" s="512">
        <f>SUMIFS(PURCHASE!$N$6:$N$10008,PURCHASE!$A$6:$A$10008,$AB$2,PURCHASE!$H$6:$H$10008,$A$4:$A$2700)</f>
        <v>0</v>
      </c>
      <c r="AG247" s="512">
        <f t="shared" si="68"/>
        <v>0</v>
      </c>
      <c r="AH247" s="512">
        <f>SUMIFS(PURCHASE!$K$6:$K$10008,PURCHASE!$A$6:$A$10008,$AG$2,PURCHASE!$H$6:$H$10008,$A$4:$A$2700)</f>
        <v>0</v>
      </c>
      <c r="AI247" s="512">
        <f>SUMIFS(PURCHASE!$L$6:$L$10008,PURCHASE!$A$6:$A$10008,$AG$2,PURCHASE!$H$6:$H$10008,$A$4:$A$2700)</f>
        <v>0</v>
      </c>
      <c r="AJ247" s="512">
        <f>SUMIFS(PURCHASE!$M$6:$M$10008,PURCHASE!$A$6:$A$10008,$AG$2,PURCHASE!$H$6:$H$10008,$A$4:$A$2700)</f>
        <v>0</v>
      </c>
      <c r="AK247" s="512">
        <f>SUMIFS(PURCHASE!$N$6:$N$10008,PURCHASE!$A$6:$A$10008,$AG$2,PURCHASE!$H$6:$H$10008,$A$4:$A$2700)</f>
        <v>0</v>
      </c>
      <c r="AL247" s="512">
        <f t="shared" si="69"/>
        <v>0</v>
      </c>
      <c r="AM247" s="512">
        <f>SUMIFS(PURCHASE!$K$6:$K$10008,PURCHASE!$A$6:$A$10008,$AL$2,PURCHASE!$H$6:$H$10008,$A$4:$A$2700)</f>
        <v>0</v>
      </c>
      <c r="AN247" s="512">
        <f>SUMIFS(PURCHASE!$L$6:$L$10008,PURCHASE!$A$6:$A$10008,$AL$2,PURCHASE!$H$6:$H$10008,$A$4:$A$2700)</f>
        <v>0</v>
      </c>
      <c r="AO247" s="512">
        <f>SUMIFS(PURCHASE!$M$6:$M$10008,PURCHASE!$A$6:$A$10008,$AL$2,PURCHASE!$H$6:$H$10008,$A$4:$A$2700)</f>
        <v>0</v>
      </c>
      <c r="AP247" s="512">
        <f>SUMIFS(PURCHASE!$N$6:$N$10008,PURCHASE!$A$6:$A$10008,$AL$2,PURCHASE!$H$6:$H$10008,$A$4:$A$2700)</f>
        <v>0</v>
      </c>
      <c r="AQ247" s="512">
        <f t="shared" si="70"/>
        <v>1346.144</v>
      </c>
      <c r="AR247" s="512">
        <f>SUMIFS(PURCHASE!$K$6:$K$10008,PURCHASE!$A$6:$A$10008,$AQ$2,PURCHASE!$H$6:$H$10008,$A$4:$A$2700)</f>
        <v>1140.8</v>
      </c>
      <c r="AS247" s="512">
        <f>SUMIFS(PURCHASE!$L$6:$L$10008,PURCHASE!$A$6:$A$10008,$AQ$2,PURCHASE!$H$6:$H$10008,$A$4:$A$2700)</f>
        <v>0</v>
      </c>
      <c r="AT247" s="512">
        <f>SUMIFS(PURCHASE!$M$6:$M$10008,PURCHASE!$A$6:$A$10008,$AQ$2,PURCHASE!$H$6:$H$10008,$A$4:$A$2700)</f>
        <v>102.67200000000001</v>
      </c>
      <c r="AU247" s="512">
        <f>SUMIFS(PURCHASE!$N$6:$N$10008,PURCHASE!$A$6:$A$10008,$AQ$2,PURCHASE!$H$6:$H$10008,$A$4:$A$2700)</f>
        <v>102.67200000000001</v>
      </c>
      <c r="AV247" s="512">
        <f t="shared" si="71"/>
        <v>0</v>
      </c>
      <c r="AW247" s="512">
        <f>SUMIFS(PURCHASE!$K$6:$K$10008,PURCHASE!$A$6:$A$10008,$AV$2,PURCHASE!$H$6:$H$10008,$A$4:$A$2700)</f>
        <v>0</v>
      </c>
      <c r="AX247" s="512">
        <f>SUMIFS(PURCHASE!$L$6:$L$10008,PURCHASE!$A$6:$A$10008,$AV$2,PURCHASE!$H$6:$H$10008,$A$4:$A$2700)</f>
        <v>0</v>
      </c>
      <c r="AY247" s="512">
        <f>SUMIFS(PURCHASE!$M$6:$M$10008,PURCHASE!$A$6:$A$10008,$AV$2,PURCHASE!$H$6:$H$10008,$A$4:$A$2700)</f>
        <v>0</v>
      </c>
      <c r="AZ247" s="512">
        <f>SUMIFS(PURCHASE!$N$6:$N$10008,PURCHASE!$A$6:$A$10008,$AV$2,PURCHASE!$H$6:$H$10008,$A$4:$A$2700)</f>
        <v>0</v>
      </c>
      <c r="BA247" s="512">
        <f t="shared" si="72"/>
        <v>0</v>
      </c>
      <c r="BB247" s="512">
        <f>SUMIFS(PURCHASE!$K$6:$K$10008,PURCHASE!$A$6:$A$10008,$BA$2,PURCHASE!$H$6:$H$10008,$A$4:$A$2700)</f>
        <v>0</v>
      </c>
      <c r="BC247" s="512">
        <f>SUMIFS(PURCHASE!$L$6:$L$10008,PURCHASE!$A$6:$A$10008,$BA$2,PURCHASE!$H$6:$H$10008,$A$4:$A$2700)</f>
        <v>0</v>
      </c>
      <c r="BD247" s="512">
        <f>SUMIFS(PURCHASE!$M$6:$M$10008,PURCHASE!$A$6:$A$10008,$BA$2,PURCHASE!$H$6:$H$10008,$A$4:$A$2700)</f>
        <v>0</v>
      </c>
      <c r="BE247" s="512">
        <f>SUMIFS(PURCHASE!$N$6:$N$10008,PURCHASE!$A$6:$A$10008,$BA$2,PURCHASE!$H$6:$H$10008,$A$4:$A$2700)</f>
        <v>0</v>
      </c>
      <c r="BF247" s="512">
        <f t="shared" si="73"/>
        <v>0</v>
      </c>
      <c r="BG247" s="512">
        <f>SUMIFS(PURCHASE!$K$6:$K$10008,PURCHASE!$A$6:$A$10008,$BF$2,PURCHASE!$H$6:$H$10008,$A$4:$A$2700)</f>
        <v>0</v>
      </c>
      <c r="BH247" s="512">
        <f>SUMIFS(PURCHASE!$L$6:$L$10008,PURCHASE!$A$6:$A$10008,$BF$2,PURCHASE!$H$6:$H$10008,$A$4:$A$2700)</f>
        <v>0</v>
      </c>
      <c r="BI247" s="512">
        <f>SUMIFS(PURCHASE!$M$6:$M$10008,PURCHASE!$A$6:$A$10008,$BF$2,PURCHASE!$H$6:$H$10008,$A$4:$A$2700)</f>
        <v>0</v>
      </c>
      <c r="BJ247" s="512">
        <f>SUMIFS(PURCHASE!$N$6:$N$10008,PURCHASE!$A$6:$A$10008,$BF$2,PURCHASE!$H$6:$H$10008,$A$4:$A$2700)</f>
        <v>0</v>
      </c>
      <c r="BK247" s="72">
        <f t="shared" si="75"/>
        <v>1346.144</v>
      </c>
      <c r="BL247" s="72">
        <f t="shared" si="76"/>
        <v>1140.8</v>
      </c>
      <c r="BM247" s="72">
        <f t="shared" si="77"/>
        <v>0</v>
      </c>
      <c r="BN247" s="72">
        <f t="shared" si="78"/>
        <v>102.67200000000001</v>
      </c>
      <c r="BO247" s="72">
        <f t="shared" si="79"/>
        <v>102.67200000000001</v>
      </c>
    </row>
    <row r="248" spans="1:67" x14ac:dyDescent="0.2">
      <c r="A248" s="511" t="s">
        <v>481</v>
      </c>
      <c r="B248" s="467" t="s">
        <v>266</v>
      </c>
      <c r="C248" s="512">
        <f t="shared" si="62"/>
        <v>0</v>
      </c>
      <c r="D248" s="512">
        <f>SUMIFS(PURCHASE!$K$6:$K$10008,PURCHASE!$A$6:$A$10008,$M$2,PURCHASE!$H$6:$H$10008,$A$4:$A$2700)</f>
        <v>0</v>
      </c>
      <c r="E248" s="512">
        <f>SUMIFS(PURCHASE!$L$6:$L$10008,PURCHASE!$A$6:$A$10008,$M$2,PURCHASE!$H$6:$H$10008,$A$4:$A$2700)</f>
        <v>0</v>
      </c>
      <c r="F248" s="512">
        <f>SUMIFS(PURCHASE!$M$6:$M$10008,PURCHASE!$A$6:$A$10008,$M$2,PURCHASE!$H$6:$H$10008,$A$4:$A$2700)</f>
        <v>0</v>
      </c>
      <c r="G248" s="512">
        <f>SUMIFS(PURCHASE!$N$6:$N$10008,PURCHASE!$A$6:$A$10008,$M$2,PURCHASE!$H$6:$H$10008,$A$4:$A$2700)</f>
        <v>0</v>
      </c>
      <c r="H248" s="512">
        <f t="shared" si="63"/>
        <v>141.60000000000002</v>
      </c>
      <c r="I248" s="512">
        <f>SUMIFS(PURCHASE!$K$6:$K$10008,PURCHASE!$A$6:$A$10008,$H$2,PURCHASE!$H$6:$H$10008,$A$4:$A$2700)</f>
        <v>120</v>
      </c>
      <c r="J248" s="512">
        <f>SUMIFS(PURCHASE!$L$6:$L$10008,PURCHASE!$A$6:$A$10008,$H$2,PURCHASE!$H$6:$H$10008,$A$4:$A$2700)</f>
        <v>0</v>
      </c>
      <c r="K248" s="512">
        <f>SUMIFS(PURCHASE!$M$6:$M$10008,PURCHASE!$A$6:$A$10008,$H$2,PURCHASE!$H$6:$H$10008,$A$4:$A$2700)</f>
        <v>10.799999999999999</v>
      </c>
      <c r="L248" s="512">
        <f>SUMIFS(PURCHASE!$N$6:$N$10008,PURCHASE!$A$6:$A$10008,$H$2,PURCHASE!$H$6:$H$10008,$A$4:$A$2700)</f>
        <v>10.799999999999999</v>
      </c>
      <c r="M248" s="512">
        <f t="shared" si="64"/>
        <v>0</v>
      </c>
      <c r="N248" s="512">
        <f>SUMIFS(PURCHASE!$K$6:$K$10008,PURCHASE!$A$6:$A$10008,$M$2,PURCHASE!$H$6:$H$10008,$A$4:$A$2700)</f>
        <v>0</v>
      </c>
      <c r="O248" s="512">
        <f>SUMIFS(PURCHASE!$L$6:$L$10008,PURCHASE!$A$6:$A$10008,$M$2,PURCHASE!$H$6:$H$10008,$A$4:$A$2700)</f>
        <v>0</v>
      </c>
      <c r="P248" s="512">
        <f>SUMIFS(PURCHASE!$M$6:$M$10008,PURCHASE!$A$6:$A$10008,$M$2,PURCHASE!$H$6:$H$10008,$A$4:$A$2700)</f>
        <v>0</v>
      </c>
      <c r="Q248" s="512">
        <f>SUMIFS(PURCHASE!$N$6:$N$10008,PURCHASE!$A$6:$A$10008,$M$2,PURCHASE!$H$6:$H$10008,$A$4:$A$2700)</f>
        <v>0</v>
      </c>
      <c r="R248" s="512">
        <f t="shared" si="65"/>
        <v>0</v>
      </c>
      <c r="S248" s="512">
        <f>SUMIFS(PURCHASE!$K$6:$K$10008,PURCHASE!$A$6:$A$10008,$R$2,PURCHASE!$H$6:$H$10008,$A$4:$A$2700)</f>
        <v>0</v>
      </c>
      <c r="T248" s="512">
        <f>SUMIFS(PURCHASE!$L$6:$L$10008,PURCHASE!$A$6:$A$10008,$R$2,PURCHASE!$H$6:$H$10008,$A$4:$A$2700)</f>
        <v>0</v>
      </c>
      <c r="U248" s="512">
        <f>SUMIFS(PURCHASE!$M$6:$M$10008,PURCHASE!$A$6:$A$10008,$R$2,PURCHASE!$H$6:$H$10008,$A$4:$A$2700)</f>
        <v>0</v>
      </c>
      <c r="V248" s="512">
        <f>SUMIFS(PURCHASE!$N$6:$N$10008,PURCHASE!$A$6:$A$10008,$R$2,PURCHASE!$H$6:$H$10008,$A$4:$A$2700)</f>
        <v>0</v>
      </c>
      <c r="W248" s="512">
        <f t="shared" si="66"/>
        <v>0</v>
      </c>
      <c r="X248" s="512">
        <f>SUMIFS(PURCHASE!$K$6:$K$10008,PURCHASE!$A$6:$A$10008,$W$2,PURCHASE!$H$6:$H$10008,$A$4:$A$2700)</f>
        <v>0</v>
      </c>
      <c r="Y248" s="512">
        <f>SUMIFS(PURCHASE!$L$6:$L$10008,PURCHASE!$A$6:$A$10008,$W$2,PURCHASE!$H$6:$H$10008,$A$4:$A$2700)</f>
        <v>0</v>
      </c>
      <c r="Z248" s="512">
        <f>SUMIFS(PURCHASE!$M$6:$M$10008,PURCHASE!$A$6:$A$10008,$W$2,PURCHASE!$H$6:$H$10008,$A$4:$A$2700)</f>
        <v>0</v>
      </c>
      <c r="AA248" s="512">
        <f>SUMIFS(PURCHASE!$N$6:$N$10008,PURCHASE!$A$6:$A$10008,$W$2,PURCHASE!$H$6:$H$10008,$A$4:$A$2700)</f>
        <v>0</v>
      </c>
      <c r="AB248" s="512">
        <f t="shared" si="67"/>
        <v>0</v>
      </c>
      <c r="AC248" s="512">
        <f>SUMIFS(PURCHASE!$K$6:$K$10008,PURCHASE!$A$6:$A$10008,$AB$2,PURCHASE!$H$6:$H$10008,$A$4:$A$2700)</f>
        <v>0</v>
      </c>
      <c r="AD248" s="512">
        <f>SUMIFS(PURCHASE!$L$6:$L$10008,PURCHASE!$A$6:$A$10008,$AB$2,PURCHASE!$H$6:$H$10008,$A$4:$A$2700)</f>
        <v>0</v>
      </c>
      <c r="AE248" s="512">
        <f>SUMIFS(PURCHASE!$M$6:$M$10008,PURCHASE!$A$6:$A$10008,$AB$2,PURCHASE!$H$6:$H$10008,$A$4:$A$2700)</f>
        <v>0</v>
      </c>
      <c r="AF248" s="512">
        <f>SUMIFS(PURCHASE!$N$6:$N$10008,PURCHASE!$A$6:$A$10008,$AB$2,PURCHASE!$H$6:$H$10008,$A$4:$A$2700)</f>
        <v>0</v>
      </c>
      <c r="AG248" s="512">
        <f t="shared" si="68"/>
        <v>0</v>
      </c>
      <c r="AH248" s="512">
        <f>SUMIFS(PURCHASE!$K$6:$K$10008,PURCHASE!$A$6:$A$10008,$AG$2,PURCHASE!$H$6:$H$10008,$A$4:$A$2700)</f>
        <v>0</v>
      </c>
      <c r="AI248" s="512">
        <f>SUMIFS(PURCHASE!$L$6:$L$10008,PURCHASE!$A$6:$A$10008,$AG$2,PURCHASE!$H$6:$H$10008,$A$4:$A$2700)</f>
        <v>0</v>
      </c>
      <c r="AJ248" s="512">
        <f>SUMIFS(PURCHASE!$M$6:$M$10008,PURCHASE!$A$6:$A$10008,$AG$2,PURCHASE!$H$6:$H$10008,$A$4:$A$2700)</f>
        <v>0</v>
      </c>
      <c r="AK248" s="512">
        <f>SUMIFS(PURCHASE!$N$6:$N$10008,PURCHASE!$A$6:$A$10008,$AG$2,PURCHASE!$H$6:$H$10008,$A$4:$A$2700)</f>
        <v>0</v>
      </c>
      <c r="AL248" s="512">
        <f t="shared" si="69"/>
        <v>0</v>
      </c>
      <c r="AM248" s="512">
        <f>SUMIFS(PURCHASE!$K$6:$K$10008,PURCHASE!$A$6:$A$10008,$AL$2,PURCHASE!$H$6:$H$10008,$A$4:$A$2700)</f>
        <v>0</v>
      </c>
      <c r="AN248" s="512">
        <f>SUMIFS(PURCHASE!$L$6:$L$10008,PURCHASE!$A$6:$A$10008,$AL$2,PURCHASE!$H$6:$H$10008,$A$4:$A$2700)</f>
        <v>0</v>
      </c>
      <c r="AO248" s="512">
        <f>SUMIFS(PURCHASE!$M$6:$M$10008,PURCHASE!$A$6:$A$10008,$AL$2,PURCHASE!$H$6:$H$10008,$A$4:$A$2700)</f>
        <v>0</v>
      </c>
      <c r="AP248" s="512">
        <f>SUMIFS(PURCHASE!$N$6:$N$10008,PURCHASE!$A$6:$A$10008,$AL$2,PURCHASE!$H$6:$H$10008,$A$4:$A$2700)</f>
        <v>0</v>
      </c>
      <c r="AQ248" s="512">
        <f t="shared" si="70"/>
        <v>0</v>
      </c>
      <c r="AR248" s="512">
        <f>SUMIFS(PURCHASE!$K$6:$K$10008,PURCHASE!$A$6:$A$10008,$AQ$2,PURCHASE!$H$6:$H$10008,$A$4:$A$2700)</f>
        <v>0</v>
      </c>
      <c r="AS248" s="512">
        <f>SUMIFS(PURCHASE!$L$6:$L$10008,PURCHASE!$A$6:$A$10008,$AQ$2,PURCHASE!$H$6:$H$10008,$A$4:$A$2700)</f>
        <v>0</v>
      </c>
      <c r="AT248" s="512">
        <f>SUMIFS(PURCHASE!$M$6:$M$10008,PURCHASE!$A$6:$A$10008,$AQ$2,PURCHASE!$H$6:$H$10008,$A$4:$A$2700)</f>
        <v>0</v>
      </c>
      <c r="AU248" s="512">
        <f>SUMIFS(PURCHASE!$N$6:$N$10008,PURCHASE!$A$6:$A$10008,$AQ$2,PURCHASE!$H$6:$H$10008,$A$4:$A$2700)</f>
        <v>0</v>
      </c>
      <c r="AV248" s="512">
        <f t="shared" si="71"/>
        <v>0</v>
      </c>
      <c r="AW248" s="512">
        <f>SUMIFS(PURCHASE!$K$6:$K$10008,PURCHASE!$A$6:$A$10008,$AV$2,PURCHASE!$H$6:$H$10008,$A$4:$A$2700)</f>
        <v>0</v>
      </c>
      <c r="AX248" s="512">
        <f>SUMIFS(PURCHASE!$L$6:$L$10008,PURCHASE!$A$6:$A$10008,$AV$2,PURCHASE!$H$6:$H$10008,$A$4:$A$2700)</f>
        <v>0</v>
      </c>
      <c r="AY248" s="512">
        <f>SUMIFS(PURCHASE!$M$6:$M$10008,PURCHASE!$A$6:$A$10008,$AV$2,PURCHASE!$H$6:$H$10008,$A$4:$A$2700)</f>
        <v>0</v>
      </c>
      <c r="AZ248" s="512">
        <f>SUMIFS(PURCHASE!$N$6:$N$10008,PURCHASE!$A$6:$A$10008,$AV$2,PURCHASE!$H$6:$H$10008,$A$4:$A$2700)</f>
        <v>0</v>
      </c>
      <c r="BA248" s="512">
        <f t="shared" si="72"/>
        <v>0</v>
      </c>
      <c r="BB248" s="512">
        <f>SUMIFS(PURCHASE!$K$6:$K$10008,PURCHASE!$A$6:$A$10008,$BA$2,PURCHASE!$H$6:$H$10008,$A$4:$A$2700)</f>
        <v>0</v>
      </c>
      <c r="BC248" s="512">
        <f>SUMIFS(PURCHASE!$L$6:$L$10008,PURCHASE!$A$6:$A$10008,$BA$2,PURCHASE!$H$6:$H$10008,$A$4:$A$2700)</f>
        <v>0</v>
      </c>
      <c r="BD248" s="512">
        <f>SUMIFS(PURCHASE!$M$6:$M$10008,PURCHASE!$A$6:$A$10008,$BA$2,PURCHASE!$H$6:$H$10008,$A$4:$A$2700)</f>
        <v>0</v>
      </c>
      <c r="BE248" s="512">
        <f>SUMIFS(PURCHASE!$N$6:$N$10008,PURCHASE!$A$6:$A$10008,$BA$2,PURCHASE!$H$6:$H$10008,$A$4:$A$2700)</f>
        <v>0</v>
      </c>
      <c r="BF248" s="512">
        <f t="shared" si="73"/>
        <v>0</v>
      </c>
      <c r="BG248" s="512">
        <f>SUMIFS(PURCHASE!$K$6:$K$10008,PURCHASE!$A$6:$A$10008,$BF$2,PURCHASE!$H$6:$H$10008,$A$4:$A$2700)</f>
        <v>0</v>
      </c>
      <c r="BH248" s="512">
        <f>SUMIFS(PURCHASE!$L$6:$L$10008,PURCHASE!$A$6:$A$10008,$BF$2,PURCHASE!$H$6:$H$10008,$A$4:$A$2700)</f>
        <v>0</v>
      </c>
      <c r="BI248" s="512">
        <f>SUMIFS(PURCHASE!$M$6:$M$10008,PURCHASE!$A$6:$A$10008,$BF$2,PURCHASE!$H$6:$H$10008,$A$4:$A$2700)</f>
        <v>0</v>
      </c>
      <c r="BJ248" s="512">
        <f>SUMIFS(PURCHASE!$N$6:$N$10008,PURCHASE!$A$6:$A$10008,$BF$2,PURCHASE!$H$6:$H$10008,$A$4:$A$2700)</f>
        <v>0</v>
      </c>
      <c r="BK248" s="72">
        <f t="shared" si="75"/>
        <v>141.60000000000002</v>
      </c>
      <c r="BL248" s="72">
        <f t="shared" si="76"/>
        <v>120</v>
      </c>
      <c r="BM248" s="72">
        <f t="shared" si="77"/>
        <v>0</v>
      </c>
      <c r="BN248" s="72">
        <f t="shared" si="78"/>
        <v>10.799999999999999</v>
      </c>
      <c r="BO248" s="72">
        <f t="shared" si="79"/>
        <v>10.799999999999999</v>
      </c>
    </row>
    <row r="249" spans="1:67" x14ac:dyDescent="0.2">
      <c r="A249" s="516" t="s">
        <v>1360</v>
      </c>
      <c r="B249" s="500" t="s">
        <v>1361</v>
      </c>
      <c r="C249" s="512">
        <f t="shared" si="62"/>
        <v>0</v>
      </c>
      <c r="D249" s="512">
        <f>SUMIFS(PURCHASE!$K$6:$K$10008,PURCHASE!$A$6:$A$10008,$M$2,PURCHASE!$H$6:$H$10008,$A$4:$A$2700)</f>
        <v>0</v>
      </c>
      <c r="E249" s="512">
        <f>SUMIFS(PURCHASE!$L$6:$L$10008,PURCHASE!$A$6:$A$10008,$M$2,PURCHASE!$H$6:$H$10008,$A$4:$A$2700)</f>
        <v>0</v>
      </c>
      <c r="F249" s="512">
        <f>SUMIFS(PURCHASE!$M$6:$M$10008,PURCHASE!$A$6:$A$10008,$M$2,PURCHASE!$H$6:$H$10008,$A$4:$A$2700)</f>
        <v>0</v>
      </c>
      <c r="G249" s="512">
        <f>SUMIFS(PURCHASE!$N$6:$N$10008,PURCHASE!$A$6:$A$10008,$M$2,PURCHASE!$H$6:$H$10008,$A$4:$A$2700)</f>
        <v>0</v>
      </c>
      <c r="H249" s="512">
        <f t="shared" si="63"/>
        <v>0</v>
      </c>
      <c r="I249" s="512">
        <f>SUMIFS(PURCHASE!$K$6:$K$10008,PURCHASE!$A$6:$A$10008,$H$2,PURCHASE!$H$6:$H$10008,$A$4:$A$2700)</f>
        <v>0</v>
      </c>
      <c r="J249" s="512">
        <f>SUMIFS(PURCHASE!$L$6:$L$10008,PURCHASE!$A$6:$A$10008,$H$2,PURCHASE!$H$6:$H$10008,$A$4:$A$2700)</f>
        <v>0</v>
      </c>
      <c r="K249" s="512">
        <f>SUMIFS(PURCHASE!$M$6:$M$10008,PURCHASE!$A$6:$A$10008,$H$2,PURCHASE!$H$6:$H$10008,$A$4:$A$2700)</f>
        <v>0</v>
      </c>
      <c r="L249" s="512">
        <f>SUMIFS(PURCHASE!$N$6:$N$10008,PURCHASE!$A$6:$A$10008,$H$2,PURCHASE!$H$6:$H$10008,$A$4:$A$2700)</f>
        <v>0</v>
      </c>
      <c r="M249" s="512">
        <f t="shared" si="64"/>
        <v>0</v>
      </c>
      <c r="N249" s="512">
        <f>SUMIFS(PURCHASE!$K$6:$K$10008,PURCHASE!$A$6:$A$10008,$M$2,PURCHASE!$H$6:$H$10008,$A$4:$A$2700)</f>
        <v>0</v>
      </c>
      <c r="O249" s="512">
        <f>SUMIFS(PURCHASE!$L$6:$L$10008,PURCHASE!$A$6:$A$10008,$M$2,PURCHASE!$H$6:$H$10008,$A$4:$A$2700)</f>
        <v>0</v>
      </c>
      <c r="P249" s="512">
        <f>SUMIFS(PURCHASE!$M$6:$M$10008,PURCHASE!$A$6:$A$10008,$M$2,PURCHASE!$H$6:$H$10008,$A$4:$A$2700)</f>
        <v>0</v>
      </c>
      <c r="Q249" s="512">
        <f>SUMIFS(PURCHASE!$N$6:$N$10008,PURCHASE!$A$6:$A$10008,$M$2,PURCHASE!$H$6:$H$10008,$A$4:$A$2700)</f>
        <v>0</v>
      </c>
      <c r="R249" s="512">
        <f t="shared" si="65"/>
        <v>0</v>
      </c>
      <c r="S249" s="512">
        <f>SUMIFS(PURCHASE!$K$6:$K$10008,PURCHASE!$A$6:$A$10008,$R$2,PURCHASE!$H$6:$H$10008,$A$4:$A$2700)</f>
        <v>0</v>
      </c>
      <c r="T249" s="512">
        <f>SUMIFS(PURCHASE!$L$6:$L$10008,PURCHASE!$A$6:$A$10008,$R$2,PURCHASE!$H$6:$H$10008,$A$4:$A$2700)</f>
        <v>0</v>
      </c>
      <c r="U249" s="512">
        <f>SUMIFS(PURCHASE!$M$6:$M$10008,PURCHASE!$A$6:$A$10008,$R$2,PURCHASE!$H$6:$H$10008,$A$4:$A$2700)</f>
        <v>0</v>
      </c>
      <c r="V249" s="512">
        <f>SUMIFS(PURCHASE!$N$6:$N$10008,PURCHASE!$A$6:$A$10008,$R$2,PURCHASE!$H$6:$H$10008,$A$4:$A$2700)</f>
        <v>0</v>
      </c>
      <c r="W249" s="512">
        <f t="shared" si="66"/>
        <v>0</v>
      </c>
      <c r="X249" s="512">
        <f>SUMIFS(PURCHASE!$K$6:$K$10008,PURCHASE!$A$6:$A$10008,$W$2,PURCHASE!$H$6:$H$10008,$A$4:$A$2700)</f>
        <v>0</v>
      </c>
      <c r="Y249" s="512">
        <f>SUMIFS(PURCHASE!$L$6:$L$10008,PURCHASE!$A$6:$A$10008,$W$2,PURCHASE!$H$6:$H$10008,$A$4:$A$2700)</f>
        <v>0</v>
      </c>
      <c r="Z249" s="512">
        <f>SUMIFS(PURCHASE!$M$6:$M$10008,PURCHASE!$A$6:$A$10008,$W$2,PURCHASE!$H$6:$H$10008,$A$4:$A$2700)</f>
        <v>0</v>
      </c>
      <c r="AA249" s="512">
        <f>SUMIFS(PURCHASE!$N$6:$N$10008,PURCHASE!$A$6:$A$10008,$W$2,PURCHASE!$H$6:$H$10008,$A$4:$A$2700)</f>
        <v>0</v>
      </c>
      <c r="AB249" s="512">
        <f t="shared" si="67"/>
        <v>0</v>
      </c>
      <c r="AC249" s="512">
        <f>SUMIFS(PURCHASE!$K$6:$K$10008,PURCHASE!$A$6:$A$10008,$AB$2,PURCHASE!$H$6:$H$10008,$A$4:$A$2700)</f>
        <v>0</v>
      </c>
      <c r="AD249" s="512">
        <f>SUMIFS(PURCHASE!$L$6:$L$10008,PURCHASE!$A$6:$A$10008,$AB$2,PURCHASE!$H$6:$H$10008,$A$4:$A$2700)</f>
        <v>0</v>
      </c>
      <c r="AE249" s="512">
        <f>SUMIFS(PURCHASE!$M$6:$M$10008,PURCHASE!$A$6:$A$10008,$AB$2,PURCHASE!$H$6:$H$10008,$A$4:$A$2700)</f>
        <v>0</v>
      </c>
      <c r="AF249" s="512">
        <f>SUMIFS(PURCHASE!$N$6:$N$10008,PURCHASE!$A$6:$A$10008,$AB$2,PURCHASE!$H$6:$H$10008,$A$4:$A$2700)</f>
        <v>0</v>
      </c>
      <c r="AG249" s="512">
        <f t="shared" si="68"/>
        <v>0</v>
      </c>
      <c r="AH249" s="512">
        <f>SUMIFS(PURCHASE!$K$6:$K$10008,PURCHASE!$A$6:$A$10008,$AG$2,PURCHASE!$H$6:$H$10008,$A$4:$A$2700)</f>
        <v>0</v>
      </c>
      <c r="AI249" s="512">
        <f>SUMIFS(PURCHASE!$L$6:$L$10008,PURCHASE!$A$6:$A$10008,$AG$2,PURCHASE!$H$6:$H$10008,$A$4:$A$2700)</f>
        <v>0</v>
      </c>
      <c r="AJ249" s="512">
        <f>SUMIFS(PURCHASE!$M$6:$M$10008,PURCHASE!$A$6:$A$10008,$AG$2,PURCHASE!$H$6:$H$10008,$A$4:$A$2700)</f>
        <v>0</v>
      </c>
      <c r="AK249" s="512">
        <f>SUMIFS(PURCHASE!$N$6:$N$10008,PURCHASE!$A$6:$A$10008,$AG$2,PURCHASE!$H$6:$H$10008,$A$4:$A$2700)</f>
        <v>0</v>
      </c>
      <c r="AL249" s="512">
        <f t="shared" si="69"/>
        <v>0</v>
      </c>
      <c r="AM249" s="512">
        <f>SUMIFS(PURCHASE!$K$6:$K$10008,PURCHASE!$A$6:$A$10008,$AL$2,PURCHASE!$H$6:$H$10008,$A$4:$A$2700)</f>
        <v>0</v>
      </c>
      <c r="AN249" s="512">
        <f>SUMIFS(PURCHASE!$L$6:$L$10008,PURCHASE!$A$6:$A$10008,$AL$2,PURCHASE!$H$6:$H$10008,$A$4:$A$2700)</f>
        <v>0</v>
      </c>
      <c r="AO249" s="512">
        <f>SUMIFS(PURCHASE!$M$6:$M$10008,PURCHASE!$A$6:$A$10008,$AL$2,PURCHASE!$H$6:$H$10008,$A$4:$A$2700)</f>
        <v>0</v>
      </c>
      <c r="AP249" s="512">
        <f>SUMIFS(PURCHASE!$N$6:$N$10008,PURCHASE!$A$6:$A$10008,$AL$2,PURCHASE!$H$6:$H$10008,$A$4:$A$2700)</f>
        <v>0</v>
      </c>
      <c r="AQ249" s="512">
        <f t="shared" si="70"/>
        <v>0</v>
      </c>
      <c r="AR249" s="512">
        <f>SUMIFS(PURCHASE!$K$6:$K$10008,PURCHASE!$A$6:$A$10008,$AQ$2,PURCHASE!$H$6:$H$10008,$A$4:$A$2700)</f>
        <v>0</v>
      </c>
      <c r="AS249" s="512">
        <f>SUMIFS(PURCHASE!$L$6:$L$10008,PURCHASE!$A$6:$A$10008,$AQ$2,PURCHASE!$H$6:$H$10008,$A$4:$A$2700)</f>
        <v>0</v>
      </c>
      <c r="AT249" s="512">
        <f>SUMIFS(PURCHASE!$M$6:$M$10008,PURCHASE!$A$6:$A$10008,$AQ$2,PURCHASE!$H$6:$H$10008,$A$4:$A$2700)</f>
        <v>0</v>
      </c>
      <c r="AU249" s="512">
        <f>SUMIFS(PURCHASE!$N$6:$N$10008,PURCHASE!$A$6:$A$10008,$AQ$2,PURCHASE!$H$6:$H$10008,$A$4:$A$2700)</f>
        <v>0</v>
      </c>
      <c r="AV249" s="512">
        <f t="shared" si="71"/>
        <v>0</v>
      </c>
      <c r="AW249" s="512">
        <f>SUMIFS(PURCHASE!$K$6:$K$10008,PURCHASE!$A$6:$A$10008,$AV$2,PURCHASE!$H$6:$H$10008,$A$4:$A$2700)</f>
        <v>0</v>
      </c>
      <c r="AX249" s="512">
        <f>SUMIFS(PURCHASE!$L$6:$L$10008,PURCHASE!$A$6:$A$10008,$AV$2,PURCHASE!$H$6:$H$10008,$A$4:$A$2700)</f>
        <v>0</v>
      </c>
      <c r="AY249" s="512">
        <f>SUMIFS(PURCHASE!$M$6:$M$10008,PURCHASE!$A$6:$A$10008,$AV$2,PURCHASE!$H$6:$H$10008,$A$4:$A$2700)</f>
        <v>0</v>
      </c>
      <c r="AZ249" s="512">
        <f>SUMIFS(PURCHASE!$N$6:$N$10008,PURCHASE!$A$6:$A$10008,$AV$2,PURCHASE!$H$6:$H$10008,$A$4:$A$2700)</f>
        <v>0</v>
      </c>
      <c r="BA249" s="512">
        <f t="shared" si="72"/>
        <v>0</v>
      </c>
      <c r="BB249" s="512">
        <f>SUMIFS(PURCHASE!$K$6:$K$10008,PURCHASE!$A$6:$A$10008,$BA$2,PURCHASE!$H$6:$H$10008,$A$4:$A$2700)</f>
        <v>0</v>
      </c>
      <c r="BC249" s="512">
        <f>SUMIFS(PURCHASE!$L$6:$L$10008,PURCHASE!$A$6:$A$10008,$BA$2,PURCHASE!$H$6:$H$10008,$A$4:$A$2700)</f>
        <v>0</v>
      </c>
      <c r="BD249" s="512">
        <f>SUMIFS(PURCHASE!$M$6:$M$10008,PURCHASE!$A$6:$A$10008,$BA$2,PURCHASE!$H$6:$H$10008,$A$4:$A$2700)</f>
        <v>0</v>
      </c>
      <c r="BE249" s="512">
        <f>SUMIFS(PURCHASE!$N$6:$N$10008,PURCHASE!$A$6:$A$10008,$BA$2,PURCHASE!$H$6:$H$10008,$A$4:$A$2700)</f>
        <v>0</v>
      </c>
      <c r="BF249" s="512">
        <f t="shared" si="73"/>
        <v>0</v>
      </c>
      <c r="BG249" s="512">
        <f>SUMIFS(PURCHASE!$K$6:$K$10008,PURCHASE!$A$6:$A$10008,$BF$2,PURCHASE!$H$6:$H$10008,$A$4:$A$2700)</f>
        <v>0</v>
      </c>
      <c r="BH249" s="512">
        <f>SUMIFS(PURCHASE!$L$6:$L$10008,PURCHASE!$A$6:$A$10008,$BF$2,PURCHASE!$H$6:$H$10008,$A$4:$A$2700)</f>
        <v>0</v>
      </c>
      <c r="BI249" s="512">
        <f>SUMIFS(PURCHASE!$M$6:$M$10008,PURCHASE!$A$6:$A$10008,$BF$2,PURCHASE!$H$6:$H$10008,$A$4:$A$2700)</f>
        <v>0</v>
      </c>
      <c r="BJ249" s="512">
        <f>SUMIFS(PURCHASE!$N$6:$N$10008,PURCHASE!$A$6:$A$10008,$BF$2,PURCHASE!$H$6:$H$10008,$A$4:$A$2700)</f>
        <v>0</v>
      </c>
      <c r="BK249" s="72">
        <f t="shared" si="75"/>
        <v>0</v>
      </c>
      <c r="BL249" s="72">
        <f t="shared" si="76"/>
        <v>0</v>
      </c>
      <c r="BM249" s="72">
        <f t="shared" si="77"/>
        <v>0</v>
      </c>
      <c r="BN249" s="72">
        <f t="shared" si="78"/>
        <v>0</v>
      </c>
      <c r="BO249" s="72">
        <f t="shared" si="79"/>
        <v>0</v>
      </c>
    </row>
    <row r="250" spans="1:67" x14ac:dyDescent="0.2">
      <c r="A250" s="511" t="s">
        <v>1362</v>
      </c>
      <c r="B250" s="500" t="s">
        <v>1249</v>
      </c>
      <c r="C250" s="512">
        <f t="shared" si="62"/>
        <v>0</v>
      </c>
      <c r="D250" s="512">
        <f>SUMIFS(PURCHASE!$K$6:$K$10008,PURCHASE!$A$6:$A$10008,$M$2,PURCHASE!$H$6:$H$10008,$A$4:$A$2700)</f>
        <v>0</v>
      </c>
      <c r="E250" s="512">
        <f>SUMIFS(PURCHASE!$L$6:$L$10008,PURCHASE!$A$6:$A$10008,$M$2,PURCHASE!$H$6:$H$10008,$A$4:$A$2700)</f>
        <v>0</v>
      </c>
      <c r="F250" s="512">
        <f>SUMIFS(PURCHASE!$M$6:$M$10008,PURCHASE!$A$6:$A$10008,$M$2,PURCHASE!$H$6:$H$10008,$A$4:$A$2700)</f>
        <v>0</v>
      </c>
      <c r="G250" s="512">
        <f>SUMIFS(PURCHASE!$N$6:$N$10008,PURCHASE!$A$6:$A$10008,$M$2,PURCHASE!$H$6:$H$10008,$A$4:$A$2700)</f>
        <v>0</v>
      </c>
      <c r="H250" s="512">
        <f t="shared" si="63"/>
        <v>0</v>
      </c>
      <c r="I250" s="512">
        <f>SUMIFS(PURCHASE!$K$6:$K$10008,PURCHASE!$A$6:$A$10008,$H$2,PURCHASE!$H$6:$H$10008,$A$4:$A$2700)</f>
        <v>0</v>
      </c>
      <c r="J250" s="512">
        <f>SUMIFS(PURCHASE!$L$6:$L$10008,PURCHASE!$A$6:$A$10008,$H$2,PURCHASE!$H$6:$H$10008,$A$4:$A$2700)</f>
        <v>0</v>
      </c>
      <c r="K250" s="512">
        <f>SUMIFS(PURCHASE!$M$6:$M$10008,PURCHASE!$A$6:$A$10008,$H$2,PURCHASE!$H$6:$H$10008,$A$4:$A$2700)</f>
        <v>0</v>
      </c>
      <c r="L250" s="512">
        <f>SUMIFS(PURCHASE!$N$6:$N$10008,PURCHASE!$A$6:$A$10008,$H$2,PURCHASE!$H$6:$H$10008,$A$4:$A$2700)</f>
        <v>0</v>
      </c>
      <c r="M250" s="512">
        <f t="shared" si="64"/>
        <v>0</v>
      </c>
      <c r="N250" s="512">
        <f>SUMIFS(PURCHASE!$K$6:$K$10008,PURCHASE!$A$6:$A$10008,$M$2,PURCHASE!$H$6:$H$10008,$A$4:$A$2700)</f>
        <v>0</v>
      </c>
      <c r="O250" s="512">
        <f>SUMIFS(PURCHASE!$L$6:$L$10008,PURCHASE!$A$6:$A$10008,$M$2,PURCHASE!$H$6:$H$10008,$A$4:$A$2700)</f>
        <v>0</v>
      </c>
      <c r="P250" s="512">
        <f>SUMIFS(PURCHASE!$M$6:$M$10008,PURCHASE!$A$6:$A$10008,$M$2,PURCHASE!$H$6:$H$10008,$A$4:$A$2700)</f>
        <v>0</v>
      </c>
      <c r="Q250" s="512">
        <f>SUMIFS(PURCHASE!$N$6:$N$10008,PURCHASE!$A$6:$A$10008,$M$2,PURCHASE!$H$6:$H$10008,$A$4:$A$2700)</f>
        <v>0</v>
      </c>
      <c r="R250" s="512">
        <f t="shared" si="65"/>
        <v>0</v>
      </c>
      <c r="S250" s="512">
        <f>SUMIFS(PURCHASE!$K$6:$K$10008,PURCHASE!$A$6:$A$10008,$R$2,PURCHASE!$H$6:$H$10008,$A$4:$A$2700)</f>
        <v>0</v>
      </c>
      <c r="T250" s="512">
        <f>SUMIFS(PURCHASE!$L$6:$L$10008,PURCHASE!$A$6:$A$10008,$R$2,PURCHASE!$H$6:$H$10008,$A$4:$A$2700)</f>
        <v>0</v>
      </c>
      <c r="U250" s="512">
        <f>SUMIFS(PURCHASE!$M$6:$M$10008,PURCHASE!$A$6:$A$10008,$R$2,PURCHASE!$H$6:$H$10008,$A$4:$A$2700)</f>
        <v>0</v>
      </c>
      <c r="V250" s="512">
        <f>SUMIFS(PURCHASE!$N$6:$N$10008,PURCHASE!$A$6:$A$10008,$R$2,PURCHASE!$H$6:$H$10008,$A$4:$A$2700)</f>
        <v>0</v>
      </c>
      <c r="W250" s="512">
        <f t="shared" si="66"/>
        <v>0</v>
      </c>
      <c r="X250" s="512">
        <f>SUMIFS(PURCHASE!$K$6:$K$10008,PURCHASE!$A$6:$A$10008,$W$2,PURCHASE!$H$6:$H$10008,$A$4:$A$2700)</f>
        <v>0</v>
      </c>
      <c r="Y250" s="512">
        <f>SUMIFS(PURCHASE!$L$6:$L$10008,PURCHASE!$A$6:$A$10008,$W$2,PURCHASE!$H$6:$H$10008,$A$4:$A$2700)</f>
        <v>0</v>
      </c>
      <c r="Z250" s="512">
        <f>SUMIFS(PURCHASE!$M$6:$M$10008,PURCHASE!$A$6:$A$10008,$W$2,PURCHASE!$H$6:$H$10008,$A$4:$A$2700)</f>
        <v>0</v>
      </c>
      <c r="AA250" s="512">
        <f>SUMIFS(PURCHASE!$N$6:$N$10008,PURCHASE!$A$6:$A$10008,$W$2,PURCHASE!$H$6:$H$10008,$A$4:$A$2700)</f>
        <v>0</v>
      </c>
      <c r="AB250" s="512">
        <f t="shared" si="67"/>
        <v>0</v>
      </c>
      <c r="AC250" s="512">
        <f>SUMIFS(PURCHASE!$K$6:$K$10008,PURCHASE!$A$6:$A$10008,$AB$2,PURCHASE!$H$6:$H$10008,$A$4:$A$2700)</f>
        <v>0</v>
      </c>
      <c r="AD250" s="512">
        <f>SUMIFS(PURCHASE!$L$6:$L$10008,PURCHASE!$A$6:$A$10008,$AB$2,PURCHASE!$H$6:$H$10008,$A$4:$A$2700)</f>
        <v>0</v>
      </c>
      <c r="AE250" s="512">
        <f>SUMIFS(PURCHASE!$M$6:$M$10008,PURCHASE!$A$6:$A$10008,$AB$2,PURCHASE!$H$6:$H$10008,$A$4:$A$2700)</f>
        <v>0</v>
      </c>
      <c r="AF250" s="512">
        <f>SUMIFS(PURCHASE!$N$6:$N$10008,PURCHASE!$A$6:$A$10008,$AB$2,PURCHASE!$H$6:$H$10008,$A$4:$A$2700)</f>
        <v>0</v>
      </c>
      <c r="AG250" s="512">
        <f t="shared" si="68"/>
        <v>0</v>
      </c>
      <c r="AH250" s="512">
        <f>SUMIFS(PURCHASE!$K$6:$K$10008,PURCHASE!$A$6:$A$10008,$AG$2,PURCHASE!$H$6:$H$10008,$A$4:$A$2700)</f>
        <v>0</v>
      </c>
      <c r="AI250" s="512">
        <f>SUMIFS(PURCHASE!$L$6:$L$10008,PURCHASE!$A$6:$A$10008,$AG$2,PURCHASE!$H$6:$H$10008,$A$4:$A$2700)</f>
        <v>0</v>
      </c>
      <c r="AJ250" s="512">
        <f>SUMIFS(PURCHASE!$M$6:$M$10008,PURCHASE!$A$6:$A$10008,$AG$2,PURCHASE!$H$6:$H$10008,$A$4:$A$2700)</f>
        <v>0</v>
      </c>
      <c r="AK250" s="512">
        <f>SUMIFS(PURCHASE!$N$6:$N$10008,PURCHASE!$A$6:$A$10008,$AG$2,PURCHASE!$H$6:$H$10008,$A$4:$A$2700)</f>
        <v>0</v>
      </c>
      <c r="AL250" s="512">
        <f t="shared" si="69"/>
        <v>0</v>
      </c>
      <c r="AM250" s="512">
        <f>SUMIFS(PURCHASE!$K$6:$K$10008,PURCHASE!$A$6:$A$10008,$AL$2,PURCHASE!$H$6:$H$10008,$A$4:$A$2700)</f>
        <v>0</v>
      </c>
      <c r="AN250" s="512">
        <f>SUMIFS(PURCHASE!$L$6:$L$10008,PURCHASE!$A$6:$A$10008,$AL$2,PURCHASE!$H$6:$H$10008,$A$4:$A$2700)</f>
        <v>0</v>
      </c>
      <c r="AO250" s="512">
        <f>SUMIFS(PURCHASE!$M$6:$M$10008,PURCHASE!$A$6:$A$10008,$AL$2,PURCHASE!$H$6:$H$10008,$A$4:$A$2700)</f>
        <v>0</v>
      </c>
      <c r="AP250" s="512">
        <f>SUMIFS(PURCHASE!$N$6:$N$10008,PURCHASE!$A$6:$A$10008,$AL$2,PURCHASE!$H$6:$H$10008,$A$4:$A$2700)</f>
        <v>0</v>
      </c>
      <c r="AQ250" s="512">
        <f t="shared" si="70"/>
        <v>0</v>
      </c>
      <c r="AR250" s="512">
        <f>SUMIFS(PURCHASE!$K$6:$K$10008,PURCHASE!$A$6:$A$10008,$AQ$2,PURCHASE!$H$6:$H$10008,$A$4:$A$2700)</f>
        <v>0</v>
      </c>
      <c r="AS250" s="512">
        <f>SUMIFS(PURCHASE!$L$6:$L$10008,PURCHASE!$A$6:$A$10008,$AQ$2,PURCHASE!$H$6:$H$10008,$A$4:$A$2700)</f>
        <v>0</v>
      </c>
      <c r="AT250" s="512">
        <f>SUMIFS(PURCHASE!$M$6:$M$10008,PURCHASE!$A$6:$A$10008,$AQ$2,PURCHASE!$H$6:$H$10008,$A$4:$A$2700)</f>
        <v>0</v>
      </c>
      <c r="AU250" s="512">
        <f>SUMIFS(PURCHASE!$N$6:$N$10008,PURCHASE!$A$6:$A$10008,$AQ$2,PURCHASE!$H$6:$H$10008,$A$4:$A$2700)</f>
        <v>0</v>
      </c>
      <c r="AV250" s="512">
        <f t="shared" si="71"/>
        <v>0</v>
      </c>
      <c r="AW250" s="512">
        <f>SUMIFS(PURCHASE!$K$6:$K$10008,PURCHASE!$A$6:$A$10008,$AV$2,PURCHASE!$H$6:$H$10008,$A$4:$A$2700)</f>
        <v>0</v>
      </c>
      <c r="AX250" s="512">
        <f>SUMIFS(PURCHASE!$L$6:$L$10008,PURCHASE!$A$6:$A$10008,$AV$2,PURCHASE!$H$6:$H$10008,$A$4:$A$2700)</f>
        <v>0</v>
      </c>
      <c r="AY250" s="512">
        <f>SUMIFS(PURCHASE!$M$6:$M$10008,PURCHASE!$A$6:$A$10008,$AV$2,PURCHASE!$H$6:$H$10008,$A$4:$A$2700)</f>
        <v>0</v>
      </c>
      <c r="AZ250" s="512">
        <f>SUMIFS(PURCHASE!$N$6:$N$10008,PURCHASE!$A$6:$A$10008,$AV$2,PURCHASE!$H$6:$H$10008,$A$4:$A$2700)</f>
        <v>0</v>
      </c>
      <c r="BA250" s="512">
        <f t="shared" si="72"/>
        <v>0</v>
      </c>
      <c r="BB250" s="512">
        <f>SUMIFS(PURCHASE!$K$6:$K$10008,PURCHASE!$A$6:$A$10008,$BA$2,PURCHASE!$H$6:$H$10008,$A$4:$A$2700)</f>
        <v>0</v>
      </c>
      <c r="BC250" s="512">
        <f>SUMIFS(PURCHASE!$L$6:$L$10008,PURCHASE!$A$6:$A$10008,$BA$2,PURCHASE!$H$6:$H$10008,$A$4:$A$2700)</f>
        <v>0</v>
      </c>
      <c r="BD250" s="512">
        <f>SUMIFS(PURCHASE!$M$6:$M$10008,PURCHASE!$A$6:$A$10008,$BA$2,PURCHASE!$H$6:$H$10008,$A$4:$A$2700)</f>
        <v>0</v>
      </c>
      <c r="BE250" s="512">
        <f>SUMIFS(PURCHASE!$N$6:$N$10008,PURCHASE!$A$6:$A$10008,$BA$2,PURCHASE!$H$6:$H$10008,$A$4:$A$2700)</f>
        <v>0</v>
      </c>
      <c r="BF250" s="512">
        <f t="shared" si="73"/>
        <v>0</v>
      </c>
      <c r="BG250" s="512">
        <f>SUMIFS(PURCHASE!$K$6:$K$10008,PURCHASE!$A$6:$A$10008,$BF$2,PURCHASE!$H$6:$H$10008,$A$4:$A$2700)</f>
        <v>0</v>
      </c>
      <c r="BH250" s="512">
        <f>SUMIFS(PURCHASE!$L$6:$L$10008,PURCHASE!$A$6:$A$10008,$BF$2,PURCHASE!$H$6:$H$10008,$A$4:$A$2700)</f>
        <v>0</v>
      </c>
      <c r="BI250" s="512">
        <f>SUMIFS(PURCHASE!$M$6:$M$10008,PURCHASE!$A$6:$A$10008,$BF$2,PURCHASE!$H$6:$H$10008,$A$4:$A$2700)</f>
        <v>0</v>
      </c>
      <c r="BJ250" s="512">
        <f>SUMIFS(PURCHASE!$N$6:$N$10008,PURCHASE!$A$6:$A$10008,$BF$2,PURCHASE!$H$6:$H$10008,$A$4:$A$2700)</f>
        <v>0</v>
      </c>
      <c r="BK250" s="72">
        <f t="shared" si="75"/>
        <v>0</v>
      </c>
      <c r="BL250" s="72">
        <f t="shared" si="76"/>
        <v>0</v>
      </c>
      <c r="BM250" s="72">
        <f t="shared" si="77"/>
        <v>0</v>
      </c>
      <c r="BN250" s="72">
        <f t="shared" si="78"/>
        <v>0</v>
      </c>
      <c r="BO250" s="72">
        <f t="shared" si="79"/>
        <v>0</v>
      </c>
    </row>
    <row r="251" spans="1:67" x14ac:dyDescent="0.2">
      <c r="A251" s="511">
        <v>8503</v>
      </c>
      <c r="B251" s="500" t="s">
        <v>1363</v>
      </c>
      <c r="C251" s="512">
        <f t="shared" si="62"/>
        <v>0</v>
      </c>
      <c r="D251" s="512">
        <f>SUMIFS(PURCHASE!$K$6:$K$10008,PURCHASE!$A$6:$A$10008,$M$2,PURCHASE!$H$6:$H$10008,$A$4:$A$2700)</f>
        <v>0</v>
      </c>
      <c r="E251" s="512">
        <f>SUMIFS(PURCHASE!$L$6:$L$10008,PURCHASE!$A$6:$A$10008,$M$2,PURCHASE!$H$6:$H$10008,$A$4:$A$2700)</f>
        <v>0</v>
      </c>
      <c r="F251" s="512">
        <f>SUMIFS(PURCHASE!$M$6:$M$10008,PURCHASE!$A$6:$A$10008,$M$2,PURCHASE!$H$6:$H$10008,$A$4:$A$2700)</f>
        <v>0</v>
      </c>
      <c r="G251" s="512">
        <f>SUMIFS(PURCHASE!$N$6:$N$10008,PURCHASE!$A$6:$A$10008,$M$2,PURCHASE!$H$6:$H$10008,$A$4:$A$2700)</f>
        <v>0</v>
      </c>
      <c r="H251" s="512">
        <f t="shared" si="63"/>
        <v>1227.1999999999998</v>
      </c>
      <c r="I251" s="512">
        <f>SUMIFS(PURCHASE!$K$6:$K$10008,PURCHASE!$A$6:$A$10008,$H$2,PURCHASE!$H$6:$H$10008,$A$4:$A$2700)</f>
        <v>1040</v>
      </c>
      <c r="J251" s="512">
        <f>SUMIFS(PURCHASE!$L$6:$L$10008,PURCHASE!$A$6:$A$10008,$H$2,PURCHASE!$H$6:$H$10008,$A$4:$A$2700)</f>
        <v>0</v>
      </c>
      <c r="K251" s="512">
        <f>SUMIFS(PURCHASE!$M$6:$M$10008,PURCHASE!$A$6:$A$10008,$H$2,PURCHASE!$H$6:$H$10008,$A$4:$A$2700)</f>
        <v>93.600000000000009</v>
      </c>
      <c r="L251" s="512">
        <f>SUMIFS(PURCHASE!$N$6:$N$10008,PURCHASE!$A$6:$A$10008,$H$2,PURCHASE!$H$6:$H$10008,$A$4:$A$2700)</f>
        <v>93.600000000000009</v>
      </c>
      <c r="M251" s="512">
        <f t="shared" si="64"/>
        <v>0</v>
      </c>
      <c r="N251" s="512">
        <f>SUMIFS(PURCHASE!$K$6:$K$10008,PURCHASE!$A$6:$A$10008,$M$2,PURCHASE!$H$6:$H$10008,$A$4:$A$2700)</f>
        <v>0</v>
      </c>
      <c r="O251" s="512">
        <f>SUMIFS(PURCHASE!$L$6:$L$10008,PURCHASE!$A$6:$A$10008,$M$2,PURCHASE!$H$6:$H$10008,$A$4:$A$2700)</f>
        <v>0</v>
      </c>
      <c r="P251" s="512">
        <f>SUMIFS(PURCHASE!$M$6:$M$10008,PURCHASE!$A$6:$A$10008,$M$2,PURCHASE!$H$6:$H$10008,$A$4:$A$2700)</f>
        <v>0</v>
      </c>
      <c r="Q251" s="512">
        <f>SUMIFS(PURCHASE!$N$6:$N$10008,PURCHASE!$A$6:$A$10008,$M$2,PURCHASE!$H$6:$H$10008,$A$4:$A$2700)</f>
        <v>0</v>
      </c>
      <c r="R251" s="512">
        <f t="shared" si="65"/>
        <v>0</v>
      </c>
      <c r="S251" s="512">
        <f>SUMIFS(PURCHASE!$K$6:$K$10008,PURCHASE!$A$6:$A$10008,$R$2,PURCHASE!$H$6:$H$10008,$A$4:$A$2700)</f>
        <v>0</v>
      </c>
      <c r="T251" s="512">
        <f>SUMIFS(PURCHASE!$L$6:$L$10008,PURCHASE!$A$6:$A$10008,$R$2,PURCHASE!$H$6:$H$10008,$A$4:$A$2700)</f>
        <v>0</v>
      </c>
      <c r="U251" s="512">
        <f>SUMIFS(PURCHASE!$M$6:$M$10008,PURCHASE!$A$6:$A$10008,$R$2,PURCHASE!$H$6:$H$10008,$A$4:$A$2700)</f>
        <v>0</v>
      </c>
      <c r="V251" s="512">
        <f>SUMIFS(PURCHASE!$N$6:$N$10008,PURCHASE!$A$6:$A$10008,$R$2,PURCHASE!$H$6:$H$10008,$A$4:$A$2700)</f>
        <v>0</v>
      </c>
      <c r="W251" s="512">
        <f t="shared" si="66"/>
        <v>0</v>
      </c>
      <c r="X251" s="512">
        <f>SUMIFS(PURCHASE!$K$6:$K$10008,PURCHASE!$A$6:$A$10008,$W$2,PURCHASE!$H$6:$H$10008,$A$4:$A$2700)</f>
        <v>0</v>
      </c>
      <c r="Y251" s="512">
        <f>SUMIFS(PURCHASE!$L$6:$L$10008,PURCHASE!$A$6:$A$10008,$W$2,PURCHASE!$H$6:$H$10008,$A$4:$A$2700)</f>
        <v>0</v>
      </c>
      <c r="Z251" s="512">
        <f>SUMIFS(PURCHASE!$M$6:$M$10008,PURCHASE!$A$6:$A$10008,$W$2,PURCHASE!$H$6:$H$10008,$A$4:$A$2700)</f>
        <v>0</v>
      </c>
      <c r="AA251" s="512">
        <f>SUMIFS(PURCHASE!$N$6:$N$10008,PURCHASE!$A$6:$A$10008,$W$2,PURCHASE!$H$6:$H$10008,$A$4:$A$2700)</f>
        <v>0</v>
      </c>
      <c r="AB251" s="512">
        <f t="shared" si="67"/>
        <v>0</v>
      </c>
      <c r="AC251" s="512">
        <f>SUMIFS(PURCHASE!$K$6:$K$10008,PURCHASE!$A$6:$A$10008,$AB$2,PURCHASE!$H$6:$H$10008,$A$4:$A$2700)</f>
        <v>0</v>
      </c>
      <c r="AD251" s="512">
        <f>SUMIFS(PURCHASE!$L$6:$L$10008,PURCHASE!$A$6:$A$10008,$AB$2,PURCHASE!$H$6:$H$10008,$A$4:$A$2700)</f>
        <v>0</v>
      </c>
      <c r="AE251" s="512">
        <f>SUMIFS(PURCHASE!$M$6:$M$10008,PURCHASE!$A$6:$A$10008,$AB$2,PURCHASE!$H$6:$H$10008,$A$4:$A$2700)</f>
        <v>0</v>
      </c>
      <c r="AF251" s="512">
        <f>SUMIFS(PURCHASE!$N$6:$N$10008,PURCHASE!$A$6:$A$10008,$AB$2,PURCHASE!$H$6:$H$10008,$A$4:$A$2700)</f>
        <v>0</v>
      </c>
      <c r="AG251" s="512">
        <f t="shared" si="68"/>
        <v>0</v>
      </c>
      <c r="AH251" s="512">
        <f>SUMIFS(PURCHASE!$K$6:$K$10008,PURCHASE!$A$6:$A$10008,$AG$2,PURCHASE!$H$6:$H$10008,$A$4:$A$2700)</f>
        <v>0</v>
      </c>
      <c r="AI251" s="512">
        <f>SUMIFS(PURCHASE!$L$6:$L$10008,PURCHASE!$A$6:$A$10008,$AG$2,PURCHASE!$H$6:$H$10008,$A$4:$A$2700)</f>
        <v>0</v>
      </c>
      <c r="AJ251" s="512">
        <f>SUMIFS(PURCHASE!$M$6:$M$10008,PURCHASE!$A$6:$A$10008,$AG$2,PURCHASE!$H$6:$H$10008,$A$4:$A$2700)</f>
        <v>0</v>
      </c>
      <c r="AK251" s="512">
        <f>SUMIFS(PURCHASE!$N$6:$N$10008,PURCHASE!$A$6:$A$10008,$AG$2,PURCHASE!$H$6:$H$10008,$A$4:$A$2700)</f>
        <v>0</v>
      </c>
      <c r="AL251" s="512">
        <f t="shared" si="69"/>
        <v>0</v>
      </c>
      <c r="AM251" s="512">
        <f>SUMIFS(PURCHASE!$K$6:$K$10008,PURCHASE!$A$6:$A$10008,$AL$2,PURCHASE!$H$6:$H$10008,$A$4:$A$2700)</f>
        <v>0</v>
      </c>
      <c r="AN251" s="512">
        <f>SUMIFS(PURCHASE!$L$6:$L$10008,PURCHASE!$A$6:$A$10008,$AL$2,PURCHASE!$H$6:$H$10008,$A$4:$A$2700)</f>
        <v>0</v>
      </c>
      <c r="AO251" s="512">
        <f>SUMIFS(PURCHASE!$M$6:$M$10008,PURCHASE!$A$6:$A$10008,$AL$2,PURCHASE!$H$6:$H$10008,$A$4:$A$2700)</f>
        <v>0</v>
      </c>
      <c r="AP251" s="512">
        <f>SUMIFS(PURCHASE!$N$6:$N$10008,PURCHASE!$A$6:$A$10008,$AL$2,PURCHASE!$H$6:$H$10008,$A$4:$A$2700)</f>
        <v>0</v>
      </c>
      <c r="AQ251" s="512">
        <f t="shared" si="70"/>
        <v>0</v>
      </c>
      <c r="AR251" s="512">
        <f>SUMIFS(PURCHASE!$K$6:$K$10008,PURCHASE!$A$6:$A$10008,$AQ$2,PURCHASE!$H$6:$H$10008,$A$4:$A$2700)</f>
        <v>0</v>
      </c>
      <c r="AS251" s="512">
        <f>SUMIFS(PURCHASE!$L$6:$L$10008,PURCHASE!$A$6:$A$10008,$AQ$2,PURCHASE!$H$6:$H$10008,$A$4:$A$2700)</f>
        <v>0</v>
      </c>
      <c r="AT251" s="512">
        <f>SUMIFS(PURCHASE!$M$6:$M$10008,PURCHASE!$A$6:$A$10008,$AQ$2,PURCHASE!$H$6:$H$10008,$A$4:$A$2700)</f>
        <v>0</v>
      </c>
      <c r="AU251" s="512">
        <f>SUMIFS(PURCHASE!$N$6:$N$10008,PURCHASE!$A$6:$A$10008,$AQ$2,PURCHASE!$H$6:$H$10008,$A$4:$A$2700)</f>
        <v>0</v>
      </c>
      <c r="AV251" s="512">
        <f t="shared" si="71"/>
        <v>0</v>
      </c>
      <c r="AW251" s="512">
        <f>SUMIFS(PURCHASE!$K$6:$K$10008,PURCHASE!$A$6:$A$10008,$AV$2,PURCHASE!$H$6:$H$10008,$A$4:$A$2700)</f>
        <v>0</v>
      </c>
      <c r="AX251" s="512">
        <f>SUMIFS(PURCHASE!$L$6:$L$10008,PURCHASE!$A$6:$A$10008,$AV$2,PURCHASE!$H$6:$H$10008,$A$4:$A$2700)</f>
        <v>0</v>
      </c>
      <c r="AY251" s="512">
        <f>SUMIFS(PURCHASE!$M$6:$M$10008,PURCHASE!$A$6:$A$10008,$AV$2,PURCHASE!$H$6:$H$10008,$A$4:$A$2700)</f>
        <v>0</v>
      </c>
      <c r="AZ251" s="512">
        <f>SUMIFS(PURCHASE!$N$6:$N$10008,PURCHASE!$A$6:$A$10008,$AV$2,PURCHASE!$H$6:$H$10008,$A$4:$A$2700)</f>
        <v>0</v>
      </c>
      <c r="BA251" s="512">
        <f t="shared" si="72"/>
        <v>0</v>
      </c>
      <c r="BB251" s="512">
        <f>SUMIFS(PURCHASE!$K$6:$K$10008,PURCHASE!$A$6:$A$10008,$BA$2,PURCHASE!$H$6:$H$10008,$A$4:$A$2700)</f>
        <v>0</v>
      </c>
      <c r="BC251" s="512">
        <f>SUMIFS(PURCHASE!$L$6:$L$10008,PURCHASE!$A$6:$A$10008,$BA$2,PURCHASE!$H$6:$H$10008,$A$4:$A$2700)</f>
        <v>0</v>
      </c>
      <c r="BD251" s="512">
        <f>SUMIFS(PURCHASE!$M$6:$M$10008,PURCHASE!$A$6:$A$10008,$BA$2,PURCHASE!$H$6:$H$10008,$A$4:$A$2700)</f>
        <v>0</v>
      </c>
      <c r="BE251" s="512">
        <f>SUMIFS(PURCHASE!$N$6:$N$10008,PURCHASE!$A$6:$A$10008,$BA$2,PURCHASE!$H$6:$H$10008,$A$4:$A$2700)</f>
        <v>0</v>
      </c>
      <c r="BF251" s="512">
        <f t="shared" si="73"/>
        <v>0</v>
      </c>
      <c r="BG251" s="512">
        <f>SUMIFS(PURCHASE!$K$6:$K$10008,PURCHASE!$A$6:$A$10008,$BF$2,PURCHASE!$H$6:$H$10008,$A$4:$A$2700)</f>
        <v>0</v>
      </c>
      <c r="BH251" s="512">
        <f>SUMIFS(PURCHASE!$L$6:$L$10008,PURCHASE!$A$6:$A$10008,$BF$2,PURCHASE!$H$6:$H$10008,$A$4:$A$2700)</f>
        <v>0</v>
      </c>
      <c r="BI251" s="512">
        <f>SUMIFS(PURCHASE!$M$6:$M$10008,PURCHASE!$A$6:$A$10008,$BF$2,PURCHASE!$H$6:$H$10008,$A$4:$A$2700)</f>
        <v>0</v>
      </c>
      <c r="BJ251" s="512">
        <f>SUMIFS(PURCHASE!$N$6:$N$10008,PURCHASE!$A$6:$A$10008,$BF$2,PURCHASE!$H$6:$H$10008,$A$4:$A$2700)</f>
        <v>0</v>
      </c>
      <c r="BK251" s="72">
        <f t="shared" si="75"/>
        <v>1227.1999999999998</v>
      </c>
      <c r="BL251" s="72">
        <f t="shared" si="76"/>
        <v>1040</v>
      </c>
      <c r="BM251" s="72">
        <f t="shared" si="77"/>
        <v>0</v>
      </c>
      <c r="BN251" s="72">
        <f t="shared" si="78"/>
        <v>93.600000000000009</v>
      </c>
      <c r="BO251" s="72">
        <f t="shared" si="79"/>
        <v>93.600000000000009</v>
      </c>
    </row>
    <row r="252" spans="1:67" x14ac:dyDescent="0.2">
      <c r="A252" s="511" t="s">
        <v>1364</v>
      </c>
      <c r="B252" s="500" t="s">
        <v>1277</v>
      </c>
      <c r="C252" s="512">
        <f t="shared" si="62"/>
        <v>0</v>
      </c>
      <c r="D252" s="512">
        <f>SUMIFS(PURCHASE!$K$6:$K$10008,PURCHASE!$A$6:$A$10008,$M$2,PURCHASE!$H$6:$H$10008,$A$4:$A$2700)</f>
        <v>0</v>
      </c>
      <c r="E252" s="512">
        <f>SUMIFS(PURCHASE!$L$6:$L$10008,PURCHASE!$A$6:$A$10008,$M$2,PURCHASE!$H$6:$H$10008,$A$4:$A$2700)</f>
        <v>0</v>
      </c>
      <c r="F252" s="512">
        <f>SUMIFS(PURCHASE!$M$6:$M$10008,PURCHASE!$A$6:$A$10008,$M$2,PURCHASE!$H$6:$H$10008,$A$4:$A$2700)</f>
        <v>0</v>
      </c>
      <c r="G252" s="512">
        <f>SUMIFS(PURCHASE!$N$6:$N$10008,PURCHASE!$A$6:$A$10008,$M$2,PURCHASE!$H$6:$H$10008,$A$4:$A$2700)</f>
        <v>0</v>
      </c>
      <c r="H252" s="512">
        <f t="shared" si="63"/>
        <v>0</v>
      </c>
      <c r="I252" s="512">
        <f>SUMIFS(PURCHASE!$K$6:$K$10008,PURCHASE!$A$6:$A$10008,$H$2,PURCHASE!$H$6:$H$10008,$A$4:$A$2700)</f>
        <v>0</v>
      </c>
      <c r="J252" s="512">
        <f>SUMIFS(PURCHASE!$L$6:$L$10008,PURCHASE!$A$6:$A$10008,$H$2,PURCHASE!$H$6:$H$10008,$A$4:$A$2700)</f>
        <v>0</v>
      </c>
      <c r="K252" s="512">
        <f>SUMIFS(PURCHASE!$M$6:$M$10008,PURCHASE!$A$6:$A$10008,$H$2,PURCHASE!$H$6:$H$10008,$A$4:$A$2700)</f>
        <v>0</v>
      </c>
      <c r="L252" s="512">
        <f>SUMIFS(PURCHASE!$N$6:$N$10008,PURCHASE!$A$6:$A$10008,$H$2,PURCHASE!$H$6:$H$10008,$A$4:$A$2700)</f>
        <v>0</v>
      </c>
      <c r="M252" s="512">
        <f t="shared" si="64"/>
        <v>0</v>
      </c>
      <c r="N252" s="512">
        <f>SUMIFS(PURCHASE!$K$6:$K$10008,PURCHASE!$A$6:$A$10008,$M$2,PURCHASE!$H$6:$H$10008,$A$4:$A$2700)</f>
        <v>0</v>
      </c>
      <c r="O252" s="512">
        <f>SUMIFS(PURCHASE!$L$6:$L$10008,PURCHASE!$A$6:$A$10008,$M$2,PURCHASE!$H$6:$H$10008,$A$4:$A$2700)</f>
        <v>0</v>
      </c>
      <c r="P252" s="512">
        <f>SUMIFS(PURCHASE!$M$6:$M$10008,PURCHASE!$A$6:$A$10008,$M$2,PURCHASE!$H$6:$H$10008,$A$4:$A$2700)</f>
        <v>0</v>
      </c>
      <c r="Q252" s="512">
        <f>SUMIFS(PURCHASE!$N$6:$N$10008,PURCHASE!$A$6:$A$10008,$M$2,PURCHASE!$H$6:$H$10008,$A$4:$A$2700)</f>
        <v>0</v>
      </c>
      <c r="R252" s="512">
        <f t="shared" si="65"/>
        <v>0</v>
      </c>
      <c r="S252" s="512">
        <f>SUMIFS(PURCHASE!$K$6:$K$10008,PURCHASE!$A$6:$A$10008,$R$2,PURCHASE!$H$6:$H$10008,$A$4:$A$2700)</f>
        <v>0</v>
      </c>
      <c r="T252" s="512">
        <f>SUMIFS(PURCHASE!$L$6:$L$10008,PURCHASE!$A$6:$A$10008,$R$2,PURCHASE!$H$6:$H$10008,$A$4:$A$2700)</f>
        <v>0</v>
      </c>
      <c r="U252" s="512">
        <f>SUMIFS(PURCHASE!$M$6:$M$10008,PURCHASE!$A$6:$A$10008,$R$2,PURCHASE!$H$6:$H$10008,$A$4:$A$2700)</f>
        <v>0</v>
      </c>
      <c r="V252" s="512">
        <f>SUMIFS(PURCHASE!$N$6:$N$10008,PURCHASE!$A$6:$A$10008,$R$2,PURCHASE!$H$6:$H$10008,$A$4:$A$2700)</f>
        <v>0</v>
      </c>
      <c r="W252" s="512">
        <f t="shared" si="66"/>
        <v>0</v>
      </c>
      <c r="X252" s="512">
        <f>SUMIFS(PURCHASE!$K$6:$K$10008,PURCHASE!$A$6:$A$10008,$W$2,PURCHASE!$H$6:$H$10008,$A$4:$A$2700)</f>
        <v>0</v>
      </c>
      <c r="Y252" s="512">
        <f>SUMIFS(PURCHASE!$L$6:$L$10008,PURCHASE!$A$6:$A$10008,$W$2,PURCHASE!$H$6:$H$10008,$A$4:$A$2700)</f>
        <v>0</v>
      </c>
      <c r="Z252" s="512">
        <f>SUMIFS(PURCHASE!$M$6:$M$10008,PURCHASE!$A$6:$A$10008,$W$2,PURCHASE!$H$6:$H$10008,$A$4:$A$2700)</f>
        <v>0</v>
      </c>
      <c r="AA252" s="512">
        <f>SUMIFS(PURCHASE!$N$6:$N$10008,PURCHASE!$A$6:$A$10008,$W$2,PURCHASE!$H$6:$H$10008,$A$4:$A$2700)</f>
        <v>0</v>
      </c>
      <c r="AB252" s="512">
        <f t="shared" si="67"/>
        <v>0</v>
      </c>
      <c r="AC252" s="512">
        <f>SUMIFS(PURCHASE!$K$6:$K$10008,PURCHASE!$A$6:$A$10008,$AB$2,PURCHASE!$H$6:$H$10008,$A$4:$A$2700)</f>
        <v>0</v>
      </c>
      <c r="AD252" s="512">
        <f>SUMIFS(PURCHASE!$L$6:$L$10008,PURCHASE!$A$6:$A$10008,$AB$2,PURCHASE!$H$6:$H$10008,$A$4:$A$2700)</f>
        <v>0</v>
      </c>
      <c r="AE252" s="512">
        <f>SUMIFS(PURCHASE!$M$6:$M$10008,PURCHASE!$A$6:$A$10008,$AB$2,PURCHASE!$H$6:$H$10008,$A$4:$A$2700)</f>
        <v>0</v>
      </c>
      <c r="AF252" s="512">
        <f>SUMIFS(PURCHASE!$N$6:$N$10008,PURCHASE!$A$6:$A$10008,$AB$2,PURCHASE!$H$6:$H$10008,$A$4:$A$2700)</f>
        <v>0</v>
      </c>
      <c r="AG252" s="512">
        <f t="shared" si="68"/>
        <v>0</v>
      </c>
      <c r="AH252" s="512">
        <f>SUMIFS(PURCHASE!$K$6:$K$10008,PURCHASE!$A$6:$A$10008,$AG$2,PURCHASE!$H$6:$H$10008,$A$4:$A$2700)</f>
        <v>0</v>
      </c>
      <c r="AI252" s="512">
        <f>SUMIFS(PURCHASE!$L$6:$L$10008,PURCHASE!$A$6:$A$10008,$AG$2,PURCHASE!$H$6:$H$10008,$A$4:$A$2700)</f>
        <v>0</v>
      </c>
      <c r="AJ252" s="512">
        <f>SUMIFS(PURCHASE!$M$6:$M$10008,PURCHASE!$A$6:$A$10008,$AG$2,PURCHASE!$H$6:$H$10008,$A$4:$A$2700)</f>
        <v>0</v>
      </c>
      <c r="AK252" s="512">
        <f>SUMIFS(PURCHASE!$N$6:$N$10008,PURCHASE!$A$6:$A$10008,$AG$2,PURCHASE!$H$6:$H$10008,$A$4:$A$2700)</f>
        <v>0</v>
      </c>
      <c r="AL252" s="512">
        <f t="shared" si="69"/>
        <v>0</v>
      </c>
      <c r="AM252" s="512">
        <f>SUMIFS(PURCHASE!$K$6:$K$10008,PURCHASE!$A$6:$A$10008,$AL$2,PURCHASE!$H$6:$H$10008,$A$4:$A$2700)</f>
        <v>0</v>
      </c>
      <c r="AN252" s="512">
        <f>SUMIFS(PURCHASE!$L$6:$L$10008,PURCHASE!$A$6:$A$10008,$AL$2,PURCHASE!$H$6:$H$10008,$A$4:$A$2700)</f>
        <v>0</v>
      </c>
      <c r="AO252" s="512">
        <f>SUMIFS(PURCHASE!$M$6:$M$10008,PURCHASE!$A$6:$A$10008,$AL$2,PURCHASE!$H$6:$H$10008,$A$4:$A$2700)</f>
        <v>0</v>
      </c>
      <c r="AP252" s="512">
        <f>SUMIFS(PURCHASE!$N$6:$N$10008,PURCHASE!$A$6:$A$10008,$AL$2,PURCHASE!$H$6:$H$10008,$A$4:$A$2700)</f>
        <v>0</v>
      </c>
      <c r="AQ252" s="512">
        <f t="shared" si="70"/>
        <v>0</v>
      </c>
      <c r="AR252" s="512">
        <f>SUMIFS(PURCHASE!$K$6:$K$10008,PURCHASE!$A$6:$A$10008,$AQ$2,PURCHASE!$H$6:$H$10008,$A$4:$A$2700)</f>
        <v>0</v>
      </c>
      <c r="AS252" s="512">
        <f>SUMIFS(PURCHASE!$L$6:$L$10008,PURCHASE!$A$6:$A$10008,$AQ$2,PURCHASE!$H$6:$H$10008,$A$4:$A$2700)</f>
        <v>0</v>
      </c>
      <c r="AT252" s="512">
        <f>SUMIFS(PURCHASE!$M$6:$M$10008,PURCHASE!$A$6:$A$10008,$AQ$2,PURCHASE!$H$6:$H$10008,$A$4:$A$2700)</f>
        <v>0</v>
      </c>
      <c r="AU252" s="512">
        <f>SUMIFS(PURCHASE!$N$6:$N$10008,PURCHASE!$A$6:$A$10008,$AQ$2,PURCHASE!$H$6:$H$10008,$A$4:$A$2700)</f>
        <v>0</v>
      </c>
      <c r="AV252" s="512">
        <f t="shared" si="71"/>
        <v>0</v>
      </c>
      <c r="AW252" s="512">
        <f>SUMIFS(PURCHASE!$K$6:$K$10008,PURCHASE!$A$6:$A$10008,$AV$2,PURCHASE!$H$6:$H$10008,$A$4:$A$2700)</f>
        <v>0</v>
      </c>
      <c r="AX252" s="512">
        <f>SUMIFS(PURCHASE!$L$6:$L$10008,PURCHASE!$A$6:$A$10008,$AV$2,PURCHASE!$H$6:$H$10008,$A$4:$A$2700)</f>
        <v>0</v>
      </c>
      <c r="AY252" s="512">
        <f>SUMIFS(PURCHASE!$M$6:$M$10008,PURCHASE!$A$6:$A$10008,$AV$2,PURCHASE!$H$6:$H$10008,$A$4:$A$2700)</f>
        <v>0</v>
      </c>
      <c r="AZ252" s="512">
        <f>SUMIFS(PURCHASE!$N$6:$N$10008,PURCHASE!$A$6:$A$10008,$AV$2,PURCHASE!$H$6:$H$10008,$A$4:$A$2700)</f>
        <v>0</v>
      </c>
      <c r="BA252" s="512">
        <f t="shared" si="72"/>
        <v>0</v>
      </c>
      <c r="BB252" s="512">
        <f>SUMIFS(PURCHASE!$K$6:$K$10008,PURCHASE!$A$6:$A$10008,$BA$2,PURCHASE!$H$6:$H$10008,$A$4:$A$2700)</f>
        <v>0</v>
      </c>
      <c r="BC252" s="512">
        <f>SUMIFS(PURCHASE!$L$6:$L$10008,PURCHASE!$A$6:$A$10008,$BA$2,PURCHASE!$H$6:$H$10008,$A$4:$A$2700)</f>
        <v>0</v>
      </c>
      <c r="BD252" s="512">
        <f>SUMIFS(PURCHASE!$M$6:$M$10008,PURCHASE!$A$6:$A$10008,$BA$2,PURCHASE!$H$6:$H$10008,$A$4:$A$2700)</f>
        <v>0</v>
      </c>
      <c r="BE252" s="512">
        <f>SUMIFS(PURCHASE!$N$6:$N$10008,PURCHASE!$A$6:$A$10008,$BA$2,PURCHASE!$H$6:$H$10008,$A$4:$A$2700)</f>
        <v>0</v>
      </c>
      <c r="BF252" s="512">
        <f t="shared" si="73"/>
        <v>0</v>
      </c>
      <c r="BG252" s="512">
        <f>SUMIFS(PURCHASE!$K$6:$K$10008,PURCHASE!$A$6:$A$10008,$BF$2,PURCHASE!$H$6:$H$10008,$A$4:$A$2700)</f>
        <v>0</v>
      </c>
      <c r="BH252" s="512">
        <f>SUMIFS(PURCHASE!$L$6:$L$10008,PURCHASE!$A$6:$A$10008,$BF$2,PURCHASE!$H$6:$H$10008,$A$4:$A$2700)</f>
        <v>0</v>
      </c>
      <c r="BI252" s="512">
        <f>SUMIFS(PURCHASE!$M$6:$M$10008,PURCHASE!$A$6:$A$10008,$BF$2,PURCHASE!$H$6:$H$10008,$A$4:$A$2700)</f>
        <v>0</v>
      </c>
      <c r="BJ252" s="512">
        <f>SUMIFS(PURCHASE!$N$6:$N$10008,PURCHASE!$A$6:$A$10008,$BF$2,PURCHASE!$H$6:$H$10008,$A$4:$A$2700)</f>
        <v>0</v>
      </c>
      <c r="BK252" s="72">
        <f t="shared" si="75"/>
        <v>0</v>
      </c>
      <c r="BL252" s="72">
        <f t="shared" si="76"/>
        <v>0</v>
      </c>
      <c r="BM252" s="72">
        <f t="shared" si="77"/>
        <v>0</v>
      </c>
      <c r="BN252" s="72">
        <f t="shared" si="78"/>
        <v>0</v>
      </c>
      <c r="BO252" s="72">
        <f t="shared" si="79"/>
        <v>0</v>
      </c>
    </row>
    <row r="253" spans="1:67" x14ac:dyDescent="0.2">
      <c r="A253" s="511">
        <v>29153100</v>
      </c>
      <c r="B253" s="500" t="s">
        <v>1262</v>
      </c>
      <c r="C253" s="512">
        <f t="shared" si="62"/>
        <v>0</v>
      </c>
      <c r="D253" s="512">
        <f>SUMIFS(PURCHASE!$K$6:$K$10008,PURCHASE!$A$6:$A$10008,$M$2,PURCHASE!$H$6:$H$10008,$A$4:$A$2700)</f>
        <v>0</v>
      </c>
      <c r="E253" s="512">
        <f>SUMIFS(PURCHASE!$L$6:$L$10008,PURCHASE!$A$6:$A$10008,$M$2,PURCHASE!$H$6:$H$10008,$A$4:$A$2700)</f>
        <v>0</v>
      </c>
      <c r="F253" s="512">
        <f>SUMIFS(PURCHASE!$M$6:$M$10008,PURCHASE!$A$6:$A$10008,$M$2,PURCHASE!$H$6:$H$10008,$A$4:$A$2700)</f>
        <v>0</v>
      </c>
      <c r="G253" s="512">
        <f>SUMIFS(PURCHASE!$N$6:$N$10008,PURCHASE!$A$6:$A$10008,$M$2,PURCHASE!$H$6:$H$10008,$A$4:$A$2700)</f>
        <v>0</v>
      </c>
      <c r="H253" s="512">
        <f t="shared" si="63"/>
        <v>81774</v>
      </c>
      <c r="I253" s="512">
        <f>SUMIFS(PURCHASE!$K$6:$K$10008,PURCHASE!$A$6:$A$10008,$H$2,PURCHASE!$H$6:$H$10008,$A$4:$A$2700)</f>
        <v>69300</v>
      </c>
      <c r="J253" s="512">
        <f>SUMIFS(PURCHASE!$L$6:$L$10008,PURCHASE!$A$6:$A$10008,$H$2,PURCHASE!$H$6:$H$10008,$A$4:$A$2700)</f>
        <v>0</v>
      </c>
      <c r="K253" s="512">
        <f>SUMIFS(PURCHASE!$M$6:$M$10008,PURCHASE!$A$6:$A$10008,$H$2,PURCHASE!$H$6:$H$10008,$A$4:$A$2700)</f>
        <v>6237</v>
      </c>
      <c r="L253" s="512">
        <f>SUMIFS(PURCHASE!$N$6:$N$10008,PURCHASE!$A$6:$A$10008,$H$2,PURCHASE!$H$6:$H$10008,$A$4:$A$2700)</f>
        <v>6237</v>
      </c>
      <c r="M253" s="512">
        <f t="shared" si="64"/>
        <v>0</v>
      </c>
      <c r="N253" s="512">
        <f>SUMIFS(PURCHASE!$K$6:$K$10008,PURCHASE!$A$6:$A$10008,$M$2,PURCHASE!$H$6:$H$10008,$A$4:$A$2700)</f>
        <v>0</v>
      </c>
      <c r="O253" s="512">
        <f>SUMIFS(PURCHASE!$L$6:$L$10008,PURCHASE!$A$6:$A$10008,$M$2,PURCHASE!$H$6:$H$10008,$A$4:$A$2700)</f>
        <v>0</v>
      </c>
      <c r="P253" s="512">
        <f>SUMIFS(PURCHASE!$M$6:$M$10008,PURCHASE!$A$6:$A$10008,$M$2,PURCHASE!$H$6:$H$10008,$A$4:$A$2700)</f>
        <v>0</v>
      </c>
      <c r="Q253" s="512">
        <f>SUMIFS(PURCHASE!$N$6:$N$10008,PURCHASE!$A$6:$A$10008,$M$2,PURCHASE!$H$6:$H$10008,$A$4:$A$2700)</f>
        <v>0</v>
      </c>
      <c r="R253" s="512">
        <f t="shared" si="65"/>
        <v>0</v>
      </c>
      <c r="S253" s="512">
        <f>SUMIFS(PURCHASE!$K$6:$K$10008,PURCHASE!$A$6:$A$10008,$R$2,PURCHASE!$H$6:$H$10008,$A$4:$A$2700)</f>
        <v>0</v>
      </c>
      <c r="T253" s="512">
        <f>SUMIFS(PURCHASE!$L$6:$L$10008,PURCHASE!$A$6:$A$10008,$R$2,PURCHASE!$H$6:$H$10008,$A$4:$A$2700)</f>
        <v>0</v>
      </c>
      <c r="U253" s="512">
        <f>SUMIFS(PURCHASE!$M$6:$M$10008,PURCHASE!$A$6:$A$10008,$R$2,PURCHASE!$H$6:$H$10008,$A$4:$A$2700)</f>
        <v>0</v>
      </c>
      <c r="V253" s="512">
        <f>SUMIFS(PURCHASE!$N$6:$N$10008,PURCHASE!$A$6:$A$10008,$R$2,PURCHASE!$H$6:$H$10008,$A$4:$A$2700)</f>
        <v>0</v>
      </c>
      <c r="W253" s="512">
        <f t="shared" si="66"/>
        <v>0</v>
      </c>
      <c r="X253" s="512">
        <f>SUMIFS(PURCHASE!$K$6:$K$10008,PURCHASE!$A$6:$A$10008,$W$2,PURCHASE!$H$6:$H$10008,$A$4:$A$2700)</f>
        <v>0</v>
      </c>
      <c r="Y253" s="512">
        <f>SUMIFS(PURCHASE!$L$6:$L$10008,PURCHASE!$A$6:$A$10008,$W$2,PURCHASE!$H$6:$H$10008,$A$4:$A$2700)</f>
        <v>0</v>
      </c>
      <c r="Z253" s="512">
        <f>SUMIFS(PURCHASE!$M$6:$M$10008,PURCHASE!$A$6:$A$10008,$W$2,PURCHASE!$H$6:$H$10008,$A$4:$A$2700)</f>
        <v>0</v>
      </c>
      <c r="AA253" s="512">
        <f>SUMIFS(PURCHASE!$N$6:$N$10008,PURCHASE!$A$6:$A$10008,$W$2,PURCHASE!$H$6:$H$10008,$A$4:$A$2700)</f>
        <v>0</v>
      </c>
      <c r="AB253" s="512">
        <f t="shared" si="67"/>
        <v>0</v>
      </c>
      <c r="AC253" s="512">
        <f>SUMIFS(PURCHASE!$K$6:$K$10008,PURCHASE!$A$6:$A$10008,$AB$2,PURCHASE!$H$6:$H$10008,$A$4:$A$2700)</f>
        <v>0</v>
      </c>
      <c r="AD253" s="512">
        <f>SUMIFS(PURCHASE!$L$6:$L$10008,PURCHASE!$A$6:$A$10008,$AB$2,PURCHASE!$H$6:$H$10008,$A$4:$A$2700)</f>
        <v>0</v>
      </c>
      <c r="AE253" s="512">
        <f>SUMIFS(PURCHASE!$M$6:$M$10008,PURCHASE!$A$6:$A$10008,$AB$2,PURCHASE!$H$6:$H$10008,$A$4:$A$2700)</f>
        <v>0</v>
      </c>
      <c r="AF253" s="512">
        <f>SUMIFS(PURCHASE!$N$6:$N$10008,PURCHASE!$A$6:$A$10008,$AB$2,PURCHASE!$H$6:$H$10008,$A$4:$A$2700)</f>
        <v>0</v>
      </c>
      <c r="AG253" s="512">
        <f t="shared" si="68"/>
        <v>0</v>
      </c>
      <c r="AH253" s="512">
        <f>SUMIFS(PURCHASE!$K$6:$K$10008,PURCHASE!$A$6:$A$10008,$AG$2,PURCHASE!$H$6:$H$10008,$A$4:$A$2700)</f>
        <v>0</v>
      </c>
      <c r="AI253" s="512">
        <f>SUMIFS(PURCHASE!$L$6:$L$10008,PURCHASE!$A$6:$A$10008,$AG$2,PURCHASE!$H$6:$H$10008,$A$4:$A$2700)</f>
        <v>0</v>
      </c>
      <c r="AJ253" s="512">
        <f>SUMIFS(PURCHASE!$M$6:$M$10008,PURCHASE!$A$6:$A$10008,$AG$2,PURCHASE!$H$6:$H$10008,$A$4:$A$2700)</f>
        <v>0</v>
      </c>
      <c r="AK253" s="512">
        <f>SUMIFS(PURCHASE!$N$6:$N$10008,PURCHASE!$A$6:$A$10008,$AG$2,PURCHASE!$H$6:$H$10008,$A$4:$A$2700)</f>
        <v>0</v>
      </c>
      <c r="AL253" s="512">
        <f t="shared" si="69"/>
        <v>0</v>
      </c>
      <c r="AM253" s="512">
        <f>SUMIFS(PURCHASE!$K$6:$K$10008,PURCHASE!$A$6:$A$10008,$AL$2,PURCHASE!$H$6:$H$10008,$A$4:$A$2700)</f>
        <v>0</v>
      </c>
      <c r="AN253" s="512">
        <f>SUMIFS(PURCHASE!$L$6:$L$10008,PURCHASE!$A$6:$A$10008,$AL$2,PURCHASE!$H$6:$H$10008,$A$4:$A$2700)</f>
        <v>0</v>
      </c>
      <c r="AO253" s="512">
        <f>SUMIFS(PURCHASE!$M$6:$M$10008,PURCHASE!$A$6:$A$10008,$AL$2,PURCHASE!$H$6:$H$10008,$A$4:$A$2700)</f>
        <v>0</v>
      </c>
      <c r="AP253" s="512">
        <f>SUMIFS(PURCHASE!$N$6:$N$10008,PURCHASE!$A$6:$A$10008,$AL$2,PURCHASE!$H$6:$H$10008,$A$4:$A$2700)</f>
        <v>0</v>
      </c>
      <c r="AQ253" s="512">
        <f t="shared" si="70"/>
        <v>0</v>
      </c>
      <c r="AR253" s="512">
        <f>SUMIFS(PURCHASE!$K$6:$K$10008,PURCHASE!$A$6:$A$10008,$AQ$2,PURCHASE!$H$6:$H$10008,$A$4:$A$2700)</f>
        <v>0</v>
      </c>
      <c r="AS253" s="512">
        <f>SUMIFS(PURCHASE!$L$6:$L$10008,PURCHASE!$A$6:$A$10008,$AQ$2,PURCHASE!$H$6:$H$10008,$A$4:$A$2700)</f>
        <v>0</v>
      </c>
      <c r="AT253" s="512">
        <f>SUMIFS(PURCHASE!$M$6:$M$10008,PURCHASE!$A$6:$A$10008,$AQ$2,PURCHASE!$H$6:$H$10008,$A$4:$A$2700)</f>
        <v>0</v>
      </c>
      <c r="AU253" s="512">
        <f>SUMIFS(PURCHASE!$N$6:$N$10008,PURCHASE!$A$6:$A$10008,$AQ$2,PURCHASE!$H$6:$H$10008,$A$4:$A$2700)</f>
        <v>0</v>
      </c>
      <c r="AV253" s="512">
        <f t="shared" si="71"/>
        <v>0</v>
      </c>
      <c r="AW253" s="512">
        <f>SUMIFS(PURCHASE!$K$6:$K$10008,PURCHASE!$A$6:$A$10008,$AV$2,PURCHASE!$H$6:$H$10008,$A$4:$A$2700)</f>
        <v>0</v>
      </c>
      <c r="AX253" s="512">
        <f>SUMIFS(PURCHASE!$L$6:$L$10008,PURCHASE!$A$6:$A$10008,$AV$2,PURCHASE!$H$6:$H$10008,$A$4:$A$2700)</f>
        <v>0</v>
      </c>
      <c r="AY253" s="512">
        <f>SUMIFS(PURCHASE!$M$6:$M$10008,PURCHASE!$A$6:$A$10008,$AV$2,PURCHASE!$H$6:$H$10008,$A$4:$A$2700)</f>
        <v>0</v>
      </c>
      <c r="AZ253" s="512">
        <f>SUMIFS(PURCHASE!$N$6:$N$10008,PURCHASE!$A$6:$A$10008,$AV$2,PURCHASE!$H$6:$H$10008,$A$4:$A$2700)</f>
        <v>0</v>
      </c>
      <c r="BA253" s="512">
        <f t="shared" si="72"/>
        <v>0</v>
      </c>
      <c r="BB253" s="512">
        <f>SUMIFS(PURCHASE!$K$6:$K$10008,PURCHASE!$A$6:$A$10008,$BA$2,PURCHASE!$H$6:$H$10008,$A$4:$A$2700)</f>
        <v>0</v>
      </c>
      <c r="BC253" s="512">
        <f>SUMIFS(PURCHASE!$L$6:$L$10008,PURCHASE!$A$6:$A$10008,$BA$2,PURCHASE!$H$6:$H$10008,$A$4:$A$2700)</f>
        <v>0</v>
      </c>
      <c r="BD253" s="512">
        <f>SUMIFS(PURCHASE!$M$6:$M$10008,PURCHASE!$A$6:$A$10008,$BA$2,PURCHASE!$H$6:$H$10008,$A$4:$A$2700)</f>
        <v>0</v>
      </c>
      <c r="BE253" s="512">
        <f>SUMIFS(PURCHASE!$N$6:$N$10008,PURCHASE!$A$6:$A$10008,$BA$2,PURCHASE!$H$6:$H$10008,$A$4:$A$2700)</f>
        <v>0</v>
      </c>
      <c r="BF253" s="512">
        <f t="shared" si="73"/>
        <v>0</v>
      </c>
      <c r="BG253" s="512">
        <f>SUMIFS(PURCHASE!$K$6:$K$10008,PURCHASE!$A$6:$A$10008,$BF$2,PURCHASE!$H$6:$H$10008,$A$4:$A$2700)</f>
        <v>0</v>
      </c>
      <c r="BH253" s="512">
        <f>SUMIFS(PURCHASE!$L$6:$L$10008,PURCHASE!$A$6:$A$10008,$BF$2,PURCHASE!$H$6:$H$10008,$A$4:$A$2700)</f>
        <v>0</v>
      </c>
      <c r="BI253" s="512">
        <f>SUMIFS(PURCHASE!$M$6:$M$10008,PURCHASE!$A$6:$A$10008,$BF$2,PURCHASE!$H$6:$H$10008,$A$4:$A$2700)</f>
        <v>0</v>
      </c>
      <c r="BJ253" s="512">
        <f>SUMIFS(PURCHASE!$N$6:$N$10008,PURCHASE!$A$6:$A$10008,$BF$2,PURCHASE!$H$6:$H$10008,$A$4:$A$2700)</f>
        <v>0</v>
      </c>
      <c r="BK253" s="72">
        <f t="shared" si="75"/>
        <v>81774</v>
      </c>
      <c r="BL253" s="72">
        <f t="shared" si="76"/>
        <v>69300</v>
      </c>
      <c r="BM253" s="72">
        <f t="shared" si="77"/>
        <v>0</v>
      </c>
      <c r="BN253" s="72">
        <f t="shared" si="78"/>
        <v>6237</v>
      </c>
      <c r="BO253" s="72">
        <f t="shared" si="79"/>
        <v>6237</v>
      </c>
    </row>
    <row r="254" spans="1:67" x14ac:dyDescent="0.2">
      <c r="A254" s="511" t="s">
        <v>1365</v>
      </c>
      <c r="B254" s="467" t="s">
        <v>1281</v>
      </c>
      <c r="C254" s="512">
        <f t="shared" si="62"/>
        <v>0</v>
      </c>
      <c r="D254" s="512">
        <f>SUMIFS(PURCHASE!$K$6:$K$10008,PURCHASE!$A$6:$A$10008,$M$2,PURCHASE!$H$6:$H$10008,$A$4:$A$2700)</f>
        <v>0</v>
      </c>
      <c r="E254" s="512">
        <f>SUMIFS(PURCHASE!$L$6:$L$10008,PURCHASE!$A$6:$A$10008,$M$2,PURCHASE!$H$6:$H$10008,$A$4:$A$2700)</f>
        <v>0</v>
      </c>
      <c r="F254" s="512">
        <f>SUMIFS(PURCHASE!$M$6:$M$10008,PURCHASE!$A$6:$A$10008,$M$2,PURCHASE!$H$6:$H$10008,$A$4:$A$2700)</f>
        <v>0</v>
      </c>
      <c r="G254" s="512">
        <f>SUMIFS(PURCHASE!$N$6:$N$10008,PURCHASE!$A$6:$A$10008,$M$2,PURCHASE!$H$6:$H$10008,$A$4:$A$2700)</f>
        <v>0</v>
      </c>
      <c r="H254" s="512">
        <f t="shared" si="63"/>
        <v>0</v>
      </c>
      <c r="I254" s="512">
        <f>SUMIFS(PURCHASE!$K$6:$K$10008,PURCHASE!$A$6:$A$10008,$H$2,PURCHASE!$H$6:$H$10008,$A$4:$A$2700)</f>
        <v>0</v>
      </c>
      <c r="J254" s="512">
        <f>SUMIFS(PURCHASE!$L$6:$L$10008,PURCHASE!$A$6:$A$10008,$H$2,PURCHASE!$H$6:$H$10008,$A$4:$A$2700)</f>
        <v>0</v>
      </c>
      <c r="K254" s="512">
        <f>SUMIFS(PURCHASE!$M$6:$M$10008,PURCHASE!$A$6:$A$10008,$H$2,PURCHASE!$H$6:$H$10008,$A$4:$A$2700)</f>
        <v>0</v>
      </c>
      <c r="L254" s="512">
        <f>SUMIFS(PURCHASE!$N$6:$N$10008,PURCHASE!$A$6:$A$10008,$H$2,PURCHASE!$H$6:$H$10008,$A$4:$A$2700)</f>
        <v>0</v>
      </c>
      <c r="M254" s="512">
        <f t="shared" si="64"/>
        <v>0</v>
      </c>
      <c r="N254" s="512">
        <f>SUMIFS(PURCHASE!$K$6:$K$10008,PURCHASE!$A$6:$A$10008,$M$2,PURCHASE!$H$6:$H$10008,$A$4:$A$2700)</f>
        <v>0</v>
      </c>
      <c r="O254" s="512">
        <f>SUMIFS(PURCHASE!$L$6:$L$10008,PURCHASE!$A$6:$A$10008,$M$2,PURCHASE!$H$6:$H$10008,$A$4:$A$2700)</f>
        <v>0</v>
      </c>
      <c r="P254" s="512">
        <f>SUMIFS(PURCHASE!$M$6:$M$10008,PURCHASE!$A$6:$A$10008,$M$2,PURCHASE!$H$6:$H$10008,$A$4:$A$2700)</f>
        <v>0</v>
      </c>
      <c r="Q254" s="512">
        <f>SUMIFS(PURCHASE!$N$6:$N$10008,PURCHASE!$A$6:$A$10008,$M$2,PURCHASE!$H$6:$H$10008,$A$4:$A$2700)</f>
        <v>0</v>
      </c>
      <c r="R254" s="512">
        <f t="shared" si="65"/>
        <v>0</v>
      </c>
      <c r="S254" s="512">
        <f>SUMIFS(PURCHASE!$K$6:$K$10008,PURCHASE!$A$6:$A$10008,$R$2,PURCHASE!$H$6:$H$10008,$A$4:$A$2700)</f>
        <v>0</v>
      </c>
      <c r="T254" s="512">
        <f>SUMIFS(PURCHASE!$L$6:$L$10008,PURCHASE!$A$6:$A$10008,$R$2,PURCHASE!$H$6:$H$10008,$A$4:$A$2700)</f>
        <v>0</v>
      </c>
      <c r="U254" s="512">
        <f>SUMIFS(PURCHASE!$M$6:$M$10008,PURCHASE!$A$6:$A$10008,$R$2,PURCHASE!$H$6:$H$10008,$A$4:$A$2700)</f>
        <v>0</v>
      </c>
      <c r="V254" s="512">
        <f>SUMIFS(PURCHASE!$N$6:$N$10008,PURCHASE!$A$6:$A$10008,$R$2,PURCHASE!$H$6:$H$10008,$A$4:$A$2700)</f>
        <v>0</v>
      </c>
      <c r="W254" s="512">
        <f t="shared" si="66"/>
        <v>0</v>
      </c>
      <c r="X254" s="512">
        <f>SUMIFS(PURCHASE!$K$6:$K$10008,PURCHASE!$A$6:$A$10008,$W$2,PURCHASE!$H$6:$H$10008,$A$4:$A$2700)</f>
        <v>0</v>
      </c>
      <c r="Y254" s="512">
        <f>SUMIFS(PURCHASE!$L$6:$L$10008,PURCHASE!$A$6:$A$10008,$W$2,PURCHASE!$H$6:$H$10008,$A$4:$A$2700)</f>
        <v>0</v>
      </c>
      <c r="Z254" s="512">
        <f>SUMIFS(PURCHASE!$M$6:$M$10008,PURCHASE!$A$6:$A$10008,$W$2,PURCHASE!$H$6:$H$10008,$A$4:$A$2700)</f>
        <v>0</v>
      </c>
      <c r="AA254" s="512">
        <f>SUMIFS(PURCHASE!$N$6:$N$10008,PURCHASE!$A$6:$A$10008,$W$2,PURCHASE!$H$6:$H$10008,$A$4:$A$2700)</f>
        <v>0</v>
      </c>
      <c r="AB254" s="512">
        <f t="shared" si="67"/>
        <v>0</v>
      </c>
      <c r="AC254" s="512">
        <f>SUMIFS(PURCHASE!$K$6:$K$10008,PURCHASE!$A$6:$A$10008,$AB$2,PURCHASE!$H$6:$H$10008,$A$4:$A$2700)</f>
        <v>0</v>
      </c>
      <c r="AD254" s="512">
        <f>SUMIFS(PURCHASE!$L$6:$L$10008,PURCHASE!$A$6:$A$10008,$AB$2,PURCHASE!$H$6:$H$10008,$A$4:$A$2700)</f>
        <v>0</v>
      </c>
      <c r="AE254" s="512">
        <f>SUMIFS(PURCHASE!$M$6:$M$10008,PURCHASE!$A$6:$A$10008,$AB$2,PURCHASE!$H$6:$H$10008,$A$4:$A$2700)</f>
        <v>0</v>
      </c>
      <c r="AF254" s="512">
        <f>SUMIFS(PURCHASE!$N$6:$N$10008,PURCHASE!$A$6:$A$10008,$AB$2,PURCHASE!$H$6:$H$10008,$A$4:$A$2700)</f>
        <v>0</v>
      </c>
      <c r="AG254" s="512">
        <f t="shared" si="68"/>
        <v>0</v>
      </c>
      <c r="AH254" s="512">
        <f>SUMIFS(PURCHASE!$K$6:$K$10008,PURCHASE!$A$6:$A$10008,$AG$2,PURCHASE!$H$6:$H$10008,$A$4:$A$2700)</f>
        <v>0</v>
      </c>
      <c r="AI254" s="512">
        <f>SUMIFS(PURCHASE!$L$6:$L$10008,PURCHASE!$A$6:$A$10008,$AG$2,PURCHASE!$H$6:$H$10008,$A$4:$A$2700)</f>
        <v>0</v>
      </c>
      <c r="AJ254" s="512">
        <f>SUMIFS(PURCHASE!$M$6:$M$10008,PURCHASE!$A$6:$A$10008,$AG$2,PURCHASE!$H$6:$H$10008,$A$4:$A$2700)</f>
        <v>0</v>
      </c>
      <c r="AK254" s="512">
        <f>SUMIFS(PURCHASE!$N$6:$N$10008,PURCHASE!$A$6:$A$10008,$AG$2,PURCHASE!$H$6:$H$10008,$A$4:$A$2700)</f>
        <v>0</v>
      </c>
      <c r="AL254" s="512">
        <f t="shared" si="69"/>
        <v>0</v>
      </c>
      <c r="AM254" s="512">
        <f>SUMIFS(PURCHASE!$K$6:$K$10008,PURCHASE!$A$6:$A$10008,$AL$2,PURCHASE!$H$6:$H$10008,$A$4:$A$2700)</f>
        <v>0</v>
      </c>
      <c r="AN254" s="512">
        <f>SUMIFS(PURCHASE!$L$6:$L$10008,PURCHASE!$A$6:$A$10008,$AL$2,PURCHASE!$H$6:$H$10008,$A$4:$A$2700)</f>
        <v>0</v>
      </c>
      <c r="AO254" s="512">
        <f>SUMIFS(PURCHASE!$M$6:$M$10008,PURCHASE!$A$6:$A$10008,$AL$2,PURCHASE!$H$6:$H$10008,$A$4:$A$2700)</f>
        <v>0</v>
      </c>
      <c r="AP254" s="512">
        <f>SUMIFS(PURCHASE!$N$6:$N$10008,PURCHASE!$A$6:$A$10008,$AL$2,PURCHASE!$H$6:$H$10008,$A$4:$A$2700)</f>
        <v>0</v>
      </c>
      <c r="AQ254" s="512">
        <f t="shared" si="70"/>
        <v>0</v>
      </c>
      <c r="AR254" s="512">
        <f>SUMIFS(PURCHASE!$K$6:$K$10008,PURCHASE!$A$6:$A$10008,$AQ$2,PURCHASE!$H$6:$H$10008,$A$4:$A$2700)</f>
        <v>0</v>
      </c>
      <c r="AS254" s="512">
        <f>SUMIFS(PURCHASE!$L$6:$L$10008,PURCHASE!$A$6:$A$10008,$AQ$2,PURCHASE!$H$6:$H$10008,$A$4:$A$2700)</f>
        <v>0</v>
      </c>
      <c r="AT254" s="512">
        <f>SUMIFS(PURCHASE!$M$6:$M$10008,PURCHASE!$A$6:$A$10008,$AQ$2,PURCHASE!$H$6:$H$10008,$A$4:$A$2700)</f>
        <v>0</v>
      </c>
      <c r="AU254" s="512">
        <f>SUMIFS(PURCHASE!$N$6:$N$10008,PURCHASE!$A$6:$A$10008,$AQ$2,PURCHASE!$H$6:$H$10008,$A$4:$A$2700)</f>
        <v>0</v>
      </c>
      <c r="AV254" s="512">
        <f t="shared" si="71"/>
        <v>0</v>
      </c>
      <c r="AW254" s="512">
        <f>SUMIFS(PURCHASE!$K$6:$K$10008,PURCHASE!$A$6:$A$10008,$AV$2,PURCHASE!$H$6:$H$10008,$A$4:$A$2700)</f>
        <v>0</v>
      </c>
      <c r="AX254" s="512">
        <f>SUMIFS(PURCHASE!$L$6:$L$10008,PURCHASE!$A$6:$A$10008,$AV$2,PURCHASE!$H$6:$H$10008,$A$4:$A$2700)</f>
        <v>0</v>
      </c>
      <c r="AY254" s="512">
        <f>SUMIFS(PURCHASE!$M$6:$M$10008,PURCHASE!$A$6:$A$10008,$AV$2,PURCHASE!$H$6:$H$10008,$A$4:$A$2700)</f>
        <v>0</v>
      </c>
      <c r="AZ254" s="512">
        <f>SUMIFS(PURCHASE!$N$6:$N$10008,PURCHASE!$A$6:$A$10008,$AV$2,PURCHASE!$H$6:$H$10008,$A$4:$A$2700)</f>
        <v>0</v>
      </c>
      <c r="BA254" s="512">
        <f t="shared" si="72"/>
        <v>0</v>
      </c>
      <c r="BB254" s="512">
        <f>SUMIFS(PURCHASE!$K$6:$K$10008,PURCHASE!$A$6:$A$10008,$BA$2,PURCHASE!$H$6:$H$10008,$A$4:$A$2700)</f>
        <v>0</v>
      </c>
      <c r="BC254" s="512">
        <f>SUMIFS(PURCHASE!$L$6:$L$10008,PURCHASE!$A$6:$A$10008,$BA$2,PURCHASE!$H$6:$H$10008,$A$4:$A$2700)</f>
        <v>0</v>
      </c>
      <c r="BD254" s="512">
        <f>SUMIFS(PURCHASE!$M$6:$M$10008,PURCHASE!$A$6:$A$10008,$BA$2,PURCHASE!$H$6:$H$10008,$A$4:$A$2700)</f>
        <v>0</v>
      </c>
      <c r="BE254" s="512">
        <f>SUMIFS(PURCHASE!$N$6:$N$10008,PURCHASE!$A$6:$A$10008,$BA$2,PURCHASE!$H$6:$H$10008,$A$4:$A$2700)</f>
        <v>0</v>
      </c>
      <c r="BF254" s="512">
        <f t="shared" si="73"/>
        <v>0</v>
      </c>
      <c r="BG254" s="512">
        <f>SUMIFS(PURCHASE!$K$6:$K$10008,PURCHASE!$A$6:$A$10008,$BF$2,PURCHASE!$H$6:$H$10008,$A$4:$A$2700)</f>
        <v>0</v>
      </c>
      <c r="BH254" s="512">
        <f>SUMIFS(PURCHASE!$L$6:$L$10008,PURCHASE!$A$6:$A$10008,$BF$2,PURCHASE!$H$6:$H$10008,$A$4:$A$2700)</f>
        <v>0</v>
      </c>
      <c r="BI254" s="512">
        <f>SUMIFS(PURCHASE!$M$6:$M$10008,PURCHASE!$A$6:$A$10008,$BF$2,PURCHASE!$H$6:$H$10008,$A$4:$A$2700)</f>
        <v>0</v>
      </c>
      <c r="BJ254" s="512">
        <f>SUMIFS(PURCHASE!$N$6:$N$10008,PURCHASE!$A$6:$A$10008,$BF$2,PURCHASE!$H$6:$H$10008,$A$4:$A$2700)</f>
        <v>0</v>
      </c>
      <c r="BK254" s="72">
        <f t="shared" si="75"/>
        <v>0</v>
      </c>
      <c r="BL254" s="72">
        <f t="shared" si="76"/>
        <v>0</v>
      </c>
      <c r="BM254" s="72">
        <f t="shared" si="77"/>
        <v>0</v>
      </c>
      <c r="BN254" s="72">
        <f t="shared" si="78"/>
        <v>0</v>
      </c>
      <c r="BO254" s="72">
        <f t="shared" si="79"/>
        <v>0</v>
      </c>
    </row>
    <row r="255" spans="1:67" x14ac:dyDescent="0.2">
      <c r="A255" s="511" t="s">
        <v>637</v>
      </c>
      <c r="B255" s="467" t="s">
        <v>1233</v>
      </c>
      <c r="C255" s="512">
        <f t="shared" si="62"/>
        <v>0</v>
      </c>
      <c r="D255" s="512">
        <f>SUMIFS(PURCHASE!$K$6:$K$10008,PURCHASE!$A$6:$A$10008,$M$2,PURCHASE!$H$6:$H$10008,$A$4:$A$2700)</f>
        <v>0</v>
      </c>
      <c r="E255" s="512">
        <f>SUMIFS(PURCHASE!$L$6:$L$10008,PURCHASE!$A$6:$A$10008,$M$2,PURCHASE!$H$6:$H$10008,$A$4:$A$2700)</f>
        <v>0</v>
      </c>
      <c r="F255" s="512">
        <f>SUMIFS(PURCHASE!$M$6:$M$10008,PURCHASE!$A$6:$A$10008,$M$2,PURCHASE!$H$6:$H$10008,$A$4:$A$2700)</f>
        <v>0</v>
      </c>
      <c r="G255" s="512">
        <f>SUMIFS(PURCHASE!$N$6:$N$10008,PURCHASE!$A$6:$A$10008,$M$2,PURCHASE!$H$6:$H$10008,$A$4:$A$2700)</f>
        <v>0</v>
      </c>
      <c r="H255" s="512">
        <f t="shared" si="63"/>
        <v>16.000800000000002</v>
      </c>
      <c r="I255" s="512">
        <f>SUMIFS(PURCHASE!$K$6:$K$10008,PURCHASE!$A$6:$A$10008,$H$2,PURCHASE!$H$6:$H$10008,$A$4:$A$2700)</f>
        <v>13.56</v>
      </c>
      <c r="J255" s="512">
        <f>SUMIFS(PURCHASE!$L$6:$L$10008,PURCHASE!$A$6:$A$10008,$H$2,PURCHASE!$H$6:$H$10008,$A$4:$A$2700)</f>
        <v>0</v>
      </c>
      <c r="K255" s="512">
        <f>SUMIFS(PURCHASE!$M$6:$M$10008,PURCHASE!$A$6:$A$10008,$H$2,PURCHASE!$H$6:$H$10008,$A$4:$A$2700)</f>
        <v>1.2203999999999999</v>
      </c>
      <c r="L255" s="512">
        <f>SUMIFS(PURCHASE!$N$6:$N$10008,PURCHASE!$A$6:$A$10008,$H$2,PURCHASE!$H$6:$H$10008,$A$4:$A$2700)</f>
        <v>1.2203999999999999</v>
      </c>
      <c r="M255" s="512">
        <f t="shared" si="64"/>
        <v>0</v>
      </c>
      <c r="N255" s="512">
        <f>SUMIFS(PURCHASE!$K$6:$K$10008,PURCHASE!$A$6:$A$10008,$M$2,PURCHASE!$H$6:$H$10008,$A$4:$A$2700)</f>
        <v>0</v>
      </c>
      <c r="O255" s="512">
        <f>SUMIFS(PURCHASE!$L$6:$L$10008,PURCHASE!$A$6:$A$10008,$M$2,PURCHASE!$H$6:$H$10008,$A$4:$A$2700)</f>
        <v>0</v>
      </c>
      <c r="P255" s="512">
        <f>SUMIFS(PURCHASE!$M$6:$M$10008,PURCHASE!$A$6:$A$10008,$M$2,PURCHASE!$H$6:$H$10008,$A$4:$A$2700)</f>
        <v>0</v>
      </c>
      <c r="Q255" s="512">
        <f>SUMIFS(PURCHASE!$N$6:$N$10008,PURCHASE!$A$6:$A$10008,$M$2,PURCHASE!$H$6:$H$10008,$A$4:$A$2700)</f>
        <v>0</v>
      </c>
      <c r="R255" s="512">
        <f t="shared" si="65"/>
        <v>0</v>
      </c>
      <c r="S255" s="512">
        <f>SUMIFS(PURCHASE!$K$6:$K$10008,PURCHASE!$A$6:$A$10008,$R$2,PURCHASE!$H$6:$H$10008,$A$4:$A$2700)</f>
        <v>0</v>
      </c>
      <c r="T255" s="512">
        <f>SUMIFS(PURCHASE!$L$6:$L$10008,PURCHASE!$A$6:$A$10008,$R$2,PURCHASE!$H$6:$H$10008,$A$4:$A$2700)</f>
        <v>0</v>
      </c>
      <c r="U255" s="512">
        <f>SUMIFS(PURCHASE!$M$6:$M$10008,PURCHASE!$A$6:$A$10008,$R$2,PURCHASE!$H$6:$H$10008,$A$4:$A$2700)</f>
        <v>0</v>
      </c>
      <c r="V255" s="512">
        <f>SUMIFS(PURCHASE!$N$6:$N$10008,PURCHASE!$A$6:$A$10008,$R$2,PURCHASE!$H$6:$H$10008,$A$4:$A$2700)</f>
        <v>0</v>
      </c>
      <c r="W255" s="512">
        <f t="shared" si="66"/>
        <v>0</v>
      </c>
      <c r="X255" s="512">
        <f>SUMIFS(PURCHASE!$K$6:$K$10008,PURCHASE!$A$6:$A$10008,$W$2,PURCHASE!$H$6:$H$10008,$A$4:$A$2700)</f>
        <v>0</v>
      </c>
      <c r="Y255" s="512">
        <f>SUMIFS(PURCHASE!$L$6:$L$10008,PURCHASE!$A$6:$A$10008,$W$2,PURCHASE!$H$6:$H$10008,$A$4:$A$2700)</f>
        <v>0</v>
      </c>
      <c r="Z255" s="512">
        <f>SUMIFS(PURCHASE!$M$6:$M$10008,PURCHASE!$A$6:$A$10008,$W$2,PURCHASE!$H$6:$H$10008,$A$4:$A$2700)</f>
        <v>0</v>
      </c>
      <c r="AA255" s="512">
        <f>SUMIFS(PURCHASE!$N$6:$N$10008,PURCHASE!$A$6:$A$10008,$W$2,PURCHASE!$H$6:$H$10008,$A$4:$A$2700)</f>
        <v>0</v>
      </c>
      <c r="AB255" s="512">
        <f t="shared" si="67"/>
        <v>3039.7980000000002</v>
      </c>
      <c r="AC255" s="512">
        <f>SUMIFS(PURCHASE!$K$6:$K$10008,PURCHASE!$A$6:$A$10008,$AB$2,PURCHASE!$H$6:$H$10008,$A$4:$A$2700)</f>
        <v>2576.1</v>
      </c>
      <c r="AD255" s="512">
        <f>SUMIFS(PURCHASE!$L$6:$L$10008,PURCHASE!$A$6:$A$10008,$AB$2,PURCHASE!$H$6:$H$10008,$A$4:$A$2700)</f>
        <v>0</v>
      </c>
      <c r="AE255" s="512">
        <f>SUMIFS(PURCHASE!$M$6:$M$10008,PURCHASE!$A$6:$A$10008,$AB$2,PURCHASE!$H$6:$H$10008,$A$4:$A$2700)</f>
        <v>231.84899999999999</v>
      </c>
      <c r="AF255" s="512">
        <f>SUMIFS(PURCHASE!$N$6:$N$10008,PURCHASE!$A$6:$A$10008,$AB$2,PURCHASE!$H$6:$H$10008,$A$4:$A$2700)</f>
        <v>231.84899999999999</v>
      </c>
      <c r="AG255" s="512">
        <f t="shared" si="68"/>
        <v>0</v>
      </c>
      <c r="AH255" s="512">
        <f>SUMIFS(PURCHASE!$K$6:$K$10008,PURCHASE!$A$6:$A$10008,$AG$2,PURCHASE!$H$6:$H$10008,$A$4:$A$2700)</f>
        <v>0</v>
      </c>
      <c r="AI255" s="512">
        <f>SUMIFS(PURCHASE!$L$6:$L$10008,PURCHASE!$A$6:$A$10008,$AG$2,PURCHASE!$H$6:$H$10008,$A$4:$A$2700)</f>
        <v>0</v>
      </c>
      <c r="AJ255" s="512">
        <f>SUMIFS(PURCHASE!$M$6:$M$10008,PURCHASE!$A$6:$A$10008,$AG$2,PURCHASE!$H$6:$H$10008,$A$4:$A$2700)</f>
        <v>0</v>
      </c>
      <c r="AK255" s="512">
        <f>SUMIFS(PURCHASE!$N$6:$N$10008,PURCHASE!$A$6:$A$10008,$AG$2,PURCHASE!$H$6:$H$10008,$A$4:$A$2700)</f>
        <v>0</v>
      </c>
      <c r="AL255" s="512">
        <f t="shared" si="69"/>
        <v>32.021599999999999</v>
      </c>
      <c r="AM255" s="512">
        <f>SUMIFS(PURCHASE!$K$6:$K$10008,PURCHASE!$A$6:$A$10008,$AL$2,PURCHASE!$H$6:$H$10008,$A$4:$A$2700)</f>
        <v>27.12</v>
      </c>
      <c r="AN255" s="512">
        <f>SUMIFS(PURCHASE!$L$6:$L$10008,PURCHASE!$A$6:$A$10008,$AL$2,PURCHASE!$H$6:$H$10008,$A$4:$A$2700)</f>
        <v>0</v>
      </c>
      <c r="AO255" s="512">
        <f>SUMIFS(PURCHASE!$M$6:$M$10008,PURCHASE!$A$6:$A$10008,$AL$2,PURCHASE!$H$6:$H$10008,$A$4:$A$2700)</f>
        <v>2.4508000000000001</v>
      </c>
      <c r="AP255" s="512">
        <f>SUMIFS(PURCHASE!$N$6:$N$10008,PURCHASE!$A$6:$A$10008,$AL$2,PURCHASE!$H$6:$H$10008,$A$4:$A$2700)</f>
        <v>2.4508000000000001</v>
      </c>
      <c r="AQ255" s="512">
        <f t="shared" si="70"/>
        <v>0</v>
      </c>
      <c r="AR255" s="512">
        <f>SUMIFS(PURCHASE!$K$6:$K$10008,PURCHASE!$A$6:$A$10008,$AQ$2,PURCHASE!$H$6:$H$10008,$A$4:$A$2700)</f>
        <v>0</v>
      </c>
      <c r="AS255" s="512">
        <f>SUMIFS(PURCHASE!$L$6:$L$10008,PURCHASE!$A$6:$A$10008,$AQ$2,PURCHASE!$H$6:$H$10008,$A$4:$A$2700)</f>
        <v>0</v>
      </c>
      <c r="AT255" s="512">
        <f>SUMIFS(PURCHASE!$M$6:$M$10008,PURCHASE!$A$6:$A$10008,$AQ$2,PURCHASE!$H$6:$H$10008,$A$4:$A$2700)</f>
        <v>0</v>
      </c>
      <c r="AU255" s="512">
        <f>SUMIFS(PURCHASE!$N$6:$N$10008,PURCHASE!$A$6:$A$10008,$AQ$2,PURCHASE!$H$6:$H$10008,$A$4:$A$2700)</f>
        <v>0</v>
      </c>
      <c r="AV255" s="512">
        <f t="shared" si="71"/>
        <v>0</v>
      </c>
      <c r="AW255" s="512">
        <f>SUMIFS(PURCHASE!$K$6:$K$10008,PURCHASE!$A$6:$A$10008,$AV$2,PURCHASE!$H$6:$H$10008,$A$4:$A$2700)</f>
        <v>0</v>
      </c>
      <c r="AX255" s="512">
        <f>SUMIFS(PURCHASE!$L$6:$L$10008,PURCHASE!$A$6:$A$10008,$AV$2,PURCHASE!$H$6:$H$10008,$A$4:$A$2700)</f>
        <v>0</v>
      </c>
      <c r="AY255" s="512">
        <f>SUMIFS(PURCHASE!$M$6:$M$10008,PURCHASE!$A$6:$A$10008,$AV$2,PURCHASE!$H$6:$H$10008,$A$4:$A$2700)</f>
        <v>0</v>
      </c>
      <c r="AZ255" s="512">
        <f>SUMIFS(PURCHASE!$N$6:$N$10008,PURCHASE!$A$6:$A$10008,$AV$2,PURCHASE!$H$6:$H$10008,$A$4:$A$2700)</f>
        <v>0</v>
      </c>
      <c r="BA255" s="512">
        <f t="shared" si="72"/>
        <v>0</v>
      </c>
      <c r="BB255" s="512">
        <f>SUMIFS(PURCHASE!$K$6:$K$10008,PURCHASE!$A$6:$A$10008,$BA$2,PURCHASE!$H$6:$H$10008,$A$4:$A$2700)</f>
        <v>0</v>
      </c>
      <c r="BC255" s="512">
        <f>SUMIFS(PURCHASE!$L$6:$L$10008,PURCHASE!$A$6:$A$10008,$BA$2,PURCHASE!$H$6:$H$10008,$A$4:$A$2700)</f>
        <v>0</v>
      </c>
      <c r="BD255" s="512">
        <f>SUMIFS(PURCHASE!$M$6:$M$10008,PURCHASE!$A$6:$A$10008,$BA$2,PURCHASE!$H$6:$H$10008,$A$4:$A$2700)</f>
        <v>0</v>
      </c>
      <c r="BE255" s="512">
        <f>SUMIFS(PURCHASE!$N$6:$N$10008,PURCHASE!$A$6:$A$10008,$BA$2,PURCHASE!$H$6:$H$10008,$A$4:$A$2700)</f>
        <v>0</v>
      </c>
      <c r="BF255" s="512">
        <f t="shared" si="73"/>
        <v>0</v>
      </c>
      <c r="BG255" s="512">
        <f>SUMIFS(PURCHASE!$K$6:$K$10008,PURCHASE!$A$6:$A$10008,$BF$2,PURCHASE!$H$6:$H$10008,$A$4:$A$2700)</f>
        <v>0</v>
      </c>
      <c r="BH255" s="512">
        <f>SUMIFS(PURCHASE!$L$6:$L$10008,PURCHASE!$A$6:$A$10008,$BF$2,PURCHASE!$H$6:$H$10008,$A$4:$A$2700)</f>
        <v>0</v>
      </c>
      <c r="BI255" s="512">
        <f>SUMIFS(PURCHASE!$M$6:$M$10008,PURCHASE!$A$6:$A$10008,$BF$2,PURCHASE!$H$6:$H$10008,$A$4:$A$2700)</f>
        <v>0</v>
      </c>
      <c r="BJ255" s="512">
        <f>SUMIFS(PURCHASE!$N$6:$N$10008,PURCHASE!$A$6:$A$10008,$BF$2,PURCHASE!$H$6:$H$10008,$A$4:$A$2700)</f>
        <v>0</v>
      </c>
      <c r="BK255" s="72">
        <f t="shared" si="75"/>
        <v>3087.8204000000001</v>
      </c>
      <c r="BL255" s="72">
        <f t="shared" si="76"/>
        <v>2616.7799999999997</v>
      </c>
      <c r="BM255" s="72">
        <f t="shared" si="77"/>
        <v>0</v>
      </c>
      <c r="BN255" s="72">
        <f t="shared" si="78"/>
        <v>235.52019999999999</v>
      </c>
      <c r="BO255" s="72">
        <f t="shared" si="79"/>
        <v>235.52019999999999</v>
      </c>
    </row>
    <row r="256" spans="1:67" x14ac:dyDescent="0.2">
      <c r="A256" s="511" t="s">
        <v>567</v>
      </c>
      <c r="B256" s="467" t="s">
        <v>1237</v>
      </c>
      <c r="C256" s="512">
        <f t="shared" si="62"/>
        <v>495.6</v>
      </c>
      <c r="D256" s="512">
        <f>SUMIFS(PURCHASE!$K$6:$K$10008,PURCHASE!$A$6:$A$10008,$M$2,PURCHASE!$H$6:$H$10008,$A$4:$A$2700)</f>
        <v>420</v>
      </c>
      <c r="E256" s="512">
        <f>SUMIFS(PURCHASE!$L$6:$L$10008,PURCHASE!$A$6:$A$10008,$M$2,PURCHASE!$H$6:$H$10008,$A$4:$A$2700)</f>
        <v>0</v>
      </c>
      <c r="F256" s="512">
        <f>SUMIFS(PURCHASE!$M$6:$M$10008,PURCHASE!$A$6:$A$10008,$M$2,PURCHASE!$H$6:$H$10008,$A$4:$A$2700)</f>
        <v>37.800000000000004</v>
      </c>
      <c r="G256" s="512">
        <f>SUMIFS(PURCHASE!$N$6:$N$10008,PURCHASE!$A$6:$A$10008,$M$2,PURCHASE!$H$6:$H$10008,$A$4:$A$2700)</f>
        <v>37.800000000000004</v>
      </c>
      <c r="H256" s="512">
        <f t="shared" si="63"/>
        <v>70.800000000000011</v>
      </c>
      <c r="I256" s="512">
        <f>SUMIFS(PURCHASE!$K$6:$K$10008,PURCHASE!$A$6:$A$10008,$H$2,PURCHASE!$H$6:$H$10008,$A$4:$A$2700)</f>
        <v>60</v>
      </c>
      <c r="J256" s="512">
        <f>SUMIFS(PURCHASE!$L$6:$L$10008,PURCHASE!$A$6:$A$10008,$H$2,PURCHASE!$H$6:$H$10008,$A$4:$A$2700)</f>
        <v>0</v>
      </c>
      <c r="K256" s="512">
        <f>SUMIFS(PURCHASE!$M$6:$M$10008,PURCHASE!$A$6:$A$10008,$H$2,PURCHASE!$H$6:$H$10008,$A$4:$A$2700)</f>
        <v>5.3999999999999995</v>
      </c>
      <c r="L256" s="512">
        <f>SUMIFS(PURCHASE!$N$6:$N$10008,PURCHASE!$A$6:$A$10008,$H$2,PURCHASE!$H$6:$H$10008,$A$4:$A$2700)</f>
        <v>5.3999999999999995</v>
      </c>
      <c r="M256" s="512">
        <f t="shared" si="64"/>
        <v>495.6</v>
      </c>
      <c r="N256" s="512">
        <f>SUMIFS(PURCHASE!$K$6:$K$10008,PURCHASE!$A$6:$A$10008,$M$2,PURCHASE!$H$6:$H$10008,$A$4:$A$2700)</f>
        <v>420</v>
      </c>
      <c r="O256" s="512">
        <f>SUMIFS(PURCHASE!$L$6:$L$10008,PURCHASE!$A$6:$A$10008,$M$2,PURCHASE!$H$6:$H$10008,$A$4:$A$2700)</f>
        <v>0</v>
      </c>
      <c r="P256" s="512">
        <f>SUMIFS(PURCHASE!$M$6:$M$10008,PURCHASE!$A$6:$A$10008,$M$2,PURCHASE!$H$6:$H$10008,$A$4:$A$2700)</f>
        <v>37.800000000000004</v>
      </c>
      <c r="Q256" s="512">
        <f>SUMIFS(PURCHASE!$N$6:$N$10008,PURCHASE!$A$6:$A$10008,$M$2,PURCHASE!$H$6:$H$10008,$A$4:$A$2700)</f>
        <v>37.800000000000004</v>
      </c>
      <c r="R256" s="512">
        <f t="shared" si="65"/>
        <v>0</v>
      </c>
      <c r="S256" s="512">
        <f>SUMIFS(PURCHASE!$K$6:$K$10008,PURCHASE!$A$6:$A$10008,$R$2,PURCHASE!$H$6:$H$10008,$A$4:$A$2700)</f>
        <v>0</v>
      </c>
      <c r="T256" s="512">
        <f>SUMIFS(PURCHASE!$L$6:$L$10008,PURCHASE!$A$6:$A$10008,$R$2,PURCHASE!$H$6:$H$10008,$A$4:$A$2700)</f>
        <v>0</v>
      </c>
      <c r="U256" s="512">
        <f>SUMIFS(PURCHASE!$M$6:$M$10008,PURCHASE!$A$6:$A$10008,$R$2,PURCHASE!$H$6:$H$10008,$A$4:$A$2700)</f>
        <v>0</v>
      </c>
      <c r="V256" s="512">
        <f>SUMIFS(PURCHASE!$N$6:$N$10008,PURCHASE!$A$6:$A$10008,$R$2,PURCHASE!$H$6:$H$10008,$A$4:$A$2700)</f>
        <v>0</v>
      </c>
      <c r="W256" s="512">
        <f t="shared" si="66"/>
        <v>0</v>
      </c>
      <c r="X256" s="512">
        <f>SUMIFS(PURCHASE!$K$6:$K$10008,PURCHASE!$A$6:$A$10008,$W$2,PURCHASE!$H$6:$H$10008,$A$4:$A$2700)</f>
        <v>0</v>
      </c>
      <c r="Y256" s="512">
        <f>SUMIFS(PURCHASE!$L$6:$L$10008,PURCHASE!$A$6:$A$10008,$W$2,PURCHASE!$H$6:$H$10008,$A$4:$A$2700)</f>
        <v>0</v>
      </c>
      <c r="Z256" s="512">
        <f>SUMIFS(PURCHASE!$M$6:$M$10008,PURCHASE!$A$6:$A$10008,$W$2,PURCHASE!$H$6:$H$10008,$A$4:$A$2700)</f>
        <v>0</v>
      </c>
      <c r="AA256" s="512">
        <f>SUMIFS(PURCHASE!$N$6:$N$10008,PURCHASE!$A$6:$A$10008,$W$2,PURCHASE!$H$6:$H$10008,$A$4:$A$2700)</f>
        <v>0</v>
      </c>
      <c r="AB256" s="512">
        <f t="shared" si="67"/>
        <v>531</v>
      </c>
      <c r="AC256" s="512">
        <f>SUMIFS(PURCHASE!$K$6:$K$10008,PURCHASE!$A$6:$A$10008,$AB$2,PURCHASE!$H$6:$H$10008,$A$4:$A$2700)</f>
        <v>450</v>
      </c>
      <c r="AD256" s="512">
        <f>SUMIFS(PURCHASE!$L$6:$L$10008,PURCHASE!$A$6:$A$10008,$AB$2,PURCHASE!$H$6:$H$10008,$A$4:$A$2700)</f>
        <v>0</v>
      </c>
      <c r="AE256" s="512">
        <f>SUMIFS(PURCHASE!$M$6:$M$10008,PURCHASE!$A$6:$A$10008,$AB$2,PURCHASE!$H$6:$H$10008,$A$4:$A$2700)</f>
        <v>40.5</v>
      </c>
      <c r="AF256" s="512">
        <f>SUMIFS(PURCHASE!$N$6:$N$10008,PURCHASE!$A$6:$A$10008,$AB$2,PURCHASE!$H$6:$H$10008,$A$4:$A$2700)</f>
        <v>40.5</v>
      </c>
      <c r="AG256" s="512">
        <f t="shared" si="68"/>
        <v>0</v>
      </c>
      <c r="AH256" s="512">
        <f>SUMIFS(PURCHASE!$K$6:$K$10008,PURCHASE!$A$6:$A$10008,$AG$2,PURCHASE!$H$6:$H$10008,$A$4:$A$2700)</f>
        <v>0</v>
      </c>
      <c r="AI256" s="512">
        <f>SUMIFS(PURCHASE!$L$6:$L$10008,PURCHASE!$A$6:$A$10008,$AG$2,PURCHASE!$H$6:$H$10008,$A$4:$A$2700)</f>
        <v>0</v>
      </c>
      <c r="AJ256" s="512">
        <f>SUMIFS(PURCHASE!$M$6:$M$10008,PURCHASE!$A$6:$A$10008,$AG$2,PURCHASE!$H$6:$H$10008,$A$4:$A$2700)</f>
        <v>0</v>
      </c>
      <c r="AK256" s="512">
        <f>SUMIFS(PURCHASE!$N$6:$N$10008,PURCHASE!$A$6:$A$10008,$AG$2,PURCHASE!$H$6:$H$10008,$A$4:$A$2700)</f>
        <v>0</v>
      </c>
      <c r="AL256" s="512">
        <f t="shared" si="69"/>
        <v>0</v>
      </c>
      <c r="AM256" s="512">
        <f>SUMIFS(PURCHASE!$K$6:$K$10008,PURCHASE!$A$6:$A$10008,$AL$2,PURCHASE!$H$6:$H$10008,$A$4:$A$2700)</f>
        <v>0</v>
      </c>
      <c r="AN256" s="512">
        <f>SUMIFS(PURCHASE!$L$6:$L$10008,PURCHASE!$A$6:$A$10008,$AL$2,PURCHASE!$H$6:$H$10008,$A$4:$A$2700)</f>
        <v>0</v>
      </c>
      <c r="AO256" s="512">
        <f>SUMIFS(PURCHASE!$M$6:$M$10008,PURCHASE!$A$6:$A$10008,$AL$2,PURCHASE!$H$6:$H$10008,$A$4:$A$2700)</f>
        <v>0</v>
      </c>
      <c r="AP256" s="512">
        <f>SUMIFS(PURCHASE!$N$6:$N$10008,PURCHASE!$A$6:$A$10008,$AL$2,PURCHASE!$H$6:$H$10008,$A$4:$A$2700)</f>
        <v>0</v>
      </c>
      <c r="AQ256" s="512">
        <f t="shared" si="70"/>
        <v>0</v>
      </c>
      <c r="AR256" s="512">
        <f>SUMIFS(PURCHASE!$K$6:$K$10008,PURCHASE!$A$6:$A$10008,$AQ$2,PURCHASE!$H$6:$H$10008,$A$4:$A$2700)</f>
        <v>0</v>
      </c>
      <c r="AS256" s="512">
        <f>SUMIFS(PURCHASE!$L$6:$L$10008,PURCHASE!$A$6:$A$10008,$AQ$2,PURCHASE!$H$6:$H$10008,$A$4:$A$2700)</f>
        <v>0</v>
      </c>
      <c r="AT256" s="512">
        <f>SUMIFS(PURCHASE!$M$6:$M$10008,PURCHASE!$A$6:$A$10008,$AQ$2,PURCHASE!$H$6:$H$10008,$A$4:$A$2700)</f>
        <v>0</v>
      </c>
      <c r="AU256" s="512">
        <f>SUMIFS(PURCHASE!$N$6:$N$10008,PURCHASE!$A$6:$A$10008,$AQ$2,PURCHASE!$H$6:$H$10008,$A$4:$A$2700)</f>
        <v>0</v>
      </c>
      <c r="AV256" s="512">
        <f t="shared" si="71"/>
        <v>0</v>
      </c>
      <c r="AW256" s="512">
        <f>SUMIFS(PURCHASE!$K$6:$K$10008,PURCHASE!$A$6:$A$10008,$AV$2,PURCHASE!$H$6:$H$10008,$A$4:$A$2700)</f>
        <v>0</v>
      </c>
      <c r="AX256" s="512">
        <f>SUMIFS(PURCHASE!$L$6:$L$10008,PURCHASE!$A$6:$A$10008,$AV$2,PURCHASE!$H$6:$H$10008,$A$4:$A$2700)</f>
        <v>0</v>
      </c>
      <c r="AY256" s="512">
        <f>SUMIFS(PURCHASE!$M$6:$M$10008,PURCHASE!$A$6:$A$10008,$AV$2,PURCHASE!$H$6:$H$10008,$A$4:$A$2700)</f>
        <v>0</v>
      </c>
      <c r="AZ256" s="512">
        <f>SUMIFS(PURCHASE!$N$6:$N$10008,PURCHASE!$A$6:$A$10008,$AV$2,PURCHASE!$H$6:$H$10008,$A$4:$A$2700)</f>
        <v>0</v>
      </c>
      <c r="BA256" s="512">
        <f t="shared" si="72"/>
        <v>0</v>
      </c>
      <c r="BB256" s="512">
        <f>SUMIFS(PURCHASE!$K$6:$K$10008,PURCHASE!$A$6:$A$10008,$BA$2,PURCHASE!$H$6:$H$10008,$A$4:$A$2700)</f>
        <v>0</v>
      </c>
      <c r="BC256" s="512">
        <f>SUMIFS(PURCHASE!$L$6:$L$10008,PURCHASE!$A$6:$A$10008,$BA$2,PURCHASE!$H$6:$H$10008,$A$4:$A$2700)</f>
        <v>0</v>
      </c>
      <c r="BD256" s="512">
        <f>SUMIFS(PURCHASE!$M$6:$M$10008,PURCHASE!$A$6:$A$10008,$BA$2,PURCHASE!$H$6:$H$10008,$A$4:$A$2700)</f>
        <v>0</v>
      </c>
      <c r="BE256" s="512">
        <f>SUMIFS(PURCHASE!$N$6:$N$10008,PURCHASE!$A$6:$A$10008,$BA$2,PURCHASE!$H$6:$H$10008,$A$4:$A$2700)</f>
        <v>0</v>
      </c>
      <c r="BF256" s="512">
        <f t="shared" si="73"/>
        <v>0</v>
      </c>
      <c r="BG256" s="512">
        <f>SUMIFS(PURCHASE!$K$6:$K$10008,PURCHASE!$A$6:$A$10008,$BF$2,PURCHASE!$H$6:$H$10008,$A$4:$A$2700)</f>
        <v>0</v>
      </c>
      <c r="BH256" s="512">
        <f>SUMIFS(PURCHASE!$L$6:$L$10008,PURCHASE!$A$6:$A$10008,$BF$2,PURCHASE!$H$6:$H$10008,$A$4:$A$2700)</f>
        <v>0</v>
      </c>
      <c r="BI256" s="512">
        <f>SUMIFS(PURCHASE!$M$6:$M$10008,PURCHASE!$A$6:$A$10008,$BF$2,PURCHASE!$H$6:$H$10008,$A$4:$A$2700)</f>
        <v>0</v>
      </c>
      <c r="BJ256" s="512">
        <f>SUMIFS(PURCHASE!$N$6:$N$10008,PURCHASE!$A$6:$A$10008,$BF$2,PURCHASE!$H$6:$H$10008,$A$4:$A$2700)</f>
        <v>0</v>
      </c>
      <c r="BK256" s="72">
        <f t="shared" si="75"/>
        <v>1593</v>
      </c>
      <c r="BL256" s="72">
        <f t="shared" si="76"/>
        <v>1350</v>
      </c>
      <c r="BM256" s="72">
        <f t="shared" si="77"/>
        <v>0</v>
      </c>
      <c r="BN256" s="72">
        <f t="shared" si="78"/>
        <v>121.5</v>
      </c>
      <c r="BO256" s="72">
        <f t="shared" si="79"/>
        <v>121.5</v>
      </c>
    </row>
    <row r="257" spans="1:67" x14ac:dyDescent="0.2">
      <c r="A257" s="516" t="s">
        <v>544</v>
      </c>
      <c r="B257" s="500" t="s">
        <v>1366</v>
      </c>
      <c r="C257" s="512">
        <f t="shared" si="62"/>
        <v>4130</v>
      </c>
      <c r="D257" s="512">
        <f>SUMIFS(PURCHASE!$K$6:$K$10008,PURCHASE!$A$6:$A$10008,$M$2,PURCHASE!$H$6:$H$10008,$A$4:$A$2700)</f>
        <v>3500</v>
      </c>
      <c r="E257" s="512">
        <f>SUMIFS(PURCHASE!$L$6:$L$10008,PURCHASE!$A$6:$A$10008,$M$2,PURCHASE!$H$6:$H$10008,$A$4:$A$2700)</f>
        <v>0</v>
      </c>
      <c r="F257" s="512">
        <f>SUMIFS(PURCHASE!$M$6:$M$10008,PURCHASE!$A$6:$A$10008,$M$2,PURCHASE!$H$6:$H$10008,$A$4:$A$2700)</f>
        <v>315</v>
      </c>
      <c r="G257" s="512">
        <f>SUMIFS(PURCHASE!$N$6:$N$10008,PURCHASE!$A$6:$A$10008,$M$2,PURCHASE!$H$6:$H$10008,$A$4:$A$2700)</f>
        <v>315</v>
      </c>
      <c r="H257" s="512">
        <f t="shared" si="63"/>
        <v>4130</v>
      </c>
      <c r="I257" s="512">
        <f>SUMIFS(PURCHASE!$K$6:$K$10008,PURCHASE!$A$6:$A$10008,$H$2,PURCHASE!$H$6:$H$10008,$A$4:$A$2700)</f>
        <v>3500</v>
      </c>
      <c r="J257" s="512">
        <f>SUMIFS(PURCHASE!$L$6:$L$10008,PURCHASE!$A$6:$A$10008,$H$2,PURCHASE!$H$6:$H$10008,$A$4:$A$2700)</f>
        <v>0</v>
      </c>
      <c r="K257" s="512">
        <f>SUMIFS(PURCHASE!$M$6:$M$10008,PURCHASE!$A$6:$A$10008,$H$2,PURCHASE!$H$6:$H$10008,$A$4:$A$2700)</f>
        <v>315</v>
      </c>
      <c r="L257" s="512">
        <f>SUMIFS(PURCHASE!$N$6:$N$10008,PURCHASE!$A$6:$A$10008,$H$2,PURCHASE!$H$6:$H$10008,$A$4:$A$2700)</f>
        <v>315</v>
      </c>
      <c r="M257" s="512">
        <f t="shared" si="64"/>
        <v>4130</v>
      </c>
      <c r="N257" s="512">
        <f>SUMIFS(PURCHASE!$K$6:$K$10008,PURCHASE!$A$6:$A$10008,$M$2,PURCHASE!$H$6:$H$10008,$A$4:$A$2700)</f>
        <v>3500</v>
      </c>
      <c r="O257" s="512">
        <f>SUMIFS(PURCHASE!$L$6:$L$10008,PURCHASE!$A$6:$A$10008,$M$2,PURCHASE!$H$6:$H$10008,$A$4:$A$2700)</f>
        <v>0</v>
      </c>
      <c r="P257" s="512">
        <f>SUMIFS(PURCHASE!$M$6:$M$10008,PURCHASE!$A$6:$A$10008,$M$2,PURCHASE!$H$6:$H$10008,$A$4:$A$2700)</f>
        <v>315</v>
      </c>
      <c r="Q257" s="512">
        <f>SUMIFS(PURCHASE!$N$6:$N$10008,PURCHASE!$A$6:$A$10008,$M$2,PURCHASE!$H$6:$H$10008,$A$4:$A$2700)</f>
        <v>315</v>
      </c>
      <c r="R257" s="512">
        <f t="shared" si="65"/>
        <v>4130</v>
      </c>
      <c r="S257" s="512">
        <f>SUMIFS(PURCHASE!$K$6:$K$10008,PURCHASE!$A$6:$A$10008,$R$2,PURCHASE!$H$6:$H$10008,$A$4:$A$2700)</f>
        <v>3500</v>
      </c>
      <c r="T257" s="512">
        <f>SUMIFS(PURCHASE!$L$6:$L$10008,PURCHASE!$A$6:$A$10008,$R$2,PURCHASE!$H$6:$H$10008,$A$4:$A$2700)</f>
        <v>0</v>
      </c>
      <c r="U257" s="512">
        <f>SUMIFS(PURCHASE!$M$6:$M$10008,PURCHASE!$A$6:$A$10008,$R$2,PURCHASE!$H$6:$H$10008,$A$4:$A$2700)</f>
        <v>315</v>
      </c>
      <c r="V257" s="512">
        <f>SUMIFS(PURCHASE!$N$6:$N$10008,PURCHASE!$A$6:$A$10008,$R$2,PURCHASE!$H$6:$H$10008,$A$4:$A$2700)</f>
        <v>315</v>
      </c>
      <c r="W257" s="512">
        <f t="shared" si="66"/>
        <v>4130</v>
      </c>
      <c r="X257" s="512">
        <f>SUMIFS(PURCHASE!$K$6:$K$10008,PURCHASE!$A$6:$A$10008,$W$2,PURCHASE!$H$6:$H$10008,$A$4:$A$2700)</f>
        <v>3500</v>
      </c>
      <c r="Y257" s="512">
        <f>SUMIFS(PURCHASE!$L$6:$L$10008,PURCHASE!$A$6:$A$10008,$W$2,PURCHASE!$H$6:$H$10008,$A$4:$A$2700)</f>
        <v>0</v>
      </c>
      <c r="Z257" s="512">
        <f>SUMIFS(PURCHASE!$M$6:$M$10008,PURCHASE!$A$6:$A$10008,$W$2,PURCHASE!$H$6:$H$10008,$A$4:$A$2700)</f>
        <v>315</v>
      </c>
      <c r="AA257" s="512">
        <f>SUMIFS(PURCHASE!$N$6:$N$10008,PURCHASE!$A$6:$A$10008,$W$2,PURCHASE!$H$6:$H$10008,$A$4:$A$2700)</f>
        <v>315</v>
      </c>
      <c r="AB257" s="512">
        <f t="shared" si="67"/>
        <v>4130</v>
      </c>
      <c r="AC257" s="512">
        <f>SUMIFS(PURCHASE!$K$6:$K$10008,PURCHASE!$A$6:$A$10008,$AB$2,PURCHASE!$H$6:$H$10008,$A$4:$A$2700)</f>
        <v>3500</v>
      </c>
      <c r="AD257" s="512">
        <f>SUMIFS(PURCHASE!$L$6:$L$10008,PURCHASE!$A$6:$A$10008,$AB$2,PURCHASE!$H$6:$H$10008,$A$4:$A$2700)</f>
        <v>0</v>
      </c>
      <c r="AE257" s="512">
        <f>SUMIFS(PURCHASE!$M$6:$M$10008,PURCHASE!$A$6:$A$10008,$AB$2,PURCHASE!$H$6:$H$10008,$A$4:$A$2700)</f>
        <v>315</v>
      </c>
      <c r="AF257" s="512">
        <f>SUMIFS(PURCHASE!$N$6:$N$10008,PURCHASE!$A$6:$A$10008,$AB$2,PURCHASE!$H$6:$H$10008,$A$4:$A$2700)</f>
        <v>315</v>
      </c>
      <c r="AG257" s="512">
        <f t="shared" si="68"/>
        <v>4130</v>
      </c>
      <c r="AH257" s="512">
        <f>SUMIFS(PURCHASE!$K$6:$K$10008,PURCHASE!$A$6:$A$10008,$AG$2,PURCHASE!$H$6:$H$10008,$A$4:$A$2700)</f>
        <v>3500</v>
      </c>
      <c r="AI257" s="512">
        <f>SUMIFS(PURCHASE!$L$6:$L$10008,PURCHASE!$A$6:$A$10008,$AG$2,PURCHASE!$H$6:$H$10008,$A$4:$A$2700)</f>
        <v>0</v>
      </c>
      <c r="AJ257" s="512">
        <f>SUMIFS(PURCHASE!$M$6:$M$10008,PURCHASE!$A$6:$A$10008,$AG$2,PURCHASE!$H$6:$H$10008,$A$4:$A$2700)</f>
        <v>315</v>
      </c>
      <c r="AK257" s="512">
        <f>SUMIFS(PURCHASE!$N$6:$N$10008,PURCHASE!$A$6:$A$10008,$AG$2,PURCHASE!$H$6:$H$10008,$A$4:$A$2700)</f>
        <v>315</v>
      </c>
      <c r="AL257" s="512">
        <f t="shared" si="69"/>
        <v>4130</v>
      </c>
      <c r="AM257" s="512">
        <f>SUMIFS(PURCHASE!$K$6:$K$10008,PURCHASE!$A$6:$A$10008,$AL$2,PURCHASE!$H$6:$H$10008,$A$4:$A$2700)</f>
        <v>3500</v>
      </c>
      <c r="AN257" s="512">
        <f>SUMIFS(PURCHASE!$L$6:$L$10008,PURCHASE!$A$6:$A$10008,$AL$2,PURCHASE!$H$6:$H$10008,$A$4:$A$2700)</f>
        <v>0</v>
      </c>
      <c r="AO257" s="512">
        <f>SUMIFS(PURCHASE!$M$6:$M$10008,PURCHASE!$A$6:$A$10008,$AL$2,PURCHASE!$H$6:$H$10008,$A$4:$A$2700)</f>
        <v>315</v>
      </c>
      <c r="AP257" s="512">
        <f>SUMIFS(PURCHASE!$N$6:$N$10008,PURCHASE!$A$6:$A$10008,$AL$2,PURCHASE!$H$6:$H$10008,$A$4:$A$2700)</f>
        <v>315</v>
      </c>
      <c r="AQ257" s="512">
        <f t="shared" si="70"/>
        <v>4130</v>
      </c>
      <c r="AR257" s="512">
        <f>SUMIFS(PURCHASE!$K$6:$K$10008,PURCHASE!$A$6:$A$10008,$AQ$2,PURCHASE!$H$6:$H$10008,$A$4:$A$2700)</f>
        <v>3500</v>
      </c>
      <c r="AS257" s="512">
        <f>SUMIFS(PURCHASE!$L$6:$L$10008,PURCHASE!$A$6:$A$10008,$AQ$2,PURCHASE!$H$6:$H$10008,$A$4:$A$2700)</f>
        <v>0</v>
      </c>
      <c r="AT257" s="512">
        <f>SUMIFS(PURCHASE!$M$6:$M$10008,PURCHASE!$A$6:$A$10008,$AQ$2,PURCHASE!$H$6:$H$10008,$A$4:$A$2700)</f>
        <v>315</v>
      </c>
      <c r="AU257" s="512">
        <f>SUMIFS(PURCHASE!$N$6:$N$10008,PURCHASE!$A$6:$A$10008,$AQ$2,PURCHASE!$H$6:$H$10008,$A$4:$A$2700)</f>
        <v>315</v>
      </c>
      <c r="AV257" s="512">
        <f t="shared" si="71"/>
        <v>4130</v>
      </c>
      <c r="AW257" s="512">
        <f>SUMIFS(PURCHASE!$K$6:$K$10008,PURCHASE!$A$6:$A$10008,$AV$2,PURCHASE!$H$6:$H$10008,$A$4:$A$2700)</f>
        <v>3500</v>
      </c>
      <c r="AX257" s="512">
        <f>SUMIFS(PURCHASE!$L$6:$L$10008,PURCHASE!$A$6:$A$10008,$AV$2,PURCHASE!$H$6:$H$10008,$A$4:$A$2700)</f>
        <v>0</v>
      </c>
      <c r="AY257" s="512">
        <f>SUMIFS(PURCHASE!$M$6:$M$10008,PURCHASE!$A$6:$A$10008,$AV$2,PURCHASE!$H$6:$H$10008,$A$4:$A$2700)</f>
        <v>315</v>
      </c>
      <c r="AZ257" s="512">
        <f>SUMIFS(PURCHASE!$N$6:$N$10008,PURCHASE!$A$6:$A$10008,$AV$2,PURCHASE!$H$6:$H$10008,$A$4:$A$2700)</f>
        <v>315</v>
      </c>
      <c r="BA257" s="512">
        <f t="shared" si="72"/>
        <v>0</v>
      </c>
      <c r="BB257" s="512">
        <f>SUMIFS(PURCHASE!$K$6:$K$10008,PURCHASE!$A$6:$A$10008,$BA$2,PURCHASE!$H$6:$H$10008,$A$4:$A$2700)</f>
        <v>0</v>
      </c>
      <c r="BC257" s="512">
        <f>SUMIFS(PURCHASE!$L$6:$L$10008,PURCHASE!$A$6:$A$10008,$BA$2,PURCHASE!$H$6:$H$10008,$A$4:$A$2700)</f>
        <v>0</v>
      </c>
      <c r="BD257" s="512">
        <f>SUMIFS(PURCHASE!$M$6:$M$10008,PURCHASE!$A$6:$A$10008,$BA$2,PURCHASE!$H$6:$H$10008,$A$4:$A$2700)</f>
        <v>0</v>
      </c>
      <c r="BE257" s="512">
        <f>SUMIFS(PURCHASE!$N$6:$N$10008,PURCHASE!$A$6:$A$10008,$BA$2,PURCHASE!$H$6:$H$10008,$A$4:$A$2700)</f>
        <v>0</v>
      </c>
      <c r="BF257" s="512">
        <f t="shared" si="73"/>
        <v>0</v>
      </c>
      <c r="BG257" s="512">
        <f>SUMIFS(PURCHASE!$K$6:$K$10008,PURCHASE!$A$6:$A$10008,$BF$2,PURCHASE!$H$6:$H$10008,$A$4:$A$2700)</f>
        <v>0</v>
      </c>
      <c r="BH257" s="512">
        <f>SUMIFS(PURCHASE!$L$6:$L$10008,PURCHASE!$A$6:$A$10008,$BF$2,PURCHASE!$H$6:$H$10008,$A$4:$A$2700)</f>
        <v>0</v>
      </c>
      <c r="BI257" s="512">
        <f>SUMIFS(PURCHASE!$M$6:$M$10008,PURCHASE!$A$6:$A$10008,$BF$2,PURCHASE!$H$6:$H$10008,$A$4:$A$2700)</f>
        <v>0</v>
      </c>
      <c r="BJ257" s="512">
        <f>SUMIFS(PURCHASE!$N$6:$N$10008,PURCHASE!$A$6:$A$10008,$BF$2,PURCHASE!$H$6:$H$10008,$A$4:$A$2700)</f>
        <v>0</v>
      </c>
      <c r="BK257" s="72">
        <f t="shared" si="75"/>
        <v>41300</v>
      </c>
      <c r="BL257" s="72">
        <f t="shared" si="76"/>
        <v>35000</v>
      </c>
      <c r="BM257" s="72">
        <f t="shared" si="77"/>
        <v>0</v>
      </c>
      <c r="BN257" s="72">
        <f t="shared" si="78"/>
        <v>3150</v>
      </c>
      <c r="BO257" s="72">
        <f t="shared" si="79"/>
        <v>3150</v>
      </c>
    </row>
    <row r="258" spans="1:67" x14ac:dyDescent="0.2">
      <c r="A258" s="516" t="s">
        <v>703</v>
      </c>
      <c r="B258" s="500" t="s">
        <v>1367</v>
      </c>
      <c r="C258" s="512">
        <f t="shared" si="62"/>
        <v>482489.59999999998</v>
      </c>
      <c r="D258" s="512">
        <f>SUMIFS(PURCHASE!$K$6:$K$10008,PURCHASE!$A$6:$A$10008,$M$2,PURCHASE!$H$6:$H$10008,$A$4:$A$2700)</f>
        <v>376945</v>
      </c>
      <c r="E258" s="512">
        <f>SUMIFS(PURCHASE!$L$6:$L$10008,PURCHASE!$A$6:$A$10008,$M$2,PURCHASE!$H$6:$H$10008,$A$4:$A$2700)</f>
        <v>0</v>
      </c>
      <c r="F258" s="512">
        <f>SUMIFS(PURCHASE!$M$6:$M$10008,PURCHASE!$A$6:$A$10008,$M$2,PURCHASE!$H$6:$H$10008,$A$4:$A$2700)</f>
        <v>52772.299999999996</v>
      </c>
      <c r="G258" s="512">
        <f>SUMIFS(PURCHASE!$N$6:$N$10008,PURCHASE!$A$6:$A$10008,$M$2,PURCHASE!$H$6:$H$10008,$A$4:$A$2700)</f>
        <v>52772.299999999996</v>
      </c>
      <c r="H258" s="512">
        <f t="shared" si="63"/>
        <v>0</v>
      </c>
      <c r="I258" s="512">
        <f>SUMIFS(PURCHASE!$K$6:$K$10008,PURCHASE!$A$6:$A$10008,$H$2,PURCHASE!$H$6:$H$10008,$A$4:$A$2700)</f>
        <v>0</v>
      </c>
      <c r="J258" s="512">
        <f>SUMIFS(PURCHASE!$L$6:$L$10008,PURCHASE!$A$6:$A$10008,$H$2,PURCHASE!$H$6:$H$10008,$A$4:$A$2700)</f>
        <v>0</v>
      </c>
      <c r="K258" s="512">
        <f>SUMIFS(PURCHASE!$M$6:$M$10008,PURCHASE!$A$6:$A$10008,$H$2,PURCHASE!$H$6:$H$10008,$A$4:$A$2700)</f>
        <v>0</v>
      </c>
      <c r="L258" s="512">
        <f>SUMIFS(PURCHASE!$N$6:$N$10008,PURCHASE!$A$6:$A$10008,$H$2,PURCHASE!$H$6:$H$10008,$A$4:$A$2700)</f>
        <v>0</v>
      </c>
      <c r="M258" s="512">
        <f t="shared" si="64"/>
        <v>482489.59999999998</v>
      </c>
      <c r="N258" s="512">
        <f>SUMIFS(PURCHASE!$K$6:$K$10008,PURCHASE!$A$6:$A$10008,$M$2,PURCHASE!$H$6:$H$10008,$A$4:$A$2700)</f>
        <v>376945</v>
      </c>
      <c r="O258" s="512">
        <f>SUMIFS(PURCHASE!$L$6:$L$10008,PURCHASE!$A$6:$A$10008,$M$2,PURCHASE!$H$6:$H$10008,$A$4:$A$2700)</f>
        <v>0</v>
      </c>
      <c r="P258" s="512">
        <f>SUMIFS(PURCHASE!$M$6:$M$10008,PURCHASE!$A$6:$A$10008,$M$2,PURCHASE!$H$6:$H$10008,$A$4:$A$2700)</f>
        <v>52772.299999999996</v>
      </c>
      <c r="Q258" s="512">
        <f>SUMIFS(PURCHASE!$N$6:$N$10008,PURCHASE!$A$6:$A$10008,$M$2,PURCHASE!$H$6:$H$10008,$A$4:$A$2700)</f>
        <v>52772.299999999996</v>
      </c>
      <c r="R258" s="512">
        <f t="shared" si="65"/>
        <v>482489.59999999998</v>
      </c>
      <c r="S258" s="512">
        <f>SUMIFS(PURCHASE!$K$6:$K$10008,PURCHASE!$A$6:$A$10008,$R$2,PURCHASE!$H$6:$H$10008,$A$4:$A$2700)</f>
        <v>376945</v>
      </c>
      <c r="T258" s="512">
        <f>SUMIFS(PURCHASE!$L$6:$L$10008,PURCHASE!$A$6:$A$10008,$R$2,PURCHASE!$H$6:$H$10008,$A$4:$A$2700)</f>
        <v>0</v>
      </c>
      <c r="U258" s="512">
        <f>SUMIFS(PURCHASE!$M$6:$M$10008,PURCHASE!$A$6:$A$10008,$R$2,PURCHASE!$H$6:$H$10008,$A$4:$A$2700)</f>
        <v>52772.299999999996</v>
      </c>
      <c r="V258" s="512">
        <f>SUMIFS(PURCHASE!$N$6:$N$10008,PURCHASE!$A$6:$A$10008,$R$2,PURCHASE!$H$6:$H$10008,$A$4:$A$2700)</f>
        <v>52772.299999999996</v>
      </c>
      <c r="W258" s="512">
        <f t="shared" si="66"/>
        <v>482489.59999999998</v>
      </c>
      <c r="X258" s="512">
        <f>SUMIFS(PURCHASE!$K$6:$K$10008,PURCHASE!$A$6:$A$10008,$W$2,PURCHASE!$H$6:$H$10008,$A$4:$A$2700)</f>
        <v>376945</v>
      </c>
      <c r="Y258" s="512">
        <f>SUMIFS(PURCHASE!$L$6:$L$10008,PURCHASE!$A$6:$A$10008,$W$2,PURCHASE!$H$6:$H$10008,$A$4:$A$2700)</f>
        <v>0</v>
      </c>
      <c r="Z258" s="512">
        <f>SUMIFS(PURCHASE!$M$6:$M$10008,PURCHASE!$A$6:$A$10008,$W$2,PURCHASE!$H$6:$H$10008,$A$4:$A$2700)</f>
        <v>52772.299999999996</v>
      </c>
      <c r="AA258" s="512">
        <f>SUMIFS(PURCHASE!$N$6:$N$10008,PURCHASE!$A$6:$A$10008,$W$2,PURCHASE!$H$6:$H$10008,$A$4:$A$2700)</f>
        <v>52772.299999999996</v>
      </c>
      <c r="AB258" s="512">
        <f t="shared" si="67"/>
        <v>482489.59999999998</v>
      </c>
      <c r="AC258" s="512">
        <f>SUMIFS(PURCHASE!$K$6:$K$10008,PURCHASE!$A$6:$A$10008,$AB$2,PURCHASE!$H$6:$H$10008,$A$4:$A$2700)</f>
        <v>376945</v>
      </c>
      <c r="AD258" s="512">
        <f>SUMIFS(PURCHASE!$L$6:$L$10008,PURCHASE!$A$6:$A$10008,$AB$2,PURCHASE!$H$6:$H$10008,$A$4:$A$2700)</f>
        <v>0</v>
      </c>
      <c r="AE258" s="512">
        <f>SUMIFS(PURCHASE!$M$6:$M$10008,PURCHASE!$A$6:$A$10008,$AB$2,PURCHASE!$H$6:$H$10008,$A$4:$A$2700)</f>
        <v>52772.299999999996</v>
      </c>
      <c r="AF258" s="512">
        <f>SUMIFS(PURCHASE!$N$6:$N$10008,PURCHASE!$A$6:$A$10008,$AB$2,PURCHASE!$H$6:$H$10008,$A$4:$A$2700)</f>
        <v>52772.299999999996</v>
      </c>
      <c r="AG258" s="512">
        <f t="shared" si="68"/>
        <v>482489.59999999998</v>
      </c>
      <c r="AH258" s="512">
        <f>SUMIFS(PURCHASE!$K$6:$K$10008,PURCHASE!$A$6:$A$10008,$AG$2,PURCHASE!$H$6:$H$10008,$A$4:$A$2700)</f>
        <v>376945</v>
      </c>
      <c r="AI258" s="512">
        <f>SUMIFS(PURCHASE!$L$6:$L$10008,PURCHASE!$A$6:$A$10008,$AG$2,PURCHASE!$H$6:$H$10008,$A$4:$A$2700)</f>
        <v>0</v>
      </c>
      <c r="AJ258" s="512">
        <f>SUMIFS(PURCHASE!$M$6:$M$10008,PURCHASE!$A$6:$A$10008,$AG$2,PURCHASE!$H$6:$H$10008,$A$4:$A$2700)</f>
        <v>52772.299999999996</v>
      </c>
      <c r="AK258" s="512">
        <f>SUMIFS(PURCHASE!$N$6:$N$10008,PURCHASE!$A$6:$A$10008,$AG$2,PURCHASE!$H$6:$H$10008,$A$4:$A$2700)</f>
        <v>52772.299999999996</v>
      </c>
      <c r="AL258" s="512">
        <f t="shared" si="69"/>
        <v>482489.59999999998</v>
      </c>
      <c r="AM258" s="512">
        <f>SUMIFS(PURCHASE!$K$6:$K$10008,PURCHASE!$A$6:$A$10008,$AL$2,PURCHASE!$H$6:$H$10008,$A$4:$A$2700)</f>
        <v>376945</v>
      </c>
      <c r="AN258" s="512">
        <f>SUMIFS(PURCHASE!$L$6:$L$10008,PURCHASE!$A$6:$A$10008,$AL$2,PURCHASE!$H$6:$H$10008,$A$4:$A$2700)</f>
        <v>0</v>
      </c>
      <c r="AO258" s="512">
        <f>SUMIFS(PURCHASE!$M$6:$M$10008,PURCHASE!$A$6:$A$10008,$AL$2,PURCHASE!$H$6:$H$10008,$A$4:$A$2700)</f>
        <v>52772.299999999996</v>
      </c>
      <c r="AP258" s="512">
        <f>SUMIFS(PURCHASE!$N$6:$N$10008,PURCHASE!$A$6:$A$10008,$AL$2,PURCHASE!$H$6:$H$10008,$A$4:$A$2700)</f>
        <v>52772.299999999996</v>
      </c>
      <c r="AQ258" s="512">
        <f t="shared" si="70"/>
        <v>482489.59999999998</v>
      </c>
      <c r="AR258" s="512">
        <f>SUMIFS(PURCHASE!$K$6:$K$10008,PURCHASE!$A$6:$A$10008,$AQ$2,PURCHASE!$H$6:$H$10008,$A$4:$A$2700)</f>
        <v>376945</v>
      </c>
      <c r="AS258" s="512">
        <f>SUMIFS(PURCHASE!$L$6:$L$10008,PURCHASE!$A$6:$A$10008,$AQ$2,PURCHASE!$H$6:$H$10008,$A$4:$A$2700)</f>
        <v>0</v>
      </c>
      <c r="AT258" s="512">
        <f>SUMIFS(PURCHASE!$M$6:$M$10008,PURCHASE!$A$6:$A$10008,$AQ$2,PURCHASE!$H$6:$H$10008,$A$4:$A$2700)</f>
        <v>52772.299999999996</v>
      </c>
      <c r="AU258" s="512">
        <f>SUMIFS(PURCHASE!$N$6:$N$10008,PURCHASE!$A$6:$A$10008,$AQ$2,PURCHASE!$H$6:$H$10008,$A$4:$A$2700)</f>
        <v>52772.299999999996</v>
      </c>
      <c r="AV258" s="512">
        <f t="shared" si="71"/>
        <v>482489.59999999998</v>
      </c>
      <c r="AW258" s="512">
        <f>SUMIFS(PURCHASE!$K$6:$K$10008,PURCHASE!$A$6:$A$10008,$AV$2,PURCHASE!$H$6:$H$10008,$A$4:$A$2700)</f>
        <v>376945</v>
      </c>
      <c r="AX258" s="512">
        <f>SUMIFS(PURCHASE!$L$6:$L$10008,PURCHASE!$A$6:$A$10008,$AV$2,PURCHASE!$H$6:$H$10008,$A$4:$A$2700)</f>
        <v>0</v>
      </c>
      <c r="AY258" s="512">
        <f>SUMIFS(PURCHASE!$M$6:$M$10008,PURCHASE!$A$6:$A$10008,$AV$2,PURCHASE!$H$6:$H$10008,$A$4:$A$2700)</f>
        <v>52772.299999999996</v>
      </c>
      <c r="AZ258" s="512">
        <f>SUMIFS(PURCHASE!$N$6:$N$10008,PURCHASE!$A$6:$A$10008,$AV$2,PURCHASE!$H$6:$H$10008,$A$4:$A$2700)</f>
        <v>52772.299999999996</v>
      </c>
      <c r="BA258" s="512">
        <f t="shared" si="72"/>
        <v>0</v>
      </c>
      <c r="BB258" s="512">
        <f>SUMIFS(PURCHASE!$K$6:$K$10008,PURCHASE!$A$6:$A$10008,$BA$2,PURCHASE!$H$6:$H$10008,$A$4:$A$2700)</f>
        <v>0</v>
      </c>
      <c r="BC258" s="512">
        <f>SUMIFS(PURCHASE!$L$6:$L$10008,PURCHASE!$A$6:$A$10008,$BA$2,PURCHASE!$H$6:$H$10008,$A$4:$A$2700)</f>
        <v>0</v>
      </c>
      <c r="BD258" s="512">
        <f>SUMIFS(PURCHASE!$M$6:$M$10008,PURCHASE!$A$6:$A$10008,$BA$2,PURCHASE!$H$6:$H$10008,$A$4:$A$2700)</f>
        <v>0</v>
      </c>
      <c r="BE258" s="512">
        <f>SUMIFS(PURCHASE!$N$6:$N$10008,PURCHASE!$A$6:$A$10008,$BA$2,PURCHASE!$H$6:$H$10008,$A$4:$A$2700)</f>
        <v>0</v>
      </c>
      <c r="BF258" s="512">
        <f t="shared" si="73"/>
        <v>0</v>
      </c>
      <c r="BG258" s="512">
        <f>SUMIFS(PURCHASE!$K$6:$K$10008,PURCHASE!$A$6:$A$10008,$BF$2,PURCHASE!$H$6:$H$10008,$A$4:$A$2700)</f>
        <v>0</v>
      </c>
      <c r="BH258" s="512">
        <f>SUMIFS(PURCHASE!$L$6:$L$10008,PURCHASE!$A$6:$A$10008,$BF$2,PURCHASE!$H$6:$H$10008,$A$4:$A$2700)</f>
        <v>0</v>
      </c>
      <c r="BI258" s="512">
        <f>SUMIFS(PURCHASE!$M$6:$M$10008,PURCHASE!$A$6:$A$10008,$BF$2,PURCHASE!$H$6:$H$10008,$A$4:$A$2700)</f>
        <v>0</v>
      </c>
      <c r="BJ258" s="512">
        <f>SUMIFS(PURCHASE!$N$6:$N$10008,PURCHASE!$A$6:$A$10008,$BF$2,PURCHASE!$H$6:$H$10008,$A$4:$A$2700)</f>
        <v>0</v>
      </c>
      <c r="BK258" s="72">
        <f t="shared" si="75"/>
        <v>4342406.4000000004</v>
      </c>
      <c r="BL258" s="72">
        <f t="shared" si="76"/>
        <v>3392505</v>
      </c>
      <c r="BM258" s="72">
        <f t="shared" si="77"/>
        <v>0</v>
      </c>
      <c r="BN258" s="72">
        <f t="shared" si="78"/>
        <v>474950.69999999995</v>
      </c>
      <c r="BO258" s="72">
        <f t="shared" si="79"/>
        <v>474950.69999999995</v>
      </c>
    </row>
    <row r="259" spans="1:67" x14ac:dyDescent="0.2">
      <c r="A259" s="516" t="s">
        <v>732</v>
      </c>
      <c r="B259" s="500" t="s">
        <v>1367</v>
      </c>
      <c r="C259" s="512">
        <f t="shared" si="62"/>
        <v>47967</v>
      </c>
      <c r="D259" s="512">
        <f>SUMIFS(PURCHASE!$K$6:$K$10008,PURCHASE!$A$6:$A$10008,$M$2,PURCHASE!$H$6:$H$10008,$A$4:$A$2700)</f>
        <v>40650</v>
      </c>
      <c r="E259" s="512">
        <f>SUMIFS(PURCHASE!$L$6:$L$10008,PURCHASE!$A$6:$A$10008,$M$2,PURCHASE!$H$6:$H$10008,$A$4:$A$2700)</f>
        <v>0</v>
      </c>
      <c r="F259" s="512">
        <f>SUMIFS(PURCHASE!$M$6:$M$10008,PURCHASE!$A$6:$A$10008,$M$2,PURCHASE!$H$6:$H$10008,$A$4:$A$2700)</f>
        <v>3658.5</v>
      </c>
      <c r="G259" s="512">
        <f>SUMIFS(PURCHASE!$N$6:$N$10008,PURCHASE!$A$6:$A$10008,$M$2,PURCHASE!$H$6:$H$10008,$A$4:$A$2700)</f>
        <v>3658.5</v>
      </c>
      <c r="H259" s="512">
        <f t="shared" si="63"/>
        <v>0</v>
      </c>
      <c r="I259" s="512">
        <f>SUMIFS(PURCHASE!$K$6:$K$10008,PURCHASE!$A$6:$A$10008,$H$2,PURCHASE!$H$6:$H$10008,$A$4:$A$2700)</f>
        <v>0</v>
      </c>
      <c r="J259" s="512">
        <f>SUMIFS(PURCHASE!$L$6:$L$10008,PURCHASE!$A$6:$A$10008,$H$2,PURCHASE!$H$6:$H$10008,$A$4:$A$2700)</f>
        <v>0</v>
      </c>
      <c r="K259" s="512">
        <f>SUMIFS(PURCHASE!$M$6:$M$10008,PURCHASE!$A$6:$A$10008,$H$2,PURCHASE!$H$6:$H$10008,$A$4:$A$2700)</f>
        <v>0</v>
      </c>
      <c r="L259" s="512">
        <f>SUMIFS(PURCHASE!$N$6:$N$10008,PURCHASE!$A$6:$A$10008,$H$2,PURCHASE!$H$6:$H$10008,$A$4:$A$2700)</f>
        <v>0</v>
      </c>
      <c r="M259" s="512">
        <f t="shared" si="64"/>
        <v>47967</v>
      </c>
      <c r="N259" s="512">
        <f>SUMIFS(PURCHASE!$K$6:$K$10008,PURCHASE!$A$6:$A$10008,$M$2,PURCHASE!$H$6:$H$10008,$A$4:$A$2700)</f>
        <v>40650</v>
      </c>
      <c r="O259" s="512">
        <f>SUMIFS(PURCHASE!$L$6:$L$10008,PURCHASE!$A$6:$A$10008,$M$2,PURCHASE!$H$6:$H$10008,$A$4:$A$2700)</f>
        <v>0</v>
      </c>
      <c r="P259" s="512">
        <f>SUMIFS(PURCHASE!$M$6:$M$10008,PURCHASE!$A$6:$A$10008,$M$2,PURCHASE!$H$6:$H$10008,$A$4:$A$2700)</f>
        <v>3658.5</v>
      </c>
      <c r="Q259" s="512">
        <f>SUMIFS(PURCHASE!$N$6:$N$10008,PURCHASE!$A$6:$A$10008,$M$2,PURCHASE!$H$6:$H$10008,$A$4:$A$2700)</f>
        <v>3658.5</v>
      </c>
      <c r="R259" s="512">
        <f t="shared" si="65"/>
        <v>47967</v>
      </c>
      <c r="S259" s="512">
        <f>SUMIFS(PURCHASE!$K$6:$K$10008,PURCHASE!$A$6:$A$10008,$R$2,PURCHASE!$H$6:$H$10008,$A$4:$A$2700)</f>
        <v>40650</v>
      </c>
      <c r="T259" s="512">
        <f>SUMIFS(PURCHASE!$L$6:$L$10008,PURCHASE!$A$6:$A$10008,$R$2,PURCHASE!$H$6:$H$10008,$A$4:$A$2700)</f>
        <v>0</v>
      </c>
      <c r="U259" s="512">
        <f>SUMIFS(PURCHASE!$M$6:$M$10008,PURCHASE!$A$6:$A$10008,$R$2,PURCHASE!$H$6:$H$10008,$A$4:$A$2700)</f>
        <v>3658.5</v>
      </c>
      <c r="V259" s="512">
        <f>SUMIFS(PURCHASE!$N$6:$N$10008,PURCHASE!$A$6:$A$10008,$R$2,PURCHASE!$H$6:$H$10008,$A$4:$A$2700)</f>
        <v>3658.5</v>
      </c>
      <c r="W259" s="512">
        <f t="shared" si="66"/>
        <v>47967</v>
      </c>
      <c r="X259" s="512">
        <f>SUMIFS(PURCHASE!$K$6:$K$10008,PURCHASE!$A$6:$A$10008,$W$2,PURCHASE!$H$6:$H$10008,$A$4:$A$2700)</f>
        <v>40650</v>
      </c>
      <c r="Y259" s="512">
        <f>SUMIFS(PURCHASE!$L$6:$L$10008,PURCHASE!$A$6:$A$10008,$W$2,PURCHASE!$H$6:$H$10008,$A$4:$A$2700)</f>
        <v>0</v>
      </c>
      <c r="Z259" s="512">
        <f>SUMIFS(PURCHASE!$M$6:$M$10008,PURCHASE!$A$6:$A$10008,$W$2,PURCHASE!$H$6:$H$10008,$A$4:$A$2700)</f>
        <v>3658.5</v>
      </c>
      <c r="AA259" s="512">
        <f>SUMIFS(PURCHASE!$N$6:$N$10008,PURCHASE!$A$6:$A$10008,$W$2,PURCHASE!$H$6:$H$10008,$A$4:$A$2700)</f>
        <v>3658.5</v>
      </c>
      <c r="AB259" s="512">
        <f t="shared" si="67"/>
        <v>47967</v>
      </c>
      <c r="AC259" s="512">
        <f>SUMIFS(PURCHASE!$K$6:$K$10008,PURCHASE!$A$6:$A$10008,$AB$2,PURCHASE!$H$6:$H$10008,$A$4:$A$2700)</f>
        <v>40650</v>
      </c>
      <c r="AD259" s="512">
        <f>SUMIFS(PURCHASE!$L$6:$L$10008,PURCHASE!$A$6:$A$10008,$AB$2,PURCHASE!$H$6:$H$10008,$A$4:$A$2700)</f>
        <v>0</v>
      </c>
      <c r="AE259" s="512">
        <f>SUMIFS(PURCHASE!$M$6:$M$10008,PURCHASE!$A$6:$A$10008,$AB$2,PURCHASE!$H$6:$H$10008,$A$4:$A$2700)</f>
        <v>3658.5</v>
      </c>
      <c r="AF259" s="512">
        <f>SUMIFS(PURCHASE!$N$6:$N$10008,PURCHASE!$A$6:$A$10008,$AB$2,PURCHASE!$H$6:$H$10008,$A$4:$A$2700)</f>
        <v>3658.5</v>
      </c>
      <c r="AG259" s="512">
        <f t="shared" si="68"/>
        <v>47967</v>
      </c>
      <c r="AH259" s="512">
        <f>SUMIFS(PURCHASE!$K$6:$K$10008,PURCHASE!$A$6:$A$10008,$AG$2,PURCHASE!$H$6:$H$10008,$A$4:$A$2700)</f>
        <v>40650</v>
      </c>
      <c r="AI259" s="512">
        <f>SUMIFS(PURCHASE!$L$6:$L$10008,PURCHASE!$A$6:$A$10008,$AG$2,PURCHASE!$H$6:$H$10008,$A$4:$A$2700)</f>
        <v>0</v>
      </c>
      <c r="AJ259" s="512">
        <f>SUMIFS(PURCHASE!$M$6:$M$10008,PURCHASE!$A$6:$A$10008,$AG$2,PURCHASE!$H$6:$H$10008,$A$4:$A$2700)</f>
        <v>3658.5</v>
      </c>
      <c r="AK259" s="512">
        <f>SUMIFS(PURCHASE!$N$6:$N$10008,PURCHASE!$A$6:$A$10008,$AG$2,PURCHASE!$H$6:$H$10008,$A$4:$A$2700)</f>
        <v>3658.5</v>
      </c>
      <c r="AL259" s="512">
        <f t="shared" si="69"/>
        <v>47967</v>
      </c>
      <c r="AM259" s="512">
        <f>SUMIFS(PURCHASE!$K$6:$K$10008,PURCHASE!$A$6:$A$10008,$AL$2,PURCHASE!$H$6:$H$10008,$A$4:$A$2700)</f>
        <v>40650</v>
      </c>
      <c r="AN259" s="512">
        <f>SUMIFS(PURCHASE!$L$6:$L$10008,PURCHASE!$A$6:$A$10008,$AL$2,PURCHASE!$H$6:$H$10008,$A$4:$A$2700)</f>
        <v>0</v>
      </c>
      <c r="AO259" s="512">
        <f>SUMIFS(PURCHASE!$M$6:$M$10008,PURCHASE!$A$6:$A$10008,$AL$2,PURCHASE!$H$6:$H$10008,$A$4:$A$2700)</f>
        <v>3658.5</v>
      </c>
      <c r="AP259" s="512">
        <f>SUMIFS(PURCHASE!$N$6:$N$10008,PURCHASE!$A$6:$A$10008,$AL$2,PURCHASE!$H$6:$H$10008,$A$4:$A$2700)</f>
        <v>3658.5</v>
      </c>
      <c r="AQ259" s="512">
        <f t="shared" si="70"/>
        <v>169802</v>
      </c>
      <c r="AR259" s="512">
        <f>SUMIFS(PURCHASE!$K$6:$K$10008,PURCHASE!$A$6:$A$10008,$AQ$2,PURCHASE!$H$6:$H$10008,$A$4:$A$2700)</f>
        <v>143900</v>
      </c>
      <c r="AS259" s="512">
        <f>SUMIFS(PURCHASE!$L$6:$L$10008,PURCHASE!$A$6:$A$10008,$AQ$2,PURCHASE!$H$6:$H$10008,$A$4:$A$2700)</f>
        <v>0</v>
      </c>
      <c r="AT259" s="512">
        <f>SUMIFS(PURCHASE!$M$6:$M$10008,PURCHASE!$A$6:$A$10008,$AQ$2,PURCHASE!$H$6:$H$10008,$A$4:$A$2700)</f>
        <v>12951</v>
      </c>
      <c r="AU259" s="512">
        <f>SUMIFS(PURCHASE!$N$6:$N$10008,PURCHASE!$A$6:$A$10008,$AQ$2,PURCHASE!$H$6:$H$10008,$A$4:$A$2700)</f>
        <v>12951</v>
      </c>
      <c r="AV259" s="512">
        <f t="shared" si="71"/>
        <v>0</v>
      </c>
      <c r="AW259" s="512">
        <f>SUMIFS(PURCHASE!$K$6:$K$10008,PURCHASE!$A$6:$A$10008,$AV$2,PURCHASE!$H$6:$H$10008,$A$4:$A$2700)</f>
        <v>0</v>
      </c>
      <c r="AX259" s="512">
        <f>SUMIFS(PURCHASE!$L$6:$L$10008,PURCHASE!$A$6:$A$10008,$AV$2,PURCHASE!$H$6:$H$10008,$A$4:$A$2700)</f>
        <v>0</v>
      </c>
      <c r="AY259" s="512">
        <f>SUMIFS(PURCHASE!$M$6:$M$10008,PURCHASE!$A$6:$A$10008,$AV$2,PURCHASE!$H$6:$H$10008,$A$4:$A$2700)</f>
        <v>0</v>
      </c>
      <c r="AZ259" s="512">
        <f>SUMIFS(PURCHASE!$N$6:$N$10008,PURCHASE!$A$6:$A$10008,$AV$2,PURCHASE!$H$6:$H$10008,$A$4:$A$2700)</f>
        <v>0</v>
      </c>
      <c r="BA259" s="512">
        <f t="shared" si="72"/>
        <v>0</v>
      </c>
      <c r="BB259" s="512">
        <f>SUMIFS(PURCHASE!$K$6:$K$10008,PURCHASE!$A$6:$A$10008,$BA$2,PURCHASE!$H$6:$H$10008,$A$4:$A$2700)</f>
        <v>0</v>
      </c>
      <c r="BC259" s="512">
        <f>SUMIFS(PURCHASE!$L$6:$L$10008,PURCHASE!$A$6:$A$10008,$BA$2,PURCHASE!$H$6:$H$10008,$A$4:$A$2700)</f>
        <v>0</v>
      </c>
      <c r="BD259" s="512">
        <f>SUMIFS(PURCHASE!$M$6:$M$10008,PURCHASE!$A$6:$A$10008,$BA$2,PURCHASE!$H$6:$H$10008,$A$4:$A$2700)</f>
        <v>0</v>
      </c>
      <c r="BE259" s="512">
        <f>SUMIFS(PURCHASE!$N$6:$N$10008,PURCHASE!$A$6:$A$10008,$BA$2,PURCHASE!$H$6:$H$10008,$A$4:$A$2700)</f>
        <v>0</v>
      </c>
      <c r="BF259" s="512">
        <f t="shared" si="73"/>
        <v>0</v>
      </c>
      <c r="BG259" s="512">
        <f>SUMIFS(PURCHASE!$K$6:$K$10008,PURCHASE!$A$6:$A$10008,$BF$2,PURCHASE!$H$6:$H$10008,$A$4:$A$2700)</f>
        <v>0</v>
      </c>
      <c r="BH259" s="512">
        <f>SUMIFS(PURCHASE!$L$6:$L$10008,PURCHASE!$A$6:$A$10008,$BF$2,PURCHASE!$H$6:$H$10008,$A$4:$A$2700)</f>
        <v>0</v>
      </c>
      <c r="BI259" s="512">
        <f>SUMIFS(PURCHASE!$M$6:$M$10008,PURCHASE!$A$6:$A$10008,$BF$2,PURCHASE!$H$6:$H$10008,$A$4:$A$2700)</f>
        <v>0</v>
      </c>
      <c r="BJ259" s="512">
        <f>SUMIFS(PURCHASE!$N$6:$N$10008,PURCHASE!$A$6:$A$10008,$BF$2,PURCHASE!$H$6:$H$10008,$A$4:$A$2700)</f>
        <v>0</v>
      </c>
      <c r="BK259" s="72">
        <f t="shared" si="75"/>
        <v>505571</v>
      </c>
      <c r="BL259" s="72">
        <f t="shared" si="76"/>
        <v>428450</v>
      </c>
      <c r="BM259" s="72">
        <f t="shared" si="77"/>
        <v>0</v>
      </c>
      <c r="BN259" s="72">
        <f t="shared" si="78"/>
        <v>38560.5</v>
      </c>
      <c r="BO259" s="72">
        <f t="shared" si="79"/>
        <v>38560.5</v>
      </c>
    </row>
    <row r="260" spans="1:67" x14ac:dyDescent="0.2">
      <c r="A260" s="516" t="s">
        <v>588</v>
      </c>
      <c r="B260" s="500" t="s">
        <v>1368</v>
      </c>
      <c r="C260" s="512">
        <f t="shared" si="62"/>
        <v>3540</v>
      </c>
      <c r="D260" s="512">
        <f>SUMIFS(PURCHASE!$K$6:$K$10008,PURCHASE!$A$6:$A$10008,$M$2,PURCHASE!$H$6:$H$10008,$A$4:$A$2700)</f>
        <v>3000</v>
      </c>
      <c r="E260" s="512">
        <f>SUMIFS(PURCHASE!$L$6:$L$10008,PURCHASE!$A$6:$A$10008,$M$2,PURCHASE!$H$6:$H$10008,$A$4:$A$2700)</f>
        <v>0</v>
      </c>
      <c r="F260" s="512">
        <f>SUMIFS(PURCHASE!$M$6:$M$10008,PURCHASE!$A$6:$A$10008,$M$2,PURCHASE!$H$6:$H$10008,$A$4:$A$2700)</f>
        <v>270</v>
      </c>
      <c r="G260" s="512">
        <f>SUMIFS(PURCHASE!$N$6:$N$10008,PURCHASE!$A$6:$A$10008,$M$2,PURCHASE!$H$6:$H$10008,$A$4:$A$2700)</f>
        <v>270</v>
      </c>
      <c r="H260" s="512">
        <f t="shared" si="63"/>
        <v>0</v>
      </c>
      <c r="I260" s="512">
        <f>SUMIFS(PURCHASE!$K$6:$K$10008,PURCHASE!$A$6:$A$10008,$H$2,PURCHASE!$H$6:$H$10008,$A$4:$A$2700)</f>
        <v>0</v>
      </c>
      <c r="J260" s="512">
        <f>SUMIFS(PURCHASE!$L$6:$L$10008,PURCHASE!$A$6:$A$10008,$H$2,PURCHASE!$H$6:$H$10008,$A$4:$A$2700)</f>
        <v>0</v>
      </c>
      <c r="K260" s="512">
        <f>SUMIFS(PURCHASE!$M$6:$M$10008,PURCHASE!$A$6:$A$10008,$H$2,PURCHASE!$H$6:$H$10008,$A$4:$A$2700)</f>
        <v>0</v>
      </c>
      <c r="L260" s="512">
        <f>SUMIFS(PURCHASE!$N$6:$N$10008,PURCHASE!$A$6:$A$10008,$H$2,PURCHASE!$H$6:$H$10008,$A$4:$A$2700)</f>
        <v>0</v>
      </c>
      <c r="M260" s="512">
        <f t="shared" si="64"/>
        <v>3540</v>
      </c>
      <c r="N260" s="512">
        <f>SUMIFS(PURCHASE!$K$6:$K$10008,PURCHASE!$A$6:$A$10008,$M$2,PURCHASE!$H$6:$H$10008,$A$4:$A$2700)</f>
        <v>3000</v>
      </c>
      <c r="O260" s="512">
        <f>SUMIFS(PURCHASE!$L$6:$L$10008,PURCHASE!$A$6:$A$10008,$M$2,PURCHASE!$H$6:$H$10008,$A$4:$A$2700)</f>
        <v>0</v>
      </c>
      <c r="P260" s="512">
        <f>SUMIFS(PURCHASE!$M$6:$M$10008,PURCHASE!$A$6:$A$10008,$M$2,PURCHASE!$H$6:$H$10008,$A$4:$A$2700)</f>
        <v>270</v>
      </c>
      <c r="Q260" s="512">
        <f>SUMIFS(PURCHASE!$N$6:$N$10008,PURCHASE!$A$6:$A$10008,$M$2,PURCHASE!$H$6:$H$10008,$A$4:$A$2700)</f>
        <v>270</v>
      </c>
      <c r="R260" s="512">
        <f t="shared" si="65"/>
        <v>0</v>
      </c>
      <c r="S260" s="512">
        <f>SUMIFS(PURCHASE!$K$6:$K$10008,PURCHASE!$A$6:$A$10008,$R$2,PURCHASE!$H$6:$H$10008,$A$4:$A$2700)</f>
        <v>0</v>
      </c>
      <c r="T260" s="512">
        <f>SUMIFS(PURCHASE!$L$6:$L$10008,PURCHASE!$A$6:$A$10008,$R$2,PURCHASE!$H$6:$H$10008,$A$4:$A$2700)</f>
        <v>0</v>
      </c>
      <c r="U260" s="512">
        <f>SUMIFS(PURCHASE!$M$6:$M$10008,PURCHASE!$A$6:$A$10008,$R$2,PURCHASE!$H$6:$H$10008,$A$4:$A$2700)</f>
        <v>0</v>
      </c>
      <c r="V260" s="512">
        <f>SUMIFS(PURCHASE!$N$6:$N$10008,PURCHASE!$A$6:$A$10008,$R$2,PURCHASE!$H$6:$H$10008,$A$4:$A$2700)</f>
        <v>0</v>
      </c>
      <c r="W260" s="512">
        <f t="shared" si="66"/>
        <v>0</v>
      </c>
      <c r="X260" s="512">
        <f>SUMIFS(PURCHASE!$K$6:$K$10008,PURCHASE!$A$6:$A$10008,$W$2,PURCHASE!$H$6:$H$10008,$A$4:$A$2700)</f>
        <v>0</v>
      </c>
      <c r="Y260" s="512">
        <f>SUMIFS(PURCHASE!$L$6:$L$10008,PURCHASE!$A$6:$A$10008,$W$2,PURCHASE!$H$6:$H$10008,$A$4:$A$2700)</f>
        <v>0</v>
      </c>
      <c r="Z260" s="512">
        <f>SUMIFS(PURCHASE!$M$6:$M$10008,PURCHASE!$A$6:$A$10008,$W$2,PURCHASE!$H$6:$H$10008,$A$4:$A$2700)</f>
        <v>0</v>
      </c>
      <c r="AA260" s="512">
        <f>SUMIFS(PURCHASE!$N$6:$N$10008,PURCHASE!$A$6:$A$10008,$W$2,PURCHASE!$H$6:$H$10008,$A$4:$A$2700)</f>
        <v>0</v>
      </c>
      <c r="AB260" s="512">
        <f t="shared" si="67"/>
        <v>0</v>
      </c>
      <c r="AC260" s="512">
        <f>SUMIFS(PURCHASE!$K$6:$K$10008,PURCHASE!$A$6:$A$10008,$AB$2,PURCHASE!$H$6:$H$10008,$A$4:$A$2700)</f>
        <v>0</v>
      </c>
      <c r="AD260" s="512">
        <f>SUMIFS(PURCHASE!$L$6:$L$10008,PURCHASE!$A$6:$A$10008,$AB$2,PURCHASE!$H$6:$H$10008,$A$4:$A$2700)</f>
        <v>0</v>
      </c>
      <c r="AE260" s="512">
        <f>SUMIFS(PURCHASE!$M$6:$M$10008,PURCHASE!$A$6:$A$10008,$AB$2,PURCHASE!$H$6:$H$10008,$A$4:$A$2700)</f>
        <v>0</v>
      </c>
      <c r="AF260" s="512">
        <f>SUMIFS(PURCHASE!$N$6:$N$10008,PURCHASE!$A$6:$A$10008,$AB$2,PURCHASE!$H$6:$H$10008,$A$4:$A$2700)</f>
        <v>0</v>
      </c>
      <c r="AG260" s="512">
        <f t="shared" si="68"/>
        <v>0</v>
      </c>
      <c r="AH260" s="512">
        <f>SUMIFS(PURCHASE!$K$6:$K$10008,PURCHASE!$A$6:$A$10008,$AG$2,PURCHASE!$H$6:$H$10008,$A$4:$A$2700)</f>
        <v>0</v>
      </c>
      <c r="AI260" s="512">
        <f>SUMIFS(PURCHASE!$L$6:$L$10008,PURCHASE!$A$6:$A$10008,$AG$2,PURCHASE!$H$6:$H$10008,$A$4:$A$2700)</f>
        <v>0</v>
      </c>
      <c r="AJ260" s="512">
        <f>SUMIFS(PURCHASE!$M$6:$M$10008,PURCHASE!$A$6:$A$10008,$AG$2,PURCHASE!$H$6:$H$10008,$A$4:$A$2700)</f>
        <v>0</v>
      </c>
      <c r="AK260" s="512">
        <f>SUMIFS(PURCHASE!$N$6:$N$10008,PURCHASE!$A$6:$A$10008,$AG$2,PURCHASE!$H$6:$H$10008,$A$4:$A$2700)</f>
        <v>0</v>
      </c>
      <c r="AL260" s="512">
        <f t="shared" si="69"/>
        <v>0</v>
      </c>
      <c r="AM260" s="512">
        <f>SUMIFS(PURCHASE!$K$6:$K$10008,PURCHASE!$A$6:$A$10008,$AL$2,PURCHASE!$H$6:$H$10008,$A$4:$A$2700)</f>
        <v>0</v>
      </c>
      <c r="AN260" s="512">
        <f>SUMIFS(PURCHASE!$L$6:$L$10008,PURCHASE!$A$6:$A$10008,$AL$2,PURCHASE!$H$6:$H$10008,$A$4:$A$2700)</f>
        <v>0</v>
      </c>
      <c r="AO260" s="512">
        <f>SUMIFS(PURCHASE!$M$6:$M$10008,PURCHASE!$A$6:$A$10008,$AL$2,PURCHASE!$H$6:$H$10008,$A$4:$A$2700)</f>
        <v>0</v>
      </c>
      <c r="AP260" s="512">
        <f>SUMIFS(PURCHASE!$N$6:$N$10008,PURCHASE!$A$6:$A$10008,$AL$2,PURCHASE!$H$6:$H$10008,$A$4:$A$2700)</f>
        <v>0</v>
      </c>
      <c r="AQ260" s="512">
        <f t="shared" si="70"/>
        <v>4130</v>
      </c>
      <c r="AR260" s="512">
        <f>SUMIFS(PURCHASE!$K$6:$K$10008,PURCHASE!$A$6:$A$10008,$AQ$2,PURCHASE!$H$6:$H$10008,$A$4:$A$2700)</f>
        <v>3500</v>
      </c>
      <c r="AS260" s="512">
        <f>SUMIFS(PURCHASE!$L$6:$L$10008,PURCHASE!$A$6:$A$10008,$AQ$2,PURCHASE!$H$6:$H$10008,$A$4:$A$2700)</f>
        <v>0</v>
      </c>
      <c r="AT260" s="512">
        <f>SUMIFS(PURCHASE!$M$6:$M$10008,PURCHASE!$A$6:$A$10008,$AQ$2,PURCHASE!$H$6:$H$10008,$A$4:$A$2700)</f>
        <v>315</v>
      </c>
      <c r="AU260" s="512">
        <f>SUMIFS(PURCHASE!$N$6:$N$10008,PURCHASE!$A$6:$A$10008,$AQ$2,PURCHASE!$H$6:$H$10008,$A$4:$A$2700)</f>
        <v>315</v>
      </c>
      <c r="AV260" s="512">
        <f t="shared" si="71"/>
        <v>0</v>
      </c>
      <c r="AW260" s="512">
        <f>SUMIFS(PURCHASE!$K$6:$K$10008,PURCHASE!$A$6:$A$10008,$AV$2,PURCHASE!$H$6:$H$10008,$A$4:$A$2700)</f>
        <v>0</v>
      </c>
      <c r="AX260" s="512">
        <f>SUMIFS(PURCHASE!$L$6:$L$10008,PURCHASE!$A$6:$A$10008,$AV$2,PURCHASE!$H$6:$H$10008,$A$4:$A$2700)</f>
        <v>0</v>
      </c>
      <c r="AY260" s="512">
        <f>SUMIFS(PURCHASE!$M$6:$M$10008,PURCHASE!$A$6:$A$10008,$AV$2,PURCHASE!$H$6:$H$10008,$A$4:$A$2700)</f>
        <v>0</v>
      </c>
      <c r="AZ260" s="512">
        <f>SUMIFS(PURCHASE!$N$6:$N$10008,PURCHASE!$A$6:$A$10008,$AV$2,PURCHASE!$H$6:$H$10008,$A$4:$A$2700)</f>
        <v>0</v>
      </c>
      <c r="BA260" s="512">
        <f t="shared" si="72"/>
        <v>0</v>
      </c>
      <c r="BB260" s="512">
        <f>SUMIFS(PURCHASE!$K$6:$K$10008,PURCHASE!$A$6:$A$10008,$BA$2,PURCHASE!$H$6:$H$10008,$A$4:$A$2700)</f>
        <v>0</v>
      </c>
      <c r="BC260" s="512">
        <f>SUMIFS(PURCHASE!$L$6:$L$10008,PURCHASE!$A$6:$A$10008,$BA$2,PURCHASE!$H$6:$H$10008,$A$4:$A$2700)</f>
        <v>0</v>
      </c>
      <c r="BD260" s="512">
        <f>SUMIFS(PURCHASE!$M$6:$M$10008,PURCHASE!$A$6:$A$10008,$BA$2,PURCHASE!$H$6:$H$10008,$A$4:$A$2700)</f>
        <v>0</v>
      </c>
      <c r="BE260" s="512">
        <f>SUMIFS(PURCHASE!$N$6:$N$10008,PURCHASE!$A$6:$A$10008,$BA$2,PURCHASE!$H$6:$H$10008,$A$4:$A$2700)</f>
        <v>0</v>
      </c>
      <c r="BF260" s="512">
        <f t="shared" si="73"/>
        <v>0</v>
      </c>
      <c r="BG260" s="512">
        <f>SUMIFS(PURCHASE!$K$6:$K$10008,PURCHASE!$A$6:$A$10008,$BF$2,PURCHASE!$H$6:$H$10008,$A$4:$A$2700)</f>
        <v>0</v>
      </c>
      <c r="BH260" s="512">
        <f>SUMIFS(PURCHASE!$L$6:$L$10008,PURCHASE!$A$6:$A$10008,$BF$2,PURCHASE!$H$6:$H$10008,$A$4:$A$2700)</f>
        <v>0</v>
      </c>
      <c r="BI260" s="512">
        <f>SUMIFS(PURCHASE!$M$6:$M$10008,PURCHASE!$A$6:$A$10008,$BF$2,PURCHASE!$H$6:$H$10008,$A$4:$A$2700)</f>
        <v>0</v>
      </c>
      <c r="BJ260" s="512">
        <f>SUMIFS(PURCHASE!$N$6:$N$10008,PURCHASE!$A$6:$A$10008,$BF$2,PURCHASE!$H$6:$H$10008,$A$4:$A$2700)</f>
        <v>0</v>
      </c>
      <c r="BK260" s="72">
        <f t="shared" si="75"/>
        <v>11210</v>
      </c>
      <c r="BL260" s="72">
        <f t="shared" si="76"/>
        <v>9500</v>
      </c>
      <c r="BM260" s="72">
        <f t="shared" si="77"/>
        <v>0</v>
      </c>
      <c r="BN260" s="72">
        <f t="shared" si="78"/>
        <v>855</v>
      </c>
      <c r="BO260" s="72">
        <f t="shared" si="79"/>
        <v>855</v>
      </c>
    </row>
    <row r="261" spans="1:67" x14ac:dyDescent="0.2">
      <c r="A261" s="516" t="s">
        <v>676</v>
      </c>
      <c r="B261" s="500" t="s">
        <v>1368</v>
      </c>
      <c r="C261" s="512">
        <f t="shared" ref="C261:C266" si="80">+D261+E261+F261+G261</f>
        <v>0</v>
      </c>
      <c r="D261" s="512">
        <f>SUMIFS(PURCHASE!$K$6:$K$10008,PURCHASE!$A$6:$A$10008,$M$2,PURCHASE!$H$6:$H$10008,$A$4:$A$2700)</f>
        <v>0</v>
      </c>
      <c r="E261" s="512">
        <f>SUMIFS(PURCHASE!$L$6:$L$10008,PURCHASE!$A$6:$A$10008,$M$2,PURCHASE!$H$6:$H$10008,$A$4:$A$2700)</f>
        <v>0</v>
      </c>
      <c r="F261" s="512">
        <f>SUMIFS(PURCHASE!$M$6:$M$10008,PURCHASE!$A$6:$A$10008,$M$2,PURCHASE!$H$6:$H$10008,$A$4:$A$2700)</f>
        <v>0</v>
      </c>
      <c r="G261" s="512">
        <f>SUMIFS(PURCHASE!$N$6:$N$10008,PURCHASE!$A$6:$A$10008,$M$2,PURCHASE!$H$6:$H$10008,$A$4:$A$2700)</f>
        <v>0</v>
      </c>
      <c r="H261" s="512">
        <f t="shared" ref="H261:H266" si="81">+I261+J261+K261+L261</f>
        <v>27489.279999999999</v>
      </c>
      <c r="I261" s="512">
        <f>SUMIFS(PURCHASE!$K$6:$K$10008,PURCHASE!$A$6:$A$10008,$H$2,PURCHASE!$H$6:$H$10008,$A$4:$A$2700)</f>
        <v>23296</v>
      </c>
      <c r="J261" s="512">
        <f>SUMIFS(PURCHASE!$L$6:$L$10008,PURCHASE!$A$6:$A$10008,$H$2,PURCHASE!$H$6:$H$10008,$A$4:$A$2700)</f>
        <v>0</v>
      </c>
      <c r="K261" s="512">
        <f>SUMIFS(PURCHASE!$M$6:$M$10008,PURCHASE!$A$6:$A$10008,$H$2,PURCHASE!$H$6:$H$10008,$A$4:$A$2700)</f>
        <v>2096.64</v>
      </c>
      <c r="L261" s="512">
        <f>SUMIFS(PURCHASE!$N$6:$N$10008,PURCHASE!$A$6:$A$10008,$H$2,PURCHASE!$H$6:$H$10008,$A$4:$A$2700)</f>
        <v>2096.64</v>
      </c>
      <c r="M261" s="512">
        <f t="shared" ref="M261:M266" si="82">+N261+O261+P261+Q261</f>
        <v>0</v>
      </c>
      <c r="N261" s="512">
        <f>SUMIFS(PURCHASE!$K$6:$K$10008,PURCHASE!$A$6:$A$10008,$M$2,PURCHASE!$H$6:$H$10008,$A$4:$A$2700)</f>
        <v>0</v>
      </c>
      <c r="O261" s="512">
        <f>SUMIFS(PURCHASE!$L$6:$L$10008,PURCHASE!$A$6:$A$10008,$M$2,PURCHASE!$H$6:$H$10008,$A$4:$A$2700)</f>
        <v>0</v>
      </c>
      <c r="P261" s="512">
        <f>SUMIFS(PURCHASE!$M$6:$M$10008,PURCHASE!$A$6:$A$10008,$M$2,PURCHASE!$H$6:$H$10008,$A$4:$A$2700)</f>
        <v>0</v>
      </c>
      <c r="Q261" s="512">
        <f>SUMIFS(PURCHASE!$N$6:$N$10008,PURCHASE!$A$6:$A$10008,$M$2,PURCHASE!$H$6:$H$10008,$A$4:$A$2700)</f>
        <v>0</v>
      </c>
      <c r="R261" s="512">
        <f t="shared" ref="R261:R266" si="83">+S261+T261+U261+V261</f>
        <v>0</v>
      </c>
      <c r="S261" s="512">
        <f>SUMIFS(PURCHASE!$K$6:$K$10008,PURCHASE!$A$6:$A$10008,$R$2,PURCHASE!$H$6:$H$10008,$A$4:$A$2700)</f>
        <v>0</v>
      </c>
      <c r="T261" s="512">
        <f>SUMIFS(PURCHASE!$L$6:$L$10008,PURCHASE!$A$6:$A$10008,$R$2,PURCHASE!$H$6:$H$10008,$A$4:$A$2700)</f>
        <v>0</v>
      </c>
      <c r="U261" s="512">
        <f>SUMIFS(PURCHASE!$M$6:$M$10008,PURCHASE!$A$6:$A$10008,$R$2,PURCHASE!$H$6:$H$10008,$A$4:$A$2700)</f>
        <v>0</v>
      </c>
      <c r="V261" s="512">
        <f>SUMIFS(PURCHASE!$N$6:$N$10008,PURCHASE!$A$6:$A$10008,$R$2,PURCHASE!$H$6:$H$10008,$A$4:$A$2700)</f>
        <v>0</v>
      </c>
      <c r="W261" s="512">
        <f t="shared" ref="W261:W266" si="84">+X261+Y261+Z261+AA261</f>
        <v>0</v>
      </c>
      <c r="X261" s="512">
        <f>SUMIFS(PURCHASE!$K$6:$K$10008,PURCHASE!$A$6:$A$10008,$W$2,PURCHASE!$H$6:$H$10008,$A$4:$A$2700)</f>
        <v>0</v>
      </c>
      <c r="Y261" s="512">
        <f>SUMIFS(PURCHASE!$L$6:$L$10008,PURCHASE!$A$6:$A$10008,$W$2,PURCHASE!$H$6:$H$10008,$A$4:$A$2700)</f>
        <v>0</v>
      </c>
      <c r="Z261" s="512">
        <f>SUMIFS(PURCHASE!$M$6:$M$10008,PURCHASE!$A$6:$A$10008,$W$2,PURCHASE!$H$6:$H$10008,$A$4:$A$2700)</f>
        <v>0</v>
      </c>
      <c r="AA261" s="512">
        <f>SUMIFS(PURCHASE!$N$6:$N$10008,PURCHASE!$A$6:$A$10008,$W$2,PURCHASE!$H$6:$H$10008,$A$4:$A$2700)</f>
        <v>0</v>
      </c>
      <c r="AB261" s="512">
        <f t="shared" ref="AB261:AB266" si="85">+AC261+AD261+AE261+AF261</f>
        <v>0</v>
      </c>
      <c r="AC261" s="512">
        <f>SUMIFS(PURCHASE!$K$6:$K$10008,PURCHASE!$A$6:$A$10008,$AB$2,PURCHASE!$H$6:$H$10008,$A$4:$A$2700)</f>
        <v>0</v>
      </c>
      <c r="AD261" s="512">
        <f>SUMIFS(PURCHASE!$L$6:$L$10008,PURCHASE!$A$6:$A$10008,$AB$2,PURCHASE!$H$6:$H$10008,$A$4:$A$2700)</f>
        <v>0</v>
      </c>
      <c r="AE261" s="512">
        <f>SUMIFS(PURCHASE!$M$6:$M$10008,PURCHASE!$A$6:$A$10008,$AB$2,PURCHASE!$H$6:$H$10008,$A$4:$A$2700)</f>
        <v>0</v>
      </c>
      <c r="AF261" s="512">
        <f>SUMIFS(PURCHASE!$N$6:$N$10008,PURCHASE!$A$6:$A$10008,$AB$2,PURCHASE!$H$6:$H$10008,$A$4:$A$2700)</f>
        <v>0</v>
      </c>
      <c r="AG261" s="512">
        <f t="shared" ref="AG261:AG266" si="86">+AH261+AI261+AJ261+AK261</f>
        <v>0</v>
      </c>
      <c r="AH261" s="512">
        <f>SUMIFS(PURCHASE!$K$6:$K$10008,PURCHASE!$A$6:$A$10008,$AG$2,PURCHASE!$H$6:$H$10008,$A$4:$A$2700)</f>
        <v>0</v>
      </c>
      <c r="AI261" s="512">
        <f>SUMIFS(PURCHASE!$L$6:$L$10008,PURCHASE!$A$6:$A$10008,$AG$2,PURCHASE!$H$6:$H$10008,$A$4:$A$2700)</f>
        <v>0</v>
      </c>
      <c r="AJ261" s="512">
        <f>SUMIFS(PURCHASE!$M$6:$M$10008,PURCHASE!$A$6:$A$10008,$AG$2,PURCHASE!$H$6:$H$10008,$A$4:$A$2700)</f>
        <v>0</v>
      </c>
      <c r="AK261" s="512">
        <f>SUMIFS(PURCHASE!$N$6:$N$10008,PURCHASE!$A$6:$A$10008,$AG$2,PURCHASE!$H$6:$H$10008,$A$4:$A$2700)</f>
        <v>0</v>
      </c>
      <c r="AL261" s="512">
        <f t="shared" ref="AL261:AL266" si="87">+AM261+AN261+AO261+AP261</f>
        <v>0</v>
      </c>
      <c r="AM261" s="512">
        <f>SUMIFS(PURCHASE!$K$6:$K$10008,PURCHASE!$A$6:$A$10008,$AL$2,PURCHASE!$H$6:$H$10008,$A$4:$A$2700)</f>
        <v>0</v>
      </c>
      <c r="AN261" s="512">
        <f>SUMIFS(PURCHASE!$L$6:$L$10008,PURCHASE!$A$6:$A$10008,$AL$2,PURCHASE!$H$6:$H$10008,$A$4:$A$2700)</f>
        <v>0</v>
      </c>
      <c r="AO261" s="512">
        <f>SUMIFS(PURCHASE!$M$6:$M$10008,PURCHASE!$A$6:$A$10008,$AL$2,PURCHASE!$H$6:$H$10008,$A$4:$A$2700)</f>
        <v>0</v>
      </c>
      <c r="AP261" s="512">
        <f>SUMIFS(PURCHASE!$N$6:$N$10008,PURCHASE!$A$6:$A$10008,$AL$2,PURCHASE!$H$6:$H$10008,$A$4:$A$2700)</f>
        <v>0</v>
      </c>
      <c r="AQ261" s="512">
        <f t="shared" ref="AQ261:AQ266" si="88">+AR261+AS261+AT261+AU261</f>
        <v>12414</v>
      </c>
      <c r="AR261" s="512">
        <f>SUMIFS(PURCHASE!$K$6:$K$10008,PURCHASE!$A$6:$A$10008,$AQ$2,PURCHASE!$H$6:$H$10008,$A$4:$A$2700)</f>
        <v>10520</v>
      </c>
      <c r="AS261" s="512">
        <f>SUMIFS(PURCHASE!$L$6:$L$10008,PURCHASE!$A$6:$A$10008,$AQ$2,PURCHASE!$H$6:$H$10008,$A$4:$A$2700)</f>
        <v>0</v>
      </c>
      <c r="AT261" s="512">
        <f>SUMIFS(PURCHASE!$M$6:$M$10008,PURCHASE!$A$6:$A$10008,$AQ$2,PURCHASE!$H$6:$H$10008,$A$4:$A$2700)</f>
        <v>947.00000000000011</v>
      </c>
      <c r="AU261" s="512">
        <f>SUMIFS(PURCHASE!$N$6:$N$10008,PURCHASE!$A$6:$A$10008,$AQ$2,PURCHASE!$H$6:$H$10008,$A$4:$A$2700)</f>
        <v>947.00000000000011</v>
      </c>
      <c r="AV261" s="512">
        <f t="shared" ref="AV261:AV266" si="89">+AW261+AX261+AY261+AZ261</f>
        <v>0</v>
      </c>
      <c r="AW261" s="512">
        <f>SUMIFS(PURCHASE!$K$6:$K$10008,PURCHASE!$A$6:$A$10008,$AV$2,PURCHASE!$H$6:$H$10008,$A$4:$A$2700)</f>
        <v>0</v>
      </c>
      <c r="AX261" s="512">
        <f>SUMIFS(PURCHASE!$L$6:$L$10008,PURCHASE!$A$6:$A$10008,$AV$2,PURCHASE!$H$6:$H$10008,$A$4:$A$2700)</f>
        <v>0</v>
      </c>
      <c r="AY261" s="512">
        <f>SUMIFS(PURCHASE!$M$6:$M$10008,PURCHASE!$A$6:$A$10008,$AV$2,PURCHASE!$H$6:$H$10008,$A$4:$A$2700)</f>
        <v>0</v>
      </c>
      <c r="AZ261" s="512">
        <f>SUMIFS(PURCHASE!$N$6:$N$10008,PURCHASE!$A$6:$A$10008,$AV$2,PURCHASE!$H$6:$H$10008,$A$4:$A$2700)</f>
        <v>0</v>
      </c>
      <c r="BA261" s="512">
        <f t="shared" ref="BA261:BA266" si="90">+BB261+BC261+BD261+BE261</f>
        <v>0</v>
      </c>
      <c r="BB261" s="512">
        <f>SUMIFS(PURCHASE!$K$6:$K$10008,PURCHASE!$A$6:$A$10008,$BA$2,PURCHASE!$H$6:$H$10008,$A$4:$A$2700)</f>
        <v>0</v>
      </c>
      <c r="BC261" s="512">
        <f>SUMIFS(PURCHASE!$L$6:$L$10008,PURCHASE!$A$6:$A$10008,$BA$2,PURCHASE!$H$6:$H$10008,$A$4:$A$2700)</f>
        <v>0</v>
      </c>
      <c r="BD261" s="512">
        <f>SUMIFS(PURCHASE!$M$6:$M$10008,PURCHASE!$A$6:$A$10008,$BA$2,PURCHASE!$H$6:$H$10008,$A$4:$A$2700)</f>
        <v>0</v>
      </c>
      <c r="BE261" s="512">
        <f>SUMIFS(PURCHASE!$N$6:$N$10008,PURCHASE!$A$6:$A$10008,$BA$2,PURCHASE!$H$6:$H$10008,$A$4:$A$2700)</f>
        <v>0</v>
      </c>
      <c r="BF261" s="512">
        <f t="shared" ref="BF261:BF266" si="91">+BG261+BH261+BI261+BJ261</f>
        <v>0</v>
      </c>
      <c r="BG261" s="512">
        <f>SUMIFS(PURCHASE!$K$6:$K$10008,PURCHASE!$A$6:$A$10008,$BF$2,PURCHASE!$H$6:$H$10008,$A$4:$A$2700)</f>
        <v>0</v>
      </c>
      <c r="BH261" s="512">
        <f>SUMIFS(PURCHASE!$L$6:$L$10008,PURCHASE!$A$6:$A$10008,$BF$2,PURCHASE!$H$6:$H$10008,$A$4:$A$2700)</f>
        <v>0</v>
      </c>
      <c r="BI261" s="512">
        <f>SUMIFS(PURCHASE!$M$6:$M$10008,PURCHASE!$A$6:$A$10008,$BF$2,PURCHASE!$H$6:$H$10008,$A$4:$A$2700)</f>
        <v>0</v>
      </c>
      <c r="BJ261" s="512">
        <f>SUMIFS(PURCHASE!$N$6:$N$10008,PURCHASE!$A$6:$A$10008,$BF$2,PURCHASE!$H$6:$H$10008,$A$4:$A$2700)</f>
        <v>0</v>
      </c>
      <c r="BK261" s="72">
        <f t="shared" si="75"/>
        <v>39903.279999999999</v>
      </c>
      <c r="BL261" s="72">
        <f t="shared" si="76"/>
        <v>33816</v>
      </c>
      <c r="BM261" s="72">
        <f t="shared" si="77"/>
        <v>0</v>
      </c>
      <c r="BN261" s="72">
        <f t="shared" si="78"/>
        <v>3043.64</v>
      </c>
      <c r="BO261" s="72">
        <f t="shared" si="79"/>
        <v>3043.64</v>
      </c>
    </row>
    <row r="262" spans="1:67" x14ac:dyDescent="0.2">
      <c r="A262" s="516" t="s">
        <v>573</v>
      </c>
      <c r="B262" s="467" t="s">
        <v>1369</v>
      </c>
      <c r="C262" s="512">
        <f t="shared" si="80"/>
        <v>0</v>
      </c>
      <c r="D262" s="512">
        <f>SUMIFS(PURCHASE!$K$6:$K$10008,PURCHASE!$A$6:$A$10008,$M$2,PURCHASE!$H$6:$H$10008,$A$4:$A$2700)</f>
        <v>0</v>
      </c>
      <c r="E262" s="512">
        <f>SUMIFS(PURCHASE!$L$6:$L$10008,PURCHASE!$A$6:$A$10008,$M$2,PURCHASE!$H$6:$H$10008,$A$4:$A$2700)</f>
        <v>0</v>
      </c>
      <c r="F262" s="512">
        <f>SUMIFS(PURCHASE!$M$6:$M$10008,PURCHASE!$A$6:$A$10008,$M$2,PURCHASE!$H$6:$H$10008,$A$4:$A$2700)</f>
        <v>0</v>
      </c>
      <c r="G262" s="512">
        <f>SUMIFS(PURCHASE!$N$6:$N$10008,PURCHASE!$A$6:$A$10008,$M$2,PURCHASE!$H$6:$H$10008,$A$4:$A$2700)</f>
        <v>0</v>
      </c>
      <c r="H262" s="512">
        <f t="shared" si="81"/>
        <v>0</v>
      </c>
      <c r="I262" s="512">
        <f>SUMIFS(PURCHASE!$K$6:$K$10008,PURCHASE!$A$6:$A$10008,$H$2,PURCHASE!$H$6:$H$10008,$A$4:$A$2700)</f>
        <v>0</v>
      </c>
      <c r="J262" s="512">
        <f>SUMIFS(PURCHASE!$L$6:$L$10008,PURCHASE!$A$6:$A$10008,$H$2,PURCHASE!$H$6:$H$10008,$A$4:$A$2700)</f>
        <v>0</v>
      </c>
      <c r="K262" s="512">
        <f>SUMIFS(PURCHASE!$M$6:$M$10008,PURCHASE!$A$6:$A$10008,$H$2,PURCHASE!$H$6:$H$10008,$A$4:$A$2700)</f>
        <v>0</v>
      </c>
      <c r="L262" s="512">
        <f>SUMIFS(PURCHASE!$N$6:$N$10008,PURCHASE!$A$6:$A$10008,$H$2,PURCHASE!$H$6:$H$10008,$A$4:$A$2700)</f>
        <v>0</v>
      </c>
      <c r="M262" s="512">
        <f t="shared" si="82"/>
        <v>0</v>
      </c>
      <c r="N262" s="512">
        <f>SUMIFS(PURCHASE!$K$6:$K$10008,PURCHASE!$A$6:$A$10008,$M$2,PURCHASE!$H$6:$H$10008,$A$4:$A$2700)</f>
        <v>0</v>
      </c>
      <c r="O262" s="512">
        <f>SUMIFS(PURCHASE!$L$6:$L$10008,PURCHASE!$A$6:$A$10008,$M$2,PURCHASE!$H$6:$H$10008,$A$4:$A$2700)</f>
        <v>0</v>
      </c>
      <c r="P262" s="512">
        <f>SUMIFS(PURCHASE!$M$6:$M$10008,PURCHASE!$A$6:$A$10008,$M$2,PURCHASE!$H$6:$H$10008,$A$4:$A$2700)</f>
        <v>0</v>
      </c>
      <c r="Q262" s="512">
        <f>SUMIFS(PURCHASE!$N$6:$N$10008,PURCHASE!$A$6:$A$10008,$M$2,PURCHASE!$H$6:$H$10008,$A$4:$A$2700)</f>
        <v>0</v>
      </c>
      <c r="R262" s="512">
        <f t="shared" si="83"/>
        <v>0</v>
      </c>
      <c r="S262" s="512">
        <f>SUMIFS(PURCHASE!$K$6:$K$10008,PURCHASE!$A$6:$A$10008,$R$2,PURCHASE!$H$6:$H$10008,$A$4:$A$2700)</f>
        <v>0</v>
      </c>
      <c r="T262" s="512">
        <f>SUMIFS(PURCHASE!$L$6:$L$10008,PURCHASE!$A$6:$A$10008,$R$2,PURCHASE!$H$6:$H$10008,$A$4:$A$2700)</f>
        <v>0</v>
      </c>
      <c r="U262" s="512">
        <f>SUMIFS(PURCHASE!$M$6:$M$10008,PURCHASE!$A$6:$A$10008,$R$2,PURCHASE!$H$6:$H$10008,$A$4:$A$2700)</f>
        <v>0</v>
      </c>
      <c r="V262" s="512">
        <f>SUMIFS(PURCHASE!$N$6:$N$10008,PURCHASE!$A$6:$A$10008,$R$2,PURCHASE!$H$6:$H$10008,$A$4:$A$2700)</f>
        <v>0</v>
      </c>
      <c r="W262" s="512">
        <f t="shared" si="84"/>
        <v>0</v>
      </c>
      <c r="X262" s="512">
        <f>SUMIFS(PURCHASE!$K$6:$K$10008,PURCHASE!$A$6:$A$10008,$W$2,PURCHASE!$H$6:$H$10008,$A$4:$A$2700)</f>
        <v>0</v>
      </c>
      <c r="Y262" s="512">
        <f>SUMIFS(PURCHASE!$L$6:$L$10008,PURCHASE!$A$6:$A$10008,$W$2,PURCHASE!$H$6:$H$10008,$A$4:$A$2700)</f>
        <v>0</v>
      </c>
      <c r="Z262" s="512">
        <f>SUMIFS(PURCHASE!$M$6:$M$10008,PURCHASE!$A$6:$A$10008,$W$2,PURCHASE!$H$6:$H$10008,$A$4:$A$2700)</f>
        <v>0</v>
      </c>
      <c r="AA262" s="512">
        <f>SUMIFS(PURCHASE!$N$6:$N$10008,PURCHASE!$A$6:$A$10008,$W$2,PURCHASE!$H$6:$H$10008,$A$4:$A$2700)</f>
        <v>0</v>
      </c>
      <c r="AB262" s="512">
        <f t="shared" si="85"/>
        <v>0</v>
      </c>
      <c r="AC262" s="512">
        <f>SUMIFS(PURCHASE!$K$6:$K$10008,PURCHASE!$A$6:$A$10008,$AB$2,PURCHASE!$H$6:$H$10008,$A$4:$A$2700)</f>
        <v>0</v>
      </c>
      <c r="AD262" s="512">
        <f>SUMIFS(PURCHASE!$L$6:$L$10008,PURCHASE!$A$6:$A$10008,$AB$2,PURCHASE!$H$6:$H$10008,$A$4:$A$2700)</f>
        <v>0</v>
      </c>
      <c r="AE262" s="512">
        <f>SUMIFS(PURCHASE!$M$6:$M$10008,PURCHASE!$A$6:$A$10008,$AB$2,PURCHASE!$H$6:$H$10008,$A$4:$A$2700)</f>
        <v>0</v>
      </c>
      <c r="AF262" s="512">
        <f>SUMIFS(PURCHASE!$N$6:$N$10008,PURCHASE!$A$6:$A$10008,$AB$2,PURCHASE!$H$6:$H$10008,$A$4:$A$2700)</f>
        <v>0</v>
      </c>
      <c r="AG262" s="512">
        <f t="shared" si="86"/>
        <v>0</v>
      </c>
      <c r="AH262" s="512">
        <f>SUMIFS(PURCHASE!$K$6:$K$10008,PURCHASE!$A$6:$A$10008,$AG$2,PURCHASE!$H$6:$H$10008,$A$4:$A$2700)</f>
        <v>0</v>
      </c>
      <c r="AI262" s="512">
        <f>SUMIFS(PURCHASE!$L$6:$L$10008,PURCHASE!$A$6:$A$10008,$AG$2,PURCHASE!$H$6:$H$10008,$A$4:$A$2700)</f>
        <v>0</v>
      </c>
      <c r="AJ262" s="512">
        <f>SUMIFS(PURCHASE!$M$6:$M$10008,PURCHASE!$A$6:$A$10008,$AG$2,PURCHASE!$H$6:$H$10008,$A$4:$A$2700)</f>
        <v>0</v>
      </c>
      <c r="AK262" s="512">
        <f>SUMIFS(PURCHASE!$N$6:$N$10008,PURCHASE!$A$6:$A$10008,$AG$2,PURCHASE!$H$6:$H$10008,$A$4:$A$2700)</f>
        <v>0</v>
      </c>
      <c r="AL262" s="512">
        <f t="shared" si="87"/>
        <v>0</v>
      </c>
      <c r="AM262" s="512">
        <f>SUMIFS(PURCHASE!$K$6:$K$10008,PURCHASE!$A$6:$A$10008,$AL$2,PURCHASE!$H$6:$H$10008,$A$4:$A$2700)</f>
        <v>0</v>
      </c>
      <c r="AN262" s="512">
        <f>SUMIFS(PURCHASE!$L$6:$L$10008,PURCHASE!$A$6:$A$10008,$AL$2,PURCHASE!$H$6:$H$10008,$A$4:$A$2700)</f>
        <v>0</v>
      </c>
      <c r="AO262" s="512">
        <f>SUMIFS(PURCHASE!$M$6:$M$10008,PURCHASE!$A$6:$A$10008,$AL$2,PURCHASE!$H$6:$H$10008,$A$4:$A$2700)</f>
        <v>0</v>
      </c>
      <c r="AP262" s="512">
        <f>SUMIFS(PURCHASE!$N$6:$N$10008,PURCHASE!$A$6:$A$10008,$AL$2,PURCHASE!$H$6:$H$10008,$A$4:$A$2700)</f>
        <v>0</v>
      </c>
      <c r="AQ262" s="512">
        <f t="shared" si="88"/>
        <v>2040.81</v>
      </c>
      <c r="AR262" s="512">
        <f>SUMIFS(PURCHASE!$K$6:$K$10008,PURCHASE!$A$6:$A$10008,$AQ$2,PURCHASE!$H$6:$H$10008,$A$4:$A$2700)</f>
        <v>1729.5</v>
      </c>
      <c r="AS262" s="512">
        <f>SUMIFS(PURCHASE!$L$6:$L$10008,PURCHASE!$A$6:$A$10008,$AQ$2,PURCHASE!$H$6:$H$10008,$A$4:$A$2700)</f>
        <v>0</v>
      </c>
      <c r="AT262" s="512">
        <f>SUMIFS(PURCHASE!$M$6:$M$10008,PURCHASE!$A$6:$A$10008,$AQ$2,PURCHASE!$H$6:$H$10008,$A$4:$A$2700)</f>
        <v>155.655</v>
      </c>
      <c r="AU262" s="512">
        <f>SUMIFS(PURCHASE!$N$6:$N$10008,PURCHASE!$A$6:$A$10008,$AQ$2,PURCHASE!$H$6:$H$10008,$A$4:$A$2700)</f>
        <v>155.655</v>
      </c>
      <c r="AV262" s="512">
        <f t="shared" si="89"/>
        <v>823.404</v>
      </c>
      <c r="AW262" s="512">
        <f>SUMIFS(PURCHASE!$K$6:$K$10008,PURCHASE!$A$6:$A$10008,$AV$2,PURCHASE!$H$6:$H$10008,$A$4:$A$2700)</f>
        <v>697.8</v>
      </c>
      <c r="AX262" s="512">
        <f>SUMIFS(PURCHASE!$L$6:$L$10008,PURCHASE!$A$6:$A$10008,$AV$2,PURCHASE!$H$6:$H$10008,$A$4:$A$2700)</f>
        <v>0</v>
      </c>
      <c r="AY262" s="512">
        <f>SUMIFS(PURCHASE!$M$6:$M$10008,PURCHASE!$A$6:$A$10008,$AV$2,PURCHASE!$H$6:$H$10008,$A$4:$A$2700)</f>
        <v>62.802</v>
      </c>
      <c r="AZ262" s="512">
        <f>SUMIFS(PURCHASE!$N$6:$N$10008,PURCHASE!$A$6:$A$10008,$AV$2,PURCHASE!$H$6:$H$10008,$A$4:$A$2700)</f>
        <v>62.802</v>
      </c>
      <c r="BA262" s="512">
        <f t="shared" si="90"/>
        <v>0</v>
      </c>
      <c r="BB262" s="512">
        <f>SUMIFS(PURCHASE!$K$6:$K$10008,PURCHASE!$A$6:$A$10008,$BA$2,PURCHASE!$H$6:$H$10008,$A$4:$A$2700)</f>
        <v>0</v>
      </c>
      <c r="BC262" s="512">
        <f>SUMIFS(PURCHASE!$L$6:$L$10008,PURCHASE!$A$6:$A$10008,$BA$2,PURCHASE!$H$6:$H$10008,$A$4:$A$2700)</f>
        <v>0</v>
      </c>
      <c r="BD262" s="512">
        <f>SUMIFS(PURCHASE!$M$6:$M$10008,PURCHASE!$A$6:$A$10008,$BA$2,PURCHASE!$H$6:$H$10008,$A$4:$A$2700)</f>
        <v>0</v>
      </c>
      <c r="BE262" s="512">
        <f>SUMIFS(PURCHASE!$N$6:$N$10008,PURCHASE!$A$6:$A$10008,$BA$2,PURCHASE!$H$6:$H$10008,$A$4:$A$2700)</f>
        <v>0</v>
      </c>
      <c r="BF262" s="512">
        <f t="shared" si="91"/>
        <v>0</v>
      </c>
      <c r="BG262" s="512">
        <f>SUMIFS(PURCHASE!$K$6:$K$10008,PURCHASE!$A$6:$A$10008,$BF$2,PURCHASE!$H$6:$H$10008,$A$4:$A$2700)</f>
        <v>0</v>
      </c>
      <c r="BH262" s="512">
        <f>SUMIFS(PURCHASE!$L$6:$L$10008,PURCHASE!$A$6:$A$10008,$BF$2,PURCHASE!$H$6:$H$10008,$A$4:$A$2700)</f>
        <v>0</v>
      </c>
      <c r="BI262" s="512">
        <f>SUMIFS(PURCHASE!$M$6:$M$10008,PURCHASE!$A$6:$A$10008,$BF$2,PURCHASE!$H$6:$H$10008,$A$4:$A$2700)</f>
        <v>0</v>
      </c>
      <c r="BJ262" s="512">
        <f>SUMIFS(PURCHASE!$N$6:$N$10008,PURCHASE!$A$6:$A$10008,$BF$2,PURCHASE!$H$6:$H$10008,$A$4:$A$2700)</f>
        <v>0</v>
      </c>
      <c r="BK262" s="72">
        <f t="shared" si="75"/>
        <v>2864.2139999999999</v>
      </c>
      <c r="BL262" s="72">
        <f t="shared" si="76"/>
        <v>2427.3000000000002</v>
      </c>
      <c r="BM262" s="72">
        <f t="shared" si="77"/>
        <v>0</v>
      </c>
      <c r="BN262" s="72">
        <f t="shared" si="78"/>
        <v>218.45699999999999</v>
      </c>
      <c r="BO262" s="72">
        <f t="shared" si="79"/>
        <v>218.45699999999999</v>
      </c>
    </row>
    <row r="263" spans="1:67" x14ac:dyDescent="0.2">
      <c r="A263" s="467">
        <v>85381010</v>
      </c>
      <c r="B263" s="467" t="s">
        <v>1370</v>
      </c>
      <c r="C263" s="512">
        <f t="shared" si="80"/>
        <v>0</v>
      </c>
      <c r="D263" s="512">
        <f>SUMIFS(PURCHASE!$K$6:$K$10008,PURCHASE!$A$6:$A$10008,$M$2,PURCHASE!$H$6:$H$10008,$A$4:$A$2700)</f>
        <v>0</v>
      </c>
      <c r="E263" s="512">
        <f>SUMIFS(PURCHASE!$L$6:$L$10008,PURCHASE!$A$6:$A$10008,$M$2,PURCHASE!$H$6:$H$10008,$A$4:$A$2700)</f>
        <v>0</v>
      </c>
      <c r="F263" s="512">
        <f>SUMIFS(PURCHASE!$M$6:$M$10008,PURCHASE!$A$6:$A$10008,$M$2,PURCHASE!$H$6:$H$10008,$A$4:$A$2700)</f>
        <v>0</v>
      </c>
      <c r="G263" s="512">
        <f>SUMIFS(PURCHASE!$N$6:$N$10008,PURCHASE!$A$6:$A$10008,$M$2,PURCHASE!$H$6:$H$10008,$A$4:$A$2700)</f>
        <v>0</v>
      </c>
      <c r="H263" s="512">
        <f t="shared" si="81"/>
        <v>0</v>
      </c>
      <c r="I263" s="512">
        <f>SUMIFS(PURCHASE!$K$6:$K$10008,PURCHASE!$A$6:$A$10008,$H$2,PURCHASE!$H$6:$H$10008,$A$4:$A$2700)</f>
        <v>0</v>
      </c>
      <c r="J263" s="512">
        <f>SUMIFS(PURCHASE!$L$6:$L$10008,PURCHASE!$A$6:$A$10008,$H$2,PURCHASE!$H$6:$H$10008,$A$4:$A$2700)</f>
        <v>0</v>
      </c>
      <c r="K263" s="512">
        <f>SUMIFS(PURCHASE!$M$6:$M$10008,PURCHASE!$A$6:$A$10008,$H$2,PURCHASE!$H$6:$H$10008,$A$4:$A$2700)</f>
        <v>0</v>
      </c>
      <c r="L263" s="512">
        <f>SUMIFS(PURCHASE!$N$6:$N$10008,PURCHASE!$A$6:$A$10008,$H$2,PURCHASE!$H$6:$H$10008,$A$4:$A$2700)</f>
        <v>0</v>
      </c>
      <c r="M263" s="512">
        <f t="shared" si="82"/>
        <v>0</v>
      </c>
      <c r="N263" s="512">
        <f>SUMIFS(PURCHASE!$K$6:$K$10008,PURCHASE!$A$6:$A$10008,$M$2,PURCHASE!$H$6:$H$10008,$A$4:$A$2700)</f>
        <v>0</v>
      </c>
      <c r="O263" s="512">
        <f>SUMIFS(PURCHASE!$L$6:$L$10008,PURCHASE!$A$6:$A$10008,$M$2,PURCHASE!$H$6:$H$10008,$A$4:$A$2700)</f>
        <v>0</v>
      </c>
      <c r="P263" s="512">
        <f>SUMIFS(PURCHASE!$M$6:$M$10008,PURCHASE!$A$6:$A$10008,$M$2,PURCHASE!$H$6:$H$10008,$A$4:$A$2700)</f>
        <v>0</v>
      </c>
      <c r="Q263" s="512">
        <f>SUMIFS(PURCHASE!$N$6:$N$10008,PURCHASE!$A$6:$A$10008,$M$2,PURCHASE!$H$6:$H$10008,$A$4:$A$2700)</f>
        <v>0</v>
      </c>
      <c r="R263" s="512">
        <f t="shared" si="83"/>
        <v>0</v>
      </c>
      <c r="S263" s="512">
        <f>SUMIFS(PURCHASE!$K$6:$K$10008,PURCHASE!$A$6:$A$10008,$R$2,PURCHASE!$H$6:$H$10008,$A$4:$A$2700)</f>
        <v>0</v>
      </c>
      <c r="T263" s="512">
        <f>SUMIFS(PURCHASE!$L$6:$L$10008,PURCHASE!$A$6:$A$10008,$R$2,PURCHASE!$H$6:$H$10008,$A$4:$A$2700)</f>
        <v>0</v>
      </c>
      <c r="U263" s="512">
        <f>SUMIFS(PURCHASE!$M$6:$M$10008,PURCHASE!$A$6:$A$10008,$R$2,PURCHASE!$H$6:$H$10008,$A$4:$A$2700)</f>
        <v>0</v>
      </c>
      <c r="V263" s="512">
        <f>SUMIFS(PURCHASE!$N$6:$N$10008,PURCHASE!$A$6:$A$10008,$R$2,PURCHASE!$H$6:$H$10008,$A$4:$A$2700)</f>
        <v>0</v>
      </c>
      <c r="W263" s="512">
        <f t="shared" si="84"/>
        <v>0</v>
      </c>
      <c r="X263" s="512">
        <f>SUMIFS(PURCHASE!$K$6:$K$10008,PURCHASE!$A$6:$A$10008,$W$2,PURCHASE!$H$6:$H$10008,$A$4:$A$2700)</f>
        <v>0</v>
      </c>
      <c r="Y263" s="512">
        <f>SUMIFS(PURCHASE!$L$6:$L$10008,PURCHASE!$A$6:$A$10008,$W$2,PURCHASE!$H$6:$H$10008,$A$4:$A$2700)</f>
        <v>0</v>
      </c>
      <c r="Z263" s="512">
        <f>SUMIFS(PURCHASE!$M$6:$M$10008,PURCHASE!$A$6:$A$10008,$W$2,PURCHASE!$H$6:$H$10008,$A$4:$A$2700)</f>
        <v>0</v>
      </c>
      <c r="AA263" s="512">
        <f>SUMIFS(PURCHASE!$N$6:$N$10008,PURCHASE!$A$6:$A$10008,$W$2,PURCHASE!$H$6:$H$10008,$A$4:$A$2700)</f>
        <v>0</v>
      </c>
      <c r="AB263" s="512">
        <f t="shared" si="85"/>
        <v>0</v>
      </c>
      <c r="AC263" s="512">
        <f>SUMIFS(PURCHASE!$K$6:$K$10008,PURCHASE!$A$6:$A$10008,$AB$2,PURCHASE!$H$6:$H$10008,$A$4:$A$2700)</f>
        <v>0</v>
      </c>
      <c r="AD263" s="512">
        <f>SUMIFS(PURCHASE!$L$6:$L$10008,PURCHASE!$A$6:$A$10008,$AB$2,PURCHASE!$H$6:$H$10008,$A$4:$A$2700)</f>
        <v>0</v>
      </c>
      <c r="AE263" s="512">
        <f>SUMIFS(PURCHASE!$M$6:$M$10008,PURCHASE!$A$6:$A$10008,$AB$2,PURCHASE!$H$6:$H$10008,$A$4:$A$2700)</f>
        <v>0</v>
      </c>
      <c r="AF263" s="512">
        <f>SUMIFS(PURCHASE!$N$6:$N$10008,PURCHASE!$A$6:$A$10008,$AB$2,PURCHASE!$H$6:$H$10008,$A$4:$A$2700)</f>
        <v>0</v>
      </c>
      <c r="AG263" s="512">
        <f t="shared" si="86"/>
        <v>0</v>
      </c>
      <c r="AH263" s="512">
        <f>SUMIFS(PURCHASE!$K$6:$K$10008,PURCHASE!$A$6:$A$10008,$AG$2,PURCHASE!$H$6:$H$10008,$A$4:$A$2700)</f>
        <v>0</v>
      </c>
      <c r="AI263" s="512">
        <f>SUMIFS(PURCHASE!$L$6:$L$10008,PURCHASE!$A$6:$A$10008,$AG$2,PURCHASE!$H$6:$H$10008,$A$4:$A$2700)</f>
        <v>0</v>
      </c>
      <c r="AJ263" s="512">
        <f>SUMIFS(PURCHASE!$M$6:$M$10008,PURCHASE!$A$6:$A$10008,$AG$2,PURCHASE!$H$6:$H$10008,$A$4:$A$2700)</f>
        <v>0</v>
      </c>
      <c r="AK263" s="512">
        <f>SUMIFS(PURCHASE!$N$6:$N$10008,PURCHASE!$A$6:$A$10008,$AG$2,PURCHASE!$H$6:$H$10008,$A$4:$A$2700)</f>
        <v>0</v>
      </c>
      <c r="AL263" s="512">
        <f t="shared" si="87"/>
        <v>0</v>
      </c>
      <c r="AM263" s="512">
        <f>SUMIFS(PURCHASE!$K$6:$K$10008,PURCHASE!$A$6:$A$10008,$AL$2,PURCHASE!$H$6:$H$10008,$A$4:$A$2700)</f>
        <v>0</v>
      </c>
      <c r="AN263" s="512">
        <f>SUMIFS(PURCHASE!$L$6:$L$10008,PURCHASE!$A$6:$A$10008,$AL$2,PURCHASE!$H$6:$H$10008,$A$4:$A$2700)</f>
        <v>0</v>
      </c>
      <c r="AO263" s="512">
        <f>SUMIFS(PURCHASE!$M$6:$M$10008,PURCHASE!$A$6:$A$10008,$AL$2,PURCHASE!$H$6:$H$10008,$A$4:$A$2700)</f>
        <v>0</v>
      </c>
      <c r="AP263" s="512">
        <f>SUMIFS(PURCHASE!$N$6:$N$10008,PURCHASE!$A$6:$A$10008,$AL$2,PURCHASE!$H$6:$H$10008,$A$4:$A$2700)</f>
        <v>0</v>
      </c>
      <c r="AQ263" s="512">
        <f t="shared" si="88"/>
        <v>0</v>
      </c>
      <c r="AR263" s="512">
        <f>SUMIFS(PURCHASE!$K$6:$K$10008,PURCHASE!$A$6:$A$10008,$AQ$2,PURCHASE!$H$6:$H$10008,$A$4:$A$2700)</f>
        <v>0</v>
      </c>
      <c r="AS263" s="512">
        <f>SUMIFS(PURCHASE!$L$6:$L$10008,PURCHASE!$A$6:$A$10008,$AQ$2,PURCHASE!$H$6:$H$10008,$A$4:$A$2700)</f>
        <v>0</v>
      </c>
      <c r="AT263" s="512">
        <f>SUMIFS(PURCHASE!$M$6:$M$10008,PURCHASE!$A$6:$A$10008,$AQ$2,PURCHASE!$H$6:$H$10008,$A$4:$A$2700)</f>
        <v>0</v>
      </c>
      <c r="AU263" s="512">
        <f>SUMIFS(PURCHASE!$N$6:$N$10008,PURCHASE!$A$6:$A$10008,$AQ$2,PURCHASE!$H$6:$H$10008,$A$4:$A$2700)</f>
        <v>0</v>
      </c>
      <c r="AV263" s="512">
        <f t="shared" si="89"/>
        <v>0</v>
      </c>
      <c r="AW263" s="512">
        <f>SUMIFS(PURCHASE!$K$6:$K$10008,PURCHASE!$A$6:$A$10008,$AV$2,PURCHASE!$H$6:$H$10008,$A$4:$A$2700)</f>
        <v>0</v>
      </c>
      <c r="AX263" s="512">
        <f>SUMIFS(PURCHASE!$L$6:$L$10008,PURCHASE!$A$6:$A$10008,$AV$2,PURCHASE!$H$6:$H$10008,$A$4:$A$2700)</f>
        <v>0</v>
      </c>
      <c r="AY263" s="512">
        <f>SUMIFS(PURCHASE!$M$6:$M$10008,PURCHASE!$A$6:$A$10008,$AV$2,PURCHASE!$H$6:$H$10008,$A$4:$A$2700)</f>
        <v>0</v>
      </c>
      <c r="AZ263" s="512">
        <f>SUMIFS(PURCHASE!$N$6:$N$10008,PURCHASE!$A$6:$A$10008,$AV$2,PURCHASE!$H$6:$H$10008,$A$4:$A$2700)</f>
        <v>0</v>
      </c>
      <c r="BA263" s="512">
        <f t="shared" si="90"/>
        <v>0</v>
      </c>
      <c r="BB263" s="512">
        <f>SUMIFS(PURCHASE!$K$6:$K$10008,PURCHASE!$A$6:$A$10008,$BA$2,PURCHASE!$H$6:$H$10008,$A$4:$A$2700)</f>
        <v>0</v>
      </c>
      <c r="BC263" s="512">
        <f>SUMIFS(PURCHASE!$L$6:$L$10008,PURCHASE!$A$6:$A$10008,$BA$2,PURCHASE!$H$6:$H$10008,$A$4:$A$2700)</f>
        <v>0</v>
      </c>
      <c r="BD263" s="512">
        <f>SUMIFS(PURCHASE!$M$6:$M$10008,PURCHASE!$A$6:$A$10008,$BA$2,PURCHASE!$H$6:$H$10008,$A$4:$A$2700)</f>
        <v>0</v>
      </c>
      <c r="BE263" s="512">
        <f>SUMIFS(PURCHASE!$N$6:$N$10008,PURCHASE!$A$6:$A$10008,$BA$2,PURCHASE!$H$6:$H$10008,$A$4:$A$2700)</f>
        <v>0</v>
      </c>
      <c r="BF263" s="512">
        <f t="shared" si="91"/>
        <v>0</v>
      </c>
      <c r="BG263" s="512">
        <f>SUMIFS(PURCHASE!$K$6:$K$10008,PURCHASE!$A$6:$A$10008,$BF$2,PURCHASE!$H$6:$H$10008,$A$4:$A$2700)</f>
        <v>0</v>
      </c>
      <c r="BH263" s="512">
        <f>SUMIFS(PURCHASE!$L$6:$L$10008,PURCHASE!$A$6:$A$10008,$BF$2,PURCHASE!$H$6:$H$10008,$A$4:$A$2700)</f>
        <v>0</v>
      </c>
      <c r="BI263" s="512">
        <f>SUMIFS(PURCHASE!$M$6:$M$10008,PURCHASE!$A$6:$A$10008,$BF$2,PURCHASE!$H$6:$H$10008,$A$4:$A$2700)</f>
        <v>0</v>
      </c>
      <c r="BJ263" s="512">
        <f>SUMIFS(PURCHASE!$N$6:$N$10008,PURCHASE!$A$6:$A$10008,$BF$2,PURCHASE!$H$6:$H$10008,$A$4:$A$2700)</f>
        <v>0</v>
      </c>
      <c r="BK263" s="72">
        <f t="shared" si="75"/>
        <v>0</v>
      </c>
      <c r="BL263" s="72">
        <f t="shared" si="76"/>
        <v>0</v>
      </c>
      <c r="BM263" s="72">
        <f t="shared" si="77"/>
        <v>0</v>
      </c>
      <c r="BN263" s="72">
        <f t="shared" si="78"/>
        <v>0</v>
      </c>
      <c r="BO263" s="72">
        <f t="shared" si="79"/>
        <v>0</v>
      </c>
    </row>
    <row r="264" spans="1:67" x14ac:dyDescent="0.2">
      <c r="A264" s="467">
        <v>85362020</v>
      </c>
      <c r="B264" s="467" t="s">
        <v>1371</v>
      </c>
      <c r="C264" s="512">
        <f t="shared" si="80"/>
        <v>0</v>
      </c>
      <c r="D264" s="512">
        <f>SUMIFS(PURCHASE!$K$6:$K$10008,PURCHASE!$A$6:$A$10008,$M$2,PURCHASE!$H$6:$H$10008,$A$4:$A$2700)</f>
        <v>0</v>
      </c>
      <c r="E264" s="512">
        <f>SUMIFS(PURCHASE!$L$6:$L$10008,PURCHASE!$A$6:$A$10008,$M$2,PURCHASE!$H$6:$H$10008,$A$4:$A$2700)</f>
        <v>0</v>
      </c>
      <c r="F264" s="512">
        <f>SUMIFS(PURCHASE!$M$6:$M$10008,PURCHASE!$A$6:$A$10008,$M$2,PURCHASE!$H$6:$H$10008,$A$4:$A$2700)</f>
        <v>0</v>
      </c>
      <c r="G264" s="512">
        <f>SUMIFS(PURCHASE!$N$6:$N$10008,PURCHASE!$A$6:$A$10008,$M$2,PURCHASE!$H$6:$H$10008,$A$4:$A$2700)</f>
        <v>0</v>
      </c>
      <c r="H264" s="512">
        <f t="shared" si="81"/>
        <v>0</v>
      </c>
      <c r="I264" s="512">
        <f>SUMIFS(PURCHASE!$K$6:$K$10008,PURCHASE!$A$6:$A$10008,$H$2,PURCHASE!$H$6:$H$10008,$A$4:$A$2700)</f>
        <v>0</v>
      </c>
      <c r="J264" s="512">
        <f>SUMIFS(PURCHASE!$L$6:$L$10008,PURCHASE!$A$6:$A$10008,$H$2,PURCHASE!$H$6:$H$10008,$A$4:$A$2700)</f>
        <v>0</v>
      </c>
      <c r="K264" s="512">
        <f>SUMIFS(PURCHASE!$M$6:$M$10008,PURCHASE!$A$6:$A$10008,$H$2,PURCHASE!$H$6:$H$10008,$A$4:$A$2700)</f>
        <v>0</v>
      </c>
      <c r="L264" s="512">
        <f>SUMIFS(PURCHASE!$N$6:$N$10008,PURCHASE!$A$6:$A$10008,$H$2,PURCHASE!$H$6:$H$10008,$A$4:$A$2700)</f>
        <v>0</v>
      </c>
      <c r="M264" s="512">
        <f t="shared" si="82"/>
        <v>0</v>
      </c>
      <c r="N264" s="512">
        <f>SUMIFS(PURCHASE!$K$6:$K$10008,PURCHASE!$A$6:$A$10008,$M$2,PURCHASE!$H$6:$H$10008,$A$4:$A$2700)</f>
        <v>0</v>
      </c>
      <c r="O264" s="512">
        <f>SUMIFS(PURCHASE!$L$6:$L$10008,PURCHASE!$A$6:$A$10008,$M$2,PURCHASE!$H$6:$H$10008,$A$4:$A$2700)</f>
        <v>0</v>
      </c>
      <c r="P264" s="512">
        <f>SUMIFS(PURCHASE!$M$6:$M$10008,PURCHASE!$A$6:$A$10008,$M$2,PURCHASE!$H$6:$H$10008,$A$4:$A$2700)</f>
        <v>0</v>
      </c>
      <c r="Q264" s="512">
        <f>SUMIFS(PURCHASE!$N$6:$N$10008,PURCHASE!$A$6:$A$10008,$M$2,PURCHASE!$H$6:$H$10008,$A$4:$A$2700)</f>
        <v>0</v>
      </c>
      <c r="R264" s="512">
        <f t="shared" si="83"/>
        <v>0</v>
      </c>
      <c r="S264" s="512">
        <f>SUMIFS(PURCHASE!$K$6:$K$10008,PURCHASE!$A$6:$A$10008,$R$2,PURCHASE!$H$6:$H$10008,$A$4:$A$2700)</f>
        <v>0</v>
      </c>
      <c r="T264" s="512">
        <f>SUMIFS(PURCHASE!$L$6:$L$10008,PURCHASE!$A$6:$A$10008,$R$2,PURCHASE!$H$6:$H$10008,$A$4:$A$2700)</f>
        <v>0</v>
      </c>
      <c r="U264" s="512">
        <f>SUMIFS(PURCHASE!$M$6:$M$10008,PURCHASE!$A$6:$A$10008,$R$2,PURCHASE!$H$6:$H$10008,$A$4:$A$2700)</f>
        <v>0</v>
      </c>
      <c r="V264" s="512">
        <f>SUMIFS(PURCHASE!$N$6:$N$10008,PURCHASE!$A$6:$A$10008,$R$2,PURCHASE!$H$6:$H$10008,$A$4:$A$2700)</f>
        <v>0</v>
      </c>
      <c r="W264" s="512">
        <f t="shared" si="84"/>
        <v>0</v>
      </c>
      <c r="X264" s="512">
        <f>SUMIFS(PURCHASE!$K$6:$K$10008,PURCHASE!$A$6:$A$10008,$W$2,PURCHASE!$H$6:$H$10008,$A$4:$A$2700)</f>
        <v>0</v>
      </c>
      <c r="Y264" s="512">
        <f>SUMIFS(PURCHASE!$L$6:$L$10008,PURCHASE!$A$6:$A$10008,$W$2,PURCHASE!$H$6:$H$10008,$A$4:$A$2700)</f>
        <v>0</v>
      </c>
      <c r="Z264" s="512">
        <f>SUMIFS(PURCHASE!$M$6:$M$10008,PURCHASE!$A$6:$A$10008,$W$2,PURCHASE!$H$6:$H$10008,$A$4:$A$2700)</f>
        <v>0</v>
      </c>
      <c r="AA264" s="512">
        <f>SUMIFS(PURCHASE!$N$6:$N$10008,PURCHASE!$A$6:$A$10008,$W$2,PURCHASE!$H$6:$H$10008,$A$4:$A$2700)</f>
        <v>0</v>
      </c>
      <c r="AB264" s="512">
        <f t="shared" si="85"/>
        <v>0</v>
      </c>
      <c r="AC264" s="512">
        <f>SUMIFS(PURCHASE!$K$6:$K$10008,PURCHASE!$A$6:$A$10008,$AB$2,PURCHASE!$H$6:$H$10008,$A$4:$A$2700)</f>
        <v>0</v>
      </c>
      <c r="AD264" s="512">
        <f>SUMIFS(PURCHASE!$L$6:$L$10008,PURCHASE!$A$6:$A$10008,$AB$2,PURCHASE!$H$6:$H$10008,$A$4:$A$2700)</f>
        <v>0</v>
      </c>
      <c r="AE264" s="512">
        <f>SUMIFS(PURCHASE!$M$6:$M$10008,PURCHASE!$A$6:$A$10008,$AB$2,PURCHASE!$H$6:$H$10008,$A$4:$A$2700)</f>
        <v>0</v>
      </c>
      <c r="AF264" s="512">
        <f>SUMIFS(PURCHASE!$N$6:$N$10008,PURCHASE!$A$6:$A$10008,$AB$2,PURCHASE!$H$6:$H$10008,$A$4:$A$2700)</f>
        <v>0</v>
      </c>
      <c r="AG264" s="512">
        <f t="shared" si="86"/>
        <v>0</v>
      </c>
      <c r="AH264" s="512">
        <f>SUMIFS(PURCHASE!$K$6:$K$10008,PURCHASE!$A$6:$A$10008,$AG$2,PURCHASE!$H$6:$H$10008,$A$4:$A$2700)</f>
        <v>0</v>
      </c>
      <c r="AI264" s="512">
        <f>SUMIFS(PURCHASE!$L$6:$L$10008,PURCHASE!$A$6:$A$10008,$AG$2,PURCHASE!$H$6:$H$10008,$A$4:$A$2700)</f>
        <v>0</v>
      </c>
      <c r="AJ264" s="512">
        <f>SUMIFS(PURCHASE!$M$6:$M$10008,PURCHASE!$A$6:$A$10008,$AG$2,PURCHASE!$H$6:$H$10008,$A$4:$A$2700)</f>
        <v>0</v>
      </c>
      <c r="AK264" s="512">
        <f>SUMIFS(PURCHASE!$N$6:$N$10008,PURCHASE!$A$6:$A$10008,$AG$2,PURCHASE!$H$6:$H$10008,$A$4:$A$2700)</f>
        <v>0</v>
      </c>
      <c r="AL264" s="512">
        <f t="shared" si="87"/>
        <v>0</v>
      </c>
      <c r="AM264" s="512">
        <f>SUMIFS(PURCHASE!$K$6:$K$10008,PURCHASE!$A$6:$A$10008,$AL$2,PURCHASE!$H$6:$H$10008,$A$4:$A$2700)</f>
        <v>0</v>
      </c>
      <c r="AN264" s="512">
        <f>SUMIFS(PURCHASE!$L$6:$L$10008,PURCHASE!$A$6:$A$10008,$AL$2,PURCHASE!$H$6:$H$10008,$A$4:$A$2700)</f>
        <v>0</v>
      </c>
      <c r="AO264" s="512">
        <f>SUMIFS(PURCHASE!$M$6:$M$10008,PURCHASE!$A$6:$A$10008,$AL$2,PURCHASE!$H$6:$H$10008,$A$4:$A$2700)</f>
        <v>0</v>
      </c>
      <c r="AP264" s="512">
        <f>SUMIFS(PURCHASE!$N$6:$N$10008,PURCHASE!$A$6:$A$10008,$AL$2,PURCHASE!$H$6:$H$10008,$A$4:$A$2700)</f>
        <v>0</v>
      </c>
      <c r="AQ264" s="512">
        <f t="shared" si="88"/>
        <v>0</v>
      </c>
      <c r="AR264" s="512">
        <f>SUMIFS(PURCHASE!$K$6:$K$10008,PURCHASE!$A$6:$A$10008,$AQ$2,PURCHASE!$H$6:$H$10008,$A$4:$A$2700)</f>
        <v>0</v>
      </c>
      <c r="AS264" s="512">
        <f>SUMIFS(PURCHASE!$L$6:$L$10008,PURCHASE!$A$6:$A$10008,$AQ$2,PURCHASE!$H$6:$H$10008,$A$4:$A$2700)</f>
        <v>0</v>
      </c>
      <c r="AT264" s="512">
        <f>SUMIFS(PURCHASE!$M$6:$M$10008,PURCHASE!$A$6:$A$10008,$AQ$2,PURCHASE!$H$6:$H$10008,$A$4:$A$2700)</f>
        <v>0</v>
      </c>
      <c r="AU264" s="512">
        <f>SUMIFS(PURCHASE!$N$6:$N$10008,PURCHASE!$A$6:$A$10008,$AQ$2,PURCHASE!$H$6:$H$10008,$A$4:$A$2700)</f>
        <v>0</v>
      </c>
      <c r="AV264" s="512">
        <f t="shared" si="89"/>
        <v>0</v>
      </c>
      <c r="AW264" s="512">
        <f>SUMIFS(PURCHASE!$K$6:$K$10008,PURCHASE!$A$6:$A$10008,$AV$2,PURCHASE!$H$6:$H$10008,$A$4:$A$2700)</f>
        <v>0</v>
      </c>
      <c r="AX264" s="512">
        <f>SUMIFS(PURCHASE!$L$6:$L$10008,PURCHASE!$A$6:$A$10008,$AV$2,PURCHASE!$H$6:$H$10008,$A$4:$A$2700)</f>
        <v>0</v>
      </c>
      <c r="AY264" s="512">
        <f>SUMIFS(PURCHASE!$M$6:$M$10008,PURCHASE!$A$6:$A$10008,$AV$2,PURCHASE!$H$6:$H$10008,$A$4:$A$2700)</f>
        <v>0</v>
      </c>
      <c r="AZ264" s="512">
        <f>SUMIFS(PURCHASE!$N$6:$N$10008,PURCHASE!$A$6:$A$10008,$AV$2,PURCHASE!$H$6:$H$10008,$A$4:$A$2700)</f>
        <v>0</v>
      </c>
      <c r="BA264" s="512">
        <f t="shared" si="90"/>
        <v>0</v>
      </c>
      <c r="BB264" s="512">
        <f>SUMIFS(PURCHASE!$K$6:$K$10008,PURCHASE!$A$6:$A$10008,$BA$2,PURCHASE!$H$6:$H$10008,$A$4:$A$2700)</f>
        <v>0</v>
      </c>
      <c r="BC264" s="512">
        <f>SUMIFS(PURCHASE!$L$6:$L$10008,PURCHASE!$A$6:$A$10008,$BA$2,PURCHASE!$H$6:$H$10008,$A$4:$A$2700)</f>
        <v>0</v>
      </c>
      <c r="BD264" s="512">
        <f>SUMIFS(PURCHASE!$M$6:$M$10008,PURCHASE!$A$6:$A$10008,$BA$2,PURCHASE!$H$6:$H$10008,$A$4:$A$2700)</f>
        <v>0</v>
      </c>
      <c r="BE264" s="512">
        <f>SUMIFS(PURCHASE!$N$6:$N$10008,PURCHASE!$A$6:$A$10008,$BA$2,PURCHASE!$H$6:$H$10008,$A$4:$A$2700)</f>
        <v>0</v>
      </c>
      <c r="BF264" s="512">
        <f t="shared" si="91"/>
        <v>0</v>
      </c>
      <c r="BG264" s="512">
        <f>SUMIFS(PURCHASE!$K$6:$K$10008,PURCHASE!$A$6:$A$10008,$BF$2,PURCHASE!$H$6:$H$10008,$A$4:$A$2700)</f>
        <v>0</v>
      </c>
      <c r="BH264" s="512">
        <f>SUMIFS(PURCHASE!$L$6:$L$10008,PURCHASE!$A$6:$A$10008,$BF$2,PURCHASE!$H$6:$H$10008,$A$4:$A$2700)</f>
        <v>0</v>
      </c>
      <c r="BI264" s="512">
        <f>SUMIFS(PURCHASE!$M$6:$M$10008,PURCHASE!$A$6:$A$10008,$BF$2,PURCHASE!$H$6:$H$10008,$A$4:$A$2700)</f>
        <v>0</v>
      </c>
      <c r="BJ264" s="512">
        <f>SUMIFS(PURCHASE!$N$6:$N$10008,PURCHASE!$A$6:$A$10008,$BF$2,PURCHASE!$H$6:$H$10008,$A$4:$A$2700)</f>
        <v>0</v>
      </c>
      <c r="BK264" s="72">
        <f t="shared" si="75"/>
        <v>0</v>
      </c>
      <c r="BL264" s="72">
        <f t="shared" si="76"/>
        <v>0</v>
      </c>
      <c r="BM264" s="72">
        <f t="shared" si="77"/>
        <v>0</v>
      </c>
      <c r="BN264" s="72">
        <f t="shared" si="78"/>
        <v>0</v>
      </c>
      <c r="BO264" s="72">
        <f t="shared" si="79"/>
        <v>0</v>
      </c>
    </row>
    <row r="265" spans="1:67" x14ac:dyDescent="0.2">
      <c r="A265" s="467">
        <v>48201010</v>
      </c>
      <c r="B265" s="499" t="s">
        <v>1372</v>
      </c>
      <c r="C265" s="512">
        <f t="shared" si="80"/>
        <v>0</v>
      </c>
      <c r="D265" s="512">
        <f>SUMIFS(PURCHASE!$K$6:$K$10008,PURCHASE!$A$6:$A$10008,$M$2,PURCHASE!$H$6:$H$10008,$A$4:$A$2700)</f>
        <v>0</v>
      </c>
      <c r="E265" s="512">
        <f>SUMIFS(PURCHASE!$L$6:$L$10008,PURCHASE!$A$6:$A$10008,$M$2,PURCHASE!$H$6:$H$10008,$A$4:$A$2700)</f>
        <v>0</v>
      </c>
      <c r="F265" s="512">
        <f>SUMIFS(PURCHASE!$M$6:$M$10008,PURCHASE!$A$6:$A$10008,$M$2,PURCHASE!$H$6:$H$10008,$A$4:$A$2700)</f>
        <v>0</v>
      </c>
      <c r="G265" s="512">
        <f>SUMIFS(PURCHASE!$N$6:$N$10008,PURCHASE!$A$6:$A$10008,$M$2,PURCHASE!$H$6:$H$10008,$A$4:$A$2700)</f>
        <v>0</v>
      </c>
      <c r="H265" s="512">
        <f t="shared" si="81"/>
        <v>0</v>
      </c>
      <c r="I265" s="512">
        <f>SUMIFS(PURCHASE!$K$6:$K$10008,PURCHASE!$A$6:$A$10008,$H$2,PURCHASE!$H$6:$H$10008,$A$4:$A$2700)</f>
        <v>0</v>
      </c>
      <c r="J265" s="512">
        <f>SUMIFS(PURCHASE!$L$6:$L$10008,PURCHASE!$A$6:$A$10008,$H$2,PURCHASE!$H$6:$H$10008,$A$4:$A$2700)</f>
        <v>0</v>
      </c>
      <c r="K265" s="512">
        <f>SUMIFS(PURCHASE!$M$6:$M$10008,PURCHASE!$A$6:$A$10008,$H$2,PURCHASE!$H$6:$H$10008,$A$4:$A$2700)</f>
        <v>0</v>
      </c>
      <c r="L265" s="512">
        <f>SUMIFS(PURCHASE!$N$6:$N$10008,PURCHASE!$A$6:$A$10008,$H$2,PURCHASE!$H$6:$H$10008,$A$4:$A$2700)</f>
        <v>0</v>
      </c>
      <c r="M265" s="512">
        <f t="shared" si="82"/>
        <v>0</v>
      </c>
      <c r="N265" s="512">
        <f>SUMIFS(PURCHASE!$K$6:$K$10008,PURCHASE!$A$6:$A$10008,$M$2,PURCHASE!$H$6:$H$10008,$A$4:$A$2700)</f>
        <v>0</v>
      </c>
      <c r="O265" s="512">
        <f>SUMIFS(PURCHASE!$L$6:$L$10008,PURCHASE!$A$6:$A$10008,$M$2,PURCHASE!$H$6:$H$10008,$A$4:$A$2700)</f>
        <v>0</v>
      </c>
      <c r="P265" s="512">
        <f>SUMIFS(PURCHASE!$M$6:$M$10008,PURCHASE!$A$6:$A$10008,$M$2,PURCHASE!$H$6:$H$10008,$A$4:$A$2700)</f>
        <v>0</v>
      </c>
      <c r="Q265" s="512">
        <f>SUMIFS(PURCHASE!$N$6:$N$10008,PURCHASE!$A$6:$A$10008,$M$2,PURCHASE!$H$6:$H$10008,$A$4:$A$2700)</f>
        <v>0</v>
      </c>
      <c r="R265" s="512">
        <f t="shared" si="83"/>
        <v>0</v>
      </c>
      <c r="S265" s="512">
        <f>SUMIFS(PURCHASE!$K$6:$K$10008,PURCHASE!$A$6:$A$10008,$R$2,PURCHASE!$H$6:$H$10008,$A$4:$A$2700)</f>
        <v>0</v>
      </c>
      <c r="T265" s="512">
        <f>SUMIFS(PURCHASE!$L$6:$L$10008,PURCHASE!$A$6:$A$10008,$R$2,PURCHASE!$H$6:$H$10008,$A$4:$A$2700)</f>
        <v>0</v>
      </c>
      <c r="U265" s="512">
        <f>SUMIFS(PURCHASE!$M$6:$M$10008,PURCHASE!$A$6:$A$10008,$R$2,PURCHASE!$H$6:$H$10008,$A$4:$A$2700)</f>
        <v>0</v>
      </c>
      <c r="V265" s="512">
        <f>SUMIFS(PURCHASE!$N$6:$N$10008,PURCHASE!$A$6:$A$10008,$R$2,PURCHASE!$H$6:$H$10008,$A$4:$A$2700)</f>
        <v>0</v>
      </c>
      <c r="W265" s="512">
        <f t="shared" si="84"/>
        <v>0</v>
      </c>
      <c r="X265" s="512">
        <f>SUMIFS(PURCHASE!$K$6:$K$10008,PURCHASE!$A$6:$A$10008,$W$2,PURCHASE!$H$6:$H$10008,$A$4:$A$2700)</f>
        <v>0</v>
      </c>
      <c r="Y265" s="512">
        <f>SUMIFS(PURCHASE!$L$6:$L$10008,PURCHASE!$A$6:$A$10008,$W$2,PURCHASE!$H$6:$H$10008,$A$4:$A$2700)</f>
        <v>0</v>
      </c>
      <c r="Z265" s="512">
        <f>SUMIFS(PURCHASE!$M$6:$M$10008,PURCHASE!$A$6:$A$10008,$W$2,PURCHASE!$H$6:$H$10008,$A$4:$A$2700)</f>
        <v>0</v>
      </c>
      <c r="AA265" s="512">
        <f>SUMIFS(PURCHASE!$N$6:$N$10008,PURCHASE!$A$6:$A$10008,$W$2,PURCHASE!$H$6:$H$10008,$A$4:$A$2700)</f>
        <v>0</v>
      </c>
      <c r="AB265" s="512">
        <f t="shared" si="85"/>
        <v>0</v>
      </c>
      <c r="AC265" s="512">
        <f>SUMIFS(PURCHASE!$K$6:$K$10008,PURCHASE!$A$6:$A$10008,$AB$2,PURCHASE!$H$6:$H$10008,$A$4:$A$2700)</f>
        <v>0</v>
      </c>
      <c r="AD265" s="512">
        <f>SUMIFS(PURCHASE!$L$6:$L$10008,PURCHASE!$A$6:$A$10008,$AB$2,PURCHASE!$H$6:$H$10008,$A$4:$A$2700)</f>
        <v>0</v>
      </c>
      <c r="AE265" s="512">
        <f>SUMIFS(PURCHASE!$M$6:$M$10008,PURCHASE!$A$6:$A$10008,$AB$2,PURCHASE!$H$6:$H$10008,$A$4:$A$2700)</f>
        <v>0</v>
      </c>
      <c r="AF265" s="512">
        <f>SUMIFS(PURCHASE!$N$6:$N$10008,PURCHASE!$A$6:$A$10008,$AB$2,PURCHASE!$H$6:$H$10008,$A$4:$A$2700)</f>
        <v>0</v>
      </c>
      <c r="AG265" s="512">
        <f t="shared" si="86"/>
        <v>0</v>
      </c>
      <c r="AH265" s="512">
        <f>SUMIFS(PURCHASE!$K$6:$K$10008,PURCHASE!$A$6:$A$10008,$AG$2,PURCHASE!$H$6:$H$10008,$A$4:$A$2700)</f>
        <v>0</v>
      </c>
      <c r="AI265" s="512">
        <f>SUMIFS(PURCHASE!$L$6:$L$10008,PURCHASE!$A$6:$A$10008,$AG$2,PURCHASE!$H$6:$H$10008,$A$4:$A$2700)</f>
        <v>0</v>
      </c>
      <c r="AJ265" s="512">
        <f>SUMIFS(PURCHASE!$M$6:$M$10008,PURCHASE!$A$6:$A$10008,$AG$2,PURCHASE!$H$6:$H$10008,$A$4:$A$2700)</f>
        <v>0</v>
      </c>
      <c r="AK265" s="512">
        <f>SUMIFS(PURCHASE!$N$6:$N$10008,PURCHASE!$A$6:$A$10008,$AG$2,PURCHASE!$H$6:$H$10008,$A$4:$A$2700)</f>
        <v>0</v>
      </c>
      <c r="AL265" s="512">
        <f t="shared" si="87"/>
        <v>226.56</v>
      </c>
      <c r="AM265" s="512">
        <f>SUMIFS(PURCHASE!$K$6:$K$10008,PURCHASE!$A$6:$A$10008,$AL$2,PURCHASE!$H$6:$H$10008,$A$4:$A$2700)</f>
        <v>192</v>
      </c>
      <c r="AN265" s="512">
        <f>SUMIFS(PURCHASE!$L$6:$L$10008,PURCHASE!$A$6:$A$10008,$AL$2,PURCHASE!$H$6:$H$10008,$A$4:$A$2700)</f>
        <v>0</v>
      </c>
      <c r="AO265" s="512">
        <f>SUMIFS(PURCHASE!$M$6:$M$10008,PURCHASE!$A$6:$A$10008,$AL$2,PURCHASE!$H$6:$H$10008,$A$4:$A$2700)</f>
        <v>17.28</v>
      </c>
      <c r="AP265" s="512">
        <f>SUMIFS(PURCHASE!$N$6:$N$10008,PURCHASE!$A$6:$A$10008,$AL$2,PURCHASE!$H$6:$H$10008,$A$4:$A$2700)</f>
        <v>17.28</v>
      </c>
      <c r="AQ265" s="512">
        <f t="shared" si="88"/>
        <v>0</v>
      </c>
      <c r="AR265" s="512">
        <f>SUMIFS(PURCHASE!$K$6:$K$10008,PURCHASE!$A$6:$A$10008,$AQ$2,PURCHASE!$H$6:$H$10008,$A$4:$A$2700)</f>
        <v>0</v>
      </c>
      <c r="AS265" s="512">
        <f>SUMIFS(PURCHASE!$L$6:$L$10008,PURCHASE!$A$6:$A$10008,$AQ$2,PURCHASE!$H$6:$H$10008,$A$4:$A$2700)</f>
        <v>0</v>
      </c>
      <c r="AT265" s="512">
        <f>SUMIFS(PURCHASE!$M$6:$M$10008,PURCHASE!$A$6:$A$10008,$AQ$2,PURCHASE!$H$6:$H$10008,$A$4:$A$2700)</f>
        <v>0</v>
      </c>
      <c r="AU265" s="512">
        <f>SUMIFS(PURCHASE!$N$6:$N$10008,PURCHASE!$A$6:$A$10008,$AQ$2,PURCHASE!$H$6:$H$10008,$A$4:$A$2700)</f>
        <v>0</v>
      </c>
      <c r="AV265" s="512">
        <f t="shared" si="89"/>
        <v>0</v>
      </c>
      <c r="AW265" s="512">
        <f>SUMIFS(PURCHASE!$K$6:$K$10008,PURCHASE!$A$6:$A$10008,$AV$2,PURCHASE!$H$6:$H$10008,$A$4:$A$2700)</f>
        <v>0</v>
      </c>
      <c r="AX265" s="512">
        <f>SUMIFS(PURCHASE!$L$6:$L$10008,PURCHASE!$A$6:$A$10008,$AV$2,PURCHASE!$H$6:$H$10008,$A$4:$A$2700)</f>
        <v>0</v>
      </c>
      <c r="AY265" s="512">
        <f>SUMIFS(PURCHASE!$M$6:$M$10008,PURCHASE!$A$6:$A$10008,$AV$2,PURCHASE!$H$6:$H$10008,$A$4:$A$2700)</f>
        <v>0</v>
      </c>
      <c r="AZ265" s="512">
        <f>SUMIFS(PURCHASE!$N$6:$N$10008,PURCHASE!$A$6:$A$10008,$AV$2,PURCHASE!$H$6:$H$10008,$A$4:$A$2700)</f>
        <v>0</v>
      </c>
      <c r="BA265" s="512">
        <f t="shared" si="90"/>
        <v>0</v>
      </c>
      <c r="BB265" s="512">
        <f>SUMIFS(PURCHASE!$K$6:$K$10008,PURCHASE!$A$6:$A$10008,$BA$2,PURCHASE!$H$6:$H$10008,$A$4:$A$2700)</f>
        <v>0</v>
      </c>
      <c r="BC265" s="512">
        <f>SUMIFS(PURCHASE!$L$6:$L$10008,PURCHASE!$A$6:$A$10008,$BA$2,PURCHASE!$H$6:$H$10008,$A$4:$A$2700)</f>
        <v>0</v>
      </c>
      <c r="BD265" s="512">
        <f>SUMIFS(PURCHASE!$M$6:$M$10008,PURCHASE!$A$6:$A$10008,$BA$2,PURCHASE!$H$6:$H$10008,$A$4:$A$2700)</f>
        <v>0</v>
      </c>
      <c r="BE265" s="512">
        <f>SUMIFS(PURCHASE!$N$6:$N$10008,PURCHASE!$A$6:$A$10008,$BA$2,PURCHASE!$H$6:$H$10008,$A$4:$A$2700)</f>
        <v>0</v>
      </c>
      <c r="BF265" s="512">
        <f t="shared" si="91"/>
        <v>0</v>
      </c>
      <c r="BG265" s="512">
        <f>SUMIFS(PURCHASE!$K$6:$K$10008,PURCHASE!$A$6:$A$10008,$BF$2,PURCHASE!$H$6:$H$10008,$A$4:$A$2700)</f>
        <v>0</v>
      </c>
      <c r="BH265" s="512">
        <f>SUMIFS(PURCHASE!$L$6:$L$10008,PURCHASE!$A$6:$A$10008,$BF$2,PURCHASE!$H$6:$H$10008,$A$4:$A$2700)</f>
        <v>0</v>
      </c>
      <c r="BI265" s="512">
        <f>SUMIFS(PURCHASE!$M$6:$M$10008,PURCHASE!$A$6:$A$10008,$BF$2,PURCHASE!$H$6:$H$10008,$A$4:$A$2700)</f>
        <v>0</v>
      </c>
      <c r="BJ265" s="512">
        <f>SUMIFS(PURCHASE!$N$6:$N$10008,PURCHASE!$A$6:$A$10008,$BF$2,PURCHASE!$H$6:$H$10008,$A$4:$A$2700)</f>
        <v>0</v>
      </c>
      <c r="BK265" s="72">
        <f t="shared" si="75"/>
        <v>226.56</v>
      </c>
      <c r="BL265" s="72">
        <f t="shared" si="76"/>
        <v>192</v>
      </c>
      <c r="BM265" s="72">
        <f t="shared" si="77"/>
        <v>0</v>
      </c>
      <c r="BN265" s="72">
        <f t="shared" si="78"/>
        <v>17.28</v>
      </c>
      <c r="BO265" s="72">
        <f t="shared" si="79"/>
        <v>17.28</v>
      </c>
    </row>
    <row r="266" spans="1:67" x14ac:dyDescent="0.2">
      <c r="A266" s="467">
        <v>76071994</v>
      </c>
      <c r="B266" s="467" t="s">
        <v>1314</v>
      </c>
      <c r="C266" s="512">
        <f t="shared" si="80"/>
        <v>0</v>
      </c>
      <c r="D266" s="512">
        <f>SUMIFS(PURCHASE!$K$6:$K$10008,PURCHASE!$A$6:$A$10008,$M$2,PURCHASE!$H$6:$H$10008,$A$4:$A$2700)</f>
        <v>0</v>
      </c>
      <c r="E266" s="512">
        <f>SUMIFS(PURCHASE!$L$6:$L$10008,PURCHASE!$A$6:$A$10008,$M$2,PURCHASE!$H$6:$H$10008,$A$4:$A$2700)</f>
        <v>0</v>
      </c>
      <c r="F266" s="512">
        <f>SUMIFS(PURCHASE!$M$6:$M$10008,PURCHASE!$A$6:$A$10008,$M$2,PURCHASE!$H$6:$H$10008,$A$4:$A$2700)</f>
        <v>0</v>
      </c>
      <c r="G266" s="512">
        <f>SUMIFS(PURCHASE!$N$6:$N$10008,PURCHASE!$A$6:$A$10008,$M$2,PURCHASE!$H$6:$H$10008,$A$4:$A$2700)</f>
        <v>0</v>
      </c>
      <c r="H266" s="512">
        <f t="shared" si="81"/>
        <v>0</v>
      </c>
      <c r="I266" s="512">
        <f>SUMIFS(PURCHASE!$K$6:$K$10008,PURCHASE!$A$6:$A$10008,$H$2,PURCHASE!$H$6:$H$10008,$A$4:$A$2700)</f>
        <v>0</v>
      </c>
      <c r="J266" s="512">
        <f>SUMIFS(PURCHASE!$L$6:$L$10008,PURCHASE!$A$6:$A$10008,$H$2,PURCHASE!$H$6:$H$10008,$A$4:$A$2700)</f>
        <v>0</v>
      </c>
      <c r="K266" s="512">
        <f>SUMIFS(PURCHASE!$M$6:$M$10008,PURCHASE!$A$6:$A$10008,$H$2,PURCHASE!$H$6:$H$10008,$A$4:$A$2700)</f>
        <v>0</v>
      </c>
      <c r="L266" s="512">
        <f>SUMIFS(PURCHASE!$N$6:$N$10008,PURCHASE!$A$6:$A$10008,$H$2,PURCHASE!$H$6:$H$10008,$A$4:$A$2700)</f>
        <v>0</v>
      </c>
      <c r="M266" s="512">
        <f t="shared" si="82"/>
        <v>0</v>
      </c>
      <c r="N266" s="512">
        <f>SUMIFS(PURCHASE!$K$6:$K$10008,PURCHASE!$A$6:$A$10008,$M$2,PURCHASE!$H$6:$H$10008,$A$4:$A$2700)</f>
        <v>0</v>
      </c>
      <c r="O266" s="512">
        <f>SUMIFS(PURCHASE!$L$6:$L$10008,PURCHASE!$A$6:$A$10008,$M$2,PURCHASE!$H$6:$H$10008,$A$4:$A$2700)</f>
        <v>0</v>
      </c>
      <c r="P266" s="512">
        <f>SUMIFS(PURCHASE!$M$6:$M$10008,PURCHASE!$A$6:$A$10008,$M$2,PURCHASE!$H$6:$H$10008,$A$4:$A$2700)</f>
        <v>0</v>
      </c>
      <c r="Q266" s="512">
        <f>SUMIFS(PURCHASE!$N$6:$N$10008,PURCHASE!$A$6:$A$10008,$M$2,PURCHASE!$H$6:$H$10008,$A$4:$A$2700)</f>
        <v>0</v>
      </c>
      <c r="R266" s="512">
        <f t="shared" si="83"/>
        <v>6985.1280000000006</v>
      </c>
      <c r="S266" s="512">
        <f>SUMIFS(PURCHASE!$K$6:$K$10008,PURCHASE!$A$6:$A$10008,$R$2,PURCHASE!$H$6:$H$10008,$A$4:$A$2700)</f>
        <v>5919.6</v>
      </c>
      <c r="T266" s="512">
        <f>SUMIFS(PURCHASE!$L$6:$L$10008,PURCHASE!$A$6:$A$10008,$R$2,PURCHASE!$H$6:$H$10008,$A$4:$A$2700)</f>
        <v>0</v>
      </c>
      <c r="U266" s="512">
        <f>SUMIFS(PURCHASE!$M$6:$M$10008,PURCHASE!$A$6:$A$10008,$R$2,PURCHASE!$H$6:$H$10008,$A$4:$A$2700)</f>
        <v>532.76400000000001</v>
      </c>
      <c r="V266" s="512">
        <f>SUMIFS(PURCHASE!$N$6:$N$10008,PURCHASE!$A$6:$A$10008,$R$2,PURCHASE!$H$6:$H$10008,$A$4:$A$2700)</f>
        <v>532.76400000000001</v>
      </c>
      <c r="W266" s="512">
        <f t="shared" si="84"/>
        <v>0</v>
      </c>
      <c r="X266" s="512">
        <f>SUMIFS(PURCHASE!$K$6:$K$10008,PURCHASE!$A$6:$A$10008,$W$2,PURCHASE!$H$6:$H$10008,$A$4:$A$2700)</f>
        <v>0</v>
      </c>
      <c r="Y266" s="512">
        <f>SUMIFS(PURCHASE!$L$6:$L$10008,PURCHASE!$A$6:$A$10008,$W$2,PURCHASE!$H$6:$H$10008,$A$4:$A$2700)</f>
        <v>0</v>
      </c>
      <c r="Z266" s="512">
        <f>SUMIFS(PURCHASE!$M$6:$M$10008,PURCHASE!$A$6:$A$10008,$W$2,PURCHASE!$H$6:$H$10008,$A$4:$A$2700)</f>
        <v>0</v>
      </c>
      <c r="AA266" s="512">
        <f>SUMIFS(PURCHASE!$N$6:$N$10008,PURCHASE!$A$6:$A$10008,$W$2,PURCHASE!$H$6:$H$10008,$A$4:$A$2700)</f>
        <v>0</v>
      </c>
      <c r="AB266" s="512">
        <f t="shared" si="85"/>
        <v>17584.831999999999</v>
      </c>
      <c r="AC266" s="512">
        <f>SUMIFS(PURCHASE!$K$6:$K$10008,PURCHASE!$A$6:$A$10008,$AB$2,PURCHASE!$H$6:$H$10008,$A$4:$A$2700)</f>
        <v>14902.4</v>
      </c>
      <c r="AD266" s="512">
        <f>SUMIFS(PURCHASE!$L$6:$L$10008,PURCHASE!$A$6:$A$10008,$AB$2,PURCHASE!$H$6:$H$10008,$A$4:$A$2700)</f>
        <v>0</v>
      </c>
      <c r="AE266" s="512">
        <f>SUMIFS(PURCHASE!$M$6:$M$10008,PURCHASE!$A$6:$A$10008,$AB$2,PURCHASE!$H$6:$H$10008,$A$4:$A$2700)</f>
        <v>1341.2159999999999</v>
      </c>
      <c r="AF266" s="512">
        <f>SUMIFS(PURCHASE!$N$6:$N$10008,PURCHASE!$A$6:$A$10008,$AB$2,PURCHASE!$H$6:$H$10008,$A$4:$A$2700)</f>
        <v>1341.2159999999999</v>
      </c>
      <c r="AG266" s="512">
        <f t="shared" si="86"/>
        <v>0</v>
      </c>
      <c r="AH266" s="512">
        <f>SUMIFS(PURCHASE!$K$6:$K$10008,PURCHASE!$A$6:$A$10008,$AG$2,PURCHASE!$H$6:$H$10008,$A$4:$A$2700)</f>
        <v>0</v>
      </c>
      <c r="AI266" s="512">
        <f>SUMIFS(PURCHASE!$L$6:$L$10008,PURCHASE!$A$6:$A$10008,$AG$2,PURCHASE!$H$6:$H$10008,$A$4:$A$2700)</f>
        <v>0</v>
      </c>
      <c r="AJ266" s="512">
        <f>SUMIFS(PURCHASE!$M$6:$M$10008,PURCHASE!$A$6:$A$10008,$AG$2,PURCHASE!$H$6:$H$10008,$A$4:$A$2700)</f>
        <v>0</v>
      </c>
      <c r="AK266" s="512">
        <f>SUMIFS(PURCHASE!$N$6:$N$10008,PURCHASE!$A$6:$A$10008,$AG$2,PURCHASE!$H$6:$H$10008,$A$4:$A$2700)</f>
        <v>0</v>
      </c>
      <c r="AL266" s="512">
        <f t="shared" si="87"/>
        <v>15517</v>
      </c>
      <c r="AM266" s="512">
        <f>SUMIFS(PURCHASE!$K$6:$K$10008,PURCHASE!$A$6:$A$10008,$AL$2,PURCHASE!$H$6:$H$10008,$A$4:$A$2700)</f>
        <v>13150</v>
      </c>
      <c r="AN266" s="512">
        <f>SUMIFS(PURCHASE!$L$6:$L$10008,PURCHASE!$A$6:$A$10008,$AL$2,PURCHASE!$H$6:$H$10008,$A$4:$A$2700)</f>
        <v>0</v>
      </c>
      <c r="AO266" s="512">
        <f>SUMIFS(PURCHASE!$M$6:$M$10008,PURCHASE!$A$6:$A$10008,$AL$2,PURCHASE!$H$6:$H$10008,$A$4:$A$2700)</f>
        <v>1183.5</v>
      </c>
      <c r="AP266" s="512">
        <f>SUMIFS(PURCHASE!$N$6:$N$10008,PURCHASE!$A$6:$A$10008,$AL$2,PURCHASE!$H$6:$H$10008,$A$4:$A$2700)</f>
        <v>1183.5</v>
      </c>
      <c r="AQ266" s="512">
        <f t="shared" si="88"/>
        <v>0</v>
      </c>
      <c r="AR266" s="512">
        <f>SUMIFS(PURCHASE!$K$6:$K$10008,PURCHASE!$A$6:$A$10008,$AQ$2,PURCHASE!$H$6:$H$10008,$A$4:$A$2700)</f>
        <v>0</v>
      </c>
      <c r="AS266" s="512">
        <f>SUMIFS(PURCHASE!$L$6:$L$10008,PURCHASE!$A$6:$A$10008,$AQ$2,PURCHASE!$H$6:$H$10008,$A$4:$A$2700)</f>
        <v>0</v>
      </c>
      <c r="AT266" s="512">
        <f>SUMIFS(PURCHASE!$M$6:$M$10008,PURCHASE!$A$6:$A$10008,$AQ$2,PURCHASE!$H$6:$H$10008,$A$4:$A$2700)</f>
        <v>0</v>
      </c>
      <c r="AU266" s="512">
        <f>SUMIFS(PURCHASE!$N$6:$N$10008,PURCHASE!$A$6:$A$10008,$AQ$2,PURCHASE!$H$6:$H$10008,$A$4:$A$2700)</f>
        <v>0</v>
      </c>
      <c r="AV266" s="512">
        <f t="shared" si="89"/>
        <v>0</v>
      </c>
      <c r="AW266" s="512">
        <f>SUMIFS(PURCHASE!$K$6:$K$10008,PURCHASE!$A$6:$A$10008,$AV$2,PURCHASE!$H$6:$H$10008,$A$4:$A$2700)</f>
        <v>0</v>
      </c>
      <c r="AX266" s="512">
        <f>SUMIFS(PURCHASE!$L$6:$L$10008,PURCHASE!$A$6:$A$10008,$AV$2,PURCHASE!$H$6:$H$10008,$A$4:$A$2700)</f>
        <v>0</v>
      </c>
      <c r="AY266" s="512">
        <f>SUMIFS(PURCHASE!$M$6:$M$10008,PURCHASE!$A$6:$A$10008,$AV$2,PURCHASE!$H$6:$H$10008,$A$4:$A$2700)</f>
        <v>0</v>
      </c>
      <c r="AZ266" s="512">
        <f>SUMIFS(PURCHASE!$N$6:$N$10008,PURCHASE!$A$6:$A$10008,$AV$2,PURCHASE!$H$6:$H$10008,$A$4:$A$2700)</f>
        <v>0</v>
      </c>
      <c r="BA266" s="512">
        <f t="shared" si="90"/>
        <v>0</v>
      </c>
      <c r="BB266" s="512">
        <f>SUMIFS(PURCHASE!$K$6:$K$10008,PURCHASE!$A$6:$A$10008,$BA$2,PURCHASE!$H$6:$H$10008,$A$4:$A$2700)</f>
        <v>0</v>
      </c>
      <c r="BC266" s="512">
        <f>SUMIFS(PURCHASE!$L$6:$L$10008,PURCHASE!$A$6:$A$10008,$BA$2,PURCHASE!$H$6:$H$10008,$A$4:$A$2700)</f>
        <v>0</v>
      </c>
      <c r="BD266" s="512">
        <f>SUMIFS(PURCHASE!$M$6:$M$10008,PURCHASE!$A$6:$A$10008,$BA$2,PURCHASE!$H$6:$H$10008,$A$4:$A$2700)</f>
        <v>0</v>
      </c>
      <c r="BE266" s="512">
        <f>SUMIFS(PURCHASE!$N$6:$N$10008,PURCHASE!$A$6:$A$10008,$BA$2,PURCHASE!$H$6:$H$10008,$A$4:$A$2700)</f>
        <v>0</v>
      </c>
      <c r="BF266" s="512">
        <f t="shared" si="91"/>
        <v>0</v>
      </c>
      <c r="BG266" s="512">
        <f>SUMIFS(PURCHASE!$K$6:$K$10008,PURCHASE!$A$6:$A$10008,$BF$2,PURCHASE!$H$6:$H$10008,$A$4:$A$2700)</f>
        <v>0</v>
      </c>
      <c r="BH266" s="512">
        <f>SUMIFS(PURCHASE!$L$6:$L$10008,PURCHASE!$A$6:$A$10008,$BF$2,PURCHASE!$H$6:$H$10008,$A$4:$A$2700)</f>
        <v>0</v>
      </c>
      <c r="BI266" s="512">
        <f>SUMIFS(PURCHASE!$M$6:$M$10008,PURCHASE!$A$6:$A$10008,$BF$2,PURCHASE!$H$6:$H$10008,$A$4:$A$2700)</f>
        <v>0</v>
      </c>
      <c r="BJ266" s="512">
        <f>SUMIFS(PURCHASE!$N$6:$N$10008,PURCHASE!$A$6:$A$10008,$BF$2,PURCHASE!$H$6:$H$10008,$A$4:$A$2700)</f>
        <v>0</v>
      </c>
      <c r="BK266" s="72">
        <f t="shared" si="75"/>
        <v>40086.959999999999</v>
      </c>
      <c r="BL266" s="72">
        <f t="shared" si="76"/>
        <v>33972</v>
      </c>
      <c r="BM266" s="72">
        <f t="shared" si="77"/>
        <v>0</v>
      </c>
      <c r="BN266" s="72">
        <f t="shared" si="78"/>
        <v>3057.48</v>
      </c>
      <c r="BO266" s="72">
        <f t="shared" si="79"/>
        <v>3057.48</v>
      </c>
    </row>
    <row r="267" spans="1:67" x14ac:dyDescent="0.2">
      <c r="A267" s="467">
        <v>84663020</v>
      </c>
      <c r="B267" s="467" t="s">
        <v>1373</v>
      </c>
      <c r="C267" s="512">
        <f t="shared" ref="C267:C278" si="92">+D267+E267+F267+G267</f>
        <v>0</v>
      </c>
      <c r="D267" s="512">
        <f>SUMIFS(PURCHASE!$K$6:$K$10008,PURCHASE!$A$6:$A$10008,$M$2,PURCHASE!$H$6:$H$10008,$A$4:$A$2700)</f>
        <v>0</v>
      </c>
      <c r="E267" s="512">
        <f>SUMIFS(PURCHASE!$L$6:$L$10008,PURCHASE!$A$6:$A$10008,$M$2,PURCHASE!$H$6:$H$10008,$A$4:$A$2700)</f>
        <v>0</v>
      </c>
      <c r="F267" s="512">
        <f>SUMIFS(PURCHASE!$M$6:$M$10008,PURCHASE!$A$6:$A$10008,$M$2,PURCHASE!$H$6:$H$10008,$A$4:$A$2700)</f>
        <v>0</v>
      </c>
      <c r="G267" s="512">
        <f>SUMIFS(PURCHASE!$N$6:$N$10008,PURCHASE!$A$6:$A$10008,$M$2,PURCHASE!$H$6:$H$10008,$A$4:$A$2700)</f>
        <v>0</v>
      </c>
      <c r="H267" s="512">
        <f t="shared" ref="H267:H278" si="93">+I267+J267+K267+L267</f>
        <v>0</v>
      </c>
      <c r="I267" s="512">
        <f>SUMIFS(PURCHASE!$K$6:$K$10008,PURCHASE!$A$6:$A$10008,$H$2,PURCHASE!$H$6:$H$10008,$A$4:$A$2700)</f>
        <v>0</v>
      </c>
      <c r="J267" s="512">
        <f>SUMIFS(PURCHASE!$L$6:$L$10008,PURCHASE!$A$6:$A$10008,$H$2,PURCHASE!$H$6:$H$10008,$A$4:$A$2700)</f>
        <v>0</v>
      </c>
      <c r="K267" s="512">
        <f>SUMIFS(PURCHASE!$M$6:$M$10008,PURCHASE!$A$6:$A$10008,$H$2,PURCHASE!$H$6:$H$10008,$A$4:$A$2700)</f>
        <v>0</v>
      </c>
      <c r="L267" s="512">
        <f>SUMIFS(PURCHASE!$N$6:$N$10008,PURCHASE!$A$6:$A$10008,$H$2,PURCHASE!$H$6:$H$10008,$A$4:$A$2700)</f>
        <v>0</v>
      </c>
      <c r="M267" s="512">
        <f t="shared" ref="M267:M278" si="94">+N267+O267+P267+Q267</f>
        <v>0</v>
      </c>
      <c r="N267" s="512">
        <f>SUMIFS(PURCHASE!$K$6:$K$10008,PURCHASE!$A$6:$A$10008,$M$2,PURCHASE!$H$6:$H$10008,$A$4:$A$2700)</f>
        <v>0</v>
      </c>
      <c r="O267" s="512">
        <f>SUMIFS(PURCHASE!$L$6:$L$10008,PURCHASE!$A$6:$A$10008,$M$2,PURCHASE!$H$6:$H$10008,$A$4:$A$2700)</f>
        <v>0</v>
      </c>
      <c r="P267" s="512">
        <f>SUMIFS(PURCHASE!$M$6:$M$10008,PURCHASE!$A$6:$A$10008,$M$2,PURCHASE!$H$6:$H$10008,$A$4:$A$2700)</f>
        <v>0</v>
      </c>
      <c r="Q267" s="512">
        <f>SUMIFS(PURCHASE!$N$6:$N$10008,PURCHASE!$A$6:$A$10008,$M$2,PURCHASE!$H$6:$H$10008,$A$4:$A$2700)</f>
        <v>0</v>
      </c>
      <c r="R267" s="512">
        <f t="shared" ref="R267:R278" si="95">+S267+T267+U267+V267</f>
        <v>94754</v>
      </c>
      <c r="S267" s="512">
        <f>SUMIFS(PURCHASE!$K$6:$K$10008,PURCHASE!$A$6:$A$10008,$R$2,PURCHASE!$H$6:$H$10008,$A$4:$A$2700)</f>
        <v>80300</v>
      </c>
      <c r="T267" s="512">
        <f>SUMIFS(PURCHASE!$L$6:$L$10008,PURCHASE!$A$6:$A$10008,$R$2,PURCHASE!$H$6:$H$10008,$A$4:$A$2700)</f>
        <v>0</v>
      </c>
      <c r="U267" s="512">
        <f>SUMIFS(PURCHASE!$M$6:$M$10008,PURCHASE!$A$6:$A$10008,$R$2,PURCHASE!$H$6:$H$10008,$A$4:$A$2700)</f>
        <v>7227</v>
      </c>
      <c r="V267" s="512">
        <f>SUMIFS(PURCHASE!$N$6:$N$10008,PURCHASE!$A$6:$A$10008,$R$2,PURCHASE!$H$6:$H$10008,$A$4:$A$2700)</f>
        <v>7227</v>
      </c>
      <c r="W267" s="512">
        <f t="shared" ref="W267:W278" si="96">+X267+Y267+Z267+AA267</f>
        <v>0</v>
      </c>
      <c r="X267" s="512">
        <f>SUMIFS(PURCHASE!$K$6:$K$10008,PURCHASE!$A$6:$A$10008,$W$2,PURCHASE!$H$6:$H$10008,$A$4:$A$2700)</f>
        <v>0</v>
      </c>
      <c r="Y267" s="512">
        <f>SUMIFS(PURCHASE!$L$6:$L$10008,PURCHASE!$A$6:$A$10008,$W$2,PURCHASE!$H$6:$H$10008,$A$4:$A$2700)</f>
        <v>0</v>
      </c>
      <c r="Z267" s="512">
        <f>SUMIFS(PURCHASE!$M$6:$M$10008,PURCHASE!$A$6:$A$10008,$W$2,PURCHASE!$H$6:$H$10008,$A$4:$A$2700)</f>
        <v>0</v>
      </c>
      <c r="AA267" s="512">
        <f>SUMIFS(PURCHASE!$N$6:$N$10008,PURCHASE!$A$6:$A$10008,$W$2,PURCHASE!$H$6:$H$10008,$A$4:$A$2700)</f>
        <v>0</v>
      </c>
      <c r="AB267" s="512">
        <f t="shared" ref="AB267:AB278" si="97">+AC267+AD267+AE267+AF267</f>
        <v>0</v>
      </c>
      <c r="AC267" s="512">
        <f>SUMIFS(PURCHASE!$K$6:$K$10008,PURCHASE!$A$6:$A$10008,$AB$2,PURCHASE!$H$6:$H$10008,$A$4:$A$2700)</f>
        <v>0</v>
      </c>
      <c r="AD267" s="512">
        <f>SUMIFS(PURCHASE!$L$6:$L$10008,PURCHASE!$A$6:$A$10008,$AB$2,PURCHASE!$H$6:$H$10008,$A$4:$A$2700)</f>
        <v>0</v>
      </c>
      <c r="AE267" s="512">
        <f>SUMIFS(PURCHASE!$M$6:$M$10008,PURCHASE!$A$6:$A$10008,$AB$2,PURCHASE!$H$6:$H$10008,$A$4:$A$2700)</f>
        <v>0</v>
      </c>
      <c r="AF267" s="512">
        <f>SUMIFS(PURCHASE!$N$6:$N$10008,PURCHASE!$A$6:$A$10008,$AB$2,PURCHASE!$H$6:$H$10008,$A$4:$A$2700)</f>
        <v>0</v>
      </c>
      <c r="AG267" s="512">
        <f t="shared" ref="AG267:AG278" si="98">+AH267+AI267+AJ267+AK267</f>
        <v>0</v>
      </c>
      <c r="AH267" s="512">
        <f>SUMIFS(PURCHASE!$K$6:$K$10008,PURCHASE!$A$6:$A$10008,$AG$2,PURCHASE!$H$6:$H$10008,$A$4:$A$2700)</f>
        <v>0</v>
      </c>
      <c r="AI267" s="512">
        <f>SUMIFS(PURCHASE!$L$6:$L$10008,PURCHASE!$A$6:$A$10008,$AG$2,PURCHASE!$H$6:$H$10008,$A$4:$A$2700)</f>
        <v>0</v>
      </c>
      <c r="AJ267" s="512">
        <f>SUMIFS(PURCHASE!$M$6:$M$10008,PURCHASE!$A$6:$A$10008,$AG$2,PURCHASE!$H$6:$H$10008,$A$4:$A$2700)</f>
        <v>0</v>
      </c>
      <c r="AK267" s="512">
        <f>SUMIFS(PURCHASE!$N$6:$N$10008,PURCHASE!$A$6:$A$10008,$AG$2,PURCHASE!$H$6:$H$10008,$A$4:$A$2700)</f>
        <v>0</v>
      </c>
      <c r="AL267" s="512">
        <f t="shared" ref="AL267:AL278" si="99">+AM267+AN267+AO267+AP267</f>
        <v>0</v>
      </c>
      <c r="AM267" s="512">
        <f>SUMIFS(PURCHASE!$K$6:$K$10008,PURCHASE!$A$6:$A$10008,$AL$2,PURCHASE!$H$6:$H$10008,$A$4:$A$2700)</f>
        <v>0</v>
      </c>
      <c r="AN267" s="512">
        <f>SUMIFS(PURCHASE!$L$6:$L$10008,PURCHASE!$A$6:$A$10008,$AL$2,PURCHASE!$H$6:$H$10008,$A$4:$A$2700)</f>
        <v>0</v>
      </c>
      <c r="AO267" s="512">
        <f>SUMIFS(PURCHASE!$M$6:$M$10008,PURCHASE!$A$6:$A$10008,$AL$2,PURCHASE!$H$6:$H$10008,$A$4:$A$2700)</f>
        <v>0</v>
      </c>
      <c r="AP267" s="512">
        <f>SUMIFS(PURCHASE!$N$6:$N$10008,PURCHASE!$A$6:$A$10008,$AL$2,PURCHASE!$H$6:$H$10008,$A$4:$A$2700)</f>
        <v>0</v>
      </c>
      <c r="AQ267" s="512">
        <f t="shared" ref="AQ267:AQ278" si="100">+AR267+AS267+AT267+AU267</f>
        <v>0</v>
      </c>
      <c r="AR267" s="512">
        <f>SUMIFS(PURCHASE!$K$6:$K$10008,PURCHASE!$A$6:$A$10008,$AQ$2,PURCHASE!$H$6:$H$10008,$A$4:$A$2700)</f>
        <v>0</v>
      </c>
      <c r="AS267" s="512">
        <f>SUMIFS(PURCHASE!$L$6:$L$10008,PURCHASE!$A$6:$A$10008,$AQ$2,PURCHASE!$H$6:$H$10008,$A$4:$A$2700)</f>
        <v>0</v>
      </c>
      <c r="AT267" s="512">
        <f>SUMIFS(PURCHASE!$M$6:$M$10008,PURCHASE!$A$6:$A$10008,$AQ$2,PURCHASE!$H$6:$H$10008,$A$4:$A$2700)</f>
        <v>0</v>
      </c>
      <c r="AU267" s="512">
        <f>SUMIFS(PURCHASE!$N$6:$N$10008,PURCHASE!$A$6:$A$10008,$AQ$2,PURCHASE!$H$6:$H$10008,$A$4:$A$2700)</f>
        <v>0</v>
      </c>
      <c r="AV267" s="512">
        <f t="shared" ref="AV267:AV278" si="101">+AW267+AX267+AY267+AZ267</f>
        <v>0</v>
      </c>
      <c r="AW267" s="512">
        <f>SUMIFS(PURCHASE!$K$6:$K$10008,PURCHASE!$A$6:$A$10008,$AV$2,PURCHASE!$H$6:$H$10008,$A$4:$A$2700)</f>
        <v>0</v>
      </c>
      <c r="AX267" s="512">
        <f>SUMIFS(PURCHASE!$L$6:$L$10008,PURCHASE!$A$6:$A$10008,$AV$2,PURCHASE!$H$6:$H$10008,$A$4:$A$2700)</f>
        <v>0</v>
      </c>
      <c r="AY267" s="512">
        <f>SUMIFS(PURCHASE!$M$6:$M$10008,PURCHASE!$A$6:$A$10008,$AV$2,PURCHASE!$H$6:$H$10008,$A$4:$A$2700)</f>
        <v>0</v>
      </c>
      <c r="AZ267" s="512">
        <f>SUMIFS(PURCHASE!$N$6:$N$10008,PURCHASE!$A$6:$A$10008,$AV$2,PURCHASE!$H$6:$H$10008,$A$4:$A$2700)</f>
        <v>0</v>
      </c>
      <c r="BA267" s="512">
        <f t="shared" ref="BA267:BA278" si="102">+BB267+BC267+BD267+BE267</f>
        <v>0</v>
      </c>
      <c r="BB267" s="512">
        <f>SUMIFS(PURCHASE!$K$6:$K$10008,PURCHASE!$A$6:$A$10008,$BA$2,PURCHASE!$H$6:$H$10008,$A$4:$A$2700)</f>
        <v>0</v>
      </c>
      <c r="BC267" s="512">
        <f>SUMIFS(PURCHASE!$L$6:$L$10008,PURCHASE!$A$6:$A$10008,$BA$2,PURCHASE!$H$6:$H$10008,$A$4:$A$2700)</f>
        <v>0</v>
      </c>
      <c r="BD267" s="512">
        <f>SUMIFS(PURCHASE!$M$6:$M$10008,PURCHASE!$A$6:$A$10008,$BA$2,PURCHASE!$H$6:$H$10008,$A$4:$A$2700)</f>
        <v>0</v>
      </c>
      <c r="BE267" s="512">
        <f>SUMIFS(PURCHASE!$N$6:$N$10008,PURCHASE!$A$6:$A$10008,$BA$2,PURCHASE!$H$6:$H$10008,$A$4:$A$2700)</f>
        <v>0</v>
      </c>
      <c r="BF267" s="512">
        <f t="shared" ref="BF267:BF278" si="103">+BG267+BH267+BI267+BJ267</f>
        <v>0</v>
      </c>
      <c r="BG267" s="512">
        <f>SUMIFS(PURCHASE!$K$6:$K$10008,PURCHASE!$A$6:$A$10008,$BF$2,PURCHASE!$H$6:$H$10008,$A$4:$A$2700)</f>
        <v>0</v>
      </c>
      <c r="BH267" s="512">
        <f>SUMIFS(PURCHASE!$L$6:$L$10008,PURCHASE!$A$6:$A$10008,$BF$2,PURCHASE!$H$6:$H$10008,$A$4:$A$2700)</f>
        <v>0</v>
      </c>
      <c r="BI267" s="512">
        <f>SUMIFS(PURCHASE!$M$6:$M$10008,PURCHASE!$A$6:$A$10008,$BF$2,PURCHASE!$H$6:$H$10008,$A$4:$A$2700)</f>
        <v>0</v>
      </c>
      <c r="BJ267" s="512">
        <f>SUMIFS(PURCHASE!$N$6:$N$10008,PURCHASE!$A$6:$A$10008,$BF$2,PURCHASE!$H$6:$H$10008,$A$4:$A$2700)</f>
        <v>0</v>
      </c>
      <c r="BK267" s="72">
        <f t="shared" si="75"/>
        <v>94754</v>
      </c>
      <c r="BL267" s="72">
        <f t="shared" si="76"/>
        <v>80300</v>
      </c>
      <c r="BM267" s="72">
        <f t="shared" si="77"/>
        <v>0</v>
      </c>
      <c r="BN267" s="72">
        <f t="shared" si="78"/>
        <v>7227</v>
      </c>
      <c r="BO267" s="72">
        <f t="shared" si="79"/>
        <v>7227</v>
      </c>
    </row>
    <row r="268" spans="1:67" x14ac:dyDescent="0.2">
      <c r="A268" s="467">
        <v>998873</v>
      </c>
      <c r="B268" s="499" t="s">
        <v>1372</v>
      </c>
      <c r="C268" s="512">
        <f t="shared" si="92"/>
        <v>0</v>
      </c>
      <c r="D268" s="512">
        <f>SUMIFS(PURCHASE!$K$6:$K$10008,PURCHASE!$A$6:$A$10008,$M$2,PURCHASE!$H$6:$H$10008,$A$4:$A$2700)</f>
        <v>0</v>
      </c>
      <c r="E268" s="512">
        <f>SUMIFS(PURCHASE!$L$6:$L$10008,PURCHASE!$A$6:$A$10008,$M$2,PURCHASE!$H$6:$H$10008,$A$4:$A$2700)</f>
        <v>0</v>
      </c>
      <c r="F268" s="512">
        <f>SUMIFS(PURCHASE!$M$6:$M$10008,PURCHASE!$A$6:$A$10008,$M$2,PURCHASE!$H$6:$H$10008,$A$4:$A$2700)</f>
        <v>0</v>
      </c>
      <c r="G268" s="512">
        <f>SUMIFS(PURCHASE!$N$6:$N$10008,PURCHASE!$A$6:$A$10008,$M$2,PURCHASE!$H$6:$H$10008,$A$4:$A$2700)</f>
        <v>0</v>
      </c>
      <c r="H268" s="512">
        <f t="shared" si="93"/>
        <v>66480.02</v>
      </c>
      <c r="I268" s="512">
        <f>SUMIFS(PURCHASE!$K$6:$K$10008,PURCHASE!$A$6:$A$10008,$H$2,PURCHASE!$H$6:$H$10008,$A$4:$A$2700)</f>
        <v>56339</v>
      </c>
      <c r="J268" s="512">
        <f>SUMIFS(PURCHASE!$L$6:$L$10008,PURCHASE!$A$6:$A$10008,$H$2,PURCHASE!$H$6:$H$10008,$A$4:$A$2700)</f>
        <v>0</v>
      </c>
      <c r="K268" s="512">
        <f>SUMIFS(PURCHASE!$M$6:$M$10008,PURCHASE!$A$6:$A$10008,$H$2,PURCHASE!$H$6:$H$10008,$A$4:$A$2700)</f>
        <v>5070.51</v>
      </c>
      <c r="L268" s="512">
        <f>SUMIFS(PURCHASE!$N$6:$N$10008,PURCHASE!$A$6:$A$10008,$H$2,PURCHASE!$H$6:$H$10008,$A$4:$A$2700)</f>
        <v>5070.51</v>
      </c>
      <c r="M268" s="512">
        <f t="shared" si="94"/>
        <v>0</v>
      </c>
      <c r="N268" s="512">
        <f>SUMIFS(PURCHASE!$K$6:$K$10008,PURCHASE!$A$6:$A$10008,$M$2,PURCHASE!$H$6:$H$10008,$A$4:$A$2700)</f>
        <v>0</v>
      </c>
      <c r="O268" s="512">
        <f>SUMIFS(PURCHASE!$L$6:$L$10008,PURCHASE!$A$6:$A$10008,$M$2,PURCHASE!$H$6:$H$10008,$A$4:$A$2700)</f>
        <v>0</v>
      </c>
      <c r="P268" s="512">
        <f>SUMIFS(PURCHASE!$M$6:$M$10008,PURCHASE!$A$6:$A$10008,$M$2,PURCHASE!$H$6:$H$10008,$A$4:$A$2700)</f>
        <v>0</v>
      </c>
      <c r="Q268" s="512">
        <f>SUMIFS(PURCHASE!$N$6:$N$10008,PURCHASE!$A$6:$A$10008,$M$2,PURCHASE!$H$6:$H$10008,$A$4:$A$2700)</f>
        <v>0</v>
      </c>
      <c r="R268" s="512">
        <f t="shared" si="95"/>
        <v>0</v>
      </c>
      <c r="S268" s="512">
        <f>SUMIFS(PURCHASE!$K$6:$K$10008,PURCHASE!$A$6:$A$10008,$R$2,PURCHASE!$H$6:$H$10008,$A$4:$A$2700)</f>
        <v>0</v>
      </c>
      <c r="T268" s="512">
        <f>SUMIFS(PURCHASE!$L$6:$L$10008,PURCHASE!$A$6:$A$10008,$R$2,PURCHASE!$H$6:$H$10008,$A$4:$A$2700)</f>
        <v>0</v>
      </c>
      <c r="U268" s="512">
        <f>SUMIFS(PURCHASE!$M$6:$M$10008,PURCHASE!$A$6:$A$10008,$R$2,PURCHASE!$H$6:$H$10008,$A$4:$A$2700)</f>
        <v>0</v>
      </c>
      <c r="V268" s="512">
        <f>SUMIFS(PURCHASE!$N$6:$N$10008,PURCHASE!$A$6:$A$10008,$R$2,PURCHASE!$H$6:$H$10008,$A$4:$A$2700)</f>
        <v>0</v>
      </c>
      <c r="W268" s="512">
        <f t="shared" si="96"/>
        <v>0</v>
      </c>
      <c r="X268" s="512">
        <f>SUMIFS(PURCHASE!$K$6:$K$10008,PURCHASE!$A$6:$A$10008,$W$2,PURCHASE!$H$6:$H$10008,$A$4:$A$2700)</f>
        <v>0</v>
      </c>
      <c r="Y268" s="512">
        <f>SUMIFS(PURCHASE!$L$6:$L$10008,PURCHASE!$A$6:$A$10008,$W$2,PURCHASE!$H$6:$H$10008,$A$4:$A$2700)</f>
        <v>0</v>
      </c>
      <c r="Z268" s="512">
        <f>SUMIFS(PURCHASE!$M$6:$M$10008,PURCHASE!$A$6:$A$10008,$W$2,PURCHASE!$H$6:$H$10008,$A$4:$A$2700)</f>
        <v>0</v>
      </c>
      <c r="AA268" s="512">
        <f>SUMIFS(PURCHASE!$N$6:$N$10008,PURCHASE!$A$6:$A$10008,$W$2,PURCHASE!$H$6:$H$10008,$A$4:$A$2700)</f>
        <v>0</v>
      </c>
      <c r="AB268" s="512">
        <f t="shared" si="97"/>
        <v>0</v>
      </c>
      <c r="AC268" s="512">
        <f>SUMIFS(PURCHASE!$K$6:$K$10008,PURCHASE!$A$6:$A$10008,$AB$2,PURCHASE!$H$6:$H$10008,$A$4:$A$2700)</f>
        <v>0</v>
      </c>
      <c r="AD268" s="512">
        <f>SUMIFS(PURCHASE!$L$6:$L$10008,PURCHASE!$A$6:$A$10008,$AB$2,PURCHASE!$H$6:$H$10008,$A$4:$A$2700)</f>
        <v>0</v>
      </c>
      <c r="AE268" s="512">
        <f>SUMIFS(PURCHASE!$M$6:$M$10008,PURCHASE!$A$6:$A$10008,$AB$2,PURCHASE!$H$6:$H$10008,$A$4:$A$2700)</f>
        <v>0</v>
      </c>
      <c r="AF268" s="512">
        <f>SUMIFS(PURCHASE!$N$6:$N$10008,PURCHASE!$A$6:$A$10008,$AB$2,PURCHASE!$H$6:$H$10008,$A$4:$A$2700)</f>
        <v>0</v>
      </c>
      <c r="AG268" s="512">
        <f t="shared" si="98"/>
        <v>2065</v>
      </c>
      <c r="AH268" s="512">
        <f>SUMIFS(PURCHASE!$K$6:$K$10008,PURCHASE!$A$6:$A$10008,$AG$2,PURCHASE!$H$6:$H$10008,$A$4:$A$2700)</f>
        <v>1750</v>
      </c>
      <c r="AI268" s="512">
        <f>SUMIFS(PURCHASE!$L$6:$L$10008,PURCHASE!$A$6:$A$10008,$AG$2,PURCHASE!$H$6:$H$10008,$A$4:$A$2700)</f>
        <v>0</v>
      </c>
      <c r="AJ268" s="512">
        <f>SUMIFS(PURCHASE!$M$6:$M$10008,PURCHASE!$A$6:$A$10008,$AG$2,PURCHASE!$H$6:$H$10008,$A$4:$A$2700)</f>
        <v>157.5</v>
      </c>
      <c r="AK268" s="512">
        <f>SUMIFS(PURCHASE!$N$6:$N$10008,PURCHASE!$A$6:$A$10008,$AG$2,PURCHASE!$H$6:$H$10008,$A$4:$A$2700)</f>
        <v>157.5</v>
      </c>
      <c r="AL268" s="512">
        <f t="shared" si="99"/>
        <v>0</v>
      </c>
      <c r="AM268" s="512">
        <f>SUMIFS(PURCHASE!$K$6:$K$10008,PURCHASE!$A$6:$A$10008,$AL$2,PURCHASE!$H$6:$H$10008,$A$4:$A$2700)</f>
        <v>0</v>
      </c>
      <c r="AN268" s="512">
        <f>SUMIFS(PURCHASE!$L$6:$L$10008,PURCHASE!$A$6:$A$10008,$AL$2,PURCHASE!$H$6:$H$10008,$A$4:$A$2700)</f>
        <v>0</v>
      </c>
      <c r="AO268" s="512">
        <f>SUMIFS(PURCHASE!$M$6:$M$10008,PURCHASE!$A$6:$A$10008,$AL$2,PURCHASE!$H$6:$H$10008,$A$4:$A$2700)</f>
        <v>0</v>
      </c>
      <c r="AP268" s="512">
        <f>SUMIFS(PURCHASE!$N$6:$N$10008,PURCHASE!$A$6:$A$10008,$AL$2,PURCHASE!$H$6:$H$10008,$A$4:$A$2700)</f>
        <v>0</v>
      </c>
      <c r="AQ268" s="512">
        <f t="shared" si="100"/>
        <v>0</v>
      </c>
      <c r="AR268" s="512">
        <f>SUMIFS(PURCHASE!$K$6:$K$10008,PURCHASE!$A$6:$A$10008,$AQ$2,PURCHASE!$H$6:$H$10008,$A$4:$A$2700)</f>
        <v>0</v>
      </c>
      <c r="AS268" s="512">
        <f>SUMIFS(PURCHASE!$L$6:$L$10008,PURCHASE!$A$6:$A$10008,$AQ$2,PURCHASE!$H$6:$H$10008,$A$4:$A$2700)</f>
        <v>0</v>
      </c>
      <c r="AT268" s="512">
        <f>SUMIFS(PURCHASE!$M$6:$M$10008,PURCHASE!$A$6:$A$10008,$AQ$2,PURCHASE!$H$6:$H$10008,$A$4:$A$2700)</f>
        <v>0</v>
      </c>
      <c r="AU268" s="512">
        <f>SUMIFS(PURCHASE!$N$6:$N$10008,PURCHASE!$A$6:$A$10008,$AQ$2,PURCHASE!$H$6:$H$10008,$A$4:$A$2700)</f>
        <v>0</v>
      </c>
      <c r="AV268" s="512">
        <f t="shared" si="101"/>
        <v>0</v>
      </c>
      <c r="AW268" s="512">
        <f>SUMIFS(PURCHASE!$K$6:$K$10008,PURCHASE!$A$6:$A$10008,$AV$2,PURCHASE!$H$6:$H$10008,$A$4:$A$2700)</f>
        <v>0</v>
      </c>
      <c r="AX268" s="512">
        <f>SUMIFS(PURCHASE!$L$6:$L$10008,PURCHASE!$A$6:$A$10008,$AV$2,PURCHASE!$H$6:$H$10008,$A$4:$A$2700)</f>
        <v>0</v>
      </c>
      <c r="AY268" s="512">
        <f>SUMIFS(PURCHASE!$M$6:$M$10008,PURCHASE!$A$6:$A$10008,$AV$2,PURCHASE!$H$6:$H$10008,$A$4:$A$2700)</f>
        <v>0</v>
      </c>
      <c r="AZ268" s="512">
        <f>SUMIFS(PURCHASE!$N$6:$N$10008,PURCHASE!$A$6:$A$10008,$AV$2,PURCHASE!$H$6:$H$10008,$A$4:$A$2700)</f>
        <v>0</v>
      </c>
      <c r="BA268" s="512">
        <f t="shared" si="102"/>
        <v>0</v>
      </c>
      <c r="BB268" s="512">
        <f>SUMIFS(PURCHASE!$K$6:$K$10008,PURCHASE!$A$6:$A$10008,$BA$2,PURCHASE!$H$6:$H$10008,$A$4:$A$2700)</f>
        <v>0</v>
      </c>
      <c r="BC268" s="512">
        <f>SUMIFS(PURCHASE!$L$6:$L$10008,PURCHASE!$A$6:$A$10008,$BA$2,PURCHASE!$H$6:$H$10008,$A$4:$A$2700)</f>
        <v>0</v>
      </c>
      <c r="BD268" s="512">
        <f>SUMIFS(PURCHASE!$M$6:$M$10008,PURCHASE!$A$6:$A$10008,$BA$2,PURCHASE!$H$6:$H$10008,$A$4:$A$2700)</f>
        <v>0</v>
      </c>
      <c r="BE268" s="512">
        <f>SUMIFS(PURCHASE!$N$6:$N$10008,PURCHASE!$A$6:$A$10008,$BA$2,PURCHASE!$H$6:$H$10008,$A$4:$A$2700)</f>
        <v>0</v>
      </c>
      <c r="BF268" s="512">
        <f t="shared" si="103"/>
        <v>0</v>
      </c>
      <c r="BG268" s="512">
        <f>SUMIFS(PURCHASE!$K$6:$K$10008,PURCHASE!$A$6:$A$10008,$BF$2,PURCHASE!$H$6:$H$10008,$A$4:$A$2700)</f>
        <v>0</v>
      </c>
      <c r="BH268" s="512">
        <f>SUMIFS(PURCHASE!$L$6:$L$10008,PURCHASE!$A$6:$A$10008,$BF$2,PURCHASE!$H$6:$H$10008,$A$4:$A$2700)</f>
        <v>0</v>
      </c>
      <c r="BI268" s="512">
        <f>SUMIFS(PURCHASE!$M$6:$M$10008,PURCHASE!$A$6:$A$10008,$BF$2,PURCHASE!$H$6:$H$10008,$A$4:$A$2700)</f>
        <v>0</v>
      </c>
      <c r="BJ268" s="512">
        <f>SUMIFS(PURCHASE!$N$6:$N$10008,PURCHASE!$A$6:$A$10008,$BF$2,PURCHASE!$H$6:$H$10008,$A$4:$A$2700)</f>
        <v>0</v>
      </c>
      <c r="BK268" s="72">
        <f t="shared" si="75"/>
        <v>68545.02</v>
      </c>
      <c r="BL268" s="72">
        <f t="shared" si="76"/>
        <v>58089</v>
      </c>
      <c r="BM268" s="72">
        <f t="shared" si="77"/>
        <v>0</v>
      </c>
      <c r="BN268" s="72">
        <f t="shared" si="78"/>
        <v>5228.01</v>
      </c>
      <c r="BO268" s="72">
        <f t="shared" si="79"/>
        <v>5228.01</v>
      </c>
    </row>
    <row r="269" spans="1:67" x14ac:dyDescent="0.2">
      <c r="A269" s="511">
        <v>8415</v>
      </c>
      <c r="B269" s="467" t="s">
        <v>1233</v>
      </c>
      <c r="C269" s="512">
        <f t="shared" si="92"/>
        <v>0</v>
      </c>
      <c r="D269" s="512">
        <f>SUMIFS(PURCHASE!$K$6:$K$10008,PURCHASE!$A$6:$A$10008,$M$2,PURCHASE!$H$6:$H$10008,$A$4:$A$2700)</f>
        <v>0</v>
      </c>
      <c r="E269" s="512">
        <f>SUMIFS(PURCHASE!$L$6:$L$10008,PURCHASE!$A$6:$A$10008,$M$2,PURCHASE!$H$6:$H$10008,$A$4:$A$2700)</f>
        <v>0</v>
      </c>
      <c r="F269" s="512">
        <f>SUMIFS(PURCHASE!$M$6:$M$10008,PURCHASE!$A$6:$A$10008,$M$2,PURCHASE!$H$6:$H$10008,$A$4:$A$2700)</f>
        <v>0</v>
      </c>
      <c r="G269" s="512">
        <f>SUMIFS(PURCHASE!$N$6:$N$10008,PURCHASE!$A$6:$A$10008,$M$2,PURCHASE!$H$6:$H$10008,$A$4:$A$2700)</f>
        <v>0</v>
      </c>
      <c r="H269" s="512">
        <f t="shared" si="93"/>
        <v>31939.839999999997</v>
      </c>
      <c r="I269" s="512">
        <f>SUMIFS(PURCHASE!$K$6:$K$10008,PURCHASE!$A$6:$A$10008,$H$2,PURCHASE!$H$6:$H$10008,$A$4:$A$2700)</f>
        <v>24953</v>
      </c>
      <c r="J269" s="512">
        <f>SUMIFS(PURCHASE!$L$6:$L$10008,PURCHASE!$A$6:$A$10008,$H$2,PURCHASE!$H$6:$H$10008,$A$4:$A$2700)</f>
        <v>0</v>
      </c>
      <c r="K269" s="512">
        <f>SUMIFS(PURCHASE!$M$6:$M$10008,PURCHASE!$A$6:$A$10008,$H$2,PURCHASE!$H$6:$H$10008,$A$4:$A$2700)</f>
        <v>3493.42</v>
      </c>
      <c r="L269" s="512">
        <f>SUMIFS(PURCHASE!$N$6:$N$10008,PURCHASE!$A$6:$A$10008,$H$2,PURCHASE!$H$6:$H$10008,$A$4:$A$2700)</f>
        <v>3493.42</v>
      </c>
      <c r="M269" s="512">
        <f t="shared" si="94"/>
        <v>0</v>
      </c>
      <c r="N269" s="512">
        <f>SUMIFS(PURCHASE!$K$6:$K$10008,PURCHASE!$A$6:$A$10008,$M$2,PURCHASE!$H$6:$H$10008,$A$4:$A$2700)</f>
        <v>0</v>
      </c>
      <c r="O269" s="512">
        <f>SUMIFS(PURCHASE!$L$6:$L$10008,PURCHASE!$A$6:$A$10008,$M$2,PURCHASE!$H$6:$H$10008,$A$4:$A$2700)</f>
        <v>0</v>
      </c>
      <c r="P269" s="512">
        <f>SUMIFS(PURCHASE!$M$6:$M$10008,PURCHASE!$A$6:$A$10008,$M$2,PURCHASE!$H$6:$H$10008,$A$4:$A$2700)</f>
        <v>0</v>
      </c>
      <c r="Q269" s="512">
        <f>SUMIFS(PURCHASE!$N$6:$N$10008,PURCHASE!$A$6:$A$10008,$M$2,PURCHASE!$H$6:$H$10008,$A$4:$A$2700)</f>
        <v>0</v>
      </c>
      <c r="R269" s="512">
        <f t="shared" si="95"/>
        <v>0</v>
      </c>
      <c r="S269" s="512">
        <f>SUMIFS(PURCHASE!$K$6:$K$10008,PURCHASE!$A$6:$A$10008,$R$2,PURCHASE!$H$6:$H$10008,$A$4:$A$2700)</f>
        <v>0</v>
      </c>
      <c r="T269" s="512">
        <f>SUMIFS(PURCHASE!$L$6:$L$10008,PURCHASE!$A$6:$A$10008,$R$2,PURCHASE!$H$6:$H$10008,$A$4:$A$2700)</f>
        <v>0</v>
      </c>
      <c r="U269" s="512">
        <f>SUMIFS(PURCHASE!$M$6:$M$10008,PURCHASE!$A$6:$A$10008,$R$2,PURCHASE!$H$6:$H$10008,$A$4:$A$2700)</f>
        <v>0</v>
      </c>
      <c r="V269" s="512">
        <f>SUMIFS(PURCHASE!$N$6:$N$10008,PURCHASE!$A$6:$A$10008,$R$2,PURCHASE!$H$6:$H$10008,$A$4:$A$2700)</f>
        <v>0</v>
      </c>
      <c r="W269" s="512">
        <f t="shared" si="96"/>
        <v>0</v>
      </c>
      <c r="X269" s="512">
        <f>SUMIFS(PURCHASE!$K$6:$K$10008,PURCHASE!$A$6:$A$10008,$W$2,PURCHASE!$H$6:$H$10008,$A$4:$A$2700)</f>
        <v>0</v>
      </c>
      <c r="Y269" s="512">
        <f>SUMIFS(PURCHASE!$L$6:$L$10008,PURCHASE!$A$6:$A$10008,$W$2,PURCHASE!$H$6:$H$10008,$A$4:$A$2700)</f>
        <v>0</v>
      </c>
      <c r="Z269" s="512">
        <f>SUMIFS(PURCHASE!$M$6:$M$10008,PURCHASE!$A$6:$A$10008,$W$2,PURCHASE!$H$6:$H$10008,$A$4:$A$2700)</f>
        <v>0</v>
      </c>
      <c r="AA269" s="512">
        <f>SUMIFS(PURCHASE!$N$6:$N$10008,PURCHASE!$A$6:$A$10008,$W$2,PURCHASE!$H$6:$H$10008,$A$4:$A$2700)</f>
        <v>0</v>
      </c>
      <c r="AB269" s="512">
        <f t="shared" si="97"/>
        <v>97344</v>
      </c>
      <c r="AC269" s="512">
        <f>SUMIFS(PURCHASE!$K$6:$K$10008,PURCHASE!$A$6:$A$10008,$AB$2,PURCHASE!$H$6:$H$10008,$A$4:$A$2700)</f>
        <v>76050</v>
      </c>
      <c r="AD269" s="512">
        <f>SUMIFS(PURCHASE!$L$6:$L$10008,PURCHASE!$A$6:$A$10008,$AB$2,PURCHASE!$H$6:$H$10008,$A$4:$A$2700)</f>
        <v>0</v>
      </c>
      <c r="AE269" s="512">
        <f>SUMIFS(PURCHASE!$M$6:$M$10008,PURCHASE!$A$6:$A$10008,$AB$2,PURCHASE!$H$6:$H$10008,$A$4:$A$2700)</f>
        <v>10647</v>
      </c>
      <c r="AF269" s="512">
        <f>SUMIFS(PURCHASE!$N$6:$N$10008,PURCHASE!$A$6:$A$10008,$AB$2,PURCHASE!$H$6:$H$10008,$A$4:$A$2700)</f>
        <v>10647</v>
      </c>
      <c r="AG269" s="512">
        <f t="shared" si="98"/>
        <v>0</v>
      </c>
      <c r="AH269" s="512">
        <f>SUMIFS(PURCHASE!$K$6:$K$10008,PURCHASE!$A$6:$A$10008,$AG$2,PURCHASE!$H$6:$H$10008,$A$4:$A$2700)</f>
        <v>0</v>
      </c>
      <c r="AI269" s="512">
        <f>SUMIFS(PURCHASE!$L$6:$L$10008,PURCHASE!$A$6:$A$10008,$AG$2,PURCHASE!$H$6:$H$10008,$A$4:$A$2700)</f>
        <v>0</v>
      </c>
      <c r="AJ269" s="512">
        <f>SUMIFS(PURCHASE!$M$6:$M$10008,PURCHASE!$A$6:$A$10008,$AG$2,PURCHASE!$H$6:$H$10008,$A$4:$A$2700)</f>
        <v>0</v>
      </c>
      <c r="AK269" s="512">
        <f>SUMIFS(PURCHASE!$N$6:$N$10008,PURCHASE!$A$6:$A$10008,$AG$2,PURCHASE!$H$6:$H$10008,$A$4:$A$2700)</f>
        <v>0</v>
      </c>
      <c r="AL269" s="512">
        <f t="shared" si="99"/>
        <v>0</v>
      </c>
      <c r="AM269" s="512">
        <f>SUMIFS(PURCHASE!$K$6:$K$10008,PURCHASE!$A$6:$A$10008,$AL$2,PURCHASE!$H$6:$H$10008,$A$4:$A$2700)</f>
        <v>0</v>
      </c>
      <c r="AN269" s="512">
        <f>SUMIFS(PURCHASE!$L$6:$L$10008,PURCHASE!$A$6:$A$10008,$AL$2,PURCHASE!$H$6:$H$10008,$A$4:$A$2700)</f>
        <v>0</v>
      </c>
      <c r="AO269" s="512">
        <f>SUMIFS(PURCHASE!$M$6:$M$10008,PURCHASE!$A$6:$A$10008,$AL$2,PURCHASE!$H$6:$H$10008,$A$4:$A$2700)</f>
        <v>0</v>
      </c>
      <c r="AP269" s="512">
        <f>SUMIFS(PURCHASE!$N$6:$N$10008,PURCHASE!$A$6:$A$10008,$AL$2,PURCHASE!$H$6:$H$10008,$A$4:$A$2700)</f>
        <v>0</v>
      </c>
      <c r="AQ269" s="512">
        <f t="shared" si="100"/>
        <v>0</v>
      </c>
      <c r="AR269" s="512">
        <f>SUMIFS(PURCHASE!$K$6:$K$10008,PURCHASE!$A$6:$A$10008,$AQ$2,PURCHASE!$H$6:$H$10008,$A$4:$A$2700)</f>
        <v>0</v>
      </c>
      <c r="AS269" s="512">
        <f>SUMIFS(PURCHASE!$L$6:$L$10008,PURCHASE!$A$6:$A$10008,$AQ$2,PURCHASE!$H$6:$H$10008,$A$4:$A$2700)</f>
        <v>0</v>
      </c>
      <c r="AT269" s="512">
        <f>SUMIFS(PURCHASE!$M$6:$M$10008,PURCHASE!$A$6:$A$10008,$AQ$2,PURCHASE!$H$6:$H$10008,$A$4:$A$2700)</f>
        <v>0</v>
      </c>
      <c r="AU269" s="512">
        <f>SUMIFS(PURCHASE!$N$6:$N$10008,PURCHASE!$A$6:$A$10008,$AQ$2,PURCHASE!$H$6:$H$10008,$A$4:$A$2700)</f>
        <v>0</v>
      </c>
      <c r="AV269" s="512">
        <f t="shared" si="101"/>
        <v>0</v>
      </c>
      <c r="AW269" s="512">
        <f>SUMIFS(PURCHASE!$K$6:$K$10008,PURCHASE!$A$6:$A$10008,$AV$2,PURCHASE!$H$6:$H$10008,$A$4:$A$2700)</f>
        <v>0</v>
      </c>
      <c r="AX269" s="512">
        <f>SUMIFS(PURCHASE!$L$6:$L$10008,PURCHASE!$A$6:$A$10008,$AV$2,PURCHASE!$H$6:$H$10008,$A$4:$A$2700)</f>
        <v>0</v>
      </c>
      <c r="AY269" s="512">
        <f>SUMIFS(PURCHASE!$M$6:$M$10008,PURCHASE!$A$6:$A$10008,$AV$2,PURCHASE!$H$6:$H$10008,$A$4:$A$2700)</f>
        <v>0</v>
      </c>
      <c r="AZ269" s="512">
        <f>SUMIFS(PURCHASE!$N$6:$N$10008,PURCHASE!$A$6:$A$10008,$AV$2,PURCHASE!$H$6:$H$10008,$A$4:$A$2700)</f>
        <v>0</v>
      </c>
      <c r="BA269" s="512">
        <f t="shared" si="102"/>
        <v>0</v>
      </c>
      <c r="BB269" s="512">
        <f>SUMIFS(PURCHASE!$K$6:$K$10008,PURCHASE!$A$6:$A$10008,$BA$2,PURCHASE!$H$6:$H$10008,$A$4:$A$2700)</f>
        <v>0</v>
      </c>
      <c r="BC269" s="512">
        <f>SUMIFS(PURCHASE!$L$6:$L$10008,PURCHASE!$A$6:$A$10008,$BA$2,PURCHASE!$H$6:$H$10008,$A$4:$A$2700)</f>
        <v>0</v>
      </c>
      <c r="BD269" s="512">
        <f>SUMIFS(PURCHASE!$M$6:$M$10008,PURCHASE!$A$6:$A$10008,$BA$2,PURCHASE!$H$6:$H$10008,$A$4:$A$2700)</f>
        <v>0</v>
      </c>
      <c r="BE269" s="512">
        <f>SUMIFS(PURCHASE!$N$6:$N$10008,PURCHASE!$A$6:$A$10008,$BA$2,PURCHASE!$H$6:$H$10008,$A$4:$A$2700)</f>
        <v>0</v>
      </c>
      <c r="BF269" s="512">
        <f t="shared" si="103"/>
        <v>0</v>
      </c>
      <c r="BG269" s="512">
        <f>SUMIFS(PURCHASE!$K$6:$K$10008,PURCHASE!$A$6:$A$10008,$BF$2,PURCHASE!$H$6:$H$10008,$A$4:$A$2700)</f>
        <v>0</v>
      </c>
      <c r="BH269" s="512">
        <f>SUMIFS(PURCHASE!$L$6:$L$10008,PURCHASE!$A$6:$A$10008,$BF$2,PURCHASE!$H$6:$H$10008,$A$4:$A$2700)</f>
        <v>0</v>
      </c>
      <c r="BI269" s="512">
        <f>SUMIFS(PURCHASE!$M$6:$M$10008,PURCHASE!$A$6:$A$10008,$BF$2,PURCHASE!$H$6:$H$10008,$A$4:$A$2700)</f>
        <v>0</v>
      </c>
      <c r="BJ269" s="512">
        <f>SUMIFS(PURCHASE!$N$6:$N$10008,PURCHASE!$A$6:$A$10008,$BF$2,PURCHASE!$H$6:$H$10008,$A$4:$A$2700)</f>
        <v>0</v>
      </c>
      <c r="BK269" s="72">
        <f t="shared" si="75"/>
        <v>129283.84</v>
      </c>
      <c r="BL269" s="72">
        <f t="shared" si="76"/>
        <v>101003</v>
      </c>
      <c r="BM269" s="72">
        <f t="shared" si="77"/>
        <v>0</v>
      </c>
      <c r="BN269" s="72">
        <f t="shared" si="78"/>
        <v>14140.42</v>
      </c>
      <c r="BO269" s="72">
        <f t="shared" si="79"/>
        <v>14140.42</v>
      </c>
    </row>
    <row r="270" spans="1:67" x14ac:dyDescent="0.2">
      <c r="A270" s="517">
        <v>29420090</v>
      </c>
      <c r="B270" s="467" t="s">
        <v>1262</v>
      </c>
      <c r="C270" s="512">
        <f t="shared" si="92"/>
        <v>0</v>
      </c>
      <c r="D270" s="512">
        <f>SUMIFS(PURCHASE!$K$6:$K$10008,PURCHASE!$A$6:$A$10008,$M$2,PURCHASE!$H$6:$H$10008,$A$4:$A$2700)</f>
        <v>0</v>
      </c>
      <c r="E270" s="512">
        <f>SUMIFS(PURCHASE!$L$6:$L$10008,PURCHASE!$A$6:$A$10008,$M$2,PURCHASE!$H$6:$H$10008,$A$4:$A$2700)</f>
        <v>0</v>
      </c>
      <c r="F270" s="512">
        <f>SUMIFS(PURCHASE!$M$6:$M$10008,PURCHASE!$A$6:$A$10008,$M$2,PURCHASE!$H$6:$H$10008,$A$4:$A$2700)</f>
        <v>0</v>
      </c>
      <c r="G270" s="512">
        <f>SUMIFS(PURCHASE!$N$6:$N$10008,PURCHASE!$A$6:$A$10008,$M$2,PURCHASE!$H$6:$H$10008,$A$4:$A$2700)</f>
        <v>0</v>
      </c>
      <c r="H270" s="512">
        <f t="shared" si="93"/>
        <v>0</v>
      </c>
      <c r="I270" s="512">
        <f>SUMIFS(PURCHASE!$K$6:$K$10008,PURCHASE!$A$6:$A$10008,$H$2,PURCHASE!$H$6:$H$10008,$A$4:$A$2700)</f>
        <v>0</v>
      </c>
      <c r="J270" s="512">
        <f>SUMIFS(PURCHASE!$L$6:$L$10008,PURCHASE!$A$6:$A$10008,$H$2,PURCHASE!$H$6:$H$10008,$A$4:$A$2700)</f>
        <v>0</v>
      </c>
      <c r="K270" s="512">
        <f>SUMIFS(PURCHASE!$M$6:$M$10008,PURCHASE!$A$6:$A$10008,$H$2,PURCHASE!$H$6:$H$10008,$A$4:$A$2700)</f>
        <v>0</v>
      </c>
      <c r="L270" s="512">
        <f>SUMIFS(PURCHASE!$N$6:$N$10008,PURCHASE!$A$6:$A$10008,$H$2,PURCHASE!$H$6:$H$10008,$A$4:$A$2700)</f>
        <v>0</v>
      </c>
      <c r="M270" s="512">
        <f t="shared" si="94"/>
        <v>0</v>
      </c>
      <c r="N270" s="512">
        <f>SUMIFS(PURCHASE!$K$6:$K$10008,PURCHASE!$A$6:$A$10008,$M$2,PURCHASE!$H$6:$H$10008,$A$4:$A$2700)</f>
        <v>0</v>
      </c>
      <c r="O270" s="512">
        <f>SUMIFS(PURCHASE!$L$6:$L$10008,PURCHASE!$A$6:$A$10008,$M$2,PURCHASE!$H$6:$H$10008,$A$4:$A$2700)</f>
        <v>0</v>
      </c>
      <c r="P270" s="512">
        <f>SUMIFS(PURCHASE!$M$6:$M$10008,PURCHASE!$A$6:$A$10008,$M$2,PURCHASE!$H$6:$H$10008,$A$4:$A$2700)</f>
        <v>0</v>
      </c>
      <c r="Q270" s="512">
        <f>SUMIFS(PURCHASE!$N$6:$N$10008,PURCHASE!$A$6:$A$10008,$M$2,PURCHASE!$H$6:$H$10008,$A$4:$A$2700)</f>
        <v>0</v>
      </c>
      <c r="R270" s="512">
        <f t="shared" si="95"/>
        <v>0</v>
      </c>
      <c r="S270" s="512">
        <f>SUMIFS(PURCHASE!$K$6:$K$10008,PURCHASE!$A$6:$A$10008,$R$2,PURCHASE!$H$6:$H$10008,$A$4:$A$2700)</f>
        <v>0</v>
      </c>
      <c r="T270" s="512">
        <f>SUMIFS(PURCHASE!$L$6:$L$10008,PURCHASE!$A$6:$A$10008,$R$2,PURCHASE!$H$6:$H$10008,$A$4:$A$2700)</f>
        <v>0</v>
      </c>
      <c r="U270" s="512">
        <f>SUMIFS(PURCHASE!$M$6:$M$10008,PURCHASE!$A$6:$A$10008,$R$2,PURCHASE!$H$6:$H$10008,$A$4:$A$2700)</f>
        <v>0</v>
      </c>
      <c r="V270" s="512">
        <f>SUMIFS(PURCHASE!$N$6:$N$10008,PURCHASE!$A$6:$A$10008,$R$2,PURCHASE!$H$6:$H$10008,$A$4:$A$2700)</f>
        <v>0</v>
      </c>
      <c r="W270" s="512">
        <f t="shared" si="96"/>
        <v>0</v>
      </c>
      <c r="X270" s="512">
        <f>SUMIFS(PURCHASE!$K$6:$K$10008,PURCHASE!$A$6:$A$10008,$W$2,PURCHASE!$H$6:$H$10008,$A$4:$A$2700)</f>
        <v>0</v>
      </c>
      <c r="Y270" s="512">
        <f>SUMIFS(PURCHASE!$L$6:$L$10008,PURCHASE!$A$6:$A$10008,$W$2,PURCHASE!$H$6:$H$10008,$A$4:$A$2700)</f>
        <v>0</v>
      </c>
      <c r="Z270" s="512">
        <f>SUMIFS(PURCHASE!$M$6:$M$10008,PURCHASE!$A$6:$A$10008,$W$2,PURCHASE!$H$6:$H$10008,$A$4:$A$2700)</f>
        <v>0</v>
      </c>
      <c r="AA270" s="512">
        <f>SUMIFS(PURCHASE!$N$6:$N$10008,PURCHASE!$A$6:$A$10008,$W$2,PURCHASE!$H$6:$H$10008,$A$4:$A$2700)</f>
        <v>0</v>
      </c>
      <c r="AB270" s="512">
        <f t="shared" si="97"/>
        <v>0</v>
      </c>
      <c r="AC270" s="512">
        <f>SUMIFS(PURCHASE!$K$6:$K$10008,PURCHASE!$A$6:$A$10008,$AB$2,PURCHASE!$H$6:$H$10008,$A$4:$A$2700)</f>
        <v>0</v>
      </c>
      <c r="AD270" s="512">
        <f>SUMIFS(PURCHASE!$L$6:$L$10008,PURCHASE!$A$6:$A$10008,$AB$2,PURCHASE!$H$6:$H$10008,$A$4:$A$2700)</f>
        <v>0</v>
      </c>
      <c r="AE270" s="512">
        <f>SUMIFS(PURCHASE!$M$6:$M$10008,PURCHASE!$A$6:$A$10008,$AB$2,PURCHASE!$H$6:$H$10008,$A$4:$A$2700)</f>
        <v>0</v>
      </c>
      <c r="AF270" s="512">
        <f>SUMIFS(PURCHASE!$N$6:$N$10008,PURCHASE!$A$6:$A$10008,$AB$2,PURCHASE!$H$6:$H$10008,$A$4:$A$2700)</f>
        <v>0</v>
      </c>
      <c r="AG270" s="512">
        <f t="shared" si="98"/>
        <v>28792</v>
      </c>
      <c r="AH270" s="512">
        <f>SUMIFS(PURCHASE!$K$6:$K$10008,PURCHASE!$A$6:$A$10008,$AG$2,PURCHASE!$H$6:$H$10008,$A$4:$A$2700)</f>
        <v>24400</v>
      </c>
      <c r="AI270" s="512">
        <f>SUMIFS(PURCHASE!$L$6:$L$10008,PURCHASE!$A$6:$A$10008,$AG$2,PURCHASE!$H$6:$H$10008,$A$4:$A$2700)</f>
        <v>0</v>
      </c>
      <c r="AJ270" s="512">
        <f>SUMIFS(PURCHASE!$M$6:$M$10008,PURCHASE!$A$6:$A$10008,$AG$2,PURCHASE!$H$6:$H$10008,$A$4:$A$2700)</f>
        <v>2196</v>
      </c>
      <c r="AK270" s="512">
        <f>SUMIFS(PURCHASE!$N$6:$N$10008,PURCHASE!$A$6:$A$10008,$AG$2,PURCHASE!$H$6:$H$10008,$A$4:$A$2700)</f>
        <v>2196</v>
      </c>
      <c r="AL270" s="512">
        <f t="shared" si="99"/>
        <v>31671.199999999997</v>
      </c>
      <c r="AM270" s="512">
        <f>SUMIFS(PURCHASE!$K$6:$K$10008,PURCHASE!$A$6:$A$10008,$AL$2,PURCHASE!$H$6:$H$10008,$A$4:$A$2700)</f>
        <v>26840</v>
      </c>
      <c r="AN270" s="512">
        <f>SUMIFS(PURCHASE!$L$6:$L$10008,PURCHASE!$A$6:$A$10008,$AL$2,PURCHASE!$H$6:$H$10008,$A$4:$A$2700)</f>
        <v>0</v>
      </c>
      <c r="AO270" s="512">
        <f>SUMIFS(PURCHASE!$M$6:$M$10008,PURCHASE!$A$6:$A$10008,$AL$2,PURCHASE!$H$6:$H$10008,$A$4:$A$2700)</f>
        <v>2415.6</v>
      </c>
      <c r="AP270" s="512">
        <f>SUMIFS(PURCHASE!$N$6:$N$10008,PURCHASE!$A$6:$A$10008,$AL$2,PURCHASE!$H$6:$H$10008,$A$4:$A$2700)</f>
        <v>2415.6</v>
      </c>
      <c r="AQ270" s="512">
        <f t="shared" si="100"/>
        <v>0</v>
      </c>
      <c r="AR270" s="512">
        <f>SUMIFS(PURCHASE!$K$6:$K$10008,PURCHASE!$A$6:$A$10008,$AQ$2,PURCHASE!$H$6:$H$10008,$A$4:$A$2700)</f>
        <v>0</v>
      </c>
      <c r="AS270" s="512">
        <f>SUMIFS(PURCHASE!$L$6:$L$10008,PURCHASE!$A$6:$A$10008,$AQ$2,PURCHASE!$H$6:$H$10008,$A$4:$A$2700)</f>
        <v>0</v>
      </c>
      <c r="AT270" s="512">
        <f>SUMIFS(PURCHASE!$M$6:$M$10008,PURCHASE!$A$6:$A$10008,$AQ$2,PURCHASE!$H$6:$H$10008,$A$4:$A$2700)</f>
        <v>0</v>
      </c>
      <c r="AU270" s="512">
        <f>SUMIFS(PURCHASE!$N$6:$N$10008,PURCHASE!$A$6:$A$10008,$AQ$2,PURCHASE!$H$6:$H$10008,$A$4:$A$2700)</f>
        <v>0</v>
      </c>
      <c r="AV270" s="512">
        <f t="shared" si="101"/>
        <v>0</v>
      </c>
      <c r="AW270" s="512">
        <f>SUMIFS(PURCHASE!$K$6:$K$10008,PURCHASE!$A$6:$A$10008,$AV$2,PURCHASE!$H$6:$H$10008,$A$4:$A$2700)</f>
        <v>0</v>
      </c>
      <c r="AX270" s="512">
        <f>SUMIFS(PURCHASE!$L$6:$L$10008,PURCHASE!$A$6:$A$10008,$AV$2,PURCHASE!$H$6:$H$10008,$A$4:$A$2700)</f>
        <v>0</v>
      </c>
      <c r="AY270" s="512">
        <f>SUMIFS(PURCHASE!$M$6:$M$10008,PURCHASE!$A$6:$A$10008,$AV$2,PURCHASE!$H$6:$H$10008,$A$4:$A$2700)</f>
        <v>0</v>
      </c>
      <c r="AZ270" s="512">
        <f>SUMIFS(PURCHASE!$N$6:$N$10008,PURCHASE!$A$6:$A$10008,$AV$2,PURCHASE!$H$6:$H$10008,$A$4:$A$2700)</f>
        <v>0</v>
      </c>
      <c r="BA270" s="512">
        <f t="shared" si="102"/>
        <v>0</v>
      </c>
      <c r="BB270" s="512">
        <f>SUMIFS(PURCHASE!$K$6:$K$10008,PURCHASE!$A$6:$A$10008,$BA$2,PURCHASE!$H$6:$H$10008,$A$4:$A$2700)</f>
        <v>0</v>
      </c>
      <c r="BC270" s="512">
        <f>SUMIFS(PURCHASE!$L$6:$L$10008,PURCHASE!$A$6:$A$10008,$BA$2,PURCHASE!$H$6:$H$10008,$A$4:$A$2700)</f>
        <v>0</v>
      </c>
      <c r="BD270" s="512">
        <f>SUMIFS(PURCHASE!$M$6:$M$10008,PURCHASE!$A$6:$A$10008,$BA$2,PURCHASE!$H$6:$H$10008,$A$4:$A$2700)</f>
        <v>0</v>
      </c>
      <c r="BE270" s="512">
        <f>SUMIFS(PURCHASE!$N$6:$N$10008,PURCHASE!$A$6:$A$10008,$BA$2,PURCHASE!$H$6:$H$10008,$A$4:$A$2700)</f>
        <v>0</v>
      </c>
      <c r="BF270" s="512">
        <f t="shared" si="103"/>
        <v>0</v>
      </c>
      <c r="BG270" s="512">
        <f>SUMIFS(PURCHASE!$K$6:$K$10008,PURCHASE!$A$6:$A$10008,$BF$2,PURCHASE!$H$6:$H$10008,$A$4:$A$2700)</f>
        <v>0</v>
      </c>
      <c r="BH270" s="512">
        <f>SUMIFS(PURCHASE!$L$6:$L$10008,PURCHASE!$A$6:$A$10008,$BF$2,PURCHASE!$H$6:$H$10008,$A$4:$A$2700)</f>
        <v>0</v>
      </c>
      <c r="BI270" s="512">
        <f>SUMIFS(PURCHASE!$M$6:$M$10008,PURCHASE!$A$6:$A$10008,$BF$2,PURCHASE!$H$6:$H$10008,$A$4:$A$2700)</f>
        <v>0</v>
      </c>
      <c r="BJ270" s="512">
        <f>SUMIFS(PURCHASE!$N$6:$N$10008,PURCHASE!$A$6:$A$10008,$BF$2,PURCHASE!$H$6:$H$10008,$A$4:$A$2700)</f>
        <v>0</v>
      </c>
      <c r="BK270" s="72">
        <f t="shared" si="75"/>
        <v>60463.199999999997</v>
      </c>
      <c r="BL270" s="72">
        <f t="shared" si="76"/>
        <v>51240</v>
      </c>
      <c r="BM270" s="72">
        <f t="shared" si="77"/>
        <v>0</v>
      </c>
      <c r="BN270" s="72">
        <f t="shared" si="78"/>
        <v>4611.6000000000004</v>
      </c>
      <c r="BO270" s="72">
        <f t="shared" si="79"/>
        <v>4611.6000000000004</v>
      </c>
    </row>
    <row r="271" spans="1:67" x14ac:dyDescent="0.2">
      <c r="A271" s="518">
        <v>998422</v>
      </c>
      <c r="B271" s="499" t="s">
        <v>1372</v>
      </c>
      <c r="C271" s="512">
        <f t="shared" si="92"/>
        <v>4130</v>
      </c>
      <c r="D271" s="512">
        <f>SUMIFS(PURCHASE!$K$6:$K$10008,PURCHASE!$A$6:$A$10008,$M$2,PURCHASE!$H$6:$H$10008,$A$4:$A$2700)</f>
        <v>3500</v>
      </c>
      <c r="E271" s="512">
        <f>SUMIFS(PURCHASE!$L$6:$L$10008,PURCHASE!$A$6:$A$10008,$M$2,PURCHASE!$H$6:$H$10008,$A$4:$A$2700)</f>
        <v>0</v>
      </c>
      <c r="F271" s="512">
        <f>SUMIFS(PURCHASE!$M$6:$M$10008,PURCHASE!$A$6:$A$10008,$M$2,PURCHASE!$H$6:$H$10008,$A$4:$A$2700)</f>
        <v>315</v>
      </c>
      <c r="G271" s="512">
        <f>SUMIFS(PURCHASE!$N$6:$N$10008,PURCHASE!$A$6:$A$10008,$M$2,PURCHASE!$H$6:$H$10008,$A$4:$A$2700)</f>
        <v>315</v>
      </c>
      <c r="H271" s="512">
        <f t="shared" si="93"/>
        <v>4130</v>
      </c>
      <c r="I271" s="512">
        <f>SUMIFS(PURCHASE!$K$6:$K$10008,PURCHASE!$A$6:$A$10008,$H$2,PURCHASE!$H$6:$H$10008,$A$4:$A$2700)</f>
        <v>3500</v>
      </c>
      <c r="J271" s="512">
        <f>SUMIFS(PURCHASE!$L$6:$L$10008,PURCHASE!$A$6:$A$10008,$H$2,PURCHASE!$H$6:$H$10008,$A$4:$A$2700)</f>
        <v>0</v>
      </c>
      <c r="K271" s="512">
        <f>SUMIFS(PURCHASE!$M$6:$M$10008,PURCHASE!$A$6:$A$10008,$H$2,PURCHASE!$H$6:$H$10008,$A$4:$A$2700)</f>
        <v>315</v>
      </c>
      <c r="L271" s="512">
        <f>SUMIFS(PURCHASE!$N$6:$N$10008,PURCHASE!$A$6:$A$10008,$H$2,PURCHASE!$H$6:$H$10008,$A$4:$A$2700)</f>
        <v>315</v>
      </c>
      <c r="M271" s="512">
        <f t="shared" si="94"/>
        <v>4130</v>
      </c>
      <c r="N271" s="512">
        <f>SUMIFS(PURCHASE!$K$6:$K$10008,PURCHASE!$A$6:$A$10008,$M$2,PURCHASE!$H$6:$H$10008,$A$4:$A$2700)</f>
        <v>3500</v>
      </c>
      <c r="O271" s="512">
        <f>SUMIFS(PURCHASE!$L$6:$L$10008,PURCHASE!$A$6:$A$10008,$M$2,PURCHASE!$H$6:$H$10008,$A$4:$A$2700)</f>
        <v>0</v>
      </c>
      <c r="P271" s="512">
        <f>SUMIFS(PURCHASE!$M$6:$M$10008,PURCHASE!$A$6:$A$10008,$M$2,PURCHASE!$H$6:$H$10008,$A$4:$A$2700)</f>
        <v>315</v>
      </c>
      <c r="Q271" s="512">
        <f>SUMIFS(PURCHASE!$N$6:$N$10008,PURCHASE!$A$6:$A$10008,$M$2,PURCHASE!$H$6:$H$10008,$A$4:$A$2700)</f>
        <v>315</v>
      </c>
      <c r="R271" s="512">
        <f t="shared" si="95"/>
        <v>4130</v>
      </c>
      <c r="S271" s="512">
        <f>SUMIFS(PURCHASE!$K$6:$K$10008,PURCHASE!$A$6:$A$10008,$R$2,PURCHASE!$H$6:$H$10008,$A$4:$A$2700)</f>
        <v>3500</v>
      </c>
      <c r="T271" s="512">
        <f>SUMIFS(PURCHASE!$L$6:$L$10008,PURCHASE!$A$6:$A$10008,$R$2,PURCHASE!$H$6:$H$10008,$A$4:$A$2700)</f>
        <v>0</v>
      </c>
      <c r="U271" s="512">
        <f>SUMIFS(PURCHASE!$M$6:$M$10008,PURCHASE!$A$6:$A$10008,$R$2,PURCHASE!$H$6:$H$10008,$A$4:$A$2700)</f>
        <v>315</v>
      </c>
      <c r="V271" s="512">
        <f>SUMIFS(PURCHASE!$N$6:$N$10008,PURCHASE!$A$6:$A$10008,$R$2,PURCHASE!$H$6:$H$10008,$A$4:$A$2700)</f>
        <v>315</v>
      </c>
      <c r="W271" s="512">
        <f t="shared" si="96"/>
        <v>4130</v>
      </c>
      <c r="X271" s="512">
        <f>SUMIFS(PURCHASE!$K$6:$K$10008,PURCHASE!$A$6:$A$10008,$W$2,PURCHASE!$H$6:$H$10008,$A$4:$A$2700)</f>
        <v>3500</v>
      </c>
      <c r="Y271" s="512">
        <f>SUMIFS(PURCHASE!$L$6:$L$10008,PURCHASE!$A$6:$A$10008,$W$2,PURCHASE!$H$6:$H$10008,$A$4:$A$2700)</f>
        <v>0</v>
      </c>
      <c r="Z271" s="512">
        <f>SUMIFS(PURCHASE!$M$6:$M$10008,PURCHASE!$A$6:$A$10008,$W$2,PURCHASE!$H$6:$H$10008,$A$4:$A$2700)</f>
        <v>315</v>
      </c>
      <c r="AA271" s="512">
        <f>SUMIFS(PURCHASE!$N$6:$N$10008,PURCHASE!$A$6:$A$10008,$W$2,PURCHASE!$H$6:$H$10008,$A$4:$A$2700)</f>
        <v>315</v>
      </c>
      <c r="AB271" s="512">
        <f t="shared" si="97"/>
        <v>4130</v>
      </c>
      <c r="AC271" s="512">
        <f>SUMIFS(PURCHASE!$K$6:$K$10008,PURCHASE!$A$6:$A$10008,$AB$2,PURCHASE!$H$6:$H$10008,$A$4:$A$2700)</f>
        <v>3500</v>
      </c>
      <c r="AD271" s="512">
        <f>SUMIFS(PURCHASE!$L$6:$L$10008,PURCHASE!$A$6:$A$10008,$AB$2,PURCHASE!$H$6:$H$10008,$A$4:$A$2700)</f>
        <v>0</v>
      </c>
      <c r="AE271" s="512">
        <f>SUMIFS(PURCHASE!$M$6:$M$10008,PURCHASE!$A$6:$A$10008,$AB$2,PURCHASE!$H$6:$H$10008,$A$4:$A$2700)</f>
        <v>315</v>
      </c>
      <c r="AF271" s="512">
        <f>SUMIFS(PURCHASE!$N$6:$N$10008,PURCHASE!$A$6:$A$10008,$AB$2,PURCHASE!$H$6:$H$10008,$A$4:$A$2700)</f>
        <v>315</v>
      </c>
      <c r="AG271" s="512">
        <f t="shared" si="98"/>
        <v>4130</v>
      </c>
      <c r="AH271" s="512">
        <f>SUMIFS(PURCHASE!$K$6:$K$10008,PURCHASE!$A$6:$A$10008,$AG$2,PURCHASE!$H$6:$H$10008,$A$4:$A$2700)</f>
        <v>3500</v>
      </c>
      <c r="AI271" s="512">
        <f>SUMIFS(PURCHASE!$L$6:$L$10008,PURCHASE!$A$6:$A$10008,$AG$2,PURCHASE!$H$6:$H$10008,$A$4:$A$2700)</f>
        <v>0</v>
      </c>
      <c r="AJ271" s="512">
        <f>SUMIFS(PURCHASE!$M$6:$M$10008,PURCHASE!$A$6:$A$10008,$AG$2,PURCHASE!$H$6:$H$10008,$A$4:$A$2700)</f>
        <v>315</v>
      </c>
      <c r="AK271" s="512">
        <f>SUMIFS(PURCHASE!$N$6:$N$10008,PURCHASE!$A$6:$A$10008,$AG$2,PURCHASE!$H$6:$H$10008,$A$4:$A$2700)</f>
        <v>315</v>
      </c>
      <c r="AL271" s="512">
        <f t="shared" si="99"/>
        <v>4130</v>
      </c>
      <c r="AM271" s="512">
        <f>SUMIFS(PURCHASE!$K$6:$K$10008,PURCHASE!$A$6:$A$10008,$AL$2,PURCHASE!$H$6:$H$10008,$A$4:$A$2700)</f>
        <v>3500</v>
      </c>
      <c r="AN271" s="512">
        <f>SUMIFS(PURCHASE!$L$6:$L$10008,PURCHASE!$A$6:$A$10008,$AL$2,PURCHASE!$H$6:$H$10008,$A$4:$A$2700)</f>
        <v>0</v>
      </c>
      <c r="AO271" s="512">
        <f>SUMIFS(PURCHASE!$M$6:$M$10008,PURCHASE!$A$6:$A$10008,$AL$2,PURCHASE!$H$6:$H$10008,$A$4:$A$2700)</f>
        <v>315</v>
      </c>
      <c r="AP271" s="512">
        <f>SUMIFS(PURCHASE!$N$6:$N$10008,PURCHASE!$A$6:$A$10008,$AL$2,PURCHASE!$H$6:$H$10008,$A$4:$A$2700)</f>
        <v>315</v>
      </c>
      <c r="AQ271" s="512">
        <f t="shared" si="100"/>
        <v>4130</v>
      </c>
      <c r="AR271" s="512">
        <f>SUMIFS(PURCHASE!$K$6:$K$10008,PURCHASE!$A$6:$A$10008,$AQ$2,PURCHASE!$H$6:$H$10008,$A$4:$A$2700)</f>
        <v>3500</v>
      </c>
      <c r="AS271" s="512">
        <f>SUMIFS(PURCHASE!$L$6:$L$10008,PURCHASE!$A$6:$A$10008,$AQ$2,PURCHASE!$H$6:$H$10008,$A$4:$A$2700)</f>
        <v>0</v>
      </c>
      <c r="AT271" s="512">
        <f>SUMIFS(PURCHASE!$M$6:$M$10008,PURCHASE!$A$6:$A$10008,$AQ$2,PURCHASE!$H$6:$H$10008,$A$4:$A$2700)</f>
        <v>315</v>
      </c>
      <c r="AU271" s="512">
        <f>SUMIFS(PURCHASE!$N$6:$N$10008,PURCHASE!$A$6:$A$10008,$AQ$2,PURCHASE!$H$6:$H$10008,$A$4:$A$2700)</f>
        <v>315</v>
      </c>
      <c r="AV271" s="512">
        <f t="shared" si="101"/>
        <v>4130</v>
      </c>
      <c r="AW271" s="512">
        <f>SUMIFS(PURCHASE!$K$6:$K$10008,PURCHASE!$A$6:$A$10008,$AV$2,PURCHASE!$H$6:$H$10008,$A$4:$A$2700)</f>
        <v>3500</v>
      </c>
      <c r="AX271" s="512">
        <f>SUMIFS(PURCHASE!$L$6:$L$10008,PURCHASE!$A$6:$A$10008,$AV$2,PURCHASE!$H$6:$H$10008,$A$4:$A$2700)</f>
        <v>0</v>
      </c>
      <c r="AY271" s="512">
        <f>SUMIFS(PURCHASE!$M$6:$M$10008,PURCHASE!$A$6:$A$10008,$AV$2,PURCHASE!$H$6:$H$10008,$A$4:$A$2700)</f>
        <v>315</v>
      </c>
      <c r="AZ271" s="512">
        <f>SUMIFS(PURCHASE!$N$6:$N$10008,PURCHASE!$A$6:$A$10008,$AV$2,PURCHASE!$H$6:$H$10008,$A$4:$A$2700)</f>
        <v>315</v>
      </c>
      <c r="BA271" s="512">
        <f t="shared" si="102"/>
        <v>0</v>
      </c>
      <c r="BB271" s="512">
        <f>SUMIFS(PURCHASE!$K$6:$K$10008,PURCHASE!$A$6:$A$10008,$BA$2,PURCHASE!$H$6:$H$10008,$A$4:$A$2700)</f>
        <v>0</v>
      </c>
      <c r="BC271" s="512">
        <f>SUMIFS(PURCHASE!$L$6:$L$10008,PURCHASE!$A$6:$A$10008,$BA$2,PURCHASE!$H$6:$H$10008,$A$4:$A$2700)</f>
        <v>0</v>
      </c>
      <c r="BD271" s="512">
        <f>SUMIFS(PURCHASE!$M$6:$M$10008,PURCHASE!$A$6:$A$10008,$BA$2,PURCHASE!$H$6:$H$10008,$A$4:$A$2700)</f>
        <v>0</v>
      </c>
      <c r="BE271" s="512">
        <f>SUMIFS(PURCHASE!$N$6:$N$10008,PURCHASE!$A$6:$A$10008,$BA$2,PURCHASE!$H$6:$H$10008,$A$4:$A$2700)</f>
        <v>0</v>
      </c>
      <c r="BF271" s="512">
        <f t="shared" si="103"/>
        <v>0</v>
      </c>
      <c r="BG271" s="512">
        <f>SUMIFS(PURCHASE!$K$6:$K$10008,PURCHASE!$A$6:$A$10008,$BF$2,PURCHASE!$H$6:$H$10008,$A$4:$A$2700)</f>
        <v>0</v>
      </c>
      <c r="BH271" s="512">
        <f>SUMIFS(PURCHASE!$L$6:$L$10008,PURCHASE!$A$6:$A$10008,$BF$2,PURCHASE!$H$6:$H$10008,$A$4:$A$2700)</f>
        <v>0</v>
      </c>
      <c r="BI271" s="512">
        <f>SUMIFS(PURCHASE!$M$6:$M$10008,PURCHASE!$A$6:$A$10008,$BF$2,PURCHASE!$H$6:$H$10008,$A$4:$A$2700)</f>
        <v>0</v>
      </c>
      <c r="BJ271" s="512">
        <f>SUMIFS(PURCHASE!$N$6:$N$10008,PURCHASE!$A$6:$A$10008,$BF$2,PURCHASE!$H$6:$H$10008,$A$4:$A$2700)</f>
        <v>0</v>
      </c>
      <c r="BK271" s="72">
        <f t="shared" si="75"/>
        <v>41300</v>
      </c>
      <c r="BL271" s="72">
        <f t="shared" si="76"/>
        <v>35000</v>
      </c>
      <c r="BM271" s="72">
        <f t="shared" si="77"/>
        <v>0</v>
      </c>
      <c r="BN271" s="72">
        <f t="shared" si="78"/>
        <v>3150</v>
      </c>
      <c r="BO271" s="72">
        <f t="shared" si="79"/>
        <v>3150</v>
      </c>
    </row>
    <row r="272" spans="1:67" x14ac:dyDescent="0.2">
      <c r="A272" s="467">
        <v>996511</v>
      </c>
      <c r="B272" s="467" t="s">
        <v>1253</v>
      </c>
      <c r="C272" s="512">
        <f t="shared" si="92"/>
        <v>0</v>
      </c>
      <c r="D272" s="512">
        <f>SUMIFS(PURCHASE!$K$6:$K$10008,PURCHASE!$A$6:$A$10008,$M$2,PURCHASE!$H$6:$H$10008,$A$4:$A$2700)</f>
        <v>0</v>
      </c>
      <c r="E272" s="512">
        <f>SUMIFS(PURCHASE!$L$6:$L$10008,PURCHASE!$A$6:$A$10008,$M$2,PURCHASE!$H$6:$H$10008,$A$4:$A$2700)</f>
        <v>0</v>
      </c>
      <c r="F272" s="512">
        <f>SUMIFS(PURCHASE!$M$6:$M$10008,PURCHASE!$A$6:$A$10008,$M$2,PURCHASE!$H$6:$H$10008,$A$4:$A$2700)</f>
        <v>0</v>
      </c>
      <c r="G272" s="512">
        <f>SUMIFS(PURCHASE!$N$6:$N$10008,PURCHASE!$A$6:$A$10008,$M$2,PURCHASE!$H$6:$H$10008,$A$4:$A$2700)</f>
        <v>0</v>
      </c>
      <c r="H272" s="512">
        <f t="shared" si="93"/>
        <v>0</v>
      </c>
      <c r="I272" s="512">
        <f>SUMIFS(PURCHASE!$K$6:$K$10008,PURCHASE!$A$6:$A$10008,$H$2,PURCHASE!$H$6:$H$10008,$A$4:$A$2700)</f>
        <v>0</v>
      </c>
      <c r="J272" s="512">
        <f>SUMIFS(PURCHASE!$L$6:$L$10008,PURCHASE!$A$6:$A$10008,$H$2,PURCHASE!$H$6:$H$10008,$A$4:$A$2700)</f>
        <v>0</v>
      </c>
      <c r="K272" s="512">
        <f>SUMIFS(PURCHASE!$M$6:$M$10008,PURCHASE!$A$6:$A$10008,$H$2,PURCHASE!$H$6:$H$10008,$A$4:$A$2700)</f>
        <v>0</v>
      </c>
      <c r="L272" s="512">
        <f>SUMIFS(PURCHASE!$N$6:$N$10008,PURCHASE!$A$6:$A$10008,$H$2,PURCHASE!$H$6:$H$10008,$A$4:$A$2700)</f>
        <v>0</v>
      </c>
      <c r="M272" s="512">
        <f t="shared" si="94"/>
        <v>0</v>
      </c>
      <c r="N272" s="512">
        <f>SUMIFS(PURCHASE!$K$6:$K$10008,PURCHASE!$A$6:$A$10008,$M$2,PURCHASE!$H$6:$H$10008,$A$4:$A$2700)</f>
        <v>0</v>
      </c>
      <c r="O272" s="512">
        <f>SUMIFS(PURCHASE!$L$6:$L$10008,PURCHASE!$A$6:$A$10008,$M$2,PURCHASE!$H$6:$H$10008,$A$4:$A$2700)</f>
        <v>0</v>
      </c>
      <c r="P272" s="512">
        <f>SUMIFS(PURCHASE!$M$6:$M$10008,PURCHASE!$A$6:$A$10008,$M$2,PURCHASE!$H$6:$H$10008,$A$4:$A$2700)</f>
        <v>0</v>
      </c>
      <c r="Q272" s="512">
        <f>SUMIFS(PURCHASE!$N$6:$N$10008,PURCHASE!$A$6:$A$10008,$M$2,PURCHASE!$H$6:$H$10008,$A$4:$A$2700)</f>
        <v>0</v>
      </c>
      <c r="R272" s="512">
        <f t="shared" si="95"/>
        <v>0</v>
      </c>
      <c r="S272" s="512">
        <f>SUMIFS(PURCHASE!$K$6:$K$10008,PURCHASE!$A$6:$A$10008,$R$2,PURCHASE!$H$6:$H$10008,$A$4:$A$2700)</f>
        <v>0</v>
      </c>
      <c r="T272" s="512">
        <f>SUMIFS(PURCHASE!$L$6:$L$10008,PURCHASE!$A$6:$A$10008,$R$2,PURCHASE!$H$6:$H$10008,$A$4:$A$2700)</f>
        <v>0</v>
      </c>
      <c r="U272" s="512">
        <f>SUMIFS(PURCHASE!$M$6:$M$10008,PURCHASE!$A$6:$A$10008,$R$2,PURCHASE!$H$6:$H$10008,$A$4:$A$2700)</f>
        <v>0</v>
      </c>
      <c r="V272" s="512">
        <f>SUMIFS(PURCHASE!$N$6:$N$10008,PURCHASE!$A$6:$A$10008,$R$2,PURCHASE!$H$6:$H$10008,$A$4:$A$2700)</f>
        <v>0</v>
      </c>
      <c r="W272" s="512">
        <f t="shared" si="96"/>
        <v>0</v>
      </c>
      <c r="X272" s="512">
        <f>SUMIFS(PURCHASE!$K$6:$K$10008,PURCHASE!$A$6:$A$10008,$W$2,PURCHASE!$H$6:$H$10008,$A$4:$A$2700)</f>
        <v>0</v>
      </c>
      <c r="Y272" s="512">
        <f>SUMIFS(PURCHASE!$L$6:$L$10008,PURCHASE!$A$6:$A$10008,$W$2,PURCHASE!$H$6:$H$10008,$A$4:$A$2700)</f>
        <v>0</v>
      </c>
      <c r="Z272" s="512">
        <f>SUMIFS(PURCHASE!$M$6:$M$10008,PURCHASE!$A$6:$A$10008,$W$2,PURCHASE!$H$6:$H$10008,$A$4:$A$2700)</f>
        <v>0</v>
      </c>
      <c r="AA272" s="512">
        <f>SUMIFS(PURCHASE!$N$6:$N$10008,PURCHASE!$A$6:$A$10008,$W$2,PURCHASE!$H$6:$H$10008,$A$4:$A$2700)</f>
        <v>0</v>
      </c>
      <c r="AB272" s="512">
        <f t="shared" si="97"/>
        <v>0</v>
      </c>
      <c r="AC272" s="512">
        <f>SUMIFS(PURCHASE!$K$6:$K$10008,PURCHASE!$A$6:$A$10008,$AB$2,PURCHASE!$H$6:$H$10008,$A$4:$A$2700)</f>
        <v>0</v>
      </c>
      <c r="AD272" s="512">
        <f>SUMIFS(PURCHASE!$L$6:$L$10008,PURCHASE!$A$6:$A$10008,$AB$2,PURCHASE!$H$6:$H$10008,$A$4:$A$2700)</f>
        <v>0</v>
      </c>
      <c r="AE272" s="512">
        <f>SUMIFS(PURCHASE!$M$6:$M$10008,PURCHASE!$A$6:$A$10008,$AB$2,PURCHASE!$H$6:$H$10008,$A$4:$A$2700)</f>
        <v>0</v>
      </c>
      <c r="AF272" s="512">
        <f>SUMIFS(PURCHASE!$N$6:$N$10008,PURCHASE!$A$6:$A$10008,$AB$2,PURCHASE!$H$6:$H$10008,$A$4:$A$2700)</f>
        <v>0</v>
      </c>
      <c r="AG272" s="512">
        <f t="shared" si="98"/>
        <v>2940.672</v>
      </c>
      <c r="AH272" s="512">
        <f>SUMIFS(PURCHASE!$K$6:$K$10008,PURCHASE!$A$6:$A$10008,$AG$2,PURCHASE!$H$6:$H$10008,$A$4:$A$2700)</f>
        <v>2625.6</v>
      </c>
      <c r="AI272" s="512">
        <f>SUMIFS(PURCHASE!$L$6:$L$10008,PURCHASE!$A$6:$A$10008,$AG$2,PURCHASE!$H$6:$H$10008,$A$4:$A$2700)</f>
        <v>0</v>
      </c>
      <c r="AJ272" s="512">
        <f>SUMIFS(PURCHASE!$M$6:$M$10008,PURCHASE!$A$6:$A$10008,$AG$2,PURCHASE!$H$6:$H$10008,$A$4:$A$2700)</f>
        <v>157.536</v>
      </c>
      <c r="AK272" s="512">
        <f>SUMIFS(PURCHASE!$N$6:$N$10008,PURCHASE!$A$6:$A$10008,$AG$2,PURCHASE!$H$6:$H$10008,$A$4:$A$2700)</f>
        <v>157.536</v>
      </c>
      <c r="AL272" s="512">
        <f t="shared" si="99"/>
        <v>4653.2864</v>
      </c>
      <c r="AM272" s="512">
        <f>SUMIFS(PURCHASE!$K$6:$K$10008,PURCHASE!$A$6:$A$10008,$AL$2,PURCHASE!$H$6:$H$10008,$A$4:$A$2700)</f>
        <v>4154.72</v>
      </c>
      <c r="AN272" s="512">
        <f>SUMIFS(PURCHASE!$L$6:$L$10008,PURCHASE!$A$6:$A$10008,$AL$2,PURCHASE!$H$6:$H$10008,$A$4:$A$2700)</f>
        <v>0</v>
      </c>
      <c r="AO272" s="512">
        <f>SUMIFS(PURCHASE!$M$6:$M$10008,PURCHASE!$A$6:$A$10008,$AL$2,PURCHASE!$H$6:$H$10008,$A$4:$A$2700)</f>
        <v>249.28320000000002</v>
      </c>
      <c r="AP272" s="512">
        <f>SUMIFS(PURCHASE!$N$6:$N$10008,PURCHASE!$A$6:$A$10008,$AL$2,PURCHASE!$H$6:$H$10008,$A$4:$A$2700)</f>
        <v>249.28320000000002</v>
      </c>
      <c r="AQ272" s="512">
        <f t="shared" si="100"/>
        <v>0</v>
      </c>
      <c r="AR272" s="512">
        <f>SUMIFS(PURCHASE!$K$6:$K$10008,PURCHASE!$A$6:$A$10008,$AQ$2,PURCHASE!$H$6:$H$10008,$A$4:$A$2700)</f>
        <v>0</v>
      </c>
      <c r="AS272" s="512">
        <f>SUMIFS(PURCHASE!$L$6:$L$10008,PURCHASE!$A$6:$A$10008,$AQ$2,PURCHASE!$H$6:$H$10008,$A$4:$A$2700)</f>
        <v>0</v>
      </c>
      <c r="AT272" s="512">
        <f>SUMIFS(PURCHASE!$M$6:$M$10008,PURCHASE!$A$6:$A$10008,$AQ$2,PURCHASE!$H$6:$H$10008,$A$4:$A$2700)</f>
        <v>0</v>
      </c>
      <c r="AU272" s="512">
        <f>SUMIFS(PURCHASE!$N$6:$N$10008,PURCHASE!$A$6:$A$10008,$AQ$2,PURCHASE!$H$6:$H$10008,$A$4:$A$2700)</f>
        <v>0</v>
      </c>
      <c r="AV272" s="512">
        <f t="shared" si="101"/>
        <v>0</v>
      </c>
      <c r="AW272" s="512">
        <f>SUMIFS(PURCHASE!$K$6:$K$10008,PURCHASE!$A$6:$A$10008,$AV$2,PURCHASE!$H$6:$H$10008,$A$4:$A$2700)</f>
        <v>0</v>
      </c>
      <c r="AX272" s="512">
        <f>SUMIFS(PURCHASE!$L$6:$L$10008,PURCHASE!$A$6:$A$10008,$AV$2,PURCHASE!$H$6:$H$10008,$A$4:$A$2700)</f>
        <v>0</v>
      </c>
      <c r="AY272" s="512">
        <f>SUMIFS(PURCHASE!$M$6:$M$10008,PURCHASE!$A$6:$A$10008,$AV$2,PURCHASE!$H$6:$H$10008,$A$4:$A$2700)</f>
        <v>0</v>
      </c>
      <c r="AZ272" s="512">
        <f>SUMIFS(PURCHASE!$N$6:$N$10008,PURCHASE!$A$6:$A$10008,$AV$2,PURCHASE!$H$6:$H$10008,$A$4:$A$2700)</f>
        <v>0</v>
      </c>
      <c r="BA272" s="512">
        <f t="shared" si="102"/>
        <v>0</v>
      </c>
      <c r="BB272" s="512">
        <f>SUMIFS(PURCHASE!$K$6:$K$10008,PURCHASE!$A$6:$A$10008,$BA$2,PURCHASE!$H$6:$H$10008,$A$4:$A$2700)</f>
        <v>0</v>
      </c>
      <c r="BC272" s="512">
        <f>SUMIFS(PURCHASE!$L$6:$L$10008,PURCHASE!$A$6:$A$10008,$BA$2,PURCHASE!$H$6:$H$10008,$A$4:$A$2700)</f>
        <v>0</v>
      </c>
      <c r="BD272" s="512">
        <f>SUMIFS(PURCHASE!$M$6:$M$10008,PURCHASE!$A$6:$A$10008,$BA$2,PURCHASE!$H$6:$H$10008,$A$4:$A$2700)</f>
        <v>0</v>
      </c>
      <c r="BE272" s="512">
        <f>SUMIFS(PURCHASE!$N$6:$N$10008,PURCHASE!$A$6:$A$10008,$BA$2,PURCHASE!$H$6:$H$10008,$A$4:$A$2700)</f>
        <v>0</v>
      </c>
      <c r="BF272" s="512">
        <f t="shared" si="103"/>
        <v>0</v>
      </c>
      <c r="BG272" s="512">
        <f>SUMIFS(PURCHASE!$K$6:$K$10008,PURCHASE!$A$6:$A$10008,$BF$2,PURCHASE!$H$6:$H$10008,$A$4:$A$2700)</f>
        <v>0</v>
      </c>
      <c r="BH272" s="512">
        <f>SUMIFS(PURCHASE!$L$6:$L$10008,PURCHASE!$A$6:$A$10008,$BF$2,PURCHASE!$H$6:$H$10008,$A$4:$A$2700)</f>
        <v>0</v>
      </c>
      <c r="BI272" s="512">
        <f>SUMIFS(PURCHASE!$M$6:$M$10008,PURCHASE!$A$6:$A$10008,$BF$2,PURCHASE!$H$6:$H$10008,$A$4:$A$2700)</f>
        <v>0</v>
      </c>
      <c r="BJ272" s="512">
        <f>SUMIFS(PURCHASE!$N$6:$N$10008,PURCHASE!$A$6:$A$10008,$BF$2,PURCHASE!$H$6:$H$10008,$A$4:$A$2700)</f>
        <v>0</v>
      </c>
      <c r="BK272" s="72">
        <f t="shared" si="75"/>
        <v>7593.9583999999995</v>
      </c>
      <c r="BL272" s="72">
        <f t="shared" si="76"/>
        <v>6780.32</v>
      </c>
      <c r="BM272" s="72">
        <f t="shared" si="77"/>
        <v>0</v>
      </c>
      <c r="BN272" s="72">
        <f t="shared" si="78"/>
        <v>406.81920000000002</v>
      </c>
      <c r="BO272" s="72">
        <f t="shared" si="79"/>
        <v>406.81920000000002</v>
      </c>
    </row>
    <row r="273" spans="1:67" x14ac:dyDescent="0.2">
      <c r="A273" s="519">
        <v>6403</v>
      </c>
      <c r="B273" s="499" t="s">
        <v>3350</v>
      </c>
      <c r="C273" s="512">
        <f t="shared" si="92"/>
        <v>0</v>
      </c>
      <c r="D273" s="512">
        <f>SUMIFS(PURCHASE!$K$6:$K$10008,PURCHASE!$A$6:$A$10008,$M$2,PURCHASE!$H$6:$H$10008,$A$4:$A$2700)</f>
        <v>0</v>
      </c>
      <c r="E273" s="512">
        <f>SUMIFS(PURCHASE!$L$6:$L$10008,PURCHASE!$A$6:$A$10008,$M$2,PURCHASE!$H$6:$H$10008,$A$4:$A$2700)</f>
        <v>0</v>
      </c>
      <c r="F273" s="512">
        <f>SUMIFS(PURCHASE!$M$6:$M$10008,PURCHASE!$A$6:$A$10008,$M$2,PURCHASE!$H$6:$H$10008,$A$4:$A$2700)</f>
        <v>0</v>
      </c>
      <c r="G273" s="512">
        <f>SUMIFS(PURCHASE!$N$6:$N$10008,PURCHASE!$A$6:$A$10008,$M$2,PURCHASE!$H$6:$H$10008,$A$4:$A$2700)</f>
        <v>0</v>
      </c>
      <c r="H273" s="512">
        <f t="shared" si="93"/>
        <v>0</v>
      </c>
      <c r="I273" s="512">
        <f>SUMIFS(PURCHASE!$K$6:$K$10008,PURCHASE!$A$6:$A$10008,$H$2,PURCHASE!$H$6:$H$10008,$A$4:$A$2700)</f>
        <v>0</v>
      </c>
      <c r="J273" s="512">
        <f>SUMIFS(PURCHASE!$L$6:$L$10008,PURCHASE!$A$6:$A$10008,$H$2,PURCHASE!$H$6:$H$10008,$A$4:$A$2700)</f>
        <v>0</v>
      </c>
      <c r="K273" s="512">
        <f>SUMIFS(PURCHASE!$M$6:$M$10008,PURCHASE!$A$6:$A$10008,$H$2,PURCHASE!$H$6:$H$10008,$A$4:$A$2700)</f>
        <v>0</v>
      </c>
      <c r="L273" s="512">
        <f>SUMIFS(PURCHASE!$N$6:$N$10008,PURCHASE!$A$6:$A$10008,$H$2,PURCHASE!$H$6:$H$10008,$A$4:$A$2700)</f>
        <v>0</v>
      </c>
      <c r="M273" s="512">
        <f t="shared" si="94"/>
        <v>0</v>
      </c>
      <c r="N273" s="512">
        <f>SUMIFS(PURCHASE!$K$6:$K$10008,PURCHASE!$A$6:$A$10008,$M$2,PURCHASE!$H$6:$H$10008,$A$4:$A$2700)</f>
        <v>0</v>
      </c>
      <c r="O273" s="512">
        <f>SUMIFS(PURCHASE!$L$6:$L$10008,PURCHASE!$A$6:$A$10008,$M$2,PURCHASE!$H$6:$H$10008,$A$4:$A$2700)</f>
        <v>0</v>
      </c>
      <c r="P273" s="512">
        <f>SUMIFS(PURCHASE!$M$6:$M$10008,PURCHASE!$A$6:$A$10008,$M$2,PURCHASE!$H$6:$H$10008,$A$4:$A$2700)</f>
        <v>0</v>
      </c>
      <c r="Q273" s="512">
        <f>SUMIFS(PURCHASE!$N$6:$N$10008,PURCHASE!$A$6:$A$10008,$M$2,PURCHASE!$H$6:$H$10008,$A$4:$A$2700)</f>
        <v>0</v>
      </c>
      <c r="R273" s="512">
        <f t="shared" si="95"/>
        <v>0</v>
      </c>
      <c r="S273" s="512">
        <f>SUMIFS(PURCHASE!$K$6:$K$10008,PURCHASE!$A$6:$A$10008,$R$2,PURCHASE!$H$6:$H$10008,$A$4:$A$2700)</f>
        <v>0</v>
      </c>
      <c r="T273" s="512">
        <f>SUMIFS(PURCHASE!$L$6:$L$10008,PURCHASE!$A$6:$A$10008,$R$2,PURCHASE!$H$6:$H$10008,$A$4:$A$2700)</f>
        <v>0</v>
      </c>
      <c r="U273" s="512">
        <f>SUMIFS(PURCHASE!$M$6:$M$10008,PURCHASE!$A$6:$A$10008,$R$2,PURCHASE!$H$6:$H$10008,$A$4:$A$2700)</f>
        <v>0</v>
      </c>
      <c r="V273" s="512">
        <f>SUMIFS(PURCHASE!$N$6:$N$10008,PURCHASE!$A$6:$A$10008,$R$2,PURCHASE!$H$6:$H$10008,$A$4:$A$2700)</f>
        <v>0</v>
      </c>
      <c r="W273" s="512">
        <f t="shared" si="96"/>
        <v>0</v>
      </c>
      <c r="X273" s="512">
        <f>SUMIFS(PURCHASE!$K$6:$K$10008,PURCHASE!$A$6:$A$10008,$W$2,PURCHASE!$H$6:$H$10008,$A$4:$A$2700)</f>
        <v>0</v>
      </c>
      <c r="Y273" s="512">
        <f>SUMIFS(PURCHASE!$L$6:$L$10008,PURCHASE!$A$6:$A$10008,$W$2,PURCHASE!$H$6:$H$10008,$A$4:$A$2700)</f>
        <v>0</v>
      </c>
      <c r="Z273" s="512">
        <f>SUMIFS(PURCHASE!$M$6:$M$10008,PURCHASE!$A$6:$A$10008,$W$2,PURCHASE!$H$6:$H$10008,$A$4:$A$2700)</f>
        <v>0</v>
      </c>
      <c r="AA273" s="512">
        <f>SUMIFS(PURCHASE!$N$6:$N$10008,PURCHASE!$A$6:$A$10008,$W$2,PURCHASE!$H$6:$H$10008,$A$4:$A$2700)</f>
        <v>0</v>
      </c>
      <c r="AB273" s="512">
        <f t="shared" si="97"/>
        <v>0</v>
      </c>
      <c r="AC273" s="512">
        <f>SUMIFS(PURCHASE!$K$6:$K$10008,PURCHASE!$A$6:$A$10008,$AB$2,PURCHASE!$H$6:$H$10008,$A$4:$A$2700)</f>
        <v>0</v>
      </c>
      <c r="AD273" s="512">
        <f>SUMIFS(PURCHASE!$L$6:$L$10008,PURCHASE!$A$6:$A$10008,$AB$2,PURCHASE!$H$6:$H$10008,$A$4:$A$2700)</f>
        <v>0</v>
      </c>
      <c r="AE273" s="512">
        <f>SUMIFS(PURCHASE!$M$6:$M$10008,PURCHASE!$A$6:$A$10008,$AB$2,PURCHASE!$H$6:$H$10008,$A$4:$A$2700)</f>
        <v>0</v>
      </c>
      <c r="AF273" s="512">
        <f>SUMIFS(PURCHASE!$N$6:$N$10008,PURCHASE!$A$6:$A$10008,$AB$2,PURCHASE!$H$6:$H$10008,$A$4:$A$2700)</f>
        <v>0</v>
      </c>
      <c r="AG273" s="512">
        <f t="shared" si="98"/>
        <v>472.5</v>
      </c>
      <c r="AH273" s="512">
        <f>SUMIFS(PURCHASE!$K$6:$K$10008,PURCHASE!$A$6:$A$10008,$AG$2,PURCHASE!$H$6:$H$10008,$A$4:$A$2700)</f>
        <v>450</v>
      </c>
      <c r="AI273" s="512">
        <f>SUMIFS(PURCHASE!$L$6:$L$10008,PURCHASE!$A$6:$A$10008,$AG$2,PURCHASE!$H$6:$H$10008,$A$4:$A$2700)</f>
        <v>0</v>
      </c>
      <c r="AJ273" s="512">
        <f>SUMIFS(PURCHASE!$M$6:$M$10008,PURCHASE!$A$6:$A$10008,$AG$2,PURCHASE!$H$6:$H$10008,$A$4:$A$2700)</f>
        <v>11.25</v>
      </c>
      <c r="AK273" s="512">
        <f>SUMIFS(PURCHASE!$N$6:$N$10008,PURCHASE!$A$6:$A$10008,$AG$2,PURCHASE!$H$6:$H$10008,$A$4:$A$2700)</f>
        <v>11.25</v>
      </c>
      <c r="AL273" s="512">
        <f t="shared" si="99"/>
        <v>0</v>
      </c>
      <c r="AM273" s="512">
        <f>SUMIFS(PURCHASE!$K$6:$K$10008,PURCHASE!$A$6:$A$10008,$AL$2,PURCHASE!$H$6:$H$10008,$A$4:$A$2700)</f>
        <v>0</v>
      </c>
      <c r="AN273" s="512">
        <f>SUMIFS(PURCHASE!$L$6:$L$10008,PURCHASE!$A$6:$A$10008,$AL$2,PURCHASE!$H$6:$H$10008,$A$4:$A$2700)</f>
        <v>0</v>
      </c>
      <c r="AO273" s="512">
        <f>SUMIFS(PURCHASE!$M$6:$M$10008,PURCHASE!$A$6:$A$10008,$AL$2,PURCHASE!$H$6:$H$10008,$A$4:$A$2700)</f>
        <v>0</v>
      </c>
      <c r="AP273" s="512">
        <f>SUMIFS(PURCHASE!$N$6:$N$10008,PURCHASE!$A$6:$A$10008,$AL$2,PURCHASE!$H$6:$H$10008,$A$4:$A$2700)</f>
        <v>0</v>
      </c>
      <c r="AQ273" s="512">
        <f t="shared" si="100"/>
        <v>472.5</v>
      </c>
      <c r="AR273" s="512">
        <f>SUMIFS(PURCHASE!$K$6:$K$10008,PURCHASE!$A$6:$A$10008,$AQ$2,PURCHASE!$H$6:$H$10008,$A$4:$A$2700)</f>
        <v>450</v>
      </c>
      <c r="AS273" s="512">
        <f>SUMIFS(PURCHASE!$L$6:$L$10008,PURCHASE!$A$6:$A$10008,$AQ$2,PURCHASE!$H$6:$H$10008,$A$4:$A$2700)</f>
        <v>0</v>
      </c>
      <c r="AT273" s="512">
        <f>SUMIFS(PURCHASE!$M$6:$M$10008,PURCHASE!$A$6:$A$10008,$AQ$2,PURCHASE!$H$6:$H$10008,$A$4:$A$2700)</f>
        <v>11.25</v>
      </c>
      <c r="AU273" s="512">
        <f>SUMIFS(PURCHASE!$N$6:$N$10008,PURCHASE!$A$6:$A$10008,$AQ$2,PURCHASE!$H$6:$H$10008,$A$4:$A$2700)</f>
        <v>11.25</v>
      </c>
      <c r="AV273" s="512">
        <f t="shared" si="101"/>
        <v>0</v>
      </c>
      <c r="AW273" s="512">
        <f>SUMIFS(PURCHASE!$K$6:$K$10008,PURCHASE!$A$6:$A$10008,$AV$2,PURCHASE!$H$6:$H$10008,$A$4:$A$2700)</f>
        <v>0</v>
      </c>
      <c r="AX273" s="512">
        <f>SUMIFS(PURCHASE!$L$6:$L$10008,PURCHASE!$A$6:$A$10008,$AV$2,PURCHASE!$H$6:$H$10008,$A$4:$A$2700)</f>
        <v>0</v>
      </c>
      <c r="AY273" s="512">
        <f>SUMIFS(PURCHASE!$M$6:$M$10008,PURCHASE!$A$6:$A$10008,$AV$2,PURCHASE!$H$6:$H$10008,$A$4:$A$2700)</f>
        <v>0</v>
      </c>
      <c r="AZ273" s="512">
        <f>SUMIFS(PURCHASE!$N$6:$N$10008,PURCHASE!$A$6:$A$10008,$AV$2,PURCHASE!$H$6:$H$10008,$A$4:$A$2700)</f>
        <v>0</v>
      </c>
      <c r="BA273" s="512">
        <f t="shared" si="102"/>
        <v>0</v>
      </c>
      <c r="BB273" s="512">
        <f>SUMIFS(PURCHASE!$K$6:$K$10008,PURCHASE!$A$6:$A$10008,$BA$2,PURCHASE!$H$6:$H$10008,$A$4:$A$2700)</f>
        <v>0</v>
      </c>
      <c r="BC273" s="512">
        <f>SUMIFS(PURCHASE!$L$6:$L$10008,PURCHASE!$A$6:$A$10008,$BA$2,PURCHASE!$H$6:$H$10008,$A$4:$A$2700)</f>
        <v>0</v>
      </c>
      <c r="BD273" s="512">
        <f>SUMIFS(PURCHASE!$M$6:$M$10008,PURCHASE!$A$6:$A$10008,$BA$2,PURCHASE!$H$6:$H$10008,$A$4:$A$2700)</f>
        <v>0</v>
      </c>
      <c r="BE273" s="512">
        <f>SUMIFS(PURCHASE!$N$6:$N$10008,PURCHASE!$A$6:$A$10008,$BA$2,PURCHASE!$H$6:$H$10008,$A$4:$A$2700)</f>
        <v>0</v>
      </c>
      <c r="BF273" s="512">
        <f t="shared" si="103"/>
        <v>0</v>
      </c>
      <c r="BG273" s="512">
        <f>SUMIFS(PURCHASE!$K$6:$K$10008,PURCHASE!$A$6:$A$10008,$BF$2,PURCHASE!$H$6:$H$10008,$A$4:$A$2700)</f>
        <v>0</v>
      </c>
      <c r="BH273" s="512">
        <f>SUMIFS(PURCHASE!$L$6:$L$10008,PURCHASE!$A$6:$A$10008,$BF$2,PURCHASE!$H$6:$H$10008,$A$4:$A$2700)</f>
        <v>0</v>
      </c>
      <c r="BI273" s="512">
        <f>SUMIFS(PURCHASE!$M$6:$M$10008,PURCHASE!$A$6:$A$10008,$BF$2,PURCHASE!$H$6:$H$10008,$A$4:$A$2700)</f>
        <v>0</v>
      </c>
      <c r="BJ273" s="512">
        <f>SUMIFS(PURCHASE!$N$6:$N$10008,PURCHASE!$A$6:$A$10008,$BF$2,PURCHASE!$H$6:$H$10008,$A$4:$A$2700)</f>
        <v>0</v>
      </c>
      <c r="BK273" s="72">
        <f t="shared" si="75"/>
        <v>945</v>
      </c>
      <c r="BL273" s="72">
        <f t="shared" si="76"/>
        <v>900</v>
      </c>
      <c r="BM273" s="72">
        <f t="shared" si="77"/>
        <v>0</v>
      </c>
      <c r="BN273" s="72">
        <f t="shared" si="78"/>
        <v>22.5</v>
      </c>
      <c r="BO273" s="72">
        <f t="shared" si="79"/>
        <v>22.5</v>
      </c>
    </row>
    <row r="274" spans="1:67" x14ac:dyDescent="0.2">
      <c r="A274" s="519">
        <v>60060000</v>
      </c>
      <c r="B274" s="499" t="s">
        <v>3351</v>
      </c>
      <c r="C274" s="512">
        <f t="shared" si="92"/>
        <v>3118.5</v>
      </c>
      <c r="D274" s="512">
        <f>SUMIFS(PURCHASE!$K$6:$K$10008,PURCHASE!$A$6:$A$10008,$M$2,PURCHASE!$H$6:$H$10008,$A$4:$A$2700)</f>
        <v>2970</v>
      </c>
      <c r="E274" s="512">
        <f>SUMIFS(PURCHASE!$L$6:$L$10008,PURCHASE!$A$6:$A$10008,$M$2,PURCHASE!$H$6:$H$10008,$A$4:$A$2700)</f>
        <v>0</v>
      </c>
      <c r="F274" s="512">
        <f>SUMIFS(PURCHASE!$M$6:$M$10008,PURCHASE!$A$6:$A$10008,$M$2,PURCHASE!$H$6:$H$10008,$A$4:$A$2700)</f>
        <v>74.25</v>
      </c>
      <c r="G274" s="512">
        <f>SUMIFS(PURCHASE!$N$6:$N$10008,PURCHASE!$A$6:$A$10008,$M$2,PURCHASE!$H$6:$H$10008,$A$4:$A$2700)</f>
        <v>74.25</v>
      </c>
      <c r="H274" s="512">
        <f t="shared" si="93"/>
        <v>1559.25</v>
      </c>
      <c r="I274" s="512">
        <f>SUMIFS(PURCHASE!$K$6:$K$10008,PURCHASE!$A$6:$A$10008,$H$2,PURCHASE!$H$6:$H$10008,$A$4:$A$2700)</f>
        <v>1485</v>
      </c>
      <c r="J274" s="512">
        <f>SUMIFS(PURCHASE!$L$6:$L$10008,PURCHASE!$A$6:$A$10008,$H$2,PURCHASE!$H$6:$H$10008,$A$4:$A$2700)</f>
        <v>0</v>
      </c>
      <c r="K274" s="512">
        <f>SUMIFS(PURCHASE!$M$6:$M$10008,PURCHASE!$A$6:$A$10008,$H$2,PURCHASE!$H$6:$H$10008,$A$4:$A$2700)</f>
        <v>37.125</v>
      </c>
      <c r="L274" s="512">
        <f>SUMIFS(PURCHASE!$N$6:$N$10008,PURCHASE!$A$6:$A$10008,$H$2,PURCHASE!$H$6:$H$10008,$A$4:$A$2700)</f>
        <v>37.125</v>
      </c>
      <c r="M274" s="512">
        <f t="shared" si="94"/>
        <v>3118.5</v>
      </c>
      <c r="N274" s="512">
        <f>SUMIFS(PURCHASE!$K$6:$K$10008,PURCHASE!$A$6:$A$10008,$M$2,PURCHASE!$H$6:$H$10008,$A$4:$A$2700)</f>
        <v>2970</v>
      </c>
      <c r="O274" s="512">
        <f>SUMIFS(PURCHASE!$L$6:$L$10008,PURCHASE!$A$6:$A$10008,$M$2,PURCHASE!$H$6:$H$10008,$A$4:$A$2700)</f>
        <v>0</v>
      </c>
      <c r="P274" s="512">
        <f>SUMIFS(PURCHASE!$M$6:$M$10008,PURCHASE!$A$6:$A$10008,$M$2,PURCHASE!$H$6:$H$10008,$A$4:$A$2700)</f>
        <v>74.25</v>
      </c>
      <c r="Q274" s="512">
        <f>SUMIFS(PURCHASE!$N$6:$N$10008,PURCHASE!$A$6:$A$10008,$M$2,PURCHASE!$H$6:$H$10008,$A$4:$A$2700)</f>
        <v>74.25</v>
      </c>
      <c r="R274" s="512">
        <f t="shared" si="95"/>
        <v>5197.5</v>
      </c>
      <c r="S274" s="512">
        <f>SUMIFS(PURCHASE!$K$6:$K$10008,PURCHASE!$A$6:$A$10008,$R$2,PURCHASE!$H$6:$H$10008,$A$4:$A$2700)</f>
        <v>4950</v>
      </c>
      <c r="T274" s="512">
        <f>SUMIFS(PURCHASE!$L$6:$L$10008,PURCHASE!$A$6:$A$10008,$R$2,PURCHASE!$H$6:$H$10008,$A$4:$A$2700)</f>
        <v>0</v>
      </c>
      <c r="U274" s="512">
        <f>SUMIFS(PURCHASE!$M$6:$M$10008,PURCHASE!$A$6:$A$10008,$R$2,PURCHASE!$H$6:$H$10008,$A$4:$A$2700)</f>
        <v>123.75</v>
      </c>
      <c r="V274" s="512">
        <f>SUMIFS(PURCHASE!$N$6:$N$10008,PURCHASE!$A$6:$A$10008,$R$2,PURCHASE!$H$6:$H$10008,$A$4:$A$2700)</f>
        <v>123.75</v>
      </c>
      <c r="W274" s="512">
        <f t="shared" si="96"/>
        <v>6583.5</v>
      </c>
      <c r="X274" s="512">
        <f>SUMIFS(PURCHASE!$K$6:$K$10008,PURCHASE!$A$6:$A$10008,$W$2,PURCHASE!$H$6:$H$10008,$A$4:$A$2700)</f>
        <v>6270</v>
      </c>
      <c r="Y274" s="512">
        <f>SUMIFS(PURCHASE!$L$6:$L$10008,PURCHASE!$A$6:$A$10008,$W$2,PURCHASE!$H$6:$H$10008,$A$4:$A$2700)</f>
        <v>0</v>
      </c>
      <c r="Z274" s="512">
        <f>SUMIFS(PURCHASE!$M$6:$M$10008,PURCHASE!$A$6:$A$10008,$W$2,PURCHASE!$H$6:$H$10008,$A$4:$A$2700)</f>
        <v>156.75</v>
      </c>
      <c r="AA274" s="512">
        <f>SUMIFS(PURCHASE!$N$6:$N$10008,PURCHASE!$A$6:$A$10008,$W$2,PURCHASE!$H$6:$H$10008,$A$4:$A$2700)</f>
        <v>156.75</v>
      </c>
      <c r="AB274" s="512">
        <f t="shared" si="97"/>
        <v>0</v>
      </c>
      <c r="AC274" s="512">
        <f>SUMIFS(PURCHASE!$K$6:$K$10008,PURCHASE!$A$6:$A$10008,$AB$2,PURCHASE!$H$6:$H$10008,$A$4:$A$2700)</f>
        <v>0</v>
      </c>
      <c r="AD274" s="512">
        <f>SUMIFS(PURCHASE!$L$6:$L$10008,PURCHASE!$A$6:$A$10008,$AB$2,PURCHASE!$H$6:$H$10008,$A$4:$A$2700)</f>
        <v>0</v>
      </c>
      <c r="AE274" s="512">
        <f>SUMIFS(PURCHASE!$M$6:$M$10008,PURCHASE!$A$6:$A$10008,$AB$2,PURCHASE!$H$6:$H$10008,$A$4:$A$2700)</f>
        <v>0</v>
      </c>
      <c r="AF274" s="512">
        <f>SUMIFS(PURCHASE!$N$6:$N$10008,PURCHASE!$A$6:$A$10008,$AB$2,PURCHASE!$H$6:$H$10008,$A$4:$A$2700)</f>
        <v>0</v>
      </c>
      <c r="AG274" s="512">
        <f t="shared" si="98"/>
        <v>1732.5</v>
      </c>
      <c r="AH274" s="512">
        <f>SUMIFS(PURCHASE!$K$6:$K$10008,PURCHASE!$A$6:$A$10008,$AG$2,PURCHASE!$H$6:$H$10008,$A$4:$A$2700)</f>
        <v>1650</v>
      </c>
      <c r="AI274" s="512">
        <f>SUMIFS(PURCHASE!$L$6:$L$10008,PURCHASE!$A$6:$A$10008,$AG$2,PURCHASE!$H$6:$H$10008,$A$4:$A$2700)</f>
        <v>0</v>
      </c>
      <c r="AJ274" s="512">
        <f>SUMIFS(PURCHASE!$M$6:$M$10008,PURCHASE!$A$6:$A$10008,$AG$2,PURCHASE!$H$6:$H$10008,$A$4:$A$2700)</f>
        <v>41.25</v>
      </c>
      <c r="AK274" s="512">
        <f>SUMIFS(PURCHASE!$N$6:$N$10008,PURCHASE!$A$6:$A$10008,$AG$2,PURCHASE!$H$6:$H$10008,$A$4:$A$2700)</f>
        <v>41.25</v>
      </c>
      <c r="AL274" s="512">
        <f t="shared" si="99"/>
        <v>1732.5</v>
      </c>
      <c r="AM274" s="512">
        <f>SUMIFS(PURCHASE!$K$6:$K$10008,PURCHASE!$A$6:$A$10008,$AL$2,PURCHASE!$H$6:$H$10008,$A$4:$A$2700)</f>
        <v>1650</v>
      </c>
      <c r="AN274" s="512">
        <f>SUMIFS(PURCHASE!$L$6:$L$10008,PURCHASE!$A$6:$A$10008,$AL$2,PURCHASE!$H$6:$H$10008,$A$4:$A$2700)</f>
        <v>0</v>
      </c>
      <c r="AO274" s="512">
        <f>SUMIFS(PURCHASE!$M$6:$M$10008,PURCHASE!$A$6:$A$10008,$AL$2,PURCHASE!$H$6:$H$10008,$A$4:$A$2700)</f>
        <v>41.25</v>
      </c>
      <c r="AP274" s="512">
        <f>SUMIFS(PURCHASE!$N$6:$N$10008,PURCHASE!$A$6:$A$10008,$AL$2,PURCHASE!$H$6:$H$10008,$A$4:$A$2700)</f>
        <v>41.25</v>
      </c>
      <c r="AQ274" s="512">
        <f t="shared" si="100"/>
        <v>866.25</v>
      </c>
      <c r="AR274" s="512">
        <f>SUMIFS(PURCHASE!$K$6:$K$10008,PURCHASE!$A$6:$A$10008,$AQ$2,PURCHASE!$H$6:$H$10008,$A$4:$A$2700)</f>
        <v>825</v>
      </c>
      <c r="AS274" s="512">
        <f>SUMIFS(PURCHASE!$L$6:$L$10008,PURCHASE!$A$6:$A$10008,$AQ$2,PURCHASE!$H$6:$H$10008,$A$4:$A$2700)</f>
        <v>0</v>
      </c>
      <c r="AT274" s="512">
        <f>SUMIFS(PURCHASE!$M$6:$M$10008,PURCHASE!$A$6:$A$10008,$AQ$2,PURCHASE!$H$6:$H$10008,$A$4:$A$2700)</f>
        <v>20.625</v>
      </c>
      <c r="AU274" s="512">
        <f>SUMIFS(PURCHASE!$N$6:$N$10008,PURCHASE!$A$6:$A$10008,$AQ$2,PURCHASE!$H$6:$H$10008,$A$4:$A$2700)</f>
        <v>20.625</v>
      </c>
      <c r="AV274" s="512">
        <f t="shared" si="101"/>
        <v>3465</v>
      </c>
      <c r="AW274" s="512">
        <f>SUMIFS(PURCHASE!$K$6:$K$10008,PURCHASE!$A$6:$A$10008,$AV$2,PURCHASE!$H$6:$H$10008,$A$4:$A$2700)</f>
        <v>3300</v>
      </c>
      <c r="AX274" s="512">
        <f>SUMIFS(PURCHASE!$L$6:$L$10008,PURCHASE!$A$6:$A$10008,$AV$2,PURCHASE!$H$6:$H$10008,$A$4:$A$2700)</f>
        <v>0</v>
      </c>
      <c r="AY274" s="512">
        <f>SUMIFS(PURCHASE!$M$6:$M$10008,PURCHASE!$A$6:$A$10008,$AV$2,PURCHASE!$H$6:$H$10008,$A$4:$A$2700)</f>
        <v>82.5</v>
      </c>
      <c r="AZ274" s="512">
        <f>SUMIFS(PURCHASE!$N$6:$N$10008,PURCHASE!$A$6:$A$10008,$AV$2,PURCHASE!$H$6:$H$10008,$A$4:$A$2700)</f>
        <v>82.5</v>
      </c>
      <c r="BA274" s="512">
        <f t="shared" si="102"/>
        <v>0</v>
      </c>
      <c r="BB274" s="512">
        <f>SUMIFS(PURCHASE!$K$6:$K$10008,PURCHASE!$A$6:$A$10008,$BA$2,PURCHASE!$H$6:$H$10008,$A$4:$A$2700)</f>
        <v>0</v>
      </c>
      <c r="BC274" s="512">
        <f>SUMIFS(PURCHASE!$L$6:$L$10008,PURCHASE!$A$6:$A$10008,$BA$2,PURCHASE!$H$6:$H$10008,$A$4:$A$2700)</f>
        <v>0</v>
      </c>
      <c r="BD274" s="512">
        <f>SUMIFS(PURCHASE!$M$6:$M$10008,PURCHASE!$A$6:$A$10008,$BA$2,PURCHASE!$H$6:$H$10008,$A$4:$A$2700)</f>
        <v>0</v>
      </c>
      <c r="BE274" s="512">
        <f>SUMIFS(PURCHASE!$N$6:$N$10008,PURCHASE!$A$6:$A$10008,$BA$2,PURCHASE!$H$6:$H$10008,$A$4:$A$2700)</f>
        <v>0</v>
      </c>
      <c r="BF274" s="512">
        <f t="shared" si="103"/>
        <v>0</v>
      </c>
      <c r="BG274" s="512">
        <f>SUMIFS(PURCHASE!$K$6:$K$10008,PURCHASE!$A$6:$A$10008,$BF$2,PURCHASE!$H$6:$H$10008,$A$4:$A$2700)</f>
        <v>0</v>
      </c>
      <c r="BH274" s="512">
        <f>SUMIFS(PURCHASE!$L$6:$L$10008,PURCHASE!$A$6:$A$10008,$BF$2,PURCHASE!$H$6:$H$10008,$A$4:$A$2700)</f>
        <v>0</v>
      </c>
      <c r="BI274" s="512">
        <f>SUMIFS(PURCHASE!$M$6:$M$10008,PURCHASE!$A$6:$A$10008,$BF$2,PURCHASE!$H$6:$H$10008,$A$4:$A$2700)</f>
        <v>0</v>
      </c>
      <c r="BJ274" s="512">
        <f>SUMIFS(PURCHASE!$N$6:$N$10008,PURCHASE!$A$6:$A$10008,$BF$2,PURCHASE!$H$6:$H$10008,$A$4:$A$2700)</f>
        <v>0</v>
      </c>
      <c r="BK274" s="72">
        <f t="shared" si="75"/>
        <v>27373.5</v>
      </c>
      <c r="BL274" s="72">
        <f t="shared" si="76"/>
        <v>26070</v>
      </c>
      <c r="BM274" s="72">
        <f t="shared" si="77"/>
        <v>0</v>
      </c>
      <c r="BN274" s="72">
        <f t="shared" si="78"/>
        <v>651.75</v>
      </c>
      <c r="BO274" s="72">
        <f t="shared" si="79"/>
        <v>651.75</v>
      </c>
    </row>
    <row r="275" spans="1:67" x14ac:dyDescent="0.2">
      <c r="A275" s="519">
        <v>85362090</v>
      </c>
      <c r="B275" s="499" t="s">
        <v>3352</v>
      </c>
      <c r="C275" s="512">
        <f t="shared" si="92"/>
        <v>0</v>
      </c>
      <c r="D275" s="512">
        <f>SUMIFS(PURCHASE!$K$6:$K$10008,PURCHASE!$A$6:$A$10008,$M$2,PURCHASE!$H$6:$H$10008,$A$4:$A$2700)</f>
        <v>0</v>
      </c>
      <c r="E275" s="512">
        <f>SUMIFS(PURCHASE!$L$6:$L$10008,PURCHASE!$A$6:$A$10008,$M$2,PURCHASE!$H$6:$H$10008,$A$4:$A$2700)</f>
        <v>0</v>
      </c>
      <c r="F275" s="512">
        <f>SUMIFS(PURCHASE!$M$6:$M$10008,PURCHASE!$A$6:$A$10008,$M$2,PURCHASE!$H$6:$H$10008,$A$4:$A$2700)</f>
        <v>0</v>
      </c>
      <c r="G275" s="512">
        <f>SUMIFS(PURCHASE!$N$6:$N$10008,PURCHASE!$A$6:$A$10008,$M$2,PURCHASE!$H$6:$H$10008,$A$4:$A$2700)</f>
        <v>0</v>
      </c>
      <c r="H275" s="512">
        <f t="shared" si="93"/>
        <v>0</v>
      </c>
      <c r="I275" s="512">
        <f>SUMIFS(PURCHASE!$K$6:$K$10008,PURCHASE!$A$6:$A$10008,$H$2,PURCHASE!$H$6:$H$10008,$A$4:$A$2700)</f>
        <v>0</v>
      </c>
      <c r="J275" s="512">
        <f>SUMIFS(PURCHASE!$L$6:$L$10008,PURCHASE!$A$6:$A$10008,$H$2,PURCHASE!$H$6:$H$10008,$A$4:$A$2700)</f>
        <v>0</v>
      </c>
      <c r="K275" s="512">
        <f>SUMIFS(PURCHASE!$M$6:$M$10008,PURCHASE!$A$6:$A$10008,$H$2,PURCHASE!$H$6:$H$10008,$A$4:$A$2700)</f>
        <v>0</v>
      </c>
      <c r="L275" s="512">
        <f>SUMIFS(PURCHASE!$N$6:$N$10008,PURCHASE!$A$6:$A$10008,$H$2,PURCHASE!$H$6:$H$10008,$A$4:$A$2700)</f>
        <v>0</v>
      </c>
      <c r="M275" s="512">
        <f t="shared" si="94"/>
        <v>0</v>
      </c>
      <c r="N275" s="512">
        <f>SUMIFS(PURCHASE!$K$6:$K$10008,PURCHASE!$A$6:$A$10008,$M$2,PURCHASE!$H$6:$H$10008,$A$4:$A$2700)</f>
        <v>0</v>
      </c>
      <c r="O275" s="512">
        <f>SUMIFS(PURCHASE!$L$6:$L$10008,PURCHASE!$A$6:$A$10008,$M$2,PURCHASE!$H$6:$H$10008,$A$4:$A$2700)</f>
        <v>0</v>
      </c>
      <c r="P275" s="512">
        <f>SUMIFS(PURCHASE!$M$6:$M$10008,PURCHASE!$A$6:$A$10008,$M$2,PURCHASE!$H$6:$H$10008,$A$4:$A$2700)</f>
        <v>0</v>
      </c>
      <c r="Q275" s="512">
        <f>SUMIFS(PURCHASE!$N$6:$N$10008,PURCHASE!$A$6:$A$10008,$M$2,PURCHASE!$H$6:$H$10008,$A$4:$A$2700)</f>
        <v>0</v>
      </c>
      <c r="R275" s="512">
        <f t="shared" si="95"/>
        <v>0</v>
      </c>
      <c r="S275" s="512">
        <f>SUMIFS(PURCHASE!$K$6:$K$10008,PURCHASE!$A$6:$A$10008,$R$2,PURCHASE!$H$6:$H$10008,$A$4:$A$2700)</f>
        <v>0</v>
      </c>
      <c r="T275" s="512">
        <f>SUMIFS(PURCHASE!$L$6:$L$10008,PURCHASE!$A$6:$A$10008,$R$2,PURCHASE!$H$6:$H$10008,$A$4:$A$2700)</f>
        <v>0</v>
      </c>
      <c r="U275" s="512">
        <f>SUMIFS(PURCHASE!$M$6:$M$10008,PURCHASE!$A$6:$A$10008,$R$2,PURCHASE!$H$6:$H$10008,$A$4:$A$2700)</f>
        <v>0</v>
      </c>
      <c r="V275" s="512">
        <f>SUMIFS(PURCHASE!$N$6:$N$10008,PURCHASE!$A$6:$A$10008,$R$2,PURCHASE!$H$6:$H$10008,$A$4:$A$2700)</f>
        <v>0</v>
      </c>
      <c r="W275" s="512">
        <f t="shared" si="96"/>
        <v>0</v>
      </c>
      <c r="X275" s="512">
        <f>SUMIFS(PURCHASE!$K$6:$K$10008,PURCHASE!$A$6:$A$10008,$W$2,PURCHASE!$H$6:$H$10008,$A$4:$A$2700)</f>
        <v>0</v>
      </c>
      <c r="Y275" s="512">
        <f>SUMIFS(PURCHASE!$L$6:$L$10008,PURCHASE!$A$6:$A$10008,$W$2,PURCHASE!$H$6:$H$10008,$A$4:$A$2700)</f>
        <v>0</v>
      </c>
      <c r="Z275" s="512">
        <f>SUMIFS(PURCHASE!$M$6:$M$10008,PURCHASE!$A$6:$A$10008,$W$2,PURCHASE!$H$6:$H$10008,$A$4:$A$2700)</f>
        <v>0</v>
      </c>
      <c r="AA275" s="512">
        <f>SUMIFS(PURCHASE!$N$6:$N$10008,PURCHASE!$A$6:$A$10008,$W$2,PURCHASE!$H$6:$H$10008,$A$4:$A$2700)</f>
        <v>0</v>
      </c>
      <c r="AB275" s="512">
        <f t="shared" si="97"/>
        <v>0</v>
      </c>
      <c r="AC275" s="512">
        <f>SUMIFS(PURCHASE!$K$6:$K$10008,PURCHASE!$A$6:$A$10008,$AB$2,PURCHASE!$H$6:$H$10008,$A$4:$A$2700)</f>
        <v>0</v>
      </c>
      <c r="AD275" s="512">
        <f>SUMIFS(PURCHASE!$L$6:$L$10008,PURCHASE!$A$6:$A$10008,$AB$2,PURCHASE!$H$6:$H$10008,$A$4:$A$2700)</f>
        <v>0</v>
      </c>
      <c r="AE275" s="512">
        <f>SUMIFS(PURCHASE!$M$6:$M$10008,PURCHASE!$A$6:$A$10008,$AB$2,PURCHASE!$H$6:$H$10008,$A$4:$A$2700)</f>
        <v>0</v>
      </c>
      <c r="AF275" s="512">
        <f>SUMIFS(PURCHASE!$N$6:$N$10008,PURCHASE!$A$6:$A$10008,$AB$2,PURCHASE!$H$6:$H$10008,$A$4:$A$2700)</f>
        <v>0</v>
      </c>
      <c r="AG275" s="512">
        <f t="shared" si="98"/>
        <v>4879.1819999999989</v>
      </c>
      <c r="AH275" s="512">
        <f>SUMIFS(PURCHASE!$K$6:$K$10008,PURCHASE!$A$6:$A$10008,$AG$2,PURCHASE!$H$6:$H$10008,$A$4:$A$2700)</f>
        <v>4134.8999999999996</v>
      </c>
      <c r="AI275" s="512">
        <f>SUMIFS(PURCHASE!$L$6:$L$10008,PURCHASE!$A$6:$A$10008,$AG$2,PURCHASE!$H$6:$H$10008,$A$4:$A$2700)</f>
        <v>0</v>
      </c>
      <c r="AJ275" s="512">
        <f>SUMIFS(PURCHASE!$M$6:$M$10008,PURCHASE!$A$6:$A$10008,$AG$2,PURCHASE!$H$6:$H$10008,$A$4:$A$2700)</f>
        <v>372.14099999999996</v>
      </c>
      <c r="AK275" s="512">
        <f>SUMIFS(PURCHASE!$N$6:$N$10008,PURCHASE!$A$6:$A$10008,$AG$2,PURCHASE!$H$6:$H$10008,$A$4:$A$2700)</f>
        <v>372.14099999999996</v>
      </c>
      <c r="AL275" s="512">
        <f t="shared" si="99"/>
        <v>0</v>
      </c>
      <c r="AM275" s="512">
        <f>SUMIFS(PURCHASE!$K$6:$K$10008,PURCHASE!$A$6:$A$10008,$AL$2,PURCHASE!$H$6:$H$10008,$A$4:$A$2700)</f>
        <v>0</v>
      </c>
      <c r="AN275" s="512">
        <f>SUMIFS(PURCHASE!$L$6:$L$10008,PURCHASE!$A$6:$A$10008,$AL$2,PURCHASE!$H$6:$H$10008,$A$4:$A$2700)</f>
        <v>0</v>
      </c>
      <c r="AO275" s="512">
        <f>SUMIFS(PURCHASE!$M$6:$M$10008,PURCHASE!$A$6:$A$10008,$AL$2,PURCHASE!$H$6:$H$10008,$A$4:$A$2700)</f>
        <v>0</v>
      </c>
      <c r="AP275" s="512">
        <f>SUMIFS(PURCHASE!$N$6:$N$10008,PURCHASE!$A$6:$A$10008,$AL$2,PURCHASE!$H$6:$H$10008,$A$4:$A$2700)</f>
        <v>0</v>
      </c>
      <c r="AQ275" s="512">
        <f t="shared" si="100"/>
        <v>0</v>
      </c>
      <c r="AR275" s="512">
        <f>SUMIFS(PURCHASE!$K$6:$K$10008,PURCHASE!$A$6:$A$10008,$AQ$2,PURCHASE!$H$6:$H$10008,$A$4:$A$2700)</f>
        <v>0</v>
      </c>
      <c r="AS275" s="512">
        <f>SUMIFS(PURCHASE!$L$6:$L$10008,PURCHASE!$A$6:$A$10008,$AQ$2,PURCHASE!$H$6:$H$10008,$A$4:$A$2700)</f>
        <v>0</v>
      </c>
      <c r="AT275" s="512">
        <f>SUMIFS(PURCHASE!$M$6:$M$10008,PURCHASE!$A$6:$A$10008,$AQ$2,PURCHASE!$H$6:$H$10008,$A$4:$A$2700)</f>
        <v>0</v>
      </c>
      <c r="AU275" s="512">
        <f>SUMIFS(PURCHASE!$N$6:$N$10008,PURCHASE!$A$6:$A$10008,$AQ$2,PURCHASE!$H$6:$H$10008,$A$4:$A$2700)</f>
        <v>0</v>
      </c>
      <c r="AV275" s="512">
        <f t="shared" si="101"/>
        <v>0</v>
      </c>
      <c r="AW275" s="512">
        <f>SUMIFS(PURCHASE!$K$6:$K$10008,PURCHASE!$A$6:$A$10008,$AV$2,PURCHASE!$H$6:$H$10008,$A$4:$A$2700)</f>
        <v>0</v>
      </c>
      <c r="AX275" s="512">
        <f>SUMIFS(PURCHASE!$L$6:$L$10008,PURCHASE!$A$6:$A$10008,$AV$2,PURCHASE!$H$6:$H$10008,$A$4:$A$2700)</f>
        <v>0</v>
      </c>
      <c r="AY275" s="512">
        <f>SUMIFS(PURCHASE!$M$6:$M$10008,PURCHASE!$A$6:$A$10008,$AV$2,PURCHASE!$H$6:$H$10008,$A$4:$A$2700)</f>
        <v>0</v>
      </c>
      <c r="AZ275" s="512">
        <f>SUMIFS(PURCHASE!$N$6:$N$10008,PURCHASE!$A$6:$A$10008,$AV$2,PURCHASE!$H$6:$H$10008,$A$4:$A$2700)</f>
        <v>0</v>
      </c>
      <c r="BA275" s="512">
        <f t="shared" si="102"/>
        <v>0</v>
      </c>
      <c r="BB275" s="512">
        <f>SUMIFS(PURCHASE!$K$6:$K$10008,PURCHASE!$A$6:$A$10008,$BA$2,PURCHASE!$H$6:$H$10008,$A$4:$A$2700)</f>
        <v>0</v>
      </c>
      <c r="BC275" s="512">
        <f>SUMIFS(PURCHASE!$L$6:$L$10008,PURCHASE!$A$6:$A$10008,$BA$2,PURCHASE!$H$6:$H$10008,$A$4:$A$2700)</f>
        <v>0</v>
      </c>
      <c r="BD275" s="512">
        <f>SUMIFS(PURCHASE!$M$6:$M$10008,PURCHASE!$A$6:$A$10008,$BA$2,PURCHASE!$H$6:$H$10008,$A$4:$A$2700)</f>
        <v>0</v>
      </c>
      <c r="BE275" s="512">
        <f>SUMIFS(PURCHASE!$N$6:$N$10008,PURCHASE!$A$6:$A$10008,$BA$2,PURCHASE!$H$6:$H$10008,$A$4:$A$2700)</f>
        <v>0</v>
      </c>
      <c r="BF275" s="512">
        <f t="shared" si="103"/>
        <v>0</v>
      </c>
      <c r="BG275" s="512">
        <f>SUMIFS(PURCHASE!$K$6:$K$10008,PURCHASE!$A$6:$A$10008,$BF$2,PURCHASE!$H$6:$H$10008,$A$4:$A$2700)</f>
        <v>0</v>
      </c>
      <c r="BH275" s="512">
        <f>SUMIFS(PURCHASE!$L$6:$L$10008,PURCHASE!$A$6:$A$10008,$BF$2,PURCHASE!$H$6:$H$10008,$A$4:$A$2700)</f>
        <v>0</v>
      </c>
      <c r="BI275" s="512">
        <f>SUMIFS(PURCHASE!$M$6:$M$10008,PURCHASE!$A$6:$A$10008,$BF$2,PURCHASE!$H$6:$H$10008,$A$4:$A$2700)</f>
        <v>0</v>
      </c>
      <c r="BJ275" s="512">
        <f>SUMIFS(PURCHASE!$N$6:$N$10008,PURCHASE!$A$6:$A$10008,$BF$2,PURCHASE!$H$6:$H$10008,$A$4:$A$2700)</f>
        <v>0</v>
      </c>
      <c r="BK275" s="72">
        <f t="shared" si="75"/>
        <v>4879.1819999999989</v>
      </c>
      <c r="BL275" s="72">
        <f t="shared" si="76"/>
        <v>4134.8999999999996</v>
      </c>
      <c r="BM275" s="72">
        <f t="shared" si="77"/>
        <v>0</v>
      </c>
      <c r="BN275" s="72">
        <f t="shared" si="78"/>
        <v>372.14099999999996</v>
      </c>
      <c r="BO275" s="72">
        <f t="shared" si="79"/>
        <v>372.14099999999996</v>
      </c>
    </row>
    <row r="276" spans="1:67" x14ac:dyDescent="0.2">
      <c r="A276" s="519">
        <v>48209090</v>
      </c>
      <c r="B276" s="499" t="s">
        <v>3353</v>
      </c>
      <c r="C276" s="512">
        <f t="shared" si="92"/>
        <v>0</v>
      </c>
      <c r="D276" s="512">
        <f>SUMIFS(PURCHASE!$K$6:$K$10008,PURCHASE!$A$6:$A$10008,$M$2,PURCHASE!$H$6:$H$10008,$A$4:$A$2700)</f>
        <v>0</v>
      </c>
      <c r="E276" s="512">
        <f>SUMIFS(PURCHASE!$L$6:$L$10008,PURCHASE!$A$6:$A$10008,$M$2,PURCHASE!$H$6:$H$10008,$A$4:$A$2700)</f>
        <v>0</v>
      </c>
      <c r="F276" s="512">
        <f>SUMIFS(PURCHASE!$M$6:$M$10008,PURCHASE!$A$6:$A$10008,$M$2,PURCHASE!$H$6:$H$10008,$A$4:$A$2700)</f>
        <v>0</v>
      </c>
      <c r="G276" s="512">
        <f>SUMIFS(PURCHASE!$N$6:$N$10008,PURCHASE!$A$6:$A$10008,$M$2,PURCHASE!$H$6:$H$10008,$A$4:$A$2700)</f>
        <v>0</v>
      </c>
      <c r="H276" s="512">
        <f t="shared" si="93"/>
        <v>0</v>
      </c>
      <c r="I276" s="512">
        <f>SUMIFS(PURCHASE!$K$6:$K$10008,PURCHASE!$A$6:$A$10008,$H$2,PURCHASE!$H$6:$H$10008,$A$4:$A$2700)</f>
        <v>0</v>
      </c>
      <c r="J276" s="512">
        <f>SUMIFS(PURCHASE!$L$6:$L$10008,PURCHASE!$A$6:$A$10008,$H$2,PURCHASE!$H$6:$H$10008,$A$4:$A$2700)</f>
        <v>0</v>
      </c>
      <c r="K276" s="512">
        <f>SUMIFS(PURCHASE!$M$6:$M$10008,PURCHASE!$A$6:$A$10008,$H$2,PURCHASE!$H$6:$H$10008,$A$4:$A$2700)</f>
        <v>0</v>
      </c>
      <c r="L276" s="512">
        <f>SUMIFS(PURCHASE!$N$6:$N$10008,PURCHASE!$A$6:$A$10008,$H$2,PURCHASE!$H$6:$H$10008,$A$4:$A$2700)</f>
        <v>0</v>
      </c>
      <c r="M276" s="512">
        <f t="shared" si="94"/>
        <v>0</v>
      </c>
      <c r="N276" s="512">
        <f>SUMIFS(PURCHASE!$K$6:$K$10008,PURCHASE!$A$6:$A$10008,$M$2,PURCHASE!$H$6:$H$10008,$A$4:$A$2700)</f>
        <v>0</v>
      </c>
      <c r="O276" s="512">
        <f>SUMIFS(PURCHASE!$L$6:$L$10008,PURCHASE!$A$6:$A$10008,$M$2,PURCHASE!$H$6:$H$10008,$A$4:$A$2700)</f>
        <v>0</v>
      </c>
      <c r="P276" s="512">
        <f>SUMIFS(PURCHASE!$M$6:$M$10008,PURCHASE!$A$6:$A$10008,$M$2,PURCHASE!$H$6:$H$10008,$A$4:$A$2700)</f>
        <v>0</v>
      </c>
      <c r="Q276" s="512">
        <f>SUMIFS(PURCHASE!$N$6:$N$10008,PURCHASE!$A$6:$A$10008,$M$2,PURCHASE!$H$6:$H$10008,$A$4:$A$2700)</f>
        <v>0</v>
      </c>
      <c r="R276" s="512">
        <f t="shared" si="95"/>
        <v>0</v>
      </c>
      <c r="S276" s="512">
        <f>SUMIFS(PURCHASE!$K$6:$K$10008,PURCHASE!$A$6:$A$10008,$R$2,PURCHASE!$H$6:$H$10008,$A$4:$A$2700)</f>
        <v>0</v>
      </c>
      <c r="T276" s="512">
        <f>SUMIFS(PURCHASE!$L$6:$L$10008,PURCHASE!$A$6:$A$10008,$R$2,PURCHASE!$H$6:$H$10008,$A$4:$A$2700)</f>
        <v>0</v>
      </c>
      <c r="U276" s="512">
        <f>SUMIFS(PURCHASE!$M$6:$M$10008,PURCHASE!$A$6:$A$10008,$R$2,PURCHASE!$H$6:$H$10008,$A$4:$A$2700)</f>
        <v>0</v>
      </c>
      <c r="V276" s="512">
        <f>SUMIFS(PURCHASE!$N$6:$N$10008,PURCHASE!$A$6:$A$10008,$R$2,PURCHASE!$H$6:$H$10008,$A$4:$A$2700)</f>
        <v>0</v>
      </c>
      <c r="W276" s="512">
        <f t="shared" si="96"/>
        <v>0</v>
      </c>
      <c r="X276" s="512">
        <f>SUMIFS(PURCHASE!$K$6:$K$10008,PURCHASE!$A$6:$A$10008,$W$2,PURCHASE!$H$6:$H$10008,$A$4:$A$2700)</f>
        <v>0</v>
      </c>
      <c r="Y276" s="512">
        <f>SUMIFS(PURCHASE!$L$6:$L$10008,PURCHASE!$A$6:$A$10008,$W$2,PURCHASE!$H$6:$H$10008,$A$4:$A$2700)</f>
        <v>0</v>
      </c>
      <c r="Z276" s="512">
        <f>SUMIFS(PURCHASE!$M$6:$M$10008,PURCHASE!$A$6:$A$10008,$W$2,PURCHASE!$H$6:$H$10008,$A$4:$A$2700)</f>
        <v>0</v>
      </c>
      <c r="AA276" s="512">
        <f>SUMIFS(PURCHASE!$N$6:$N$10008,PURCHASE!$A$6:$A$10008,$W$2,PURCHASE!$H$6:$H$10008,$A$4:$A$2700)</f>
        <v>0</v>
      </c>
      <c r="AB276" s="512">
        <f t="shared" si="97"/>
        <v>0</v>
      </c>
      <c r="AC276" s="512">
        <f>SUMIFS(PURCHASE!$K$6:$K$10008,PURCHASE!$A$6:$A$10008,$AB$2,PURCHASE!$H$6:$H$10008,$A$4:$A$2700)</f>
        <v>0</v>
      </c>
      <c r="AD276" s="512">
        <f>SUMIFS(PURCHASE!$L$6:$L$10008,PURCHASE!$A$6:$A$10008,$AB$2,PURCHASE!$H$6:$H$10008,$A$4:$A$2700)</f>
        <v>0</v>
      </c>
      <c r="AE276" s="512">
        <f>SUMIFS(PURCHASE!$M$6:$M$10008,PURCHASE!$A$6:$A$10008,$AB$2,PURCHASE!$H$6:$H$10008,$A$4:$A$2700)</f>
        <v>0</v>
      </c>
      <c r="AF276" s="512">
        <f>SUMIFS(PURCHASE!$N$6:$N$10008,PURCHASE!$A$6:$A$10008,$AB$2,PURCHASE!$H$6:$H$10008,$A$4:$A$2700)</f>
        <v>0</v>
      </c>
      <c r="AG276" s="512">
        <f t="shared" si="98"/>
        <v>3020.8</v>
      </c>
      <c r="AH276" s="512">
        <f>SUMIFS(PURCHASE!$K$6:$K$10008,PURCHASE!$A$6:$A$10008,$AG$2,PURCHASE!$H$6:$H$10008,$A$4:$A$2700)</f>
        <v>2560</v>
      </c>
      <c r="AI276" s="512">
        <f>SUMIFS(PURCHASE!$L$6:$L$10008,PURCHASE!$A$6:$A$10008,$AG$2,PURCHASE!$H$6:$H$10008,$A$4:$A$2700)</f>
        <v>0</v>
      </c>
      <c r="AJ276" s="512">
        <f>SUMIFS(PURCHASE!$M$6:$M$10008,PURCHASE!$A$6:$A$10008,$AG$2,PURCHASE!$H$6:$H$10008,$A$4:$A$2700)</f>
        <v>230.4</v>
      </c>
      <c r="AK276" s="512">
        <f>SUMIFS(PURCHASE!$N$6:$N$10008,PURCHASE!$A$6:$A$10008,$AG$2,PURCHASE!$H$6:$H$10008,$A$4:$A$2700)</f>
        <v>230.4</v>
      </c>
      <c r="AL276" s="512">
        <f t="shared" si="99"/>
        <v>0</v>
      </c>
      <c r="AM276" s="512">
        <f>SUMIFS(PURCHASE!$K$6:$K$10008,PURCHASE!$A$6:$A$10008,$AL$2,PURCHASE!$H$6:$H$10008,$A$4:$A$2700)</f>
        <v>0</v>
      </c>
      <c r="AN276" s="512">
        <f>SUMIFS(PURCHASE!$L$6:$L$10008,PURCHASE!$A$6:$A$10008,$AL$2,PURCHASE!$H$6:$H$10008,$A$4:$A$2700)</f>
        <v>0</v>
      </c>
      <c r="AO276" s="512">
        <f>SUMIFS(PURCHASE!$M$6:$M$10008,PURCHASE!$A$6:$A$10008,$AL$2,PURCHASE!$H$6:$H$10008,$A$4:$A$2700)</f>
        <v>0</v>
      </c>
      <c r="AP276" s="512">
        <f>SUMIFS(PURCHASE!$N$6:$N$10008,PURCHASE!$A$6:$A$10008,$AL$2,PURCHASE!$H$6:$H$10008,$A$4:$A$2700)</f>
        <v>0</v>
      </c>
      <c r="AQ276" s="512">
        <f t="shared" si="100"/>
        <v>0</v>
      </c>
      <c r="AR276" s="512">
        <f>SUMIFS(PURCHASE!$K$6:$K$10008,PURCHASE!$A$6:$A$10008,$AQ$2,PURCHASE!$H$6:$H$10008,$A$4:$A$2700)</f>
        <v>0</v>
      </c>
      <c r="AS276" s="512">
        <f>SUMIFS(PURCHASE!$L$6:$L$10008,PURCHASE!$A$6:$A$10008,$AQ$2,PURCHASE!$H$6:$H$10008,$A$4:$A$2700)</f>
        <v>0</v>
      </c>
      <c r="AT276" s="512">
        <f>SUMIFS(PURCHASE!$M$6:$M$10008,PURCHASE!$A$6:$A$10008,$AQ$2,PURCHASE!$H$6:$H$10008,$A$4:$A$2700)</f>
        <v>0</v>
      </c>
      <c r="AU276" s="512">
        <f>SUMIFS(PURCHASE!$N$6:$N$10008,PURCHASE!$A$6:$A$10008,$AQ$2,PURCHASE!$H$6:$H$10008,$A$4:$A$2700)</f>
        <v>0</v>
      </c>
      <c r="AV276" s="512">
        <f t="shared" si="101"/>
        <v>0</v>
      </c>
      <c r="AW276" s="512">
        <f>SUMIFS(PURCHASE!$K$6:$K$10008,PURCHASE!$A$6:$A$10008,$AV$2,PURCHASE!$H$6:$H$10008,$A$4:$A$2700)</f>
        <v>0</v>
      </c>
      <c r="AX276" s="512">
        <f>SUMIFS(PURCHASE!$L$6:$L$10008,PURCHASE!$A$6:$A$10008,$AV$2,PURCHASE!$H$6:$H$10008,$A$4:$A$2700)</f>
        <v>0</v>
      </c>
      <c r="AY276" s="512">
        <f>SUMIFS(PURCHASE!$M$6:$M$10008,PURCHASE!$A$6:$A$10008,$AV$2,PURCHASE!$H$6:$H$10008,$A$4:$A$2700)</f>
        <v>0</v>
      </c>
      <c r="AZ276" s="512">
        <f>SUMIFS(PURCHASE!$N$6:$N$10008,PURCHASE!$A$6:$A$10008,$AV$2,PURCHASE!$H$6:$H$10008,$A$4:$A$2700)</f>
        <v>0</v>
      </c>
      <c r="BA276" s="512">
        <f t="shared" si="102"/>
        <v>0</v>
      </c>
      <c r="BB276" s="512">
        <f>SUMIFS(PURCHASE!$K$6:$K$10008,PURCHASE!$A$6:$A$10008,$BA$2,PURCHASE!$H$6:$H$10008,$A$4:$A$2700)</f>
        <v>0</v>
      </c>
      <c r="BC276" s="512">
        <f>SUMIFS(PURCHASE!$L$6:$L$10008,PURCHASE!$A$6:$A$10008,$BA$2,PURCHASE!$H$6:$H$10008,$A$4:$A$2700)</f>
        <v>0</v>
      </c>
      <c r="BD276" s="512">
        <f>SUMIFS(PURCHASE!$M$6:$M$10008,PURCHASE!$A$6:$A$10008,$BA$2,PURCHASE!$H$6:$H$10008,$A$4:$A$2700)</f>
        <v>0</v>
      </c>
      <c r="BE276" s="512">
        <f>SUMIFS(PURCHASE!$N$6:$N$10008,PURCHASE!$A$6:$A$10008,$BA$2,PURCHASE!$H$6:$H$10008,$A$4:$A$2700)</f>
        <v>0</v>
      </c>
      <c r="BF276" s="512">
        <f t="shared" si="103"/>
        <v>0</v>
      </c>
      <c r="BG276" s="512">
        <f>SUMIFS(PURCHASE!$K$6:$K$10008,PURCHASE!$A$6:$A$10008,$BF$2,PURCHASE!$H$6:$H$10008,$A$4:$A$2700)</f>
        <v>0</v>
      </c>
      <c r="BH276" s="512">
        <f>SUMIFS(PURCHASE!$L$6:$L$10008,PURCHASE!$A$6:$A$10008,$BF$2,PURCHASE!$H$6:$H$10008,$A$4:$A$2700)</f>
        <v>0</v>
      </c>
      <c r="BI276" s="512">
        <f>SUMIFS(PURCHASE!$M$6:$M$10008,PURCHASE!$A$6:$A$10008,$BF$2,PURCHASE!$H$6:$H$10008,$A$4:$A$2700)</f>
        <v>0</v>
      </c>
      <c r="BJ276" s="512">
        <f>SUMIFS(PURCHASE!$N$6:$N$10008,PURCHASE!$A$6:$A$10008,$BF$2,PURCHASE!$H$6:$H$10008,$A$4:$A$2700)</f>
        <v>0</v>
      </c>
      <c r="BK276" s="72">
        <f t="shared" si="75"/>
        <v>3020.8</v>
      </c>
      <c r="BL276" s="72">
        <f t="shared" si="76"/>
        <v>2560</v>
      </c>
      <c r="BM276" s="72">
        <f t="shared" si="77"/>
        <v>0</v>
      </c>
      <c r="BN276" s="72">
        <f t="shared" si="78"/>
        <v>230.4</v>
      </c>
      <c r="BO276" s="72">
        <f t="shared" si="79"/>
        <v>230.4</v>
      </c>
    </row>
    <row r="277" spans="1:67" x14ac:dyDescent="0.2">
      <c r="A277" s="519">
        <v>21069099</v>
      </c>
      <c r="B277" s="499" t="s">
        <v>3354</v>
      </c>
      <c r="C277" s="512">
        <f t="shared" si="92"/>
        <v>0</v>
      </c>
      <c r="D277" s="512">
        <f>SUMIFS(PURCHASE!$K$6:$K$10008,PURCHASE!$A$6:$A$10008,$M$2,PURCHASE!$H$6:$H$10008,$A$4:$A$2700)</f>
        <v>0</v>
      </c>
      <c r="E277" s="512">
        <f>SUMIFS(PURCHASE!$L$6:$L$10008,PURCHASE!$A$6:$A$10008,$M$2,PURCHASE!$H$6:$H$10008,$A$4:$A$2700)</f>
        <v>0</v>
      </c>
      <c r="F277" s="512">
        <f>SUMIFS(PURCHASE!$M$6:$M$10008,PURCHASE!$A$6:$A$10008,$M$2,PURCHASE!$H$6:$H$10008,$A$4:$A$2700)</f>
        <v>0</v>
      </c>
      <c r="G277" s="512">
        <f>SUMIFS(PURCHASE!$N$6:$N$10008,PURCHASE!$A$6:$A$10008,$M$2,PURCHASE!$H$6:$H$10008,$A$4:$A$2700)</f>
        <v>0</v>
      </c>
      <c r="H277" s="512">
        <f t="shared" si="93"/>
        <v>0</v>
      </c>
      <c r="I277" s="512">
        <f>SUMIFS(PURCHASE!$K$6:$K$10008,PURCHASE!$A$6:$A$10008,$H$2,PURCHASE!$H$6:$H$10008,$A$4:$A$2700)</f>
        <v>0</v>
      </c>
      <c r="J277" s="512">
        <f>SUMIFS(PURCHASE!$L$6:$L$10008,PURCHASE!$A$6:$A$10008,$H$2,PURCHASE!$H$6:$H$10008,$A$4:$A$2700)</f>
        <v>0</v>
      </c>
      <c r="K277" s="512">
        <f>SUMIFS(PURCHASE!$M$6:$M$10008,PURCHASE!$A$6:$A$10008,$H$2,PURCHASE!$H$6:$H$10008,$A$4:$A$2700)</f>
        <v>0</v>
      </c>
      <c r="L277" s="512">
        <f>SUMIFS(PURCHASE!$N$6:$N$10008,PURCHASE!$A$6:$A$10008,$H$2,PURCHASE!$H$6:$H$10008,$A$4:$A$2700)</f>
        <v>0</v>
      </c>
      <c r="M277" s="512">
        <f t="shared" si="94"/>
        <v>0</v>
      </c>
      <c r="N277" s="512">
        <f>SUMIFS(PURCHASE!$K$6:$K$10008,PURCHASE!$A$6:$A$10008,$M$2,PURCHASE!$H$6:$H$10008,$A$4:$A$2700)</f>
        <v>0</v>
      </c>
      <c r="O277" s="512">
        <f>SUMIFS(PURCHASE!$L$6:$L$10008,PURCHASE!$A$6:$A$10008,$M$2,PURCHASE!$H$6:$H$10008,$A$4:$A$2700)</f>
        <v>0</v>
      </c>
      <c r="P277" s="512">
        <f>SUMIFS(PURCHASE!$M$6:$M$10008,PURCHASE!$A$6:$A$10008,$M$2,PURCHASE!$H$6:$H$10008,$A$4:$A$2700)</f>
        <v>0</v>
      </c>
      <c r="Q277" s="512">
        <f>SUMIFS(PURCHASE!$N$6:$N$10008,PURCHASE!$A$6:$A$10008,$M$2,PURCHASE!$H$6:$H$10008,$A$4:$A$2700)</f>
        <v>0</v>
      </c>
      <c r="R277" s="512">
        <f t="shared" si="95"/>
        <v>0</v>
      </c>
      <c r="S277" s="512">
        <f>SUMIFS(PURCHASE!$K$6:$K$10008,PURCHASE!$A$6:$A$10008,$R$2,PURCHASE!$H$6:$H$10008,$A$4:$A$2700)</f>
        <v>0</v>
      </c>
      <c r="T277" s="512">
        <f>SUMIFS(PURCHASE!$L$6:$L$10008,PURCHASE!$A$6:$A$10008,$R$2,PURCHASE!$H$6:$H$10008,$A$4:$A$2700)</f>
        <v>0</v>
      </c>
      <c r="U277" s="512">
        <f>SUMIFS(PURCHASE!$M$6:$M$10008,PURCHASE!$A$6:$A$10008,$R$2,PURCHASE!$H$6:$H$10008,$A$4:$A$2700)</f>
        <v>0</v>
      </c>
      <c r="V277" s="512">
        <f>SUMIFS(PURCHASE!$N$6:$N$10008,PURCHASE!$A$6:$A$10008,$R$2,PURCHASE!$H$6:$H$10008,$A$4:$A$2700)</f>
        <v>0</v>
      </c>
      <c r="W277" s="512">
        <f t="shared" si="96"/>
        <v>0</v>
      </c>
      <c r="X277" s="512">
        <f>SUMIFS(PURCHASE!$K$6:$K$10008,PURCHASE!$A$6:$A$10008,$W$2,PURCHASE!$H$6:$H$10008,$A$4:$A$2700)</f>
        <v>0</v>
      </c>
      <c r="Y277" s="512">
        <f>SUMIFS(PURCHASE!$L$6:$L$10008,PURCHASE!$A$6:$A$10008,$W$2,PURCHASE!$H$6:$H$10008,$A$4:$A$2700)</f>
        <v>0</v>
      </c>
      <c r="Z277" s="512">
        <f>SUMIFS(PURCHASE!$M$6:$M$10008,PURCHASE!$A$6:$A$10008,$W$2,PURCHASE!$H$6:$H$10008,$A$4:$A$2700)</f>
        <v>0</v>
      </c>
      <c r="AA277" s="512">
        <f>SUMIFS(PURCHASE!$N$6:$N$10008,PURCHASE!$A$6:$A$10008,$W$2,PURCHASE!$H$6:$H$10008,$A$4:$A$2700)</f>
        <v>0</v>
      </c>
      <c r="AB277" s="512">
        <f t="shared" si="97"/>
        <v>0</v>
      </c>
      <c r="AC277" s="512">
        <f>SUMIFS(PURCHASE!$K$6:$K$10008,PURCHASE!$A$6:$A$10008,$AB$2,PURCHASE!$H$6:$H$10008,$A$4:$A$2700)</f>
        <v>0</v>
      </c>
      <c r="AD277" s="512">
        <f>SUMIFS(PURCHASE!$L$6:$L$10008,PURCHASE!$A$6:$A$10008,$AB$2,PURCHASE!$H$6:$H$10008,$A$4:$A$2700)</f>
        <v>0</v>
      </c>
      <c r="AE277" s="512">
        <f>SUMIFS(PURCHASE!$M$6:$M$10008,PURCHASE!$A$6:$A$10008,$AB$2,PURCHASE!$H$6:$H$10008,$A$4:$A$2700)</f>
        <v>0</v>
      </c>
      <c r="AF277" s="512">
        <f>SUMIFS(PURCHASE!$N$6:$N$10008,PURCHASE!$A$6:$A$10008,$AB$2,PURCHASE!$H$6:$H$10008,$A$4:$A$2700)</f>
        <v>0</v>
      </c>
      <c r="AG277" s="512">
        <f t="shared" si="98"/>
        <v>33000.351999999999</v>
      </c>
      <c r="AH277" s="512">
        <f>SUMIFS(PURCHASE!$K$6:$K$10008,PURCHASE!$A$6:$A$10008,$AG$2,PURCHASE!$H$6:$H$10008,$A$4:$A$2700)</f>
        <v>29464.6</v>
      </c>
      <c r="AI277" s="512">
        <f>SUMIFS(PURCHASE!$L$6:$L$10008,PURCHASE!$A$6:$A$10008,$AG$2,PURCHASE!$H$6:$H$10008,$A$4:$A$2700)</f>
        <v>0</v>
      </c>
      <c r="AJ277" s="512">
        <f>SUMIFS(PURCHASE!$M$6:$M$10008,PURCHASE!$A$6:$A$10008,$AG$2,PURCHASE!$H$6:$H$10008,$A$4:$A$2700)</f>
        <v>1767.8759999999997</v>
      </c>
      <c r="AK277" s="512">
        <f>SUMIFS(PURCHASE!$N$6:$N$10008,PURCHASE!$A$6:$A$10008,$AG$2,PURCHASE!$H$6:$H$10008,$A$4:$A$2700)</f>
        <v>1767.8759999999997</v>
      </c>
      <c r="AL277" s="512">
        <f t="shared" si="99"/>
        <v>0</v>
      </c>
      <c r="AM277" s="512">
        <f>SUMIFS(PURCHASE!$K$6:$K$10008,PURCHASE!$A$6:$A$10008,$AL$2,PURCHASE!$H$6:$H$10008,$A$4:$A$2700)</f>
        <v>0</v>
      </c>
      <c r="AN277" s="512">
        <f>SUMIFS(PURCHASE!$L$6:$L$10008,PURCHASE!$A$6:$A$10008,$AL$2,PURCHASE!$H$6:$H$10008,$A$4:$A$2700)</f>
        <v>0</v>
      </c>
      <c r="AO277" s="512">
        <f>SUMIFS(PURCHASE!$M$6:$M$10008,PURCHASE!$A$6:$A$10008,$AL$2,PURCHASE!$H$6:$H$10008,$A$4:$A$2700)</f>
        <v>0</v>
      </c>
      <c r="AP277" s="512">
        <f>SUMIFS(PURCHASE!$N$6:$N$10008,PURCHASE!$A$6:$A$10008,$AL$2,PURCHASE!$H$6:$H$10008,$A$4:$A$2700)</f>
        <v>0</v>
      </c>
      <c r="AQ277" s="512">
        <f t="shared" si="100"/>
        <v>0</v>
      </c>
      <c r="AR277" s="512">
        <f>SUMIFS(PURCHASE!$K$6:$K$10008,PURCHASE!$A$6:$A$10008,$AQ$2,PURCHASE!$H$6:$H$10008,$A$4:$A$2700)</f>
        <v>0</v>
      </c>
      <c r="AS277" s="512">
        <f>SUMIFS(PURCHASE!$L$6:$L$10008,PURCHASE!$A$6:$A$10008,$AQ$2,PURCHASE!$H$6:$H$10008,$A$4:$A$2700)</f>
        <v>0</v>
      </c>
      <c r="AT277" s="512">
        <f>SUMIFS(PURCHASE!$M$6:$M$10008,PURCHASE!$A$6:$A$10008,$AQ$2,PURCHASE!$H$6:$H$10008,$A$4:$A$2700)</f>
        <v>0</v>
      </c>
      <c r="AU277" s="512">
        <f>SUMIFS(PURCHASE!$N$6:$N$10008,PURCHASE!$A$6:$A$10008,$AQ$2,PURCHASE!$H$6:$H$10008,$A$4:$A$2700)</f>
        <v>0</v>
      </c>
      <c r="AV277" s="512">
        <f t="shared" si="101"/>
        <v>0</v>
      </c>
      <c r="AW277" s="512">
        <f>SUMIFS(PURCHASE!$K$6:$K$10008,PURCHASE!$A$6:$A$10008,$AV$2,PURCHASE!$H$6:$H$10008,$A$4:$A$2700)</f>
        <v>0</v>
      </c>
      <c r="AX277" s="512">
        <f>SUMIFS(PURCHASE!$L$6:$L$10008,PURCHASE!$A$6:$A$10008,$AV$2,PURCHASE!$H$6:$H$10008,$A$4:$A$2700)</f>
        <v>0</v>
      </c>
      <c r="AY277" s="512">
        <f>SUMIFS(PURCHASE!$M$6:$M$10008,PURCHASE!$A$6:$A$10008,$AV$2,PURCHASE!$H$6:$H$10008,$A$4:$A$2700)</f>
        <v>0</v>
      </c>
      <c r="AZ277" s="512">
        <f>SUMIFS(PURCHASE!$N$6:$N$10008,PURCHASE!$A$6:$A$10008,$AV$2,PURCHASE!$H$6:$H$10008,$A$4:$A$2700)</f>
        <v>0</v>
      </c>
      <c r="BA277" s="512">
        <f t="shared" si="102"/>
        <v>0</v>
      </c>
      <c r="BB277" s="512">
        <f>SUMIFS(PURCHASE!$K$6:$K$10008,PURCHASE!$A$6:$A$10008,$BA$2,PURCHASE!$H$6:$H$10008,$A$4:$A$2700)</f>
        <v>0</v>
      </c>
      <c r="BC277" s="512">
        <f>SUMIFS(PURCHASE!$L$6:$L$10008,PURCHASE!$A$6:$A$10008,$BA$2,PURCHASE!$H$6:$H$10008,$A$4:$A$2700)</f>
        <v>0</v>
      </c>
      <c r="BD277" s="512">
        <f>SUMIFS(PURCHASE!$M$6:$M$10008,PURCHASE!$A$6:$A$10008,$BA$2,PURCHASE!$H$6:$H$10008,$A$4:$A$2700)</f>
        <v>0</v>
      </c>
      <c r="BE277" s="512">
        <f>SUMIFS(PURCHASE!$N$6:$N$10008,PURCHASE!$A$6:$A$10008,$BA$2,PURCHASE!$H$6:$H$10008,$A$4:$A$2700)</f>
        <v>0</v>
      </c>
      <c r="BF277" s="512">
        <f t="shared" si="103"/>
        <v>0</v>
      </c>
      <c r="BG277" s="512">
        <f>SUMIFS(PURCHASE!$K$6:$K$10008,PURCHASE!$A$6:$A$10008,$BF$2,PURCHASE!$H$6:$H$10008,$A$4:$A$2700)</f>
        <v>0</v>
      </c>
      <c r="BH277" s="512">
        <f>SUMIFS(PURCHASE!$L$6:$L$10008,PURCHASE!$A$6:$A$10008,$BF$2,PURCHASE!$H$6:$H$10008,$A$4:$A$2700)</f>
        <v>0</v>
      </c>
      <c r="BI277" s="512">
        <f>SUMIFS(PURCHASE!$M$6:$M$10008,PURCHASE!$A$6:$A$10008,$BF$2,PURCHASE!$H$6:$H$10008,$A$4:$A$2700)</f>
        <v>0</v>
      </c>
      <c r="BJ277" s="512">
        <f>SUMIFS(PURCHASE!$N$6:$N$10008,PURCHASE!$A$6:$A$10008,$BF$2,PURCHASE!$H$6:$H$10008,$A$4:$A$2700)</f>
        <v>0</v>
      </c>
      <c r="BK277" s="72">
        <f t="shared" si="75"/>
        <v>33000.351999999999</v>
      </c>
      <c r="BL277" s="72">
        <f t="shared" si="76"/>
        <v>29464.6</v>
      </c>
      <c r="BM277" s="72">
        <f t="shared" si="77"/>
        <v>0</v>
      </c>
      <c r="BN277" s="72">
        <f t="shared" si="78"/>
        <v>1767.8759999999997</v>
      </c>
      <c r="BO277" s="72">
        <f t="shared" si="79"/>
        <v>1767.8759999999997</v>
      </c>
    </row>
    <row r="278" spans="1:67" x14ac:dyDescent="0.2">
      <c r="A278" s="511">
        <v>85414020</v>
      </c>
      <c r="B278" s="467" t="s">
        <v>1281</v>
      </c>
      <c r="C278" s="512">
        <f t="shared" si="92"/>
        <v>0</v>
      </c>
      <c r="D278" s="512">
        <f>SUMIFS(PURCHASE!$K$6:$K$10008,PURCHASE!$A$6:$A$10008,$M$2,PURCHASE!$H$6:$H$10008,$A$4:$A$2700)</f>
        <v>0</v>
      </c>
      <c r="E278" s="512">
        <f>SUMIFS(PURCHASE!$L$6:$L$10008,PURCHASE!$A$6:$A$10008,$M$2,PURCHASE!$H$6:$H$10008,$A$4:$A$2700)</f>
        <v>0</v>
      </c>
      <c r="F278" s="512">
        <f>SUMIFS(PURCHASE!$M$6:$M$10008,PURCHASE!$A$6:$A$10008,$M$2,PURCHASE!$H$6:$H$10008,$A$4:$A$2700)</f>
        <v>0</v>
      </c>
      <c r="G278" s="512">
        <f>SUMIFS(PURCHASE!$N$6:$N$10008,PURCHASE!$A$6:$A$10008,$M$2,PURCHASE!$H$6:$H$10008,$A$4:$A$2700)</f>
        <v>0</v>
      </c>
      <c r="H278" s="512">
        <f t="shared" si="93"/>
        <v>0</v>
      </c>
      <c r="I278" s="512">
        <f>SUMIFS(PURCHASE!$K$6:$K$10008,PURCHASE!$A$6:$A$10008,$H$2,PURCHASE!$H$6:$H$10008,$A$4:$A$2700)</f>
        <v>0</v>
      </c>
      <c r="J278" s="512">
        <f>SUMIFS(PURCHASE!$L$6:$L$10008,PURCHASE!$A$6:$A$10008,$H$2,PURCHASE!$H$6:$H$10008,$A$4:$A$2700)</f>
        <v>0</v>
      </c>
      <c r="K278" s="512">
        <f>SUMIFS(PURCHASE!$M$6:$M$10008,PURCHASE!$A$6:$A$10008,$H$2,PURCHASE!$H$6:$H$10008,$A$4:$A$2700)</f>
        <v>0</v>
      </c>
      <c r="L278" s="512">
        <f>SUMIFS(PURCHASE!$N$6:$N$10008,PURCHASE!$A$6:$A$10008,$H$2,PURCHASE!$H$6:$H$10008,$A$4:$A$2700)</f>
        <v>0</v>
      </c>
      <c r="M278" s="512">
        <f t="shared" si="94"/>
        <v>0</v>
      </c>
      <c r="N278" s="512">
        <f>SUMIFS(PURCHASE!$K$6:$K$10008,PURCHASE!$A$6:$A$10008,$M$2,PURCHASE!$H$6:$H$10008,$A$4:$A$2700)</f>
        <v>0</v>
      </c>
      <c r="O278" s="512">
        <f>SUMIFS(PURCHASE!$L$6:$L$10008,PURCHASE!$A$6:$A$10008,$M$2,PURCHASE!$H$6:$H$10008,$A$4:$A$2700)</f>
        <v>0</v>
      </c>
      <c r="P278" s="512">
        <f>SUMIFS(PURCHASE!$M$6:$M$10008,PURCHASE!$A$6:$A$10008,$M$2,PURCHASE!$H$6:$H$10008,$A$4:$A$2700)</f>
        <v>0</v>
      </c>
      <c r="Q278" s="512">
        <f>SUMIFS(PURCHASE!$N$6:$N$10008,PURCHASE!$A$6:$A$10008,$M$2,PURCHASE!$H$6:$H$10008,$A$4:$A$2700)</f>
        <v>0</v>
      </c>
      <c r="R278" s="512">
        <f t="shared" si="95"/>
        <v>0</v>
      </c>
      <c r="S278" s="512">
        <f>SUMIFS(PURCHASE!$K$6:$K$10008,PURCHASE!$A$6:$A$10008,$R$2,PURCHASE!$H$6:$H$10008,$A$4:$A$2700)</f>
        <v>0</v>
      </c>
      <c r="T278" s="512">
        <f>SUMIFS(PURCHASE!$L$6:$L$10008,PURCHASE!$A$6:$A$10008,$R$2,PURCHASE!$H$6:$H$10008,$A$4:$A$2700)</f>
        <v>0</v>
      </c>
      <c r="U278" s="512">
        <f>SUMIFS(PURCHASE!$M$6:$M$10008,PURCHASE!$A$6:$A$10008,$R$2,PURCHASE!$H$6:$H$10008,$A$4:$A$2700)</f>
        <v>0</v>
      </c>
      <c r="V278" s="512">
        <f>SUMIFS(PURCHASE!$N$6:$N$10008,PURCHASE!$A$6:$A$10008,$R$2,PURCHASE!$H$6:$H$10008,$A$4:$A$2700)</f>
        <v>0</v>
      </c>
      <c r="W278" s="512">
        <f t="shared" si="96"/>
        <v>0</v>
      </c>
      <c r="X278" s="512">
        <f>SUMIFS(PURCHASE!$K$6:$K$10008,PURCHASE!$A$6:$A$10008,$W$2,PURCHASE!$H$6:$H$10008,$A$4:$A$2700)</f>
        <v>0</v>
      </c>
      <c r="Y278" s="512">
        <f>SUMIFS(PURCHASE!$L$6:$L$10008,PURCHASE!$A$6:$A$10008,$W$2,PURCHASE!$H$6:$H$10008,$A$4:$A$2700)</f>
        <v>0</v>
      </c>
      <c r="Z278" s="512">
        <f>SUMIFS(PURCHASE!$M$6:$M$10008,PURCHASE!$A$6:$A$10008,$W$2,PURCHASE!$H$6:$H$10008,$A$4:$A$2700)</f>
        <v>0</v>
      </c>
      <c r="AA278" s="512">
        <f>SUMIFS(PURCHASE!$N$6:$N$10008,PURCHASE!$A$6:$A$10008,$W$2,PURCHASE!$H$6:$H$10008,$A$4:$A$2700)</f>
        <v>0</v>
      </c>
      <c r="AB278" s="512">
        <f t="shared" si="97"/>
        <v>0</v>
      </c>
      <c r="AC278" s="512">
        <f>SUMIFS(PURCHASE!$K$6:$K$10008,PURCHASE!$A$6:$A$10008,$AB$2,PURCHASE!$H$6:$H$10008,$A$4:$A$2700)</f>
        <v>0</v>
      </c>
      <c r="AD278" s="512">
        <f>SUMIFS(PURCHASE!$L$6:$L$10008,PURCHASE!$A$6:$A$10008,$AB$2,PURCHASE!$H$6:$H$10008,$A$4:$A$2700)</f>
        <v>0</v>
      </c>
      <c r="AE278" s="512">
        <f>SUMIFS(PURCHASE!$M$6:$M$10008,PURCHASE!$A$6:$A$10008,$AB$2,PURCHASE!$H$6:$H$10008,$A$4:$A$2700)</f>
        <v>0</v>
      </c>
      <c r="AF278" s="512">
        <f>SUMIFS(PURCHASE!$N$6:$N$10008,PURCHASE!$A$6:$A$10008,$AB$2,PURCHASE!$H$6:$H$10008,$A$4:$A$2700)</f>
        <v>0</v>
      </c>
      <c r="AG278" s="512">
        <f t="shared" si="98"/>
        <v>715.57560000000001</v>
      </c>
      <c r="AH278" s="512">
        <f>SUMIFS(PURCHASE!$K$6:$K$10008,PURCHASE!$A$6:$A$10008,$AG$2,PURCHASE!$H$6:$H$10008,$A$4:$A$2700)</f>
        <v>606.41999999999996</v>
      </c>
      <c r="AI278" s="512">
        <f>SUMIFS(PURCHASE!$L$6:$L$10008,PURCHASE!$A$6:$A$10008,$AG$2,PURCHASE!$H$6:$H$10008,$A$4:$A$2700)</f>
        <v>0</v>
      </c>
      <c r="AJ278" s="512">
        <f>SUMIFS(PURCHASE!$M$6:$M$10008,PURCHASE!$A$6:$A$10008,$AG$2,PURCHASE!$H$6:$H$10008,$A$4:$A$2700)</f>
        <v>54.577799999999996</v>
      </c>
      <c r="AK278" s="512">
        <f>SUMIFS(PURCHASE!$N$6:$N$10008,PURCHASE!$A$6:$A$10008,$AG$2,PURCHASE!$H$6:$H$10008,$A$4:$A$2700)</f>
        <v>54.577799999999996</v>
      </c>
      <c r="AL278" s="512">
        <f t="shared" si="99"/>
        <v>0</v>
      </c>
      <c r="AM278" s="512">
        <f>SUMIFS(PURCHASE!$K$6:$K$10008,PURCHASE!$A$6:$A$10008,$AL$2,PURCHASE!$H$6:$H$10008,$A$4:$A$2700)</f>
        <v>0</v>
      </c>
      <c r="AN278" s="512">
        <f>SUMIFS(PURCHASE!$L$6:$L$10008,PURCHASE!$A$6:$A$10008,$AL$2,PURCHASE!$H$6:$H$10008,$A$4:$A$2700)</f>
        <v>0</v>
      </c>
      <c r="AO278" s="512">
        <f>SUMIFS(PURCHASE!$M$6:$M$10008,PURCHASE!$A$6:$A$10008,$AL$2,PURCHASE!$H$6:$H$10008,$A$4:$A$2700)</f>
        <v>0</v>
      </c>
      <c r="AP278" s="512">
        <f>SUMIFS(PURCHASE!$N$6:$N$10008,PURCHASE!$A$6:$A$10008,$AL$2,PURCHASE!$H$6:$H$10008,$A$4:$A$2700)</f>
        <v>0</v>
      </c>
      <c r="AQ278" s="512">
        <f t="shared" si="100"/>
        <v>0</v>
      </c>
      <c r="AR278" s="512">
        <f>SUMIFS(PURCHASE!$K$6:$K$10008,PURCHASE!$A$6:$A$10008,$AQ$2,PURCHASE!$H$6:$H$10008,$A$4:$A$2700)</f>
        <v>0</v>
      </c>
      <c r="AS278" s="512">
        <f>SUMIFS(PURCHASE!$L$6:$L$10008,PURCHASE!$A$6:$A$10008,$AQ$2,PURCHASE!$H$6:$H$10008,$A$4:$A$2700)</f>
        <v>0</v>
      </c>
      <c r="AT278" s="512">
        <f>SUMIFS(PURCHASE!$M$6:$M$10008,PURCHASE!$A$6:$A$10008,$AQ$2,PURCHASE!$H$6:$H$10008,$A$4:$A$2700)</f>
        <v>0</v>
      </c>
      <c r="AU278" s="512">
        <f>SUMIFS(PURCHASE!$N$6:$N$10008,PURCHASE!$A$6:$A$10008,$AQ$2,PURCHASE!$H$6:$H$10008,$A$4:$A$2700)</f>
        <v>0</v>
      </c>
      <c r="AV278" s="512">
        <f t="shared" si="101"/>
        <v>0</v>
      </c>
      <c r="AW278" s="512">
        <f>SUMIFS(PURCHASE!$K$6:$K$10008,PURCHASE!$A$6:$A$10008,$AV$2,PURCHASE!$H$6:$H$10008,$A$4:$A$2700)</f>
        <v>0</v>
      </c>
      <c r="AX278" s="512">
        <f>SUMIFS(PURCHASE!$L$6:$L$10008,PURCHASE!$A$6:$A$10008,$AV$2,PURCHASE!$H$6:$H$10008,$A$4:$A$2700)</f>
        <v>0</v>
      </c>
      <c r="AY278" s="512">
        <f>SUMIFS(PURCHASE!$M$6:$M$10008,PURCHASE!$A$6:$A$10008,$AV$2,PURCHASE!$H$6:$H$10008,$A$4:$A$2700)</f>
        <v>0</v>
      </c>
      <c r="AZ278" s="512">
        <f>SUMIFS(PURCHASE!$N$6:$N$10008,PURCHASE!$A$6:$A$10008,$AV$2,PURCHASE!$H$6:$H$10008,$A$4:$A$2700)</f>
        <v>0</v>
      </c>
      <c r="BA278" s="512">
        <f t="shared" si="102"/>
        <v>0</v>
      </c>
      <c r="BB278" s="512">
        <f>SUMIFS(PURCHASE!$K$6:$K$10008,PURCHASE!$A$6:$A$10008,$BA$2,PURCHASE!$H$6:$H$10008,$A$4:$A$2700)</f>
        <v>0</v>
      </c>
      <c r="BC278" s="512">
        <f>SUMIFS(PURCHASE!$L$6:$L$10008,PURCHASE!$A$6:$A$10008,$BA$2,PURCHASE!$H$6:$H$10008,$A$4:$A$2700)</f>
        <v>0</v>
      </c>
      <c r="BD278" s="512">
        <f>SUMIFS(PURCHASE!$M$6:$M$10008,PURCHASE!$A$6:$A$10008,$BA$2,PURCHASE!$H$6:$H$10008,$A$4:$A$2700)</f>
        <v>0</v>
      </c>
      <c r="BE278" s="512">
        <f>SUMIFS(PURCHASE!$N$6:$N$10008,PURCHASE!$A$6:$A$10008,$BA$2,PURCHASE!$H$6:$H$10008,$A$4:$A$2700)</f>
        <v>0</v>
      </c>
      <c r="BF278" s="512">
        <f t="shared" si="103"/>
        <v>0</v>
      </c>
      <c r="BG278" s="512">
        <f>SUMIFS(PURCHASE!$K$6:$K$10008,PURCHASE!$A$6:$A$10008,$BF$2,PURCHASE!$H$6:$H$10008,$A$4:$A$2700)</f>
        <v>0</v>
      </c>
      <c r="BH278" s="512">
        <f>SUMIFS(PURCHASE!$L$6:$L$10008,PURCHASE!$A$6:$A$10008,$BF$2,PURCHASE!$H$6:$H$10008,$A$4:$A$2700)</f>
        <v>0</v>
      </c>
      <c r="BI278" s="512">
        <f>SUMIFS(PURCHASE!$M$6:$M$10008,PURCHASE!$A$6:$A$10008,$BF$2,PURCHASE!$H$6:$H$10008,$A$4:$A$2700)</f>
        <v>0</v>
      </c>
      <c r="BJ278" s="512">
        <f>SUMIFS(PURCHASE!$N$6:$N$10008,PURCHASE!$A$6:$A$10008,$BF$2,PURCHASE!$H$6:$H$10008,$A$4:$A$2700)</f>
        <v>0</v>
      </c>
      <c r="BK278" s="72">
        <f t="shared" si="75"/>
        <v>715.57560000000001</v>
      </c>
      <c r="BL278" s="72">
        <f t="shared" si="76"/>
        <v>606.41999999999996</v>
      </c>
      <c r="BM278" s="72">
        <f t="shared" si="77"/>
        <v>0</v>
      </c>
      <c r="BN278" s="72">
        <f t="shared" si="78"/>
        <v>54.577799999999996</v>
      </c>
      <c r="BO278" s="72">
        <f t="shared" si="79"/>
        <v>54.577799999999996</v>
      </c>
    </row>
    <row r="279" spans="1:67" x14ac:dyDescent="0.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s="72">
        <f t="shared" si="75"/>
        <v>0</v>
      </c>
      <c r="BL279" s="72">
        <f t="shared" si="76"/>
        <v>0</v>
      </c>
      <c r="BM279" s="72">
        <f t="shared" si="77"/>
        <v>0</v>
      </c>
      <c r="BN279" s="72">
        <f t="shared" si="78"/>
        <v>0</v>
      </c>
      <c r="BO279" s="72">
        <f t="shared" si="79"/>
        <v>0</v>
      </c>
    </row>
    <row r="280" spans="1:67" x14ac:dyDescent="0.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s="72">
        <f t="shared" si="75"/>
        <v>0</v>
      </c>
      <c r="BL280" s="72">
        <f t="shared" si="76"/>
        <v>0</v>
      </c>
      <c r="BM280" s="72">
        <f t="shared" si="77"/>
        <v>0</v>
      </c>
      <c r="BN280" s="72">
        <f t="shared" si="78"/>
        <v>0</v>
      </c>
      <c r="BO280" s="72">
        <f t="shared" si="79"/>
        <v>0</v>
      </c>
    </row>
    <row r="281" spans="1:67" x14ac:dyDescent="0.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72"/>
      <c r="BI281" s="72"/>
      <c r="BJ281" s="72"/>
      <c r="BK281" s="72">
        <f t="shared" si="75"/>
        <v>0</v>
      </c>
      <c r="BL281" s="72">
        <f t="shared" si="76"/>
        <v>0</v>
      </c>
      <c r="BM281" s="72">
        <f t="shared" si="77"/>
        <v>0</v>
      </c>
      <c r="BN281" s="72">
        <f t="shared" si="78"/>
        <v>0</v>
      </c>
      <c r="BO281" s="72">
        <f t="shared" si="79"/>
        <v>0</v>
      </c>
    </row>
    <row r="282" spans="1:67" x14ac:dyDescent="0.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s="72">
        <f t="shared" si="75"/>
        <v>0</v>
      </c>
      <c r="BL282" s="72">
        <f t="shared" si="76"/>
        <v>0</v>
      </c>
      <c r="BM282" s="72">
        <f t="shared" si="77"/>
        <v>0</v>
      </c>
      <c r="BN282" s="72">
        <f t="shared" si="78"/>
        <v>0</v>
      </c>
      <c r="BO282" s="72">
        <f t="shared" si="79"/>
        <v>0</v>
      </c>
    </row>
    <row r="283" spans="1:67" x14ac:dyDescent="0.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s="72">
        <f t="shared" si="75"/>
        <v>0</v>
      </c>
      <c r="BL283" s="72">
        <f t="shared" si="76"/>
        <v>0</v>
      </c>
      <c r="BM283" s="72">
        <f t="shared" si="77"/>
        <v>0</v>
      </c>
      <c r="BN283" s="72">
        <f t="shared" si="78"/>
        <v>0</v>
      </c>
      <c r="BO283" s="72">
        <f t="shared" si="79"/>
        <v>0</v>
      </c>
    </row>
    <row r="284" spans="1:67" x14ac:dyDescent="0.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s="72">
        <f t="shared" si="75"/>
        <v>0</v>
      </c>
      <c r="BL284" s="72">
        <f t="shared" si="76"/>
        <v>0</v>
      </c>
      <c r="BM284" s="72">
        <f t="shared" si="77"/>
        <v>0</v>
      </c>
      <c r="BN284" s="72">
        <f t="shared" si="78"/>
        <v>0</v>
      </c>
      <c r="BO284" s="72">
        <f t="shared" si="79"/>
        <v>0</v>
      </c>
    </row>
    <row r="285" spans="1:67" x14ac:dyDescent="0.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s="72">
        <f t="shared" si="75"/>
        <v>0</v>
      </c>
      <c r="BL285" s="72">
        <f t="shared" si="76"/>
        <v>0</v>
      </c>
      <c r="BM285" s="72">
        <f t="shared" si="77"/>
        <v>0</v>
      </c>
      <c r="BN285" s="72">
        <f t="shared" si="78"/>
        <v>0</v>
      </c>
      <c r="BO285" s="72">
        <f t="shared" si="79"/>
        <v>0</v>
      </c>
    </row>
    <row r="286" spans="1:67" x14ac:dyDescent="0.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s="72">
        <f t="shared" si="75"/>
        <v>0</v>
      </c>
      <c r="BL286" s="72">
        <f t="shared" si="76"/>
        <v>0</v>
      </c>
      <c r="BM286" s="72">
        <f t="shared" si="77"/>
        <v>0</v>
      </c>
      <c r="BN286" s="72">
        <f t="shared" si="78"/>
        <v>0</v>
      </c>
      <c r="BO286" s="72">
        <f t="shared" si="79"/>
        <v>0</v>
      </c>
    </row>
    <row r="287" spans="1:67" x14ac:dyDescent="0.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s="72">
        <f t="shared" si="75"/>
        <v>0</v>
      </c>
      <c r="BL287" s="72">
        <f t="shared" si="76"/>
        <v>0</v>
      </c>
      <c r="BM287" s="72">
        <f t="shared" si="77"/>
        <v>0</v>
      </c>
      <c r="BN287" s="72">
        <f t="shared" si="78"/>
        <v>0</v>
      </c>
      <c r="BO287" s="72">
        <f t="shared" si="79"/>
        <v>0</v>
      </c>
    </row>
    <row r="288" spans="1:67" x14ac:dyDescent="0.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s="72">
        <f t="shared" si="75"/>
        <v>0</v>
      </c>
      <c r="BL288" s="72">
        <f t="shared" si="76"/>
        <v>0</v>
      </c>
      <c r="BM288" s="72">
        <f t="shared" si="77"/>
        <v>0</v>
      </c>
      <c r="BN288" s="72">
        <f t="shared" si="78"/>
        <v>0</v>
      </c>
      <c r="BO288" s="72">
        <f t="shared" si="79"/>
        <v>0</v>
      </c>
    </row>
    <row r="289" spans="3:67" x14ac:dyDescent="0.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s="72">
        <f t="shared" si="75"/>
        <v>0</v>
      </c>
      <c r="BL289" s="72">
        <f t="shared" si="76"/>
        <v>0</v>
      </c>
      <c r="BM289" s="72">
        <f t="shared" si="77"/>
        <v>0</v>
      </c>
      <c r="BN289" s="72">
        <f t="shared" si="78"/>
        <v>0</v>
      </c>
      <c r="BO289" s="72">
        <f t="shared" si="79"/>
        <v>0</v>
      </c>
    </row>
    <row r="290" spans="3:67" x14ac:dyDescent="0.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s="72">
        <f t="shared" si="75"/>
        <v>0</v>
      </c>
      <c r="BL290" s="72">
        <f t="shared" si="76"/>
        <v>0</v>
      </c>
      <c r="BM290" s="72">
        <f t="shared" si="77"/>
        <v>0</v>
      </c>
      <c r="BN290" s="72">
        <f t="shared" si="78"/>
        <v>0</v>
      </c>
      <c r="BO290" s="72">
        <f t="shared" si="79"/>
        <v>0</v>
      </c>
    </row>
    <row r="291" spans="3:67" x14ac:dyDescent="0.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f t="shared" si="75"/>
        <v>0</v>
      </c>
      <c r="BL291" s="72">
        <f t="shared" si="76"/>
        <v>0</v>
      </c>
      <c r="BM291" s="72">
        <f t="shared" si="77"/>
        <v>0</v>
      </c>
      <c r="BN291" s="72">
        <f t="shared" si="78"/>
        <v>0</v>
      </c>
      <c r="BO291" s="72">
        <f t="shared" si="79"/>
        <v>0</v>
      </c>
    </row>
    <row r="292" spans="3:67" x14ac:dyDescent="0.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s="72">
        <f t="shared" si="75"/>
        <v>0</v>
      </c>
      <c r="BL292" s="72">
        <f t="shared" si="76"/>
        <v>0</v>
      </c>
      <c r="BM292" s="72">
        <f t="shared" si="77"/>
        <v>0</v>
      </c>
      <c r="BN292" s="72">
        <f t="shared" si="78"/>
        <v>0</v>
      </c>
      <c r="BO292" s="72">
        <f t="shared" si="79"/>
        <v>0</v>
      </c>
    </row>
    <row r="293" spans="3:67" x14ac:dyDescent="0.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s="72">
        <f t="shared" si="75"/>
        <v>0</v>
      </c>
      <c r="BL293" s="72">
        <f t="shared" si="76"/>
        <v>0</v>
      </c>
      <c r="BM293" s="72">
        <f t="shared" si="77"/>
        <v>0</v>
      </c>
      <c r="BN293" s="72">
        <f t="shared" si="78"/>
        <v>0</v>
      </c>
      <c r="BO293" s="72">
        <f t="shared" si="79"/>
        <v>0</v>
      </c>
    </row>
    <row r="294" spans="3:67" x14ac:dyDescent="0.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c r="AX294" s="72"/>
      <c r="AY294" s="72"/>
      <c r="AZ294" s="72"/>
      <c r="BA294" s="72"/>
      <c r="BB294" s="72"/>
      <c r="BC294" s="72"/>
      <c r="BD294" s="72"/>
      <c r="BE294" s="72"/>
      <c r="BF294" s="72"/>
      <c r="BG294" s="72"/>
      <c r="BH294" s="72"/>
      <c r="BI294" s="72"/>
      <c r="BJ294" s="72"/>
      <c r="BK294" s="72">
        <f t="shared" ref="BK294:BK347" si="104">+C294+H294+M294+R294+W294+AB294+AG294+AL294+AQ294+AV294+BA294+BF294</f>
        <v>0</v>
      </c>
      <c r="BL294" s="72">
        <f t="shared" ref="BL294:BL347" si="105">+D294+I294+N294+S294+X294+AC294+AH294+AM294+AR294+AW294+BB294+BG294</f>
        <v>0</v>
      </c>
      <c r="BM294" s="72">
        <f t="shared" ref="BM294:BM347" si="106">+E294+J294+O294+T294+Y294+AD294+AI294+AN294+AS294+AX294+BC294+BH294</f>
        <v>0</v>
      </c>
      <c r="BN294" s="72">
        <f t="shared" ref="BN294:BN347" si="107">+F294+K294+P294+U294+Z294+AE294+AJ294+AO294+AT294+AY294+BD294+BI294</f>
        <v>0</v>
      </c>
      <c r="BO294" s="72">
        <f t="shared" ref="BO294:BO347" si="108">+G294+L294+Q294+V294+AA294+AF294+AK294+AP294+AU294+AZ294+BE294+BJ294</f>
        <v>0</v>
      </c>
    </row>
    <row r="295" spans="3:67" x14ac:dyDescent="0.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c r="AX295" s="72"/>
      <c r="AY295" s="72"/>
      <c r="AZ295" s="72"/>
      <c r="BA295" s="72"/>
      <c r="BB295" s="72"/>
      <c r="BC295" s="72"/>
      <c r="BD295" s="72"/>
      <c r="BE295" s="72"/>
      <c r="BF295" s="72"/>
      <c r="BG295" s="72"/>
      <c r="BH295" s="72"/>
      <c r="BI295" s="72"/>
      <c r="BJ295" s="72"/>
      <c r="BK295" s="72">
        <f t="shared" si="104"/>
        <v>0</v>
      </c>
      <c r="BL295" s="72">
        <f t="shared" si="105"/>
        <v>0</v>
      </c>
      <c r="BM295" s="72">
        <f t="shared" si="106"/>
        <v>0</v>
      </c>
      <c r="BN295" s="72">
        <f t="shared" si="107"/>
        <v>0</v>
      </c>
      <c r="BO295" s="72">
        <f t="shared" si="108"/>
        <v>0</v>
      </c>
    </row>
    <row r="296" spans="3:67" x14ac:dyDescent="0.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c r="BC296" s="72"/>
      <c r="BD296" s="72"/>
      <c r="BE296" s="72"/>
      <c r="BF296" s="72"/>
      <c r="BG296" s="72"/>
      <c r="BH296" s="72"/>
      <c r="BI296" s="72"/>
      <c r="BJ296" s="72"/>
      <c r="BK296" s="72">
        <f t="shared" si="104"/>
        <v>0</v>
      </c>
      <c r="BL296" s="72">
        <f t="shared" si="105"/>
        <v>0</v>
      </c>
      <c r="BM296" s="72">
        <f t="shared" si="106"/>
        <v>0</v>
      </c>
      <c r="BN296" s="72">
        <f t="shared" si="107"/>
        <v>0</v>
      </c>
      <c r="BO296" s="72">
        <f t="shared" si="108"/>
        <v>0</v>
      </c>
    </row>
    <row r="297" spans="3:67" x14ac:dyDescent="0.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c r="BC297" s="72"/>
      <c r="BD297" s="72"/>
      <c r="BE297" s="72"/>
      <c r="BF297" s="72"/>
      <c r="BG297" s="72"/>
      <c r="BH297" s="72"/>
      <c r="BI297" s="72"/>
      <c r="BJ297" s="72"/>
      <c r="BK297" s="72">
        <f t="shared" si="104"/>
        <v>0</v>
      </c>
      <c r="BL297" s="72">
        <f t="shared" si="105"/>
        <v>0</v>
      </c>
      <c r="BM297" s="72">
        <f t="shared" si="106"/>
        <v>0</v>
      </c>
      <c r="BN297" s="72">
        <f t="shared" si="107"/>
        <v>0</v>
      </c>
      <c r="BO297" s="72">
        <f t="shared" si="108"/>
        <v>0</v>
      </c>
    </row>
    <row r="298" spans="3:67" x14ac:dyDescent="0.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2"/>
      <c r="BA298" s="72"/>
      <c r="BB298" s="72"/>
      <c r="BC298" s="72"/>
      <c r="BD298" s="72"/>
      <c r="BE298" s="72"/>
      <c r="BF298" s="72"/>
      <c r="BG298" s="72"/>
      <c r="BH298" s="72"/>
      <c r="BI298" s="72"/>
      <c r="BJ298" s="72"/>
      <c r="BK298" s="72">
        <f t="shared" si="104"/>
        <v>0</v>
      </c>
      <c r="BL298" s="72">
        <f t="shared" si="105"/>
        <v>0</v>
      </c>
      <c r="BM298" s="72">
        <f t="shared" si="106"/>
        <v>0</v>
      </c>
      <c r="BN298" s="72">
        <f t="shared" si="107"/>
        <v>0</v>
      </c>
      <c r="BO298" s="72">
        <f t="shared" si="108"/>
        <v>0</v>
      </c>
    </row>
    <row r="299" spans="3:67" x14ac:dyDescent="0.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f t="shared" si="104"/>
        <v>0</v>
      </c>
      <c r="BL299" s="72">
        <f t="shared" si="105"/>
        <v>0</v>
      </c>
      <c r="BM299" s="72">
        <f t="shared" si="106"/>
        <v>0</v>
      </c>
      <c r="BN299" s="72">
        <f t="shared" si="107"/>
        <v>0</v>
      </c>
      <c r="BO299" s="72">
        <f t="shared" si="108"/>
        <v>0</v>
      </c>
    </row>
    <row r="300" spans="3:67" x14ac:dyDescent="0.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f t="shared" si="104"/>
        <v>0</v>
      </c>
      <c r="BL300" s="72">
        <f t="shared" si="105"/>
        <v>0</v>
      </c>
      <c r="BM300" s="72">
        <f t="shared" si="106"/>
        <v>0</v>
      </c>
      <c r="BN300" s="72">
        <f t="shared" si="107"/>
        <v>0</v>
      </c>
      <c r="BO300" s="72">
        <f t="shared" si="108"/>
        <v>0</v>
      </c>
    </row>
    <row r="301" spans="3:67" x14ac:dyDescent="0.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s="72">
        <f t="shared" si="104"/>
        <v>0</v>
      </c>
      <c r="BL301" s="72">
        <f t="shared" si="105"/>
        <v>0</v>
      </c>
      <c r="BM301" s="72">
        <f t="shared" si="106"/>
        <v>0</v>
      </c>
      <c r="BN301" s="72">
        <f t="shared" si="107"/>
        <v>0</v>
      </c>
      <c r="BO301" s="72">
        <f t="shared" si="108"/>
        <v>0</v>
      </c>
    </row>
    <row r="302" spans="3:67" x14ac:dyDescent="0.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s="72">
        <f t="shared" si="104"/>
        <v>0</v>
      </c>
      <c r="BL302" s="72">
        <f t="shared" si="105"/>
        <v>0</v>
      </c>
      <c r="BM302" s="72">
        <f t="shared" si="106"/>
        <v>0</v>
      </c>
      <c r="BN302" s="72">
        <f t="shared" si="107"/>
        <v>0</v>
      </c>
      <c r="BO302" s="72">
        <f t="shared" si="108"/>
        <v>0</v>
      </c>
    </row>
    <row r="303" spans="3:67" x14ac:dyDescent="0.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s="72">
        <f t="shared" si="104"/>
        <v>0</v>
      </c>
      <c r="BL303" s="72">
        <f t="shared" si="105"/>
        <v>0</v>
      </c>
      <c r="BM303" s="72">
        <f t="shared" si="106"/>
        <v>0</v>
      </c>
      <c r="BN303" s="72">
        <f t="shared" si="107"/>
        <v>0</v>
      </c>
      <c r="BO303" s="72">
        <f t="shared" si="108"/>
        <v>0</v>
      </c>
    </row>
    <row r="304" spans="3:67" x14ac:dyDescent="0.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s="72">
        <f t="shared" si="104"/>
        <v>0</v>
      </c>
      <c r="BL304" s="72">
        <f t="shared" si="105"/>
        <v>0</v>
      </c>
      <c r="BM304" s="72">
        <f t="shared" si="106"/>
        <v>0</v>
      </c>
      <c r="BN304" s="72">
        <f t="shared" si="107"/>
        <v>0</v>
      </c>
      <c r="BO304" s="72">
        <f t="shared" si="108"/>
        <v>0</v>
      </c>
    </row>
    <row r="305" spans="3:67" x14ac:dyDescent="0.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s="72">
        <f t="shared" si="104"/>
        <v>0</v>
      </c>
      <c r="BL305" s="72">
        <f t="shared" si="105"/>
        <v>0</v>
      </c>
      <c r="BM305" s="72">
        <f t="shared" si="106"/>
        <v>0</v>
      </c>
      <c r="BN305" s="72">
        <f t="shared" si="107"/>
        <v>0</v>
      </c>
      <c r="BO305" s="72">
        <f t="shared" si="108"/>
        <v>0</v>
      </c>
    </row>
    <row r="306" spans="3:67" x14ac:dyDescent="0.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s="72">
        <f t="shared" si="104"/>
        <v>0</v>
      </c>
      <c r="BL306" s="72">
        <f t="shared" si="105"/>
        <v>0</v>
      </c>
      <c r="BM306" s="72">
        <f t="shared" si="106"/>
        <v>0</v>
      </c>
      <c r="BN306" s="72">
        <f t="shared" si="107"/>
        <v>0</v>
      </c>
      <c r="BO306" s="72">
        <f t="shared" si="108"/>
        <v>0</v>
      </c>
    </row>
    <row r="307" spans="3:67" x14ac:dyDescent="0.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s="72">
        <f t="shared" si="104"/>
        <v>0</v>
      </c>
      <c r="BL307" s="72">
        <f t="shared" si="105"/>
        <v>0</v>
      </c>
      <c r="BM307" s="72">
        <f t="shared" si="106"/>
        <v>0</v>
      </c>
      <c r="BN307" s="72">
        <f t="shared" si="107"/>
        <v>0</v>
      </c>
      <c r="BO307" s="72">
        <f t="shared" si="108"/>
        <v>0</v>
      </c>
    </row>
    <row r="308" spans="3:67" x14ac:dyDescent="0.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f t="shared" si="104"/>
        <v>0</v>
      </c>
      <c r="BL308" s="72">
        <f t="shared" si="105"/>
        <v>0</v>
      </c>
      <c r="BM308" s="72">
        <f t="shared" si="106"/>
        <v>0</v>
      </c>
      <c r="BN308" s="72">
        <f t="shared" si="107"/>
        <v>0</v>
      </c>
      <c r="BO308" s="72">
        <f t="shared" si="108"/>
        <v>0</v>
      </c>
    </row>
    <row r="309" spans="3:67" x14ac:dyDescent="0.2">
      <c r="BK309" s="11">
        <f t="shared" si="104"/>
        <v>0</v>
      </c>
      <c r="BL309" s="11">
        <f t="shared" si="105"/>
        <v>0</v>
      </c>
      <c r="BM309" s="11">
        <f t="shared" si="106"/>
        <v>0</v>
      </c>
      <c r="BN309" s="11">
        <f t="shared" si="107"/>
        <v>0</v>
      </c>
      <c r="BO309" s="11">
        <f t="shared" si="108"/>
        <v>0</v>
      </c>
    </row>
    <row r="310" spans="3:67" x14ac:dyDescent="0.2">
      <c r="BK310" s="11">
        <f t="shared" si="104"/>
        <v>0</v>
      </c>
      <c r="BL310" s="11">
        <f t="shared" si="105"/>
        <v>0</v>
      </c>
      <c r="BM310" s="11">
        <f t="shared" si="106"/>
        <v>0</v>
      </c>
      <c r="BN310" s="11">
        <f t="shared" si="107"/>
        <v>0</v>
      </c>
      <c r="BO310" s="11">
        <f t="shared" si="108"/>
        <v>0</v>
      </c>
    </row>
    <row r="311" spans="3:67" x14ac:dyDescent="0.2">
      <c r="BK311" s="11">
        <f t="shared" si="104"/>
        <v>0</v>
      </c>
      <c r="BL311" s="11">
        <f t="shared" si="105"/>
        <v>0</v>
      </c>
      <c r="BM311" s="11">
        <f t="shared" si="106"/>
        <v>0</v>
      </c>
      <c r="BN311" s="11">
        <f t="shared" si="107"/>
        <v>0</v>
      </c>
      <c r="BO311" s="11">
        <f t="shared" si="108"/>
        <v>0</v>
      </c>
    </row>
    <row r="312" spans="3:67" x14ac:dyDescent="0.2">
      <c r="BK312" s="11">
        <f t="shared" si="104"/>
        <v>0</v>
      </c>
      <c r="BL312" s="11">
        <f t="shared" si="105"/>
        <v>0</v>
      </c>
      <c r="BM312" s="11">
        <f t="shared" si="106"/>
        <v>0</v>
      </c>
      <c r="BN312" s="11">
        <f t="shared" si="107"/>
        <v>0</v>
      </c>
      <c r="BO312" s="11">
        <f t="shared" si="108"/>
        <v>0</v>
      </c>
    </row>
    <row r="313" spans="3:67" x14ac:dyDescent="0.2">
      <c r="BK313" s="11">
        <f t="shared" si="104"/>
        <v>0</v>
      </c>
      <c r="BL313" s="11">
        <f t="shared" si="105"/>
        <v>0</v>
      </c>
      <c r="BM313" s="11">
        <f t="shared" si="106"/>
        <v>0</v>
      </c>
      <c r="BN313" s="11">
        <f t="shared" si="107"/>
        <v>0</v>
      </c>
      <c r="BO313" s="11">
        <f t="shared" si="108"/>
        <v>0</v>
      </c>
    </row>
    <row r="314" spans="3:67" x14ac:dyDescent="0.2">
      <c r="BK314" s="11">
        <f t="shared" si="104"/>
        <v>0</v>
      </c>
      <c r="BL314" s="11">
        <f t="shared" si="105"/>
        <v>0</v>
      </c>
      <c r="BM314" s="11">
        <f t="shared" si="106"/>
        <v>0</v>
      </c>
      <c r="BN314" s="11">
        <f t="shared" si="107"/>
        <v>0</v>
      </c>
      <c r="BO314" s="11">
        <f t="shared" si="108"/>
        <v>0</v>
      </c>
    </row>
    <row r="315" spans="3:67" x14ac:dyDescent="0.2">
      <c r="BK315" s="11">
        <f t="shared" si="104"/>
        <v>0</v>
      </c>
      <c r="BL315" s="11">
        <f t="shared" si="105"/>
        <v>0</v>
      </c>
      <c r="BM315" s="11">
        <f t="shared" si="106"/>
        <v>0</v>
      </c>
      <c r="BN315" s="11">
        <f t="shared" si="107"/>
        <v>0</v>
      </c>
      <c r="BO315" s="11">
        <f t="shared" si="108"/>
        <v>0</v>
      </c>
    </row>
    <row r="316" spans="3:67" x14ac:dyDescent="0.2">
      <c r="BK316" s="11">
        <f t="shared" si="104"/>
        <v>0</v>
      </c>
      <c r="BL316" s="11">
        <f t="shared" si="105"/>
        <v>0</v>
      </c>
      <c r="BM316" s="11">
        <f t="shared" si="106"/>
        <v>0</v>
      </c>
      <c r="BN316" s="11">
        <f t="shared" si="107"/>
        <v>0</v>
      </c>
      <c r="BO316" s="11">
        <f t="shared" si="108"/>
        <v>0</v>
      </c>
    </row>
    <row r="317" spans="3:67" x14ac:dyDescent="0.2">
      <c r="BK317" s="11">
        <f t="shared" si="104"/>
        <v>0</v>
      </c>
      <c r="BL317" s="11">
        <f t="shared" si="105"/>
        <v>0</v>
      </c>
      <c r="BM317" s="11">
        <f t="shared" si="106"/>
        <v>0</v>
      </c>
      <c r="BN317" s="11">
        <f t="shared" si="107"/>
        <v>0</v>
      </c>
      <c r="BO317" s="11">
        <f t="shared" si="108"/>
        <v>0</v>
      </c>
    </row>
    <row r="318" spans="3:67" x14ac:dyDescent="0.2">
      <c r="BK318" s="11">
        <f t="shared" si="104"/>
        <v>0</v>
      </c>
      <c r="BL318" s="11">
        <f t="shared" si="105"/>
        <v>0</v>
      </c>
      <c r="BM318" s="11">
        <f t="shared" si="106"/>
        <v>0</v>
      </c>
      <c r="BN318" s="11">
        <f t="shared" si="107"/>
        <v>0</v>
      </c>
      <c r="BO318" s="11">
        <f t="shared" si="108"/>
        <v>0</v>
      </c>
    </row>
    <row r="319" spans="3:67" x14ac:dyDescent="0.2">
      <c r="BK319" s="11">
        <f t="shared" si="104"/>
        <v>0</v>
      </c>
      <c r="BL319" s="11">
        <f t="shared" si="105"/>
        <v>0</v>
      </c>
      <c r="BM319" s="11">
        <f t="shared" si="106"/>
        <v>0</v>
      </c>
      <c r="BN319" s="11">
        <f t="shared" si="107"/>
        <v>0</v>
      </c>
      <c r="BO319" s="11">
        <f t="shared" si="108"/>
        <v>0</v>
      </c>
    </row>
    <row r="320" spans="3:67" x14ac:dyDescent="0.2">
      <c r="BK320" s="11">
        <f t="shared" si="104"/>
        <v>0</v>
      </c>
      <c r="BL320" s="11">
        <f t="shared" si="105"/>
        <v>0</v>
      </c>
      <c r="BM320" s="11">
        <f t="shared" si="106"/>
        <v>0</v>
      </c>
      <c r="BN320" s="11">
        <f t="shared" si="107"/>
        <v>0</v>
      </c>
      <c r="BO320" s="11">
        <f t="shared" si="108"/>
        <v>0</v>
      </c>
    </row>
    <row r="321" spans="63:67" x14ac:dyDescent="0.2">
      <c r="BK321" s="11">
        <f t="shared" si="104"/>
        <v>0</v>
      </c>
      <c r="BL321" s="11">
        <f t="shared" si="105"/>
        <v>0</v>
      </c>
      <c r="BM321" s="11">
        <f t="shared" si="106"/>
        <v>0</v>
      </c>
      <c r="BN321" s="11">
        <f t="shared" si="107"/>
        <v>0</v>
      </c>
      <c r="BO321" s="11">
        <f t="shared" si="108"/>
        <v>0</v>
      </c>
    </row>
    <row r="322" spans="63:67" x14ac:dyDescent="0.2">
      <c r="BK322" s="11">
        <f t="shared" si="104"/>
        <v>0</v>
      </c>
      <c r="BL322" s="11">
        <f t="shared" si="105"/>
        <v>0</v>
      </c>
      <c r="BM322" s="11">
        <f t="shared" si="106"/>
        <v>0</v>
      </c>
      <c r="BN322" s="11">
        <f t="shared" si="107"/>
        <v>0</v>
      </c>
      <c r="BO322" s="11">
        <f t="shared" si="108"/>
        <v>0</v>
      </c>
    </row>
    <row r="323" spans="63:67" x14ac:dyDescent="0.2">
      <c r="BK323" s="11">
        <f t="shared" si="104"/>
        <v>0</v>
      </c>
      <c r="BL323" s="11">
        <f t="shared" si="105"/>
        <v>0</v>
      </c>
      <c r="BM323" s="11">
        <f t="shared" si="106"/>
        <v>0</v>
      </c>
      <c r="BN323" s="11">
        <f t="shared" si="107"/>
        <v>0</v>
      </c>
      <c r="BO323" s="11">
        <f t="shared" si="108"/>
        <v>0</v>
      </c>
    </row>
    <row r="324" spans="63:67" x14ac:dyDescent="0.2">
      <c r="BK324" s="11">
        <f t="shared" si="104"/>
        <v>0</v>
      </c>
      <c r="BL324" s="11">
        <f t="shared" si="105"/>
        <v>0</v>
      </c>
      <c r="BM324" s="11">
        <f t="shared" si="106"/>
        <v>0</v>
      </c>
      <c r="BN324" s="11">
        <f t="shared" si="107"/>
        <v>0</v>
      </c>
      <c r="BO324" s="11">
        <f t="shared" si="108"/>
        <v>0</v>
      </c>
    </row>
    <row r="325" spans="63:67" x14ac:dyDescent="0.2">
      <c r="BK325" s="11">
        <f t="shared" si="104"/>
        <v>0</v>
      </c>
      <c r="BL325" s="11">
        <f t="shared" si="105"/>
        <v>0</v>
      </c>
      <c r="BM325" s="11">
        <f t="shared" si="106"/>
        <v>0</v>
      </c>
      <c r="BN325" s="11">
        <f t="shared" si="107"/>
        <v>0</v>
      </c>
      <c r="BO325" s="11">
        <f t="shared" si="108"/>
        <v>0</v>
      </c>
    </row>
    <row r="326" spans="63:67" x14ac:dyDescent="0.2">
      <c r="BK326" s="11">
        <f t="shared" si="104"/>
        <v>0</v>
      </c>
      <c r="BL326" s="11">
        <f t="shared" si="105"/>
        <v>0</v>
      </c>
      <c r="BM326" s="11">
        <f t="shared" si="106"/>
        <v>0</v>
      </c>
      <c r="BN326" s="11">
        <f t="shared" si="107"/>
        <v>0</v>
      </c>
      <c r="BO326" s="11">
        <f t="shared" si="108"/>
        <v>0</v>
      </c>
    </row>
    <row r="327" spans="63:67" x14ac:dyDescent="0.2">
      <c r="BK327" s="11">
        <f t="shared" si="104"/>
        <v>0</v>
      </c>
      <c r="BL327" s="11">
        <f t="shared" si="105"/>
        <v>0</v>
      </c>
      <c r="BM327" s="11">
        <f t="shared" si="106"/>
        <v>0</v>
      </c>
      <c r="BN327" s="11">
        <f t="shared" si="107"/>
        <v>0</v>
      </c>
      <c r="BO327" s="11">
        <f t="shared" si="108"/>
        <v>0</v>
      </c>
    </row>
    <row r="328" spans="63:67" x14ac:dyDescent="0.2">
      <c r="BK328" s="11">
        <f t="shared" si="104"/>
        <v>0</v>
      </c>
      <c r="BL328" s="11">
        <f t="shared" si="105"/>
        <v>0</v>
      </c>
      <c r="BM328" s="11">
        <f t="shared" si="106"/>
        <v>0</v>
      </c>
      <c r="BN328" s="11">
        <f t="shared" si="107"/>
        <v>0</v>
      </c>
      <c r="BO328" s="11">
        <f t="shared" si="108"/>
        <v>0</v>
      </c>
    </row>
    <row r="329" spans="63:67" x14ac:dyDescent="0.2">
      <c r="BK329" s="11">
        <f t="shared" si="104"/>
        <v>0</v>
      </c>
      <c r="BL329" s="11">
        <f t="shared" si="105"/>
        <v>0</v>
      </c>
      <c r="BM329" s="11">
        <f t="shared" si="106"/>
        <v>0</v>
      </c>
      <c r="BN329" s="11">
        <f t="shared" si="107"/>
        <v>0</v>
      </c>
      <c r="BO329" s="11">
        <f t="shared" si="108"/>
        <v>0</v>
      </c>
    </row>
    <row r="330" spans="63:67" x14ac:dyDescent="0.2">
      <c r="BK330" s="11">
        <f t="shared" si="104"/>
        <v>0</v>
      </c>
      <c r="BL330" s="11">
        <f t="shared" si="105"/>
        <v>0</v>
      </c>
      <c r="BM330" s="11">
        <f t="shared" si="106"/>
        <v>0</v>
      </c>
      <c r="BN330" s="11">
        <f t="shared" si="107"/>
        <v>0</v>
      </c>
      <c r="BO330" s="11">
        <f t="shared" si="108"/>
        <v>0</v>
      </c>
    </row>
    <row r="331" spans="63:67" x14ac:dyDescent="0.2">
      <c r="BK331" s="11">
        <f t="shared" si="104"/>
        <v>0</v>
      </c>
      <c r="BL331" s="11">
        <f t="shared" si="105"/>
        <v>0</v>
      </c>
      <c r="BM331" s="11">
        <f t="shared" si="106"/>
        <v>0</v>
      </c>
      <c r="BN331" s="11">
        <f t="shared" si="107"/>
        <v>0</v>
      </c>
      <c r="BO331" s="11">
        <f t="shared" si="108"/>
        <v>0</v>
      </c>
    </row>
    <row r="332" spans="63:67" x14ac:dyDescent="0.2">
      <c r="BK332" s="11">
        <f t="shared" si="104"/>
        <v>0</v>
      </c>
      <c r="BL332" s="11">
        <f t="shared" si="105"/>
        <v>0</v>
      </c>
      <c r="BM332" s="11">
        <f t="shared" si="106"/>
        <v>0</v>
      </c>
      <c r="BN332" s="11">
        <f t="shared" si="107"/>
        <v>0</v>
      </c>
      <c r="BO332" s="11">
        <f t="shared" si="108"/>
        <v>0</v>
      </c>
    </row>
    <row r="333" spans="63:67" x14ac:dyDescent="0.2">
      <c r="BK333" s="11">
        <f t="shared" si="104"/>
        <v>0</v>
      </c>
      <c r="BL333" s="11">
        <f t="shared" si="105"/>
        <v>0</v>
      </c>
      <c r="BM333" s="11">
        <f t="shared" si="106"/>
        <v>0</v>
      </c>
      <c r="BN333" s="11">
        <f t="shared" si="107"/>
        <v>0</v>
      </c>
      <c r="BO333" s="11">
        <f t="shared" si="108"/>
        <v>0</v>
      </c>
    </row>
    <row r="334" spans="63:67" x14ac:dyDescent="0.2">
      <c r="BK334" s="11">
        <f t="shared" si="104"/>
        <v>0</v>
      </c>
      <c r="BL334" s="11">
        <f t="shared" si="105"/>
        <v>0</v>
      </c>
      <c r="BM334" s="11">
        <f t="shared" si="106"/>
        <v>0</v>
      </c>
      <c r="BN334" s="11">
        <f t="shared" si="107"/>
        <v>0</v>
      </c>
      <c r="BO334" s="11">
        <f t="shared" si="108"/>
        <v>0</v>
      </c>
    </row>
    <row r="335" spans="63:67" x14ac:dyDescent="0.2">
      <c r="BK335" s="11">
        <f t="shared" si="104"/>
        <v>0</v>
      </c>
      <c r="BL335" s="11">
        <f t="shared" si="105"/>
        <v>0</v>
      </c>
      <c r="BM335" s="11">
        <f t="shared" si="106"/>
        <v>0</v>
      </c>
      <c r="BN335" s="11">
        <f t="shared" si="107"/>
        <v>0</v>
      </c>
      <c r="BO335" s="11">
        <f t="shared" si="108"/>
        <v>0</v>
      </c>
    </row>
    <row r="336" spans="63:67" x14ac:dyDescent="0.2">
      <c r="BK336" s="11">
        <f t="shared" si="104"/>
        <v>0</v>
      </c>
      <c r="BL336" s="11">
        <f t="shared" si="105"/>
        <v>0</v>
      </c>
      <c r="BM336" s="11">
        <f t="shared" si="106"/>
        <v>0</v>
      </c>
      <c r="BN336" s="11">
        <f t="shared" si="107"/>
        <v>0</v>
      </c>
      <c r="BO336" s="11">
        <f t="shared" si="108"/>
        <v>0</v>
      </c>
    </row>
    <row r="337" spans="63:67" x14ac:dyDescent="0.2">
      <c r="BK337" s="11">
        <f t="shared" si="104"/>
        <v>0</v>
      </c>
      <c r="BL337" s="11">
        <f t="shared" si="105"/>
        <v>0</v>
      </c>
      <c r="BM337" s="11">
        <f t="shared" si="106"/>
        <v>0</v>
      </c>
      <c r="BN337" s="11">
        <f t="shared" si="107"/>
        <v>0</v>
      </c>
      <c r="BO337" s="11">
        <f t="shared" si="108"/>
        <v>0</v>
      </c>
    </row>
    <row r="338" spans="63:67" x14ac:dyDescent="0.2">
      <c r="BK338" s="11">
        <f t="shared" si="104"/>
        <v>0</v>
      </c>
      <c r="BL338" s="11">
        <f t="shared" si="105"/>
        <v>0</v>
      </c>
      <c r="BM338" s="11">
        <f t="shared" si="106"/>
        <v>0</v>
      </c>
      <c r="BN338" s="11">
        <f t="shared" si="107"/>
        <v>0</v>
      </c>
      <c r="BO338" s="11">
        <f t="shared" si="108"/>
        <v>0</v>
      </c>
    </row>
    <row r="339" spans="63:67" x14ac:dyDescent="0.2">
      <c r="BK339" s="11">
        <f t="shared" si="104"/>
        <v>0</v>
      </c>
      <c r="BL339" s="11">
        <f t="shared" si="105"/>
        <v>0</v>
      </c>
      <c r="BM339" s="11">
        <f t="shared" si="106"/>
        <v>0</v>
      </c>
      <c r="BN339" s="11">
        <f t="shared" si="107"/>
        <v>0</v>
      </c>
      <c r="BO339" s="11">
        <f t="shared" si="108"/>
        <v>0</v>
      </c>
    </row>
    <row r="340" spans="63:67" x14ac:dyDescent="0.2">
      <c r="BK340" s="11">
        <f t="shared" si="104"/>
        <v>0</v>
      </c>
      <c r="BL340" s="11">
        <f t="shared" si="105"/>
        <v>0</v>
      </c>
      <c r="BM340" s="11">
        <f t="shared" si="106"/>
        <v>0</v>
      </c>
      <c r="BN340" s="11">
        <f t="shared" si="107"/>
        <v>0</v>
      </c>
      <c r="BO340" s="11">
        <f t="shared" si="108"/>
        <v>0</v>
      </c>
    </row>
    <row r="341" spans="63:67" x14ac:dyDescent="0.2">
      <c r="BK341" s="11">
        <f t="shared" si="104"/>
        <v>0</v>
      </c>
      <c r="BL341" s="11">
        <f t="shared" si="105"/>
        <v>0</v>
      </c>
      <c r="BM341" s="11">
        <f t="shared" si="106"/>
        <v>0</v>
      </c>
      <c r="BN341" s="11">
        <f t="shared" si="107"/>
        <v>0</v>
      </c>
      <c r="BO341" s="11">
        <f t="shared" si="108"/>
        <v>0</v>
      </c>
    </row>
    <row r="342" spans="63:67" x14ac:dyDescent="0.2">
      <c r="BK342" s="11">
        <f t="shared" si="104"/>
        <v>0</v>
      </c>
      <c r="BL342" s="11">
        <f t="shared" si="105"/>
        <v>0</v>
      </c>
      <c r="BM342" s="11">
        <f t="shared" si="106"/>
        <v>0</v>
      </c>
      <c r="BN342" s="11">
        <f t="shared" si="107"/>
        <v>0</v>
      </c>
      <c r="BO342" s="11">
        <f t="shared" si="108"/>
        <v>0</v>
      </c>
    </row>
    <row r="343" spans="63:67" x14ac:dyDescent="0.2">
      <c r="BK343" s="11">
        <f t="shared" si="104"/>
        <v>0</v>
      </c>
      <c r="BL343" s="11">
        <f t="shared" si="105"/>
        <v>0</v>
      </c>
      <c r="BM343" s="11">
        <f t="shared" si="106"/>
        <v>0</v>
      </c>
      <c r="BN343" s="11">
        <f t="shared" si="107"/>
        <v>0</v>
      </c>
      <c r="BO343" s="11">
        <f t="shared" si="108"/>
        <v>0</v>
      </c>
    </row>
    <row r="344" spans="63:67" x14ac:dyDescent="0.2">
      <c r="BK344" s="11">
        <f t="shared" si="104"/>
        <v>0</v>
      </c>
      <c r="BL344" s="11">
        <f t="shared" si="105"/>
        <v>0</v>
      </c>
      <c r="BM344" s="11">
        <f t="shared" si="106"/>
        <v>0</v>
      </c>
      <c r="BN344" s="11">
        <f t="shared" si="107"/>
        <v>0</v>
      </c>
      <c r="BO344" s="11">
        <f t="shared" si="108"/>
        <v>0</v>
      </c>
    </row>
    <row r="345" spans="63:67" x14ac:dyDescent="0.2">
      <c r="BK345" s="11">
        <f t="shared" si="104"/>
        <v>0</v>
      </c>
      <c r="BL345" s="11">
        <f t="shared" si="105"/>
        <v>0</v>
      </c>
      <c r="BM345" s="11">
        <f t="shared" si="106"/>
        <v>0</v>
      </c>
      <c r="BN345" s="11">
        <f t="shared" si="107"/>
        <v>0</v>
      </c>
      <c r="BO345" s="11">
        <f t="shared" si="108"/>
        <v>0</v>
      </c>
    </row>
    <row r="346" spans="63:67" x14ac:dyDescent="0.2">
      <c r="BK346" s="11">
        <f t="shared" si="104"/>
        <v>0</v>
      </c>
      <c r="BL346" s="11">
        <f t="shared" si="105"/>
        <v>0</v>
      </c>
      <c r="BM346" s="11">
        <f t="shared" si="106"/>
        <v>0</v>
      </c>
      <c r="BN346" s="11">
        <f t="shared" si="107"/>
        <v>0</v>
      </c>
      <c r="BO346" s="11">
        <f t="shared" si="108"/>
        <v>0</v>
      </c>
    </row>
    <row r="347" spans="63:67" x14ac:dyDescent="0.2">
      <c r="BK347" s="11">
        <f t="shared" si="104"/>
        <v>0</v>
      </c>
      <c r="BL347" s="11">
        <f t="shared" si="105"/>
        <v>0</v>
      </c>
      <c r="BM347" s="11">
        <f t="shared" si="106"/>
        <v>0</v>
      </c>
      <c r="BN347" s="11">
        <f t="shared" si="107"/>
        <v>0</v>
      </c>
      <c r="BO347" s="11">
        <f t="shared" si="108"/>
        <v>0</v>
      </c>
    </row>
  </sheetData>
  <mergeCells count="13">
    <mergeCell ref="BK2:BO2"/>
    <mergeCell ref="AB2:AF2"/>
    <mergeCell ref="AG2:AK2"/>
    <mergeCell ref="C2:G2"/>
    <mergeCell ref="H2:L2"/>
    <mergeCell ref="M2:Q2"/>
    <mergeCell ref="R2:V2"/>
    <mergeCell ref="W2:AA2"/>
    <mergeCell ref="AL2:AP2"/>
    <mergeCell ref="AQ2:AU2"/>
    <mergeCell ref="AV2:AZ2"/>
    <mergeCell ref="BA2:BE2"/>
    <mergeCell ref="BF2:BJ2"/>
  </mergeCells>
  <conditionalFormatting sqref="A119:A125 A4:A26 A54:A117 A28:A52">
    <cfRule type="duplicateValues" dxfId="183" priority="21"/>
  </conditionalFormatting>
  <conditionalFormatting sqref="A118">
    <cfRule type="duplicateValues" dxfId="182" priority="19"/>
  </conditionalFormatting>
  <conditionalFormatting sqref="A118">
    <cfRule type="duplicateValues" dxfId="181" priority="20"/>
  </conditionalFormatting>
  <conditionalFormatting sqref="A265:A267 A4:A26 A119:A166 A262 A214:A244 A246:A258 A191:A212 A183:A184 A180:A181 A172:A178 A54:A117 A28:A52">
    <cfRule type="duplicateValues" dxfId="180" priority="22"/>
  </conditionalFormatting>
  <conditionalFormatting sqref="A264">
    <cfRule type="duplicateValues" dxfId="179" priority="18"/>
  </conditionalFormatting>
  <conditionalFormatting sqref="A263">
    <cfRule type="duplicateValues" dxfId="178" priority="17"/>
  </conditionalFormatting>
  <conditionalFormatting sqref="A260:A261">
    <cfRule type="duplicateValues" dxfId="177" priority="16"/>
  </conditionalFormatting>
  <conditionalFormatting sqref="A213">
    <cfRule type="duplicateValues" dxfId="176" priority="15"/>
  </conditionalFormatting>
  <conditionalFormatting sqref="A245">
    <cfRule type="duplicateValues" dxfId="175" priority="14"/>
  </conditionalFormatting>
  <conditionalFormatting sqref="A185:A190">
    <cfRule type="duplicateValues" dxfId="174" priority="13"/>
  </conditionalFormatting>
  <conditionalFormatting sqref="A182">
    <cfRule type="duplicateValues" dxfId="173" priority="11"/>
  </conditionalFormatting>
  <conditionalFormatting sqref="A182">
    <cfRule type="duplicateValues" dxfId="172" priority="12"/>
  </conditionalFormatting>
  <conditionalFormatting sqref="A259">
    <cfRule type="duplicateValues" dxfId="171" priority="10"/>
  </conditionalFormatting>
  <conditionalFormatting sqref="A179">
    <cfRule type="duplicateValues" dxfId="170" priority="9"/>
  </conditionalFormatting>
  <conditionalFormatting sqref="A269:A270">
    <cfRule type="duplicateValues" dxfId="169" priority="8"/>
  </conditionalFormatting>
  <conditionalFormatting sqref="A167:A171">
    <cfRule type="duplicateValues" dxfId="168" priority="7"/>
  </conditionalFormatting>
  <conditionalFormatting sqref="A53">
    <cfRule type="duplicateValues" dxfId="167" priority="5"/>
  </conditionalFormatting>
  <conditionalFormatting sqref="A53">
    <cfRule type="duplicateValues" dxfId="166" priority="6"/>
  </conditionalFormatting>
  <conditionalFormatting sqref="A115">
    <cfRule type="duplicateValues" dxfId="165" priority="4"/>
  </conditionalFormatting>
  <conditionalFormatting sqref="A27">
    <cfRule type="duplicateValues" dxfId="164" priority="2"/>
  </conditionalFormatting>
  <conditionalFormatting sqref="A27">
    <cfRule type="duplicateValues" dxfId="163" priority="3"/>
  </conditionalFormatting>
  <conditionalFormatting sqref="A278">
    <cfRule type="duplicateValues" dxfId="162" priority="1"/>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workbookViewId="0"/>
  </sheetViews>
  <sheetFormatPr defaultRowHeight="10.199999999999999" x14ac:dyDescent="0.2"/>
  <cols>
    <col min="1" max="1" width="63.33203125" style="60" customWidth="1"/>
    <col min="2" max="2" width="18.44140625" style="60" customWidth="1"/>
    <col min="3" max="6" width="14.6640625" style="60" customWidth="1"/>
    <col min="7" max="7" width="12.88671875" style="60" customWidth="1"/>
    <col min="8" max="1025" width="8.5546875" style="11" customWidth="1"/>
    <col min="1026" max="16384" width="8.88671875" style="11"/>
  </cols>
  <sheetData>
    <row r="1" spans="1:6" x14ac:dyDescent="0.2">
      <c r="A1" s="60" t="s">
        <v>308</v>
      </c>
      <c r="B1" s="520" t="s">
        <v>309</v>
      </c>
    </row>
    <row r="2" spans="1:6" x14ac:dyDescent="0.2">
      <c r="A2" s="60" t="s">
        <v>274</v>
      </c>
      <c r="B2" s="521" t="s">
        <v>310</v>
      </c>
    </row>
    <row r="3" spans="1:6" x14ac:dyDescent="0.2">
      <c r="A3" s="60" t="s">
        <v>311</v>
      </c>
      <c r="B3" s="522" t="s">
        <v>312</v>
      </c>
      <c r="C3" s="523"/>
      <c r="D3" s="523"/>
    </row>
    <row r="5" spans="1:6" x14ac:dyDescent="0.2">
      <c r="A5" s="521" t="s">
        <v>313</v>
      </c>
    </row>
    <row r="6" spans="1:6" ht="15.75" customHeight="1" thickBot="1" x14ac:dyDescent="0.25"/>
    <row r="7" spans="1:6" ht="15.75" customHeight="1" thickBot="1" x14ac:dyDescent="0.25">
      <c r="A7" s="524" t="s">
        <v>314</v>
      </c>
      <c r="B7" s="525" t="s">
        <v>315</v>
      </c>
      <c r="C7" s="525" t="s">
        <v>16</v>
      </c>
      <c r="D7" s="525" t="s">
        <v>17</v>
      </c>
      <c r="E7" s="525" t="s">
        <v>18</v>
      </c>
      <c r="F7" s="526" t="s">
        <v>316</v>
      </c>
    </row>
    <row r="8" spans="1:6" x14ac:dyDescent="0.2">
      <c r="A8" s="527" t="s">
        <v>278</v>
      </c>
      <c r="B8" s="528">
        <v>417413674.38</v>
      </c>
      <c r="C8" s="528">
        <v>4410214.75</v>
      </c>
      <c r="D8" s="528">
        <v>8672575.4699999988</v>
      </c>
      <c r="E8" s="528">
        <v>8672575.4699999988</v>
      </c>
      <c r="F8" s="529">
        <v>0</v>
      </c>
    </row>
    <row r="9" spans="1:6" x14ac:dyDescent="0.2">
      <c r="A9" s="530" t="s">
        <v>287</v>
      </c>
      <c r="B9" s="531">
        <v>0</v>
      </c>
      <c r="C9" s="531">
        <v>0</v>
      </c>
      <c r="D9" s="532" t="s">
        <v>317</v>
      </c>
      <c r="E9" s="532" t="s">
        <v>317</v>
      </c>
      <c r="F9" s="533">
        <v>0</v>
      </c>
    </row>
    <row r="10" spans="1:6" x14ac:dyDescent="0.2">
      <c r="A10" s="530" t="s">
        <v>291</v>
      </c>
      <c r="B10" s="531">
        <v>4582.1400000000003</v>
      </c>
      <c r="C10" s="531">
        <v>0</v>
      </c>
      <c r="D10" s="531">
        <v>274.93</v>
      </c>
      <c r="E10" s="531">
        <v>274.93</v>
      </c>
      <c r="F10" s="533">
        <v>0</v>
      </c>
    </row>
    <row r="11" spans="1:6" x14ac:dyDescent="0.2">
      <c r="A11" s="530" t="s">
        <v>290</v>
      </c>
      <c r="B11" s="531">
        <v>93061</v>
      </c>
      <c r="C11" s="531">
        <v>0</v>
      </c>
      <c r="D11" s="532" t="s">
        <v>317</v>
      </c>
      <c r="E11" s="532" t="s">
        <v>317</v>
      </c>
      <c r="F11" s="534" t="s">
        <v>317</v>
      </c>
    </row>
    <row r="12" spans="1:6" x14ac:dyDescent="0.2">
      <c r="A12" s="530" t="s">
        <v>318</v>
      </c>
      <c r="B12" s="531">
        <v>0</v>
      </c>
      <c r="C12" s="532" t="s">
        <v>317</v>
      </c>
      <c r="D12" s="532" t="s">
        <v>317</v>
      </c>
      <c r="E12" s="532" t="s">
        <v>317</v>
      </c>
      <c r="F12" s="534" t="s">
        <v>317</v>
      </c>
    </row>
    <row r="13" spans="1:6" x14ac:dyDescent="0.2">
      <c r="A13" s="530" t="s">
        <v>319</v>
      </c>
      <c r="B13" s="531">
        <v>30855243.109999999</v>
      </c>
      <c r="C13" s="532" t="s">
        <v>317</v>
      </c>
      <c r="D13" s="532" t="s">
        <v>317</v>
      </c>
      <c r="E13" s="532" t="s">
        <v>317</v>
      </c>
      <c r="F13" s="534" t="s">
        <v>317</v>
      </c>
    </row>
    <row r="14" spans="1:6" x14ac:dyDescent="0.2">
      <c r="A14" s="530" t="s">
        <v>320</v>
      </c>
      <c r="B14" s="531">
        <v>27317374.010000002</v>
      </c>
      <c r="C14" s="532" t="s">
        <v>317</v>
      </c>
      <c r="D14" s="532" t="s">
        <v>317</v>
      </c>
      <c r="E14" s="532" t="s">
        <v>317</v>
      </c>
      <c r="F14" s="534" t="s">
        <v>317</v>
      </c>
    </row>
    <row r="15" spans="1:6" x14ac:dyDescent="0.2">
      <c r="A15" s="530" t="s">
        <v>288</v>
      </c>
      <c r="B15" s="531">
        <v>-427268</v>
      </c>
      <c r="C15" s="531">
        <v>-76908.240000000005</v>
      </c>
      <c r="D15" s="531">
        <v>0</v>
      </c>
      <c r="E15" s="531">
        <v>0</v>
      </c>
      <c r="F15" s="533">
        <v>0</v>
      </c>
    </row>
    <row r="16" spans="1:6" x14ac:dyDescent="0.2">
      <c r="A16" s="530" t="s">
        <v>289</v>
      </c>
      <c r="B16" s="531">
        <v>0</v>
      </c>
      <c r="C16" s="531">
        <v>0</v>
      </c>
      <c r="D16" s="532" t="s">
        <v>317</v>
      </c>
      <c r="E16" s="532" t="s">
        <v>317</v>
      </c>
      <c r="F16" s="533">
        <v>0</v>
      </c>
    </row>
    <row r="17" spans="1:6" x14ac:dyDescent="0.2">
      <c r="A17" s="530" t="s">
        <v>296</v>
      </c>
      <c r="B17" s="531">
        <v>57142.86</v>
      </c>
      <c r="C17" s="531">
        <v>0</v>
      </c>
      <c r="D17" s="531">
        <v>1428.57</v>
      </c>
      <c r="E17" s="531">
        <v>1428.57</v>
      </c>
      <c r="F17" s="533">
        <v>0</v>
      </c>
    </row>
    <row r="18" spans="1:6" x14ac:dyDescent="0.2">
      <c r="A18" s="530" t="s">
        <v>321</v>
      </c>
      <c r="B18" s="531">
        <v>57142.86</v>
      </c>
      <c r="C18" s="531">
        <v>0</v>
      </c>
      <c r="D18" s="531">
        <v>1428.57</v>
      </c>
      <c r="E18" s="531">
        <v>1428.57</v>
      </c>
      <c r="F18" s="533">
        <v>0</v>
      </c>
    </row>
    <row r="19" spans="1:6" x14ac:dyDescent="0.2">
      <c r="A19" s="530" t="s">
        <v>302</v>
      </c>
      <c r="B19" s="531">
        <v>0</v>
      </c>
      <c r="C19" s="531">
        <v>0</v>
      </c>
      <c r="D19" s="531">
        <v>0</v>
      </c>
      <c r="E19" s="531">
        <v>0</v>
      </c>
      <c r="F19" s="533">
        <v>0</v>
      </c>
    </row>
    <row r="20" spans="1:6" x14ac:dyDescent="0.2">
      <c r="A20" s="530" t="s">
        <v>303</v>
      </c>
      <c r="B20" s="531">
        <v>0</v>
      </c>
      <c r="C20" s="531">
        <v>0</v>
      </c>
      <c r="D20" s="532" t="s">
        <v>317</v>
      </c>
      <c r="E20" s="532" t="s">
        <v>317</v>
      </c>
      <c r="F20" s="533">
        <v>0</v>
      </c>
    </row>
    <row r="21" spans="1:6" x14ac:dyDescent="0.2">
      <c r="A21" s="530" t="s">
        <v>307</v>
      </c>
      <c r="B21" s="531">
        <v>0</v>
      </c>
      <c r="C21" s="531">
        <v>0</v>
      </c>
      <c r="D21" s="531">
        <v>0</v>
      </c>
      <c r="E21" s="531">
        <v>0</v>
      </c>
      <c r="F21" s="533">
        <v>0</v>
      </c>
    </row>
    <row r="22" spans="1:6" x14ac:dyDescent="0.2">
      <c r="A22" s="530" t="s">
        <v>306</v>
      </c>
      <c r="B22" s="531">
        <v>0</v>
      </c>
      <c r="C22" s="531">
        <v>0</v>
      </c>
      <c r="D22" s="532" t="s">
        <v>317</v>
      </c>
      <c r="E22" s="532" t="s">
        <v>317</v>
      </c>
      <c r="F22" s="534" t="s">
        <v>317</v>
      </c>
    </row>
    <row r="23" spans="1:6" x14ac:dyDescent="0.2">
      <c r="A23" s="530" t="s">
        <v>304</v>
      </c>
      <c r="B23" s="531">
        <v>0</v>
      </c>
      <c r="C23" s="531">
        <v>0</v>
      </c>
      <c r="D23" s="531">
        <v>0</v>
      </c>
      <c r="E23" s="531">
        <v>0</v>
      </c>
      <c r="F23" s="533">
        <v>0</v>
      </c>
    </row>
    <row r="24" spans="1:6" x14ac:dyDescent="0.2">
      <c r="A24" s="530" t="s">
        <v>305</v>
      </c>
      <c r="B24" s="531">
        <v>0</v>
      </c>
      <c r="C24" s="531">
        <v>0</v>
      </c>
      <c r="D24" s="532" t="s">
        <v>317</v>
      </c>
      <c r="E24" s="532" t="s">
        <v>317</v>
      </c>
      <c r="F24" s="533">
        <v>0</v>
      </c>
    </row>
    <row r="25" spans="1:6" x14ac:dyDescent="0.2">
      <c r="A25" s="530" t="s">
        <v>322</v>
      </c>
      <c r="B25" s="531">
        <v>0</v>
      </c>
      <c r="C25" s="531">
        <v>0</v>
      </c>
      <c r="D25" s="531">
        <v>0</v>
      </c>
      <c r="E25" s="531">
        <v>0</v>
      </c>
      <c r="F25" s="533">
        <v>0</v>
      </c>
    </row>
    <row r="26" spans="1:6" ht="15.75" customHeight="1" thickBot="1" x14ac:dyDescent="0.25">
      <c r="A26" s="535" t="s">
        <v>323</v>
      </c>
      <c r="B26" s="536">
        <v>0</v>
      </c>
      <c r="C26" s="536">
        <v>0</v>
      </c>
      <c r="D26" s="536">
        <v>0</v>
      </c>
      <c r="E26" s="536">
        <v>0</v>
      </c>
      <c r="F26" s="537">
        <v>0</v>
      </c>
    </row>
    <row r="28" spans="1:6" x14ac:dyDescent="0.2">
      <c r="A28" s="521" t="s">
        <v>324</v>
      </c>
    </row>
    <row r="29" spans="1:6" ht="15.75" customHeight="1" thickBot="1" x14ac:dyDescent="0.25"/>
    <row r="30" spans="1:6" ht="15.75" customHeight="1" thickBot="1" x14ac:dyDescent="0.25">
      <c r="A30" s="538" t="s">
        <v>314</v>
      </c>
      <c r="B30" s="539" t="s">
        <v>315</v>
      </c>
      <c r="C30" s="539" t="s">
        <v>16</v>
      </c>
      <c r="D30" s="539" t="s">
        <v>17</v>
      </c>
      <c r="E30" s="539" t="s">
        <v>18</v>
      </c>
      <c r="F30" s="540" t="s">
        <v>316</v>
      </c>
    </row>
    <row r="31" spans="1:6" x14ac:dyDescent="0.2">
      <c r="A31" s="541" t="s">
        <v>278</v>
      </c>
      <c r="B31" s="528">
        <v>417413674.38</v>
      </c>
      <c r="C31" s="528">
        <v>4410214.7500000009</v>
      </c>
      <c r="D31" s="528">
        <v>8672575.4699999988</v>
      </c>
      <c r="E31" s="528">
        <v>8672575.4700000007</v>
      </c>
      <c r="F31" s="529">
        <v>0</v>
      </c>
    </row>
    <row r="32" spans="1:6" x14ac:dyDescent="0.2">
      <c r="A32" s="542" t="s">
        <v>287</v>
      </c>
      <c r="B32" s="531">
        <v>0</v>
      </c>
      <c r="C32" s="531">
        <v>0</v>
      </c>
      <c r="D32" s="532" t="s">
        <v>317</v>
      </c>
      <c r="E32" s="532" t="s">
        <v>317</v>
      </c>
      <c r="F32" s="533">
        <v>0</v>
      </c>
    </row>
    <row r="33" spans="1:6" x14ac:dyDescent="0.2">
      <c r="A33" s="542" t="s">
        <v>291</v>
      </c>
      <c r="B33" s="531">
        <v>4582.1400000000003</v>
      </c>
      <c r="C33" s="531">
        <v>0</v>
      </c>
      <c r="D33" s="531">
        <v>274.93</v>
      </c>
      <c r="E33" s="531">
        <v>274.93</v>
      </c>
      <c r="F33" s="533">
        <v>0</v>
      </c>
    </row>
    <row r="34" spans="1:6" x14ac:dyDescent="0.2">
      <c r="A34" s="542" t="s">
        <v>290</v>
      </c>
      <c r="B34" s="531">
        <v>93061</v>
      </c>
      <c r="C34" s="531">
        <v>0</v>
      </c>
      <c r="D34" s="532" t="s">
        <v>317</v>
      </c>
      <c r="E34" s="532" t="s">
        <v>317</v>
      </c>
      <c r="F34" s="534" t="s">
        <v>317</v>
      </c>
    </row>
    <row r="35" spans="1:6" x14ac:dyDescent="0.2">
      <c r="A35" s="542" t="s">
        <v>318</v>
      </c>
      <c r="B35" s="531">
        <v>0</v>
      </c>
      <c r="C35" s="532" t="s">
        <v>317</v>
      </c>
      <c r="D35" s="532" t="s">
        <v>317</v>
      </c>
      <c r="E35" s="532" t="s">
        <v>317</v>
      </c>
      <c r="F35" s="534" t="s">
        <v>317</v>
      </c>
    </row>
    <row r="36" spans="1:6" x14ac:dyDescent="0.2">
      <c r="A36" s="542" t="s">
        <v>319</v>
      </c>
      <c r="B36" s="531">
        <v>30855243.109999999</v>
      </c>
      <c r="C36" s="532" t="s">
        <v>317</v>
      </c>
      <c r="D36" s="532" t="s">
        <v>317</v>
      </c>
      <c r="E36" s="532" t="s">
        <v>317</v>
      </c>
      <c r="F36" s="534" t="s">
        <v>317</v>
      </c>
    </row>
    <row r="37" spans="1:6" x14ac:dyDescent="0.2">
      <c r="A37" s="542" t="s">
        <v>320</v>
      </c>
      <c r="B37" s="531">
        <v>27317374.010000002</v>
      </c>
      <c r="C37" s="532" t="s">
        <v>317</v>
      </c>
      <c r="D37" s="532" t="s">
        <v>317</v>
      </c>
      <c r="E37" s="532" t="s">
        <v>317</v>
      </c>
      <c r="F37" s="534" t="s">
        <v>317</v>
      </c>
    </row>
    <row r="38" spans="1:6" x14ac:dyDescent="0.2">
      <c r="A38" s="542" t="s">
        <v>288</v>
      </c>
      <c r="B38" s="531">
        <v>-427268</v>
      </c>
      <c r="C38" s="531">
        <v>-76908.240000000005</v>
      </c>
      <c r="D38" s="531">
        <v>0</v>
      </c>
      <c r="E38" s="531">
        <v>0</v>
      </c>
      <c r="F38" s="533">
        <v>0</v>
      </c>
    </row>
    <row r="39" spans="1:6" x14ac:dyDescent="0.2">
      <c r="A39" s="542" t="s">
        <v>289</v>
      </c>
      <c r="B39" s="531">
        <v>0</v>
      </c>
      <c r="C39" s="531">
        <v>0</v>
      </c>
      <c r="D39" s="532" t="s">
        <v>317</v>
      </c>
      <c r="E39" s="532" t="s">
        <v>317</v>
      </c>
      <c r="F39" s="533">
        <v>0</v>
      </c>
    </row>
    <row r="40" spans="1:6" x14ac:dyDescent="0.2">
      <c r="A40" s="542" t="s">
        <v>296</v>
      </c>
      <c r="B40" s="531">
        <v>57142.86</v>
      </c>
      <c r="C40" s="531">
        <v>0</v>
      </c>
      <c r="D40" s="531">
        <v>1428.57</v>
      </c>
      <c r="E40" s="531">
        <v>1428.57</v>
      </c>
      <c r="F40" s="533">
        <v>0</v>
      </c>
    </row>
    <row r="41" spans="1:6" ht="15.75" customHeight="1" thickBot="1" x14ac:dyDescent="0.25">
      <c r="A41" s="543" t="s">
        <v>321</v>
      </c>
      <c r="B41" s="536">
        <v>57142.86</v>
      </c>
      <c r="C41" s="536">
        <v>0</v>
      </c>
      <c r="D41" s="536">
        <v>1428.57</v>
      </c>
      <c r="E41" s="536">
        <v>1428.57</v>
      </c>
      <c r="F41" s="537">
        <v>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workbookViewId="0">
      <selection activeCell="B37" sqref="B37"/>
    </sheetView>
  </sheetViews>
  <sheetFormatPr defaultRowHeight="10.199999999999999" x14ac:dyDescent="0.2"/>
  <cols>
    <col min="1" max="1" width="8.88671875" style="11"/>
    <col min="2" max="2" width="21" style="11" customWidth="1"/>
    <col min="3" max="3" width="19.77734375" style="11" customWidth="1"/>
    <col min="4" max="4" width="8.88671875" style="11"/>
    <col min="5" max="5" width="25.33203125" style="11" customWidth="1"/>
    <col min="6" max="8" width="8.88671875" style="11"/>
    <col min="9" max="9" width="38.6640625" style="11" customWidth="1"/>
    <col min="10" max="10" width="56.6640625" style="914" bestFit="1" customWidth="1"/>
    <col min="11" max="16384" width="8.88671875" style="11"/>
  </cols>
  <sheetData>
    <row r="1" spans="1:10" ht="14.4" customHeight="1" x14ac:dyDescent="0.2"/>
    <row r="2" spans="1:10" x14ac:dyDescent="0.2">
      <c r="A2" s="77"/>
      <c r="B2" s="77" t="s">
        <v>389</v>
      </c>
      <c r="C2" s="77" t="s">
        <v>390</v>
      </c>
      <c r="D2" s="77"/>
      <c r="E2" s="77" t="s">
        <v>405</v>
      </c>
      <c r="F2" s="77"/>
      <c r="G2" s="77" t="s">
        <v>3701</v>
      </c>
      <c r="H2" s="77" t="s">
        <v>3702</v>
      </c>
      <c r="I2" s="77" t="s">
        <v>4100</v>
      </c>
      <c r="J2" s="915" t="s">
        <v>4101</v>
      </c>
    </row>
    <row r="3" spans="1:10" ht="11.4" x14ac:dyDescent="0.2">
      <c r="A3" s="66"/>
      <c r="B3" s="66" t="s">
        <v>365</v>
      </c>
      <c r="C3" s="66" t="s">
        <v>22</v>
      </c>
      <c r="D3" s="66"/>
      <c r="E3" s="544" t="s">
        <v>406</v>
      </c>
      <c r="F3" s="66"/>
      <c r="G3" s="544" t="s">
        <v>3699</v>
      </c>
      <c r="H3" s="544" t="s">
        <v>420</v>
      </c>
      <c r="I3" s="913" t="s">
        <v>4104</v>
      </c>
      <c r="J3" s="916" t="s">
        <v>4116</v>
      </c>
    </row>
    <row r="4" spans="1:10" ht="11.4" x14ac:dyDescent="0.2">
      <c r="A4" s="66"/>
      <c r="B4" s="66" t="s">
        <v>25</v>
      </c>
      <c r="C4" s="66" t="s">
        <v>403</v>
      </c>
      <c r="D4" s="66"/>
      <c r="E4" s="544" t="s">
        <v>2428</v>
      </c>
      <c r="F4" s="66"/>
      <c r="G4" s="544" t="s">
        <v>3700</v>
      </c>
      <c r="H4" s="544" t="s">
        <v>419</v>
      </c>
      <c r="I4" s="913" t="s">
        <v>4182</v>
      </c>
      <c r="J4" s="916" t="s">
        <v>4117</v>
      </c>
    </row>
    <row r="5" spans="1:10" ht="11.4" x14ac:dyDescent="0.2">
      <c r="A5" s="66"/>
      <c r="B5" s="66" t="s">
        <v>348</v>
      </c>
      <c r="C5" s="66" t="s">
        <v>366</v>
      </c>
      <c r="D5" s="66"/>
      <c r="E5" s="544" t="s">
        <v>2429</v>
      </c>
      <c r="F5" s="66"/>
      <c r="G5" s="544" t="s">
        <v>417</v>
      </c>
      <c r="H5" s="66"/>
      <c r="I5" s="913" t="s">
        <v>4105</v>
      </c>
      <c r="J5" s="916" t="s">
        <v>4118</v>
      </c>
    </row>
    <row r="6" spans="1:10" ht="11.4" x14ac:dyDescent="0.2">
      <c r="A6" s="66"/>
      <c r="B6" s="66" t="s">
        <v>372</v>
      </c>
      <c r="C6" s="66" t="s">
        <v>392</v>
      </c>
      <c r="D6" s="66"/>
      <c r="E6" s="544" t="s">
        <v>25</v>
      </c>
      <c r="F6" s="66"/>
      <c r="G6" s="544" t="s">
        <v>418</v>
      </c>
      <c r="H6" s="66"/>
      <c r="I6" s="913" t="s">
        <v>4106</v>
      </c>
      <c r="J6" s="916" t="s">
        <v>4041</v>
      </c>
    </row>
    <row r="7" spans="1:10" ht="11.4" x14ac:dyDescent="0.2">
      <c r="A7" s="66"/>
      <c r="B7" s="66" t="s">
        <v>371</v>
      </c>
      <c r="C7" s="66" t="s">
        <v>394</v>
      </c>
      <c r="D7" s="66"/>
      <c r="E7" s="544" t="s">
        <v>408</v>
      </c>
      <c r="F7" s="66"/>
      <c r="G7" s="544" t="s">
        <v>419</v>
      </c>
      <c r="H7" s="66"/>
      <c r="I7" s="913" t="s">
        <v>4107</v>
      </c>
      <c r="J7" s="916" t="s">
        <v>4119</v>
      </c>
    </row>
    <row r="8" spans="1:10" ht="11.4" x14ac:dyDescent="0.2">
      <c r="A8" s="66"/>
      <c r="B8" s="66" t="s">
        <v>373</v>
      </c>
      <c r="C8" s="66" t="s">
        <v>404</v>
      </c>
      <c r="D8" s="66"/>
      <c r="E8" s="544" t="s">
        <v>409</v>
      </c>
      <c r="F8" s="66"/>
      <c r="G8" s="66"/>
      <c r="H8" s="66"/>
      <c r="I8" s="913" t="s">
        <v>4108</v>
      </c>
      <c r="J8" s="916" t="s">
        <v>4120</v>
      </c>
    </row>
    <row r="9" spans="1:10" ht="11.4" x14ac:dyDescent="0.2">
      <c r="A9" s="66"/>
      <c r="B9" s="66" t="s">
        <v>374</v>
      </c>
      <c r="C9" s="66"/>
      <c r="D9" s="66"/>
      <c r="E9" s="544" t="s">
        <v>4584</v>
      </c>
      <c r="F9" s="66"/>
      <c r="G9" s="66"/>
      <c r="H9" s="66"/>
      <c r="I9" s="913" t="s">
        <v>4109</v>
      </c>
      <c r="J9" s="916" t="s">
        <v>4183</v>
      </c>
    </row>
    <row r="10" spans="1:10" ht="11.4" x14ac:dyDescent="0.2">
      <c r="A10" s="66"/>
      <c r="B10" s="66" t="s">
        <v>375</v>
      </c>
      <c r="C10" s="66"/>
      <c r="D10" s="66"/>
      <c r="E10" s="544" t="s">
        <v>2431</v>
      </c>
      <c r="F10" s="66"/>
      <c r="G10" s="66"/>
      <c r="H10" s="66"/>
      <c r="I10" s="913" t="s">
        <v>4110</v>
      </c>
      <c r="J10" s="916" t="s">
        <v>4121</v>
      </c>
    </row>
    <row r="11" spans="1:10" ht="11.4" x14ac:dyDescent="0.2">
      <c r="A11" s="66"/>
      <c r="B11" s="66" t="s">
        <v>376</v>
      </c>
      <c r="C11" s="66"/>
      <c r="D11" s="66"/>
      <c r="E11" s="544" t="s">
        <v>4585</v>
      </c>
      <c r="F11" s="66"/>
      <c r="G11" s="66"/>
      <c r="H11" s="66"/>
      <c r="I11" s="913" t="s">
        <v>4111</v>
      </c>
      <c r="J11" s="916" t="s">
        <v>4184</v>
      </c>
    </row>
    <row r="12" spans="1:10" ht="11.4" x14ac:dyDescent="0.2">
      <c r="A12" s="66"/>
      <c r="B12" s="66" t="s">
        <v>377</v>
      </c>
      <c r="C12" s="66"/>
      <c r="D12" s="66"/>
      <c r="E12" s="544" t="s">
        <v>2430</v>
      </c>
      <c r="F12" s="66"/>
      <c r="G12" s="66"/>
      <c r="H12" s="66"/>
      <c r="I12" s="913" t="s">
        <v>4112</v>
      </c>
      <c r="J12" s="916" t="s">
        <v>4122</v>
      </c>
    </row>
    <row r="13" spans="1:10" ht="11.4" x14ac:dyDescent="0.2">
      <c r="A13" s="66"/>
      <c r="B13" s="66" t="s">
        <v>378</v>
      </c>
      <c r="C13" s="66"/>
      <c r="D13" s="66"/>
      <c r="E13" s="544" t="s">
        <v>4582</v>
      </c>
      <c r="F13" s="66"/>
      <c r="G13" s="66"/>
      <c r="H13" s="66"/>
      <c r="I13" s="913" t="s">
        <v>4113</v>
      </c>
      <c r="J13" s="916" t="s">
        <v>4123</v>
      </c>
    </row>
    <row r="14" spans="1:10" ht="11.4" x14ac:dyDescent="0.2">
      <c r="A14" s="66"/>
      <c r="B14" s="66" t="s">
        <v>379</v>
      </c>
      <c r="C14" s="66"/>
      <c r="D14" s="66"/>
      <c r="E14" s="544" t="s">
        <v>411</v>
      </c>
      <c r="F14" s="66"/>
      <c r="G14" s="66"/>
      <c r="H14" s="66"/>
      <c r="I14" s="913" t="s">
        <v>4178</v>
      </c>
      <c r="J14" s="916" t="s">
        <v>4124</v>
      </c>
    </row>
    <row r="15" spans="1:10" ht="11.4" x14ac:dyDescent="0.2">
      <c r="A15" s="66"/>
      <c r="B15" s="66" t="s">
        <v>380</v>
      </c>
      <c r="C15" s="66"/>
      <c r="D15" s="66"/>
      <c r="E15" s="544" t="s">
        <v>4583</v>
      </c>
      <c r="F15" s="66"/>
      <c r="G15" s="66"/>
      <c r="H15" s="66"/>
      <c r="I15" s="913" t="s">
        <v>4115</v>
      </c>
    </row>
    <row r="16" spans="1:10" x14ac:dyDescent="0.2">
      <c r="A16" s="66"/>
      <c r="B16" s="66" t="s">
        <v>381</v>
      </c>
      <c r="C16" s="66"/>
      <c r="D16" s="66"/>
      <c r="E16" s="298" t="s">
        <v>465</v>
      </c>
      <c r="F16" s="66"/>
      <c r="G16" s="66"/>
      <c r="H16" s="66"/>
      <c r="I16" s="914"/>
    </row>
    <row r="17" spans="1:10" x14ac:dyDescent="0.2">
      <c r="A17" s="66"/>
      <c r="B17" s="66" t="s">
        <v>382</v>
      </c>
      <c r="C17" s="66"/>
      <c r="D17" s="66"/>
      <c r="E17" s="298" t="s">
        <v>466</v>
      </c>
      <c r="F17" s="66"/>
      <c r="G17" s="66"/>
      <c r="H17" s="66"/>
    </row>
    <row r="18" spans="1:10" ht="11.4" x14ac:dyDescent="0.2">
      <c r="A18" s="66"/>
      <c r="B18" s="66" t="s">
        <v>383</v>
      </c>
      <c r="C18" s="66"/>
      <c r="D18" s="66"/>
      <c r="E18" s="66" t="s">
        <v>467</v>
      </c>
      <c r="F18" s="66"/>
      <c r="G18" s="66"/>
      <c r="H18" s="66"/>
      <c r="J18" s="916" t="s">
        <v>4125</v>
      </c>
    </row>
    <row r="19" spans="1:10" ht="11.4" x14ac:dyDescent="0.2">
      <c r="A19" s="66"/>
      <c r="B19" s="66" t="s">
        <v>384</v>
      </c>
      <c r="C19" s="66"/>
      <c r="D19" s="66"/>
      <c r="E19" s="66" t="s">
        <v>468</v>
      </c>
      <c r="F19" s="66"/>
      <c r="G19" s="66"/>
      <c r="H19" s="66"/>
      <c r="J19" s="916" t="s">
        <v>4126</v>
      </c>
    </row>
    <row r="20" spans="1:10" ht="11.4" x14ac:dyDescent="0.2">
      <c r="A20" s="66"/>
      <c r="B20" s="66" t="s">
        <v>385</v>
      </c>
      <c r="C20" s="66"/>
      <c r="D20" s="66"/>
      <c r="E20" s="298" t="s">
        <v>376</v>
      </c>
      <c r="F20" s="66"/>
      <c r="G20" s="66"/>
      <c r="H20" s="66"/>
      <c r="J20" s="916" t="s">
        <v>4185</v>
      </c>
    </row>
    <row r="21" spans="1:10" ht="11.4" x14ac:dyDescent="0.2">
      <c r="A21" s="66"/>
      <c r="B21" s="66" t="s">
        <v>386</v>
      </c>
      <c r="C21" s="66"/>
      <c r="D21" s="66"/>
      <c r="E21" s="298" t="s">
        <v>463</v>
      </c>
      <c r="F21" s="66"/>
      <c r="G21" s="66"/>
      <c r="H21" s="66"/>
      <c r="J21" s="916" t="s">
        <v>4127</v>
      </c>
    </row>
    <row r="22" spans="1:10" ht="11.4" x14ac:dyDescent="0.2">
      <c r="A22" s="66"/>
      <c r="B22" s="66" t="s">
        <v>387</v>
      </c>
      <c r="C22" s="66"/>
      <c r="D22" s="66"/>
      <c r="E22" s="298" t="s">
        <v>464</v>
      </c>
      <c r="F22" s="66"/>
      <c r="G22" s="66"/>
      <c r="H22" s="66"/>
      <c r="J22" s="916" t="s">
        <v>4128</v>
      </c>
    </row>
    <row r="23" spans="1:10" ht="11.4" x14ac:dyDescent="0.2">
      <c r="A23" s="66"/>
      <c r="B23" s="66" t="s">
        <v>396</v>
      </c>
      <c r="C23" s="66"/>
      <c r="D23" s="66"/>
      <c r="E23" s="298" t="s">
        <v>413</v>
      </c>
      <c r="F23" s="66"/>
      <c r="G23" s="66"/>
      <c r="H23" s="66"/>
      <c r="J23" s="916" t="s">
        <v>4129</v>
      </c>
    </row>
    <row r="24" spans="1:10" ht="11.4" x14ac:dyDescent="0.2">
      <c r="A24" s="66"/>
      <c r="B24" s="66" t="s">
        <v>397</v>
      </c>
      <c r="C24" s="66"/>
      <c r="D24" s="66"/>
      <c r="E24" s="298" t="s">
        <v>414</v>
      </c>
      <c r="F24" s="66"/>
      <c r="G24" s="66"/>
      <c r="H24" s="66"/>
      <c r="J24" s="916" t="s">
        <v>4130</v>
      </c>
    </row>
    <row r="25" spans="1:10" ht="11.4" x14ac:dyDescent="0.2">
      <c r="A25" s="66"/>
      <c r="B25" s="66" t="s">
        <v>388</v>
      </c>
      <c r="C25" s="66"/>
      <c r="D25" s="66"/>
      <c r="E25" s="298" t="s">
        <v>415</v>
      </c>
      <c r="F25" s="66"/>
      <c r="G25" s="66"/>
      <c r="H25" s="66"/>
      <c r="J25" s="916" t="s">
        <v>4131</v>
      </c>
    </row>
    <row r="26" spans="1:10" ht="11.4" x14ac:dyDescent="0.2">
      <c r="A26" s="66"/>
      <c r="B26" s="66" t="s">
        <v>395</v>
      </c>
      <c r="C26" s="66"/>
      <c r="D26" s="66"/>
      <c r="E26" s="298" t="s">
        <v>416</v>
      </c>
      <c r="F26" s="66"/>
      <c r="G26" s="66"/>
      <c r="H26" s="66"/>
      <c r="J26" s="916" t="s">
        <v>4132</v>
      </c>
    </row>
    <row r="27" spans="1:10" ht="11.4" x14ac:dyDescent="0.2">
      <c r="A27" s="66"/>
      <c r="B27" s="66" t="s">
        <v>4586</v>
      </c>
      <c r="C27" s="66"/>
      <c r="D27" s="66"/>
      <c r="E27" s="298" t="s">
        <v>458</v>
      </c>
      <c r="F27" s="66"/>
      <c r="G27" s="66"/>
      <c r="H27" s="66"/>
      <c r="J27" s="916" t="s">
        <v>4133</v>
      </c>
    </row>
    <row r="28" spans="1:10" ht="11.4" x14ac:dyDescent="0.2">
      <c r="A28" s="66"/>
      <c r="B28" s="66" t="s">
        <v>4587</v>
      </c>
      <c r="C28" s="66"/>
      <c r="D28" s="66"/>
      <c r="E28" s="298" t="s">
        <v>462</v>
      </c>
      <c r="F28" s="66"/>
      <c r="G28" s="66"/>
      <c r="H28" s="66"/>
      <c r="J28" s="916" t="s">
        <v>4134</v>
      </c>
    </row>
    <row r="29" spans="1:10" ht="11.4" x14ac:dyDescent="0.2">
      <c r="A29" s="66"/>
      <c r="B29" s="66" t="s">
        <v>4588</v>
      </c>
      <c r="C29" s="66"/>
      <c r="D29" s="66"/>
      <c r="E29" s="66" t="s">
        <v>383</v>
      </c>
      <c r="F29" s="66"/>
      <c r="G29" s="66"/>
      <c r="H29" s="66"/>
      <c r="J29" s="916" t="s">
        <v>4135</v>
      </c>
    </row>
    <row r="30" spans="1:10" ht="11.4" x14ac:dyDescent="0.2">
      <c r="A30" s="66"/>
      <c r="B30" s="66" t="s">
        <v>4589</v>
      </c>
      <c r="C30" s="66"/>
      <c r="D30" s="66"/>
      <c r="E30" s="66"/>
      <c r="F30" s="66"/>
      <c r="G30" s="66"/>
      <c r="H30" s="66"/>
      <c r="J30" s="916" t="s">
        <v>4136</v>
      </c>
    </row>
    <row r="31" spans="1:10" ht="11.4" x14ac:dyDescent="0.2">
      <c r="A31" s="66"/>
      <c r="B31" s="66" t="s">
        <v>402</v>
      </c>
      <c r="C31" s="66"/>
      <c r="D31" s="66"/>
      <c r="E31" s="66"/>
      <c r="F31" s="66"/>
      <c r="G31" s="66"/>
      <c r="H31" s="66"/>
      <c r="J31" s="916" t="s">
        <v>4137</v>
      </c>
    </row>
    <row r="32" spans="1:10" ht="11.4" x14ac:dyDescent="0.2">
      <c r="A32" s="66"/>
      <c r="B32" s="66" t="s">
        <v>458</v>
      </c>
      <c r="C32" s="66"/>
      <c r="D32" s="66"/>
      <c r="E32" s="66"/>
      <c r="F32" s="66"/>
      <c r="G32" s="66"/>
      <c r="H32" s="66"/>
      <c r="J32" s="916" t="s">
        <v>4138</v>
      </c>
    </row>
    <row r="33" spans="1:10" ht="11.4" x14ac:dyDescent="0.2">
      <c r="A33" s="66"/>
      <c r="B33" s="66" t="s">
        <v>4590</v>
      </c>
      <c r="C33" s="66"/>
      <c r="D33" s="66"/>
      <c r="E33" s="66"/>
      <c r="F33" s="66"/>
      <c r="G33" s="66"/>
      <c r="H33" s="66"/>
      <c r="J33" s="834" t="s">
        <v>4030</v>
      </c>
    </row>
    <row r="34" spans="1:10" ht="11.4" x14ac:dyDescent="0.2">
      <c r="A34" s="66"/>
      <c r="B34" s="66" t="s">
        <v>4591</v>
      </c>
      <c r="C34" s="66"/>
      <c r="D34" s="66"/>
      <c r="E34" s="66"/>
      <c r="F34" s="66"/>
      <c r="G34" s="66"/>
      <c r="H34" s="66"/>
      <c r="J34" s="916" t="s">
        <v>4139</v>
      </c>
    </row>
    <row r="35" spans="1:10" ht="11.4" x14ac:dyDescent="0.2">
      <c r="A35" s="66"/>
      <c r="B35" s="66" t="s">
        <v>4592</v>
      </c>
      <c r="C35" s="66"/>
      <c r="D35" s="66"/>
      <c r="E35" s="66"/>
      <c r="F35" s="66"/>
      <c r="G35" s="66"/>
      <c r="H35" s="66"/>
      <c r="J35" s="916" t="s">
        <v>4140</v>
      </c>
    </row>
    <row r="36" spans="1:10" ht="11.4" x14ac:dyDescent="0.2">
      <c r="A36" s="66"/>
      <c r="B36" s="66" t="s">
        <v>4593</v>
      </c>
      <c r="C36" s="66"/>
      <c r="D36" s="66"/>
      <c r="E36" s="66"/>
      <c r="F36" s="66"/>
      <c r="G36" s="66"/>
      <c r="H36" s="66"/>
      <c r="J36" s="916" t="s">
        <v>4186</v>
      </c>
    </row>
    <row r="37" spans="1:10" ht="11.4" x14ac:dyDescent="0.2">
      <c r="A37" s="66"/>
      <c r="B37" s="298" t="s">
        <v>459</v>
      </c>
      <c r="C37" s="66"/>
      <c r="D37" s="66"/>
      <c r="E37" s="66"/>
      <c r="F37" s="66"/>
      <c r="G37" s="66"/>
      <c r="H37" s="66"/>
      <c r="J37" s="916" t="s">
        <v>4141</v>
      </c>
    </row>
    <row r="38" spans="1:10" ht="11.4" x14ac:dyDescent="0.2">
      <c r="A38" s="66"/>
      <c r="B38" s="298" t="s">
        <v>460</v>
      </c>
      <c r="C38" s="66"/>
      <c r="D38" s="66"/>
      <c r="E38" s="66"/>
      <c r="F38" s="66"/>
      <c r="G38" s="66"/>
      <c r="H38" s="66"/>
      <c r="J38" s="916" t="s">
        <v>4031</v>
      </c>
    </row>
    <row r="39" spans="1:10" ht="11.4" x14ac:dyDescent="0.2">
      <c r="A39" s="66"/>
      <c r="B39" s="298" t="s">
        <v>461</v>
      </c>
      <c r="C39" s="66"/>
      <c r="D39" s="66"/>
      <c r="E39" s="66"/>
      <c r="F39" s="66"/>
      <c r="G39" s="66"/>
      <c r="H39" s="66"/>
      <c r="J39" s="916" t="s">
        <v>4187</v>
      </c>
    </row>
    <row r="40" spans="1:10" ht="11.4" x14ac:dyDescent="0.2">
      <c r="J40" s="916" t="s">
        <v>4188</v>
      </c>
    </row>
    <row r="41" spans="1:10" ht="11.4" x14ac:dyDescent="0.2">
      <c r="J41" s="916" t="s">
        <v>4142</v>
      </c>
    </row>
    <row r="42" spans="1:10" ht="11.4" x14ac:dyDescent="0.2">
      <c r="J42" s="916" t="s">
        <v>4143</v>
      </c>
    </row>
    <row r="43" spans="1:10" ht="11.4" x14ac:dyDescent="0.2">
      <c r="J43" s="916" t="s">
        <v>4144</v>
      </c>
    </row>
    <row r="44" spans="1:10" ht="11.4" x14ac:dyDescent="0.2">
      <c r="J44" s="916" t="s">
        <v>4145</v>
      </c>
    </row>
    <row r="45" spans="1:10" ht="11.4" x14ac:dyDescent="0.2">
      <c r="J45" s="916" t="s">
        <v>4146</v>
      </c>
    </row>
    <row r="46" spans="1:10" ht="11.4" x14ac:dyDescent="0.2">
      <c r="J46" s="916" t="s">
        <v>4147</v>
      </c>
    </row>
    <row r="47" spans="1:10" ht="11.4" x14ac:dyDescent="0.2">
      <c r="J47" s="916" t="s">
        <v>4148</v>
      </c>
    </row>
    <row r="48" spans="1:10" ht="11.4" x14ac:dyDescent="0.2">
      <c r="J48" s="916" t="s">
        <v>4149</v>
      </c>
    </row>
    <row r="49" spans="10:10" ht="11.4" x14ac:dyDescent="0.2">
      <c r="J49" s="916" t="s">
        <v>4150</v>
      </c>
    </row>
    <row r="50" spans="10:10" ht="11.4" x14ac:dyDescent="0.2">
      <c r="J50" s="916" t="s">
        <v>4032</v>
      </c>
    </row>
    <row r="51" spans="10:10" ht="11.4" x14ac:dyDescent="0.2">
      <c r="J51" s="916" t="s">
        <v>4033</v>
      </c>
    </row>
    <row r="52" spans="10:10" ht="11.4" x14ac:dyDescent="0.2">
      <c r="J52" s="916" t="s">
        <v>4189</v>
      </c>
    </row>
    <row r="53" spans="10:10" ht="11.4" x14ac:dyDescent="0.2">
      <c r="J53" s="916" t="s">
        <v>4151</v>
      </c>
    </row>
    <row r="54" spans="10:10" ht="11.4" x14ac:dyDescent="0.2">
      <c r="J54" s="916" t="s">
        <v>4152</v>
      </c>
    </row>
    <row r="55" spans="10:10" ht="11.4" x14ac:dyDescent="0.2">
      <c r="J55" s="916" t="s">
        <v>4153</v>
      </c>
    </row>
    <row r="56" spans="10:10" ht="11.4" x14ac:dyDescent="0.2">
      <c r="J56" s="916" t="s">
        <v>4154</v>
      </c>
    </row>
    <row r="57" spans="10:10" ht="11.4" x14ac:dyDescent="0.2">
      <c r="J57" s="916" t="s">
        <v>4155</v>
      </c>
    </row>
    <row r="58" spans="10:10" ht="11.4" x14ac:dyDescent="0.2">
      <c r="J58" s="916" t="s">
        <v>4156</v>
      </c>
    </row>
    <row r="59" spans="10:10" ht="11.4" x14ac:dyDescent="0.2">
      <c r="J59" s="916" t="s">
        <v>4157</v>
      </c>
    </row>
    <row r="60" spans="10:10" ht="11.4" x14ac:dyDescent="0.2">
      <c r="J60" s="916" t="s">
        <v>4158</v>
      </c>
    </row>
    <row r="61" spans="10:10" ht="11.4" x14ac:dyDescent="0.2">
      <c r="J61" s="916" t="s">
        <v>4159</v>
      </c>
    </row>
    <row r="62" spans="10:10" ht="11.4" x14ac:dyDescent="0.2">
      <c r="J62" s="916" t="s">
        <v>4160</v>
      </c>
    </row>
    <row r="63" spans="10:10" ht="11.4" x14ac:dyDescent="0.2">
      <c r="J63" s="916" t="s">
        <v>4161</v>
      </c>
    </row>
    <row r="64" spans="10:10" ht="11.4" x14ac:dyDescent="0.2">
      <c r="J64" s="916" t="s">
        <v>4162</v>
      </c>
    </row>
    <row r="65" spans="10:10" ht="11.4" x14ac:dyDescent="0.2">
      <c r="J65" s="916" t="s">
        <v>4163</v>
      </c>
    </row>
    <row r="66" spans="10:10" ht="11.4" x14ac:dyDescent="0.2">
      <c r="J66" s="916" t="s">
        <v>4164</v>
      </c>
    </row>
    <row r="67" spans="10:10" ht="11.4" x14ac:dyDescent="0.2">
      <c r="J67" s="916" t="s">
        <v>4165</v>
      </c>
    </row>
    <row r="68" spans="10:10" ht="11.4" x14ac:dyDescent="0.2">
      <c r="J68" s="916" t="s">
        <v>4166</v>
      </c>
    </row>
    <row r="69" spans="10:10" ht="11.4" x14ac:dyDescent="0.2">
      <c r="J69" s="916" t="s">
        <v>4167</v>
      </c>
    </row>
    <row r="70" spans="10:10" ht="11.4" x14ac:dyDescent="0.2">
      <c r="J70" s="916" t="s">
        <v>4168</v>
      </c>
    </row>
    <row r="71" spans="10:10" ht="11.4" x14ac:dyDescent="0.2">
      <c r="J71" s="916" t="s">
        <v>4169</v>
      </c>
    </row>
    <row r="72" spans="10:10" ht="11.4" x14ac:dyDescent="0.2">
      <c r="J72" s="916" t="s">
        <v>4170</v>
      </c>
    </row>
    <row r="73" spans="10:10" ht="11.4" x14ac:dyDescent="0.2">
      <c r="J73" s="916" t="s">
        <v>4034</v>
      </c>
    </row>
    <row r="74" spans="10:10" ht="11.4" x14ac:dyDescent="0.2">
      <c r="J74" s="916" t="s">
        <v>4035</v>
      </c>
    </row>
    <row r="75" spans="10:10" ht="11.4" x14ac:dyDescent="0.2">
      <c r="J75" s="916" t="s">
        <v>4171</v>
      </c>
    </row>
    <row r="76" spans="10:10" ht="11.4" x14ac:dyDescent="0.2">
      <c r="J76" s="916" t="s">
        <v>4172</v>
      </c>
    </row>
    <row r="77" spans="10:10" ht="11.4" x14ac:dyDescent="0.2">
      <c r="J77" s="916" t="s">
        <v>4173</v>
      </c>
    </row>
    <row r="78" spans="10:10" ht="11.4" x14ac:dyDescent="0.2">
      <c r="J78" s="916" t="s">
        <v>4174</v>
      </c>
    </row>
    <row r="79" spans="10:10" ht="11.4" x14ac:dyDescent="0.2">
      <c r="J79" s="916" t="s">
        <v>4175</v>
      </c>
    </row>
    <row r="80" spans="10:10" ht="11.4" x14ac:dyDescent="0.2">
      <c r="J80" s="916" t="s">
        <v>4176</v>
      </c>
    </row>
    <row r="81" spans="10:10" ht="11.4" x14ac:dyDescent="0.2">
      <c r="J81" s="916" t="s">
        <v>4177</v>
      </c>
    </row>
    <row r="82" spans="10:10" ht="11.4" x14ac:dyDescent="0.2">
      <c r="J82" s="918"/>
    </row>
    <row r="85" spans="10:10" ht="11.4" x14ac:dyDescent="0.2">
      <c r="J85" s="918" t="s">
        <v>4190</v>
      </c>
    </row>
    <row r="86" spans="10:10" ht="11.4" x14ac:dyDescent="0.2">
      <c r="J86" s="918" t="s">
        <v>4191</v>
      </c>
    </row>
    <row r="87" spans="10:10" ht="11.4" x14ac:dyDescent="0.2">
      <c r="J87" s="918" t="s">
        <v>4192</v>
      </c>
    </row>
    <row r="88" spans="10:10" ht="11.4" x14ac:dyDescent="0.2">
      <c r="J88" s="918" t="s">
        <v>4193</v>
      </c>
    </row>
    <row r="89" spans="10:10" ht="11.4" x14ac:dyDescent="0.2">
      <c r="J89" s="918" t="s">
        <v>4194</v>
      </c>
    </row>
    <row r="90" spans="10:10" ht="11.4" x14ac:dyDescent="0.2">
      <c r="J90" s="918" t="s">
        <v>4195</v>
      </c>
    </row>
    <row r="91" spans="10:10" ht="11.4" x14ac:dyDescent="0.2">
      <c r="J91" s="918" t="s">
        <v>4196</v>
      </c>
    </row>
    <row r="92" spans="10:10" ht="11.4" x14ac:dyDescent="0.2">
      <c r="J92" s="918" t="s">
        <v>4197</v>
      </c>
    </row>
    <row r="93" spans="10:10" ht="11.4" x14ac:dyDescent="0.2">
      <c r="J93" s="913" t="s">
        <v>4198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workbookViewId="0">
      <selection sqref="A1:E1"/>
    </sheetView>
  </sheetViews>
  <sheetFormatPr defaultRowHeight="10.199999999999999" x14ac:dyDescent="0.2"/>
  <cols>
    <col min="1" max="1" width="13.109375" style="11" customWidth="1"/>
    <col min="2" max="2" width="14.88671875" style="11" customWidth="1"/>
    <col min="3" max="3" width="14" style="11" bestFit="1" customWidth="1"/>
    <col min="4" max="4" width="11" style="11" customWidth="1"/>
    <col min="5" max="16384" width="8.88671875" style="11"/>
  </cols>
  <sheetData>
    <row r="1" spans="1:5" ht="11.4" thickTop="1" thickBot="1" x14ac:dyDescent="0.25">
      <c r="A1" s="1474" t="s">
        <v>263</v>
      </c>
      <c r="B1" s="1474"/>
      <c r="C1" s="1474"/>
      <c r="D1" s="1474"/>
      <c r="E1" s="1474"/>
    </row>
    <row r="2" spans="1:5" ht="21.6" thickTop="1" thickBot="1" x14ac:dyDescent="0.25">
      <c r="A2" s="545" t="s">
        <v>9</v>
      </c>
      <c r="B2" s="546" t="s">
        <v>264</v>
      </c>
      <c r="C2" s="13" t="s">
        <v>265</v>
      </c>
      <c r="D2" s="546" t="s">
        <v>14</v>
      </c>
      <c r="E2" s="547" t="s">
        <v>10</v>
      </c>
    </row>
    <row r="3" spans="1:5" ht="11.4" thickTop="1" thickBot="1" x14ac:dyDescent="0.25">
      <c r="A3" s="548"/>
      <c r="B3" s="549"/>
      <c r="C3" s="550"/>
      <c r="D3" s="550"/>
      <c r="E3" s="548"/>
    </row>
    <row r="4" spans="1:5" ht="10.8" thickTop="1" x14ac:dyDescent="0.2">
      <c r="A4" s="551">
        <v>998873</v>
      </c>
      <c r="B4" s="552" t="s">
        <v>266</v>
      </c>
      <c r="C4" s="553" t="s">
        <v>267</v>
      </c>
      <c r="D4" s="551" t="s">
        <v>268</v>
      </c>
      <c r="E4" s="554">
        <v>18</v>
      </c>
    </row>
    <row r="5" spans="1:5" x14ac:dyDescent="0.2">
      <c r="A5" s="467">
        <v>998898</v>
      </c>
      <c r="B5" s="500" t="s">
        <v>266</v>
      </c>
      <c r="C5" s="555" t="s">
        <v>267</v>
      </c>
      <c r="D5" s="467" t="s">
        <v>268</v>
      </c>
      <c r="E5" s="556">
        <v>18</v>
      </c>
    </row>
    <row r="6" spans="1:5" x14ac:dyDescent="0.2">
      <c r="A6" s="467">
        <v>32082090</v>
      </c>
      <c r="B6" s="500" t="s">
        <v>273</v>
      </c>
      <c r="C6" s="555" t="s">
        <v>271</v>
      </c>
      <c r="D6" s="467" t="s">
        <v>269</v>
      </c>
      <c r="E6" s="556">
        <v>28</v>
      </c>
    </row>
    <row r="7" spans="1:5" x14ac:dyDescent="0.2">
      <c r="A7" s="467">
        <v>84795000</v>
      </c>
      <c r="B7" s="557" t="s">
        <v>4252</v>
      </c>
      <c r="C7" s="555" t="s">
        <v>267</v>
      </c>
      <c r="D7" s="467" t="s">
        <v>269</v>
      </c>
      <c r="E7" s="556">
        <v>18</v>
      </c>
    </row>
    <row r="8" spans="1:5" x14ac:dyDescent="0.2">
      <c r="A8" s="467">
        <v>85021200</v>
      </c>
      <c r="B8" s="557" t="s">
        <v>4253</v>
      </c>
      <c r="C8" s="555" t="s">
        <v>267</v>
      </c>
      <c r="D8" s="467" t="s">
        <v>269</v>
      </c>
      <c r="E8" s="556">
        <v>18</v>
      </c>
    </row>
    <row r="9" spans="1:5" x14ac:dyDescent="0.2">
      <c r="A9" s="467">
        <v>8456</v>
      </c>
      <c r="B9" s="557" t="s">
        <v>4254</v>
      </c>
      <c r="C9" s="555" t="s">
        <v>267</v>
      </c>
      <c r="D9" s="467" t="s">
        <v>269</v>
      </c>
      <c r="E9" s="556">
        <v>18</v>
      </c>
    </row>
    <row r="10" spans="1:5" x14ac:dyDescent="0.2">
      <c r="A10" s="467">
        <v>38140010</v>
      </c>
      <c r="B10" s="500" t="s">
        <v>270</v>
      </c>
      <c r="C10" s="555" t="s">
        <v>271</v>
      </c>
      <c r="D10" s="467" t="s">
        <v>269</v>
      </c>
      <c r="E10" s="556">
        <v>18</v>
      </c>
    </row>
    <row r="11" spans="1:5" x14ac:dyDescent="0.2">
      <c r="A11" s="467">
        <v>38140010</v>
      </c>
      <c r="B11" s="500" t="s">
        <v>270</v>
      </c>
      <c r="C11" s="555" t="s">
        <v>271</v>
      </c>
      <c r="D11" s="467" t="s">
        <v>269</v>
      </c>
      <c r="E11" s="556">
        <v>18</v>
      </c>
    </row>
    <row r="12" spans="1:5" x14ac:dyDescent="0.2">
      <c r="A12" s="467">
        <v>38249990</v>
      </c>
      <c r="B12" s="500" t="s">
        <v>272</v>
      </c>
      <c r="C12" s="555" t="s">
        <v>271</v>
      </c>
      <c r="D12" s="467" t="s">
        <v>269</v>
      </c>
      <c r="E12" s="556">
        <v>28</v>
      </c>
    </row>
    <row r="13" spans="1:5" x14ac:dyDescent="0.2">
      <c r="A13" s="467">
        <v>85119000</v>
      </c>
      <c r="B13" s="557" t="s">
        <v>266</v>
      </c>
      <c r="C13" s="555" t="s">
        <v>267</v>
      </c>
      <c r="D13" s="467" t="s">
        <v>269</v>
      </c>
      <c r="E13" s="556">
        <v>28</v>
      </c>
    </row>
    <row r="14" spans="1:5" x14ac:dyDescent="0.2">
      <c r="A14" s="467">
        <v>85122010</v>
      </c>
      <c r="B14" s="500" t="s">
        <v>266</v>
      </c>
      <c r="C14" s="555" t="s">
        <v>267</v>
      </c>
      <c r="D14" s="467" t="s">
        <v>269</v>
      </c>
      <c r="E14" s="556">
        <v>18</v>
      </c>
    </row>
    <row r="15" spans="1:5" x14ac:dyDescent="0.2">
      <c r="A15" s="467">
        <v>85129000</v>
      </c>
      <c r="B15" s="500" t="s">
        <v>266</v>
      </c>
      <c r="C15" s="555" t="s">
        <v>267</v>
      </c>
      <c r="D15" s="467" t="s">
        <v>269</v>
      </c>
      <c r="E15" s="556">
        <v>18</v>
      </c>
    </row>
    <row r="16" spans="1:5" x14ac:dyDescent="0.2">
      <c r="A16" s="467">
        <v>85441920</v>
      </c>
      <c r="B16" s="557" t="s">
        <v>266</v>
      </c>
      <c r="C16" s="555" t="s">
        <v>267</v>
      </c>
      <c r="D16" s="467" t="s">
        <v>269</v>
      </c>
      <c r="E16" s="556">
        <v>18</v>
      </c>
    </row>
    <row r="17" spans="1:5" x14ac:dyDescent="0.2">
      <c r="A17" s="467">
        <v>87081090</v>
      </c>
      <c r="B17" s="500" t="s">
        <v>266</v>
      </c>
      <c r="C17" s="555" t="s">
        <v>267</v>
      </c>
      <c r="D17" s="467" t="s">
        <v>269</v>
      </c>
      <c r="E17" s="556">
        <v>28</v>
      </c>
    </row>
    <row r="18" spans="1:5" x14ac:dyDescent="0.2">
      <c r="A18" s="467">
        <v>87089900</v>
      </c>
      <c r="B18" s="500" t="s">
        <v>266</v>
      </c>
      <c r="C18" s="555" t="s">
        <v>267</v>
      </c>
      <c r="D18" s="467" t="s">
        <v>269</v>
      </c>
      <c r="E18" s="556">
        <v>28</v>
      </c>
    </row>
    <row r="19" spans="1:5" x14ac:dyDescent="0.2">
      <c r="A19" s="467">
        <v>87141090</v>
      </c>
      <c r="B19" s="500" t="s">
        <v>266</v>
      </c>
      <c r="C19" s="555" t="s">
        <v>267</v>
      </c>
      <c r="D19" s="467" t="s">
        <v>269</v>
      </c>
      <c r="E19" s="556">
        <v>28</v>
      </c>
    </row>
    <row r="20" spans="1:5" x14ac:dyDescent="0.2">
      <c r="A20" s="467">
        <v>87141900</v>
      </c>
      <c r="B20" s="557" t="s">
        <v>266</v>
      </c>
      <c r="C20" s="555" t="s">
        <v>267</v>
      </c>
      <c r="D20" s="467" t="s">
        <v>269</v>
      </c>
      <c r="E20" s="556">
        <v>28</v>
      </c>
    </row>
    <row r="21" spans="1:5" x14ac:dyDescent="0.2">
      <c r="A21" s="467">
        <v>87142090</v>
      </c>
      <c r="B21" s="557" t="s">
        <v>266</v>
      </c>
      <c r="C21" s="555" t="s">
        <v>267</v>
      </c>
      <c r="D21" s="467" t="s">
        <v>269</v>
      </c>
      <c r="E21" s="556">
        <v>28</v>
      </c>
    </row>
    <row r="22" spans="1:5" x14ac:dyDescent="0.2">
      <c r="A22" s="467" t="s">
        <v>4255</v>
      </c>
      <c r="B22" s="557" t="s">
        <v>266</v>
      </c>
      <c r="C22" s="555" t="s">
        <v>267</v>
      </c>
      <c r="D22" s="467" t="s">
        <v>269</v>
      </c>
      <c r="E22" s="556">
        <v>18</v>
      </c>
    </row>
    <row r="23" spans="1:5" x14ac:dyDescent="0.2">
      <c r="A23" s="467" t="s">
        <v>232</v>
      </c>
      <c r="B23" s="500" t="s">
        <v>266</v>
      </c>
      <c r="C23" s="555" t="s">
        <v>267</v>
      </c>
      <c r="D23" s="467" t="s">
        <v>269</v>
      </c>
      <c r="E23" s="556">
        <v>18</v>
      </c>
    </row>
    <row r="24" spans="1:5" x14ac:dyDescent="0.2">
      <c r="A24" s="467" t="s">
        <v>2425</v>
      </c>
      <c r="B24" s="500" t="s">
        <v>266</v>
      </c>
      <c r="C24" s="555" t="s">
        <v>267</v>
      </c>
      <c r="D24" s="467" t="s">
        <v>268</v>
      </c>
      <c r="E24" s="556">
        <v>12</v>
      </c>
    </row>
    <row r="25" spans="1:5" x14ac:dyDescent="0.2">
      <c r="A25" s="467"/>
      <c r="B25" s="467"/>
      <c r="C25" s="467"/>
      <c r="D25" s="467"/>
      <c r="E25" s="467"/>
    </row>
    <row r="26" spans="1:5" x14ac:dyDescent="0.2">
      <c r="A26" s="467"/>
      <c r="B26" s="467"/>
      <c r="C26" s="467"/>
      <c r="D26" s="467"/>
      <c r="E26" s="467"/>
    </row>
    <row r="27" spans="1:5" x14ac:dyDescent="0.2">
      <c r="A27" s="467"/>
      <c r="B27" s="467"/>
      <c r="C27" s="467"/>
      <c r="D27" s="467"/>
      <c r="E27" s="467"/>
    </row>
    <row r="28" spans="1:5" x14ac:dyDescent="0.2">
      <c r="A28" s="467"/>
      <c r="B28" s="467"/>
      <c r="C28" s="467"/>
      <c r="D28" s="467"/>
      <c r="E28" s="467"/>
    </row>
    <row r="29" spans="1:5" x14ac:dyDescent="0.2">
      <c r="A29" s="467"/>
      <c r="B29" s="467"/>
      <c r="C29" s="467"/>
      <c r="D29" s="467"/>
      <c r="E29" s="467"/>
    </row>
    <row r="30" spans="1:5" x14ac:dyDescent="0.2">
      <c r="A30" s="467"/>
      <c r="B30" s="467"/>
      <c r="C30" s="467"/>
      <c r="D30" s="467"/>
      <c r="E30" s="467"/>
    </row>
    <row r="31" spans="1:5" x14ac:dyDescent="0.2">
      <c r="A31" s="467"/>
      <c r="B31" s="467"/>
      <c r="C31" s="467"/>
      <c r="D31" s="467"/>
      <c r="E31" s="467"/>
    </row>
    <row r="32" spans="1:5" x14ac:dyDescent="0.2">
      <c r="A32" s="467"/>
      <c r="B32" s="467"/>
      <c r="C32" s="467"/>
      <c r="D32" s="467"/>
      <c r="E32" s="467"/>
    </row>
    <row r="33" spans="1:5" x14ac:dyDescent="0.2">
      <c r="A33" s="467"/>
      <c r="B33" s="467"/>
      <c r="C33" s="467"/>
      <c r="D33" s="467"/>
      <c r="E33" s="467"/>
    </row>
    <row r="34" spans="1:5" x14ac:dyDescent="0.2">
      <c r="A34" s="467"/>
      <c r="B34" s="467"/>
      <c r="C34" s="467"/>
      <c r="D34" s="467"/>
      <c r="E34" s="467"/>
    </row>
    <row r="35" spans="1:5" x14ac:dyDescent="0.2">
      <c r="A35" s="467"/>
      <c r="B35" s="467"/>
      <c r="C35" s="467"/>
      <c r="D35" s="467"/>
      <c r="E35" s="467"/>
    </row>
    <row r="36" spans="1:5" x14ac:dyDescent="0.2">
      <c r="A36" s="467"/>
      <c r="B36" s="467"/>
      <c r="C36" s="467"/>
      <c r="D36" s="467"/>
      <c r="E36" s="467"/>
    </row>
    <row r="37" spans="1:5" x14ac:dyDescent="0.2">
      <c r="A37" s="467"/>
      <c r="B37" s="467"/>
      <c r="C37" s="467"/>
      <c r="D37" s="467"/>
      <c r="E37" s="467"/>
    </row>
    <row r="38" spans="1:5" x14ac:dyDescent="0.2">
      <c r="A38" s="467"/>
      <c r="B38" s="467"/>
      <c r="C38" s="467"/>
      <c r="D38" s="467"/>
      <c r="E38" s="467"/>
    </row>
    <row r="39" spans="1:5" x14ac:dyDescent="0.2">
      <c r="A39" s="467"/>
      <c r="B39" s="467"/>
      <c r="C39" s="467"/>
      <c r="D39" s="467"/>
      <c r="E39" s="467"/>
    </row>
    <row r="40" spans="1:5" x14ac:dyDescent="0.2">
      <c r="A40" s="467"/>
      <c r="B40" s="467"/>
      <c r="C40" s="467"/>
      <c r="D40" s="467"/>
      <c r="E40" s="467"/>
    </row>
    <row r="41" spans="1:5" x14ac:dyDescent="0.2">
      <c r="A41" s="467"/>
      <c r="B41" s="467"/>
      <c r="C41" s="467"/>
      <c r="D41" s="467"/>
      <c r="E41" s="467"/>
    </row>
    <row r="42" spans="1:5" x14ac:dyDescent="0.2">
      <c r="A42" s="467"/>
      <c r="B42" s="467"/>
      <c r="C42" s="467"/>
      <c r="D42" s="467"/>
      <c r="E42" s="467"/>
    </row>
    <row r="43" spans="1:5" x14ac:dyDescent="0.2">
      <c r="A43" s="467"/>
      <c r="B43" s="467"/>
      <c r="C43" s="467"/>
      <c r="D43" s="467"/>
      <c r="E43" s="467"/>
    </row>
    <row r="44" spans="1:5" x14ac:dyDescent="0.2">
      <c r="A44" s="467"/>
      <c r="B44" s="467"/>
      <c r="C44" s="467"/>
      <c r="D44" s="467"/>
      <c r="E44" s="467"/>
    </row>
    <row r="45" spans="1:5" x14ac:dyDescent="0.2">
      <c r="A45" s="467"/>
      <c r="B45" s="467"/>
      <c r="C45" s="467"/>
      <c r="D45" s="467"/>
      <c r="E45" s="467"/>
    </row>
    <row r="46" spans="1:5" x14ac:dyDescent="0.2">
      <c r="A46" s="467"/>
      <c r="B46" s="467"/>
      <c r="C46" s="467"/>
      <c r="D46" s="467"/>
      <c r="E46" s="467"/>
    </row>
    <row r="47" spans="1:5" x14ac:dyDescent="0.2">
      <c r="A47" s="467"/>
      <c r="B47" s="467"/>
      <c r="C47" s="467"/>
      <c r="D47" s="467"/>
      <c r="E47" s="467"/>
    </row>
    <row r="48" spans="1:5" x14ac:dyDescent="0.2">
      <c r="A48" s="467"/>
      <c r="B48" s="467"/>
      <c r="C48" s="467"/>
      <c r="D48" s="467"/>
      <c r="E48" s="467"/>
    </row>
    <row r="49" spans="1:5" x14ac:dyDescent="0.2">
      <c r="A49" s="467"/>
      <c r="B49" s="467"/>
      <c r="C49" s="467"/>
      <c r="D49" s="467"/>
      <c r="E49" s="467"/>
    </row>
    <row r="50" spans="1:5" x14ac:dyDescent="0.2">
      <c r="A50" s="467"/>
      <c r="B50" s="467"/>
      <c r="C50" s="467"/>
      <c r="D50" s="467"/>
      <c r="E50" s="467"/>
    </row>
    <row r="51" spans="1:5" x14ac:dyDescent="0.2">
      <c r="A51" s="467"/>
      <c r="B51" s="467"/>
      <c r="C51" s="467"/>
      <c r="D51" s="467"/>
      <c r="E51" s="467"/>
    </row>
    <row r="52" spans="1:5" x14ac:dyDescent="0.2">
      <c r="A52" s="467"/>
      <c r="B52" s="467"/>
      <c r="C52" s="467"/>
      <c r="D52" s="467"/>
      <c r="E52" s="467"/>
    </row>
    <row r="53" spans="1:5" x14ac:dyDescent="0.2">
      <c r="A53" s="467"/>
      <c r="B53" s="467"/>
      <c r="C53" s="467"/>
      <c r="D53" s="467"/>
      <c r="E53" s="467"/>
    </row>
    <row r="54" spans="1:5" x14ac:dyDescent="0.2">
      <c r="A54" s="467"/>
      <c r="B54" s="467"/>
      <c r="C54" s="467"/>
      <c r="D54" s="467"/>
      <c r="E54" s="467"/>
    </row>
    <row r="55" spans="1:5" x14ac:dyDescent="0.2">
      <c r="A55" s="467"/>
      <c r="B55" s="467"/>
      <c r="C55" s="467"/>
      <c r="D55" s="467"/>
      <c r="E55" s="467"/>
    </row>
    <row r="56" spans="1:5" ht="10.8" thickBot="1" x14ac:dyDescent="0.25">
      <c r="A56" s="558"/>
      <c r="B56" s="558"/>
      <c r="C56" s="558"/>
      <c r="D56" s="558"/>
      <c r="E56" s="558"/>
    </row>
    <row r="57" spans="1:5" ht="10.8" thickTop="1" x14ac:dyDescent="0.2"/>
  </sheetData>
  <sortState ref="A4:E20">
    <sortCondition ref="A4"/>
  </sortState>
  <mergeCells count="1">
    <mergeCell ref="A1:E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workbookViewId="0">
      <selection sqref="A1:E1"/>
    </sheetView>
  </sheetViews>
  <sheetFormatPr defaultRowHeight="10.199999999999999" x14ac:dyDescent="0.2"/>
  <cols>
    <col min="1" max="1" width="8.88671875" style="11"/>
    <col min="2" max="2" width="42.33203125" style="11" bestFit="1" customWidth="1"/>
    <col min="3" max="3" width="17.6640625" style="11" bestFit="1" customWidth="1"/>
    <col min="4" max="4" width="16.88671875" style="11" bestFit="1" customWidth="1"/>
    <col min="5" max="16384" width="8.88671875" style="11"/>
  </cols>
  <sheetData>
    <row r="1" spans="1:5" ht="11.4" thickTop="1" thickBot="1" x14ac:dyDescent="0.25">
      <c r="A1" s="1475" t="s">
        <v>233</v>
      </c>
      <c r="B1" s="1476"/>
      <c r="C1" s="1476"/>
      <c r="D1" s="1476"/>
      <c r="E1" s="1477"/>
    </row>
    <row r="2" spans="1:5" ht="10.8" thickTop="1" x14ac:dyDescent="0.2">
      <c r="A2" s="1478" t="s">
        <v>3</v>
      </c>
      <c r="B2" s="1480" t="s">
        <v>234</v>
      </c>
      <c r="C2" s="1480" t="s">
        <v>235</v>
      </c>
      <c r="D2" s="1480" t="s">
        <v>236</v>
      </c>
      <c r="E2" s="1480" t="s">
        <v>236</v>
      </c>
    </row>
    <row r="3" spans="1:5" ht="10.8" thickBot="1" x14ac:dyDescent="0.25">
      <c r="A3" s="1479"/>
      <c r="B3" s="1481"/>
      <c r="C3" s="1481"/>
      <c r="D3" s="1482"/>
      <c r="E3" s="1482"/>
    </row>
    <row r="4" spans="1:5" ht="10.8" thickTop="1" x14ac:dyDescent="0.2">
      <c r="A4" s="467">
        <v>1</v>
      </c>
      <c r="B4" s="499" t="s">
        <v>49</v>
      </c>
      <c r="C4" s="499" t="s">
        <v>50</v>
      </c>
      <c r="D4" s="467" t="s">
        <v>24</v>
      </c>
      <c r="E4" s="499" t="s">
        <v>26</v>
      </c>
    </row>
    <row r="5" spans="1:5" x14ac:dyDescent="0.2">
      <c r="A5" s="467">
        <v>2</v>
      </c>
      <c r="B5" s="500" t="s">
        <v>70</v>
      </c>
      <c r="C5" s="499" t="s">
        <v>71</v>
      </c>
      <c r="D5" s="467" t="s">
        <v>24</v>
      </c>
      <c r="E5" s="499" t="s">
        <v>26</v>
      </c>
    </row>
    <row r="6" spans="1:5" x14ac:dyDescent="0.2">
      <c r="A6" s="467">
        <v>3</v>
      </c>
      <c r="B6" s="500" t="s">
        <v>237</v>
      </c>
      <c r="C6" s="501" t="s">
        <v>238</v>
      </c>
      <c r="D6" s="467" t="s">
        <v>24</v>
      </c>
      <c r="E6" s="499" t="s">
        <v>26</v>
      </c>
    </row>
    <row r="7" spans="1:5" x14ac:dyDescent="0.2">
      <c r="A7" s="467">
        <v>4</v>
      </c>
      <c r="B7" s="502" t="s">
        <v>91</v>
      </c>
      <c r="C7" s="502" t="s">
        <v>92</v>
      </c>
      <c r="D7" s="467" t="s">
        <v>24</v>
      </c>
      <c r="E7" s="499" t="s">
        <v>26</v>
      </c>
    </row>
    <row r="8" spans="1:5" x14ac:dyDescent="0.2">
      <c r="A8" s="467">
        <v>5</v>
      </c>
      <c r="B8" s="502" t="s">
        <v>124</v>
      </c>
      <c r="C8" s="502" t="s">
        <v>125</v>
      </c>
      <c r="D8" s="467" t="s">
        <v>24</v>
      </c>
      <c r="E8" s="499" t="s">
        <v>26</v>
      </c>
    </row>
    <row r="9" spans="1:5" x14ac:dyDescent="0.2">
      <c r="A9" s="467">
        <v>6</v>
      </c>
      <c r="B9" s="499" t="s">
        <v>239</v>
      </c>
      <c r="C9" s="499" t="s">
        <v>240</v>
      </c>
      <c r="D9" s="467" t="s">
        <v>24</v>
      </c>
      <c r="E9" s="499" t="s">
        <v>26</v>
      </c>
    </row>
    <row r="10" spans="1:5" x14ac:dyDescent="0.2">
      <c r="A10" s="467">
        <v>7</v>
      </c>
      <c r="B10" s="501" t="s">
        <v>54</v>
      </c>
      <c r="C10" s="503" t="s">
        <v>55</v>
      </c>
      <c r="D10" s="467" t="s">
        <v>24</v>
      </c>
      <c r="E10" s="499" t="s">
        <v>26</v>
      </c>
    </row>
    <row r="11" spans="1:5" x14ac:dyDescent="0.2">
      <c r="A11" s="467">
        <v>8</v>
      </c>
      <c r="B11" s="501" t="s">
        <v>45</v>
      </c>
      <c r="C11" s="503" t="s">
        <v>46</v>
      </c>
      <c r="D11" s="467" t="s">
        <v>24</v>
      </c>
      <c r="E11" s="499" t="s">
        <v>26</v>
      </c>
    </row>
    <row r="12" spans="1:5" x14ac:dyDescent="0.2">
      <c r="A12" s="467">
        <v>9</v>
      </c>
      <c r="B12" s="499" t="s">
        <v>241</v>
      </c>
      <c r="C12" s="499" t="s">
        <v>242</v>
      </c>
      <c r="D12" s="467" t="s">
        <v>105</v>
      </c>
      <c r="E12" s="499" t="s">
        <v>106</v>
      </c>
    </row>
    <row r="13" spans="1:5" x14ac:dyDescent="0.2">
      <c r="A13" s="467">
        <v>10</v>
      </c>
      <c r="B13" s="499" t="s">
        <v>28</v>
      </c>
      <c r="C13" s="499" t="s">
        <v>29</v>
      </c>
      <c r="D13" s="467" t="s">
        <v>24</v>
      </c>
      <c r="E13" s="499" t="s">
        <v>26</v>
      </c>
    </row>
    <row r="14" spans="1:5" x14ac:dyDescent="0.2">
      <c r="A14" s="467">
        <v>11</v>
      </c>
      <c r="B14" s="499" t="s">
        <v>243</v>
      </c>
      <c r="C14" s="499" t="s">
        <v>244</v>
      </c>
      <c r="D14" s="467" t="s">
        <v>24</v>
      </c>
      <c r="E14" s="499" t="s">
        <v>26</v>
      </c>
    </row>
    <row r="15" spans="1:5" x14ac:dyDescent="0.2">
      <c r="A15" s="467">
        <v>12</v>
      </c>
      <c r="B15" s="499" t="s">
        <v>155</v>
      </c>
      <c r="C15" s="499" t="s">
        <v>156</v>
      </c>
      <c r="D15" s="467" t="s">
        <v>24</v>
      </c>
      <c r="E15" s="499" t="s">
        <v>26</v>
      </c>
    </row>
    <row r="16" spans="1:5" x14ac:dyDescent="0.2">
      <c r="A16" s="467">
        <v>13</v>
      </c>
      <c r="B16" s="499" t="s">
        <v>73</v>
      </c>
      <c r="C16" s="499" t="s">
        <v>74</v>
      </c>
      <c r="D16" s="467" t="s">
        <v>24</v>
      </c>
      <c r="E16" s="499" t="s">
        <v>26</v>
      </c>
    </row>
    <row r="17" spans="1:5" x14ac:dyDescent="0.2">
      <c r="A17" s="467">
        <v>14</v>
      </c>
      <c r="B17" s="504" t="s">
        <v>245</v>
      </c>
      <c r="C17" s="504" t="s">
        <v>246</v>
      </c>
      <c r="D17" s="467" t="s">
        <v>24</v>
      </c>
      <c r="E17" s="499" t="s">
        <v>26</v>
      </c>
    </row>
    <row r="18" spans="1:5" x14ac:dyDescent="0.2">
      <c r="A18" s="467">
        <v>15</v>
      </c>
      <c r="B18" s="504" t="s">
        <v>247</v>
      </c>
      <c r="C18" s="504" t="s">
        <v>248</v>
      </c>
      <c r="D18" s="467" t="s">
        <v>24</v>
      </c>
      <c r="E18" s="499" t="s">
        <v>26</v>
      </c>
    </row>
    <row r="19" spans="1:5" x14ac:dyDescent="0.2">
      <c r="A19" s="467">
        <v>16</v>
      </c>
      <c r="B19" s="502" t="s">
        <v>249</v>
      </c>
      <c r="C19" s="502" t="s">
        <v>250</v>
      </c>
      <c r="D19" s="467" t="s">
        <v>24</v>
      </c>
      <c r="E19" s="499" t="s">
        <v>26</v>
      </c>
    </row>
    <row r="20" spans="1:5" x14ac:dyDescent="0.2">
      <c r="A20" s="467">
        <v>17</v>
      </c>
      <c r="B20" s="502" t="s">
        <v>65</v>
      </c>
      <c r="C20" s="502" t="s">
        <v>66</v>
      </c>
      <c r="D20" s="467" t="s">
        <v>24</v>
      </c>
      <c r="E20" s="499" t="s">
        <v>26</v>
      </c>
    </row>
    <row r="21" spans="1:5" x14ac:dyDescent="0.2">
      <c r="A21" s="467">
        <v>18</v>
      </c>
      <c r="B21" s="499" t="s">
        <v>40</v>
      </c>
      <c r="C21" s="499" t="s">
        <v>41</v>
      </c>
      <c r="D21" s="467" t="s">
        <v>24</v>
      </c>
      <c r="E21" s="499" t="s">
        <v>26</v>
      </c>
    </row>
    <row r="22" spans="1:5" x14ac:dyDescent="0.2">
      <c r="A22" s="467">
        <v>19</v>
      </c>
      <c r="B22" s="499" t="s">
        <v>251</v>
      </c>
      <c r="C22" s="499" t="s">
        <v>252</v>
      </c>
      <c r="D22" s="467" t="s">
        <v>24</v>
      </c>
      <c r="E22" s="499" t="s">
        <v>26</v>
      </c>
    </row>
    <row r="23" spans="1:5" x14ac:dyDescent="0.2">
      <c r="A23" s="467">
        <v>20</v>
      </c>
      <c r="B23" s="504" t="s">
        <v>253</v>
      </c>
      <c r="C23" s="504" t="s">
        <v>254</v>
      </c>
      <c r="D23" s="467" t="s">
        <v>24</v>
      </c>
      <c r="E23" s="499" t="s">
        <v>26</v>
      </c>
    </row>
    <row r="24" spans="1:5" x14ac:dyDescent="0.2">
      <c r="A24" s="467">
        <v>21</v>
      </c>
      <c r="B24" s="499" t="s">
        <v>255</v>
      </c>
      <c r="C24" s="499" t="s">
        <v>256</v>
      </c>
      <c r="D24" s="467" t="s">
        <v>105</v>
      </c>
      <c r="E24" s="499" t="s">
        <v>106</v>
      </c>
    </row>
    <row r="25" spans="1:5" x14ac:dyDescent="0.2">
      <c r="A25" s="467">
        <v>22</v>
      </c>
      <c r="B25" s="504" t="s">
        <v>229</v>
      </c>
      <c r="C25" s="504" t="s">
        <v>230</v>
      </c>
      <c r="D25" s="467" t="s">
        <v>24</v>
      </c>
      <c r="E25" s="499" t="s">
        <v>26</v>
      </c>
    </row>
    <row r="26" spans="1:5" x14ac:dyDescent="0.2">
      <c r="A26" s="467">
        <v>23</v>
      </c>
      <c r="B26" s="499" t="s">
        <v>257</v>
      </c>
      <c r="C26" s="499" t="s">
        <v>258</v>
      </c>
      <c r="D26" s="467" t="s">
        <v>24</v>
      </c>
      <c r="E26" s="499" t="s">
        <v>26</v>
      </c>
    </row>
    <row r="27" spans="1:5" x14ac:dyDescent="0.2">
      <c r="A27" s="467">
        <v>24</v>
      </c>
      <c r="B27" s="467" t="s">
        <v>259</v>
      </c>
      <c r="C27" s="467" t="s">
        <v>260</v>
      </c>
      <c r="D27" s="467" t="s">
        <v>24</v>
      </c>
      <c r="E27" s="499" t="s">
        <v>26</v>
      </c>
    </row>
    <row r="28" spans="1:5" x14ac:dyDescent="0.2">
      <c r="A28" s="467">
        <v>25</v>
      </c>
      <c r="B28" s="504" t="s">
        <v>261</v>
      </c>
      <c r="C28" s="504" t="s">
        <v>262</v>
      </c>
      <c r="D28" s="467" t="s">
        <v>24</v>
      </c>
      <c r="E28" s="499" t="s">
        <v>26</v>
      </c>
    </row>
    <row r="29" spans="1:5" x14ac:dyDescent="0.2">
      <c r="A29" s="467">
        <v>26</v>
      </c>
      <c r="B29" s="504" t="s">
        <v>224</v>
      </c>
      <c r="C29" s="504" t="s">
        <v>225</v>
      </c>
      <c r="D29" s="467" t="s">
        <v>24</v>
      </c>
      <c r="E29" s="499" t="s">
        <v>26</v>
      </c>
    </row>
    <row r="30" spans="1:5" x14ac:dyDescent="0.2">
      <c r="A30" s="467">
        <v>27</v>
      </c>
      <c r="B30" s="500" t="s">
        <v>20</v>
      </c>
      <c r="C30" s="501" t="s">
        <v>21</v>
      </c>
      <c r="D30" s="467" t="s">
        <v>24</v>
      </c>
      <c r="E30" s="499" t="s">
        <v>26</v>
      </c>
    </row>
    <row r="31" spans="1:5" x14ac:dyDescent="0.2">
      <c r="A31" s="467">
        <v>28</v>
      </c>
      <c r="B31" s="500" t="s">
        <v>231</v>
      </c>
      <c r="C31" s="501" t="s">
        <v>21</v>
      </c>
      <c r="D31" s="467" t="s">
        <v>24</v>
      </c>
      <c r="E31" s="499" t="s">
        <v>26</v>
      </c>
    </row>
    <row r="32" spans="1:5" x14ac:dyDescent="0.2">
      <c r="A32" s="467">
        <v>29</v>
      </c>
      <c r="B32" s="467" t="s">
        <v>37</v>
      </c>
      <c r="C32" s="467" t="s">
        <v>38</v>
      </c>
      <c r="D32" s="467" t="s">
        <v>24</v>
      </c>
      <c r="E32" s="499" t="s">
        <v>26</v>
      </c>
    </row>
    <row r="33" spans="1:5" x14ac:dyDescent="0.2">
      <c r="A33" s="467">
        <v>30</v>
      </c>
      <c r="B33" s="499" t="s">
        <v>164</v>
      </c>
      <c r="C33" s="499" t="s">
        <v>165</v>
      </c>
      <c r="D33" s="467" t="s">
        <v>24</v>
      </c>
      <c r="E33" s="499" t="s">
        <v>26</v>
      </c>
    </row>
    <row r="34" spans="1:5" x14ac:dyDescent="0.2">
      <c r="A34" s="467">
        <v>31</v>
      </c>
      <c r="B34" s="499" t="s">
        <v>167</v>
      </c>
      <c r="C34" s="499" t="s">
        <v>168</v>
      </c>
      <c r="D34" s="467" t="s">
        <v>24</v>
      </c>
      <c r="E34" s="499" t="s">
        <v>26</v>
      </c>
    </row>
    <row r="35" spans="1:5" x14ac:dyDescent="0.2">
      <c r="A35" s="467">
        <v>32</v>
      </c>
      <c r="B35" s="499" t="s">
        <v>102</v>
      </c>
      <c r="C35" s="499" t="s">
        <v>103</v>
      </c>
      <c r="D35" s="467" t="s">
        <v>105</v>
      </c>
      <c r="E35" s="499" t="s">
        <v>106</v>
      </c>
    </row>
    <row r="36" spans="1:5" x14ac:dyDescent="0.2">
      <c r="A36" s="467">
        <v>33</v>
      </c>
      <c r="B36" s="499" t="s">
        <v>226</v>
      </c>
      <c r="C36" s="499" t="s">
        <v>227</v>
      </c>
      <c r="D36" s="467" t="s">
        <v>105</v>
      </c>
      <c r="E36" s="499" t="s">
        <v>106</v>
      </c>
    </row>
    <row r="37" spans="1:5" x14ac:dyDescent="0.2">
      <c r="A37" s="467"/>
      <c r="B37" s="468" t="s">
        <v>476</v>
      </c>
      <c r="C37" s="973" t="s">
        <v>477</v>
      </c>
      <c r="D37" s="467" t="s">
        <v>24</v>
      </c>
      <c r="E37" s="499" t="s">
        <v>26</v>
      </c>
    </row>
    <row r="38" spans="1:5" x14ac:dyDescent="0.2">
      <c r="A38" s="467"/>
      <c r="B38" s="467"/>
      <c r="C38" s="467"/>
      <c r="D38" s="467"/>
      <c r="E38" s="467"/>
    </row>
    <row r="39" spans="1:5" x14ac:dyDescent="0.2">
      <c r="A39" s="467"/>
      <c r="B39" s="467"/>
      <c r="C39" s="467"/>
      <c r="D39" s="467"/>
      <c r="E39" s="467"/>
    </row>
    <row r="40" spans="1:5" x14ac:dyDescent="0.2">
      <c r="A40" s="467"/>
      <c r="B40" s="467"/>
      <c r="C40" s="467"/>
      <c r="D40" s="467"/>
      <c r="E40" s="467"/>
    </row>
    <row r="41" spans="1:5" x14ac:dyDescent="0.2">
      <c r="A41" s="467"/>
      <c r="B41" s="467"/>
      <c r="C41" s="467"/>
      <c r="D41" s="467"/>
      <c r="E41" s="467"/>
    </row>
    <row r="42" spans="1:5" x14ac:dyDescent="0.2">
      <c r="A42" s="467"/>
      <c r="B42" s="467"/>
      <c r="C42" s="467"/>
      <c r="D42" s="467"/>
      <c r="E42" s="467"/>
    </row>
    <row r="43" spans="1:5" x14ac:dyDescent="0.2">
      <c r="A43" s="467"/>
      <c r="B43" s="467"/>
      <c r="C43" s="467"/>
      <c r="D43" s="467"/>
      <c r="E43" s="467"/>
    </row>
    <row r="44" spans="1:5" x14ac:dyDescent="0.2">
      <c r="A44" s="467"/>
      <c r="B44" s="467"/>
      <c r="C44" s="467"/>
      <c r="D44" s="467"/>
      <c r="E44" s="467"/>
    </row>
    <row r="45" spans="1:5" x14ac:dyDescent="0.2">
      <c r="A45" s="467"/>
      <c r="B45" s="467"/>
      <c r="C45" s="467"/>
      <c r="D45" s="467"/>
      <c r="E45" s="467"/>
    </row>
    <row r="46" spans="1:5" x14ac:dyDescent="0.2">
      <c r="A46" s="467"/>
      <c r="B46" s="467"/>
      <c r="C46" s="467"/>
      <c r="D46" s="467"/>
      <c r="E46" s="467"/>
    </row>
    <row r="47" spans="1:5" x14ac:dyDescent="0.2">
      <c r="A47" s="467"/>
      <c r="B47" s="467"/>
      <c r="C47" s="467"/>
      <c r="D47" s="467"/>
      <c r="E47" s="467"/>
    </row>
    <row r="48" spans="1:5" x14ac:dyDescent="0.2">
      <c r="A48" s="467"/>
      <c r="B48" s="467"/>
      <c r="C48" s="467"/>
      <c r="D48" s="467"/>
      <c r="E48" s="467"/>
    </row>
    <row r="49" spans="1:5" x14ac:dyDescent="0.2">
      <c r="A49" s="467"/>
      <c r="B49" s="467"/>
      <c r="C49" s="467"/>
      <c r="D49" s="467"/>
      <c r="E49" s="467"/>
    </row>
    <row r="50" spans="1:5" x14ac:dyDescent="0.2">
      <c r="A50" s="467"/>
      <c r="B50" s="467"/>
      <c r="C50" s="467"/>
      <c r="D50" s="467"/>
      <c r="E50" s="467"/>
    </row>
    <row r="51" spans="1:5" x14ac:dyDescent="0.2">
      <c r="A51" s="467"/>
      <c r="B51" s="467"/>
      <c r="C51" s="467"/>
      <c r="D51" s="467"/>
      <c r="E51" s="467"/>
    </row>
    <row r="52" spans="1:5" x14ac:dyDescent="0.2">
      <c r="A52" s="467"/>
      <c r="B52" s="467"/>
      <c r="C52" s="467"/>
      <c r="D52" s="467"/>
      <c r="E52" s="467"/>
    </row>
    <row r="53" spans="1:5" x14ac:dyDescent="0.2">
      <c r="A53" s="467"/>
      <c r="B53" s="467"/>
      <c r="C53" s="467"/>
      <c r="D53" s="467"/>
      <c r="E53" s="467"/>
    </row>
    <row r="54" spans="1:5" x14ac:dyDescent="0.2">
      <c r="A54" s="467"/>
      <c r="B54" s="467"/>
      <c r="C54" s="467"/>
      <c r="D54" s="467"/>
      <c r="E54" s="467"/>
    </row>
    <row r="55" spans="1:5" x14ac:dyDescent="0.2">
      <c r="A55" s="467"/>
      <c r="B55" s="467"/>
      <c r="C55" s="467"/>
      <c r="D55" s="467"/>
      <c r="E55" s="467"/>
    </row>
    <row r="56" spans="1:5" x14ac:dyDescent="0.2">
      <c r="A56" s="467"/>
      <c r="B56" s="467"/>
      <c r="C56" s="467"/>
      <c r="D56" s="467"/>
      <c r="E56" s="467"/>
    </row>
    <row r="57" spans="1:5" x14ac:dyDescent="0.2">
      <c r="A57" s="467"/>
      <c r="B57" s="467"/>
      <c r="C57" s="467"/>
      <c r="D57" s="467"/>
      <c r="E57" s="467"/>
    </row>
    <row r="58" spans="1:5" x14ac:dyDescent="0.2">
      <c r="A58" s="467"/>
      <c r="B58" s="467"/>
      <c r="C58" s="467"/>
      <c r="D58" s="467"/>
      <c r="E58" s="467"/>
    </row>
    <row r="59" spans="1:5" x14ac:dyDescent="0.2">
      <c r="A59" s="467"/>
      <c r="B59" s="467"/>
      <c r="C59" s="467"/>
      <c r="D59" s="467"/>
      <c r="E59" s="467"/>
    </row>
    <row r="60" spans="1:5" x14ac:dyDescent="0.2">
      <c r="A60" s="467"/>
      <c r="B60" s="467"/>
      <c r="C60" s="467"/>
      <c r="D60" s="467"/>
      <c r="E60" s="467"/>
    </row>
    <row r="61" spans="1:5" x14ac:dyDescent="0.2">
      <c r="A61" s="467"/>
      <c r="B61" s="467"/>
      <c r="C61" s="467"/>
      <c r="D61" s="467"/>
      <c r="E61" s="467"/>
    </row>
    <row r="62" spans="1:5" x14ac:dyDescent="0.2">
      <c r="A62" s="467"/>
      <c r="B62" s="467"/>
      <c r="C62" s="467"/>
      <c r="D62" s="467"/>
      <c r="E62" s="467"/>
    </row>
    <row r="63" spans="1:5" x14ac:dyDescent="0.2">
      <c r="A63" s="467"/>
      <c r="B63" s="467"/>
      <c r="C63" s="467"/>
      <c r="D63" s="467"/>
      <c r="E63" s="467"/>
    </row>
    <row r="64" spans="1:5" x14ac:dyDescent="0.2">
      <c r="A64" s="467"/>
      <c r="B64" s="467"/>
      <c r="C64" s="467"/>
      <c r="D64" s="467"/>
      <c r="E64" s="467"/>
    </row>
    <row r="65" spans="1:5" x14ac:dyDescent="0.2">
      <c r="A65" s="467"/>
      <c r="B65" s="467"/>
      <c r="C65" s="467"/>
      <c r="D65" s="467"/>
      <c r="E65" s="467"/>
    </row>
    <row r="66" spans="1:5" x14ac:dyDescent="0.2">
      <c r="A66" s="467"/>
      <c r="B66" s="467"/>
      <c r="C66" s="467"/>
      <c r="D66" s="467"/>
      <c r="E66" s="467"/>
    </row>
    <row r="67" spans="1:5" x14ac:dyDescent="0.2">
      <c r="A67" s="467"/>
      <c r="B67" s="467"/>
      <c r="C67" s="467"/>
      <c r="D67" s="467"/>
      <c r="E67" s="467"/>
    </row>
    <row r="68" spans="1:5" x14ac:dyDescent="0.2">
      <c r="A68" s="467"/>
      <c r="B68" s="467"/>
      <c r="C68" s="467"/>
      <c r="D68" s="467"/>
      <c r="E68" s="467"/>
    </row>
    <row r="69" spans="1:5" x14ac:dyDescent="0.2">
      <c r="A69" s="467"/>
      <c r="B69" s="467"/>
      <c r="C69" s="467"/>
      <c r="D69" s="467"/>
      <c r="E69" s="467"/>
    </row>
    <row r="70" spans="1:5" ht="10.8" thickBot="1" x14ac:dyDescent="0.25">
      <c r="A70" s="558"/>
      <c r="B70" s="558"/>
      <c r="C70" s="558"/>
      <c r="D70" s="558"/>
      <c r="E70" s="558"/>
    </row>
    <row r="71" spans="1:5" ht="10.8" thickTop="1" x14ac:dyDescent="0.2"/>
  </sheetData>
  <mergeCells count="6">
    <mergeCell ref="A1:E1"/>
    <mergeCell ref="A2:A3"/>
    <mergeCell ref="B2:B3"/>
    <mergeCell ref="C2:C3"/>
    <mergeCell ref="D2:D3"/>
    <mergeCell ref="E2:E3"/>
  </mergeCells>
  <conditionalFormatting sqref="C10:C11">
    <cfRule type="duplicateValues" dxfId="161" priority="7"/>
  </conditionalFormatting>
  <conditionalFormatting sqref="B10:B11">
    <cfRule type="duplicateValues" dxfId="160" priority="10"/>
  </conditionalFormatting>
  <conditionalFormatting sqref="C10:C11">
    <cfRule type="duplicateValues" dxfId="159" priority="9"/>
  </conditionalFormatting>
  <conditionalFormatting sqref="C10:C11">
    <cfRule type="duplicateValues" dxfId="158" priority="8"/>
  </conditionalFormatting>
  <conditionalFormatting sqref="B37">
    <cfRule type="duplicateValues" dxfId="157" priority="6"/>
  </conditionalFormatting>
  <conditionalFormatting sqref="C37">
    <cfRule type="duplicateValues" dxfId="156" priority="5"/>
  </conditionalFormatting>
  <conditionalFormatting sqref="C37">
    <cfRule type="duplicateValues" dxfId="155" priority="4"/>
  </conditionalFormatting>
  <conditionalFormatting sqref="C37">
    <cfRule type="duplicateValues" dxfId="154" priority="3"/>
  </conditionalFormatting>
  <conditionalFormatting sqref="B37:C37">
    <cfRule type="duplicateValues" dxfId="153" priority="2"/>
  </conditionalFormatting>
  <conditionalFormatting sqref="B37">
    <cfRule type="duplicateValues" dxfId="152" priority="1"/>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'[3]SALE PARTY &amp; HSN MASTER'!#REF!</xm:f>
          </x14:formula1>
          <xm:sqref>B37</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7"/>
  <sheetViews>
    <sheetView workbookViewId="0">
      <selection sqref="A1:E1"/>
    </sheetView>
  </sheetViews>
  <sheetFormatPr defaultRowHeight="10.199999999999999" x14ac:dyDescent="0.2"/>
  <cols>
    <col min="1" max="1" width="4.88671875" style="11" customWidth="1"/>
    <col min="2" max="2" width="23.109375" style="11" customWidth="1"/>
    <col min="3" max="3" width="20.33203125" style="11" customWidth="1"/>
    <col min="4" max="4" width="14.5546875" style="11" bestFit="1" customWidth="1"/>
    <col min="5" max="5" width="7.88671875" style="11" bestFit="1" customWidth="1"/>
    <col min="6" max="16384" width="8.88671875" style="11"/>
  </cols>
  <sheetData>
    <row r="1" spans="1:5" ht="30.75" customHeight="1" thickTop="1" thickBot="1" x14ac:dyDescent="0.25">
      <c r="A1" s="1475" t="s">
        <v>1058</v>
      </c>
      <c r="B1" s="1476"/>
      <c r="C1" s="1476"/>
      <c r="D1" s="1476"/>
      <c r="E1" s="1477"/>
    </row>
    <row r="2" spans="1:5" ht="10.8" thickTop="1" x14ac:dyDescent="0.2">
      <c r="A2" s="1483" t="s">
        <v>3</v>
      </c>
      <c r="B2" s="1480" t="s">
        <v>234</v>
      </c>
      <c r="C2" s="1480" t="s">
        <v>235</v>
      </c>
      <c r="D2" s="1485" t="s">
        <v>236</v>
      </c>
      <c r="E2" s="1485" t="s">
        <v>236</v>
      </c>
    </row>
    <row r="3" spans="1:5" ht="10.8" thickBot="1" x14ac:dyDescent="0.25">
      <c r="A3" s="1484"/>
      <c r="B3" s="1481"/>
      <c r="C3" s="1481"/>
      <c r="D3" s="1486"/>
      <c r="E3" s="1486"/>
    </row>
    <row r="4" spans="1:5" ht="10.8" thickTop="1" x14ac:dyDescent="0.2">
      <c r="A4" s="467">
        <v>1</v>
      </c>
      <c r="B4" s="468" t="s">
        <v>1059</v>
      </c>
      <c r="C4" s="973" t="s">
        <v>1060</v>
      </c>
      <c r="D4" s="467" t="s">
        <v>24</v>
      </c>
      <c r="E4" s="499" t="s">
        <v>26</v>
      </c>
    </row>
    <row r="5" spans="1:5" x14ac:dyDescent="0.2">
      <c r="A5" s="467">
        <v>2</v>
      </c>
      <c r="B5" s="468" t="s">
        <v>1061</v>
      </c>
      <c r="C5" s="973" t="s">
        <v>1062</v>
      </c>
      <c r="D5" s="467" t="s">
        <v>24</v>
      </c>
      <c r="E5" s="499" t="s">
        <v>26</v>
      </c>
    </row>
    <row r="6" spans="1:5" x14ac:dyDescent="0.2">
      <c r="A6" s="467">
        <v>3</v>
      </c>
      <c r="B6" s="475" t="s">
        <v>857</v>
      </c>
      <c r="C6" s="974" t="s">
        <v>858</v>
      </c>
      <c r="D6" s="467" t="s">
        <v>24</v>
      </c>
      <c r="E6" s="499" t="s">
        <v>26</v>
      </c>
    </row>
    <row r="7" spans="1:5" x14ac:dyDescent="0.2">
      <c r="A7" s="467">
        <v>4</v>
      </c>
      <c r="B7" s="468" t="s">
        <v>1063</v>
      </c>
      <c r="C7" s="973" t="s">
        <v>1064</v>
      </c>
      <c r="D7" s="467" t="s">
        <v>24</v>
      </c>
      <c r="E7" s="499" t="s">
        <v>26</v>
      </c>
    </row>
    <row r="8" spans="1:5" x14ac:dyDescent="0.2">
      <c r="A8" s="467">
        <v>5</v>
      </c>
      <c r="B8" s="468" t="s">
        <v>4256</v>
      </c>
      <c r="C8" s="973" t="s">
        <v>4257</v>
      </c>
      <c r="D8" s="467" t="s">
        <v>24</v>
      </c>
      <c r="E8" s="499" t="s">
        <v>26</v>
      </c>
    </row>
    <row r="9" spans="1:5" x14ac:dyDescent="0.2">
      <c r="A9" s="467">
        <v>6</v>
      </c>
      <c r="B9" s="468" t="s">
        <v>493</v>
      </c>
      <c r="C9" s="973" t="s">
        <v>494</v>
      </c>
      <c r="D9" s="467" t="s">
        <v>24</v>
      </c>
      <c r="E9" s="499" t="s">
        <v>26</v>
      </c>
    </row>
    <row r="10" spans="1:5" x14ac:dyDescent="0.2">
      <c r="A10" s="467">
        <v>7</v>
      </c>
      <c r="B10" s="468" t="s">
        <v>1065</v>
      </c>
      <c r="C10" s="973" t="s">
        <v>1066</v>
      </c>
      <c r="D10" s="467" t="s">
        <v>24</v>
      </c>
      <c r="E10" s="499" t="s">
        <v>26</v>
      </c>
    </row>
    <row r="11" spans="1:5" x14ac:dyDescent="0.2">
      <c r="A11" s="467">
        <v>8</v>
      </c>
      <c r="B11" s="468" t="s">
        <v>511</v>
      </c>
      <c r="C11" s="973" t="s">
        <v>512</v>
      </c>
      <c r="D11" s="467" t="s">
        <v>24</v>
      </c>
      <c r="E11" s="499" t="s">
        <v>26</v>
      </c>
    </row>
    <row r="12" spans="1:5" x14ac:dyDescent="0.2">
      <c r="A12" s="467">
        <v>9</v>
      </c>
      <c r="B12" s="468" t="s">
        <v>591</v>
      </c>
      <c r="C12" s="973" t="s">
        <v>592</v>
      </c>
      <c r="D12" s="467" t="s">
        <v>24</v>
      </c>
      <c r="E12" s="499" t="s">
        <v>26</v>
      </c>
    </row>
    <row r="13" spans="1:5" x14ac:dyDescent="0.2">
      <c r="A13" s="467">
        <v>10</v>
      </c>
      <c r="B13" s="468" t="s">
        <v>521</v>
      </c>
      <c r="C13" s="973" t="s">
        <v>522</v>
      </c>
      <c r="D13" s="467" t="s">
        <v>24</v>
      </c>
      <c r="E13" s="499" t="s">
        <v>26</v>
      </c>
    </row>
    <row r="14" spans="1:5" x14ac:dyDescent="0.2">
      <c r="A14" s="467">
        <v>11</v>
      </c>
      <c r="B14" s="468" t="s">
        <v>1067</v>
      </c>
      <c r="C14" s="973" t="s">
        <v>1068</v>
      </c>
      <c r="D14" s="467" t="s">
        <v>24</v>
      </c>
      <c r="E14" s="499" t="s">
        <v>26</v>
      </c>
    </row>
    <row r="15" spans="1:5" x14ac:dyDescent="0.2">
      <c r="A15" s="467">
        <v>12</v>
      </c>
      <c r="B15" s="468" t="s">
        <v>482</v>
      </c>
      <c r="C15" s="973" t="s">
        <v>483</v>
      </c>
      <c r="D15" s="467" t="s">
        <v>24</v>
      </c>
      <c r="E15" s="499" t="s">
        <v>26</v>
      </c>
    </row>
    <row r="16" spans="1:5" x14ac:dyDescent="0.2">
      <c r="A16" s="467">
        <v>13</v>
      </c>
      <c r="B16" s="468" t="s">
        <v>1069</v>
      </c>
      <c r="C16" s="973" t="s">
        <v>238</v>
      </c>
      <c r="D16" s="467" t="s">
        <v>24</v>
      </c>
      <c r="E16" s="499" t="s">
        <v>26</v>
      </c>
    </row>
    <row r="17" spans="1:5" x14ac:dyDescent="0.2">
      <c r="A17" s="467">
        <v>14</v>
      </c>
      <c r="B17" s="476" t="s">
        <v>489</v>
      </c>
      <c r="C17" s="973" t="s">
        <v>490</v>
      </c>
      <c r="D17" s="559" t="s">
        <v>24</v>
      </c>
      <c r="E17" s="559" t="s">
        <v>26</v>
      </c>
    </row>
    <row r="18" spans="1:5" x14ac:dyDescent="0.2">
      <c r="A18" s="467">
        <v>15</v>
      </c>
      <c r="B18" s="468" t="s">
        <v>514</v>
      </c>
      <c r="C18" s="973" t="s">
        <v>515</v>
      </c>
      <c r="D18" s="467" t="s">
        <v>24</v>
      </c>
      <c r="E18" s="499" t="s">
        <v>26</v>
      </c>
    </row>
    <row r="19" spans="1:5" x14ac:dyDescent="0.2">
      <c r="A19" s="467">
        <v>16</v>
      </c>
      <c r="B19" s="468" t="s">
        <v>659</v>
      </c>
      <c r="C19" s="973" t="s">
        <v>660</v>
      </c>
      <c r="D19" s="467" t="s">
        <v>24</v>
      </c>
      <c r="E19" s="499" t="s">
        <v>26</v>
      </c>
    </row>
    <row r="20" spans="1:5" x14ac:dyDescent="0.2">
      <c r="A20" s="467">
        <v>17</v>
      </c>
      <c r="B20" s="468" t="s">
        <v>1070</v>
      </c>
      <c r="C20" s="973" t="s">
        <v>1071</v>
      </c>
      <c r="D20" s="467" t="s">
        <v>24</v>
      </c>
      <c r="E20" s="499" t="s">
        <v>26</v>
      </c>
    </row>
    <row r="21" spans="1:5" x14ac:dyDescent="0.2">
      <c r="A21" s="467">
        <v>18</v>
      </c>
      <c r="B21" s="468" t="s">
        <v>529</v>
      </c>
      <c r="C21" s="973" t="s">
        <v>530</v>
      </c>
      <c r="D21" s="467" t="s">
        <v>24</v>
      </c>
      <c r="E21" s="499" t="s">
        <v>26</v>
      </c>
    </row>
    <row r="22" spans="1:5" x14ac:dyDescent="0.2">
      <c r="A22" s="467">
        <v>19</v>
      </c>
      <c r="B22" s="468" t="s">
        <v>518</v>
      </c>
      <c r="C22" s="973" t="s">
        <v>519</v>
      </c>
      <c r="D22" s="467" t="s">
        <v>24</v>
      </c>
      <c r="E22" s="499" t="s">
        <v>26</v>
      </c>
    </row>
    <row r="23" spans="1:5" x14ac:dyDescent="0.2">
      <c r="A23" s="467">
        <v>20</v>
      </c>
      <c r="B23" s="475" t="s">
        <v>1072</v>
      </c>
      <c r="C23" s="974" t="s">
        <v>1073</v>
      </c>
      <c r="D23" s="467" t="s">
        <v>24</v>
      </c>
      <c r="E23" s="499" t="s">
        <v>26</v>
      </c>
    </row>
    <row r="24" spans="1:5" x14ac:dyDescent="0.2">
      <c r="A24" s="467">
        <v>21</v>
      </c>
      <c r="B24" s="468" t="s">
        <v>479</v>
      </c>
      <c r="C24" s="973" t="s">
        <v>480</v>
      </c>
      <c r="D24" s="467" t="s">
        <v>24</v>
      </c>
      <c r="E24" s="499" t="s">
        <v>26</v>
      </c>
    </row>
    <row r="25" spans="1:5" x14ac:dyDescent="0.2">
      <c r="A25" s="467">
        <v>22</v>
      </c>
      <c r="B25" s="478" t="s">
        <v>1074</v>
      </c>
      <c r="C25" s="974" t="s">
        <v>1075</v>
      </c>
      <c r="D25" s="467" t="s">
        <v>24</v>
      </c>
      <c r="E25" s="499" t="s">
        <v>26</v>
      </c>
    </row>
    <row r="26" spans="1:5" x14ac:dyDescent="0.2">
      <c r="A26" s="467">
        <v>23</v>
      </c>
      <c r="B26" s="468" t="s">
        <v>533</v>
      </c>
      <c r="C26" s="973" t="s">
        <v>534</v>
      </c>
      <c r="D26" s="467" t="s">
        <v>24</v>
      </c>
      <c r="E26" s="499" t="s">
        <v>26</v>
      </c>
    </row>
    <row r="27" spans="1:5" x14ac:dyDescent="0.2">
      <c r="A27" s="467">
        <v>24</v>
      </c>
      <c r="B27" s="478" t="s">
        <v>1076</v>
      </c>
      <c r="C27" s="973" t="s">
        <v>1077</v>
      </c>
      <c r="D27" s="467" t="s">
        <v>24</v>
      </c>
      <c r="E27" s="499" t="s">
        <v>106</v>
      </c>
    </row>
    <row r="28" spans="1:5" x14ac:dyDescent="0.2">
      <c r="A28" s="467">
        <v>25</v>
      </c>
      <c r="B28" s="468" t="s">
        <v>1078</v>
      </c>
      <c r="C28" s="973" t="s">
        <v>1079</v>
      </c>
      <c r="D28" s="467" t="s">
        <v>24</v>
      </c>
      <c r="E28" s="499" t="s">
        <v>26</v>
      </c>
    </row>
    <row r="29" spans="1:5" x14ac:dyDescent="0.2">
      <c r="A29" s="467">
        <v>26</v>
      </c>
      <c r="B29" s="468" t="s">
        <v>710</v>
      </c>
      <c r="C29" s="973" t="s">
        <v>711</v>
      </c>
      <c r="D29" s="467" t="s">
        <v>24</v>
      </c>
      <c r="E29" s="499" t="s">
        <v>26</v>
      </c>
    </row>
    <row r="30" spans="1:5" x14ac:dyDescent="0.2">
      <c r="A30" s="467">
        <v>27</v>
      </c>
      <c r="B30" s="468" t="s">
        <v>845</v>
      </c>
      <c r="C30" s="973" t="s">
        <v>846</v>
      </c>
      <c r="D30" s="467" t="s">
        <v>24</v>
      </c>
      <c r="E30" s="499" t="s">
        <v>26</v>
      </c>
    </row>
    <row r="31" spans="1:5" x14ac:dyDescent="0.2">
      <c r="A31" s="467">
        <v>28</v>
      </c>
      <c r="B31" s="475" t="s">
        <v>1080</v>
      </c>
      <c r="C31" s="973" t="s">
        <v>1081</v>
      </c>
      <c r="D31" s="467" t="s">
        <v>24</v>
      </c>
      <c r="E31" s="499" t="s">
        <v>26</v>
      </c>
    </row>
    <row r="32" spans="1:5" x14ac:dyDescent="0.2">
      <c r="A32" s="467">
        <v>29</v>
      </c>
      <c r="B32" s="468" t="s">
        <v>1082</v>
      </c>
      <c r="C32" s="973" t="s">
        <v>1083</v>
      </c>
      <c r="D32" s="467" t="s">
        <v>24</v>
      </c>
      <c r="E32" s="499" t="s">
        <v>26</v>
      </c>
    </row>
    <row r="33" spans="1:5" x14ac:dyDescent="0.2">
      <c r="A33" s="467">
        <v>30</v>
      </c>
      <c r="B33" s="468" t="s">
        <v>1084</v>
      </c>
      <c r="C33" s="973" t="s">
        <v>1085</v>
      </c>
      <c r="D33" s="467" t="s">
        <v>24</v>
      </c>
      <c r="E33" s="499" t="s">
        <v>26</v>
      </c>
    </row>
    <row r="34" spans="1:5" x14ac:dyDescent="0.2">
      <c r="A34" s="467">
        <v>31</v>
      </c>
      <c r="B34" s="468" t="s">
        <v>1086</v>
      </c>
      <c r="C34" s="973" t="s">
        <v>1087</v>
      </c>
      <c r="D34" s="467" t="s">
        <v>24</v>
      </c>
      <c r="E34" s="499" t="s">
        <v>26</v>
      </c>
    </row>
    <row r="35" spans="1:5" x14ac:dyDescent="0.2">
      <c r="A35" s="467">
        <v>32</v>
      </c>
      <c r="B35" s="468" t="s">
        <v>1088</v>
      </c>
      <c r="C35" s="973" t="s">
        <v>1089</v>
      </c>
      <c r="D35" s="467" t="s">
        <v>24</v>
      </c>
      <c r="E35" s="499" t="s">
        <v>26</v>
      </c>
    </row>
    <row r="36" spans="1:5" x14ac:dyDescent="0.2">
      <c r="A36" s="467">
        <v>33</v>
      </c>
      <c r="B36" s="468" t="s">
        <v>1090</v>
      </c>
      <c r="C36" s="973" t="s">
        <v>1091</v>
      </c>
      <c r="D36" s="467" t="s">
        <v>24</v>
      </c>
      <c r="E36" s="499" t="s">
        <v>26</v>
      </c>
    </row>
    <row r="37" spans="1:5" x14ac:dyDescent="0.2">
      <c r="A37" s="467">
        <v>34</v>
      </c>
      <c r="B37" s="468" t="s">
        <v>1092</v>
      </c>
      <c r="C37" s="973" t="s">
        <v>1093</v>
      </c>
      <c r="D37" s="467" t="s">
        <v>24</v>
      </c>
      <c r="E37" s="499" t="s">
        <v>26</v>
      </c>
    </row>
    <row r="38" spans="1:5" x14ac:dyDescent="0.2">
      <c r="A38" s="467">
        <v>35</v>
      </c>
      <c r="B38" s="468" t="s">
        <v>1094</v>
      </c>
      <c r="C38" s="973" t="s">
        <v>1095</v>
      </c>
      <c r="D38" s="467" t="s">
        <v>24</v>
      </c>
      <c r="E38" s="499" t="s">
        <v>26</v>
      </c>
    </row>
    <row r="39" spans="1:5" x14ac:dyDescent="0.2">
      <c r="A39" s="467">
        <v>36</v>
      </c>
      <c r="B39" s="475" t="s">
        <v>1096</v>
      </c>
      <c r="C39" s="974" t="s">
        <v>1097</v>
      </c>
      <c r="D39" s="467" t="s">
        <v>24</v>
      </c>
      <c r="E39" s="499" t="s">
        <v>26</v>
      </c>
    </row>
    <row r="40" spans="1:5" x14ac:dyDescent="0.2">
      <c r="A40" s="467">
        <v>37</v>
      </c>
      <c r="B40" s="468" t="s">
        <v>1098</v>
      </c>
      <c r="C40" s="973" t="s">
        <v>1099</v>
      </c>
      <c r="D40" s="467" t="s">
        <v>24</v>
      </c>
      <c r="E40" s="499" t="s">
        <v>26</v>
      </c>
    </row>
    <row r="41" spans="1:5" x14ac:dyDescent="0.2">
      <c r="A41" s="467">
        <v>38</v>
      </c>
      <c r="B41" s="468" t="s">
        <v>538</v>
      </c>
      <c r="C41" s="973" t="s">
        <v>539</v>
      </c>
      <c r="D41" s="467" t="s">
        <v>24</v>
      </c>
      <c r="E41" s="499" t="s">
        <v>26</v>
      </c>
    </row>
    <row r="42" spans="1:5" x14ac:dyDescent="0.2">
      <c r="A42" s="467">
        <v>39</v>
      </c>
      <c r="B42" s="468" t="s">
        <v>1100</v>
      </c>
      <c r="C42" s="973" t="s">
        <v>1101</v>
      </c>
      <c r="D42" s="467" t="s">
        <v>24</v>
      </c>
      <c r="E42" s="499" t="s">
        <v>26</v>
      </c>
    </row>
    <row r="43" spans="1:5" x14ac:dyDescent="0.2">
      <c r="A43" s="467">
        <v>40</v>
      </c>
      <c r="B43" s="468" t="s">
        <v>1102</v>
      </c>
      <c r="C43" s="973" t="s">
        <v>1103</v>
      </c>
      <c r="D43" s="467" t="s">
        <v>24</v>
      </c>
      <c r="E43" s="499" t="s">
        <v>106</v>
      </c>
    </row>
    <row r="44" spans="1:5" x14ac:dyDescent="0.2">
      <c r="A44" s="467">
        <v>41</v>
      </c>
      <c r="B44" s="468" t="s">
        <v>506</v>
      </c>
      <c r="C44" s="973" t="s">
        <v>507</v>
      </c>
      <c r="D44" s="467" t="s">
        <v>24</v>
      </c>
      <c r="E44" s="499" t="s">
        <v>26</v>
      </c>
    </row>
    <row r="45" spans="1:5" x14ac:dyDescent="0.2">
      <c r="A45" s="467">
        <v>42</v>
      </c>
      <c r="B45" s="468" t="s">
        <v>1104</v>
      </c>
      <c r="C45" s="973" t="s">
        <v>1105</v>
      </c>
      <c r="D45" s="467" t="s">
        <v>24</v>
      </c>
      <c r="E45" s="499" t="s">
        <v>26</v>
      </c>
    </row>
    <row r="46" spans="1:5" x14ac:dyDescent="0.2">
      <c r="A46" s="467">
        <v>43</v>
      </c>
      <c r="B46" s="468" t="s">
        <v>4258</v>
      </c>
      <c r="C46" s="973" t="s">
        <v>4259</v>
      </c>
      <c r="D46" s="467" t="s">
        <v>24</v>
      </c>
      <c r="E46" s="499" t="s">
        <v>26</v>
      </c>
    </row>
    <row r="47" spans="1:5" x14ac:dyDescent="0.2">
      <c r="A47" s="467">
        <v>44</v>
      </c>
      <c r="B47" s="468" t="s">
        <v>4260</v>
      </c>
      <c r="C47" s="973" t="s">
        <v>4261</v>
      </c>
      <c r="D47" s="467" t="s">
        <v>4262</v>
      </c>
      <c r="E47" s="499" t="s">
        <v>106</v>
      </c>
    </row>
    <row r="48" spans="1:5" x14ac:dyDescent="0.2">
      <c r="A48" s="467">
        <v>45</v>
      </c>
      <c r="B48" s="468" t="s">
        <v>1106</v>
      </c>
      <c r="C48" s="973" t="s">
        <v>1107</v>
      </c>
      <c r="D48" s="467" t="s">
        <v>24</v>
      </c>
      <c r="E48" s="499" t="s">
        <v>26</v>
      </c>
    </row>
    <row r="49" spans="1:5" x14ac:dyDescent="0.2">
      <c r="A49" s="467">
        <v>46</v>
      </c>
      <c r="B49" s="468" t="s">
        <v>1108</v>
      </c>
      <c r="C49" s="973" t="s">
        <v>1109</v>
      </c>
      <c r="D49" s="467" t="s">
        <v>24</v>
      </c>
      <c r="E49" s="499" t="s">
        <v>26</v>
      </c>
    </row>
    <row r="50" spans="1:5" x14ac:dyDescent="0.2">
      <c r="A50" s="467">
        <v>47</v>
      </c>
      <c r="B50" s="468" t="s">
        <v>54</v>
      </c>
      <c r="C50" s="973" t="s">
        <v>55</v>
      </c>
      <c r="D50" s="467" t="s">
        <v>24</v>
      </c>
      <c r="E50" s="499" t="s">
        <v>26</v>
      </c>
    </row>
    <row r="51" spans="1:5" x14ac:dyDescent="0.2">
      <c r="A51" s="467">
        <v>48</v>
      </c>
      <c r="B51" s="468" t="s">
        <v>45</v>
      </c>
      <c r="C51" s="973" t="s">
        <v>46</v>
      </c>
      <c r="D51" s="467" t="s">
        <v>24</v>
      </c>
      <c r="E51" s="499" t="s">
        <v>26</v>
      </c>
    </row>
    <row r="52" spans="1:5" x14ac:dyDescent="0.2">
      <c r="A52" s="467">
        <v>49</v>
      </c>
      <c r="B52" s="468" t="s">
        <v>496</v>
      </c>
      <c r="C52" s="973" t="s">
        <v>497</v>
      </c>
      <c r="D52" s="467" t="s">
        <v>24</v>
      </c>
      <c r="E52" s="499" t="s">
        <v>26</v>
      </c>
    </row>
    <row r="53" spans="1:5" x14ac:dyDescent="0.2">
      <c r="A53" s="467">
        <v>50</v>
      </c>
      <c r="B53" s="468" t="s">
        <v>677</v>
      </c>
      <c r="C53" s="973" t="s">
        <v>678</v>
      </c>
      <c r="D53" s="467" t="s">
        <v>24</v>
      </c>
      <c r="E53" s="499" t="s">
        <v>106</v>
      </c>
    </row>
    <row r="54" spans="1:5" x14ac:dyDescent="0.2">
      <c r="A54" s="467">
        <v>51</v>
      </c>
      <c r="B54" s="468" t="s">
        <v>739</v>
      </c>
      <c r="C54" s="973" t="s">
        <v>740</v>
      </c>
      <c r="D54" s="467" t="s">
        <v>24</v>
      </c>
      <c r="E54" s="499" t="s">
        <v>26</v>
      </c>
    </row>
    <row r="55" spans="1:5" x14ac:dyDescent="0.2">
      <c r="A55" s="467">
        <v>52</v>
      </c>
      <c r="B55" s="468" t="s">
        <v>1110</v>
      </c>
      <c r="C55" s="973" t="s">
        <v>1111</v>
      </c>
      <c r="D55" s="467" t="s">
        <v>24</v>
      </c>
      <c r="E55" s="499" t="s">
        <v>26</v>
      </c>
    </row>
    <row r="56" spans="1:5" x14ac:dyDescent="0.2">
      <c r="A56" s="467">
        <v>53</v>
      </c>
      <c r="B56" s="475" t="s">
        <v>1112</v>
      </c>
      <c r="C56" s="973" t="s">
        <v>1113</v>
      </c>
      <c r="D56" s="467" t="s">
        <v>24</v>
      </c>
      <c r="E56" s="499" t="s">
        <v>26</v>
      </c>
    </row>
    <row r="57" spans="1:5" x14ac:dyDescent="0.2">
      <c r="A57" s="467">
        <v>54</v>
      </c>
      <c r="B57" s="468" t="s">
        <v>705</v>
      </c>
      <c r="C57" s="973" t="s">
        <v>706</v>
      </c>
      <c r="D57" s="467" t="s">
        <v>24</v>
      </c>
      <c r="E57" s="499" t="s">
        <v>26</v>
      </c>
    </row>
    <row r="58" spans="1:5" x14ac:dyDescent="0.2">
      <c r="A58" s="467">
        <v>55</v>
      </c>
      <c r="B58" s="468" t="s">
        <v>1114</v>
      </c>
      <c r="C58" s="973" t="s">
        <v>1115</v>
      </c>
      <c r="D58" s="467" t="s">
        <v>24</v>
      </c>
      <c r="E58" s="499" t="s">
        <v>26</v>
      </c>
    </row>
    <row r="59" spans="1:5" x14ac:dyDescent="0.2">
      <c r="A59" s="467">
        <v>56</v>
      </c>
      <c r="B59" s="475" t="s">
        <v>1116</v>
      </c>
      <c r="C59" s="973" t="s">
        <v>1117</v>
      </c>
      <c r="D59" s="467" t="s">
        <v>24</v>
      </c>
      <c r="E59" s="499" t="s">
        <v>26</v>
      </c>
    </row>
    <row r="60" spans="1:5" x14ac:dyDescent="0.2">
      <c r="A60" s="467">
        <v>57</v>
      </c>
      <c r="B60" s="468" t="s">
        <v>1118</v>
      </c>
      <c r="C60" s="973" t="s">
        <v>1119</v>
      </c>
      <c r="D60" s="467" t="s">
        <v>24</v>
      </c>
      <c r="E60" s="499" t="s">
        <v>26</v>
      </c>
    </row>
    <row r="61" spans="1:5" x14ac:dyDescent="0.2">
      <c r="A61" s="467">
        <v>58</v>
      </c>
      <c r="B61" s="468" t="s">
        <v>601</v>
      </c>
      <c r="C61" s="973" t="s">
        <v>602</v>
      </c>
      <c r="D61" s="467" t="s">
        <v>24</v>
      </c>
      <c r="E61" s="499" t="s">
        <v>26</v>
      </c>
    </row>
    <row r="62" spans="1:5" x14ac:dyDescent="0.2">
      <c r="A62" s="467">
        <v>59</v>
      </c>
      <c r="B62" s="468" t="s">
        <v>1120</v>
      </c>
      <c r="C62" s="973" t="s">
        <v>242</v>
      </c>
      <c r="D62" s="467" t="s">
        <v>24</v>
      </c>
      <c r="E62" s="499" t="s">
        <v>106</v>
      </c>
    </row>
    <row r="63" spans="1:5" x14ac:dyDescent="0.2">
      <c r="A63" s="467">
        <v>60</v>
      </c>
      <c r="B63" s="468" t="s">
        <v>471</v>
      </c>
      <c r="C63" s="973" t="s">
        <v>29</v>
      </c>
      <c r="D63" s="467" t="s">
        <v>24</v>
      </c>
      <c r="E63" s="499" t="s">
        <v>26</v>
      </c>
    </row>
    <row r="64" spans="1:5" x14ac:dyDescent="0.2">
      <c r="A64" s="467">
        <v>61</v>
      </c>
      <c r="B64" s="468" t="s">
        <v>527</v>
      </c>
      <c r="C64" s="973" t="s">
        <v>528</v>
      </c>
      <c r="D64" s="467" t="s">
        <v>24</v>
      </c>
      <c r="E64" s="499" t="s">
        <v>26</v>
      </c>
    </row>
    <row r="65" spans="1:5" x14ac:dyDescent="0.2">
      <c r="A65" s="467">
        <v>62</v>
      </c>
      <c r="B65" s="468" t="s">
        <v>1121</v>
      </c>
      <c r="C65" s="973" t="s">
        <v>1122</v>
      </c>
      <c r="D65" s="467" t="s">
        <v>24</v>
      </c>
      <c r="E65" s="499" t="s">
        <v>106</v>
      </c>
    </row>
    <row r="66" spans="1:5" x14ac:dyDescent="0.2">
      <c r="A66" s="467">
        <v>63</v>
      </c>
      <c r="B66" s="468" t="s">
        <v>561</v>
      </c>
      <c r="C66" s="973" t="s">
        <v>562</v>
      </c>
      <c r="D66" s="467" t="s">
        <v>24</v>
      </c>
      <c r="E66" s="499" t="s">
        <v>26</v>
      </c>
    </row>
    <row r="67" spans="1:5" x14ac:dyDescent="0.2">
      <c r="A67" s="467">
        <v>64</v>
      </c>
      <c r="B67" s="468" t="s">
        <v>1123</v>
      </c>
      <c r="C67" s="973" t="s">
        <v>1124</v>
      </c>
      <c r="D67" s="467" t="s">
        <v>24</v>
      </c>
      <c r="E67" s="499" t="s">
        <v>26</v>
      </c>
    </row>
    <row r="68" spans="1:5" x14ac:dyDescent="0.2">
      <c r="A68" s="467">
        <v>65</v>
      </c>
      <c r="B68" s="468" t="s">
        <v>1125</v>
      </c>
      <c r="C68" s="973" t="s">
        <v>1126</v>
      </c>
      <c r="D68" s="467" t="s">
        <v>24</v>
      </c>
      <c r="E68" s="499" t="s">
        <v>26</v>
      </c>
    </row>
    <row r="69" spans="1:5" x14ac:dyDescent="0.2">
      <c r="A69" s="467">
        <v>66</v>
      </c>
      <c r="B69" s="468" t="s">
        <v>487</v>
      </c>
      <c r="C69" s="973" t="s">
        <v>488</v>
      </c>
      <c r="D69" s="467" t="s">
        <v>24</v>
      </c>
      <c r="E69" s="499" t="s">
        <v>26</v>
      </c>
    </row>
    <row r="70" spans="1:5" x14ac:dyDescent="0.2">
      <c r="A70" s="467">
        <v>67</v>
      </c>
      <c r="B70" s="468" t="s">
        <v>613</v>
      </c>
      <c r="C70" s="973" t="s">
        <v>614</v>
      </c>
      <c r="D70" s="467" t="s">
        <v>24</v>
      </c>
      <c r="E70" s="499" t="s">
        <v>26</v>
      </c>
    </row>
    <row r="71" spans="1:5" x14ac:dyDescent="0.2">
      <c r="A71" s="467">
        <v>68</v>
      </c>
      <c r="B71" s="468" t="s">
        <v>1127</v>
      </c>
      <c r="C71" s="973" t="s">
        <v>1128</v>
      </c>
      <c r="D71" s="467" t="s">
        <v>24</v>
      </c>
      <c r="E71" s="499" t="s">
        <v>26</v>
      </c>
    </row>
    <row r="72" spans="1:5" x14ac:dyDescent="0.2">
      <c r="A72" s="467">
        <v>69</v>
      </c>
      <c r="B72" s="468" t="s">
        <v>4263</v>
      </c>
      <c r="C72" s="973" t="s">
        <v>4264</v>
      </c>
      <c r="D72" s="467" t="s">
        <v>24</v>
      </c>
      <c r="E72" s="499" t="s">
        <v>26</v>
      </c>
    </row>
    <row r="73" spans="1:5" x14ac:dyDescent="0.2">
      <c r="A73" s="467">
        <v>70</v>
      </c>
      <c r="B73" s="468" t="s">
        <v>554</v>
      </c>
      <c r="C73" s="973" t="s">
        <v>555</v>
      </c>
      <c r="D73" s="467" t="s">
        <v>24</v>
      </c>
      <c r="E73" s="499" t="s">
        <v>26</v>
      </c>
    </row>
    <row r="74" spans="1:5" x14ac:dyDescent="0.2">
      <c r="A74" s="467">
        <v>71</v>
      </c>
      <c r="B74" s="475" t="s">
        <v>686</v>
      </c>
      <c r="C74" s="973" t="s">
        <v>687</v>
      </c>
      <c r="D74" s="467" t="s">
        <v>24</v>
      </c>
      <c r="E74" s="499" t="s">
        <v>106</v>
      </c>
    </row>
    <row r="75" spans="1:5" x14ac:dyDescent="0.2">
      <c r="A75" s="467">
        <v>72</v>
      </c>
      <c r="B75" s="468" t="s">
        <v>476</v>
      </c>
      <c r="C75" s="973" t="s">
        <v>477</v>
      </c>
      <c r="D75" s="467" t="s">
        <v>24</v>
      </c>
      <c r="E75" s="499" t="s">
        <v>26</v>
      </c>
    </row>
    <row r="76" spans="1:5" x14ac:dyDescent="0.2">
      <c r="A76" s="467">
        <v>73</v>
      </c>
      <c r="B76" s="468" t="s">
        <v>666</v>
      </c>
      <c r="C76" s="973" t="s">
        <v>667</v>
      </c>
      <c r="D76" s="467" t="s">
        <v>24</v>
      </c>
      <c r="E76" s="499" t="s">
        <v>26</v>
      </c>
    </row>
    <row r="77" spans="1:5" x14ac:dyDescent="0.2">
      <c r="A77" s="467">
        <v>74</v>
      </c>
      <c r="B77" s="468" t="s">
        <v>589</v>
      </c>
      <c r="C77" s="973" t="s">
        <v>590</v>
      </c>
      <c r="D77" s="467" t="s">
        <v>24</v>
      </c>
      <c r="E77" s="499" t="s">
        <v>26</v>
      </c>
    </row>
    <row r="78" spans="1:5" x14ac:dyDescent="0.2">
      <c r="A78" s="467">
        <v>75</v>
      </c>
      <c r="B78" s="468" t="s">
        <v>919</v>
      </c>
      <c r="C78" s="973" t="s">
        <v>920</v>
      </c>
      <c r="D78" s="467" t="s">
        <v>24</v>
      </c>
      <c r="E78" s="499" t="s">
        <v>26</v>
      </c>
    </row>
    <row r="79" spans="1:5" x14ac:dyDescent="0.2">
      <c r="A79" s="467">
        <v>76</v>
      </c>
      <c r="B79" s="468" t="s">
        <v>625</v>
      </c>
      <c r="C79" s="973" t="s">
        <v>626</v>
      </c>
      <c r="D79" s="467" t="s">
        <v>24</v>
      </c>
      <c r="E79" s="499" t="s">
        <v>26</v>
      </c>
    </row>
    <row r="80" spans="1:5" x14ac:dyDescent="0.2">
      <c r="A80" s="467">
        <v>77</v>
      </c>
      <c r="B80" s="468" t="s">
        <v>1129</v>
      </c>
      <c r="C80" s="973" t="s">
        <v>1130</v>
      </c>
      <c r="D80" s="467" t="s">
        <v>24</v>
      </c>
      <c r="E80" s="499" t="s">
        <v>26</v>
      </c>
    </row>
    <row r="81" spans="1:5" x14ac:dyDescent="0.2">
      <c r="A81" s="467">
        <v>78</v>
      </c>
      <c r="B81" s="468" t="s">
        <v>499</v>
      </c>
      <c r="C81" s="973" t="s">
        <v>500</v>
      </c>
      <c r="D81" s="467" t="s">
        <v>24</v>
      </c>
      <c r="E81" s="499" t="s">
        <v>26</v>
      </c>
    </row>
    <row r="82" spans="1:5" x14ac:dyDescent="0.2">
      <c r="A82" s="467">
        <v>79</v>
      </c>
      <c r="B82" s="468" t="s">
        <v>640</v>
      </c>
      <c r="C82" s="973" t="s">
        <v>641</v>
      </c>
      <c r="D82" s="467" t="s">
        <v>24</v>
      </c>
      <c r="E82" s="499" t="s">
        <v>26</v>
      </c>
    </row>
    <row r="83" spans="1:5" x14ac:dyDescent="0.2">
      <c r="A83" s="467">
        <v>80</v>
      </c>
      <c r="B83" s="468" t="s">
        <v>1131</v>
      </c>
      <c r="C83" s="973" t="s">
        <v>1132</v>
      </c>
      <c r="D83" s="467" t="s">
        <v>24</v>
      </c>
      <c r="E83" s="499" t="s">
        <v>26</v>
      </c>
    </row>
    <row r="84" spans="1:5" x14ac:dyDescent="0.2">
      <c r="A84" s="467">
        <v>81</v>
      </c>
      <c r="B84" s="468" t="s">
        <v>720</v>
      </c>
      <c r="C84" s="975" t="s">
        <v>671</v>
      </c>
      <c r="D84" s="467" t="s">
        <v>24</v>
      </c>
      <c r="E84" s="499" t="s">
        <v>26</v>
      </c>
    </row>
    <row r="85" spans="1:5" x14ac:dyDescent="0.2">
      <c r="A85" s="467">
        <v>82</v>
      </c>
      <c r="B85" s="468" t="s">
        <v>1133</v>
      </c>
      <c r="C85" s="973" t="s">
        <v>156</v>
      </c>
      <c r="D85" s="467" t="s">
        <v>24</v>
      </c>
      <c r="E85" s="499" t="s">
        <v>26</v>
      </c>
    </row>
    <row r="86" spans="1:5" x14ac:dyDescent="0.2">
      <c r="A86" s="467">
        <v>83</v>
      </c>
      <c r="B86" s="468" t="s">
        <v>673</v>
      </c>
      <c r="C86" s="975" t="s">
        <v>674</v>
      </c>
      <c r="D86" s="467" t="s">
        <v>24</v>
      </c>
      <c r="E86" s="499" t="s">
        <v>26</v>
      </c>
    </row>
    <row r="87" spans="1:5" x14ac:dyDescent="0.2">
      <c r="A87" s="467">
        <v>84</v>
      </c>
      <c r="B87" s="468" t="s">
        <v>629</v>
      </c>
      <c r="C87" s="973" t="s">
        <v>630</v>
      </c>
      <c r="D87" s="467" t="s">
        <v>24</v>
      </c>
      <c r="E87" s="499" t="s">
        <v>26</v>
      </c>
    </row>
    <row r="88" spans="1:5" x14ac:dyDescent="0.2">
      <c r="A88" s="467">
        <v>85</v>
      </c>
      <c r="B88" s="479" t="s">
        <v>695</v>
      </c>
      <c r="C88" s="975" t="s">
        <v>696</v>
      </c>
      <c r="D88" s="467" t="s">
        <v>24</v>
      </c>
      <c r="E88" s="499" t="s">
        <v>26</v>
      </c>
    </row>
    <row r="89" spans="1:5" x14ac:dyDescent="0.2">
      <c r="A89" s="467">
        <v>86</v>
      </c>
      <c r="B89" s="479" t="s">
        <v>4265</v>
      </c>
      <c r="C89" s="975" t="s">
        <v>4266</v>
      </c>
      <c r="D89" s="467" t="s">
        <v>24</v>
      </c>
      <c r="E89" s="499" t="s">
        <v>26</v>
      </c>
    </row>
    <row r="90" spans="1:5" x14ac:dyDescent="0.2">
      <c r="A90" s="467">
        <v>87</v>
      </c>
      <c r="B90" s="468" t="s">
        <v>1134</v>
      </c>
      <c r="C90" s="973" t="s">
        <v>1135</v>
      </c>
      <c r="D90" s="467" t="s">
        <v>24</v>
      </c>
      <c r="E90" s="499" t="s">
        <v>26</v>
      </c>
    </row>
    <row r="91" spans="1:5" x14ac:dyDescent="0.2">
      <c r="A91" s="467">
        <v>88</v>
      </c>
      <c r="B91" s="479" t="s">
        <v>712</v>
      </c>
      <c r="C91" s="975" t="s">
        <v>713</v>
      </c>
      <c r="D91" s="467" t="s">
        <v>24</v>
      </c>
      <c r="E91" s="499" t="s">
        <v>26</v>
      </c>
    </row>
    <row r="92" spans="1:5" x14ac:dyDescent="0.2">
      <c r="A92" s="467">
        <v>89</v>
      </c>
      <c r="B92" s="475" t="s">
        <v>1136</v>
      </c>
      <c r="C92" s="974" t="s">
        <v>1137</v>
      </c>
      <c r="D92" s="467" t="s">
        <v>24</v>
      </c>
      <c r="E92" s="499" t="s">
        <v>26</v>
      </c>
    </row>
    <row r="93" spans="1:5" x14ac:dyDescent="0.2">
      <c r="A93" s="467">
        <v>90</v>
      </c>
      <c r="B93" s="475" t="s">
        <v>4267</v>
      </c>
      <c r="C93" s="974" t="s">
        <v>4268</v>
      </c>
      <c r="D93" s="467" t="s">
        <v>24</v>
      </c>
      <c r="E93" s="499" t="s">
        <v>26</v>
      </c>
    </row>
    <row r="94" spans="1:5" x14ac:dyDescent="0.2">
      <c r="A94" s="467">
        <v>91</v>
      </c>
      <c r="B94" s="476" t="s">
        <v>708</v>
      </c>
      <c r="C94" s="973" t="s">
        <v>709</v>
      </c>
      <c r="D94" s="559" t="s">
        <v>24</v>
      </c>
      <c r="E94" s="499" t="s">
        <v>106</v>
      </c>
    </row>
    <row r="95" spans="1:5" x14ac:dyDescent="0.2">
      <c r="A95" s="467">
        <v>92</v>
      </c>
      <c r="B95" s="468" t="s">
        <v>829</v>
      </c>
      <c r="C95" s="973" t="s">
        <v>830</v>
      </c>
      <c r="D95" s="467" t="s">
        <v>24</v>
      </c>
      <c r="E95" s="499" t="s">
        <v>26</v>
      </c>
    </row>
    <row r="96" spans="1:5" x14ac:dyDescent="0.2">
      <c r="A96" s="467">
        <v>93</v>
      </c>
      <c r="B96" s="479" t="s">
        <v>722</v>
      </c>
      <c r="C96" s="975" t="s">
        <v>723</v>
      </c>
      <c r="D96" s="467" t="s">
        <v>24</v>
      </c>
      <c r="E96" s="499" t="s">
        <v>26</v>
      </c>
    </row>
    <row r="97" spans="1:5" x14ac:dyDescent="0.2">
      <c r="A97" s="467">
        <v>94</v>
      </c>
      <c r="B97" s="468" t="s">
        <v>1138</v>
      </c>
      <c r="C97" s="973" t="s">
        <v>1139</v>
      </c>
      <c r="D97" s="467" t="s">
        <v>24</v>
      </c>
      <c r="E97" s="499" t="s">
        <v>26</v>
      </c>
    </row>
    <row r="98" spans="1:5" x14ac:dyDescent="0.2">
      <c r="A98" s="467">
        <v>95</v>
      </c>
      <c r="B98" s="468" t="s">
        <v>4269</v>
      </c>
      <c r="C98" s="973" t="s">
        <v>4270</v>
      </c>
      <c r="D98" s="467" t="s">
        <v>24</v>
      </c>
      <c r="E98" s="499" t="s">
        <v>26</v>
      </c>
    </row>
    <row r="99" spans="1:5" x14ac:dyDescent="0.2">
      <c r="A99" s="467">
        <v>96</v>
      </c>
      <c r="B99" s="479" t="s">
        <v>747</v>
      </c>
      <c r="C99" s="975" t="s">
        <v>748</v>
      </c>
      <c r="D99" s="467" t="s">
        <v>24</v>
      </c>
      <c r="E99" s="499" t="s">
        <v>26</v>
      </c>
    </row>
    <row r="100" spans="1:5" x14ac:dyDescent="0.2">
      <c r="A100" s="467">
        <v>97</v>
      </c>
      <c r="B100" s="468" t="s">
        <v>634</v>
      </c>
      <c r="C100" s="973" t="s">
        <v>635</v>
      </c>
      <c r="D100" s="467" t="s">
        <v>24</v>
      </c>
      <c r="E100" s="499" t="s">
        <v>26</v>
      </c>
    </row>
    <row r="101" spans="1:5" x14ac:dyDescent="0.2">
      <c r="A101" s="467">
        <v>98</v>
      </c>
      <c r="B101" s="468" t="s">
        <v>1140</v>
      </c>
      <c r="C101" s="973" t="s">
        <v>1141</v>
      </c>
      <c r="D101" s="467" t="s">
        <v>24</v>
      </c>
      <c r="E101" s="499" t="s">
        <v>26</v>
      </c>
    </row>
    <row r="102" spans="1:5" x14ac:dyDescent="0.2">
      <c r="A102" s="467">
        <v>99</v>
      </c>
      <c r="B102" s="468" t="s">
        <v>495</v>
      </c>
      <c r="C102" s="973" t="s">
        <v>74</v>
      </c>
      <c r="D102" s="467" t="s">
        <v>24</v>
      </c>
      <c r="E102" s="499" t="s">
        <v>26</v>
      </c>
    </row>
    <row r="103" spans="1:5" x14ac:dyDescent="0.2">
      <c r="A103" s="467">
        <v>100</v>
      </c>
      <c r="B103" s="468" t="s">
        <v>1142</v>
      </c>
      <c r="C103" s="973" t="s">
        <v>1143</v>
      </c>
      <c r="D103" s="467" t="s">
        <v>24</v>
      </c>
      <c r="E103" s="499" t="s">
        <v>26</v>
      </c>
    </row>
    <row r="104" spans="1:5" x14ac:dyDescent="0.2">
      <c r="A104" s="467">
        <v>101</v>
      </c>
      <c r="B104" s="468" t="s">
        <v>1022</v>
      </c>
      <c r="C104" s="975" t="s">
        <v>1023</v>
      </c>
      <c r="D104" s="467" t="s">
        <v>24</v>
      </c>
      <c r="E104" s="499" t="s">
        <v>26</v>
      </c>
    </row>
    <row r="105" spans="1:5" x14ac:dyDescent="0.2">
      <c r="A105" s="467">
        <v>102</v>
      </c>
      <c r="B105" s="468" t="s">
        <v>881</v>
      </c>
      <c r="C105" s="973" t="s">
        <v>882</v>
      </c>
      <c r="D105" s="467" t="s">
        <v>24</v>
      </c>
      <c r="E105" s="499" t="s">
        <v>26</v>
      </c>
    </row>
    <row r="106" spans="1:5" x14ac:dyDescent="0.2">
      <c r="A106" s="467">
        <v>103</v>
      </c>
      <c r="B106" s="475" t="s">
        <v>1144</v>
      </c>
      <c r="C106" s="973" t="s">
        <v>1145</v>
      </c>
      <c r="D106" s="467" t="s">
        <v>24</v>
      </c>
      <c r="E106" s="499" t="s">
        <v>26</v>
      </c>
    </row>
    <row r="107" spans="1:5" x14ac:dyDescent="0.2">
      <c r="A107" s="467">
        <v>104</v>
      </c>
      <c r="B107" s="468" t="s">
        <v>1146</v>
      </c>
      <c r="C107" s="973" t="s">
        <v>1147</v>
      </c>
      <c r="D107" s="467" t="s">
        <v>24</v>
      </c>
      <c r="E107" s="499" t="s">
        <v>26</v>
      </c>
    </row>
    <row r="108" spans="1:5" x14ac:dyDescent="0.2">
      <c r="A108" s="467">
        <v>105</v>
      </c>
      <c r="B108" s="468" t="s">
        <v>1148</v>
      </c>
      <c r="C108" s="973" t="s">
        <v>1149</v>
      </c>
      <c r="D108" s="467" t="s">
        <v>24</v>
      </c>
      <c r="E108" s="499" t="s">
        <v>26</v>
      </c>
    </row>
    <row r="109" spans="1:5" x14ac:dyDescent="0.2">
      <c r="A109" s="467">
        <v>106</v>
      </c>
      <c r="B109" s="468" t="s">
        <v>1150</v>
      </c>
      <c r="C109" s="973" t="s">
        <v>1151</v>
      </c>
      <c r="D109" s="467" t="s">
        <v>24</v>
      </c>
      <c r="E109" s="499" t="s">
        <v>26</v>
      </c>
    </row>
    <row r="110" spans="1:5" x14ac:dyDescent="0.2">
      <c r="A110" s="467">
        <v>107</v>
      </c>
      <c r="B110" s="468" t="s">
        <v>1152</v>
      </c>
      <c r="C110" s="973" t="s">
        <v>1153</v>
      </c>
      <c r="D110" s="467" t="s">
        <v>24</v>
      </c>
      <c r="E110" s="499" t="s">
        <v>26</v>
      </c>
    </row>
    <row r="111" spans="1:5" x14ac:dyDescent="0.2">
      <c r="A111" s="467">
        <v>108</v>
      </c>
      <c r="B111" s="468" t="s">
        <v>606</v>
      </c>
      <c r="C111" s="973" t="s">
        <v>607</v>
      </c>
      <c r="D111" s="467" t="s">
        <v>24</v>
      </c>
      <c r="E111" s="499" t="s">
        <v>26</v>
      </c>
    </row>
    <row r="112" spans="1:5" x14ac:dyDescent="0.2">
      <c r="A112" s="467">
        <v>109</v>
      </c>
      <c r="B112" s="468" t="s">
        <v>551</v>
      </c>
      <c r="C112" s="973" t="s">
        <v>552</v>
      </c>
      <c r="D112" s="467" t="s">
        <v>24</v>
      </c>
      <c r="E112" s="499" t="s">
        <v>26</v>
      </c>
    </row>
    <row r="113" spans="1:5" x14ac:dyDescent="0.2">
      <c r="A113" s="467">
        <v>110</v>
      </c>
      <c r="B113" s="468" t="s">
        <v>4271</v>
      </c>
      <c r="C113" s="973" t="s">
        <v>4272</v>
      </c>
      <c r="D113" s="467" t="s">
        <v>24</v>
      </c>
      <c r="E113" s="499" t="s">
        <v>26</v>
      </c>
    </row>
    <row r="114" spans="1:5" x14ac:dyDescent="0.2">
      <c r="A114" s="467">
        <v>111</v>
      </c>
      <c r="B114" s="468" t="s">
        <v>4273</v>
      </c>
      <c r="C114" s="973" t="s">
        <v>4274</v>
      </c>
      <c r="D114" s="467" t="s">
        <v>24</v>
      </c>
      <c r="E114" s="499" t="s">
        <v>26</v>
      </c>
    </row>
    <row r="115" spans="1:5" x14ac:dyDescent="0.2">
      <c r="A115" s="467">
        <v>112</v>
      </c>
      <c r="B115" s="468" t="s">
        <v>1154</v>
      </c>
      <c r="C115" s="973" t="s">
        <v>1155</v>
      </c>
      <c r="D115" s="467" t="s">
        <v>24</v>
      </c>
      <c r="E115" s="499" t="s">
        <v>26</v>
      </c>
    </row>
    <row r="116" spans="1:5" x14ac:dyDescent="0.2">
      <c r="A116" s="467">
        <v>113</v>
      </c>
      <c r="B116" s="468" t="s">
        <v>594</v>
      </c>
      <c r="C116" s="973" t="s">
        <v>595</v>
      </c>
      <c r="D116" s="467" t="s">
        <v>24</v>
      </c>
      <c r="E116" s="499" t="s">
        <v>26</v>
      </c>
    </row>
    <row r="117" spans="1:5" x14ac:dyDescent="0.2">
      <c r="A117" s="467">
        <v>114</v>
      </c>
      <c r="B117" s="468" t="s">
        <v>1156</v>
      </c>
      <c r="C117" s="973" t="s">
        <v>1157</v>
      </c>
      <c r="D117" s="467" t="s">
        <v>24</v>
      </c>
      <c r="E117" s="499" t="s">
        <v>26</v>
      </c>
    </row>
    <row r="118" spans="1:5" x14ac:dyDescent="0.2">
      <c r="A118" s="467">
        <v>115</v>
      </c>
      <c r="B118" s="468" t="s">
        <v>1158</v>
      </c>
      <c r="C118" s="973" t="s">
        <v>1159</v>
      </c>
      <c r="D118" s="467" t="s">
        <v>24</v>
      </c>
      <c r="E118" s="499" t="s">
        <v>26</v>
      </c>
    </row>
    <row r="119" spans="1:5" x14ac:dyDescent="0.2">
      <c r="A119" s="467">
        <v>116</v>
      </c>
      <c r="B119" s="468" t="s">
        <v>1160</v>
      </c>
      <c r="C119" s="973" t="s">
        <v>1161</v>
      </c>
      <c r="D119" s="467" t="s">
        <v>24</v>
      </c>
      <c r="E119" s="499" t="s">
        <v>26</v>
      </c>
    </row>
    <row r="120" spans="1:5" x14ac:dyDescent="0.2">
      <c r="A120" s="467">
        <v>117</v>
      </c>
      <c r="B120" s="468" t="s">
        <v>1162</v>
      </c>
      <c r="C120" s="973" t="s">
        <v>250</v>
      </c>
      <c r="D120" s="467" t="s">
        <v>24</v>
      </c>
      <c r="E120" s="499" t="s">
        <v>26</v>
      </c>
    </row>
    <row r="121" spans="1:5" x14ac:dyDescent="0.2">
      <c r="A121" s="467">
        <v>118</v>
      </c>
      <c r="B121" s="468" t="s">
        <v>556</v>
      </c>
      <c r="C121" s="973" t="s">
        <v>557</v>
      </c>
      <c r="D121" s="467" t="s">
        <v>24</v>
      </c>
      <c r="E121" s="499" t="s">
        <v>26</v>
      </c>
    </row>
    <row r="122" spans="1:5" x14ac:dyDescent="0.2">
      <c r="A122" s="467">
        <v>119</v>
      </c>
      <c r="B122" s="468" t="s">
        <v>609</v>
      </c>
      <c r="C122" s="973" t="s">
        <v>610</v>
      </c>
      <c r="D122" s="467" t="s">
        <v>24</v>
      </c>
      <c r="E122" s="499" t="s">
        <v>26</v>
      </c>
    </row>
    <row r="123" spans="1:5" x14ac:dyDescent="0.2">
      <c r="A123" s="467">
        <v>120</v>
      </c>
      <c r="B123" s="468" t="s">
        <v>975</v>
      </c>
      <c r="C123" s="973" t="s">
        <v>976</v>
      </c>
      <c r="D123" s="467" t="s">
        <v>24</v>
      </c>
      <c r="E123" s="499" t="s">
        <v>26</v>
      </c>
    </row>
    <row r="124" spans="1:5" x14ac:dyDescent="0.2">
      <c r="A124" s="467">
        <v>121</v>
      </c>
      <c r="B124" s="468" t="s">
        <v>761</v>
      </c>
      <c r="C124" s="973" t="s">
        <v>762</v>
      </c>
      <c r="D124" s="467" t="s">
        <v>24</v>
      </c>
      <c r="E124" s="499" t="s">
        <v>26</v>
      </c>
    </row>
    <row r="125" spans="1:5" x14ac:dyDescent="0.2">
      <c r="A125" s="467">
        <v>122</v>
      </c>
      <c r="B125" s="468" t="s">
        <v>1163</v>
      </c>
      <c r="C125" s="973" t="s">
        <v>1164</v>
      </c>
      <c r="D125" s="467" t="s">
        <v>24</v>
      </c>
      <c r="E125" s="499" t="s">
        <v>26</v>
      </c>
    </row>
    <row r="126" spans="1:5" x14ac:dyDescent="0.2">
      <c r="A126" s="467">
        <v>123</v>
      </c>
      <c r="B126" s="468" t="s">
        <v>570</v>
      </c>
      <c r="C126" s="973" t="s">
        <v>571</v>
      </c>
      <c r="D126" s="467" t="s">
        <v>24</v>
      </c>
      <c r="E126" s="499" t="s">
        <v>26</v>
      </c>
    </row>
    <row r="127" spans="1:5" x14ac:dyDescent="0.2">
      <c r="A127" s="467">
        <v>124</v>
      </c>
      <c r="B127" s="468" t="s">
        <v>473</v>
      </c>
      <c r="C127" s="973" t="s">
        <v>41</v>
      </c>
      <c r="D127" s="467" t="s">
        <v>24</v>
      </c>
      <c r="E127" s="499" t="s">
        <v>26</v>
      </c>
    </row>
    <row r="128" spans="1:5" x14ac:dyDescent="0.2">
      <c r="A128" s="467">
        <v>125</v>
      </c>
      <c r="B128" s="468" t="s">
        <v>1165</v>
      </c>
      <c r="C128" s="973" t="s">
        <v>254</v>
      </c>
      <c r="D128" s="467" t="s">
        <v>24</v>
      </c>
      <c r="E128" s="499" t="s">
        <v>26</v>
      </c>
    </row>
    <row r="129" spans="1:5" x14ac:dyDescent="0.2">
      <c r="A129" s="467">
        <v>126</v>
      </c>
      <c r="B129" s="468" t="s">
        <v>517</v>
      </c>
      <c r="C129" s="973" t="s">
        <v>256</v>
      </c>
      <c r="D129" s="467"/>
      <c r="E129" s="499" t="s">
        <v>106</v>
      </c>
    </row>
    <row r="130" spans="1:5" x14ac:dyDescent="0.2">
      <c r="A130" s="467">
        <v>127</v>
      </c>
      <c r="B130" s="468" t="s">
        <v>1166</v>
      </c>
      <c r="C130" s="973" t="s">
        <v>1167</v>
      </c>
      <c r="D130" s="467"/>
      <c r="E130" s="499" t="s">
        <v>26</v>
      </c>
    </row>
    <row r="131" spans="1:5" x14ac:dyDescent="0.2">
      <c r="A131" s="467">
        <v>128</v>
      </c>
      <c r="B131" s="468" t="s">
        <v>892</v>
      </c>
      <c r="C131" s="973" t="s">
        <v>893</v>
      </c>
      <c r="D131" s="467" t="s">
        <v>24</v>
      </c>
      <c r="E131" s="499" t="s">
        <v>26</v>
      </c>
    </row>
    <row r="132" spans="1:5" x14ac:dyDescent="0.2">
      <c r="A132" s="467">
        <v>129</v>
      </c>
      <c r="B132" s="468" t="s">
        <v>1168</v>
      </c>
      <c r="C132" s="973" t="s">
        <v>1169</v>
      </c>
      <c r="D132" s="467" t="s">
        <v>24</v>
      </c>
      <c r="E132" s="499" t="s">
        <v>26</v>
      </c>
    </row>
    <row r="133" spans="1:5" x14ac:dyDescent="0.2">
      <c r="A133" s="467">
        <v>130</v>
      </c>
      <c r="B133" s="468" t="s">
        <v>866</v>
      </c>
      <c r="C133" s="973" t="s">
        <v>867</v>
      </c>
      <c r="D133" s="467" t="s">
        <v>24</v>
      </c>
      <c r="E133" s="499" t="s">
        <v>26</v>
      </c>
    </row>
    <row r="134" spans="1:5" x14ac:dyDescent="0.2">
      <c r="A134" s="467">
        <v>131</v>
      </c>
      <c r="B134" s="475" t="s">
        <v>853</v>
      </c>
      <c r="C134" s="974" t="s">
        <v>854</v>
      </c>
      <c r="D134" s="467" t="s">
        <v>24</v>
      </c>
      <c r="E134" s="499" t="s">
        <v>26</v>
      </c>
    </row>
    <row r="135" spans="1:5" x14ac:dyDescent="0.2">
      <c r="A135" s="467">
        <v>132</v>
      </c>
      <c r="B135" s="468" t="s">
        <v>741</v>
      </c>
      <c r="C135" s="973" t="s">
        <v>225</v>
      </c>
      <c r="D135" s="467" t="s">
        <v>24</v>
      </c>
      <c r="E135" s="499" t="s">
        <v>26</v>
      </c>
    </row>
    <row r="136" spans="1:5" x14ac:dyDescent="0.2">
      <c r="A136" s="467">
        <v>133</v>
      </c>
      <c r="B136" s="468" t="s">
        <v>472</v>
      </c>
      <c r="C136" s="973" t="s">
        <v>21</v>
      </c>
      <c r="D136" s="467" t="s">
        <v>24</v>
      </c>
      <c r="E136" s="499" t="s">
        <v>26</v>
      </c>
    </row>
    <row r="137" spans="1:5" x14ac:dyDescent="0.2">
      <c r="A137" s="467">
        <v>134</v>
      </c>
      <c r="B137" s="468" t="s">
        <v>1170</v>
      </c>
      <c r="C137" s="973" t="s">
        <v>1171</v>
      </c>
      <c r="D137" s="467" t="s">
        <v>24</v>
      </c>
      <c r="E137" s="499" t="s">
        <v>106</v>
      </c>
    </row>
    <row r="138" spans="1:5" x14ac:dyDescent="0.2">
      <c r="A138" s="467">
        <v>135</v>
      </c>
      <c r="B138" s="468" t="s">
        <v>1172</v>
      </c>
      <c r="C138" s="973" t="s">
        <v>103</v>
      </c>
      <c r="D138" s="467" t="s">
        <v>24</v>
      </c>
      <c r="E138" s="499" t="s">
        <v>106</v>
      </c>
    </row>
    <row r="139" spans="1:5" x14ac:dyDescent="0.2">
      <c r="A139" s="467">
        <v>136</v>
      </c>
      <c r="B139" s="468" t="s">
        <v>1173</v>
      </c>
      <c r="C139" s="973" t="s">
        <v>1174</v>
      </c>
      <c r="D139" s="467" t="s">
        <v>24</v>
      </c>
      <c r="E139" s="499" t="s">
        <v>26</v>
      </c>
    </row>
    <row r="140" spans="1:5" x14ac:dyDescent="0.2">
      <c r="A140" s="467">
        <v>137</v>
      </c>
      <c r="B140" s="475" t="s">
        <v>963</v>
      </c>
      <c r="C140" s="974" t="s">
        <v>964</v>
      </c>
      <c r="D140" s="467" t="s">
        <v>24</v>
      </c>
      <c r="E140" s="499" t="s">
        <v>26</v>
      </c>
    </row>
    <row r="141" spans="1:5" x14ac:dyDescent="0.2">
      <c r="A141" s="467">
        <v>138</v>
      </c>
      <c r="B141" s="468" t="s">
        <v>541</v>
      </c>
      <c r="C141" s="973" t="s">
        <v>542</v>
      </c>
      <c r="D141" s="467" t="s">
        <v>24</v>
      </c>
      <c r="E141" s="499" t="s">
        <v>26</v>
      </c>
    </row>
    <row r="142" spans="1:5" x14ac:dyDescent="0.2">
      <c r="A142" s="467">
        <v>139</v>
      </c>
      <c r="B142" s="468" t="s">
        <v>565</v>
      </c>
      <c r="C142" s="973" t="s">
        <v>566</v>
      </c>
      <c r="D142" s="467" t="s">
        <v>24</v>
      </c>
      <c r="E142" s="499" t="s">
        <v>26</v>
      </c>
    </row>
    <row r="143" spans="1:5" x14ac:dyDescent="0.2">
      <c r="A143" s="467">
        <v>140</v>
      </c>
      <c r="B143" s="468" t="s">
        <v>779</v>
      </c>
      <c r="C143" s="973" t="s">
        <v>780</v>
      </c>
      <c r="D143" s="467" t="s">
        <v>24</v>
      </c>
      <c r="E143" s="499" t="s">
        <v>26</v>
      </c>
    </row>
    <row r="144" spans="1:5" x14ac:dyDescent="0.2">
      <c r="A144" s="467">
        <v>141</v>
      </c>
      <c r="B144" s="468" t="s">
        <v>546</v>
      </c>
      <c r="C144" s="973" t="s">
        <v>547</v>
      </c>
      <c r="D144" s="467" t="s">
        <v>24</v>
      </c>
      <c r="E144" s="499" t="s">
        <v>26</v>
      </c>
    </row>
    <row r="145" spans="1:5" x14ac:dyDescent="0.2">
      <c r="A145" s="467">
        <v>142</v>
      </c>
      <c r="B145" s="560" t="s">
        <v>633</v>
      </c>
      <c r="C145" s="976" t="s">
        <v>490</v>
      </c>
      <c r="D145" s="561" t="s">
        <v>24</v>
      </c>
      <c r="E145" s="561" t="s">
        <v>26</v>
      </c>
    </row>
    <row r="146" spans="1:5" x14ac:dyDescent="0.2">
      <c r="A146" s="467">
        <v>143</v>
      </c>
      <c r="B146" s="35" t="s">
        <v>102</v>
      </c>
      <c r="C146" s="43" t="s">
        <v>103</v>
      </c>
      <c r="D146" s="467" t="s">
        <v>105</v>
      </c>
      <c r="E146" s="499" t="s">
        <v>106</v>
      </c>
    </row>
    <row r="147" spans="1:5" x14ac:dyDescent="0.2">
      <c r="A147" s="467">
        <v>144</v>
      </c>
      <c r="B147" s="467" t="s">
        <v>682</v>
      </c>
      <c r="C147" s="499" t="s">
        <v>683</v>
      </c>
      <c r="D147" s="561" t="s">
        <v>24</v>
      </c>
      <c r="E147" s="561" t="s">
        <v>26</v>
      </c>
    </row>
    <row r="148" spans="1:5" x14ac:dyDescent="0.2">
      <c r="A148" s="467">
        <v>145</v>
      </c>
      <c r="B148" s="467" t="s">
        <v>928</v>
      </c>
      <c r="C148" s="499" t="s">
        <v>929</v>
      </c>
      <c r="D148" s="467" t="s">
        <v>1175</v>
      </c>
      <c r="E148" s="499" t="s">
        <v>106</v>
      </c>
    </row>
    <row r="149" spans="1:5" x14ac:dyDescent="0.2">
      <c r="A149" s="467">
        <v>146</v>
      </c>
      <c r="B149" s="468" t="s">
        <v>784</v>
      </c>
      <c r="C149" s="973" t="s">
        <v>785</v>
      </c>
      <c r="D149" s="467" t="s">
        <v>24</v>
      </c>
      <c r="E149" s="499" t="s">
        <v>106</v>
      </c>
    </row>
    <row r="150" spans="1:5" x14ac:dyDescent="0.2">
      <c r="A150" s="467">
        <v>147</v>
      </c>
      <c r="B150" s="468" t="s">
        <v>999</v>
      </c>
      <c r="C150" s="973" t="s">
        <v>1000</v>
      </c>
      <c r="D150" s="467" t="s">
        <v>24</v>
      </c>
      <c r="E150" s="499" t="s">
        <v>26</v>
      </c>
    </row>
    <row r="151" spans="1:5" x14ac:dyDescent="0.2">
      <c r="A151" s="467">
        <v>148</v>
      </c>
      <c r="B151" s="468" t="s">
        <v>1001</v>
      </c>
      <c r="C151" s="973" t="s">
        <v>1002</v>
      </c>
      <c r="D151" s="467" t="s">
        <v>24</v>
      </c>
      <c r="E151" s="499" t="s">
        <v>26</v>
      </c>
    </row>
    <row r="152" spans="1:5" x14ac:dyDescent="0.2">
      <c r="A152" s="467">
        <v>149</v>
      </c>
      <c r="B152" s="468" t="s">
        <v>1004</v>
      </c>
      <c r="C152" s="973" t="s">
        <v>1005</v>
      </c>
      <c r="D152" s="467" t="s">
        <v>24</v>
      </c>
      <c r="E152" s="499" t="s">
        <v>26</v>
      </c>
    </row>
    <row r="153" spans="1:5" x14ac:dyDescent="0.2">
      <c r="A153" s="467">
        <v>150</v>
      </c>
      <c r="B153" s="468" t="s">
        <v>788</v>
      </c>
      <c r="C153" s="973" t="s">
        <v>789</v>
      </c>
      <c r="D153" s="467" t="s">
        <v>24</v>
      </c>
      <c r="E153" s="499" t="s">
        <v>26</v>
      </c>
    </row>
    <row r="154" spans="1:5" x14ac:dyDescent="0.2">
      <c r="A154" s="467">
        <v>151</v>
      </c>
      <c r="B154" s="468" t="s">
        <v>837</v>
      </c>
      <c r="C154" s="973" t="s">
        <v>838</v>
      </c>
      <c r="D154" s="467" t="s">
        <v>24</v>
      </c>
      <c r="E154" s="499" t="s">
        <v>26</v>
      </c>
    </row>
    <row r="155" spans="1:5" x14ac:dyDescent="0.2">
      <c r="A155" s="467">
        <v>152</v>
      </c>
      <c r="B155" s="468" t="s">
        <v>850</v>
      </c>
      <c r="C155" s="973" t="s">
        <v>851</v>
      </c>
      <c r="D155" s="467" t="s">
        <v>24</v>
      </c>
      <c r="E155" s="499" t="s">
        <v>26</v>
      </c>
    </row>
    <row r="156" spans="1:5" x14ac:dyDescent="0.2">
      <c r="A156" s="467">
        <v>153</v>
      </c>
      <c r="B156" s="468" t="s">
        <v>900</v>
      </c>
      <c r="C156" s="973" t="s">
        <v>901</v>
      </c>
      <c r="D156" s="467" t="s">
        <v>24</v>
      </c>
      <c r="E156" s="499" t="s">
        <v>26</v>
      </c>
    </row>
    <row r="157" spans="1:5" x14ac:dyDescent="0.2">
      <c r="A157" s="467">
        <v>154</v>
      </c>
      <c r="B157" s="468" t="s">
        <v>914</v>
      </c>
      <c r="C157" s="973" t="s">
        <v>915</v>
      </c>
      <c r="D157" s="467" t="s">
        <v>24</v>
      </c>
      <c r="E157" s="499" t="s">
        <v>26</v>
      </c>
    </row>
    <row r="158" spans="1:5" x14ac:dyDescent="0.2">
      <c r="A158" s="467">
        <v>155</v>
      </c>
      <c r="B158" s="468" t="s">
        <v>1024</v>
      </c>
      <c r="C158" s="973" t="s">
        <v>1025</v>
      </c>
      <c r="D158" s="467" t="s">
        <v>24</v>
      </c>
      <c r="E158" s="499" t="s">
        <v>26</v>
      </c>
    </row>
    <row r="159" spans="1:5" x14ac:dyDescent="0.2">
      <c r="A159" s="467">
        <v>156</v>
      </c>
      <c r="B159" s="468" t="s">
        <v>2438</v>
      </c>
      <c r="C159" s="973" t="s">
        <v>2439</v>
      </c>
      <c r="D159" s="467" t="s">
        <v>24</v>
      </c>
      <c r="E159" s="499" t="s">
        <v>26</v>
      </c>
    </row>
    <row r="160" spans="1:5" x14ac:dyDescent="0.2">
      <c r="A160" s="467">
        <v>157</v>
      </c>
      <c r="B160" s="468" t="s">
        <v>2440</v>
      </c>
      <c r="C160" s="973" t="s">
        <v>2441</v>
      </c>
      <c r="D160" s="467" t="s">
        <v>24</v>
      </c>
      <c r="E160" s="499" t="s">
        <v>26</v>
      </c>
    </row>
    <row r="161" spans="1:5" x14ac:dyDescent="0.2">
      <c r="A161" s="467">
        <v>158</v>
      </c>
      <c r="B161" s="11" t="s">
        <v>688</v>
      </c>
      <c r="C161" s="129">
        <v>1</v>
      </c>
      <c r="D161" s="467" t="s">
        <v>105</v>
      </c>
      <c r="E161" s="499" t="s">
        <v>106</v>
      </c>
    </row>
    <row r="162" spans="1:5" x14ac:dyDescent="0.2">
      <c r="A162" s="467">
        <v>159</v>
      </c>
      <c r="B162" s="35" t="s">
        <v>600</v>
      </c>
      <c r="C162" s="129">
        <v>2</v>
      </c>
      <c r="D162" s="467" t="s">
        <v>24</v>
      </c>
      <c r="E162" s="499" t="s">
        <v>26</v>
      </c>
    </row>
    <row r="163" spans="1:5" x14ac:dyDescent="0.2">
      <c r="A163" s="467">
        <v>159</v>
      </c>
      <c r="B163" s="35" t="s">
        <v>4275</v>
      </c>
      <c r="C163" s="129" t="s">
        <v>4276</v>
      </c>
      <c r="D163" s="467" t="s">
        <v>24</v>
      </c>
      <c r="E163" s="499" t="s">
        <v>26</v>
      </c>
    </row>
    <row r="164" spans="1:5" x14ac:dyDescent="0.2">
      <c r="A164" s="60"/>
      <c r="B164" s="60"/>
      <c r="C164" s="60"/>
      <c r="D164" s="60"/>
      <c r="E164" s="60"/>
    </row>
    <row r="165" spans="1:5" x14ac:dyDescent="0.2">
      <c r="A165" s="60"/>
      <c r="B165" s="60"/>
      <c r="C165" s="60"/>
      <c r="D165" s="60"/>
      <c r="E165" s="60"/>
    </row>
    <row r="166" spans="1:5" x14ac:dyDescent="0.2">
      <c r="A166" s="60"/>
      <c r="B166" s="60"/>
      <c r="C166" s="60"/>
      <c r="D166" s="60"/>
      <c r="E166" s="60"/>
    </row>
    <row r="167" spans="1:5" x14ac:dyDescent="0.2">
      <c r="A167" s="60"/>
      <c r="B167" s="60"/>
      <c r="C167" s="60"/>
      <c r="D167" s="60"/>
      <c r="E167" s="60"/>
    </row>
    <row r="168" spans="1:5" x14ac:dyDescent="0.2">
      <c r="A168" s="60"/>
      <c r="B168" s="60"/>
      <c r="C168" s="60"/>
      <c r="D168" s="60"/>
      <c r="E168" s="60"/>
    </row>
    <row r="169" spans="1:5" x14ac:dyDescent="0.2">
      <c r="A169" s="60"/>
      <c r="B169" s="60"/>
      <c r="C169" s="60"/>
      <c r="D169" s="60"/>
      <c r="E169" s="60"/>
    </row>
    <row r="170" spans="1:5" x14ac:dyDescent="0.2">
      <c r="A170" s="60"/>
      <c r="B170" s="60"/>
      <c r="C170" s="60"/>
      <c r="D170" s="60"/>
      <c r="E170" s="60"/>
    </row>
    <row r="171" spans="1:5" x14ac:dyDescent="0.2">
      <c r="A171" s="60"/>
      <c r="B171" s="60"/>
      <c r="C171" s="60"/>
      <c r="D171" s="60"/>
      <c r="E171" s="60"/>
    </row>
    <row r="172" spans="1:5" x14ac:dyDescent="0.2">
      <c r="A172" s="60"/>
      <c r="B172" s="60"/>
      <c r="C172" s="60"/>
      <c r="D172" s="60"/>
      <c r="E172" s="60"/>
    </row>
    <row r="173" spans="1:5" x14ac:dyDescent="0.2">
      <c r="A173" s="60"/>
      <c r="B173" s="60"/>
      <c r="C173" s="60"/>
      <c r="D173" s="60"/>
      <c r="E173" s="60"/>
    </row>
    <row r="174" spans="1:5" x14ac:dyDescent="0.2">
      <c r="A174" s="60"/>
      <c r="B174" s="60"/>
      <c r="C174" s="60"/>
      <c r="D174" s="60"/>
      <c r="E174" s="60"/>
    </row>
    <row r="175" spans="1:5" x14ac:dyDescent="0.2">
      <c r="A175" s="60"/>
      <c r="B175" s="60"/>
      <c r="C175" s="60"/>
      <c r="D175" s="60"/>
      <c r="E175" s="60"/>
    </row>
    <row r="176" spans="1:5" x14ac:dyDescent="0.2">
      <c r="A176" s="60"/>
      <c r="B176" s="60"/>
      <c r="C176" s="60"/>
      <c r="D176" s="60"/>
      <c r="E176" s="60"/>
    </row>
    <row r="177" spans="1:5" x14ac:dyDescent="0.2">
      <c r="A177" s="60"/>
      <c r="B177" s="60"/>
      <c r="C177" s="60"/>
      <c r="D177" s="60"/>
      <c r="E177" s="60"/>
    </row>
  </sheetData>
  <mergeCells count="6">
    <mergeCell ref="A1:E1"/>
    <mergeCell ref="A2:A3"/>
    <mergeCell ref="B2:B3"/>
    <mergeCell ref="C2:C3"/>
    <mergeCell ref="D2:D3"/>
    <mergeCell ref="E2:E3"/>
  </mergeCells>
  <conditionalFormatting sqref="B1:C3 B166:C1048576">
    <cfRule type="duplicateValues" dxfId="151" priority="131"/>
  </conditionalFormatting>
  <conditionalFormatting sqref="B92:B103 B4:B90 B115:B131 B105:B111">
    <cfRule type="duplicateValues" dxfId="150" priority="113"/>
  </conditionalFormatting>
  <conditionalFormatting sqref="C4">
    <cfRule type="duplicateValues" dxfId="149" priority="112"/>
  </conditionalFormatting>
  <conditionalFormatting sqref="C111">
    <cfRule type="duplicateValues" dxfId="148" priority="111"/>
  </conditionalFormatting>
  <conditionalFormatting sqref="C115">
    <cfRule type="duplicateValues" dxfId="147" priority="110"/>
  </conditionalFormatting>
  <conditionalFormatting sqref="C116">
    <cfRule type="duplicateValues" dxfId="146" priority="109"/>
  </conditionalFormatting>
  <conditionalFormatting sqref="C117">
    <cfRule type="duplicateValues" dxfId="145" priority="108"/>
  </conditionalFormatting>
  <conditionalFormatting sqref="C118">
    <cfRule type="duplicateValues" dxfId="144" priority="107"/>
  </conditionalFormatting>
  <conditionalFormatting sqref="C119:C122">
    <cfRule type="duplicateValues" dxfId="143" priority="106"/>
  </conditionalFormatting>
  <conditionalFormatting sqref="C115:C122 C4:C103 C105:C111">
    <cfRule type="duplicateValues" dxfId="142" priority="105"/>
  </conditionalFormatting>
  <conditionalFormatting sqref="C88:C103 C115:C122 C105:C111">
    <cfRule type="duplicateValues" dxfId="141" priority="104"/>
  </conditionalFormatting>
  <conditionalFormatting sqref="C88:C103 C105:C111">
    <cfRule type="duplicateValues" dxfId="140" priority="103"/>
  </conditionalFormatting>
  <conditionalFormatting sqref="C115:C121 C4:C103 C105:C111">
    <cfRule type="duplicateValues" dxfId="139" priority="102"/>
  </conditionalFormatting>
  <conditionalFormatting sqref="C123">
    <cfRule type="duplicateValues" dxfId="138" priority="101"/>
  </conditionalFormatting>
  <conditionalFormatting sqref="C123">
    <cfRule type="duplicateValues" dxfId="137" priority="100"/>
  </conditionalFormatting>
  <conditionalFormatting sqref="C124">
    <cfRule type="duplicateValues" dxfId="136" priority="99"/>
  </conditionalFormatting>
  <conditionalFormatting sqref="C124">
    <cfRule type="duplicateValues" dxfId="135" priority="98"/>
  </conditionalFormatting>
  <conditionalFormatting sqref="C125">
    <cfRule type="duplicateValues" dxfId="134" priority="97"/>
  </conditionalFormatting>
  <conditionalFormatting sqref="C125">
    <cfRule type="duplicateValues" dxfId="133" priority="96"/>
  </conditionalFormatting>
  <conditionalFormatting sqref="C126">
    <cfRule type="duplicateValues" dxfId="132" priority="95"/>
  </conditionalFormatting>
  <conditionalFormatting sqref="C126">
    <cfRule type="duplicateValues" dxfId="131" priority="94"/>
  </conditionalFormatting>
  <conditionalFormatting sqref="C127">
    <cfRule type="duplicateValues" dxfId="130" priority="93"/>
  </conditionalFormatting>
  <conditionalFormatting sqref="C127">
    <cfRule type="duplicateValues" dxfId="129" priority="92"/>
  </conditionalFormatting>
  <conditionalFormatting sqref="C128">
    <cfRule type="duplicateValues" dxfId="128" priority="91"/>
  </conditionalFormatting>
  <conditionalFormatting sqref="C128">
    <cfRule type="duplicateValues" dxfId="127" priority="90"/>
  </conditionalFormatting>
  <conditionalFormatting sqref="C129">
    <cfRule type="duplicateValues" dxfId="126" priority="89"/>
  </conditionalFormatting>
  <conditionalFormatting sqref="C129">
    <cfRule type="duplicateValues" dxfId="125" priority="88"/>
  </conditionalFormatting>
  <conditionalFormatting sqref="C130">
    <cfRule type="duplicateValues" dxfId="124" priority="87"/>
  </conditionalFormatting>
  <conditionalFormatting sqref="C130">
    <cfRule type="duplicateValues" dxfId="123" priority="86"/>
  </conditionalFormatting>
  <conditionalFormatting sqref="C131">
    <cfRule type="duplicateValues" dxfId="122" priority="85"/>
  </conditionalFormatting>
  <conditionalFormatting sqref="C131">
    <cfRule type="duplicateValues" dxfId="121" priority="84"/>
  </conditionalFormatting>
  <conditionalFormatting sqref="C115:C131 C4:C103 C105:C111">
    <cfRule type="duplicateValues" dxfId="120" priority="83"/>
  </conditionalFormatting>
  <conditionalFormatting sqref="B112:B114">
    <cfRule type="duplicateValues" dxfId="119" priority="82"/>
  </conditionalFormatting>
  <conditionalFormatting sqref="C112:C114">
    <cfRule type="duplicateValues" dxfId="118" priority="81"/>
  </conditionalFormatting>
  <conditionalFormatting sqref="C112:C114">
    <cfRule type="duplicateValues" dxfId="117" priority="80"/>
  </conditionalFormatting>
  <conditionalFormatting sqref="C112:C114">
    <cfRule type="duplicateValues" dxfId="116" priority="79"/>
  </conditionalFormatting>
  <conditionalFormatting sqref="C112:C114">
    <cfRule type="duplicateValues" dxfId="115" priority="78"/>
  </conditionalFormatting>
  <conditionalFormatting sqref="C112:C114">
    <cfRule type="duplicateValues" dxfId="114" priority="77"/>
  </conditionalFormatting>
  <conditionalFormatting sqref="C112:C114">
    <cfRule type="duplicateValues" dxfId="113" priority="76"/>
  </conditionalFormatting>
  <conditionalFormatting sqref="C112:C114">
    <cfRule type="duplicateValues" dxfId="112" priority="75"/>
  </conditionalFormatting>
  <conditionalFormatting sqref="B136">
    <cfRule type="duplicateValues" dxfId="111" priority="74"/>
  </conditionalFormatting>
  <conditionalFormatting sqref="C136">
    <cfRule type="duplicateValues" dxfId="110" priority="73"/>
  </conditionalFormatting>
  <conditionalFormatting sqref="C136">
    <cfRule type="duplicateValues" dxfId="109" priority="72"/>
  </conditionalFormatting>
  <conditionalFormatting sqref="C136">
    <cfRule type="duplicateValues" dxfId="108" priority="71"/>
  </conditionalFormatting>
  <conditionalFormatting sqref="C136">
    <cfRule type="duplicateValues" dxfId="107" priority="70"/>
  </conditionalFormatting>
  <conditionalFormatting sqref="C136">
    <cfRule type="duplicateValues" dxfId="106" priority="69"/>
  </conditionalFormatting>
  <conditionalFormatting sqref="C136">
    <cfRule type="duplicateValues" dxfId="105" priority="68"/>
  </conditionalFormatting>
  <conditionalFormatting sqref="C136">
    <cfRule type="duplicateValues" dxfId="104" priority="67"/>
  </conditionalFormatting>
  <conditionalFormatting sqref="B137">
    <cfRule type="duplicateValues" dxfId="103" priority="66"/>
  </conditionalFormatting>
  <conditionalFormatting sqref="C137">
    <cfRule type="duplicateValues" dxfId="102" priority="65"/>
  </conditionalFormatting>
  <conditionalFormatting sqref="C137">
    <cfRule type="duplicateValues" dxfId="101" priority="64"/>
  </conditionalFormatting>
  <conditionalFormatting sqref="C137">
    <cfRule type="duplicateValues" dxfId="100" priority="63"/>
  </conditionalFormatting>
  <conditionalFormatting sqref="C137">
    <cfRule type="duplicateValues" dxfId="99" priority="62"/>
  </conditionalFormatting>
  <conditionalFormatting sqref="C137">
    <cfRule type="duplicateValues" dxfId="98" priority="61"/>
  </conditionalFormatting>
  <conditionalFormatting sqref="C137">
    <cfRule type="duplicateValues" dxfId="97" priority="60"/>
  </conditionalFormatting>
  <conditionalFormatting sqref="C137">
    <cfRule type="duplicateValues" dxfId="96" priority="59"/>
  </conditionalFormatting>
  <conditionalFormatting sqref="B138">
    <cfRule type="duplicateValues" dxfId="95" priority="58"/>
  </conditionalFormatting>
  <conditionalFormatting sqref="B139">
    <cfRule type="duplicateValues" dxfId="94" priority="57"/>
  </conditionalFormatting>
  <conditionalFormatting sqref="B142">
    <cfRule type="duplicateValues" dxfId="93" priority="56"/>
  </conditionalFormatting>
  <conditionalFormatting sqref="C142">
    <cfRule type="duplicateValues" dxfId="92" priority="55"/>
  </conditionalFormatting>
  <conditionalFormatting sqref="C142">
    <cfRule type="duplicateValues" dxfId="91" priority="54"/>
  </conditionalFormatting>
  <conditionalFormatting sqref="C142">
    <cfRule type="duplicateValues" dxfId="90" priority="53"/>
  </conditionalFormatting>
  <conditionalFormatting sqref="C142">
    <cfRule type="duplicateValues" dxfId="89" priority="52"/>
  </conditionalFormatting>
  <conditionalFormatting sqref="C142">
    <cfRule type="duplicateValues" dxfId="88" priority="51"/>
  </conditionalFormatting>
  <conditionalFormatting sqref="C142">
    <cfRule type="duplicateValues" dxfId="87" priority="50"/>
  </conditionalFormatting>
  <conditionalFormatting sqref="C142">
    <cfRule type="duplicateValues" dxfId="86" priority="49"/>
  </conditionalFormatting>
  <conditionalFormatting sqref="B145">
    <cfRule type="duplicateValues" dxfId="85" priority="48"/>
  </conditionalFormatting>
  <conditionalFormatting sqref="C145:C146">
    <cfRule type="duplicateValues" dxfId="84" priority="47"/>
  </conditionalFormatting>
  <conditionalFormatting sqref="C145:C146">
    <cfRule type="duplicateValues" dxfId="83" priority="46"/>
  </conditionalFormatting>
  <conditionalFormatting sqref="C145:C146">
    <cfRule type="duplicateValues" dxfId="82" priority="45"/>
  </conditionalFormatting>
  <conditionalFormatting sqref="C145:C146">
    <cfRule type="duplicateValues" dxfId="81" priority="44"/>
  </conditionalFormatting>
  <conditionalFormatting sqref="C145:C146">
    <cfRule type="duplicateValues" dxfId="80" priority="43"/>
  </conditionalFormatting>
  <conditionalFormatting sqref="C145:C146">
    <cfRule type="duplicateValues" dxfId="79" priority="42"/>
  </conditionalFormatting>
  <conditionalFormatting sqref="C145:C146">
    <cfRule type="duplicateValues" dxfId="78" priority="41"/>
  </conditionalFormatting>
  <conditionalFormatting sqref="B149:B152">
    <cfRule type="duplicateValues" dxfId="77" priority="40"/>
  </conditionalFormatting>
  <conditionalFormatting sqref="B153">
    <cfRule type="duplicateValues" dxfId="76" priority="39"/>
  </conditionalFormatting>
  <conditionalFormatting sqref="C153">
    <cfRule type="duplicateValues" dxfId="75" priority="38"/>
  </conditionalFormatting>
  <conditionalFormatting sqref="C153">
    <cfRule type="duplicateValues" dxfId="74" priority="37"/>
  </conditionalFormatting>
  <conditionalFormatting sqref="C153">
    <cfRule type="duplicateValues" dxfId="73" priority="36"/>
  </conditionalFormatting>
  <conditionalFormatting sqref="B154">
    <cfRule type="duplicateValues" dxfId="72" priority="35"/>
  </conditionalFormatting>
  <conditionalFormatting sqref="C154">
    <cfRule type="duplicateValues" dxfId="71" priority="34"/>
  </conditionalFormatting>
  <conditionalFormatting sqref="C154">
    <cfRule type="duplicateValues" dxfId="70" priority="33"/>
  </conditionalFormatting>
  <conditionalFormatting sqref="C154">
    <cfRule type="duplicateValues" dxfId="69" priority="32"/>
  </conditionalFormatting>
  <conditionalFormatting sqref="B155">
    <cfRule type="duplicateValues" dxfId="68" priority="31"/>
  </conditionalFormatting>
  <conditionalFormatting sqref="C155">
    <cfRule type="duplicateValues" dxfId="67" priority="30"/>
  </conditionalFormatting>
  <conditionalFormatting sqref="C155">
    <cfRule type="duplicateValues" dxfId="66" priority="29"/>
  </conditionalFormatting>
  <conditionalFormatting sqref="C155">
    <cfRule type="duplicateValues" dxfId="65" priority="28"/>
  </conditionalFormatting>
  <conditionalFormatting sqref="B156">
    <cfRule type="duplicateValues" dxfId="64" priority="27"/>
  </conditionalFormatting>
  <conditionalFormatting sqref="C156">
    <cfRule type="duplicateValues" dxfId="63" priority="26"/>
  </conditionalFormatting>
  <conditionalFormatting sqref="C156">
    <cfRule type="duplicateValues" dxfId="62" priority="25"/>
  </conditionalFormatting>
  <conditionalFormatting sqref="C156">
    <cfRule type="duplicateValues" dxfId="61" priority="24"/>
  </conditionalFormatting>
  <conditionalFormatting sqref="B157">
    <cfRule type="duplicateValues" dxfId="60" priority="23"/>
  </conditionalFormatting>
  <conditionalFormatting sqref="C157">
    <cfRule type="duplicateValues" dxfId="59" priority="22"/>
  </conditionalFormatting>
  <conditionalFormatting sqref="C157">
    <cfRule type="duplicateValues" dxfId="58" priority="21"/>
  </conditionalFormatting>
  <conditionalFormatting sqref="C157">
    <cfRule type="duplicateValues" dxfId="57" priority="20"/>
  </conditionalFormatting>
  <conditionalFormatting sqref="B164:C165 B4:C157 C161:C162">
    <cfRule type="duplicateValues" dxfId="56" priority="19"/>
  </conditionalFormatting>
  <conditionalFormatting sqref="B104">
    <cfRule type="duplicateValues" dxfId="55" priority="114"/>
  </conditionalFormatting>
  <conditionalFormatting sqref="B158">
    <cfRule type="duplicateValues" dxfId="54" priority="18"/>
  </conditionalFormatting>
  <conditionalFormatting sqref="C158">
    <cfRule type="duplicateValues" dxfId="53" priority="17"/>
  </conditionalFormatting>
  <conditionalFormatting sqref="C158">
    <cfRule type="duplicateValues" dxfId="52" priority="16"/>
  </conditionalFormatting>
  <conditionalFormatting sqref="C158">
    <cfRule type="duplicateValues" dxfId="51" priority="15"/>
  </conditionalFormatting>
  <conditionalFormatting sqref="B158:C158">
    <cfRule type="duplicateValues" dxfId="50" priority="14"/>
  </conditionalFormatting>
  <conditionalFormatting sqref="B159">
    <cfRule type="duplicateValues" dxfId="49" priority="13"/>
  </conditionalFormatting>
  <conditionalFormatting sqref="C159">
    <cfRule type="duplicateValues" dxfId="48" priority="12"/>
  </conditionalFormatting>
  <conditionalFormatting sqref="C159">
    <cfRule type="duplicateValues" dxfId="47" priority="11"/>
  </conditionalFormatting>
  <conditionalFormatting sqref="C159">
    <cfRule type="duplicateValues" dxfId="46" priority="10"/>
  </conditionalFormatting>
  <conditionalFormatting sqref="B159:C159">
    <cfRule type="duplicateValues" dxfId="45" priority="9"/>
  </conditionalFormatting>
  <conditionalFormatting sqref="B160">
    <cfRule type="duplicateValues" dxfId="44" priority="8"/>
  </conditionalFormatting>
  <conditionalFormatting sqref="C160">
    <cfRule type="duplicateValues" dxfId="43" priority="7"/>
  </conditionalFormatting>
  <conditionalFormatting sqref="C160">
    <cfRule type="duplicateValues" dxfId="42" priority="6"/>
  </conditionalFormatting>
  <conditionalFormatting sqref="C160">
    <cfRule type="duplicateValues" dxfId="41" priority="5"/>
  </conditionalFormatting>
  <conditionalFormatting sqref="B160:C160">
    <cfRule type="duplicateValues" dxfId="40" priority="4"/>
  </conditionalFormatting>
  <conditionalFormatting sqref="B4:B162">
    <cfRule type="duplicateValues" dxfId="39" priority="3"/>
  </conditionalFormatting>
  <conditionalFormatting sqref="C163">
    <cfRule type="duplicateValues" dxfId="38" priority="2"/>
  </conditionalFormatting>
  <conditionalFormatting sqref="B163">
    <cfRule type="duplicateValues" dxfId="37" priority="1"/>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'[1]MASTER SALE PARTY &amp; HSN '!#REF!</xm:f>
          </x14:formula1>
          <xm:sqref>B146</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0"/>
  <sheetViews>
    <sheetView workbookViewId="0">
      <selection sqref="A1:E1"/>
    </sheetView>
  </sheetViews>
  <sheetFormatPr defaultRowHeight="10.199999999999999" x14ac:dyDescent="0.2"/>
  <cols>
    <col min="1" max="1" width="12.109375" style="11" bestFit="1" customWidth="1"/>
    <col min="2" max="2" width="55.88671875" style="11" bestFit="1" customWidth="1"/>
    <col min="3" max="3" width="8.88671875" style="11"/>
    <col min="4" max="4" width="7.6640625" style="11" bestFit="1" customWidth="1"/>
    <col min="5" max="5" width="9" style="11" bestFit="1" customWidth="1"/>
    <col min="6" max="16384" width="8.88671875" style="11"/>
  </cols>
  <sheetData>
    <row r="1" spans="1:5" ht="11.4" thickTop="1" thickBot="1" x14ac:dyDescent="0.25">
      <c r="A1" s="1487" t="s">
        <v>1176</v>
      </c>
      <c r="B1" s="1488"/>
      <c r="C1" s="1488"/>
      <c r="D1" s="1488"/>
      <c r="E1" s="1489"/>
    </row>
    <row r="2" spans="1:5" ht="21.6" thickTop="1" thickBot="1" x14ac:dyDescent="0.25">
      <c r="A2" s="545" t="s">
        <v>9</v>
      </c>
      <c r="B2" s="546" t="s">
        <v>264</v>
      </c>
      <c r="C2" s="13" t="s">
        <v>265</v>
      </c>
      <c r="D2" s="546" t="s">
        <v>14</v>
      </c>
      <c r="E2" s="547" t="s">
        <v>10</v>
      </c>
    </row>
    <row r="3" spans="1:5" ht="11.4" thickTop="1" thickBot="1" x14ac:dyDescent="0.25">
      <c r="A3" s="548"/>
      <c r="B3" s="549"/>
      <c r="C3" s="550"/>
      <c r="D3" s="550"/>
      <c r="E3" s="548"/>
    </row>
    <row r="4" spans="1:5" ht="10.8" thickTop="1" x14ac:dyDescent="0.2">
      <c r="A4" s="509">
        <v>2501</v>
      </c>
      <c r="B4" s="467" t="s">
        <v>1177</v>
      </c>
      <c r="C4" s="562" t="s">
        <v>1178</v>
      </c>
      <c r="D4" s="500" t="s">
        <v>269</v>
      </c>
      <c r="E4" s="563">
        <v>18</v>
      </c>
    </row>
    <row r="5" spans="1:5" x14ac:dyDescent="0.2">
      <c r="A5" s="509" t="s">
        <v>4277</v>
      </c>
      <c r="B5" s="467" t="s">
        <v>4278</v>
      </c>
      <c r="C5" s="562" t="s">
        <v>1178</v>
      </c>
      <c r="D5" s="500" t="s">
        <v>269</v>
      </c>
      <c r="E5" s="563">
        <v>0</v>
      </c>
    </row>
    <row r="6" spans="1:5" x14ac:dyDescent="0.2">
      <c r="A6" s="511">
        <v>2508</v>
      </c>
      <c r="B6" s="467" t="s">
        <v>1179</v>
      </c>
      <c r="C6" s="562" t="s">
        <v>1178</v>
      </c>
      <c r="D6" s="500" t="s">
        <v>269</v>
      </c>
      <c r="E6" s="563">
        <v>5</v>
      </c>
    </row>
    <row r="7" spans="1:5" x14ac:dyDescent="0.2">
      <c r="A7" s="511">
        <v>2509</v>
      </c>
      <c r="B7" s="467" t="s">
        <v>1180</v>
      </c>
      <c r="C7" s="562" t="s">
        <v>1178</v>
      </c>
      <c r="D7" s="500" t="s">
        <v>269</v>
      </c>
      <c r="E7" s="563">
        <v>5</v>
      </c>
    </row>
    <row r="8" spans="1:5" x14ac:dyDescent="0.2">
      <c r="A8" s="511">
        <v>2520</v>
      </c>
      <c r="B8" s="467" t="s">
        <v>1181</v>
      </c>
      <c r="C8" s="562" t="s">
        <v>1182</v>
      </c>
      <c r="D8" s="500" t="s">
        <v>269</v>
      </c>
      <c r="E8" s="563">
        <v>5</v>
      </c>
    </row>
    <row r="9" spans="1:5" x14ac:dyDescent="0.2">
      <c r="A9" s="511">
        <v>2523</v>
      </c>
      <c r="B9" s="467" t="s">
        <v>1183</v>
      </c>
      <c r="C9" s="562" t="s">
        <v>1182</v>
      </c>
      <c r="D9" s="500" t="s">
        <v>269</v>
      </c>
      <c r="E9" s="563">
        <v>28</v>
      </c>
    </row>
    <row r="10" spans="1:5" x14ac:dyDescent="0.2">
      <c r="A10" s="511">
        <v>2710</v>
      </c>
      <c r="B10" s="467" t="s">
        <v>1184</v>
      </c>
      <c r="C10" s="562" t="s">
        <v>1185</v>
      </c>
      <c r="D10" s="500" t="s">
        <v>269</v>
      </c>
      <c r="E10" s="563">
        <v>18</v>
      </c>
    </row>
    <row r="11" spans="1:5" x14ac:dyDescent="0.2">
      <c r="A11" s="511">
        <v>3208</v>
      </c>
      <c r="B11" s="467" t="s">
        <v>1186</v>
      </c>
      <c r="C11" s="562" t="s">
        <v>1178</v>
      </c>
      <c r="D11" s="500" t="s">
        <v>269</v>
      </c>
      <c r="E11" s="563">
        <v>18</v>
      </c>
    </row>
    <row r="12" spans="1:5" x14ac:dyDescent="0.2">
      <c r="A12" s="511">
        <v>3209</v>
      </c>
      <c r="B12" s="467" t="s">
        <v>1187</v>
      </c>
      <c r="C12" s="562" t="s">
        <v>1185</v>
      </c>
      <c r="D12" s="500" t="s">
        <v>269</v>
      </c>
      <c r="E12" s="563">
        <v>18</v>
      </c>
    </row>
    <row r="13" spans="1:5" x14ac:dyDescent="0.2">
      <c r="A13" s="511">
        <v>3213</v>
      </c>
      <c r="B13" s="467" t="s">
        <v>1187</v>
      </c>
      <c r="C13" s="562" t="s">
        <v>1178</v>
      </c>
      <c r="D13" s="500" t="s">
        <v>269</v>
      </c>
      <c r="E13" s="563">
        <v>18</v>
      </c>
    </row>
    <row r="14" spans="1:5" x14ac:dyDescent="0.2">
      <c r="A14" s="511">
        <v>3214</v>
      </c>
      <c r="B14" s="467" t="s">
        <v>1188</v>
      </c>
      <c r="C14" s="562" t="s">
        <v>1178</v>
      </c>
      <c r="D14" s="500" t="s">
        <v>269</v>
      </c>
      <c r="E14" s="563">
        <v>28</v>
      </c>
    </row>
    <row r="15" spans="1:5" x14ac:dyDescent="0.2">
      <c r="A15" s="511" t="s">
        <v>4279</v>
      </c>
      <c r="B15" s="467" t="s">
        <v>1188</v>
      </c>
      <c r="C15" s="562" t="s">
        <v>1178</v>
      </c>
      <c r="D15" s="500" t="s">
        <v>269</v>
      </c>
      <c r="E15" s="563">
        <v>18</v>
      </c>
    </row>
    <row r="16" spans="1:5" x14ac:dyDescent="0.2">
      <c r="A16" s="511">
        <v>3403</v>
      </c>
      <c r="B16" s="467" t="s">
        <v>1189</v>
      </c>
      <c r="C16" s="562" t="s">
        <v>1178</v>
      </c>
      <c r="D16" s="500" t="s">
        <v>269</v>
      </c>
      <c r="E16" s="563">
        <v>28</v>
      </c>
    </row>
    <row r="17" spans="1:5" x14ac:dyDescent="0.2">
      <c r="A17" s="511">
        <v>3405</v>
      </c>
      <c r="B17" s="467" t="s">
        <v>1190</v>
      </c>
      <c r="C17" s="562" t="s">
        <v>1178</v>
      </c>
      <c r="D17" s="500" t="s">
        <v>269</v>
      </c>
      <c r="E17" s="563">
        <v>18</v>
      </c>
    </row>
    <row r="18" spans="1:5" x14ac:dyDescent="0.2">
      <c r="A18" s="515">
        <v>3506</v>
      </c>
      <c r="B18" s="500" t="s">
        <v>1354</v>
      </c>
      <c r="C18" s="562" t="s">
        <v>1178</v>
      </c>
      <c r="D18" s="500" t="s">
        <v>269</v>
      </c>
      <c r="E18" s="563">
        <v>18</v>
      </c>
    </row>
    <row r="19" spans="1:5" x14ac:dyDescent="0.2">
      <c r="A19" s="511">
        <v>3808</v>
      </c>
      <c r="B19" s="467" t="s">
        <v>1192</v>
      </c>
      <c r="C19" s="562" t="s">
        <v>1178</v>
      </c>
      <c r="D19" s="500" t="s">
        <v>269</v>
      </c>
      <c r="E19" s="563">
        <v>18</v>
      </c>
    </row>
    <row r="20" spans="1:5" x14ac:dyDescent="0.2">
      <c r="A20" s="511">
        <v>3813</v>
      </c>
      <c r="B20" s="467" t="s">
        <v>1193</v>
      </c>
      <c r="C20" s="562" t="s">
        <v>1178</v>
      </c>
      <c r="D20" s="500" t="s">
        <v>269</v>
      </c>
      <c r="E20" s="563">
        <v>18</v>
      </c>
    </row>
    <row r="21" spans="1:5" x14ac:dyDescent="0.2">
      <c r="A21" s="511">
        <v>3814</v>
      </c>
      <c r="B21" s="467" t="s">
        <v>1186</v>
      </c>
      <c r="C21" s="562" t="s">
        <v>1178</v>
      </c>
      <c r="D21" s="500" t="s">
        <v>269</v>
      </c>
      <c r="E21" s="563">
        <v>28</v>
      </c>
    </row>
    <row r="22" spans="1:5" x14ac:dyDescent="0.2">
      <c r="A22" s="509">
        <v>3820</v>
      </c>
      <c r="B22" s="467" t="s">
        <v>1194</v>
      </c>
      <c r="C22" s="562" t="s">
        <v>1178</v>
      </c>
      <c r="D22" s="500" t="s">
        <v>269</v>
      </c>
      <c r="E22" s="563">
        <v>28</v>
      </c>
    </row>
    <row r="23" spans="1:5" x14ac:dyDescent="0.2">
      <c r="A23" s="511">
        <v>3824</v>
      </c>
      <c r="B23" s="513" t="s">
        <v>1195</v>
      </c>
      <c r="C23" s="562" t="s">
        <v>1178</v>
      </c>
      <c r="D23" s="500" t="s">
        <v>269</v>
      </c>
      <c r="E23" s="563">
        <v>18</v>
      </c>
    </row>
    <row r="24" spans="1:5" x14ac:dyDescent="0.2">
      <c r="A24" s="511">
        <v>3907</v>
      </c>
      <c r="B24" s="467" t="s">
        <v>273</v>
      </c>
      <c r="C24" s="562" t="s">
        <v>1178</v>
      </c>
      <c r="D24" s="500" t="s">
        <v>269</v>
      </c>
      <c r="E24" s="563">
        <v>18</v>
      </c>
    </row>
    <row r="25" spans="1:5" x14ac:dyDescent="0.2">
      <c r="A25" s="511">
        <v>3917</v>
      </c>
      <c r="B25" s="467" t="s">
        <v>1196</v>
      </c>
      <c r="C25" s="562" t="s">
        <v>1178</v>
      </c>
      <c r="D25" s="500" t="s">
        <v>269</v>
      </c>
      <c r="E25" s="563">
        <v>18</v>
      </c>
    </row>
    <row r="26" spans="1:5" x14ac:dyDescent="0.2">
      <c r="A26" s="511">
        <v>3919</v>
      </c>
      <c r="B26" s="467" t="s">
        <v>1197</v>
      </c>
      <c r="C26" s="562" t="s">
        <v>1178</v>
      </c>
      <c r="D26" s="500" t="s">
        <v>269</v>
      </c>
      <c r="E26" s="563">
        <v>18</v>
      </c>
    </row>
    <row r="27" spans="1:5" x14ac:dyDescent="0.2">
      <c r="A27" s="511">
        <v>3920</v>
      </c>
      <c r="B27" s="467" t="s">
        <v>1198</v>
      </c>
      <c r="C27" s="562" t="s">
        <v>1178</v>
      </c>
      <c r="D27" s="500" t="s">
        <v>269</v>
      </c>
      <c r="E27" s="563">
        <v>18</v>
      </c>
    </row>
    <row r="28" spans="1:5" x14ac:dyDescent="0.2">
      <c r="A28" s="511">
        <v>3923</v>
      </c>
      <c r="B28" s="467" t="s">
        <v>1304</v>
      </c>
      <c r="C28" s="562" t="s">
        <v>1178</v>
      </c>
      <c r="D28" s="500" t="s">
        <v>269</v>
      </c>
      <c r="E28" s="563">
        <v>18</v>
      </c>
    </row>
    <row r="29" spans="1:5" x14ac:dyDescent="0.2">
      <c r="A29" s="511">
        <v>3924</v>
      </c>
      <c r="B29" s="467" t="s">
        <v>1199</v>
      </c>
      <c r="C29" s="562" t="s">
        <v>1178</v>
      </c>
      <c r="D29" s="500" t="s">
        <v>269</v>
      </c>
      <c r="E29" s="563">
        <v>18</v>
      </c>
    </row>
    <row r="30" spans="1:5" x14ac:dyDescent="0.2">
      <c r="A30" s="511">
        <v>3925</v>
      </c>
      <c r="B30" s="467" t="s">
        <v>1200</v>
      </c>
      <c r="C30" s="562" t="s">
        <v>1178</v>
      </c>
      <c r="D30" s="500" t="s">
        <v>269</v>
      </c>
      <c r="E30" s="563">
        <v>18</v>
      </c>
    </row>
    <row r="31" spans="1:5" x14ac:dyDescent="0.2">
      <c r="A31" s="511">
        <v>3926</v>
      </c>
      <c r="B31" s="467" t="s">
        <v>1201</v>
      </c>
      <c r="C31" s="562" t="s">
        <v>1178</v>
      </c>
      <c r="D31" s="500" t="s">
        <v>269</v>
      </c>
      <c r="E31" s="563">
        <v>18</v>
      </c>
    </row>
    <row r="32" spans="1:5" x14ac:dyDescent="0.2">
      <c r="A32" s="511">
        <v>4010</v>
      </c>
      <c r="B32" s="467" t="s">
        <v>1310</v>
      </c>
      <c r="C32" s="562" t="s">
        <v>1178</v>
      </c>
      <c r="D32" s="500" t="s">
        <v>269</v>
      </c>
      <c r="E32" s="563">
        <v>18</v>
      </c>
    </row>
    <row r="33" spans="1:5" x14ac:dyDescent="0.2">
      <c r="A33" s="511">
        <v>4016</v>
      </c>
      <c r="B33" s="500" t="s">
        <v>1243</v>
      </c>
      <c r="C33" s="562" t="s">
        <v>1178</v>
      </c>
      <c r="D33" s="500" t="s">
        <v>269</v>
      </c>
      <c r="E33" s="563">
        <v>18</v>
      </c>
    </row>
    <row r="34" spans="1:5" x14ac:dyDescent="0.2">
      <c r="A34" s="511">
        <v>4417</v>
      </c>
      <c r="B34" s="467" t="s">
        <v>1202</v>
      </c>
      <c r="C34" s="562" t="s">
        <v>1178</v>
      </c>
      <c r="D34" s="500" t="s">
        <v>269</v>
      </c>
      <c r="E34" s="563">
        <v>12</v>
      </c>
    </row>
    <row r="35" spans="1:5" x14ac:dyDescent="0.2">
      <c r="A35" s="511">
        <v>4402</v>
      </c>
      <c r="B35" s="467" t="s">
        <v>4280</v>
      </c>
      <c r="C35" s="562" t="s">
        <v>1178</v>
      </c>
      <c r="D35" s="500" t="s">
        <v>269</v>
      </c>
      <c r="E35" s="563">
        <v>0</v>
      </c>
    </row>
    <row r="36" spans="1:5" x14ac:dyDescent="0.2">
      <c r="A36" s="511">
        <v>4811</v>
      </c>
      <c r="B36" s="467" t="s">
        <v>1314</v>
      </c>
      <c r="C36" s="562" t="s">
        <v>1178</v>
      </c>
      <c r="D36" s="500" t="s">
        <v>269</v>
      </c>
      <c r="E36" s="563">
        <v>18</v>
      </c>
    </row>
    <row r="37" spans="1:5" x14ac:dyDescent="0.2">
      <c r="A37" s="511">
        <v>4820</v>
      </c>
      <c r="B37" s="467" t="s">
        <v>1203</v>
      </c>
      <c r="C37" s="562" t="s">
        <v>1178</v>
      </c>
      <c r="D37" s="500" t="s">
        <v>269</v>
      </c>
      <c r="E37" s="563">
        <v>18</v>
      </c>
    </row>
    <row r="38" spans="1:5" x14ac:dyDescent="0.2">
      <c r="A38" s="511">
        <v>4821</v>
      </c>
      <c r="B38" s="467" t="s">
        <v>4281</v>
      </c>
      <c r="C38" s="562" t="s">
        <v>1178</v>
      </c>
      <c r="D38" s="500" t="s">
        <v>269</v>
      </c>
      <c r="E38" s="563">
        <v>18</v>
      </c>
    </row>
    <row r="39" spans="1:5" x14ac:dyDescent="0.2">
      <c r="A39" s="511">
        <v>5407</v>
      </c>
      <c r="B39" s="467" t="s">
        <v>1204</v>
      </c>
      <c r="C39" s="562" t="s">
        <v>1205</v>
      </c>
      <c r="D39" s="500" t="s">
        <v>269</v>
      </c>
      <c r="E39" s="563">
        <v>5</v>
      </c>
    </row>
    <row r="40" spans="1:5" x14ac:dyDescent="0.2">
      <c r="A40" s="511">
        <v>6116</v>
      </c>
      <c r="B40" s="467" t="s">
        <v>1286</v>
      </c>
      <c r="C40" s="562" t="s">
        <v>1178</v>
      </c>
      <c r="D40" s="500" t="s">
        <v>269</v>
      </c>
      <c r="E40" s="563">
        <v>5</v>
      </c>
    </row>
    <row r="41" spans="1:5" x14ac:dyDescent="0.2">
      <c r="A41" s="499">
        <v>6403</v>
      </c>
      <c r="B41" s="499" t="s">
        <v>3350</v>
      </c>
      <c r="C41" s="562" t="s">
        <v>1178</v>
      </c>
      <c r="D41" s="500" t="s">
        <v>269</v>
      </c>
      <c r="E41" s="563">
        <v>5</v>
      </c>
    </row>
    <row r="42" spans="1:5" x14ac:dyDescent="0.2">
      <c r="A42" s="511">
        <v>6804</v>
      </c>
      <c r="B42" s="467" t="s">
        <v>1206</v>
      </c>
      <c r="C42" s="562" t="s">
        <v>1178</v>
      </c>
      <c r="D42" s="500" t="s">
        <v>269</v>
      </c>
      <c r="E42" s="563">
        <v>18</v>
      </c>
    </row>
    <row r="43" spans="1:5" x14ac:dyDescent="0.2">
      <c r="A43" s="511">
        <v>6805</v>
      </c>
      <c r="B43" s="467" t="s">
        <v>1207</v>
      </c>
      <c r="C43" s="562" t="s">
        <v>1178</v>
      </c>
      <c r="D43" s="500" t="s">
        <v>269</v>
      </c>
      <c r="E43" s="563">
        <v>18</v>
      </c>
    </row>
    <row r="44" spans="1:5" x14ac:dyDescent="0.2">
      <c r="A44" s="511">
        <v>6810</v>
      </c>
      <c r="B44" s="467" t="s">
        <v>1208</v>
      </c>
      <c r="C44" s="562" t="s">
        <v>1178</v>
      </c>
      <c r="D44" s="500" t="s">
        <v>269</v>
      </c>
      <c r="E44" s="563">
        <v>28</v>
      </c>
    </row>
    <row r="45" spans="1:5" x14ac:dyDescent="0.2">
      <c r="A45" s="511">
        <v>7210</v>
      </c>
      <c r="B45" s="467" t="s">
        <v>1209</v>
      </c>
      <c r="C45" s="562" t="s">
        <v>1178</v>
      </c>
      <c r="D45" s="500" t="s">
        <v>269</v>
      </c>
      <c r="E45" s="563">
        <v>18</v>
      </c>
    </row>
    <row r="46" spans="1:5" x14ac:dyDescent="0.2">
      <c r="A46" s="511">
        <v>7216</v>
      </c>
      <c r="B46" s="467" t="s">
        <v>4282</v>
      </c>
      <c r="C46" s="562" t="s">
        <v>1178</v>
      </c>
      <c r="D46" s="500" t="s">
        <v>269</v>
      </c>
      <c r="E46" s="563">
        <v>18</v>
      </c>
    </row>
    <row r="47" spans="1:5" x14ac:dyDescent="0.2">
      <c r="A47" s="511">
        <v>7301</v>
      </c>
      <c r="B47" s="467" t="s">
        <v>1324</v>
      </c>
      <c r="C47" s="562" t="s">
        <v>1178</v>
      </c>
      <c r="D47" s="500" t="s">
        <v>269</v>
      </c>
      <c r="E47" s="563">
        <v>18</v>
      </c>
    </row>
    <row r="48" spans="1:5" x14ac:dyDescent="0.2">
      <c r="A48" s="511">
        <v>7306</v>
      </c>
      <c r="B48" s="467" t="s">
        <v>4283</v>
      </c>
      <c r="C48" s="562" t="s">
        <v>1178</v>
      </c>
      <c r="D48" s="500" t="s">
        <v>269</v>
      </c>
      <c r="E48" s="563">
        <v>18</v>
      </c>
    </row>
    <row r="49" spans="1:5" x14ac:dyDescent="0.2">
      <c r="A49" s="509">
        <v>7307</v>
      </c>
      <c r="B49" s="467" t="s">
        <v>1210</v>
      </c>
      <c r="C49" s="562" t="s">
        <v>1178</v>
      </c>
      <c r="D49" s="500" t="s">
        <v>269</v>
      </c>
      <c r="E49" s="563">
        <v>18</v>
      </c>
    </row>
    <row r="50" spans="1:5" x14ac:dyDescent="0.2">
      <c r="A50" s="511">
        <v>7314</v>
      </c>
      <c r="B50" s="467" t="s">
        <v>1323</v>
      </c>
      <c r="C50" s="562" t="s">
        <v>1178</v>
      </c>
      <c r="D50" s="500" t="s">
        <v>269</v>
      </c>
      <c r="E50" s="563">
        <v>18</v>
      </c>
    </row>
    <row r="51" spans="1:5" x14ac:dyDescent="0.2">
      <c r="A51" s="509">
        <v>7317</v>
      </c>
      <c r="B51" s="467" t="s">
        <v>1210</v>
      </c>
      <c r="C51" s="562" t="s">
        <v>1178</v>
      </c>
      <c r="D51" s="500" t="s">
        <v>269</v>
      </c>
      <c r="E51" s="563">
        <v>18</v>
      </c>
    </row>
    <row r="52" spans="1:5" x14ac:dyDescent="0.2">
      <c r="A52" s="511">
        <v>7318</v>
      </c>
      <c r="B52" s="500" t="s">
        <v>1211</v>
      </c>
      <c r="C52" s="562" t="s">
        <v>1178</v>
      </c>
      <c r="D52" s="500" t="s">
        <v>269</v>
      </c>
      <c r="E52" s="563">
        <v>18</v>
      </c>
    </row>
    <row r="53" spans="1:5" x14ac:dyDescent="0.2">
      <c r="A53" s="511">
        <v>7324</v>
      </c>
      <c r="B53" s="467" t="s">
        <v>1210</v>
      </c>
      <c r="C53" s="562" t="s">
        <v>1178</v>
      </c>
      <c r="D53" s="500" t="s">
        <v>269</v>
      </c>
      <c r="E53" s="563">
        <v>18</v>
      </c>
    </row>
    <row r="54" spans="1:5" x14ac:dyDescent="0.2">
      <c r="A54" s="511">
        <v>7409</v>
      </c>
      <c r="B54" s="467" t="s">
        <v>1212</v>
      </c>
      <c r="C54" s="562" t="s">
        <v>1182</v>
      </c>
      <c r="D54" s="500" t="s">
        <v>269</v>
      </c>
      <c r="E54" s="563">
        <v>18</v>
      </c>
    </row>
    <row r="55" spans="1:5" x14ac:dyDescent="0.2">
      <c r="A55" s="511">
        <v>7411</v>
      </c>
      <c r="B55" s="467" t="s">
        <v>1322</v>
      </c>
      <c r="C55" s="562" t="s">
        <v>1178</v>
      </c>
      <c r="D55" s="500" t="s">
        <v>269</v>
      </c>
      <c r="E55" s="563">
        <v>18</v>
      </c>
    </row>
    <row r="56" spans="1:5" x14ac:dyDescent="0.2">
      <c r="A56" s="511">
        <v>7412</v>
      </c>
      <c r="B56" s="467" t="s">
        <v>1213</v>
      </c>
      <c r="C56" s="562" t="s">
        <v>1178</v>
      </c>
      <c r="D56" s="500" t="s">
        <v>269</v>
      </c>
      <c r="E56" s="563">
        <v>18</v>
      </c>
    </row>
    <row r="57" spans="1:5" x14ac:dyDescent="0.2">
      <c r="A57" s="511">
        <v>7616</v>
      </c>
      <c r="B57" s="467" t="s">
        <v>1214</v>
      </c>
      <c r="C57" s="562" t="s">
        <v>1178</v>
      </c>
      <c r="D57" s="500" t="s">
        <v>269</v>
      </c>
      <c r="E57" s="563">
        <v>18</v>
      </c>
    </row>
    <row r="58" spans="1:5" x14ac:dyDescent="0.2">
      <c r="A58" s="511">
        <v>8202</v>
      </c>
      <c r="B58" s="467" t="s">
        <v>1215</v>
      </c>
      <c r="C58" s="562" t="s">
        <v>1178</v>
      </c>
      <c r="D58" s="500" t="s">
        <v>269</v>
      </c>
      <c r="E58" s="563">
        <v>18</v>
      </c>
    </row>
    <row r="59" spans="1:5" x14ac:dyDescent="0.2">
      <c r="A59" s="511">
        <v>8203</v>
      </c>
      <c r="B59" s="467" t="s">
        <v>1216</v>
      </c>
      <c r="C59" s="562" t="s">
        <v>1178</v>
      </c>
      <c r="D59" s="500" t="s">
        <v>269</v>
      </c>
      <c r="E59" s="563">
        <v>18</v>
      </c>
    </row>
    <row r="60" spans="1:5" x14ac:dyDescent="0.2">
      <c r="A60" s="509">
        <v>8204</v>
      </c>
      <c r="B60" s="467" t="s">
        <v>1216</v>
      </c>
      <c r="C60" s="562" t="s">
        <v>1178</v>
      </c>
      <c r="D60" s="500" t="s">
        <v>269</v>
      </c>
      <c r="E60" s="563">
        <v>18</v>
      </c>
    </row>
    <row r="61" spans="1:5" x14ac:dyDescent="0.2">
      <c r="A61" s="511">
        <v>8205</v>
      </c>
      <c r="B61" s="467" t="s">
        <v>1217</v>
      </c>
      <c r="C61" s="562" t="s">
        <v>1178</v>
      </c>
      <c r="D61" s="500" t="s">
        <v>269</v>
      </c>
      <c r="E61" s="563">
        <v>18</v>
      </c>
    </row>
    <row r="62" spans="1:5" x14ac:dyDescent="0.2">
      <c r="A62" s="511">
        <v>8207</v>
      </c>
      <c r="B62" s="467" t="s">
        <v>1218</v>
      </c>
      <c r="C62" s="562" t="s">
        <v>1178</v>
      </c>
      <c r="D62" s="500" t="s">
        <v>269</v>
      </c>
      <c r="E62" s="563">
        <v>18</v>
      </c>
    </row>
    <row r="63" spans="1:5" x14ac:dyDescent="0.2">
      <c r="A63" s="511">
        <v>8211</v>
      </c>
      <c r="B63" s="467" t="s">
        <v>1219</v>
      </c>
      <c r="C63" s="562" t="s">
        <v>1178</v>
      </c>
      <c r="D63" s="500" t="s">
        <v>269</v>
      </c>
      <c r="E63" s="563">
        <v>18</v>
      </c>
    </row>
    <row r="64" spans="1:5" x14ac:dyDescent="0.2">
      <c r="A64" s="511">
        <v>8301</v>
      </c>
      <c r="B64" s="467" t="s">
        <v>1220</v>
      </c>
      <c r="C64" s="562" t="s">
        <v>1178</v>
      </c>
      <c r="D64" s="500" t="s">
        <v>269</v>
      </c>
      <c r="E64" s="563">
        <v>18</v>
      </c>
    </row>
    <row r="65" spans="1:5" x14ac:dyDescent="0.2">
      <c r="A65" s="511">
        <v>8302</v>
      </c>
      <c r="B65" s="467" t="s">
        <v>1220</v>
      </c>
      <c r="C65" s="562" t="s">
        <v>1221</v>
      </c>
      <c r="D65" s="500" t="s">
        <v>269</v>
      </c>
      <c r="E65" s="563">
        <v>18</v>
      </c>
    </row>
    <row r="66" spans="1:5" x14ac:dyDescent="0.2">
      <c r="A66" s="509">
        <v>8409</v>
      </c>
      <c r="B66" s="467" t="s">
        <v>1194</v>
      </c>
      <c r="C66" s="562" t="s">
        <v>1178</v>
      </c>
      <c r="D66" s="500" t="s">
        <v>269</v>
      </c>
      <c r="E66" s="563">
        <v>28</v>
      </c>
    </row>
    <row r="67" spans="1:5" x14ac:dyDescent="0.2">
      <c r="A67" s="511">
        <v>8414</v>
      </c>
      <c r="B67" s="467" t="s">
        <v>1222</v>
      </c>
      <c r="C67" s="562" t="s">
        <v>1178</v>
      </c>
      <c r="D67" s="500" t="s">
        <v>269</v>
      </c>
      <c r="E67" s="563">
        <v>18</v>
      </c>
    </row>
    <row r="68" spans="1:5" x14ac:dyDescent="0.2">
      <c r="A68" s="511">
        <v>8415</v>
      </c>
      <c r="B68" s="467" t="s">
        <v>1233</v>
      </c>
      <c r="C68" s="562" t="s">
        <v>1178</v>
      </c>
      <c r="D68" s="500" t="s">
        <v>269</v>
      </c>
      <c r="E68" s="563">
        <v>28</v>
      </c>
    </row>
    <row r="69" spans="1:5" x14ac:dyDescent="0.2">
      <c r="A69" s="511">
        <v>8416</v>
      </c>
      <c r="B69" s="467" t="s">
        <v>1333</v>
      </c>
      <c r="C69" s="562" t="s">
        <v>1178</v>
      </c>
      <c r="D69" s="500" t="s">
        <v>269</v>
      </c>
      <c r="E69" s="563">
        <v>18</v>
      </c>
    </row>
    <row r="70" spans="1:5" x14ac:dyDescent="0.2">
      <c r="A70" s="509">
        <v>8421</v>
      </c>
      <c r="B70" s="467" t="s">
        <v>1223</v>
      </c>
      <c r="C70" s="562" t="s">
        <v>1178</v>
      </c>
      <c r="D70" s="500" t="s">
        <v>269</v>
      </c>
      <c r="E70" s="563">
        <v>18</v>
      </c>
    </row>
    <row r="71" spans="1:5" x14ac:dyDescent="0.2">
      <c r="A71" s="511">
        <v>8424</v>
      </c>
      <c r="B71" s="467" t="s">
        <v>1325</v>
      </c>
      <c r="C71" s="562" t="s">
        <v>1178</v>
      </c>
      <c r="D71" s="500" t="s">
        <v>269</v>
      </c>
      <c r="E71" s="563">
        <v>18</v>
      </c>
    </row>
    <row r="72" spans="1:5" x14ac:dyDescent="0.2">
      <c r="A72" s="511">
        <v>8456</v>
      </c>
      <c r="B72" s="467" t="s">
        <v>4284</v>
      </c>
      <c r="C72" s="562" t="s">
        <v>1178</v>
      </c>
      <c r="D72" s="500" t="s">
        <v>269</v>
      </c>
      <c r="E72" s="563">
        <v>18</v>
      </c>
    </row>
    <row r="73" spans="1:5" x14ac:dyDescent="0.2">
      <c r="A73" s="511">
        <v>8428</v>
      </c>
      <c r="B73" s="467" t="s">
        <v>1325</v>
      </c>
      <c r="C73" s="562" t="s">
        <v>1178</v>
      </c>
      <c r="D73" s="500" t="s">
        <v>269</v>
      </c>
      <c r="E73" s="563">
        <v>18</v>
      </c>
    </row>
    <row r="74" spans="1:5" x14ac:dyDescent="0.2">
      <c r="A74" s="511">
        <v>8443</v>
      </c>
      <c r="B74" s="500" t="s">
        <v>1254</v>
      </c>
      <c r="C74" s="562" t="s">
        <v>1178</v>
      </c>
      <c r="D74" s="500" t="s">
        <v>269</v>
      </c>
      <c r="E74" s="563">
        <v>18</v>
      </c>
    </row>
    <row r="75" spans="1:5" x14ac:dyDescent="0.2">
      <c r="A75" s="511">
        <v>8467</v>
      </c>
      <c r="B75" s="500" t="s">
        <v>1224</v>
      </c>
      <c r="C75" s="562" t="s">
        <v>1178</v>
      </c>
      <c r="D75" s="500" t="s">
        <v>269</v>
      </c>
      <c r="E75" s="563">
        <v>18</v>
      </c>
    </row>
    <row r="76" spans="1:5" x14ac:dyDescent="0.2">
      <c r="A76" s="511">
        <v>8471</v>
      </c>
      <c r="B76" s="467" t="s">
        <v>1349</v>
      </c>
      <c r="C76" s="562" t="s">
        <v>1178</v>
      </c>
      <c r="D76" s="500" t="s">
        <v>269</v>
      </c>
      <c r="E76" s="563">
        <v>18</v>
      </c>
    </row>
    <row r="77" spans="1:5" x14ac:dyDescent="0.2">
      <c r="A77" s="511">
        <v>8481</v>
      </c>
      <c r="B77" s="500" t="s">
        <v>1224</v>
      </c>
      <c r="C77" s="562" t="s">
        <v>1178</v>
      </c>
      <c r="D77" s="500" t="s">
        <v>269</v>
      </c>
      <c r="E77" s="563">
        <v>18</v>
      </c>
    </row>
    <row r="78" spans="1:5" x14ac:dyDescent="0.2">
      <c r="A78" s="511">
        <v>8482</v>
      </c>
      <c r="B78" s="467" t="s">
        <v>1311</v>
      </c>
      <c r="C78" s="562" t="s">
        <v>1178</v>
      </c>
      <c r="D78" s="500" t="s">
        <v>269</v>
      </c>
      <c r="E78" s="563">
        <v>18</v>
      </c>
    </row>
    <row r="79" spans="1:5" x14ac:dyDescent="0.2">
      <c r="A79" s="511">
        <v>8487</v>
      </c>
      <c r="B79" s="467" t="s">
        <v>1225</v>
      </c>
      <c r="C79" s="562" t="s">
        <v>1178</v>
      </c>
      <c r="D79" s="500" t="s">
        <v>269</v>
      </c>
      <c r="E79" s="563">
        <v>18</v>
      </c>
    </row>
    <row r="80" spans="1:5" x14ac:dyDescent="0.2">
      <c r="A80" s="511">
        <v>8503</v>
      </c>
      <c r="B80" s="500" t="s">
        <v>1363</v>
      </c>
      <c r="C80" s="562" t="s">
        <v>1178</v>
      </c>
      <c r="D80" s="500" t="s">
        <v>269</v>
      </c>
      <c r="E80" s="563">
        <v>18</v>
      </c>
    </row>
    <row r="81" spans="1:5" x14ac:dyDescent="0.2">
      <c r="A81" s="511">
        <v>8504</v>
      </c>
      <c r="B81" s="467" t="s">
        <v>1226</v>
      </c>
      <c r="C81" s="562" t="s">
        <v>1178</v>
      </c>
      <c r="D81" s="500" t="s">
        <v>269</v>
      </c>
      <c r="E81" s="563">
        <v>18</v>
      </c>
    </row>
    <row r="82" spans="1:5" x14ac:dyDescent="0.2">
      <c r="A82" s="511">
        <v>8506</v>
      </c>
      <c r="B82" s="467" t="s">
        <v>1226</v>
      </c>
      <c r="C82" s="562" t="s">
        <v>1178</v>
      </c>
      <c r="D82" s="500" t="s">
        <v>269</v>
      </c>
      <c r="E82" s="563">
        <v>18</v>
      </c>
    </row>
    <row r="83" spans="1:5" x14ac:dyDescent="0.2">
      <c r="A83" s="511">
        <v>8515</v>
      </c>
      <c r="B83" s="467" t="s">
        <v>1227</v>
      </c>
      <c r="C83" s="562" t="s">
        <v>1178</v>
      </c>
      <c r="D83" s="500" t="s">
        <v>269</v>
      </c>
      <c r="E83" s="563">
        <v>18</v>
      </c>
    </row>
    <row r="84" spans="1:5" x14ac:dyDescent="0.2">
      <c r="A84" s="511">
        <v>8517</v>
      </c>
      <c r="B84" s="467" t="s">
        <v>1228</v>
      </c>
      <c r="C84" s="562" t="s">
        <v>1178</v>
      </c>
      <c r="D84" s="500" t="s">
        <v>269</v>
      </c>
      <c r="E84" s="563">
        <v>18</v>
      </c>
    </row>
    <row r="85" spans="1:5" x14ac:dyDescent="0.2">
      <c r="A85" s="511">
        <v>8530</v>
      </c>
      <c r="B85" s="467" t="s">
        <v>4285</v>
      </c>
      <c r="C85" s="562" t="s">
        <v>1178</v>
      </c>
      <c r="D85" s="500" t="s">
        <v>269</v>
      </c>
      <c r="E85" s="563">
        <v>18</v>
      </c>
    </row>
    <row r="86" spans="1:5" x14ac:dyDescent="0.2">
      <c r="A86" s="511">
        <v>8532</v>
      </c>
      <c r="B86" s="500" t="s">
        <v>1229</v>
      </c>
      <c r="C86" s="562" t="s">
        <v>1178</v>
      </c>
      <c r="D86" s="500" t="s">
        <v>269</v>
      </c>
      <c r="E86" s="563">
        <v>18</v>
      </c>
    </row>
    <row r="87" spans="1:5" x14ac:dyDescent="0.2">
      <c r="A87" s="511">
        <v>8535</v>
      </c>
      <c r="B87" s="467" t="s">
        <v>1230</v>
      </c>
      <c r="C87" s="562" t="s">
        <v>1178</v>
      </c>
      <c r="D87" s="500" t="s">
        <v>269</v>
      </c>
      <c r="E87" s="563">
        <v>18</v>
      </c>
    </row>
    <row r="88" spans="1:5" x14ac:dyDescent="0.2">
      <c r="A88" s="511">
        <v>8536</v>
      </c>
      <c r="B88" s="467" t="s">
        <v>1231</v>
      </c>
      <c r="C88" s="562" t="s">
        <v>1178</v>
      </c>
      <c r="D88" s="500" t="s">
        <v>269</v>
      </c>
      <c r="E88" s="563">
        <v>18</v>
      </c>
    </row>
    <row r="89" spans="1:5" x14ac:dyDescent="0.2">
      <c r="A89" s="511">
        <v>8537</v>
      </c>
      <c r="B89" s="467" t="s">
        <v>4286</v>
      </c>
      <c r="C89" s="562" t="s">
        <v>1178</v>
      </c>
      <c r="D89" s="500" t="s">
        <v>269</v>
      </c>
      <c r="E89" s="563">
        <v>18</v>
      </c>
    </row>
    <row r="90" spans="1:5" x14ac:dyDescent="0.2">
      <c r="A90" s="511">
        <v>8538</v>
      </c>
      <c r="B90" s="467" t="s">
        <v>1232</v>
      </c>
      <c r="C90" s="562" t="s">
        <v>1178</v>
      </c>
      <c r="D90" s="500" t="s">
        <v>269</v>
      </c>
      <c r="E90" s="563">
        <v>18</v>
      </c>
    </row>
    <row r="91" spans="1:5" x14ac:dyDescent="0.2">
      <c r="A91" s="511">
        <v>8539</v>
      </c>
      <c r="B91" s="467" t="s">
        <v>1233</v>
      </c>
      <c r="C91" s="562" t="s">
        <v>1178</v>
      </c>
      <c r="D91" s="500" t="s">
        <v>269</v>
      </c>
      <c r="E91" s="563">
        <v>28</v>
      </c>
    </row>
    <row r="92" spans="1:5" x14ac:dyDescent="0.2">
      <c r="A92" s="511" t="s">
        <v>637</v>
      </c>
      <c r="B92" s="467" t="s">
        <v>1233</v>
      </c>
      <c r="C92" s="562" t="s">
        <v>1178</v>
      </c>
      <c r="D92" s="500" t="s">
        <v>269</v>
      </c>
      <c r="E92" s="563">
        <v>18</v>
      </c>
    </row>
    <row r="93" spans="1:5" x14ac:dyDescent="0.2">
      <c r="A93" s="511">
        <v>8544</v>
      </c>
      <c r="B93" s="467" t="s">
        <v>1234</v>
      </c>
      <c r="C93" s="562" t="s">
        <v>1178</v>
      </c>
      <c r="D93" s="500" t="s">
        <v>269</v>
      </c>
      <c r="E93" s="563">
        <v>18</v>
      </c>
    </row>
    <row r="94" spans="1:5" x14ac:dyDescent="0.2">
      <c r="A94" s="511">
        <v>8546</v>
      </c>
      <c r="B94" s="467" t="s">
        <v>1235</v>
      </c>
      <c r="C94" s="562" t="s">
        <v>1178</v>
      </c>
      <c r="D94" s="500" t="s">
        <v>269</v>
      </c>
      <c r="E94" s="563">
        <v>18</v>
      </c>
    </row>
    <row r="95" spans="1:5" x14ac:dyDescent="0.2">
      <c r="A95" s="511">
        <v>8708</v>
      </c>
      <c r="B95" s="467" t="s">
        <v>266</v>
      </c>
      <c r="C95" s="562" t="s">
        <v>1178</v>
      </c>
      <c r="D95" s="500" t="s">
        <v>269</v>
      </c>
      <c r="E95" s="563">
        <v>28</v>
      </c>
    </row>
    <row r="96" spans="1:5" x14ac:dyDescent="0.2">
      <c r="A96" s="511">
        <v>9004</v>
      </c>
      <c r="B96" s="467" t="s">
        <v>1294</v>
      </c>
      <c r="C96" s="562" t="s">
        <v>1178</v>
      </c>
      <c r="D96" s="500" t="s">
        <v>269</v>
      </c>
      <c r="E96" s="563">
        <v>18</v>
      </c>
    </row>
    <row r="97" spans="1:5" x14ac:dyDescent="0.2">
      <c r="A97" s="511">
        <v>9017</v>
      </c>
      <c r="B97" s="467" t="s">
        <v>1293</v>
      </c>
      <c r="C97" s="562" t="s">
        <v>1178</v>
      </c>
      <c r="D97" s="500" t="s">
        <v>269</v>
      </c>
      <c r="E97" s="563">
        <v>18</v>
      </c>
    </row>
    <row r="98" spans="1:5" x14ac:dyDescent="0.2">
      <c r="A98" s="511">
        <v>9026</v>
      </c>
      <c r="B98" s="467" t="s">
        <v>4287</v>
      </c>
      <c r="C98" s="562" t="s">
        <v>1178</v>
      </c>
      <c r="D98" s="500" t="s">
        <v>269</v>
      </c>
      <c r="E98" s="563">
        <v>18</v>
      </c>
    </row>
    <row r="99" spans="1:5" x14ac:dyDescent="0.2">
      <c r="A99" s="511">
        <v>9032</v>
      </c>
      <c r="B99" s="467" t="s">
        <v>1236</v>
      </c>
      <c r="C99" s="562" t="s">
        <v>1178</v>
      </c>
      <c r="D99" s="500" t="s">
        <v>269</v>
      </c>
      <c r="E99" s="563">
        <v>18</v>
      </c>
    </row>
    <row r="100" spans="1:5" x14ac:dyDescent="0.2">
      <c r="A100" s="511">
        <v>9405</v>
      </c>
      <c r="B100" s="467" t="s">
        <v>1300</v>
      </c>
      <c r="C100" s="562" t="s">
        <v>1178</v>
      </c>
      <c r="D100" s="500" t="s">
        <v>269</v>
      </c>
      <c r="E100" s="563">
        <v>12</v>
      </c>
    </row>
    <row r="101" spans="1:5" x14ac:dyDescent="0.2">
      <c r="A101" s="511">
        <v>9603</v>
      </c>
      <c r="B101" s="467" t="s">
        <v>1237</v>
      </c>
      <c r="C101" s="562" t="s">
        <v>1178</v>
      </c>
      <c r="D101" s="500" t="s">
        <v>269</v>
      </c>
      <c r="E101" s="563">
        <v>18</v>
      </c>
    </row>
    <row r="102" spans="1:5" x14ac:dyDescent="0.2">
      <c r="A102" s="511">
        <v>9967</v>
      </c>
      <c r="B102" s="467" t="s">
        <v>4288</v>
      </c>
      <c r="C102" s="562" t="s">
        <v>1178</v>
      </c>
      <c r="D102" s="500" t="s">
        <v>1241</v>
      </c>
      <c r="E102" s="563">
        <v>18</v>
      </c>
    </row>
    <row r="103" spans="1:5" x14ac:dyDescent="0.2">
      <c r="A103" s="511">
        <v>9608</v>
      </c>
      <c r="B103" s="467" t="s">
        <v>1238</v>
      </c>
      <c r="C103" s="562" t="s">
        <v>1178</v>
      </c>
      <c r="D103" s="500" t="s">
        <v>269</v>
      </c>
      <c r="E103" s="563">
        <v>18</v>
      </c>
    </row>
    <row r="104" spans="1:5" x14ac:dyDescent="0.2">
      <c r="A104" s="516" t="s">
        <v>676</v>
      </c>
      <c r="B104" s="500" t="s">
        <v>1368</v>
      </c>
      <c r="C104" s="562" t="s">
        <v>1178</v>
      </c>
      <c r="D104" s="500" t="s">
        <v>1241</v>
      </c>
      <c r="E104" s="563">
        <v>18</v>
      </c>
    </row>
    <row r="105" spans="1:5" x14ac:dyDescent="0.2">
      <c r="A105" s="511">
        <v>9968</v>
      </c>
      <c r="B105" s="467" t="s">
        <v>1239</v>
      </c>
      <c r="C105" s="562" t="s">
        <v>1178</v>
      </c>
      <c r="D105" s="500" t="s">
        <v>269</v>
      </c>
      <c r="E105" s="563">
        <v>18</v>
      </c>
    </row>
    <row r="106" spans="1:5" x14ac:dyDescent="0.2">
      <c r="A106" s="511">
        <v>9971</v>
      </c>
      <c r="B106" s="467" t="s">
        <v>1240</v>
      </c>
      <c r="C106" s="562" t="s">
        <v>1178</v>
      </c>
      <c r="D106" s="500" t="s">
        <v>1241</v>
      </c>
      <c r="E106" s="563">
        <v>18</v>
      </c>
    </row>
    <row r="107" spans="1:5" x14ac:dyDescent="0.2">
      <c r="A107" s="511">
        <v>9984</v>
      </c>
      <c r="B107" s="467" t="s">
        <v>1242</v>
      </c>
      <c r="C107" s="562" t="s">
        <v>1178</v>
      </c>
      <c r="D107" s="500" t="s">
        <v>1241</v>
      </c>
      <c r="E107" s="563">
        <v>18</v>
      </c>
    </row>
    <row r="108" spans="1:5" x14ac:dyDescent="0.2">
      <c r="A108" s="511">
        <v>9965</v>
      </c>
      <c r="B108" s="500" t="s">
        <v>1368</v>
      </c>
      <c r="C108" s="562" t="s">
        <v>1178</v>
      </c>
      <c r="D108" s="500" t="s">
        <v>1241</v>
      </c>
      <c r="E108" s="563">
        <v>18</v>
      </c>
    </row>
    <row r="109" spans="1:5" x14ac:dyDescent="0.2">
      <c r="A109" s="511">
        <v>9985</v>
      </c>
      <c r="B109" s="467" t="s">
        <v>1298</v>
      </c>
      <c r="C109" s="562" t="s">
        <v>1178</v>
      </c>
      <c r="D109" s="500" t="s">
        <v>269</v>
      </c>
      <c r="E109" s="563">
        <v>18</v>
      </c>
    </row>
    <row r="110" spans="1:5" x14ac:dyDescent="0.2">
      <c r="A110" s="511">
        <v>9987</v>
      </c>
      <c r="B110" s="500" t="s">
        <v>1368</v>
      </c>
      <c r="C110" s="562" t="s">
        <v>1178</v>
      </c>
      <c r="D110" s="500" t="s">
        <v>1241</v>
      </c>
      <c r="E110" s="563">
        <v>18</v>
      </c>
    </row>
    <row r="111" spans="1:5" x14ac:dyDescent="0.2">
      <c r="A111" s="511">
        <v>14976</v>
      </c>
      <c r="B111" s="467" t="s">
        <v>1186</v>
      </c>
      <c r="C111" s="562" t="s">
        <v>1178</v>
      </c>
      <c r="D111" s="500" t="s">
        <v>269</v>
      </c>
      <c r="E111" s="563">
        <v>28</v>
      </c>
    </row>
    <row r="112" spans="1:5" x14ac:dyDescent="0.2">
      <c r="A112" s="511">
        <v>401693</v>
      </c>
      <c r="B112" s="500" t="s">
        <v>1243</v>
      </c>
      <c r="C112" s="562" t="s">
        <v>1178</v>
      </c>
      <c r="D112" s="500" t="s">
        <v>269</v>
      </c>
      <c r="E112" s="563">
        <v>28</v>
      </c>
    </row>
    <row r="113" spans="1:5" x14ac:dyDescent="0.2">
      <c r="A113" s="511">
        <v>441480</v>
      </c>
      <c r="B113" s="467" t="s">
        <v>1244</v>
      </c>
      <c r="C113" s="562" t="s">
        <v>1178</v>
      </c>
      <c r="D113" s="500" t="s">
        <v>1241</v>
      </c>
      <c r="E113" s="563">
        <v>28</v>
      </c>
    </row>
    <row r="114" spans="1:5" x14ac:dyDescent="0.2">
      <c r="A114" s="511">
        <v>846799</v>
      </c>
      <c r="B114" s="467" t="s">
        <v>1245</v>
      </c>
      <c r="C114" s="562" t="s">
        <v>1178</v>
      </c>
      <c r="D114" s="500" t="s">
        <v>269</v>
      </c>
      <c r="E114" s="563">
        <v>18</v>
      </c>
    </row>
    <row r="115" spans="1:5" x14ac:dyDescent="0.2">
      <c r="A115" s="467">
        <v>996511</v>
      </c>
      <c r="B115" s="467" t="s">
        <v>1253</v>
      </c>
      <c r="C115" s="562" t="s">
        <v>1178</v>
      </c>
      <c r="D115" s="500" t="s">
        <v>1241</v>
      </c>
      <c r="E115" s="563">
        <v>12</v>
      </c>
    </row>
    <row r="116" spans="1:5" x14ac:dyDescent="0.2">
      <c r="A116" s="467" t="s">
        <v>4289</v>
      </c>
      <c r="B116" s="467" t="s">
        <v>1253</v>
      </c>
      <c r="C116" s="562" t="s">
        <v>1178</v>
      </c>
      <c r="D116" s="500" t="s">
        <v>1241</v>
      </c>
      <c r="E116" s="563">
        <v>18</v>
      </c>
    </row>
    <row r="117" spans="1:5" x14ac:dyDescent="0.2">
      <c r="A117" s="516" t="s">
        <v>703</v>
      </c>
      <c r="B117" s="500" t="s">
        <v>1367</v>
      </c>
      <c r="C117" s="562" t="s">
        <v>1178</v>
      </c>
      <c r="D117" s="500" t="s">
        <v>1241</v>
      </c>
      <c r="E117" s="563">
        <v>28</v>
      </c>
    </row>
    <row r="118" spans="1:5" x14ac:dyDescent="0.2">
      <c r="A118" s="511">
        <v>998311</v>
      </c>
      <c r="B118" s="467" t="s">
        <v>1301</v>
      </c>
      <c r="C118" s="562" t="s">
        <v>1178</v>
      </c>
      <c r="D118" s="500" t="s">
        <v>269</v>
      </c>
      <c r="E118" s="563">
        <v>18</v>
      </c>
    </row>
    <row r="119" spans="1:5" x14ac:dyDescent="0.2">
      <c r="A119" s="511">
        <v>998313</v>
      </c>
      <c r="B119" s="467" t="s">
        <v>1353</v>
      </c>
      <c r="C119" s="562" t="s">
        <v>1178</v>
      </c>
      <c r="D119" s="500" t="s">
        <v>1241</v>
      </c>
      <c r="E119" s="563">
        <v>18</v>
      </c>
    </row>
    <row r="120" spans="1:5" x14ac:dyDescent="0.2">
      <c r="A120" s="511">
        <v>998346</v>
      </c>
      <c r="B120" s="513" t="s">
        <v>1246</v>
      </c>
      <c r="C120" s="562" t="s">
        <v>1178</v>
      </c>
      <c r="D120" s="500" t="s">
        <v>1241</v>
      </c>
      <c r="E120" s="563">
        <v>18</v>
      </c>
    </row>
    <row r="121" spans="1:5" x14ac:dyDescent="0.2">
      <c r="A121" s="516" t="s">
        <v>544</v>
      </c>
      <c r="B121" s="500" t="s">
        <v>1366</v>
      </c>
      <c r="C121" s="562" t="s">
        <v>1178</v>
      </c>
      <c r="D121" s="500" t="s">
        <v>1241</v>
      </c>
      <c r="E121" s="563">
        <v>18</v>
      </c>
    </row>
    <row r="122" spans="1:5" x14ac:dyDescent="0.2">
      <c r="A122" s="977">
        <v>998422</v>
      </c>
      <c r="B122" s="499" t="s">
        <v>1372</v>
      </c>
      <c r="C122" s="562" t="s">
        <v>1178</v>
      </c>
      <c r="D122" s="500" t="s">
        <v>269</v>
      </c>
      <c r="E122" s="563">
        <v>18</v>
      </c>
    </row>
    <row r="123" spans="1:5" x14ac:dyDescent="0.2">
      <c r="A123" s="511">
        <v>998519</v>
      </c>
      <c r="B123" s="500" t="s">
        <v>1247</v>
      </c>
      <c r="C123" s="562" t="s">
        <v>1178</v>
      </c>
      <c r="D123" s="500" t="s">
        <v>1241</v>
      </c>
      <c r="E123" s="563">
        <v>18</v>
      </c>
    </row>
    <row r="124" spans="1:5" x14ac:dyDescent="0.2">
      <c r="A124" s="511">
        <v>998531</v>
      </c>
      <c r="B124" s="467" t="s">
        <v>1320</v>
      </c>
      <c r="C124" s="562" t="s">
        <v>1178</v>
      </c>
      <c r="D124" s="500" t="s">
        <v>1241</v>
      </c>
      <c r="E124" s="563">
        <v>18</v>
      </c>
    </row>
    <row r="125" spans="1:5" x14ac:dyDescent="0.2">
      <c r="A125" s="511">
        <v>998716</v>
      </c>
      <c r="B125" s="467" t="s">
        <v>1308</v>
      </c>
      <c r="C125" s="562" t="s">
        <v>1178</v>
      </c>
      <c r="D125" s="500" t="s">
        <v>1241</v>
      </c>
      <c r="E125" s="563">
        <v>18</v>
      </c>
    </row>
    <row r="126" spans="1:5" x14ac:dyDescent="0.2">
      <c r="A126" s="511">
        <v>998717</v>
      </c>
      <c r="B126" s="467" t="s">
        <v>1308</v>
      </c>
      <c r="C126" s="562" t="s">
        <v>1178</v>
      </c>
      <c r="D126" s="500" t="s">
        <v>1241</v>
      </c>
      <c r="E126" s="563">
        <v>18</v>
      </c>
    </row>
    <row r="127" spans="1:5" x14ac:dyDescent="0.2">
      <c r="A127" s="511">
        <v>998719</v>
      </c>
      <c r="B127" s="500" t="s">
        <v>1248</v>
      </c>
      <c r="C127" s="562" t="s">
        <v>1178</v>
      </c>
      <c r="D127" s="500" t="s">
        <v>269</v>
      </c>
      <c r="E127" s="563">
        <v>18</v>
      </c>
    </row>
    <row r="128" spans="1:5" x14ac:dyDescent="0.2">
      <c r="A128" s="467">
        <v>998873</v>
      </c>
      <c r="B128" s="499" t="s">
        <v>1372</v>
      </c>
      <c r="C128" s="562" t="s">
        <v>1178</v>
      </c>
      <c r="D128" s="500" t="s">
        <v>269</v>
      </c>
      <c r="E128" s="563">
        <v>18</v>
      </c>
    </row>
    <row r="129" spans="1:5" x14ac:dyDescent="0.2">
      <c r="A129" s="511">
        <v>999432</v>
      </c>
      <c r="B129" s="467" t="s">
        <v>1317</v>
      </c>
      <c r="C129" s="562" t="s">
        <v>1178</v>
      </c>
      <c r="D129" s="500" t="s">
        <v>269</v>
      </c>
      <c r="E129" s="563">
        <v>18</v>
      </c>
    </row>
    <row r="130" spans="1:5" x14ac:dyDescent="0.2">
      <c r="A130" s="511">
        <v>4016932</v>
      </c>
      <c r="B130" s="500" t="s">
        <v>1249</v>
      </c>
      <c r="C130" s="562" t="s">
        <v>1178</v>
      </c>
      <c r="D130" s="500" t="s">
        <v>269</v>
      </c>
      <c r="E130" s="563">
        <v>28</v>
      </c>
    </row>
    <row r="131" spans="1:5" x14ac:dyDescent="0.2">
      <c r="A131" s="511">
        <v>4016999</v>
      </c>
      <c r="B131" s="500" t="s">
        <v>1243</v>
      </c>
      <c r="C131" s="562" t="s">
        <v>1178</v>
      </c>
      <c r="D131" s="500" t="s">
        <v>269</v>
      </c>
      <c r="E131" s="563">
        <v>28</v>
      </c>
    </row>
    <row r="132" spans="1:5" x14ac:dyDescent="0.2">
      <c r="A132" s="511">
        <v>4817200</v>
      </c>
      <c r="B132" s="467" t="s">
        <v>1250</v>
      </c>
      <c r="C132" s="562" t="s">
        <v>1178</v>
      </c>
      <c r="D132" s="500" t="s">
        <v>269</v>
      </c>
      <c r="E132" s="563">
        <v>18</v>
      </c>
    </row>
    <row r="133" spans="1:5" x14ac:dyDescent="0.2">
      <c r="A133" s="511">
        <v>8466300</v>
      </c>
      <c r="B133" s="467" t="s">
        <v>1251</v>
      </c>
      <c r="C133" s="562" t="s">
        <v>1178</v>
      </c>
      <c r="D133" s="500" t="s">
        <v>269</v>
      </c>
      <c r="E133" s="563">
        <v>18</v>
      </c>
    </row>
    <row r="134" spans="1:5" x14ac:dyDescent="0.2">
      <c r="A134" s="511">
        <v>8467299</v>
      </c>
      <c r="B134" s="500" t="s">
        <v>1252</v>
      </c>
      <c r="C134" s="562" t="s">
        <v>1178</v>
      </c>
      <c r="D134" s="500" t="s">
        <v>269</v>
      </c>
      <c r="E134" s="563">
        <v>18</v>
      </c>
    </row>
    <row r="135" spans="1:5" x14ac:dyDescent="0.2">
      <c r="A135" s="511">
        <v>8483300</v>
      </c>
      <c r="B135" s="500" t="s">
        <v>1253</v>
      </c>
      <c r="C135" s="562" t="s">
        <v>1178</v>
      </c>
      <c r="D135" s="500" t="s">
        <v>269</v>
      </c>
      <c r="E135" s="563">
        <v>28</v>
      </c>
    </row>
    <row r="136" spans="1:5" x14ac:dyDescent="0.2">
      <c r="A136" s="511">
        <v>8532299</v>
      </c>
      <c r="B136" s="500" t="s">
        <v>1229</v>
      </c>
      <c r="C136" s="562" t="s">
        <v>1178</v>
      </c>
      <c r="D136" s="500" t="s">
        <v>269</v>
      </c>
      <c r="E136" s="563">
        <v>18</v>
      </c>
    </row>
    <row r="137" spans="1:5" x14ac:dyDescent="0.2">
      <c r="A137" s="511">
        <v>21069030</v>
      </c>
      <c r="B137" s="467" t="s">
        <v>1309</v>
      </c>
      <c r="C137" s="562" t="s">
        <v>1178</v>
      </c>
      <c r="D137" s="500" t="s">
        <v>269</v>
      </c>
      <c r="E137" s="563">
        <v>18</v>
      </c>
    </row>
    <row r="138" spans="1:5" x14ac:dyDescent="0.2">
      <c r="A138" s="499">
        <v>21069099</v>
      </c>
      <c r="B138" s="499" t="s">
        <v>3354</v>
      </c>
      <c r="C138" s="562" t="s">
        <v>1178</v>
      </c>
      <c r="D138" s="500" t="s">
        <v>269</v>
      </c>
      <c r="E138" s="563">
        <v>12</v>
      </c>
    </row>
    <row r="139" spans="1:5" x14ac:dyDescent="0.2">
      <c r="A139" s="511">
        <v>25202090</v>
      </c>
      <c r="B139" s="467" t="s">
        <v>1255</v>
      </c>
      <c r="C139" s="562" t="s">
        <v>1178</v>
      </c>
      <c r="D139" s="500" t="s">
        <v>269</v>
      </c>
      <c r="E139" s="563">
        <v>28</v>
      </c>
    </row>
    <row r="140" spans="1:5" x14ac:dyDescent="0.2">
      <c r="A140" s="511">
        <v>25232910</v>
      </c>
      <c r="B140" s="467" t="s">
        <v>1183</v>
      </c>
      <c r="C140" s="562" t="s">
        <v>1178</v>
      </c>
      <c r="D140" s="500" t="s">
        <v>269</v>
      </c>
      <c r="E140" s="563">
        <v>28</v>
      </c>
    </row>
    <row r="141" spans="1:5" x14ac:dyDescent="0.2">
      <c r="A141" s="511">
        <v>27076000</v>
      </c>
      <c r="B141" s="467" t="s">
        <v>1256</v>
      </c>
      <c r="C141" s="562" t="s">
        <v>1178</v>
      </c>
      <c r="D141" s="500" t="s">
        <v>269</v>
      </c>
      <c r="E141" s="563">
        <v>18</v>
      </c>
    </row>
    <row r="142" spans="1:5" x14ac:dyDescent="0.2">
      <c r="A142" s="511">
        <v>27101980</v>
      </c>
      <c r="B142" s="467" t="s">
        <v>4290</v>
      </c>
      <c r="C142" s="562" t="s">
        <v>1185</v>
      </c>
      <c r="D142" s="500" t="s">
        <v>269</v>
      </c>
      <c r="E142" s="563">
        <v>18</v>
      </c>
    </row>
    <row r="143" spans="1:5" x14ac:dyDescent="0.2">
      <c r="A143" s="511">
        <v>27101990</v>
      </c>
      <c r="B143" s="467" t="s">
        <v>1257</v>
      </c>
      <c r="C143" s="562" t="s">
        <v>1182</v>
      </c>
      <c r="D143" s="500" t="s">
        <v>269</v>
      </c>
      <c r="E143" s="563">
        <v>18</v>
      </c>
    </row>
    <row r="144" spans="1:5" x14ac:dyDescent="0.2">
      <c r="A144" s="511">
        <v>27111900</v>
      </c>
      <c r="B144" s="467" t="s">
        <v>1258</v>
      </c>
      <c r="C144" s="562" t="s">
        <v>1178</v>
      </c>
      <c r="D144" s="500" t="s">
        <v>269</v>
      </c>
      <c r="E144" s="563">
        <v>18</v>
      </c>
    </row>
    <row r="145" spans="1:5" x14ac:dyDescent="0.2">
      <c r="A145" s="511">
        <v>28530010</v>
      </c>
      <c r="B145" s="467" t="s">
        <v>1259</v>
      </c>
      <c r="C145" s="562" t="s">
        <v>1178</v>
      </c>
      <c r="D145" s="500" t="s">
        <v>269</v>
      </c>
      <c r="E145" s="563">
        <v>18</v>
      </c>
    </row>
    <row r="146" spans="1:5" x14ac:dyDescent="0.2">
      <c r="A146" s="511">
        <v>29023000</v>
      </c>
      <c r="B146" s="467" t="s">
        <v>1260</v>
      </c>
      <c r="C146" s="562" t="s">
        <v>1178</v>
      </c>
      <c r="D146" s="500" t="s">
        <v>269</v>
      </c>
      <c r="E146" s="563">
        <v>18</v>
      </c>
    </row>
    <row r="147" spans="1:5" x14ac:dyDescent="0.2">
      <c r="A147" s="511">
        <v>29029090</v>
      </c>
      <c r="B147" s="467" t="s">
        <v>1261</v>
      </c>
      <c r="C147" s="562" t="s">
        <v>1178</v>
      </c>
      <c r="D147" s="500" t="s">
        <v>269</v>
      </c>
      <c r="E147" s="563">
        <v>18</v>
      </c>
    </row>
    <row r="148" spans="1:5" x14ac:dyDescent="0.2">
      <c r="A148" s="511">
        <v>29041030</v>
      </c>
      <c r="B148" s="467" t="s">
        <v>1296</v>
      </c>
      <c r="C148" s="562" t="s">
        <v>1178</v>
      </c>
      <c r="D148" s="500" t="s">
        <v>269</v>
      </c>
      <c r="E148" s="563">
        <v>18</v>
      </c>
    </row>
    <row r="149" spans="1:5" x14ac:dyDescent="0.2">
      <c r="A149" s="511">
        <v>29051220</v>
      </c>
      <c r="B149" s="467" t="s">
        <v>1262</v>
      </c>
      <c r="C149" s="562" t="s">
        <v>1185</v>
      </c>
      <c r="D149" s="500" t="s">
        <v>269</v>
      </c>
      <c r="E149" s="563">
        <v>18</v>
      </c>
    </row>
    <row r="150" spans="1:5" x14ac:dyDescent="0.2">
      <c r="A150" s="511">
        <v>29141100</v>
      </c>
      <c r="B150" s="467" t="s">
        <v>1319</v>
      </c>
      <c r="C150" s="562" t="s">
        <v>1178</v>
      </c>
      <c r="D150" s="500" t="s">
        <v>269</v>
      </c>
      <c r="E150" s="563">
        <v>18</v>
      </c>
    </row>
    <row r="151" spans="1:5" x14ac:dyDescent="0.2">
      <c r="A151" s="511">
        <v>29153100</v>
      </c>
      <c r="B151" s="500" t="s">
        <v>1262</v>
      </c>
      <c r="C151" s="562" t="s">
        <v>1178</v>
      </c>
      <c r="D151" s="500" t="s">
        <v>269</v>
      </c>
      <c r="E151" s="563">
        <v>18</v>
      </c>
    </row>
    <row r="152" spans="1:5" x14ac:dyDescent="0.2">
      <c r="A152" s="511">
        <v>29163200</v>
      </c>
      <c r="B152" s="467" t="s">
        <v>273</v>
      </c>
      <c r="C152" s="562" t="s">
        <v>1178</v>
      </c>
      <c r="D152" s="500" t="s">
        <v>269</v>
      </c>
      <c r="E152" s="563">
        <v>18</v>
      </c>
    </row>
    <row r="153" spans="1:5" x14ac:dyDescent="0.2">
      <c r="A153" s="511">
        <v>29214990</v>
      </c>
      <c r="B153" s="500" t="s">
        <v>1263</v>
      </c>
      <c r="C153" s="562" t="s">
        <v>1264</v>
      </c>
      <c r="D153" s="500" t="s">
        <v>269</v>
      </c>
      <c r="E153" s="563">
        <v>18</v>
      </c>
    </row>
    <row r="154" spans="1:5" x14ac:dyDescent="0.2">
      <c r="A154" s="511">
        <v>29420090</v>
      </c>
      <c r="B154" s="467" t="s">
        <v>1262</v>
      </c>
      <c r="C154" s="562" t="s">
        <v>1178</v>
      </c>
      <c r="D154" s="500" t="s">
        <v>269</v>
      </c>
      <c r="E154" s="563">
        <v>18</v>
      </c>
    </row>
    <row r="155" spans="1:5" x14ac:dyDescent="0.2">
      <c r="A155" s="511">
        <v>32041700</v>
      </c>
      <c r="B155" s="467" t="s">
        <v>273</v>
      </c>
      <c r="C155" s="562" t="s">
        <v>1185</v>
      </c>
      <c r="D155" s="500" t="s">
        <v>269</v>
      </c>
      <c r="E155" s="563">
        <v>18</v>
      </c>
    </row>
    <row r="156" spans="1:5" x14ac:dyDescent="0.2">
      <c r="A156" s="511">
        <v>32081090</v>
      </c>
      <c r="B156" s="467" t="s">
        <v>273</v>
      </c>
      <c r="C156" s="562" t="s">
        <v>1185</v>
      </c>
      <c r="D156" s="500" t="s">
        <v>269</v>
      </c>
      <c r="E156" s="563">
        <v>18</v>
      </c>
    </row>
    <row r="157" spans="1:5" x14ac:dyDescent="0.2">
      <c r="A157" s="511">
        <v>32082020</v>
      </c>
      <c r="B157" s="467" t="s">
        <v>1312</v>
      </c>
      <c r="C157" s="562" t="s">
        <v>1178</v>
      </c>
      <c r="D157" s="500" t="s">
        <v>269</v>
      </c>
      <c r="E157" s="563">
        <v>18</v>
      </c>
    </row>
    <row r="158" spans="1:5" x14ac:dyDescent="0.2">
      <c r="A158" s="511">
        <v>32082090</v>
      </c>
      <c r="B158" s="467" t="s">
        <v>273</v>
      </c>
      <c r="C158" s="562" t="s">
        <v>1185</v>
      </c>
      <c r="D158" s="500" t="s">
        <v>269</v>
      </c>
      <c r="E158" s="563">
        <v>18</v>
      </c>
    </row>
    <row r="159" spans="1:5" x14ac:dyDescent="0.2">
      <c r="A159" s="511">
        <v>32089022</v>
      </c>
      <c r="B159" s="467" t="s">
        <v>273</v>
      </c>
      <c r="C159" s="562" t="s">
        <v>1178</v>
      </c>
      <c r="D159" s="500" t="s">
        <v>269</v>
      </c>
      <c r="E159" s="563">
        <v>28</v>
      </c>
    </row>
    <row r="160" spans="1:5" x14ac:dyDescent="0.2">
      <c r="A160" s="511">
        <v>32089029</v>
      </c>
      <c r="B160" s="467" t="s">
        <v>1312</v>
      </c>
      <c r="C160" s="562" t="s">
        <v>1178</v>
      </c>
      <c r="D160" s="500" t="s">
        <v>269</v>
      </c>
      <c r="E160" s="563">
        <v>18</v>
      </c>
    </row>
    <row r="161" spans="1:5" x14ac:dyDescent="0.2">
      <c r="A161" s="511">
        <v>32089090</v>
      </c>
      <c r="B161" s="467" t="s">
        <v>273</v>
      </c>
      <c r="C161" s="562" t="s">
        <v>1178</v>
      </c>
      <c r="D161" s="500" t="s">
        <v>269</v>
      </c>
      <c r="E161" s="563">
        <v>18</v>
      </c>
    </row>
    <row r="162" spans="1:5" x14ac:dyDescent="0.2">
      <c r="A162" s="511">
        <v>32129090</v>
      </c>
      <c r="B162" s="467" t="s">
        <v>1318</v>
      </c>
      <c r="C162" s="562" t="s">
        <v>1185</v>
      </c>
      <c r="D162" s="500" t="s">
        <v>269</v>
      </c>
      <c r="E162" s="563">
        <v>18</v>
      </c>
    </row>
    <row r="163" spans="1:5" x14ac:dyDescent="0.2">
      <c r="A163" s="511">
        <v>32149090</v>
      </c>
      <c r="B163" s="467" t="s">
        <v>1302</v>
      </c>
      <c r="C163" s="562" t="s">
        <v>1178</v>
      </c>
      <c r="D163" s="500" t="s">
        <v>269</v>
      </c>
      <c r="E163" s="563">
        <v>18</v>
      </c>
    </row>
    <row r="164" spans="1:5" x14ac:dyDescent="0.2">
      <c r="A164" s="511">
        <v>32159090</v>
      </c>
      <c r="B164" s="467" t="s">
        <v>1265</v>
      </c>
      <c r="C164" s="562" t="s">
        <v>1178</v>
      </c>
      <c r="D164" s="500" t="s">
        <v>269</v>
      </c>
      <c r="E164" s="563">
        <v>12</v>
      </c>
    </row>
    <row r="165" spans="1:5" x14ac:dyDescent="0.2">
      <c r="A165" s="511">
        <v>33074900</v>
      </c>
      <c r="B165" s="467" t="s">
        <v>1299</v>
      </c>
      <c r="C165" s="562" t="s">
        <v>1178</v>
      </c>
      <c r="D165" s="500" t="s">
        <v>269</v>
      </c>
      <c r="E165" s="563">
        <v>18</v>
      </c>
    </row>
    <row r="166" spans="1:5" x14ac:dyDescent="0.2">
      <c r="A166" s="511">
        <v>34011190</v>
      </c>
      <c r="B166" s="467" t="s">
        <v>1337</v>
      </c>
      <c r="C166" s="562" t="s">
        <v>1178</v>
      </c>
      <c r="D166" s="500" t="s">
        <v>269</v>
      </c>
      <c r="E166" s="563">
        <v>18</v>
      </c>
    </row>
    <row r="167" spans="1:5" x14ac:dyDescent="0.2">
      <c r="A167" s="511">
        <v>34012000</v>
      </c>
      <c r="B167" s="467" t="s">
        <v>1266</v>
      </c>
      <c r="C167" s="562" t="s">
        <v>1178</v>
      </c>
      <c r="D167" s="500" t="s">
        <v>269</v>
      </c>
      <c r="E167" s="563">
        <v>18</v>
      </c>
    </row>
    <row r="168" spans="1:5" x14ac:dyDescent="0.2">
      <c r="A168" s="511">
        <v>34022090</v>
      </c>
      <c r="B168" s="467" t="s">
        <v>1267</v>
      </c>
      <c r="C168" s="562" t="s">
        <v>1178</v>
      </c>
      <c r="D168" s="500" t="s">
        <v>269</v>
      </c>
      <c r="E168" s="563">
        <v>18</v>
      </c>
    </row>
    <row r="169" spans="1:5" x14ac:dyDescent="0.2">
      <c r="A169" s="511">
        <v>34029092</v>
      </c>
      <c r="B169" s="467" t="s">
        <v>1268</v>
      </c>
      <c r="C169" s="562" t="s">
        <v>1182</v>
      </c>
      <c r="D169" s="500" t="s">
        <v>269</v>
      </c>
      <c r="E169" s="563">
        <v>18</v>
      </c>
    </row>
    <row r="170" spans="1:5" x14ac:dyDescent="0.2">
      <c r="A170" s="511">
        <v>34029099</v>
      </c>
      <c r="B170" s="467" t="s">
        <v>1268</v>
      </c>
      <c r="C170" s="562" t="s">
        <v>1182</v>
      </c>
      <c r="D170" s="500" t="s">
        <v>269</v>
      </c>
      <c r="E170" s="563">
        <v>18</v>
      </c>
    </row>
    <row r="171" spans="1:5" x14ac:dyDescent="0.2">
      <c r="A171" s="511">
        <v>34039900</v>
      </c>
      <c r="B171" s="467" t="s">
        <v>1269</v>
      </c>
      <c r="C171" s="562" t="s">
        <v>1178</v>
      </c>
      <c r="D171" s="500" t="s">
        <v>269</v>
      </c>
      <c r="E171" s="563">
        <v>28</v>
      </c>
    </row>
    <row r="172" spans="1:5" x14ac:dyDescent="0.2">
      <c r="A172" s="511" t="s">
        <v>4291</v>
      </c>
      <c r="B172" s="467" t="s">
        <v>1269</v>
      </c>
      <c r="C172" s="562" t="s">
        <v>1178</v>
      </c>
      <c r="D172" s="500" t="s">
        <v>269</v>
      </c>
      <c r="E172" s="563">
        <v>18</v>
      </c>
    </row>
    <row r="173" spans="1:5" x14ac:dyDescent="0.2">
      <c r="A173" s="511">
        <v>37079090</v>
      </c>
      <c r="B173" s="467" t="s">
        <v>1270</v>
      </c>
      <c r="C173" s="562" t="s">
        <v>1178</v>
      </c>
      <c r="D173" s="500" t="s">
        <v>269</v>
      </c>
      <c r="E173" s="563">
        <v>18</v>
      </c>
    </row>
    <row r="174" spans="1:5" x14ac:dyDescent="0.2">
      <c r="A174" s="511">
        <v>38089191</v>
      </c>
      <c r="B174" s="467" t="s">
        <v>1180</v>
      </c>
      <c r="C174" s="562" t="s">
        <v>1178</v>
      </c>
      <c r="D174" s="500" t="s">
        <v>269</v>
      </c>
      <c r="E174" s="563">
        <v>5</v>
      </c>
    </row>
    <row r="175" spans="1:5" x14ac:dyDescent="0.2">
      <c r="A175" s="511">
        <v>38089199</v>
      </c>
      <c r="B175" s="467" t="s">
        <v>1192</v>
      </c>
      <c r="C175" s="562" t="s">
        <v>1178</v>
      </c>
      <c r="D175" s="500" t="s">
        <v>269</v>
      </c>
      <c r="E175" s="563">
        <v>28</v>
      </c>
    </row>
    <row r="176" spans="1:5" x14ac:dyDescent="0.2">
      <c r="A176" s="511">
        <v>38119000</v>
      </c>
      <c r="B176" s="467" t="s">
        <v>1192</v>
      </c>
      <c r="C176" s="562" t="s">
        <v>1178</v>
      </c>
      <c r="D176" s="500" t="s">
        <v>269</v>
      </c>
      <c r="E176" s="563">
        <v>18</v>
      </c>
    </row>
    <row r="177" spans="1:5" x14ac:dyDescent="0.2">
      <c r="A177" s="511">
        <v>38140010</v>
      </c>
      <c r="B177" s="467" t="s">
        <v>1186</v>
      </c>
      <c r="C177" s="562" t="s">
        <v>1185</v>
      </c>
      <c r="D177" s="500" t="s">
        <v>269</v>
      </c>
      <c r="E177" s="563">
        <v>18</v>
      </c>
    </row>
    <row r="178" spans="1:5" x14ac:dyDescent="0.2">
      <c r="A178" s="511">
        <v>38140020</v>
      </c>
      <c r="B178" s="467" t="s">
        <v>1315</v>
      </c>
      <c r="C178" s="562" t="s">
        <v>1185</v>
      </c>
      <c r="D178" s="500" t="s">
        <v>269</v>
      </c>
      <c r="E178" s="563">
        <v>18</v>
      </c>
    </row>
    <row r="179" spans="1:5" x14ac:dyDescent="0.2">
      <c r="A179" s="511">
        <v>38240000</v>
      </c>
      <c r="B179" s="467" t="s">
        <v>4292</v>
      </c>
      <c r="C179" s="562" t="s">
        <v>1185</v>
      </c>
      <c r="D179" s="500" t="s">
        <v>269</v>
      </c>
      <c r="E179" s="563">
        <v>18</v>
      </c>
    </row>
    <row r="180" spans="1:5" x14ac:dyDescent="0.2">
      <c r="A180" s="511">
        <v>38245010</v>
      </c>
      <c r="B180" s="467" t="s">
        <v>1321</v>
      </c>
      <c r="C180" s="562" t="s">
        <v>1178</v>
      </c>
      <c r="D180" s="500" t="s">
        <v>269</v>
      </c>
      <c r="E180" s="563">
        <v>18</v>
      </c>
    </row>
    <row r="181" spans="1:5" x14ac:dyDescent="0.2">
      <c r="A181" s="511">
        <v>38249024</v>
      </c>
      <c r="B181" s="500" t="s">
        <v>1356</v>
      </c>
      <c r="C181" s="562" t="s">
        <v>1178</v>
      </c>
      <c r="D181" s="500" t="s">
        <v>269</v>
      </c>
      <c r="E181" s="563">
        <v>12</v>
      </c>
    </row>
    <row r="182" spans="1:5" x14ac:dyDescent="0.2">
      <c r="A182" s="511">
        <v>38249090</v>
      </c>
      <c r="B182" s="467" t="s">
        <v>1313</v>
      </c>
      <c r="C182" s="562" t="s">
        <v>1185</v>
      </c>
      <c r="D182" s="500" t="s">
        <v>269</v>
      </c>
      <c r="E182" s="563">
        <v>18</v>
      </c>
    </row>
    <row r="183" spans="1:5" x14ac:dyDescent="0.2">
      <c r="A183" s="511">
        <v>38249990</v>
      </c>
      <c r="B183" s="467" t="s">
        <v>273</v>
      </c>
      <c r="C183" s="562" t="s">
        <v>1185</v>
      </c>
      <c r="D183" s="500" t="s">
        <v>269</v>
      </c>
      <c r="E183" s="563">
        <v>18</v>
      </c>
    </row>
    <row r="184" spans="1:5" x14ac:dyDescent="0.2">
      <c r="A184" s="511">
        <v>39073090</v>
      </c>
      <c r="B184" s="467" t="s">
        <v>273</v>
      </c>
      <c r="C184" s="562" t="s">
        <v>1185</v>
      </c>
      <c r="D184" s="500" t="s">
        <v>269</v>
      </c>
      <c r="E184" s="563">
        <v>18</v>
      </c>
    </row>
    <row r="185" spans="1:5" x14ac:dyDescent="0.2">
      <c r="A185" s="511">
        <v>39119090</v>
      </c>
      <c r="B185" s="467" t="s">
        <v>273</v>
      </c>
      <c r="C185" s="562" t="s">
        <v>1185</v>
      </c>
      <c r="D185" s="500" t="s">
        <v>269</v>
      </c>
      <c r="E185" s="563">
        <v>18</v>
      </c>
    </row>
    <row r="186" spans="1:5" x14ac:dyDescent="0.2">
      <c r="A186" s="511">
        <v>39173100</v>
      </c>
      <c r="B186" s="467" t="s">
        <v>1271</v>
      </c>
      <c r="C186" s="562" t="s">
        <v>1178</v>
      </c>
      <c r="D186" s="500" t="s">
        <v>269</v>
      </c>
      <c r="E186" s="563">
        <v>18</v>
      </c>
    </row>
    <row r="187" spans="1:5" x14ac:dyDescent="0.2">
      <c r="A187" s="511">
        <v>39172310</v>
      </c>
      <c r="B187" s="467" t="s">
        <v>1271</v>
      </c>
      <c r="C187" s="562" t="s">
        <v>1178</v>
      </c>
      <c r="D187" s="500" t="s">
        <v>269</v>
      </c>
      <c r="E187" s="563">
        <v>18</v>
      </c>
    </row>
    <row r="188" spans="1:5" x14ac:dyDescent="0.2">
      <c r="A188" s="511">
        <v>39172190</v>
      </c>
      <c r="B188" s="467" t="s">
        <v>1271</v>
      </c>
      <c r="C188" s="562" t="s">
        <v>1178</v>
      </c>
      <c r="D188" s="500" t="s">
        <v>269</v>
      </c>
      <c r="E188" s="563">
        <v>18</v>
      </c>
    </row>
    <row r="189" spans="1:5" x14ac:dyDescent="0.2">
      <c r="A189" s="511">
        <v>39174000</v>
      </c>
      <c r="B189" s="467" t="s">
        <v>1271</v>
      </c>
      <c r="C189" s="562" t="s">
        <v>1178</v>
      </c>
      <c r="D189" s="500" t="s">
        <v>269</v>
      </c>
      <c r="E189" s="563">
        <v>18</v>
      </c>
    </row>
    <row r="190" spans="1:5" x14ac:dyDescent="0.2">
      <c r="A190" s="511">
        <v>39199010</v>
      </c>
      <c r="B190" s="467" t="s">
        <v>1199</v>
      </c>
      <c r="C190" s="562" t="s">
        <v>1178</v>
      </c>
      <c r="D190" s="500" t="s">
        <v>269</v>
      </c>
      <c r="E190" s="563">
        <v>18</v>
      </c>
    </row>
    <row r="191" spans="1:5" x14ac:dyDescent="0.2">
      <c r="A191" s="511">
        <v>39199090</v>
      </c>
      <c r="B191" s="467" t="s">
        <v>266</v>
      </c>
      <c r="C191" s="562" t="s">
        <v>1178</v>
      </c>
      <c r="D191" s="500" t="s">
        <v>269</v>
      </c>
      <c r="E191" s="563">
        <v>18</v>
      </c>
    </row>
    <row r="192" spans="1:5" x14ac:dyDescent="0.2">
      <c r="A192" s="511">
        <v>39199099</v>
      </c>
      <c r="B192" s="467" t="s">
        <v>1197</v>
      </c>
      <c r="C192" s="562" t="s">
        <v>1178</v>
      </c>
      <c r="D192" s="500" t="s">
        <v>269</v>
      </c>
      <c r="E192" s="563">
        <v>18</v>
      </c>
    </row>
    <row r="193" spans="1:5" x14ac:dyDescent="0.2">
      <c r="A193" s="511">
        <v>39201091</v>
      </c>
      <c r="B193" s="500" t="s">
        <v>1272</v>
      </c>
      <c r="C193" s="562" t="s">
        <v>1178</v>
      </c>
      <c r="D193" s="500" t="s">
        <v>269</v>
      </c>
      <c r="E193" s="563">
        <v>18</v>
      </c>
    </row>
    <row r="194" spans="1:5" x14ac:dyDescent="0.2">
      <c r="A194" s="511">
        <v>39206290</v>
      </c>
      <c r="B194" s="467" t="s">
        <v>1307</v>
      </c>
      <c r="C194" s="562" t="s">
        <v>1178</v>
      </c>
      <c r="D194" s="500" t="s">
        <v>269</v>
      </c>
      <c r="E194" s="563">
        <v>18</v>
      </c>
    </row>
    <row r="195" spans="1:5" x14ac:dyDescent="0.2">
      <c r="A195" s="511">
        <v>39209949</v>
      </c>
      <c r="B195" s="467" t="s">
        <v>1245</v>
      </c>
      <c r="C195" s="562" t="s">
        <v>1178</v>
      </c>
      <c r="D195" s="500" t="s">
        <v>269</v>
      </c>
      <c r="E195" s="563">
        <v>18</v>
      </c>
    </row>
    <row r="196" spans="1:5" x14ac:dyDescent="0.2">
      <c r="A196" s="511">
        <v>39232100</v>
      </c>
      <c r="B196" s="467" t="s">
        <v>1273</v>
      </c>
      <c r="C196" s="562" t="s">
        <v>1178</v>
      </c>
      <c r="D196" s="500" t="s">
        <v>269</v>
      </c>
      <c r="E196" s="563">
        <v>28</v>
      </c>
    </row>
    <row r="197" spans="1:5" x14ac:dyDescent="0.2">
      <c r="A197" s="516" t="s">
        <v>1360</v>
      </c>
      <c r="B197" s="500" t="s">
        <v>1361</v>
      </c>
      <c r="C197" s="562" t="s">
        <v>1178</v>
      </c>
      <c r="D197" s="500" t="s">
        <v>269</v>
      </c>
      <c r="E197" s="563">
        <v>18</v>
      </c>
    </row>
    <row r="198" spans="1:5" x14ac:dyDescent="0.2">
      <c r="A198" s="511">
        <v>39269099</v>
      </c>
      <c r="B198" s="467" t="s">
        <v>266</v>
      </c>
      <c r="C198" s="562" t="s">
        <v>1178</v>
      </c>
      <c r="D198" s="500" t="s">
        <v>269</v>
      </c>
      <c r="E198" s="563">
        <v>28</v>
      </c>
    </row>
    <row r="199" spans="1:5" x14ac:dyDescent="0.2">
      <c r="A199" s="511" t="s">
        <v>4293</v>
      </c>
      <c r="B199" s="467" t="s">
        <v>266</v>
      </c>
      <c r="C199" s="562" t="s">
        <v>1178</v>
      </c>
      <c r="D199" s="500" t="s">
        <v>269</v>
      </c>
      <c r="E199" s="563">
        <v>18</v>
      </c>
    </row>
    <row r="200" spans="1:5" x14ac:dyDescent="0.2">
      <c r="A200" s="511">
        <v>40119320</v>
      </c>
      <c r="B200" s="500" t="s">
        <v>1249</v>
      </c>
      <c r="C200" s="562" t="s">
        <v>1178</v>
      </c>
      <c r="D200" s="500" t="s">
        <v>269</v>
      </c>
      <c r="E200" s="563">
        <v>28</v>
      </c>
    </row>
    <row r="201" spans="1:5" x14ac:dyDescent="0.2">
      <c r="A201" s="511">
        <v>40151100</v>
      </c>
      <c r="B201" s="467" t="s">
        <v>1274</v>
      </c>
      <c r="C201" s="562" t="s">
        <v>1178</v>
      </c>
      <c r="D201" s="500" t="s">
        <v>269</v>
      </c>
      <c r="E201" s="563">
        <v>12</v>
      </c>
    </row>
    <row r="202" spans="1:5" x14ac:dyDescent="0.2">
      <c r="A202" s="511">
        <v>40151900</v>
      </c>
      <c r="B202" s="467" t="s">
        <v>1275</v>
      </c>
      <c r="C202" s="562" t="s">
        <v>1178</v>
      </c>
      <c r="D202" s="500" t="s">
        <v>269</v>
      </c>
      <c r="E202" s="563">
        <v>28</v>
      </c>
    </row>
    <row r="203" spans="1:5" x14ac:dyDescent="0.2">
      <c r="A203" s="511">
        <v>40159030</v>
      </c>
      <c r="B203" s="467" t="s">
        <v>1276</v>
      </c>
      <c r="C203" s="562" t="s">
        <v>1178</v>
      </c>
      <c r="D203" s="500" t="s">
        <v>269</v>
      </c>
      <c r="E203" s="563">
        <v>18</v>
      </c>
    </row>
    <row r="204" spans="1:5" x14ac:dyDescent="0.2">
      <c r="A204" s="511">
        <v>40169320</v>
      </c>
      <c r="B204" s="500" t="s">
        <v>1277</v>
      </c>
      <c r="C204" s="562" t="s">
        <v>1178</v>
      </c>
      <c r="D204" s="500" t="s">
        <v>269</v>
      </c>
      <c r="E204" s="563">
        <v>18</v>
      </c>
    </row>
    <row r="205" spans="1:5" x14ac:dyDescent="0.2">
      <c r="A205" s="511">
        <v>40169330</v>
      </c>
      <c r="B205" s="467" t="s">
        <v>1342</v>
      </c>
      <c r="C205" s="562" t="s">
        <v>1178</v>
      </c>
      <c r="D205" s="500" t="s">
        <v>269</v>
      </c>
      <c r="E205" s="563">
        <v>18</v>
      </c>
    </row>
    <row r="206" spans="1:5" x14ac:dyDescent="0.2">
      <c r="A206" s="511">
        <v>40169990</v>
      </c>
      <c r="B206" s="467" t="s">
        <v>1327</v>
      </c>
      <c r="C206" s="562" t="s">
        <v>1178</v>
      </c>
      <c r="D206" s="500" t="s">
        <v>269</v>
      </c>
      <c r="E206" s="563">
        <v>18</v>
      </c>
    </row>
    <row r="207" spans="1:5" x14ac:dyDescent="0.2">
      <c r="A207" s="511">
        <v>42034010</v>
      </c>
      <c r="B207" s="467" t="s">
        <v>1287</v>
      </c>
      <c r="C207" s="562" t="s">
        <v>1178</v>
      </c>
      <c r="D207" s="500" t="s">
        <v>269</v>
      </c>
      <c r="E207" s="563">
        <v>5</v>
      </c>
    </row>
    <row r="208" spans="1:5" x14ac:dyDescent="0.2">
      <c r="A208" s="511">
        <v>43039000</v>
      </c>
      <c r="B208" s="467" t="s">
        <v>1278</v>
      </c>
      <c r="C208" s="562" t="s">
        <v>1178</v>
      </c>
      <c r="D208" s="500" t="s">
        <v>269</v>
      </c>
      <c r="E208" s="563">
        <v>18</v>
      </c>
    </row>
    <row r="209" spans="1:5" x14ac:dyDescent="0.2">
      <c r="A209" s="511">
        <v>48021010</v>
      </c>
      <c r="B209" s="467" t="s">
        <v>3355</v>
      </c>
      <c r="C209" s="562" t="s">
        <v>1178</v>
      </c>
      <c r="D209" s="500" t="s">
        <v>269</v>
      </c>
      <c r="E209" s="563">
        <v>12</v>
      </c>
    </row>
    <row r="210" spans="1:5" x14ac:dyDescent="0.2">
      <c r="A210" s="511">
        <v>48025690</v>
      </c>
      <c r="B210" s="467" t="s">
        <v>1279</v>
      </c>
      <c r="C210" s="562" t="s">
        <v>1178</v>
      </c>
      <c r="D210" s="500" t="s">
        <v>269</v>
      </c>
      <c r="E210" s="563">
        <v>12</v>
      </c>
    </row>
    <row r="211" spans="1:5" x14ac:dyDescent="0.2">
      <c r="A211" s="511">
        <v>48114100</v>
      </c>
      <c r="B211" s="467" t="s">
        <v>1273</v>
      </c>
      <c r="C211" s="562" t="s">
        <v>1178</v>
      </c>
      <c r="D211" s="500" t="s">
        <v>269</v>
      </c>
      <c r="E211" s="563">
        <v>18</v>
      </c>
    </row>
    <row r="212" spans="1:5" x14ac:dyDescent="0.2">
      <c r="A212" s="511">
        <v>48171000</v>
      </c>
      <c r="B212" s="467" t="s">
        <v>1281</v>
      </c>
      <c r="C212" s="562" t="s">
        <v>1178</v>
      </c>
      <c r="D212" s="500" t="s">
        <v>269</v>
      </c>
      <c r="E212" s="563">
        <v>28</v>
      </c>
    </row>
    <row r="213" spans="1:5" x14ac:dyDescent="0.2">
      <c r="A213" s="511">
        <v>48196000</v>
      </c>
      <c r="B213" s="467" t="s">
        <v>1203</v>
      </c>
      <c r="C213" s="562" t="s">
        <v>1178</v>
      </c>
      <c r="D213" s="500" t="s">
        <v>269</v>
      </c>
      <c r="E213" s="563">
        <v>18</v>
      </c>
    </row>
    <row r="214" spans="1:5" x14ac:dyDescent="0.2">
      <c r="A214" s="467">
        <v>48201010</v>
      </c>
      <c r="B214" s="499" t="s">
        <v>1372</v>
      </c>
      <c r="C214" s="562" t="s">
        <v>1178</v>
      </c>
      <c r="D214" s="500" t="s">
        <v>269</v>
      </c>
      <c r="E214" s="563">
        <v>18</v>
      </c>
    </row>
    <row r="215" spans="1:5" x14ac:dyDescent="0.2">
      <c r="A215" s="499">
        <v>48209090</v>
      </c>
      <c r="B215" s="499" t="s">
        <v>3353</v>
      </c>
      <c r="C215" s="562" t="s">
        <v>1178</v>
      </c>
      <c r="D215" s="500" t="s">
        <v>269</v>
      </c>
      <c r="E215" s="563">
        <v>18</v>
      </c>
    </row>
    <row r="216" spans="1:5" x14ac:dyDescent="0.2">
      <c r="A216" s="511">
        <v>48211020</v>
      </c>
      <c r="B216" s="467" t="s">
        <v>1282</v>
      </c>
      <c r="C216" s="562" t="s">
        <v>1178</v>
      </c>
      <c r="D216" s="500" t="s">
        <v>269</v>
      </c>
      <c r="E216" s="563">
        <v>18</v>
      </c>
    </row>
    <row r="217" spans="1:5" x14ac:dyDescent="0.2">
      <c r="A217" s="511">
        <v>48211090</v>
      </c>
      <c r="B217" s="467" t="s">
        <v>1283</v>
      </c>
      <c r="C217" s="562" t="s">
        <v>1178</v>
      </c>
      <c r="D217" s="500" t="s">
        <v>269</v>
      </c>
      <c r="E217" s="563">
        <v>18</v>
      </c>
    </row>
    <row r="218" spans="1:5" x14ac:dyDescent="0.2">
      <c r="A218" s="511">
        <v>59111000</v>
      </c>
      <c r="B218" s="467" t="s">
        <v>1284</v>
      </c>
      <c r="C218" s="562" t="s">
        <v>1178</v>
      </c>
      <c r="D218" s="500" t="s">
        <v>269</v>
      </c>
      <c r="E218" s="563">
        <v>12</v>
      </c>
    </row>
    <row r="219" spans="1:5" x14ac:dyDescent="0.2">
      <c r="A219" s="511">
        <v>59114000</v>
      </c>
      <c r="B219" s="467" t="s">
        <v>1284</v>
      </c>
      <c r="C219" s="562" t="s">
        <v>1178</v>
      </c>
      <c r="D219" s="500" t="s">
        <v>269</v>
      </c>
      <c r="E219" s="563">
        <v>18</v>
      </c>
    </row>
    <row r="220" spans="1:5" x14ac:dyDescent="0.2">
      <c r="A220" s="511">
        <v>60060000</v>
      </c>
      <c r="B220" s="467" t="s">
        <v>1285</v>
      </c>
      <c r="C220" s="562" t="s">
        <v>1205</v>
      </c>
      <c r="D220" s="500" t="s">
        <v>269</v>
      </c>
      <c r="E220" s="563">
        <v>5</v>
      </c>
    </row>
    <row r="221" spans="1:5" x14ac:dyDescent="0.2">
      <c r="A221" s="511">
        <v>85389000</v>
      </c>
      <c r="B221" s="467" t="s">
        <v>4294</v>
      </c>
      <c r="C221" s="562" t="s">
        <v>1178</v>
      </c>
      <c r="D221" s="500" t="s">
        <v>269</v>
      </c>
      <c r="E221" s="563">
        <v>18</v>
      </c>
    </row>
    <row r="222" spans="1:5" x14ac:dyDescent="0.2">
      <c r="A222" s="499">
        <v>60060000</v>
      </c>
      <c r="B222" s="499" t="s">
        <v>3351</v>
      </c>
      <c r="C222" s="562" t="s">
        <v>1178</v>
      </c>
      <c r="D222" s="500" t="s">
        <v>269</v>
      </c>
      <c r="E222" s="563">
        <v>5</v>
      </c>
    </row>
    <row r="223" spans="1:5" x14ac:dyDescent="0.2">
      <c r="A223" s="511">
        <v>61169200</v>
      </c>
      <c r="B223" s="467" t="s">
        <v>1286</v>
      </c>
      <c r="C223" s="562" t="s">
        <v>1178</v>
      </c>
      <c r="D223" s="500" t="s">
        <v>269</v>
      </c>
      <c r="E223" s="563">
        <v>5</v>
      </c>
    </row>
    <row r="224" spans="1:5" x14ac:dyDescent="0.2">
      <c r="A224" s="511">
        <v>62160010</v>
      </c>
      <c r="B224" s="467" t="s">
        <v>1286</v>
      </c>
      <c r="C224" s="562" t="s">
        <v>1178</v>
      </c>
      <c r="D224" s="500" t="s">
        <v>269</v>
      </c>
      <c r="E224" s="563">
        <v>5</v>
      </c>
    </row>
    <row r="225" spans="1:5" x14ac:dyDescent="0.2">
      <c r="A225" s="511">
        <v>63071030</v>
      </c>
      <c r="B225" s="467" t="s">
        <v>1287</v>
      </c>
      <c r="C225" s="562" t="s">
        <v>1178</v>
      </c>
      <c r="D225" s="500" t="s">
        <v>269</v>
      </c>
      <c r="E225" s="563">
        <v>5</v>
      </c>
    </row>
    <row r="226" spans="1:5" x14ac:dyDescent="0.2">
      <c r="A226" s="511">
        <v>63071090</v>
      </c>
      <c r="B226" s="467" t="s">
        <v>1288</v>
      </c>
      <c r="C226" s="562" t="s">
        <v>1178</v>
      </c>
      <c r="D226" s="500" t="s">
        <v>269</v>
      </c>
      <c r="E226" s="563">
        <v>18</v>
      </c>
    </row>
    <row r="227" spans="1:5" x14ac:dyDescent="0.2">
      <c r="A227" s="511">
        <v>63079090</v>
      </c>
      <c r="B227" s="467" t="s">
        <v>1289</v>
      </c>
      <c r="C227" s="562" t="s">
        <v>1178</v>
      </c>
      <c r="D227" s="500" t="s">
        <v>269</v>
      </c>
      <c r="E227" s="563">
        <v>5</v>
      </c>
    </row>
    <row r="228" spans="1:5" x14ac:dyDescent="0.2">
      <c r="A228" s="511">
        <v>64011090</v>
      </c>
      <c r="B228" s="467" t="s">
        <v>1290</v>
      </c>
      <c r="C228" s="467"/>
      <c r="D228" s="500" t="s">
        <v>269</v>
      </c>
      <c r="E228" s="563">
        <v>5</v>
      </c>
    </row>
    <row r="229" spans="1:5" x14ac:dyDescent="0.2">
      <c r="A229" s="511">
        <v>68052090</v>
      </c>
      <c r="B229" s="467" t="s">
        <v>1207</v>
      </c>
      <c r="C229" s="562" t="s">
        <v>1178</v>
      </c>
      <c r="D229" s="500" t="s">
        <v>269</v>
      </c>
      <c r="E229" s="563">
        <v>18</v>
      </c>
    </row>
    <row r="230" spans="1:5" x14ac:dyDescent="0.2">
      <c r="A230" s="511">
        <v>68053050</v>
      </c>
      <c r="B230" s="467" t="s">
        <v>1291</v>
      </c>
      <c r="C230" s="562" t="s">
        <v>1178</v>
      </c>
      <c r="D230" s="500" t="s">
        <v>269</v>
      </c>
      <c r="E230" s="563">
        <v>18</v>
      </c>
    </row>
    <row r="231" spans="1:5" x14ac:dyDescent="0.2">
      <c r="A231" s="511">
        <v>68129922</v>
      </c>
      <c r="B231" s="467" t="s">
        <v>1245</v>
      </c>
      <c r="C231" s="562" t="s">
        <v>1178</v>
      </c>
      <c r="D231" s="500" t="s">
        <v>269</v>
      </c>
      <c r="E231" s="563">
        <v>18</v>
      </c>
    </row>
    <row r="232" spans="1:5" x14ac:dyDescent="0.2">
      <c r="A232" s="511">
        <v>72122090</v>
      </c>
      <c r="B232" s="467" t="s">
        <v>4295</v>
      </c>
      <c r="C232" s="562" t="s">
        <v>1178</v>
      </c>
      <c r="D232" s="500" t="s">
        <v>269</v>
      </c>
      <c r="E232" s="563">
        <v>18</v>
      </c>
    </row>
    <row r="233" spans="1:5" x14ac:dyDescent="0.2">
      <c r="A233" s="511">
        <v>73089090</v>
      </c>
      <c r="B233" s="467" t="s">
        <v>4296</v>
      </c>
      <c r="C233" s="562" t="s">
        <v>1178</v>
      </c>
      <c r="D233" s="500" t="s">
        <v>269</v>
      </c>
      <c r="E233" s="563">
        <v>18</v>
      </c>
    </row>
    <row r="234" spans="1:5" x14ac:dyDescent="0.2">
      <c r="A234" s="511">
        <v>73110090</v>
      </c>
      <c r="B234" s="467" t="s">
        <v>4297</v>
      </c>
      <c r="C234" s="562" t="s">
        <v>1178</v>
      </c>
      <c r="D234" s="500" t="s">
        <v>269</v>
      </c>
      <c r="E234" s="563">
        <v>18</v>
      </c>
    </row>
    <row r="235" spans="1:5" x14ac:dyDescent="0.2">
      <c r="A235" s="511">
        <v>73110010</v>
      </c>
      <c r="B235" s="467" t="s">
        <v>1280</v>
      </c>
      <c r="C235" s="562" t="s">
        <v>1178</v>
      </c>
      <c r="D235" s="500" t="s">
        <v>269</v>
      </c>
      <c r="E235" s="563">
        <v>18</v>
      </c>
    </row>
    <row r="236" spans="1:5" x14ac:dyDescent="0.2">
      <c r="A236" s="511">
        <v>73182100</v>
      </c>
      <c r="B236" s="467" t="s">
        <v>1292</v>
      </c>
      <c r="C236" s="562" t="s">
        <v>1178</v>
      </c>
      <c r="D236" s="500" t="s">
        <v>269</v>
      </c>
      <c r="E236" s="563">
        <v>18</v>
      </c>
    </row>
    <row r="237" spans="1:5" x14ac:dyDescent="0.2">
      <c r="A237" s="511">
        <v>73072200</v>
      </c>
      <c r="B237" s="500" t="s">
        <v>1211</v>
      </c>
      <c r="C237" s="562" t="s">
        <v>1178</v>
      </c>
      <c r="D237" s="500" t="s">
        <v>269</v>
      </c>
      <c r="E237" s="563">
        <v>18</v>
      </c>
    </row>
    <row r="238" spans="1:5" x14ac:dyDescent="0.2">
      <c r="A238" s="511">
        <v>73182200</v>
      </c>
      <c r="B238" s="500" t="s">
        <v>1211</v>
      </c>
      <c r="C238" s="562" t="s">
        <v>1178</v>
      </c>
      <c r="D238" s="500" t="s">
        <v>269</v>
      </c>
      <c r="E238" s="563">
        <v>18</v>
      </c>
    </row>
    <row r="239" spans="1:5" x14ac:dyDescent="0.2">
      <c r="A239" s="511">
        <v>73181500</v>
      </c>
      <c r="B239" s="500" t="s">
        <v>1211</v>
      </c>
      <c r="C239" s="562" t="s">
        <v>1178</v>
      </c>
      <c r="D239" s="500" t="s">
        <v>269</v>
      </c>
      <c r="E239" s="563">
        <v>18</v>
      </c>
    </row>
    <row r="240" spans="1:5" x14ac:dyDescent="0.2">
      <c r="A240" s="511">
        <v>73259999</v>
      </c>
      <c r="B240" s="467" t="s">
        <v>1326</v>
      </c>
      <c r="C240" s="562" t="s">
        <v>1178</v>
      </c>
      <c r="D240" s="500" t="s">
        <v>269</v>
      </c>
      <c r="E240" s="563">
        <v>18</v>
      </c>
    </row>
    <row r="241" spans="1:5" x14ac:dyDescent="0.2">
      <c r="A241" s="511">
        <v>74122012</v>
      </c>
      <c r="B241" s="467" t="s">
        <v>1330</v>
      </c>
      <c r="C241" s="562" t="s">
        <v>1178</v>
      </c>
      <c r="D241" s="500" t="s">
        <v>269</v>
      </c>
      <c r="E241" s="563">
        <v>18</v>
      </c>
    </row>
    <row r="242" spans="1:5" x14ac:dyDescent="0.2">
      <c r="A242" s="467">
        <v>76071994</v>
      </c>
      <c r="B242" s="467" t="s">
        <v>1314</v>
      </c>
      <c r="C242" s="562" t="s">
        <v>1178</v>
      </c>
      <c r="D242" s="500" t="s">
        <v>269</v>
      </c>
      <c r="E242" s="563">
        <v>18</v>
      </c>
    </row>
    <row r="243" spans="1:5" x14ac:dyDescent="0.2">
      <c r="A243" s="511">
        <v>82055990</v>
      </c>
      <c r="B243" s="467" t="s">
        <v>1217</v>
      </c>
      <c r="C243" s="562" t="s">
        <v>1178</v>
      </c>
      <c r="D243" s="500" t="s">
        <v>269</v>
      </c>
      <c r="E243" s="563">
        <v>18</v>
      </c>
    </row>
    <row r="244" spans="1:5" x14ac:dyDescent="0.2">
      <c r="A244" s="511">
        <v>84211100</v>
      </c>
      <c r="B244" s="467" t="s">
        <v>4298</v>
      </c>
      <c r="C244" s="562" t="s">
        <v>1178</v>
      </c>
      <c r="D244" s="500" t="s">
        <v>269</v>
      </c>
      <c r="E244" s="563">
        <v>18</v>
      </c>
    </row>
    <row r="245" spans="1:5" x14ac:dyDescent="0.2">
      <c r="A245" s="511">
        <v>84818010</v>
      </c>
      <c r="B245" s="467" t="s">
        <v>4299</v>
      </c>
      <c r="C245" s="562" t="s">
        <v>1178</v>
      </c>
      <c r="D245" s="500" t="s">
        <v>269</v>
      </c>
      <c r="E245" s="563">
        <v>18</v>
      </c>
    </row>
    <row r="246" spans="1:5" x14ac:dyDescent="0.2">
      <c r="A246" s="511">
        <v>84137010</v>
      </c>
      <c r="B246" s="467" t="s">
        <v>1333</v>
      </c>
      <c r="C246" s="562" t="s">
        <v>1178</v>
      </c>
      <c r="D246" s="500" t="s">
        <v>269</v>
      </c>
      <c r="E246" s="563">
        <v>12</v>
      </c>
    </row>
    <row r="247" spans="1:5" x14ac:dyDescent="0.2">
      <c r="A247" s="511">
        <v>84149019</v>
      </c>
      <c r="B247" s="467" t="s">
        <v>1334</v>
      </c>
      <c r="C247" s="562" t="s">
        <v>1178</v>
      </c>
      <c r="D247" s="500" t="s">
        <v>269</v>
      </c>
      <c r="E247" s="563">
        <v>28</v>
      </c>
    </row>
    <row r="248" spans="1:5" x14ac:dyDescent="0.2">
      <c r="A248" s="511">
        <v>84145120</v>
      </c>
      <c r="B248" s="467" t="s">
        <v>1335</v>
      </c>
      <c r="C248" s="562" t="s">
        <v>1178</v>
      </c>
      <c r="D248" s="500" t="s">
        <v>269</v>
      </c>
      <c r="E248" s="563">
        <v>18</v>
      </c>
    </row>
    <row r="249" spans="1:5" x14ac:dyDescent="0.2">
      <c r="A249" s="511" t="s">
        <v>4300</v>
      </c>
      <c r="B249" s="467" t="s">
        <v>1334</v>
      </c>
      <c r="C249" s="562" t="s">
        <v>1178</v>
      </c>
      <c r="D249" s="500" t="s">
        <v>269</v>
      </c>
      <c r="E249" s="563">
        <v>18</v>
      </c>
    </row>
    <row r="250" spans="1:5" x14ac:dyDescent="0.2">
      <c r="A250" s="511">
        <v>84212900</v>
      </c>
      <c r="B250" s="467" t="s">
        <v>1335</v>
      </c>
      <c r="C250" s="562" t="s">
        <v>1178</v>
      </c>
      <c r="D250" s="500" t="s">
        <v>269</v>
      </c>
      <c r="E250" s="563">
        <v>18</v>
      </c>
    </row>
    <row r="251" spans="1:5" x14ac:dyDescent="0.2">
      <c r="A251" s="511">
        <v>84213920</v>
      </c>
      <c r="B251" s="467" t="s">
        <v>1336</v>
      </c>
      <c r="C251" s="562" t="s">
        <v>1178</v>
      </c>
      <c r="D251" s="500" t="s">
        <v>269</v>
      </c>
      <c r="E251" s="563">
        <v>18</v>
      </c>
    </row>
    <row r="252" spans="1:5" x14ac:dyDescent="0.2">
      <c r="A252" s="511">
        <v>84219100</v>
      </c>
      <c r="B252" s="500" t="s">
        <v>1332</v>
      </c>
      <c r="C252" s="562" t="s">
        <v>1178</v>
      </c>
      <c r="D252" s="500" t="s">
        <v>269</v>
      </c>
      <c r="E252" s="563">
        <v>18</v>
      </c>
    </row>
    <row r="253" spans="1:5" x14ac:dyDescent="0.2">
      <c r="A253" s="511">
        <v>84224000</v>
      </c>
      <c r="B253" s="500" t="s">
        <v>4301</v>
      </c>
      <c r="C253" s="562" t="s">
        <v>1178</v>
      </c>
      <c r="D253" s="500" t="s">
        <v>269</v>
      </c>
      <c r="E253" s="563">
        <v>18</v>
      </c>
    </row>
    <row r="254" spans="1:5" x14ac:dyDescent="0.2">
      <c r="A254" s="511">
        <v>84242000</v>
      </c>
      <c r="B254" s="467" t="s">
        <v>266</v>
      </c>
      <c r="C254" s="562" t="s">
        <v>1178</v>
      </c>
      <c r="D254" s="500" t="s">
        <v>269</v>
      </c>
      <c r="E254" s="563">
        <v>18</v>
      </c>
    </row>
    <row r="255" spans="1:5" x14ac:dyDescent="0.2">
      <c r="A255" s="511">
        <v>84248910</v>
      </c>
      <c r="B255" s="467" t="s">
        <v>1305</v>
      </c>
      <c r="C255" s="562" t="s">
        <v>1178</v>
      </c>
      <c r="D255" s="500" t="s">
        <v>269</v>
      </c>
      <c r="E255" s="563">
        <v>18</v>
      </c>
    </row>
    <row r="256" spans="1:5" x14ac:dyDescent="0.2">
      <c r="A256" s="511">
        <v>84249000</v>
      </c>
      <c r="B256" s="467" t="s">
        <v>1328</v>
      </c>
      <c r="C256" s="562" t="s">
        <v>1178</v>
      </c>
      <c r="D256" s="500" t="s">
        <v>269</v>
      </c>
      <c r="E256" s="563">
        <v>18</v>
      </c>
    </row>
    <row r="257" spans="1:5" x14ac:dyDescent="0.2">
      <c r="A257" s="511">
        <v>84411090</v>
      </c>
      <c r="B257" s="467" t="s">
        <v>1219</v>
      </c>
      <c r="C257" s="562" t="s">
        <v>1178</v>
      </c>
      <c r="D257" s="500" t="s">
        <v>269</v>
      </c>
      <c r="E257" s="563">
        <v>18</v>
      </c>
    </row>
    <row r="258" spans="1:5" x14ac:dyDescent="0.2">
      <c r="A258" s="511">
        <v>84439959</v>
      </c>
      <c r="B258" s="467" t="s">
        <v>1191</v>
      </c>
      <c r="C258" s="562" t="s">
        <v>1178</v>
      </c>
      <c r="D258" s="500" t="s">
        <v>269</v>
      </c>
      <c r="E258" s="563">
        <v>18</v>
      </c>
    </row>
    <row r="259" spans="1:5" x14ac:dyDescent="0.2">
      <c r="A259" s="467">
        <v>84663020</v>
      </c>
      <c r="B259" s="467" t="s">
        <v>1373</v>
      </c>
      <c r="C259" s="562" t="s">
        <v>1178</v>
      </c>
      <c r="D259" s="500" t="s">
        <v>269</v>
      </c>
      <c r="E259" s="563">
        <v>18</v>
      </c>
    </row>
    <row r="260" spans="1:5" x14ac:dyDescent="0.2">
      <c r="A260" s="511">
        <v>84671190</v>
      </c>
      <c r="B260" s="467" t="s">
        <v>1297</v>
      </c>
      <c r="C260" s="562" t="s">
        <v>1178</v>
      </c>
      <c r="D260" s="500" t="s">
        <v>269</v>
      </c>
      <c r="E260" s="563">
        <v>18</v>
      </c>
    </row>
    <row r="261" spans="1:5" x14ac:dyDescent="0.2">
      <c r="A261" s="511">
        <v>84679900</v>
      </c>
      <c r="B261" s="467" t="s">
        <v>1245</v>
      </c>
      <c r="C261" s="562" t="s">
        <v>1178</v>
      </c>
      <c r="D261" s="500" t="s">
        <v>269</v>
      </c>
      <c r="E261" s="563">
        <v>18</v>
      </c>
    </row>
    <row r="262" spans="1:5" x14ac:dyDescent="0.2">
      <c r="A262" s="511">
        <v>84689900</v>
      </c>
      <c r="B262" s="514" t="s">
        <v>1347</v>
      </c>
      <c r="C262" s="562" t="s">
        <v>1178</v>
      </c>
      <c r="D262" s="500" t="s">
        <v>269</v>
      </c>
      <c r="E262" s="563">
        <v>18</v>
      </c>
    </row>
    <row r="263" spans="1:5" x14ac:dyDescent="0.2">
      <c r="A263" s="511">
        <v>84701000</v>
      </c>
      <c r="B263" s="467" t="s">
        <v>1338</v>
      </c>
      <c r="C263" s="562" t="s">
        <v>1178</v>
      </c>
      <c r="D263" s="500" t="s">
        <v>269</v>
      </c>
      <c r="E263" s="563">
        <v>18</v>
      </c>
    </row>
    <row r="264" spans="1:5" x14ac:dyDescent="0.2">
      <c r="A264" s="511">
        <v>84148090</v>
      </c>
      <c r="B264" s="467" t="s">
        <v>4302</v>
      </c>
      <c r="C264" s="562" t="s">
        <v>1178</v>
      </c>
      <c r="D264" s="500" t="s">
        <v>269</v>
      </c>
      <c r="E264" s="563">
        <v>18</v>
      </c>
    </row>
    <row r="265" spans="1:5" x14ac:dyDescent="0.2">
      <c r="A265" s="511">
        <v>84716040</v>
      </c>
      <c r="B265" s="467" t="s">
        <v>1306</v>
      </c>
      <c r="C265" s="562" t="s">
        <v>1178</v>
      </c>
      <c r="D265" s="500" t="s">
        <v>269</v>
      </c>
      <c r="E265" s="563">
        <v>18</v>
      </c>
    </row>
    <row r="266" spans="1:5" x14ac:dyDescent="0.2">
      <c r="A266" s="511">
        <v>84716060</v>
      </c>
      <c r="B266" s="467" t="s">
        <v>1295</v>
      </c>
      <c r="C266" s="562" t="s">
        <v>1178</v>
      </c>
      <c r="D266" s="500" t="s">
        <v>269</v>
      </c>
      <c r="E266" s="563">
        <v>18</v>
      </c>
    </row>
    <row r="267" spans="1:5" x14ac:dyDescent="0.2">
      <c r="A267" s="511">
        <v>84716090</v>
      </c>
      <c r="B267" s="467" t="s">
        <v>1270</v>
      </c>
      <c r="C267" s="562" t="s">
        <v>1178</v>
      </c>
      <c r="D267" s="500" t="s">
        <v>269</v>
      </c>
      <c r="E267" s="563">
        <v>18</v>
      </c>
    </row>
    <row r="268" spans="1:5" x14ac:dyDescent="0.2">
      <c r="A268" s="511">
        <v>84717020</v>
      </c>
      <c r="B268" s="467" t="s">
        <v>1339</v>
      </c>
      <c r="C268" s="562" t="s">
        <v>1178</v>
      </c>
      <c r="D268" s="500" t="s">
        <v>269</v>
      </c>
      <c r="E268" s="563">
        <v>28</v>
      </c>
    </row>
    <row r="269" spans="1:5" x14ac:dyDescent="0.2">
      <c r="A269" s="511">
        <v>84729010</v>
      </c>
      <c r="B269" s="467" t="s">
        <v>1340</v>
      </c>
      <c r="C269" s="562" t="s">
        <v>1178</v>
      </c>
      <c r="D269" s="500" t="s">
        <v>269</v>
      </c>
      <c r="E269" s="563">
        <v>18</v>
      </c>
    </row>
    <row r="270" spans="1:5" x14ac:dyDescent="0.2">
      <c r="A270" s="511">
        <v>84733030</v>
      </c>
      <c r="B270" s="467" t="s">
        <v>1341</v>
      </c>
      <c r="C270" s="562" t="s">
        <v>1178</v>
      </c>
      <c r="D270" s="500" t="s">
        <v>269</v>
      </c>
      <c r="E270" s="563">
        <v>18</v>
      </c>
    </row>
    <row r="271" spans="1:5" x14ac:dyDescent="0.2">
      <c r="A271" s="511">
        <v>84733099</v>
      </c>
      <c r="B271" s="467" t="s">
        <v>1270</v>
      </c>
      <c r="C271" s="562" t="s">
        <v>1178</v>
      </c>
      <c r="D271" s="500" t="s">
        <v>269</v>
      </c>
      <c r="E271" s="563">
        <v>28</v>
      </c>
    </row>
    <row r="272" spans="1:5" x14ac:dyDescent="0.2">
      <c r="A272" s="511">
        <v>84795000</v>
      </c>
      <c r="B272" s="467" t="s">
        <v>4303</v>
      </c>
      <c r="C272" s="562" t="s">
        <v>1178</v>
      </c>
      <c r="D272" s="500" t="s">
        <v>269</v>
      </c>
      <c r="E272" s="563">
        <v>18</v>
      </c>
    </row>
    <row r="273" spans="1:5" x14ac:dyDescent="0.2">
      <c r="A273" s="511">
        <v>84778090</v>
      </c>
      <c r="B273" s="514" t="s">
        <v>1348</v>
      </c>
      <c r="C273" s="562" t="s">
        <v>1178</v>
      </c>
      <c r="D273" s="500" t="s">
        <v>269</v>
      </c>
      <c r="E273" s="563">
        <v>18</v>
      </c>
    </row>
    <row r="274" spans="1:5" x14ac:dyDescent="0.2">
      <c r="A274" s="511">
        <v>84818030</v>
      </c>
      <c r="B274" s="467" t="s">
        <v>1331</v>
      </c>
      <c r="C274" s="562" t="s">
        <v>1178</v>
      </c>
      <c r="D274" s="500" t="s">
        <v>269</v>
      </c>
      <c r="E274" s="563">
        <v>18</v>
      </c>
    </row>
    <row r="275" spans="1:5" x14ac:dyDescent="0.2">
      <c r="A275" s="511">
        <v>84818090</v>
      </c>
      <c r="B275" s="500" t="s">
        <v>1224</v>
      </c>
      <c r="C275" s="562" t="s">
        <v>1178</v>
      </c>
      <c r="D275" s="500" t="s">
        <v>269</v>
      </c>
      <c r="E275" s="563">
        <v>18</v>
      </c>
    </row>
    <row r="276" spans="1:5" x14ac:dyDescent="0.2">
      <c r="A276" s="511">
        <v>85015210</v>
      </c>
      <c r="B276" s="467" t="s">
        <v>1303</v>
      </c>
      <c r="C276" s="562" t="s">
        <v>1178</v>
      </c>
      <c r="D276" s="500" t="s">
        <v>269</v>
      </c>
      <c r="E276" s="563">
        <v>18</v>
      </c>
    </row>
    <row r="277" spans="1:5" x14ac:dyDescent="0.2">
      <c r="A277" s="511">
        <v>85051110</v>
      </c>
      <c r="B277" s="467" t="s">
        <v>1191</v>
      </c>
      <c r="C277" s="562" t="s">
        <v>1178</v>
      </c>
      <c r="D277" s="500" t="s">
        <v>269</v>
      </c>
      <c r="E277" s="563">
        <v>18</v>
      </c>
    </row>
    <row r="278" spans="1:5" x14ac:dyDescent="0.2">
      <c r="A278" s="511">
        <v>85051900</v>
      </c>
      <c r="B278" s="467" t="s">
        <v>1191</v>
      </c>
      <c r="C278" s="562" t="s">
        <v>1178</v>
      </c>
      <c r="D278" s="500" t="s">
        <v>269</v>
      </c>
      <c r="E278" s="563">
        <v>18</v>
      </c>
    </row>
    <row r="279" spans="1:5" x14ac:dyDescent="0.2">
      <c r="A279" s="511">
        <v>85061000</v>
      </c>
      <c r="B279" s="467" t="s">
        <v>1226</v>
      </c>
      <c r="C279" s="562" t="s">
        <v>1178</v>
      </c>
      <c r="D279" s="500" t="s">
        <v>269</v>
      </c>
      <c r="E279" s="563">
        <v>28</v>
      </c>
    </row>
    <row r="280" spans="1:5" x14ac:dyDescent="0.2">
      <c r="A280" s="511">
        <v>85068090</v>
      </c>
      <c r="B280" s="467" t="s">
        <v>1226</v>
      </c>
      <c r="C280" s="562" t="s">
        <v>1178</v>
      </c>
      <c r="D280" s="500" t="s">
        <v>269</v>
      </c>
      <c r="E280" s="563">
        <v>18</v>
      </c>
    </row>
    <row r="281" spans="1:5" x14ac:dyDescent="0.2">
      <c r="A281" s="511">
        <v>85122020</v>
      </c>
      <c r="B281" s="467" t="s">
        <v>1281</v>
      </c>
      <c r="C281" s="562" t="s">
        <v>1178</v>
      </c>
      <c r="D281" s="500" t="s">
        <v>269</v>
      </c>
      <c r="E281" s="563">
        <v>18</v>
      </c>
    </row>
    <row r="282" spans="1:5" x14ac:dyDescent="0.2">
      <c r="A282" s="511">
        <v>85122010</v>
      </c>
      <c r="B282" s="467" t="s">
        <v>1281</v>
      </c>
      <c r="C282" s="562" t="s">
        <v>1178</v>
      </c>
      <c r="D282" s="500" t="s">
        <v>269</v>
      </c>
      <c r="E282" s="563">
        <v>18</v>
      </c>
    </row>
    <row r="283" spans="1:5" x14ac:dyDescent="0.2">
      <c r="A283" s="511">
        <v>85129000</v>
      </c>
      <c r="B283" s="467" t="s">
        <v>1281</v>
      </c>
      <c r="C283" s="562" t="s">
        <v>1178</v>
      </c>
      <c r="D283" s="500" t="s">
        <v>269</v>
      </c>
      <c r="E283" s="563">
        <v>18</v>
      </c>
    </row>
    <row r="284" spans="1:5" x14ac:dyDescent="0.2">
      <c r="A284" s="511">
        <v>85131090</v>
      </c>
      <c r="B284" s="467" t="s">
        <v>1300</v>
      </c>
      <c r="C284" s="562" t="s">
        <v>1178</v>
      </c>
      <c r="D284" s="500" t="s">
        <v>269</v>
      </c>
      <c r="E284" s="563">
        <v>18</v>
      </c>
    </row>
    <row r="285" spans="1:5" x14ac:dyDescent="0.2">
      <c r="A285" s="511">
        <v>85198990</v>
      </c>
      <c r="B285" s="467" t="s">
        <v>1295</v>
      </c>
      <c r="C285" s="562" t="s">
        <v>1178</v>
      </c>
      <c r="D285" s="500" t="s">
        <v>269</v>
      </c>
      <c r="E285" s="563">
        <v>18</v>
      </c>
    </row>
    <row r="286" spans="1:5" x14ac:dyDescent="0.2">
      <c r="A286" s="511">
        <v>85021200</v>
      </c>
      <c r="B286" s="467" t="s">
        <v>4304</v>
      </c>
      <c r="C286" s="562" t="s">
        <v>1178</v>
      </c>
      <c r="D286" s="500" t="s">
        <v>269</v>
      </c>
      <c r="E286" s="563">
        <v>18</v>
      </c>
    </row>
    <row r="287" spans="1:5" x14ac:dyDescent="0.2">
      <c r="A287" s="467">
        <v>85362020</v>
      </c>
      <c r="B287" s="467" t="s">
        <v>1371</v>
      </c>
      <c r="C287" s="562" t="s">
        <v>1178</v>
      </c>
      <c r="D287" s="500" t="s">
        <v>269</v>
      </c>
      <c r="E287" s="563">
        <v>18</v>
      </c>
    </row>
    <row r="288" spans="1:5" x14ac:dyDescent="0.2">
      <c r="A288" s="467">
        <v>85362030</v>
      </c>
      <c r="B288" s="467" t="s">
        <v>1371</v>
      </c>
      <c r="C288" s="562" t="s">
        <v>1178</v>
      </c>
      <c r="D288" s="500" t="s">
        <v>269</v>
      </c>
      <c r="E288" s="563">
        <v>18</v>
      </c>
    </row>
    <row r="289" spans="1:5" x14ac:dyDescent="0.2">
      <c r="A289" s="499">
        <v>85362090</v>
      </c>
      <c r="B289" s="499" t="s">
        <v>3352</v>
      </c>
      <c r="C289" s="562" t="s">
        <v>1178</v>
      </c>
      <c r="D289" s="500" t="s">
        <v>269</v>
      </c>
      <c r="E289" s="563">
        <v>18</v>
      </c>
    </row>
    <row r="290" spans="1:5" x14ac:dyDescent="0.2">
      <c r="A290" s="499">
        <v>85371000</v>
      </c>
      <c r="B290" s="499" t="s">
        <v>3352</v>
      </c>
      <c r="C290" s="562" t="s">
        <v>1178</v>
      </c>
      <c r="D290" s="500" t="s">
        <v>269</v>
      </c>
      <c r="E290" s="563">
        <v>18</v>
      </c>
    </row>
    <row r="291" spans="1:5" x14ac:dyDescent="0.2">
      <c r="A291" s="516" t="s">
        <v>573</v>
      </c>
      <c r="B291" s="467" t="s">
        <v>1370</v>
      </c>
      <c r="C291" s="562" t="s">
        <v>1178</v>
      </c>
      <c r="D291" s="500" t="s">
        <v>269</v>
      </c>
      <c r="E291" s="563">
        <v>18</v>
      </c>
    </row>
    <row r="292" spans="1:5" x14ac:dyDescent="0.2">
      <c r="A292" s="467">
        <v>85381010</v>
      </c>
      <c r="B292" s="467" t="s">
        <v>1370</v>
      </c>
      <c r="C292" s="562" t="s">
        <v>1178</v>
      </c>
      <c r="D292" s="500" t="s">
        <v>269</v>
      </c>
      <c r="E292" s="563">
        <v>18</v>
      </c>
    </row>
    <row r="293" spans="1:5" x14ac:dyDescent="0.2">
      <c r="A293" s="511">
        <v>85381090</v>
      </c>
      <c r="B293" s="467" t="s">
        <v>1344</v>
      </c>
      <c r="C293" s="562" t="s">
        <v>1178</v>
      </c>
      <c r="D293" s="500" t="s">
        <v>269</v>
      </c>
      <c r="E293" s="563">
        <v>18</v>
      </c>
    </row>
    <row r="294" spans="1:5" x14ac:dyDescent="0.2">
      <c r="A294" s="511">
        <v>85395000</v>
      </c>
      <c r="B294" s="467" t="s">
        <v>1281</v>
      </c>
      <c r="C294" s="562" t="s">
        <v>1178</v>
      </c>
      <c r="D294" s="500" t="s">
        <v>269</v>
      </c>
      <c r="E294" s="563">
        <v>12</v>
      </c>
    </row>
    <row r="295" spans="1:5" x14ac:dyDescent="0.2">
      <c r="A295" s="511">
        <v>85414020</v>
      </c>
      <c r="B295" s="467" t="s">
        <v>1281</v>
      </c>
      <c r="C295" s="562" t="s">
        <v>1178</v>
      </c>
      <c r="D295" s="500" t="s">
        <v>269</v>
      </c>
      <c r="E295" s="563">
        <v>18</v>
      </c>
    </row>
    <row r="296" spans="1:5" x14ac:dyDescent="0.2">
      <c r="A296" s="511">
        <v>85444992</v>
      </c>
      <c r="B296" s="467" t="s">
        <v>1345</v>
      </c>
      <c r="C296" s="562" t="s">
        <v>1178</v>
      </c>
      <c r="D296" s="500" t="s">
        <v>269</v>
      </c>
      <c r="E296" s="563">
        <v>18</v>
      </c>
    </row>
    <row r="297" spans="1:5" x14ac:dyDescent="0.2">
      <c r="A297" s="511">
        <v>85444999</v>
      </c>
      <c r="B297" s="467" t="s">
        <v>1346</v>
      </c>
      <c r="C297" s="562" t="s">
        <v>1205</v>
      </c>
      <c r="D297" s="500" t="s">
        <v>269</v>
      </c>
      <c r="E297" s="563">
        <v>18</v>
      </c>
    </row>
    <row r="298" spans="1:5" x14ac:dyDescent="0.2">
      <c r="A298" s="511">
        <v>85446090</v>
      </c>
      <c r="B298" s="467" t="s">
        <v>1346</v>
      </c>
      <c r="C298" s="562" t="s">
        <v>1205</v>
      </c>
      <c r="D298" s="500" t="s">
        <v>269</v>
      </c>
      <c r="E298" s="563">
        <v>18</v>
      </c>
    </row>
    <row r="299" spans="1:5" x14ac:dyDescent="0.2">
      <c r="A299" s="511">
        <v>87081090</v>
      </c>
      <c r="B299" s="467" t="s">
        <v>266</v>
      </c>
      <c r="C299" s="562" t="s">
        <v>1178</v>
      </c>
      <c r="D299" s="500" t="s">
        <v>269</v>
      </c>
      <c r="E299" s="563">
        <v>28</v>
      </c>
    </row>
    <row r="300" spans="1:5" x14ac:dyDescent="0.2">
      <c r="A300" s="511">
        <v>87082900</v>
      </c>
      <c r="B300" s="467" t="s">
        <v>266</v>
      </c>
      <c r="C300" s="562" t="s">
        <v>1178</v>
      </c>
      <c r="D300" s="500" t="s">
        <v>269</v>
      </c>
      <c r="E300" s="563">
        <v>28</v>
      </c>
    </row>
    <row r="301" spans="1:5" x14ac:dyDescent="0.2">
      <c r="A301" s="511">
        <v>87089900</v>
      </c>
      <c r="B301" s="467" t="s">
        <v>266</v>
      </c>
      <c r="C301" s="562" t="s">
        <v>1178</v>
      </c>
      <c r="D301" s="500" t="s">
        <v>269</v>
      </c>
      <c r="E301" s="563">
        <v>28</v>
      </c>
    </row>
    <row r="302" spans="1:5" x14ac:dyDescent="0.2">
      <c r="A302" s="511">
        <v>87141090</v>
      </c>
      <c r="B302" s="467" t="s">
        <v>266</v>
      </c>
      <c r="C302" s="562" t="s">
        <v>1178</v>
      </c>
      <c r="D302" s="500" t="s">
        <v>269</v>
      </c>
      <c r="E302" s="563">
        <v>28</v>
      </c>
    </row>
    <row r="303" spans="1:5" x14ac:dyDescent="0.2">
      <c r="A303" s="511">
        <v>87141900</v>
      </c>
      <c r="B303" s="467" t="s">
        <v>266</v>
      </c>
      <c r="C303" s="562" t="s">
        <v>1178</v>
      </c>
      <c r="D303" s="500" t="s">
        <v>269</v>
      </c>
      <c r="E303" s="563">
        <v>28</v>
      </c>
    </row>
    <row r="304" spans="1:5" x14ac:dyDescent="0.2">
      <c r="A304" s="511">
        <v>87142090</v>
      </c>
      <c r="B304" s="467" t="s">
        <v>266</v>
      </c>
      <c r="C304" s="562" t="s">
        <v>1178</v>
      </c>
      <c r="D304" s="500" t="s">
        <v>269</v>
      </c>
      <c r="E304" s="563">
        <v>28</v>
      </c>
    </row>
    <row r="305" spans="1:5" x14ac:dyDescent="0.2">
      <c r="A305" s="511">
        <v>9031</v>
      </c>
      <c r="B305" s="467" t="s">
        <v>1351</v>
      </c>
      <c r="C305" s="562" t="s">
        <v>1178</v>
      </c>
      <c r="D305" s="500" t="s">
        <v>269</v>
      </c>
      <c r="E305" s="563">
        <v>18</v>
      </c>
    </row>
    <row r="306" spans="1:5" x14ac:dyDescent="0.2">
      <c r="A306" s="511">
        <v>995469</v>
      </c>
      <c r="B306" s="467" t="s">
        <v>4305</v>
      </c>
      <c r="C306" s="562" t="s">
        <v>1178</v>
      </c>
      <c r="D306" s="500" t="s">
        <v>1241</v>
      </c>
      <c r="E306" s="563">
        <v>18</v>
      </c>
    </row>
    <row r="307" spans="1:5" x14ac:dyDescent="0.2">
      <c r="A307" s="511">
        <v>94054090</v>
      </c>
      <c r="B307" s="467" t="s">
        <v>4306</v>
      </c>
      <c r="C307" s="562" t="s">
        <v>1178</v>
      </c>
      <c r="D307" s="500" t="s">
        <v>269</v>
      </c>
      <c r="E307" s="563">
        <v>12</v>
      </c>
    </row>
    <row r="308" spans="1:5" x14ac:dyDescent="0.2">
      <c r="A308" s="511">
        <v>96031000</v>
      </c>
      <c r="B308" s="467" t="s">
        <v>1350</v>
      </c>
      <c r="C308" s="562" t="s">
        <v>1178</v>
      </c>
      <c r="D308" s="500" t="s">
        <v>269</v>
      </c>
      <c r="E308" s="563">
        <v>0</v>
      </c>
    </row>
    <row r="309" spans="1:5" x14ac:dyDescent="0.2">
      <c r="A309" s="511">
        <v>90321090</v>
      </c>
      <c r="B309" s="467" t="s">
        <v>4307</v>
      </c>
      <c r="C309" s="562" t="s">
        <v>1178</v>
      </c>
      <c r="D309" s="500" t="s">
        <v>269</v>
      </c>
      <c r="E309" s="563">
        <v>18</v>
      </c>
    </row>
    <row r="310" spans="1:5" x14ac:dyDescent="0.2">
      <c r="A310" s="511">
        <v>96039000</v>
      </c>
      <c r="B310" s="467" t="s">
        <v>1329</v>
      </c>
      <c r="C310" s="562" t="s">
        <v>1178</v>
      </c>
      <c r="D310" s="500" t="s">
        <v>269</v>
      </c>
      <c r="E310" s="563">
        <v>18</v>
      </c>
    </row>
    <row r="311" spans="1:5" x14ac:dyDescent="0.2">
      <c r="A311" s="511">
        <v>96039090</v>
      </c>
      <c r="B311" s="467" t="s">
        <v>1237</v>
      </c>
      <c r="C311" s="562" t="s">
        <v>1178</v>
      </c>
      <c r="D311" s="500" t="s">
        <v>269</v>
      </c>
      <c r="E311" s="563">
        <v>18</v>
      </c>
    </row>
    <row r="312" spans="1:5" x14ac:dyDescent="0.2">
      <c r="A312" s="511">
        <v>96081019</v>
      </c>
      <c r="B312" s="467" t="s">
        <v>1316</v>
      </c>
      <c r="C312" s="562" t="s">
        <v>1178</v>
      </c>
      <c r="D312" s="500" t="s">
        <v>269</v>
      </c>
      <c r="E312" s="563">
        <v>12</v>
      </c>
    </row>
    <row r="313" spans="1:5" x14ac:dyDescent="0.2">
      <c r="A313" s="511">
        <v>96082000</v>
      </c>
      <c r="B313" s="467" t="s">
        <v>1238</v>
      </c>
      <c r="C313" s="562" t="s">
        <v>1178</v>
      </c>
      <c r="D313" s="500" t="s">
        <v>269</v>
      </c>
      <c r="E313" s="563">
        <v>12</v>
      </c>
    </row>
    <row r="314" spans="1:5" x14ac:dyDescent="0.2">
      <c r="A314" s="511">
        <v>67042020</v>
      </c>
      <c r="B314" s="467" t="s">
        <v>4308</v>
      </c>
      <c r="C314" s="562" t="s">
        <v>1178</v>
      </c>
      <c r="D314" s="500" t="s">
        <v>269</v>
      </c>
      <c r="E314" s="563">
        <v>5</v>
      </c>
    </row>
    <row r="315" spans="1:5" x14ac:dyDescent="0.2">
      <c r="A315" s="511">
        <v>96089990</v>
      </c>
      <c r="B315" s="467" t="s">
        <v>1316</v>
      </c>
      <c r="C315" s="562" t="s">
        <v>1178</v>
      </c>
      <c r="D315" s="500" t="s">
        <v>269</v>
      </c>
      <c r="E315" s="563">
        <v>12</v>
      </c>
    </row>
    <row r="316" spans="1:5" x14ac:dyDescent="0.2">
      <c r="A316" s="511">
        <v>96091000</v>
      </c>
      <c r="B316" s="467" t="s">
        <v>1351</v>
      </c>
      <c r="C316" s="562" t="s">
        <v>1178</v>
      </c>
      <c r="D316" s="500" t="s">
        <v>269</v>
      </c>
      <c r="E316" s="563">
        <v>12</v>
      </c>
    </row>
    <row r="317" spans="1:5" x14ac:dyDescent="0.2">
      <c r="A317" s="511">
        <v>4016932003</v>
      </c>
      <c r="B317" s="500" t="s">
        <v>1243</v>
      </c>
      <c r="C317" s="562" t="s">
        <v>1178</v>
      </c>
      <c r="D317" s="500" t="s">
        <v>269</v>
      </c>
      <c r="E317" s="563">
        <v>28</v>
      </c>
    </row>
    <row r="318" spans="1:5" x14ac:dyDescent="0.2">
      <c r="A318" s="511" t="s">
        <v>1352</v>
      </c>
      <c r="B318" s="467" t="s">
        <v>1268</v>
      </c>
      <c r="C318" s="562" t="s">
        <v>1182</v>
      </c>
      <c r="D318" s="500" t="s">
        <v>269</v>
      </c>
      <c r="E318" s="563">
        <v>18</v>
      </c>
    </row>
    <row r="319" spans="1:5" x14ac:dyDescent="0.2">
      <c r="A319" s="511" t="s">
        <v>569</v>
      </c>
      <c r="B319" s="467" t="s">
        <v>1189</v>
      </c>
      <c r="C319" s="562" t="s">
        <v>1178</v>
      </c>
      <c r="D319" s="500" t="s">
        <v>269</v>
      </c>
      <c r="E319" s="563">
        <v>18</v>
      </c>
    </row>
    <row r="320" spans="1:5" x14ac:dyDescent="0.2">
      <c r="A320" s="511" t="s">
        <v>624</v>
      </c>
      <c r="B320" s="467" t="s">
        <v>1186</v>
      </c>
      <c r="C320" s="562" t="s">
        <v>1178</v>
      </c>
      <c r="D320" s="500" t="s">
        <v>269</v>
      </c>
      <c r="E320" s="563">
        <v>18</v>
      </c>
    </row>
    <row r="321" spans="1:5" x14ac:dyDescent="0.2">
      <c r="A321" s="517" t="s">
        <v>1355</v>
      </c>
      <c r="B321" s="467" t="s">
        <v>1186</v>
      </c>
      <c r="C321" s="562" t="s">
        <v>1185</v>
      </c>
      <c r="D321" s="500" t="s">
        <v>269</v>
      </c>
      <c r="E321" s="563">
        <v>18</v>
      </c>
    </row>
    <row r="322" spans="1:5" x14ac:dyDescent="0.2">
      <c r="A322" s="978" t="s">
        <v>481</v>
      </c>
      <c r="B322" s="467" t="s">
        <v>266</v>
      </c>
      <c r="C322" s="562" t="s">
        <v>1178</v>
      </c>
      <c r="D322" s="500" t="s">
        <v>269</v>
      </c>
      <c r="E322" s="563">
        <v>18</v>
      </c>
    </row>
    <row r="323" spans="1:5" x14ac:dyDescent="0.2">
      <c r="A323" s="511" t="s">
        <v>1362</v>
      </c>
      <c r="B323" s="500" t="s">
        <v>1249</v>
      </c>
      <c r="C323" s="562" t="s">
        <v>1178</v>
      </c>
      <c r="D323" s="500" t="s">
        <v>269</v>
      </c>
      <c r="E323" s="563">
        <v>18</v>
      </c>
    </row>
    <row r="324" spans="1:5" x14ac:dyDescent="0.2">
      <c r="A324" s="979" t="s">
        <v>1364</v>
      </c>
      <c r="B324" s="500" t="s">
        <v>1277</v>
      </c>
      <c r="C324" s="562" t="s">
        <v>1178</v>
      </c>
      <c r="D324" s="500" t="s">
        <v>269</v>
      </c>
      <c r="E324" s="563">
        <v>28</v>
      </c>
    </row>
    <row r="325" spans="1:5" x14ac:dyDescent="0.2">
      <c r="A325" s="979" t="s">
        <v>524</v>
      </c>
      <c r="B325" s="467" t="s">
        <v>1244</v>
      </c>
      <c r="C325" s="562" t="s">
        <v>1178</v>
      </c>
      <c r="D325" s="500" t="s">
        <v>1241</v>
      </c>
      <c r="E325" s="563">
        <v>18</v>
      </c>
    </row>
    <row r="326" spans="1:5" x14ac:dyDescent="0.2">
      <c r="A326" s="979" t="s">
        <v>1365</v>
      </c>
      <c r="B326" s="467" t="s">
        <v>1281</v>
      </c>
      <c r="C326" s="562" t="s">
        <v>1178</v>
      </c>
      <c r="D326" s="500" t="s">
        <v>269</v>
      </c>
      <c r="E326" s="563">
        <v>18</v>
      </c>
    </row>
    <row r="327" spans="1:5" x14ac:dyDescent="0.2">
      <c r="A327" s="979" t="s">
        <v>637</v>
      </c>
      <c r="B327" s="467" t="s">
        <v>1233</v>
      </c>
      <c r="C327" s="562" t="s">
        <v>1178</v>
      </c>
      <c r="D327" s="500" t="s">
        <v>269</v>
      </c>
      <c r="E327" s="563">
        <v>18</v>
      </c>
    </row>
    <row r="328" spans="1:5" x14ac:dyDescent="0.2">
      <c r="A328" s="979" t="s">
        <v>567</v>
      </c>
      <c r="B328" s="467" t="s">
        <v>1237</v>
      </c>
      <c r="C328" s="562" t="s">
        <v>1178</v>
      </c>
      <c r="D328" s="500" t="s">
        <v>269</v>
      </c>
      <c r="E328" s="563">
        <v>18</v>
      </c>
    </row>
    <row r="329" spans="1:5" x14ac:dyDescent="0.2">
      <c r="A329" s="979"/>
      <c r="B329" s="467"/>
      <c r="C329" s="562"/>
      <c r="D329" s="500"/>
      <c r="E329" s="563"/>
    </row>
    <row r="330" spans="1:5" x14ac:dyDescent="0.2">
      <c r="A330" s="516" t="s">
        <v>732</v>
      </c>
      <c r="B330" s="500" t="s">
        <v>1367</v>
      </c>
      <c r="C330" s="562" t="s">
        <v>1178</v>
      </c>
      <c r="D330" s="500" t="s">
        <v>1241</v>
      </c>
      <c r="E330" s="563">
        <v>18</v>
      </c>
    </row>
  </sheetData>
  <mergeCells count="1">
    <mergeCell ref="A1:E1"/>
  </mergeCells>
  <conditionalFormatting sqref="A138:A145 A4:A14 A60:A68 A30:A37 A90:A91 A39:A58 A70:A72 A16:A28 A93:A115 A117:A124 A74:A88 A126:A136">
    <cfRule type="duplicateValues" dxfId="36" priority="35"/>
  </conditionalFormatting>
  <conditionalFormatting sqref="A137">
    <cfRule type="duplicateValues" dxfId="35" priority="33"/>
  </conditionalFormatting>
  <conditionalFormatting sqref="A137">
    <cfRule type="duplicateValues" dxfId="34" priority="34"/>
  </conditionalFormatting>
  <conditionalFormatting sqref="A316:A318 A4:A14 A138:A171 A312 A251:A280 A218:A248 A210:A211 A207:A208 A198 A30:A58 A60:A72 A283:A288 A16:A28 A93:A115 A292:A307 A117:A124 A74:A91 A200:A205 A173:A192 A126:A136">
    <cfRule type="duplicateValues" dxfId="33" priority="36"/>
  </conditionalFormatting>
  <conditionalFormatting sqref="A315">
    <cfRule type="duplicateValues" dxfId="32" priority="32"/>
  </conditionalFormatting>
  <conditionalFormatting sqref="A313:A314">
    <cfRule type="duplicateValues" dxfId="31" priority="31"/>
  </conditionalFormatting>
  <conditionalFormatting sqref="A310:A311">
    <cfRule type="duplicateValues" dxfId="30" priority="30"/>
  </conditionalFormatting>
  <conditionalFormatting sqref="A250">
    <cfRule type="duplicateValues" dxfId="29" priority="29"/>
  </conditionalFormatting>
  <conditionalFormatting sqref="A289:A290">
    <cfRule type="duplicateValues" dxfId="28" priority="28"/>
  </conditionalFormatting>
  <conditionalFormatting sqref="A209">
    <cfRule type="duplicateValues" dxfId="27" priority="26"/>
  </conditionalFormatting>
  <conditionalFormatting sqref="A209">
    <cfRule type="duplicateValues" dxfId="26" priority="27"/>
  </conditionalFormatting>
  <conditionalFormatting sqref="A308:A309">
    <cfRule type="duplicateValues" dxfId="25" priority="25"/>
  </conditionalFormatting>
  <conditionalFormatting sqref="A206">
    <cfRule type="duplicateValues" dxfId="24" priority="24"/>
  </conditionalFormatting>
  <conditionalFormatting sqref="A320:A321">
    <cfRule type="duplicateValues" dxfId="23" priority="23"/>
  </conditionalFormatting>
  <conditionalFormatting sqref="A193:A197">
    <cfRule type="duplicateValues" dxfId="22" priority="22"/>
  </conditionalFormatting>
  <conditionalFormatting sqref="A59">
    <cfRule type="duplicateValues" dxfId="21" priority="20"/>
  </conditionalFormatting>
  <conditionalFormatting sqref="A59">
    <cfRule type="duplicateValues" dxfId="20" priority="21"/>
  </conditionalFormatting>
  <conditionalFormatting sqref="A134">
    <cfRule type="duplicateValues" dxfId="19" priority="19"/>
  </conditionalFormatting>
  <conditionalFormatting sqref="A29">
    <cfRule type="duplicateValues" dxfId="18" priority="17"/>
  </conditionalFormatting>
  <conditionalFormatting sqref="A29">
    <cfRule type="duplicateValues" dxfId="17" priority="18"/>
  </conditionalFormatting>
  <conditionalFormatting sqref="A330">
    <cfRule type="duplicateValues" dxfId="16" priority="16"/>
  </conditionalFormatting>
  <conditionalFormatting sqref="A212:A217">
    <cfRule type="duplicateValues" dxfId="15" priority="37"/>
  </conditionalFormatting>
  <conditionalFormatting sqref="A125">
    <cfRule type="duplicateValues" dxfId="14" priority="14"/>
  </conditionalFormatting>
  <conditionalFormatting sqref="A125">
    <cfRule type="duplicateValues" dxfId="13" priority="15"/>
  </conditionalFormatting>
  <conditionalFormatting sqref="A281:A282">
    <cfRule type="duplicateValues" dxfId="12" priority="13"/>
  </conditionalFormatting>
  <conditionalFormatting sqref="A15">
    <cfRule type="duplicateValues" dxfId="11" priority="11"/>
  </conditionalFormatting>
  <conditionalFormatting sqref="A15">
    <cfRule type="duplicateValues" dxfId="10" priority="12"/>
  </conditionalFormatting>
  <conditionalFormatting sqref="A92">
    <cfRule type="duplicateValues" dxfId="9" priority="9"/>
  </conditionalFormatting>
  <conditionalFormatting sqref="A92">
    <cfRule type="duplicateValues" dxfId="8" priority="10"/>
  </conditionalFormatting>
  <conditionalFormatting sqref="A291">
    <cfRule type="duplicateValues" dxfId="7" priority="8"/>
  </conditionalFormatting>
  <conditionalFormatting sqref="A116">
    <cfRule type="duplicateValues" dxfId="6" priority="6"/>
  </conditionalFormatting>
  <conditionalFormatting sqref="A116">
    <cfRule type="duplicateValues" dxfId="5" priority="7"/>
  </conditionalFormatting>
  <conditionalFormatting sqref="A73">
    <cfRule type="duplicateValues" dxfId="4" priority="4"/>
  </conditionalFormatting>
  <conditionalFormatting sqref="A73">
    <cfRule type="duplicateValues" dxfId="3" priority="5"/>
  </conditionalFormatting>
  <conditionalFormatting sqref="A249">
    <cfRule type="duplicateValues" dxfId="2" priority="3"/>
  </conditionalFormatting>
  <conditionalFormatting sqref="A199">
    <cfRule type="duplicateValues" dxfId="1" priority="2"/>
  </conditionalFormatting>
  <conditionalFormatting sqref="A172">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5"/>
  <sheetViews>
    <sheetView workbookViewId="0">
      <selection activeCell="B15" sqref="B15"/>
    </sheetView>
  </sheetViews>
  <sheetFormatPr defaultColWidth="9.109375" defaultRowHeight="10.199999999999999" x14ac:dyDescent="0.2"/>
  <cols>
    <col min="1" max="1" width="18.5546875" style="11" customWidth="1"/>
    <col min="2" max="9" width="11.5546875" style="11" customWidth="1"/>
    <col min="10" max="11" width="11.5546875" style="11" bestFit="1" customWidth="1"/>
    <col min="12" max="12" width="6.6640625" style="11" bestFit="1" customWidth="1"/>
    <col min="13" max="13" width="6.5546875" style="11" bestFit="1" customWidth="1"/>
    <col min="14" max="14" width="13.109375" style="11" bestFit="1" customWidth="1"/>
    <col min="15" max="16384" width="9.109375" style="11"/>
  </cols>
  <sheetData>
    <row r="1" spans="1:14" ht="15" customHeight="1" x14ac:dyDescent="0.2">
      <c r="A1" s="55" t="s">
        <v>274</v>
      </c>
      <c r="B1" s="1039" t="s">
        <v>275</v>
      </c>
      <c r="C1" s="1039"/>
      <c r="D1" s="1039"/>
      <c r="E1" s="1039"/>
      <c r="F1" s="57"/>
      <c r="G1" s="56" t="s">
        <v>276</v>
      </c>
      <c r="H1" s="1039" t="s">
        <v>277</v>
      </c>
      <c r="I1" s="1039"/>
      <c r="J1" s="1039"/>
      <c r="K1" s="1039"/>
      <c r="L1" s="57"/>
      <c r="M1" s="57"/>
      <c r="N1" s="58"/>
    </row>
    <row r="2" spans="1:14" ht="10.8" thickBot="1" x14ac:dyDescent="0.25">
      <c r="A2" s="89"/>
      <c r="B2" s="90"/>
      <c r="C2" s="90"/>
      <c r="D2" s="90"/>
      <c r="E2" s="90"/>
      <c r="F2" s="90"/>
      <c r="G2" s="90"/>
      <c r="H2" s="90"/>
      <c r="I2" s="90"/>
      <c r="J2" s="90"/>
      <c r="K2" s="90"/>
      <c r="L2" s="90"/>
      <c r="M2" s="90"/>
      <c r="N2" s="91"/>
    </row>
    <row r="3" spans="1:14" ht="15.75" customHeight="1" thickBot="1" x14ac:dyDescent="0.25">
      <c r="A3" s="1170" t="s">
        <v>349</v>
      </c>
      <c r="B3" s="1171"/>
      <c r="C3" s="1171"/>
      <c r="D3" s="1171"/>
      <c r="E3" s="1171"/>
      <c r="F3" s="1171"/>
      <c r="G3" s="1171"/>
      <c r="H3" s="1171"/>
      <c r="I3" s="1171"/>
      <c r="J3" s="1171"/>
      <c r="K3" s="1171"/>
      <c r="L3" s="1171"/>
      <c r="M3" s="1171"/>
      <c r="N3" s="1172"/>
    </row>
    <row r="4" spans="1:14" x14ac:dyDescent="0.2">
      <c r="A4" s="63" t="s">
        <v>279</v>
      </c>
      <c r="B4" s="64">
        <v>43556</v>
      </c>
      <c r="C4" s="64">
        <v>43586</v>
      </c>
      <c r="D4" s="64">
        <v>43617</v>
      </c>
      <c r="E4" s="64">
        <v>43647</v>
      </c>
      <c r="F4" s="64">
        <v>43678</v>
      </c>
      <c r="G4" s="64">
        <v>43709</v>
      </c>
      <c r="H4" s="64">
        <v>43739</v>
      </c>
      <c r="I4" s="64">
        <v>43770</v>
      </c>
      <c r="J4" s="64">
        <v>43800</v>
      </c>
      <c r="K4" s="64">
        <v>43831</v>
      </c>
      <c r="L4" s="64">
        <v>43862</v>
      </c>
      <c r="M4" s="65">
        <v>43891</v>
      </c>
      <c r="N4" s="63" t="s">
        <v>347</v>
      </c>
    </row>
    <row r="5" spans="1:14" ht="15" customHeight="1" x14ac:dyDescent="0.2">
      <c r="A5" s="67" t="s">
        <v>280</v>
      </c>
      <c r="B5" s="68">
        <v>0</v>
      </c>
      <c r="C5" s="68"/>
      <c r="D5" s="68"/>
      <c r="E5" s="68"/>
      <c r="F5" s="68"/>
      <c r="G5" s="68"/>
      <c r="H5" s="68"/>
      <c r="I5" s="68"/>
      <c r="J5" s="68"/>
      <c r="K5" s="68"/>
      <c r="L5" s="68"/>
      <c r="M5" s="70"/>
      <c r="N5" s="71">
        <f>SUM(B5:M5)</f>
        <v>0</v>
      </c>
    </row>
    <row r="6" spans="1:14" ht="15" customHeight="1" x14ac:dyDescent="0.2">
      <c r="A6" s="67" t="s">
        <v>282</v>
      </c>
      <c r="B6" s="68">
        <f>+'SALE WORKING'!C15</f>
        <v>0</v>
      </c>
      <c r="C6" s="68">
        <f>+'SALE WORKING'!D15</f>
        <v>0</v>
      </c>
      <c r="D6" s="68">
        <f>+'SALE WORKING'!E15</f>
        <v>0</v>
      </c>
      <c r="E6" s="68">
        <f>+'SALE WORKING'!F15</f>
        <v>0</v>
      </c>
      <c r="F6" s="68">
        <f>+'SALE WORKING'!G15</f>
        <v>0</v>
      </c>
      <c r="G6" s="68">
        <f>+'SALE WORKING'!H15</f>
        <v>0</v>
      </c>
      <c r="H6" s="68">
        <f>+'SALE WORKING'!I15</f>
        <v>0</v>
      </c>
      <c r="I6" s="68">
        <f>+'SALE WORKING'!J15</f>
        <v>0</v>
      </c>
      <c r="J6" s="68">
        <f>+'SALE WORKING'!K15</f>
        <v>0</v>
      </c>
      <c r="K6" s="68">
        <f>+'SALE WORKING'!L15</f>
        <v>0</v>
      </c>
      <c r="L6" s="68">
        <f>+'SALE WORKING'!M15</f>
        <v>0</v>
      </c>
      <c r="M6" s="70">
        <f>+'SALE WORKING'!N15</f>
        <v>0</v>
      </c>
      <c r="N6" s="71">
        <f t="shared" ref="N6:N10" si="0">SUM(B6:M6)</f>
        <v>0</v>
      </c>
    </row>
    <row r="7" spans="1:14" ht="15" customHeight="1" x14ac:dyDescent="0.2">
      <c r="A7" s="67" t="s">
        <v>283</v>
      </c>
      <c r="B7" s="68">
        <f>+'SALE WORKING'!C16</f>
        <v>0</v>
      </c>
      <c r="C7" s="68">
        <f>+'SALE WORKING'!D16</f>
        <v>0</v>
      </c>
      <c r="D7" s="68">
        <f>+'SALE WORKING'!E16</f>
        <v>0</v>
      </c>
      <c r="E7" s="68">
        <f>+'SALE WORKING'!F16</f>
        <v>0</v>
      </c>
      <c r="F7" s="68">
        <f>+'SALE WORKING'!G16</f>
        <v>0</v>
      </c>
      <c r="G7" s="68">
        <f>+'SALE WORKING'!H16</f>
        <v>0</v>
      </c>
      <c r="H7" s="68">
        <f>+'SALE WORKING'!I16</f>
        <v>0</v>
      </c>
      <c r="I7" s="68">
        <f>+'SALE WORKING'!J16</f>
        <v>0</v>
      </c>
      <c r="J7" s="68">
        <f>+'SALE WORKING'!K16</f>
        <v>0</v>
      </c>
      <c r="K7" s="68">
        <f>+'SALE WORKING'!L16</f>
        <v>0</v>
      </c>
      <c r="L7" s="68">
        <f>+'SALE WORKING'!M16</f>
        <v>0</v>
      </c>
      <c r="M7" s="70">
        <f>+'SALE WORKING'!N16</f>
        <v>0</v>
      </c>
      <c r="N7" s="71">
        <f t="shared" si="0"/>
        <v>0</v>
      </c>
    </row>
    <row r="8" spans="1:14" ht="15" customHeight="1" x14ac:dyDescent="0.2">
      <c r="A8" s="67" t="s">
        <v>284</v>
      </c>
      <c r="B8" s="68">
        <f>+'SALE WORKING'!C17</f>
        <v>0</v>
      </c>
      <c r="C8" s="68">
        <f>+'SALE WORKING'!D17</f>
        <v>0</v>
      </c>
      <c r="D8" s="68">
        <f>+'SALE WORKING'!E17</f>
        <v>0</v>
      </c>
      <c r="E8" s="68">
        <f>+'SALE WORKING'!F17</f>
        <v>0</v>
      </c>
      <c r="F8" s="68">
        <f>+'SALE WORKING'!G17</f>
        <v>0</v>
      </c>
      <c r="G8" s="68">
        <f>+'SALE WORKING'!H17</f>
        <v>0</v>
      </c>
      <c r="H8" s="68">
        <f>+'SALE WORKING'!I17</f>
        <v>0</v>
      </c>
      <c r="I8" s="68">
        <f>+'SALE WORKING'!J17</f>
        <v>0</v>
      </c>
      <c r="J8" s="68">
        <f>+'SALE WORKING'!K17</f>
        <v>0</v>
      </c>
      <c r="K8" s="68">
        <f>+'SALE WORKING'!L17</f>
        <v>0</v>
      </c>
      <c r="L8" s="68">
        <f>+'SALE WORKING'!M17</f>
        <v>0</v>
      </c>
      <c r="M8" s="70">
        <f>+'SALE WORKING'!N17</f>
        <v>0</v>
      </c>
      <c r="N8" s="71">
        <f t="shared" si="0"/>
        <v>0</v>
      </c>
    </row>
    <row r="9" spans="1:14" ht="15" customHeight="1" x14ac:dyDescent="0.2">
      <c r="A9" s="67" t="s">
        <v>285</v>
      </c>
      <c r="B9" s="68">
        <f>+'SALE WORKING'!C18</f>
        <v>0</v>
      </c>
      <c r="C9" s="68">
        <f>+'SALE WORKING'!D18</f>
        <v>0</v>
      </c>
      <c r="D9" s="68">
        <f>+'SALE WORKING'!E18</f>
        <v>0</v>
      </c>
      <c r="E9" s="68">
        <f>+'SALE WORKING'!F18</f>
        <v>0</v>
      </c>
      <c r="F9" s="68">
        <f>+'SALE WORKING'!G18</f>
        <v>0</v>
      </c>
      <c r="G9" s="68">
        <f>+'SALE WORKING'!H18</f>
        <v>0</v>
      </c>
      <c r="H9" s="68">
        <f>+'SALE WORKING'!I18</f>
        <v>0</v>
      </c>
      <c r="I9" s="68">
        <f>+'SALE WORKING'!J18</f>
        <v>0</v>
      </c>
      <c r="J9" s="68">
        <f>+'SALE WORKING'!K18</f>
        <v>0</v>
      </c>
      <c r="K9" s="68">
        <f>+'SALE WORKING'!L18</f>
        <v>0</v>
      </c>
      <c r="L9" s="68">
        <f>+'SALE WORKING'!M18</f>
        <v>0</v>
      </c>
      <c r="M9" s="70">
        <f>+'SALE WORKING'!N18</f>
        <v>0</v>
      </c>
      <c r="N9" s="71">
        <f t="shared" si="0"/>
        <v>0</v>
      </c>
    </row>
    <row r="10" spans="1:14" ht="15" customHeight="1" thickBot="1" x14ac:dyDescent="0.25">
      <c r="A10" s="67" t="s">
        <v>286</v>
      </c>
      <c r="B10" s="68">
        <f>+'SALE WORKING'!C19</f>
        <v>0</v>
      </c>
      <c r="C10" s="68">
        <f>+'SALE WORKING'!D19</f>
        <v>0</v>
      </c>
      <c r="D10" s="68">
        <f>+'SALE WORKING'!E19</f>
        <v>0</v>
      </c>
      <c r="E10" s="68">
        <f>+'SALE WORKING'!F19</f>
        <v>0</v>
      </c>
      <c r="F10" s="68">
        <f>+'SALE WORKING'!G19</f>
        <v>0</v>
      </c>
      <c r="G10" s="68">
        <f>+'SALE WORKING'!H19</f>
        <v>0</v>
      </c>
      <c r="H10" s="68">
        <f>+'SALE WORKING'!I19</f>
        <v>0</v>
      </c>
      <c r="I10" s="68">
        <f>+'SALE WORKING'!J19</f>
        <v>0</v>
      </c>
      <c r="J10" s="68">
        <f>+'SALE WORKING'!K19</f>
        <v>0</v>
      </c>
      <c r="K10" s="68">
        <f>+'SALE WORKING'!L19</f>
        <v>0</v>
      </c>
      <c r="L10" s="68">
        <f>+'SALE WORKING'!M19</f>
        <v>0</v>
      </c>
      <c r="M10" s="70">
        <f>+'SALE WORKING'!N19</f>
        <v>0</v>
      </c>
      <c r="N10" s="71">
        <f t="shared" si="0"/>
        <v>0</v>
      </c>
    </row>
    <row r="11" spans="1:14" ht="15.75" customHeight="1" thickBot="1" x14ac:dyDescent="0.25">
      <c r="A11" s="1170" t="s">
        <v>350</v>
      </c>
      <c r="B11" s="1171"/>
      <c r="C11" s="1171"/>
      <c r="D11" s="1171"/>
      <c r="E11" s="1171"/>
      <c r="F11" s="1171"/>
      <c r="G11" s="1171"/>
      <c r="H11" s="1171"/>
      <c r="I11" s="1171"/>
      <c r="J11" s="1171"/>
      <c r="K11" s="1171"/>
      <c r="L11" s="1171"/>
      <c r="M11" s="1171"/>
      <c r="N11" s="1172"/>
    </row>
    <row r="12" spans="1:14" x14ac:dyDescent="0.2">
      <c r="A12" s="63" t="s">
        <v>279</v>
      </c>
      <c r="B12" s="64">
        <v>43556</v>
      </c>
      <c r="C12" s="64">
        <v>43586</v>
      </c>
      <c r="D12" s="64">
        <v>43617</v>
      </c>
      <c r="E12" s="64">
        <v>43647</v>
      </c>
      <c r="F12" s="64">
        <v>43678</v>
      </c>
      <c r="G12" s="64">
        <v>43709</v>
      </c>
      <c r="H12" s="64">
        <v>43739</v>
      </c>
      <c r="I12" s="64">
        <v>43770</v>
      </c>
      <c r="J12" s="64">
        <v>43800</v>
      </c>
      <c r="K12" s="64">
        <v>43831</v>
      </c>
      <c r="L12" s="64">
        <v>43862</v>
      </c>
      <c r="M12" s="65">
        <v>43891</v>
      </c>
      <c r="N12" s="63" t="s">
        <v>347</v>
      </c>
    </row>
    <row r="13" spans="1:14" ht="15" customHeight="1" x14ac:dyDescent="0.2">
      <c r="A13" s="67" t="s">
        <v>280</v>
      </c>
      <c r="B13" s="71">
        <v>0</v>
      </c>
      <c r="C13" s="71">
        <v>0</v>
      </c>
      <c r="D13" s="71">
        <v>0</v>
      </c>
      <c r="E13" s="71">
        <v>0</v>
      </c>
      <c r="F13" s="71">
        <v>0</v>
      </c>
      <c r="G13" s="71">
        <v>0</v>
      </c>
      <c r="H13" s="71">
        <v>0</v>
      </c>
      <c r="I13" s="71">
        <v>0</v>
      </c>
      <c r="J13" s="71">
        <v>0</v>
      </c>
      <c r="K13" s="71">
        <v>0</v>
      </c>
      <c r="L13" s="71">
        <v>0</v>
      </c>
      <c r="M13" s="73">
        <v>0</v>
      </c>
      <c r="N13" s="71">
        <f t="shared" ref="N13:N40" si="1">SUM(B13:M13)</f>
        <v>0</v>
      </c>
    </row>
    <row r="14" spans="1:14" ht="15" customHeight="1" x14ac:dyDescent="0.2">
      <c r="A14" s="67" t="s">
        <v>282</v>
      </c>
      <c r="B14" s="68">
        <f>+'SALE WORKING'!C7</f>
        <v>3354773.3799999962</v>
      </c>
      <c r="C14" s="68">
        <f>+'SALE WORKING'!D7</f>
        <v>4082939.1799999983</v>
      </c>
      <c r="D14" s="68">
        <f>+'SALE WORKING'!E7</f>
        <v>5235733.7339999964</v>
      </c>
      <c r="E14" s="68">
        <f>+'SALE WORKING'!F7</f>
        <v>6634007.6599999927</v>
      </c>
      <c r="F14" s="68">
        <f>+'SALE WORKING'!G7</f>
        <v>5482303.4199999953</v>
      </c>
      <c r="G14" s="68">
        <f>+'SALE WORKING'!H7</f>
        <v>4788659.8899999997</v>
      </c>
      <c r="H14" s="68">
        <f>+'SALE WORKING'!I7</f>
        <v>4303915.0199999996</v>
      </c>
      <c r="I14" s="68">
        <f>+'SALE WORKING'!J7</f>
        <v>2528210.6899999995</v>
      </c>
      <c r="J14" s="68">
        <f>+'SALE WORKING'!K7</f>
        <v>3164150.0799999996</v>
      </c>
      <c r="K14" s="68">
        <f>+'SALE WORKING'!L7</f>
        <v>5452403.9399999948</v>
      </c>
      <c r="L14" s="68">
        <f>+'SALE WORKING'!M7</f>
        <v>0</v>
      </c>
      <c r="M14" s="70">
        <f>+'SALE WORKING'!N7</f>
        <v>0</v>
      </c>
      <c r="N14" s="71">
        <f t="shared" si="1"/>
        <v>45027096.993999973</v>
      </c>
    </row>
    <row r="15" spans="1:14" ht="15" customHeight="1" x14ac:dyDescent="0.2">
      <c r="A15" s="67" t="s">
        <v>283</v>
      </c>
      <c r="B15" s="68">
        <f>+'SALE WORKING'!C8</f>
        <v>36646.618399999999</v>
      </c>
      <c r="C15" s="68">
        <f>+'SALE WORKING'!D8</f>
        <v>55549.74040000001</v>
      </c>
      <c r="D15" s="68">
        <f>+'SALE WORKING'!E8</f>
        <v>149635.80240000002</v>
      </c>
      <c r="E15" s="68">
        <f>+'SALE WORKING'!F8</f>
        <v>66125.387999999992</v>
      </c>
      <c r="F15" s="68">
        <f>+'SALE WORKING'!G8</f>
        <v>30473.3688</v>
      </c>
      <c r="G15" s="68">
        <f>+'SALE WORKING'!H8</f>
        <v>75713.330000000016</v>
      </c>
      <c r="H15" s="68">
        <f>+'SALE WORKING'!I8</f>
        <v>51945.630799999992</v>
      </c>
      <c r="I15" s="68">
        <f>+'SALE WORKING'!J8</f>
        <v>50926.2068</v>
      </c>
      <c r="J15" s="68">
        <f>+'SALE WORKING'!K8</f>
        <v>128383.5336</v>
      </c>
      <c r="K15" s="68">
        <f>+'SALE WORKING'!L8</f>
        <v>38884.86</v>
      </c>
      <c r="L15" s="68">
        <f>+'SALE WORKING'!M8</f>
        <v>0</v>
      </c>
      <c r="M15" s="70">
        <f>+'SALE WORKING'!N8</f>
        <v>0</v>
      </c>
      <c r="N15" s="71">
        <f t="shared" si="1"/>
        <v>684284.47919999994</v>
      </c>
    </row>
    <row r="16" spans="1:14" ht="15" customHeight="1" x14ac:dyDescent="0.2">
      <c r="A16" s="67" t="s">
        <v>284</v>
      </c>
      <c r="B16" s="68">
        <f>+'SALE WORKING'!C9</f>
        <v>417253.72849999991</v>
      </c>
      <c r="C16" s="68">
        <f>+'SALE WORKING'!D9</f>
        <v>465806.66300000018</v>
      </c>
      <c r="D16" s="68">
        <f>+'SALE WORKING'!E9</f>
        <v>554487.2250600002</v>
      </c>
      <c r="E16" s="68">
        <f>+'SALE WORKING'!F9</f>
        <v>762810.05540000054</v>
      </c>
      <c r="F16" s="68">
        <f>+'SALE WORKING'!G9</f>
        <v>614771.33640000015</v>
      </c>
      <c r="G16" s="68">
        <f>+'SALE WORKING'!H9</f>
        <v>496044.81260000024</v>
      </c>
      <c r="H16" s="68">
        <f>+'SALE WORKING'!I9</f>
        <v>419677.1544</v>
      </c>
      <c r="I16" s="68">
        <f>+'SALE WORKING'!J9</f>
        <v>256975.35380000001</v>
      </c>
      <c r="J16" s="68">
        <f>+'SALE WORKING'!K9</f>
        <v>265592.08979999996</v>
      </c>
      <c r="K16" s="68">
        <f>+'SALE WORKING'!L9</f>
        <v>513531.29960000014</v>
      </c>
      <c r="L16" s="68">
        <f>+'SALE WORKING'!M9</f>
        <v>0</v>
      </c>
      <c r="M16" s="70">
        <f>+'SALE WORKING'!N9</f>
        <v>0</v>
      </c>
      <c r="N16" s="71">
        <f t="shared" si="1"/>
        <v>4766949.7185600018</v>
      </c>
    </row>
    <row r="17" spans="1:14" ht="15" customHeight="1" x14ac:dyDescent="0.2">
      <c r="A17" s="67" t="s">
        <v>285</v>
      </c>
      <c r="B17" s="68">
        <f>+'SALE WORKING'!C10</f>
        <v>417253.72849999991</v>
      </c>
      <c r="C17" s="68">
        <f>+'SALE WORKING'!D10</f>
        <v>465806.66300000018</v>
      </c>
      <c r="D17" s="68">
        <f>+'SALE WORKING'!E10</f>
        <v>554487.2250600002</v>
      </c>
      <c r="E17" s="68">
        <f>+'SALE WORKING'!F10</f>
        <v>762810.05540000054</v>
      </c>
      <c r="F17" s="68">
        <f>+'SALE WORKING'!G10</f>
        <v>614771.33640000015</v>
      </c>
      <c r="G17" s="68">
        <f>+'SALE WORKING'!H10</f>
        <v>496044.81260000024</v>
      </c>
      <c r="H17" s="68">
        <f>+'SALE WORKING'!I10</f>
        <v>419677.1544</v>
      </c>
      <c r="I17" s="68">
        <f>+'SALE WORKING'!J10</f>
        <v>256975.35380000001</v>
      </c>
      <c r="J17" s="68">
        <f>+'SALE WORKING'!K10</f>
        <v>265592.08979999996</v>
      </c>
      <c r="K17" s="68">
        <f>+'SALE WORKING'!L10</f>
        <v>513531.29960000014</v>
      </c>
      <c r="L17" s="68">
        <f>+'SALE WORKING'!M10</f>
        <v>0</v>
      </c>
      <c r="M17" s="70">
        <f>+'SALE WORKING'!N10</f>
        <v>0</v>
      </c>
      <c r="N17" s="71">
        <f t="shared" si="1"/>
        <v>4766949.7185600018</v>
      </c>
    </row>
    <row r="18" spans="1:14" ht="15" customHeight="1" x14ac:dyDescent="0.2">
      <c r="A18" s="67" t="s">
        <v>286</v>
      </c>
      <c r="B18" s="68">
        <f>+'SALE WORKING'!C11</f>
        <v>0</v>
      </c>
      <c r="C18" s="68">
        <f>+'SALE WORKING'!D11</f>
        <v>0</v>
      </c>
      <c r="D18" s="68">
        <f>+'SALE WORKING'!E11</f>
        <v>0</v>
      </c>
      <c r="E18" s="68">
        <f>+'SALE WORKING'!F11</f>
        <v>0</v>
      </c>
      <c r="F18" s="68">
        <f>+'SALE WORKING'!G11</f>
        <v>0</v>
      </c>
      <c r="G18" s="68">
        <f>+'SALE WORKING'!H11</f>
        <v>0</v>
      </c>
      <c r="H18" s="68">
        <f>+'SALE WORKING'!I11</f>
        <v>0</v>
      </c>
      <c r="I18" s="68">
        <f>+'SALE WORKING'!J11</f>
        <v>0</v>
      </c>
      <c r="J18" s="68">
        <f>+'SALE WORKING'!K11</f>
        <v>0</v>
      </c>
      <c r="K18" s="68">
        <f>+'SALE WORKING'!L11</f>
        <v>0</v>
      </c>
      <c r="L18" s="68">
        <f>+'SALE WORKING'!M11</f>
        <v>0</v>
      </c>
      <c r="M18" s="70">
        <f>+'SALE WORKING'!N11</f>
        <v>0</v>
      </c>
      <c r="N18" s="71">
        <f t="shared" si="1"/>
        <v>0</v>
      </c>
    </row>
    <row r="19" spans="1:14" ht="15" customHeight="1" x14ac:dyDescent="0.2">
      <c r="A19" s="1179" t="s">
        <v>351</v>
      </c>
      <c r="B19" s="1180"/>
      <c r="C19" s="1180"/>
      <c r="D19" s="1180"/>
      <c r="E19" s="1180"/>
      <c r="F19" s="1180"/>
      <c r="G19" s="1180"/>
      <c r="H19" s="1180"/>
      <c r="I19" s="1180"/>
      <c r="J19" s="1180"/>
      <c r="K19" s="1180"/>
      <c r="L19" s="1180"/>
      <c r="M19" s="1180"/>
      <c r="N19" s="1181"/>
    </row>
    <row r="20" spans="1:14" ht="15" customHeight="1" x14ac:dyDescent="0.2">
      <c r="A20" s="1176" t="s">
        <v>22</v>
      </c>
      <c r="B20" s="1177"/>
      <c r="C20" s="1177"/>
      <c r="D20" s="1177"/>
      <c r="E20" s="1177"/>
      <c r="F20" s="1177"/>
      <c r="G20" s="1177"/>
      <c r="H20" s="1177"/>
      <c r="I20" s="1177"/>
      <c r="J20" s="1177"/>
      <c r="K20" s="1177"/>
      <c r="L20" s="1177"/>
      <c r="M20" s="1178"/>
      <c r="N20" s="66" t="s">
        <v>347</v>
      </c>
    </row>
    <row r="21" spans="1:14" ht="15" customHeight="1" x14ac:dyDescent="0.2">
      <c r="A21" s="67" t="s">
        <v>280</v>
      </c>
      <c r="B21" s="75">
        <v>0</v>
      </c>
      <c r="C21" s="75">
        <v>0</v>
      </c>
      <c r="D21" s="75">
        <v>0</v>
      </c>
      <c r="E21" s="75">
        <v>0</v>
      </c>
      <c r="F21" s="75">
        <v>0</v>
      </c>
      <c r="G21" s="75">
        <v>0</v>
      </c>
      <c r="H21" s="75">
        <v>0</v>
      </c>
      <c r="I21" s="75">
        <v>0</v>
      </c>
      <c r="J21" s="75">
        <v>0</v>
      </c>
      <c r="K21" s="75">
        <v>0</v>
      </c>
      <c r="L21" s="75">
        <v>0</v>
      </c>
      <c r="M21" s="76">
        <v>0</v>
      </c>
      <c r="N21" s="71">
        <f t="shared" si="1"/>
        <v>0</v>
      </c>
    </row>
    <row r="22" spans="1:14" ht="15" customHeight="1" x14ac:dyDescent="0.2">
      <c r="A22" s="67" t="s">
        <v>282</v>
      </c>
      <c r="B22" s="75">
        <f>+'RET-GSTR-1 OLD'!B7</f>
        <v>3345708.3799999962</v>
      </c>
      <c r="C22" s="75">
        <f>+'RET-GSTR-1 OLD'!C6</f>
        <v>5080798.9463999989</v>
      </c>
      <c r="D22" s="75">
        <f>+'RET-GSTR-1 OLD'!D6</f>
        <v>6494343.986519997</v>
      </c>
      <c r="E22" s="75">
        <f>+'RET-GSTR-1 OLD'!E6</f>
        <v>8225753.1587999947</v>
      </c>
      <c r="F22" s="75">
        <f>+'RET-GSTR-1 OLD'!F6</f>
        <v>6742319.4615999963</v>
      </c>
      <c r="G22" s="75">
        <f>+'RET-GSTR-1 OLD'!G6</f>
        <v>5856462.8451999994</v>
      </c>
      <c r="H22" s="75">
        <f>+'RET-GSTR-1 OLD'!H6</f>
        <v>5195214.9596000006</v>
      </c>
      <c r="I22" s="75">
        <f>+'RET-GSTR-1 OLD'!I6</f>
        <v>3093087.6043999996</v>
      </c>
      <c r="J22" s="75">
        <f>+'RET-GSTR-1 OLD'!J6</f>
        <v>3823717.7932000002</v>
      </c>
      <c r="K22" s="75">
        <f>+'RET-GSTR-1 OLD'!K6</f>
        <v>6518351.3991999961</v>
      </c>
      <c r="L22" s="75">
        <f>+'RET-GSTR-1 OLD'!L6</f>
        <v>0</v>
      </c>
      <c r="M22" s="76">
        <f>+'RET-GSTR-1 OLD'!M6</f>
        <v>0</v>
      </c>
      <c r="N22" s="71">
        <f t="shared" si="1"/>
        <v>54375758.534919992</v>
      </c>
    </row>
    <row r="23" spans="1:14" ht="15" customHeight="1" x14ac:dyDescent="0.2">
      <c r="A23" s="67" t="s">
        <v>283</v>
      </c>
      <c r="B23" s="75">
        <f>+'RET-GSTR-1 OLD'!B143</f>
        <v>34940.687599999997</v>
      </c>
      <c r="C23" s="75">
        <f>+'RET-GSTR-1 OLD'!C7</f>
        <v>4092004.1799999983</v>
      </c>
      <c r="D23" s="75">
        <f>+'RET-GSTR-1 OLD'!D7</f>
        <v>5235733.7339999964</v>
      </c>
      <c r="E23" s="75">
        <f>+'RET-GSTR-1 OLD'!E7</f>
        <v>6634007.6599999927</v>
      </c>
      <c r="F23" s="75">
        <f>+'RET-GSTR-1 OLD'!F7</f>
        <v>5482303.4199999953</v>
      </c>
      <c r="G23" s="75">
        <f>+'RET-GSTR-1 OLD'!G7</f>
        <v>4788659.8899999997</v>
      </c>
      <c r="H23" s="75">
        <f>+'RET-GSTR-1 OLD'!H7</f>
        <v>4303915.0199999996</v>
      </c>
      <c r="I23" s="75">
        <f>+'RET-GSTR-1 OLD'!I7</f>
        <v>2528210.6899999995</v>
      </c>
      <c r="J23" s="75">
        <f>+'RET-GSTR-1 OLD'!J7</f>
        <v>3164150.0799999996</v>
      </c>
      <c r="K23" s="75">
        <f>+'RET-GSTR-1 OLD'!K7</f>
        <v>5452403.9399999948</v>
      </c>
      <c r="L23" s="75">
        <f>+'RET-GSTR-1 OLD'!L7</f>
        <v>0</v>
      </c>
      <c r="M23" s="76">
        <f>+'RET-GSTR-1 OLD'!M7</f>
        <v>0</v>
      </c>
      <c r="N23" s="71">
        <f t="shared" si="1"/>
        <v>41716329.301599979</v>
      </c>
    </row>
    <row r="24" spans="1:14" ht="15" customHeight="1" x14ac:dyDescent="0.2">
      <c r="A24" s="67" t="s">
        <v>284</v>
      </c>
      <c r="B24" s="75">
        <f>+'RET-GSTR-1 OLD'!B144</f>
        <v>416437.87849999993</v>
      </c>
      <c r="C24" s="75">
        <f>+'RET-GSTR-1 OLD'!C8</f>
        <v>55549.74040000001</v>
      </c>
      <c r="D24" s="75">
        <f>+'RET-GSTR-1 OLD'!D8</f>
        <v>149635.80240000002</v>
      </c>
      <c r="E24" s="75">
        <f>+'RET-GSTR-1 OLD'!E8</f>
        <v>66125.387999999992</v>
      </c>
      <c r="F24" s="75">
        <f>+'RET-GSTR-1 OLD'!F8</f>
        <v>30473.3688</v>
      </c>
      <c r="G24" s="75">
        <f>+'RET-GSTR-1 OLD'!G8</f>
        <v>75713.330000000016</v>
      </c>
      <c r="H24" s="75">
        <f>+'RET-GSTR-1 OLD'!H8</f>
        <v>51945.630799999992</v>
      </c>
      <c r="I24" s="75">
        <f>+'RET-GSTR-1 OLD'!I8</f>
        <v>50926.2068</v>
      </c>
      <c r="J24" s="75">
        <f>+'RET-GSTR-1 OLD'!J8</f>
        <v>128383.5336</v>
      </c>
      <c r="K24" s="75">
        <f>+'RET-GSTR-1 OLD'!K8</f>
        <v>38884.86</v>
      </c>
      <c r="L24" s="75">
        <f>+'RET-GSTR-1 OLD'!L8</f>
        <v>0</v>
      </c>
      <c r="M24" s="76">
        <f>+'RET-GSTR-1 OLD'!M8</f>
        <v>0</v>
      </c>
      <c r="N24" s="71">
        <f t="shared" si="1"/>
        <v>1064075.7393</v>
      </c>
    </row>
    <row r="25" spans="1:14" ht="15" customHeight="1" x14ac:dyDescent="0.2">
      <c r="A25" s="67" t="s">
        <v>285</v>
      </c>
      <c r="B25" s="75">
        <f>+'RET-GSTR-1 OLD'!B145</f>
        <v>416437.87849999993</v>
      </c>
      <c r="C25" s="75">
        <f>+'RET-GSTR-1 OLD'!C9</f>
        <v>466622.51300000015</v>
      </c>
      <c r="D25" s="75">
        <f>+'RET-GSTR-1 OLD'!D9</f>
        <v>554487.2250600002</v>
      </c>
      <c r="E25" s="75">
        <f>+'RET-GSTR-1 OLD'!E9</f>
        <v>762810.05540000054</v>
      </c>
      <c r="F25" s="75">
        <f>+'RET-GSTR-1 OLD'!F9</f>
        <v>614771.33640000015</v>
      </c>
      <c r="G25" s="75">
        <f>+'RET-GSTR-1 OLD'!G9</f>
        <v>496044.81260000024</v>
      </c>
      <c r="H25" s="75">
        <f>+'RET-GSTR-1 OLD'!H9</f>
        <v>419677.1544</v>
      </c>
      <c r="I25" s="75">
        <f>+'RET-GSTR-1 OLD'!I9</f>
        <v>256975.35380000001</v>
      </c>
      <c r="J25" s="75">
        <f>+'RET-GSTR-1 OLD'!J9</f>
        <v>265592.08979999996</v>
      </c>
      <c r="K25" s="75">
        <f>+'RET-GSTR-1 OLD'!K9</f>
        <v>513531.29960000014</v>
      </c>
      <c r="L25" s="75">
        <f>+'RET-GSTR-1 OLD'!L9</f>
        <v>0</v>
      </c>
      <c r="M25" s="76">
        <f>+'RET-GSTR-1 OLD'!M9</f>
        <v>0</v>
      </c>
      <c r="N25" s="71">
        <f t="shared" si="1"/>
        <v>4766949.7185600018</v>
      </c>
    </row>
    <row r="26" spans="1:14" ht="15" customHeight="1" x14ac:dyDescent="0.2">
      <c r="A26" s="67" t="s">
        <v>286</v>
      </c>
      <c r="B26" s="75">
        <f>+'RET-GSTR-1 OLD'!B146</f>
        <v>0</v>
      </c>
      <c r="C26" s="75">
        <f>+'RET-GSTR-1 OLD'!C10</f>
        <v>466622.51300000015</v>
      </c>
      <c r="D26" s="75">
        <f>+'RET-GSTR-1 OLD'!D10</f>
        <v>554487.2250600002</v>
      </c>
      <c r="E26" s="75">
        <f>+'RET-GSTR-1 OLD'!E10</f>
        <v>762810.05540000054</v>
      </c>
      <c r="F26" s="75">
        <f>+'RET-GSTR-1 OLD'!F10</f>
        <v>614771.33640000015</v>
      </c>
      <c r="G26" s="75">
        <f>+'RET-GSTR-1 OLD'!G10</f>
        <v>496044.81260000024</v>
      </c>
      <c r="H26" s="75">
        <f>+'RET-GSTR-1 OLD'!H10</f>
        <v>419677.1544</v>
      </c>
      <c r="I26" s="75">
        <f>+'RET-GSTR-1 OLD'!I10</f>
        <v>256975.35380000001</v>
      </c>
      <c r="J26" s="75">
        <f>+'RET-GSTR-1 OLD'!J10</f>
        <v>265592.08979999996</v>
      </c>
      <c r="K26" s="75">
        <f>+'RET-GSTR-1 OLD'!K10</f>
        <v>513531.29960000014</v>
      </c>
      <c r="L26" s="75">
        <f>+'RET-GSTR-1 OLD'!L10</f>
        <v>0</v>
      </c>
      <c r="M26" s="76">
        <f>+'RET-GSTR-1 OLD'!M10</f>
        <v>0</v>
      </c>
      <c r="N26" s="71">
        <f t="shared" si="1"/>
        <v>4350511.8400600012</v>
      </c>
    </row>
    <row r="27" spans="1:14" ht="15" customHeight="1" x14ac:dyDescent="0.2">
      <c r="A27" s="1176" t="s">
        <v>228</v>
      </c>
      <c r="B27" s="1177"/>
      <c r="C27" s="1177"/>
      <c r="D27" s="1177"/>
      <c r="E27" s="1177"/>
      <c r="F27" s="1177"/>
      <c r="G27" s="1177"/>
      <c r="H27" s="1177"/>
      <c r="I27" s="1177"/>
      <c r="J27" s="1177"/>
      <c r="K27" s="1177"/>
      <c r="L27" s="1177"/>
      <c r="M27" s="1178"/>
      <c r="N27" s="66" t="s">
        <v>347</v>
      </c>
    </row>
    <row r="28" spans="1:14" ht="15" customHeight="1" x14ac:dyDescent="0.2">
      <c r="A28" s="67" t="s">
        <v>280</v>
      </c>
      <c r="B28" s="75">
        <v>0</v>
      </c>
      <c r="C28" s="75">
        <v>0</v>
      </c>
      <c r="D28" s="75">
        <v>0</v>
      </c>
      <c r="E28" s="75">
        <v>0</v>
      </c>
      <c r="F28" s="75">
        <v>0</v>
      </c>
      <c r="G28" s="75">
        <v>0</v>
      </c>
      <c r="H28" s="75">
        <v>0</v>
      </c>
      <c r="I28" s="75">
        <v>0</v>
      </c>
      <c r="J28" s="75">
        <v>0</v>
      </c>
      <c r="K28" s="75">
        <v>0</v>
      </c>
      <c r="L28" s="75">
        <v>0</v>
      </c>
      <c r="M28" s="76">
        <v>0</v>
      </c>
      <c r="N28" s="71">
        <f t="shared" si="1"/>
        <v>0</v>
      </c>
    </row>
    <row r="29" spans="1:14" ht="15" customHeight="1" x14ac:dyDescent="0.2">
      <c r="A29" s="67" t="s">
        <v>282</v>
      </c>
      <c r="B29" s="75">
        <f>+'SALE WORKING'!C31+'SALE WORKING'!C56</f>
        <v>0</v>
      </c>
      <c r="C29" s="75">
        <f>+'SALE WORKING'!D31+'SALE WORKING'!D56</f>
        <v>0</v>
      </c>
      <c r="D29" s="75">
        <f>+'SALE WORKING'!E31+'SALE WORKING'!E56</f>
        <v>721177.66400000011</v>
      </c>
      <c r="E29" s="75">
        <f>+'SALE WORKING'!F31+'SALE WORKING'!F56</f>
        <v>32101.120000000003</v>
      </c>
      <c r="F29" s="75">
        <f>+'SALE WORKING'!G31+'SALE WORKING'!G56</f>
        <v>0</v>
      </c>
      <c r="G29" s="75">
        <f>+'SALE WORKING'!H31+'SALE WORKING'!H56</f>
        <v>0</v>
      </c>
      <c r="H29" s="75">
        <f>+'SALE WORKING'!I31+'SALE WORKING'!I56</f>
        <v>0</v>
      </c>
      <c r="I29" s="75">
        <f>+'SALE WORKING'!J31+'SALE WORKING'!J56</f>
        <v>0</v>
      </c>
      <c r="J29" s="75">
        <f>+'SALE WORKING'!K31+'SALE WORKING'!K56</f>
        <v>0</v>
      </c>
      <c r="K29" s="75">
        <f>+'SALE WORKING'!L31+'SALE WORKING'!L56</f>
        <v>0</v>
      </c>
      <c r="L29" s="75">
        <f>+'SALE WORKING'!M31+'SALE WORKING'!M56</f>
        <v>0</v>
      </c>
      <c r="M29" s="76">
        <f>+'SALE WORKING'!N31+'SALE WORKING'!N56</f>
        <v>0</v>
      </c>
      <c r="N29" s="71">
        <f t="shared" si="1"/>
        <v>753278.7840000001</v>
      </c>
    </row>
    <row r="30" spans="1:14" ht="15" customHeight="1" x14ac:dyDescent="0.2">
      <c r="A30" s="67" t="s">
        <v>283</v>
      </c>
      <c r="B30" s="75">
        <f>+'SALE WORKING'!C32+'SALE WORKING'!C57</f>
        <v>0</v>
      </c>
      <c r="C30" s="75">
        <f>+'SALE WORKING'!D32+'SALE WORKING'!D57</f>
        <v>0</v>
      </c>
      <c r="D30" s="75">
        <f>+'SALE WORKING'!E32+'SALE WORKING'!E57</f>
        <v>563420.05000000005</v>
      </c>
      <c r="E30" s="75">
        <f>+'SALE WORKING'!F32+'SALE WORKING'!F57</f>
        <v>25079</v>
      </c>
      <c r="F30" s="75">
        <f>+'SALE WORKING'!G32+'SALE WORKING'!G57</f>
        <v>0</v>
      </c>
      <c r="G30" s="75">
        <f>+'SALE WORKING'!H32+'SALE WORKING'!H57</f>
        <v>0</v>
      </c>
      <c r="H30" s="75">
        <f>+'SALE WORKING'!I32+'SALE WORKING'!I57</f>
        <v>0</v>
      </c>
      <c r="I30" s="75">
        <f>+'SALE WORKING'!J32+'SALE WORKING'!J57</f>
        <v>0</v>
      </c>
      <c r="J30" s="75">
        <f>+'SALE WORKING'!K32+'SALE WORKING'!K57</f>
        <v>0</v>
      </c>
      <c r="K30" s="75">
        <f>+'SALE WORKING'!L32+'SALE WORKING'!L57</f>
        <v>0</v>
      </c>
      <c r="L30" s="75">
        <f>+'SALE WORKING'!M32+'SALE WORKING'!M57</f>
        <v>0</v>
      </c>
      <c r="M30" s="76">
        <f>+'SALE WORKING'!N32+'SALE WORKING'!N57</f>
        <v>0</v>
      </c>
      <c r="N30" s="71">
        <f t="shared" si="1"/>
        <v>588499.05000000005</v>
      </c>
    </row>
    <row r="31" spans="1:14" ht="15" customHeight="1" x14ac:dyDescent="0.2">
      <c r="A31" s="67" t="s">
        <v>284</v>
      </c>
      <c r="B31" s="75">
        <f>+'SALE WORKING'!C33+'SALE WORKING'!C58</f>
        <v>0</v>
      </c>
      <c r="C31" s="75">
        <f>+'SALE WORKING'!D33+'SALE WORKING'!D58</f>
        <v>0</v>
      </c>
      <c r="D31" s="75">
        <f>+'SALE WORKING'!E33+'SALE WORKING'!E58</f>
        <v>0</v>
      </c>
      <c r="E31" s="75">
        <f>+'SALE WORKING'!F33+'SALE WORKING'!F58</f>
        <v>0</v>
      </c>
      <c r="F31" s="75">
        <f>+'SALE WORKING'!G33+'SALE WORKING'!G58</f>
        <v>0</v>
      </c>
      <c r="G31" s="75">
        <f>+'SALE WORKING'!H33+'SALE WORKING'!H58</f>
        <v>0</v>
      </c>
      <c r="H31" s="75">
        <f>+'SALE WORKING'!I33+'SALE WORKING'!I58</f>
        <v>0</v>
      </c>
      <c r="I31" s="75">
        <f>+'SALE WORKING'!J33+'SALE WORKING'!J58</f>
        <v>0</v>
      </c>
      <c r="J31" s="75">
        <f>+'SALE WORKING'!K33+'SALE WORKING'!K58</f>
        <v>0</v>
      </c>
      <c r="K31" s="75">
        <f>+'SALE WORKING'!L33+'SALE WORKING'!L58</f>
        <v>0</v>
      </c>
      <c r="L31" s="75">
        <f>+'SALE WORKING'!M33+'SALE WORKING'!M58</f>
        <v>0</v>
      </c>
      <c r="M31" s="76">
        <f>+'SALE WORKING'!N33+'SALE WORKING'!N58</f>
        <v>0</v>
      </c>
      <c r="N31" s="71">
        <f t="shared" si="1"/>
        <v>0</v>
      </c>
    </row>
    <row r="32" spans="1:14" ht="15" customHeight="1" x14ac:dyDescent="0.2">
      <c r="A32" s="67" t="s">
        <v>285</v>
      </c>
      <c r="B32" s="75">
        <f>+'SALE WORKING'!C34+'SALE WORKING'!C59</f>
        <v>0</v>
      </c>
      <c r="C32" s="75">
        <f>+'SALE WORKING'!D34+'SALE WORKING'!D59</f>
        <v>0</v>
      </c>
      <c r="D32" s="75">
        <f>+'SALE WORKING'!E34+'SALE WORKING'!E59</f>
        <v>78878.807000000015</v>
      </c>
      <c r="E32" s="75">
        <f>+'SALE WORKING'!F34+'SALE WORKING'!F59</f>
        <v>3511.06</v>
      </c>
      <c r="F32" s="75">
        <f>+'SALE WORKING'!G34+'SALE WORKING'!G59</f>
        <v>0</v>
      </c>
      <c r="G32" s="75">
        <f>+'SALE WORKING'!H34+'SALE WORKING'!H59</f>
        <v>0</v>
      </c>
      <c r="H32" s="75">
        <f>+'SALE WORKING'!I34+'SALE WORKING'!I59</f>
        <v>0</v>
      </c>
      <c r="I32" s="75">
        <f>+'SALE WORKING'!J34+'SALE WORKING'!J59</f>
        <v>0</v>
      </c>
      <c r="J32" s="75">
        <f>+'SALE WORKING'!K34+'SALE WORKING'!K59</f>
        <v>0</v>
      </c>
      <c r="K32" s="75">
        <f>+'SALE WORKING'!L34+'SALE WORKING'!L59</f>
        <v>0</v>
      </c>
      <c r="L32" s="75">
        <f>+'SALE WORKING'!M34+'SALE WORKING'!M59</f>
        <v>0</v>
      </c>
      <c r="M32" s="76">
        <f>+'SALE WORKING'!N34+'SALE WORKING'!N59</f>
        <v>0</v>
      </c>
      <c r="N32" s="71">
        <f t="shared" si="1"/>
        <v>82389.867000000013</v>
      </c>
    </row>
    <row r="33" spans="1:14" ht="15" customHeight="1" x14ac:dyDescent="0.2">
      <c r="A33" s="67" t="s">
        <v>286</v>
      </c>
      <c r="B33" s="75">
        <f>+'SALE WORKING'!C35+'SALE WORKING'!C60</f>
        <v>0</v>
      </c>
      <c r="C33" s="75">
        <f>+'SALE WORKING'!D35+'SALE WORKING'!D60</f>
        <v>0</v>
      </c>
      <c r="D33" s="75">
        <f>+'SALE WORKING'!E35+'SALE WORKING'!E60</f>
        <v>78878.807000000015</v>
      </c>
      <c r="E33" s="75">
        <f>+'SALE WORKING'!F35+'SALE WORKING'!F60</f>
        <v>3511.06</v>
      </c>
      <c r="F33" s="75">
        <f>+'SALE WORKING'!G35+'SALE WORKING'!G60</f>
        <v>0</v>
      </c>
      <c r="G33" s="75">
        <f>+'SALE WORKING'!H35+'SALE WORKING'!H60</f>
        <v>0</v>
      </c>
      <c r="H33" s="75">
        <f>+'SALE WORKING'!I35+'SALE WORKING'!I60</f>
        <v>0</v>
      </c>
      <c r="I33" s="75">
        <f>+'SALE WORKING'!J35+'SALE WORKING'!J60</f>
        <v>0</v>
      </c>
      <c r="J33" s="75">
        <f>+'SALE WORKING'!K35+'SALE WORKING'!K60</f>
        <v>0</v>
      </c>
      <c r="K33" s="75">
        <f>+'SALE WORKING'!L35+'SALE WORKING'!L60</f>
        <v>0</v>
      </c>
      <c r="L33" s="75">
        <f>+'SALE WORKING'!M35+'SALE WORKING'!M60</f>
        <v>0</v>
      </c>
      <c r="M33" s="76">
        <f>+'SALE WORKING'!N35+'SALE WORKING'!N60</f>
        <v>0</v>
      </c>
      <c r="N33" s="71">
        <f t="shared" si="1"/>
        <v>82389.867000000013</v>
      </c>
    </row>
    <row r="34" spans="1:14" x14ac:dyDescent="0.2">
      <c r="A34" s="1176" t="s">
        <v>220</v>
      </c>
      <c r="B34" s="1177"/>
      <c r="C34" s="1177"/>
      <c r="D34" s="1177"/>
      <c r="E34" s="1177"/>
      <c r="F34" s="1177"/>
      <c r="G34" s="1177"/>
      <c r="H34" s="1177"/>
      <c r="I34" s="1177"/>
      <c r="J34" s="1177"/>
      <c r="K34" s="1177"/>
      <c r="L34" s="1177"/>
      <c r="M34" s="1178"/>
      <c r="N34" s="66" t="s">
        <v>347</v>
      </c>
    </row>
    <row r="35" spans="1:14" ht="15" customHeight="1" x14ac:dyDescent="0.2">
      <c r="A35" s="67" t="s">
        <v>280</v>
      </c>
      <c r="B35" s="92">
        <v>0</v>
      </c>
      <c r="C35" s="92">
        <v>0</v>
      </c>
      <c r="D35" s="92">
        <v>0</v>
      </c>
      <c r="E35" s="92">
        <v>0</v>
      </c>
      <c r="F35" s="92">
        <v>0</v>
      </c>
      <c r="G35" s="92">
        <v>0</v>
      </c>
      <c r="H35" s="92">
        <v>0</v>
      </c>
      <c r="I35" s="92">
        <v>0</v>
      </c>
      <c r="J35" s="92">
        <v>0</v>
      </c>
      <c r="K35" s="92">
        <v>0</v>
      </c>
      <c r="L35" s="92">
        <v>0</v>
      </c>
      <c r="M35" s="93">
        <v>0</v>
      </c>
      <c r="N35" s="71">
        <f t="shared" si="1"/>
        <v>0</v>
      </c>
    </row>
    <row r="36" spans="1:14" ht="15" customHeight="1" x14ac:dyDescent="0.2">
      <c r="A36" s="67" t="s">
        <v>282</v>
      </c>
      <c r="B36" s="71">
        <f>+'SALE WORKING'!C22+'SALE WORKING'!C49</f>
        <v>-7798.5407999999998</v>
      </c>
      <c r="C36" s="71">
        <f>+'SALE WORKING'!D22+'SALE WORKING'!D49</f>
        <v>-32487.014399999996</v>
      </c>
      <c r="D36" s="71">
        <f>+'SALE WORKING'!E22+'SALE WORKING'!E49</f>
        <v>-64986.380799999999</v>
      </c>
      <c r="E36" s="71">
        <f>+'SALE WORKING'!F22+'SALE WORKING'!F49</f>
        <v>-139414.66880000001</v>
      </c>
      <c r="F36" s="71">
        <f>+'SALE WORKING'!G22+'SALE WORKING'!G49</f>
        <v>-153581.82399999999</v>
      </c>
      <c r="G36" s="71">
        <f>+'SALE WORKING'!H22+'SALE WORKING'!H49</f>
        <v>-3412.5600000000004</v>
      </c>
      <c r="H36" s="71">
        <f>+'SALE WORKING'!I22+'SALE WORKING'!I49</f>
        <v>0</v>
      </c>
      <c r="I36" s="71">
        <f>+'SALE WORKING'!J22+'SALE WORKING'!J49</f>
        <v>0</v>
      </c>
      <c r="J36" s="71">
        <f>+'SALE WORKING'!K22+'SALE WORKING'!K49</f>
        <v>0</v>
      </c>
      <c r="K36" s="71">
        <f>+'SALE WORKING'!L22+'SALE WORKING'!L49</f>
        <v>0</v>
      </c>
      <c r="L36" s="71">
        <f>+'SALE WORKING'!M22+'SALE WORKING'!M49</f>
        <v>0</v>
      </c>
      <c r="M36" s="73">
        <f>+'SALE WORKING'!N22+'SALE WORKING'!N49</f>
        <v>0</v>
      </c>
      <c r="N36" s="71">
        <f t="shared" si="1"/>
        <v>-401680.98879999999</v>
      </c>
    </row>
    <row r="37" spans="1:14" ht="15" customHeight="1" x14ac:dyDescent="0.2">
      <c r="A37" s="67" t="s">
        <v>283</v>
      </c>
      <c r="B37" s="71">
        <f>+'SALE WORKING'!C23+'SALE WORKING'!C50</f>
        <v>-6092.61</v>
      </c>
      <c r="C37" s="71">
        <f>+'SALE WORKING'!D23+'SALE WORKING'!D50</f>
        <v>-25380.48</v>
      </c>
      <c r="D37" s="71">
        <f>+'SALE WORKING'!E23+'SALE WORKING'!E50</f>
        <v>-50770.610000000008</v>
      </c>
      <c r="E37" s="71">
        <f>+'SALE WORKING'!F23+'SALE WORKING'!F50</f>
        <v>-108917.71</v>
      </c>
      <c r="F37" s="71">
        <f>+'SALE WORKING'!G23+'SALE WORKING'!G50</f>
        <v>-119985.80000000002</v>
      </c>
      <c r="G37" s="71">
        <f>+'SALE WORKING'!H23+'SALE WORKING'!H50</f>
        <v>-2892</v>
      </c>
      <c r="H37" s="71">
        <f>+'SALE WORKING'!I23+'SALE WORKING'!I50</f>
        <v>0</v>
      </c>
      <c r="I37" s="71">
        <f>+'SALE WORKING'!J23+'SALE WORKING'!J50</f>
        <v>0</v>
      </c>
      <c r="J37" s="71">
        <f>+'SALE WORKING'!K23+'SALE WORKING'!K50</f>
        <v>0</v>
      </c>
      <c r="K37" s="71">
        <f>+'SALE WORKING'!L23+'SALE WORKING'!L50</f>
        <v>0</v>
      </c>
      <c r="L37" s="71">
        <f>+'SALE WORKING'!M23+'SALE WORKING'!M50</f>
        <v>0</v>
      </c>
      <c r="M37" s="73">
        <f>+'SALE WORKING'!N23+'SALE WORKING'!N50</f>
        <v>0</v>
      </c>
      <c r="N37" s="71">
        <f t="shared" si="1"/>
        <v>-314039.21000000008</v>
      </c>
    </row>
    <row r="38" spans="1:14" ht="15" customHeight="1" x14ac:dyDescent="0.2">
      <c r="A38" s="67" t="s">
        <v>284</v>
      </c>
      <c r="B38" s="71">
        <f>+'SALE WORKING'!C24+'SALE WORKING'!C51</f>
        <v>-1705.9308000000001</v>
      </c>
      <c r="C38" s="71">
        <f>+'SALE WORKING'!D24+'SALE WORKING'!D51</f>
        <v>0</v>
      </c>
      <c r="D38" s="71">
        <f>+'SALE WORKING'!E24+'SALE WORKING'!E51</f>
        <v>-8525.9439999999995</v>
      </c>
      <c r="E38" s="71">
        <f>+'SALE WORKING'!F24+'SALE WORKING'!F51</f>
        <v>-1698.06</v>
      </c>
      <c r="F38" s="71">
        <f>+'SALE WORKING'!G24+'SALE WORKING'!G51</f>
        <v>0</v>
      </c>
      <c r="G38" s="71">
        <f>+'SALE WORKING'!H24+'SALE WORKING'!H51</f>
        <v>0</v>
      </c>
      <c r="H38" s="71">
        <f>+'SALE WORKING'!I24+'SALE WORKING'!I51</f>
        <v>0</v>
      </c>
      <c r="I38" s="71">
        <f>+'SALE WORKING'!J24+'SALE WORKING'!J51</f>
        <v>0</v>
      </c>
      <c r="J38" s="71">
        <f>+'SALE WORKING'!K24+'SALE WORKING'!K51</f>
        <v>0</v>
      </c>
      <c r="K38" s="71">
        <f>+'SALE WORKING'!L24+'SALE WORKING'!L51</f>
        <v>0</v>
      </c>
      <c r="L38" s="71">
        <f>+'SALE WORKING'!M24+'SALE WORKING'!M51</f>
        <v>0</v>
      </c>
      <c r="M38" s="73">
        <f>+'SALE WORKING'!N24+'SALE WORKING'!N51</f>
        <v>0</v>
      </c>
      <c r="N38" s="71">
        <f t="shared" si="1"/>
        <v>-11929.934799999999</v>
      </c>
    </row>
    <row r="39" spans="1:14" ht="15" customHeight="1" x14ac:dyDescent="0.2">
      <c r="A39" s="67" t="s">
        <v>285</v>
      </c>
      <c r="B39" s="71">
        <f>+'SALE WORKING'!C25+'SALE WORKING'!C52</f>
        <v>0</v>
      </c>
      <c r="C39" s="71">
        <f>+'SALE WORKING'!D25+'SALE WORKING'!D52</f>
        <v>-3553.2671999999998</v>
      </c>
      <c r="D39" s="71">
        <f>+'SALE WORKING'!E25+'SALE WORKING'!E52</f>
        <v>-2844.9133999999999</v>
      </c>
      <c r="E39" s="71">
        <f>+'SALE WORKING'!F25+'SALE WORKING'!F52</f>
        <v>-14399.449400000001</v>
      </c>
      <c r="F39" s="71">
        <f>+'SALE WORKING'!G25+'SALE WORKING'!G52</f>
        <v>-16798.011999999999</v>
      </c>
      <c r="G39" s="71">
        <f>+'SALE WORKING'!H25+'SALE WORKING'!H52</f>
        <v>-260.28000000000003</v>
      </c>
      <c r="H39" s="71">
        <f>+'SALE WORKING'!I25+'SALE WORKING'!I52</f>
        <v>0</v>
      </c>
      <c r="I39" s="71">
        <f>+'SALE WORKING'!J25+'SALE WORKING'!J52</f>
        <v>0</v>
      </c>
      <c r="J39" s="71">
        <f>+'SALE WORKING'!K25+'SALE WORKING'!K52</f>
        <v>0</v>
      </c>
      <c r="K39" s="71">
        <f>+'SALE WORKING'!L25+'SALE WORKING'!L52</f>
        <v>0</v>
      </c>
      <c r="L39" s="71">
        <f>+'SALE WORKING'!M25+'SALE WORKING'!M52</f>
        <v>0</v>
      </c>
      <c r="M39" s="73">
        <f>+'SALE WORKING'!N25+'SALE WORKING'!N52</f>
        <v>0</v>
      </c>
      <c r="N39" s="71">
        <f t="shared" si="1"/>
        <v>-37855.921999999999</v>
      </c>
    </row>
    <row r="40" spans="1:14" ht="15" customHeight="1" x14ac:dyDescent="0.2">
      <c r="A40" s="94" t="s">
        <v>286</v>
      </c>
      <c r="B40" s="86">
        <f>+'SALE WORKING'!C26+'SALE WORKING'!C53</f>
        <v>0</v>
      </c>
      <c r="C40" s="86">
        <f>+'SALE WORKING'!D26+'SALE WORKING'!D53</f>
        <v>-3553.2671999999998</v>
      </c>
      <c r="D40" s="86">
        <f>+'SALE WORKING'!E26+'SALE WORKING'!E53</f>
        <v>-2844.9133999999999</v>
      </c>
      <c r="E40" s="86">
        <f>+'SALE WORKING'!F26+'SALE WORKING'!F53</f>
        <v>-14399.449400000001</v>
      </c>
      <c r="F40" s="86">
        <f>+'SALE WORKING'!G26+'SALE WORKING'!G53</f>
        <v>-16798.011999999999</v>
      </c>
      <c r="G40" s="86">
        <f>+'SALE WORKING'!H26+'SALE WORKING'!H53</f>
        <v>-260.28000000000003</v>
      </c>
      <c r="H40" s="86">
        <f>+'SALE WORKING'!I26+'SALE WORKING'!I53</f>
        <v>0</v>
      </c>
      <c r="I40" s="86">
        <f>+'SALE WORKING'!J26+'SALE WORKING'!J53</f>
        <v>0</v>
      </c>
      <c r="J40" s="86">
        <f>+'SALE WORKING'!K26+'SALE WORKING'!K53</f>
        <v>0</v>
      </c>
      <c r="K40" s="86">
        <f>+'SALE WORKING'!L26+'SALE WORKING'!L53</f>
        <v>0</v>
      </c>
      <c r="L40" s="86">
        <f>+'SALE WORKING'!M26+'SALE WORKING'!M53</f>
        <v>0</v>
      </c>
      <c r="M40" s="95">
        <f>+'SALE WORKING'!N26+'SALE WORKING'!N53</f>
        <v>0</v>
      </c>
      <c r="N40" s="71">
        <f t="shared" si="1"/>
        <v>-37855.921999999999</v>
      </c>
    </row>
    <row r="41" spans="1:14" ht="15" customHeight="1" x14ac:dyDescent="0.2">
      <c r="A41" s="96"/>
      <c r="B41" s="97"/>
      <c r="C41" s="97"/>
      <c r="D41" s="97"/>
      <c r="E41" s="97"/>
      <c r="F41" s="97"/>
      <c r="G41" s="97"/>
      <c r="H41" s="97"/>
      <c r="I41" s="97"/>
      <c r="J41" s="97"/>
      <c r="K41" s="97"/>
      <c r="L41" s="97"/>
      <c r="M41" s="97"/>
      <c r="N41" s="34"/>
    </row>
    <row r="42" spans="1:14" ht="15.75" customHeight="1" x14ac:dyDescent="0.2">
      <c r="A42" s="1173" t="s">
        <v>352</v>
      </c>
      <c r="B42" s="1174"/>
      <c r="C42" s="1174"/>
      <c r="D42" s="1174"/>
      <c r="E42" s="1174"/>
      <c r="F42" s="1174"/>
      <c r="G42" s="1174"/>
      <c r="H42" s="1174"/>
      <c r="I42" s="1174"/>
      <c r="J42" s="1174"/>
      <c r="K42" s="1174"/>
      <c r="L42" s="1174"/>
      <c r="M42" s="1174"/>
      <c r="N42" s="1175"/>
    </row>
    <row r="43" spans="1:14" x14ac:dyDescent="0.2">
      <c r="A43" s="66" t="s">
        <v>279</v>
      </c>
      <c r="B43" s="98">
        <v>43556</v>
      </c>
      <c r="C43" s="98">
        <v>43586</v>
      </c>
      <c r="D43" s="98">
        <v>43617</v>
      </c>
      <c r="E43" s="98">
        <v>43647</v>
      </c>
      <c r="F43" s="98">
        <v>43678</v>
      </c>
      <c r="G43" s="98">
        <v>43709</v>
      </c>
      <c r="H43" s="98">
        <v>43739</v>
      </c>
      <c r="I43" s="98">
        <v>43770</v>
      </c>
      <c r="J43" s="98">
        <v>43800</v>
      </c>
      <c r="K43" s="98">
        <v>43831</v>
      </c>
      <c r="L43" s="98">
        <v>43862</v>
      </c>
      <c r="M43" s="99">
        <v>43891</v>
      </c>
      <c r="N43" s="66" t="s">
        <v>347</v>
      </c>
    </row>
    <row r="44" spans="1:14" ht="15" customHeight="1" x14ac:dyDescent="0.2">
      <c r="A44" s="67" t="s">
        <v>280</v>
      </c>
      <c r="B44" s="71">
        <v>0</v>
      </c>
      <c r="C44" s="71">
        <v>0</v>
      </c>
      <c r="D44" s="71">
        <v>0</v>
      </c>
      <c r="E44" s="71">
        <v>0</v>
      </c>
      <c r="F44" s="71">
        <v>0</v>
      </c>
      <c r="G44" s="71">
        <v>0</v>
      </c>
      <c r="H44" s="71">
        <v>0</v>
      </c>
      <c r="I44" s="71">
        <v>0</v>
      </c>
      <c r="J44" s="71">
        <v>0</v>
      </c>
      <c r="K44" s="71">
        <v>0</v>
      </c>
      <c r="L44" s="71">
        <v>0</v>
      </c>
      <c r="M44" s="73">
        <v>0</v>
      </c>
      <c r="N44" s="71">
        <f t="shared" ref="N44:N49" si="2">SUM(B44:M44)</f>
        <v>0</v>
      </c>
    </row>
    <row r="45" spans="1:14" ht="15" customHeight="1" x14ac:dyDescent="0.2">
      <c r="A45" s="67" t="s">
        <v>282</v>
      </c>
      <c r="B45" s="71">
        <f>+'PURCHASE WORKING'!C136</f>
        <v>0</v>
      </c>
      <c r="C45" s="71">
        <f>+'PURCHASE WORKING'!D136</f>
        <v>0</v>
      </c>
      <c r="D45" s="71">
        <f>+'PURCHASE WORKING'!E136</f>
        <v>0</v>
      </c>
      <c r="E45" s="71">
        <f>+'PURCHASE WORKING'!F136</f>
        <v>0</v>
      </c>
      <c r="F45" s="71">
        <f>+'PURCHASE WORKING'!G136</f>
        <v>0</v>
      </c>
      <c r="G45" s="71">
        <f>+'PURCHASE WORKING'!H136</f>
        <v>0</v>
      </c>
      <c r="H45" s="71">
        <f>+'PURCHASE WORKING'!I136</f>
        <v>0</v>
      </c>
      <c r="I45" s="71">
        <f>+'PURCHASE WORKING'!J136</f>
        <v>0</v>
      </c>
      <c r="J45" s="71">
        <f>+'PURCHASE WORKING'!K136</f>
        <v>0</v>
      </c>
      <c r="K45" s="71">
        <f>+'PURCHASE WORKING'!L136</f>
        <v>0</v>
      </c>
      <c r="L45" s="71">
        <f>+'PURCHASE WORKING'!M136</f>
        <v>0</v>
      </c>
      <c r="M45" s="73">
        <f>+'PURCHASE WORKING'!N136</f>
        <v>0</v>
      </c>
      <c r="N45" s="71">
        <f t="shared" si="2"/>
        <v>0</v>
      </c>
    </row>
    <row r="46" spans="1:14" ht="15" customHeight="1" x14ac:dyDescent="0.2">
      <c r="A46" s="67" t="s">
        <v>283</v>
      </c>
      <c r="B46" s="71">
        <f>+'PURCHASE WORKING'!C137</f>
        <v>0</v>
      </c>
      <c r="C46" s="71">
        <f>+'PURCHASE WORKING'!D137</f>
        <v>0</v>
      </c>
      <c r="D46" s="71">
        <f>+'PURCHASE WORKING'!E137</f>
        <v>0</v>
      </c>
      <c r="E46" s="71">
        <f>+'PURCHASE WORKING'!F137</f>
        <v>0</v>
      </c>
      <c r="F46" s="71">
        <f>+'PURCHASE WORKING'!G137</f>
        <v>0</v>
      </c>
      <c r="G46" s="71">
        <f>+'PURCHASE WORKING'!H137</f>
        <v>0</v>
      </c>
      <c r="H46" s="71">
        <f>+'PURCHASE WORKING'!I137</f>
        <v>0</v>
      </c>
      <c r="I46" s="71">
        <f>+'PURCHASE WORKING'!J137</f>
        <v>0</v>
      </c>
      <c r="J46" s="71">
        <f>+'PURCHASE WORKING'!K137</f>
        <v>0</v>
      </c>
      <c r="K46" s="71">
        <f>+'PURCHASE WORKING'!L137</f>
        <v>0</v>
      </c>
      <c r="L46" s="71">
        <f>+'PURCHASE WORKING'!M137</f>
        <v>0</v>
      </c>
      <c r="M46" s="73">
        <f>+'PURCHASE WORKING'!N137</f>
        <v>0</v>
      </c>
      <c r="N46" s="71">
        <f t="shared" si="2"/>
        <v>0</v>
      </c>
    </row>
    <row r="47" spans="1:14" x14ac:dyDescent="0.2">
      <c r="A47" s="67" t="s">
        <v>284</v>
      </c>
      <c r="B47" s="100">
        <f>+'PURCHASE WORKING'!C138</f>
        <v>0</v>
      </c>
      <c r="C47" s="100">
        <f>+'PURCHASE WORKING'!D138</f>
        <v>0</v>
      </c>
      <c r="D47" s="100">
        <f>+'PURCHASE WORKING'!E138</f>
        <v>0</v>
      </c>
      <c r="E47" s="100">
        <f>+'PURCHASE WORKING'!F138</f>
        <v>0</v>
      </c>
      <c r="F47" s="100">
        <f>+'PURCHASE WORKING'!G138</f>
        <v>0</v>
      </c>
      <c r="G47" s="100">
        <f>+'PURCHASE WORKING'!H138</f>
        <v>0</v>
      </c>
      <c r="H47" s="100">
        <f>+'PURCHASE WORKING'!I138</f>
        <v>0</v>
      </c>
      <c r="I47" s="100">
        <f>+'PURCHASE WORKING'!J138</f>
        <v>0</v>
      </c>
      <c r="J47" s="100">
        <f>+'PURCHASE WORKING'!K138</f>
        <v>0</v>
      </c>
      <c r="K47" s="100">
        <f>+'PURCHASE WORKING'!L138</f>
        <v>0</v>
      </c>
      <c r="L47" s="100">
        <f>+'PURCHASE WORKING'!M138</f>
        <v>0</v>
      </c>
      <c r="M47" s="101">
        <f>+'PURCHASE WORKING'!N138</f>
        <v>0</v>
      </c>
      <c r="N47" s="71">
        <f t="shared" si="2"/>
        <v>0</v>
      </c>
    </row>
    <row r="48" spans="1:14" x14ac:dyDescent="0.2">
      <c r="A48" s="67" t="s">
        <v>285</v>
      </c>
      <c r="B48" s="100">
        <f>+'PURCHASE WORKING'!C139</f>
        <v>0</v>
      </c>
      <c r="C48" s="100">
        <f>+'PURCHASE WORKING'!D139</f>
        <v>0</v>
      </c>
      <c r="D48" s="100">
        <f>+'PURCHASE WORKING'!E139</f>
        <v>0</v>
      </c>
      <c r="E48" s="100">
        <f>+'PURCHASE WORKING'!F139</f>
        <v>0</v>
      </c>
      <c r="F48" s="100">
        <f>+'PURCHASE WORKING'!G139</f>
        <v>0</v>
      </c>
      <c r="G48" s="100">
        <f>+'PURCHASE WORKING'!H139</f>
        <v>0</v>
      </c>
      <c r="H48" s="100">
        <f>+'PURCHASE WORKING'!I139</f>
        <v>0</v>
      </c>
      <c r="I48" s="100">
        <f>+'PURCHASE WORKING'!J139</f>
        <v>0</v>
      </c>
      <c r="J48" s="100">
        <f>+'PURCHASE WORKING'!K139</f>
        <v>0</v>
      </c>
      <c r="K48" s="100">
        <f>+'PURCHASE WORKING'!L139</f>
        <v>0</v>
      </c>
      <c r="L48" s="100">
        <f>+'PURCHASE WORKING'!M139</f>
        <v>0</v>
      </c>
      <c r="M48" s="101">
        <f>+'PURCHASE WORKING'!N139</f>
        <v>0</v>
      </c>
      <c r="N48" s="71">
        <f t="shared" si="2"/>
        <v>0</v>
      </c>
    </row>
    <row r="49" spans="1:14" x14ac:dyDescent="0.2">
      <c r="A49" s="67" t="s">
        <v>286</v>
      </c>
      <c r="B49" s="71">
        <f>+'PURCHASE WORKING'!C140</f>
        <v>0</v>
      </c>
      <c r="C49" s="71">
        <f>+'PURCHASE WORKING'!D140</f>
        <v>0</v>
      </c>
      <c r="D49" s="71">
        <f>+'PURCHASE WORKING'!E140</f>
        <v>0</v>
      </c>
      <c r="E49" s="71">
        <f>+'PURCHASE WORKING'!F140</f>
        <v>0</v>
      </c>
      <c r="F49" s="71">
        <f>+'PURCHASE WORKING'!G140</f>
        <v>0</v>
      </c>
      <c r="G49" s="71">
        <f>+'PURCHASE WORKING'!H140</f>
        <v>0</v>
      </c>
      <c r="H49" s="71">
        <f>+'PURCHASE WORKING'!I140</f>
        <v>0</v>
      </c>
      <c r="I49" s="71">
        <f>+'PURCHASE WORKING'!J140</f>
        <v>0</v>
      </c>
      <c r="J49" s="71">
        <f>+'PURCHASE WORKING'!K140</f>
        <v>0</v>
      </c>
      <c r="K49" s="71">
        <f>+'PURCHASE WORKING'!L140</f>
        <v>0</v>
      </c>
      <c r="L49" s="71">
        <f>+'PURCHASE WORKING'!M140</f>
        <v>0</v>
      </c>
      <c r="M49" s="73">
        <f>+'PURCHASE WORKING'!N140</f>
        <v>0</v>
      </c>
      <c r="N49" s="71">
        <f t="shared" si="2"/>
        <v>0</v>
      </c>
    </row>
    <row r="50" spans="1:14" ht="15.75" customHeight="1" x14ac:dyDescent="0.2">
      <c r="A50" s="1167" t="s">
        <v>353</v>
      </c>
      <c r="B50" s="1168"/>
      <c r="C50" s="1168"/>
      <c r="D50" s="1168"/>
      <c r="E50" s="1168"/>
      <c r="F50" s="1168"/>
      <c r="G50" s="1168"/>
      <c r="H50" s="1168"/>
      <c r="I50" s="1168"/>
      <c r="J50" s="1168"/>
      <c r="K50" s="1168"/>
      <c r="L50" s="1168"/>
      <c r="M50" s="1168"/>
      <c r="N50" s="1169"/>
    </row>
    <row r="51" spans="1:14" x14ac:dyDescent="0.2">
      <c r="A51" s="66" t="s">
        <v>279</v>
      </c>
      <c r="B51" s="98">
        <v>43556</v>
      </c>
      <c r="C51" s="98">
        <v>43586</v>
      </c>
      <c r="D51" s="98">
        <v>43617</v>
      </c>
      <c r="E51" s="98">
        <v>43647</v>
      </c>
      <c r="F51" s="98">
        <v>43678</v>
      </c>
      <c r="G51" s="98">
        <v>43709</v>
      </c>
      <c r="H51" s="98">
        <v>43739</v>
      </c>
      <c r="I51" s="98">
        <v>43770</v>
      </c>
      <c r="J51" s="98">
        <v>43800</v>
      </c>
      <c r="K51" s="98">
        <v>43831</v>
      </c>
      <c r="L51" s="98">
        <v>43862</v>
      </c>
      <c r="M51" s="99">
        <v>43891</v>
      </c>
      <c r="N51" s="66" t="s">
        <v>347</v>
      </c>
    </row>
    <row r="52" spans="1:14" ht="15" customHeight="1" x14ac:dyDescent="0.2">
      <c r="A52" s="67" t="s">
        <v>280</v>
      </c>
      <c r="B52" s="71">
        <v>0</v>
      </c>
      <c r="C52" s="71">
        <v>0</v>
      </c>
      <c r="D52" s="71">
        <v>0</v>
      </c>
      <c r="E52" s="71">
        <v>0</v>
      </c>
      <c r="F52" s="71">
        <v>0</v>
      </c>
      <c r="G52" s="71">
        <v>0</v>
      </c>
      <c r="H52" s="71">
        <v>0</v>
      </c>
      <c r="I52" s="71">
        <v>0</v>
      </c>
      <c r="J52" s="71">
        <v>0</v>
      </c>
      <c r="K52" s="71">
        <v>0</v>
      </c>
      <c r="L52" s="71">
        <v>0</v>
      </c>
      <c r="M52" s="73">
        <v>0</v>
      </c>
      <c r="N52" s="71">
        <f t="shared" ref="N52:N57" si="3">SUM(B52:M52)</f>
        <v>0</v>
      </c>
    </row>
    <row r="53" spans="1:14" ht="15" customHeight="1" x14ac:dyDescent="0.2">
      <c r="A53" s="67" t="s">
        <v>282</v>
      </c>
      <c r="B53" s="71">
        <f>+'PURCHASE WORKING'!C145</f>
        <v>0</v>
      </c>
      <c r="C53" s="71">
        <f>+'PURCHASE WORKING'!D145</f>
        <v>0</v>
      </c>
      <c r="D53" s="71">
        <f>+'PURCHASE WORKING'!E145</f>
        <v>0</v>
      </c>
      <c r="E53" s="71">
        <f>+'PURCHASE WORKING'!F145</f>
        <v>0</v>
      </c>
      <c r="F53" s="71">
        <f>+'PURCHASE WORKING'!G145</f>
        <v>0</v>
      </c>
      <c r="G53" s="71">
        <f>+'PURCHASE WORKING'!H145</f>
        <v>0</v>
      </c>
      <c r="H53" s="71">
        <f>+'PURCHASE WORKING'!I145</f>
        <v>0</v>
      </c>
      <c r="I53" s="71">
        <f>+'PURCHASE WORKING'!J145</f>
        <v>0</v>
      </c>
      <c r="J53" s="71">
        <f>+'PURCHASE WORKING'!K145</f>
        <v>0</v>
      </c>
      <c r="K53" s="71">
        <f>+'PURCHASE WORKING'!L145</f>
        <v>0</v>
      </c>
      <c r="L53" s="71">
        <f>+'PURCHASE WORKING'!M145</f>
        <v>0</v>
      </c>
      <c r="M53" s="73">
        <f>+'PURCHASE WORKING'!N145</f>
        <v>0</v>
      </c>
      <c r="N53" s="71">
        <f t="shared" si="3"/>
        <v>0</v>
      </c>
    </row>
    <row r="54" spans="1:14" ht="15" customHeight="1" x14ac:dyDescent="0.2">
      <c r="A54" s="67" t="s">
        <v>283</v>
      </c>
      <c r="B54" s="100">
        <f>+'PURCHASE WORKING'!C146</f>
        <v>0</v>
      </c>
      <c r="C54" s="100">
        <f>+'PURCHASE WORKING'!D146</f>
        <v>0</v>
      </c>
      <c r="D54" s="100">
        <f>+'PURCHASE WORKING'!E146</f>
        <v>0</v>
      </c>
      <c r="E54" s="100">
        <f>+'PURCHASE WORKING'!F146</f>
        <v>0</v>
      </c>
      <c r="F54" s="100">
        <f>+'PURCHASE WORKING'!G146</f>
        <v>0</v>
      </c>
      <c r="G54" s="100">
        <f>+'PURCHASE WORKING'!H146</f>
        <v>0</v>
      </c>
      <c r="H54" s="100">
        <f>+'PURCHASE WORKING'!I146</f>
        <v>0</v>
      </c>
      <c r="I54" s="100">
        <f>+'PURCHASE WORKING'!J146</f>
        <v>0</v>
      </c>
      <c r="J54" s="100">
        <f>+'PURCHASE WORKING'!K146</f>
        <v>0</v>
      </c>
      <c r="K54" s="100">
        <f>+'PURCHASE WORKING'!L146</f>
        <v>0</v>
      </c>
      <c r="L54" s="100">
        <f>+'PURCHASE WORKING'!M146</f>
        <v>0</v>
      </c>
      <c r="M54" s="101">
        <f>+'PURCHASE WORKING'!N146</f>
        <v>0</v>
      </c>
      <c r="N54" s="71">
        <f t="shared" si="3"/>
        <v>0</v>
      </c>
    </row>
    <row r="55" spans="1:14" x14ac:dyDescent="0.2">
      <c r="A55" s="67" t="s">
        <v>284</v>
      </c>
      <c r="B55" s="100">
        <f>+'PURCHASE WORKING'!C147</f>
        <v>0</v>
      </c>
      <c r="C55" s="100">
        <f>+'PURCHASE WORKING'!D147</f>
        <v>0</v>
      </c>
      <c r="D55" s="100">
        <f>+'PURCHASE WORKING'!E147</f>
        <v>0</v>
      </c>
      <c r="E55" s="100">
        <f>+'PURCHASE WORKING'!F147</f>
        <v>0</v>
      </c>
      <c r="F55" s="100">
        <f>+'PURCHASE WORKING'!G147</f>
        <v>0</v>
      </c>
      <c r="G55" s="100">
        <f>+'PURCHASE WORKING'!H147</f>
        <v>0</v>
      </c>
      <c r="H55" s="100">
        <f>+'PURCHASE WORKING'!I147</f>
        <v>0</v>
      </c>
      <c r="I55" s="100">
        <f>+'PURCHASE WORKING'!J147</f>
        <v>0</v>
      </c>
      <c r="J55" s="100">
        <f>+'PURCHASE WORKING'!K147</f>
        <v>0</v>
      </c>
      <c r="K55" s="100">
        <f>+'PURCHASE WORKING'!L147</f>
        <v>0</v>
      </c>
      <c r="L55" s="100">
        <f>+'PURCHASE WORKING'!M147</f>
        <v>0</v>
      </c>
      <c r="M55" s="101">
        <f>+'PURCHASE WORKING'!N147</f>
        <v>0</v>
      </c>
      <c r="N55" s="71">
        <f t="shared" si="3"/>
        <v>0</v>
      </c>
    </row>
    <row r="56" spans="1:14" x14ac:dyDescent="0.2">
      <c r="A56" s="67" t="s">
        <v>285</v>
      </c>
      <c r="B56" s="71">
        <f>+'PURCHASE WORKING'!C148</f>
        <v>0</v>
      </c>
      <c r="C56" s="71">
        <f>+'PURCHASE WORKING'!D148</f>
        <v>0</v>
      </c>
      <c r="D56" s="71">
        <f>+'PURCHASE WORKING'!E148</f>
        <v>0</v>
      </c>
      <c r="E56" s="71">
        <f>+'PURCHASE WORKING'!F148</f>
        <v>0</v>
      </c>
      <c r="F56" s="71">
        <f>+'PURCHASE WORKING'!G148</f>
        <v>0</v>
      </c>
      <c r="G56" s="71">
        <f>+'PURCHASE WORKING'!H148</f>
        <v>0</v>
      </c>
      <c r="H56" s="71">
        <f>+'PURCHASE WORKING'!I148</f>
        <v>0</v>
      </c>
      <c r="I56" s="71">
        <f>+'PURCHASE WORKING'!J148</f>
        <v>0</v>
      </c>
      <c r="J56" s="71">
        <f>+'PURCHASE WORKING'!K148</f>
        <v>0</v>
      </c>
      <c r="K56" s="71">
        <f>+'PURCHASE WORKING'!L148</f>
        <v>0</v>
      </c>
      <c r="L56" s="71">
        <f>+'PURCHASE WORKING'!M148</f>
        <v>0</v>
      </c>
      <c r="M56" s="73">
        <f>+'PURCHASE WORKING'!N148</f>
        <v>0</v>
      </c>
      <c r="N56" s="71">
        <f t="shared" si="3"/>
        <v>0</v>
      </c>
    </row>
    <row r="57" spans="1:14" x14ac:dyDescent="0.2">
      <c r="A57" s="67" t="s">
        <v>286</v>
      </c>
      <c r="B57" s="71">
        <f>+'PURCHASE WORKING'!C149</f>
        <v>0</v>
      </c>
      <c r="C57" s="71">
        <f>+'PURCHASE WORKING'!D149</f>
        <v>0</v>
      </c>
      <c r="D57" s="71">
        <f>+'PURCHASE WORKING'!E149</f>
        <v>0</v>
      </c>
      <c r="E57" s="71">
        <f>+'PURCHASE WORKING'!F149</f>
        <v>0</v>
      </c>
      <c r="F57" s="71">
        <f>+'PURCHASE WORKING'!G149</f>
        <v>0</v>
      </c>
      <c r="G57" s="71">
        <f>+'PURCHASE WORKING'!H149</f>
        <v>0</v>
      </c>
      <c r="H57" s="71">
        <f>+'PURCHASE WORKING'!I149</f>
        <v>0</v>
      </c>
      <c r="I57" s="71">
        <f>+'PURCHASE WORKING'!J149</f>
        <v>0</v>
      </c>
      <c r="J57" s="71">
        <f>+'PURCHASE WORKING'!K149</f>
        <v>0</v>
      </c>
      <c r="K57" s="71">
        <f>+'PURCHASE WORKING'!L149</f>
        <v>0</v>
      </c>
      <c r="L57" s="71">
        <f>+'PURCHASE WORKING'!M149</f>
        <v>0</v>
      </c>
      <c r="M57" s="73">
        <f>+'PURCHASE WORKING'!N149</f>
        <v>0</v>
      </c>
      <c r="N57" s="71">
        <f t="shared" si="3"/>
        <v>0</v>
      </c>
    </row>
    <row r="58" spans="1:14" ht="13.8" customHeight="1" x14ac:dyDescent="0.2">
      <c r="A58" s="1167" t="s">
        <v>354</v>
      </c>
      <c r="B58" s="1168"/>
      <c r="C58" s="1168"/>
      <c r="D58" s="1168"/>
      <c r="E58" s="1168"/>
      <c r="F58" s="1168"/>
      <c r="G58" s="1168"/>
      <c r="H58" s="1168"/>
      <c r="I58" s="1168"/>
      <c r="J58" s="1168"/>
      <c r="K58" s="1168"/>
      <c r="L58" s="1168"/>
      <c r="M58" s="1168"/>
      <c r="N58" s="1169"/>
    </row>
    <row r="59" spans="1:14" x14ac:dyDescent="0.2">
      <c r="A59" s="66" t="s">
        <v>279</v>
      </c>
      <c r="B59" s="98">
        <v>43556</v>
      </c>
      <c r="C59" s="98">
        <v>43586</v>
      </c>
      <c r="D59" s="98">
        <v>43617</v>
      </c>
      <c r="E59" s="98">
        <v>43647</v>
      </c>
      <c r="F59" s="98">
        <v>43678</v>
      </c>
      <c r="G59" s="98">
        <v>43709</v>
      </c>
      <c r="H59" s="98">
        <v>43739</v>
      </c>
      <c r="I59" s="98">
        <v>43770</v>
      </c>
      <c r="J59" s="98">
        <v>43800</v>
      </c>
      <c r="K59" s="98">
        <v>43831</v>
      </c>
      <c r="L59" s="98">
        <v>43862</v>
      </c>
      <c r="M59" s="99">
        <v>43891</v>
      </c>
      <c r="N59" s="66" t="s">
        <v>347</v>
      </c>
    </row>
    <row r="60" spans="1:14" ht="15" customHeight="1" x14ac:dyDescent="0.2">
      <c r="A60" s="67" t="s">
        <v>280</v>
      </c>
      <c r="B60" s="71">
        <v>0</v>
      </c>
      <c r="C60" s="71">
        <v>0</v>
      </c>
      <c r="D60" s="71">
        <v>0</v>
      </c>
      <c r="E60" s="71">
        <v>0</v>
      </c>
      <c r="F60" s="71">
        <v>0</v>
      </c>
      <c r="G60" s="71">
        <v>0</v>
      </c>
      <c r="H60" s="71">
        <v>0</v>
      </c>
      <c r="I60" s="71">
        <v>0</v>
      </c>
      <c r="J60" s="71">
        <v>0</v>
      </c>
      <c r="K60" s="71">
        <v>0</v>
      </c>
      <c r="L60" s="71">
        <v>0</v>
      </c>
      <c r="M60" s="73">
        <v>0</v>
      </c>
      <c r="N60" s="71">
        <f t="shared" ref="N60:N123" si="4">SUM(B60:M60)</f>
        <v>0</v>
      </c>
    </row>
    <row r="61" spans="1:14" ht="15" customHeight="1" x14ac:dyDescent="0.2">
      <c r="A61" s="67" t="s">
        <v>282</v>
      </c>
      <c r="B61" s="71">
        <v>0</v>
      </c>
      <c r="C61" s="71">
        <v>0</v>
      </c>
      <c r="D61" s="71">
        <v>0</v>
      </c>
      <c r="E61" s="71">
        <v>0</v>
      </c>
      <c r="F61" s="71">
        <v>0</v>
      </c>
      <c r="G61" s="71">
        <v>0</v>
      </c>
      <c r="H61" s="71">
        <v>0</v>
      </c>
      <c r="I61" s="71">
        <v>0</v>
      </c>
      <c r="J61" s="71">
        <v>0</v>
      </c>
      <c r="K61" s="71">
        <v>0</v>
      </c>
      <c r="L61" s="71">
        <v>0</v>
      </c>
      <c r="M61" s="73">
        <v>0</v>
      </c>
      <c r="N61" s="71">
        <f t="shared" si="4"/>
        <v>0</v>
      </c>
    </row>
    <row r="62" spans="1:14" ht="15" customHeight="1" x14ac:dyDescent="0.2">
      <c r="A62" s="67" t="s">
        <v>283</v>
      </c>
      <c r="B62" s="71">
        <v>0</v>
      </c>
      <c r="C62" s="71">
        <v>0</v>
      </c>
      <c r="D62" s="71">
        <v>0</v>
      </c>
      <c r="E62" s="71">
        <v>0</v>
      </c>
      <c r="F62" s="71">
        <v>0</v>
      </c>
      <c r="G62" s="71">
        <v>0</v>
      </c>
      <c r="H62" s="71">
        <v>0</v>
      </c>
      <c r="I62" s="71">
        <v>0</v>
      </c>
      <c r="J62" s="71">
        <v>0</v>
      </c>
      <c r="K62" s="71">
        <v>0</v>
      </c>
      <c r="L62" s="71">
        <v>0</v>
      </c>
      <c r="M62" s="73">
        <v>0</v>
      </c>
      <c r="N62" s="71">
        <f t="shared" si="4"/>
        <v>0</v>
      </c>
    </row>
    <row r="63" spans="1:14" ht="15" customHeight="1" x14ac:dyDescent="0.2">
      <c r="A63" s="67" t="s">
        <v>284</v>
      </c>
      <c r="B63" s="100">
        <v>0</v>
      </c>
      <c r="C63" s="100">
        <v>0</v>
      </c>
      <c r="D63" s="100">
        <v>0</v>
      </c>
      <c r="E63" s="100">
        <v>0</v>
      </c>
      <c r="F63" s="100">
        <v>0</v>
      </c>
      <c r="G63" s="100">
        <v>0</v>
      </c>
      <c r="H63" s="100">
        <v>0</v>
      </c>
      <c r="I63" s="100">
        <v>0</v>
      </c>
      <c r="J63" s="100">
        <v>0</v>
      </c>
      <c r="K63" s="100">
        <v>0</v>
      </c>
      <c r="L63" s="100">
        <v>0</v>
      </c>
      <c r="M63" s="101">
        <v>0</v>
      </c>
      <c r="N63" s="71">
        <f t="shared" si="4"/>
        <v>0</v>
      </c>
    </row>
    <row r="64" spans="1:14" x14ac:dyDescent="0.2">
      <c r="A64" s="67" t="s">
        <v>285</v>
      </c>
      <c r="B64" s="100">
        <v>0</v>
      </c>
      <c r="C64" s="100">
        <v>0</v>
      </c>
      <c r="D64" s="100">
        <v>0</v>
      </c>
      <c r="E64" s="100">
        <v>0</v>
      </c>
      <c r="F64" s="100">
        <v>0</v>
      </c>
      <c r="G64" s="100">
        <v>0</v>
      </c>
      <c r="H64" s="100">
        <v>0</v>
      </c>
      <c r="I64" s="100">
        <v>0</v>
      </c>
      <c r="J64" s="100">
        <v>0</v>
      </c>
      <c r="K64" s="100">
        <v>0</v>
      </c>
      <c r="L64" s="100">
        <v>0</v>
      </c>
      <c r="M64" s="101">
        <v>0</v>
      </c>
      <c r="N64" s="71">
        <f t="shared" si="4"/>
        <v>0</v>
      </c>
    </row>
    <row r="65" spans="1:14" x14ac:dyDescent="0.2">
      <c r="A65" s="67" t="s">
        <v>286</v>
      </c>
      <c r="B65" s="71">
        <v>0</v>
      </c>
      <c r="C65" s="71">
        <v>0</v>
      </c>
      <c r="D65" s="71">
        <v>0</v>
      </c>
      <c r="E65" s="71">
        <v>0</v>
      </c>
      <c r="F65" s="71">
        <v>0</v>
      </c>
      <c r="G65" s="71">
        <v>0</v>
      </c>
      <c r="H65" s="71">
        <v>0</v>
      </c>
      <c r="I65" s="71">
        <v>0</v>
      </c>
      <c r="J65" s="71">
        <v>0</v>
      </c>
      <c r="K65" s="71">
        <v>0</v>
      </c>
      <c r="L65" s="71">
        <v>0</v>
      </c>
      <c r="M65" s="73">
        <v>0</v>
      </c>
      <c r="N65" s="71">
        <f t="shared" si="4"/>
        <v>0</v>
      </c>
    </row>
    <row r="66" spans="1:14" ht="15" customHeight="1" x14ac:dyDescent="0.2">
      <c r="A66" s="1179" t="s">
        <v>351</v>
      </c>
      <c r="B66" s="1180"/>
      <c r="C66" s="1180"/>
      <c r="D66" s="1180"/>
      <c r="E66" s="1180"/>
      <c r="F66" s="1180"/>
      <c r="G66" s="1180"/>
      <c r="H66" s="1180"/>
      <c r="I66" s="1180"/>
      <c r="J66" s="1180"/>
      <c r="K66" s="1180"/>
      <c r="L66" s="1180"/>
      <c r="M66" s="1180"/>
      <c r="N66" s="1181"/>
    </row>
    <row r="67" spans="1:14" ht="15" customHeight="1" x14ac:dyDescent="0.2">
      <c r="A67" s="1176" t="s">
        <v>22</v>
      </c>
      <c r="B67" s="1177"/>
      <c r="C67" s="1177"/>
      <c r="D67" s="1177"/>
      <c r="E67" s="1177"/>
      <c r="F67" s="1177"/>
      <c r="G67" s="1177"/>
      <c r="H67" s="1177"/>
      <c r="I67" s="1177"/>
      <c r="J67" s="1177"/>
      <c r="K67" s="1177"/>
      <c r="L67" s="1177"/>
      <c r="M67" s="1178"/>
      <c r="N67" s="66" t="s">
        <v>347</v>
      </c>
    </row>
    <row r="68" spans="1:14" ht="15" customHeight="1" x14ac:dyDescent="0.2">
      <c r="A68" s="67" t="s">
        <v>280</v>
      </c>
      <c r="B68" s="75">
        <v>0</v>
      </c>
      <c r="C68" s="75">
        <v>0</v>
      </c>
      <c r="D68" s="75">
        <v>0</v>
      </c>
      <c r="E68" s="75">
        <v>0</v>
      </c>
      <c r="F68" s="75">
        <v>0</v>
      </c>
      <c r="G68" s="75">
        <v>0</v>
      </c>
      <c r="H68" s="75">
        <v>0</v>
      </c>
      <c r="I68" s="75">
        <v>0</v>
      </c>
      <c r="J68" s="75">
        <v>0</v>
      </c>
      <c r="K68" s="75">
        <v>0</v>
      </c>
      <c r="L68" s="75">
        <v>0</v>
      </c>
      <c r="M68" s="76">
        <v>0</v>
      </c>
      <c r="N68" s="71">
        <f t="shared" si="4"/>
        <v>0</v>
      </c>
    </row>
    <row r="69" spans="1:14" ht="15" customHeight="1" x14ac:dyDescent="0.2">
      <c r="A69" s="67" t="s">
        <v>282</v>
      </c>
      <c r="B69" s="75">
        <v>0</v>
      </c>
      <c r="C69" s="75">
        <v>0</v>
      </c>
      <c r="D69" s="75">
        <v>0</v>
      </c>
      <c r="E69" s="75">
        <v>0</v>
      </c>
      <c r="F69" s="75">
        <v>0</v>
      </c>
      <c r="G69" s="75">
        <v>0</v>
      </c>
      <c r="H69" s="75">
        <v>0</v>
      </c>
      <c r="I69" s="75">
        <v>0</v>
      </c>
      <c r="J69" s="75">
        <v>0</v>
      </c>
      <c r="K69" s="75">
        <v>0</v>
      </c>
      <c r="L69" s="75">
        <v>0</v>
      </c>
      <c r="M69" s="76">
        <v>0</v>
      </c>
      <c r="N69" s="71">
        <f t="shared" si="4"/>
        <v>0</v>
      </c>
    </row>
    <row r="70" spans="1:14" ht="15" customHeight="1" x14ac:dyDescent="0.2">
      <c r="A70" s="67" t="s">
        <v>283</v>
      </c>
      <c r="B70" s="75">
        <v>0</v>
      </c>
      <c r="C70" s="75">
        <v>0</v>
      </c>
      <c r="D70" s="75">
        <v>0</v>
      </c>
      <c r="E70" s="75">
        <v>0</v>
      </c>
      <c r="F70" s="75">
        <v>0</v>
      </c>
      <c r="G70" s="75">
        <v>0</v>
      </c>
      <c r="H70" s="75">
        <v>0</v>
      </c>
      <c r="I70" s="75">
        <v>0</v>
      </c>
      <c r="J70" s="75">
        <v>0</v>
      </c>
      <c r="K70" s="75">
        <v>0</v>
      </c>
      <c r="L70" s="75">
        <v>0</v>
      </c>
      <c r="M70" s="76">
        <v>0</v>
      </c>
      <c r="N70" s="71">
        <f t="shared" si="4"/>
        <v>0</v>
      </c>
    </row>
    <row r="71" spans="1:14" ht="15" customHeight="1" x14ac:dyDescent="0.2">
      <c r="A71" s="67" t="s">
        <v>284</v>
      </c>
      <c r="B71" s="75">
        <v>0</v>
      </c>
      <c r="C71" s="75">
        <v>0</v>
      </c>
      <c r="D71" s="75">
        <v>0</v>
      </c>
      <c r="E71" s="75">
        <v>0</v>
      </c>
      <c r="F71" s="75">
        <v>0</v>
      </c>
      <c r="G71" s="75">
        <v>0</v>
      </c>
      <c r="H71" s="75">
        <v>0</v>
      </c>
      <c r="I71" s="75">
        <v>0</v>
      </c>
      <c r="J71" s="75">
        <v>0</v>
      </c>
      <c r="K71" s="75">
        <v>0</v>
      </c>
      <c r="L71" s="75">
        <v>0</v>
      </c>
      <c r="M71" s="76">
        <v>0</v>
      </c>
      <c r="N71" s="71">
        <f t="shared" si="4"/>
        <v>0</v>
      </c>
    </row>
    <row r="72" spans="1:14" ht="15" customHeight="1" x14ac:dyDescent="0.2">
      <c r="A72" s="67" t="s">
        <v>285</v>
      </c>
      <c r="B72" s="75">
        <v>0</v>
      </c>
      <c r="C72" s="75">
        <v>0</v>
      </c>
      <c r="D72" s="75">
        <v>0</v>
      </c>
      <c r="E72" s="75">
        <v>0</v>
      </c>
      <c r="F72" s="75">
        <v>0</v>
      </c>
      <c r="G72" s="75">
        <v>0</v>
      </c>
      <c r="H72" s="75">
        <v>0</v>
      </c>
      <c r="I72" s="75">
        <v>0</v>
      </c>
      <c r="J72" s="75">
        <v>0</v>
      </c>
      <c r="K72" s="75">
        <v>0</v>
      </c>
      <c r="L72" s="75">
        <v>0</v>
      </c>
      <c r="M72" s="76">
        <v>0</v>
      </c>
      <c r="N72" s="71">
        <f t="shared" si="4"/>
        <v>0</v>
      </c>
    </row>
    <row r="73" spans="1:14" ht="15" customHeight="1" x14ac:dyDescent="0.2">
      <c r="A73" s="67" t="s">
        <v>286</v>
      </c>
      <c r="B73" s="75">
        <v>0</v>
      </c>
      <c r="C73" s="75">
        <v>0</v>
      </c>
      <c r="D73" s="75">
        <v>0</v>
      </c>
      <c r="E73" s="75">
        <v>0</v>
      </c>
      <c r="F73" s="75">
        <v>0</v>
      </c>
      <c r="G73" s="75">
        <v>0</v>
      </c>
      <c r="H73" s="75">
        <v>0</v>
      </c>
      <c r="I73" s="75">
        <v>0</v>
      </c>
      <c r="J73" s="75">
        <v>0</v>
      </c>
      <c r="K73" s="75">
        <v>0</v>
      </c>
      <c r="L73" s="75">
        <v>0</v>
      </c>
      <c r="M73" s="76">
        <v>0</v>
      </c>
      <c r="N73" s="71">
        <f t="shared" si="4"/>
        <v>0</v>
      </c>
    </row>
    <row r="74" spans="1:14" ht="15" customHeight="1" x14ac:dyDescent="0.2">
      <c r="A74" s="1176" t="s">
        <v>228</v>
      </c>
      <c r="B74" s="1177"/>
      <c r="C74" s="1177"/>
      <c r="D74" s="1177"/>
      <c r="E74" s="1177"/>
      <c r="F74" s="1177"/>
      <c r="G74" s="1177"/>
      <c r="H74" s="1177"/>
      <c r="I74" s="1177"/>
      <c r="J74" s="1177"/>
      <c r="K74" s="1177"/>
      <c r="L74" s="1177"/>
      <c r="M74" s="1178"/>
      <c r="N74" s="66" t="s">
        <v>347</v>
      </c>
    </row>
    <row r="75" spans="1:14" ht="15" customHeight="1" x14ac:dyDescent="0.2">
      <c r="A75" s="67" t="s">
        <v>280</v>
      </c>
      <c r="B75" s="75">
        <v>0</v>
      </c>
      <c r="C75" s="75">
        <v>0</v>
      </c>
      <c r="D75" s="75">
        <v>0</v>
      </c>
      <c r="E75" s="75">
        <v>0</v>
      </c>
      <c r="F75" s="75">
        <v>0</v>
      </c>
      <c r="G75" s="75">
        <v>0</v>
      </c>
      <c r="H75" s="75">
        <v>0</v>
      </c>
      <c r="I75" s="75">
        <v>0</v>
      </c>
      <c r="J75" s="75">
        <v>0</v>
      </c>
      <c r="K75" s="75">
        <v>0</v>
      </c>
      <c r="L75" s="75">
        <v>0</v>
      </c>
      <c r="M75" s="76">
        <v>0</v>
      </c>
      <c r="N75" s="71">
        <f t="shared" si="4"/>
        <v>0</v>
      </c>
    </row>
    <row r="76" spans="1:14" ht="15" customHeight="1" x14ac:dyDescent="0.2">
      <c r="A76" s="67" t="s">
        <v>282</v>
      </c>
      <c r="B76" s="75">
        <v>0</v>
      </c>
      <c r="C76" s="75">
        <v>0</v>
      </c>
      <c r="D76" s="75">
        <v>0</v>
      </c>
      <c r="E76" s="75">
        <v>0</v>
      </c>
      <c r="F76" s="75">
        <v>0</v>
      </c>
      <c r="G76" s="75">
        <v>0</v>
      </c>
      <c r="H76" s="75">
        <v>0</v>
      </c>
      <c r="I76" s="75">
        <v>0</v>
      </c>
      <c r="J76" s="75">
        <v>0</v>
      </c>
      <c r="K76" s="75">
        <v>0</v>
      </c>
      <c r="L76" s="75">
        <v>0</v>
      </c>
      <c r="M76" s="76">
        <v>0</v>
      </c>
      <c r="N76" s="71">
        <f t="shared" si="4"/>
        <v>0</v>
      </c>
    </row>
    <row r="77" spans="1:14" ht="15" customHeight="1" x14ac:dyDescent="0.2">
      <c r="A77" s="67" t="s">
        <v>283</v>
      </c>
      <c r="B77" s="75">
        <v>0</v>
      </c>
      <c r="C77" s="75">
        <v>0</v>
      </c>
      <c r="D77" s="75">
        <v>0</v>
      </c>
      <c r="E77" s="75">
        <v>0</v>
      </c>
      <c r="F77" s="75">
        <v>0</v>
      </c>
      <c r="G77" s="75">
        <v>0</v>
      </c>
      <c r="H77" s="75">
        <v>0</v>
      </c>
      <c r="I77" s="75">
        <v>0</v>
      </c>
      <c r="J77" s="75">
        <v>0</v>
      </c>
      <c r="K77" s="75">
        <v>0</v>
      </c>
      <c r="L77" s="75">
        <v>0</v>
      </c>
      <c r="M77" s="76">
        <v>0</v>
      </c>
      <c r="N77" s="71">
        <f t="shared" si="4"/>
        <v>0</v>
      </c>
    </row>
    <row r="78" spans="1:14" ht="15" customHeight="1" x14ac:dyDescent="0.2">
      <c r="A78" s="67" t="s">
        <v>284</v>
      </c>
      <c r="B78" s="75">
        <v>0</v>
      </c>
      <c r="C78" s="75">
        <v>0</v>
      </c>
      <c r="D78" s="75">
        <v>0</v>
      </c>
      <c r="E78" s="75">
        <v>0</v>
      </c>
      <c r="F78" s="75">
        <v>0</v>
      </c>
      <c r="G78" s="75">
        <v>0</v>
      </c>
      <c r="H78" s="75">
        <v>0</v>
      </c>
      <c r="I78" s="75">
        <v>0</v>
      </c>
      <c r="J78" s="75">
        <v>0</v>
      </c>
      <c r="K78" s="75">
        <v>0</v>
      </c>
      <c r="L78" s="75">
        <v>0</v>
      </c>
      <c r="M78" s="76">
        <v>0</v>
      </c>
      <c r="N78" s="71">
        <f t="shared" si="4"/>
        <v>0</v>
      </c>
    </row>
    <row r="79" spans="1:14" ht="15" customHeight="1" x14ac:dyDescent="0.2">
      <c r="A79" s="67" t="s">
        <v>285</v>
      </c>
      <c r="B79" s="75">
        <v>0</v>
      </c>
      <c r="C79" s="75">
        <v>0</v>
      </c>
      <c r="D79" s="75">
        <v>0</v>
      </c>
      <c r="E79" s="75">
        <v>0</v>
      </c>
      <c r="F79" s="75">
        <v>0</v>
      </c>
      <c r="G79" s="75">
        <v>0</v>
      </c>
      <c r="H79" s="75">
        <v>0</v>
      </c>
      <c r="I79" s="75">
        <v>0</v>
      </c>
      <c r="J79" s="75">
        <v>0</v>
      </c>
      <c r="K79" s="75">
        <v>0</v>
      </c>
      <c r="L79" s="75">
        <v>0</v>
      </c>
      <c r="M79" s="76">
        <v>0</v>
      </c>
      <c r="N79" s="71">
        <f t="shared" si="4"/>
        <v>0</v>
      </c>
    </row>
    <row r="80" spans="1:14" ht="15" customHeight="1" x14ac:dyDescent="0.2">
      <c r="A80" s="67" t="s">
        <v>286</v>
      </c>
      <c r="B80" s="75">
        <v>0</v>
      </c>
      <c r="C80" s="75">
        <v>0</v>
      </c>
      <c r="D80" s="75">
        <v>0</v>
      </c>
      <c r="E80" s="75">
        <v>0</v>
      </c>
      <c r="F80" s="75">
        <v>0</v>
      </c>
      <c r="G80" s="75">
        <v>0</v>
      </c>
      <c r="H80" s="75">
        <v>0</v>
      </c>
      <c r="I80" s="75">
        <v>0</v>
      </c>
      <c r="J80" s="75">
        <v>0</v>
      </c>
      <c r="K80" s="75">
        <v>0</v>
      </c>
      <c r="L80" s="75">
        <v>0</v>
      </c>
      <c r="M80" s="76">
        <v>0</v>
      </c>
      <c r="N80" s="71">
        <f t="shared" si="4"/>
        <v>0</v>
      </c>
    </row>
    <row r="81" spans="1:14" ht="15" customHeight="1" x14ac:dyDescent="0.2">
      <c r="A81" s="1176" t="s">
        <v>220</v>
      </c>
      <c r="B81" s="1177"/>
      <c r="C81" s="1177"/>
      <c r="D81" s="1177"/>
      <c r="E81" s="1177"/>
      <c r="F81" s="1177"/>
      <c r="G81" s="1177"/>
      <c r="H81" s="1177"/>
      <c r="I81" s="1177"/>
      <c r="J81" s="1177"/>
      <c r="K81" s="1177"/>
      <c r="L81" s="1177"/>
      <c r="M81" s="1178"/>
      <c r="N81" s="66" t="s">
        <v>347</v>
      </c>
    </row>
    <row r="82" spans="1:14" ht="15" customHeight="1" x14ac:dyDescent="0.2">
      <c r="A82" s="67" t="s">
        <v>280</v>
      </c>
      <c r="B82" s="75">
        <v>0</v>
      </c>
      <c r="C82" s="75">
        <v>0</v>
      </c>
      <c r="D82" s="75">
        <v>0</v>
      </c>
      <c r="E82" s="75">
        <v>0</v>
      </c>
      <c r="F82" s="75">
        <v>0</v>
      </c>
      <c r="G82" s="75">
        <v>0</v>
      </c>
      <c r="H82" s="75">
        <v>0</v>
      </c>
      <c r="I82" s="75">
        <v>0</v>
      </c>
      <c r="J82" s="75">
        <v>0</v>
      </c>
      <c r="K82" s="75">
        <v>0</v>
      </c>
      <c r="L82" s="75">
        <v>0</v>
      </c>
      <c r="M82" s="76">
        <v>0</v>
      </c>
      <c r="N82" s="71">
        <f t="shared" si="4"/>
        <v>0</v>
      </c>
    </row>
    <row r="83" spans="1:14" ht="15" customHeight="1" x14ac:dyDescent="0.2">
      <c r="A83" s="67" t="s">
        <v>282</v>
      </c>
      <c r="B83" s="75">
        <v>0</v>
      </c>
      <c r="C83" s="75">
        <v>0</v>
      </c>
      <c r="D83" s="75">
        <v>0</v>
      </c>
      <c r="E83" s="75">
        <v>0</v>
      </c>
      <c r="F83" s="75">
        <v>0</v>
      </c>
      <c r="G83" s="75">
        <v>0</v>
      </c>
      <c r="H83" s="75">
        <v>0</v>
      </c>
      <c r="I83" s="75">
        <v>0</v>
      </c>
      <c r="J83" s="75">
        <v>0</v>
      </c>
      <c r="K83" s="75">
        <v>0</v>
      </c>
      <c r="L83" s="75">
        <v>0</v>
      </c>
      <c r="M83" s="76">
        <v>0</v>
      </c>
      <c r="N83" s="71">
        <f t="shared" si="4"/>
        <v>0</v>
      </c>
    </row>
    <row r="84" spans="1:14" ht="15" customHeight="1" x14ac:dyDescent="0.2">
      <c r="A84" s="67" t="s">
        <v>283</v>
      </c>
      <c r="B84" s="75">
        <v>0</v>
      </c>
      <c r="C84" s="75">
        <v>0</v>
      </c>
      <c r="D84" s="75">
        <v>0</v>
      </c>
      <c r="E84" s="75">
        <v>0</v>
      </c>
      <c r="F84" s="75">
        <v>0</v>
      </c>
      <c r="G84" s="75">
        <v>0</v>
      </c>
      <c r="H84" s="75">
        <v>0</v>
      </c>
      <c r="I84" s="75">
        <v>0</v>
      </c>
      <c r="J84" s="75">
        <v>0</v>
      </c>
      <c r="K84" s="75">
        <v>0</v>
      </c>
      <c r="L84" s="75">
        <v>0</v>
      </c>
      <c r="M84" s="76">
        <v>0</v>
      </c>
      <c r="N84" s="71">
        <f t="shared" si="4"/>
        <v>0</v>
      </c>
    </row>
    <row r="85" spans="1:14" ht="15" customHeight="1" x14ac:dyDescent="0.2">
      <c r="A85" s="67" t="s">
        <v>284</v>
      </c>
      <c r="B85" s="75">
        <v>0</v>
      </c>
      <c r="C85" s="75">
        <v>0</v>
      </c>
      <c r="D85" s="75">
        <v>0</v>
      </c>
      <c r="E85" s="75">
        <v>0</v>
      </c>
      <c r="F85" s="75">
        <v>0</v>
      </c>
      <c r="G85" s="75">
        <v>0</v>
      </c>
      <c r="H85" s="75">
        <v>0</v>
      </c>
      <c r="I85" s="75">
        <v>0</v>
      </c>
      <c r="J85" s="75">
        <v>0</v>
      </c>
      <c r="K85" s="75">
        <v>0</v>
      </c>
      <c r="L85" s="75">
        <v>0</v>
      </c>
      <c r="M85" s="76">
        <v>0</v>
      </c>
      <c r="N85" s="71">
        <f t="shared" si="4"/>
        <v>0</v>
      </c>
    </row>
    <row r="86" spans="1:14" ht="15" customHeight="1" x14ac:dyDescent="0.2">
      <c r="A86" s="67" t="s">
        <v>285</v>
      </c>
      <c r="B86" s="75">
        <v>0</v>
      </c>
      <c r="C86" s="75">
        <v>0</v>
      </c>
      <c r="D86" s="75">
        <v>0</v>
      </c>
      <c r="E86" s="75">
        <v>0</v>
      </c>
      <c r="F86" s="75">
        <v>0</v>
      </c>
      <c r="G86" s="75">
        <v>0</v>
      </c>
      <c r="H86" s="75">
        <v>0</v>
      </c>
      <c r="I86" s="75">
        <v>0</v>
      </c>
      <c r="J86" s="75">
        <v>0</v>
      </c>
      <c r="K86" s="75">
        <v>0</v>
      </c>
      <c r="L86" s="75">
        <v>0</v>
      </c>
      <c r="M86" s="76">
        <v>0</v>
      </c>
      <c r="N86" s="71">
        <f t="shared" si="4"/>
        <v>0</v>
      </c>
    </row>
    <row r="87" spans="1:14" ht="15" customHeight="1" x14ac:dyDescent="0.2">
      <c r="A87" s="94" t="s">
        <v>286</v>
      </c>
      <c r="B87" s="75">
        <v>0</v>
      </c>
      <c r="C87" s="75">
        <v>0</v>
      </c>
      <c r="D87" s="75">
        <v>0</v>
      </c>
      <c r="E87" s="75">
        <v>0</v>
      </c>
      <c r="F87" s="75">
        <v>0</v>
      </c>
      <c r="G87" s="75">
        <v>0</v>
      </c>
      <c r="H87" s="75">
        <v>0</v>
      </c>
      <c r="I87" s="75">
        <v>0</v>
      </c>
      <c r="J87" s="75">
        <v>0</v>
      </c>
      <c r="K87" s="75">
        <v>0</v>
      </c>
      <c r="L87" s="75">
        <v>0</v>
      </c>
      <c r="M87" s="76">
        <v>0</v>
      </c>
      <c r="N87" s="71">
        <f t="shared" si="4"/>
        <v>0</v>
      </c>
    </row>
    <row r="88" spans="1:14" ht="13.8" customHeight="1" x14ac:dyDescent="0.2">
      <c r="A88" s="1173" t="s">
        <v>355</v>
      </c>
      <c r="B88" s="1174"/>
      <c r="C88" s="1174"/>
      <c r="D88" s="1174"/>
      <c r="E88" s="1174"/>
      <c r="F88" s="1174"/>
      <c r="G88" s="1174"/>
      <c r="H88" s="1174"/>
      <c r="I88" s="1174"/>
      <c r="J88" s="1174"/>
      <c r="K88" s="1174"/>
      <c r="L88" s="1174"/>
      <c r="M88" s="1174"/>
      <c r="N88" s="1175"/>
    </row>
    <row r="89" spans="1:14" x14ac:dyDescent="0.2">
      <c r="A89" s="66" t="s">
        <v>279</v>
      </c>
      <c r="B89" s="98">
        <v>43556</v>
      </c>
      <c r="C89" s="98">
        <v>43586</v>
      </c>
      <c r="D89" s="98">
        <v>43617</v>
      </c>
      <c r="E89" s="98">
        <v>43647</v>
      </c>
      <c r="F89" s="98">
        <v>43678</v>
      </c>
      <c r="G89" s="98">
        <v>43709</v>
      </c>
      <c r="H89" s="98">
        <v>43739</v>
      </c>
      <c r="I89" s="98">
        <v>43770</v>
      </c>
      <c r="J89" s="98">
        <v>43800</v>
      </c>
      <c r="K89" s="98">
        <v>43831</v>
      </c>
      <c r="L89" s="98">
        <v>43862</v>
      </c>
      <c r="M89" s="99">
        <v>43891</v>
      </c>
      <c r="N89" s="66" t="s">
        <v>347</v>
      </c>
    </row>
    <row r="90" spans="1:14" x14ac:dyDescent="0.2">
      <c r="A90" s="67" t="s">
        <v>280</v>
      </c>
      <c r="B90" s="102">
        <v>0</v>
      </c>
      <c r="C90" s="102">
        <v>0</v>
      </c>
      <c r="D90" s="102">
        <v>0</v>
      </c>
      <c r="E90" s="102">
        <v>0</v>
      </c>
      <c r="F90" s="102">
        <v>0</v>
      </c>
      <c r="G90" s="102">
        <v>0</v>
      </c>
      <c r="H90" s="102">
        <v>0</v>
      </c>
      <c r="I90" s="102">
        <v>0</v>
      </c>
      <c r="J90" s="102">
        <v>0</v>
      </c>
      <c r="K90" s="102">
        <v>0</v>
      </c>
      <c r="L90" s="102">
        <v>0</v>
      </c>
      <c r="M90" s="103">
        <v>0</v>
      </c>
      <c r="N90" s="71">
        <f t="shared" si="4"/>
        <v>0</v>
      </c>
    </row>
    <row r="91" spans="1:14" x14ac:dyDescent="0.2">
      <c r="A91" s="67" t="s">
        <v>282</v>
      </c>
      <c r="B91" s="102">
        <v>0</v>
      </c>
      <c r="C91" s="102">
        <v>0</v>
      </c>
      <c r="D91" s="102">
        <v>0</v>
      </c>
      <c r="E91" s="102">
        <v>0</v>
      </c>
      <c r="F91" s="102">
        <v>0</v>
      </c>
      <c r="G91" s="102">
        <v>0</v>
      </c>
      <c r="H91" s="102">
        <v>0</v>
      </c>
      <c r="I91" s="102">
        <v>0</v>
      </c>
      <c r="J91" s="102">
        <v>0</v>
      </c>
      <c r="K91" s="102">
        <v>0</v>
      </c>
      <c r="L91" s="102">
        <v>0</v>
      </c>
      <c r="M91" s="103">
        <v>0</v>
      </c>
      <c r="N91" s="71">
        <f t="shared" si="4"/>
        <v>0</v>
      </c>
    </row>
    <row r="92" spans="1:14" x14ac:dyDescent="0.2">
      <c r="A92" s="67" t="s">
        <v>283</v>
      </c>
      <c r="B92" s="102">
        <v>0</v>
      </c>
      <c r="C92" s="102">
        <v>0</v>
      </c>
      <c r="D92" s="102">
        <v>0</v>
      </c>
      <c r="E92" s="102">
        <v>0</v>
      </c>
      <c r="F92" s="102">
        <v>0</v>
      </c>
      <c r="G92" s="102">
        <v>0</v>
      </c>
      <c r="H92" s="102">
        <v>0</v>
      </c>
      <c r="I92" s="102">
        <v>0</v>
      </c>
      <c r="J92" s="102">
        <v>0</v>
      </c>
      <c r="K92" s="102">
        <v>0</v>
      </c>
      <c r="L92" s="102">
        <v>0</v>
      </c>
      <c r="M92" s="103">
        <v>0</v>
      </c>
      <c r="N92" s="71">
        <f t="shared" si="4"/>
        <v>0</v>
      </c>
    </row>
    <row r="93" spans="1:14" x14ac:dyDescent="0.2">
      <c r="A93" s="67" t="s">
        <v>284</v>
      </c>
      <c r="B93" s="104">
        <v>0</v>
      </c>
      <c r="C93" s="104">
        <v>0</v>
      </c>
      <c r="D93" s="104">
        <v>0</v>
      </c>
      <c r="E93" s="104">
        <v>0</v>
      </c>
      <c r="F93" s="104">
        <v>0</v>
      </c>
      <c r="G93" s="104">
        <v>0</v>
      </c>
      <c r="H93" s="104">
        <v>0</v>
      </c>
      <c r="I93" s="104">
        <v>0</v>
      </c>
      <c r="J93" s="104">
        <v>0</v>
      </c>
      <c r="K93" s="104">
        <v>0</v>
      </c>
      <c r="L93" s="104">
        <v>0</v>
      </c>
      <c r="M93" s="105">
        <v>0</v>
      </c>
      <c r="N93" s="71">
        <f t="shared" si="4"/>
        <v>0</v>
      </c>
    </row>
    <row r="94" spans="1:14" x14ac:dyDescent="0.2">
      <c r="A94" s="67" t="s">
        <v>285</v>
      </c>
      <c r="B94" s="104">
        <v>0</v>
      </c>
      <c r="C94" s="104">
        <v>0</v>
      </c>
      <c r="D94" s="104">
        <v>0</v>
      </c>
      <c r="E94" s="104">
        <v>0</v>
      </c>
      <c r="F94" s="104">
        <v>0</v>
      </c>
      <c r="G94" s="104">
        <v>0</v>
      </c>
      <c r="H94" s="104">
        <v>0</v>
      </c>
      <c r="I94" s="104">
        <v>0</v>
      </c>
      <c r="J94" s="104">
        <v>0</v>
      </c>
      <c r="K94" s="104">
        <v>0</v>
      </c>
      <c r="L94" s="104">
        <v>0</v>
      </c>
      <c r="M94" s="105">
        <v>0</v>
      </c>
      <c r="N94" s="71">
        <f t="shared" si="4"/>
        <v>0</v>
      </c>
    </row>
    <row r="95" spans="1:14" x14ac:dyDescent="0.2">
      <c r="A95" s="67" t="s">
        <v>286</v>
      </c>
      <c r="B95" s="102">
        <v>0</v>
      </c>
      <c r="C95" s="102">
        <v>0</v>
      </c>
      <c r="D95" s="102">
        <v>0</v>
      </c>
      <c r="E95" s="102">
        <v>0</v>
      </c>
      <c r="F95" s="102">
        <v>0</v>
      </c>
      <c r="G95" s="102">
        <v>0</v>
      </c>
      <c r="H95" s="102">
        <v>0</v>
      </c>
      <c r="I95" s="102">
        <v>0</v>
      </c>
      <c r="J95" s="102">
        <v>0</v>
      </c>
      <c r="K95" s="102">
        <v>0</v>
      </c>
      <c r="L95" s="102">
        <v>0</v>
      </c>
      <c r="M95" s="103">
        <v>0</v>
      </c>
      <c r="N95" s="71">
        <f t="shared" si="4"/>
        <v>0</v>
      </c>
    </row>
    <row r="96" spans="1:14" ht="15" customHeight="1" x14ac:dyDescent="0.2">
      <c r="A96" s="1179" t="s">
        <v>351</v>
      </c>
      <c r="B96" s="1180"/>
      <c r="C96" s="1180"/>
      <c r="D96" s="1180"/>
      <c r="E96" s="1180"/>
      <c r="F96" s="1180"/>
      <c r="G96" s="1180"/>
      <c r="H96" s="1180"/>
      <c r="I96" s="1180"/>
      <c r="J96" s="1180"/>
      <c r="K96" s="1180"/>
      <c r="L96" s="1180"/>
      <c r="M96" s="1180"/>
      <c r="N96" s="1181"/>
    </row>
    <row r="97" spans="1:14" ht="15" customHeight="1" x14ac:dyDescent="0.2">
      <c r="A97" s="1176" t="s">
        <v>22</v>
      </c>
      <c r="B97" s="1177"/>
      <c r="C97" s="1177"/>
      <c r="D97" s="1177"/>
      <c r="E97" s="1177"/>
      <c r="F97" s="1177"/>
      <c r="G97" s="1177"/>
      <c r="H97" s="1177"/>
      <c r="I97" s="1177"/>
      <c r="J97" s="1177"/>
      <c r="K97" s="1177"/>
      <c r="L97" s="1177"/>
      <c r="M97" s="1178"/>
      <c r="N97" s="66" t="s">
        <v>347</v>
      </c>
    </row>
    <row r="98" spans="1:14" ht="15" customHeight="1" x14ac:dyDescent="0.2">
      <c r="A98" s="67" t="s">
        <v>280</v>
      </c>
      <c r="B98" s="92">
        <v>0</v>
      </c>
      <c r="C98" s="92">
        <v>0</v>
      </c>
      <c r="D98" s="92">
        <v>0</v>
      </c>
      <c r="E98" s="92">
        <v>0</v>
      </c>
      <c r="F98" s="92">
        <v>0</v>
      </c>
      <c r="G98" s="92">
        <v>0</v>
      </c>
      <c r="H98" s="92">
        <v>0</v>
      </c>
      <c r="I98" s="92">
        <v>0</v>
      </c>
      <c r="J98" s="92">
        <v>0</v>
      </c>
      <c r="K98" s="92">
        <v>0</v>
      </c>
      <c r="L98" s="92">
        <v>0</v>
      </c>
      <c r="M98" s="93">
        <v>0</v>
      </c>
      <c r="N98" s="71">
        <f t="shared" si="4"/>
        <v>0</v>
      </c>
    </row>
    <row r="99" spans="1:14" ht="15" customHeight="1" x14ac:dyDescent="0.2">
      <c r="A99" s="67" t="s">
        <v>282</v>
      </c>
      <c r="B99" s="75">
        <v>0</v>
      </c>
      <c r="C99" s="75">
        <v>0</v>
      </c>
      <c r="D99" s="75">
        <v>0</v>
      </c>
      <c r="E99" s="75">
        <v>0</v>
      </c>
      <c r="F99" s="75">
        <v>0</v>
      </c>
      <c r="G99" s="75">
        <v>0</v>
      </c>
      <c r="H99" s="75">
        <v>0</v>
      </c>
      <c r="I99" s="75">
        <v>0</v>
      </c>
      <c r="J99" s="75">
        <v>0</v>
      </c>
      <c r="K99" s="75">
        <v>0</v>
      </c>
      <c r="L99" s="75">
        <v>0</v>
      </c>
      <c r="M99" s="76">
        <v>0</v>
      </c>
      <c r="N99" s="71">
        <f t="shared" si="4"/>
        <v>0</v>
      </c>
    </row>
    <row r="100" spans="1:14" ht="15" customHeight="1" x14ac:dyDescent="0.2">
      <c r="A100" s="67" t="s">
        <v>283</v>
      </c>
      <c r="B100" s="75">
        <v>0</v>
      </c>
      <c r="C100" s="75">
        <v>0</v>
      </c>
      <c r="D100" s="75">
        <v>0</v>
      </c>
      <c r="E100" s="75">
        <v>0</v>
      </c>
      <c r="F100" s="75">
        <v>0</v>
      </c>
      <c r="G100" s="75">
        <v>0</v>
      </c>
      <c r="H100" s="75">
        <v>0</v>
      </c>
      <c r="I100" s="75">
        <v>0</v>
      </c>
      <c r="J100" s="75">
        <v>0</v>
      </c>
      <c r="K100" s="75">
        <v>0</v>
      </c>
      <c r="L100" s="75">
        <v>0</v>
      </c>
      <c r="M100" s="76">
        <v>0</v>
      </c>
      <c r="N100" s="71">
        <f t="shared" si="4"/>
        <v>0</v>
      </c>
    </row>
    <row r="101" spans="1:14" ht="15" customHeight="1" x14ac:dyDescent="0.2">
      <c r="A101" s="67" t="s">
        <v>284</v>
      </c>
      <c r="B101" s="75">
        <v>0</v>
      </c>
      <c r="C101" s="75">
        <v>0</v>
      </c>
      <c r="D101" s="75">
        <v>0</v>
      </c>
      <c r="E101" s="75">
        <v>0</v>
      </c>
      <c r="F101" s="75">
        <v>0</v>
      </c>
      <c r="G101" s="75">
        <v>0</v>
      </c>
      <c r="H101" s="75">
        <v>0</v>
      </c>
      <c r="I101" s="75">
        <v>0</v>
      </c>
      <c r="J101" s="75">
        <v>0</v>
      </c>
      <c r="K101" s="75">
        <v>0</v>
      </c>
      <c r="L101" s="75">
        <v>0</v>
      </c>
      <c r="M101" s="76">
        <v>0</v>
      </c>
      <c r="N101" s="71">
        <f t="shared" si="4"/>
        <v>0</v>
      </c>
    </row>
    <row r="102" spans="1:14" ht="15" customHeight="1" x14ac:dyDescent="0.2">
      <c r="A102" s="67" t="s">
        <v>285</v>
      </c>
      <c r="B102" s="75">
        <v>0</v>
      </c>
      <c r="C102" s="75">
        <v>0</v>
      </c>
      <c r="D102" s="75">
        <v>0</v>
      </c>
      <c r="E102" s="75">
        <v>0</v>
      </c>
      <c r="F102" s="75">
        <v>0</v>
      </c>
      <c r="G102" s="75">
        <v>0</v>
      </c>
      <c r="H102" s="75">
        <v>0</v>
      </c>
      <c r="I102" s="75">
        <v>0</v>
      </c>
      <c r="J102" s="75">
        <v>0</v>
      </c>
      <c r="K102" s="75">
        <v>0</v>
      </c>
      <c r="L102" s="75">
        <v>0</v>
      </c>
      <c r="M102" s="76">
        <v>0</v>
      </c>
      <c r="N102" s="71">
        <f t="shared" si="4"/>
        <v>0</v>
      </c>
    </row>
    <row r="103" spans="1:14" ht="15" customHeight="1" x14ac:dyDescent="0.2">
      <c r="A103" s="67" t="s">
        <v>286</v>
      </c>
      <c r="B103" s="75">
        <v>0</v>
      </c>
      <c r="C103" s="75">
        <v>0</v>
      </c>
      <c r="D103" s="75">
        <v>0</v>
      </c>
      <c r="E103" s="75">
        <v>0</v>
      </c>
      <c r="F103" s="75">
        <v>0</v>
      </c>
      <c r="G103" s="75">
        <v>0</v>
      </c>
      <c r="H103" s="75">
        <v>0</v>
      </c>
      <c r="I103" s="75">
        <v>0</v>
      </c>
      <c r="J103" s="75">
        <v>0</v>
      </c>
      <c r="K103" s="75">
        <v>0</v>
      </c>
      <c r="L103" s="75">
        <v>0</v>
      </c>
      <c r="M103" s="76">
        <v>0</v>
      </c>
      <c r="N103" s="71">
        <f t="shared" si="4"/>
        <v>0</v>
      </c>
    </row>
    <row r="104" spans="1:14" ht="15" customHeight="1" x14ac:dyDescent="0.2">
      <c r="A104" s="1176" t="s">
        <v>228</v>
      </c>
      <c r="B104" s="1177"/>
      <c r="C104" s="1177"/>
      <c r="D104" s="1177"/>
      <c r="E104" s="1177"/>
      <c r="F104" s="1177"/>
      <c r="G104" s="1177"/>
      <c r="H104" s="1177"/>
      <c r="I104" s="1177"/>
      <c r="J104" s="1177"/>
      <c r="K104" s="1177"/>
      <c r="L104" s="1177"/>
      <c r="M104" s="1178"/>
      <c r="N104" s="66" t="s">
        <v>347</v>
      </c>
    </row>
    <row r="105" spans="1:14" ht="15" customHeight="1" x14ac:dyDescent="0.2">
      <c r="A105" s="67" t="s">
        <v>280</v>
      </c>
      <c r="B105" s="75">
        <v>0</v>
      </c>
      <c r="C105" s="75">
        <v>0</v>
      </c>
      <c r="D105" s="75">
        <v>0</v>
      </c>
      <c r="E105" s="75">
        <v>0</v>
      </c>
      <c r="F105" s="75">
        <v>0</v>
      </c>
      <c r="G105" s="75">
        <v>0</v>
      </c>
      <c r="H105" s="75">
        <v>0</v>
      </c>
      <c r="I105" s="75">
        <v>0</v>
      </c>
      <c r="J105" s="75">
        <v>0</v>
      </c>
      <c r="K105" s="75">
        <v>0</v>
      </c>
      <c r="L105" s="75">
        <v>0</v>
      </c>
      <c r="M105" s="76">
        <v>0</v>
      </c>
      <c r="N105" s="71">
        <f t="shared" si="4"/>
        <v>0</v>
      </c>
    </row>
    <row r="106" spans="1:14" ht="15" customHeight="1" x14ac:dyDescent="0.2">
      <c r="A106" s="67" t="s">
        <v>282</v>
      </c>
      <c r="B106" s="75">
        <v>0</v>
      </c>
      <c r="C106" s="75">
        <v>0</v>
      </c>
      <c r="D106" s="75">
        <v>0</v>
      </c>
      <c r="E106" s="75">
        <v>0</v>
      </c>
      <c r="F106" s="75">
        <v>0</v>
      </c>
      <c r="G106" s="75">
        <v>0</v>
      </c>
      <c r="H106" s="75">
        <v>0</v>
      </c>
      <c r="I106" s="75">
        <v>0</v>
      </c>
      <c r="J106" s="75">
        <v>0</v>
      </c>
      <c r="K106" s="75">
        <v>0</v>
      </c>
      <c r="L106" s="75">
        <v>0</v>
      </c>
      <c r="M106" s="76">
        <v>0</v>
      </c>
      <c r="N106" s="71">
        <f t="shared" si="4"/>
        <v>0</v>
      </c>
    </row>
    <row r="107" spans="1:14" ht="15" customHeight="1" x14ac:dyDescent="0.2">
      <c r="A107" s="67" t="s">
        <v>283</v>
      </c>
      <c r="B107" s="75">
        <v>0</v>
      </c>
      <c r="C107" s="75">
        <v>0</v>
      </c>
      <c r="D107" s="75">
        <v>0</v>
      </c>
      <c r="E107" s="75">
        <v>0</v>
      </c>
      <c r="F107" s="75">
        <v>0</v>
      </c>
      <c r="G107" s="75">
        <v>0</v>
      </c>
      <c r="H107" s="75">
        <v>0</v>
      </c>
      <c r="I107" s="75">
        <v>0</v>
      </c>
      <c r="J107" s="75">
        <v>0</v>
      </c>
      <c r="K107" s="75">
        <v>0</v>
      </c>
      <c r="L107" s="75">
        <v>0</v>
      </c>
      <c r="M107" s="76">
        <v>0</v>
      </c>
      <c r="N107" s="71">
        <f t="shared" si="4"/>
        <v>0</v>
      </c>
    </row>
    <row r="108" spans="1:14" ht="15" customHeight="1" x14ac:dyDescent="0.2">
      <c r="A108" s="67" t="s">
        <v>284</v>
      </c>
      <c r="B108" s="75">
        <v>0</v>
      </c>
      <c r="C108" s="75">
        <v>0</v>
      </c>
      <c r="D108" s="75">
        <v>0</v>
      </c>
      <c r="E108" s="75">
        <v>0</v>
      </c>
      <c r="F108" s="75">
        <v>0</v>
      </c>
      <c r="G108" s="75">
        <v>0</v>
      </c>
      <c r="H108" s="75">
        <v>0</v>
      </c>
      <c r="I108" s="75">
        <v>0</v>
      </c>
      <c r="J108" s="75">
        <v>0</v>
      </c>
      <c r="K108" s="75">
        <v>0</v>
      </c>
      <c r="L108" s="75">
        <v>0</v>
      </c>
      <c r="M108" s="76">
        <v>0</v>
      </c>
      <c r="N108" s="71">
        <f t="shared" si="4"/>
        <v>0</v>
      </c>
    </row>
    <row r="109" spans="1:14" ht="15" customHeight="1" x14ac:dyDescent="0.2">
      <c r="A109" s="67" t="s">
        <v>285</v>
      </c>
      <c r="B109" s="75">
        <v>0</v>
      </c>
      <c r="C109" s="75">
        <v>0</v>
      </c>
      <c r="D109" s="75">
        <v>0</v>
      </c>
      <c r="E109" s="75">
        <v>0</v>
      </c>
      <c r="F109" s="75">
        <v>0</v>
      </c>
      <c r="G109" s="75">
        <v>0</v>
      </c>
      <c r="H109" s="75">
        <v>0</v>
      </c>
      <c r="I109" s="75">
        <v>0</v>
      </c>
      <c r="J109" s="75">
        <v>0</v>
      </c>
      <c r="K109" s="75">
        <v>0</v>
      </c>
      <c r="L109" s="75">
        <v>0</v>
      </c>
      <c r="M109" s="76">
        <v>0</v>
      </c>
      <c r="N109" s="71">
        <f t="shared" si="4"/>
        <v>0</v>
      </c>
    </row>
    <row r="110" spans="1:14" ht="15" customHeight="1" x14ac:dyDescent="0.2">
      <c r="A110" s="67" t="s">
        <v>286</v>
      </c>
      <c r="B110" s="75">
        <v>0</v>
      </c>
      <c r="C110" s="75">
        <v>0</v>
      </c>
      <c r="D110" s="75">
        <v>0</v>
      </c>
      <c r="E110" s="75">
        <v>0</v>
      </c>
      <c r="F110" s="75">
        <v>0</v>
      </c>
      <c r="G110" s="75">
        <v>0</v>
      </c>
      <c r="H110" s="75">
        <v>0</v>
      </c>
      <c r="I110" s="75">
        <v>0</v>
      </c>
      <c r="J110" s="75">
        <v>0</v>
      </c>
      <c r="K110" s="75">
        <v>0</v>
      </c>
      <c r="L110" s="75">
        <v>0</v>
      </c>
      <c r="M110" s="76">
        <v>0</v>
      </c>
      <c r="N110" s="71">
        <f t="shared" si="4"/>
        <v>0</v>
      </c>
    </row>
    <row r="111" spans="1:14" ht="15" customHeight="1" x14ac:dyDescent="0.2">
      <c r="A111" s="1176" t="s">
        <v>220</v>
      </c>
      <c r="B111" s="1177"/>
      <c r="C111" s="1177"/>
      <c r="D111" s="1177"/>
      <c r="E111" s="1177"/>
      <c r="F111" s="1177"/>
      <c r="G111" s="1177"/>
      <c r="H111" s="1177"/>
      <c r="I111" s="1177"/>
      <c r="J111" s="1177"/>
      <c r="K111" s="1177"/>
      <c r="L111" s="1177"/>
      <c r="M111" s="1178"/>
      <c r="N111" s="66" t="s">
        <v>347</v>
      </c>
    </row>
    <row r="112" spans="1:14" ht="15" customHeight="1" x14ac:dyDescent="0.2">
      <c r="A112" s="67" t="s">
        <v>280</v>
      </c>
      <c r="B112" s="75">
        <v>0</v>
      </c>
      <c r="C112" s="75">
        <v>0</v>
      </c>
      <c r="D112" s="75">
        <v>0</v>
      </c>
      <c r="E112" s="75">
        <v>0</v>
      </c>
      <c r="F112" s="75">
        <v>0</v>
      </c>
      <c r="G112" s="75">
        <v>0</v>
      </c>
      <c r="H112" s="75">
        <v>0</v>
      </c>
      <c r="I112" s="75">
        <v>0</v>
      </c>
      <c r="J112" s="75">
        <v>0</v>
      </c>
      <c r="K112" s="75">
        <v>0</v>
      </c>
      <c r="L112" s="75">
        <v>0</v>
      </c>
      <c r="M112" s="76">
        <v>0</v>
      </c>
      <c r="N112" s="71">
        <f t="shared" si="4"/>
        <v>0</v>
      </c>
    </row>
    <row r="113" spans="1:14" ht="15" customHeight="1" x14ac:dyDescent="0.2">
      <c r="A113" s="67" t="s">
        <v>282</v>
      </c>
      <c r="B113" s="75">
        <v>0</v>
      </c>
      <c r="C113" s="75">
        <v>0</v>
      </c>
      <c r="D113" s="75">
        <v>0</v>
      </c>
      <c r="E113" s="75">
        <v>0</v>
      </c>
      <c r="F113" s="75">
        <v>0</v>
      </c>
      <c r="G113" s="75">
        <v>0</v>
      </c>
      <c r="H113" s="75">
        <v>0</v>
      </c>
      <c r="I113" s="75">
        <v>0</v>
      </c>
      <c r="J113" s="75">
        <v>0</v>
      </c>
      <c r="K113" s="75">
        <v>0</v>
      </c>
      <c r="L113" s="75">
        <v>0</v>
      </c>
      <c r="M113" s="76">
        <v>0</v>
      </c>
      <c r="N113" s="71">
        <f t="shared" si="4"/>
        <v>0</v>
      </c>
    </row>
    <row r="114" spans="1:14" ht="15" customHeight="1" x14ac:dyDescent="0.2">
      <c r="A114" s="67" t="s">
        <v>283</v>
      </c>
      <c r="B114" s="75">
        <v>0</v>
      </c>
      <c r="C114" s="75">
        <v>0</v>
      </c>
      <c r="D114" s="75">
        <v>0</v>
      </c>
      <c r="E114" s="75">
        <v>0</v>
      </c>
      <c r="F114" s="75">
        <v>0</v>
      </c>
      <c r="G114" s="75">
        <v>0</v>
      </c>
      <c r="H114" s="75">
        <v>0</v>
      </c>
      <c r="I114" s="75">
        <v>0</v>
      </c>
      <c r="J114" s="75">
        <v>0</v>
      </c>
      <c r="K114" s="75">
        <v>0</v>
      </c>
      <c r="L114" s="75">
        <v>0</v>
      </c>
      <c r="M114" s="76">
        <v>0</v>
      </c>
      <c r="N114" s="71">
        <f t="shared" si="4"/>
        <v>0</v>
      </c>
    </row>
    <row r="115" spans="1:14" ht="15" customHeight="1" x14ac:dyDescent="0.2">
      <c r="A115" s="67" t="s">
        <v>284</v>
      </c>
      <c r="B115" s="75">
        <v>0</v>
      </c>
      <c r="C115" s="75">
        <v>0</v>
      </c>
      <c r="D115" s="75">
        <v>0</v>
      </c>
      <c r="E115" s="75">
        <v>0</v>
      </c>
      <c r="F115" s="75">
        <v>0</v>
      </c>
      <c r="G115" s="75">
        <v>0</v>
      </c>
      <c r="H115" s="75">
        <v>0</v>
      </c>
      <c r="I115" s="75">
        <v>0</v>
      </c>
      <c r="J115" s="75">
        <v>0</v>
      </c>
      <c r="K115" s="75">
        <v>0</v>
      </c>
      <c r="L115" s="75">
        <v>0</v>
      </c>
      <c r="M115" s="76">
        <v>0</v>
      </c>
      <c r="N115" s="71">
        <f t="shared" si="4"/>
        <v>0</v>
      </c>
    </row>
    <row r="116" spans="1:14" ht="15" customHeight="1" x14ac:dyDescent="0.2">
      <c r="A116" s="67" t="s">
        <v>285</v>
      </c>
      <c r="B116" s="75">
        <v>0</v>
      </c>
      <c r="C116" s="75">
        <v>0</v>
      </c>
      <c r="D116" s="75">
        <v>0</v>
      </c>
      <c r="E116" s="75">
        <v>0</v>
      </c>
      <c r="F116" s="75">
        <v>0</v>
      </c>
      <c r="G116" s="75">
        <v>0</v>
      </c>
      <c r="H116" s="75">
        <v>0</v>
      </c>
      <c r="I116" s="75">
        <v>0</v>
      </c>
      <c r="J116" s="75">
        <v>0</v>
      </c>
      <c r="K116" s="75">
        <v>0</v>
      </c>
      <c r="L116" s="75">
        <v>0</v>
      </c>
      <c r="M116" s="76">
        <v>0</v>
      </c>
      <c r="N116" s="71">
        <f t="shared" si="4"/>
        <v>0</v>
      </c>
    </row>
    <row r="117" spans="1:14" ht="15" customHeight="1" thickBot="1" x14ac:dyDescent="0.25">
      <c r="A117" s="67" t="s">
        <v>286</v>
      </c>
      <c r="B117" s="106">
        <v>0</v>
      </c>
      <c r="C117" s="106">
        <v>0</v>
      </c>
      <c r="D117" s="106">
        <v>0</v>
      </c>
      <c r="E117" s="106">
        <v>0</v>
      </c>
      <c r="F117" s="106">
        <v>0</v>
      </c>
      <c r="G117" s="106">
        <v>0</v>
      </c>
      <c r="H117" s="106">
        <v>0</v>
      </c>
      <c r="I117" s="106">
        <v>0</v>
      </c>
      <c r="J117" s="106">
        <v>0</v>
      </c>
      <c r="K117" s="106">
        <v>0</v>
      </c>
      <c r="L117" s="106">
        <v>0</v>
      </c>
      <c r="M117" s="107">
        <v>0</v>
      </c>
      <c r="N117" s="71">
        <f t="shared" si="4"/>
        <v>0</v>
      </c>
    </row>
    <row r="118" spans="1:14" x14ac:dyDescent="0.2">
      <c r="A118" s="1173" t="s">
        <v>356</v>
      </c>
      <c r="B118" s="1174"/>
      <c r="C118" s="1174"/>
      <c r="D118" s="1174"/>
      <c r="E118" s="1174"/>
      <c r="F118" s="1174"/>
      <c r="G118" s="1174"/>
      <c r="H118" s="1174"/>
      <c r="I118" s="1174"/>
      <c r="J118" s="1174"/>
      <c r="K118" s="1174"/>
      <c r="L118" s="1174"/>
      <c r="M118" s="1174"/>
      <c r="N118" s="1175"/>
    </row>
    <row r="119" spans="1:14" x14ac:dyDescent="0.2">
      <c r="A119" s="66" t="s">
        <v>279</v>
      </c>
      <c r="B119" s="98">
        <v>43556</v>
      </c>
      <c r="C119" s="98">
        <v>43586</v>
      </c>
      <c r="D119" s="98">
        <v>43617</v>
      </c>
      <c r="E119" s="98">
        <v>43647</v>
      </c>
      <c r="F119" s="98">
        <v>43678</v>
      </c>
      <c r="G119" s="98">
        <v>43709</v>
      </c>
      <c r="H119" s="98">
        <v>43739</v>
      </c>
      <c r="I119" s="98">
        <v>43770</v>
      </c>
      <c r="J119" s="98">
        <v>43800</v>
      </c>
      <c r="K119" s="98">
        <v>43831</v>
      </c>
      <c r="L119" s="98">
        <v>43862</v>
      </c>
      <c r="M119" s="99">
        <v>43891</v>
      </c>
      <c r="N119" s="66" t="s">
        <v>347</v>
      </c>
    </row>
    <row r="120" spans="1:14" x14ac:dyDescent="0.2">
      <c r="A120" s="67" t="s">
        <v>280</v>
      </c>
      <c r="B120" s="71">
        <v>0</v>
      </c>
      <c r="C120" s="71">
        <v>0</v>
      </c>
      <c r="D120" s="71">
        <v>0</v>
      </c>
      <c r="E120" s="71">
        <v>0</v>
      </c>
      <c r="F120" s="71">
        <v>0</v>
      </c>
      <c r="G120" s="71">
        <v>0</v>
      </c>
      <c r="H120" s="71">
        <v>0</v>
      </c>
      <c r="I120" s="71">
        <v>0</v>
      </c>
      <c r="J120" s="71">
        <v>0</v>
      </c>
      <c r="K120" s="71">
        <v>0</v>
      </c>
      <c r="L120" s="71">
        <v>0</v>
      </c>
      <c r="M120" s="73">
        <v>0</v>
      </c>
      <c r="N120" s="71">
        <f t="shared" si="4"/>
        <v>0</v>
      </c>
    </row>
    <row r="121" spans="1:14" x14ac:dyDescent="0.2">
      <c r="A121" s="67" t="s">
        <v>282</v>
      </c>
      <c r="B121" s="71">
        <v>0</v>
      </c>
      <c r="C121" s="71">
        <v>0</v>
      </c>
      <c r="D121" s="71">
        <v>0</v>
      </c>
      <c r="E121" s="71">
        <v>0</v>
      </c>
      <c r="F121" s="71">
        <v>0</v>
      </c>
      <c r="G121" s="71">
        <v>0</v>
      </c>
      <c r="H121" s="71">
        <v>0</v>
      </c>
      <c r="I121" s="71">
        <v>0</v>
      </c>
      <c r="J121" s="71">
        <v>0</v>
      </c>
      <c r="K121" s="71">
        <v>0</v>
      </c>
      <c r="L121" s="71">
        <v>0</v>
      </c>
      <c r="M121" s="73">
        <v>0</v>
      </c>
      <c r="N121" s="71">
        <f t="shared" si="4"/>
        <v>0</v>
      </c>
    </row>
    <row r="122" spans="1:14" x14ac:dyDescent="0.2">
      <c r="A122" s="67" t="s">
        <v>283</v>
      </c>
      <c r="B122" s="71">
        <v>0</v>
      </c>
      <c r="C122" s="71">
        <v>0</v>
      </c>
      <c r="D122" s="71">
        <v>0</v>
      </c>
      <c r="E122" s="71">
        <v>0</v>
      </c>
      <c r="F122" s="71">
        <v>0</v>
      </c>
      <c r="G122" s="71">
        <v>0</v>
      </c>
      <c r="H122" s="71">
        <v>0</v>
      </c>
      <c r="I122" s="71">
        <v>0</v>
      </c>
      <c r="J122" s="71">
        <v>0</v>
      </c>
      <c r="K122" s="71">
        <v>0</v>
      </c>
      <c r="L122" s="71">
        <v>0</v>
      </c>
      <c r="M122" s="73">
        <v>0</v>
      </c>
      <c r="N122" s="71">
        <f t="shared" si="4"/>
        <v>0</v>
      </c>
    </row>
    <row r="123" spans="1:14" x14ac:dyDescent="0.2">
      <c r="A123" s="67" t="s">
        <v>284</v>
      </c>
      <c r="B123" s="71">
        <v>0</v>
      </c>
      <c r="C123" s="71">
        <v>0</v>
      </c>
      <c r="D123" s="71">
        <v>0</v>
      </c>
      <c r="E123" s="71">
        <v>0</v>
      </c>
      <c r="F123" s="71">
        <v>0</v>
      </c>
      <c r="G123" s="71">
        <v>0</v>
      </c>
      <c r="H123" s="71">
        <v>0</v>
      </c>
      <c r="I123" s="71">
        <v>0</v>
      </c>
      <c r="J123" s="71">
        <v>0</v>
      </c>
      <c r="K123" s="71">
        <v>0</v>
      </c>
      <c r="L123" s="71">
        <v>0</v>
      </c>
      <c r="M123" s="73">
        <v>0</v>
      </c>
      <c r="N123" s="71">
        <f t="shared" si="4"/>
        <v>0</v>
      </c>
    </row>
    <row r="124" spans="1:14" x14ac:dyDescent="0.2">
      <c r="A124" s="67" t="s">
        <v>285</v>
      </c>
      <c r="B124" s="71">
        <v>0</v>
      </c>
      <c r="C124" s="71">
        <v>0</v>
      </c>
      <c r="D124" s="71">
        <v>0</v>
      </c>
      <c r="E124" s="71">
        <v>0</v>
      </c>
      <c r="F124" s="71">
        <v>0</v>
      </c>
      <c r="G124" s="71">
        <v>0</v>
      </c>
      <c r="H124" s="71">
        <v>0</v>
      </c>
      <c r="I124" s="71">
        <v>0</v>
      </c>
      <c r="J124" s="71">
        <v>0</v>
      </c>
      <c r="K124" s="71">
        <v>0</v>
      </c>
      <c r="L124" s="71">
        <v>0</v>
      </c>
      <c r="M124" s="73">
        <v>0</v>
      </c>
      <c r="N124" s="71">
        <f t="shared" ref="N124:N187" si="5">SUM(B124:M124)</f>
        <v>0</v>
      </c>
    </row>
    <row r="125" spans="1:14" x14ac:dyDescent="0.2">
      <c r="A125" s="67" t="s">
        <v>286</v>
      </c>
      <c r="B125" s="71">
        <v>0</v>
      </c>
      <c r="C125" s="71">
        <v>0</v>
      </c>
      <c r="D125" s="71">
        <v>0</v>
      </c>
      <c r="E125" s="71">
        <v>0</v>
      </c>
      <c r="F125" s="71">
        <v>0</v>
      </c>
      <c r="G125" s="71">
        <v>0</v>
      </c>
      <c r="H125" s="71">
        <v>0</v>
      </c>
      <c r="I125" s="71">
        <v>0</v>
      </c>
      <c r="J125" s="71">
        <v>0</v>
      </c>
      <c r="K125" s="71">
        <v>0</v>
      </c>
      <c r="L125" s="71">
        <v>0</v>
      </c>
      <c r="M125" s="73">
        <v>0</v>
      </c>
      <c r="N125" s="71">
        <f t="shared" si="5"/>
        <v>0</v>
      </c>
    </row>
    <row r="126" spans="1:14" ht="15" customHeight="1" x14ac:dyDescent="0.2">
      <c r="A126" s="1179" t="s">
        <v>351</v>
      </c>
      <c r="B126" s="1180"/>
      <c r="C126" s="1180"/>
      <c r="D126" s="1180"/>
      <c r="E126" s="1180"/>
      <c r="F126" s="1180"/>
      <c r="G126" s="1180"/>
      <c r="H126" s="1180"/>
      <c r="I126" s="1180"/>
      <c r="J126" s="1180"/>
      <c r="K126" s="1180"/>
      <c r="L126" s="1180"/>
      <c r="M126" s="1180"/>
      <c r="N126" s="1181"/>
    </row>
    <row r="127" spans="1:14" ht="15" customHeight="1" x14ac:dyDescent="0.2">
      <c r="A127" s="1176" t="s">
        <v>22</v>
      </c>
      <c r="B127" s="1177"/>
      <c r="C127" s="1177"/>
      <c r="D127" s="1177"/>
      <c r="E127" s="1177"/>
      <c r="F127" s="1177"/>
      <c r="G127" s="1177"/>
      <c r="H127" s="1177"/>
      <c r="I127" s="1177"/>
      <c r="J127" s="1177"/>
      <c r="K127" s="1177"/>
      <c r="L127" s="1177"/>
      <c r="M127" s="1178"/>
      <c r="N127" s="66" t="s">
        <v>347</v>
      </c>
    </row>
    <row r="128" spans="1:14" ht="15" customHeight="1" x14ac:dyDescent="0.2">
      <c r="A128" s="67" t="s">
        <v>280</v>
      </c>
      <c r="B128" s="92">
        <v>0</v>
      </c>
      <c r="C128" s="92">
        <v>0</v>
      </c>
      <c r="D128" s="92">
        <v>0</v>
      </c>
      <c r="E128" s="92">
        <v>0</v>
      </c>
      <c r="F128" s="92">
        <v>0</v>
      </c>
      <c r="G128" s="92">
        <v>0</v>
      </c>
      <c r="H128" s="92">
        <v>0</v>
      </c>
      <c r="I128" s="92">
        <v>0</v>
      </c>
      <c r="J128" s="92">
        <v>0</v>
      </c>
      <c r="K128" s="92">
        <v>0</v>
      </c>
      <c r="L128" s="92">
        <v>0</v>
      </c>
      <c r="M128" s="93">
        <v>0</v>
      </c>
      <c r="N128" s="71">
        <f t="shared" si="5"/>
        <v>0</v>
      </c>
    </row>
    <row r="129" spans="1:14" ht="15" customHeight="1" x14ac:dyDescent="0.2">
      <c r="A129" s="67" t="s">
        <v>282</v>
      </c>
      <c r="B129" s="75">
        <v>0</v>
      </c>
      <c r="C129" s="75">
        <v>0</v>
      </c>
      <c r="D129" s="75">
        <v>0</v>
      </c>
      <c r="E129" s="75">
        <v>0</v>
      </c>
      <c r="F129" s="75">
        <v>0</v>
      </c>
      <c r="G129" s="75">
        <v>0</v>
      </c>
      <c r="H129" s="75">
        <v>0</v>
      </c>
      <c r="I129" s="75">
        <v>0</v>
      </c>
      <c r="J129" s="75">
        <v>0</v>
      </c>
      <c r="K129" s="75">
        <v>0</v>
      </c>
      <c r="L129" s="75">
        <v>0</v>
      </c>
      <c r="M129" s="76">
        <v>0</v>
      </c>
      <c r="N129" s="71">
        <f t="shared" si="5"/>
        <v>0</v>
      </c>
    </row>
    <row r="130" spans="1:14" ht="15" customHeight="1" x14ac:dyDescent="0.2">
      <c r="A130" s="67" t="s">
        <v>283</v>
      </c>
      <c r="B130" s="75">
        <v>0</v>
      </c>
      <c r="C130" s="75">
        <v>0</v>
      </c>
      <c r="D130" s="75">
        <v>0</v>
      </c>
      <c r="E130" s="75">
        <v>0</v>
      </c>
      <c r="F130" s="75">
        <v>0</v>
      </c>
      <c r="G130" s="75">
        <v>0</v>
      </c>
      <c r="H130" s="75">
        <v>0</v>
      </c>
      <c r="I130" s="75">
        <v>0</v>
      </c>
      <c r="J130" s="75">
        <v>0</v>
      </c>
      <c r="K130" s="75">
        <v>0</v>
      </c>
      <c r="L130" s="75">
        <v>0</v>
      </c>
      <c r="M130" s="76">
        <v>0</v>
      </c>
      <c r="N130" s="71">
        <f t="shared" si="5"/>
        <v>0</v>
      </c>
    </row>
    <row r="131" spans="1:14" ht="15" customHeight="1" x14ac:dyDescent="0.2">
      <c r="A131" s="67" t="s">
        <v>284</v>
      </c>
      <c r="B131" s="75">
        <v>0</v>
      </c>
      <c r="C131" s="75">
        <v>0</v>
      </c>
      <c r="D131" s="75">
        <v>0</v>
      </c>
      <c r="E131" s="75">
        <v>0</v>
      </c>
      <c r="F131" s="75">
        <v>0</v>
      </c>
      <c r="G131" s="75">
        <v>0</v>
      </c>
      <c r="H131" s="75">
        <v>0</v>
      </c>
      <c r="I131" s="75">
        <v>0</v>
      </c>
      <c r="J131" s="75">
        <v>0</v>
      </c>
      <c r="K131" s="75">
        <v>0</v>
      </c>
      <c r="L131" s="75">
        <v>0</v>
      </c>
      <c r="M131" s="76">
        <v>0</v>
      </c>
      <c r="N131" s="71">
        <f t="shared" si="5"/>
        <v>0</v>
      </c>
    </row>
    <row r="132" spans="1:14" ht="15" customHeight="1" x14ac:dyDescent="0.2">
      <c r="A132" s="67" t="s">
        <v>285</v>
      </c>
      <c r="B132" s="75">
        <v>0</v>
      </c>
      <c r="C132" s="75">
        <v>0</v>
      </c>
      <c r="D132" s="75">
        <v>0</v>
      </c>
      <c r="E132" s="75">
        <v>0</v>
      </c>
      <c r="F132" s="75">
        <v>0</v>
      </c>
      <c r="G132" s="75">
        <v>0</v>
      </c>
      <c r="H132" s="75">
        <v>0</v>
      </c>
      <c r="I132" s="75">
        <v>0</v>
      </c>
      <c r="J132" s="75">
        <v>0</v>
      </c>
      <c r="K132" s="75">
        <v>0</v>
      </c>
      <c r="L132" s="75">
        <v>0</v>
      </c>
      <c r="M132" s="76">
        <v>0</v>
      </c>
      <c r="N132" s="71">
        <f t="shared" si="5"/>
        <v>0</v>
      </c>
    </row>
    <row r="133" spans="1:14" ht="15" customHeight="1" x14ac:dyDescent="0.2">
      <c r="A133" s="67" t="s">
        <v>286</v>
      </c>
      <c r="B133" s="75">
        <v>0</v>
      </c>
      <c r="C133" s="75">
        <v>0</v>
      </c>
      <c r="D133" s="75">
        <v>0</v>
      </c>
      <c r="E133" s="75">
        <v>0</v>
      </c>
      <c r="F133" s="75">
        <v>0</v>
      </c>
      <c r="G133" s="75">
        <v>0</v>
      </c>
      <c r="H133" s="75">
        <v>0</v>
      </c>
      <c r="I133" s="75">
        <v>0</v>
      </c>
      <c r="J133" s="75">
        <v>0</v>
      </c>
      <c r="K133" s="75">
        <v>0</v>
      </c>
      <c r="L133" s="75">
        <v>0</v>
      </c>
      <c r="M133" s="76">
        <v>0</v>
      </c>
      <c r="N133" s="71">
        <f t="shared" si="5"/>
        <v>0</v>
      </c>
    </row>
    <row r="134" spans="1:14" ht="15" customHeight="1" x14ac:dyDescent="0.2">
      <c r="A134" s="1176" t="s">
        <v>228</v>
      </c>
      <c r="B134" s="1177"/>
      <c r="C134" s="1177"/>
      <c r="D134" s="1177"/>
      <c r="E134" s="1177"/>
      <c r="F134" s="1177"/>
      <c r="G134" s="1177"/>
      <c r="H134" s="1177"/>
      <c r="I134" s="1177"/>
      <c r="J134" s="1177"/>
      <c r="K134" s="1177"/>
      <c r="L134" s="1177"/>
      <c r="M134" s="1178"/>
      <c r="N134" s="66" t="s">
        <v>347</v>
      </c>
    </row>
    <row r="135" spans="1:14" ht="15" customHeight="1" x14ac:dyDescent="0.2">
      <c r="A135" s="67" t="s">
        <v>280</v>
      </c>
      <c r="B135" s="75">
        <v>0</v>
      </c>
      <c r="C135" s="75">
        <v>0</v>
      </c>
      <c r="D135" s="75">
        <v>0</v>
      </c>
      <c r="E135" s="75">
        <v>0</v>
      </c>
      <c r="F135" s="75">
        <v>0</v>
      </c>
      <c r="G135" s="75">
        <v>0</v>
      </c>
      <c r="H135" s="75">
        <v>0</v>
      </c>
      <c r="I135" s="75">
        <v>0</v>
      </c>
      <c r="J135" s="75">
        <v>0</v>
      </c>
      <c r="K135" s="75">
        <v>0</v>
      </c>
      <c r="L135" s="75">
        <v>0</v>
      </c>
      <c r="M135" s="76">
        <v>0</v>
      </c>
      <c r="N135" s="71">
        <f t="shared" si="5"/>
        <v>0</v>
      </c>
    </row>
    <row r="136" spans="1:14" ht="15" customHeight="1" x14ac:dyDescent="0.2">
      <c r="A136" s="67" t="s">
        <v>282</v>
      </c>
      <c r="B136" s="75">
        <v>0</v>
      </c>
      <c r="C136" s="75">
        <v>0</v>
      </c>
      <c r="D136" s="75">
        <v>0</v>
      </c>
      <c r="E136" s="75">
        <v>0</v>
      </c>
      <c r="F136" s="75">
        <v>0</v>
      </c>
      <c r="G136" s="75">
        <v>0</v>
      </c>
      <c r="H136" s="75">
        <v>0</v>
      </c>
      <c r="I136" s="75">
        <v>0</v>
      </c>
      <c r="J136" s="75">
        <v>0</v>
      </c>
      <c r="K136" s="75">
        <v>0</v>
      </c>
      <c r="L136" s="75">
        <v>0</v>
      </c>
      <c r="M136" s="76">
        <v>0</v>
      </c>
      <c r="N136" s="71">
        <f t="shared" si="5"/>
        <v>0</v>
      </c>
    </row>
    <row r="137" spans="1:14" ht="15" customHeight="1" x14ac:dyDescent="0.2">
      <c r="A137" s="67" t="s">
        <v>283</v>
      </c>
      <c r="B137" s="75">
        <v>0</v>
      </c>
      <c r="C137" s="75">
        <v>0</v>
      </c>
      <c r="D137" s="75">
        <v>0</v>
      </c>
      <c r="E137" s="75">
        <v>0</v>
      </c>
      <c r="F137" s="75">
        <v>0</v>
      </c>
      <c r="G137" s="75">
        <v>0</v>
      </c>
      <c r="H137" s="75">
        <v>0</v>
      </c>
      <c r="I137" s="75">
        <v>0</v>
      </c>
      <c r="J137" s="75">
        <v>0</v>
      </c>
      <c r="K137" s="75">
        <v>0</v>
      </c>
      <c r="L137" s="75">
        <v>0</v>
      </c>
      <c r="M137" s="76">
        <v>0</v>
      </c>
      <c r="N137" s="71">
        <f t="shared" si="5"/>
        <v>0</v>
      </c>
    </row>
    <row r="138" spans="1:14" ht="15" customHeight="1" x14ac:dyDescent="0.2">
      <c r="A138" s="67" t="s">
        <v>284</v>
      </c>
      <c r="B138" s="75">
        <v>0</v>
      </c>
      <c r="C138" s="75">
        <v>0</v>
      </c>
      <c r="D138" s="75">
        <v>0</v>
      </c>
      <c r="E138" s="75">
        <v>0</v>
      </c>
      <c r="F138" s="75">
        <v>0</v>
      </c>
      <c r="G138" s="75">
        <v>0</v>
      </c>
      <c r="H138" s="75">
        <v>0</v>
      </c>
      <c r="I138" s="75">
        <v>0</v>
      </c>
      <c r="J138" s="75">
        <v>0</v>
      </c>
      <c r="K138" s="75">
        <v>0</v>
      </c>
      <c r="L138" s="75">
        <v>0</v>
      </c>
      <c r="M138" s="76">
        <v>0</v>
      </c>
      <c r="N138" s="71">
        <f t="shared" si="5"/>
        <v>0</v>
      </c>
    </row>
    <row r="139" spans="1:14" ht="15" customHeight="1" x14ac:dyDescent="0.2">
      <c r="A139" s="67" t="s">
        <v>285</v>
      </c>
      <c r="B139" s="75">
        <v>0</v>
      </c>
      <c r="C139" s="75">
        <v>0</v>
      </c>
      <c r="D139" s="75">
        <v>0</v>
      </c>
      <c r="E139" s="75">
        <v>0</v>
      </c>
      <c r="F139" s="75">
        <v>0</v>
      </c>
      <c r="G139" s="75">
        <v>0</v>
      </c>
      <c r="H139" s="75">
        <v>0</v>
      </c>
      <c r="I139" s="75">
        <v>0</v>
      </c>
      <c r="J139" s="75">
        <v>0</v>
      </c>
      <c r="K139" s="75">
        <v>0</v>
      </c>
      <c r="L139" s="75">
        <v>0</v>
      </c>
      <c r="M139" s="76">
        <v>0</v>
      </c>
      <c r="N139" s="71">
        <f t="shared" si="5"/>
        <v>0</v>
      </c>
    </row>
    <row r="140" spans="1:14" ht="15" customHeight="1" x14ac:dyDescent="0.2">
      <c r="A140" s="67" t="s">
        <v>286</v>
      </c>
      <c r="B140" s="75">
        <v>0</v>
      </c>
      <c r="C140" s="75">
        <v>0</v>
      </c>
      <c r="D140" s="75">
        <v>0</v>
      </c>
      <c r="E140" s="75">
        <v>0</v>
      </c>
      <c r="F140" s="75">
        <v>0</v>
      </c>
      <c r="G140" s="75">
        <v>0</v>
      </c>
      <c r="H140" s="75">
        <v>0</v>
      </c>
      <c r="I140" s="75">
        <v>0</v>
      </c>
      <c r="J140" s="75">
        <v>0</v>
      </c>
      <c r="K140" s="75">
        <v>0</v>
      </c>
      <c r="L140" s="75">
        <v>0</v>
      </c>
      <c r="M140" s="76">
        <v>0</v>
      </c>
      <c r="N140" s="71">
        <f t="shared" si="5"/>
        <v>0</v>
      </c>
    </row>
    <row r="141" spans="1:14" ht="15" customHeight="1" x14ac:dyDescent="0.2">
      <c r="A141" s="1176" t="s">
        <v>220</v>
      </c>
      <c r="B141" s="1177"/>
      <c r="C141" s="1177"/>
      <c r="D141" s="1177"/>
      <c r="E141" s="1177"/>
      <c r="F141" s="1177"/>
      <c r="G141" s="1177"/>
      <c r="H141" s="1177"/>
      <c r="I141" s="1177"/>
      <c r="J141" s="1177"/>
      <c r="K141" s="1177"/>
      <c r="L141" s="1177"/>
      <c r="M141" s="1178"/>
      <c r="N141" s="66" t="s">
        <v>347</v>
      </c>
    </row>
    <row r="142" spans="1:14" ht="15" customHeight="1" x14ac:dyDescent="0.2">
      <c r="A142" s="67" t="s">
        <v>280</v>
      </c>
      <c r="B142" s="75">
        <v>0</v>
      </c>
      <c r="C142" s="75">
        <v>0</v>
      </c>
      <c r="D142" s="75">
        <v>0</v>
      </c>
      <c r="E142" s="75">
        <v>0</v>
      </c>
      <c r="F142" s="75">
        <v>0</v>
      </c>
      <c r="G142" s="75">
        <v>0</v>
      </c>
      <c r="H142" s="75">
        <v>0</v>
      </c>
      <c r="I142" s="75">
        <v>0</v>
      </c>
      <c r="J142" s="75">
        <v>0</v>
      </c>
      <c r="K142" s="75">
        <v>0</v>
      </c>
      <c r="L142" s="75">
        <v>0</v>
      </c>
      <c r="M142" s="76">
        <v>0</v>
      </c>
      <c r="N142" s="71">
        <f t="shared" si="5"/>
        <v>0</v>
      </c>
    </row>
    <row r="143" spans="1:14" ht="15" customHeight="1" x14ac:dyDescent="0.2">
      <c r="A143" s="67" t="s">
        <v>282</v>
      </c>
      <c r="B143" s="75">
        <v>0</v>
      </c>
      <c r="C143" s="75">
        <v>0</v>
      </c>
      <c r="D143" s="75">
        <v>0</v>
      </c>
      <c r="E143" s="75">
        <v>0</v>
      </c>
      <c r="F143" s="75">
        <v>0</v>
      </c>
      <c r="G143" s="75">
        <v>0</v>
      </c>
      <c r="H143" s="75">
        <v>0</v>
      </c>
      <c r="I143" s="75">
        <v>0</v>
      </c>
      <c r="J143" s="75">
        <v>0</v>
      </c>
      <c r="K143" s="75">
        <v>0</v>
      </c>
      <c r="L143" s="75">
        <v>0</v>
      </c>
      <c r="M143" s="76">
        <v>0</v>
      </c>
      <c r="N143" s="71">
        <f t="shared" si="5"/>
        <v>0</v>
      </c>
    </row>
    <row r="144" spans="1:14" ht="15" customHeight="1" x14ac:dyDescent="0.2">
      <c r="A144" s="67" t="s">
        <v>283</v>
      </c>
      <c r="B144" s="75">
        <v>0</v>
      </c>
      <c r="C144" s="75">
        <v>0</v>
      </c>
      <c r="D144" s="75">
        <v>0</v>
      </c>
      <c r="E144" s="75">
        <v>0</v>
      </c>
      <c r="F144" s="75">
        <v>0</v>
      </c>
      <c r="G144" s="75">
        <v>0</v>
      </c>
      <c r="H144" s="75">
        <v>0</v>
      </c>
      <c r="I144" s="75">
        <v>0</v>
      </c>
      <c r="J144" s="75">
        <v>0</v>
      </c>
      <c r="K144" s="75">
        <v>0</v>
      </c>
      <c r="L144" s="75">
        <v>0</v>
      </c>
      <c r="M144" s="76">
        <v>0</v>
      </c>
      <c r="N144" s="71">
        <f t="shared" si="5"/>
        <v>0</v>
      </c>
    </row>
    <row r="145" spans="1:14" ht="15" customHeight="1" x14ac:dyDescent="0.2">
      <c r="A145" s="67" t="s">
        <v>284</v>
      </c>
      <c r="B145" s="75">
        <v>0</v>
      </c>
      <c r="C145" s="75">
        <v>0</v>
      </c>
      <c r="D145" s="75">
        <v>0</v>
      </c>
      <c r="E145" s="75">
        <v>0</v>
      </c>
      <c r="F145" s="75">
        <v>0</v>
      </c>
      <c r="G145" s="75">
        <v>0</v>
      </c>
      <c r="H145" s="75">
        <v>0</v>
      </c>
      <c r="I145" s="75">
        <v>0</v>
      </c>
      <c r="J145" s="75">
        <v>0</v>
      </c>
      <c r="K145" s="75">
        <v>0</v>
      </c>
      <c r="L145" s="75">
        <v>0</v>
      </c>
      <c r="M145" s="76">
        <v>0</v>
      </c>
      <c r="N145" s="71">
        <f t="shared" si="5"/>
        <v>0</v>
      </c>
    </row>
    <row r="146" spans="1:14" ht="15" customHeight="1" x14ac:dyDescent="0.2">
      <c r="A146" s="67" t="s">
        <v>285</v>
      </c>
      <c r="B146" s="75">
        <v>0</v>
      </c>
      <c r="C146" s="75">
        <v>0</v>
      </c>
      <c r="D146" s="75">
        <v>0</v>
      </c>
      <c r="E146" s="75">
        <v>0</v>
      </c>
      <c r="F146" s="75">
        <v>0</v>
      </c>
      <c r="G146" s="75">
        <v>0</v>
      </c>
      <c r="H146" s="75">
        <v>0</v>
      </c>
      <c r="I146" s="75">
        <v>0</v>
      </c>
      <c r="J146" s="75">
        <v>0</v>
      </c>
      <c r="K146" s="75">
        <v>0</v>
      </c>
      <c r="L146" s="75">
        <v>0</v>
      </c>
      <c r="M146" s="76">
        <v>0</v>
      </c>
      <c r="N146" s="71">
        <f t="shared" si="5"/>
        <v>0</v>
      </c>
    </row>
    <row r="147" spans="1:14" ht="15" customHeight="1" thickBot="1" x14ac:dyDescent="0.25">
      <c r="A147" s="67" t="s">
        <v>286</v>
      </c>
      <c r="B147" s="106">
        <v>0</v>
      </c>
      <c r="C147" s="106">
        <v>0</v>
      </c>
      <c r="D147" s="106">
        <v>0</v>
      </c>
      <c r="E147" s="106">
        <v>0</v>
      </c>
      <c r="F147" s="106">
        <v>0</v>
      </c>
      <c r="G147" s="106">
        <v>0</v>
      </c>
      <c r="H147" s="106">
        <v>0</v>
      </c>
      <c r="I147" s="106">
        <v>0</v>
      </c>
      <c r="J147" s="106">
        <v>0</v>
      </c>
      <c r="K147" s="106">
        <v>0</v>
      </c>
      <c r="L147" s="106">
        <v>0</v>
      </c>
      <c r="M147" s="107">
        <v>0</v>
      </c>
      <c r="N147" s="71">
        <f t="shared" si="5"/>
        <v>0</v>
      </c>
    </row>
    <row r="148" spans="1:14" x14ac:dyDescent="0.2">
      <c r="A148" s="1173" t="s">
        <v>357</v>
      </c>
      <c r="B148" s="1174"/>
      <c r="C148" s="1174"/>
      <c r="D148" s="1174"/>
      <c r="E148" s="1174"/>
      <c r="F148" s="1174"/>
      <c r="G148" s="1174"/>
      <c r="H148" s="1174"/>
      <c r="I148" s="1174"/>
      <c r="J148" s="1174"/>
      <c r="K148" s="1174"/>
      <c r="L148" s="1174"/>
      <c r="M148" s="1174"/>
      <c r="N148" s="1175"/>
    </row>
    <row r="149" spans="1:14" x14ac:dyDescent="0.2">
      <c r="A149" s="66" t="s">
        <v>279</v>
      </c>
      <c r="B149" s="98">
        <v>43556</v>
      </c>
      <c r="C149" s="98">
        <v>43586</v>
      </c>
      <c r="D149" s="98">
        <v>43617</v>
      </c>
      <c r="E149" s="98">
        <v>43647</v>
      </c>
      <c r="F149" s="98">
        <v>43678</v>
      </c>
      <c r="G149" s="98">
        <v>43709</v>
      </c>
      <c r="H149" s="98">
        <v>43739</v>
      </c>
      <c r="I149" s="98">
        <v>43770</v>
      </c>
      <c r="J149" s="98">
        <v>43800</v>
      </c>
      <c r="K149" s="98">
        <v>43831</v>
      </c>
      <c r="L149" s="98">
        <v>43862</v>
      </c>
      <c r="M149" s="99">
        <v>43891</v>
      </c>
      <c r="N149" s="66" t="s">
        <v>347</v>
      </c>
    </row>
    <row r="150" spans="1:14" x14ac:dyDescent="0.2">
      <c r="A150" s="34" t="s">
        <v>280</v>
      </c>
      <c r="B150" s="71">
        <f>+B5+B13+B44+B52+B60+B90+B120</f>
        <v>0</v>
      </c>
      <c r="C150" s="71">
        <f t="shared" ref="C150:M150" si="6">+C5+C13+C44+C52+C60+C90+C120</f>
        <v>0</v>
      </c>
      <c r="D150" s="71">
        <f t="shared" si="6"/>
        <v>0</v>
      </c>
      <c r="E150" s="71">
        <f t="shared" si="6"/>
        <v>0</v>
      </c>
      <c r="F150" s="71">
        <f t="shared" si="6"/>
        <v>0</v>
      </c>
      <c r="G150" s="71">
        <f t="shared" si="6"/>
        <v>0</v>
      </c>
      <c r="H150" s="71">
        <f t="shared" si="6"/>
        <v>0</v>
      </c>
      <c r="I150" s="71">
        <f t="shared" si="6"/>
        <v>0</v>
      </c>
      <c r="J150" s="71">
        <f t="shared" si="6"/>
        <v>0</v>
      </c>
      <c r="K150" s="71">
        <f t="shared" si="6"/>
        <v>0</v>
      </c>
      <c r="L150" s="71">
        <f t="shared" si="6"/>
        <v>0</v>
      </c>
      <c r="M150" s="71">
        <f t="shared" si="6"/>
        <v>0</v>
      </c>
      <c r="N150" s="71">
        <f t="shared" si="5"/>
        <v>0</v>
      </c>
    </row>
    <row r="151" spans="1:14" x14ac:dyDescent="0.2">
      <c r="A151" s="34" t="s">
        <v>281</v>
      </c>
      <c r="B151" s="71">
        <f>+B6+B14+B45+B53+B61+B91+B121</f>
        <v>3354773.3799999962</v>
      </c>
      <c r="C151" s="71">
        <f t="shared" ref="C151:M151" si="7">+C6+C14+C45+C53+C61+C91+C121</f>
        <v>4082939.1799999983</v>
      </c>
      <c r="D151" s="71">
        <f t="shared" si="7"/>
        <v>5235733.7339999964</v>
      </c>
      <c r="E151" s="71">
        <f t="shared" si="7"/>
        <v>6634007.6599999927</v>
      </c>
      <c r="F151" s="71">
        <f t="shared" si="7"/>
        <v>5482303.4199999953</v>
      </c>
      <c r="G151" s="71">
        <f t="shared" si="7"/>
        <v>4788659.8899999997</v>
      </c>
      <c r="H151" s="71">
        <f t="shared" si="7"/>
        <v>4303915.0199999996</v>
      </c>
      <c r="I151" s="71">
        <f t="shared" si="7"/>
        <v>2528210.6899999995</v>
      </c>
      <c r="J151" s="71">
        <f t="shared" si="7"/>
        <v>3164150.0799999996</v>
      </c>
      <c r="K151" s="71">
        <f t="shared" si="7"/>
        <v>5452403.9399999948</v>
      </c>
      <c r="L151" s="71">
        <f t="shared" si="7"/>
        <v>0</v>
      </c>
      <c r="M151" s="71">
        <f t="shared" si="7"/>
        <v>0</v>
      </c>
      <c r="N151" s="71">
        <f t="shared" si="5"/>
        <v>45027096.993999973</v>
      </c>
    </row>
    <row r="152" spans="1:14" x14ac:dyDescent="0.2">
      <c r="A152" s="34" t="s">
        <v>283</v>
      </c>
      <c r="B152" s="71">
        <f t="shared" ref="B152:M155" si="8">+B7+B15+B46+B54+B62+B92+B122</f>
        <v>36646.618399999999</v>
      </c>
      <c r="C152" s="71">
        <f t="shared" si="8"/>
        <v>55549.74040000001</v>
      </c>
      <c r="D152" s="71">
        <f t="shared" si="8"/>
        <v>149635.80240000002</v>
      </c>
      <c r="E152" s="71">
        <f t="shared" si="8"/>
        <v>66125.387999999992</v>
      </c>
      <c r="F152" s="71">
        <f t="shared" si="8"/>
        <v>30473.3688</v>
      </c>
      <c r="G152" s="71">
        <f t="shared" si="8"/>
        <v>75713.330000000016</v>
      </c>
      <c r="H152" s="71">
        <f t="shared" si="8"/>
        <v>51945.630799999992</v>
      </c>
      <c r="I152" s="71">
        <f t="shared" si="8"/>
        <v>50926.2068</v>
      </c>
      <c r="J152" s="71">
        <f t="shared" si="8"/>
        <v>128383.5336</v>
      </c>
      <c r="K152" s="71">
        <f t="shared" si="8"/>
        <v>38884.86</v>
      </c>
      <c r="L152" s="71">
        <f t="shared" si="8"/>
        <v>0</v>
      </c>
      <c r="M152" s="71">
        <f t="shared" si="8"/>
        <v>0</v>
      </c>
      <c r="N152" s="71">
        <f t="shared" si="5"/>
        <v>684284.47919999994</v>
      </c>
    </row>
    <row r="153" spans="1:14" x14ac:dyDescent="0.2">
      <c r="A153" s="34" t="s">
        <v>284</v>
      </c>
      <c r="B153" s="71">
        <f t="shared" si="8"/>
        <v>417253.72849999991</v>
      </c>
      <c r="C153" s="71">
        <f t="shared" si="8"/>
        <v>465806.66300000018</v>
      </c>
      <c r="D153" s="71">
        <f t="shared" si="8"/>
        <v>554487.2250600002</v>
      </c>
      <c r="E153" s="71">
        <f t="shared" si="8"/>
        <v>762810.05540000054</v>
      </c>
      <c r="F153" s="71">
        <f t="shared" si="8"/>
        <v>614771.33640000015</v>
      </c>
      <c r="G153" s="71">
        <f t="shared" si="8"/>
        <v>496044.81260000024</v>
      </c>
      <c r="H153" s="71">
        <f t="shared" si="8"/>
        <v>419677.1544</v>
      </c>
      <c r="I153" s="71">
        <f t="shared" si="8"/>
        <v>256975.35380000001</v>
      </c>
      <c r="J153" s="71">
        <f t="shared" si="8"/>
        <v>265592.08979999996</v>
      </c>
      <c r="K153" s="71">
        <f t="shared" si="8"/>
        <v>513531.29960000014</v>
      </c>
      <c r="L153" s="71">
        <f t="shared" si="8"/>
        <v>0</v>
      </c>
      <c r="M153" s="71">
        <f t="shared" si="8"/>
        <v>0</v>
      </c>
      <c r="N153" s="71">
        <f t="shared" si="5"/>
        <v>4766949.7185600018</v>
      </c>
    </row>
    <row r="154" spans="1:14" x14ac:dyDescent="0.2">
      <c r="A154" s="34" t="s">
        <v>285</v>
      </c>
      <c r="B154" s="71">
        <f t="shared" si="8"/>
        <v>417253.72849999991</v>
      </c>
      <c r="C154" s="71">
        <f t="shared" si="8"/>
        <v>465806.66300000018</v>
      </c>
      <c r="D154" s="71">
        <f t="shared" si="8"/>
        <v>554487.2250600002</v>
      </c>
      <c r="E154" s="71">
        <f t="shared" si="8"/>
        <v>762810.05540000054</v>
      </c>
      <c r="F154" s="71">
        <f t="shared" si="8"/>
        <v>614771.33640000015</v>
      </c>
      <c r="G154" s="71">
        <f t="shared" si="8"/>
        <v>496044.81260000024</v>
      </c>
      <c r="H154" s="71">
        <f t="shared" si="8"/>
        <v>419677.1544</v>
      </c>
      <c r="I154" s="71">
        <f t="shared" si="8"/>
        <v>256975.35380000001</v>
      </c>
      <c r="J154" s="71">
        <f t="shared" si="8"/>
        <v>265592.08979999996</v>
      </c>
      <c r="K154" s="71">
        <f t="shared" si="8"/>
        <v>513531.29960000014</v>
      </c>
      <c r="L154" s="71">
        <f t="shared" si="8"/>
        <v>0</v>
      </c>
      <c r="M154" s="71">
        <f t="shared" si="8"/>
        <v>0</v>
      </c>
      <c r="N154" s="71">
        <f t="shared" si="5"/>
        <v>4766949.7185600018</v>
      </c>
    </row>
    <row r="155" spans="1:14" x14ac:dyDescent="0.2">
      <c r="A155" s="34" t="s">
        <v>286</v>
      </c>
      <c r="B155" s="71">
        <f t="shared" si="8"/>
        <v>0</v>
      </c>
      <c r="C155" s="71">
        <f t="shared" si="8"/>
        <v>0</v>
      </c>
      <c r="D155" s="71">
        <f t="shared" si="8"/>
        <v>0</v>
      </c>
      <c r="E155" s="71">
        <f t="shared" si="8"/>
        <v>0</v>
      </c>
      <c r="F155" s="71">
        <f t="shared" si="8"/>
        <v>0</v>
      </c>
      <c r="G155" s="71">
        <f t="shared" si="8"/>
        <v>0</v>
      </c>
      <c r="H155" s="71">
        <f t="shared" si="8"/>
        <v>0</v>
      </c>
      <c r="I155" s="71">
        <f t="shared" si="8"/>
        <v>0</v>
      </c>
      <c r="J155" s="71">
        <f t="shared" si="8"/>
        <v>0</v>
      </c>
      <c r="K155" s="71">
        <f t="shared" si="8"/>
        <v>0</v>
      </c>
      <c r="L155" s="71">
        <f t="shared" si="8"/>
        <v>0</v>
      </c>
      <c r="M155" s="71">
        <f t="shared" si="8"/>
        <v>0</v>
      </c>
      <c r="N155" s="71">
        <f t="shared" si="5"/>
        <v>0</v>
      </c>
    </row>
    <row r="156" spans="1:14" ht="15.75" customHeight="1" x14ac:dyDescent="0.2">
      <c r="A156" s="1173" t="s">
        <v>358</v>
      </c>
      <c r="B156" s="1174"/>
      <c r="C156" s="1174"/>
      <c r="D156" s="1174"/>
      <c r="E156" s="1174"/>
      <c r="F156" s="1174"/>
      <c r="G156" s="1174"/>
      <c r="H156" s="1174"/>
      <c r="I156" s="1174"/>
      <c r="J156" s="1174"/>
      <c r="K156" s="1174"/>
      <c r="L156" s="1174"/>
      <c r="M156" s="1174"/>
      <c r="N156" s="1175"/>
    </row>
    <row r="157" spans="1:14" x14ac:dyDescent="0.2">
      <c r="A157" s="66" t="s">
        <v>279</v>
      </c>
      <c r="B157" s="98">
        <v>43556</v>
      </c>
      <c r="C157" s="98">
        <v>43586</v>
      </c>
      <c r="D157" s="98">
        <v>43617</v>
      </c>
      <c r="E157" s="98">
        <v>43647</v>
      </c>
      <c r="F157" s="98">
        <v>43678</v>
      </c>
      <c r="G157" s="98">
        <v>43709</v>
      </c>
      <c r="H157" s="98">
        <v>43739</v>
      </c>
      <c r="I157" s="98">
        <v>43770</v>
      </c>
      <c r="J157" s="98">
        <v>43800</v>
      </c>
      <c r="K157" s="98">
        <v>43831</v>
      </c>
      <c r="L157" s="98">
        <v>43862</v>
      </c>
      <c r="M157" s="99">
        <v>43891</v>
      </c>
      <c r="N157" s="66" t="s">
        <v>347</v>
      </c>
    </row>
    <row r="158" spans="1:14" x14ac:dyDescent="0.2">
      <c r="A158" s="34" t="s">
        <v>280</v>
      </c>
      <c r="B158" s="71"/>
      <c r="C158" s="71"/>
      <c r="D158" s="71"/>
      <c r="E158" s="71"/>
      <c r="F158" s="71"/>
      <c r="G158" s="71"/>
      <c r="H158" s="71"/>
      <c r="I158" s="71"/>
      <c r="J158" s="71"/>
      <c r="K158" s="71"/>
      <c r="L158" s="71"/>
      <c r="M158" s="71"/>
      <c r="N158" s="71">
        <f t="shared" si="5"/>
        <v>0</v>
      </c>
    </row>
    <row r="159" spans="1:14" x14ac:dyDescent="0.2">
      <c r="A159" s="34" t="s">
        <v>282</v>
      </c>
      <c r="B159" s="71">
        <f>+'SALE WORKING'!C215</f>
        <v>18500</v>
      </c>
      <c r="C159" s="71">
        <f>+'SALE WORKING'!D215</f>
        <v>45560</v>
      </c>
      <c r="D159" s="71">
        <f>+'SALE WORKING'!E215</f>
        <v>24600</v>
      </c>
      <c r="E159" s="71">
        <f>+'SALE WORKING'!F215</f>
        <v>31250</v>
      </c>
      <c r="F159" s="71">
        <f>+'SALE WORKING'!G215</f>
        <v>35900</v>
      </c>
      <c r="G159" s="71">
        <f>+'SALE WORKING'!H215</f>
        <v>36950</v>
      </c>
      <c r="H159" s="71">
        <f>+'SALE WORKING'!I215</f>
        <v>29100</v>
      </c>
      <c r="I159" s="71">
        <f>+'SALE WORKING'!J215</f>
        <v>27400</v>
      </c>
      <c r="J159" s="71">
        <f>+'SALE WORKING'!K215</f>
        <v>49761</v>
      </c>
      <c r="K159" s="71">
        <f>+'SALE WORKING'!L215</f>
        <v>0</v>
      </c>
      <c r="L159" s="71">
        <f>+'SALE WORKING'!M215</f>
        <v>0</v>
      </c>
      <c r="M159" s="71">
        <f>+'SALE WORKING'!N215</f>
        <v>0</v>
      </c>
      <c r="N159" s="71">
        <f t="shared" si="5"/>
        <v>299021</v>
      </c>
    </row>
    <row r="160" spans="1:14" x14ac:dyDescent="0.2">
      <c r="A160" s="34" t="s">
        <v>283</v>
      </c>
      <c r="B160" s="71">
        <f>+'SALE WORKING'!C216</f>
        <v>0</v>
      </c>
      <c r="C160" s="71">
        <f>+'SALE WORKING'!D216</f>
        <v>0</v>
      </c>
      <c r="D160" s="71">
        <f>+'SALE WORKING'!E216</f>
        <v>0</v>
      </c>
      <c r="E160" s="71">
        <f>+'SALE WORKING'!F216</f>
        <v>0</v>
      </c>
      <c r="F160" s="71">
        <f>+'SALE WORKING'!G216</f>
        <v>0</v>
      </c>
      <c r="G160" s="71">
        <f>+'SALE WORKING'!H216</f>
        <v>0</v>
      </c>
      <c r="H160" s="71">
        <f>+'SALE WORKING'!I216</f>
        <v>0</v>
      </c>
      <c r="I160" s="71">
        <f>+'SALE WORKING'!J216</f>
        <v>0</v>
      </c>
      <c r="J160" s="71">
        <f>+'SALE WORKING'!K216</f>
        <v>118.05</v>
      </c>
      <c r="K160" s="71">
        <f>+'SALE WORKING'!L216</f>
        <v>0</v>
      </c>
      <c r="L160" s="71">
        <f>+'SALE WORKING'!M216</f>
        <v>0</v>
      </c>
      <c r="M160" s="71">
        <f>+'SALE WORKING'!N216</f>
        <v>0</v>
      </c>
      <c r="N160" s="71">
        <f t="shared" si="5"/>
        <v>118.05</v>
      </c>
    </row>
    <row r="161" spans="1:14" x14ac:dyDescent="0.2">
      <c r="A161" s="34" t="s">
        <v>284</v>
      </c>
      <c r="B161" s="71">
        <f>+'SALE WORKING'!C217</f>
        <v>462.5</v>
      </c>
      <c r="C161" s="71">
        <f>+'SALE WORKING'!D217</f>
        <v>1139</v>
      </c>
      <c r="D161" s="71">
        <f>+'SALE WORKING'!E217</f>
        <v>615</v>
      </c>
      <c r="E161" s="71">
        <f>+'SALE WORKING'!F217</f>
        <v>781.25</v>
      </c>
      <c r="F161" s="71">
        <f>+'SALE WORKING'!G217</f>
        <v>897.5</v>
      </c>
      <c r="G161" s="71">
        <f>+'SALE WORKING'!H217</f>
        <v>923.75</v>
      </c>
      <c r="H161" s="71">
        <f>+'SALE WORKING'!I217</f>
        <v>727.5</v>
      </c>
      <c r="I161" s="71">
        <f>+'SALE WORKING'!J217</f>
        <v>685</v>
      </c>
      <c r="J161" s="71">
        <f>+'SALE WORKING'!K217</f>
        <v>1185</v>
      </c>
      <c r="K161" s="71">
        <f>+'SALE WORKING'!L217</f>
        <v>0</v>
      </c>
      <c r="L161" s="71">
        <f>+'SALE WORKING'!M217</f>
        <v>0</v>
      </c>
      <c r="M161" s="71">
        <f>+'SALE WORKING'!N217</f>
        <v>0</v>
      </c>
      <c r="N161" s="71">
        <f t="shared" si="5"/>
        <v>7416.5</v>
      </c>
    </row>
    <row r="162" spans="1:14" x14ac:dyDescent="0.2">
      <c r="A162" s="34" t="s">
        <v>285</v>
      </c>
      <c r="B162" s="71">
        <f>+B161</f>
        <v>462.5</v>
      </c>
      <c r="C162" s="71">
        <f t="shared" ref="C162:M162" si="9">+C161</f>
        <v>1139</v>
      </c>
      <c r="D162" s="71">
        <f t="shared" si="9"/>
        <v>615</v>
      </c>
      <c r="E162" s="71">
        <f t="shared" si="9"/>
        <v>781.25</v>
      </c>
      <c r="F162" s="71">
        <f t="shared" si="9"/>
        <v>897.5</v>
      </c>
      <c r="G162" s="71">
        <f t="shared" si="9"/>
        <v>923.75</v>
      </c>
      <c r="H162" s="71">
        <f t="shared" si="9"/>
        <v>727.5</v>
      </c>
      <c r="I162" s="71">
        <f t="shared" si="9"/>
        <v>685</v>
      </c>
      <c r="J162" s="71">
        <f t="shared" si="9"/>
        <v>1185</v>
      </c>
      <c r="K162" s="71">
        <f t="shared" si="9"/>
        <v>0</v>
      </c>
      <c r="L162" s="71">
        <f t="shared" si="9"/>
        <v>0</v>
      </c>
      <c r="M162" s="71">
        <f t="shared" si="9"/>
        <v>0</v>
      </c>
      <c r="N162" s="71">
        <f t="shared" si="5"/>
        <v>7416.5</v>
      </c>
    </row>
    <row r="163" spans="1:14" x14ac:dyDescent="0.2">
      <c r="A163" s="34" t="s">
        <v>286</v>
      </c>
      <c r="B163" s="71">
        <v>0</v>
      </c>
      <c r="C163" s="71"/>
      <c r="D163" s="71"/>
      <c r="E163" s="71"/>
      <c r="F163" s="71"/>
      <c r="G163" s="71"/>
      <c r="H163" s="71"/>
      <c r="I163" s="71"/>
      <c r="J163" s="71"/>
      <c r="K163" s="71"/>
      <c r="L163" s="71"/>
      <c r="M163" s="71"/>
      <c r="N163" s="71">
        <f t="shared" si="5"/>
        <v>0</v>
      </c>
    </row>
    <row r="164" spans="1:14" ht="13.8" customHeight="1" x14ac:dyDescent="0.2">
      <c r="A164" s="1173" t="s">
        <v>359</v>
      </c>
      <c r="B164" s="1174"/>
      <c r="C164" s="1174"/>
      <c r="D164" s="1174"/>
      <c r="E164" s="1174"/>
      <c r="F164" s="1174"/>
      <c r="G164" s="1174"/>
      <c r="H164" s="1174"/>
      <c r="I164" s="1174"/>
      <c r="J164" s="1174"/>
      <c r="K164" s="1174"/>
      <c r="L164" s="1174"/>
      <c r="M164" s="1174"/>
      <c r="N164" s="1175"/>
    </row>
    <row r="165" spans="1:14" x14ac:dyDescent="0.2">
      <c r="A165" s="66" t="s">
        <v>279</v>
      </c>
      <c r="B165" s="98">
        <v>43556</v>
      </c>
      <c r="C165" s="98">
        <v>43586</v>
      </c>
      <c r="D165" s="98">
        <v>43617</v>
      </c>
      <c r="E165" s="98">
        <v>43647</v>
      </c>
      <c r="F165" s="98">
        <v>43678</v>
      </c>
      <c r="G165" s="98">
        <v>43709</v>
      </c>
      <c r="H165" s="98">
        <v>43739</v>
      </c>
      <c r="I165" s="98">
        <v>43770</v>
      </c>
      <c r="J165" s="98">
        <v>43800</v>
      </c>
      <c r="K165" s="98">
        <v>43831</v>
      </c>
      <c r="L165" s="98">
        <v>43862</v>
      </c>
      <c r="M165" s="99">
        <v>43891</v>
      </c>
      <c r="N165" s="66" t="s">
        <v>347</v>
      </c>
    </row>
    <row r="166" spans="1:14" x14ac:dyDescent="0.2">
      <c r="A166" s="34" t="s">
        <v>280</v>
      </c>
      <c r="B166" s="102">
        <v>0</v>
      </c>
      <c r="C166" s="102">
        <v>0</v>
      </c>
      <c r="D166" s="102">
        <v>0</v>
      </c>
      <c r="E166" s="102">
        <v>0</v>
      </c>
      <c r="F166" s="102">
        <v>0</v>
      </c>
      <c r="G166" s="102">
        <v>0</v>
      </c>
      <c r="H166" s="102">
        <v>0</v>
      </c>
      <c r="I166" s="102">
        <v>0</v>
      </c>
      <c r="J166" s="102">
        <v>0</v>
      </c>
      <c r="K166" s="102">
        <v>0</v>
      </c>
      <c r="L166" s="102">
        <v>0</v>
      </c>
      <c r="M166" s="103">
        <v>0</v>
      </c>
      <c r="N166" s="71">
        <f t="shared" si="5"/>
        <v>0</v>
      </c>
    </row>
    <row r="167" spans="1:14" x14ac:dyDescent="0.2">
      <c r="A167" s="34" t="s">
        <v>282</v>
      </c>
      <c r="B167" s="102">
        <f>+'PURCHASE WORKING'!C21</f>
        <v>0</v>
      </c>
      <c r="C167" s="102">
        <f>+'PURCHASE WORKING'!D21</f>
        <v>0</v>
      </c>
      <c r="D167" s="102">
        <f>+'PURCHASE WORKING'!E21</f>
        <v>0</v>
      </c>
      <c r="E167" s="102">
        <f>+'PURCHASE WORKING'!F21</f>
        <v>0</v>
      </c>
      <c r="F167" s="102">
        <f>+'PURCHASE WORKING'!G21</f>
        <v>0</v>
      </c>
      <c r="G167" s="102">
        <f>+'PURCHASE WORKING'!H21</f>
        <v>0</v>
      </c>
      <c r="H167" s="102">
        <f>+'PURCHASE WORKING'!I21</f>
        <v>0</v>
      </c>
      <c r="I167" s="102">
        <f>+'PURCHASE WORKING'!J21</f>
        <v>0</v>
      </c>
      <c r="J167" s="102">
        <f>+'PURCHASE WORKING'!K21</f>
        <v>0</v>
      </c>
      <c r="K167" s="102">
        <f>+'PURCHASE WORKING'!L21</f>
        <v>0</v>
      </c>
      <c r="L167" s="102">
        <f>+'PURCHASE WORKING'!M21</f>
        <v>0</v>
      </c>
      <c r="M167" s="102">
        <f>+'PURCHASE WORKING'!N21</f>
        <v>0</v>
      </c>
      <c r="N167" s="71">
        <f t="shared" si="5"/>
        <v>0</v>
      </c>
    </row>
    <row r="168" spans="1:14" x14ac:dyDescent="0.2">
      <c r="A168" s="34" t="s">
        <v>283</v>
      </c>
      <c r="B168" s="102">
        <f>+'PURCHASE WORKING'!C22</f>
        <v>0</v>
      </c>
      <c r="C168" s="102">
        <f>+'PURCHASE WORKING'!D22</f>
        <v>0</v>
      </c>
      <c r="D168" s="102">
        <f>+'PURCHASE WORKING'!E22</f>
        <v>0</v>
      </c>
      <c r="E168" s="102">
        <f>+'PURCHASE WORKING'!F22</f>
        <v>0</v>
      </c>
      <c r="F168" s="102">
        <f>+'PURCHASE WORKING'!G22</f>
        <v>0</v>
      </c>
      <c r="G168" s="102">
        <f>+'PURCHASE WORKING'!H22</f>
        <v>0</v>
      </c>
      <c r="H168" s="102">
        <f>+'PURCHASE WORKING'!I22</f>
        <v>0</v>
      </c>
      <c r="I168" s="102">
        <f>+'PURCHASE WORKING'!J22</f>
        <v>0</v>
      </c>
      <c r="J168" s="102">
        <f>+'PURCHASE WORKING'!K22</f>
        <v>0</v>
      </c>
      <c r="K168" s="102">
        <f>+'PURCHASE WORKING'!L22</f>
        <v>0</v>
      </c>
      <c r="L168" s="102">
        <f>+'PURCHASE WORKING'!M22</f>
        <v>0</v>
      </c>
      <c r="M168" s="102">
        <f>+'PURCHASE WORKING'!N22</f>
        <v>0</v>
      </c>
      <c r="N168" s="71">
        <f t="shared" si="5"/>
        <v>0</v>
      </c>
    </row>
    <row r="169" spans="1:14" x14ac:dyDescent="0.2">
      <c r="A169" s="34" t="s">
        <v>284</v>
      </c>
      <c r="B169" s="104">
        <v>0</v>
      </c>
      <c r="C169" s="104">
        <v>0</v>
      </c>
      <c r="D169" s="104">
        <v>0</v>
      </c>
      <c r="E169" s="104">
        <v>0</v>
      </c>
      <c r="F169" s="104">
        <v>0</v>
      </c>
      <c r="G169" s="104">
        <v>0</v>
      </c>
      <c r="H169" s="104">
        <v>0</v>
      </c>
      <c r="I169" s="104">
        <v>0</v>
      </c>
      <c r="J169" s="104">
        <v>0</v>
      </c>
      <c r="K169" s="104">
        <v>0</v>
      </c>
      <c r="L169" s="104">
        <v>0</v>
      </c>
      <c r="M169" s="105">
        <v>0</v>
      </c>
      <c r="N169" s="71">
        <f t="shared" si="5"/>
        <v>0</v>
      </c>
    </row>
    <row r="170" spans="1:14" x14ac:dyDescent="0.2">
      <c r="A170" s="34" t="s">
        <v>285</v>
      </c>
      <c r="B170" s="104">
        <v>0</v>
      </c>
      <c r="C170" s="104">
        <v>0</v>
      </c>
      <c r="D170" s="104">
        <v>0</v>
      </c>
      <c r="E170" s="104">
        <v>0</v>
      </c>
      <c r="F170" s="104">
        <v>0</v>
      </c>
      <c r="G170" s="104">
        <v>0</v>
      </c>
      <c r="H170" s="104">
        <v>0</v>
      </c>
      <c r="I170" s="104">
        <v>0</v>
      </c>
      <c r="J170" s="104">
        <v>0</v>
      </c>
      <c r="K170" s="104">
        <v>0</v>
      </c>
      <c r="L170" s="104">
        <v>0</v>
      </c>
      <c r="M170" s="105">
        <v>0</v>
      </c>
      <c r="N170" s="71">
        <f t="shared" si="5"/>
        <v>0</v>
      </c>
    </row>
    <row r="171" spans="1:14" x14ac:dyDescent="0.2">
      <c r="A171" s="34" t="s">
        <v>286</v>
      </c>
      <c r="B171" s="102">
        <v>0</v>
      </c>
      <c r="C171" s="102">
        <v>0</v>
      </c>
      <c r="D171" s="102">
        <v>0</v>
      </c>
      <c r="E171" s="102">
        <v>0</v>
      </c>
      <c r="F171" s="102">
        <v>0</v>
      </c>
      <c r="G171" s="102">
        <v>0</v>
      </c>
      <c r="H171" s="102">
        <v>0</v>
      </c>
      <c r="I171" s="102">
        <v>0</v>
      </c>
      <c r="J171" s="102">
        <v>0</v>
      </c>
      <c r="K171" s="102">
        <v>0</v>
      </c>
      <c r="L171" s="102">
        <v>0</v>
      </c>
      <c r="M171" s="103">
        <v>0</v>
      </c>
      <c r="N171" s="71">
        <f t="shared" si="5"/>
        <v>0</v>
      </c>
    </row>
    <row r="172" spans="1:14" ht="13.8" customHeight="1" x14ac:dyDescent="0.2">
      <c r="A172" s="1173" t="s">
        <v>360</v>
      </c>
      <c r="B172" s="1174"/>
      <c r="C172" s="1174"/>
      <c r="D172" s="1174"/>
      <c r="E172" s="1174"/>
      <c r="F172" s="1174"/>
      <c r="G172" s="1174"/>
      <c r="H172" s="1174"/>
      <c r="I172" s="1174"/>
      <c r="J172" s="1174"/>
      <c r="K172" s="1174"/>
      <c r="L172" s="1174"/>
      <c r="M172" s="1174"/>
      <c r="N172" s="1175"/>
    </row>
    <row r="173" spans="1:14" x14ac:dyDescent="0.2">
      <c r="A173" s="66" t="s">
        <v>279</v>
      </c>
      <c r="B173" s="98">
        <v>43556</v>
      </c>
      <c r="C173" s="98">
        <v>43586</v>
      </c>
      <c r="D173" s="98">
        <v>43617</v>
      </c>
      <c r="E173" s="98">
        <v>43647</v>
      </c>
      <c r="F173" s="98">
        <v>43678</v>
      </c>
      <c r="G173" s="98">
        <v>43709</v>
      </c>
      <c r="H173" s="98">
        <v>43739</v>
      </c>
      <c r="I173" s="98">
        <v>43770</v>
      </c>
      <c r="J173" s="98">
        <v>43800</v>
      </c>
      <c r="K173" s="98">
        <v>43831</v>
      </c>
      <c r="L173" s="98">
        <v>43862</v>
      </c>
      <c r="M173" s="99">
        <v>43891</v>
      </c>
      <c r="N173" s="66" t="s">
        <v>347</v>
      </c>
    </row>
    <row r="174" spans="1:14" x14ac:dyDescent="0.2">
      <c r="A174" s="34" t="s">
        <v>280</v>
      </c>
      <c r="B174" s="102">
        <v>0</v>
      </c>
      <c r="C174" s="102">
        <v>0</v>
      </c>
      <c r="D174" s="102">
        <v>0</v>
      </c>
      <c r="E174" s="102">
        <v>0</v>
      </c>
      <c r="F174" s="102">
        <v>0</v>
      </c>
      <c r="G174" s="102">
        <v>0</v>
      </c>
      <c r="H174" s="102">
        <v>0</v>
      </c>
      <c r="I174" s="102">
        <v>0</v>
      </c>
      <c r="J174" s="102">
        <v>0</v>
      </c>
      <c r="K174" s="102">
        <v>0</v>
      </c>
      <c r="L174" s="102">
        <v>0</v>
      </c>
      <c r="M174" s="103">
        <v>0</v>
      </c>
      <c r="N174" s="71">
        <f t="shared" si="5"/>
        <v>0</v>
      </c>
    </row>
    <row r="175" spans="1:14" x14ac:dyDescent="0.2">
      <c r="A175" s="34" t="s">
        <v>282</v>
      </c>
      <c r="B175" s="102">
        <f>+'PURCHASE WORKING'!C7+'PURCHASE WORKING'!C14</f>
        <v>0</v>
      </c>
      <c r="C175" s="102">
        <f>+'PURCHASE WORKING'!D7+'PURCHASE WORKING'!D14</f>
        <v>567427.30000000005</v>
      </c>
      <c r="D175" s="102">
        <f>+'PURCHASE WORKING'!E7+'PURCHASE WORKING'!E14</f>
        <v>0</v>
      </c>
      <c r="E175" s="102">
        <f>+'PURCHASE WORKING'!F7+'PURCHASE WORKING'!F14</f>
        <v>252144</v>
      </c>
      <c r="F175" s="102">
        <f>+'PURCHASE WORKING'!G7+'PURCHASE WORKING'!G14</f>
        <v>570047</v>
      </c>
      <c r="G175" s="102">
        <f>+'PURCHASE WORKING'!H7+'PURCHASE WORKING'!H14</f>
        <v>0</v>
      </c>
      <c r="H175" s="102">
        <f>+'PURCHASE WORKING'!I7+'PURCHASE WORKING'!I14</f>
        <v>784326</v>
      </c>
      <c r="I175" s="102">
        <f>+'PURCHASE WORKING'!J7+'PURCHASE WORKING'!J14</f>
        <v>0</v>
      </c>
      <c r="J175" s="102">
        <f>+'PURCHASE WORKING'!K7+'PURCHASE WORKING'!K14</f>
        <v>800200.6</v>
      </c>
      <c r="K175" s="102">
        <f>+'PURCHASE WORKING'!L7+'PURCHASE WORKING'!L14</f>
        <v>0</v>
      </c>
      <c r="L175" s="102">
        <f>+'PURCHASE WORKING'!M7+'PURCHASE WORKING'!M14</f>
        <v>0</v>
      </c>
      <c r="M175" s="102">
        <f>+'PURCHASE WORKING'!N7+'PURCHASE WORKING'!N14</f>
        <v>0</v>
      </c>
      <c r="N175" s="71">
        <f t="shared" si="5"/>
        <v>2974144.9</v>
      </c>
    </row>
    <row r="176" spans="1:14" x14ac:dyDescent="0.2">
      <c r="A176" s="34" t="s">
        <v>283</v>
      </c>
      <c r="B176" s="102">
        <f>+'PURCHASE WORKING'!C8+'PURCHASE WORKING'!C15</f>
        <v>0</v>
      </c>
      <c r="C176" s="102">
        <f>+'PURCHASE WORKING'!D8+'PURCHASE WORKING'!D15</f>
        <v>102136.914</v>
      </c>
      <c r="D176" s="102">
        <f>+'PURCHASE WORKING'!E8+'PURCHASE WORKING'!E15</f>
        <v>0</v>
      </c>
      <c r="E176" s="102">
        <f>+'PURCHASE WORKING'!F8+'PURCHASE WORKING'!F15</f>
        <v>45385.919999999998</v>
      </c>
      <c r="F176" s="102">
        <f>+'PURCHASE WORKING'!G8+'PURCHASE WORKING'!G15</f>
        <v>0</v>
      </c>
      <c r="G176" s="102">
        <f>+'PURCHASE WORKING'!H8+'PURCHASE WORKING'!H15</f>
        <v>0</v>
      </c>
      <c r="H176" s="102">
        <f>+'PURCHASE WORKING'!I8+'PURCHASE WORKING'!I15</f>
        <v>141178.68</v>
      </c>
      <c r="I176" s="102">
        <f>+'PURCHASE WORKING'!J8+'PURCHASE WORKING'!J15</f>
        <v>0</v>
      </c>
      <c r="J176" s="102">
        <f>+'PURCHASE WORKING'!K8+'PURCHASE WORKING'!K15</f>
        <v>31446.108</v>
      </c>
      <c r="K176" s="102">
        <f>+'PURCHASE WORKING'!L8+'PURCHASE WORKING'!L15</f>
        <v>0</v>
      </c>
      <c r="L176" s="102">
        <f>+'PURCHASE WORKING'!M8+'PURCHASE WORKING'!M15</f>
        <v>0</v>
      </c>
      <c r="M176" s="102">
        <f>+'PURCHASE WORKING'!N8+'PURCHASE WORKING'!N15</f>
        <v>0</v>
      </c>
      <c r="N176" s="71">
        <f t="shared" si="5"/>
        <v>320147.62199999997</v>
      </c>
    </row>
    <row r="177" spans="1:14" x14ac:dyDescent="0.2">
      <c r="A177" s="34" t="s">
        <v>284</v>
      </c>
      <c r="B177" s="104">
        <v>0</v>
      </c>
      <c r="C177" s="104">
        <v>0</v>
      </c>
      <c r="D177" s="104">
        <v>0</v>
      </c>
      <c r="E177" s="104">
        <v>0</v>
      </c>
      <c r="F177" s="104">
        <v>0</v>
      </c>
      <c r="G177" s="104">
        <v>0</v>
      </c>
      <c r="H177" s="104">
        <v>0</v>
      </c>
      <c r="I177" s="104">
        <v>0</v>
      </c>
      <c r="J177" s="104">
        <v>0</v>
      </c>
      <c r="K177" s="104">
        <v>0</v>
      </c>
      <c r="L177" s="104">
        <v>0</v>
      </c>
      <c r="M177" s="105">
        <v>0</v>
      </c>
      <c r="N177" s="71">
        <f t="shared" si="5"/>
        <v>0</v>
      </c>
    </row>
    <row r="178" spans="1:14" x14ac:dyDescent="0.2">
      <c r="A178" s="34" t="s">
        <v>285</v>
      </c>
      <c r="B178" s="104">
        <v>0</v>
      </c>
      <c r="C178" s="104">
        <v>0</v>
      </c>
      <c r="D178" s="104">
        <v>0</v>
      </c>
      <c r="E178" s="104">
        <v>0</v>
      </c>
      <c r="F178" s="104">
        <v>0</v>
      </c>
      <c r="G178" s="104">
        <v>0</v>
      </c>
      <c r="H178" s="104">
        <v>0</v>
      </c>
      <c r="I178" s="104">
        <v>0</v>
      </c>
      <c r="J178" s="104">
        <v>0</v>
      </c>
      <c r="K178" s="104">
        <v>0</v>
      </c>
      <c r="L178" s="104">
        <v>0</v>
      </c>
      <c r="M178" s="105">
        <v>0</v>
      </c>
      <c r="N178" s="71">
        <f t="shared" si="5"/>
        <v>0</v>
      </c>
    </row>
    <row r="179" spans="1:14" x14ac:dyDescent="0.2">
      <c r="A179" s="34" t="s">
        <v>286</v>
      </c>
      <c r="B179" s="102">
        <v>0</v>
      </c>
      <c r="C179" s="102">
        <v>0</v>
      </c>
      <c r="D179" s="102">
        <v>0</v>
      </c>
      <c r="E179" s="102">
        <v>0</v>
      </c>
      <c r="F179" s="102">
        <v>0</v>
      </c>
      <c r="G179" s="102">
        <v>0</v>
      </c>
      <c r="H179" s="102">
        <v>0</v>
      </c>
      <c r="I179" s="102">
        <v>0</v>
      </c>
      <c r="J179" s="102">
        <v>0</v>
      </c>
      <c r="K179" s="102">
        <v>0</v>
      </c>
      <c r="L179" s="102">
        <v>0</v>
      </c>
      <c r="M179" s="103">
        <v>0</v>
      </c>
      <c r="N179" s="71">
        <f t="shared" si="5"/>
        <v>0</v>
      </c>
    </row>
    <row r="180" spans="1:14" ht="15.75" customHeight="1" x14ac:dyDescent="0.2">
      <c r="A180" s="1173" t="s">
        <v>361</v>
      </c>
      <c r="B180" s="1174"/>
      <c r="C180" s="1174"/>
      <c r="D180" s="1174"/>
      <c r="E180" s="1174"/>
      <c r="F180" s="1174"/>
      <c r="G180" s="1174"/>
      <c r="H180" s="1174"/>
      <c r="I180" s="1174"/>
      <c r="J180" s="1174"/>
      <c r="K180" s="1174"/>
      <c r="L180" s="1174"/>
      <c r="M180" s="1174"/>
      <c r="N180" s="1175"/>
    </row>
    <row r="181" spans="1:14" x14ac:dyDescent="0.2">
      <c r="A181" s="66" t="s">
        <v>279</v>
      </c>
      <c r="B181" s="98">
        <v>43556</v>
      </c>
      <c r="C181" s="98">
        <v>43586</v>
      </c>
      <c r="D181" s="98">
        <v>43617</v>
      </c>
      <c r="E181" s="98">
        <v>43647</v>
      </c>
      <c r="F181" s="98">
        <v>43678</v>
      </c>
      <c r="G181" s="98">
        <v>43709</v>
      </c>
      <c r="H181" s="98">
        <v>43739</v>
      </c>
      <c r="I181" s="98">
        <v>43770</v>
      </c>
      <c r="J181" s="98">
        <v>43800</v>
      </c>
      <c r="K181" s="98">
        <v>43831</v>
      </c>
      <c r="L181" s="98">
        <v>43862</v>
      </c>
      <c r="M181" s="99">
        <v>43891</v>
      </c>
      <c r="N181" s="66" t="s">
        <v>347</v>
      </c>
    </row>
    <row r="182" spans="1:14" x14ac:dyDescent="0.2">
      <c r="A182" s="34" t="s">
        <v>280</v>
      </c>
      <c r="B182" s="102">
        <v>0</v>
      </c>
      <c r="C182" s="102">
        <v>0</v>
      </c>
      <c r="D182" s="102">
        <v>0</v>
      </c>
      <c r="E182" s="102">
        <v>0</v>
      </c>
      <c r="F182" s="102">
        <v>0</v>
      </c>
      <c r="G182" s="102">
        <v>0</v>
      </c>
      <c r="H182" s="102">
        <v>0</v>
      </c>
      <c r="I182" s="102">
        <v>0</v>
      </c>
      <c r="J182" s="102">
        <v>0</v>
      </c>
      <c r="K182" s="102">
        <v>0</v>
      </c>
      <c r="L182" s="102">
        <v>0</v>
      </c>
      <c r="M182" s="103">
        <v>0</v>
      </c>
      <c r="N182" s="71">
        <f t="shared" si="5"/>
        <v>0</v>
      </c>
    </row>
    <row r="183" spans="1:14" x14ac:dyDescent="0.2">
      <c r="A183" s="34" t="s">
        <v>282</v>
      </c>
      <c r="B183" s="102">
        <v>0</v>
      </c>
      <c r="C183" s="102">
        <v>0</v>
      </c>
      <c r="D183" s="102">
        <v>0</v>
      </c>
      <c r="E183" s="102">
        <v>0</v>
      </c>
      <c r="F183" s="102">
        <v>0</v>
      </c>
      <c r="G183" s="102">
        <v>0</v>
      </c>
      <c r="H183" s="102">
        <v>0</v>
      </c>
      <c r="I183" s="102">
        <v>0</v>
      </c>
      <c r="J183" s="102">
        <v>0</v>
      </c>
      <c r="K183" s="102">
        <v>0</v>
      </c>
      <c r="L183" s="102">
        <v>0</v>
      </c>
      <c r="M183" s="103">
        <v>0</v>
      </c>
      <c r="N183" s="71">
        <f t="shared" si="5"/>
        <v>0</v>
      </c>
    </row>
    <row r="184" spans="1:14" x14ac:dyDescent="0.2">
      <c r="A184" s="34" t="s">
        <v>283</v>
      </c>
      <c r="B184" s="102">
        <v>0</v>
      </c>
      <c r="C184" s="102">
        <v>0</v>
      </c>
      <c r="D184" s="102">
        <v>0</v>
      </c>
      <c r="E184" s="102">
        <v>0</v>
      </c>
      <c r="F184" s="102">
        <v>0</v>
      </c>
      <c r="G184" s="102">
        <v>0</v>
      </c>
      <c r="H184" s="102">
        <v>0</v>
      </c>
      <c r="I184" s="102">
        <v>0</v>
      </c>
      <c r="J184" s="102">
        <v>0</v>
      </c>
      <c r="K184" s="102">
        <v>0</v>
      </c>
      <c r="L184" s="102">
        <v>0</v>
      </c>
      <c r="M184" s="103">
        <v>0</v>
      </c>
      <c r="N184" s="71">
        <f t="shared" si="5"/>
        <v>0</v>
      </c>
    </row>
    <row r="185" spans="1:14" x14ac:dyDescent="0.2">
      <c r="A185" s="34" t="s">
        <v>284</v>
      </c>
      <c r="B185" s="104">
        <v>0</v>
      </c>
      <c r="C185" s="104">
        <v>0</v>
      </c>
      <c r="D185" s="104">
        <v>0</v>
      </c>
      <c r="E185" s="104">
        <v>0</v>
      </c>
      <c r="F185" s="104">
        <v>0</v>
      </c>
      <c r="G185" s="104">
        <v>0</v>
      </c>
      <c r="H185" s="104">
        <v>0</v>
      </c>
      <c r="I185" s="104">
        <v>0</v>
      </c>
      <c r="J185" s="104">
        <v>0</v>
      </c>
      <c r="K185" s="104">
        <v>0</v>
      </c>
      <c r="L185" s="104">
        <v>0</v>
      </c>
      <c r="M185" s="105">
        <v>0</v>
      </c>
      <c r="N185" s="71">
        <f t="shared" si="5"/>
        <v>0</v>
      </c>
    </row>
    <row r="186" spans="1:14" x14ac:dyDescent="0.2">
      <c r="A186" s="34" t="s">
        <v>285</v>
      </c>
      <c r="B186" s="104">
        <v>0</v>
      </c>
      <c r="C186" s="104">
        <v>0</v>
      </c>
      <c r="D186" s="104">
        <v>0</v>
      </c>
      <c r="E186" s="104">
        <v>0</v>
      </c>
      <c r="F186" s="104">
        <v>0</v>
      </c>
      <c r="G186" s="104">
        <v>0</v>
      </c>
      <c r="H186" s="104">
        <v>0</v>
      </c>
      <c r="I186" s="104">
        <v>0</v>
      </c>
      <c r="J186" s="104">
        <v>0</v>
      </c>
      <c r="K186" s="104">
        <v>0</v>
      </c>
      <c r="L186" s="104">
        <v>0</v>
      </c>
      <c r="M186" s="105">
        <v>0</v>
      </c>
      <c r="N186" s="71">
        <f t="shared" si="5"/>
        <v>0</v>
      </c>
    </row>
    <row r="187" spans="1:14" x14ac:dyDescent="0.2">
      <c r="A187" s="34" t="s">
        <v>286</v>
      </c>
      <c r="B187" s="102">
        <v>0</v>
      </c>
      <c r="C187" s="102">
        <v>0</v>
      </c>
      <c r="D187" s="102">
        <v>0</v>
      </c>
      <c r="E187" s="102">
        <v>0</v>
      </c>
      <c r="F187" s="102">
        <v>0</v>
      </c>
      <c r="G187" s="102">
        <v>0</v>
      </c>
      <c r="H187" s="102">
        <v>0</v>
      </c>
      <c r="I187" s="102">
        <v>0</v>
      </c>
      <c r="J187" s="102">
        <v>0</v>
      </c>
      <c r="K187" s="102">
        <v>0</v>
      </c>
      <c r="L187" s="102">
        <v>0</v>
      </c>
      <c r="M187" s="103">
        <v>0</v>
      </c>
      <c r="N187" s="71">
        <f t="shared" si="5"/>
        <v>0</v>
      </c>
    </row>
    <row r="188" spans="1:14" ht="15" customHeight="1" x14ac:dyDescent="0.2">
      <c r="A188" s="1179" t="s">
        <v>351</v>
      </c>
      <c r="B188" s="1180"/>
      <c r="C188" s="1180"/>
      <c r="D188" s="1180"/>
      <c r="E188" s="1180"/>
      <c r="F188" s="1180"/>
      <c r="G188" s="1180"/>
      <c r="H188" s="1180"/>
      <c r="I188" s="1180"/>
      <c r="J188" s="1180"/>
      <c r="K188" s="1180"/>
      <c r="L188" s="1180"/>
      <c r="M188" s="1180"/>
      <c r="N188" s="1181"/>
    </row>
    <row r="189" spans="1:14" ht="15" customHeight="1" x14ac:dyDescent="0.2">
      <c r="A189" s="1176" t="s">
        <v>22</v>
      </c>
      <c r="B189" s="1177"/>
      <c r="C189" s="1177"/>
      <c r="D189" s="1177"/>
      <c r="E189" s="1177"/>
      <c r="F189" s="1177"/>
      <c r="G189" s="1177"/>
      <c r="H189" s="1177"/>
      <c r="I189" s="1177"/>
      <c r="J189" s="1177"/>
      <c r="K189" s="1177"/>
      <c r="L189" s="1177"/>
      <c r="M189" s="1178"/>
      <c r="N189" s="66" t="s">
        <v>347</v>
      </c>
    </row>
    <row r="190" spans="1:14" ht="15" customHeight="1" x14ac:dyDescent="0.2">
      <c r="A190" s="108" t="s">
        <v>280</v>
      </c>
      <c r="B190" s="92">
        <v>0</v>
      </c>
      <c r="C190" s="92">
        <v>0</v>
      </c>
      <c r="D190" s="92">
        <v>0</v>
      </c>
      <c r="E190" s="92">
        <v>0</v>
      </c>
      <c r="F190" s="92">
        <v>0</v>
      </c>
      <c r="G190" s="92">
        <v>0</v>
      </c>
      <c r="H190" s="92">
        <v>0</v>
      </c>
      <c r="I190" s="92">
        <v>0</v>
      </c>
      <c r="J190" s="92">
        <v>0</v>
      </c>
      <c r="K190" s="92">
        <v>0</v>
      </c>
      <c r="L190" s="92">
        <v>0</v>
      </c>
      <c r="M190" s="93">
        <v>0</v>
      </c>
      <c r="N190" s="71">
        <f t="shared" ref="N190:N251" si="10">SUM(B190:M190)</f>
        <v>0</v>
      </c>
    </row>
    <row r="191" spans="1:14" ht="15" customHeight="1" x14ac:dyDescent="0.2">
      <c r="A191" s="67" t="s">
        <v>282</v>
      </c>
      <c r="B191" s="75">
        <v>0</v>
      </c>
      <c r="C191" s="75">
        <v>0</v>
      </c>
      <c r="D191" s="75">
        <v>0</v>
      </c>
      <c r="E191" s="75">
        <v>0</v>
      </c>
      <c r="F191" s="75">
        <v>0</v>
      </c>
      <c r="G191" s="75">
        <v>0</v>
      </c>
      <c r="H191" s="75">
        <v>0</v>
      </c>
      <c r="I191" s="75">
        <v>0</v>
      </c>
      <c r="J191" s="75">
        <v>0</v>
      </c>
      <c r="K191" s="75">
        <v>0</v>
      </c>
      <c r="L191" s="75">
        <v>0</v>
      </c>
      <c r="M191" s="76">
        <v>0</v>
      </c>
      <c r="N191" s="71">
        <f t="shared" si="10"/>
        <v>0</v>
      </c>
    </row>
    <row r="192" spans="1:14" ht="15" customHeight="1" x14ac:dyDescent="0.2">
      <c r="A192" s="67" t="s">
        <v>283</v>
      </c>
      <c r="B192" s="75">
        <v>0</v>
      </c>
      <c r="C192" s="75">
        <v>0</v>
      </c>
      <c r="D192" s="75">
        <v>0</v>
      </c>
      <c r="E192" s="75">
        <v>0</v>
      </c>
      <c r="F192" s="75">
        <v>0</v>
      </c>
      <c r="G192" s="75">
        <v>0</v>
      </c>
      <c r="H192" s="75">
        <v>0</v>
      </c>
      <c r="I192" s="75">
        <v>0</v>
      </c>
      <c r="J192" s="75">
        <v>0</v>
      </c>
      <c r="K192" s="75">
        <v>0</v>
      </c>
      <c r="L192" s="75">
        <v>0</v>
      </c>
      <c r="M192" s="76">
        <v>0</v>
      </c>
      <c r="N192" s="71">
        <f t="shared" si="10"/>
        <v>0</v>
      </c>
    </row>
    <row r="193" spans="1:14" ht="15" customHeight="1" x14ac:dyDescent="0.2">
      <c r="A193" s="67" t="s">
        <v>284</v>
      </c>
      <c r="B193" s="75">
        <v>0</v>
      </c>
      <c r="C193" s="75">
        <v>0</v>
      </c>
      <c r="D193" s="75">
        <v>0</v>
      </c>
      <c r="E193" s="75">
        <v>0</v>
      </c>
      <c r="F193" s="75">
        <v>0</v>
      </c>
      <c r="G193" s="75">
        <v>0</v>
      </c>
      <c r="H193" s="75">
        <v>0</v>
      </c>
      <c r="I193" s="75">
        <v>0</v>
      </c>
      <c r="J193" s="75">
        <v>0</v>
      </c>
      <c r="K193" s="75">
        <v>0</v>
      </c>
      <c r="L193" s="75">
        <v>0</v>
      </c>
      <c r="M193" s="76">
        <v>0</v>
      </c>
      <c r="N193" s="71">
        <f t="shared" si="10"/>
        <v>0</v>
      </c>
    </row>
    <row r="194" spans="1:14" ht="15" customHeight="1" x14ac:dyDescent="0.2">
      <c r="A194" s="67" t="s">
        <v>285</v>
      </c>
      <c r="B194" s="75">
        <v>0</v>
      </c>
      <c r="C194" s="75">
        <v>0</v>
      </c>
      <c r="D194" s="75">
        <v>0</v>
      </c>
      <c r="E194" s="75">
        <v>0</v>
      </c>
      <c r="F194" s="75">
        <v>0</v>
      </c>
      <c r="G194" s="75">
        <v>0</v>
      </c>
      <c r="H194" s="75">
        <v>0</v>
      </c>
      <c r="I194" s="75">
        <v>0</v>
      </c>
      <c r="J194" s="75">
        <v>0</v>
      </c>
      <c r="K194" s="75">
        <v>0</v>
      </c>
      <c r="L194" s="75">
        <v>0</v>
      </c>
      <c r="M194" s="76">
        <v>0</v>
      </c>
      <c r="N194" s="71">
        <f t="shared" si="10"/>
        <v>0</v>
      </c>
    </row>
    <row r="195" spans="1:14" ht="15" customHeight="1" x14ac:dyDescent="0.2">
      <c r="A195" s="67" t="s">
        <v>286</v>
      </c>
      <c r="B195" s="75">
        <v>0</v>
      </c>
      <c r="C195" s="75">
        <v>0</v>
      </c>
      <c r="D195" s="75">
        <v>0</v>
      </c>
      <c r="E195" s="75">
        <v>0</v>
      </c>
      <c r="F195" s="75">
        <v>0</v>
      </c>
      <c r="G195" s="75">
        <v>0</v>
      </c>
      <c r="H195" s="75">
        <v>0</v>
      </c>
      <c r="I195" s="75">
        <v>0</v>
      </c>
      <c r="J195" s="75">
        <v>0</v>
      </c>
      <c r="K195" s="75">
        <v>0</v>
      </c>
      <c r="L195" s="75">
        <v>0</v>
      </c>
      <c r="M195" s="76">
        <v>0</v>
      </c>
      <c r="N195" s="71">
        <f t="shared" si="10"/>
        <v>0</v>
      </c>
    </row>
    <row r="196" spans="1:14" ht="15" customHeight="1" x14ac:dyDescent="0.2">
      <c r="A196" s="1176" t="s">
        <v>228</v>
      </c>
      <c r="B196" s="1177"/>
      <c r="C196" s="1177"/>
      <c r="D196" s="1177"/>
      <c r="E196" s="1177"/>
      <c r="F196" s="1177"/>
      <c r="G196" s="1177"/>
      <c r="H196" s="1177"/>
      <c r="I196" s="1177"/>
      <c r="J196" s="1177"/>
      <c r="K196" s="1177"/>
      <c r="L196" s="1177"/>
      <c r="M196" s="1178"/>
      <c r="N196" s="66" t="s">
        <v>347</v>
      </c>
    </row>
    <row r="197" spans="1:14" ht="15" customHeight="1" x14ac:dyDescent="0.2">
      <c r="A197" s="67" t="s">
        <v>280</v>
      </c>
      <c r="B197" s="75">
        <v>0</v>
      </c>
      <c r="C197" s="75">
        <v>0</v>
      </c>
      <c r="D197" s="75">
        <v>0</v>
      </c>
      <c r="E197" s="75">
        <v>0</v>
      </c>
      <c r="F197" s="75">
        <v>0</v>
      </c>
      <c r="G197" s="75">
        <v>0</v>
      </c>
      <c r="H197" s="75">
        <v>0</v>
      </c>
      <c r="I197" s="75">
        <v>0</v>
      </c>
      <c r="J197" s="75">
        <v>0</v>
      </c>
      <c r="K197" s="75">
        <v>0</v>
      </c>
      <c r="L197" s="75">
        <v>0</v>
      </c>
      <c r="M197" s="76">
        <v>0</v>
      </c>
      <c r="N197" s="71">
        <f t="shared" si="10"/>
        <v>0</v>
      </c>
    </row>
    <row r="198" spans="1:14" ht="15" customHeight="1" x14ac:dyDescent="0.2">
      <c r="A198" s="67" t="s">
        <v>282</v>
      </c>
      <c r="B198" s="75">
        <v>0</v>
      </c>
      <c r="C198" s="75">
        <v>0</v>
      </c>
      <c r="D198" s="75">
        <v>0</v>
      </c>
      <c r="E198" s="75">
        <v>0</v>
      </c>
      <c r="F198" s="75">
        <v>0</v>
      </c>
      <c r="G198" s="75">
        <v>0</v>
      </c>
      <c r="H198" s="75">
        <v>0</v>
      </c>
      <c r="I198" s="75">
        <v>0</v>
      </c>
      <c r="J198" s="75">
        <v>0</v>
      </c>
      <c r="K198" s="75">
        <v>0</v>
      </c>
      <c r="L198" s="75">
        <v>0</v>
      </c>
      <c r="M198" s="76">
        <v>0</v>
      </c>
      <c r="N198" s="71">
        <f t="shared" si="10"/>
        <v>0</v>
      </c>
    </row>
    <row r="199" spans="1:14" ht="15" customHeight="1" x14ac:dyDescent="0.2">
      <c r="A199" s="67" t="s">
        <v>283</v>
      </c>
      <c r="B199" s="75">
        <v>0</v>
      </c>
      <c r="C199" s="75">
        <v>0</v>
      </c>
      <c r="D199" s="75">
        <v>0</v>
      </c>
      <c r="E199" s="75">
        <v>0</v>
      </c>
      <c r="F199" s="75">
        <v>0</v>
      </c>
      <c r="G199" s="75">
        <v>0</v>
      </c>
      <c r="H199" s="75">
        <v>0</v>
      </c>
      <c r="I199" s="75">
        <v>0</v>
      </c>
      <c r="J199" s="75">
        <v>0</v>
      </c>
      <c r="K199" s="75">
        <v>0</v>
      </c>
      <c r="L199" s="75">
        <v>0</v>
      </c>
      <c r="M199" s="76">
        <v>0</v>
      </c>
      <c r="N199" s="71">
        <f t="shared" si="10"/>
        <v>0</v>
      </c>
    </row>
    <row r="200" spans="1:14" ht="15" customHeight="1" x14ac:dyDescent="0.2">
      <c r="A200" s="67" t="s">
        <v>284</v>
      </c>
      <c r="B200" s="75">
        <v>0</v>
      </c>
      <c r="C200" s="75">
        <v>0</v>
      </c>
      <c r="D200" s="75">
        <v>0</v>
      </c>
      <c r="E200" s="75">
        <v>0</v>
      </c>
      <c r="F200" s="75">
        <v>0</v>
      </c>
      <c r="G200" s="75">
        <v>0</v>
      </c>
      <c r="H200" s="75">
        <v>0</v>
      </c>
      <c r="I200" s="75">
        <v>0</v>
      </c>
      <c r="J200" s="75">
        <v>0</v>
      </c>
      <c r="K200" s="75">
        <v>0</v>
      </c>
      <c r="L200" s="75">
        <v>0</v>
      </c>
      <c r="M200" s="76">
        <v>0</v>
      </c>
      <c r="N200" s="71">
        <f t="shared" si="10"/>
        <v>0</v>
      </c>
    </row>
    <row r="201" spans="1:14" ht="15" customHeight="1" x14ac:dyDescent="0.2">
      <c r="A201" s="67" t="s">
        <v>285</v>
      </c>
      <c r="B201" s="75">
        <v>0</v>
      </c>
      <c r="C201" s="75">
        <v>0</v>
      </c>
      <c r="D201" s="75">
        <v>0</v>
      </c>
      <c r="E201" s="75">
        <v>0</v>
      </c>
      <c r="F201" s="75">
        <v>0</v>
      </c>
      <c r="G201" s="75">
        <v>0</v>
      </c>
      <c r="H201" s="75">
        <v>0</v>
      </c>
      <c r="I201" s="75">
        <v>0</v>
      </c>
      <c r="J201" s="75">
        <v>0</v>
      </c>
      <c r="K201" s="75">
        <v>0</v>
      </c>
      <c r="L201" s="75">
        <v>0</v>
      </c>
      <c r="M201" s="76">
        <v>0</v>
      </c>
      <c r="N201" s="71">
        <f t="shared" si="10"/>
        <v>0</v>
      </c>
    </row>
    <row r="202" spans="1:14" ht="15" customHeight="1" x14ac:dyDescent="0.2">
      <c r="A202" s="67" t="s">
        <v>286</v>
      </c>
      <c r="B202" s="75">
        <v>0</v>
      </c>
      <c r="C202" s="75">
        <v>0</v>
      </c>
      <c r="D202" s="75">
        <v>0</v>
      </c>
      <c r="E202" s="75">
        <v>0</v>
      </c>
      <c r="F202" s="75">
        <v>0</v>
      </c>
      <c r="G202" s="75">
        <v>0</v>
      </c>
      <c r="H202" s="75">
        <v>0</v>
      </c>
      <c r="I202" s="75">
        <v>0</v>
      </c>
      <c r="J202" s="75">
        <v>0</v>
      </c>
      <c r="K202" s="75">
        <v>0</v>
      </c>
      <c r="L202" s="75">
        <v>0</v>
      </c>
      <c r="M202" s="76">
        <v>0</v>
      </c>
      <c r="N202" s="71">
        <f t="shared" si="10"/>
        <v>0</v>
      </c>
    </row>
    <row r="203" spans="1:14" ht="15" customHeight="1" x14ac:dyDescent="0.2">
      <c r="A203" s="1176" t="s">
        <v>220</v>
      </c>
      <c r="B203" s="1177"/>
      <c r="C203" s="1177"/>
      <c r="D203" s="1177"/>
      <c r="E203" s="1177"/>
      <c r="F203" s="1177"/>
      <c r="G203" s="1177"/>
      <c r="H203" s="1177"/>
      <c r="I203" s="1177"/>
      <c r="J203" s="1177"/>
      <c r="K203" s="1177"/>
      <c r="L203" s="1177"/>
      <c r="M203" s="1178"/>
      <c r="N203" s="66" t="s">
        <v>347</v>
      </c>
    </row>
    <row r="204" spans="1:14" ht="15" customHeight="1" x14ac:dyDescent="0.2">
      <c r="A204" s="67" t="s">
        <v>280</v>
      </c>
      <c r="B204" s="75">
        <v>0</v>
      </c>
      <c r="C204" s="75">
        <v>0</v>
      </c>
      <c r="D204" s="75">
        <v>0</v>
      </c>
      <c r="E204" s="75">
        <v>0</v>
      </c>
      <c r="F204" s="75">
        <v>0</v>
      </c>
      <c r="G204" s="75">
        <v>0</v>
      </c>
      <c r="H204" s="75">
        <v>0</v>
      </c>
      <c r="I204" s="75">
        <v>0</v>
      </c>
      <c r="J204" s="75">
        <v>0</v>
      </c>
      <c r="K204" s="75">
        <v>0</v>
      </c>
      <c r="L204" s="75">
        <v>0</v>
      </c>
      <c r="M204" s="76">
        <v>0</v>
      </c>
      <c r="N204" s="71">
        <f t="shared" si="10"/>
        <v>0</v>
      </c>
    </row>
    <row r="205" spans="1:14" ht="15" customHeight="1" x14ac:dyDescent="0.2">
      <c r="A205" s="67" t="s">
        <v>282</v>
      </c>
      <c r="B205" s="75">
        <v>0</v>
      </c>
      <c r="C205" s="75">
        <v>0</v>
      </c>
      <c r="D205" s="75">
        <v>0</v>
      </c>
      <c r="E205" s="75">
        <v>0</v>
      </c>
      <c r="F205" s="75">
        <v>0</v>
      </c>
      <c r="G205" s="75">
        <v>0</v>
      </c>
      <c r="H205" s="75">
        <v>0</v>
      </c>
      <c r="I205" s="75">
        <v>0</v>
      </c>
      <c r="J205" s="75">
        <v>0</v>
      </c>
      <c r="K205" s="75">
        <v>0</v>
      </c>
      <c r="L205" s="75">
        <v>0</v>
      </c>
      <c r="M205" s="76">
        <v>0</v>
      </c>
      <c r="N205" s="71">
        <f t="shared" si="10"/>
        <v>0</v>
      </c>
    </row>
    <row r="206" spans="1:14" ht="15" customHeight="1" x14ac:dyDescent="0.2">
      <c r="A206" s="67" t="s">
        <v>283</v>
      </c>
      <c r="B206" s="75">
        <v>0</v>
      </c>
      <c r="C206" s="75">
        <v>0</v>
      </c>
      <c r="D206" s="75">
        <v>0</v>
      </c>
      <c r="E206" s="75">
        <v>0</v>
      </c>
      <c r="F206" s="75">
        <v>0</v>
      </c>
      <c r="G206" s="75">
        <v>0</v>
      </c>
      <c r="H206" s="75">
        <v>0</v>
      </c>
      <c r="I206" s="75">
        <v>0</v>
      </c>
      <c r="J206" s="75">
        <v>0</v>
      </c>
      <c r="K206" s="75">
        <v>0</v>
      </c>
      <c r="L206" s="75">
        <v>0</v>
      </c>
      <c r="M206" s="76">
        <v>0</v>
      </c>
      <c r="N206" s="71">
        <f t="shared" si="10"/>
        <v>0</v>
      </c>
    </row>
    <row r="207" spans="1:14" ht="15" customHeight="1" x14ac:dyDescent="0.2">
      <c r="A207" s="67" t="s">
        <v>284</v>
      </c>
      <c r="B207" s="75">
        <v>0</v>
      </c>
      <c r="C207" s="75">
        <v>0</v>
      </c>
      <c r="D207" s="75">
        <v>0</v>
      </c>
      <c r="E207" s="75">
        <v>0</v>
      </c>
      <c r="F207" s="75">
        <v>0</v>
      </c>
      <c r="G207" s="75">
        <v>0</v>
      </c>
      <c r="H207" s="75">
        <v>0</v>
      </c>
      <c r="I207" s="75">
        <v>0</v>
      </c>
      <c r="J207" s="75">
        <v>0</v>
      </c>
      <c r="K207" s="75">
        <v>0</v>
      </c>
      <c r="L207" s="75">
        <v>0</v>
      </c>
      <c r="M207" s="76">
        <v>0</v>
      </c>
      <c r="N207" s="71">
        <f t="shared" si="10"/>
        <v>0</v>
      </c>
    </row>
    <row r="208" spans="1:14" ht="15" customHeight="1" x14ac:dyDescent="0.2">
      <c r="A208" s="67" t="s">
        <v>285</v>
      </c>
      <c r="B208" s="75">
        <v>0</v>
      </c>
      <c r="C208" s="75">
        <v>0</v>
      </c>
      <c r="D208" s="75">
        <v>0</v>
      </c>
      <c r="E208" s="75">
        <v>0</v>
      </c>
      <c r="F208" s="75">
        <v>0</v>
      </c>
      <c r="G208" s="75">
        <v>0</v>
      </c>
      <c r="H208" s="75">
        <v>0</v>
      </c>
      <c r="I208" s="75">
        <v>0</v>
      </c>
      <c r="J208" s="75">
        <v>0</v>
      </c>
      <c r="K208" s="75">
        <v>0</v>
      </c>
      <c r="L208" s="75">
        <v>0</v>
      </c>
      <c r="M208" s="76">
        <v>0</v>
      </c>
      <c r="N208" s="71">
        <f t="shared" si="10"/>
        <v>0</v>
      </c>
    </row>
    <row r="209" spans="1:14" ht="15" customHeight="1" x14ac:dyDescent="0.2">
      <c r="A209" s="67" t="s">
        <v>286</v>
      </c>
      <c r="B209" s="75">
        <v>0</v>
      </c>
      <c r="C209" s="75">
        <v>0</v>
      </c>
      <c r="D209" s="75">
        <v>0</v>
      </c>
      <c r="E209" s="75">
        <v>0</v>
      </c>
      <c r="F209" s="75">
        <v>0</v>
      </c>
      <c r="G209" s="75">
        <v>0</v>
      </c>
      <c r="H209" s="75">
        <v>0</v>
      </c>
      <c r="I209" s="75">
        <v>0</v>
      </c>
      <c r="J209" s="75">
        <v>0</v>
      </c>
      <c r="K209" s="75">
        <v>0</v>
      </c>
      <c r="L209" s="75">
        <v>0</v>
      </c>
      <c r="M209" s="76">
        <v>0</v>
      </c>
      <c r="N209" s="71">
        <f t="shared" si="10"/>
        <v>0</v>
      </c>
    </row>
    <row r="210" spans="1:14" ht="32.4" customHeight="1" x14ac:dyDescent="0.2">
      <c r="A210" s="1182" t="s">
        <v>362</v>
      </c>
      <c r="B210" s="1174"/>
      <c r="C210" s="1174"/>
      <c r="D210" s="1174"/>
      <c r="E210" s="1174"/>
      <c r="F210" s="1174"/>
      <c r="G210" s="1174"/>
      <c r="H210" s="1174"/>
      <c r="I210" s="1174"/>
      <c r="J210" s="1174"/>
      <c r="K210" s="1174"/>
      <c r="L210" s="1174"/>
      <c r="M210" s="1174"/>
      <c r="N210" s="1175"/>
    </row>
    <row r="211" spans="1:14" x14ac:dyDescent="0.2">
      <c r="A211" s="66" t="s">
        <v>279</v>
      </c>
      <c r="B211" s="98">
        <v>43556</v>
      </c>
      <c r="C211" s="98">
        <v>43586</v>
      </c>
      <c r="D211" s="98">
        <v>43617</v>
      </c>
      <c r="E211" s="98">
        <v>43647</v>
      </c>
      <c r="F211" s="98">
        <v>43678</v>
      </c>
      <c r="G211" s="98">
        <v>43709</v>
      </c>
      <c r="H211" s="98">
        <v>43739</v>
      </c>
      <c r="I211" s="98">
        <v>43770</v>
      </c>
      <c r="J211" s="98">
        <v>43800</v>
      </c>
      <c r="K211" s="98">
        <v>43831</v>
      </c>
      <c r="L211" s="98">
        <v>43862</v>
      </c>
      <c r="M211" s="99">
        <v>43891</v>
      </c>
      <c r="N211" s="66" t="s">
        <v>347</v>
      </c>
    </row>
    <row r="212" spans="1:14" x14ac:dyDescent="0.2">
      <c r="A212" s="34" t="s">
        <v>280</v>
      </c>
      <c r="B212" s="71">
        <v>0</v>
      </c>
      <c r="C212" s="71">
        <v>0</v>
      </c>
      <c r="D212" s="71">
        <v>0</v>
      </c>
      <c r="E212" s="71">
        <v>0</v>
      </c>
      <c r="F212" s="71">
        <v>0</v>
      </c>
      <c r="G212" s="71">
        <v>0</v>
      </c>
      <c r="H212" s="71">
        <v>0</v>
      </c>
      <c r="I212" s="71">
        <v>0</v>
      </c>
      <c r="J212" s="71">
        <v>0</v>
      </c>
      <c r="K212" s="71">
        <v>0</v>
      </c>
      <c r="L212" s="71">
        <v>0</v>
      </c>
      <c r="M212" s="73">
        <v>0</v>
      </c>
      <c r="N212" s="71">
        <f t="shared" si="10"/>
        <v>0</v>
      </c>
    </row>
    <row r="213" spans="1:14" x14ac:dyDescent="0.2">
      <c r="A213" s="34" t="s">
        <v>282</v>
      </c>
      <c r="B213" s="71">
        <v>0</v>
      </c>
      <c r="C213" s="71">
        <v>0</v>
      </c>
      <c r="D213" s="71">
        <v>0</v>
      </c>
      <c r="E213" s="71">
        <v>0</v>
      </c>
      <c r="F213" s="71">
        <v>0</v>
      </c>
      <c r="G213" s="71">
        <v>0</v>
      </c>
      <c r="H213" s="71">
        <v>0</v>
      </c>
      <c r="I213" s="71">
        <v>0</v>
      </c>
      <c r="J213" s="71">
        <v>0</v>
      </c>
      <c r="K213" s="71">
        <v>0</v>
      </c>
      <c r="L213" s="71">
        <v>0</v>
      </c>
      <c r="M213" s="73">
        <v>0</v>
      </c>
      <c r="N213" s="71">
        <f t="shared" si="10"/>
        <v>0</v>
      </c>
    </row>
    <row r="214" spans="1:14" x14ac:dyDescent="0.2">
      <c r="A214" s="34" t="s">
        <v>283</v>
      </c>
      <c r="B214" s="71">
        <v>0</v>
      </c>
      <c r="C214" s="71">
        <v>0</v>
      </c>
      <c r="D214" s="71">
        <v>0</v>
      </c>
      <c r="E214" s="71">
        <v>0</v>
      </c>
      <c r="F214" s="71">
        <v>0</v>
      </c>
      <c r="G214" s="71">
        <v>0</v>
      </c>
      <c r="H214" s="71">
        <v>0</v>
      </c>
      <c r="I214" s="71">
        <v>0</v>
      </c>
      <c r="J214" s="71">
        <v>0</v>
      </c>
      <c r="K214" s="71">
        <v>0</v>
      </c>
      <c r="L214" s="71">
        <v>0</v>
      </c>
      <c r="M214" s="73">
        <v>0</v>
      </c>
      <c r="N214" s="71">
        <f t="shared" si="10"/>
        <v>0</v>
      </c>
    </row>
    <row r="215" spans="1:14" x14ac:dyDescent="0.2">
      <c r="A215" s="34" t="s">
        <v>284</v>
      </c>
      <c r="B215" s="71">
        <v>0</v>
      </c>
      <c r="C215" s="71">
        <v>0</v>
      </c>
      <c r="D215" s="71">
        <v>0</v>
      </c>
      <c r="E215" s="71">
        <v>0</v>
      </c>
      <c r="F215" s="71">
        <v>0</v>
      </c>
      <c r="G215" s="71">
        <v>0</v>
      </c>
      <c r="H215" s="71">
        <v>0</v>
      </c>
      <c r="I215" s="71">
        <v>0</v>
      </c>
      <c r="J215" s="71">
        <v>0</v>
      </c>
      <c r="K215" s="71">
        <v>0</v>
      </c>
      <c r="L215" s="71">
        <v>0</v>
      </c>
      <c r="M215" s="73">
        <v>0</v>
      </c>
      <c r="N215" s="71">
        <f t="shared" si="10"/>
        <v>0</v>
      </c>
    </row>
    <row r="216" spans="1:14" x14ac:dyDescent="0.2">
      <c r="A216" s="34" t="s">
        <v>285</v>
      </c>
      <c r="B216" s="71">
        <v>0</v>
      </c>
      <c r="C216" s="71">
        <v>0</v>
      </c>
      <c r="D216" s="71">
        <v>0</v>
      </c>
      <c r="E216" s="71">
        <v>0</v>
      </c>
      <c r="F216" s="71">
        <v>0</v>
      </c>
      <c r="G216" s="71">
        <v>0</v>
      </c>
      <c r="H216" s="71">
        <v>0</v>
      </c>
      <c r="I216" s="71">
        <v>0</v>
      </c>
      <c r="J216" s="71">
        <v>0</v>
      </c>
      <c r="K216" s="71">
        <v>0</v>
      </c>
      <c r="L216" s="71">
        <v>0</v>
      </c>
      <c r="M216" s="73">
        <v>0</v>
      </c>
      <c r="N216" s="71">
        <f t="shared" si="10"/>
        <v>0</v>
      </c>
    </row>
    <row r="217" spans="1:14" x14ac:dyDescent="0.2">
      <c r="A217" s="34" t="s">
        <v>286</v>
      </c>
      <c r="B217" s="71">
        <v>0</v>
      </c>
      <c r="C217" s="71">
        <v>0</v>
      </c>
      <c r="D217" s="71">
        <v>0</v>
      </c>
      <c r="E217" s="71">
        <v>0</v>
      </c>
      <c r="F217" s="71">
        <v>0</v>
      </c>
      <c r="G217" s="71">
        <v>0</v>
      </c>
      <c r="H217" s="71">
        <v>0</v>
      </c>
      <c r="I217" s="71">
        <v>0</v>
      </c>
      <c r="J217" s="71">
        <v>0</v>
      </c>
      <c r="K217" s="71">
        <v>0</v>
      </c>
      <c r="L217" s="71">
        <v>0</v>
      </c>
      <c r="M217" s="73">
        <v>0</v>
      </c>
      <c r="N217" s="71">
        <f t="shared" si="10"/>
        <v>0</v>
      </c>
    </row>
    <row r="218" spans="1:14" ht="15" customHeight="1" x14ac:dyDescent="0.2">
      <c r="A218" s="1179" t="s">
        <v>351</v>
      </c>
      <c r="B218" s="1180"/>
      <c r="C218" s="1180"/>
      <c r="D218" s="1180"/>
      <c r="E218" s="1180"/>
      <c r="F218" s="1180"/>
      <c r="G218" s="1180"/>
      <c r="H218" s="1180"/>
      <c r="I218" s="1180"/>
      <c r="J218" s="1180"/>
      <c r="K218" s="1180"/>
      <c r="L218" s="1180"/>
      <c r="M218" s="1180"/>
      <c r="N218" s="1181"/>
    </row>
    <row r="219" spans="1:14" ht="15" customHeight="1" x14ac:dyDescent="0.2">
      <c r="A219" s="1176" t="s">
        <v>22</v>
      </c>
      <c r="B219" s="1177"/>
      <c r="C219" s="1177"/>
      <c r="D219" s="1177"/>
      <c r="E219" s="1177"/>
      <c r="F219" s="1177"/>
      <c r="G219" s="1177"/>
      <c r="H219" s="1177"/>
      <c r="I219" s="1177"/>
      <c r="J219" s="1177"/>
      <c r="K219" s="1177"/>
      <c r="L219" s="1177"/>
      <c r="M219" s="1178"/>
      <c r="N219" s="66" t="s">
        <v>347</v>
      </c>
    </row>
    <row r="220" spans="1:14" ht="15" customHeight="1" x14ac:dyDescent="0.2">
      <c r="A220" s="67" t="s">
        <v>280</v>
      </c>
      <c r="B220" s="75">
        <v>0</v>
      </c>
      <c r="C220" s="75">
        <v>0</v>
      </c>
      <c r="D220" s="75">
        <v>0</v>
      </c>
      <c r="E220" s="75">
        <v>0</v>
      </c>
      <c r="F220" s="75">
        <v>0</v>
      </c>
      <c r="G220" s="75">
        <v>0</v>
      </c>
      <c r="H220" s="75">
        <v>0</v>
      </c>
      <c r="I220" s="75">
        <v>0</v>
      </c>
      <c r="J220" s="75">
        <v>0</v>
      </c>
      <c r="K220" s="75">
        <v>0</v>
      </c>
      <c r="L220" s="75">
        <v>0</v>
      </c>
      <c r="M220" s="76">
        <v>0</v>
      </c>
      <c r="N220" s="71">
        <f t="shared" si="10"/>
        <v>0</v>
      </c>
    </row>
    <row r="221" spans="1:14" ht="15" customHeight="1" x14ac:dyDescent="0.2">
      <c r="A221" s="67" t="s">
        <v>282</v>
      </c>
      <c r="B221" s="75">
        <v>0</v>
      </c>
      <c r="C221" s="75">
        <v>0</v>
      </c>
      <c r="D221" s="75">
        <v>0</v>
      </c>
      <c r="E221" s="75">
        <v>0</v>
      </c>
      <c r="F221" s="75">
        <v>0</v>
      </c>
      <c r="G221" s="75">
        <v>0</v>
      </c>
      <c r="H221" s="75">
        <v>0</v>
      </c>
      <c r="I221" s="75">
        <v>0</v>
      </c>
      <c r="J221" s="75">
        <v>0</v>
      </c>
      <c r="K221" s="75">
        <v>0</v>
      </c>
      <c r="L221" s="75">
        <v>0</v>
      </c>
      <c r="M221" s="76">
        <v>0</v>
      </c>
      <c r="N221" s="71">
        <f t="shared" si="10"/>
        <v>0</v>
      </c>
    </row>
    <row r="222" spans="1:14" ht="15" customHeight="1" x14ac:dyDescent="0.2">
      <c r="A222" s="67" t="s">
        <v>283</v>
      </c>
      <c r="B222" s="75">
        <v>0</v>
      </c>
      <c r="C222" s="75">
        <v>0</v>
      </c>
      <c r="D222" s="75">
        <v>0</v>
      </c>
      <c r="E222" s="75">
        <v>0</v>
      </c>
      <c r="F222" s="75">
        <v>0</v>
      </c>
      <c r="G222" s="75">
        <v>0</v>
      </c>
      <c r="H222" s="75">
        <v>0</v>
      </c>
      <c r="I222" s="75">
        <v>0</v>
      </c>
      <c r="J222" s="75">
        <v>0</v>
      </c>
      <c r="K222" s="75">
        <v>0</v>
      </c>
      <c r="L222" s="75">
        <v>0</v>
      </c>
      <c r="M222" s="76">
        <v>0</v>
      </c>
      <c r="N222" s="71">
        <f t="shared" si="10"/>
        <v>0</v>
      </c>
    </row>
    <row r="223" spans="1:14" ht="15" customHeight="1" x14ac:dyDescent="0.2">
      <c r="A223" s="67" t="s">
        <v>284</v>
      </c>
      <c r="B223" s="75">
        <v>0</v>
      </c>
      <c r="C223" s="75">
        <v>0</v>
      </c>
      <c r="D223" s="75">
        <v>0</v>
      </c>
      <c r="E223" s="75">
        <v>0</v>
      </c>
      <c r="F223" s="75">
        <v>0</v>
      </c>
      <c r="G223" s="75">
        <v>0</v>
      </c>
      <c r="H223" s="75">
        <v>0</v>
      </c>
      <c r="I223" s="75">
        <v>0</v>
      </c>
      <c r="J223" s="75">
        <v>0</v>
      </c>
      <c r="K223" s="75">
        <v>0</v>
      </c>
      <c r="L223" s="75">
        <v>0</v>
      </c>
      <c r="M223" s="76">
        <v>0</v>
      </c>
      <c r="N223" s="71">
        <f t="shared" si="10"/>
        <v>0</v>
      </c>
    </row>
    <row r="224" spans="1:14" ht="15" customHeight="1" x14ac:dyDescent="0.2">
      <c r="A224" s="67" t="s">
        <v>285</v>
      </c>
      <c r="B224" s="75">
        <v>0</v>
      </c>
      <c r="C224" s="75">
        <v>0</v>
      </c>
      <c r="D224" s="75">
        <v>0</v>
      </c>
      <c r="E224" s="75">
        <v>0</v>
      </c>
      <c r="F224" s="75">
        <v>0</v>
      </c>
      <c r="G224" s="75">
        <v>0</v>
      </c>
      <c r="H224" s="75">
        <v>0</v>
      </c>
      <c r="I224" s="75">
        <v>0</v>
      </c>
      <c r="J224" s="75">
        <v>0</v>
      </c>
      <c r="K224" s="75">
        <v>0</v>
      </c>
      <c r="L224" s="75">
        <v>0</v>
      </c>
      <c r="M224" s="76">
        <v>0</v>
      </c>
      <c r="N224" s="71">
        <f t="shared" si="10"/>
        <v>0</v>
      </c>
    </row>
    <row r="225" spans="1:14" ht="15" customHeight="1" x14ac:dyDescent="0.2">
      <c r="A225" s="67" t="s">
        <v>286</v>
      </c>
      <c r="B225" s="75">
        <v>0</v>
      </c>
      <c r="C225" s="75">
        <v>0</v>
      </c>
      <c r="D225" s="75">
        <v>0</v>
      </c>
      <c r="E225" s="75">
        <v>0</v>
      </c>
      <c r="F225" s="75">
        <v>0</v>
      </c>
      <c r="G225" s="75">
        <v>0</v>
      </c>
      <c r="H225" s="75">
        <v>0</v>
      </c>
      <c r="I225" s="75">
        <v>0</v>
      </c>
      <c r="J225" s="75">
        <v>0</v>
      </c>
      <c r="K225" s="75">
        <v>0</v>
      </c>
      <c r="L225" s="75">
        <v>0</v>
      </c>
      <c r="M225" s="76">
        <v>0</v>
      </c>
      <c r="N225" s="71">
        <f t="shared" si="10"/>
        <v>0</v>
      </c>
    </row>
    <row r="226" spans="1:14" ht="15" customHeight="1" x14ac:dyDescent="0.2">
      <c r="A226" s="1176" t="s">
        <v>228</v>
      </c>
      <c r="B226" s="1177"/>
      <c r="C226" s="1177"/>
      <c r="D226" s="1177"/>
      <c r="E226" s="1177"/>
      <c r="F226" s="1177"/>
      <c r="G226" s="1177"/>
      <c r="H226" s="1177"/>
      <c r="I226" s="1177"/>
      <c r="J226" s="1177"/>
      <c r="K226" s="1177"/>
      <c r="L226" s="1177"/>
      <c r="M226" s="1178"/>
      <c r="N226" s="66" t="s">
        <v>347</v>
      </c>
    </row>
    <row r="227" spans="1:14" ht="15" customHeight="1" x14ac:dyDescent="0.2">
      <c r="A227" s="67" t="s">
        <v>280</v>
      </c>
      <c r="B227" s="75">
        <v>0</v>
      </c>
      <c r="C227" s="75">
        <v>0</v>
      </c>
      <c r="D227" s="75">
        <v>0</v>
      </c>
      <c r="E227" s="75">
        <v>0</v>
      </c>
      <c r="F227" s="75">
        <v>0</v>
      </c>
      <c r="G227" s="75">
        <v>0</v>
      </c>
      <c r="H227" s="75">
        <v>0</v>
      </c>
      <c r="I227" s="75">
        <v>0</v>
      </c>
      <c r="J227" s="75">
        <v>0</v>
      </c>
      <c r="K227" s="75">
        <v>0</v>
      </c>
      <c r="L227" s="75">
        <v>0</v>
      </c>
      <c r="M227" s="76">
        <v>0</v>
      </c>
      <c r="N227" s="71">
        <f t="shared" si="10"/>
        <v>0</v>
      </c>
    </row>
    <row r="228" spans="1:14" ht="15" customHeight="1" x14ac:dyDescent="0.2">
      <c r="A228" s="67" t="s">
        <v>282</v>
      </c>
      <c r="B228" s="75">
        <v>0</v>
      </c>
      <c r="C228" s="75">
        <v>0</v>
      </c>
      <c r="D228" s="75">
        <v>0</v>
      </c>
      <c r="E228" s="75">
        <v>0</v>
      </c>
      <c r="F228" s="75">
        <v>0</v>
      </c>
      <c r="G228" s="75">
        <v>0</v>
      </c>
      <c r="H228" s="75">
        <v>0</v>
      </c>
      <c r="I228" s="75">
        <v>0</v>
      </c>
      <c r="J228" s="75">
        <v>0</v>
      </c>
      <c r="K228" s="75">
        <v>0</v>
      </c>
      <c r="L228" s="75">
        <v>0</v>
      </c>
      <c r="M228" s="76">
        <v>0</v>
      </c>
      <c r="N228" s="71">
        <f t="shared" si="10"/>
        <v>0</v>
      </c>
    </row>
    <row r="229" spans="1:14" ht="15" customHeight="1" x14ac:dyDescent="0.2">
      <c r="A229" s="67" t="s">
        <v>283</v>
      </c>
      <c r="B229" s="75">
        <v>0</v>
      </c>
      <c r="C229" s="75">
        <v>0</v>
      </c>
      <c r="D229" s="75">
        <v>0</v>
      </c>
      <c r="E229" s="75">
        <v>0</v>
      </c>
      <c r="F229" s="75">
        <v>0</v>
      </c>
      <c r="G229" s="75">
        <v>0</v>
      </c>
      <c r="H229" s="75">
        <v>0</v>
      </c>
      <c r="I229" s="75">
        <v>0</v>
      </c>
      <c r="J229" s="75">
        <v>0</v>
      </c>
      <c r="K229" s="75">
        <v>0</v>
      </c>
      <c r="L229" s="75">
        <v>0</v>
      </c>
      <c r="M229" s="76">
        <v>0</v>
      </c>
      <c r="N229" s="71">
        <f t="shared" si="10"/>
        <v>0</v>
      </c>
    </row>
    <row r="230" spans="1:14" ht="15" customHeight="1" x14ac:dyDescent="0.2">
      <c r="A230" s="67" t="s">
        <v>284</v>
      </c>
      <c r="B230" s="75">
        <v>0</v>
      </c>
      <c r="C230" s="75">
        <v>0</v>
      </c>
      <c r="D230" s="75">
        <v>0</v>
      </c>
      <c r="E230" s="75">
        <v>0</v>
      </c>
      <c r="F230" s="75">
        <v>0</v>
      </c>
      <c r="G230" s="75">
        <v>0</v>
      </c>
      <c r="H230" s="75">
        <v>0</v>
      </c>
      <c r="I230" s="75">
        <v>0</v>
      </c>
      <c r="J230" s="75">
        <v>0</v>
      </c>
      <c r="K230" s="75">
        <v>0</v>
      </c>
      <c r="L230" s="75">
        <v>0</v>
      </c>
      <c r="M230" s="76">
        <v>0</v>
      </c>
      <c r="N230" s="71">
        <f t="shared" si="10"/>
        <v>0</v>
      </c>
    </row>
    <row r="231" spans="1:14" ht="15" customHeight="1" x14ac:dyDescent="0.2">
      <c r="A231" s="67" t="s">
        <v>285</v>
      </c>
      <c r="B231" s="75">
        <v>0</v>
      </c>
      <c r="C231" s="75">
        <v>0</v>
      </c>
      <c r="D231" s="75">
        <v>0</v>
      </c>
      <c r="E231" s="75">
        <v>0</v>
      </c>
      <c r="F231" s="75">
        <v>0</v>
      </c>
      <c r="G231" s="75">
        <v>0</v>
      </c>
      <c r="H231" s="75">
        <v>0</v>
      </c>
      <c r="I231" s="75">
        <v>0</v>
      </c>
      <c r="J231" s="75">
        <v>0</v>
      </c>
      <c r="K231" s="75">
        <v>0</v>
      </c>
      <c r="L231" s="75">
        <v>0</v>
      </c>
      <c r="M231" s="76">
        <v>0</v>
      </c>
      <c r="N231" s="71">
        <f t="shared" si="10"/>
        <v>0</v>
      </c>
    </row>
    <row r="232" spans="1:14" ht="15" customHeight="1" x14ac:dyDescent="0.2">
      <c r="A232" s="67" t="s">
        <v>286</v>
      </c>
      <c r="B232" s="75">
        <v>0</v>
      </c>
      <c r="C232" s="75">
        <v>0</v>
      </c>
      <c r="D232" s="75">
        <v>0</v>
      </c>
      <c r="E232" s="75">
        <v>0</v>
      </c>
      <c r="F232" s="75">
        <v>0</v>
      </c>
      <c r="G232" s="75">
        <v>0</v>
      </c>
      <c r="H232" s="75">
        <v>0</v>
      </c>
      <c r="I232" s="75">
        <v>0</v>
      </c>
      <c r="J232" s="75">
        <v>0</v>
      </c>
      <c r="K232" s="75">
        <v>0</v>
      </c>
      <c r="L232" s="75">
        <v>0</v>
      </c>
      <c r="M232" s="76">
        <v>0</v>
      </c>
      <c r="N232" s="71">
        <f t="shared" si="10"/>
        <v>0</v>
      </c>
    </row>
    <row r="233" spans="1:14" ht="15" customHeight="1" x14ac:dyDescent="0.2">
      <c r="A233" s="1176" t="s">
        <v>220</v>
      </c>
      <c r="B233" s="1177"/>
      <c r="C233" s="1177"/>
      <c r="D233" s="1177"/>
      <c r="E233" s="1177"/>
      <c r="F233" s="1177"/>
      <c r="G233" s="1177"/>
      <c r="H233" s="1177"/>
      <c r="I233" s="1177"/>
      <c r="J233" s="1177"/>
      <c r="K233" s="1177"/>
      <c r="L233" s="1177"/>
      <c r="M233" s="1178"/>
      <c r="N233" s="66" t="s">
        <v>347</v>
      </c>
    </row>
    <row r="234" spans="1:14" ht="15" customHeight="1" x14ac:dyDescent="0.2">
      <c r="A234" s="67" t="s">
        <v>280</v>
      </c>
      <c r="B234" s="75">
        <v>0</v>
      </c>
      <c r="C234" s="75">
        <v>0</v>
      </c>
      <c r="D234" s="75">
        <v>0</v>
      </c>
      <c r="E234" s="75">
        <v>0</v>
      </c>
      <c r="F234" s="75">
        <v>0</v>
      </c>
      <c r="G234" s="75">
        <v>0</v>
      </c>
      <c r="H234" s="75">
        <v>0</v>
      </c>
      <c r="I234" s="75">
        <v>0</v>
      </c>
      <c r="J234" s="75">
        <v>0</v>
      </c>
      <c r="K234" s="75">
        <v>0</v>
      </c>
      <c r="L234" s="75">
        <v>0</v>
      </c>
      <c r="M234" s="76">
        <v>0</v>
      </c>
      <c r="N234" s="71">
        <f t="shared" si="10"/>
        <v>0</v>
      </c>
    </row>
    <row r="235" spans="1:14" ht="15" customHeight="1" x14ac:dyDescent="0.2">
      <c r="A235" s="67" t="s">
        <v>282</v>
      </c>
      <c r="B235" s="75">
        <v>0</v>
      </c>
      <c r="C235" s="75">
        <v>0</v>
      </c>
      <c r="D235" s="75">
        <v>0</v>
      </c>
      <c r="E235" s="75">
        <v>0</v>
      </c>
      <c r="F235" s="75">
        <v>0</v>
      </c>
      <c r="G235" s="75">
        <v>0</v>
      </c>
      <c r="H235" s="75">
        <v>0</v>
      </c>
      <c r="I235" s="75">
        <v>0</v>
      </c>
      <c r="J235" s="75">
        <v>0</v>
      </c>
      <c r="K235" s="75">
        <v>0</v>
      </c>
      <c r="L235" s="75">
        <v>0</v>
      </c>
      <c r="M235" s="76">
        <v>0</v>
      </c>
      <c r="N235" s="71">
        <f t="shared" si="10"/>
        <v>0</v>
      </c>
    </row>
    <row r="236" spans="1:14" ht="15" customHeight="1" x14ac:dyDescent="0.2">
      <c r="A236" s="67" t="s">
        <v>283</v>
      </c>
      <c r="B236" s="75">
        <v>0</v>
      </c>
      <c r="C236" s="75">
        <v>0</v>
      </c>
      <c r="D236" s="75">
        <v>0</v>
      </c>
      <c r="E236" s="75">
        <v>0</v>
      </c>
      <c r="F236" s="75">
        <v>0</v>
      </c>
      <c r="G236" s="75">
        <v>0</v>
      </c>
      <c r="H236" s="75">
        <v>0</v>
      </c>
      <c r="I236" s="75">
        <v>0</v>
      </c>
      <c r="J236" s="75">
        <v>0</v>
      </c>
      <c r="K236" s="75">
        <v>0</v>
      </c>
      <c r="L236" s="75">
        <v>0</v>
      </c>
      <c r="M236" s="76">
        <v>0</v>
      </c>
      <c r="N236" s="71">
        <f t="shared" si="10"/>
        <v>0</v>
      </c>
    </row>
    <row r="237" spans="1:14" ht="15" customHeight="1" x14ac:dyDescent="0.2">
      <c r="A237" s="67" t="s">
        <v>284</v>
      </c>
      <c r="B237" s="75">
        <v>0</v>
      </c>
      <c r="C237" s="75">
        <v>0</v>
      </c>
      <c r="D237" s="75">
        <v>0</v>
      </c>
      <c r="E237" s="75">
        <v>0</v>
      </c>
      <c r="F237" s="75">
        <v>0</v>
      </c>
      <c r="G237" s="75">
        <v>0</v>
      </c>
      <c r="H237" s="75">
        <v>0</v>
      </c>
      <c r="I237" s="75">
        <v>0</v>
      </c>
      <c r="J237" s="75">
        <v>0</v>
      </c>
      <c r="K237" s="75">
        <v>0</v>
      </c>
      <c r="L237" s="75">
        <v>0</v>
      </c>
      <c r="M237" s="76">
        <v>0</v>
      </c>
      <c r="N237" s="71">
        <f t="shared" si="10"/>
        <v>0</v>
      </c>
    </row>
    <row r="238" spans="1:14" ht="15" customHeight="1" x14ac:dyDescent="0.2">
      <c r="A238" s="67" t="s">
        <v>285</v>
      </c>
      <c r="B238" s="75">
        <v>0</v>
      </c>
      <c r="C238" s="75">
        <v>0</v>
      </c>
      <c r="D238" s="75">
        <v>0</v>
      </c>
      <c r="E238" s="75">
        <v>0</v>
      </c>
      <c r="F238" s="75">
        <v>0</v>
      </c>
      <c r="G238" s="75">
        <v>0</v>
      </c>
      <c r="H238" s="75">
        <v>0</v>
      </c>
      <c r="I238" s="75">
        <v>0</v>
      </c>
      <c r="J238" s="75">
        <v>0</v>
      </c>
      <c r="K238" s="75">
        <v>0</v>
      </c>
      <c r="L238" s="75">
        <v>0</v>
      </c>
      <c r="M238" s="76">
        <v>0</v>
      </c>
      <c r="N238" s="71">
        <f t="shared" si="10"/>
        <v>0</v>
      </c>
    </row>
    <row r="239" spans="1:14" ht="15" customHeight="1" thickBot="1" x14ac:dyDescent="0.25">
      <c r="A239" s="109" t="s">
        <v>286</v>
      </c>
      <c r="B239" s="75">
        <v>0</v>
      </c>
      <c r="C239" s="75">
        <v>0</v>
      </c>
      <c r="D239" s="75">
        <v>0</v>
      </c>
      <c r="E239" s="75">
        <v>0</v>
      </c>
      <c r="F239" s="75">
        <v>0</v>
      </c>
      <c r="G239" s="75">
        <v>0</v>
      </c>
      <c r="H239" s="75">
        <v>0</v>
      </c>
      <c r="I239" s="75">
        <v>0</v>
      </c>
      <c r="J239" s="75">
        <v>0</v>
      </c>
      <c r="K239" s="75">
        <v>0</v>
      </c>
      <c r="L239" s="75">
        <v>0</v>
      </c>
      <c r="M239" s="76">
        <v>0</v>
      </c>
      <c r="N239" s="71">
        <f t="shared" si="10"/>
        <v>0</v>
      </c>
    </row>
    <row r="240" spans="1:14" ht="13.8" customHeight="1" x14ac:dyDescent="0.2">
      <c r="A240" s="1173" t="s">
        <v>363</v>
      </c>
      <c r="B240" s="1174"/>
      <c r="C240" s="1174"/>
      <c r="D240" s="1174"/>
      <c r="E240" s="1174"/>
      <c r="F240" s="1174"/>
      <c r="G240" s="1174"/>
      <c r="H240" s="1174"/>
      <c r="I240" s="1174"/>
      <c r="J240" s="1174"/>
      <c r="K240" s="1174"/>
      <c r="L240" s="1174"/>
      <c r="M240" s="1174"/>
      <c r="N240" s="1175"/>
    </row>
    <row r="241" spans="1:14" x14ac:dyDescent="0.2">
      <c r="A241" s="66" t="s">
        <v>279</v>
      </c>
      <c r="B241" s="98">
        <v>43556</v>
      </c>
      <c r="C241" s="98">
        <v>43586</v>
      </c>
      <c r="D241" s="98">
        <v>43617</v>
      </c>
      <c r="E241" s="98">
        <v>43647</v>
      </c>
      <c r="F241" s="98">
        <v>43678</v>
      </c>
      <c r="G241" s="98">
        <v>43709</v>
      </c>
      <c r="H241" s="98">
        <v>43739</v>
      </c>
      <c r="I241" s="98">
        <v>43770</v>
      </c>
      <c r="J241" s="98">
        <v>43800</v>
      </c>
      <c r="K241" s="98">
        <v>43831</v>
      </c>
      <c r="L241" s="98">
        <v>43862</v>
      </c>
      <c r="M241" s="99">
        <v>43891</v>
      </c>
      <c r="N241" s="66" t="s">
        <v>347</v>
      </c>
    </row>
    <row r="242" spans="1:14" x14ac:dyDescent="0.2">
      <c r="A242" s="34" t="s">
        <v>280</v>
      </c>
      <c r="B242" s="71">
        <v>0</v>
      </c>
      <c r="C242" s="71">
        <v>0</v>
      </c>
      <c r="D242" s="71">
        <v>0</v>
      </c>
      <c r="E242" s="71">
        <v>0</v>
      </c>
      <c r="F242" s="71">
        <v>0</v>
      </c>
      <c r="G242" s="71">
        <v>0</v>
      </c>
      <c r="H242" s="71">
        <v>0</v>
      </c>
      <c r="I242" s="71">
        <v>0</v>
      </c>
      <c r="J242" s="71">
        <v>0</v>
      </c>
      <c r="K242" s="71">
        <v>0</v>
      </c>
      <c r="L242" s="71">
        <v>0</v>
      </c>
      <c r="M242" s="73">
        <v>0</v>
      </c>
      <c r="N242" s="71">
        <f t="shared" si="10"/>
        <v>0</v>
      </c>
    </row>
    <row r="243" spans="1:14" x14ac:dyDescent="0.2">
      <c r="A243" s="34" t="s">
        <v>282</v>
      </c>
      <c r="B243" s="100">
        <v>0</v>
      </c>
      <c r="C243" s="100">
        <v>0</v>
      </c>
      <c r="D243" s="100">
        <v>0</v>
      </c>
      <c r="E243" s="100">
        <v>0</v>
      </c>
      <c r="F243" s="100">
        <v>0</v>
      </c>
      <c r="G243" s="100">
        <v>0</v>
      </c>
      <c r="H243" s="100">
        <v>0</v>
      </c>
      <c r="I243" s="100">
        <v>0</v>
      </c>
      <c r="J243" s="100">
        <v>0</v>
      </c>
      <c r="K243" s="100">
        <v>0</v>
      </c>
      <c r="L243" s="100">
        <v>0</v>
      </c>
      <c r="M243" s="101">
        <v>0</v>
      </c>
      <c r="N243" s="71">
        <f t="shared" si="10"/>
        <v>0</v>
      </c>
    </row>
    <row r="244" spans="1:14" x14ac:dyDescent="0.2">
      <c r="A244" s="34" t="s">
        <v>283</v>
      </c>
      <c r="B244" s="71">
        <v>0</v>
      </c>
      <c r="C244" s="71">
        <v>0</v>
      </c>
      <c r="D244" s="71">
        <v>0</v>
      </c>
      <c r="E244" s="71">
        <v>0</v>
      </c>
      <c r="F244" s="71">
        <v>0</v>
      </c>
      <c r="G244" s="71">
        <v>0</v>
      </c>
      <c r="H244" s="71">
        <v>0</v>
      </c>
      <c r="I244" s="71">
        <v>0</v>
      </c>
      <c r="J244" s="71">
        <v>0</v>
      </c>
      <c r="K244" s="71">
        <v>0</v>
      </c>
      <c r="L244" s="71">
        <v>0</v>
      </c>
      <c r="M244" s="73">
        <v>0</v>
      </c>
      <c r="N244" s="71">
        <f t="shared" si="10"/>
        <v>0</v>
      </c>
    </row>
    <row r="245" spans="1:14" x14ac:dyDescent="0.2">
      <c r="A245" s="34" t="s">
        <v>284</v>
      </c>
      <c r="B245" s="71">
        <v>0</v>
      </c>
      <c r="C245" s="71">
        <v>0</v>
      </c>
      <c r="D245" s="71">
        <v>0</v>
      </c>
      <c r="E245" s="71">
        <v>0</v>
      </c>
      <c r="F245" s="71">
        <v>0</v>
      </c>
      <c r="G245" s="71">
        <v>0</v>
      </c>
      <c r="H245" s="71">
        <v>0</v>
      </c>
      <c r="I245" s="71">
        <v>0</v>
      </c>
      <c r="J245" s="71">
        <v>0</v>
      </c>
      <c r="K245" s="71">
        <v>0</v>
      </c>
      <c r="L245" s="71">
        <v>0</v>
      </c>
      <c r="M245" s="73">
        <v>0</v>
      </c>
      <c r="N245" s="71">
        <f t="shared" si="10"/>
        <v>0</v>
      </c>
    </row>
    <row r="246" spans="1:14" x14ac:dyDescent="0.2">
      <c r="A246" s="34" t="s">
        <v>285</v>
      </c>
      <c r="B246" s="71">
        <v>0</v>
      </c>
      <c r="C246" s="71">
        <v>0</v>
      </c>
      <c r="D246" s="71">
        <v>0</v>
      </c>
      <c r="E246" s="71">
        <v>0</v>
      </c>
      <c r="F246" s="71">
        <v>0</v>
      </c>
      <c r="G246" s="71">
        <v>0</v>
      </c>
      <c r="H246" s="71">
        <v>0</v>
      </c>
      <c r="I246" s="71">
        <v>0</v>
      </c>
      <c r="J246" s="71">
        <v>0</v>
      </c>
      <c r="K246" s="71">
        <v>0</v>
      </c>
      <c r="L246" s="71">
        <v>0</v>
      </c>
      <c r="M246" s="73">
        <v>0</v>
      </c>
      <c r="N246" s="71">
        <f t="shared" si="10"/>
        <v>0</v>
      </c>
    </row>
    <row r="247" spans="1:14" x14ac:dyDescent="0.2">
      <c r="A247" s="34" t="s">
        <v>286</v>
      </c>
      <c r="B247" s="71">
        <v>0</v>
      </c>
      <c r="C247" s="71">
        <v>0</v>
      </c>
      <c r="D247" s="71">
        <v>0</v>
      </c>
      <c r="E247" s="71">
        <v>0</v>
      </c>
      <c r="F247" s="71">
        <v>0</v>
      </c>
      <c r="G247" s="71">
        <v>0</v>
      </c>
      <c r="H247" s="71">
        <v>0</v>
      </c>
      <c r="I247" s="71">
        <v>0</v>
      </c>
      <c r="J247" s="71">
        <v>0</v>
      </c>
      <c r="K247" s="71">
        <v>0</v>
      </c>
      <c r="L247" s="71">
        <v>0</v>
      </c>
      <c r="M247" s="73">
        <v>0</v>
      </c>
      <c r="N247" s="71">
        <f t="shared" si="10"/>
        <v>0</v>
      </c>
    </row>
    <row r="248" spans="1:14" ht="13.8" customHeight="1" x14ac:dyDescent="0.2">
      <c r="A248" s="1173" t="s">
        <v>364</v>
      </c>
      <c r="B248" s="1174"/>
      <c r="C248" s="1174"/>
      <c r="D248" s="1174"/>
      <c r="E248" s="1174"/>
      <c r="F248" s="1174"/>
      <c r="G248" s="1174"/>
      <c r="H248" s="1174"/>
      <c r="I248" s="1174"/>
      <c r="J248" s="1174"/>
      <c r="K248" s="1174"/>
      <c r="L248" s="1174"/>
      <c r="M248" s="1174"/>
      <c r="N248" s="1175"/>
    </row>
    <row r="249" spans="1:14" x14ac:dyDescent="0.2">
      <c r="A249" s="24" t="s">
        <v>279</v>
      </c>
      <c r="B249" s="110">
        <v>43556</v>
      </c>
      <c r="C249" s="110">
        <v>43586</v>
      </c>
      <c r="D249" s="110">
        <v>43617</v>
      </c>
      <c r="E249" s="110">
        <v>43647</v>
      </c>
      <c r="F249" s="110">
        <v>43678</v>
      </c>
      <c r="G249" s="110">
        <v>43709</v>
      </c>
      <c r="H249" s="110">
        <v>43739</v>
      </c>
      <c r="I249" s="110">
        <v>43770</v>
      </c>
      <c r="J249" s="110">
        <v>43800</v>
      </c>
      <c r="K249" s="110">
        <v>43831</v>
      </c>
      <c r="L249" s="110">
        <v>43862</v>
      </c>
      <c r="M249" s="111">
        <v>43891</v>
      </c>
      <c r="N249" s="66" t="s">
        <v>347</v>
      </c>
    </row>
    <row r="250" spans="1:14" x14ac:dyDescent="0.2">
      <c r="A250" s="24" t="s">
        <v>280</v>
      </c>
      <c r="B250" s="84">
        <f>+B150+B158+B166</f>
        <v>0</v>
      </c>
      <c r="C250" s="84">
        <f t="shared" ref="C250:M250" si="11">+C150+C158+C166</f>
        <v>0</v>
      </c>
      <c r="D250" s="84">
        <f t="shared" si="11"/>
        <v>0</v>
      </c>
      <c r="E250" s="84">
        <f t="shared" si="11"/>
        <v>0</v>
      </c>
      <c r="F250" s="84">
        <f t="shared" si="11"/>
        <v>0</v>
      </c>
      <c r="G250" s="84">
        <f t="shared" si="11"/>
        <v>0</v>
      </c>
      <c r="H250" s="84">
        <f t="shared" si="11"/>
        <v>0</v>
      </c>
      <c r="I250" s="84">
        <f t="shared" si="11"/>
        <v>0</v>
      </c>
      <c r="J250" s="84">
        <f t="shared" si="11"/>
        <v>0</v>
      </c>
      <c r="K250" s="84">
        <f t="shared" si="11"/>
        <v>0</v>
      </c>
      <c r="L250" s="84">
        <f t="shared" si="11"/>
        <v>0</v>
      </c>
      <c r="M250" s="84">
        <f t="shared" si="11"/>
        <v>0</v>
      </c>
      <c r="N250" s="84">
        <f t="shared" si="10"/>
        <v>0</v>
      </c>
    </row>
    <row r="251" spans="1:14" x14ac:dyDescent="0.2">
      <c r="A251" s="34" t="s">
        <v>282</v>
      </c>
      <c r="B251" s="71">
        <f t="shared" ref="B251:M255" si="12">+B151+B159+B167</f>
        <v>3373273.3799999962</v>
      </c>
      <c r="C251" s="71">
        <f t="shared" si="12"/>
        <v>4128499.1799999983</v>
      </c>
      <c r="D251" s="71">
        <f t="shared" si="12"/>
        <v>5260333.7339999964</v>
      </c>
      <c r="E251" s="71">
        <f t="shared" si="12"/>
        <v>6665257.6599999927</v>
      </c>
      <c r="F251" s="71">
        <f t="shared" si="12"/>
        <v>5518203.4199999953</v>
      </c>
      <c r="G251" s="71">
        <f t="shared" si="12"/>
        <v>4825609.8899999997</v>
      </c>
      <c r="H251" s="71">
        <f t="shared" si="12"/>
        <v>4333015.0199999996</v>
      </c>
      <c r="I251" s="71">
        <f t="shared" si="12"/>
        <v>2555610.6899999995</v>
      </c>
      <c r="J251" s="71">
        <f t="shared" si="12"/>
        <v>3213911.0799999996</v>
      </c>
      <c r="K251" s="71">
        <f t="shared" si="12"/>
        <v>5452403.9399999948</v>
      </c>
      <c r="L251" s="71">
        <f t="shared" si="12"/>
        <v>0</v>
      </c>
      <c r="M251" s="71">
        <f t="shared" si="12"/>
        <v>0</v>
      </c>
      <c r="N251" s="71">
        <f t="shared" si="10"/>
        <v>45326117.993999973</v>
      </c>
    </row>
    <row r="252" spans="1:14" x14ac:dyDescent="0.2">
      <c r="A252" s="34" t="s">
        <v>283</v>
      </c>
      <c r="B252" s="71">
        <f t="shared" si="12"/>
        <v>36646.618399999999</v>
      </c>
      <c r="C252" s="71">
        <f t="shared" si="12"/>
        <v>55549.74040000001</v>
      </c>
      <c r="D252" s="71">
        <f t="shared" si="12"/>
        <v>149635.80240000002</v>
      </c>
      <c r="E252" s="71">
        <f t="shared" si="12"/>
        <v>66125.387999999992</v>
      </c>
      <c r="F252" s="71">
        <f t="shared" si="12"/>
        <v>30473.3688</v>
      </c>
      <c r="G252" s="71">
        <f t="shared" si="12"/>
        <v>75713.330000000016</v>
      </c>
      <c r="H252" s="71">
        <f t="shared" si="12"/>
        <v>51945.630799999992</v>
      </c>
      <c r="I252" s="71">
        <f t="shared" si="12"/>
        <v>50926.2068</v>
      </c>
      <c r="J252" s="71">
        <f t="shared" si="12"/>
        <v>128501.5836</v>
      </c>
      <c r="K252" s="71">
        <f t="shared" si="12"/>
        <v>38884.86</v>
      </c>
      <c r="L252" s="71">
        <f t="shared" si="12"/>
        <v>0</v>
      </c>
      <c r="M252" s="71">
        <f t="shared" si="12"/>
        <v>0</v>
      </c>
      <c r="N252" s="71">
        <f t="shared" ref="N252:N255" si="13">SUM(B252:M252)</f>
        <v>684402.52919999999</v>
      </c>
    </row>
    <row r="253" spans="1:14" x14ac:dyDescent="0.2">
      <c r="A253" s="34" t="s">
        <v>284</v>
      </c>
      <c r="B253" s="71">
        <f t="shared" si="12"/>
        <v>417716.22849999991</v>
      </c>
      <c r="C253" s="71">
        <f t="shared" si="12"/>
        <v>466945.66300000018</v>
      </c>
      <c r="D253" s="71">
        <f t="shared" si="12"/>
        <v>555102.2250600002</v>
      </c>
      <c r="E253" s="71">
        <f t="shared" si="12"/>
        <v>763591.30540000054</v>
      </c>
      <c r="F253" s="71">
        <f t="shared" si="12"/>
        <v>615668.83640000015</v>
      </c>
      <c r="G253" s="71">
        <f t="shared" si="12"/>
        <v>496968.56260000024</v>
      </c>
      <c r="H253" s="71">
        <f t="shared" si="12"/>
        <v>420404.6544</v>
      </c>
      <c r="I253" s="71">
        <f t="shared" si="12"/>
        <v>257660.35380000001</v>
      </c>
      <c r="J253" s="71">
        <f t="shared" si="12"/>
        <v>266777.08979999996</v>
      </c>
      <c r="K253" s="71">
        <f t="shared" si="12"/>
        <v>513531.29960000014</v>
      </c>
      <c r="L253" s="71">
        <f t="shared" si="12"/>
        <v>0</v>
      </c>
      <c r="M253" s="71">
        <f t="shared" si="12"/>
        <v>0</v>
      </c>
      <c r="N253" s="71">
        <f t="shared" si="13"/>
        <v>4774366.2185600018</v>
      </c>
    </row>
    <row r="254" spans="1:14" x14ac:dyDescent="0.2">
      <c r="A254" s="34" t="s">
        <v>285</v>
      </c>
      <c r="B254" s="71">
        <f t="shared" si="12"/>
        <v>417716.22849999991</v>
      </c>
      <c r="C254" s="71">
        <f t="shared" si="12"/>
        <v>466945.66300000018</v>
      </c>
      <c r="D254" s="71">
        <f t="shared" si="12"/>
        <v>555102.2250600002</v>
      </c>
      <c r="E254" s="71">
        <f t="shared" si="12"/>
        <v>763591.30540000054</v>
      </c>
      <c r="F254" s="71">
        <f t="shared" si="12"/>
        <v>615668.83640000015</v>
      </c>
      <c r="G254" s="71">
        <f t="shared" si="12"/>
        <v>496968.56260000024</v>
      </c>
      <c r="H254" s="71">
        <f t="shared" si="12"/>
        <v>420404.6544</v>
      </c>
      <c r="I254" s="71">
        <f t="shared" si="12"/>
        <v>257660.35380000001</v>
      </c>
      <c r="J254" s="71">
        <f t="shared" si="12"/>
        <v>266777.08979999996</v>
      </c>
      <c r="K254" s="71">
        <f t="shared" si="12"/>
        <v>513531.29960000014</v>
      </c>
      <c r="L254" s="71">
        <f t="shared" si="12"/>
        <v>0</v>
      </c>
      <c r="M254" s="71">
        <f t="shared" si="12"/>
        <v>0</v>
      </c>
      <c r="N254" s="71">
        <f t="shared" si="13"/>
        <v>4774366.2185600018</v>
      </c>
    </row>
    <row r="255" spans="1:14" x14ac:dyDescent="0.2">
      <c r="A255" s="63" t="s">
        <v>286</v>
      </c>
      <c r="B255" s="86">
        <f t="shared" si="12"/>
        <v>0</v>
      </c>
      <c r="C255" s="86">
        <f t="shared" si="12"/>
        <v>0</v>
      </c>
      <c r="D255" s="86">
        <f t="shared" si="12"/>
        <v>0</v>
      </c>
      <c r="E255" s="86">
        <f t="shared" si="12"/>
        <v>0</v>
      </c>
      <c r="F255" s="86">
        <f t="shared" si="12"/>
        <v>0</v>
      </c>
      <c r="G255" s="86">
        <f t="shared" si="12"/>
        <v>0</v>
      </c>
      <c r="H255" s="86">
        <f t="shared" si="12"/>
        <v>0</v>
      </c>
      <c r="I255" s="86">
        <f t="shared" si="12"/>
        <v>0</v>
      </c>
      <c r="J255" s="86">
        <f t="shared" si="12"/>
        <v>0</v>
      </c>
      <c r="K255" s="86">
        <f t="shared" si="12"/>
        <v>0</v>
      </c>
      <c r="L255" s="86">
        <f t="shared" si="12"/>
        <v>0</v>
      </c>
      <c r="M255" s="86">
        <f t="shared" si="12"/>
        <v>0</v>
      </c>
      <c r="N255" s="86">
        <f t="shared" si="13"/>
        <v>0</v>
      </c>
    </row>
  </sheetData>
  <mergeCells count="41">
    <mergeCell ref="A240:N240"/>
    <mergeCell ref="A248:N248"/>
    <mergeCell ref="A148:N148"/>
    <mergeCell ref="A156:N156"/>
    <mergeCell ref="A164:N164"/>
    <mergeCell ref="A172:N172"/>
    <mergeCell ref="A180:N180"/>
    <mergeCell ref="A233:M233"/>
    <mergeCell ref="A189:M189"/>
    <mergeCell ref="A196:M196"/>
    <mergeCell ref="A203:M203"/>
    <mergeCell ref="A219:M219"/>
    <mergeCell ref="A226:M226"/>
    <mergeCell ref="A218:N218"/>
    <mergeCell ref="A210:N210"/>
    <mergeCell ref="A58:N58"/>
    <mergeCell ref="A67:M67"/>
    <mergeCell ref="A74:M74"/>
    <mergeCell ref="A81:M81"/>
    <mergeCell ref="A188:N188"/>
    <mergeCell ref="A126:N126"/>
    <mergeCell ref="A141:M141"/>
    <mergeCell ref="A97:M97"/>
    <mergeCell ref="A104:M104"/>
    <mergeCell ref="A111:M111"/>
    <mergeCell ref="A127:M127"/>
    <mergeCell ref="A134:M134"/>
    <mergeCell ref="A88:N88"/>
    <mergeCell ref="A118:N118"/>
    <mergeCell ref="A96:N96"/>
    <mergeCell ref="A66:N66"/>
    <mergeCell ref="A50:N50"/>
    <mergeCell ref="B1:E1"/>
    <mergeCell ref="H1:K1"/>
    <mergeCell ref="A3:N3"/>
    <mergeCell ref="A11:N11"/>
    <mergeCell ref="A42:N42"/>
    <mergeCell ref="A20:M20"/>
    <mergeCell ref="A27:M27"/>
    <mergeCell ref="A34:M34"/>
    <mergeCell ref="A19:N19"/>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46"/>
  <sheetViews>
    <sheetView tabSelected="1" workbookViewId="0">
      <selection activeCell="H20" sqref="H20"/>
    </sheetView>
  </sheetViews>
  <sheetFormatPr defaultColWidth="9.109375" defaultRowHeight="10.199999999999999" x14ac:dyDescent="0.2"/>
  <cols>
    <col min="1" max="1" width="18.5546875" style="11" bestFit="1" customWidth="1"/>
    <col min="2" max="11" width="11.5546875" style="11" bestFit="1" customWidth="1"/>
    <col min="12" max="13" width="6" style="11" bestFit="1" customWidth="1"/>
    <col min="14" max="14" width="13.109375" style="11" bestFit="1" customWidth="1"/>
    <col min="15" max="16384" width="9.109375" style="11"/>
  </cols>
  <sheetData>
    <row r="1" spans="1:14" ht="15" customHeight="1" x14ac:dyDescent="0.2">
      <c r="A1" s="234" t="s">
        <v>274</v>
      </c>
      <c r="B1" s="1183" t="s">
        <v>275</v>
      </c>
      <c r="C1" s="1183"/>
      <c r="D1" s="1183"/>
      <c r="E1" s="1183"/>
      <c r="F1" s="235"/>
      <c r="G1" s="236" t="s">
        <v>276</v>
      </c>
      <c r="H1" s="1183" t="s">
        <v>277</v>
      </c>
      <c r="I1" s="1183"/>
      <c r="J1" s="1183"/>
      <c r="K1" s="1183"/>
      <c r="L1" s="235"/>
      <c r="M1" s="237"/>
      <c r="N1" s="237"/>
    </row>
    <row r="2" spans="1:14" ht="10.8" thickBot="1" x14ac:dyDescent="0.25">
      <c r="A2" s="238"/>
      <c r="B2" s="239"/>
      <c r="C2" s="239"/>
      <c r="D2" s="239"/>
      <c r="E2" s="239"/>
      <c r="F2" s="239"/>
      <c r="G2" s="239"/>
      <c r="H2" s="239"/>
      <c r="I2" s="239"/>
      <c r="J2" s="239"/>
      <c r="K2" s="239"/>
      <c r="L2" s="239"/>
      <c r="M2" s="240"/>
      <c r="N2" s="241"/>
    </row>
    <row r="3" spans="1:14" ht="16.5" customHeight="1" x14ac:dyDescent="0.2">
      <c r="A3" s="1184" t="s">
        <v>278</v>
      </c>
      <c r="B3" s="1185"/>
      <c r="C3" s="1185"/>
      <c r="D3" s="1185"/>
      <c r="E3" s="1185"/>
      <c r="F3" s="1185"/>
      <c r="G3" s="1185"/>
      <c r="H3" s="1185"/>
      <c r="I3" s="1185"/>
      <c r="J3" s="1185"/>
      <c r="K3" s="1185"/>
      <c r="L3" s="1185"/>
      <c r="M3" s="1185"/>
      <c r="N3" s="1186"/>
    </row>
    <row r="4" spans="1:14" x14ac:dyDescent="0.2">
      <c r="A4" s="66" t="s">
        <v>279</v>
      </c>
      <c r="B4" s="98">
        <v>43556</v>
      </c>
      <c r="C4" s="98">
        <v>43586</v>
      </c>
      <c r="D4" s="98">
        <v>43617</v>
      </c>
      <c r="E4" s="98">
        <v>43647</v>
      </c>
      <c r="F4" s="98">
        <v>43678</v>
      </c>
      <c r="G4" s="98">
        <v>43709</v>
      </c>
      <c r="H4" s="98">
        <v>43739</v>
      </c>
      <c r="I4" s="98">
        <v>43770</v>
      </c>
      <c r="J4" s="98">
        <v>43800</v>
      </c>
      <c r="K4" s="98">
        <v>43831</v>
      </c>
      <c r="L4" s="98">
        <v>43862</v>
      </c>
      <c r="M4" s="99">
        <v>43891</v>
      </c>
      <c r="N4" s="66" t="s">
        <v>347</v>
      </c>
    </row>
    <row r="5" spans="1:14" ht="15" customHeight="1" x14ac:dyDescent="0.2">
      <c r="A5" s="67" t="s">
        <v>280</v>
      </c>
      <c r="B5" s="68">
        <v>0</v>
      </c>
      <c r="C5" s="69">
        <v>0</v>
      </c>
      <c r="D5" s="68"/>
      <c r="E5" s="68"/>
      <c r="F5" s="68"/>
      <c r="G5" s="68"/>
      <c r="H5" s="68"/>
      <c r="I5" s="68"/>
      <c r="J5" s="68"/>
      <c r="K5" s="68"/>
      <c r="L5" s="68"/>
      <c r="M5" s="70"/>
      <c r="N5" s="71">
        <f>SUM(B5:M5)</f>
        <v>0</v>
      </c>
    </row>
    <row r="6" spans="1:14" ht="15" customHeight="1" x14ac:dyDescent="0.2">
      <c r="A6" s="67" t="s">
        <v>281</v>
      </c>
      <c r="B6" s="68">
        <f>+'SALE WORKING'!C6-10696.7</f>
        <v>4215230.7553999955</v>
      </c>
      <c r="C6" s="68">
        <f>+'SALE WORKING'!D6+10696.7</f>
        <v>5080798.9463999989</v>
      </c>
      <c r="D6" s="68">
        <f>+'SALE WORKING'!E6</f>
        <v>6494343.986519997</v>
      </c>
      <c r="E6" s="68">
        <f>+'SALE WORKING'!F6</f>
        <v>8225753.1587999947</v>
      </c>
      <c r="F6" s="68">
        <f>+'SALE WORKING'!G6</f>
        <v>6742319.4615999963</v>
      </c>
      <c r="G6" s="68">
        <f>+'SALE WORKING'!H6</f>
        <v>5856462.8451999994</v>
      </c>
      <c r="H6" s="68">
        <f>+'SALE WORKING'!I6</f>
        <v>5195214.9596000006</v>
      </c>
      <c r="I6" s="68">
        <f>+'SALE WORKING'!J6</f>
        <v>3093087.6043999996</v>
      </c>
      <c r="J6" s="68">
        <f>+'SALE WORKING'!K6</f>
        <v>3823717.7932000002</v>
      </c>
      <c r="K6" s="68">
        <f>+'SALE WORKING'!L6</f>
        <v>6518351.3991999961</v>
      </c>
      <c r="L6" s="68">
        <f>+'SALE WORKING'!M6</f>
        <v>0</v>
      </c>
      <c r="M6" s="70">
        <f>+'SALE WORKING'!N6</f>
        <v>0</v>
      </c>
      <c r="N6" s="71">
        <f t="shared" ref="N6:N11" si="0">SUM(B6:M6)</f>
        <v>55245280.910319984</v>
      </c>
    </row>
    <row r="7" spans="1:14" ht="15" customHeight="1" x14ac:dyDescent="0.2">
      <c r="A7" s="67" t="s">
        <v>282</v>
      </c>
      <c r="B7" s="68">
        <f>+'SALE WORKING'!C7-9065</f>
        <v>3345708.3799999962</v>
      </c>
      <c r="C7" s="68">
        <f>+'SALE WORKING'!D7+9065</f>
        <v>4092004.1799999983</v>
      </c>
      <c r="D7" s="68">
        <f>+'SALE WORKING'!E7</f>
        <v>5235733.7339999964</v>
      </c>
      <c r="E7" s="68">
        <f>+'SALE WORKING'!F7</f>
        <v>6634007.6599999927</v>
      </c>
      <c r="F7" s="68">
        <f>+'SALE WORKING'!G7</f>
        <v>5482303.4199999953</v>
      </c>
      <c r="G7" s="68">
        <f>+'SALE WORKING'!H7</f>
        <v>4788659.8899999997</v>
      </c>
      <c r="H7" s="68">
        <f>+'SALE WORKING'!I7</f>
        <v>4303915.0199999996</v>
      </c>
      <c r="I7" s="68">
        <f>+'SALE WORKING'!J7</f>
        <v>2528210.6899999995</v>
      </c>
      <c r="J7" s="68">
        <f>+'SALE WORKING'!K7</f>
        <v>3164150.0799999996</v>
      </c>
      <c r="K7" s="68">
        <f>+'SALE WORKING'!L7</f>
        <v>5452403.9399999948</v>
      </c>
      <c r="L7" s="68">
        <f>+'SALE WORKING'!M7</f>
        <v>0</v>
      </c>
      <c r="M7" s="70">
        <f>+'SALE WORKING'!N7</f>
        <v>0</v>
      </c>
      <c r="N7" s="71">
        <f t="shared" si="0"/>
        <v>45027096.993999973</v>
      </c>
    </row>
    <row r="8" spans="1:14" ht="15" customHeight="1" x14ac:dyDescent="0.2">
      <c r="A8" s="67" t="s">
        <v>283</v>
      </c>
      <c r="B8" s="68">
        <f>+'SALE WORKING'!C8</f>
        <v>36646.618399999999</v>
      </c>
      <c r="C8" s="68">
        <f>+'SALE WORKING'!D8</f>
        <v>55549.74040000001</v>
      </c>
      <c r="D8" s="68">
        <f>+'SALE WORKING'!E8</f>
        <v>149635.80240000002</v>
      </c>
      <c r="E8" s="68">
        <f>+'SALE WORKING'!F8</f>
        <v>66125.387999999992</v>
      </c>
      <c r="F8" s="68">
        <f>+'SALE WORKING'!G8</f>
        <v>30473.3688</v>
      </c>
      <c r="G8" s="68">
        <f>+'SALE WORKING'!H8</f>
        <v>75713.330000000016</v>
      </c>
      <c r="H8" s="68">
        <f>+'SALE WORKING'!I8</f>
        <v>51945.630799999992</v>
      </c>
      <c r="I8" s="68">
        <f>+'SALE WORKING'!J8</f>
        <v>50926.2068</v>
      </c>
      <c r="J8" s="68">
        <f>+'SALE WORKING'!K8</f>
        <v>128383.5336</v>
      </c>
      <c r="K8" s="68">
        <f>+'SALE WORKING'!L8</f>
        <v>38884.86</v>
      </c>
      <c r="L8" s="68">
        <f>+'SALE WORKING'!M8</f>
        <v>0</v>
      </c>
      <c r="M8" s="70">
        <f>+'SALE WORKING'!N8</f>
        <v>0</v>
      </c>
      <c r="N8" s="71">
        <f t="shared" si="0"/>
        <v>684284.47919999994</v>
      </c>
    </row>
    <row r="9" spans="1:14" ht="15" customHeight="1" x14ac:dyDescent="0.2">
      <c r="A9" s="67" t="s">
        <v>284</v>
      </c>
      <c r="B9" s="68">
        <f>+'SALE WORKING'!C9-815.85</f>
        <v>416437.87849999993</v>
      </c>
      <c r="C9" s="68">
        <f>+'SALE WORKING'!D9+815.85</f>
        <v>466622.51300000015</v>
      </c>
      <c r="D9" s="68">
        <f>+'SALE WORKING'!E9</f>
        <v>554487.2250600002</v>
      </c>
      <c r="E9" s="68">
        <f>+'SALE WORKING'!F9</f>
        <v>762810.05540000054</v>
      </c>
      <c r="F9" s="68">
        <f>+'SALE WORKING'!G9</f>
        <v>614771.33640000015</v>
      </c>
      <c r="G9" s="68">
        <f>+'SALE WORKING'!H9</f>
        <v>496044.81260000024</v>
      </c>
      <c r="H9" s="68">
        <f>+'SALE WORKING'!I9</f>
        <v>419677.1544</v>
      </c>
      <c r="I9" s="68">
        <f>+'SALE WORKING'!J9</f>
        <v>256975.35380000001</v>
      </c>
      <c r="J9" s="68">
        <f>+'SALE WORKING'!K9</f>
        <v>265592.08979999996</v>
      </c>
      <c r="K9" s="68">
        <f>+'SALE WORKING'!L9</f>
        <v>513531.29960000014</v>
      </c>
      <c r="L9" s="68">
        <f>+'SALE WORKING'!M9</f>
        <v>0</v>
      </c>
      <c r="M9" s="70">
        <f>+'SALE WORKING'!N9</f>
        <v>0</v>
      </c>
      <c r="N9" s="71">
        <f t="shared" si="0"/>
        <v>4766949.7185600018</v>
      </c>
    </row>
    <row r="10" spans="1:14" ht="15" customHeight="1" x14ac:dyDescent="0.2">
      <c r="A10" s="67" t="s">
        <v>285</v>
      </c>
      <c r="B10" s="68">
        <f>+'SALE WORKING'!C10-815.85</f>
        <v>416437.87849999993</v>
      </c>
      <c r="C10" s="68">
        <f>+'SALE WORKING'!D10+815.85</f>
        <v>466622.51300000015</v>
      </c>
      <c r="D10" s="68">
        <f>+'SALE WORKING'!E10</f>
        <v>554487.2250600002</v>
      </c>
      <c r="E10" s="68">
        <f>+'SALE WORKING'!F10</f>
        <v>762810.05540000054</v>
      </c>
      <c r="F10" s="68">
        <f>+'SALE WORKING'!G10</f>
        <v>614771.33640000015</v>
      </c>
      <c r="G10" s="68">
        <f>+'SALE WORKING'!H10</f>
        <v>496044.81260000024</v>
      </c>
      <c r="H10" s="68">
        <f>+'SALE WORKING'!I10</f>
        <v>419677.1544</v>
      </c>
      <c r="I10" s="68">
        <f>+'SALE WORKING'!J10</f>
        <v>256975.35380000001</v>
      </c>
      <c r="J10" s="68">
        <f>+'SALE WORKING'!K10</f>
        <v>265592.08979999996</v>
      </c>
      <c r="K10" s="68">
        <f>+'SALE WORKING'!L10</f>
        <v>513531.29960000014</v>
      </c>
      <c r="L10" s="68">
        <f>+'SALE WORKING'!M10</f>
        <v>0</v>
      </c>
      <c r="M10" s="70">
        <f>+'SALE WORKING'!N10</f>
        <v>0</v>
      </c>
      <c r="N10" s="71">
        <f t="shared" si="0"/>
        <v>4766949.7185600018</v>
      </c>
    </row>
    <row r="11" spans="1:14" ht="15" customHeight="1" x14ac:dyDescent="0.2">
      <c r="A11" s="67" t="s">
        <v>286</v>
      </c>
      <c r="B11" s="68">
        <f>+'SALE WORKING'!C11</f>
        <v>0</v>
      </c>
      <c r="C11" s="68">
        <f>+'SALE WORKING'!D11</f>
        <v>0</v>
      </c>
      <c r="D11" s="68">
        <f>+'SALE WORKING'!E11</f>
        <v>0</v>
      </c>
      <c r="E11" s="68">
        <f>+'SALE WORKING'!F11</f>
        <v>0</v>
      </c>
      <c r="F11" s="68">
        <f>+'SALE WORKING'!G11</f>
        <v>0</v>
      </c>
      <c r="G11" s="68">
        <f>+'SALE WORKING'!H11</f>
        <v>0</v>
      </c>
      <c r="H11" s="68">
        <f>+'SALE WORKING'!I11</f>
        <v>0</v>
      </c>
      <c r="I11" s="68">
        <f>+'SALE WORKING'!J11</f>
        <v>0</v>
      </c>
      <c r="J11" s="68">
        <f>+'SALE WORKING'!K11</f>
        <v>0</v>
      </c>
      <c r="K11" s="68">
        <f>+'SALE WORKING'!L11</f>
        <v>0</v>
      </c>
      <c r="L11" s="68">
        <f>+'SALE WORKING'!M11</f>
        <v>0</v>
      </c>
      <c r="M11" s="70">
        <f>+'SALE WORKING'!N11</f>
        <v>0</v>
      </c>
      <c r="N11" s="71">
        <f t="shared" si="0"/>
        <v>0</v>
      </c>
    </row>
    <row r="12" spans="1:14" x14ac:dyDescent="0.2">
      <c r="A12" s="1043" t="s">
        <v>287</v>
      </c>
      <c r="B12" s="1044"/>
      <c r="C12" s="1044"/>
      <c r="D12" s="1044"/>
      <c r="E12" s="1044"/>
      <c r="F12" s="1044"/>
      <c r="G12" s="1044"/>
      <c r="H12" s="1044"/>
      <c r="I12" s="1044"/>
      <c r="J12" s="1044"/>
      <c r="K12" s="1044"/>
      <c r="L12" s="1044"/>
      <c r="M12" s="1044"/>
      <c r="N12" s="1045"/>
    </row>
    <row r="13" spans="1:14" x14ac:dyDescent="0.2">
      <c r="A13" s="63" t="s">
        <v>279</v>
      </c>
      <c r="B13" s="64">
        <v>43556</v>
      </c>
      <c r="C13" s="64">
        <v>43586</v>
      </c>
      <c r="D13" s="64">
        <v>43617</v>
      </c>
      <c r="E13" s="64">
        <v>43647</v>
      </c>
      <c r="F13" s="64">
        <v>43678</v>
      </c>
      <c r="G13" s="64">
        <v>43709</v>
      </c>
      <c r="H13" s="64">
        <v>43739</v>
      </c>
      <c r="I13" s="64">
        <v>43770</v>
      </c>
      <c r="J13" s="64">
        <v>43800</v>
      </c>
      <c r="K13" s="64">
        <v>43831</v>
      </c>
      <c r="L13" s="64">
        <v>43862</v>
      </c>
      <c r="M13" s="65">
        <v>43891</v>
      </c>
      <c r="N13" s="66" t="s">
        <v>347</v>
      </c>
    </row>
    <row r="14" spans="1:14" ht="15" customHeight="1" x14ac:dyDescent="0.2">
      <c r="A14" s="34" t="s">
        <v>280</v>
      </c>
      <c r="B14" s="71">
        <v>0</v>
      </c>
      <c r="C14" s="71"/>
      <c r="D14" s="71"/>
      <c r="E14" s="71"/>
      <c r="F14" s="71"/>
      <c r="G14" s="71"/>
      <c r="H14" s="71"/>
      <c r="I14" s="71"/>
      <c r="J14" s="71"/>
      <c r="K14" s="71"/>
      <c r="L14" s="71"/>
      <c r="M14" s="73"/>
      <c r="N14" s="71">
        <f t="shared" ref="N14:N18" si="1">SUM(B14:M14)</f>
        <v>0</v>
      </c>
    </row>
    <row r="15" spans="1:14" ht="15" customHeight="1" x14ac:dyDescent="0.2">
      <c r="A15" s="34" t="s">
        <v>281</v>
      </c>
      <c r="B15" s="71">
        <f>+'SALE WORKING'!C15</f>
        <v>0</v>
      </c>
      <c r="C15" s="71">
        <f>+'SALE WORKING'!D15</f>
        <v>0</v>
      </c>
      <c r="D15" s="71">
        <f>+'SALE WORKING'!E15</f>
        <v>0</v>
      </c>
      <c r="E15" s="71">
        <f>+'SALE WORKING'!F15</f>
        <v>0</v>
      </c>
      <c r="F15" s="71">
        <f>+'SALE WORKING'!G15</f>
        <v>0</v>
      </c>
      <c r="G15" s="71">
        <f>+'SALE WORKING'!H15</f>
        <v>0</v>
      </c>
      <c r="H15" s="71">
        <f>+'SALE WORKING'!I15</f>
        <v>0</v>
      </c>
      <c r="I15" s="71">
        <f>+'SALE WORKING'!J15</f>
        <v>0</v>
      </c>
      <c r="J15" s="71">
        <f>+'SALE WORKING'!K15</f>
        <v>0</v>
      </c>
      <c r="K15" s="71">
        <f>+'SALE WORKING'!L15</f>
        <v>0</v>
      </c>
      <c r="L15" s="71">
        <f>+'SALE WORKING'!M15</f>
        <v>0</v>
      </c>
      <c r="M15" s="73">
        <f>+'SALE WORKING'!N15</f>
        <v>0</v>
      </c>
      <c r="N15" s="71">
        <f t="shared" si="1"/>
        <v>0</v>
      </c>
    </row>
    <row r="16" spans="1:14" ht="15" customHeight="1" x14ac:dyDescent="0.2">
      <c r="A16" s="34" t="s">
        <v>282</v>
      </c>
      <c r="B16" s="71">
        <f>+'SALE WORKING'!C16</f>
        <v>0</v>
      </c>
      <c r="C16" s="71">
        <f>+'SALE WORKING'!D16</f>
        <v>0</v>
      </c>
      <c r="D16" s="71">
        <f>+'SALE WORKING'!E16</f>
        <v>0</v>
      </c>
      <c r="E16" s="71">
        <f>+'SALE WORKING'!F16</f>
        <v>0</v>
      </c>
      <c r="F16" s="71">
        <f>+'SALE WORKING'!G16</f>
        <v>0</v>
      </c>
      <c r="G16" s="71">
        <f>+'SALE WORKING'!H16</f>
        <v>0</v>
      </c>
      <c r="H16" s="71">
        <f>+'SALE WORKING'!I16</f>
        <v>0</v>
      </c>
      <c r="I16" s="71">
        <f>+'SALE WORKING'!J16</f>
        <v>0</v>
      </c>
      <c r="J16" s="71">
        <f>+'SALE WORKING'!K16</f>
        <v>0</v>
      </c>
      <c r="K16" s="71">
        <f>+'SALE WORKING'!L16</f>
        <v>0</v>
      </c>
      <c r="L16" s="71">
        <f>+'SALE WORKING'!M16</f>
        <v>0</v>
      </c>
      <c r="M16" s="73">
        <f>+'SALE WORKING'!N16</f>
        <v>0</v>
      </c>
      <c r="N16" s="71">
        <f t="shared" si="1"/>
        <v>0</v>
      </c>
    </row>
    <row r="17" spans="1:14" ht="15" customHeight="1" x14ac:dyDescent="0.2">
      <c r="A17" s="34" t="s">
        <v>283</v>
      </c>
      <c r="B17" s="71">
        <f>+'SALE WORKING'!C17</f>
        <v>0</v>
      </c>
      <c r="C17" s="71">
        <f>+'SALE WORKING'!D17</f>
        <v>0</v>
      </c>
      <c r="D17" s="71">
        <f>+'SALE WORKING'!E17</f>
        <v>0</v>
      </c>
      <c r="E17" s="71">
        <f>+'SALE WORKING'!F17</f>
        <v>0</v>
      </c>
      <c r="F17" s="71">
        <f>+'SALE WORKING'!G17</f>
        <v>0</v>
      </c>
      <c r="G17" s="71">
        <f>+'SALE WORKING'!H17</f>
        <v>0</v>
      </c>
      <c r="H17" s="71">
        <f>+'SALE WORKING'!I17</f>
        <v>0</v>
      </c>
      <c r="I17" s="71">
        <f>+'SALE WORKING'!J17</f>
        <v>0</v>
      </c>
      <c r="J17" s="71">
        <f>+'SALE WORKING'!K17</f>
        <v>0</v>
      </c>
      <c r="K17" s="71">
        <f>+'SALE WORKING'!L17</f>
        <v>0</v>
      </c>
      <c r="L17" s="71">
        <f>+'SALE WORKING'!M17</f>
        <v>0</v>
      </c>
      <c r="M17" s="73">
        <f>+'SALE WORKING'!N17</f>
        <v>0</v>
      </c>
      <c r="N17" s="71">
        <f t="shared" si="1"/>
        <v>0</v>
      </c>
    </row>
    <row r="18" spans="1:14" ht="15" customHeight="1" x14ac:dyDescent="0.2">
      <c r="A18" s="34" t="s">
        <v>286</v>
      </c>
      <c r="B18" s="71">
        <f>+'SALE WORKING'!C18</f>
        <v>0</v>
      </c>
      <c r="C18" s="71">
        <f>+'SALE WORKING'!D18</f>
        <v>0</v>
      </c>
      <c r="D18" s="71">
        <f>+'SALE WORKING'!E18</f>
        <v>0</v>
      </c>
      <c r="E18" s="71">
        <f>+'SALE WORKING'!F18</f>
        <v>0</v>
      </c>
      <c r="F18" s="71">
        <f>+'SALE WORKING'!G18</f>
        <v>0</v>
      </c>
      <c r="G18" s="71">
        <f>+'SALE WORKING'!H18</f>
        <v>0</v>
      </c>
      <c r="H18" s="71">
        <f>+'SALE WORKING'!I18</f>
        <v>0</v>
      </c>
      <c r="I18" s="71">
        <f>+'SALE WORKING'!J18</f>
        <v>0</v>
      </c>
      <c r="J18" s="71">
        <f>+'SALE WORKING'!K18</f>
        <v>0</v>
      </c>
      <c r="K18" s="71">
        <f>+'SALE WORKING'!L18</f>
        <v>0</v>
      </c>
      <c r="L18" s="71">
        <f>+'SALE WORKING'!M18</f>
        <v>0</v>
      </c>
      <c r="M18" s="73">
        <f>+'SALE WORKING'!N18</f>
        <v>0</v>
      </c>
      <c r="N18" s="71">
        <f t="shared" si="1"/>
        <v>0</v>
      </c>
    </row>
    <row r="19" spans="1:14" ht="15.75" customHeight="1" x14ac:dyDescent="0.2">
      <c r="A19" s="1009" t="s">
        <v>288</v>
      </c>
      <c r="B19" s="1010"/>
      <c r="C19" s="1010"/>
      <c r="D19" s="1010"/>
      <c r="E19" s="1010"/>
      <c r="F19" s="1010"/>
      <c r="G19" s="1010"/>
      <c r="H19" s="1010"/>
      <c r="I19" s="1010"/>
      <c r="J19" s="1010"/>
      <c r="K19" s="1010"/>
      <c r="L19" s="1010"/>
      <c r="M19" s="1010"/>
      <c r="N19" s="1011"/>
    </row>
    <row r="20" spans="1:14" x14ac:dyDescent="0.2">
      <c r="A20" s="63" t="s">
        <v>279</v>
      </c>
      <c r="B20" s="64">
        <v>43556</v>
      </c>
      <c r="C20" s="64">
        <v>43586</v>
      </c>
      <c r="D20" s="64">
        <v>43617</v>
      </c>
      <c r="E20" s="64">
        <v>43647</v>
      </c>
      <c r="F20" s="64">
        <v>43678</v>
      </c>
      <c r="G20" s="64">
        <v>43709</v>
      </c>
      <c r="H20" s="64">
        <v>43739</v>
      </c>
      <c r="I20" s="64">
        <v>43770</v>
      </c>
      <c r="J20" s="64">
        <v>43800</v>
      </c>
      <c r="K20" s="64">
        <v>43831</v>
      </c>
      <c r="L20" s="64">
        <v>43862</v>
      </c>
      <c r="M20" s="65">
        <v>43891</v>
      </c>
      <c r="N20" s="66" t="s">
        <v>347</v>
      </c>
    </row>
    <row r="21" spans="1:14" ht="15" customHeight="1" x14ac:dyDescent="0.2">
      <c r="A21" s="34" t="s">
        <v>280</v>
      </c>
      <c r="B21" s="71"/>
      <c r="C21" s="34"/>
      <c r="D21" s="34"/>
      <c r="E21" s="34"/>
      <c r="F21" s="34"/>
      <c r="G21" s="34"/>
      <c r="H21" s="34"/>
      <c r="I21" s="34"/>
      <c r="J21" s="34"/>
      <c r="K21" s="34"/>
      <c r="L21" s="34"/>
      <c r="M21" s="74"/>
      <c r="N21" s="34"/>
    </row>
    <row r="22" spans="1:14" x14ac:dyDescent="0.2">
      <c r="A22" s="34" t="s">
        <v>281</v>
      </c>
      <c r="B22" s="71">
        <f>+'SALE WORKING'!C40</f>
        <v>-7798.5407999999998</v>
      </c>
      <c r="C22" s="71">
        <f>+'SALE WORKING'!D40</f>
        <v>-32487.014399999996</v>
      </c>
      <c r="D22" s="71">
        <f>+'SALE WORKING'!E40</f>
        <v>656191.28320000006</v>
      </c>
      <c r="E22" s="71">
        <f>+'SALE WORKING'!F40</f>
        <v>-107313.54880000002</v>
      </c>
      <c r="F22" s="71">
        <f>+'SALE WORKING'!G40</f>
        <v>-153581.82399999999</v>
      </c>
      <c r="G22" s="71">
        <f>+'SALE WORKING'!H40</f>
        <v>-3412.5600000000004</v>
      </c>
      <c r="H22" s="71">
        <f>+'SALE WORKING'!I40</f>
        <v>0</v>
      </c>
      <c r="I22" s="71">
        <f>+'SALE WORKING'!J40</f>
        <v>0</v>
      </c>
      <c r="J22" s="71">
        <f>+'SALE WORKING'!K40</f>
        <v>0</v>
      </c>
      <c r="K22" s="71">
        <f>+'SALE WORKING'!L40</f>
        <v>0</v>
      </c>
      <c r="L22" s="71">
        <f>+'SALE WORKING'!M40</f>
        <v>0</v>
      </c>
      <c r="M22" s="73">
        <f>+'SALE WORKING'!N40</f>
        <v>0</v>
      </c>
      <c r="N22" s="71">
        <f t="shared" ref="N22:N27" si="2">SUM(B22:M22)</f>
        <v>351597.79520000011</v>
      </c>
    </row>
    <row r="23" spans="1:14" x14ac:dyDescent="0.2">
      <c r="A23" s="34" t="s">
        <v>282</v>
      </c>
      <c r="B23" s="71">
        <f>+'SALE WORKING'!C41</f>
        <v>-6092.61</v>
      </c>
      <c r="C23" s="71">
        <f>+'SALE WORKING'!D41</f>
        <v>-25380.48</v>
      </c>
      <c r="D23" s="71">
        <f>+'SALE WORKING'!E41</f>
        <v>512649.44000000006</v>
      </c>
      <c r="E23" s="71">
        <f>+'SALE WORKING'!F41</f>
        <v>-83838.710000000006</v>
      </c>
      <c r="F23" s="71">
        <f>+'SALE WORKING'!G41</f>
        <v>-119985.80000000002</v>
      </c>
      <c r="G23" s="71">
        <f>+'SALE WORKING'!H41</f>
        <v>-2892</v>
      </c>
      <c r="H23" s="71">
        <f>+'SALE WORKING'!I41</f>
        <v>0</v>
      </c>
      <c r="I23" s="71">
        <f>+'SALE WORKING'!J41</f>
        <v>0</v>
      </c>
      <c r="J23" s="71">
        <f>+'SALE WORKING'!K41</f>
        <v>0</v>
      </c>
      <c r="K23" s="71">
        <f>+'SALE WORKING'!L41</f>
        <v>0</v>
      </c>
      <c r="L23" s="71">
        <f>+'SALE WORKING'!M41</f>
        <v>0</v>
      </c>
      <c r="M23" s="73">
        <f>+'SALE WORKING'!N41</f>
        <v>0</v>
      </c>
      <c r="N23" s="71">
        <f t="shared" si="2"/>
        <v>274459.83999999997</v>
      </c>
    </row>
    <row r="24" spans="1:14" x14ac:dyDescent="0.2">
      <c r="A24" s="34" t="s">
        <v>283</v>
      </c>
      <c r="B24" s="71">
        <f>+'SALE WORKING'!C42</f>
        <v>-1705.9308000000001</v>
      </c>
      <c r="C24" s="71">
        <f>+'SALE WORKING'!D42</f>
        <v>0</v>
      </c>
      <c r="D24" s="71">
        <f>+'SALE WORKING'!E42</f>
        <v>-8525.9439999999995</v>
      </c>
      <c r="E24" s="71">
        <f>+'SALE WORKING'!F42</f>
        <v>-1698.06</v>
      </c>
      <c r="F24" s="71">
        <f>+'SALE WORKING'!G42</f>
        <v>0</v>
      </c>
      <c r="G24" s="71">
        <f>+'SALE WORKING'!H42</f>
        <v>0</v>
      </c>
      <c r="H24" s="71">
        <f>+'SALE WORKING'!I42</f>
        <v>0</v>
      </c>
      <c r="I24" s="71">
        <f>+'SALE WORKING'!J42</f>
        <v>0</v>
      </c>
      <c r="J24" s="71">
        <f>+'SALE WORKING'!K42</f>
        <v>0</v>
      </c>
      <c r="K24" s="71">
        <f>+'SALE WORKING'!L42</f>
        <v>0</v>
      </c>
      <c r="L24" s="71">
        <f>+'SALE WORKING'!M42</f>
        <v>0</v>
      </c>
      <c r="M24" s="73">
        <f>+'SALE WORKING'!N42</f>
        <v>0</v>
      </c>
      <c r="N24" s="71">
        <f t="shared" si="2"/>
        <v>-11929.934799999999</v>
      </c>
    </row>
    <row r="25" spans="1:14" x14ac:dyDescent="0.2">
      <c r="A25" s="34" t="s">
        <v>284</v>
      </c>
      <c r="B25" s="71">
        <f>+'SALE WORKING'!C43</f>
        <v>0</v>
      </c>
      <c r="C25" s="71">
        <f>+'SALE WORKING'!D43</f>
        <v>-3553.2671999999998</v>
      </c>
      <c r="D25" s="71">
        <f>+'SALE WORKING'!E43</f>
        <v>76033.89360000001</v>
      </c>
      <c r="E25" s="71">
        <f>+'SALE WORKING'!F43</f>
        <v>-10888.389400000002</v>
      </c>
      <c r="F25" s="71">
        <f>+'SALE WORKING'!G43</f>
        <v>-16798.011999999999</v>
      </c>
      <c r="G25" s="71">
        <f>+'SALE WORKING'!H43</f>
        <v>-260.28000000000003</v>
      </c>
      <c r="H25" s="71">
        <f>+'SALE WORKING'!I43</f>
        <v>0</v>
      </c>
      <c r="I25" s="71">
        <f>+'SALE WORKING'!J43</f>
        <v>0</v>
      </c>
      <c r="J25" s="71">
        <f>+'SALE WORKING'!K43</f>
        <v>0</v>
      </c>
      <c r="K25" s="71">
        <f>+'SALE WORKING'!L43</f>
        <v>0</v>
      </c>
      <c r="L25" s="71">
        <f>+'SALE WORKING'!M43</f>
        <v>0</v>
      </c>
      <c r="M25" s="73">
        <f>+'SALE WORKING'!N43</f>
        <v>0</v>
      </c>
      <c r="N25" s="71">
        <f t="shared" si="2"/>
        <v>44533.945000000007</v>
      </c>
    </row>
    <row r="26" spans="1:14" x14ac:dyDescent="0.2">
      <c r="A26" s="34" t="s">
        <v>285</v>
      </c>
      <c r="B26" s="71">
        <f>+'SALE WORKING'!C44</f>
        <v>0</v>
      </c>
      <c r="C26" s="71">
        <f>+'SALE WORKING'!D44</f>
        <v>-3553.2671999999998</v>
      </c>
      <c r="D26" s="71">
        <f>+'SALE WORKING'!E44</f>
        <v>76033.89360000001</v>
      </c>
      <c r="E26" s="71">
        <f>+'SALE WORKING'!F44</f>
        <v>-10888.389400000002</v>
      </c>
      <c r="F26" s="71">
        <f>+'SALE WORKING'!G44</f>
        <v>-16798.011999999999</v>
      </c>
      <c r="G26" s="71">
        <f>+'SALE WORKING'!H44</f>
        <v>-260.28000000000003</v>
      </c>
      <c r="H26" s="71">
        <f>+'SALE WORKING'!I44</f>
        <v>0</v>
      </c>
      <c r="I26" s="71">
        <f>+'SALE WORKING'!J44</f>
        <v>0</v>
      </c>
      <c r="J26" s="71">
        <f>+'SALE WORKING'!K44</f>
        <v>0</v>
      </c>
      <c r="K26" s="71">
        <f>+'SALE WORKING'!L44</f>
        <v>0</v>
      </c>
      <c r="L26" s="71">
        <f>+'SALE WORKING'!M44</f>
        <v>0</v>
      </c>
      <c r="M26" s="73">
        <f>+'SALE WORKING'!N44</f>
        <v>0</v>
      </c>
      <c r="N26" s="71">
        <f t="shared" si="2"/>
        <v>44533.945000000007</v>
      </c>
    </row>
    <row r="27" spans="1:14" x14ac:dyDescent="0.2">
      <c r="A27" s="34" t="s">
        <v>286</v>
      </c>
      <c r="B27" s="71">
        <f>+'SALE WORKING'!C45</f>
        <v>0</v>
      </c>
      <c r="C27" s="71">
        <f>+'SALE WORKING'!D45</f>
        <v>0</v>
      </c>
      <c r="D27" s="71">
        <f>+'SALE WORKING'!E45</f>
        <v>0</v>
      </c>
      <c r="E27" s="71">
        <f>+'SALE WORKING'!F45</f>
        <v>0</v>
      </c>
      <c r="F27" s="71">
        <f>+'SALE WORKING'!G45</f>
        <v>0</v>
      </c>
      <c r="G27" s="71">
        <f>+'SALE WORKING'!H45</f>
        <v>0</v>
      </c>
      <c r="H27" s="71">
        <f>+'SALE WORKING'!I45</f>
        <v>0</v>
      </c>
      <c r="I27" s="71">
        <f>+'SALE WORKING'!J45</f>
        <v>0</v>
      </c>
      <c r="J27" s="71">
        <f>+'SALE WORKING'!K45</f>
        <v>0</v>
      </c>
      <c r="K27" s="71">
        <f>+'SALE WORKING'!L45</f>
        <v>0</v>
      </c>
      <c r="L27" s="71">
        <f>+'SALE WORKING'!M45</f>
        <v>0</v>
      </c>
      <c r="M27" s="73">
        <f>+'SALE WORKING'!N45</f>
        <v>0</v>
      </c>
      <c r="N27" s="71">
        <f t="shared" si="2"/>
        <v>0</v>
      </c>
    </row>
    <row r="28" spans="1:14" ht="15.75" customHeight="1" x14ac:dyDescent="0.2">
      <c r="A28" s="1015" t="s">
        <v>289</v>
      </c>
      <c r="B28" s="1016"/>
      <c r="C28" s="1016"/>
      <c r="D28" s="1016"/>
      <c r="E28" s="1016"/>
      <c r="F28" s="1016"/>
      <c r="G28" s="1016"/>
      <c r="H28" s="1016"/>
      <c r="I28" s="1016"/>
      <c r="J28" s="1016"/>
      <c r="K28" s="1016"/>
      <c r="L28" s="1016"/>
      <c r="M28" s="1016"/>
      <c r="N28" s="1017"/>
    </row>
    <row r="29" spans="1:14" x14ac:dyDescent="0.2">
      <c r="A29" s="63" t="s">
        <v>279</v>
      </c>
      <c r="B29" s="64">
        <v>43556</v>
      </c>
      <c r="C29" s="64">
        <v>43586</v>
      </c>
      <c r="D29" s="64">
        <v>43617</v>
      </c>
      <c r="E29" s="64">
        <v>43647</v>
      </c>
      <c r="F29" s="64">
        <v>43678</v>
      </c>
      <c r="G29" s="64">
        <v>43709</v>
      </c>
      <c r="H29" s="64">
        <v>43739</v>
      </c>
      <c r="I29" s="64">
        <v>43770</v>
      </c>
      <c r="J29" s="64">
        <v>43800</v>
      </c>
      <c r="K29" s="64">
        <v>43831</v>
      </c>
      <c r="L29" s="64">
        <v>43862</v>
      </c>
      <c r="M29" s="65">
        <v>43891</v>
      </c>
      <c r="N29" s="66" t="s">
        <v>347</v>
      </c>
    </row>
    <row r="30" spans="1:14" ht="15" customHeight="1" x14ac:dyDescent="0.2">
      <c r="A30" s="34" t="s">
        <v>280</v>
      </c>
      <c r="B30" s="71"/>
      <c r="C30" s="71"/>
      <c r="D30" s="71"/>
      <c r="E30" s="71"/>
      <c r="F30" s="71"/>
      <c r="G30" s="71"/>
      <c r="H30" s="71"/>
      <c r="I30" s="71"/>
      <c r="J30" s="71"/>
      <c r="K30" s="71"/>
      <c r="L30" s="71"/>
      <c r="M30" s="73"/>
      <c r="N30" s="71">
        <f t="shared" ref="N30:N34" si="3">SUM(B30:M30)</f>
        <v>0</v>
      </c>
    </row>
    <row r="31" spans="1:14" x14ac:dyDescent="0.2">
      <c r="A31" s="34" t="s">
        <v>281</v>
      </c>
      <c r="B31" s="75">
        <f>+'SALE WORKING'!C63</f>
        <v>0</v>
      </c>
      <c r="C31" s="75">
        <f>+'SALE WORKING'!D63</f>
        <v>0</v>
      </c>
      <c r="D31" s="75">
        <f>+'SALE WORKING'!E63</f>
        <v>0</v>
      </c>
      <c r="E31" s="75">
        <f>+'SALE WORKING'!F63</f>
        <v>0</v>
      </c>
      <c r="F31" s="75">
        <f>+'SALE WORKING'!G63</f>
        <v>0</v>
      </c>
      <c r="G31" s="75">
        <f>+'SALE WORKING'!H63</f>
        <v>0</v>
      </c>
      <c r="H31" s="75">
        <f>+'SALE WORKING'!I63</f>
        <v>0</v>
      </c>
      <c r="I31" s="75">
        <f>+'SALE WORKING'!J63</f>
        <v>0</v>
      </c>
      <c r="J31" s="75">
        <f>+'SALE WORKING'!K63</f>
        <v>0</v>
      </c>
      <c r="K31" s="75">
        <f>+'SALE WORKING'!L63</f>
        <v>0</v>
      </c>
      <c r="L31" s="75">
        <f>+'SALE WORKING'!M63</f>
        <v>0</v>
      </c>
      <c r="M31" s="76">
        <f>+'SALE WORKING'!N63</f>
        <v>0</v>
      </c>
      <c r="N31" s="71">
        <f t="shared" si="3"/>
        <v>0</v>
      </c>
    </row>
    <row r="32" spans="1:14" x14ac:dyDescent="0.2">
      <c r="A32" s="34" t="s">
        <v>282</v>
      </c>
      <c r="B32" s="75">
        <f>+'SALE WORKING'!C64</f>
        <v>0</v>
      </c>
      <c r="C32" s="75">
        <f>+'SALE WORKING'!D64</f>
        <v>0</v>
      </c>
      <c r="D32" s="75">
        <f>+'SALE WORKING'!E64</f>
        <v>0</v>
      </c>
      <c r="E32" s="75">
        <f>+'SALE WORKING'!F64</f>
        <v>0</v>
      </c>
      <c r="F32" s="75">
        <f>+'SALE WORKING'!G64</f>
        <v>0</v>
      </c>
      <c r="G32" s="75">
        <f>+'SALE WORKING'!H64</f>
        <v>0</v>
      </c>
      <c r="H32" s="75">
        <f>+'SALE WORKING'!I64</f>
        <v>0</v>
      </c>
      <c r="I32" s="75">
        <f>+'SALE WORKING'!J64</f>
        <v>0</v>
      </c>
      <c r="J32" s="75">
        <f>+'SALE WORKING'!K64</f>
        <v>0</v>
      </c>
      <c r="K32" s="75">
        <f>+'SALE WORKING'!L64</f>
        <v>0</v>
      </c>
      <c r="L32" s="75">
        <f>+'SALE WORKING'!M64</f>
        <v>0</v>
      </c>
      <c r="M32" s="76">
        <f>+'SALE WORKING'!N64</f>
        <v>0</v>
      </c>
      <c r="N32" s="71">
        <f t="shared" si="3"/>
        <v>0</v>
      </c>
    </row>
    <row r="33" spans="1:14" x14ac:dyDescent="0.2">
      <c r="A33" s="34" t="s">
        <v>283</v>
      </c>
      <c r="B33" s="75">
        <f>+'SALE WORKING'!C65</f>
        <v>0</v>
      </c>
      <c r="C33" s="75">
        <f>+'SALE WORKING'!D65</f>
        <v>0</v>
      </c>
      <c r="D33" s="75">
        <f>+'SALE WORKING'!E65</f>
        <v>0</v>
      </c>
      <c r="E33" s="75">
        <f>+'SALE WORKING'!F65</f>
        <v>0</v>
      </c>
      <c r="F33" s="75">
        <f>+'SALE WORKING'!G65</f>
        <v>0</v>
      </c>
      <c r="G33" s="75">
        <f>+'SALE WORKING'!H65</f>
        <v>0</v>
      </c>
      <c r="H33" s="75">
        <f>+'SALE WORKING'!I65</f>
        <v>0</v>
      </c>
      <c r="I33" s="75">
        <f>+'SALE WORKING'!J65</f>
        <v>0</v>
      </c>
      <c r="J33" s="75">
        <f>+'SALE WORKING'!K65</f>
        <v>0</v>
      </c>
      <c r="K33" s="75">
        <f>+'SALE WORKING'!L65</f>
        <v>0</v>
      </c>
      <c r="L33" s="75">
        <f>+'SALE WORKING'!M65</f>
        <v>0</v>
      </c>
      <c r="M33" s="76">
        <f>+'SALE WORKING'!N65</f>
        <v>0</v>
      </c>
      <c r="N33" s="71">
        <f t="shared" si="3"/>
        <v>0</v>
      </c>
    </row>
    <row r="34" spans="1:14" x14ac:dyDescent="0.2">
      <c r="A34" s="34" t="s">
        <v>286</v>
      </c>
      <c r="B34" s="75">
        <f>+'SALE WORKING'!C66</f>
        <v>0</v>
      </c>
      <c r="C34" s="75">
        <f>+'SALE WORKING'!D66</f>
        <v>0</v>
      </c>
      <c r="D34" s="75">
        <f>+'SALE WORKING'!E66</f>
        <v>0</v>
      </c>
      <c r="E34" s="75">
        <f>+'SALE WORKING'!F66</f>
        <v>0</v>
      </c>
      <c r="F34" s="75">
        <f>+'SALE WORKING'!G66</f>
        <v>0</v>
      </c>
      <c r="G34" s="75">
        <f>+'SALE WORKING'!H66</f>
        <v>0</v>
      </c>
      <c r="H34" s="75">
        <f>+'SALE WORKING'!I66</f>
        <v>0</v>
      </c>
      <c r="I34" s="75">
        <f>+'SALE WORKING'!J66</f>
        <v>0</v>
      </c>
      <c r="J34" s="75">
        <f>+'SALE WORKING'!K66</f>
        <v>0</v>
      </c>
      <c r="K34" s="75">
        <f>+'SALE WORKING'!L66</f>
        <v>0</v>
      </c>
      <c r="L34" s="75">
        <f>+'SALE WORKING'!M66</f>
        <v>0</v>
      </c>
      <c r="M34" s="76">
        <f>+'SALE WORKING'!N66</f>
        <v>0</v>
      </c>
      <c r="N34" s="71">
        <f t="shared" si="3"/>
        <v>0</v>
      </c>
    </row>
    <row r="35" spans="1:14" x14ac:dyDescent="0.2">
      <c r="A35" s="1018" t="s">
        <v>290</v>
      </c>
      <c r="B35" s="1019"/>
      <c r="C35" s="1019"/>
      <c r="D35" s="1019"/>
      <c r="E35" s="1019"/>
      <c r="F35" s="1019"/>
      <c r="G35" s="1019"/>
      <c r="H35" s="1019"/>
      <c r="I35" s="1019"/>
      <c r="J35" s="1019"/>
      <c r="K35" s="1019"/>
      <c r="L35" s="1019"/>
      <c r="M35" s="1019"/>
      <c r="N35" s="1020"/>
    </row>
    <row r="36" spans="1:14" x14ac:dyDescent="0.2">
      <c r="A36" s="63" t="s">
        <v>279</v>
      </c>
      <c r="B36" s="64">
        <v>43556</v>
      </c>
      <c r="C36" s="64">
        <v>43586</v>
      </c>
      <c r="D36" s="64">
        <v>43617</v>
      </c>
      <c r="E36" s="64">
        <v>43647</v>
      </c>
      <c r="F36" s="64">
        <v>43678</v>
      </c>
      <c r="G36" s="64">
        <v>43709</v>
      </c>
      <c r="H36" s="64">
        <v>43739</v>
      </c>
      <c r="I36" s="64">
        <v>43770</v>
      </c>
      <c r="J36" s="64">
        <v>43800</v>
      </c>
      <c r="K36" s="64">
        <v>43831</v>
      </c>
      <c r="L36" s="64">
        <v>43862</v>
      </c>
      <c r="M36" s="65">
        <v>43891</v>
      </c>
      <c r="N36" s="66" t="s">
        <v>347</v>
      </c>
    </row>
    <row r="37" spans="1:14" ht="15" customHeight="1" x14ac:dyDescent="0.2">
      <c r="A37" s="34" t="s">
        <v>280</v>
      </c>
      <c r="B37" s="71"/>
      <c r="C37" s="71"/>
      <c r="D37" s="71"/>
      <c r="E37" s="71"/>
      <c r="F37" s="71"/>
      <c r="G37" s="71"/>
      <c r="H37" s="71"/>
      <c r="I37" s="71"/>
      <c r="J37" s="71"/>
      <c r="K37" s="71"/>
      <c r="L37" s="71"/>
      <c r="M37" s="73"/>
      <c r="N37" s="71">
        <f t="shared" ref="N37:N40" si="4">SUM(B37:M37)</f>
        <v>0</v>
      </c>
    </row>
    <row r="38" spans="1:14" x14ac:dyDescent="0.2">
      <c r="A38" s="34" t="s">
        <v>281</v>
      </c>
      <c r="B38" s="72">
        <f>+'SALE WORKING'!C70</f>
        <v>0</v>
      </c>
      <c r="C38" s="72">
        <f>+'SALE WORKING'!D70</f>
        <v>0</v>
      </c>
      <c r="D38" s="72">
        <f>+'SALE WORKING'!E70</f>
        <v>0</v>
      </c>
      <c r="E38" s="72">
        <f>+'SALE WORKING'!F70</f>
        <v>0</v>
      </c>
      <c r="F38" s="72">
        <f>+'SALE WORKING'!G70</f>
        <v>0</v>
      </c>
      <c r="G38" s="72">
        <f>+'SALE WORKING'!H70</f>
        <v>0</v>
      </c>
      <c r="H38" s="72">
        <f>+'SALE WORKING'!I70</f>
        <v>0</v>
      </c>
      <c r="I38" s="72">
        <f>+'SALE WORKING'!J70</f>
        <v>0</v>
      </c>
      <c r="J38" s="72">
        <f>+'SALE WORKING'!K70</f>
        <v>0</v>
      </c>
      <c r="K38" s="72">
        <f>+'SALE WORKING'!L70</f>
        <v>0</v>
      </c>
      <c r="L38" s="72">
        <f>+'SALE WORKING'!M70</f>
        <v>0</v>
      </c>
      <c r="M38" s="72">
        <f>+'SALE WORKING'!N70</f>
        <v>0</v>
      </c>
      <c r="N38" s="71">
        <f t="shared" si="4"/>
        <v>0</v>
      </c>
    </row>
    <row r="39" spans="1:14" x14ac:dyDescent="0.2">
      <c r="A39" s="34" t="s">
        <v>282</v>
      </c>
      <c r="B39" s="72">
        <f>+'SALE WORKING'!C71</f>
        <v>0</v>
      </c>
      <c r="C39" s="72">
        <f>+'SALE WORKING'!D71</f>
        <v>0</v>
      </c>
      <c r="D39" s="72">
        <f>+'SALE WORKING'!E71</f>
        <v>0</v>
      </c>
      <c r="E39" s="72">
        <f>+'SALE WORKING'!F71</f>
        <v>0</v>
      </c>
      <c r="F39" s="72">
        <f>+'SALE WORKING'!G71</f>
        <v>0</v>
      </c>
      <c r="G39" s="72">
        <f>+'SALE WORKING'!H71</f>
        <v>0</v>
      </c>
      <c r="H39" s="72">
        <f>+'SALE WORKING'!I71</f>
        <v>0</v>
      </c>
      <c r="I39" s="72">
        <f>+'SALE WORKING'!J71</f>
        <v>0</v>
      </c>
      <c r="J39" s="72">
        <f>+'SALE WORKING'!K71</f>
        <v>0</v>
      </c>
      <c r="K39" s="72">
        <f>+'SALE WORKING'!L71</f>
        <v>0</v>
      </c>
      <c r="L39" s="72">
        <f>+'SALE WORKING'!M71</f>
        <v>0</v>
      </c>
      <c r="M39" s="72">
        <f>+'SALE WORKING'!N71</f>
        <v>0</v>
      </c>
      <c r="N39" s="71">
        <f t="shared" si="4"/>
        <v>0</v>
      </c>
    </row>
    <row r="40" spans="1:14" x14ac:dyDescent="0.2">
      <c r="A40" s="34" t="s">
        <v>283</v>
      </c>
      <c r="B40" s="72">
        <f>+'SALE WORKING'!C72</f>
        <v>0</v>
      </c>
      <c r="C40" s="72">
        <f>+'SALE WORKING'!D72</f>
        <v>0</v>
      </c>
      <c r="D40" s="72">
        <f>+'SALE WORKING'!E72</f>
        <v>0</v>
      </c>
      <c r="E40" s="72">
        <f>+'SALE WORKING'!F72</f>
        <v>0</v>
      </c>
      <c r="F40" s="72">
        <f>+'SALE WORKING'!G72</f>
        <v>0</v>
      </c>
      <c r="G40" s="72">
        <f>+'SALE WORKING'!H72</f>
        <v>0</v>
      </c>
      <c r="H40" s="72">
        <f>+'SALE WORKING'!I72</f>
        <v>0</v>
      </c>
      <c r="I40" s="72">
        <f>+'SALE WORKING'!J72</f>
        <v>0</v>
      </c>
      <c r="J40" s="72">
        <f>+'SALE WORKING'!K72</f>
        <v>0</v>
      </c>
      <c r="K40" s="72">
        <f>+'SALE WORKING'!L72</f>
        <v>0</v>
      </c>
      <c r="L40" s="72">
        <f>+'SALE WORKING'!M72</f>
        <v>0</v>
      </c>
      <c r="M40" s="72">
        <f>+'SALE WORKING'!N72</f>
        <v>0</v>
      </c>
      <c r="N40" s="71">
        <f t="shared" si="4"/>
        <v>0</v>
      </c>
    </row>
    <row r="41" spans="1:14" x14ac:dyDescent="0.2">
      <c r="A41" s="1021" t="s">
        <v>291</v>
      </c>
      <c r="B41" s="1022"/>
      <c r="C41" s="1022"/>
      <c r="D41" s="1022"/>
      <c r="E41" s="1022"/>
      <c r="F41" s="1022"/>
      <c r="G41" s="1022"/>
      <c r="H41" s="1022"/>
      <c r="I41" s="1022"/>
      <c r="J41" s="1022"/>
      <c r="K41" s="1022"/>
      <c r="L41" s="1022"/>
      <c r="M41" s="1022"/>
      <c r="N41" s="1023"/>
    </row>
    <row r="42" spans="1:14" x14ac:dyDescent="0.2">
      <c r="A42" s="63" t="s">
        <v>279</v>
      </c>
      <c r="B42" s="64">
        <v>43556</v>
      </c>
      <c r="C42" s="64">
        <v>43586</v>
      </c>
      <c r="D42" s="64">
        <v>43617</v>
      </c>
      <c r="E42" s="64">
        <v>43647</v>
      </c>
      <c r="F42" s="64">
        <v>43678</v>
      </c>
      <c r="G42" s="64">
        <v>43709</v>
      </c>
      <c r="H42" s="64">
        <v>43739</v>
      </c>
      <c r="I42" s="64">
        <v>43770</v>
      </c>
      <c r="J42" s="64">
        <v>43800</v>
      </c>
      <c r="K42" s="64">
        <v>43831</v>
      </c>
      <c r="L42" s="64">
        <v>43862</v>
      </c>
      <c r="M42" s="65">
        <v>43891</v>
      </c>
      <c r="N42" s="66" t="s">
        <v>347</v>
      </c>
    </row>
    <row r="43" spans="1:14" x14ac:dyDescent="0.2">
      <c r="A43" s="34" t="s">
        <v>280</v>
      </c>
      <c r="B43" s="71"/>
      <c r="C43" s="71"/>
      <c r="D43" s="71"/>
      <c r="E43" s="71"/>
      <c r="F43" s="71"/>
      <c r="G43" s="71"/>
      <c r="H43" s="71"/>
      <c r="I43" s="71"/>
      <c r="J43" s="71"/>
      <c r="K43" s="71"/>
      <c r="L43" s="71"/>
      <c r="M43" s="73"/>
      <c r="N43" s="75">
        <f t="shared" ref="N43:N49" si="5">SUM(B43:M43)</f>
        <v>0</v>
      </c>
    </row>
    <row r="44" spans="1:14" x14ac:dyDescent="0.2">
      <c r="A44" s="34" t="s">
        <v>281</v>
      </c>
      <c r="B44" s="71">
        <f>+'SALE WORKING'!C76</f>
        <v>0</v>
      </c>
      <c r="C44" s="71">
        <f>+'SALE WORKING'!D76</f>
        <v>0</v>
      </c>
      <c r="D44" s="71">
        <f>+'SALE WORKING'!E76</f>
        <v>0</v>
      </c>
      <c r="E44" s="71">
        <f>+'SALE WORKING'!F76</f>
        <v>0</v>
      </c>
      <c r="F44" s="71">
        <f>+'SALE WORKING'!G76</f>
        <v>0</v>
      </c>
      <c r="G44" s="71">
        <f>+'SALE WORKING'!H76</f>
        <v>0</v>
      </c>
      <c r="H44" s="71">
        <f>+'SALE WORKING'!I76</f>
        <v>0</v>
      </c>
      <c r="I44" s="71">
        <f>+'SALE WORKING'!J76</f>
        <v>0</v>
      </c>
      <c r="J44" s="71">
        <f>+'SALE WORKING'!K76</f>
        <v>0</v>
      </c>
      <c r="K44" s="71">
        <f>+'SALE WORKING'!L76</f>
        <v>0</v>
      </c>
      <c r="L44" s="71">
        <f>+'SALE WORKING'!M76</f>
        <v>0</v>
      </c>
      <c r="M44" s="73">
        <f>+'SALE WORKING'!N76</f>
        <v>0</v>
      </c>
      <c r="N44" s="75">
        <f t="shared" si="5"/>
        <v>0</v>
      </c>
    </row>
    <row r="45" spans="1:14" x14ac:dyDescent="0.2">
      <c r="A45" s="34" t="s">
        <v>282</v>
      </c>
      <c r="B45" s="71">
        <f>+'SALE WORKING'!C77</f>
        <v>0</v>
      </c>
      <c r="C45" s="71">
        <f>+'SALE WORKING'!D77</f>
        <v>0</v>
      </c>
      <c r="D45" s="71">
        <f>+'SALE WORKING'!E77</f>
        <v>0</v>
      </c>
      <c r="E45" s="71">
        <f>+'SALE WORKING'!F77</f>
        <v>0</v>
      </c>
      <c r="F45" s="71">
        <f>+'SALE WORKING'!G77</f>
        <v>0</v>
      </c>
      <c r="G45" s="71">
        <f>+'SALE WORKING'!H77</f>
        <v>0</v>
      </c>
      <c r="H45" s="71">
        <f>+'SALE WORKING'!I77</f>
        <v>0</v>
      </c>
      <c r="I45" s="71">
        <f>+'SALE WORKING'!J77</f>
        <v>0</v>
      </c>
      <c r="J45" s="71">
        <f>+'SALE WORKING'!K77</f>
        <v>0</v>
      </c>
      <c r="K45" s="71">
        <f>+'SALE WORKING'!L77</f>
        <v>0</v>
      </c>
      <c r="L45" s="71">
        <f>+'SALE WORKING'!M77</f>
        <v>0</v>
      </c>
      <c r="M45" s="73">
        <f>+'SALE WORKING'!N77</f>
        <v>0</v>
      </c>
      <c r="N45" s="75">
        <f t="shared" si="5"/>
        <v>0</v>
      </c>
    </row>
    <row r="46" spans="1:14" x14ac:dyDescent="0.2">
      <c r="A46" s="34" t="s">
        <v>283</v>
      </c>
      <c r="B46" s="71">
        <f>+'SALE WORKING'!C78</f>
        <v>0</v>
      </c>
      <c r="C46" s="71">
        <f>+'SALE WORKING'!D78</f>
        <v>0</v>
      </c>
      <c r="D46" s="71">
        <f>+'SALE WORKING'!E78</f>
        <v>0</v>
      </c>
      <c r="E46" s="71">
        <f>+'SALE WORKING'!F78</f>
        <v>0</v>
      </c>
      <c r="F46" s="71">
        <f>+'SALE WORKING'!G78</f>
        <v>0</v>
      </c>
      <c r="G46" s="71">
        <f>+'SALE WORKING'!H78</f>
        <v>0</v>
      </c>
      <c r="H46" s="71">
        <f>+'SALE WORKING'!I78</f>
        <v>0</v>
      </c>
      <c r="I46" s="71">
        <f>+'SALE WORKING'!J78</f>
        <v>0</v>
      </c>
      <c r="J46" s="71">
        <f>+'SALE WORKING'!K78</f>
        <v>0</v>
      </c>
      <c r="K46" s="71">
        <f>+'SALE WORKING'!L78</f>
        <v>0</v>
      </c>
      <c r="L46" s="71">
        <f>+'SALE WORKING'!M78</f>
        <v>0</v>
      </c>
      <c r="M46" s="73">
        <f>+'SALE WORKING'!N78</f>
        <v>0</v>
      </c>
      <c r="N46" s="75">
        <f t="shared" si="5"/>
        <v>0</v>
      </c>
    </row>
    <row r="47" spans="1:14" x14ac:dyDescent="0.2">
      <c r="A47" s="34" t="s">
        <v>284</v>
      </c>
      <c r="B47" s="71">
        <f>+'SALE WORKING'!C79</f>
        <v>0</v>
      </c>
      <c r="C47" s="71">
        <f>+'SALE WORKING'!D79</f>
        <v>0</v>
      </c>
      <c r="D47" s="71">
        <f>+'SALE WORKING'!E79</f>
        <v>0</v>
      </c>
      <c r="E47" s="71">
        <f>+'SALE WORKING'!F79</f>
        <v>0</v>
      </c>
      <c r="F47" s="71">
        <f>+'SALE WORKING'!G79</f>
        <v>0</v>
      </c>
      <c r="G47" s="71">
        <f>+'SALE WORKING'!H79</f>
        <v>0</v>
      </c>
      <c r="H47" s="71">
        <f>+'SALE WORKING'!I79</f>
        <v>0</v>
      </c>
      <c r="I47" s="71">
        <f>+'SALE WORKING'!J79</f>
        <v>0</v>
      </c>
      <c r="J47" s="71">
        <f>+'SALE WORKING'!K79</f>
        <v>0</v>
      </c>
      <c r="K47" s="71">
        <f>+'SALE WORKING'!L79</f>
        <v>0</v>
      </c>
      <c r="L47" s="71">
        <f>+'SALE WORKING'!M79</f>
        <v>0</v>
      </c>
      <c r="M47" s="73">
        <f>+'SALE WORKING'!N79</f>
        <v>0</v>
      </c>
      <c r="N47" s="75">
        <f t="shared" si="5"/>
        <v>0</v>
      </c>
    </row>
    <row r="48" spans="1:14" x14ac:dyDescent="0.2">
      <c r="A48" s="34" t="s">
        <v>285</v>
      </c>
      <c r="B48" s="71">
        <f>+'SALE WORKING'!C80</f>
        <v>0</v>
      </c>
      <c r="C48" s="71">
        <f>+'SALE WORKING'!D80</f>
        <v>0</v>
      </c>
      <c r="D48" s="71">
        <f>+'SALE WORKING'!E80</f>
        <v>0</v>
      </c>
      <c r="E48" s="71">
        <f>+'SALE WORKING'!F80</f>
        <v>0</v>
      </c>
      <c r="F48" s="71">
        <f>+'SALE WORKING'!G80</f>
        <v>0</v>
      </c>
      <c r="G48" s="71">
        <f>+'SALE WORKING'!H80</f>
        <v>0</v>
      </c>
      <c r="H48" s="71">
        <f>+'SALE WORKING'!I80</f>
        <v>0</v>
      </c>
      <c r="I48" s="71">
        <f>+'SALE WORKING'!J80</f>
        <v>0</v>
      </c>
      <c r="J48" s="71">
        <f>+'SALE WORKING'!K80</f>
        <v>0</v>
      </c>
      <c r="K48" s="71">
        <f>+'SALE WORKING'!L80</f>
        <v>0</v>
      </c>
      <c r="L48" s="71">
        <f>+'SALE WORKING'!M80</f>
        <v>0</v>
      </c>
      <c r="M48" s="73">
        <f>+'SALE WORKING'!N80</f>
        <v>0</v>
      </c>
      <c r="N48" s="75">
        <f t="shared" si="5"/>
        <v>0</v>
      </c>
    </row>
    <row r="49" spans="1:14" x14ac:dyDescent="0.2">
      <c r="A49" s="34" t="s">
        <v>286</v>
      </c>
      <c r="B49" s="71">
        <f>+'SALE WORKING'!C81</f>
        <v>0</v>
      </c>
      <c r="C49" s="71">
        <f>+'SALE WORKING'!D81</f>
        <v>0</v>
      </c>
      <c r="D49" s="71">
        <f>+'SALE WORKING'!E81</f>
        <v>0</v>
      </c>
      <c r="E49" s="71">
        <f>+'SALE WORKING'!F81</f>
        <v>0</v>
      </c>
      <c r="F49" s="71">
        <f>+'SALE WORKING'!G81</f>
        <v>0</v>
      </c>
      <c r="G49" s="71">
        <f>+'SALE WORKING'!H81</f>
        <v>0</v>
      </c>
      <c r="H49" s="71">
        <f>+'SALE WORKING'!I81</f>
        <v>0</v>
      </c>
      <c r="I49" s="71">
        <f>+'SALE WORKING'!J81</f>
        <v>0</v>
      </c>
      <c r="J49" s="71">
        <f>+'SALE WORKING'!K81</f>
        <v>0</v>
      </c>
      <c r="K49" s="71">
        <f>+'SALE WORKING'!L81</f>
        <v>0</v>
      </c>
      <c r="L49" s="71">
        <f>+'SALE WORKING'!M81</f>
        <v>0</v>
      </c>
      <c r="M49" s="73">
        <f>+'SALE WORKING'!N81</f>
        <v>0</v>
      </c>
      <c r="N49" s="75">
        <f t="shared" si="5"/>
        <v>0</v>
      </c>
    </row>
    <row r="50" spans="1:14" ht="15.75" customHeight="1" x14ac:dyDescent="0.2">
      <c r="A50" s="1024" t="s">
        <v>292</v>
      </c>
      <c r="B50" s="1025"/>
      <c r="C50" s="1025"/>
      <c r="D50" s="1025"/>
      <c r="E50" s="1025"/>
      <c r="F50" s="1025"/>
      <c r="G50" s="1025"/>
      <c r="H50" s="1025"/>
      <c r="I50" s="1025"/>
      <c r="J50" s="1025"/>
      <c r="K50" s="1025"/>
      <c r="L50" s="1025"/>
      <c r="M50" s="1025"/>
      <c r="N50" s="1026"/>
    </row>
    <row r="51" spans="1:14" x14ac:dyDescent="0.2">
      <c r="A51" s="63" t="s">
        <v>279</v>
      </c>
      <c r="B51" s="64">
        <v>43556</v>
      </c>
      <c r="C51" s="64">
        <v>43586</v>
      </c>
      <c r="D51" s="64">
        <v>43617</v>
      </c>
      <c r="E51" s="64">
        <v>43647</v>
      </c>
      <c r="F51" s="64">
        <v>43678</v>
      </c>
      <c r="G51" s="64">
        <v>43709</v>
      </c>
      <c r="H51" s="64">
        <v>43739</v>
      </c>
      <c r="I51" s="64">
        <v>43770</v>
      </c>
      <c r="J51" s="64">
        <v>43800</v>
      </c>
      <c r="K51" s="64">
        <v>43831</v>
      </c>
      <c r="L51" s="64">
        <v>43862</v>
      </c>
      <c r="M51" s="65">
        <v>43891</v>
      </c>
      <c r="N51" s="66" t="s">
        <v>347</v>
      </c>
    </row>
    <row r="52" spans="1:14" x14ac:dyDescent="0.2">
      <c r="A52" s="34" t="s">
        <v>280</v>
      </c>
      <c r="B52" s="34">
        <v>0</v>
      </c>
      <c r="C52" s="34">
        <v>0</v>
      </c>
      <c r="D52" s="34"/>
      <c r="E52" s="34"/>
      <c r="F52" s="34"/>
      <c r="G52" s="34"/>
      <c r="H52" s="34"/>
      <c r="I52" s="34"/>
      <c r="J52" s="34"/>
      <c r="K52" s="34"/>
      <c r="L52" s="34"/>
      <c r="M52" s="74"/>
      <c r="N52" s="75">
        <f t="shared" ref="N52:N58" si="6">SUM(B52:M52)</f>
        <v>0</v>
      </c>
    </row>
    <row r="53" spans="1:14" x14ac:dyDescent="0.2">
      <c r="A53" s="34" t="s">
        <v>293</v>
      </c>
      <c r="B53" s="71">
        <f>+'SALE WORKING'!C85</f>
        <v>0</v>
      </c>
      <c r="C53" s="71">
        <f>+'SALE WORKING'!D85</f>
        <v>0</v>
      </c>
      <c r="D53" s="71">
        <f>+'SALE WORKING'!E85</f>
        <v>0</v>
      </c>
      <c r="E53" s="71">
        <f>+'SALE WORKING'!F85</f>
        <v>0</v>
      </c>
      <c r="F53" s="71">
        <f>+'SALE WORKING'!G85</f>
        <v>0</v>
      </c>
      <c r="G53" s="71">
        <f>+'SALE WORKING'!H85</f>
        <v>0</v>
      </c>
      <c r="H53" s="71">
        <f>+'SALE WORKING'!I85</f>
        <v>0</v>
      </c>
      <c r="I53" s="71">
        <f>+'SALE WORKING'!J85</f>
        <v>0</v>
      </c>
      <c r="J53" s="71">
        <f>+'SALE WORKING'!K85</f>
        <v>0</v>
      </c>
      <c r="K53" s="71">
        <f>+'SALE WORKING'!L85</f>
        <v>0</v>
      </c>
      <c r="L53" s="71">
        <f>+'SALE WORKING'!M85</f>
        <v>0</v>
      </c>
      <c r="M53" s="73">
        <f>+'SALE WORKING'!N85</f>
        <v>0</v>
      </c>
      <c r="N53" s="75">
        <f t="shared" si="6"/>
        <v>0</v>
      </c>
    </row>
    <row r="54" spans="1:14" x14ac:dyDescent="0.2">
      <c r="A54" s="34" t="s">
        <v>294</v>
      </c>
      <c r="B54" s="71">
        <f>+'SALE WORKING'!C86</f>
        <v>0</v>
      </c>
      <c r="C54" s="71">
        <f>+'SALE WORKING'!D86</f>
        <v>0</v>
      </c>
      <c r="D54" s="71">
        <f>+'SALE WORKING'!E86</f>
        <v>0</v>
      </c>
      <c r="E54" s="71">
        <f>+'SALE WORKING'!F86</f>
        <v>0</v>
      </c>
      <c r="F54" s="71">
        <f>+'SALE WORKING'!G86</f>
        <v>0</v>
      </c>
      <c r="G54" s="71">
        <f>+'SALE WORKING'!H86</f>
        <v>0</v>
      </c>
      <c r="H54" s="71">
        <f>+'SALE WORKING'!I86</f>
        <v>0</v>
      </c>
      <c r="I54" s="71">
        <f>+'SALE WORKING'!J86</f>
        <v>0</v>
      </c>
      <c r="J54" s="71">
        <f>+'SALE WORKING'!K86</f>
        <v>0</v>
      </c>
      <c r="K54" s="71">
        <f>+'SALE WORKING'!L86</f>
        <v>0</v>
      </c>
      <c r="L54" s="71">
        <f>+'SALE WORKING'!M86</f>
        <v>0</v>
      </c>
      <c r="M54" s="73">
        <f>+'SALE WORKING'!N86</f>
        <v>0</v>
      </c>
      <c r="N54" s="75">
        <f t="shared" si="6"/>
        <v>0</v>
      </c>
    </row>
    <row r="55" spans="1:14" x14ac:dyDescent="0.2">
      <c r="A55" s="34" t="s">
        <v>295</v>
      </c>
      <c r="B55" s="71">
        <f>+'SALE WORKING'!C87</f>
        <v>0</v>
      </c>
      <c r="C55" s="71">
        <f>+'SALE WORKING'!D87</f>
        <v>0</v>
      </c>
      <c r="D55" s="71">
        <f>+'SALE WORKING'!E87</f>
        <v>0</v>
      </c>
      <c r="E55" s="71">
        <f>+'SALE WORKING'!F87</f>
        <v>0</v>
      </c>
      <c r="F55" s="71">
        <f>+'SALE WORKING'!G87</f>
        <v>0</v>
      </c>
      <c r="G55" s="71">
        <f>+'SALE WORKING'!H87</f>
        <v>0</v>
      </c>
      <c r="H55" s="71">
        <f>+'SALE WORKING'!I87</f>
        <v>0</v>
      </c>
      <c r="I55" s="71">
        <f>+'SALE WORKING'!J87</f>
        <v>0</v>
      </c>
      <c r="J55" s="71">
        <f>+'SALE WORKING'!K87</f>
        <v>0</v>
      </c>
      <c r="K55" s="71">
        <f>+'SALE WORKING'!L87</f>
        <v>0</v>
      </c>
      <c r="L55" s="71">
        <f>+'SALE WORKING'!M87</f>
        <v>0</v>
      </c>
      <c r="M55" s="73">
        <f>+'SALE WORKING'!N87</f>
        <v>0</v>
      </c>
      <c r="N55" s="75">
        <f t="shared" si="6"/>
        <v>0</v>
      </c>
    </row>
    <row r="56" spans="1:14" x14ac:dyDescent="0.2">
      <c r="A56" s="34" t="s">
        <v>282</v>
      </c>
      <c r="B56" s="71">
        <f>+'SALE WORKING'!C88</f>
        <v>0</v>
      </c>
      <c r="C56" s="71">
        <f>+'SALE WORKING'!D88</f>
        <v>0</v>
      </c>
      <c r="D56" s="71">
        <f>+'SALE WORKING'!E88</f>
        <v>0</v>
      </c>
      <c r="E56" s="71">
        <f>+'SALE WORKING'!F88</f>
        <v>0</v>
      </c>
      <c r="F56" s="71">
        <f>+'SALE WORKING'!G88</f>
        <v>0</v>
      </c>
      <c r="G56" s="71">
        <f>+'SALE WORKING'!H88</f>
        <v>0</v>
      </c>
      <c r="H56" s="71">
        <f>+'SALE WORKING'!I88</f>
        <v>0</v>
      </c>
      <c r="I56" s="71">
        <f>+'SALE WORKING'!J88</f>
        <v>0</v>
      </c>
      <c r="J56" s="71">
        <f>+'SALE WORKING'!K88</f>
        <v>0</v>
      </c>
      <c r="K56" s="71">
        <f>+'SALE WORKING'!L88</f>
        <v>0</v>
      </c>
      <c r="L56" s="71">
        <f>+'SALE WORKING'!M88</f>
        <v>0</v>
      </c>
      <c r="M56" s="73">
        <f>+'SALE WORKING'!N88</f>
        <v>0</v>
      </c>
      <c r="N56" s="75">
        <f t="shared" si="6"/>
        <v>0</v>
      </c>
    </row>
    <row r="57" spans="1:14" x14ac:dyDescent="0.2">
      <c r="A57" s="34" t="s">
        <v>283</v>
      </c>
      <c r="B57" s="71">
        <f>+'SALE WORKING'!C89</f>
        <v>0</v>
      </c>
      <c r="C57" s="71">
        <f>+'SALE WORKING'!D89</f>
        <v>0</v>
      </c>
      <c r="D57" s="71">
        <f>+'SALE WORKING'!E89</f>
        <v>0</v>
      </c>
      <c r="E57" s="71">
        <f>+'SALE WORKING'!F89</f>
        <v>0</v>
      </c>
      <c r="F57" s="71">
        <f>+'SALE WORKING'!G89</f>
        <v>0</v>
      </c>
      <c r="G57" s="71">
        <f>+'SALE WORKING'!H89</f>
        <v>0</v>
      </c>
      <c r="H57" s="71">
        <f>+'SALE WORKING'!I89</f>
        <v>0</v>
      </c>
      <c r="I57" s="71">
        <f>+'SALE WORKING'!J89</f>
        <v>0</v>
      </c>
      <c r="J57" s="71">
        <f>+'SALE WORKING'!K89</f>
        <v>0</v>
      </c>
      <c r="K57" s="71">
        <f>+'SALE WORKING'!L89</f>
        <v>0</v>
      </c>
      <c r="L57" s="71">
        <f>+'SALE WORKING'!M89</f>
        <v>0</v>
      </c>
      <c r="M57" s="73">
        <f>+'SALE WORKING'!N89</f>
        <v>0</v>
      </c>
      <c r="N57" s="75">
        <f t="shared" si="6"/>
        <v>0</v>
      </c>
    </row>
    <row r="58" spans="1:14" x14ac:dyDescent="0.2">
      <c r="A58" s="34" t="s">
        <v>286</v>
      </c>
      <c r="B58" s="71">
        <f>+'SALE WORKING'!C90</f>
        <v>0</v>
      </c>
      <c r="C58" s="71">
        <f>+'SALE WORKING'!D90</f>
        <v>0</v>
      </c>
      <c r="D58" s="71">
        <f>+'SALE WORKING'!E90</f>
        <v>0</v>
      </c>
      <c r="E58" s="71">
        <f>+'SALE WORKING'!F90</f>
        <v>0</v>
      </c>
      <c r="F58" s="71">
        <f>+'SALE WORKING'!G90</f>
        <v>0</v>
      </c>
      <c r="G58" s="71">
        <f>+'SALE WORKING'!H90</f>
        <v>0</v>
      </c>
      <c r="H58" s="71">
        <f>+'SALE WORKING'!I90</f>
        <v>0</v>
      </c>
      <c r="I58" s="71">
        <f>+'SALE WORKING'!J90</f>
        <v>0</v>
      </c>
      <c r="J58" s="71">
        <f>+'SALE WORKING'!K90</f>
        <v>0</v>
      </c>
      <c r="K58" s="71">
        <f>+'SALE WORKING'!L90</f>
        <v>0</v>
      </c>
      <c r="L58" s="71">
        <f>+'SALE WORKING'!M90</f>
        <v>0</v>
      </c>
      <c r="M58" s="73">
        <f>+'SALE WORKING'!N90</f>
        <v>0</v>
      </c>
      <c r="N58" s="75">
        <f t="shared" si="6"/>
        <v>0</v>
      </c>
    </row>
    <row r="59" spans="1:14" ht="15.75" customHeight="1" x14ac:dyDescent="0.2">
      <c r="A59" s="1027" t="s">
        <v>296</v>
      </c>
      <c r="B59" s="1028"/>
      <c r="C59" s="1028"/>
      <c r="D59" s="1028"/>
      <c r="E59" s="1028"/>
      <c r="F59" s="1028"/>
      <c r="G59" s="1028"/>
      <c r="H59" s="1028"/>
      <c r="I59" s="1028"/>
      <c r="J59" s="1028"/>
      <c r="K59" s="1028"/>
      <c r="L59" s="1028"/>
      <c r="M59" s="1028"/>
      <c r="N59" s="1029"/>
    </row>
    <row r="60" spans="1:14" x14ac:dyDescent="0.2">
      <c r="A60" s="63" t="s">
        <v>279</v>
      </c>
      <c r="B60" s="64">
        <v>43556</v>
      </c>
      <c r="C60" s="64">
        <v>43586</v>
      </c>
      <c r="D60" s="64">
        <v>43617</v>
      </c>
      <c r="E60" s="64">
        <v>43647</v>
      </c>
      <c r="F60" s="64">
        <v>43678</v>
      </c>
      <c r="G60" s="64">
        <v>43709</v>
      </c>
      <c r="H60" s="64">
        <v>43739</v>
      </c>
      <c r="I60" s="64">
        <v>43770</v>
      </c>
      <c r="J60" s="64">
        <v>43800</v>
      </c>
      <c r="K60" s="64">
        <v>43831</v>
      </c>
      <c r="L60" s="64">
        <v>43862</v>
      </c>
      <c r="M60" s="65">
        <v>43891</v>
      </c>
      <c r="N60" s="66" t="s">
        <v>347</v>
      </c>
    </row>
    <row r="61" spans="1:14" x14ac:dyDescent="0.2">
      <c r="A61" s="34" t="s">
        <v>280</v>
      </c>
      <c r="B61" s="34">
        <v>0</v>
      </c>
      <c r="C61" s="34">
        <v>0</v>
      </c>
      <c r="D61" s="34"/>
      <c r="E61" s="34"/>
      <c r="F61" s="34"/>
      <c r="G61" s="34"/>
      <c r="H61" s="34"/>
      <c r="I61" s="34"/>
      <c r="J61" s="34"/>
      <c r="K61" s="34"/>
      <c r="L61" s="34"/>
      <c r="M61" s="74"/>
      <c r="N61" s="75">
        <f t="shared" ref="N61:N67" si="7">SUM(B61:M61)</f>
        <v>0</v>
      </c>
    </row>
    <row r="62" spans="1:14" x14ac:dyDescent="0.2">
      <c r="A62" s="34" t="s">
        <v>281</v>
      </c>
      <c r="B62" s="71">
        <f>+'SALE WORKING'!C94</f>
        <v>0</v>
      </c>
      <c r="C62" s="71">
        <f>+'SALE WORKING'!D94</f>
        <v>0</v>
      </c>
      <c r="D62" s="71">
        <f>+'SALE WORKING'!E94</f>
        <v>0</v>
      </c>
      <c r="E62" s="71">
        <f>+'SALE WORKING'!F94</f>
        <v>0</v>
      </c>
      <c r="F62" s="71">
        <f>+'SALE WORKING'!G94</f>
        <v>0</v>
      </c>
      <c r="G62" s="71">
        <f>+'SALE WORKING'!H94</f>
        <v>0</v>
      </c>
      <c r="H62" s="71">
        <f>+'SALE WORKING'!I94</f>
        <v>0</v>
      </c>
      <c r="I62" s="71">
        <f>+'SALE WORKING'!J94</f>
        <v>0</v>
      </c>
      <c r="J62" s="71">
        <f>+'SALE WORKING'!K94</f>
        <v>0</v>
      </c>
      <c r="K62" s="71">
        <f>+'SALE WORKING'!L94</f>
        <v>0</v>
      </c>
      <c r="L62" s="71">
        <f>+'SALE WORKING'!M94</f>
        <v>0</v>
      </c>
      <c r="M62" s="73">
        <f>+'SALE WORKING'!N94</f>
        <v>0</v>
      </c>
      <c r="N62" s="75">
        <f t="shared" si="7"/>
        <v>0</v>
      </c>
    </row>
    <row r="63" spans="1:14" x14ac:dyDescent="0.2">
      <c r="A63" s="34" t="s">
        <v>282</v>
      </c>
      <c r="B63" s="71">
        <f>+'SALE WORKING'!C95</f>
        <v>0</v>
      </c>
      <c r="C63" s="71">
        <f>+'SALE WORKING'!D95</f>
        <v>0</v>
      </c>
      <c r="D63" s="71">
        <f>+'SALE WORKING'!E95</f>
        <v>0</v>
      </c>
      <c r="E63" s="71">
        <f>+'SALE WORKING'!F95</f>
        <v>0</v>
      </c>
      <c r="F63" s="71">
        <f>+'SALE WORKING'!G95</f>
        <v>0</v>
      </c>
      <c r="G63" s="71">
        <f>+'SALE WORKING'!H95</f>
        <v>0</v>
      </c>
      <c r="H63" s="71">
        <f>+'SALE WORKING'!I95</f>
        <v>0</v>
      </c>
      <c r="I63" s="71">
        <f>+'SALE WORKING'!J95</f>
        <v>0</v>
      </c>
      <c r="J63" s="71">
        <f>+'SALE WORKING'!K95</f>
        <v>0</v>
      </c>
      <c r="K63" s="71">
        <f>+'SALE WORKING'!L95</f>
        <v>0</v>
      </c>
      <c r="L63" s="71">
        <f>+'SALE WORKING'!M95</f>
        <v>0</v>
      </c>
      <c r="M63" s="73">
        <f>+'SALE WORKING'!N95</f>
        <v>0</v>
      </c>
      <c r="N63" s="75">
        <f t="shared" si="7"/>
        <v>0</v>
      </c>
    </row>
    <row r="64" spans="1:14" x14ac:dyDescent="0.2">
      <c r="A64" s="34" t="s">
        <v>283</v>
      </c>
      <c r="B64" s="71">
        <f>+'SALE WORKING'!C96</f>
        <v>0</v>
      </c>
      <c r="C64" s="71">
        <f>+'SALE WORKING'!D96</f>
        <v>0</v>
      </c>
      <c r="D64" s="71">
        <f>+'SALE WORKING'!E96</f>
        <v>0</v>
      </c>
      <c r="E64" s="71">
        <f>+'SALE WORKING'!F96</f>
        <v>0</v>
      </c>
      <c r="F64" s="71">
        <f>+'SALE WORKING'!G96</f>
        <v>0</v>
      </c>
      <c r="G64" s="71">
        <f>+'SALE WORKING'!H96</f>
        <v>0</v>
      </c>
      <c r="H64" s="71">
        <f>+'SALE WORKING'!I96</f>
        <v>0</v>
      </c>
      <c r="I64" s="71">
        <f>+'SALE WORKING'!J96</f>
        <v>0</v>
      </c>
      <c r="J64" s="71">
        <f>+'SALE WORKING'!K96</f>
        <v>0</v>
      </c>
      <c r="K64" s="71">
        <f>+'SALE WORKING'!L96</f>
        <v>0</v>
      </c>
      <c r="L64" s="71">
        <f>+'SALE WORKING'!M96</f>
        <v>0</v>
      </c>
      <c r="M64" s="73">
        <f>+'SALE WORKING'!N96</f>
        <v>0</v>
      </c>
      <c r="N64" s="75">
        <f t="shared" si="7"/>
        <v>0</v>
      </c>
    </row>
    <row r="65" spans="1:14" x14ac:dyDescent="0.2">
      <c r="A65" s="34" t="s">
        <v>284</v>
      </c>
      <c r="B65" s="71">
        <f>+'SALE WORKING'!C97</f>
        <v>0</v>
      </c>
      <c r="C65" s="71">
        <f>+'SALE WORKING'!D97</f>
        <v>0</v>
      </c>
      <c r="D65" s="71">
        <f>+'SALE WORKING'!E97</f>
        <v>0</v>
      </c>
      <c r="E65" s="71">
        <f>+'SALE WORKING'!F97</f>
        <v>0</v>
      </c>
      <c r="F65" s="71">
        <f>+'SALE WORKING'!G97</f>
        <v>0</v>
      </c>
      <c r="G65" s="71">
        <f>+'SALE WORKING'!H97</f>
        <v>0</v>
      </c>
      <c r="H65" s="71">
        <f>+'SALE WORKING'!I97</f>
        <v>0</v>
      </c>
      <c r="I65" s="71">
        <f>+'SALE WORKING'!J97</f>
        <v>0</v>
      </c>
      <c r="J65" s="71">
        <f>+'SALE WORKING'!K97</f>
        <v>0</v>
      </c>
      <c r="K65" s="71">
        <f>+'SALE WORKING'!L97</f>
        <v>0</v>
      </c>
      <c r="L65" s="71">
        <f>+'SALE WORKING'!M97</f>
        <v>0</v>
      </c>
      <c r="M65" s="73">
        <f>+'SALE WORKING'!N97</f>
        <v>0</v>
      </c>
      <c r="N65" s="75">
        <f t="shared" si="7"/>
        <v>0</v>
      </c>
    </row>
    <row r="66" spans="1:14" x14ac:dyDescent="0.2">
      <c r="A66" s="34" t="s">
        <v>285</v>
      </c>
      <c r="B66" s="71">
        <f>+'SALE WORKING'!C98</f>
        <v>0</v>
      </c>
      <c r="C66" s="71">
        <f>+'SALE WORKING'!D98</f>
        <v>0</v>
      </c>
      <c r="D66" s="71">
        <f>+'SALE WORKING'!E98</f>
        <v>0</v>
      </c>
      <c r="E66" s="71">
        <f>+'SALE WORKING'!F98</f>
        <v>0</v>
      </c>
      <c r="F66" s="71">
        <f>+'SALE WORKING'!G98</f>
        <v>0</v>
      </c>
      <c r="G66" s="71">
        <f>+'SALE WORKING'!H98</f>
        <v>0</v>
      </c>
      <c r="H66" s="71">
        <f>+'SALE WORKING'!I98</f>
        <v>0</v>
      </c>
      <c r="I66" s="71">
        <f>+'SALE WORKING'!J98</f>
        <v>0</v>
      </c>
      <c r="J66" s="71">
        <f>+'SALE WORKING'!K98</f>
        <v>0</v>
      </c>
      <c r="K66" s="71">
        <f>+'SALE WORKING'!L98</f>
        <v>0</v>
      </c>
      <c r="L66" s="71">
        <f>+'SALE WORKING'!M98</f>
        <v>0</v>
      </c>
      <c r="M66" s="73">
        <f>+'SALE WORKING'!N98</f>
        <v>0</v>
      </c>
      <c r="N66" s="75">
        <f t="shared" si="7"/>
        <v>0</v>
      </c>
    </row>
    <row r="67" spans="1:14" x14ac:dyDescent="0.2">
      <c r="A67" s="34" t="s">
        <v>286</v>
      </c>
      <c r="B67" s="71">
        <f>+'SALE WORKING'!C99</f>
        <v>0</v>
      </c>
      <c r="C67" s="71">
        <f>+'SALE WORKING'!D99</f>
        <v>0</v>
      </c>
      <c r="D67" s="71">
        <f>+'SALE WORKING'!E99</f>
        <v>0</v>
      </c>
      <c r="E67" s="71">
        <f>+'SALE WORKING'!F99</f>
        <v>0</v>
      </c>
      <c r="F67" s="71">
        <f>+'SALE WORKING'!G99</f>
        <v>0</v>
      </c>
      <c r="G67" s="71">
        <f>+'SALE WORKING'!H99</f>
        <v>0</v>
      </c>
      <c r="H67" s="71">
        <f>+'SALE WORKING'!I99</f>
        <v>0</v>
      </c>
      <c r="I67" s="71">
        <f>+'SALE WORKING'!J99</f>
        <v>0</v>
      </c>
      <c r="J67" s="71">
        <f>+'SALE WORKING'!K99</f>
        <v>0</v>
      </c>
      <c r="K67" s="71">
        <f>+'SALE WORKING'!L99</f>
        <v>0</v>
      </c>
      <c r="L67" s="71">
        <f>+'SALE WORKING'!M99</f>
        <v>0</v>
      </c>
      <c r="M67" s="73">
        <f>+'SALE WORKING'!N99</f>
        <v>0</v>
      </c>
      <c r="N67" s="75">
        <f t="shared" si="7"/>
        <v>0</v>
      </c>
    </row>
    <row r="68" spans="1:14" ht="15.75" customHeight="1" x14ac:dyDescent="0.2">
      <c r="A68" s="1030" t="s">
        <v>297</v>
      </c>
      <c r="B68" s="1031"/>
      <c r="C68" s="1031"/>
      <c r="D68" s="1031"/>
      <c r="E68" s="1031"/>
      <c r="F68" s="1031"/>
      <c r="G68" s="1031"/>
      <c r="H68" s="1031"/>
      <c r="I68" s="1031"/>
      <c r="J68" s="1031"/>
      <c r="K68" s="1031"/>
      <c r="L68" s="1031"/>
      <c r="M68" s="1031"/>
      <c r="N68" s="1032"/>
    </row>
    <row r="69" spans="1:14" x14ac:dyDescent="0.2">
      <c r="A69" s="63" t="s">
        <v>279</v>
      </c>
      <c r="B69" s="64">
        <v>43556</v>
      </c>
      <c r="C69" s="64">
        <v>43586</v>
      </c>
      <c r="D69" s="64">
        <v>43617</v>
      </c>
      <c r="E69" s="64">
        <v>43647</v>
      </c>
      <c r="F69" s="64">
        <v>43678</v>
      </c>
      <c r="G69" s="64">
        <v>43709</v>
      </c>
      <c r="H69" s="64">
        <v>43739</v>
      </c>
      <c r="I69" s="64">
        <v>43770</v>
      </c>
      <c r="J69" s="64">
        <v>43800</v>
      </c>
      <c r="K69" s="64">
        <v>43831</v>
      </c>
      <c r="L69" s="64">
        <v>43862</v>
      </c>
      <c r="M69" s="65">
        <v>43891</v>
      </c>
      <c r="N69" s="66" t="s">
        <v>347</v>
      </c>
    </row>
    <row r="70" spans="1:14" x14ac:dyDescent="0.2">
      <c r="A70" s="34" t="s">
        <v>280</v>
      </c>
      <c r="B70" s="34">
        <v>0</v>
      </c>
      <c r="C70" s="34">
        <v>0</v>
      </c>
      <c r="D70" s="34"/>
      <c r="E70" s="34"/>
      <c r="F70" s="34"/>
      <c r="G70" s="34"/>
      <c r="H70" s="34"/>
      <c r="I70" s="34"/>
      <c r="J70" s="34"/>
      <c r="K70" s="34"/>
      <c r="L70" s="34"/>
      <c r="M70" s="74"/>
      <c r="N70" s="75">
        <f t="shared" ref="N70:N76" si="8">SUM(B70:M70)</f>
        <v>0</v>
      </c>
    </row>
    <row r="71" spans="1:14" x14ac:dyDescent="0.2">
      <c r="A71" s="34" t="s">
        <v>281</v>
      </c>
      <c r="B71" s="71">
        <f>+'SALE WORKING'!C103</f>
        <v>0</v>
      </c>
      <c r="C71" s="71">
        <f>+'SALE WORKING'!D103</f>
        <v>0</v>
      </c>
      <c r="D71" s="71">
        <f>+'SALE WORKING'!E103</f>
        <v>0</v>
      </c>
      <c r="E71" s="71">
        <f>+'SALE WORKING'!F103</f>
        <v>0</v>
      </c>
      <c r="F71" s="71">
        <f>+'SALE WORKING'!G103</f>
        <v>0</v>
      </c>
      <c r="G71" s="71">
        <f>+'SALE WORKING'!H103</f>
        <v>0</v>
      </c>
      <c r="H71" s="71">
        <f>+'SALE WORKING'!I103</f>
        <v>0</v>
      </c>
      <c r="I71" s="71">
        <f>+'SALE WORKING'!J103</f>
        <v>0</v>
      </c>
      <c r="J71" s="71">
        <f>+'SALE WORKING'!K103</f>
        <v>0</v>
      </c>
      <c r="K71" s="71">
        <f>+'SALE WORKING'!L103</f>
        <v>0</v>
      </c>
      <c r="L71" s="71">
        <f>+'SALE WORKING'!M103</f>
        <v>0</v>
      </c>
      <c r="M71" s="73">
        <f>+'SALE WORKING'!N103</f>
        <v>0</v>
      </c>
      <c r="N71" s="75">
        <f t="shared" si="8"/>
        <v>0</v>
      </c>
    </row>
    <row r="72" spans="1:14" x14ac:dyDescent="0.2">
      <c r="A72" s="34" t="s">
        <v>282</v>
      </c>
      <c r="B72" s="71">
        <f>+'SALE WORKING'!C104</f>
        <v>0</v>
      </c>
      <c r="C72" s="71">
        <f>+'SALE WORKING'!D104</f>
        <v>0</v>
      </c>
      <c r="D72" s="71">
        <f>+'SALE WORKING'!E104</f>
        <v>0</v>
      </c>
      <c r="E72" s="71">
        <f>+'SALE WORKING'!F104</f>
        <v>0</v>
      </c>
      <c r="F72" s="71">
        <f>+'SALE WORKING'!G104</f>
        <v>0</v>
      </c>
      <c r="G72" s="71">
        <f>+'SALE WORKING'!H104</f>
        <v>0</v>
      </c>
      <c r="H72" s="71">
        <f>+'SALE WORKING'!I104</f>
        <v>0</v>
      </c>
      <c r="I72" s="71">
        <f>+'SALE WORKING'!J104</f>
        <v>0</v>
      </c>
      <c r="J72" s="71">
        <f>+'SALE WORKING'!K104</f>
        <v>0</v>
      </c>
      <c r="K72" s="71">
        <f>+'SALE WORKING'!L104</f>
        <v>0</v>
      </c>
      <c r="L72" s="71">
        <f>+'SALE WORKING'!M104</f>
        <v>0</v>
      </c>
      <c r="M72" s="73">
        <f>+'SALE WORKING'!N104</f>
        <v>0</v>
      </c>
      <c r="N72" s="75">
        <f t="shared" si="8"/>
        <v>0</v>
      </c>
    </row>
    <row r="73" spans="1:14" x14ac:dyDescent="0.2">
      <c r="A73" s="34" t="s">
        <v>283</v>
      </c>
      <c r="B73" s="71">
        <f>+'SALE WORKING'!C105</f>
        <v>0</v>
      </c>
      <c r="C73" s="71">
        <f>+'SALE WORKING'!D105</f>
        <v>0</v>
      </c>
      <c r="D73" s="71">
        <f>+'SALE WORKING'!E105</f>
        <v>0</v>
      </c>
      <c r="E73" s="71">
        <f>+'SALE WORKING'!F105</f>
        <v>0</v>
      </c>
      <c r="F73" s="71">
        <f>+'SALE WORKING'!G105</f>
        <v>0</v>
      </c>
      <c r="G73" s="71">
        <f>+'SALE WORKING'!H105</f>
        <v>0</v>
      </c>
      <c r="H73" s="71">
        <f>+'SALE WORKING'!I105</f>
        <v>0</v>
      </c>
      <c r="I73" s="71">
        <f>+'SALE WORKING'!J105</f>
        <v>0</v>
      </c>
      <c r="J73" s="71">
        <f>+'SALE WORKING'!K105</f>
        <v>0</v>
      </c>
      <c r="K73" s="71">
        <f>+'SALE WORKING'!L105</f>
        <v>0</v>
      </c>
      <c r="L73" s="71">
        <f>+'SALE WORKING'!M105</f>
        <v>0</v>
      </c>
      <c r="M73" s="73">
        <f>+'SALE WORKING'!N105</f>
        <v>0</v>
      </c>
      <c r="N73" s="75">
        <f t="shared" si="8"/>
        <v>0</v>
      </c>
    </row>
    <row r="74" spans="1:14" x14ac:dyDescent="0.2">
      <c r="A74" s="34" t="s">
        <v>284</v>
      </c>
      <c r="B74" s="71">
        <f>+'SALE WORKING'!C106</f>
        <v>0</v>
      </c>
      <c r="C74" s="71">
        <f>+'SALE WORKING'!D106</f>
        <v>0</v>
      </c>
      <c r="D74" s="71">
        <f>+'SALE WORKING'!E106</f>
        <v>0</v>
      </c>
      <c r="E74" s="71">
        <f>+'SALE WORKING'!F106</f>
        <v>0</v>
      </c>
      <c r="F74" s="71">
        <f>+'SALE WORKING'!G106</f>
        <v>0</v>
      </c>
      <c r="G74" s="71">
        <f>+'SALE WORKING'!H106</f>
        <v>0</v>
      </c>
      <c r="H74" s="71">
        <f>+'SALE WORKING'!I106</f>
        <v>0</v>
      </c>
      <c r="I74" s="71">
        <f>+'SALE WORKING'!J106</f>
        <v>0</v>
      </c>
      <c r="J74" s="71">
        <f>+'SALE WORKING'!K106</f>
        <v>0</v>
      </c>
      <c r="K74" s="71">
        <f>+'SALE WORKING'!L106</f>
        <v>0</v>
      </c>
      <c r="L74" s="71">
        <f>+'SALE WORKING'!M106</f>
        <v>0</v>
      </c>
      <c r="M74" s="73">
        <f>+'SALE WORKING'!N106</f>
        <v>0</v>
      </c>
      <c r="N74" s="75">
        <f t="shared" si="8"/>
        <v>0</v>
      </c>
    </row>
    <row r="75" spans="1:14" x14ac:dyDescent="0.2">
      <c r="A75" s="34" t="s">
        <v>285</v>
      </c>
      <c r="B75" s="71">
        <f>+'SALE WORKING'!C107</f>
        <v>0</v>
      </c>
      <c r="C75" s="71">
        <f>+'SALE WORKING'!D107</f>
        <v>0</v>
      </c>
      <c r="D75" s="71">
        <f>+'SALE WORKING'!E107</f>
        <v>0</v>
      </c>
      <c r="E75" s="71">
        <f>+'SALE WORKING'!F107</f>
        <v>0</v>
      </c>
      <c r="F75" s="71">
        <f>+'SALE WORKING'!G107</f>
        <v>0</v>
      </c>
      <c r="G75" s="71">
        <f>+'SALE WORKING'!H107</f>
        <v>0</v>
      </c>
      <c r="H75" s="71">
        <f>+'SALE WORKING'!I107</f>
        <v>0</v>
      </c>
      <c r="I75" s="71">
        <f>+'SALE WORKING'!J107</f>
        <v>0</v>
      </c>
      <c r="J75" s="71">
        <f>+'SALE WORKING'!K107</f>
        <v>0</v>
      </c>
      <c r="K75" s="71">
        <f>+'SALE WORKING'!L107</f>
        <v>0</v>
      </c>
      <c r="L75" s="71">
        <f>+'SALE WORKING'!M107</f>
        <v>0</v>
      </c>
      <c r="M75" s="73">
        <f>+'SALE WORKING'!N107</f>
        <v>0</v>
      </c>
      <c r="N75" s="75">
        <f t="shared" si="8"/>
        <v>0</v>
      </c>
    </row>
    <row r="76" spans="1:14" x14ac:dyDescent="0.2">
      <c r="A76" s="34" t="s">
        <v>286</v>
      </c>
      <c r="B76" s="71">
        <f>+'SALE WORKING'!C108</f>
        <v>0</v>
      </c>
      <c r="C76" s="71">
        <f>+'SALE WORKING'!D108</f>
        <v>0</v>
      </c>
      <c r="D76" s="71">
        <f>+'SALE WORKING'!E108</f>
        <v>0</v>
      </c>
      <c r="E76" s="71">
        <f>+'SALE WORKING'!F108</f>
        <v>0</v>
      </c>
      <c r="F76" s="71">
        <f>+'SALE WORKING'!G108</f>
        <v>0</v>
      </c>
      <c r="G76" s="71">
        <f>+'SALE WORKING'!H108</f>
        <v>0</v>
      </c>
      <c r="H76" s="71">
        <f>+'SALE WORKING'!I108</f>
        <v>0</v>
      </c>
      <c r="I76" s="71">
        <f>+'SALE WORKING'!J108</f>
        <v>0</v>
      </c>
      <c r="J76" s="71">
        <f>+'SALE WORKING'!K108</f>
        <v>0</v>
      </c>
      <c r="K76" s="71">
        <f>+'SALE WORKING'!L108</f>
        <v>0</v>
      </c>
      <c r="L76" s="71">
        <f>+'SALE WORKING'!M108</f>
        <v>0</v>
      </c>
      <c r="M76" s="73">
        <f>+'SALE WORKING'!N108</f>
        <v>0</v>
      </c>
      <c r="N76" s="75">
        <f t="shared" si="8"/>
        <v>0</v>
      </c>
    </row>
    <row r="77" spans="1:14" x14ac:dyDescent="0.2">
      <c r="A77" s="1033" t="s">
        <v>298</v>
      </c>
      <c r="B77" s="1034"/>
      <c r="C77" s="1034"/>
      <c r="D77" s="1034"/>
      <c r="E77" s="1034"/>
      <c r="F77" s="1034"/>
      <c r="G77" s="1034"/>
      <c r="H77" s="1034"/>
      <c r="I77" s="1034"/>
      <c r="J77" s="1034"/>
      <c r="K77" s="1034"/>
      <c r="L77" s="1034"/>
      <c r="M77" s="1034"/>
      <c r="N77" s="1035"/>
    </row>
    <row r="78" spans="1:14" x14ac:dyDescent="0.2">
      <c r="A78" s="63" t="s">
        <v>279</v>
      </c>
      <c r="B78" s="64">
        <v>43556</v>
      </c>
      <c r="C78" s="64">
        <v>43586</v>
      </c>
      <c r="D78" s="64">
        <v>43617</v>
      </c>
      <c r="E78" s="64">
        <v>43647</v>
      </c>
      <c r="F78" s="64">
        <v>43678</v>
      </c>
      <c r="G78" s="64">
        <v>43709</v>
      </c>
      <c r="H78" s="64">
        <v>43739</v>
      </c>
      <c r="I78" s="64">
        <v>43770</v>
      </c>
      <c r="J78" s="64">
        <v>43800</v>
      </c>
      <c r="K78" s="64">
        <v>43831</v>
      </c>
      <c r="L78" s="64">
        <v>43862</v>
      </c>
      <c r="M78" s="65">
        <v>43891</v>
      </c>
      <c r="N78" s="66" t="s">
        <v>347</v>
      </c>
    </row>
    <row r="79" spans="1:14" x14ac:dyDescent="0.2">
      <c r="A79" s="34" t="s">
        <v>280</v>
      </c>
      <c r="B79" s="34"/>
      <c r="C79" s="34"/>
      <c r="D79" s="34"/>
      <c r="E79" s="34"/>
      <c r="F79" s="34"/>
      <c r="G79" s="34"/>
      <c r="H79" s="34"/>
      <c r="I79" s="34"/>
      <c r="J79" s="34"/>
      <c r="K79" s="34"/>
      <c r="L79" s="34"/>
      <c r="M79" s="74"/>
      <c r="N79" s="75">
        <f t="shared" ref="N79:N85" si="9">SUM(B79:M79)</f>
        <v>0</v>
      </c>
    </row>
    <row r="80" spans="1:14" x14ac:dyDescent="0.2">
      <c r="A80" s="34" t="s">
        <v>281</v>
      </c>
      <c r="B80" s="75">
        <f>+'SALE WORKING'!C112-10696.7</f>
        <v>4207432.2145999996</v>
      </c>
      <c r="C80" s="75">
        <f>+'SALE WORKING'!D112+10696.7</f>
        <v>5048311.932</v>
      </c>
      <c r="D80" s="75">
        <f>+'SALE WORKING'!E112</f>
        <v>6429357.6057200013</v>
      </c>
      <c r="E80" s="75">
        <f>+'SALE WORKING'!F112</f>
        <v>8118439.6100000003</v>
      </c>
      <c r="F80" s="75">
        <f>+'SALE WORKING'!G112</f>
        <v>6588737.6376</v>
      </c>
      <c r="G80" s="75">
        <f>+'SALE WORKING'!H112</f>
        <v>5853050.2851999998</v>
      </c>
      <c r="H80" s="75">
        <f>+'SALE WORKING'!I112</f>
        <v>5195214.9595999997</v>
      </c>
      <c r="I80" s="75">
        <f>+'SALE WORKING'!J112</f>
        <v>0</v>
      </c>
      <c r="J80" s="75">
        <f>+'SALE WORKING'!K112</f>
        <v>0</v>
      </c>
      <c r="K80" s="75">
        <f>+'SALE WORKING'!L112</f>
        <v>0</v>
      </c>
      <c r="L80" s="75">
        <f>+'SALE WORKING'!M112</f>
        <v>0</v>
      </c>
      <c r="M80" s="76">
        <f>+'SALE WORKING'!N112</f>
        <v>0</v>
      </c>
      <c r="N80" s="75">
        <f t="shared" si="9"/>
        <v>41440544.244720004</v>
      </c>
    </row>
    <row r="81" spans="1:14" x14ac:dyDescent="0.2">
      <c r="A81" s="34" t="s">
        <v>282</v>
      </c>
      <c r="B81" s="75">
        <f>+'SALE WORKING'!C113-9065</f>
        <v>3339615.7699999996</v>
      </c>
      <c r="C81" s="75">
        <f>+'SALE WORKING'!D113+9065</f>
        <v>4066623.6999999997</v>
      </c>
      <c r="D81" s="75">
        <f>+'SALE WORKING'!E113</f>
        <v>5184963.1240000008</v>
      </c>
      <c r="E81" s="75">
        <f>+'SALE WORKING'!F113</f>
        <v>6550168.9500000002</v>
      </c>
      <c r="F81" s="75">
        <f>+'SALE WORKING'!G113</f>
        <v>5362317.62</v>
      </c>
      <c r="G81" s="75">
        <f>+'SALE WORKING'!H113</f>
        <v>4785767.8899999997</v>
      </c>
      <c r="H81" s="75">
        <f>+'SALE WORKING'!I113</f>
        <v>4303915.0200000005</v>
      </c>
      <c r="I81" s="75">
        <f>+'SALE WORKING'!J113</f>
        <v>0</v>
      </c>
      <c r="J81" s="75">
        <f>+'SALE WORKING'!K113</f>
        <v>0</v>
      </c>
      <c r="K81" s="75">
        <f>+'SALE WORKING'!L113</f>
        <v>0</v>
      </c>
      <c r="L81" s="75">
        <f>+'SALE WORKING'!M113</f>
        <v>0</v>
      </c>
      <c r="M81" s="76">
        <f>+'SALE WORKING'!N113</f>
        <v>0</v>
      </c>
      <c r="N81" s="75">
        <f t="shared" si="9"/>
        <v>33593372.074000001</v>
      </c>
    </row>
    <row r="82" spans="1:14" x14ac:dyDescent="0.2">
      <c r="A82" s="34" t="s">
        <v>283</v>
      </c>
      <c r="B82" s="75">
        <f>+'SALE WORKING'!C114</f>
        <v>34940.68759999999</v>
      </c>
      <c r="C82" s="75">
        <f>+'SALE WORKING'!D114</f>
        <v>55549.74040000001</v>
      </c>
      <c r="D82" s="75">
        <f>+'SALE WORKING'!E114</f>
        <v>141109.85840000003</v>
      </c>
      <c r="E82" s="75">
        <f>+'SALE WORKING'!F114</f>
        <v>64427.327999999994</v>
      </c>
      <c r="F82" s="75">
        <f>+'SALE WORKING'!G114</f>
        <v>30473.3688</v>
      </c>
      <c r="G82" s="75">
        <f>+'SALE WORKING'!H114</f>
        <v>75713.330000000016</v>
      </c>
      <c r="H82" s="75">
        <f>+'SALE WORKING'!I114</f>
        <v>51945.630799999992</v>
      </c>
      <c r="I82" s="75">
        <f>+'SALE WORKING'!J114</f>
        <v>0</v>
      </c>
      <c r="J82" s="75">
        <f>+'SALE WORKING'!K114</f>
        <v>0</v>
      </c>
      <c r="K82" s="75">
        <f>+'SALE WORKING'!L114</f>
        <v>0</v>
      </c>
      <c r="L82" s="75">
        <f>+'SALE WORKING'!M114</f>
        <v>0</v>
      </c>
      <c r="M82" s="76">
        <f>+'SALE WORKING'!N114</f>
        <v>0</v>
      </c>
      <c r="N82" s="75">
        <f t="shared" si="9"/>
        <v>454159.94400000002</v>
      </c>
    </row>
    <row r="83" spans="1:14" x14ac:dyDescent="0.2">
      <c r="A83" s="34" t="s">
        <v>284</v>
      </c>
      <c r="B83" s="75">
        <f>+'SALE WORKING'!C115-815.85</f>
        <v>416437.87850000011</v>
      </c>
      <c r="C83" s="75">
        <f>+'SALE WORKING'!D115+815.85</f>
        <v>463069.24579999998</v>
      </c>
      <c r="D83" s="75">
        <f>+'SALE WORKING'!E115</f>
        <v>551642.31166000001</v>
      </c>
      <c r="E83" s="75">
        <f>+'SALE WORKING'!F115</f>
        <v>751921.66600000008</v>
      </c>
      <c r="F83" s="75">
        <f>+'SALE WORKING'!G115</f>
        <v>597973.32440000004</v>
      </c>
      <c r="G83" s="75">
        <f>+'SALE WORKING'!H115</f>
        <v>495784.53260000009</v>
      </c>
      <c r="H83" s="75">
        <f>+'SALE WORKING'!I115</f>
        <v>419677.1544</v>
      </c>
      <c r="I83" s="75">
        <f>+'SALE WORKING'!J115</f>
        <v>0</v>
      </c>
      <c r="J83" s="75">
        <f>+'SALE WORKING'!K115</f>
        <v>0</v>
      </c>
      <c r="K83" s="75">
        <f>+'SALE WORKING'!L115</f>
        <v>0</v>
      </c>
      <c r="L83" s="75">
        <f>+'SALE WORKING'!M115</f>
        <v>0</v>
      </c>
      <c r="M83" s="76">
        <f>+'SALE WORKING'!N115</f>
        <v>0</v>
      </c>
      <c r="N83" s="75">
        <f t="shared" si="9"/>
        <v>3696506.1133599998</v>
      </c>
    </row>
    <row r="84" spans="1:14" x14ac:dyDescent="0.2">
      <c r="A84" s="34" t="s">
        <v>285</v>
      </c>
      <c r="B84" s="75">
        <f>+'SALE WORKING'!C116-815.85</f>
        <v>416437.87850000011</v>
      </c>
      <c r="C84" s="75">
        <f>+'SALE WORKING'!D116+815.85</f>
        <v>463069.24579999998</v>
      </c>
      <c r="D84" s="75">
        <f>+'SALE WORKING'!E116</f>
        <v>551642.31166000001</v>
      </c>
      <c r="E84" s="75">
        <f>+'SALE WORKING'!F116</f>
        <v>751921.66600000008</v>
      </c>
      <c r="F84" s="75">
        <f>+'SALE WORKING'!G116</f>
        <v>597973.32440000004</v>
      </c>
      <c r="G84" s="75">
        <f>+'SALE WORKING'!H116</f>
        <v>495784.53260000009</v>
      </c>
      <c r="H84" s="75">
        <f>+'SALE WORKING'!I116</f>
        <v>419677.1544</v>
      </c>
      <c r="I84" s="75">
        <f>+'SALE WORKING'!J116</f>
        <v>0</v>
      </c>
      <c r="J84" s="75">
        <f>+'SALE WORKING'!K116</f>
        <v>0</v>
      </c>
      <c r="K84" s="75">
        <f>+'SALE WORKING'!L116</f>
        <v>0</v>
      </c>
      <c r="L84" s="75">
        <f>+'SALE WORKING'!M116</f>
        <v>0</v>
      </c>
      <c r="M84" s="76">
        <f>+'SALE WORKING'!N116</f>
        <v>0</v>
      </c>
      <c r="N84" s="75">
        <f t="shared" si="9"/>
        <v>3696506.1133599998</v>
      </c>
    </row>
    <row r="85" spans="1:14" x14ac:dyDescent="0.2">
      <c r="A85" s="34" t="s">
        <v>286</v>
      </c>
      <c r="B85" s="75">
        <f>+'SALE WORKING'!C117</f>
        <v>0</v>
      </c>
      <c r="C85" s="75">
        <f>+'SALE WORKING'!D117</f>
        <v>0</v>
      </c>
      <c r="D85" s="75">
        <f>+'SALE WORKING'!E117</f>
        <v>0</v>
      </c>
      <c r="E85" s="75">
        <f>+'SALE WORKING'!F117</f>
        <v>0</v>
      </c>
      <c r="F85" s="75">
        <f>+'SALE WORKING'!G117</f>
        <v>0</v>
      </c>
      <c r="G85" s="75">
        <f>+'SALE WORKING'!H117</f>
        <v>0</v>
      </c>
      <c r="H85" s="75">
        <f>+'SALE WORKING'!I117</f>
        <v>0</v>
      </c>
      <c r="I85" s="75">
        <f>+'SALE WORKING'!J117</f>
        <v>0</v>
      </c>
      <c r="J85" s="75">
        <f>+'SALE WORKING'!K117</f>
        <v>0</v>
      </c>
      <c r="K85" s="75">
        <f>+'SALE WORKING'!L117</f>
        <v>0</v>
      </c>
      <c r="L85" s="75">
        <f>+'SALE WORKING'!M117</f>
        <v>0</v>
      </c>
      <c r="M85" s="76">
        <f>+'SALE WORKING'!N117</f>
        <v>0</v>
      </c>
      <c r="N85" s="75">
        <f t="shared" si="9"/>
        <v>0</v>
      </c>
    </row>
    <row r="86" spans="1:14" x14ac:dyDescent="0.2">
      <c r="A86" s="1036" t="s">
        <v>299</v>
      </c>
      <c r="B86" s="1037"/>
      <c r="C86" s="1037"/>
      <c r="D86" s="1037"/>
      <c r="E86" s="1037"/>
      <c r="F86" s="1037"/>
      <c r="G86" s="1037"/>
      <c r="H86" s="1037"/>
      <c r="I86" s="1037"/>
      <c r="J86" s="1037"/>
      <c r="K86" s="1037"/>
      <c r="L86" s="1037"/>
      <c r="M86" s="1037"/>
      <c r="N86" s="1038"/>
    </row>
    <row r="87" spans="1:14" x14ac:dyDescent="0.2">
      <c r="A87" s="63" t="s">
        <v>279</v>
      </c>
      <c r="B87" s="64">
        <v>43556</v>
      </c>
      <c r="C87" s="64">
        <v>43586</v>
      </c>
      <c r="D87" s="64">
        <v>43617</v>
      </c>
      <c r="E87" s="64">
        <v>43647</v>
      </c>
      <c r="F87" s="64">
        <v>43678</v>
      </c>
      <c r="G87" s="64">
        <v>43709</v>
      </c>
      <c r="H87" s="64">
        <v>43739</v>
      </c>
      <c r="I87" s="64">
        <v>43770</v>
      </c>
      <c r="J87" s="64">
        <v>43800</v>
      </c>
      <c r="K87" s="64">
        <v>43831</v>
      </c>
      <c r="L87" s="64">
        <v>43862</v>
      </c>
      <c r="M87" s="65">
        <v>43891</v>
      </c>
      <c r="N87" s="66" t="s">
        <v>347</v>
      </c>
    </row>
    <row r="88" spans="1:14" x14ac:dyDescent="0.2">
      <c r="A88" s="34" t="s">
        <v>280</v>
      </c>
      <c r="B88" s="34">
        <v>2</v>
      </c>
      <c r="C88" s="34">
        <v>2</v>
      </c>
      <c r="D88" s="34"/>
      <c r="E88" s="34"/>
      <c r="F88" s="34"/>
      <c r="G88" s="34"/>
      <c r="H88" s="34"/>
      <c r="I88" s="34"/>
      <c r="J88" s="34"/>
      <c r="K88" s="34"/>
      <c r="L88" s="34"/>
      <c r="M88" s="74"/>
      <c r="N88" s="34"/>
    </row>
    <row r="89" spans="1:14" x14ac:dyDescent="0.2">
      <c r="A89" s="34" t="s">
        <v>299</v>
      </c>
      <c r="B89" s="34">
        <v>165</v>
      </c>
      <c r="C89" s="34">
        <v>250</v>
      </c>
      <c r="D89" s="34"/>
      <c r="E89" s="34"/>
      <c r="F89" s="34"/>
      <c r="G89" s="34"/>
      <c r="H89" s="34"/>
      <c r="I89" s="34"/>
      <c r="J89" s="34"/>
      <c r="K89" s="34"/>
      <c r="L89" s="34"/>
      <c r="M89" s="74"/>
      <c r="N89" s="34"/>
    </row>
    <row r="90" spans="1:14" x14ac:dyDescent="0.2">
      <c r="A90" s="34" t="s">
        <v>300</v>
      </c>
      <c r="B90" s="34">
        <v>1</v>
      </c>
      <c r="C90" s="34">
        <v>0</v>
      </c>
      <c r="D90" s="34"/>
      <c r="E90" s="34"/>
      <c r="F90" s="34"/>
      <c r="G90" s="34"/>
      <c r="H90" s="34"/>
      <c r="I90" s="34"/>
      <c r="J90" s="34"/>
      <c r="K90" s="34"/>
      <c r="L90" s="34"/>
      <c r="M90" s="74"/>
      <c r="N90" s="34"/>
    </row>
    <row r="91" spans="1:14" x14ac:dyDescent="0.2">
      <c r="A91" s="34" t="s">
        <v>301</v>
      </c>
      <c r="B91" s="34">
        <v>164</v>
      </c>
      <c r="C91" s="34">
        <v>250</v>
      </c>
      <c r="D91" s="34"/>
      <c r="E91" s="34"/>
      <c r="F91" s="34"/>
      <c r="G91" s="34"/>
      <c r="H91" s="34"/>
      <c r="I91" s="34"/>
      <c r="J91" s="34"/>
      <c r="K91" s="34"/>
      <c r="L91" s="34"/>
      <c r="M91" s="74"/>
      <c r="N91" s="34"/>
    </row>
    <row r="92" spans="1:14" ht="15.75" customHeight="1" x14ac:dyDescent="0.2">
      <c r="A92" s="1046" t="s">
        <v>302</v>
      </c>
      <c r="B92" s="1047"/>
      <c r="C92" s="1047"/>
      <c r="D92" s="1047"/>
      <c r="E92" s="1047"/>
      <c r="F92" s="1047"/>
      <c r="G92" s="1047"/>
      <c r="H92" s="1047"/>
      <c r="I92" s="1047"/>
      <c r="J92" s="1047"/>
      <c r="K92" s="1047"/>
      <c r="L92" s="1047"/>
      <c r="M92" s="1047"/>
      <c r="N92" s="1048"/>
    </row>
    <row r="93" spans="1:14" x14ac:dyDescent="0.2">
      <c r="A93" s="63" t="s">
        <v>279</v>
      </c>
      <c r="B93" s="64">
        <v>43556</v>
      </c>
      <c r="C93" s="64">
        <v>43586</v>
      </c>
      <c r="D93" s="64">
        <v>43617</v>
      </c>
      <c r="E93" s="64">
        <v>43647</v>
      </c>
      <c r="F93" s="64">
        <v>43678</v>
      </c>
      <c r="G93" s="64">
        <v>43709</v>
      </c>
      <c r="H93" s="64">
        <v>43739</v>
      </c>
      <c r="I93" s="64">
        <v>43770</v>
      </c>
      <c r="J93" s="64">
        <v>43800</v>
      </c>
      <c r="K93" s="64">
        <v>43831</v>
      </c>
      <c r="L93" s="64">
        <v>43862</v>
      </c>
      <c r="M93" s="65">
        <v>43891</v>
      </c>
      <c r="N93" s="66" t="s">
        <v>347</v>
      </c>
    </row>
    <row r="94" spans="1:14" x14ac:dyDescent="0.2">
      <c r="A94" s="34" t="s">
        <v>280</v>
      </c>
      <c r="B94" s="34">
        <v>0</v>
      </c>
      <c r="C94" s="34">
        <v>0</v>
      </c>
      <c r="D94" s="34"/>
      <c r="E94" s="34"/>
      <c r="F94" s="34"/>
      <c r="G94" s="34"/>
      <c r="H94" s="34"/>
      <c r="I94" s="34"/>
      <c r="J94" s="34"/>
      <c r="K94" s="34"/>
      <c r="L94" s="34"/>
      <c r="M94" s="74"/>
      <c r="N94" s="75">
        <f t="shared" ref="N94:N100" si="10">SUM(B94:M94)</f>
        <v>0</v>
      </c>
    </row>
    <row r="95" spans="1:14" x14ac:dyDescent="0.2">
      <c r="A95" s="34" t="s">
        <v>281</v>
      </c>
      <c r="B95" s="71">
        <f>+'SALE WORKING'!C127</f>
        <v>0</v>
      </c>
      <c r="C95" s="71">
        <f>+'SALE WORKING'!D127</f>
        <v>0</v>
      </c>
      <c r="D95" s="71">
        <f>+'SALE WORKING'!E127</f>
        <v>0</v>
      </c>
      <c r="E95" s="71">
        <f>+'SALE WORKING'!F127</f>
        <v>0</v>
      </c>
      <c r="F95" s="71">
        <f>+'SALE WORKING'!G127</f>
        <v>0</v>
      </c>
      <c r="G95" s="71">
        <f>+'SALE WORKING'!H127</f>
        <v>0</v>
      </c>
      <c r="H95" s="71">
        <f>+'SALE WORKING'!I127</f>
        <v>0</v>
      </c>
      <c r="I95" s="71">
        <f>+'SALE WORKING'!J127</f>
        <v>0</v>
      </c>
      <c r="J95" s="71">
        <f>+'SALE WORKING'!K127</f>
        <v>0</v>
      </c>
      <c r="K95" s="71">
        <f>+'SALE WORKING'!L127</f>
        <v>0</v>
      </c>
      <c r="L95" s="71">
        <f>+'SALE WORKING'!M127</f>
        <v>0</v>
      </c>
      <c r="M95" s="73">
        <f>+'SALE WORKING'!N127</f>
        <v>0</v>
      </c>
      <c r="N95" s="75">
        <f t="shared" si="10"/>
        <v>0</v>
      </c>
    </row>
    <row r="96" spans="1:14" x14ac:dyDescent="0.2">
      <c r="A96" s="34" t="s">
        <v>282</v>
      </c>
      <c r="B96" s="71">
        <f>+'SALE WORKING'!C128</f>
        <v>0</v>
      </c>
      <c r="C96" s="71">
        <f>+'SALE WORKING'!D128</f>
        <v>0</v>
      </c>
      <c r="D96" s="71">
        <f>+'SALE WORKING'!E128</f>
        <v>0</v>
      </c>
      <c r="E96" s="71">
        <f>+'SALE WORKING'!F128</f>
        <v>0</v>
      </c>
      <c r="F96" s="71">
        <f>+'SALE WORKING'!G128</f>
        <v>0</v>
      </c>
      <c r="G96" s="71">
        <f>+'SALE WORKING'!H128</f>
        <v>0</v>
      </c>
      <c r="H96" s="71">
        <f>+'SALE WORKING'!I128</f>
        <v>0</v>
      </c>
      <c r="I96" s="71">
        <f>+'SALE WORKING'!J128</f>
        <v>0</v>
      </c>
      <c r="J96" s="71">
        <f>+'SALE WORKING'!K128</f>
        <v>0</v>
      </c>
      <c r="K96" s="71">
        <f>+'SALE WORKING'!L128</f>
        <v>0</v>
      </c>
      <c r="L96" s="71">
        <f>+'SALE WORKING'!M128</f>
        <v>0</v>
      </c>
      <c r="M96" s="73">
        <f>+'SALE WORKING'!N128</f>
        <v>0</v>
      </c>
      <c r="N96" s="75">
        <f t="shared" si="10"/>
        <v>0</v>
      </c>
    </row>
    <row r="97" spans="1:14" x14ac:dyDescent="0.2">
      <c r="A97" s="34" t="s">
        <v>283</v>
      </c>
      <c r="B97" s="71">
        <f>+'SALE WORKING'!C129</f>
        <v>0</v>
      </c>
      <c r="C97" s="71">
        <f>+'SALE WORKING'!D129</f>
        <v>0</v>
      </c>
      <c r="D97" s="71">
        <f>+'SALE WORKING'!E129</f>
        <v>0</v>
      </c>
      <c r="E97" s="71">
        <f>+'SALE WORKING'!F129</f>
        <v>0</v>
      </c>
      <c r="F97" s="71">
        <f>+'SALE WORKING'!G129</f>
        <v>0</v>
      </c>
      <c r="G97" s="71">
        <f>+'SALE WORKING'!H129</f>
        <v>0</v>
      </c>
      <c r="H97" s="71">
        <f>+'SALE WORKING'!I129</f>
        <v>0</v>
      </c>
      <c r="I97" s="71">
        <f>+'SALE WORKING'!J129</f>
        <v>0</v>
      </c>
      <c r="J97" s="71">
        <f>+'SALE WORKING'!K129</f>
        <v>0</v>
      </c>
      <c r="K97" s="71">
        <f>+'SALE WORKING'!L129</f>
        <v>0</v>
      </c>
      <c r="L97" s="71">
        <f>+'SALE WORKING'!M129</f>
        <v>0</v>
      </c>
      <c r="M97" s="73">
        <f>+'SALE WORKING'!N129</f>
        <v>0</v>
      </c>
      <c r="N97" s="75">
        <f t="shared" si="10"/>
        <v>0</v>
      </c>
    </row>
    <row r="98" spans="1:14" x14ac:dyDescent="0.2">
      <c r="A98" s="34" t="s">
        <v>284</v>
      </c>
      <c r="B98" s="71">
        <f>+'SALE WORKING'!C130</f>
        <v>0</v>
      </c>
      <c r="C98" s="71">
        <f>+'SALE WORKING'!D130</f>
        <v>0</v>
      </c>
      <c r="D98" s="71">
        <f>+'SALE WORKING'!E130</f>
        <v>0</v>
      </c>
      <c r="E98" s="71">
        <f>+'SALE WORKING'!F130</f>
        <v>0</v>
      </c>
      <c r="F98" s="71">
        <f>+'SALE WORKING'!G130</f>
        <v>0</v>
      </c>
      <c r="G98" s="71">
        <f>+'SALE WORKING'!H130</f>
        <v>0</v>
      </c>
      <c r="H98" s="71">
        <f>+'SALE WORKING'!I130</f>
        <v>0</v>
      </c>
      <c r="I98" s="71">
        <f>+'SALE WORKING'!J130</f>
        <v>0</v>
      </c>
      <c r="J98" s="71">
        <f>+'SALE WORKING'!K130</f>
        <v>0</v>
      </c>
      <c r="K98" s="71">
        <f>+'SALE WORKING'!L130</f>
        <v>0</v>
      </c>
      <c r="L98" s="71">
        <f>+'SALE WORKING'!M130</f>
        <v>0</v>
      </c>
      <c r="M98" s="73">
        <f>+'SALE WORKING'!N130</f>
        <v>0</v>
      </c>
      <c r="N98" s="75">
        <f t="shared" si="10"/>
        <v>0</v>
      </c>
    </row>
    <row r="99" spans="1:14" x14ac:dyDescent="0.2">
      <c r="A99" s="34" t="s">
        <v>285</v>
      </c>
      <c r="B99" s="71">
        <f>+'SALE WORKING'!C131</f>
        <v>0</v>
      </c>
      <c r="C99" s="71">
        <f>+'SALE WORKING'!D131</f>
        <v>0</v>
      </c>
      <c r="D99" s="71">
        <f>+'SALE WORKING'!E131</f>
        <v>0</v>
      </c>
      <c r="E99" s="71">
        <f>+'SALE WORKING'!F131</f>
        <v>0</v>
      </c>
      <c r="F99" s="71">
        <f>+'SALE WORKING'!G131</f>
        <v>0</v>
      </c>
      <c r="G99" s="71">
        <f>+'SALE WORKING'!H131</f>
        <v>0</v>
      </c>
      <c r="H99" s="71">
        <f>+'SALE WORKING'!I131</f>
        <v>0</v>
      </c>
      <c r="I99" s="71">
        <f>+'SALE WORKING'!J131</f>
        <v>0</v>
      </c>
      <c r="J99" s="71">
        <f>+'SALE WORKING'!K131</f>
        <v>0</v>
      </c>
      <c r="K99" s="71">
        <f>+'SALE WORKING'!L131</f>
        <v>0</v>
      </c>
      <c r="L99" s="71">
        <f>+'SALE WORKING'!M131</f>
        <v>0</v>
      </c>
      <c r="M99" s="73">
        <f>+'SALE WORKING'!N131</f>
        <v>0</v>
      </c>
      <c r="N99" s="75">
        <f t="shared" si="10"/>
        <v>0</v>
      </c>
    </row>
    <row r="100" spans="1:14" x14ac:dyDescent="0.2">
      <c r="A100" s="34" t="s">
        <v>286</v>
      </c>
      <c r="B100" s="71">
        <f>+'SALE WORKING'!C132</f>
        <v>0</v>
      </c>
      <c r="C100" s="71">
        <f>+'SALE WORKING'!D132</f>
        <v>0</v>
      </c>
      <c r="D100" s="71">
        <f>+'SALE WORKING'!E132</f>
        <v>0</v>
      </c>
      <c r="E100" s="71">
        <f>+'SALE WORKING'!F132</f>
        <v>0</v>
      </c>
      <c r="F100" s="71">
        <f>+'SALE WORKING'!G132</f>
        <v>0</v>
      </c>
      <c r="G100" s="71">
        <f>+'SALE WORKING'!H132</f>
        <v>0</v>
      </c>
      <c r="H100" s="71">
        <f>+'SALE WORKING'!I132</f>
        <v>0</v>
      </c>
      <c r="I100" s="71">
        <f>+'SALE WORKING'!J132</f>
        <v>0</v>
      </c>
      <c r="J100" s="71">
        <f>+'SALE WORKING'!K132</f>
        <v>0</v>
      </c>
      <c r="K100" s="71">
        <f>+'SALE WORKING'!L132</f>
        <v>0</v>
      </c>
      <c r="L100" s="71">
        <f>+'SALE WORKING'!M132</f>
        <v>0</v>
      </c>
      <c r="M100" s="73">
        <f>+'SALE WORKING'!N132</f>
        <v>0</v>
      </c>
      <c r="N100" s="75">
        <f t="shared" si="10"/>
        <v>0</v>
      </c>
    </row>
    <row r="101" spans="1:14" x14ac:dyDescent="0.2">
      <c r="A101" s="1049" t="s">
        <v>303</v>
      </c>
      <c r="B101" s="1050"/>
      <c r="C101" s="1050"/>
      <c r="D101" s="1050"/>
      <c r="E101" s="1050"/>
      <c r="F101" s="1050"/>
      <c r="G101" s="1050"/>
      <c r="H101" s="1050"/>
      <c r="I101" s="1050"/>
      <c r="J101" s="1050"/>
      <c r="K101" s="1050"/>
      <c r="L101" s="1050"/>
      <c r="M101" s="1050"/>
      <c r="N101" s="1051"/>
    </row>
    <row r="102" spans="1:14" x14ac:dyDescent="0.2">
      <c r="A102" s="63" t="s">
        <v>279</v>
      </c>
      <c r="B102" s="64">
        <v>43556</v>
      </c>
      <c r="C102" s="64">
        <v>43586</v>
      </c>
      <c r="D102" s="64">
        <v>43617</v>
      </c>
      <c r="E102" s="64">
        <v>43647</v>
      </c>
      <c r="F102" s="64">
        <v>43678</v>
      </c>
      <c r="G102" s="64">
        <v>43709</v>
      </c>
      <c r="H102" s="64">
        <v>43739</v>
      </c>
      <c r="I102" s="64">
        <v>43770</v>
      </c>
      <c r="J102" s="64">
        <v>43800</v>
      </c>
      <c r="K102" s="64">
        <v>43831</v>
      </c>
      <c r="L102" s="64">
        <v>43862</v>
      </c>
      <c r="M102" s="65">
        <v>43891</v>
      </c>
      <c r="N102" s="66" t="s">
        <v>347</v>
      </c>
    </row>
    <row r="103" spans="1:14" x14ac:dyDescent="0.2">
      <c r="A103" s="34" t="s">
        <v>280</v>
      </c>
      <c r="B103" s="34">
        <v>0</v>
      </c>
      <c r="C103" s="34">
        <v>0</v>
      </c>
      <c r="D103" s="34"/>
      <c r="E103" s="34"/>
      <c r="F103" s="34"/>
      <c r="G103" s="34"/>
      <c r="H103" s="34"/>
      <c r="I103" s="34"/>
      <c r="J103" s="34"/>
      <c r="K103" s="34"/>
      <c r="L103" s="34"/>
      <c r="M103" s="74"/>
      <c r="N103" s="75">
        <f t="shared" ref="N103:N107" si="11">SUM(B103:M103)</f>
        <v>0</v>
      </c>
    </row>
    <row r="104" spans="1:14" x14ac:dyDescent="0.2">
      <c r="A104" s="34" t="s">
        <v>281</v>
      </c>
      <c r="B104" s="71">
        <f>+'SALE WORKING'!C136</f>
        <v>0</v>
      </c>
      <c r="C104" s="71">
        <f>+'SALE WORKING'!D136</f>
        <v>0</v>
      </c>
      <c r="D104" s="71">
        <f>+'SALE WORKING'!E136</f>
        <v>0</v>
      </c>
      <c r="E104" s="71">
        <f>+'SALE WORKING'!F136</f>
        <v>0</v>
      </c>
      <c r="F104" s="71">
        <f>+'SALE WORKING'!G136</f>
        <v>0</v>
      </c>
      <c r="G104" s="71">
        <f>+'SALE WORKING'!H136</f>
        <v>0</v>
      </c>
      <c r="H104" s="71">
        <f>+'SALE WORKING'!I136</f>
        <v>0</v>
      </c>
      <c r="I104" s="71">
        <f>+'SALE WORKING'!J136</f>
        <v>0</v>
      </c>
      <c r="J104" s="71">
        <f>+'SALE WORKING'!K136</f>
        <v>0</v>
      </c>
      <c r="K104" s="71">
        <f>+'SALE WORKING'!L136</f>
        <v>0</v>
      </c>
      <c r="L104" s="71">
        <f>+'SALE WORKING'!M136</f>
        <v>0</v>
      </c>
      <c r="M104" s="73">
        <f>+'SALE WORKING'!N136</f>
        <v>0</v>
      </c>
      <c r="N104" s="75">
        <f t="shared" si="11"/>
        <v>0</v>
      </c>
    </row>
    <row r="105" spans="1:14" x14ac:dyDescent="0.2">
      <c r="A105" s="34" t="s">
        <v>282</v>
      </c>
      <c r="B105" s="71">
        <f>+'SALE WORKING'!C137</f>
        <v>0</v>
      </c>
      <c r="C105" s="71">
        <f>+'SALE WORKING'!D137</f>
        <v>0</v>
      </c>
      <c r="D105" s="71">
        <f>+'SALE WORKING'!E137</f>
        <v>0</v>
      </c>
      <c r="E105" s="71">
        <f>+'SALE WORKING'!F137</f>
        <v>0</v>
      </c>
      <c r="F105" s="71">
        <f>+'SALE WORKING'!G137</f>
        <v>0</v>
      </c>
      <c r="G105" s="71">
        <f>+'SALE WORKING'!H137</f>
        <v>0</v>
      </c>
      <c r="H105" s="71">
        <f>+'SALE WORKING'!I137</f>
        <v>0</v>
      </c>
      <c r="I105" s="71">
        <f>+'SALE WORKING'!J137</f>
        <v>0</v>
      </c>
      <c r="J105" s="71">
        <f>+'SALE WORKING'!K137</f>
        <v>0</v>
      </c>
      <c r="K105" s="71">
        <f>+'SALE WORKING'!L137</f>
        <v>0</v>
      </c>
      <c r="L105" s="71">
        <f>+'SALE WORKING'!M137</f>
        <v>0</v>
      </c>
      <c r="M105" s="73">
        <f>+'SALE WORKING'!N137</f>
        <v>0</v>
      </c>
      <c r="N105" s="75">
        <f t="shared" si="11"/>
        <v>0</v>
      </c>
    </row>
    <row r="106" spans="1:14" x14ac:dyDescent="0.2">
      <c r="A106" s="34" t="s">
        <v>283</v>
      </c>
      <c r="B106" s="71">
        <f>+'SALE WORKING'!C138</f>
        <v>0</v>
      </c>
      <c r="C106" s="71">
        <f>+'SALE WORKING'!D138</f>
        <v>0</v>
      </c>
      <c r="D106" s="71">
        <f>+'SALE WORKING'!E138</f>
        <v>0</v>
      </c>
      <c r="E106" s="71">
        <f>+'SALE WORKING'!F138</f>
        <v>0</v>
      </c>
      <c r="F106" s="71">
        <f>+'SALE WORKING'!G138</f>
        <v>0</v>
      </c>
      <c r="G106" s="71">
        <f>+'SALE WORKING'!H138</f>
        <v>0</v>
      </c>
      <c r="H106" s="71">
        <f>+'SALE WORKING'!I138</f>
        <v>0</v>
      </c>
      <c r="I106" s="71">
        <f>+'SALE WORKING'!J138</f>
        <v>0</v>
      </c>
      <c r="J106" s="71">
        <f>+'SALE WORKING'!K138</f>
        <v>0</v>
      </c>
      <c r="K106" s="71">
        <f>+'SALE WORKING'!L138</f>
        <v>0</v>
      </c>
      <c r="L106" s="71">
        <f>+'SALE WORKING'!M138</f>
        <v>0</v>
      </c>
      <c r="M106" s="73">
        <f>+'SALE WORKING'!N138</f>
        <v>0</v>
      </c>
      <c r="N106" s="75">
        <f t="shared" si="11"/>
        <v>0</v>
      </c>
    </row>
    <row r="107" spans="1:14" x14ac:dyDescent="0.2">
      <c r="A107" s="34" t="s">
        <v>286</v>
      </c>
      <c r="B107" s="71">
        <f>+'SALE WORKING'!C139</f>
        <v>0</v>
      </c>
      <c r="C107" s="71">
        <f>+'SALE WORKING'!D139</f>
        <v>0</v>
      </c>
      <c r="D107" s="71">
        <f>+'SALE WORKING'!E139</f>
        <v>0</v>
      </c>
      <c r="E107" s="71">
        <f>+'SALE WORKING'!F139</f>
        <v>0</v>
      </c>
      <c r="F107" s="71">
        <f>+'SALE WORKING'!G139</f>
        <v>0</v>
      </c>
      <c r="G107" s="71">
        <f>+'SALE WORKING'!H139</f>
        <v>0</v>
      </c>
      <c r="H107" s="71">
        <f>+'SALE WORKING'!I139</f>
        <v>0</v>
      </c>
      <c r="I107" s="71">
        <f>+'SALE WORKING'!J139</f>
        <v>0</v>
      </c>
      <c r="J107" s="71">
        <f>+'SALE WORKING'!K139</f>
        <v>0</v>
      </c>
      <c r="K107" s="71">
        <f>+'SALE WORKING'!L139</f>
        <v>0</v>
      </c>
      <c r="L107" s="71">
        <f>+'SALE WORKING'!M139</f>
        <v>0</v>
      </c>
      <c r="M107" s="73">
        <f>+'SALE WORKING'!N139</f>
        <v>0</v>
      </c>
      <c r="N107" s="75">
        <f t="shared" si="11"/>
        <v>0</v>
      </c>
    </row>
    <row r="108" spans="1:14" x14ac:dyDescent="0.2">
      <c r="A108" s="1052" t="s">
        <v>304</v>
      </c>
      <c r="B108" s="1053"/>
      <c r="C108" s="1053"/>
      <c r="D108" s="1053"/>
      <c r="E108" s="1053"/>
      <c r="F108" s="1053"/>
      <c r="G108" s="1053"/>
      <c r="H108" s="1053"/>
      <c r="I108" s="1053"/>
      <c r="J108" s="1053"/>
      <c r="K108" s="1053"/>
      <c r="L108" s="1053"/>
      <c r="M108" s="1053"/>
      <c r="N108" s="1054"/>
    </row>
    <row r="109" spans="1:14" x14ac:dyDescent="0.2">
      <c r="A109" s="63" t="s">
        <v>279</v>
      </c>
      <c r="B109" s="64">
        <v>43556</v>
      </c>
      <c r="C109" s="64">
        <v>43586</v>
      </c>
      <c r="D109" s="64">
        <v>43617</v>
      </c>
      <c r="E109" s="64">
        <v>43647</v>
      </c>
      <c r="F109" s="64">
        <v>43678</v>
      </c>
      <c r="G109" s="64">
        <v>43709</v>
      </c>
      <c r="H109" s="64">
        <v>43739</v>
      </c>
      <c r="I109" s="64">
        <v>43770</v>
      </c>
      <c r="J109" s="64">
        <v>43800</v>
      </c>
      <c r="K109" s="64">
        <v>43831</v>
      </c>
      <c r="L109" s="64">
        <v>43862</v>
      </c>
      <c r="M109" s="65">
        <v>43891</v>
      </c>
      <c r="N109" s="66" t="s">
        <v>347</v>
      </c>
    </row>
    <row r="110" spans="1:14" x14ac:dyDescent="0.2">
      <c r="A110" s="34" t="s">
        <v>280</v>
      </c>
      <c r="B110" s="34">
        <v>0</v>
      </c>
      <c r="C110" s="34">
        <v>0</v>
      </c>
      <c r="D110" s="34"/>
      <c r="E110" s="34"/>
      <c r="F110" s="34"/>
      <c r="G110" s="34"/>
      <c r="H110" s="34"/>
      <c r="I110" s="34"/>
      <c r="J110" s="34"/>
      <c r="K110" s="34"/>
      <c r="L110" s="34"/>
      <c r="M110" s="74"/>
      <c r="N110" s="75">
        <f t="shared" ref="N110:N116" si="12">SUM(B110:M110)</f>
        <v>0</v>
      </c>
    </row>
    <row r="111" spans="1:14" x14ac:dyDescent="0.2">
      <c r="A111" s="34" t="s">
        <v>281</v>
      </c>
      <c r="B111" s="71">
        <f>+'SALE WORKING'!C161</f>
        <v>0</v>
      </c>
      <c r="C111" s="71">
        <f>+'SALE WORKING'!D161</f>
        <v>0</v>
      </c>
      <c r="D111" s="71">
        <f>+'SALE WORKING'!E161</f>
        <v>0</v>
      </c>
      <c r="E111" s="71">
        <f>+'SALE WORKING'!F161</f>
        <v>0</v>
      </c>
      <c r="F111" s="71">
        <f>+'SALE WORKING'!G161</f>
        <v>0</v>
      </c>
      <c r="G111" s="71">
        <f>+'SALE WORKING'!H161</f>
        <v>0</v>
      </c>
      <c r="H111" s="71">
        <f>+'SALE WORKING'!I161</f>
        <v>0</v>
      </c>
      <c r="I111" s="71">
        <f>+'SALE WORKING'!J161</f>
        <v>0</v>
      </c>
      <c r="J111" s="71">
        <f>+'SALE WORKING'!K161</f>
        <v>0</v>
      </c>
      <c r="K111" s="71">
        <f>+'SALE WORKING'!L161</f>
        <v>0</v>
      </c>
      <c r="L111" s="71">
        <f>+'SALE WORKING'!M161</f>
        <v>0</v>
      </c>
      <c r="M111" s="73">
        <f>+'SALE WORKING'!N161</f>
        <v>0</v>
      </c>
      <c r="N111" s="75">
        <f t="shared" si="12"/>
        <v>0</v>
      </c>
    </row>
    <row r="112" spans="1:14" x14ac:dyDescent="0.2">
      <c r="A112" s="34" t="s">
        <v>282</v>
      </c>
      <c r="B112" s="71">
        <f>+'SALE WORKING'!C162</f>
        <v>0</v>
      </c>
      <c r="C112" s="71">
        <f>+'SALE WORKING'!D162</f>
        <v>0</v>
      </c>
      <c r="D112" s="71">
        <f>+'SALE WORKING'!E162</f>
        <v>0</v>
      </c>
      <c r="E112" s="71">
        <f>+'SALE WORKING'!F162</f>
        <v>0</v>
      </c>
      <c r="F112" s="71">
        <f>+'SALE WORKING'!G162</f>
        <v>0</v>
      </c>
      <c r="G112" s="71">
        <f>+'SALE WORKING'!H162</f>
        <v>0</v>
      </c>
      <c r="H112" s="71">
        <f>+'SALE WORKING'!I162</f>
        <v>0</v>
      </c>
      <c r="I112" s="71">
        <f>+'SALE WORKING'!J162</f>
        <v>0</v>
      </c>
      <c r="J112" s="71">
        <f>+'SALE WORKING'!K162</f>
        <v>0</v>
      </c>
      <c r="K112" s="71">
        <f>+'SALE WORKING'!L162</f>
        <v>0</v>
      </c>
      <c r="L112" s="71">
        <f>+'SALE WORKING'!M162</f>
        <v>0</v>
      </c>
      <c r="M112" s="73">
        <f>+'SALE WORKING'!N162</f>
        <v>0</v>
      </c>
      <c r="N112" s="75">
        <f t="shared" si="12"/>
        <v>0</v>
      </c>
    </row>
    <row r="113" spans="1:14" x14ac:dyDescent="0.2">
      <c r="A113" s="34" t="s">
        <v>283</v>
      </c>
      <c r="B113" s="71">
        <f>+'SALE WORKING'!C163</f>
        <v>0</v>
      </c>
      <c r="C113" s="71">
        <f>+'SALE WORKING'!D163</f>
        <v>0</v>
      </c>
      <c r="D113" s="71">
        <f>+'SALE WORKING'!E163</f>
        <v>0</v>
      </c>
      <c r="E113" s="71">
        <f>+'SALE WORKING'!F163</f>
        <v>0</v>
      </c>
      <c r="F113" s="71">
        <f>+'SALE WORKING'!G163</f>
        <v>0</v>
      </c>
      <c r="G113" s="71">
        <f>+'SALE WORKING'!H163</f>
        <v>0</v>
      </c>
      <c r="H113" s="71">
        <f>+'SALE WORKING'!I163</f>
        <v>0</v>
      </c>
      <c r="I113" s="71">
        <f>+'SALE WORKING'!J163</f>
        <v>0</v>
      </c>
      <c r="J113" s="71">
        <f>+'SALE WORKING'!K163</f>
        <v>0</v>
      </c>
      <c r="K113" s="71">
        <f>+'SALE WORKING'!L163</f>
        <v>0</v>
      </c>
      <c r="L113" s="71">
        <f>+'SALE WORKING'!M163</f>
        <v>0</v>
      </c>
      <c r="M113" s="73">
        <f>+'SALE WORKING'!N163</f>
        <v>0</v>
      </c>
      <c r="N113" s="75">
        <f t="shared" si="12"/>
        <v>0</v>
      </c>
    </row>
    <row r="114" spans="1:14" x14ac:dyDescent="0.2">
      <c r="A114" s="34" t="s">
        <v>284</v>
      </c>
      <c r="B114" s="71">
        <f>+'SALE WORKING'!C164</f>
        <v>0</v>
      </c>
      <c r="C114" s="71">
        <f>+'SALE WORKING'!D164</f>
        <v>0</v>
      </c>
      <c r="D114" s="71">
        <f>+'SALE WORKING'!E164</f>
        <v>0</v>
      </c>
      <c r="E114" s="71">
        <f>+'SALE WORKING'!F164</f>
        <v>0</v>
      </c>
      <c r="F114" s="71">
        <f>+'SALE WORKING'!G164</f>
        <v>0</v>
      </c>
      <c r="G114" s="71">
        <f>+'SALE WORKING'!H164</f>
        <v>0</v>
      </c>
      <c r="H114" s="71">
        <f>+'SALE WORKING'!I164</f>
        <v>0</v>
      </c>
      <c r="I114" s="71">
        <f>+'SALE WORKING'!J164</f>
        <v>0</v>
      </c>
      <c r="J114" s="71">
        <f>+'SALE WORKING'!K164</f>
        <v>0</v>
      </c>
      <c r="K114" s="71">
        <f>+'SALE WORKING'!L164</f>
        <v>0</v>
      </c>
      <c r="L114" s="71">
        <f>+'SALE WORKING'!M164</f>
        <v>0</v>
      </c>
      <c r="M114" s="73">
        <f>+'SALE WORKING'!N164</f>
        <v>0</v>
      </c>
      <c r="N114" s="75">
        <f t="shared" si="12"/>
        <v>0</v>
      </c>
    </row>
    <row r="115" spans="1:14" x14ac:dyDescent="0.2">
      <c r="A115" s="34" t="s">
        <v>285</v>
      </c>
      <c r="B115" s="71">
        <f>+'SALE WORKING'!C165</f>
        <v>0</v>
      </c>
      <c r="C115" s="71">
        <f>+'SALE WORKING'!D165</f>
        <v>0</v>
      </c>
      <c r="D115" s="71">
        <f>+'SALE WORKING'!E165</f>
        <v>0</v>
      </c>
      <c r="E115" s="71">
        <f>+'SALE WORKING'!F165</f>
        <v>0</v>
      </c>
      <c r="F115" s="71">
        <f>+'SALE WORKING'!G165</f>
        <v>0</v>
      </c>
      <c r="G115" s="71">
        <f>+'SALE WORKING'!H165</f>
        <v>0</v>
      </c>
      <c r="H115" s="71">
        <f>+'SALE WORKING'!I165</f>
        <v>0</v>
      </c>
      <c r="I115" s="71">
        <f>+'SALE WORKING'!J165</f>
        <v>0</v>
      </c>
      <c r="J115" s="71">
        <f>+'SALE WORKING'!K165</f>
        <v>0</v>
      </c>
      <c r="K115" s="71">
        <f>+'SALE WORKING'!L165</f>
        <v>0</v>
      </c>
      <c r="L115" s="71">
        <f>+'SALE WORKING'!M165</f>
        <v>0</v>
      </c>
      <c r="M115" s="73">
        <f>+'SALE WORKING'!N165</f>
        <v>0</v>
      </c>
      <c r="N115" s="75">
        <f t="shared" si="12"/>
        <v>0</v>
      </c>
    </row>
    <row r="116" spans="1:14" x14ac:dyDescent="0.2">
      <c r="A116" s="34" t="s">
        <v>286</v>
      </c>
      <c r="B116" s="71">
        <f>+'SALE WORKING'!C166</f>
        <v>0</v>
      </c>
      <c r="C116" s="71">
        <f>+'SALE WORKING'!D166</f>
        <v>0</v>
      </c>
      <c r="D116" s="71">
        <f>+'SALE WORKING'!E166</f>
        <v>0</v>
      </c>
      <c r="E116" s="71">
        <f>+'SALE WORKING'!F166</f>
        <v>0</v>
      </c>
      <c r="F116" s="71">
        <f>+'SALE WORKING'!G166</f>
        <v>0</v>
      </c>
      <c r="G116" s="71">
        <f>+'SALE WORKING'!H166</f>
        <v>0</v>
      </c>
      <c r="H116" s="71">
        <f>+'SALE WORKING'!I166</f>
        <v>0</v>
      </c>
      <c r="I116" s="71">
        <f>+'SALE WORKING'!J166</f>
        <v>0</v>
      </c>
      <c r="J116" s="71">
        <f>+'SALE WORKING'!K166</f>
        <v>0</v>
      </c>
      <c r="K116" s="71">
        <f>+'SALE WORKING'!L166</f>
        <v>0</v>
      </c>
      <c r="L116" s="71">
        <f>+'SALE WORKING'!M166</f>
        <v>0</v>
      </c>
      <c r="M116" s="73">
        <f>+'SALE WORKING'!N166</f>
        <v>0</v>
      </c>
      <c r="N116" s="75">
        <f t="shared" si="12"/>
        <v>0</v>
      </c>
    </row>
    <row r="117" spans="1:14" x14ac:dyDescent="0.2">
      <c r="A117" s="1036" t="s">
        <v>305</v>
      </c>
      <c r="B117" s="1037"/>
      <c r="C117" s="1037"/>
      <c r="D117" s="1037"/>
      <c r="E117" s="1037"/>
      <c r="F117" s="1037"/>
      <c r="G117" s="1037"/>
      <c r="H117" s="1037"/>
      <c r="I117" s="1037"/>
      <c r="J117" s="1037"/>
      <c r="K117" s="1037"/>
      <c r="L117" s="1037"/>
      <c r="M117" s="1037"/>
      <c r="N117" s="1038"/>
    </row>
    <row r="118" spans="1:14" x14ac:dyDescent="0.2">
      <c r="A118" s="63" t="s">
        <v>279</v>
      </c>
      <c r="B118" s="64">
        <v>43556</v>
      </c>
      <c r="C118" s="64">
        <v>43586</v>
      </c>
      <c r="D118" s="64">
        <v>43617</v>
      </c>
      <c r="E118" s="64">
        <v>43647</v>
      </c>
      <c r="F118" s="64">
        <v>43678</v>
      </c>
      <c r="G118" s="64">
        <v>43709</v>
      </c>
      <c r="H118" s="64">
        <v>43739</v>
      </c>
      <c r="I118" s="64">
        <v>43770</v>
      </c>
      <c r="J118" s="64">
        <v>43800</v>
      </c>
      <c r="K118" s="64">
        <v>43831</v>
      </c>
      <c r="L118" s="64">
        <v>43862</v>
      </c>
      <c r="M118" s="65">
        <v>43891</v>
      </c>
      <c r="N118" s="66" t="s">
        <v>347</v>
      </c>
    </row>
    <row r="119" spans="1:14" x14ac:dyDescent="0.2">
      <c r="A119" s="34" t="s">
        <v>280</v>
      </c>
      <c r="B119" s="34">
        <v>0</v>
      </c>
      <c r="C119" s="34">
        <v>0</v>
      </c>
      <c r="D119" s="34"/>
      <c r="E119" s="34"/>
      <c r="F119" s="34"/>
      <c r="G119" s="34"/>
      <c r="H119" s="34"/>
      <c r="I119" s="34"/>
      <c r="J119" s="34"/>
      <c r="K119" s="34"/>
      <c r="L119" s="34"/>
      <c r="M119" s="74"/>
      <c r="N119" s="75">
        <f t="shared" ref="N119:N123" si="13">SUM(B119:M119)</f>
        <v>0</v>
      </c>
    </row>
    <row r="120" spans="1:14" x14ac:dyDescent="0.2">
      <c r="A120" s="34" t="s">
        <v>281</v>
      </c>
      <c r="B120" s="71">
        <f>+'SALE WORKING'!C184</f>
        <v>0</v>
      </c>
      <c r="C120" s="71">
        <f>+'SALE WORKING'!D184</f>
        <v>0</v>
      </c>
      <c r="D120" s="71">
        <f>+'SALE WORKING'!E184</f>
        <v>0</v>
      </c>
      <c r="E120" s="71">
        <f>+'SALE WORKING'!F184</f>
        <v>0</v>
      </c>
      <c r="F120" s="71">
        <f>+'SALE WORKING'!G184</f>
        <v>0</v>
      </c>
      <c r="G120" s="71">
        <f>+'SALE WORKING'!H184</f>
        <v>0</v>
      </c>
      <c r="H120" s="71">
        <f>+'SALE WORKING'!I184</f>
        <v>0</v>
      </c>
      <c r="I120" s="71">
        <f>+'SALE WORKING'!J184</f>
        <v>0</v>
      </c>
      <c r="J120" s="71">
        <f>+'SALE WORKING'!K184</f>
        <v>0</v>
      </c>
      <c r="K120" s="71">
        <f>+'SALE WORKING'!L184</f>
        <v>0</v>
      </c>
      <c r="L120" s="71">
        <f>+'SALE WORKING'!M184</f>
        <v>0</v>
      </c>
      <c r="M120" s="73">
        <f>+'SALE WORKING'!N184</f>
        <v>0</v>
      </c>
      <c r="N120" s="75">
        <f t="shared" si="13"/>
        <v>0</v>
      </c>
    </row>
    <row r="121" spans="1:14" x14ac:dyDescent="0.2">
      <c r="A121" s="34" t="s">
        <v>282</v>
      </c>
      <c r="B121" s="71">
        <f>+'SALE WORKING'!C185</f>
        <v>0</v>
      </c>
      <c r="C121" s="71">
        <f>+'SALE WORKING'!D185</f>
        <v>0</v>
      </c>
      <c r="D121" s="71">
        <f>+'SALE WORKING'!E185</f>
        <v>0</v>
      </c>
      <c r="E121" s="71">
        <f>+'SALE WORKING'!F185</f>
        <v>0</v>
      </c>
      <c r="F121" s="71">
        <f>+'SALE WORKING'!G185</f>
        <v>0</v>
      </c>
      <c r="G121" s="71">
        <f>+'SALE WORKING'!H185</f>
        <v>0</v>
      </c>
      <c r="H121" s="71">
        <f>+'SALE WORKING'!I185</f>
        <v>0</v>
      </c>
      <c r="I121" s="71">
        <f>+'SALE WORKING'!J185</f>
        <v>0</v>
      </c>
      <c r="J121" s="71">
        <f>+'SALE WORKING'!K185</f>
        <v>0</v>
      </c>
      <c r="K121" s="71">
        <f>+'SALE WORKING'!L185</f>
        <v>0</v>
      </c>
      <c r="L121" s="71">
        <f>+'SALE WORKING'!M185</f>
        <v>0</v>
      </c>
      <c r="M121" s="73">
        <f>+'SALE WORKING'!N185</f>
        <v>0</v>
      </c>
      <c r="N121" s="75">
        <f t="shared" si="13"/>
        <v>0</v>
      </c>
    </row>
    <row r="122" spans="1:14" x14ac:dyDescent="0.2">
      <c r="A122" s="34" t="s">
        <v>283</v>
      </c>
      <c r="B122" s="71">
        <f>+'SALE WORKING'!C186</f>
        <v>0</v>
      </c>
      <c r="C122" s="71">
        <f>+'SALE WORKING'!D186</f>
        <v>0</v>
      </c>
      <c r="D122" s="71">
        <f>+'SALE WORKING'!E186</f>
        <v>0</v>
      </c>
      <c r="E122" s="71">
        <f>+'SALE WORKING'!F186</f>
        <v>0</v>
      </c>
      <c r="F122" s="71">
        <f>+'SALE WORKING'!G186</f>
        <v>0</v>
      </c>
      <c r="G122" s="71">
        <f>+'SALE WORKING'!H186</f>
        <v>0</v>
      </c>
      <c r="H122" s="71">
        <f>+'SALE WORKING'!I186</f>
        <v>0</v>
      </c>
      <c r="I122" s="71">
        <f>+'SALE WORKING'!J186</f>
        <v>0</v>
      </c>
      <c r="J122" s="71">
        <f>+'SALE WORKING'!K186</f>
        <v>0</v>
      </c>
      <c r="K122" s="71">
        <f>+'SALE WORKING'!L186</f>
        <v>0</v>
      </c>
      <c r="L122" s="71">
        <f>+'SALE WORKING'!M186</f>
        <v>0</v>
      </c>
      <c r="M122" s="73">
        <f>+'SALE WORKING'!N186</f>
        <v>0</v>
      </c>
      <c r="N122" s="75">
        <f t="shared" si="13"/>
        <v>0</v>
      </c>
    </row>
    <row r="123" spans="1:14" x14ac:dyDescent="0.2">
      <c r="A123" s="34" t="s">
        <v>286</v>
      </c>
      <c r="B123" s="71">
        <f>+'SALE WORKING'!C187</f>
        <v>0</v>
      </c>
      <c r="C123" s="71">
        <f>+'SALE WORKING'!D187</f>
        <v>0</v>
      </c>
      <c r="D123" s="71">
        <f>+'SALE WORKING'!E187</f>
        <v>0</v>
      </c>
      <c r="E123" s="71">
        <f>+'SALE WORKING'!F187</f>
        <v>0</v>
      </c>
      <c r="F123" s="71">
        <f>+'SALE WORKING'!G187</f>
        <v>0</v>
      </c>
      <c r="G123" s="71">
        <f>+'SALE WORKING'!H187</f>
        <v>0</v>
      </c>
      <c r="H123" s="71">
        <f>+'SALE WORKING'!I187</f>
        <v>0</v>
      </c>
      <c r="I123" s="71">
        <f>+'SALE WORKING'!J187</f>
        <v>0</v>
      </c>
      <c r="J123" s="71">
        <f>+'SALE WORKING'!K187</f>
        <v>0</v>
      </c>
      <c r="K123" s="71">
        <f>+'SALE WORKING'!L187</f>
        <v>0</v>
      </c>
      <c r="L123" s="71">
        <f>+'SALE WORKING'!M187</f>
        <v>0</v>
      </c>
      <c r="M123" s="73">
        <f>+'SALE WORKING'!N187</f>
        <v>0</v>
      </c>
      <c r="N123" s="75">
        <f t="shared" si="13"/>
        <v>0</v>
      </c>
    </row>
    <row r="124" spans="1:14" x14ac:dyDescent="0.2">
      <c r="A124" s="1055" t="s">
        <v>306</v>
      </c>
      <c r="B124" s="1056"/>
      <c r="C124" s="1056"/>
      <c r="D124" s="1056"/>
      <c r="E124" s="1056"/>
      <c r="F124" s="1056"/>
      <c r="G124" s="1056"/>
      <c r="H124" s="1056"/>
      <c r="I124" s="1056"/>
      <c r="J124" s="1056"/>
      <c r="K124" s="1056"/>
      <c r="L124" s="1056"/>
      <c r="M124" s="1056"/>
      <c r="N124" s="1057"/>
    </row>
    <row r="125" spans="1:14" x14ac:dyDescent="0.2">
      <c r="A125" s="63" t="s">
        <v>279</v>
      </c>
      <c r="B125" s="64">
        <v>43556</v>
      </c>
      <c r="C125" s="64">
        <v>43586</v>
      </c>
      <c r="D125" s="64">
        <v>43617</v>
      </c>
      <c r="E125" s="64">
        <v>43647</v>
      </c>
      <c r="F125" s="64">
        <v>43678</v>
      </c>
      <c r="G125" s="64">
        <v>43709</v>
      </c>
      <c r="H125" s="64">
        <v>43739</v>
      </c>
      <c r="I125" s="64">
        <v>43770</v>
      </c>
      <c r="J125" s="64">
        <v>43800</v>
      </c>
      <c r="K125" s="64">
        <v>43831</v>
      </c>
      <c r="L125" s="64">
        <v>43862</v>
      </c>
      <c r="M125" s="65">
        <v>43891</v>
      </c>
      <c r="N125" s="66" t="s">
        <v>347</v>
      </c>
    </row>
    <row r="126" spans="1:14" x14ac:dyDescent="0.2">
      <c r="A126" s="34" t="s">
        <v>280</v>
      </c>
      <c r="B126" s="34">
        <v>0</v>
      </c>
      <c r="C126" s="34">
        <v>0</v>
      </c>
      <c r="D126" s="34"/>
      <c r="E126" s="34"/>
      <c r="F126" s="34"/>
      <c r="G126" s="34"/>
      <c r="H126" s="34"/>
      <c r="I126" s="34"/>
      <c r="J126" s="34"/>
      <c r="K126" s="34"/>
      <c r="L126" s="34"/>
      <c r="M126" s="74"/>
      <c r="N126" s="34"/>
    </row>
    <row r="127" spans="1:14" x14ac:dyDescent="0.2">
      <c r="A127" s="34" t="s">
        <v>281</v>
      </c>
      <c r="B127" s="71">
        <f>+'SALE WORKING'!C191</f>
        <v>0</v>
      </c>
      <c r="C127" s="71">
        <f>+'SALE WORKING'!D191</f>
        <v>0</v>
      </c>
      <c r="D127" s="71">
        <f>+'SALE WORKING'!E191</f>
        <v>0</v>
      </c>
      <c r="E127" s="71">
        <f>+'SALE WORKING'!F191</f>
        <v>0</v>
      </c>
      <c r="F127" s="71">
        <f>+'SALE WORKING'!G191</f>
        <v>0</v>
      </c>
      <c r="G127" s="71">
        <f>+'SALE WORKING'!H191</f>
        <v>0</v>
      </c>
      <c r="H127" s="71">
        <f>+'SALE WORKING'!I191</f>
        <v>0</v>
      </c>
      <c r="I127" s="71">
        <f>+'SALE WORKING'!J191</f>
        <v>0</v>
      </c>
      <c r="J127" s="71">
        <f>+'SALE WORKING'!K191</f>
        <v>0</v>
      </c>
      <c r="K127" s="71">
        <f>+'SALE WORKING'!L191</f>
        <v>0</v>
      </c>
      <c r="L127" s="71">
        <f>+'SALE WORKING'!M191</f>
        <v>0</v>
      </c>
      <c r="M127" s="73">
        <f>+'SALE WORKING'!N191</f>
        <v>0</v>
      </c>
      <c r="N127" s="75">
        <f t="shared" ref="N127:N129" si="14">SUM(B127:M127)</f>
        <v>0</v>
      </c>
    </row>
    <row r="128" spans="1:14" x14ac:dyDescent="0.2">
      <c r="A128" s="34" t="s">
        <v>282</v>
      </c>
      <c r="B128" s="71">
        <f>+'SALE WORKING'!C192</f>
        <v>0</v>
      </c>
      <c r="C128" s="71">
        <f>+'SALE WORKING'!D192</f>
        <v>0</v>
      </c>
      <c r="D128" s="71">
        <f>+'SALE WORKING'!E192</f>
        <v>0</v>
      </c>
      <c r="E128" s="71">
        <f>+'SALE WORKING'!F192</f>
        <v>0</v>
      </c>
      <c r="F128" s="71">
        <f>+'SALE WORKING'!G192</f>
        <v>0</v>
      </c>
      <c r="G128" s="71">
        <f>+'SALE WORKING'!H192</f>
        <v>0</v>
      </c>
      <c r="H128" s="71">
        <f>+'SALE WORKING'!I192</f>
        <v>0</v>
      </c>
      <c r="I128" s="71">
        <f>+'SALE WORKING'!J192</f>
        <v>0</v>
      </c>
      <c r="J128" s="71">
        <f>+'SALE WORKING'!K192</f>
        <v>0</v>
      </c>
      <c r="K128" s="71">
        <f>+'SALE WORKING'!L192</f>
        <v>0</v>
      </c>
      <c r="L128" s="71">
        <f>+'SALE WORKING'!M192</f>
        <v>0</v>
      </c>
      <c r="M128" s="73">
        <f>+'SALE WORKING'!N192</f>
        <v>0</v>
      </c>
      <c r="N128" s="75">
        <f t="shared" si="14"/>
        <v>0</v>
      </c>
    </row>
    <row r="129" spans="1:14" x14ac:dyDescent="0.2">
      <c r="A129" s="34" t="s">
        <v>283</v>
      </c>
      <c r="B129" s="71">
        <f>+'SALE WORKING'!C193</f>
        <v>0</v>
      </c>
      <c r="C129" s="71">
        <f>+'SALE WORKING'!D193</f>
        <v>0</v>
      </c>
      <c r="D129" s="71">
        <f>+'SALE WORKING'!E193</f>
        <v>0</v>
      </c>
      <c r="E129" s="71">
        <f>+'SALE WORKING'!F193</f>
        <v>0</v>
      </c>
      <c r="F129" s="71">
        <f>+'SALE WORKING'!G193</f>
        <v>0</v>
      </c>
      <c r="G129" s="71">
        <f>+'SALE WORKING'!H193</f>
        <v>0</v>
      </c>
      <c r="H129" s="71">
        <f>+'SALE WORKING'!I193</f>
        <v>0</v>
      </c>
      <c r="I129" s="71">
        <f>+'SALE WORKING'!J193</f>
        <v>0</v>
      </c>
      <c r="J129" s="71">
        <f>+'SALE WORKING'!K193</f>
        <v>0</v>
      </c>
      <c r="K129" s="71">
        <f>+'SALE WORKING'!L193</f>
        <v>0</v>
      </c>
      <c r="L129" s="71">
        <f>+'SALE WORKING'!M193</f>
        <v>0</v>
      </c>
      <c r="M129" s="73">
        <f>+'SALE WORKING'!N193</f>
        <v>0</v>
      </c>
      <c r="N129" s="75">
        <f t="shared" si="14"/>
        <v>0</v>
      </c>
    </row>
    <row r="130" spans="1:14" x14ac:dyDescent="0.2">
      <c r="A130" s="1006" t="s">
        <v>307</v>
      </c>
      <c r="B130" s="1007"/>
      <c r="C130" s="1007"/>
      <c r="D130" s="1007"/>
      <c r="E130" s="1007"/>
      <c r="F130" s="1007"/>
      <c r="G130" s="1007"/>
      <c r="H130" s="1007"/>
      <c r="I130" s="1007"/>
      <c r="J130" s="1007"/>
      <c r="K130" s="1007"/>
      <c r="L130" s="1007"/>
      <c r="M130" s="1007"/>
      <c r="N130" s="1008"/>
    </row>
    <row r="131" spans="1:14" x14ac:dyDescent="0.2">
      <c r="A131" s="63" t="s">
        <v>279</v>
      </c>
      <c r="B131" s="64">
        <v>43556</v>
      </c>
      <c r="C131" s="64">
        <v>43586</v>
      </c>
      <c r="D131" s="64">
        <v>43617</v>
      </c>
      <c r="E131" s="64">
        <v>43647</v>
      </c>
      <c r="F131" s="64">
        <v>43678</v>
      </c>
      <c r="G131" s="64">
        <v>43709</v>
      </c>
      <c r="H131" s="64">
        <v>43739</v>
      </c>
      <c r="I131" s="64">
        <v>43770</v>
      </c>
      <c r="J131" s="64">
        <v>43800</v>
      </c>
      <c r="K131" s="64">
        <v>43831</v>
      </c>
      <c r="L131" s="64">
        <v>43862</v>
      </c>
      <c r="M131" s="65">
        <v>43891</v>
      </c>
      <c r="N131" s="66" t="s">
        <v>347</v>
      </c>
    </row>
    <row r="132" spans="1:14" x14ac:dyDescent="0.2">
      <c r="A132" s="34" t="s">
        <v>280</v>
      </c>
      <c r="B132" s="34">
        <v>0</v>
      </c>
      <c r="C132" s="34">
        <v>0</v>
      </c>
      <c r="D132" s="34"/>
      <c r="E132" s="34"/>
      <c r="F132" s="34"/>
      <c r="G132" s="34"/>
      <c r="H132" s="34"/>
      <c r="I132" s="34"/>
      <c r="J132" s="34"/>
      <c r="K132" s="34"/>
      <c r="L132" s="34"/>
      <c r="M132" s="74"/>
      <c r="N132" s="92">
        <f>SUM(B132:M132)</f>
        <v>0</v>
      </c>
    </row>
    <row r="133" spans="1:14" x14ac:dyDescent="0.2">
      <c r="A133" s="34" t="s">
        <v>281</v>
      </c>
      <c r="B133" s="71">
        <f>+'SALE WORKING'!C197</f>
        <v>0</v>
      </c>
      <c r="C133" s="71">
        <f>+'SALE WORKING'!D197</f>
        <v>0</v>
      </c>
      <c r="D133" s="71">
        <f>+'SALE WORKING'!E197</f>
        <v>0</v>
      </c>
      <c r="E133" s="71">
        <f>+'SALE WORKING'!F197</f>
        <v>0</v>
      </c>
      <c r="F133" s="71">
        <f>+'SALE WORKING'!G197</f>
        <v>0</v>
      </c>
      <c r="G133" s="71">
        <f>+'SALE WORKING'!H197</f>
        <v>0</v>
      </c>
      <c r="H133" s="71">
        <f>+'SALE WORKING'!I197</f>
        <v>0</v>
      </c>
      <c r="I133" s="71">
        <f>+'SALE WORKING'!J197</f>
        <v>0</v>
      </c>
      <c r="J133" s="71">
        <f>+'SALE WORKING'!K197</f>
        <v>0</v>
      </c>
      <c r="K133" s="71">
        <f>+'SALE WORKING'!L197</f>
        <v>0</v>
      </c>
      <c r="L133" s="71">
        <f>+'SALE WORKING'!M197</f>
        <v>0</v>
      </c>
      <c r="M133" s="73">
        <f>+'SALE WORKING'!N197</f>
        <v>0</v>
      </c>
      <c r="N133" s="75">
        <f t="shared" ref="N133:N137" si="15">SUM(B133:M133)</f>
        <v>0</v>
      </c>
    </row>
    <row r="134" spans="1:14" x14ac:dyDescent="0.2">
      <c r="A134" s="34" t="s">
        <v>282</v>
      </c>
      <c r="B134" s="71">
        <f>+'SALE WORKING'!C198</f>
        <v>0</v>
      </c>
      <c r="C134" s="71">
        <f>+'SALE WORKING'!D198</f>
        <v>0</v>
      </c>
      <c r="D134" s="71">
        <f>+'SALE WORKING'!E198</f>
        <v>0</v>
      </c>
      <c r="E134" s="71">
        <f>+'SALE WORKING'!F198</f>
        <v>0</v>
      </c>
      <c r="F134" s="71">
        <f>+'SALE WORKING'!G198</f>
        <v>0</v>
      </c>
      <c r="G134" s="71">
        <f>+'SALE WORKING'!H198</f>
        <v>0</v>
      </c>
      <c r="H134" s="71">
        <f>+'SALE WORKING'!I198</f>
        <v>0</v>
      </c>
      <c r="I134" s="71">
        <f>+'SALE WORKING'!J198</f>
        <v>0</v>
      </c>
      <c r="J134" s="71">
        <f>+'SALE WORKING'!K198</f>
        <v>0</v>
      </c>
      <c r="K134" s="71">
        <f>+'SALE WORKING'!L198</f>
        <v>0</v>
      </c>
      <c r="L134" s="71">
        <f>+'SALE WORKING'!M198</f>
        <v>0</v>
      </c>
      <c r="M134" s="73">
        <f>+'SALE WORKING'!N198</f>
        <v>0</v>
      </c>
      <c r="N134" s="75">
        <f t="shared" si="15"/>
        <v>0</v>
      </c>
    </row>
    <row r="135" spans="1:14" x14ac:dyDescent="0.2">
      <c r="A135" s="34" t="s">
        <v>283</v>
      </c>
      <c r="B135" s="71">
        <f>+'SALE WORKING'!C199</f>
        <v>0</v>
      </c>
      <c r="C135" s="71">
        <f>+'SALE WORKING'!D199</f>
        <v>0</v>
      </c>
      <c r="D135" s="71">
        <f>+'SALE WORKING'!E199</f>
        <v>0</v>
      </c>
      <c r="E135" s="71">
        <f>+'SALE WORKING'!F199</f>
        <v>0</v>
      </c>
      <c r="F135" s="71">
        <f>+'SALE WORKING'!G199</f>
        <v>0</v>
      </c>
      <c r="G135" s="71">
        <f>+'SALE WORKING'!H199</f>
        <v>0</v>
      </c>
      <c r="H135" s="71">
        <f>+'SALE WORKING'!I199</f>
        <v>0</v>
      </c>
      <c r="I135" s="71">
        <f>+'SALE WORKING'!J199</f>
        <v>0</v>
      </c>
      <c r="J135" s="71">
        <f>+'SALE WORKING'!K199</f>
        <v>0</v>
      </c>
      <c r="K135" s="71">
        <f>+'SALE WORKING'!L199</f>
        <v>0</v>
      </c>
      <c r="L135" s="71">
        <f>+'SALE WORKING'!M199</f>
        <v>0</v>
      </c>
      <c r="M135" s="73">
        <f>+'SALE WORKING'!N199</f>
        <v>0</v>
      </c>
      <c r="N135" s="75">
        <f t="shared" si="15"/>
        <v>0</v>
      </c>
    </row>
    <row r="136" spans="1:14" x14ac:dyDescent="0.2">
      <c r="A136" s="34" t="s">
        <v>284</v>
      </c>
      <c r="B136" s="71">
        <f>+'SALE WORKING'!C200</f>
        <v>0</v>
      </c>
      <c r="C136" s="71">
        <f>+'SALE WORKING'!D200</f>
        <v>0</v>
      </c>
      <c r="D136" s="71">
        <f>+'SALE WORKING'!E200</f>
        <v>0</v>
      </c>
      <c r="E136" s="71">
        <f>+'SALE WORKING'!F200</f>
        <v>0</v>
      </c>
      <c r="F136" s="71">
        <f>+'SALE WORKING'!G200</f>
        <v>0</v>
      </c>
      <c r="G136" s="71">
        <f>+'SALE WORKING'!H200</f>
        <v>0</v>
      </c>
      <c r="H136" s="71">
        <f>+'SALE WORKING'!I200</f>
        <v>0</v>
      </c>
      <c r="I136" s="71">
        <f>+'SALE WORKING'!J200</f>
        <v>0</v>
      </c>
      <c r="J136" s="71">
        <f>+'SALE WORKING'!K200</f>
        <v>0</v>
      </c>
      <c r="K136" s="71">
        <f>+'SALE WORKING'!L200</f>
        <v>0</v>
      </c>
      <c r="L136" s="71">
        <f>+'SALE WORKING'!M200</f>
        <v>0</v>
      </c>
      <c r="M136" s="73">
        <f>+'SALE WORKING'!N200</f>
        <v>0</v>
      </c>
      <c r="N136" s="75">
        <f t="shared" si="15"/>
        <v>0</v>
      </c>
    </row>
    <row r="137" spans="1:14" x14ac:dyDescent="0.2">
      <c r="A137" s="34" t="s">
        <v>285</v>
      </c>
      <c r="B137" s="71">
        <f>+'SALE WORKING'!C201</f>
        <v>0</v>
      </c>
      <c r="C137" s="71">
        <f>+'SALE WORKING'!D201</f>
        <v>0</v>
      </c>
      <c r="D137" s="71">
        <f>+'SALE WORKING'!E201</f>
        <v>0</v>
      </c>
      <c r="E137" s="71">
        <f>+'SALE WORKING'!F201</f>
        <v>0</v>
      </c>
      <c r="F137" s="71">
        <f>+'SALE WORKING'!G201</f>
        <v>0</v>
      </c>
      <c r="G137" s="71">
        <f>+'SALE WORKING'!H201</f>
        <v>0</v>
      </c>
      <c r="H137" s="71">
        <f>+'SALE WORKING'!I201</f>
        <v>0</v>
      </c>
      <c r="I137" s="71">
        <f>+'SALE WORKING'!J201</f>
        <v>0</v>
      </c>
      <c r="J137" s="71">
        <f>+'SALE WORKING'!K201</f>
        <v>0</v>
      </c>
      <c r="K137" s="71">
        <f>+'SALE WORKING'!L201</f>
        <v>0</v>
      </c>
      <c r="L137" s="71">
        <f>+'SALE WORKING'!M201</f>
        <v>0</v>
      </c>
      <c r="M137" s="73">
        <f>+'SALE WORKING'!N201</f>
        <v>0</v>
      </c>
      <c r="N137" s="75">
        <f t="shared" si="15"/>
        <v>0</v>
      </c>
    </row>
    <row r="138" spans="1:14" x14ac:dyDescent="0.2">
      <c r="A138" s="34" t="s">
        <v>286</v>
      </c>
      <c r="B138" s="71">
        <f>+'SALE WORKING'!C202</f>
        <v>0</v>
      </c>
      <c r="C138" s="71">
        <f>+'SALE WORKING'!D202</f>
        <v>0</v>
      </c>
      <c r="D138" s="71">
        <f>+'SALE WORKING'!E202</f>
        <v>0</v>
      </c>
      <c r="E138" s="71">
        <f>+'SALE WORKING'!F202</f>
        <v>0</v>
      </c>
      <c r="F138" s="71">
        <f>+'SALE WORKING'!G202</f>
        <v>0</v>
      </c>
      <c r="G138" s="71">
        <f>+'SALE WORKING'!H202</f>
        <v>0</v>
      </c>
      <c r="H138" s="71">
        <f>+'SALE WORKING'!I202</f>
        <v>0</v>
      </c>
      <c r="I138" s="71">
        <f>+'SALE WORKING'!J202</f>
        <v>0</v>
      </c>
      <c r="J138" s="71">
        <f>+'SALE WORKING'!K202</f>
        <v>0</v>
      </c>
      <c r="K138" s="71">
        <f>+'SALE WORKING'!L202</f>
        <v>0</v>
      </c>
      <c r="L138" s="71">
        <f>+'SALE WORKING'!M202</f>
        <v>0</v>
      </c>
      <c r="M138" s="73">
        <f>+'SALE WORKING'!N202</f>
        <v>0</v>
      </c>
      <c r="N138" s="63"/>
    </row>
    <row r="139" spans="1:14" x14ac:dyDescent="0.2">
      <c r="A139" s="1001" t="s">
        <v>347</v>
      </c>
      <c r="B139" s="1002"/>
      <c r="C139" s="1002"/>
      <c r="D139" s="1002"/>
      <c r="E139" s="1002"/>
      <c r="F139" s="1002"/>
      <c r="G139" s="1002"/>
      <c r="H139" s="1002"/>
      <c r="I139" s="1002"/>
      <c r="J139" s="1002"/>
      <c r="K139" s="1002"/>
      <c r="L139" s="1002"/>
      <c r="M139" s="1002"/>
      <c r="N139" s="1003"/>
    </row>
    <row r="140" spans="1:14" x14ac:dyDescent="0.2">
      <c r="A140" s="63" t="s">
        <v>279</v>
      </c>
      <c r="B140" s="64">
        <v>43556</v>
      </c>
      <c r="C140" s="64">
        <v>43586</v>
      </c>
      <c r="D140" s="64">
        <v>43617</v>
      </c>
      <c r="E140" s="64">
        <v>43647</v>
      </c>
      <c r="F140" s="64">
        <v>43678</v>
      </c>
      <c r="G140" s="64">
        <v>43709</v>
      </c>
      <c r="H140" s="64">
        <v>43739</v>
      </c>
      <c r="I140" s="64">
        <v>43770</v>
      </c>
      <c r="J140" s="64">
        <v>43800</v>
      </c>
      <c r="K140" s="64">
        <v>43831</v>
      </c>
      <c r="L140" s="64">
        <v>43862</v>
      </c>
      <c r="M140" s="65">
        <v>43891</v>
      </c>
      <c r="N140" s="66" t="s">
        <v>347</v>
      </c>
    </row>
    <row r="141" spans="1:14" x14ac:dyDescent="0.2">
      <c r="A141" s="77" t="s">
        <v>281</v>
      </c>
      <c r="B141" s="78">
        <f>+B6+B15+B22+B31</f>
        <v>4207432.2145999959</v>
      </c>
      <c r="C141" s="78">
        <f t="shared" ref="C141:M141" si="16">+C6+C15+C22+C31</f>
        <v>5048311.9319999991</v>
      </c>
      <c r="D141" s="78">
        <f t="shared" si="16"/>
        <v>7150535.2697199974</v>
      </c>
      <c r="E141" s="78">
        <f t="shared" si="16"/>
        <v>8118439.6099999947</v>
      </c>
      <c r="F141" s="78">
        <f t="shared" si="16"/>
        <v>6588737.6375999963</v>
      </c>
      <c r="G141" s="78">
        <f t="shared" si="16"/>
        <v>5853050.2851999998</v>
      </c>
      <c r="H141" s="78">
        <f t="shared" si="16"/>
        <v>5195214.9596000006</v>
      </c>
      <c r="I141" s="78">
        <f t="shared" si="16"/>
        <v>3093087.6043999996</v>
      </c>
      <c r="J141" s="78">
        <f t="shared" si="16"/>
        <v>3823717.7932000002</v>
      </c>
      <c r="K141" s="78">
        <f t="shared" si="16"/>
        <v>6518351.3991999961</v>
      </c>
      <c r="L141" s="78">
        <f t="shared" si="16"/>
        <v>0</v>
      </c>
      <c r="M141" s="79">
        <f t="shared" si="16"/>
        <v>0</v>
      </c>
      <c r="N141" s="242">
        <f>SUM(B141:M141)</f>
        <v>55596878.705519989</v>
      </c>
    </row>
    <row r="142" spans="1:14" x14ac:dyDescent="0.2">
      <c r="A142" s="77" t="s">
        <v>282</v>
      </c>
      <c r="B142" s="78">
        <f t="shared" ref="B142:M145" si="17">+B7+B16+B23+B32</f>
        <v>3339615.7699999963</v>
      </c>
      <c r="C142" s="78">
        <f t="shared" si="17"/>
        <v>4066623.6999999983</v>
      </c>
      <c r="D142" s="78">
        <f t="shared" si="17"/>
        <v>5748383.1739999969</v>
      </c>
      <c r="E142" s="78">
        <f t="shared" si="17"/>
        <v>6550168.9499999927</v>
      </c>
      <c r="F142" s="78">
        <f t="shared" si="17"/>
        <v>5362317.6199999955</v>
      </c>
      <c r="G142" s="78">
        <f t="shared" si="17"/>
        <v>4785767.8899999997</v>
      </c>
      <c r="H142" s="78">
        <f t="shared" si="17"/>
        <v>4303915.0199999996</v>
      </c>
      <c r="I142" s="78">
        <f t="shared" si="17"/>
        <v>2528210.6899999995</v>
      </c>
      <c r="J142" s="78">
        <f t="shared" si="17"/>
        <v>3164150.0799999996</v>
      </c>
      <c r="K142" s="78">
        <f t="shared" si="17"/>
        <v>5452403.9399999948</v>
      </c>
      <c r="L142" s="78">
        <f t="shared" si="17"/>
        <v>0</v>
      </c>
      <c r="M142" s="79">
        <f t="shared" si="17"/>
        <v>0</v>
      </c>
      <c r="N142" s="242">
        <f t="shared" ref="N142:N146" si="18">SUM(B142:M142)</f>
        <v>45301556.833999977</v>
      </c>
    </row>
    <row r="143" spans="1:14" x14ac:dyDescent="0.2">
      <c r="A143" s="77" t="s">
        <v>283</v>
      </c>
      <c r="B143" s="78">
        <f t="shared" si="17"/>
        <v>34940.687599999997</v>
      </c>
      <c r="C143" s="78">
        <f t="shared" si="17"/>
        <v>55549.74040000001</v>
      </c>
      <c r="D143" s="78">
        <f t="shared" si="17"/>
        <v>141109.85840000003</v>
      </c>
      <c r="E143" s="78">
        <f t="shared" si="17"/>
        <v>64427.327999999994</v>
      </c>
      <c r="F143" s="78">
        <f t="shared" si="17"/>
        <v>30473.3688</v>
      </c>
      <c r="G143" s="78">
        <f t="shared" si="17"/>
        <v>75713.330000000016</v>
      </c>
      <c r="H143" s="78">
        <f t="shared" si="17"/>
        <v>51945.630799999992</v>
      </c>
      <c r="I143" s="78">
        <f t="shared" si="17"/>
        <v>50926.2068</v>
      </c>
      <c r="J143" s="78">
        <f t="shared" si="17"/>
        <v>128383.5336</v>
      </c>
      <c r="K143" s="78">
        <f t="shared" si="17"/>
        <v>38884.86</v>
      </c>
      <c r="L143" s="78">
        <f t="shared" si="17"/>
        <v>0</v>
      </c>
      <c r="M143" s="79">
        <f t="shared" si="17"/>
        <v>0</v>
      </c>
      <c r="N143" s="242">
        <f t="shared" si="18"/>
        <v>672354.54440000001</v>
      </c>
    </row>
    <row r="144" spans="1:14" x14ac:dyDescent="0.2">
      <c r="A144" s="77" t="s">
        <v>284</v>
      </c>
      <c r="B144" s="78">
        <f t="shared" si="17"/>
        <v>416437.87849999993</v>
      </c>
      <c r="C144" s="78">
        <f t="shared" si="17"/>
        <v>463069.24580000015</v>
      </c>
      <c r="D144" s="78">
        <f t="shared" si="17"/>
        <v>630521.11866000015</v>
      </c>
      <c r="E144" s="78">
        <f t="shared" si="17"/>
        <v>751921.66600000055</v>
      </c>
      <c r="F144" s="78">
        <f t="shared" si="17"/>
        <v>597973.32440000016</v>
      </c>
      <c r="G144" s="78">
        <f t="shared" si="17"/>
        <v>495784.53260000021</v>
      </c>
      <c r="H144" s="78">
        <f t="shared" si="17"/>
        <v>419677.1544</v>
      </c>
      <c r="I144" s="78">
        <f t="shared" si="17"/>
        <v>256975.35380000001</v>
      </c>
      <c r="J144" s="78">
        <f t="shared" si="17"/>
        <v>265592.08979999996</v>
      </c>
      <c r="K144" s="78">
        <f t="shared" si="17"/>
        <v>513531.29960000014</v>
      </c>
      <c r="L144" s="78">
        <f t="shared" si="17"/>
        <v>0</v>
      </c>
      <c r="M144" s="79">
        <f t="shared" si="17"/>
        <v>0</v>
      </c>
      <c r="N144" s="242">
        <f t="shared" si="18"/>
        <v>4811483.6635600012</v>
      </c>
    </row>
    <row r="145" spans="1:14" x14ac:dyDescent="0.2">
      <c r="A145" s="77" t="s">
        <v>285</v>
      </c>
      <c r="B145" s="78">
        <f t="shared" si="17"/>
        <v>416437.87849999993</v>
      </c>
      <c r="C145" s="78">
        <f t="shared" si="17"/>
        <v>463069.24580000015</v>
      </c>
      <c r="D145" s="78">
        <f t="shared" si="17"/>
        <v>630521.11866000015</v>
      </c>
      <c r="E145" s="78">
        <f t="shared" si="17"/>
        <v>751921.66600000055</v>
      </c>
      <c r="F145" s="78">
        <f t="shared" si="17"/>
        <v>597973.32440000016</v>
      </c>
      <c r="G145" s="78">
        <f t="shared" si="17"/>
        <v>495784.53260000021</v>
      </c>
      <c r="H145" s="78">
        <f t="shared" si="17"/>
        <v>419677.1544</v>
      </c>
      <c r="I145" s="78">
        <f t="shared" si="17"/>
        <v>256975.35380000001</v>
      </c>
      <c r="J145" s="78">
        <f t="shared" si="17"/>
        <v>265592.08979999996</v>
      </c>
      <c r="K145" s="78">
        <f t="shared" si="17"/>
        <v>513531.29960000014</v>
      </c>
      <c r="L145" s="78">
        <f t="shared" si="17"/>
        <v>0</v>
      </c>
      <c r="M145" s="79">
        <f t="shared" si="17"/>
        <v>0</v>
      </c>
      <c r="N145" s="242">
        <f t="shared" si="18"/>
        <v>4811483.6635600012</v>
      </c>
    </row>
    <row r="146" spans="1:14" x14ac:dyDescent="0.2">
      <c r="A146" s="77" t="s">
        <v>286</v>
      </c>
      <c r="B146" s="78"/>
      <c r="C146" s="78"/>
      <c r="D146" s="78"/>
      <c r="E146" s="78"/>
      <c r="F146" s="78"/>
      <c r="G146" s="78"/>
      <c r="H146" s="78"/>
      <c r="I146" s="78"/>
      <c r="J146" s="78"/>
      <c r="K146" s="78"/>
      <c r="L146" s="78"/>
      <c r="M146" s="79"/>
      <c r="N146" s="242">
        <f t="shared" si="18"/>
        <v>0</v>
      </c>
    </row>
  </sheetData>
  <mergeCells count="20">
    <mergeCell ref="A35:N35"/>
    <mergeCell ref="A41:N41"/>
    <mergeCell ref="A50:N50"/>
    <mergeCell ref="A130:N130"/>
    <mergeCell ref="A139:N139"/>
    <mergeCell ref="A124:N124"/>
    <mergeCell ref="A117:N117"/>
    <mergeCell ref="A108:N108"/>
    <mergeCell ref="A101:N101"/>
    <mergeCell ref="A92:N92"/>
    <mergeCell ref="A86:N86"/>
    <mergeCell ref="A77:N77"/>
    <mergeCell ref="A68:N68"/>
    <mergeCell ref="A59:N59"/>
    <mergeCell ref="A28:N28"/>
    <mergeCell ref="B1:E1"/>
    <mergeCell ref="H1:K1"/>
    <mergeCell ref="A3:N3"/>
    <mergeCell ref="A12:N12"/>
    <mergeCell ref="A19:N19"/>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24"/>
  <sheetViews>
    <sheetView workbookViewId="0">
      <selection sqref="A1:XFD1048576"/>
    </sheetView>
  </sheetViews>
  <sheetFormatPr defaultColWidth="9.109375" defaultRowHeight="10.199999999999999" x14ac:dyDescent="0.2"/>
  <cols>
    <col min="1" max="1" width="9.88671875" style="11" bestFit="1" customWidth="1"/>
    <col min="2" max="2" width="33.109375" style="11" customWidth="1"/>
    <col min="3" max="4" width="13.109375" style="11" bestFit="1" customWidth="1"/>
    <col min="5" max="7" width="9.21875" style="11" bestFit="1" customWidth="1"/>
    <col min="8" max="9" width="13.109375" style="11" bestFit="1" customWidth="1"/>
    <col min="10" max="12" width="9.21875" style="11" bestFit="1" customWidth="1"/>
    <col min="13" max="14" width="13.109375" style="11" bestFit="1" customWidth="1"/>
    <col min="15" max="17" width="9.21875" style="11" bestFit="1" customWidth="1"/>
    <col min="18" max="18" width="13.109375" style="11" bestFit="1" customWidth="1"/>
    <col min="19" max="19" width="14.44140625" style="11" bestFit="1" customWidth="1"/>
    <col min="20" max="22" width="9.21875" style="11" bestFit="1" customWidth="1"/>
    <col min="23" max="24" width="13.109375" style="11" bestFit="1" customWidth="1"/>
    <col min="25" max="27" width="9.21875" style="11" bestFit="1" customWidth="1"/>
    <col min="28" max="29" width="13.109375" style="11" bestFit="1" customWidth="1"/>
    <col min="30" max="32" width="9.21875" style="11" bestFit="1" customWidth="1"/>
    <col min="33" max="34" width="14.44140625" style="11" bestFit="1" customWidth="1"/>
    <col min="35" max="62" width="9.21875" style="11" bestFit="1" customWidth="1"/>
    <col min="63" max="64" width="14.44140625" style="11" bestFit="1" customWidth="1"/>
    <col min="65" max="65" width="9.21875" style="11" bestFit="1" customWidth="1"/>
    <col min="66" max="67" width="13.109375" style="11" bestFit="1" customWidth="1"/>
    <col min="68" max="16384" width="9.109375" style="11"/>
  </cols>
  <sheetData>
    <row r="1" spans="1:67" ht="11.4" thickTop="1" thickBot="1" x14ac:dyDescent="0.25">
      <c r="A1" s="985"/>
      <c r="B1" s="463" t="s">
        <v>347</v>
      </c>
      <c r="C1" s="463">
        <f>SUM(C4:C86)</f>
        <v>4218128.9145999998</v>
      </c>
      <c r="D1" s="463">
        <f t="shared" ref="D1:L1" si="0">SUM(D4:D86)</f>
        <v>3348680.7699999996</v>
      </c>
      <c r="E1" s="463">
        <f t="shared" si="0"/>
        <v>34940.68759999999</v>
      </c>
      <c r="F1" s="463">
        <f t="shared" si="0"/>
        <v>417253.72850000008</v>
      </c>
      <c r="G1" s="463">
        <f t="shared" si="0"/>
        <v>417253.72850000008</v>
      </c>
      <c r="H1" s="463">
        <f>SUM(H4:H86)</f>
        <v>5037615.2319999998</v>
      </c>
      <c r="I1" s="463">
        <f t="shared" si="0"/>
        <v>4057558.6999999997</v>
      </c>
      <c r="J1" s="463">
        <f t="shared" si="0"/>
        <v>55549.74040000001</v>
      </c>
      <c r="K1" s="463">
        <f t="shared" si="0"/>
        <v>462253.3958</v>
      </c>
      <c r="L1" s="463">
        <f t="shared" si="0"/>
        <v>462253.3958</v>
      </c>
      <c r="M1" s="463">
        <f t="shared" ref="M1:AK1" si="1">SUM(M4:M86)</f>
        <v>6429357.6057200013</v>
      </c>
      <c r="N1" s="463">
        <f t="shared" si="1"/>
        <v>5184963.1240000008</v>
      </c>
      <c r="O1" s="463">
        <f t="shared" si="1"/>
        <v>141109.85840000003</v>
      </c>
      <c r="P1" s="463">
        <f t="shared" si="1"/>
        <v>551642.31166000001</v>
      </c>
      <c r="Q1" s="463">
        <f t="shared" si="1"/>
        <v>551642.31166000001</v>
      </c>
      <c r="R1" s="463">
        <f t="shared" si="1"/>
        <v>8118439.6100000003</v>
      </c>
      <c r="S1" s="463">
        <f t="shared" si="1"/>
        <v>6550168.9500000002</v>
      </c>
      <c r="T1" s="463">
        <f t="shared" si="1"/>
        <v>64427.327999999994</v>
      </c>
      <c r="U1" s="463">
        <f t="shared" si="1"/>
        <v>751921.66600000008</v>
      </c>
      <c r="V1" s="463">
        <f t="shared" si="1"/>
        <v>751921.66600000008</v>
      </c>
      <c r="W1" s="463">
        <f t="shared" si="1"/>
        <v>6588737.6376</v>
      </c>
      <c r="X1" s="463">
        <f t="shared" si="1"/>
        <v>5362317.62</v>
      </c>
      <c r="Y1" s="463">
        <f t="shared" si="1"/>
        <v>30473.3688</v>
      </c>
      <c r="Z1" s="463">
        <f t="shared" si="1"/>
        <v>597973.32440000004</v>
      </c>
      <c r="AA1" s="463">
        <f t="shared" si="1"/>
        <v>597973.32440000004</v>
      </c>
      <c r="AB1" s="463">
        <f t="shared" si="1"/>
        <v>5853050.2851999998</v>
      </c>
      <c r="AC1" s="463">
        <f t="shared" si="1"/>
        <v>4785767.8899999997</v>
      </c>
      <c r="AD1" s="463">
        <f t="shared" si="1"/>
        <v>75713.330000000016</v>
      </c>
      <c r="AE1" s="463">
        <f t="shared" si="1"/>
        <v>495784.53260000009</v>
      </c>
      <c r="AF1" s="463">
        <f t="shared" si="1"/>
        <v>495784.53260000009</v>
      </c>
      <c r="AG1" s="463">
        <f t="shared" si="1"/>
        <v>5195214.9595999997</v>
      </c>
      <c r="AH1" s="463">
        <f t="shared" si="1"/>
        <v>4303915.0200000005</v>
      </c>
      <c r="AI1" s="463">
        <f t="shared" si="1"/>
        <v>51945.630799999992</v>
      </c>
      <c r="AJ1" s="463">
        <f t="shared" si="1"/>
        <v>419677.1544</v>
      </c>
      <c r="AK1" s="463">
        <f t="shared" si="1"/>
        <v>419677.1544</v>
      </c>
      <c r="AL1" s="985"/>
      <c r="AM1" s="985"/>
      <c r="AN1" s="985"/>
      <c r="AO1" s="985"/>
      <c r="AP1" s="985"/>
      <c r="AQ1" s="985"/>
      <c r="AR1" s="985"/>
      <c r="AS1" s="985"/>
      <c r="AT1" s="985"/>
      <c r="AU1" s="985"/>
      <c r="AV1" s="985"/>
      <c r="AW1" s="985"/>
      <c r="AX1" s="985"/>
      <c r="AY1" s="985"/>
      <c r="AZ1" s="985"/>
      <c r="BA1" s="985"/>
      <c r="BB1" s="985"/>
      <c r="BC1" s="985"/>
      <c r="BD1" s="985"/>
      <c r="BE1" s="985"/>
      <c r="BF1" s="985"/>
      <c r="BG1" s="985"/>
      <c r="BH1" s="985"/>
      <c r="BI1" s="985"/>
      <c r="BJ1" s="985"/>
      <c r="BK1" s="463">
        <f t="shared" ref="BK1:BO1" si="2">SUM(BK4:BK9999)</f>
        <v>41440544.244719997</v>
      </c>
      <c r="BL1" s="463">
        <f t="shared" si="2"/>
        <v>33593372.074000008</v>
      </c>
      <c r="BM1" s="463">
        <f t="shared" si="2"/>
        <v>454159.94400000002</v>
      </c>
      <c r="BN1" s="463">
        <f t="shared" si="2"/>
        <v>3696506.1133599994</v>
      </c>
      <c r="BO1" s="463">
        <f t="shared" si="2"/>
        <v>3696506.1133599994</v>
      </c>
    </row>
    <row r="2" spans="1:67" ht="15" customHeight="1" thickTop="1" thickBot="1" x14ac:dyDescent="0.25">
      <c r="A2" s="985"/>
      <c r="B2" s="985"/>
      <c r="C2" s="1195">
        <v>43556</v>
      </c>
      <c r="D2" s="1195"/>
      <c r="E2" s="1195"/>
      <c r="F2" s="1195"/>
      <c r="G2" s="1195"/>
      <c r="H2" s="1196">
        <v>43586</v>
      </c>
      <c r="I2" s="1196"/>
      <c r="J2" s="1196"/>
      <c r="K2" s="1196"/>
      <c r="L2" s="1196"/>
      <c r="M2" s="1197">
        <v>43617</v>
      </c>
      <c r="N2" s="1197"/>
      <c r="O2" s="1197"/>
      <c r="P2" s="1197"/>
      <c r="Q2" s="1197"/>
      <c r="R2" s="1195">
        <v>43647</v>
      </c>
      <c r="S2" s="1195"/>
      <c r="T2" s="1195"/>
      <c r="U2" s="1195"/>
      <c r="V2" s="1195"/>
      <c r="W2" s="1198">
        <v>43678</v>
      </c>
      <c r="X2" s="1198"/>
      <c r="Y2" s="1198"/>
      <c r="Z2" s="1198"/>
      <c r="AA2" s="1198"/>
      <c r="AB2" s="1193">
        <v>43709</v>
      </c>
      <c r="AC2" s="1193"/>
      <c r="AD2" s="1193"/>
      <c r="AE2" s="1193"/>
      <c r="AF2" s="1193"/>
      <c r="AG2" s="1194">
        <v>43739</v>
      </c>
      <c r="AH2" s="1194"/>
      <c r="AI2" s="1194"/>
      <c r="AJ2" s="1194"/>
      <c r="AK2" s="1194"/>
      <c r="AL2" s="1199">
        <v>43770</v>
      </c>
      <c r="AM2" s="1200"/>
      <c r="AN2" s="1200"/>
      <c r="AO2" s="1200"/>
      <c r="AP2" s="1201"/>
      <c r="AQ2" s="1202">
        <v>43800</v>
      </c>
      <c r="AR2" s="1203"/>
      <c r="AS2" s="1203"/>
      <c r="AT2" s="1203"/>
      <c r="AU2" s="1204"/>
      <c r="AV2" s="1205">
        <v>43831</v>
      </c>
      <c r="AW2" s="1206"/>
      <c r="AX2" s="1206"/>
      <c r="AY2" s="1206"/>
      <c r="AZ2" s="1207"/>
      <c r="BA2" s="1208">
        <v>43862</v>
      </c>
      <c r="BB2" s="1209"/>
      <c r="BC2" s="1209"/>
      <c r="BD2" s="1209"/>
      <c r="BE2" s="1210"/>
      <c r="BF2" s="1190">
        <v>43891</v>
      </c>
      <c r="BG2" s="1191"/>
      <c r="BH2" s="1191"/>
      <c r="BI2" s="1191"/>
      <c r="BJ2" s="1192"/>
      <c r="BK2" s="1187" t="s">
        <v>347</v>
      </c>
      <c r="BL2" s="1188"/>
      <c r="BM2" s="1188"/>
      <c r="BN2" s="1188"/>
      <c r="BO2" s="1189"/>
    </row>
    <row r="3" spans="1:67" ht="11.4" thickTop="1" thickBot="1" x14ac:dyDescent="0.25">
      <c r="A3" s="985" t="s">
        <v>9</v>
      </c>
      <c r="B3" s="985" t="s">
        <v>368</v>
      </c>
      <c r="C3" s="466" t="s">
        <v>347</v>
      </c>
      <c r="D3" s="466" t="s">
        <v>369</v>
      </c>
      <c r="E3" s="466" t="s">
        <v>16</v>
      </c>
      <c r="F3" s="466" t="s">
        <v>17</v>
      </c>
      <c r="G3" s="466" t="s">
        <v>18</v>
      </c>
      <c r="H3" s="466" t="s">
        <v>347</v>
      </c>
      <c r="I3" s="466" t="s">
        <v>367</v>
      </c>
      <c r="J3" s="466" t="s">
        <v>16</v>
      </c>
      <c r="K3" s="466" t="s">
        <v>17</v>
      </c>
      <c r="L3" s="466" t="s">
        <v>18</v>
      </c>
      <c r="M3" s="466" t="s">
        <v>347</v>
      </c>
      <c r="N3" s="466" t="s">
        <v>367</v>
      </c>
      <c r="O3" s="466" t="s">
        <v>16</v>
      </c>
      <c r="P3" s="466" t="s">
        <v>17</v>
      </c>
      <c r="Q3" s="466" t="s">
        <v>18</v>
      </c>
      <c r="R3" s="466" t="s">
        <v>347</v>
      </c>
      <c r="S3" s="466" t="s">
        <v>367</v>
      </c>
      <c r="T3" s="466" t="s">
        <v>16</v>
      </c>
      <c r="U3" s="466" t="s">
        <v>17</v>
      </c>
      <c r="V3" s="466" t="s">
        <v>18</v>
      </c>
      <c r="W3" s="466" t="s">
        <v>347</v>
      </c>
      <c r="X3" s="466" t="s">
        <v>367</v>
      </c>
      <c r="Y3" s="466" t="s">
        <v>16</v>
      </c>
      <c r="Z3" s="466" t="s">
        <v>17</v>
      </c>
      <c r="AA3" s="466" t="s">
        <v>18</v>
      </c>
      <c r="AB3" s="466" t="s">
        <v>347</v>
      </c>
      <c r="AC3" s="466" t="s">
        <v>367</v>
      </c>
      <c r="AD3" s="466" t="s">
        <v>16</v>
      </c>
      <c r="AE3" s="466" t="s">
        <v>17</v>
      </c>
      <c r="AF3" s="466" t="s">
        <v>18</v>
      </c>
      <c r="AG3" s="466" t="s">
        <v>347</v>
      </c>
      <c r="AH3" s="466" t="s">
        <v>367</v>
      </c>
      <c r="AI3" s="466" t="s">
        <v>16</v>
      </c>
      <c r="AJ3" s="466" t="s">
        <v>17</v>
      </c>
      <c r="AK3" s="466" t="s">
        <v>18</v>
      </c>
      <c r="AL3" s="466" t="s">
        <v>347</v>
      </c>
      <c r="AM3" s="466" t="s">
        <v>367</v>
      </c>
      <c r="AN3" s="466" t="s">
        <v>16</v>
      </c>
      <c r="AO3" s="466" t="s">
        <v>17</v>
      </c>
      <c r="AP3" s="466" t="s">
        <v>18</v>
      </c>
      <c r="AQ3" s="466" t="s">
        <v>347</v>
      </c>
      <c r="AR3" s="466" t="s">
        <v>367</v>
      </c>
      <c r="AS3" s="466" t="s">
        <v>16</v>
      </c>
      <c r="AT3" s="466" t="s">
        <v>17</v>
      </c>
      <c r="AU3" s="466" t="s">
        <v>18</v>
      </c>
      <c r="AV3" s="466" t="s">
        <v>347</v>
      </c>
      <c r="AW3" s="466" t="s">
        <v>367</v>
      </c>
      <c r="AX3" s="466" t="s">
        <v>16</v>
      </c>
      <c r="AY3" s="466" t="s">
        <v>17</v>
      </c>
      <c r="AZ3" s="466" t="s">
        <v>18</v>
      </c>
      <c r="BA3" s="466" t="s">
        <v>347</v>
      </c>
      <c r="BB3" s="466" t="s">
        <v>367</v>
      </c>
      <c r="BC3" s="466" t="s">
        <v>16</v>
      </c>
      <c r="BD3" s="466" t="s">
        <v>17</v>
      </c>
      <c r="BE3" s="466" t="s">
        <v>18</v>
      </c>
      <c r="BF3" s="466" t="s">
        <v>347</v>
      </c>
      <c r="BG3" s="466" t="s">
        <v>367</v>
      </c>
      <c r="BH3" s="466" t="s">
        <v>16</v>
      </c>
      <c r="BI3" s="466" t="s">
        <v>17</v>
      </c>
      <c r="BJ3" s="466" t="s">
        <v>18</v>
      </c>
      <c r="BK3" s="466" t="s">
        <v>347</v>
      </c>
      <c r="BL3" s="466" t="s">
        <v>367</v>
      </c>
      <c r="BM3" s="466" t="s">
        <v>16</v>
      </c>
      <c r="BN3" s="466" t="s">
        <v>17</v>
      </c>
      <c r="BO3" s="466" t="s">
        <v>18</v>
      </c>
    </row>
    <row r="4" spans="1:67" ht="10.8" thickTop="1" x14ac:dyDescent="0.2">
      <c r="A4" s="551">
        <v>998873</v>
      </c>
      <c r="B4" s="552" t="s">
        <v>266</v>
      </c>
      <c r="C4" s="986">
        <f>+D4+E4+F4+G4</f>
        <v>0</v>
      </c>
      <c r="D4" s="987">
        <f>SUMIFS(SALE!$K$6:$K$10000,SALE!$A$6:$A$10000,$C$2,SALE!$H$6:$H$10000,$A$4:$A$220)</f>
        <v>0</v>
      </c>
      <c r="E4" s="987">
        <f>SUMIFS(SALE!$L$6:$L$10000,SALE!$A$6:$A$10000,$C$2,SALE!$H$6:$H$10000,$A$4:$A$220)</f>
        <v>0</v>
      </c>
      <c r="F4" s="987">
        <f>SUMIFS(SALE!$M$6:$M$10000,SALE!$A$6:$A$10000,$C$2,SALE!$H$6:$H$10000,$A$4:$A$220)</f>
        <v>0</v>
      </c>
      <c r="G4" s="988">
        <f>SUMIFS(SALE!$N$6:$N$10000,SALE!$A$6:$A$10000,$C$2,SALE!$H$6:$H$10000,$A$4:$A$220)</f>
        <v>0</v>
      </c>
      <c r="H4" s="981">
        <f>+I4+J4+K4+L4</f>
        <v>0</v>
      </c>
      <c r="I4" s="34">
        <f>SUMIFS(SALE!$K$6:$K$10000,SALE!$A$6:$A$10000,$H$2,SALE!$H$6:$H$10000,$A$4:$A$220)</f>
        <v>0</v>
      </c>
      <c r="J4" s="34">
        <f>SUMIFS(SALE!$L$6:$L$10000,SALE!$A$6:$A$10000,$H$2,SALE!$H$6:$H$10000,$A$4:$A$220)</f>
        <v>0</v>
      </c>
      <c r="K4" s="34">
        <f>SUMIFS(SALE!$M$6:$M$10000,SALE!$A$6:$A$10000,$H$2,SALE!$H$6:$H$10000,$A$4:$A$220)</f>
        <v>0</v>
      </c>
      <c r="L4" s="74">
        <f>SUMIFS(SALE!$N$6:$N$10000,SALE!$A$6:$A$10000,$H$2,SALE!$H$6:$H$10000,$A$4:$A$220)</f>
        <v>0</v>
      </c>
      <c r="M4" s="986">
        <f>+N4+O4+P4+Q4</f>
        <v>0</v>
      </c>
      <c r="N4" s="987">
        <f>SUMIFS(SALE!$K$6:$K$10000,SALE!$A$6:$A$10000,$M$2,SALE!$H$6:$H$10000,$A$4:$A$220)</f>
        <v>0</v>
      </c>
      <c r="O4" s="987">
        <f>SUMIFS(SALE!$L$6:$L$10000,SALE!$A$6:$A$10000,$M$2,SALE!$H$6:$H$10000,$A$4:$A$220)</f>
        <v>0</v>
      </c>
      <c r="P4" s="987">
        <f>SUMIFS(SALE!$M$6:$M$10000,SALE!$A$6:$A$10000,$M$2,SALE!$H$6:$H$10000,$A$4:$A$220)</f>
        <v>0</v>
      </c>
      <c r="Q4" s="988">
        <f>SUMIFS(SALE!$N$6:$N$10000,SALE!$A$6:$A$10000,$M$2,SALE!$H$6:$H$10000,$A$4:$A$220)</f>
        <v>0</v>
      </c>
      <c r="R4" s="981">
        <f>+S4+T4+U4+V4</f>
        <v>0</v>
      </c>
      <c r="S4" s="34">
        <f>SUMIFS(SALE!$K$6:$K$10000,SALE!$A$6:$A$10000,$R$2,SALE!$H$6:$H$10000,$A$4:$A$220)</f>
        <v>0</v>
      </c>
      <c r="T4" s="34">
        <f>SUMIFS(SALE!$L$6:$L$10000,SALE!$A$6:$A$10000,$R$2,SALE!$H$6:$H$10000,$A$4:$A$220)</f>
        <v>0</v>
      </c>
      <c r="U4" s="34">
        <f>SUMIFS(SALE!$M$6:$M$10000,SALE!$A$6:$A$10000,$R$2,SALE!$H$6:$H$10000,$A$4:$A$220)</f>
        <v>0</v>
      </c>
      <c r="V4" s="74">
        <f>SUMIFS(SALE!$N$6:$N$10000,SALE!$A$6:$A$10000,$R$2,SALE!$H$6:$H$10000,$A$4:$A$220)</f>
        <v>0</v>
      </c>
      <c r="W4" s="986">
        <f>+X4+Y4+Z4+AA4</f>
        <v>0</v>
      </c>
      <c r="X4" s="987">
        <f>SUMIFS(SALE!$K$6:$K$10000,SALE!$A$6:$A$10000,$W$2,SALE!$H$6:$H$10000,$A$4:$A$220)</f>
        <v>0</v>
      </c>
      <c r="Y4" s="987">
        <f>SUMIFS(SALE!$L$6:$L$10000,SALE!$A$6:$A$10000,$W$2,SALE!$H$6:$H$10000,$A$4:$A$220)</f>
        <v>0</v>
      </c>
      <c r="Z4" s="987">
        <f>SUMIFS(SALE!$M$6:$M$10000,SALE!$A$6:$A$10000,$W$2,SALE!$H$6:$H$10000,$A$4:$A$220)</f>
        <v>0</v>
      </c>
      <c r="AA4" s="988">
        <f>SUMIFS(SALE!$N$6:$N$10000,SALE!$A$6:$A$10000,$W$2,SALE!$H$6:$H$10000,$A$4:$A$220)</f>
        <v>0</v>
      </c>
      <c r="AB4" s="981">
        <f>+AC4+AD4+AE4+AF4</f>
        <v>10584.599999999999</v>
      </c>
      <c r="AC4" s="34">
        <f>SUMIFS(SALE!$K$6:$K$10000,SALE!$A$6:$A$10000,$AB$2,SALE!$H$6:$H$10000,$A$4:$A$220)</f>
        <v>8970</v>
      </c>
      <c r="AD4" s="34">
        <f>SUMIFS(SALE!$L$6:$L$10000,SALE!$A$6:$A$10000,$AB$2,SALE!$H$6:$H$10000,$A$4:$A$220)</f>
        <v>0</v>
      </c>
      <c r="AE4" s="34">
        <f>SUMIFS(SALE!$M$6:$M$10000,SALE!$A$6:$A$10000,$AB$2,SALE!$H$6:$H$10000,$A$4:$A$220)</f>
        <v>807.30000000000007</v>
      </c>
      <c r="AF4" s="74">
        <f>SUMIFS(SALE!$N$6:$N$10000,SALE!$A$6:$A$10000,$AB$2,SALE!$H$6:$H$10000,$A$4:$A$220)</f>
        <v>807.30000000000007</v>
      </c>
      <c r="AG4" s="986">
        <f>+AH4+AI4+AJ4+AK4</f>
        <v>0</v>
      </c>
      <c r="AH4" s="987">
        <f>SUMIFS(SALE!$K$6:$K$10000,SALE!$A$6:$A$10000,$AG$2,SALE!$H$6:$H$10000,$A$4:$A$220)</f>
        <v>0</v>
      </c>
      <c r="AI4" s="987">
        <f>SUMIFS(SALE!$L$6:$L$10000,SALE!$A$6:$A$10000,$AG$2,SALE!$H$6:$H$10000,$A$4:$A$220)</f>
        <v>0</v>
      </c>
      <c r="AJ4" s="987">
        <f>SUMIFS(SALE!$M$6:$M$10000,SALE!$A$6:$A$10000,$AG$2,SALE!$H$6:$H$10000,$A$4:$A$220)</f>
        <v>0</v>
      </c>
      <c r="AK4" s="988">
        <f>SUMIFS(SALE!$N$6:$N$10000,SALE!$A$6:$A$10000,$AG$2,SALE!$H$6:$H$10000,$A$4:$A$220)</f>
        <v>0</v>
      </c>
      <c r="AL4" s="981">
        <f>+AM4+AN4+AO4+AP4</f>
        <v>0</v>
      </c>
      <c r="AM4" s="34">
        <f>SUMIFS(SALE!$K$6:$K$10000,SALE!$A$6:$A$10000,#REF!,SALE!$H$6:$H$10000,$A$4:$A$220)</f>
        <v>0</v>
      </c>
      <c r="AN4" s="34">
        <f>SUMIFS(SALE!$L$6:$L$10000,SALE!$A$6:$A$10000,#REF!,SALE!$H$6:$H$10000,$A$4:$A$220)</f>
        <v>0</v>
      </c>
      <c r="AO4" s="34">
        <f>SUMIFS(SALE!$M$6:$M$10000,SALE!$A$6:$A$10000,#REF!,SALE!$H$6:$H$10000,$A$4:$A$220)</f>
        <v>0</v>
      </c>
      <c r="AP4" s="74">
        <f>SUMIFS(SALE!$N$6:$N$10000,SALE!$A$6:$A$10000,#REF!,SALE!$H$6:$H$10000,$A$4:$A$220)</f>
        <v>0</v>
      </c>
      <c r="AQ4" s="986">
        <f>+AR4+AS4+AT4+AU4</f>
        <v>0</v>
      </c>
      <c r="AR4" s="987">
        <f>SUMIFS(SALE!$K$6:$K$10000,SALE!$A$6:$A$10000,#REF!,SALE!$H$6:$H$10000,$A$4:$A$220)</f>
        <v>0</v>
      </c>
      <c r="AS4" s="987">
        <f>SUMIFS(SALE!$L$6:$L$10000,SALE!$A$6:$A$10000,#REF!,SALE!$H$6:$H$10000,$A$4:$A$220)</f>
        <v>0</v>
      </c>
      <c r="AT4" s="987">
        <f>SUMIFS(SALE!$M$6:$M$10000,SALE!$A$6:$A$10000,#REF!,SALE!$H$6:$H$10000,$A$4:$A$220)</f>
        <v>0</v>
      </c>
      <c r="AU4" s="988">
        <f>SUMIFS(SALE!$N$6:$N$10000,SALE!$A$6:$A$10000,#REF!,SALE!$H$6:$H$10000,$A$4:$A$220)</f>
        <v>0</v>
      </c>
      <c r="AV4" s="981">
        <f>+AW4+AX4+AY4+AZ4</f>
        <v>0</v>
      </c>
      <c r="AW4" s="34">
        <f>SUMIFS(SALE!$K$6:$K$10000,SALE!$A$6:$A$10000,#REF!,SALE!$H$6:$H$10000,$A$4:$A$220)</f>
        <v>0</v>
      </c>
      <c r="AX4" s="34">
        <f>SUMIFS(SALE!$L$6:$L$10000,SALE!$A$6:$A$10000,#REF!,SALE!$H$6:$H$10000,$A$4:$A$220)</f>
        <v>0</v>
      </c>
      <c r="AY4" s="34">
        <f>SUMIFS(SALE!$M$6:$M$10000,SALE!$A$6:$A$10000,#REF!,SALE!$H$6:$H$10000,$A$4:$A$220)</f>
        <v>0</v>
      </c>
      <c r="AZ4" s="74">
        <f>SUMIFS(SALE!$N$6:$N$10000,SALE!$A$6:$A$10000,#REF!,SALE!$H$6:$H$10000,$A$4:$A$220)</f>
        <v>0</v>
      </c>
      <c r="BA4" s="986">
        <f>+BB4+BC4+BD4+BE4</f>
        <v>0</v>
      </c>
      <c r="BB4" s="987">
        <f>SUMIFS(SALE!$K$6:$K$10000,SALE!$A$6:$A$10000,#REF!,SALE!$H$6:$H$10000,$A$4:$A$220)</f>
        <v>0</v>
      </c>
      <c r="BC4" s="987">
        <f>SUMIFS(SALE!$L$6:$L$10000,SALE!$A$6:$A$10000,#REF!,SALE!$H$6:$H$10000,$A$4:$A$220)</f>
        <v>0</v>
      </c>
      <c r="BD4" s="987">
        <f>SUMIFS(SALE!$M$6:$M$10000,SALE!$A$6:$A$10000,#REF!,SALE!$H$6:$H$10000,$A$4:$A$220)</f>
        <v>0</v>
      </c>
      <c r="BE4" s="988">
        <f>SUMIFS(SALE!$N$6:$N$10000,SALE!$A$6:$A$10000,#REF!,SALE!$H$6:$H$10000,$A$4:$A$220)</f>
        <v>0</v>
      </c>
      <c r="BF4" s="986">
        <f>+BG4+BH4+BI4+BJ4</f>
        <v>0</v>
      </c>
      <c r="BG4" s="987">
        <f>SUMIFS(SALE!$K$6:$K$10000,SALE!$A$6:$A$10000,#REF!,SALE!$H$6:$H$10000,$A$4:$A$220)</f>
        <v>0</v>
      </c>
      <c r="BH4" s="987">
        <f>SUMIFS(SALE!$L$6:$L$10000,SALE!$A$6:$A$10000,#REF!,SALE!$H$6:$H$10000,$A$4:$A$220)</f>
        <v>0</v>
      </c>
      <c r="BI4" s="987">
        <f>SUMIFS(SALE!$M$6:$M$10000,SALE!$A$6:$A$10000,#REF!,SALE!$H$6:$H$10000,$A$4:$A$220)</f>
        <v>0</v>
      </c>
      <c r="BJ4" s="988">
        <f>SUMIFS(SALE!$N$6:$N$10000,SALE!$A$6:$A$10000,#REF!,SALE!$H$6:$H$10000,$A$4:$A$220)</f>
        <v>0</v>
      </c>
      <c r="BK4" s="11">
        <f>+C4+H4+M4+R4+W4+AB4+AG4+AL4+AQ4+AV4+BA4+BF4</f>
        <v>10584.599999999999</v>
      </c>
      <c r="BL4" s="11">
        <f t="shared" ref="BL4:BO4" si="3">+D4+I4+N4+S4+X4+AC4+AH4+AM4+AR4+AW4+BB4+BG4</f>
        <v>8970</v>
      </c>
      <c r="BM4" s="11">
        <f t="shared" si="3"/>
        <v>0</v>
      </c>
      <c r="BN4" s="11">
        <f t="shared" si="3"/>
        <v>807.30000000000007</v>
      </c>
      <c r="BO4" s="11">
        <f t="shared" si="3"/>
        <v>807.30000000000007</v>
      </c>
    </row>
    <row r="5" spans="1:67" x14ac:dyDescent="0.2">
      <c r="A5" s="467">
        <v>998898</v>
      </c>
      <c r="B5" s="500" t="s">
        <v>266</v>
      </c>
      <c r="C5" s="989">
        <f t="shared" ref="C5:C22" si="4">+D5+E5+F5+G5</f>
        <v>266698.51419999998</v>
      </c>
      <c r="D5" s="34">
        <f>SUMIFS(SALE!$K$6:$K$10000,SALE!$A$6:$A$10000,$C$2,SALE!$H$6:$H$10000,$A$4:$A$220)</f>
        <v>226015.68999999997</v>
      </c>
      <c r="E5" s="34">
        <f>SUMIFS(SALE!$L$6:$L$10000,SALE!$A$6:$A$10000,$C$2,SALE!$H$6:$H$10000,$A$4:$A$220)</f>
        <v>0</v>
      </c>
      <c r="F5" s="34">
        <f>SUMIFS(SALE!$M$6:$M$10000,SALE!$A$6:$A$10000,$C$2,SALE!$H$6:$H$10000,$A$4:$A$220)</f>
        <v>20341.412099999994</v>
      </c>
      <c r="G5" s="990">
        <f>SUMIFS(SALE!$N$6:$N$10000,SALE!$A$6:$A$10000,$C$2,SALE!$H$6:$H$10000,$A$4:$A$220)</f>
        <v>20341.412099999994</v>
      </c>
      <c r="H5" s="981">
        <f t="shared" ref="H5:H22" si="5">+I5+J5+K5+L5</f>
        <v>278974.30200000003</v>
      </c>
      <c r="I5" s="34">
        <f>SUMIFS(SALE!$K$6:$K$10000,SALE!$A$6:$A$10000,$H$2,SALE!$H$6:$H$10000,$A$4:$A$220)</f>
        <v>236418.9</v>
      </c>
      <c r="J5" s="34">
        <f>SUMIFS(SALE!$L$6:$L$10000,SALE!$A$6:$A$10000,$H$2,SALE!$H$6:$H$10000,$A$4:$A$220)</f>
        <v>0</v>
      </c>
      <c r="K5" s="34">
        <f>SUMIFS(SALE!$M$6:$M$10000,SALE!$A$6:$A$10000,$H$2,SALE!$H$6:$H$10000,$A$4:$A$220)</f>
        <v>21277.701000000001</v>
      </c>
      <c r="L5" s="74">
        <f>SUMIFS(SALE!$N$6:$N$10000,SALE!$A$6:$A$10000,$H$2,SALE!$H$6:$H$10000,$A$4:$A$220)</f>
        <v>21277.701000000001</v>
      </c>
      <c r="M5" s="989">
        <f t="shared" ref="M5:M22" si="6">+N5+O5+P5+Q5</f>
        <v>492256.11599999998</v>
      </c>
      <c r="N5" s="34">
        <f>SUMIFS(SALE!$K$6:$K$10000,SALE!$A$6:$A$10000,$M$2,SALE!$H$6:$H$10000,$A$4:$A$220)</f>
        <v>417166.2</v>
      </c>
      <c r="O5" s="34">
        <f>SUMIFS(SALE!$L$6:$L$10000,SALE!$A$6:$A$10000,$M$2,SALE!$H$6:$H$10000,$A$4:$A$220)</f>
        <v>0</v>
      </c>
      <c r="P5" s="34">
        <f>SUMIFS(SALE!$M$6:$M$10000,SALE!$A$6:$A$10000,$M$2,SALE!$H$6:$H$10000,$A$4:$A$220)</f>
        <v>37544.958000000006</v>
      </c>
      <c r="Q5" s="990">
        <f>SUMIFS(SALE!$N$6:$N$10000,SALE!$A$6:$A$10000,$M$2,SALE!$H$6:$H$10000,$A$4:$A$220)</f>
        <v>37544.958000000006</v>
      </c>
      <c r="R5" s="981">
        <f t="shared" ref="R5:R22" si="7">+S5+T5+U5+V5</f>
        <v>1080666.8212000001</v>
      </c>
      <c r="S5" s="34">
        <f>SUMIFS(SALE!$K$6:$K$10000,SALE!$A$6:$A$10000,$R$2,SALE!$H$6:$H$10000,$A$4:$A$220)</f>
        <v>915819.34000000008</v>
      </c>
      <c r="T5" s="34">
        <f>SUMIFS(SALE!$L$6:$L$10000,SALE!$A$6:$A$10000,$R$2,SALE!$H$6:$H$10000,$A$4:$A$220)</f>
        <v>0</v>
      </c>
      <c r="U5" s="34">
        <f>SUMIFS(SALE!$M$6:$M$10000,SALE!$A$6:$A$10000,$R$2,SALE!$H$6:$H$10000,$A$4:$A$220)</f>
        <v>82423.740600000005</v>
      </c>
      <c r="V5" s="74">
        <f>SUMIFS(SALE!$N$6:$N$10000,SALE!$A$6:$A$10000,$R$2,SALE!$H$6:$H$10000,$A$4:$A$220)</f>
        <v>82423.740600000005</v>
      </c>
      <c r="W5" s="989">
        <f t="shared" ref="W5:W22" si="8">+X5+Y5+Z5+AA5</f>
        <v>1890492.3724000002</v>
      </c>
      <c r="X5" s="34">
        <f>SUMIFS(SALE!$K$6:$K$10000,SALE!$A$6:$A$10000,$W$2,SALE!$H$6:$H$10000,$A$4:$A$220)</f>
        <v>1602112.1800000002</v>
      </c>
      <c r="Y5" s="34">
        <f>SUMIFS(SALE!$L$6:$L$10000,SALE!$A$6:$A$10000,$W$2,SALE!$H$6:$H$10000,$A$4:$A$220)</f>
        <v>0</v>
      </c>
      <c r="Z5" s="34">
        <f>SUMIFS(SALE!$M$6:$M$10000,SALE!$A$6:$A$10000,$W$2,SALE!$H$6:$H$10000,$A$4:$A$220)</f>
        <v>144190.0962</v>
      </c>
      <c r="AA5" s="990">
        <f>SUMIFS(SALE!$N$6:$N$10000,SALE!$A$6:$A$10000,$W$2,SALE!$H$6:$H$10000,$A$4:$A$220)</f>
        <v>144190.0962</v>
      </c>
      <c r="AB5" s="981">
        <f t="shared" ref="AB5:AB22" si="9">+AC5+AD5+AE5+AF5</f>
        <v>2162191.3843999999</v>
      </c>
      <c r="AC5" s="34">
        <f>SUMIFS(SALE!$K$6:$K$10000,SALE!$A$6:$A$10000,$AB$2,SALE!$H$6:$H$10000,$A$4:$A$220)</f>
        <v>1832365.5799999998</v>
      </c>
      <c r="AD5" s="34">
        <f>SUMIFS(SALE!$L$6:$L$10000,SALE!$A$6:$A$10000,$AB$2,SALE!$H$6:$H$10000,$A$4:$A$220)</f>
        <v>0</v>
      </c>
      <c r="AE5" s="34">
        <f>SUMIFS(SALE!$M$6:$M$10000,SALE!$A$6:$A$10000,$AB$2,SALE!$H$6:$H$10000,$A$4:$A$220)</f>
        <v>164912.90219999998</v>
      </c>
      <c r="AF5" s="74">
        <f>SUMIFS(SALE!$N$6:$N$10000,SALE!$A$6:$A$10000,$AB$2,SALE!$H$6:$H$10000,$A$4:$A$220)</f>
        <v>164912.90219999998</v>
      </c>
      <c r="AG5" s="989">
        <f t="shared" ref="AG5:AG22" si="10">+AH5+AI5+AJ5+AK5</f>
        <v>0</v>
      </c>
      <c r="AH5" s="34">
        <f>SUMIFS(SALE!$K$6:$K$10000,SALE!$A$6:$A$10000,$AG$2,SALE!$H$6:$H$10000,$A$4:$A$220)</f>
        <v>0</v>
      </c>
      <c r="AI5" s="34">
        <f>SUMIFS(SALE!$L$6:$L$10000,SALE!$A$6:$A$10000,$AG$2,SALE!$H$6:$H$10000,$A$4:$A$220)</f>
        <v>0</v>
      </c>
      <c r="AJ5" s="34">
        <f>SUMIFS(SALE!$M$6:$M$10000,SALE!$A$6:$A$10000,$AG$2,SALE!$H$6:$H$10000,$A$4:$A$220)</f>
        <v>0</v>
      </c>
      <c r="AK5" s="990">
        <f>SUMIFS(SALE!$N$6:$N$10000,SALE!$A$6:$A$10000,$AG$2,SALE!$H$6:$H$10000,$A$4:$A$220)</f>
        <v>0</v>
      </c>
      <c r="AL5" s="981">
        <f t="shared" ref="AL5:AL22" si="11">+AM5+AN5+AO5+AP5</f>
        <v>0</v>
      </c>
      <c r="AM5" s="34">
        <f>SUMIFS(SALE!$K$6:$K$10000,SALE!$A$6:$A$10000,#REF!,SALE!$H$6:$H$10000,$A$4:$A$220)</f>
        <v>0</v>
      </c>
      <c r="AN5" s="34">
        <f>SUMIFS(SALE!$L$6:$L$10000,SALE!$A$6:$A$10000,#REF!,SALE!$H$6:$H$10000,$A$4:$A$220)</f>
        <v>0</v>
      </c>
      <c r="AO5" s="34">
        <f>SUMIFS(SALE!$M$6:$M$10000,SALE!$A$6:$A$10000,#REF!,SALE!$H$6:$H$10000,$A$4:$A$220)</f>
        <v>0</v>
      </c>
      <c r="AP5" s="74">
        <f>SUMIFS(SALE!$N$6:$N$10000,SALE!$A$6:$A$10000,#REF!,SALE!$H$6:$H$10000,$A$4:$A$220)</f>
        <v>0</v>
      </c>
      <c r="AQ5" s="989">
        <f t="shared" ref="AQ5:AQ22" si="12">+AR5+AS5+AT5+AU5</f>
        <v>0</v>
      </c>
      <c r="AR5" s="34">
        <f>SUMIFS(SALE!$K$6:$K$10000,SALE!$A$6:$A$10000,#REF!,SALE!$H$6:$H$10000,$A$4:$A$220)</f>
        <v>0</v>
      </c>
      <c r="AS5" s="34">
        <f>SUMIFS(SALE!$L$6:$L$10000,SALE!$A$6:$A$10000,#REF!,SALE!$H$6:$H$10000,$A$4:$A$220)</f>
        <v>0</v>
      </c>
      <c r="AT5" s="34">
        <f>SUMIFS(SALE!$M$6:$M$10000,SALE!$A$6:$A$10000,#REF!,SALE!$H$6:$H$10000,$A$4:$A$220)</f>
        <v>0</v>
      </c>
      <c r="AU5" s="990">
        <f>SUMIFS(SALE!$N$6:$N$10000,SALE!$A$6:$A$10000,#REF!,SALE!$H$6:$H$10000,$A$4:$A$220)</f>
        <v>0</v>
      </c>
      <c r="AV5" s="981">
        <f t="shared" ref="AV5:AV22" si="13">+AW5+AX5+AY5+AZ5</f>
        <v>0</v>
      </c>
      <c r="AW5" s="34">
        <f>SUMIFS(SALE!$K$6:$K$10000,SALE!$A$6:$A$10000,#REF!,SALE!$H$6:$H$10000,$A$4:$A$220)</f>
        <v>0</v>
      </c>
      <c r="AX5" s="34">
        <f>SUMIFS(SALE!$L$6:$L$10000,SALE!$A$6:$A$10000,#REF!,SALE!$H$6:$H$10000,$A$4:$A$220)</f>
        <v>0</v>
      </c>
      <c r="AY5" s="34">
        <f>SUMIFS(SALE!$M$6:$M$10000,SALE!$A$6:$A$10000,#REF!,SALE!$H$6:$H$10000,$A$4:$A$220)</f>
        <v>0</v>
      </c>
      <c r="AZ5" s="74">
        <f>SUMIFS(SALE!$N$6:$N$10000,SALE!$A$6:$A$10000,#REF!,SALE!$H$6:$H$10000,$A$4:$A$220)</f>
        <v>0</v>
      </c>
      <c r="BA5" s="989">
        <f t="shared" ref="BA5:BA22" si="14">+BB5+BC5+BD5+BE5</f>
        <v>0</v>
      </c>
      <c r="BB5" s="34">
        <f>SUMIFS(SALE!$K$6:$K$10000,SALE!$A$6:$A$10000,#REF!,SALE!$H$6:$H$10000,$A$4:$A$220)</f>
        <v>0</v>
      </c>
      <c r="BC5" s="34">
        <f>SUMIFS(SALE!$L$6:$L$10000,SALE!$A$6:$A$10000,#REF!,SALE!$H$6:$H$10000,$A$4:$A$220)</f>
        <v>0</v>
      </c>
      <c r="BD5" s="34">
        <f>SUMIFS(SALE!$M$6:$M$10000,SALE!$A$6:$A$10000,#REF!,SALE!$H$6:$H$10000,$A$4:$A$220)</f>
        <v>0</v>
      </c>
      <c r="BE5" s="990">
        <f>SUMIFS(SALE!$N$6:$N$10000,SALE!$A$6:$A$10000,#REF!,SALE!$H$6:$H$10000,$A$4:$A$220)</f>
        <v>0</v>
      </c>
      <c r="BF5" s="989">
        <f t="shared" ref="BF5:BF22" si="15">+BG5+BH5+BI5+BJ5</f>
        <v>0</v>
      </c>
      <c r="BG5" s="34">
        <f>SUMIFS(SALE!$K$6:$K$10000,SALE!$A$6:$A$10000,#REF!,SALE!$H$6:$H$10000,$A$4:$A$220)</f>
        <v>0</v>
      </c>
      <c r="BH5" s="34">
        <f>SUMIFS(SALE!$L$6:$L$10000,SALE!$A$6:$A$10000,#REF!,SALE!$H$6:$H$10000,$A$4:$A$220)</f>
        <v>0</v>
      </c>
      <c r="BI5" s="34">
        <f>SUMIFS(SALE!$M$6:$M$10000,SALE!$A$6:$A$10000,#REF!,SALE!$H$6:$H$10000,$A$4:$A$220)</f>
        <v>0</v>
      </c>
      <c r="BJ5" s="990">
        <f>SUMIFS(SALE!$N$6:$N$10000,SALE!$A$6:$A$10000,#REF!,SALE!$H$6:$H$10000,$A$4:$A$220)</f>
        <v>0</v>
      </c>
      <c r="BK5" s="11">
        <f t="shared" ref="BK5:BK23" si="16">+C5+H5+M5+R5+W5+AB5+AG5+AL5+AQ5+AV5+BA5+BF5</f>
        <v>6171279.5101999994</v>
      </c>
      <c r="BL5" s="11">
        <f t="shared" ref="BL5:BL23" si="17">+D5+I5+N5+S5+X5+AC5+AH5+AM5+AR5+AW5+BB5+BG5</f>
        <v>5229897.8900000006</v>
      </c>
      <c r="BM5" s="11">
        <f t="shared" ref="BM5:BM23" si="18">+E5+J5+O5+T5+Y5+AD5+AI5+AN5+AS5+AX5+BC5+BH5</f>
        <v>0</v>
      </c>
      <c r="BN5" s="11">
        <f t="shared" ref="BN5:BN23" si="19">+F5+K5+P5+U5+Z5+AE5+AJ5+AO5+AT5+AY5+BD5+BI5</f>
        <v>470690.8101</v>
      </c>
      <c r="BO5" s="11">
        <f t="shared" ref="BO5:BO23" si="20">+G5+L5+Q5+V5+AA5+AF5+AK5+AP5+AU5+AZ5+BE5+BJ5</f>
        <v>470690.8101</v>
      </c>
    </row>
    <row r="6" spans="1:67" x14ac:dyDescent="0.2">
      <c r="A6" s="467">
        <v>32082090</v>
      </c>
      <c r="B6" s="500" t="s">
        <v>273</v>
      </c>
      <c r="C6" s="989">
        <f t="shared" si="4"/>
        <v>0</v>
      </c>
      <c r="D6" s="34">
        <f>SUMIFS(SALE!$K$6:$K$10000,SALE!$A$6:$A$10000,$C$2,SALE!$H$6:$H$10000,$A$4:$A$220)</f>
        <v>0</v>
      </c>
      <c r="E6" s="34">
        <f>SUMIFS(SALE!$L$6:$L$10000,SALE!$A$6:$A$10000,$C$2,SALE!$H$6:$H$10000,$A$4:$A$220)</f>
        <v>0</v>
      </c>
      <c r="F6" s="34">
        <f>SUMIFS(SALE!$M$6:$M$10000,SALE!$A$6:$A$10000,$C$2,SALE!$H$6:$H$10000,$A$4:$A$220)</f>
        <v>0</v>
      </c>
      <c r="G6" s="990">
        <f>SUMIFS(SALE!$N$6:$N$10000,SALE!$A$6:$A$10000,$C$2,SALE!$H$6:$H$10000,$A$4:$A$220)</f>
        <v>0</v>
      </c>
      <c r="H6" s="981">
        <f t="shared" si="5"/>
        <v>0</v>
      </c>
      <c r="I6" s="34">
        <f>SUMIFS(SALE!$K$6:$K$10000,SALE!$A$6:$A$10000,$H$2,SALE!$H$6:$H$10000,$A$4:$A$220)</f>
        <v>0</v>
      </c>
      <c r="J6" s="34">
        <f>SUMIFS(SALE!$L$6:$L$10000,SALE!$A$6:$A$10000,$H$2,SALE!$H$6:$H$10000,$A$4:$A$220)</f>
        <v>0</v>
      </c>
      <c r="K6" s="34">
        <f>SUMIFS(SALE!$M$6:$M$10000,SALE!$A$6:$A$10000,$H$2,SALE!$H$6:$H$10000,$A$4:$A$220)</f>
        <v>0</v>
      </c>
      <c r="L6" s="74">
        <f>SUMIFS(SALE!$N$6:$N$10000,SALE!$A$6:$A$10000,$H$2,SALE!$H$6:$H$10000,$A$4:$A$220)</f>
        <v>0</v>
      </c>
      <c r="M6" s="989">
        <f t="shared" si="6"/>
        <v>0</v>
      </c>
      <c r="N6" s="34">
        <f>SUMIFS(SALE!$K$6:$K$10000,SALE!$A$6:$A$10000,$M$2,SALE!$H$6:$H$10000,$A$4:$A$220)</f>
        <v>0</v>
      </c>
      <c r="O6" s="34">
        <f>SUMIFS(SALE!$L$6:$L$10000,SALE!$A$6:$A$10000,$M$2,SALE!$H$6:$H$10000,$A$4:$A$220)</f>
        <v>0</v>
      </c>
      <c r="P6" s="34">
        <f>SUMIFS(SALE!$M$6:$M$10000,SALE!$A$6:$A$10000,$M$2,SALE!$H$6:$H$10000,$A$4:$A$220)</f>
        <v>0</v>
      </c>
      <c r="Q6" s="990">
        <f>SUMIFS(SALE!$N$6:$N$10000,SALE!$A$6:$A$10000,$M$2,SALE!$H$6:$H$10000,$A$4:$A$220)</f>
        <v>0</v>
      </c>
      <c r="R6" s="981">
        <f t="shared" si="7"/>
        <v>0</v>
      </c>
      <c r="S6" s="34">
        <f>SUMIFS(SALE!$K$6:$K$10000,SALE!$A$6:$A$10000,$R$2,SALE!$H$6:$H$10000,$A$4:$A$220)</f>
        <v>0</v>
      </c>
      <c r="T6" s="34">
        <f>SUMIFS(SALE!$L$6:$L$10000,SALE!$A$6:$A$10000,$R$2,SALE!$H$6:$H$10000,$A$4:$A$220)</f>
        <v>0</v>
      </c>
      <c r="U6" s="34">
        <f>SUMIFS(SALE!$M$6:$M$10000,SALE!$A$6:$A$10000,$R$2,SALE!$H$6:$H$10000,$A$4:$A$220)</f>
        <v>0</v>
      </c>
      <c r="V6" s="74">
        <f>SUMIFS(SALE!$N$6:$N$10000,SALE!$A$6:$A$10000,$R$2,SALE!$H$6:$H$10000,$A$4:$A$220)</f>
        <v>0</v>
      </c>
      <c r="W6" s="989">
        <f t="shared" si="8"/>
        <v>0</v>
      </c>
      <c r="X6" s="34">
        <f>SUMIFS(SALE!$K$6:$K$10000,SALE!$A$6:$A$10000,$W$2,SALE!$H$6:$H$10000,$A$4:$A$220)</f>
        <v>0</v>
      </c>
      <c r="Y6" s="34">
        <f>SUMIFS(SALE!$L$6:$L$10000,SALE!$A$6:$A$10000,$W$2,SALE!$H$6:$H$10000,$A$4:$A$220)</f>
        <v>0</v>
      </c>
      <c r="Z6" s="34">
        <f>SUMIFS(SALE!$M$6:$M$10000,SALE!$A$6:$A$10000,$W$2,SALE!$H$6:$H$10000,$A$4:$A$220)</f>
        <v>0</v>
      </c>
      <c r="AA6" s="990">
        <f>SUMIFS(SALE!$N$6:$N$10000,SALE!$A$6:$A$10000,$W$2,SALE!$H$6:$H$10000,$A$4:$A$220)</f>
        <v>0</v>
      </c>
      <c r="AB6" s="981">
        <f t="shared" si="9"/>
        <v>0</v>
      </c>
      <c r="AC6" s="34">
        <f>SUMIFS(SALE!$K$6:$K$10000,SALE!$A$6:$A$10000,$AB$2,SALE!$H$6:$H$10000,$A$4:$A$220)</f>
        <v>0</v>
      </c>
      <c r="AD6" s="34">
        <f>SUMIFS(SALE!$L$6:$L$10000,SALE!$A$6:$A$10000,$AB$2,SALE!$H$6:$H$10000,$A$4:$A$220)</f>
        <v>0</v>
      </c>
      <c r="AE6" s="34">
        <f>SUMIFS(SALE!$M$6:$M$10000,SALE!$A$6:$A$10000,$AB$2,SALE!$H$6:$H$10000,$A$4:$A$220)</f>
        <v>0</v>
      </c>
      <c r="AF6" s="74">
        <f>SUMIFS(SALE!$N$6:$N$10000,SALE!$A$6:$A$10000,$AB$2,SALE!$H$6:$H$10000,$A$4:$A$220)</f>
        <v>0</v>
      </c>
      <c r="AG6" s="989">
        <f t="shared" si="10"/>
        <v>0</v>
      </c>
      <c r="AH6" s="34">
        <f>SUMIFS(SALE!$K$6:$K$10000,SALE!$A$6:$A$10000,$AG$2,SALE!$H$6:$H$10000,$A$4:$A$220)</f>
        <v>0</v>
      </c>
      <c r="AI6" s="34">
        <f>SUMIFS(SALE!$L$6:$L$10000,SALE!$A$6:$A$10000,$AG$2,SALE!$H$6:$H$10000,$A$4:$A$220)</f>
        <v>0</v>
      </c>
      <c r="AJ6" s="34">
        <f>SUMIFS(SALE!$M$6:$M$10000,SALE!$A$6:$A$10000,$AG$2,SALE!$H$6:$H$10000,$A$4:$A$220)</f>
        <v>0</v>
      </c>
      <c r="AK6" s="990">
        <f>SUMIFS(SALE!$N$6:$N$10000,SALE!$A$6:$A$10000,$AG$2,SALE!$H$6:$H$10000,$A$4:$A$220)</f>
        <v>0</v>
      </c>
      <c r="AL6" s="981">
        <f t="shared" si="11"/>
        <v>0</v>
      </c>
      <c r="AM6" s="34">
        <f>SUMIFS(SALE!$K$6:$K$10000,SALE!$A$6:$A$10000,#REF!,SALE!$H$6:$H$10000,$A$4:$A$220)</f>
        <v>0</v>
      </c>
      <c r="AN6" s="34">
        <f>SUMIFS(SALE!$L$6:$L$10000,SALE!$A$6:$A$10000,#REF!,SALE!$H$6:$H$10000,$A$4:$A$220)</f>
        <v>0</v>
      </c>
      <c r="AO6" s="34">
        <f>SUMIFS(SALE!$M$6:$M$10000,SALE!$A$6:$A$10000,#REF!,SALE!$H$6:$H$10000,$A$4:$A$220)</f>
        <v>0</v>
      </c>
      <c r="AP6" s="74">
        <f>SUMIFS(SALE!$N$6:$N$10000,SALE!$A$6:$A$10000,#REF!,SALE!$H$6:$H$10000,$A$4:$A$220)</f>
        <v>0</v>
      </c>
      <c r="AQ6" s="989">
        <f t="shared" si="12"/>
        <v>0</v>
      </c>
      <c r="AR6" s="34">
        <f>SUMIFS(SALE!$K$6:$K$10000,SALE!$A$6:$A$10000,#REF!,SALE!$H$6:$H$10000,$A$4:$A$220)</f>
        <v>0</v>
      </c>
      <c r="AS6" s="34">
        <f>SUMIFS(SALE!$L$6:$L$10000,SALE!$A$6:$A$10000,#REF!,SALE!$H$6:$H$10000,$A$4:$A$220)</f>
        <v>0</v>
      </c>
      <c r="AT6" s="34">
        <f>SUMIFS(SALE!$M$6:$M$10000,SALE!$A$6:$A$10000,#REF!,SALE!$H$6:$H$10000,$A$4:$A$220)</f>
        <v>0</v>
      </c>
      <c r="AU6" s="990">
        <f>SUMIFS(SALE!$N$6:$N$10000,SALE!$A$6:$A$10000,#REF!,SALE!$H$6:$H$10000,$A$4:$A$220)</f>
        <v>0</v>
      </c>
      <c r="AV6" s="981">
        <f t="shared" si="13"/>
        <v>0</v>
      </c>
      <c r="AW6" s="34">
        <f>SUMIFS(SALE!$K$6:$K$10000,SALE!$A$6:$A$10000,#REF!,SALE!$H$6:$H$10000,$A$4:$A$220)</f>
        <v>0</v>
      </c>
      <c r="AX6" s="34">
        <f>SUMIFS(SALE!$L$6:$L$10000,SALE!$A$6:$A$10000,#REF!,SALE!$H$6:$H$10000,$A$4:$A$220)</f>
        <v>0</v>
      </c>
      <c r="AY6" s="34">
        <f>SUMIFS(SALE!$M$6:$M$10000,SALE!$A$6:$A$10000,#REF!,SALE!$H$6:$H$10000,$A$4:$A$220)</f>
        <v>0</v>
      </c>
      <c r="AZ6" s="74">
        <f>SUMIFS(SALE!$N$6:$N$10000,SALE!$A$6:$A$10000,#REF!,SALE!$H$6:$H$10000,$A$4:$A$220)</f>
        <v>0</v>
      </c>
      <c r="BA6" s="989">
        <f t="shared" si="14"/>
        <v>0</v>
      </c>
      <c r="BB6" s="34">
        <f>SUMIFS(SALE!$K$6:$K$10000,SALE!$A$6:$A$10000,#REF!,SALE!$H$6:$H$10000,$A$4:$A$220)</f>
        <v>0</v>
      </c>
      <c r="BC6" s="34">
        <f>SUMIFS(SALE!$L$6:$L$10000,SALE!$A$6:$A$10000,#REF!,SALE!$H$6:$H$10000,$A$4:$A$220)</f>
        <v>0</v>
      </c>
      <c r="BD6" s="34">
        <f>SUMIFS(SALE!$M$6:$M$10000,SALE!$A$6:$A$10000,#REF!,SALE!$H$6:$H$10000,$A$4:$A$220)</f>
        <v>0</v>
      </c>
      <c r="BE6" s="990">
        <f>SUMIFS(SALE!$N$6:$N$10000,SALE!$A$6:$A$10000,#REF!,SALE!$H$6:$H$10000,$A$4:$A$220)</f>
        <v>0</v>
      </c>
      <c r="BF6" s="989">
        <f t="shared" si="15"/>
        <v>0</v>
      </c>
      <c r="BG6" s="34">
        <f>SUMIFS(SALE!$K$6:$K$10000,SALE!$A$6:$A$10000,#REF!,SALE!$H$6:$H$10000,$A$4:$A$220)</f>
        <v>0</v>
      </c>
      <c r="BH6" s="34">
        <f>SUMIFS(SALE!$L$6:$L$10000,SALE!$A$6:$A$10000,#REF!,SALE!$H$6:$H$10000,$A$4:$A$220)</f>
        <v>0</v>
      </c>
      <c r="BI6" s="34">
        <f>SUMIFS(SALE!$M$6:$M$10000,SALE!$A$6:$A$10000,#REF!,SALE!$H$6:$H$10000,$A$4:$A$220)</f>
        <v>0</v>
      </c>
      <c r="BJ6" s="990">
        <f>SUMIFS(SALE!$N$6:$N$10000,SALE!$A$6:$A$10000,#REF!,SALE!$H$6:$H$10000,$A$4:$A$220)</f>
        <v>0</v>
      </c>
      <c r="BK6" s="11">
        <f t="shared" si="16"/>
        <v>0</v>
      </c>
      <c r="BL6" s="11">
        <f t="shared" si="17"/>
        <v>0</v>
      </c>
      <c r="BM6" s="11">
        <f t="shared" si="18"/>
        <v>0</v>
      </c>
      <c r="BN6" s="11">
        <f t="shared" si="19"/>
        <v>0</v>
      </c>
      <c r="BO6" s="11">
        <f t="shared" si="20"/>
        <v>0</v>
      </c>
    </row>
    <row r="7" spans="1:67" x14ac:dyDescent="0.2">
      <c r="A7" s="467">
        <v>38140010</v>
      </c>
      <c r="B7" s="500" t="s">
        <v>270</v>
      </c>
      <c r="C7" s="989">
        <f t="shared" si="4"/>
        <v>0</v>
      </c>
      <c r="D7" s="34">
        <f>SUMIFS(SALE!$K$6:$K$10000,SALE!$A$6:$A$10000,$C$2,SALE!$H$6:$H$10000,$A$4:$A$220)</f>
        <v>0</v>
      </c>
      <c r="E7" s="34">
        <f>SUMIFS(SALE!$L$6:$L$10000,SALE!$A$6:$A$10000,$C$2,SALE!$H$6:$H$10000,$A$4:$A$220)</f>
        <v>0</v>
      </c>
      <c r="F7" s="34">
        <f>SUMIFS(SALE!$M$6:$M$10000,SALE!$A$6:$A$10000,$C$2,SALE!$H$6:$H$10000,$A$4:$A$220)</f>
        <v>0</v>
      </c>
      <c r="G7" s="990">
        <f>SUMIFS(SALE!$N$6:$N$10000,SALE!$A$6:$A$10000,$C$2,SALE!$H$6:$H$10000,$A$4:$A$220)</f>
        <v>0</v>
      </c>
      <c r="H7" s="981">
        <f t="shared" si="5"/>
        <v>0</v>
      </c>
      <c r="I7" s="34">
        <f>SUMIFS(SALE!$K$6:$K$10000,SALE!$A$6:$A$10000,$H$2,SALE!$H$6:$H$10000,$A$4:$A$220)</f>
        <v>0</v>
      </c>
      <c r="J7" s="34">
        <f>SUMIFS(SALE!$L$6:$L$10000,SALE!$A$6:$A$10000,$H$2,SALE!$H$6:$H$10000,$A$4:$A$220)</f>
        <v>0</v>
      </c>
      <c r="K7" s="34">
        <f>SUMIFS(SALE!$M$6:$M$10000,SALE!$A$6:$A$10000,$H$2,SALE!$H$6:$H$10000,$A$4:$A$220)</f>
        <v>0</v>
      </c>
      <c r="L7" s="74">
        <f>SUMIFS(SALE!$N$6:$N$10000,SALE!$A$6:$A$10000,$H$2,SALE!$H$6:$H$10000,$A$4:$A$220)</f>
        <v>0</v>
      </c>
      <c r="M7" s="989">
        <f t="shared" si="6"/>
        <v>0</v>
      </c>
      <c r="N7" s="34">
        <f>SUMIFS(SALE!$K$6:$K$10000,SALE!$A$6:$A$10000,$M$2,SALE!$H$6:$H$10000,$A$4:$A$220)</f>
        <v>0</v>
      </c>
      <c r="O7" s="34">
        <f>SUMIFS(SALE!$L$6:$L$10000,SALE!$A$6:$A$10000,$M$2,SALE!$H$6:$H$10000,$A$4:$A$220)</f>
        <v>0</v>
      </c>
      <c r="P7" s="34">
        <f>SUMIFS(SALE!$M$6:$M$10000,SALE!$A$6:$A$10000,$M$2,SALE!$H$6:$H$10000,$A$4:$A$220)</f>
        <v>0</v>
      </c>
      <c r="Q7" s="990">
        <f>SUMIFS(SALE!$N$6:$N$10000,SALE!$A$6:$A$10000,$M$2,SALE!$H$6:$H$10000,$A$4:$A$220)</f>
        <v>0</v>
      </c>
      <c r="R7" s="981">
        <f t="shared" si="7"/>
        <v>0</v>
      </c>
      <c r="S7" s="34">
        <f>SUMIFS(SALE!$K$6:$K$10000,SALE!$A$6:$A$10000,$R$2,SALE!$H$6:$H$10000,$A$4:$A$220)</f>
        <v>0</v>
      </c>
      <c r="T7" s="34">
        <f>SUMIFS(SALE!$L$6:$L$10000,SALE!$A$6:$A$10000,$R$2,SALE!$H$6:$H$10000,$A$4:$A$220)</f>
        <v>0</v>
      </c>
      <c r="U7" s="34">
        <f>SUMIFS(SALE!$M$6:$M$10000,SALE!$A$6:$A$10000,$R$2,SALE!$H$6:$H$10000,$A$4:$A$220)</f>
        <v>0</v>
      </c>
      <c r="V7" s="74">
        <f>SUMIFS(SALE!$N$6:$N$10000,SALE!$A$6:$A$10000,$R$2,SALE!$H$6:$H$10000,$A$4:$A$220)</f>
        <v>0</v>
      </c>
      <c r="W7" s="989">
        <f t="shared" si="8"/>
        <v>0</v>
      </c>
      <c r="X7" s="34">
        <f>SUMIFS(SALE!$K$6:$K$10000,SALE!$A$6:$A$10000,$W$2,SALE!$H$6:$H$10000,$A$4:$A$220)</f>
        <v>0</v>
      </c>
      <c r="Y7" s="34">
        <f>SUMIFS(SALE!$L$6:$L$10000,SALE!$A$6:$A$10000,$W$2,SALE!$H$6:$H$10000,$A$4:$A$220)</f>
        <v>0</v>
      </c>
      <c r="Z7" s="34">
        <f>SUMIFS(SALE!$M$6:$M$10000,SALE!$A$6:$A$10000,$W$2,SALE!$H$6:$H$10000,$A$4:$A$220)</f>
        <v>0</v>
      </c>
      <c r="AA7" s="990">
        <f>SUMIFS(SALE!$N$6:$N$10000,SALE!$A$6:$A$10000,$W$2,SALE!$H$6:$H$10000,$A$4:$A$220)</f>
        <v>0</v>
      </c>
      <c r="AB7" s="981">
        <f t="shared" si="9"/>
        <v>0</v>
      </c>
      <c r="AC7" s="34">
        <f>SUMIFS(SALE!$K$6:$K$10000,SALE!$A$6:$A$10000,$AB$2,SALE!$H$6:$H$10000,$A$4:$A$220)</f>
        <v>0</v>
      </c>
      <c r="AD7" s="34">
        <f>SUMIFS(SALE!$L$6:$L$10000,SALE!$A$6:$A$10000,$AB$2,SALE!$H$6:$H$10000,$A$4:$A$220)</f>
        <v>0</v>
      </c>
      <c r="AE7" s="34">
        <f>SUMIFS(SALE!$M$6:$M$10000,SALE!$A$6:$A$10000,$AB$2,SALE!$H$6:$H$10000,$A$4:$A$220)</f>
        <v>0</v>
      </c>
      <c r="AF7" s="74">
        <f>SUMIFS(SALE!$N$6:$N$10000,SALE!$A$6:$A$10000,$AB$2,SALE!$H$6:$H$10000,$A$4:$A$220)</f>
        <v>0</v>
      </c>
      <c r="AG7" s="989">
        <f t="shared" si="10"/>
        <v>0</v>
      </c>
      <c r="AH7" s="34">
        <f>SUMIFS(SALE!$K$6:$K$10000,SALE!$A$6:$A$10000,$AG$2,SALE!$H$6:$H$10000,$A$4:$A$220)</f>
        <v>0</v>
      </c>
      <c r="AI7" s="34">
        <f>SUMIFS(SALE!$L$6:$L$10000,SALE!$A$6:$A$10000,$AG$2,SALE!$H$6:$H$10000,$A$4:$A$220)</f>
        <v>0</v>
      </c>
      <c r="AJ7" s="34">
        <f>SUMIFS(SALE!$M$6:$M$10000,SALE!$A$6:$A$10000,$AG$2,SALE!$H$6:$H$10000,$A$4:$A$220)</f>
        <v>0</v>
      </c>
      <c r="AK7" s="990">
        <f>SUMIFS(SALE!$N$6:$N$10000,SALE!$A$6:$A$10000,$AG$2,SALE!$H$6:$H$10000,$A$4:$A$220)</f>
        <v>0</v>
      </c>
      <c r="AL7" s="981">
        <f t="shared" si="11"/>
        <v>0</v>
      </c>
      <c r="AM7" s="34">
        <f>SUMIFS(SALE!$K$6:$K$10000,SALE!$A$6:$A$10000,#REF!,SALE!$H$6:$H$10000,$A$4:$A$220)</f>
        <v>0</v>
      </c>
      <c r="AN7" s="34">
        <f>SUMIFS(SALE!$L$6:$L$10000,SALE!$A$6:$A$10000,#REF!,SALE!$H$6:$H$10000,$A$4:$A$220)</f>
        <v>0</v>
      </c>
      <c r="AO7" s="34">
        <f>SUMIFS(SALE!$M$6:$M$10000,SALE!$A$6:$A$10000,#REF!,SALE!$H$6:$H$10000,$A$4:$A$220)</f>
        <v>0</v>
      </c>
      <c r="AP7" s="74">
        <f>SUMIFS(SALE!$N$6:$N$10000,SALE!$A$6:$A$10000,#REF!,SALE!$H$6:$H$10000,$A$4:$A$220)</f>
        <v>0</v>
      </c>
      <c r="AQ7" s="989">
        <f t="shared" si="12"/>
        <v>0</v>
      </c>
      <c r="AR7" s="34">
        <f>SUMIFS(SALE!$K$6:$K$10000,SALE!$A$6:$A$10000,#REF!,SALE!$H$6:$H$10000,$A$4:$A$220)</f>
        <v>0</v>
      </c>
      <c r="AS7" s="34">
        <f>SUMIFS(SALE!$L$6:$L$10000,SALE!$A$6:$A$10000,#REF!,SALE!$H$6:$H$10000,$A$4:$A$220)</f>
        <v>0</v>
      </c>
      <c r="AT7" s="34">
        <f>SUMIFS(SALE!$M$6:$M$10000,SALE!$A$6:$A$10000,#REF!,SALE!$H$6:$H$10000,$A$4:$A$220)</f>
        <v>0</v>
      </c>
      <c r="AU7" s="990">
        <f>SUMIFS(SALE!$N$6:$N$10000,SALE!$A$6:$A$10000,#REF!,SALE!$H$6:$H$10000,$A$4:$A$220)</f>
        <v>0</v>
      </c>
      <c r="AV7" s="981">
        <f t="shared" si="13"/>
        <v>0</v>
      </c>
      <c r="AW7" s="34">
        <f>SUMIFS(SALE!$K$6:$K$10000,SALE!$A$6:$A$10000,#REF!,SALE!$H$6:$H$10000,$A$4:$A$220)</f>
        <v>0</v>
      </c>
      <c r="AX7" s="34">
        <f>SUMIFS(SALE!$L$6:$L$10000,SALE!$A$6:$A$10000,#REF!,SALE!$H$6:$H$10000,$A$4:$A$220)</f>
        <v>0</v>
      </c>
      <c r="AY7" s="34">
        <f>SUMIFS(SALE!$M$6:$M$10000,SALE!$A$6:$A$10000,#REF!,SALE!$H$6:$H$10000,$A$4:$A$220)</f>
        <v>0</v>
      </c>
      <c r="AZ7" s="74">
        <f>SUMIFS(SALE!$N$6:$N$10000,SALE!$A$6:$A$10000,#REF!,SALE!$H$6:$H$10000,$A$4:$A$220)</f>
        <v>0</v>
      </c>
      <c r="BA7" s="989">
        <f t="shared" si="14"/>
        <v>0</v>
      </c>
      <c r="BB7" s="34">
        <f>SUMIFS(SALE!$K$6:$K$10000,SALE!$A$6:$A$10000,#REF!,SALE!$H$6:$H$10000,$A$4:$A$220)</f>
        <v>0</v>
      </c>
      <c r="BC7" s="34">
        <f>SUMIFS(SALE!$L$6:$L$10000,SALE!$A$6:$A$10000,#REF!,SALE!$H$6:$H$10000,$A$4:$A$220)</f>
        <v>0</v>
      </c>
      <c r="BD7" s="34">
        <f>SUMIFS(SALE!$M$6:$M$10000,SALE!$A$6:$A$10000,#REF!,SALE!$H$6:$H$10000,$A$4:$A$220)</f>
        <v>0</v>
      </c>
      <c r="BE7" s="990">
        <f>SUMIFS(SALE!$N$6:$N$10000,SALE!$A$6:$A$10000,#REF!,SALE!$H$6:$H$10000,$A$4:$A$220)</f>
        <v>0</v>
      </c>
      <c r="BF7" s="989">
        <f t="shared" si="15"/>
        <v>0</v>
      </c>
      <c r="BG7" s="34">
        <f>SUMIFS(SALE!$K$6:$K$10000,SALE!$A$6:$A$10000,#REF!,SALE!$H$6:$H$10000,$A$4:$A$220)</f>
        <v>0</v>
      </c>
      <c r="BH7" s="34">
        <f>SUMIFS(SALE!$L$6:$L$10000,SALE!$A$6:$A$10000,#REF!,SALE!$H$6:$H$10000,$A$4:$A$220)</f>
        <v>0</v>
      </c>
      <c r="BI7" s="34">
        <f>SUMIFS(SALE!$M$6:$M$10000,SALE!$A$6:$A$10000,#REF!,SALE!$H$6:$H$10000,$A$4:$A$220)</f>
        <v>0</v>
      </c>
      <c r="BJ7" s="990">
        <f>SUMIFS(SALE!$N$6:$N$10000,SALE!$A$6:$A$10000,#REF!,SALE!$H$6:$H$10000,$A$4:$A$220)</f>
        <v>0</v>
      </c>
      <c r="BK7" s="11">
        <f t="shared" si="16"/>
        <v>0</v>
      </c>
      <c r="BL7" s="11">
        <f t="shared" si="17"/>
        <v>0</v>
      </c>
      <c r="BM7" s="11">
        <f t="shared" si="18"/>
        <v>0</v>
      </c>
      <c r="BN7" s="11">
        <f t="shared" si="19"/>
        <v>0</v>
      </c>
      <c r="BO7" s="11">
        <f t="shared" si="20"/>
        <v>0</v>
      </c>
    </row>
    <row r="8" spans="1:67" x14ac:dyDescent="0.2">
      <c r="A8" s="467">
        <v>38140010</v>
      </c>
      <c r="B8" s="500" t="s">
        <v>270</v>
      </c>
      <c r="C8" s="989">
        <f t="shared" si="4"/>
        <v>0</v>
      </c>
      <c r="D8" s="34">
        <f>SUMIFS(SALE!$K$6:$K$10000,SALE!$A$6:$A$10000,$C$2,SALE!$H$6:$H$10000,$A$4:$A$220)</f>
        <v>0</v>
      </c>
      <c r="E8" s="34">
        <f>SUMIFS(SALE!$L$6:$L$10000,SALE!$A$6:$A$10000,$C$2,SALE!$H$6:$H$10000,$A$4:$A$220)</f>
        <v>0</v>
      </c>
      <c r="F8" s="34">
        <f>SUMIFS(SALE!$M$6:$M$10000,SALE!$A$6:$A$10000,$C$2,SALE!$H$6:$H$10000,$A$4:$A$220)</f>
        <v>0</v>
      </c>
      <c r="G8" s="990">
        <f>SUMIFS(SALE!$N$6:$N$10000,SALE!$A$6:$A$10000,$C$2,SALE!$H$6:$H$10000,$A$4:$A$220)</f>
        <v>0</v>
      </c>
      <c r="H8" s="981">
        <f t="shared" si="5"/>
        <v>0</v>
      </c>
      <c r="I8" s="34">
        <f>SUMIFS(SALE!$K$6:$K$10000,SALE!$A$6:$A$10000,$H$2,SALE!$H$6:$H$10000,$A$4:$A$220)</f>
        <v>0</v>
      </c>
      <c r="J8" s="34">
        <f>SUMIFS(SALE!$L$6:$L$10000,SALE!$A$6:$A$10000,$H$2,SALE!$H$6:$H$10000,$A$4:$A$220)</f>
        <v>0</v>
      </c>
      <c r="K8" s="34">
        <f>SUMIFS(SALE!$M$6:$M$10000,SALE!$A$6:$A$10000,$H$2,SALE!$H$6:$H$10000,$A$4:$A$220)</f>
        <v>0</v>
      </c>
      <c r="L8" s="74">
        <f>SUMIFS(SALE!$N$6:$N$10000,SALE!$A$6:$A$10000,$H$2,SALE!$H$6:$H$10000,$A$4:$A$220)</f>
        <v>0</v>
      </c>
      <c r="M8" s="989">
        <f t="shared" si="6"/>
        <v>0</v>
      </c>
      <c r="N8" s="34">
        <f>SUMIFS(SALE!$K$6:$K$10000,SALE!$A$6:$A$10000,$M$2,SALE!$H$6:$H$10000,$A$4:$A$220)</f>
        <v>0</v>
      </c>
      <c r="O8" s="34">
        <f>SUMIFS(SALE!$L$6:$L$10000,SALE!$A$6:$A$10000,$M$2,SALE!$H$6:$H$10000,$A$4:$A$220)</f>
        <v>0</v>
      </c>
      <c r="P8" s="34">
        <f>SUMIFS(SALE!$M$6:$M$10000,SALE!$A$6:$A$10000,$M$2,SALE!$H$6:$H$10000,$A$4:$A$220)</f>
        <v>0</v>
      </c>
      <c r="Q8" s="990">
        <f>SUMIFS(SALE!$N$6:$N$10000,SALE!$A$6:$A$10000,$M$2,SALE!$H$6:$H$10000,$A$4:$A$220)</f>
        <v>0</v>
      </c>
      <c r="R8" s="981">
        <f t="shared" si="7"/>
        <v>0</v>
      </c>
      <c r="S8" s="34">
        <f>SUMIFS(SALE!$K$6:$K$10000,SALE!$A$6:$A$10000,$R$2,SALE!$H$6:$H$10000,$A$4:$A$220)</f>
        <v>0</v>
      </c>
      <c r="T8" s="34">
        <f>SUMIFS(SALE!$L$6:$L$10000,SALE!$A$6:$A$10000,$R$2,SALE!$H$6:$H$10000,$A$4:$A$220)</f>
        <v>0</v>
      </c>
      <c r="U8" s="34">
        <f>SUMIFS(SALE!$M$6:$M$10000,SALE!$A$6:$A$10000,$R$2,SALE!$H$6:$H$10000,$A$4:$A$220)</f>
        <v>0</v>
      </c>
      <c r="V8" s="74">
        <f>SUMIFS(SALE!$N$6:$N$10000,SALE!$A$6:$A$10000,$R$2,SALE!$H$6:$H$10000,$A$4:$A$220)</f>
        <v>0</v>
      </c>
      <c r="W8" s="989">
        <f t="shared" si="8"/>
        <v>0</v>
      </c>
      <c r="X8" s="34">
        <f>SUMIFS(SALE!$K$6:$K$10000,SALE!$A$6:$A$10000,$W$2,SALE!$H$6:$H$10000,$A$4:$A$220)</f>
        <v>0</v>
      </c>
      <c r="Y8" s="34">
        <f>SUMIFS(SALE!$L$6:$L$10000,SALE!$A$6:$A$10000,$W$2,SALE!$H$6:$H$10000,$A$4:$A$220)</f>
        <v>0</v>
      </c>
      <c r="Z8" s="34">
        <f>SUMIFS(SALE!$M$6:$M$10000,SALE!$A$6:$A$10000,$W$2,SALE!$H$6:$H$10000,$A$4:$A$220)</f>
        <v>0</v>
      </c>
      <c r="AA8" s="990">
        <f>SUMIFS(SALE!$N$6:$N$10000,SALE!$A$6:$A$10000,$W$2,SALE!$H$6:$H$10000,$A$4:$A$220)</f>
        <v>0</v>
      </c>
      <c r="AB8" s="981">
        <f t="shared" si="9"/>
        <v>0</v>
      </c>
      <c r="AC8" s="34">
        <f>SUMIFS(SALE!$K$6:$K$10000,SALE!$A$6:$A$10000,$AB$2,SALE!$H$6:$H$10000,$A$4:$A$220)</f>
        <v>0</v>
      </c>
      <c r="AD8" s="34">
        <f>SUMIFS(SALE!$L$6:$L$10000,SALE!$A$6:$A$10000,$AB$2,SALE!$H$6:$H$10000,$A$4:$A$220)</f>
        <v>0</v>
      </c>
      <c r="AE8" s="34">
        <f>SUMIFS(SALE!$M$6:$M$10000,SALE!$A$6:$A$10000,$AB$2,SALE!$H$6:$H$10000,$A$4:$A$220)</f>
        <v>0</v>
      </c>
      <c r="AF8" s="74">
        <f>SUMIFS(SALE!$N$6:$N$10000,SALE!$A$6:$A$10000,$AB$2,SALE!$H$6:$H$10000,$A$4:$A$220)</f>
        <v>0</v>
      </c>
      <c r="AG8" s="989">
        <f t="shared" si="10"/>
        <v>0</v>
      </c>
      <c r="AH8" s="34">
        <f>SUMIFS(SALE!$K$6:$K$10000,SALE!$A$6:$A$10000,$AG$2,SALE!$H$6:$H$10000,$A$4:$A$220)</f>
        <v>0</v>
      </c>
      <c r="AI8" s="34">
        <f>SUMIFS(SALE!$L$6:$L$10000,SALE!$A$6:$A$10000,$AG$2,SALE!$H$6:$H$10000,$A$4:$A$220)</f>
        <v>0</v>
      </c>
      <c r="AJ8" s="34">
        <f>SUMIFS(SALE!$M$6:$M$10000,SALE!$A$6:$A$10000,$AG$2,SALE!$H$6:$H$10000,$A$4:$A$220)</f>
        <v>0</v>
      </c>
      <c r="AK8" s="990">
        <f>SUMIFS(SALE!$N$6:$N$10000,SALE!$A$6:$A$10000,$AG$2,SALE!$H$6:$H$10000,$A$4:$A$220)</f>
        <v>0</v>
      </c>
      <c r="AL8" s="981">
        <f t="shared" si="11"/>
        <v>0</v>
      </c>
      <c r="AM8" s="34">
        <f>SUMIFS(SALE!$K$6:$K$10000,SALE!$A$6:$A$10000,#REF!,SALE!$H$6:$H$10000,$A$4:$A$220)</f>
        <v>0</v>
      </c>
      <c r="AN8" s="34">
        <f>SUMIFS(SALE!$L$6:$L$10000,SALE!$A$6:$A$10000,#REF!,SALE!$H$6:$H$10000,$A$4:$A$220)</f>
        <v>0</v>
      </c>
      <c r="AO8" s="34">
        <f>SUMIFS(SALE!$M$6:$M$10000,SALE!$A$6:$A$10000,#REF!,SALE!$H$6:$H$10000,$A$4:$A$220)</f>
        <v>0</v>
      </c>
      <c r="AP8" s="74">
        <f>SUMIFS(SALE!$N$6:$N$10000,SALE!$A$6:$A$10000,#REF!,SALE!$H$6:$H$10000,$A$4:$A$220)</f>
        <v>0</v>
      </c>
      <c r="AQ8" s="989">
        <f t="shared" si="12"/>
        <v>0</v>
      </c>
      <c r="AR8" s="34">
        <f>SUMIFS(SALE!$K$6:$K$10000,SALE!$A$6:$A$10000,#REF!,SALE!$H$6:$H$10000,$A$4:$A$220)</f>
        <v>0</v>
      </c>
      <c r="AS8" s="34">
        <f>SUMIFS(SALE!$L$6:$L$10000,SALE!$A$6:$A$10000,#REF!,SALE!$H$6:$H$10000,$A$4:$A$220)</f>
        <v>0</v>
      </c>
      <c r="AT8" s="34">
        <f>SUMIFS(SALE!$M$6:$M$10000,SALE!$A$6:$A$10000,#REF!,SALE!$H$6:$H$10000,$A$4:$A$220)</f>
        <v>0</v>
      </c>
      <c r="AU8" s="990">
        <f>SUMIFS(SALE!$N$6:$N$10000,SALE!$A$6:$A$10000,#REF!,SALE!$H$6:$H$10000,$A$4:$A$220)</f>
        <v>0</v>
      </c>
      <c r="AV8" s="981">
        <f t="shared" si="13"/>
        <v>0</v>
      </c>
      <c r="AW8" s="34">
        <f>SUMIFS(SALE!$K$6:$K$10000,SALE!$A$6:$A$10000,#REF!,SALE!$H$6:$H$10000,$A$4:$A$220)</f>
        <v>0</v>
      </c>
      <c r="AX8" s="34">
        <f>SUMIFS(SALE!$L$6:$L$10000,SALE!$A$6:$A$10000,#REF!,SALE!$H$6:$H$10000,$A$4:$A$220)</f>
        <v>0</v>
      </c>
      <c r="AY8" s="34">
        <f>SUMIFS(SALE!$M$6:$M$10000,SALE!$A$6:$A$10000,#REF!,SALE!$H$6:$H$10000,$A$4:$A$220)</f>
        <v>0</v>
      </c>
      <c r="AZ8" s="74">
        <f>SUMIFS(SALE!$N$6:$N$10000,SALE!$A$6:$A$10000,#REF!,SALE!$H$6:$H$10000,$A$4:$A$220)</f>
        <v>0</v>
      </c>
      <c r="BA8" s="989">
        <f t="shared" si="14"/>
        <v>0</v>
      </c>
      <c r="BB8" s="34">
        <f>SUMIFS(SALE!$K$6:$K$10000,SALE!$A$6:$A$10000,#REF!,SALE!$H$6:$H$10000,$A$4:$A$220)</f>
        <v>0</v>
      </c>
      <c r="BC8" s="34">
        <f>SUMIFS(SALE!$L$6:$L$10000,SALE!$A$6:$A$10000,#REF!,SALE!$H$6:$H$10000,$A$4:$A$220)</f>
        <v>0</v>
      </c>
      <c r="BD8" s="34">
        <f>SUMIFS(SALE!$M$6:$M$10000,SALE!$A$6:$A$10000,#REF!,SALE!$H$6:$H$10000,$A$4:$A$220)</f>
        <v>0</v>
      </c>
      <c r="BE8" s="990">
        <f>SUMIFS(SALE!$N$6:$N$10000,SALE!$A$6:$A$10000,#REF!,SALE!$H$6:$H$10000,$A$4:$A$220)</f>
        <v>0</v>
      </c>
      <c r="BF8" s="989">
        <f t="shared" si="15"/>
        <v>0</v>
      </c>
      <c r="BG8" s="34">
        <f>SUMIFS(SALE!$K$6:$K$10000,SALE!$A$6:$A$10000,#REF!,SALE!$H$6:$H$10000,$A$4:$A$220)</f>
        <v>0</v>
      </c>
      <c r="BH8" s="34">
        <f>SUMIFS(SALE!$L$6:$L$10000,SALE!$A$6:$A$10000,#REF!,SALE!$H$6:$H$10000,$A$4:$A$220)</f>
        <v>0</v>
      </c>
      <c r="BI8" s="34">
        <f>SUMIFS(SALE!$M$6:$M$10000,SALE!$A$6:$A$10000,#REF!,SALE!$H$6:$H$10000,$A$4:$A$220)</f>
        <v>0</v>
      </c>
      <c r="BJ8" s="990">
        <f>SUMIFS(SALE!$N$6:$N$10000,SALE!$A$6:$A$10000,#REF!,SALE!$H$6:$H$10000,$A$4:$A$220)</f>
        <v>0</v>
      </c>
      <c r="BK8" s="11">
        <f t="shared" si="16"/>
        <v>0</v>
      </c>
      <c r="BL8" s="11">
        <f t="shared" si="17"/>
        <v>0</v>
      </c>
      <c r="BM8" s="11">
        <f t="shared" si="18"/>
        <v>0</v>
      </c>
      <c r="BN8" s="11">
        <f t="shared" si="19"/>
        <v>0</v>
      </c>
      <c r="BO8" s="11">
        <f t="shared" si="20"/>
        <v>0</v>
      </c>
    </row>
    <row r="9" spans="1:67" x14ac:dyDescent="0.2">
      <c r="A9" s="467">
        <v>38249990</v>
      </c>
      <c r="B9" s="500" t="s">
        <v>272</v>
      </c>
      <c r="C9" s="989">
        <f t="shared" si="4"/>
        <v>0</v>
      </c>
      <c r="D9" s="34">
        <f>SUMIFS(SALE!$K$6:$K$10000,SALE!$A$6:$A$10000,$C$2,SALE!$H$6:$H$10000,$A$4:$A$220)</f>
        <v>0</v>
      </c>
      <c r="E9" s="34">
        <f>SUMIFS(SALE!$L$6:$L$10000,SALE!$A$6:$A$10000,$C$2,SALE!$H$6:$H$10000,$A$4:$A$220)</f>
        <v>0</v>
      </c>
      <c r="F9" s="34">
        <f>SUMIFS(SALE!$M$6:$M$10000,SALE!$A$6:$A$10000,$C$2,SALE!$H$6:$H$10000,$A$4:$A$220)</f>
        <v>0</v>
      </c>
      <c r="G9" s="990">
        <f>SUMIFS(SALE!$N$6:$N$10000,SALE!$A$6:$A$10000,$C$2,SALE!$H$6:$H$10000,$A$4:$A$220)</f>
        <v>0</v>
      </c>
      <c r="H9" s="981">
        <f t="shared" si="5"/>
        <v>0</v>
      </c>
      <c r="I9" s="34">
        <f>SUMIFS(SALE!$K$6:$K$10000,SALE!$A$6:$A$10000,$H$2,SALE!$H$6:$H$10000,$A$4:$A$220)</f>
        <v>0</v>
      </c>
      <c r="J9" s="34">
        <f>SUMIFS(SALE!$L$6:$L$10000,SALE!$A$6:$A$10000,$H$2,SALE!$H$6:$H$10000,$A$4:$A$220)</f>
        <v>0</v>
      </c>
      <c r="K9" s="34">
        <f>SUMIFS(SALE!$M$6:$M$10000,SALE!$A$6:$A$10000,$H$2,SALE!$H$6:$H$10000,$A$4:$A$220)</f>
        <v>0</v>
      </c>
      <c r="L9" s="74">
        <f>SUMIFS(SALE!$N$6:$N$10000,SALE!$A$6:$A$10000,$H$2,SALE!$H$6:$H$10000,$A$4:$A$220)</f>
        <v>0</v>
      </c>
      <c r="M9" s="989">
        <f t="shared" si="6"/>
        <v>0</v>
      </c>
      <c r="N9" s="34">
        <f>SUMIFS(SALE!$K$6:$K$10000,SALE!$A$6:$A$10000,$M$2,SALE!$H$6:$H$10000,$A$4:$A$220)</f>
        <v>0</v>
      </c>
      <c r="O9" s="34">
        <f>SUMIFS(SALE!$L$6:$L$10000,SALE!$A$6:$A$10000,$M$2,SALE!$H$6:$H$10000,$A$4:$A$220)</f>
        <v>0</v>
      </c>
      <c r="P9" s="34">
        <f>SUMIFS(SALE!$M$6:$M$10000,SALE!$A$6:$A$10000,$M$2,SALE!$H$6:$H$10000,$A$4:$A$220)</f>
        <v>0</v>
      </c>
      <c r="Q9" s="990">
        <f>SUMIFS(SALE!$N$6:$N$10000,SALE!$A$6:$A$10000,$M$2,SALE!$H$6:$H$10000,$A$4:$A$220)</f>
        <v>0</v>
      </c>
      <c r="R9" s="981">
        <f t="shared" si="7"/>
        <v>0</v>
      </c>
      <c r="S9" s="34">
        <f>SUMIFS(SALE!$K$6:$K$10000,SALE!$A$6:$A$10000,$R$2,SALE!$H$6:$H$10000,$A$4:$A$220)</f>
        <v>0</v>
      </c>
      <c r="T9" s="34">
        <f>SUMIFS(SALE!$L$6:$L$10000,SALE!$A$6:$A$10000,$R$2,SALE!$H$6:$H$10000,$A$4:$A$220)</f>
        <v>0</v>
      </c>
      <c r="U9" s="34">
        <f>SUMIFS(SALE!$M$6:$M$10000,SALE!$A$6:$A$10000,$R$2,SALE!$H$6:$H$10000,$A$4:$A$220)</f>
        <v>0</v>
      </c>
      <c r="V9" s="74">
        <f>SUMIFS(SALE!$N$6:$N$10000,SALE!$A$6:$A$10000,$R$2,SALE!$H$6:$H$10000,$A$4:$A$220)</f>
        <v>0</v>
      </c>
      <c r="W9" s="989">
        <f t="shared" si="8"/>
        <v>0</v>
      </c>
      <c r="X9" s="34">
        <f>SUMIFS(SALE!$K$6:$K$10000,SALE!$A$6:$A$10000,$W$2,SALE!$H$6:$H$10000,$A$4:$A$220)</f>
        <v>0</v>
      </c>
      <c r="Y9" s="34">
        <f>SUMIFS(SALE!$L$6:$L$10000,SALE!$A$6:$A$10000,$W$2,SALE!$H$6:$H$10000,$A$4:$A$220)</f>
        <v>0</v>
      </c>
      <c r="Z9" s="34">
        <f>SUMIFS(SALE!$M$6:$M$10000,SALE!$A$6:$A$10000,$W$2,SALE!$H$6:$H$10000,$A$4:$A$220)</f>
        <v>0</v>
      </c>
      <c r="AA9" s="990">
        <f>SUMIFS(SALE!$N$6:$N$10000,SALE!$A$6:$A$10000,$W$2,SALE!$H$6:$H$10000,$A$4:$A$220)</f>
        <v>0</v>
      </c>
      <c r="AB9" s="981">
        <f t="shared" si="9"/>
        <v>0</v>
      </c>
      <c r="AC9" s="34">
        <f>SUMIFS(SALE!$K$6:$K$10000,SALE!$A$6:$A$10000,$AB$2,SALE!$H$6:$H$10000,$A$4:$A$220)</f>
        <v>0</v>
      </c>
      <c r="AD9" s="34">
        <f>SUMIFS(SALE!$L$6:$L$10000,SALE!$A$6:$A$10000,$AB$2,SALE!$H$6:$H$10000,$A$4:$A$220)</f>
        <v>0</v>
      </c>
      <c r="AE9" s="34">
        <f>SUMIFS(SALE!$M$6:$M$10000,SALE!$A$6:$A$10000,$AB$2,SALE!$H$6:$H$10000,$A$4:$A$220)</f>
        <v>0</v>
      </c>
      <c r="AF9" s="74">
        <f>SUMIFS(SALE!$N$6:$N$10000,SALE!$A$6:$A$10000,$AB$2,SALE!$H$6:$H$10000,$A$4:$A$220)</f>
        <v>0</v>
      </c>
      <c r="AG9" s="989">
        <f t="shared" si="10"/>
        <v>0</v>
      </c>
      <c r="AH9" s="34">
        <f>SUMIFS(SALE!$K$6:$K$10000,SALE!$A$6:$A$10000,$AG$2,SALE!$H$6:$H$10000,$A$4:$A$220)</f>
        <v>0</v>
      </c>
      <c r="AI9" s="34">
        <f>SUMIFS(SALE!$L$6:$L$10000,SALE!$A$6:$A$10000,$AG$2,SALE!$H$6:$H$10000,$A$4:$A$220)</f>
        <v>0</v>
      </c>
      <c r="AJ9" s="34">
        <f>SUMIFS(SALE!$M$6:$M$10000,SALE!$A$6:$A$10000,$AG$2,SALE!$H$6:$H$10000,$A$4:$A$220)</f>
        <v>0</v>
      </c>
      <c r="AK9" s="990">
        <f>SUMIFS(SALE!$N$6:$N$10000,SALE!$A$6:$A$10000,$AG$2,SALE!$H$6:$H$10000,$A$4:$A$220)</f>
        <v>0</v>
      </c>
      <c r="AL9" s="981">
        <f t="shared" si="11"/>
        <v>0</v>
      </c>
      <c r="AM9" s="34">
        <f>SUMIFS(SALE!$K$6:$K$10000,SALE!$A$6:$A$10000,#REF!,SALE!$H$6:$H$10000,$A$4:$A$220)</f>
        <v>0</v>
      </c>
      <c r="AN9" s="34">
        <f>SUMIFS(SALE!$L$6:$L$10000,SALE!$A$6:$A$10000,#REF!,SALE!$H$6:$H$10000,$A$4:$A$220)</f>
        <v>0</v>
      </c>
      <c r="AO9" s="34">
        <f>SUMIFS(SALE!$M$6:$M$10000,SALE!$A$6:$A$10000,#REF!,SALE!$H$6:$H$10000,$A$4:$A$220)</f>
        <v>0</v>
      </c>
      <c r="AP9" s="74">
        <f>SUMIFS(SALE!$N$6:$N$10000,SALE!$A$6:$A$10000,#REF!,SALE!$H$6:$H$10000,$A$4:$A$220)</f>
        <v>0</v>
      </c>
      <c r="AQ9" s="989">
        <f t="shared" si="12"/>
        <v>0</v>
      </c>
      <c r="AR9" s="34">
        <f>SUMIFS(SALE!$K$6:$K$10000,SALE!$A$6:$A$10000,#REF!,SALE!$H$6:$H$10000,$A$4:$A$220)</f>
        <v>0</v>
      </c>
      <c r="AS9" s="34">
        <f>SUMIFS(SALE!$L$6:$L$10000,SALE!$A$6:$A$10000,#REF!,SALE!$H$6:$H$10000,$A$4:$A$220)</f>
        <v>0</v>
      </c>
      <c r="AT9" s="34">
        <f>SUMIFS(SALE!$M$6:$M$10000,SALE!$A$6:$A$10000,#REF!,SALE!$H$6:$H$10000,$A$4:$A$220)</f>
        <v>0</v>
      </c>
      <c r="AU9" s="990">
        <f>SUMIFS(SALE!$N$6:$N$10000,SALE!$A$6:$A$10000,#REF!,SALE!$H$6:$H$10000,$A$4:$A$220)</f>
        <v>0</v>
      </c>
      <c r="AV9" s="981">
        <f t="shared" si="13"/>
        <v>0</v>
      </c>
      <c r="AW9" s="34">
        <f>SUMIFS(SALE!$K$6:$K$10000,SALE!$A$6:$A$10000,#REF!,SALE!$H$6:$H$10000,$A$4:$A$220)</f>
        <v>0</v>
      </c>
      <c r="AX9" s="34">
        <f>SUMIFS(SALE!$L$6:$L$10000,SALE!$A$6:$A$10000,#REF!,SALE!$H$6:$H$10000,$A$4:$A$220)</f>
        <v>0</v>
      </c>
      <c r="AY9" s="34">
        <f>SUMIFS(SALE!$M$6:$M$10000,SALE!$A$6:$A$10000,#REF!,SALE!$H$6:$H$10000,$A$4:$A$220)</f>
        <v>0</v>
      </c>
      <c r="AZ9" s="74">
        <f>SUMIFS(SALE!$N$6:$N$10000,SALE!$A$6:$A$10000,#REF!,SALE!$H$6:$H$10000,$A$4:$A$220)</f>
        <v>0</v>
      </c>
      <c r="BA9" s="989">
        <f t="shared" si="14"/>
        <v>0</v>
      </c>
      <c r="BB9" s="34">
        <f>SUMIFS(SALE!$K$6:$K$10000,SALE!$A$6:$A$10000,#REF!,SALE!$H$6:$H$10000,$A$4:$A$220)</f>
        <v>0</v>
      </c>
      <c r="BC9" s="34">
        <f>SUMIFS(SALE!$L$6:$L$10000,SALE!$A$6:$A$10000,#REF!,SALE!$H$6:$H$10000,$A$4:$A$220)</f>
        <v>0</v>
      </c>
      <c r="BD9" s="34">
        <f>SUMIFS(SALE!$M$6:$M$10000,SALE!$A$6:$A$10000,#REF!,SALE!$H$6:$H$10000,$A$4:$A$220)</f>
        <v>0</v>
      </c>
      <c r="BE9" s="990">
        <f>SUMIFS(SALE!$N$6:$N$10000,SALE!$A$6:$A$10000,#REF!,SALE!$H$6:$H$10000,$A$4:$A$220)</f>
        <v>0</v>
      </c>
      <c r="BF9" s="989">
        <f t="shared" si="15"/>
        <v>0</v>
      </c>
      <c r="BG9" s="34">
        <f>SUMIFS(SALE!$K$6:$K$10000,SALE!$A$6:$A$10000,#REF!,SALE!$H$6:$H$10000,$A$4:$A$220)</f>
        <v>0</v>
      </c>
      <c r="BH9" s="34">
        <f>SUMIFS(SALE!$L$6:$L$10000,SALE!$A$6:$A$10000,#REF!,SALE!$H$6:$H$10000,$A$4:$A$220)</f>
        <v>0</v>
      </c>
      <c r="BI9" s="34">
        <f>SUMIFS(SALE!$M$6:$M$10000,SALE!$A$6:$A$10000,#REF!,SALE!$H$6:$H$10000,$A$4:$A$220)</f>
        <v>0</v>
      </c>
      <c r="BJ9" s="990">
        <f>SUMIFS(SALE!$N$6:$N$10000,SALE!$A$6:$A$10000,#REF!,SALE!$H$6:$H$10000,$A$4:$A$220)</f>
        <v>0</v>
      </c>
      <c r="BK9" s="11">
        <f t="shared" si="16"/>
        <v>0</v>
      </c>
      <c r="BL9" s="11">
        <f t="shared" si="17"/>
        <v>0</v>
      </c>
      <c r="BM9" s="11">
        <f t="shared" si="18"/>
        <v>0</v>
      </c>
      <c r="BN9" s="11">
        <f t="shared" si="19"/>
        <v>0</v>
      </c>
      <c r="BO9" s="11">
        <f t="shared" si="20"/>
        <v>0</v>
      </c>
    </row>
    <row r="10" spans="1:67" x14ac:dyDescent="0.2">
      <c r="A10" s="467">
        <v>85119000</v>
      </c>
      <c r="B10" s="557" t="s">
        <v>266</v>
      </c>
      <c r="C10" s="989">
        <f t="shared" si="4"/>
        <v>0</v>
      </c>
      <c r="D10" s="34">
        <f>SUMIFS(SALE!$K$6:$K$10000,SALE!$A$6:$A$10000,$C$2,SALE!$H$6:$H$10000,$A$4:$A$220)</f>
        <v>0</v>
      </c>
      <c r="E10" s="34">
        <f>SUMIFS(SALE!$L$6:$L$10000,SALE!$A$6:$A$10000,$C$2,SALE!$H$6:$H$10000,$A$4:$A$220)</f>
        <v>0</v>
      </c>
      <c r="F10" s="34">
        <f>SUMIFS(SALE!$M$6:$M$10000,SALE!$A$6:$A$10000,$C$2,SALE!$H$6:$H$10000,$A$4:$A$220)</f>
        <v>0</v>
      </c>
      <c r="G10" s="990">
        <f>SUMIFS(SALE!$N$6:$N$10000,SALE!$A$6:$A$10000,$C$2,SALE!$H$6:$H$10000,$A$4:$A$220)</f>
        <v>0</v>
      </c>
      <c r="H10" s="981">
        <f t="shared" si="5"/>
        <v>0</v>
      </c>
      <c r="I10" s="34">
        <f>SUMIFS(SALE!$K$6:$K$10000,SALE!$A$6:$A$10000,$H$2,SALE!$H$6:$H$10000,$A$4:$A$220)</f>
        <v>0</v>
      </c>
      <c r="J10" s="34">
        <f>SUMIFS(SALE!$L$6:$L$10000,SALE!$A$6:$A$10000,$H$2,SALE!$H$6:$H$10000,$A$4:$A$220)</f>
        <v>0</v>
      </c>
      <c r="K10" s="34">
        <f>SUMIFS(SALE!$M$6:$M$10000,SALE!$A$6:$A$10000,$H$2,SALE!$H$6:$H$10000,$A$4:$A$220)</f>
        <v>0</v>
      </c>
      <c r="L10" s="74">
        <f>SUMIFS(SALE!$N$6:$N$10000,SALE!$A$6:$A$10000,$H$2,SALE!$H$6:$H$10000,$A$4:$A$220)</f>
        <v>0</v>
      </c>
      <c r="M10" s="989">
        <f t="shared" si="6"/>
        <v>38354.688000000002</v>
      </c>
      <c r="N10" s="34">
        <f>SUMIFS(SALE!$K$6:$K$10000,SALE!$A$6:$A$10000,$M$2,SALE!$H$6:$H$10000,$A$4:$A$220)</f>
        <v>29964.6</v>
      </c>
      <c r="O10" s="34">
        <f>SUMIFS(SALE!$L$6:$L$10000,SALE!$A$6:$A$10000,$M$2,SALE!$H$6:$H$10000,$A$4:$A$220)</f>
        <v>0</v>
      </c>
      <c r="P10" s="34">
        <f>SUMIFS(SALE!$M$6:$M$10000,SALE!$A$6:$A$10000,$M$2,SALE!$H$6:$H$10000,$A$4:$A$220)</f>
        <v>4195.0439999999999</v>
      </c>
      <c r="Q10" s="990">
        <f>SUMIFS(SALE!$N$6:$N$10000,SALE!$A$6:$A$10000,$M$2,SALE!$H$6:$H$10000,$A$4:$A$220)</f>
        <v>4195.0439999999999</v>
      </c>
      <c r="R10" s="981">
        <f t="shared" si="7"/>
        <v>84948.531199999998</v>
      </c>
      <c r="S10" s="34">
        <f>SUMIFS(SALE!$K$6:$K$10000,SALE!$A$6:$A$10000,$R$2,SALE!$H$6:$H$10000,$A$4:$A$220)</f>
        <v>66366.040000000008</v>
      </c>
      <c r="T10" s="34">
        <f>SUMIFS(SALE!$L$6:$L$10000,SALE!$A$6:$A$10000,$R$2,SALE!$H$6:$H$10000,$A$4:$A$220)</f>
        <v>0</v>
      </c>
      <c r="U10" s="34">
        <f>SUMIFS(SALE!$M$6:$M$10000,SALE!$A$6:$A$10000,$R$2,SALE!$H$6:$H$10000,$A$4:$A$220)</f>
        <v>9291.245600000002</v>
      </c>
      <c r="V10" s="74">
        <f>SUMIFS(SALE!$N$6:$N$10000,SALE!$A$6:$A$10000,$R$2,SALE!$H$6:$H$10000,$A$4:$A$220)</f>
        <v>9291.245600000002</v>
      </c>
      <c r="W10" s="989">
        <f t="shared" si="8"/>
        <v>76709.376000000004</v>
      </c>
      <c r="X10" s="34">
        <f>SUMIFS(SALE!$K$6:$K$10000,SALE!$A$6:$A$10000,$W$2,SALE!$H$6:$H$10000,$A$4:$A$220)</f>
        <v>59929.2</v>
      </c>
      <c r="Y10" s="34">
        <f>SUMIFS(SALE!$L$6:$L$10000,SALE!$A$6:$A$10000,$W$2,SALE!$H$6:$H$10000,$A$4:$A$220)</f>
        <v>0</v>
      </c>
      <c r="Z10" s="34">
        <f>SUMIFS(SALE!$M$6:$M$10000,SALE!$A$6:$A$10000,$W$2,SALE!$H$6:$H$10000,$A$4:$A$220)</f>
        <v>8390.0879999999997</v>
      </c>
      <c r="AA10" s="990">
        <f>SUMIFS(SALE!$N$6:$N$10000,SALE!$A$6:$A$10000,$W$2,SALE!$H$6:$H$10000,$A$4:$A$220)</f>
        <v>8390.0879999999997</v>
      </c>
      <c r="AB10" s="981">
        <f t="shared" si="9"/>
        <v>76709.376000000004</v>
      </c>
      <c r="AC10" s="34">
        <f>SUMIFS(SALE!$K$6:$K$10000,SALE!$A$6:$A$10000,$AB$2,SALE!$H$6:$H$10000,$A$4:$A$220)</f>
        <v>59929.2</v>
      </c>
      <c r="AD10" s="34">
        <f>SUMIFS(SALE!$L$6:$L$10000,SALE!$A$6:$A$10000,$AB$2,SALE!$H$6:$H$10000,$A$4:$A$220)</f>
        <v>0</v>
      </c>
      <c r="AE10" s="34">
        <f>SUMIFS(SALE!$M$6:$M$10000,SALE!$A$6:$A$10000,$AB$2,SALE!$H$6:$H$10000,$A$4:$A$220)</f>
        <v>8390.0879999999997</v>
      </c>
      <c r="AF10" s="74">
        <f>SUMIFS(SALE!$N$6:$N$10000,SALE!$A$6:$A$10000,$AB$2,SALE!$H$6:$H$10000,$A$4:$A$220)</f>
        <v>8390.0879999999997</v>
      </c>
      <c r="AG10" s="989">
        <f t="shared" si="10"/>
        <v>0</v>
      </c>
      <c r="AH10" s="34">
        <f>SUMIFS(SALE!$K$6:$K$10000,SALE!$A$6:$A$10000,$AG$2,SALE!$H$6:$H$10000,$A$4:$A$220)</f>
        <v>0</v>
      </c>
      <c r="AI10" s="34">
        <f>SUMIFS(SALE!$L$6:$L$10000,SALE!$A$6:$A$10000,$AG$2,SALE!$H$6:$H$10000,$A$4:$A$220)</f>
        <v>0</v>
      </c>
      <c r="AJ10" s="34">
        <f>SUMIFS(SALE!$M$6:$M$10000,SALE!$A$6:$A$10000,$AG$2,SALE!$H$6:$H$10000,$A$4:$A$220)</f>
        <v>0</v>
      </c>
      <c r="AK10" s="990">
        <f>SUMIFS(SALE!$N$6:$N$10000,SALE!$A$6:$A$10000,$AG$2,SALE!$H$6:$H$10000,$A$4:$A$220)</f>
        <v>0</v>
      </c>
      <c r="AL10" s="981">
        <f t="shared" si="11"/>
        <v>0</v>
      </c>
      <c r="AM10" s="34">
        <f>SUMIFS(SALE!$K$6:$K$10000,SALE!$A$6:$A$10000,#REF!,SALE!$H$6:$H$10000,$A$4:$A$220)</f>
        <v>0</v>
      </c>
      <c r="AN10" s="34">
        <f>SUMIFS(SALE!$L$6:$L$10000,SALE!$A$6:$A$10000,#REF!,SALE!$H$6:$H$10000,$A$4:$A$220)</f>
        <v>0</v>
      </c>
      <c r="AO10" s="34">
        <f>SUMIFS(SALE!$M$6:$M$10000,SALE!$A$6:$A$10000,#REF!,SALE!$H$6:$H$10000,$A$4:$A$220)</f>
        <v>0</v>
      </c>
      <c r="AP10" s="74">
        <f>SUMIFS(SALE!$N$6:$N$10000,SALE!$A$6:$A$10000,#REF!,SALE!$H$6:$H$10000,$A$4:$A$220)</f>
        <v>0</v>
      </c>
      <c r="AQ10" s="989">
        <f t="shared" si="12"/>
        <v>0</v>
      </c>
      <c r="AR10" s="34">
        <f>SUMIFS(SALE!$K$6:$K$10000,SALE!$A$6:$A$10000,#REF!,SALE!$H$6:$H$10000,$A$4:$A$220)</f>
        <v>0</v>
      </c>
      <c r="AS10" s="34">
        <f>SUMIFS(SALE!$L$6:$L$10000,SALE!$A$6:$A$10000,#REF!,SALE!$H$6:$H$10000,$A$4:$A$220)</f>
        <v>0</v>
      </c>
      <c r="AT10" s="34">
        <f>SUMIFS(SALE!$M$6:$M$10000,SALE!$A$6:$A$10000,#REF!,SALE!$H$6:$H$10000,$A$4:$A$220)</f>
        <v>0</v>
      </c>
      <c r="AU10" s="990">
        <f>SUMIFS(SALE!$N$6:$N$10000,SALE!$A$6:$A$10000,#REF!,SALE!$H$6:$H$10000,$A$4:$A$220)</f>
        <v>0</v>
      </c>
      <c r="AV10" s="981">
        <f t="shared" si="13"/>
        <v>0</v>
      </c>
      <c r="AW10" s="34">
        <f>SUMIFS(SALE!$K$6:$K$10000,SALE!$A$6:$A$10000,#REF!,SALE!$H$6:$H$10000,$A$4:$A$220)</f>
        <v>0</v>
      </c>
      <c r="AX10" s="34">
        <f>SUMIFS(SALE!$L$6:$L$10000,SALE!$A$6:$A$10000,#REF!,SALE!$H$6:$H$10000,$A$4:$A$220)</f>
        <v>0</v>
      </c>
      <c r="AY10" s="34">
        <f>SUMIFS(SALE!$M$6:$M$10000,SALE!$A$6:$A$10000,#REF!,SALE!$H$6:$H$10000,$A$4:$A$220)</f>
        <v>0</v>
      </c>
      <c r="AZ10" s="74">
        <f>SUMIFS(SALE!$N$6:$N$10000,SALE!$A$6:$A$10000,#REF!,SALE!$H$6:$H$10000,$A$4:$A$220)</f>
        <v>0</v>
      </c>
      <c r="BA10" s="989">
        <f t="shared" si="14"/>
        <v>0</v>
      </c>
      <c r="BB10" s="34">
        <f>SUMIFS(SALE!$K$6:$K$10000,SALE!$A$6:$A$10000,#REF!,SALE!$H$6:$H$10000,$A$4:$A$220)</f>
        <v>0</v>
      </c>
      <c r="BC10" s="34">
        <f>SUMIFS(SALE!$L$6:$L$10000,SALE!$A$6:$A$10000,#REF!,SALE!$H$6:$H$10000,$A$4:$A$220)</f>
        <v>0</v>
      </c>
      <c r="BD10" s="34">
        <f>SUMIFS(SALE!$M$6:$M$10000,SALE!$A$6:$A$10000,#REF!,SALE!$H$6:$H$10000,$A$4:$A$220)</f>
        <v>0</v>
      </c>
      <c r="BE10" s="990">
        <f>SUMIFS(SALE!$N$6:$N$10000,SALE!$A$6:$A$10000,#REF!,SALE!$H$6:$H$10000,$A$4:$A$220)</f>
        <v>0</v>
      </c>
      <c r="BF10" s="989">
        <f t="shared" si="15"/>
        <v>0</v>
      </c>
      <c r="BG10" s="34">
        <f>SUMIFS(SALE!$K$6:$K$10000,SALE!$A$6:$A$10000,#REF!,SALE!$H$6:$H$10000,$A$4:$A$220)</f>
        <v>0</v>
      </c>
      <c r="BH10" s="34">
        <f>SUMIFS(SALE!$L$6:$L$10000,SALE!$A$6:$A$10000,#REF!,SALE!$H$6:$H$10000,$A$4:$A$220)</f>
        <v>0</v>
      </c>
      <c r="BI10" s="34">
        <f>SUMIFS(SALE!$M$6:$M$10000,SALE!$A$6:$A$10000,#REF!,SALE!$H$6:$H$10000,$A$4:$A$220)</f>
        <v>0</v>
      </c>
      <c r="BJ10" s="990">
        <f>SUMIFS(SALE!$N$6:$N$10000,SALE!$A$6:$A$10000,#REF!,SALE!$H$6:$H$10000,$A$4:$A$220)</f>
        <v>0</v>
      </c>
      <c r="BK10" s="11">
        <f t="shared" si="16"/>
        <v>276721.97119999997</v>
      </c>
      <c r="BL10" s="11">
        <f t="shared" si="17"/>
        <v>216189.04000000004</v>
      </c>
      <c r="BM10" s="11">
        <f t="shared" si="18"/>
        <v>0</v>
      </c>
      <c r="BN10" s="11">
        <f t="shared" si="19"/>
        <v>30266.4656</v>
      </c>
      <c r="BO10" s="11">
        <f t="shared" si="20"/>
        <v>30266.4656</v>
      </c>
    </row>
    <row r="11" spans="1:67" x14ac:dyDescent="0.2">
      <c r="A11" s="467">
        <v>85122010</v>
      </c>
      <c r="B11" s="500" t="s">
        <v>266</v>
      </c>
      <c r="C11" s="989">
        <f t="shared" si="4"/>
        <v>0</v>
      </c>
      <c r="D11" s="34">
        <f>SUMIFS(SALE!$K$6:$K$10000,SALE!$A$6:$A$10000,$C$2,SALE!$H$6:$H$10000,$A$4:$A$220)</f>
        <v>0</v>
      </c>
      <c r="E11" s="34">
        <f>SUMIFS(SALE!$L$6:$L$10000,SALE!$A$6:$A$10000,$C$2,SALE!$H$6:$H$10000,$A$4:$A$220)</f>
        <v>0</v>
      </c>
      <c r="F11" s="34">
        <f>SUMIFS(SALE!$M$6:$M$10000,SALE!$A$6:$A$10000,$C$2,SALE!$H$6:$H$10000,$A$4:$A$220)</f>
        <v>0</v>
      </c>
      <c r="G11" s="990">
        <f>SUMIFS(SALE!$N$6:$N$10000,SALE!$A$6:$A$10000,$C$2,SALE!$H$6:$H$10000,$A$4:$A$220)</f>
        <v>0</v>
      </c>
      <c r="H11" s="981">
        <f t="shared" si="5"/>
        <v>0</v>
      </c>
      <c r="I11" s="34">
        <f>SUMIFS(SALE!$K$6:$K$10000,SALE!$A$6:$A$10000,$H$2,SALE!$H$6:$H$10000,$A$4:$A$220)</f>
        <v>0</v>
      </c>
      <c r="J11" s="34">
        <f>SUMIFS(SALE!$L$6:$L$10000,SALE!$A$6:$A$10000,$H$2,SALE!$H$6:$H$10000,$A$4:$A$220)</f>
        <v>0</v>
      </c>
      <c r="K11" s="34">
        <f>SUMIFS(SALE!$M$6:$M$10000,SALE!$A$6:$A$10000,$H$2,SALE!$H$6:$H$10000,$A$4:$A$220)</f>
        <v>0</v>
      </c>
      <c r="L11" s="74">
        <f>SUMIFS(SALE!$N$6:$N$10000,SALE!$A$6:$A$10000,$H$2,SALE!$H$6:$H$10000,$A$4:$A$220)</f>
        <v>0</v>
      </c>
      <c r="M11" s="989">
        <f t="shared" si="6"/>
        <v>0</v>
      </c>
      <c r="N11" s="34">
        <f>SUMIFS(SALE!$K$6:$K$10000,SALE!$A$6:$A$10000,$M$2,SALE!$H$6:$H$10000,$A$4:$A$220)</f>
        <v>0</v>
      </c>
      <c r="O11" s="34">
        <f>SUMIFS(SALE!$L$6:$L$10000,SALE!$A$6:$A$10000,$M$2,SALE!$H$6:$H$10000,$A$4:$A$220)</f>
        <v>0</v>
      </c>
      <c r="P11" s="34">
        <f>SUMIFS(SALE!$M$6:$M$10000,SALE!$A$6:$A$10000,$M$2,SALE!$H$6:$H$10000,$A$4:$A$220)</f>
        <v>0</v>
      </c>
      <c r="Q11" s="990">
        <f>SUMIFS(SALE!$N$6:$N$10000,SALE!$A$6:$A$10000,$M$2,SALE!$H$6:$H$10000,$A$4:$A$220)</f>
        <v>0</v>
      </c>
      <c r="R11" s="981">
        <f t="shared" si="7"/>
        <v>0</v>
      </c>
      <c r="S11" s="34">
        <f>SUMIFS(SALE!$K$6:$K$10000,SALE!$A$6:$A$10000,$R$2,SALE!$H$6:$H$10000,$A$4:$A$220)</f>
        <v>0</v>
      </c>
      <c r="T11" s="34">
        <f>SUMIFS(SALE!$L$6:$L$10000,SALE!$A$6:$A$10000,$R$2,SALE!$H$6:$H$10000,$A$4:$A$220)</f>
        <v>0</v>
      </c>
      <c r="U11" s="34">
        <f>SUMIFS(SALE!$M$6:$M$10000,SALE!$A$6:$A$10000,$R$2,SALE!$H$6:$H$10000,$A$4:$A$220)</f>
        <v>0</v>
      </c>
      <c r="V11" s="74">
        <f>SUMIFS(SALE!$N$6:$N$10000,SALE!$A$6:$A$10000,$R$2,SALE!$H$6:$H$10000,$A$4:$A$220)</f>
        <v>0</v>
      </c>
      <c r="W11" s="989">
        <f t="shared" si="8"/>
        <v>0</v>
      </c>
      <c r="X11" s="34">
        <f>SUMIFS(SALE!$K$6:$K$10000,SALE!$A$6:$A$10000,$W$2,SALE!$H$6:$H$10000,$A$4:$A$220)</f>
        <v>0</v>
      </c>
      <c r="Y11" s="34">
        <f>SUMIFS(SALE!$L$6:$L$10000,SALE!$A$6:$A$10000,$W$2,SALE!$H$6:$H$10000,$A$4:$A$220)</f>
        <v>0</v>
      </c>
      <c r="Z11" s="34">
        <f>SUMIFS(SALE!$M$6:$M$10000,SALE!$A$6:$A$10000,$W$2,SALE!$H$6:$H$10000,$A$4:$A$220)</f>
        <v>0</v>
      </c>
      <c r="AA11" s="990">
        <f>SUMIFS(SALE!$N$6:$N$10000,SALE!$A$6:$A$10000,$W$2,SALE!$H$6:$H$10000,$A$4:$A$220)</f>
        <v>0</v>
      </c>
      <c r="AB11" s="981">
        <f t="shared" si="9"/>
        <v>0</v>
      </c>
      <c r="AC11" s="34">
        <f>SUMIFS(SALE!$K$6:$K$10000,SALE!$A$6:$A$10000,$AB$2,SALE!$H$6:$H$10000,$A$4:$A$220)</f>
        <v>0</v>
      </c>
      <c r="AD11" s="34">
        <f>SUMIFS(SALE!$L$6:$L$10000,SALE!$A$6:$A$10000,$AB$2,SALE!$H$6:$H$10000,$A$4:$A$220)</f>
        <v>0</v>
      </c>
      <c r="AE11" s="34">
        <f>SUMIFS(SALE!$M$6:$M$10000,SALE!$A$6:$A$10000,$AB$2,SALE!$H$6:$H$10000,$A$4:$A$220)</f>
        <v>0</v>
      </c>
      <c r="AF11" s="74">
        <f>SUMIFS(SALE!$N$6:$N$10000,SALE!$A$6:$A$10000,$AB$2,SALE!$H$6:$H$10000,$A$4:$A$220)</f>
        <v>0</v>
      </c>
      <c r="AG11" s="989">
        <f t="shared" si="10"/>
        <v>0</v>
      </c>
      <c r="AH11" s="34">
        <f>SUMIFS(SALE!$K$6:$K$10000,SALE!$A$6:$A$10000,$AG$2,SALE!$H$6:$H$10000,$A$4:$A$220)</f>
        <v>0</v>
      </c>
      <c r="AI11" s="34">
        <f>SUMIFS(SALE!$L$6:$L$10000,SALE!$A$6:$A$10000,$AG$2,SALE!$H$6:$H$10000,$A$4:$A$220)</f>
        <v>0</v>
      </c>
      <c r="AJ11" s="34">
        <f>SUMIFS(SALE!$M$6:$M$10000,SALE!$A$6:$A$10000,$AG$2,SALE!$H$6:$H$10000,$A$4:$A$220)</f>
        <v>0</v>
      </c>
      <c r="AK11" s="990">
        <f>SUMIFS(SALE!$N$6:$N$10000,SALE!$A$6:$A$10000,$AG$2,SALE!$H$6:$H$10000,$A$4:$A$220)</f>
        <v>0</v>
      </c>
      <c r="AL11" s="981">
        <f t="shared" si="11"/>
        <v>0</v>
      </c>
      <c r="AM11" s="34">
        <f>SUMIFS(SALE!$K$6:$K$10000,SALE!$A$6:$A$10000,#REF!,SALE!$H$6:$H$10000,$A$4:$A$220)</f>
        <v>0</v>
      </c>
      <c r="AN11" s="34">
        <f>SUMIFS(SALE!$L$6:$L$10000,SALE!$A$6:$A$10000,#REF!,SALE!$H$6:$H$10000,$A$4:$A$220)</f>
        <v>0</v>
      </c>
      <c r="AO11" s="34">
        <f>SUMIFS(SALE!$M$6:$M$10000,SALE!$A$6:$A$10000,#REF!,SALE!$H$6:$H$10000,$A$4:$A$220)</f>
        <v>0</v>
      </c>
      <c r="AP11" s="74">
        <f>SUMIFS(SALE!$N$6:$N$10000,SALE!$A$6:$A$10000,#REF!,SALE!$H$6:$H$10000,$A$4:$A$220)</f>
        <v>0</v>
      </c>
      <c r="AQ11" s="989">
        <f t="shared" si="12"/>
        <v>0</v>
      </c>
      <c r="AR11" s="34">
        <f>SUMIFS(SALE!$K$6:$K$10000,SALE!$A$6:$A$10000,#REF!,SALE!$H$6:$H$10000,$A$4:$A$220)</f>
        <v>0</v>
      </c>
      <c r="AS11" s="34">
        <f>SUMIFS(SALE!$L$6:$L$10000,SALE!$A$6:$A$10000,#REF!,SALE!$H$6:$H$10000,$A$4:$A$220)</f>
        <v>0</v>
      </c>
      <c r="AT11" s="34">
        <f>SUMIFS(SALE!$M$6:$M$10000,SALE!$A$6:$A$10000,#REF!,SALE!$H$6:$H$10000,$A$4:$A$220)</f>
        <v>0</v>
      </c>
      <c r="AU11" s="990">
        <f>SUMIFS(SALE!$N$6:$N$10000,SALE!$A$6:$A$10000,#REF!,SALE!$H$6:$H$10000,$A$4:$A$220)</f>
        <v>0</v>
      </c>
      <c r="AV11" s="981">
        <f t="shared" si="13"/>
        <v>0</v>
      </c>
      <c r="AW11" s="34">
        <f>SUMIFS(SALE!$K$6:$K$10000,SALE!$A$6:$A$10000,#REF!,SALE!$H$6:$H$10000,$A$4:$A$220)</f>
        <v>0</v>
      </c>
      <c r="AX11" s="34">
        <f>SUMIFS(SALE!$L$6:$L$10000,SALE!$A$6:$A$10000,#REF!,SALE!$H$6:$H$10000,$A$4:$A$220)</f>
        <v>0</v>
      </c>
      <c r="AY11" s="34">
        <f>SUMIFS(SALE!$M$6:$M$10000,SALE!$A$6:$A$10000,#REF!,SALE!$H$6:$H$10000,$A$4:$A$220)</f>
        <v>0</v>
      </c>
      <c r="AZ11" s="74">
        <f>SUMIFS(SALE!$N$6:$N$10000,SALE!$A$6:$A$10000,#REF!,SALE!$H$6:$H$10000,$A$4:$A$220)</f>
        <v>0</v>
      </c>
      <c r="BA11" s="989">
        <f t="shared" si="14"/>
        <v>0</v>
      </c>
      <c r="BB11" s="34">
        <f>SUMIFS(SALE!$K$6:$K$10000,SALE!$A$6:$A$10000,#REF!,SALE!$H$6:$H$10000,$A$4:$A$220)</f>
        <v>0</v>
      </c>
      <c r="BC11" s="34">
        <f>SUMIFS(SALE!$L$6:$L$10000,SALE!$A$6:$A$10000,#REF!,SALE!$H$6:$H$10000,$A$4:$A$220)</f>
        <v>0</v>
      </c>
      <c r="BD11" s="34">
        <f>SUMIFS(SALE!$M$6:$M$10000,SALE!$A$6:$A$10000,#REF!,SALE!$H$6:$H$10000,$A$4:$A$220)</f>
        <v>0</v>
      </c>
      <c r="BE11" s="990">
        <f>SUMIFS(SALE!$N$6:$N$10000,SALE!$A$6:$A$10000,#REF!,SALE!$H$6:$H$10000,$A$4:$A$220)</f>
        <v>0</v>
      </c>
      <c r="BF11" s="989">
        <f t="shared" si="15"/>
        <v>0</v>
      </c>
      <c r="BG11" s="34">
        <f>SUMIFS(SALE!$K$6:$K$10000,SALE!$A$6:$A$10000,#REF!,SALE!$H$6:$H$10000,$A$4:$A$220)</f>
        <v>0</v>
      </c>
      <c r="BH11" s="34">
        <f>SUMIFS(SALE!$L$6:$L$10000,SALE!$A$6:$A$10000,#REF!,SALE!$H$6:$H$10000,$A$4:$A$220)</f>
        <v>0</v>
      </c>
      <c r="BI11" s="34">
        <f>SUMIFS(SALE!$M$6:$M$10000,SALE!$A$6:$A$10000,#REF!,SALE!$H$6:$H$10000,$A$4:$A$220)</f>
        <v>0</v>
      </c>
      <c r="BJ11" s="990">
        <f>SUMIFS(SALE!$N$6:$N$10000,SALE!$A$6:$A$10000,#REF!,SALE!$H$6:$H$10000,$A$4:$A$220)</f>
        <v>0</v>
      </c>
      <c r="BK11" s="11">
        <f t="shared" si="16"/>
        <v>0</v>
      </c>
      <c r="BL11" s="11">
        <f t="shared" si="17"/>
        <v>0</v>
      </c>
      <c r="BM11" s="11">
        <f t="shared" si="18"/>
        <v>0</v>
      </c>
      <c r="BN11" s="11">
        <f t="shared" si="19"/>
        <v>0</v>
      </c>
      <c r="BO11" s="11">
        <f t="shared" si="20"/>
        <v>0</v>
      </c>
    </row>
    <row r="12" spans="1:67" x14ac:dyDescent="0.2">
      <c r="A12" s="467">
        <v>85129000</v>
      </c>
      <c r="B12" s="500" t="s">
        <v>266</v>
      </c>
      <c r="C12" s="989">
        <f t="shared" si="4"/>
        <v>514511.88360000006</v>
      </c>
      <c r="D12" s="34">
        <f>SUMIFS(SALE!$K$6:$K$10000,SALE!$A$6:$A$10000,$C$2,SALE!$H$6:$H$10000,$A$4:$A$220)</f>
        <v>436027.02</v>
      </c>
      <c r="E12" s="34">
        <f>SUMIFS(SALE!$L$6:$L$10000,SALE!$A$6:$A$10000,$C$2,SALE!$H$6:$H$10000,$A$4:$A$220)</f>
        <v>0</v>
      </c>
      <c r="F12" s="34">
        <f>SUMIFS(SALE!$M$6:$M$10000,SALE!$A$6:$A$10000,$C$2,SALE!$H$6:$H$10000,$A$4:$A$220)</f>
        <v>39242.431800000006</v>
      </c>
      <c r="G12" s="990">
        <f>SUMIFS(SALE!$N$6:$N$10000,SALE!$A$6:$A$10000,$C$2,SALE!$H$6:$H$10000,$A$4:$A$220)</f>
        <v>39242.431800000006</v>
      </c>
      <c r="H12" s="981">
        <f t="shared" si="5"/>
        <v>1562532.5651999998</v>
      </c>
      <c r="I12" s="34">
        <f>SUMIFS(SALE!$K$6:$K$10000,SALE!$A$6:$A$10000,$H$2,SALE!$H$6:$H$10000,$A$4:$A$220)</f>
        <v>1324180.1399999999</v>
      </c>
      <c r="J12" s="34">
        <f>SUMIFS(SALE!$L$6:$L$10000,SALE!$A$6:$A$10000,$H$2,SALE!$H$6:$H$10000,$A$4:$A$220)</f>
        <v>0</v>
      </c>
      <c r="K12" s="34">
        <f>SUMIFS(SALE!$M$6:$M$10000,SALE!$A$6:$A$10000,$H$2,SALE!$H$6:$H$10000,$A$4:$A$220)</f>
        <v>119176.2126</v>
      </c>
      <c r="L12" s="74">
        <f>SUMIFS(SALE!$N$6:$N$10000,SALE!$A$6:$A$10000,$H$2,SALE!$H$6:$H$10000,$A$4:$A$220)</f>
        <v>119176.2126</v>
      </c>
      <c r="M12" s="989">
        <f t="shared" si="6"/>
        <v>1955007.1614000003</v>
      </c>
      <c r="N12" s="34">
        <f>SUMIFS(SALE!$K$6:$K$10000,SALE!$A$6:$A$10000,$M$2,SALE!$H$6:$H$10000,$A$4:$A$220)</f>
        <v>1656785.7300000002</v>
      </c>
      <c r="O12" s="34">
        <f>SUMIFS(SALE!$L$6:$L$10000,SALE!$A$6:$A$10000,$M$2,SALE!$H$6:$H$10000,$A$4:$A$220)</f>
        <v>0</v>
      </c>
      <c r="P12" s="34">
        <f>SUMIFS(SALE!$M$6:$M$10000,SALE!$A$6:$A$10000,$M$2,SALE!$H$6:$H$10000,$A$4:$A$220)</f>
        <v>149110.71569999997</v>
      </c>
      <c r="Q12" s="990">
        <f>SUMIFS(SALE!$N$6:$N$10000,SALE!$A$6:$A$10000,$M$2,SALE!$H$6:$H$10000,$A$4:$A$220)</f>
        <v>149110.71569999997</v>
      </c>
      <c r="R12" s="981">
        <f t="shared" si="7"/>
        <v>2055497.6015999999</v>
      </c>
      <c r="S12" s="34">
        <f>SUMIFS(SALE!$K$6:$K$10000,SALE!$A$6:$A$10000,$R$2,SALE!$H$6:$H$10000,$A$4:$A$220)</f>
        <v>1741947.1199999999</v>
      </c>
      <c r="T12" s="34">
        <f>SUMIFS(SALE!$L$6:$L$10000,SALE!$A$6:$A$10000,$R$2,SALE!$H$6:$H$10000,$A$4:$A$220)</f>
        <v>0</v>
      </c>
      <c r="U12" s="34">
        <f>SUMIFS(SALE!$M$6:$M$10000,SALE!$A$6:$A$10000,$R$2,SALE!$H$6:$H$10000,$A$4:$A$220)</f>
        <v>156775.24080000003</v>
      </c>
      <c r="V12" s="74">
        <f>SUMIFS(SALE!$N$6:$N$10000,SALE!$A$6:$A$10000,$R$2,SALE!$H$6:$H$10000,$A$4:$A$220)</f>
        <v>156775.24080000003</v>
      </c>
      <c r="W12" s="989">
        <f t="shared" si="8"/>
        <v>1354848.8363999997</v>
      </c>
      <c r="X12" s="34">
        <f>SUMIFS(SALE!$K$6:$K$10000,SALE!$A$6:$A$10000,$W$2,SALE!$H$6:$H$10000,$A$4:$A$220)</f>
        <v>1148176.9799999997</v>
      </c>
      <c r="Y12" s="34">
        <f>SUMIFS(SALE!$L$6:$L$10000,SALE!$A$6:$A$10000,$W$2,SALE!$H$6:$H$10000,$A$4:$A$220)</f>
        <v>0</v>
      </c>
      <c r="Z12" s="34">
        <f>SUMIFS(SALE!$M$6:$M$10000,SALE!$A$6:$A$10000,$W$2,SALE!$H$6:$H$10000,$A$4:$A$220)</f>
        <v>103335.92820000001</v>
      </c>
      <c r="AA12" s="990">
        <f>SUMIFS(SALE!$N$6:$N$10000,SALE!$A$6:$A$10000,$W$2,SALE!$H$6:$H$10000,$A$4:$A$220)</f>
        <v>103335.92820000001</v>
      </c>
      <c r="AB12" s="981">
        <f t="shared" si="9"/>
        <v>1041075.6228</v>
      </c>
      <c r="AC12" s="34">
        <f>SUMIFS(SALE!$K$6:$K$10000,SALE!$A$6:$A$10000,$AB$2,SALE!$H$6:$H$10000,$A$4:$A$220)</f>
        <v>882267.46</v>
      </c>
      <c r="AD12" s="34">
        <f>SUMIFS(SALE!$L$6:$L$10000,SALE!$A$6:$A$10000,$AB$2,SALE!$H$6:$H$10000,$A$4:$A$220)</f>
        <v>0</v>
      </c>
      <c r="AE12" s="34">
        <f>SUMIFS(SALE!$M$6:$M$10000,SALE!$A$6:$A$10000,$AB$2,SALE!$H$6:$H$10000,$A$4:$A$220)</f>
        <v>79404.081400000025</v>
      </c>
      <c r="AF12" s="74">
        <f>SUMIFS(SALE!$N$6:$N$10000,SALE!$A$6:$A$10000,$AB$2,SALE!$H$6:$H$10000,$A$4:$A$220)</f>
        <v>79404.081400000025</v>
      </c>
      <c r="AG12" s="989">
        <f t="shared" si="10"/>
        <v>1742378.3003999998</v>
      </c>
      <c r="AH12" s="34">
        <f>SUMIFS(SALE!$K$6:$K$10000,SALE!$A$6:$A$10000,$AG$2,SALE!$H$6:$H$10000,$A$4:$A$220)</f>
        <v>1476591.78</v>
      </c>
      <c r="AI12" s="34">
        <f>SUMIFS(SALE!$L$6:$L$10000,SALE!$A$6:$A$10000,$AG$2,SALE!$H$6:$H$10000,$A$4:$A$220)</f>
        <v>0</v>
      </c>
      <c r="AJ12" s="34">
        <f>SUMIFS(SALE!$M$6:$M$10000,SALE!$A$6:$A$10000,$AG$2,SALE!$H$6:$H$10000,$A$4:$A$220)</f>
        <v>132893.26019999999</v>
      </c>
      <c r="AK12" s="990">
        <f>SUMIFS(SALE!$N$6:$N$10000,SALE!$A$6:$A$10000,$AG$2,SALE!$H$6:$H$10000,$A$4:$A$220)</f>
        <v>132893.26019999999</v>
      </c>
      <c r="AL12" s="981">
        <f t="shared" si="11"/>
        <v>0</v>
      </c>
      <c r="AM12" s="34">
        <f>SUMIFS(SALE!$K$6:$K$10000,SALE!$A$6:$A$10000,#REF!,SALE!$H$6:$H$10000,$A$4:$A$220)</f>
        <v>0</v>
      </c>
      <c r="AN12" s="34">
        <f>SUMIFS(SALE!$L$6:$L$10000,SALE!$A$6:$A$10000,#REF!,SALE!$H$6:$H$10000,$A$4:$A$220)</f>
        <v>0</v>
      </c>
      <c r="AO12" s="34">
        <f>SUMIFS(SALE!$M$6:$M$10000,SALE!$A$6:$A$10000,#REF!,SALE!$H$6:$H$10000,$A$4:$A$220)</f>
        <v>0</v>
      </c>
      <c r="AP12" s="74">
        <f>SUMIFS(SALE!$N$6:$N$10000,SALE!$A$6:$A$10000,#REF!,SALE!$H$6:$H$10000,$A$4:$A$220)</f>
        <v>0</v>
      </c>
      <c r="AQ12" s="989">
        <f t="shared" si="12"/>
        <v>0</v>
      </c>
      <c r="AR12" s="34">
        <f>SUMIFS(SALE!$K$6:$K$10000,SALE!$A$6:$A$10000,#REF!,SALE!$H$6:$H$10000,$A$4:$A$220)</f>
        <v>0</v>
      </c>
      <c r="AS12" s="34">
        <f>SUMIFS(SALE!$L$6:$L$10000,SALE!$A$6:$A$10000,#REF!,SALE!$H$6:$H$10000,$A$4:$A$220)</f>
        <v>0</v>
      </c>
      <c r="AT12" s="34">
        <f>SUMIFS(SALE!$M$6:$M$10000,SALE!$A$6:$A$10000,#REF!,SALE!$H$6:$H$10000,$A$4:$A$220)</f>
        <v>0</v>
      </c>
      <c r="AU12" s="990">
        <f>SUMIFS(SALE!$N$6:$N$10000,SALE!$A$6:$A$10000,#REF!,SALE!$H$6:$H$10000,$A$4:$A$220)</f>
        <v>0</v>
      </c>
      <c r="AV12" s="981">
        <f t="shared" si="13"/>
        <v>0</v>
      </c>
      <c r="AW12" s="34">
        <f>SUMIFS(SALE!$K$6:$K$10000,SALE!$A$6:$A$10000,#REF!,SALE!$H$6:$H$10000,$A$4:$A$220)</f>
        <v>0</v>
      </c>
      <c r="AX12" s="34">
        <f>SUMIFS(SALE!$L$6:$L$10000,SALE!$A$6:$A$10000,#REF!,SALE!$H$6:$H$10000,$A$4:$A$220)</f>
        <v>0</v>
      </c>
      <c r="AY12" s="34">
        <f>SUMIFS(SALE!$M$6:$M$10000,SALE!$A$6:$A$10000,#REF!,SALE!$H$6:$H$10000,$A$4:$A$220)</f>
        <v>0</v>
      </c>
      <c r="AZ12" s="74">
        <f>SUMIFS(SALE!$N$6:$N$10000,SALE!$A$6:$A$10000,#REF!,SALE!$H$6:$H$10000,$A$4:$A$220)</f>
        <v>0</v>
      </c>
      <c r="BA12" s="989">
        <f t="shared" si="14"/>
        <v>0</v>
      </c>
      <c r="BB12" s="34">
        <f>SUMIFS(SALE!$K$6:$K$10000,SALE!$A$6:$A$10000,#REF!,SALE!$H$6:$H$10000,$A$4:$A$220)</f>
        <v>0</v>
      </c>
      <c r="BC12" s="34">
        <f>SUMIFS(SALE!$L$6:$L$10000,SALE!$A$6:$A$10000,#REF!,SALE!$H$6:$H$10000,$A$4:$A$220)</f>
        <v>0</v>
      </c>
      <c r="BD12" s="34">
        <f>SUMIFS(SALE!$M$6:$M$10000,SALE!$A$6:$A$10000,#REF!,SALE!$H$6:$H$10000,$A$4:$A$220)</f>
        <v>0</v>
      </c>
      <c r="BE12" s="990">
        <f>SUMIFS(SALE!$N$6:$N$10000,SALE!$A$6:$A$10000,#REF!,SALE!$H$6:$H$10000,$A$4:$A$220)</f>
        <v>0</v>
      </c>
      <c r="BF12" s="989">
        <f t="shared" si="15"/>
        <v>0</v>
      </c>
      <c r="BG12" s="34">
        <f>SUMIFS(SALE!$K$6:$K$10000,SALE!$A$6:$A$10000,#REF!,SALE!$H$6:$H$10000,$A$4:$A$220)</f>
        <v>0</v>
      </c>
      <c r="BH12" s="34">
        <f>SUMIFS(SALE!$L$6:$L$10000,SALE!$A$6:$A$10000,#REF!,SALE!$H$6:$H$10000,$A$4:$A$220)</f>
        <v>0</v>
      </c>
      <c r="BI12" s="34">
        <f>SUMIFS(SALE!$M$6:$M$10000,SALE!$A$6:$A$10000,#REF!,SALE!$H$6:$H$10000,$A$4:$A$220)</f>
        <v>0</v>
      </c>
      <c r="BJ12" s="990">
        <f>SUMIFS(SALE!$N$6:$N$10000,SALE!$A$6:$A$10000,#REF!,SALE!$H$6:$H$10000,$A$4:$A$220)</f>
        <v>0</v>
      </c>
      <c r="BK12" s="11">
        <f t="shared" si="16"/>
        <v>10225851.9714</v>
      </c>
      <c r="BL12" s="11">
        <f t="shared" si="17"/>
        <v>8665976.2299999986</v>
      </c>
      <c r="BM12" s="11">
        <f t="shared" si="18"/>
        <v>0</v>
      </c>
      <c r="BN12" s="11">
        <f t="shared" si="19"/>
        <v>779937.87069999997</v>
      </c>
      <c r="BO12" s="11">
        <f t="shared" si="20"/>
        <v>779937.87069999997</v>
      </c>
    </row>
    <row r="13" spans="1:67" x14ac:dyDescent="0.2">
      <c r="A13" s="467">
        <v>85441920</v>
      </c>
      <c r="B13" s="557" t="s">
        <v>266</v>
      </c>
      <c r="C13" s="989">
        <f t="shared" si="4"/>
        <v>23342.760000000002</v>
      </c>
      <c r="D13" s="34">
        <f>SUMIFS(SALE!$K$6:$K$10000,SALE!$A$6:$A$10000,$C$2,SALE!$H$6:$H$10000,$A$4:$A$220)</f>
        <v>19782</v>
      </c>
      <c r="E13" s="34">
        <f>SUMIFS(SALE!$L$6:$L$10000,SALE!$A$6:$A$10000,$C$2,SALE!$H$6:$H$10000,$A$4:$A$220)</f>
        <v>0</v>
      </c>
      <c r="F13" s="34">
        <f>SUMIFS(SALE!$M$6:$M$10000,SALE!$A$6:$A$10000,$C$2,SALE!$H$6:$H$10000,$A$4:$A$220)</f>
        <v>1780.3799999999999</v>
      </c>
      <c r="G13" s="990">
        <f>SUMIFS(SALE!$N$6:$N$10000,SALE!$A$6:$A$10000,$C$2,SALE!$H$6:$H$10000,$A$4:$A$220)</f>
        <v>1780.3799999999999</v>
      </c>
      <c r="H13" s="981">
        <f t="shared" si="5"/>
        <v>0</v>
      </c>
      <c r="I13" s="34">
        <f>SUMIFS(SALE!$K$6:$K$10000,SALE!$A$6:$A$10000,$H$2,SALE!$H$6:$H$10000,$A$4:$A$220)</f>
        <v>0</v>
      </c>
      <c r="J13" s="34">
        <f>SUMIFS(SALE!$L$6:$L$10000,SALE!$A$6:$A$10000,$H$2,SALE!$H$6:$H$10000,$A$4:$A$220)</f>
        <v>0</v>
      </c>
      <c r="K13" s="34">
        <f>SUMIFS(SALE!$M$6:$M$10000,SALE!$A$6:$A$10000,$H$2,SALE!$H$6:$H$10000,$A$4:$A$220)</f>
        <v>0</v>
      </c>
      <c r="L13" s="74">
        <f>SUMIFS(SALE!$N$6:$N$10000,SALE!$A$6:$A$10000,$H$2,SALE!$H$6:$H$10000,$A$4:$A$220)</f>
        <v>0</v>
      </c>
      <c r="M13" s="989">
        <f t="shared" si="6"/>
        <v>0</v>
      </c>
      <c r="N13" s="34">
        <f>SUMIFS(SALE!$K$6:$K$10000,SALE!$A$6:$A$10000,$M$2,SALE!$H$6:$H$10000,$A$4:$A$220)</f>
        <v>0</v>
      </c>
      <c r="O13" s="34">
        <f>SUMIFS(SALE!$L$6:$L$10000,SALE!$A$6:$A$10000,$M$2,SALE!$H$6:$H$10000,$A$4:$A$220)</f>
        <v>0</v>
      </c>
      <c r="P13" s="34">
        <f>SUMIFS(SALE!$M$6:$M$10000,SALE!$A$6:$A$10000,$M$2,SALE!$H$6:$H$10000,$A$4:$A$220)</f>
        <v>0</v>
      </c>
      <c r="Q13" s="990">
        <f>SUMIFS(SALE!$N$6:$N$10000,SALE!$A$6:$A$10000,$M$2,SALE!$H$6:$H$10000,$A$4:$A$220)</f>
        <v>0</v>
      </c>
      <c r="R13" s="981">
        <f t="shared" si="7"/>
        <v>0</v>
      </c>
      <c r="S13" s="34">
        <f>SUMIFS(SALE!$K$6:$K$10000,SALE!$A$6:$A$10000,$R$2,SALE!$H$6:$H$10000,$A$4:$A$220)</f>
        <v>0</v>
      </c>
      <c r="T13" s="34">
        <f>SUMIFS(SALE!$L$6:$L$10000,SALE!$A$6:$A$10000,$R$2,SALE!$H$6:$H$10000,$A$4:$A$220)</f>
        <v>0</v>
      </c>
      <c r="U13" s="34">
        <f>SUMIFS(SALE!$M$6:$M$10000,SALE!$A$6:$A$10000,$R$2,SALE!$H$6:$H$10000,$A$4:$A$220)</f>
        <v>0</v>
      </c>
      <c r="V13" s="74">
        <f>SUMIFS(SALE!$N$6:$N$10000,SALE!$A$6:$A$10000,$R$2,SALE!$H$6:$H$10000,$A$4:$A$220)</f>
        <v>0</v>
      </c>
      <c r="W13" s="989">
        <f t="shared" si="8"/>
        <v>0</v>
      </c>
      <c r="X13" s="34">
        <f>SUMIFS(SALE!$K$6:$K$10000,SALE!$A$6:$A$10000,$W$2,SALE!$H$6:$H$10000,$A$4:$A$220)</f>
        <v>0</v>
      </c>
      <c r="Y13" s="34">
        <f>SUMIFS(SALE!$L$6:$L$10000,SALE!$A$6:$A$10000,$W$2,SALE!$H$6:$H$10000,$A$4:$A$220)</f>
        <v>0</v>
      </c>
      <c r="Z13" s="34">
        <f>SUMIFS(SALE!$M$6:$M$10000,SALE!$A$6:$A$10000,$W$2,SALE!$H$6:$H$10000,$A$4:$A$220)</f>
        <v>0</v>
      </c>
      <c r="AA13" s="990">
        <f>SUMIFS(SALE!$N$6:$N$10000,SALE!$A$6:$A$10000,$W$2,SALE!$H$6:$H$10000,$A$4:$A$220)</f>
        <v>0</v>
      </c>
      <c r="AB13" s="981">
        <f t="shared" si="9"/>
        <v>0</v>
      </c>
      <c r="AC13" s="34">
        <f>SUMIFS(SALE!$K$6:$K$10000,SALE!$A$6:$A$10000,$AB$2,SALE!$H$6:$H$10000,$A$4:$A$220)</f>
        <v>0</v>
      </c>
      <c r="AD13" s="34">
        <f>SUMIFS(SALE!$L$6:$L$10000,SALE!$A$6:$A$10000,$AB$2,SALE!$H$6:$H$10000,$A$4:$A$220)</f>
        <v>0</v>
      </c>
      <c r="AE13" s="34">
        <f>SUMIFS(SALE!$M$6:$M$10000,SALE!$A$6:$A$10000,$AB$2,SALE!$H$6:$H$10000,$A$4:$A$220)</f>
        <v>0</v>
      </c>
      <c r="AF13" s="74">
        <f>SUMIFS(SALE!$N$6:$N$10000,SALE!$A$6:$A$10000,$AB$2,SALE!$H$6:$H$10000,$A$4:$A$220)</f>
        <v>0</v>
      </c>
      <c r="AG13" s="989">
        <f t="shared" si="10"/>
        <v>0</v>
      </c>
      <c r="AH13" s="34">
        <f>SUMIFS(SALE!$K$6:$K$10000,SALE!$A$6:$A$10000,$AG$2,SALE!$H$6:$H$10000,$A$4:$A$220)</f>
        <v>0</v>
      </c>
      <c r="AI13" s="34">
        <f>SUMIFS(SALE!$L$6:$L$10000,SALE!$A$6:$A$10000,$AG$2,SALE!$H$6:$H$10000,$A$4:$A$220)</f>
        <v>0</v>
      </c>
      <c r="AJ13" s="34">
        <f>SUMIFS(SALE!$M$6:$M$10000,SALE!$A$6:$A$10000,$AG$2,SALE!$H$6:$H$10000,$A$4:$A$220)</f>
        <v>0</v>
      </c>
      <c r="AK13" s="990">
        <f>SUMIFS(SALE!$N$6:$N$10000,SALE!$A$6:$A$10000,$AG$2,SALE!$H$6:$H$10000,$A$4:$A$220)</f>
        <v>0</v>
      </c>
      <c r="AL13" s="981">
        <f t="shared" si="11"/>
        <v>0</v>
      </c>
      <c r="AM13" s="34">
        <f>SUMIFS(SALE!$K$6:$K$10000,SALE!$A$6:$A$10000,#REF!,SALE!$H$6:$H$10000,$A$4:$A$220)</f>
        <v>0</v>
      </c>
      <c r="AN13" s="34">
        <f>SUMIFS(SALE!$L$6:$L$10000,SALE!$A$6:$A$10000,#REF!,SALE!$H$6:$H$10000,$A$4:$A$220)</f>
        <v>0</v>
      </c>
      <c r="AO13" s="34">
        <f>SUMIFS(SALE!$M$6:$M$10000,SALE!$A$6:$A$10000,#REF!,SALE!$H$6:$H$10000,$A$4:$A$220)</f>
        <v>0</v>
      </c>
      <c r="AP13" s="74">
        <f>SUMIFS(SALE!$N$6:$N$10000,SALE!$A$6:$A$10000,#REF!,SALE!$H$6:$H$10000,$A$4:$A$220)</f>
        <v>0</v>
      </c>
      <c r="AQ13" s="989">
        <f t="shared" si="12"/>
        <v>0</v>
      </c>
      <c r="AR13" s="34">
        <f>SUMIFS(SALE!$K$6:$K$10000,SALE!$A$6:$A$10000,#REF!,SALE!$H$6:$H$10000,$A$4:$A$220)</f>
        <v>0</v>
      </c>
      <c r="AS13" s="34">
        <f>SUMIFS(SALE!$L$6:$L$10000,SALE!$A$6:$A$10000,#REF!,SALE!$H$6:$H$10000,$A$4:$A$220)</f>
        <v>0</v>
      </c>
      <c r="AT13" s="34">
        <f>SUMIFS(SALE!$M$6:$M$10000,SALE!$A$6:$A$10000,#REF!,SALE!$H$6:$H$10000,$A$4:$A$220)</f>
        <v>0</v>
      </c>
      <c r="AU13" s="990">
        <f>SUMIFS(SALE!$N$6:$N$10000,SALE!$A$6:$A$10000,#REF!,SALE!$H$6:$H$10000,$A$4:$A$220)</f>
        <v>0</v>
      </c>
      <c r="AV13" s="981">
        <f t="shared" si="13"/>
        <v>0</v>
      </c>
      <c r="AW13" s="34">
        <f>SUMIFS(SALE!$K$6:$K$10000,SALE!$A$6:$A$10000,#REF!,SALE!$H$6:$H$10000,$A$4:$A$220)</f>
        <v>0</v>
      </c>
      <c r="AX13" s="34">
        <f>SUMIFS(SALE!$L$6:$L$10000,SALE!$A$6:$A$10000,#REF!,SALE!$H$6:$H$10000,$A$4:$A$220)</f>
        <v>0</v>
      </c>
      <c r="AY13" s="34">
        <f>SUMIFS(SALE!$M$6:$M$10000,SALE!$A$6:$A$10000,#REF!,SALE!$H$6:$H$10000,$A$4:$A$220)</f>
        <v>0</v>
      </c>
      <c r="AZ13" s="74">
        <f>SUMIFS(SALE!$N$6:$N$10000,SALE!$A$6:$A$10000,#REF!,SALE!$H$6:$H$10000,$A$4:$A$220)</f>
        <v>0</v>
      </c>
      <c r="BA13" s="989">
        <f t="shared" si="14"/>
        <v>0</v>
      </c>
      <c r="BB13" s="34">
        <f>SUMIFS(SALE!$K$6:$K$10000,SALE!$A$6:$A$10000,#REF!,SALE!$H$6:$H$10000,$A$4:$A$220)</f>
        <v>0</v>
      </c>
      <c r="BC13" s="34">
        <f>SUMIFS(SALE!$L$6:$L$10000,SALE!$A$6:$A$10000,#REF!,SALE!$H$6:$H$10000,$A$4:$A$220)</f>
        <v>0</v>
      </c>
      <c r="BD13" s="34">
        <f>SUMIFS(SALE!$M$6:$M$10000,SALE!$A$6:$A$10000,#REF!,SALE!$H$6:$H$10000,$A$4:$A$220)</f>
        <v>0</v>
      </c>
      <c r="BE13" s="990">
        <f>SUMIFS(SALE!$N$6:$N$10000,SALE!$A$6:$A$10000,#REF!,SALE!$H$6:$H$10000,$A$4:$A$220)</f>
        <v>0</v>
      </c>
      <c r="BF13" s="989">
        <f t="shared" si="15"/>
        <v>0</v>
      </c>
      <c r="BG13" s="34">
        <f>SUMIFS(SALE!$K$6:$K$10000,SALE!$A$6:$A$10000,#REF!,SALE!$H$6:$H$10000,$A$4:$A$220)</f>
        <v>0</v>
      </c>
      <c r="BH13" s="34">
        <f>SUMIFS(SALE!$L$6:$L$10000,SALE!$A$6:$A$10000,#REF!,SALE!$H$6:$H$10000,$A$4:$A$220)</f>
        <v>0</v>
      </c>
      <c r="BI13" s="34">
        <f>SUMIFS(SALE!$M$6:$M$10000,SALE!$A$6:$A$10000,#REF!,SALE!$H$6:$H$10000,$A$4:$A$220)</f>
        <v>0</v>
      </c>
      <c r="BJ13" s="990">
        <f>SUMIFS(SALE!$N$6:$N$10000,SALE!$A$6:$A$10000,#REF!,SALE!$H$6:$H$10000,$A$4:$A$220)</f>
        <v>0</v>
      </c>
      <c r="BK13" s="11">
        <f t="shared" si="16"/>
        <v>23342.760000000002</v>
      </c>
      <c r="BL13" s="11">
        <f t="shared" si="17"/>
        <v>19782</v>
      </c>
      <c r="BM13" s="11">
        <f t="shared" si="18"/>
        <v>0</v>
      </c>
      <c r="BN13" s="11">
        <f t="shared" si="19"/>
        <v>1780.3799999999999</v>
      </c>
      <c r="BO13" s="11">
        <f t="shared" si="20"/>
        <v>1780.3799999999999</v>
      </c>
    </row>
    <row r="14" spans="1:67" x14ac:dyDescent="0.2">
      <c r="A14" s="467">
        <v>87081090</v>
      </c>
      <c r="B14" s="500" t="s">
        <v>266</v>
      </c>
      <c r="C14" s="989">
        <f t="shared" si="4"/>
        <v>1398415.4367999998</v>
      </c>
      <c r="D14" s="34">
        <f>SUMIFS(SALE!$K$6:$K$10000,SALE!$A$6:$A$10000,$C$2,SALE!$H$6:$H$10000,$A$4:$A$220)</f>
        <v>1092512.0599999998</v>
      </c>
      <c r="E14" s="34">
        <f>SUMIFS(SALE!$L$6:$L$10000,SALE!$A$6:$A$10000,$C$2,SALE!$H$6:$H$10000,$A$4:$A$220)</f>
        <v>34940.68759999999</v>
      </c>
      <c r="F14" s="34">
        <f>SUMIFS(SALE!$M$6:$M$10000,SALE!$A$6:$A$10000,$C$2,SALE!$H$6:$H$10000,$A$4:$A$220)</f>
        <v>135481.34460000001</v>
      </c>
      <c r="G14" s="990">
        <f>SUMIFS(SALE!$N$6:$N$10000,SALE!$A$6:$A$10000,$C$2,SALE!$H$6:$H$10000,$A$4:$A$220)</f>
        <v>135481.34460000001</v>
      </c>
      <c r="H14" s="981">
        <f t="shared" si="5"/>
        <v>221840.55040000004</v>
      </c>
      <c r="I14" s="34">
        <f>SUMIFS(SALE!$K$6:$K$10000,SALE!$A$6:$A$10000,$H$2,SALE!$H$6:$H$10000,$A$4:$A$220)</f>
        <v>173312.93000000002</v>
      </c>
      <c r="J14" s="34">
        <f>SUMIFS(SALE!$L$6:$L$10000,SALE!$A$6:$A$10000,$H$2,SALE!$H$6:$H$10000,$A$4:$A$220)</f>
        <v>55549.74040000001</v>
      </c>
      <c r="K14" s="34">
        <f>SUMIFS(SALE!$M$6:$M$10000,SALE!$A$6:$A$10000,$H$2,SALE!$H$6:$H$10000,$A$4:$A$220)</f>
        <v>-3511.06</v>
      </c>
      <c r="L14" s="74">
        <f>SUMIFS(SALE!$N$6:$N$10000,SALE!$A$6:$A$10000,$H$2,SALE!$H$6:$H$10000,$A$4:$A$220)</f>
        <v>-3511.06</v>
      </c>
      <c r="M14" s="989">
        <f t="shared" si="6"/>
        <v>645073.63840000005</v>
      </c>
      <c r="N14" s="34">
        <f>SUMIFS(SALE!$K$6:$K$10000,SALE!$A$6:$A$10000,$M$2,SALE!$H$6:$H$10000,$A$4:$A$220)</f>
        <v>503963.78000000009</v>
      </c>
      <c r="O14" s="34">
        <f>SUMIFS(SALE!$L$6:$L$10000,SALE!$A$6:$A$10000,$M$2,SALE!$H$6:$H$10000,$A$4:$A$220)</f>
        <v>141109.85840000003</v>
      </c>
      <c r="P14" s="34">
        <f>SUMIFS(SALE!$M$6:$M$10000,SALE!$A$6:$A$10000,$M$2,SALE!$H$6:$H$10000,$A$4:$A$220)</f>
        <v>0</v>
      </c>
      <c r="Q14" s="990">
        <f>SUMIFS(SALE!$N$6:$N$10000,SALE!$A$6:$A$10000,$M$2,SALE!$H$6:$H$10000,$A$4:$A$220)</f>
        <v>0</v>
      </c>
      <c r="R14" s="981">
        <f t="shared" si="7"/>
        <v>198157.56800000003</v>
      </c>
      <c r="S14" s="34">
        <f>SUMIFS(SALE!$K$6:$K$10000,SALE!$A$6:$A$10000,$R$2,SALE!$H$6:$H$10000,$A$4:$A$220)</f>
        <v>154810.6</v>
      </c>
      <c r="T14" s="34">
        <f>SUMIFS(SALE!$L$6:$L$10000,SALE!$A$6:$A$10000,$R$2,SALE!$H$6:$H$10000,$A$4:$A$220)</f>
        <v>64427.327999999994</v>
      </c>
      <c r="U14" s="34">
        <f>SUMIFS(SALE!$M$6:$M$10000,SALE!$A$6:$A$10000,$R$2,SALE!$H$6:$H$10000,$A$4:$A$220)</f>
        <v>-10540.18</v>
      </c>
      <c r="V14" s="74">
        <f>SUMIFS(SALE!$N$6:$N$10000,SALE!$A$6:$A$10000,$R$2,SALE!$H$6:$H$10000,$A$4:$A$220)</f>
        <v>-10540.18</v>
      </c>
      <c r="W14" s="989">
        <f t="shared" si="8"/>
        <v>139306.82880000002</v>
      </c>
      <c r="X14" s="34">
        <f>SUMIFS(SALE!$K$6:$K$10000,SALE!$A$6:$A$10000,$W$2,SALE!$H$6:$H$10000,$A$4:$A$220)</f>
        <v>108833.46</v>
      </c>
      <c r="Y14" s="34">
        <f>SUMIFS(SALE!$L$6:$L$10000,SALE!$A$6:$A$10000,$W$2,SALE!$H$6:$H$10000,$A$4:$A$220)</f>
        <v>30473.3688</v>
      </c>
      <c r="Z14" s="34">
        <f>SUMIFS(SALE!$M$6:$M$10000,SALE!$A$6:$A$10000,$W$2,SALE!$H$6:$H$10000,$A$4:$A$220)</f>
        <v>0</v>
      </c>
      <c r="AA14" s="990">
        <f>SUMIFS(SALE!$N$6:$N$10000,SALE!$A$6:$A$10000,$W$2,SALE!$H$6:$H$10000,$A$4:$A$220)</f>
        <v>0</v>
      </c>
      <c r="AB14" s="981">
        <f t="shared" si="9"/>
        <v>346118.08</v>
      </c>
      <c r="AC14" s="34">
        <f>SUMIFS(SALE!$K$6:$K$10000,SALE!$A$6:$A$10000,$AB$2,SALE!$H$6:$H$10000,$A$4:$A$220)</f>
        <v>270404.75</v>
      </c>
      <c r="AD14" s="34">
        <f>SUMIFS(SALE!$L$6:$L$10000,SALE!$A$6:$A$10000,$AB$2,SALE!$H$6:$H$10000,$A$4:$A$220)</f>
        <v>75713.330000000016</v>
      </c>
      <c r="AE14" s="34">
        <f>SUMIFS(SALE!$M$6:$M$10000,SALE!$A$6:$A$10000,$AB$2,SALE!$H$6:$H$10000,$A$4:$A$220)</f>
        <v>0</v>
      </c>
      <c r="AF14" s="74">
        <f>SUMIFS(SALE!$N$6:$N$10000,SALE!$A$6:$A$10000,$AB$2,SALE!$H$6:$H$10000,$A$4:$A$220)</f>
        <v>0</v>
      </c>
      <c r="AG14" s="989">
        <f t="shared" si="10"/>
        <v>237465.74079999997</v>
      </c>
      <c r="AH14" s="34">
        <f>SUMIFS(SALE!$K$6:$K$10000,SALE!$A$6:$A$10000,$AG$2,SALE!$H$6:$H$10000,$A$4:$A$220)</f>
        <v>185520.11</v>
      </c>
      <c r="AI14" s="34">
        <f>SUMIFS(SALE!$L$6:$L$10000,SALE!$A$6:$A$10000,$AG$2,SALE!$H$6:$H$10000,$A$4:$A$220)</f>
        <v>51945.630799999992</v>
      </c>
      <c r="AJ14" s="34">
        <f>SUMIFS(SALE!$M$6:$M$10000,SALE!$A$6:$A$10000,$AG$2,SALE!$H$6:$H$10000,$A$4:$A$220)</f>
        <v>0</v>
      </c>
      <c r="AK14" s="990">
        <f>SUMIFS(SALE!$N$6:$N$10000,SALE!$A$6:$A$10000,$AG$2,SALE!$H$6:$H$10000,$A$4:$A$220)</f>
        <v>0</v>
      </c>
      <c r="AL14" s="981">
        <f t="shared" si="11"/>
        <v>0</v>
      </c>
      <c r="AM14" s="34">
        <f>SUMIFS(SALE!$K$6:$K$10000,SALE!$A$6:$A$10000,#REF!,SALE!$H$6:$H$10000,$A$4:$A$220)</f>
        <v>0</v>
      </c>
      <c r="AN14" s="34">
        <f>SUMIFS(SALE!$L$6:$L$10000,SALE!$A$6:$A$10000,#REF!,SALE!$H$6:$H$10000,$A$4:$A$220)</f>
        <v>0</v>
      </c>
      <c r="AO14" s="34">
        <f>SUMIFS(SALE!$M$6:$M$10000,SALE!$A$6:$A$10000,#REF!,SALE!$H$6:$H$10000,$A$4:$A$220)</f>
        <v>0</v>
      </c>
      <c r="AP14" s="74">
        <f>SUMIFS(SALE!$N$6:$N$10000,SALE!$A$6:$A$10000,#REF!,SALE!$H$6:$H$10000,$A$4:$A$220)</f>
        <v>0</v>
      </c>
      <c r="AQ14" s="989">
        <f t="shared" si="12"/>
        <v>0</v>
      </c>
      <c r="AR14" s="34">
        <f>SUMIFS(SALE!$K$6:$K$10000,SALE!$A$6:$A$10000,#REF!,SALE!$H$6:$H$10000,$A$4:$A$220)</f>
        <v>0</v>
      </c>
      <c r="AS14" s="34">
        <f>SUMIFS(SALE!$L$6:$L$10000,SALE!$A$6:$A$10000,#REF!,SALE!$H$6:$H$10000,$A$4:$A$220)</f>
        <v>0</v>
      </c>
      <c r="AT14" s="34">
        <f>SUMIFS(SALE!$M$6:$M$10000,SALE!$A$6:$A$10000,#REF!,SALE!$H$6:$H$10000,$A$4:$A$220)</f>
        <v>0</v>
      </c>
      <c r="AU14" s="990">
        <f>SUMIFS(SALE!$N$6:$N$10000,SALE!$A$6:$A$10000,#REF!,SALE!$H$6:$H$10000,$A$4:$A$220)</f>
        <v>0</v>
      </c>
      <c r="AV14" s="981">
        <f t="shared" si="13"/>
        <v>0</v>
      </c>
      <c r="AW14" s="34">
        <f>SUMIFS(SALE!$K$6:$K$10000,SALE!$A$6:$A$10000,#REF!,SALE!$H$6:$H$10000,$A$4:$A$220)</f>
        <v>0</v>
      </c>
      <c r="AX14" s="34">
        <f>SUMIFS(SALE!$L$6:$L$10000,SALE!$A$6:$A$10000,#REF!,SALE!$H$6:$H$10000,$A$4:$A$220)</f>
        <v>0</v>
      </c>
      <c r="AY14" s="34">
        <f>SUMIFS(SALE!$M$6:$M$10000,SALE!$A$6:$A$10000,#REF!,SALE!$H$6:$H$10000,$A$4:$A$220)</f>
        <v>0</v>
      </c>
      <c r="AZ14" s="74">
        <f>SUMIFS(SALE!$N$6:$N$10000,SALE!$A$6:$A$10000,#REF!,SALE!$H$6:$H$10000,$A$4:$A$220)</f>
        <v>0</v>
      </c>
      <c r="BA14" s="989">
        <f t="shared" si="14"/>
        <v>0</v>
      </c>
      <c r="BB14" s="34">
        <f>SUMIFS(SALE!$K$6:$K$10000,SALE!$A$6:$A$10000,#REF!,SALE!$H$6:$H$10000,$A$4:$A$220)</f>
        <v>0</v>
      </c>
      <c r="BC14" s="34">
        <f>SUMIFS(SALE!$L$6:$L$10000,SALE!$A$6:$A$10000,#REF!,SALE!$H$6:$H$10000,$A$4:$A$220)</f>
        <v>0</v>
      </c>
      <c r="BD14" s="34">
        <f>SUMIFS(SALE!$M$6:$M$10000,SALE!$A$6:$A$10000,#REF!,SALE!$H$6:$H$10000,$A$4:$A$220)</f>
        <v>0</v>
      </c>
      <c r="BE14" s="990">
        <f>SUMIFS(SALE!$N$6:$N$10000,SALE!$A$6:$A$10000,#REF!,SALE!$H$6:$H$10000,$A$4:$A$220)</f>
        <v>0</v>
      </c>
      <c r="BF14" s="989">
        <f t="shared" si="15"/>
        <v>0</v>
      </c>
      <c r="BG14" s="34">
        <f>SUMIFS(SALE!$K$6:$K$10000,SALE!$A$6:$A$10000,#REF!,SALE!$H$6:$H$10000,$A$4:$A$220)</f>
        <v>0</v>
      </c>
      <c r="BH14" s="34">
        <f>SUMIFS(SALE!$L$6:$L$10000,SALE!$A$6:$A$10000,#REF!,SALE!$H$6:$H$10000,$A$4:$A$220)</f>
        <v>0</v>
      </c>
      <c r="BI14" s="34">
        <f>SUMIFS(SALE!$M$6:$M$10000,SALE!$A$6:$A$10000,#REF!,SALE!$H$6:$H$10000,$A$4:$A$220)</f>
        <v>0</v>
      </c>
      <c r="BJ14" s="990">
        <f>SUMIFS(SALE!$N$6:$N$10000,SALE!$A$6:$A$10000,#REF!,SALE!$H$6:$H$10000,$A$4:$A$220)</f>
        <v>0</v>
      </c>
      <c r="BK14" s="11">
        <f t="shared" si="16"/>
        <v>3186377.8432</v>
      </c>
      <c r="BL14" s="11">
        <f t="shared" si="17"/>
        <v>2489357.69</v>
      </c>
      <c r="BM14" s="11">
        <f t="shared" si="18"/>
        <v>454159.94400000002</v>
      </c>
      <c r="BN14" s="11">
        <f t="shared" si="19"/>
        <v>121430.10460000002</v>
      </c>
      <c r="BO14" s="11">
        <f t="shared" si="20"/>
        <v>121430.10460000002</v>
      </c>
    </row>
    <row r="15" spans="1:67" x14ac:dyDescent="0.2">
      <c r="A15" s="467">
        <v>87089900</v>
      </c>
      <c r="B15" s="500" t="s">
        <v>266</v>
      </c>
      <c r="C15" s="989">
        <f t="shared" si="4"/>
        <v>1513290.4448000002</v>
      </c>
      <c r="D15" s="34">
        <f>SUMIFS(SALE!$K$6:$K$10000,SALE!$A$6:$A$10000,$C$2,SALE!$H$6:$H$10000,$A$4:$A$220)</f>
        <v>1182258.1600000001</v>
      </c>
      <c r="E15" s="34">
        <f>SUMIFS(SALE!$L$6:$L$10000,SALE!$A$6:$A$10000,$C$2,SALE!$H$6:$H$10000,$A$4:$A$220)</f>
        <v>0</v>
      </c>
      <c r="F15" s="34">
        <f>SUMIFS(SALE!$M$6:$M$10000,SALE!$A$6:$A$10000,$C$2,SALE!$H$6:$H$10000,$A$4:$A$220)</f>
        <v>165516.14240000007</v>
      </c>
      <c r="G15" s="990">
        <f>SUMIFS(SALE!$N$6:$N$10000,SALE!$A$6:$A$10000,$C$2,SALE!$H$6:$H$10000,$A$4:$A$220)</f>
        <v>165516.14240000007</v>
      </c>
      <c r="H15" s="981">
        <f t="shared" si="5"/>
        <v>1602038.8224000006</v>
      </c>
      <c r="I15" s="34">
        <f>SUMIFS(SALE!$K$6:$K$10000,SALE!$A$6:$A$10000,$H$2,SALE!$H$6:$H$10000,$A$4:$A$220)</f>
        <v>1251592.8300000003</v>
      </c>
      <c r="J15" s="34">
        <f>SUMIFS(SALE!$L$6:$L$10000,SALE!$A$6:$A$10000,$H$2,SALE!$H$6:$H$10000,$A$4:$A$220)</f>
        <v>0</v>
      </c>
      <c r="K15" s="34">
        <f>SUMIFS(SALE!$M$6:$M$10000,SALE!$A$6:$A$10000,$H$2,SALE!$H$6:$H$10000,$A$4:$A$220)</f>
        <v>175222.99620000008</v>
      </c>
      <c r="L15" s="74">
        <f>SUMIFS(SALE!$N$6:$N$10000,SALE!$A$6:$A$10000,$H$2,SALE!$H$6:$H$10000,$A$4:$A$220)</f>
        <v>175222.99620000008</v>
      </c>
      <c r="M15" s="989">
        <f t="shared" si="6"/>
        <v>1272099.5072000001</v>
      </c>
      <c r="N15" s="34">
        <f>SUMIFS(SALE!$K$6:$K$10000,SALE!$A$6:$A$10000,$M$2,SALE!$H$6:$H$10000,$A$4:$A$220)</f>
        <v>993827.74000000011</v>
      </c>
      <c r="O15" s="34">
        <f>SUMIFS(SALE!$L$6:$L$10000,SALE!$A$6:$A$10000,$M$2,SALE!$H$6:$H$10000,$A$4:$A$220)</f>
        <v>0</v>
      </c>
      <c r="P15" s="34">
        <f>SUMIFS(SALE!$M$6:$M$10000,SALE!$A$6:$A$10000,$M$2,SALE!$H$6:$H$10000,$A$4:$A$220)</f>
        <v>139135.88360000003</v>
      </c>
      <c r="Q15" s="990">
        <f>SUMIFS(SALE!$N$6:$N$10000,SALE!$A$6:$A$10000,$M$2,SALE!$H$6:$H$10000,$A$4:$A$220)</f>
        <v>139135.88360000003</v>
      </c>
      <c r="R15" s="981">
        <f t="shared" si="7"/>
        <v>2002976.0512000008</v>
      </c>
      <c r="S15" s="34">
        <f>SUMIFS(SALE!$K$6:$K$10000,SALE!$A$6:$A$10000,$R$2,SALE!$H$6:$H$10000,$A$4:$A$220)</f>
        <v>1564825.0400000007</v>
      </c>
      <c r="T15" s="34">
        <f>SUMIFS(SALE!$L$6:$L$10000,SALE!$A$6:$A$10000,$R$2,SALE!$H$6:$H$10000,$A$4:$A$220)</f>
        <v>0</v>
      </c>
      <c r="U15" s="34">
        <f>SUMIFS(SALE!$M$6:$M$10000,SALE!$A$6:$A$10000,$R$2,SALE!$H$6:$H$10000,$A$4:$A$220)</f>
        <v>219075.50560000003</v>
      </c>
      <c r="V15" s="74">
        <f>SUMIFS(SALE!$N$6:$N$10000,SALE!$A$6:$A$10000,$R$2,SALE!$H$6:$H$10000,$A$4:$A$220)</f>
        <v>219075.50560000003</v>
      </c>
      <c r="W15" s="989">
        <f t="shared" si="8"/>
        <v>1247054.8736</v>
      </c>
      <c r="X15" s="34">
        <f>SUMIFS(SALE!$K$6:$K$10000,SALE!$A$6:$A$10000,$W$2,SALE!$H$6:$H$10000,$A$4:$A$220)</f>
        <v>974261.62</v>
      </c>
      <c r="Y15" s="34">
        <f>SUMIFS(SALE!$L$6:$L$10000,SALE!$A$6:$A$10000,$W$2,SALE!$H$6:$H$10000,$A$4:$A$220)</f>
        <v>0</v>
      </c>
      <c r="Z15" s="34">
        <f>SUMIFS(SALE!$M$6:$M$10000,SALE!$A$6:$A$10000,$W$2,SALE!$H$6:$H$10000,$A$4:$A$220)</f>
        <v>136396.62680000003</v>
      </c>
      <c r="AA15" s="990">
        <f>SUMIFS(SALE!$N$6:$N$10000,SALE!$A$6:$A$10000,$W$2,SALE!$H$6:$H$10000,$A$4:$A$220)</f>
        <v>136396.62680000003</v>
      </c>
      <c r="AB15" s="981">
        <f t="shared" si="9"/>
        <v>651400.59999999986</v>
      </c>
      <c r="AC15" s="34">
        <f>SUMIFS(SALE!$K$6:$K$10000,SALE!$A$6:$A$10000,$AB$2,SALE!$H$6:$H$10000,$A$4:$A$220)</f>
        <v>508906.74999999988</v>
      </c>
      <c r="AD15" s="34">
        <f>SUMIFS(SALE!$L$6:$L$10000,SALE!$A$6:$A$10000,$AB$2,SALE!$H$6:$H$10000,$A$4:$A$220)</f>
        <v>0</v>
      </c>
      <c r="AE15" s="34">
        <f>SUMIFS(SALE!$M$6:$M$10000,SALE!$A$6:$A$10000,$AB$2,SALE!$H$6:$H$10000,$A$4:$A$220)</f>
        <v>71246.924999999988</v>
      </c>
      <c r="AF15" s="74">
        <f>SUMIFS(SALE!$N$6:$N$10000,SALE!$A$6:$A$10000,$AB$2,SALE!$H$6:$H$10000,$A$4:$A$220)</f>
        <v>71246.924999999988</v>
      </c>
      <c r="AG15" s="989">
        <f t="shared" si="10"/>
        <v>730782.28480000002</v>
      </c>
      <c r="AH15" s="34">
        <f>SUMIFS(SALE!$K$6:$K$10000,SALE!$A$6:$A$10000,$AG$2,SALE!$H$6:$H$10000,$A$4:$A$220)</f>
        <v>570923.66</v>
      </c>
      <c r="AI15" s="34">
        <f>SUMIFS(SALE!$L$6:$L$10000,SALE!$A$6:$A$10000,$AG$2,SALE!$H$6:$H$10000,$A$4:$A$220)</f>
        <v>0</v>
      </c>
      <c r="AJ15" s="34">
        <f>SUMIFS(SALE!$M$6:$M$10000,SALE!$A$6:$A$10000,$AG$2,SALE!$H$6:$H$10000,$A$4:$A$220)</f>
        <v>79929.312399999995</v>
      </c>
      <c r="AK15" s="990">
        <f>SUMIFS(SALE!$N$6:$N$10000,SALE!$A$6:$A$10000,$AG$2,SALE!$H$6:$H$10000,$A$4:$A$220)</f>
        <v>79929.312399999995</v>
      </c>
      <c r="AL15" s="981">
        <f t="shared" si="11"/>
        <v>0</v>
      </c>
      <c r="AM15" s="34">
        <f>SUMIFS(SALE!$K$6:$K$10000,SALE!$A$6:$A$10000,#REF!,SALE!$H$6:$H$10000,$A$4:$A$220)</f>
        <v>0</v>
      </c>
      <c r="AN15" s="34">
        <f>SUMIFS(SALE!$L$6:$L$10000,SALE!$A$6:$A$10000,#REF!,SALE!$H$6:$H$10000,$A$4:$A$220)</f>
        <v>0</v>
      </c>
      <c r="AO15" s="34">
        <f>SUMIFS(SALE!$M$6:$M$10000,SALE!$A$6:$A$10000,#REF!,SALE!$H$6:$H$10000,$A$4:$A$220)</f>
        <v>0</v>
      </c>
      <c r="AP15" s="74">
        <f>SUMIFS(SALE!$N$6:$N$10000,SALE!$A$6:$A$10000,#REF!,SALE!$H$6:$H$10000,$A$4:$A$220)</f>
        <v>0</v>
      </c>
      <c r="AQ15" s="989">
        <f t="shared" si="12"/>
        <v>0</v>
      </c>
      <c r="AR15" s="34">
        <f>SUMIFS(SALE!$K$6:$K$10000,SALE!$A$6:$A$10000,#REF!,SALE!$H$6:$H$10000,$A$4:$A$220)</f>
        <v>0</v>
      </c>
      <c r="AS15" s="34">
        <f>SUMIFS(SALE!$L$6:$L$10000,SALE!$A$6:$A$10000,#REF!,SALE!$H$6:$H$10000,$A$4:$A$220)</f>
        <v>0</v>
      </c>
      <c r="AT15" s="34">
        <f>SUMIFS(SALE!$M$6:$M$10000,SALE!$A$6:$A$10000,#REF!,SALE!$H$6:$H$10000,$A$4:$A$220)</f>
        <v>0</v>
      </c>
      <c r="AU15" s="990">
        <f>SUMIFS(SALE!$N$6:$N$10000,SALE!$A$6:$A$10000,#REF!,SALE!$H$6:$H$10000,$A$4:$A$220)</f>
        <v>0</v>
      </c>
      <c r="AV15" s="981">
        <f t="shared" si="13"/>
        <v>0</v>
      </c>
      <c r="AW15" s="34">
        <f>SUMIFS(SALE!$K$6:$K$10000,SALE!$A$6:$A$10000,#REF!,SALE!$H$6:$H$10000,$A$4:$A$220)</f>
        <v>0</v>
      </c>
      <c r="AX15" s="34">
        <f>SUMIFS(SALE!$L$6:$L$10000,SALE!$A$6:$A$10000,#REF!,SALE!$H$6:$H$10000,$A$4:$A$220)</f>
        <v>0</v>
      </c>
      <c r="AY15" s="34">
        <f>SUMIFS(SALE!$M$6:$M$10000,SALE!$A$6:$A$10000,#REF!,SALE!$H$6:$H$10000,$A$4:$A$220)</f>
        <v>0</v>
      </c>
      <c r="AZ15" s="74">
        <f>SUMIFS(SALE!$N$6:$N$10000,SALE!$A$6:$A$10000,#REF!,SALE!$H$6:$H$10000,$A$4:$A$220)</f>
        <v>0</v>
      </c>
      <c r="BA15" s="989">
        <f t="shared" si="14"/>
        <v>0</v>
      </c>
      <c r="BB15" s="34">
        <f>SUMIFS(SALE!$K$6:$K$10000,SALE!$A$6:$A$10000,#REF!,SALE!$H$6:$H$10000,$A$4:$A$220)</f>
        <v>0</v>
      </c>
      <c r="BC15" s="34">
        <f>SUMIFS(SALE!$L$6:$L$10000,SALE!$A$6:$A$10000,#REF!,SALE!$H$6:$H$10000,$A$4:$A$220)</f>
        <v>0</v>
      </c>
      <c r="BD15" s="34">
        <f>SUMIFS(SALE!$M$6:$M$10000,SALE!$A$6:$A$10000,#REF!,SALE!$H$6:$H$10000,$A$4:$A$220)</f>
        <v>0</v>
      </c>
      <c r="BE15" s="990">
        <f>SUMIFS(SALE!$N$6:$N$10000,SALE!$A$6:$A$10000,#REF!,SALE!$H$6:$H$10000,$A$4:$A$220)</f>
        <v>0</v>
      </c>
      <c r="BF15" s="989">
        <f t="shared" si="15"/>
        <v>0</v>
      </c>
      <c r="BG15" s="34">
        <f>SUMIFS(SALE!$K$6:$K$10000,SALE!$A$6:$A$10000,#REF!,SALE!$H$6:$H$10000,$A$4:$A$220)</f>
        <v>0</v>
      </c>
      <c r="BH15" s="34">
        <f>SUMIFS(SALE!$L$6:$L$10000,SALE!$A$6:$A$10000,#REF!,SALE!$H$6:$H$10000,$A$4:$A$220)</f>
        <v>0</v>
      </c>
      <c r="BI15" s="34">
        <f>SUMIFS(SALE!$M$6:$M$10000,SALE!$A$6:$A$10000,#REF!,SALE!$H$6:$H$10000,$A$4:$A$220)</f>
        <v>0</v>
      </c>
      <c r="BJ15" s="990">
        <f>SUMIFS(SALE!$N$6:$N$10000,SALE!$A$6:$A$10000,#REF!,SALE!$H$6:$H$10000,$A$4:$A$220)</f>
        <v>0</v>
      </c>
      <c r="BK15" s="11">
        <f t="shared" si="16"/>
        <v>9019642.5840000007</v>
      </c>
      <c r="BL15" s="11">
        <f t="shared" si="17"/>
        <v>7046595.8000000017</v>
      </c>
      <c r="BM15" s="11">
        <f t="shared" si="18"/>
        <v>0</v>
      </c>
      <c r="BN15" s="11">
        <f t="shared" si="19"/>
        <v>986523.39200000023</v>
      </c>
      <c r="BO15" s="11">
        <f t="shared" si="20"/>
        <v>986523.39200000023</v>
      </c>
    </row>
    <row r="16" spans="1:67" x14ac:dyDescent="0.2">
      <c r="A16" s="467">
        <v>87141090</v>
      </c>
      <c r="B16" s="500" t="s">
        <v>266</v>
      </c>
      <c r="C16" s="989">
        <f t="shared" si="4"/>
        <v>476842.08640000003</v>
      </c>
      <c r="D16" s="34">
        <f>SUMIFS(SALE!$K$6:$K$10000,SALE!$A$6:$A$10000,$C$2,SALE!$H$6:$H$10000,$A$4:$A$220)</f>
        <v>372532.88</v>
      </c>
      <c r="E16" s="34">
        <f>SUMIFS(SALE!$L$6:$L$10000,SALE!$A$6:$A$10000,$C$2,SALE!$H$6:$H$10000,$A$4:$A$220)</f>
        <v>0</v>
      </c>
      <c r="F16" s="34">
        <f>SUMIFS(SALE!$M$6:$M$10000,SALE!$A$6:$A$10000,$C$2,SALE!$H$6:$H$10000,$A$4:$A$220)</f>
        <v>52154.603200000012</v>
      </c>
      <c r="G16" s="990">
        <f>SUMIFS(SALE!$N$6:$N$10000,SALE!$A$6:$A$10000,$C$2,SALE!$H$6:$H$10000,$A$4:$A$220)</f>
        <v>52154.603200000012</v>
      </c>
      <c r="H16" s="981">
        <f t="shared" si="5"/>
        <v>1207911.4495999999</v>
      </c>
      <c r="I16" s="34">
        <f>SUMIFS(SALE!$K$6:$K$10000,SALE!$A$6:$A$10000,$H$2,SALE!$H$6:$H$10000,$A$4:$A$220)</f>
        <v>943680.82</v>
      </c>
      <c r="J16" s="34">
        <f>SUMIFS(SALE!$L$6:$L$10000,SALE!$A$6:$A$10000,$H$2,SALE!$H$6:$H$10000,$A$4:$A$220)</f>
        <v>0</v>
      </c>
      <c r="K16" s="34">
        <f>SUMIFS(SALE!$M$6:$M$10000,SALE!$A$6:$A$10000,$H$2,SALE!$H$6:$H$10000,$A$4:$A$220)</f>
        <v>132115.31479999996</v>
      </c>
      <c r="L16" s="74">
        <f>SUMIFS(SALE!$N$6:$N$10000,SALE!$A$6:$A$10000,$H$2,SALE!$H$6:$H$10000,$A$4:$A$220)</f>
        <v>132115.31479999996</v>
      </c>
      <c r="M16" s="989">
        <f t="shared" si="6"/>
        <v>1022460.5312</v>
      </c>
      <c r="N16" s="34">
        <f>SUMIFS(SALE!$K$6:$K$10000,SALE!$A$6:$A$10000,$M$2,SALE!$H$6:$H$10000,$A$4:$A$220)</f>
        <v>798797.28999999992</v>
      </c>
      <c r="O16" s="34">
        <f>SUMIFS(SALE!$L$6:$L$10000,SALE!$A$6:$A$10000,$M$2,SALE!$H$6:$H$10000,$A$4:$A$220)</f>
        <v>0</v>
      </c>
      <c r="P16" s="34">
        <f>SUMIFS(SALE!$M$6:$M$10000,SALE!$A$6:$A$10000,$M$2,SALE!$H$6:$H$10000,$A$4:$A$220)</f>
        <v>111831.62059999999</v>
      </c>
      <c r="Q16" s="990">
        <f>SUMIFS(SALE!$N$6:$N$10000,SALE!$A$6:$A$10000,$M$2,SALE!$H$6:$H$10000,$A$4:$A$220)</f>
        <v>111831.62059999999</v>
      </c>
      <c r="R16" s="981">
        <f t="shared" si="7"/>
        <v>960496.11520000012</v>
      </c>
      <c r="S16" s="34">
        <f>SUMIFS(SALE!$K$6:$K$10000,SALE!$A$6:$A$10000,$R$2,SALE!$H$6:$H$10000,$A$4:$A$220)</f>
        <v>750387.59000000008</v>
      </c>
      <c r="T16" s="34">
        <f>SUMIFS(SALE!$L$6:$L$10000,SALE!$A$6:$A$10000,$R$2,SALE!$H$6:$H$10000,$A$4:$A$220)</f>
        <v>0</v>
      </c>
      <c r="U16" s="34">
        <f>SUMIFS(SALE!$M$6:$M$10000,SALE!$A$6:$A$10000,$R$2,SALE!$H$6:$H$10000,$A$4:$A$220)</f>
        <v>105054.2626</v>
      </c>
      <c r="V16" s="74">
        <f>SUMIFS(SALE!$N$6:$N$10000,SALE!$A$6:$A$10000,$R$2,SALE!$H$6:$H$10000,$A$4:$A$220)</f>
        <v>105054.2626</v>
      </c>
      <c r="W16" s="989">
        <f t="shared" si="8"/>
        <v>619913.63840000005</v>
      </c>
      <c r="X16" s="34">
        <f>SUMIFS(SALE!$K$6:$K$10000,SALE!$A$6:$A$10000,$W$2,SALE!$H$6:$H$10000,$A$4:$A$220)</f>
        <v>484307.53</v>
      </c>
      <c r="Y16" s="34">
        <f>SUMIFS(SALE!$L$6:$L$10000,SALE!$A$6:$A$10000,$W$2,SALE!$H$6:$H$10000,$A$4:$A$220)</f>
        <v>0</v>
      </c>
      <c r="Z16" s="34">
        <f>SUMIFS(SALE!$M$6:$M$10000,SALE!$A$6:$A$10000,$W$2,SALE!$H$6:$H$10000,$A$4:$A$220)</f>
        <v>67803.054200000013</v>
      </c>
      <c r="AA16" s="990">
        <f>SUMIFS(SALE!$N$6:$N$10000,SALE!$A$6:$A$10000,$W$2,SALE!$H$6:$H$10000,$A$4:$A$220)</f>
        <v>67803.054200000013</v>
      </c>
      <c r="AB16" s="981">
        <f t="shared" si="9"/>
        <v>733425.15200000012</v>
      </c>
      <c r="AC16" s="34">
        <f>SUMIFS(SALE!$K$6:$K$10000,SALE!$A$6:$A$10000,$AB$2,SALE!$H$6:$H$10000,$A$4:$A$220)</f>
        <v>572988.4</v>
      </c>
      <c r="AD16" s="34">
        <f>SUMIFS(SALE!$L$6:$L$10000,SALE!$A$6:$A$10000,$AB$2,SALE!$H$6:$H$10000,$A$4:$A$220)</f>
        <v>0</v>
      </c>
      <c r="AE16" s="34">
        <f>SUMIFS(SALE!$M$6:$M$10000,SALE!$A$6:$A$10000,$AB$2,SALE!$H$6:$H$10000,$A$4:$A$220)</f>
        <v>80218.376000000018</v>
      </c>
      <c r="AF16" s="74">
        <f>SUMIFS(SALE!$N$6:$N$10000,SALE!$A$6:$A$10000,$AB$2,SALE!$H$6:$H$10000,$A$4:$A$220)</f>
        <v>80218.376000000018</v>
      </c>
      <c r="AG16" s="989">
        <f t="shared" si="10"/>
        <v>786168.32000000007</v>
      </c>
      <c r="AH16" s="34">
        <f>SUMIFS(SALE!$K$6:$K$10000,SALE!$A$6:$A$10000,$AG$2,SALE!$H$6:$H$10000,$A$4:$A$220)</f>
        <v>614194</v>
      </c>
      <c r="AI16" s="34">
        <f>SUMIFS(SALE!$L$6:$L$10000,SALE!$A$6:$A$10000,$AG$2,SALE!$H$6:$H$10000,$A$4:$A$220)</f>
        <v>0</v>
      </c>
      <c r="AJ16" s="34">
        <f>SUMIFS(SALE!$M$6:$M$10000,SALE!$A$6:$A$10000,$AG$2,SALE!$H$6:$H$10000,$A$4:$A$220)</f>
        <v>85987.159999999989</v>
      </c>
      <c r="AK16" s="990">
        <f>SUMIFS(SALE!$N$6:$N$10000,SALE!$A$6:$A$10000,$AG$2,SALE!$H$6:$H$10000,$A$4:$A$220)</f>
        <v>85987.159999999989</v>
      </c>
      <c r="AL16" s="981">
        <f t="shared" si="11"/>
        <v>0</v>
      </c>
      <c r="AM16" s="34">
        <f>SUMIFS(SALE!$K$6:$K$10000,SALE!$A$6:$A$10000,#REF!,SALE!$H$6:$H$10000,$A$4:$A$220)</f>
        <v>0</v>
      </c>
      <c r="AN16" s="34">
        <f>SUMIFS(SALE!$L$6:$L$10000,SALE!$A$6:$A$10000,#REF!,SALE!$H$6:$H$10000,$A$4:$A$220)</f>
        <v>0</v>
      </c>
      <c r="AO16" s="34">
        <f>SUMIFS(SALE!$M$6:$M$10000,SALE!$A$6:$A$10000,#REF!,SALE!$H$6:$H$10000,$A$4:$A$220)</f>
        <v>0</v>
      </c>
      <c r="AP16" s="74">
        <f>SUMIFS(SALE!$N$6:$N$10000,SALE!$A$6:$A$10000,#REF!,SALE!$H$6:$H$10000,$A$4:$A$220)</f>
        <v>0</v>
      </c>
      <c r="AQ16" s="989">
        <f t="shared" si="12"/>
        <v>0</v>
      </c>
      <c r="AR16" s="34">
        <f>SUMIFS(SALE!$K$6:$K$10000,SALE!$A$6:$A$10000,#REF!,SALE!$H$6:$H$10000,$A$4:$A$220)</f>
        <v>0</v>
      </c>
      <c r="AS16" s="34">
        <f>SUMIFS(SALE!$L$6:$L$10000,SALE!$A$6:$A$10000,#REF!,SALE!$H$6:$H$10000,$A$4:$A$220)</f>
        <v>0</v>
      </c>
      <c r="AT16" s="34">
        <f>SUMIFS(SALE!$M$6:$M$10000,SALE!$A$6:$A$10000,#REF!,SALE!$H$6:$H$10000,$A$4:$A$220)</f>
        <v>0</v>
      </c>
      <c r="AU16" s="990">
        <f>SUMIFS(SALE!$N$6:$N$10000,SALE!$A$6:$A$10000,#REF!,SALE!$H$6:$H$10000,$A$4:$A$220)</f>
        <v>0</v>
      </c>
      <c r="AV16" s="981">
        <f t="shared" si="13"/>
        <v>0</v>
      </c>
      <c r="AW16" s="34">
        <f>SUMIFS(SALE!$K$6:$K$10000,SALE!$A$6:$A$10000,#REF!,SALE!$H$6:$H$10000,$A$4:$A$220)</f>
        <v>0</v>
      </c>
      <c r="AX16" s="34">
        <f>SUMIFS(SALE!$L$6:$L$10000,SALE!$A$6:$A$10000,#REF!,SALE!$H$6:$H$10000,$A$4:$A$220)</f>
        <v>0</v>
      </c>
      <c r="AY16" s="34">
        <f>SUMIFS(SALE!$M$6:$M$10000,SALE!$A$6:$A$10000,#REF!,SALE!$H$6:$H$10000,$A$4:$A$220)</f>
        <v>0</v>
      </c>
      <c r="AZ16" s="74">
        <f>SUMIFS(SALE!$N$6:$N$10000,SALE!$A$6:$A$10000,#REF!,SALE!$H$6:$H$10000,$A$4:$A$220)</f>
        <v>0</v>
      </c>
      <c r="BA16" s="989">
        <f t="shared" si="14"/>
        <v>0</v>
      </c>
      <c r="BB16" s="34">
        <f>SUMIFS(SALE!$K$6:$K$10000,SALE!$A$6:$A$10000,#REF!,SALE!$H$6:$H$10000,$A$4:$A$220)</f>
        <v>0</v>
      </c>
      <c r="BC16" s="34">
        <f>SUMIFS(SALE!$L$6:$L$10000,SALE!$A$6:$A$10000,#REF!,SALE!$H$6:$H$10000,$A$4:$A$220)</f>
        <v>0</v>
      </c>
      <c r="BD16" s="34">
        <f>SUMIFS(SALE!$M$6:$M$10000,SALE!$A$6:$A$10000,#REF!,SALE!$H$6:$H$10000,$A$4:$A$220)</f>
        <v>0</v>
      </c>
      <c r="BE16" s="990">
        <f>SUMIFS(SALE!$N$6:$N$10000,SALE!$A$6:$A$10000,#REF!,SALE!$H$6:$H$10000,$A$4:$A$220)</f>
        <v>0</v>
      </c>
      <c r="BF16" s="989">
        <f t="shared" si="15"/>
        <v>0</v>
      </c>
      <c r="BG16" s="34">
        <f>SUMIFS(SALE!$K$6:$K$10000,SALE!$A$6:$A$10000,#REF!,SALE!$H$6:$H$10000,$A$4:$A$220)</f>
        <v>0</v>
      </c>
      <c r="BH16" s="34">
        <f>SUMIFS(SALE!$L$6:$L$10000,SALE!$A$6:$A$10000,#REF!,SALE!$H$6:$H$10000,$A$4:$A$220)</f>
        <v>0</v>
      </c>
      <c r="BI16" s="34">
        <f>SUMIFS(SALE!$M$6:$M$10000,SALE!$A$6:$A$10000,#REF!,SALE!$H$6:$H$10000,$A$4:$A$220)</f>
        <v>0</v>
      </c>
      <c r="BJ16" s="990">
        <f>SUMIFS(SALE!$N$6:$N$10000,SALE!$A$6:$A$10000,#REF!,SALE!$H$6:$H$10000,$A$4:$A$220)</f>
        <v>0</v>
      </c>
      <c r="BK16" s="11">
        <f t="shared" si="16"/>
        <v>5807217.2928000009</v>
      </c>
      <c r="BL16" s="11">
        <f t="shared" si="17"/>
        <v>4536888.51</v>
      </c>
      <c r="BM16" s="11">
        <f t="shared" si="18"/>
        <v>0</v>
      </c>
      <c r="BN16" s="11">
        <f t="shared" si="19"/>
        <v>635164.39140000008</v>
      </c>
      <c r="BO16" s="11">
        <f t="shared" si="20"/>
        <v>635164.39140000008</v>
      </c>
    </row>
    <row r="17" spans="1:67" x14ac:dyDescent="0.2">
      <c r="A17" s="467">
        <v>87141900</v>
      </c>
      <c r="B17" s="557" t="s">
        <v>266</v>
      </c>
      <c r="C17" s="989">
        <f t="shared" si="4"/>
        <v>25027.788800000002</v>
      </c>
      <c r="D17" s="34">
        <f>SUMIFS(SALE!$K$6:$K$10000,SALE!$A$6:$A$10000,$C$2,SALE!$H$6:$H$10000,$A$4:$A$220)</f>
        <v>19552.96</v>
      </c>
      <c r="E17" s="34">
        <f>SUMIFS(SALE!$L$6:$L$10000,SALE!$A$6:$A$10000,$C$2,SALE!$H$6:$H$10000,$A$4:$A$220)</f>
        <v>0</v>
      </c>
      <c r="F17" s="34">
        <f>SUMIFS(SALE!$M$6:$M$10000,SALE!$A$6:$A$10000,$C$2,SALE!$H$6:$H$10000,$A$4:$A$220)</f>
        <v>2737.4143999999997</v>
      </c>
      <c r="G17" s="990">
        <f>SUMIFS(SALE!$N$6:$N$10000,SALE!$A$6:$A$10000,$C$2,SALE!$H$6:$H$10000,$A$4:$A$220)</f>
        <v>2737.4143999999997</v>
      </c>
      <c r="H17" s="981">
        <f t="shared" si="5"/>
        <v>164317.54239999998</v>
      </c>
      <c r="I17" s="34">
        <f>SUMIFS(SALE!$K$6:$K$10000,SALE!$A$6:$A$10000,$H$2,SALE!$H$6:$H$10000,$A$4:$A$220)</f>
        <v>128373.07999999997</v>
      </c>
      <c r="J17" s="34">
        <f>SUMIFS(SALE!$L$6:$L$10000,SALE!$A$6:$A$10000,$H$2,SALE!$H$6:$H$10000,$A$4:$A$220)</f>
        <v>0</v>
      </c>
      <c r="K17" s="34">
        <f>SUMIFS(SALE!$M$6:$M$10000,SALE!$A$6:$A$10000,$H$2,SALE!$H$6:$H$10000,$A$4:$A$220)</f>
        <v>17972.231200000002</v>
      </c>
      <c r="L17" s="74">
        <f>SUMIFS(SALE!$N$6:$N$10000,SALE!$A$6:$A$10000,$H$2,SALE!$H$6:$H$10000,$A$4:$A$220)</f>
        <v>17972.231200000002</v>
      </c>
      <c r="M17" s="989">
        <f t="shared" si="6"/>
        <v>926130.20160000015</v>
      </c>
      <c r="N17" s="34">
        <f>SUMIFS(SALE!$K$6:$K$10000,SALE!$A$6:$A$10000,$M$2,SALE!$H$6:$H$10000,$A$4:$A$220)</f>
        <v>723539.22000000009</v>
      </c>
      <c r="O17" s="34">
        <f>SUMIFS(SALE!$L$6:$L$10000,SALE!$A$6:$A$10000,$M$2,SALE!$H$6:$H$10000,$A$4:$A$220)</f>
        <v>0</v>
      </c>
      <c r="P17" s="34">
        <f>SUMIFS(SALE!$M$6:$M$10000,SALE!$A$6:$A$10000,$M$2,SALE!$H$6:$H$10000,$A$4:$A$220)</f>
        <v>101295.49079999999</v>
      </c>
      <c r="Q17" s="990">
        <f>SUMIFS(SALE!$N$6:$N$10000,SALE!$A$6:$A$10000,$M$2,SALE!$H$6:$H$10000,$A$4:$A$220)</f>
        <v>101295.49079999999</v>
      </c>
      <c r="R17" s="981">
        <f t="shared" si="7"/>
        <v>1681474.9951999998</v>
      </c>
      <c r="S17" s="34">
        <f>SUMIFS(SALE!$K$6:$K$10000,SALE!$A$6:$A$10000,$R$2,SALE!$H$6:$H$10000,$A$4:$A$220)</f>
        <v>1313652.3399999999</v>
      </c>
      <c r="T17" s="34">
        <f>SUMIFS(SALE!$L$6:$L$10000,SALE!$A$6:$A$10000,$R$2,SALE!$H$6:$H$10000,$A$4:$A$220)</f>
        <v>0</v>
      </c>
      <c r="U17" s="34">
        <f>SUMIFS(SALE!$M$6:$M$10000,SALE!$A$6:$A$10000,$R$2,SALE!$H$6:$H$10000,$A$4:$A$220)</f>
        <v>183911.32759999999</v>
      </c>
      <c r="V17" s="74">
        <f>SUMIFS(SALE!$N$6:$N$10000,SALE!$A$6:$A$10000,$R$2,SALE!$H$6:$H$10000,$A$4:$A$220)</f>
        <v>183911.32759999999</v>
      </c>
      <c r="W17" s="989">
        <f t="shared" si="8"/>
        <v>1260411.7120000003</v>
      </c>
      <c r="X17" s="34">
        <f>SUMIFS(SALE!$K$6:$K$10000,SALE!$A$6:$A$10000,$W$2,SALE!$H$6:$H$10000,$A$4:$A$220)</f>
        <v>984696.65000000026</v>
      </c>
      <c r="Y17" s="34">
        <f>SUMIFS(SALE!$L$6:$L$10000,SALE!$A$6:$A$10000,$W$2,SALE!$H$6:$H$10000,$A$4:$A$220)</f>
        <v>0</v>
      </c>
      <c r="Z17" s="34">
        <f>SUMIFS(SALE!$M$6:$M$10000,SALE!$A$6:$A$10000,$W$2,SALE!$H$6:$H$10000,$A$4:$A$220)</f>
        <v>137857.53100000002</v>
      </c>
      <c r="AA17" s="990">
        <f>SUMIFS(SALE!$N$6:$N$10000,SALE!$A$6:$A$10000,$W$2,SALE!$H$6:$H$10000,$A$4:$A$220)</f>
        <v>137857.53100000002</v>
      </c>
      <c r="AB17" s="981">
        <f t="shared" si="9"/>
        <v>766216.0199999999</v>
      </c>
      <c r="AC17" s="34">
        <f>SUMIFS(SALE!$K$6:$K$10000,SALE!$A$6:$A$10000,$AB$2,SALE!$H$6:$H$10000,$A$4:$A$220)</f>
        <v>598606.24999999988</v>
      </c>
      <c r="AD17" s="34">
        <f>SUMIFS(SALE!$L$6:$L$10000,SALE!$A$6:$A$10000,$AB$2,SALE!$H$6:$H$10000,$A$4:$A$220)</f>
        <v>0</v>
      </c>
      <c r="AE17" s="34">
        <f>SUMIFS(SALE!$M$6:$M$10000,SALE!$A$6:$A$10000,$AB$2,SALE!$H$6:$H$10000,$A$4:$A$220)</f>
        <v>83804.88499999998</v>
      </c>
      <c r="AF17" s="74">
        <f>SUMIFS(SALE!$N$6:$N$10000,SALE!$A$6:$A$10000,$AB$2,SALE!$H$6:$H$10000,$A$4:$A$220)</f>
        <v>83804.88499999998</v>
      </c>
      <c r="AG17" s="989">
        <f t="shared" si="10"/>
        <v>535460.69759999996</v>
      </c>
      <c r="AH17" s="34">
        <f>SUMIFS(SALE!$K$6:$K$10000,SALE!$A$6:$A$10000,$AG$2,SALE!$H$6:$H$10000,$A$4:$A$220)</f>
        <v>418328.67</v>
      </c>
      <c r="AI17" s="34">
        <f>SUMIFS(SALE!$L$6:$L$10000,SALE!$A$6:$A$10000,$AG$2,SALE!$H$6:$H$10000,$A$4:$A$220)</f>
        <v>0</v>
      </c>
      <c r="AJ17" s="34">
        <f>SUMIFS(SALE!$M$6:$M$10000,SALE!$A$6:$A$10000,$AG$2,SALE!$H$6:$H$10000,$A$4:$A$220)</f>
        <v>58566.013800000001</v>
      </c>
      <c r="AK17" s="990">
        <f>SUMIFS(SALE!$N$6:$N$10000,SALE!$A$6:$A$10000,$AG$2,SALE!$H$6:$H$10000,$A$4:$A$220)</f>
        <v>58566.013800000001</v>
      </c>
      <c r="AL17" s="981">
        <f t="shared" si="11"/>
        <v>0</v>
      </c>
      <c r="AM17" s="34">
        <f>SUMIFS(SALE!$K$6:$K$10000,SALE!$A$6:$A$10000,#REF!,SALE!$H$6:$H$10000,$A$4:$A$220)</f>
        <v>0</v>
      </c>
      <c r="AN17" s="34">
        <f>SUMIFS(SALE!$L$6:$L$10000,SALE!$A$6:$A$10000,#REF!,SALE!$H$6:$H$10000,$A$4:$A$220)</f>
        <v>0</v>
      </c>
      <c r="AO17" s="34">
        <f>SUMIFS(SALE!$M$6:$M$10000,SALE!$A$6:$A$10000,#REF!,SALE!$H$6:$H$10000,$A$4:$A$220)</f>
        <v>0</v>
      </c>
      <c r="AP17" s="74">
        <f>SUMIFS(SALE!$N$6:$N$10000,SALE!$A$6:$A$10000,#REF!,SALE!$H$6:$H$10000,$A$4:$A$220)</f>
        <v>0</v>
      </c>
      <c r="AQ17" s="989">
        <f t="shared" si="12"/>
        <v>0</v>
      </c>
      <c r="AR17" s="34">
        <f>SUMIFS(SALE!$K$6:$K$10000,SALE!$A$6:$A$10000,#REF!,SALE!$H$6:$H$10000,$A$4:$A$220)</f>
        <v>0</v>
      </c>
      <c r="AS17" s="34">
        <f>SUMIFS(SALE!$L$6:$L$10000,SALE!$A$6:$A$10000,#REF!,SALE!$H$6:$H$10000,$A$4:$A$220)</f>
        <v>0</v>
      </c>
      <c r="AT17" s="34">
        <f>SUMIFS(SALE!$M$6:$M$10000,SALE!$A$6:$A$10000,#REF!,SALE!$H$6:$H$10000,$A$4:$A$220)</f>
        <v>0</v>
      </c>
      <c r="AU17" s="990">
        <f>SUMIFS(SALE!$N$6:$N$10000,SALE!$A$6:$A$10000,#REF!,SALE!$H$6:$H$10000,$A$4:$A$220)</f>
        <v>0</v>
      </c>
      <c r="AV17" s="981">
        <f t="shared" si="13"/>
        <v>0</v>
      </c>
      <c r="AW17" s="34">
        <f>SUMIFS(SALE!$K$6:$K$10000,SALE!$A$6:$A$10000,#REF!,SALE!$H$6:$H$10000,$A$4:$A$220)</f>
        <v>0</v>
      </c>
      <c r="AX17" s="34">
        <f>SUMIFS(SALE!$L$6:$L$10000,SALE!$A$6:$A$10000,#REF!,SALE!$H$6:$H$10000,$A$4:$A$220)</f>
        <v>0</v>
      </c>
      <c r="AY17" s="34">
        <f>SUMIFS(SALE!$M$6:$M$10000,SALE!$A$6:$A$10000,#REF!,SALE!$H$6:$H$10000,$A$4:$A$220)</f>
        <v>0</v>
      </c>
      <c r="AZ17" s="74">
        <f>SUMIFS(SALE!$N$6:$N$10000,SALE!$A$6:$A$10000,#REF!,SALE!$H$6:$H$10000,$A$4:$A$220)</f>
        <v>0</v>
      </c>
      <c r="BA17" s="989">
        <f t="shared" si="14"/>
        <v>0</v>
      </c>
      <c r="BB17" s="34">
        <f>SUMIFS(SALE!$K$6:$K$10000,SALE!$A$6:$A$10000,#REF!,SALE!$H$6:$H$10000,$A$4:$A$220)</f>
        <v>0</v>
      </c>
      <c r="BC17" s="34">
        <f>SUMIFS(SALE!$L$6:$L$10000,SALE!$A$6:$A$10000,#REF!,SALE!$H$6:$H$10000,$A$4:$A$220)</f>
        <v>0</v>
      </c>
      <c r="BD17" s="34">
        <f>SUMIFS(SALE!$M$6:$M$10000,SALE!$A$6:$A$10000,#REF!,SALE!$H$6:$H$10000,$A$4:$A$220)</f>
        <v>0</v>
      </c>
      <c r="BE17" s="990">
        <f>SUMIFS(SALE!$N$6:$N$10000,SALE!$A$6:$A$10000,#REF!,SALE!$H$6:$H$10000,$A$4:$A$220)</f>
        <v>0</v>
      </c>
      <c r="BF17" s="989">
        <f t="shared" si="15"/>
        <v>0</v>
      </c>
      <c r="BG17" s="34">
        <f>SUMIFS(SALE!$K$6:$K$10000,SALE!$A$6:$A$10000,#REF!,SALE!$H$6:$H$10000,$A$4:$A$220)</f>
        <v>0</v>
      </c>
      <c r="BH17" s="34">
        <f>SUMIFS(SALE!$L$6:$L$10000,SALE!$A$6:$A$10000,#REF!,SALE!$H$6:$H$10000,$A$4:$A$220)</f>
        <v>0</v>
      </c>
      <c r="BI17" s="34">
        <f>SUMIFS(SALE!$M$6:$M$10000,SALE!$A$6:$A$10000,#REF!,SALE!$H$6:$H$10000,$A$4:$A$220)</f>
        <v>0</v>
      </c>
      <c r="BJ17" s="990">
        <f>SUMIFS(SALE!$N$6:$N$10000,SALE!$A$6:$A$10000,#REF!,SALE!$H$6:$H$10000,$A$4:$A$220)</f>
        <v>0</v>
      </c>
      <c r="BK17" s="11">
        <f t="shared" si="16"/>
        <v>5359038.9575999994</v>
      </c>
      <c r="BL17" s="11">
        <f t="shared" si="17"/>
        <v>4186749.17</v>
      </c>
      <c r="BM17" s="11">
        <f t="shared" si="18"/>
        <v>0</v>
      </c>
      <c r="BN17" s="11">
        <f t="shared" si="19"/>
        <v>586144.89379999996</v>
      </c>
      <c r="BO17" s="11">
        <f t="shared" si="20"/>
        <v>586144.89379999996</v>
      </c>
    </row>
    <row r="18" spans="1:67" x14ac:dyDescent="0.2">
      <c r="A18" s="467">
        <v>87142090</v>
      </c>
      <c r="B18" s="557" t="s">
        <v>266</v>
      </c>
      <c r="C18" s="989">
        <f t="shared" si="4"/>
        <v>0</v>
      </c>
      <c r="D18" s="34">
        <f>SUMIFS(SALE!$K$6:$K$10000,SALE!$A$6:$A$10000,$C$2,SALE!$H$6:$H$10000,$A$4:$A$220)</f>
        <v>0</v>
      </c>
      <c r="E18" s="34">
        <f>SUMIFS(SALE!$L$6:$L$10000,SALE!$A$6:$A$10000,$C$2,SALE!$H$6:$H$10000,$A$4:$A$220)</f>
        <v>0</v>
      </c>
      <c r="F18" s="34">
        <f>SUMIFS(SALE!$M$6:$M$10000,SALE!$A$6:$A$10000,$C$2,SALE!$H$6:$H$10000,$A$4:$A$220)</f>
        <v>0</v>
      </c>
      <c r="G18" s="990">
        <f>SUMIFS(SALE!$N$6:$N$10000,SALE!$A$6:$A$10000,$C$2,SALE!$H$6:$H$10000,$A$4:$A$220)</f>
        <v>0</v>
      </c>
      <c r="H18" s="981">
        <f t="shared" si="5"/>
        <v>0</v>
      </c>
      <c r="I18" s="34">
        <f>SUMIFS(SALE!$K$6:$K$10000,SALE!$A$6:$A$10000,$H$2,SALE!$H$6:$H$10000,$A$4:$A$220)</f>
        <v>0</v>
      </c>
      <c r="J18" s="34">
        <f>SUMIFS(SALE!$L$6:$L$10000,SALE!$A$6:$A$10000,$H$2,SALE!$H$6:$H$10000,$A$4:$A$220)</f>
        <v>0</v>
      </c>
      <c r="K18" s="34">
        <f>SUMIFS(SALE!$M$6:$M$10000,SALE!$A$6:$A$10000,$H$2,SALE!$H$6:$H$10000,$A$4:$A$220)</f>
        <v>0</v>
      </c>
      <c r="L18" s="74">
        <f>SUMIFS(SALE!$N$6:$N$10000,SALE!$A$6:$A$10000,$H$2,SALE!$H$6:$H$10000,$A$4:$A$220)</f>
        <v>0</v>
      </c>
      <c r="M18" s="989">
        <f t="shared" si="6"/>
        <v>77975.761920000004</v>
      </c>
      <c r="N18" s="34">
        <f>SUMIFS(SALE!$K$6:$K$10000,SALE!$A$6:$A$10000,$M$2,SALE!$H$6:$H$10000,$A$4:$A$220)</f>
        <v>60918.563999999998</v>
      </c>
      <c r="O18" s="34">
        <f>SUMIFS(SALE!$L$6:$L$10000,SALE!$A$6:$A$10000,$M$2,SALE!$H$6:$H$10000,$A$4:$A$220)</f>
        <v>0</v>
      </c>
      <c r="P18" s="34">
        <f>SUMIFS(SALE!$M$6:$M$10000,SALE!$A$6:$A$10000,$M$2,SALE!$H$6:$H$10000,$A$4:$A$220)</f>
        <v>8528.5989600000012</v>
      </c>
      <c r="Q18" s="990">
        <f>SUMIFS(SALE!$N$6:$N$10000,SALE!$A$6:$A$10000,$M$2,SALE!$H$6:$H$10000,$A$4:$A$220)</f>
        <v>8528.5989600000012</v>
      </c>
      <c r="R18" s="981">
        <f t="shared" si="7"/>
        <v>54221.926399999997</v>
      </c>
      <c r="S18" s="34">
        <f>SUMIFS(SALE!$K$6:$K$10000,SALE!$A$6:$A$10000,$R$2,SALE!$H$6:$H$10000,$A$4:$A$220)</f>
        <v>42360.880000000005</v>
      </c>
      <c r="T18" s="34">
        <f>SUMIFS(SALE!$L$6:$L$10000,SALE!$A$6:$A$10000,$R$2,SALE!$H$6:$H$10000,$A$4:$A$220)</f>
        <v>0</v>
      </c>
      <c r="U18" s="34">
        <f>SUMIFS(SALE!$M$6:$M$10000,SALE!$A$6:$A$10000,$R$2,SALE!$H$6:$H$10000,$A$4:$A$220)</f>
        <v>5930.5231999999996</v>
      </c>
      <c r="V18" s="74">
        <f>SUMIFS(SALE!$N$6:$N$10000,SALE!$A$6:$A$10000,$R$2,SALE!$H$6:$H$10000,$A$4:$A$220)</f>
        <v>5930.5231999999996</v>
      </c>
      <c r="W18" s="989">
        <f t="shared" si="8"/>
        <v>0</v>
      </c>
      <c r="X18" s="34">
        <f>SUMIFS(SALE!$K$6:$K$10000,SALE!$A$6:$A$10000,$W$2,SALE!$H$6:$H$10000,$A$4:$A$220)</f>
        <v>0</v>
      </c>
      <c r="Y18" s="34">
        <f>SUMIFS(SALE!$L$6:$L$10000,SALE!$A$6:$A$10000,$W$2,SALE!$H$6:$H$10000,$A$4:$A$220)</f>
        <v>0</v>
      </c>
      <c r="Z18" s="34">
        <f>SUMIFS(SALE!$M$6:$M$10000,SALE!$A$6:$A$10000,$W$2,SALE!$H$6:$H$10000,$A$4:$A$220)</f>
        <v>0</v>
      </c>
      <c r="AA18" s="990">
        <f>SUMIFS(SALE!$N$6:$N$10000,SALE!$A$6:$A$10000,$W$2,SALE!$H$6:$H$10000,$A$4:$A$220)</f>
        <v>0</v>
      </c>
      <c r="AB18" s="981">
        <f t="shared" si="9"/>
        <v>60936.192000000003</v>
      </c>
      <c r="AC18" s="34">
        <f>SUMIFS(SALE!$K$6:$K$10000,SALE!$A$6:$A$10000,$AB$2,SALE!$H$6:$H$10000,$A$4:$A$220)</f>
        <v>47606.400000000001</v>
      </c>
      <c r="AD18" s="34">
        <f>SUMIFS(SALE!$L$6:$L$10000,SALE!$A$6:$A$10000,$AB$2,SALE!$H$6:$H$10000,$A$4:$A$220)</f>
        <v>0</v>
      </c>
      <c r="AE18" s="34">
        <f>SUMIFS(SALE!$M$6:$M$10000,SALE!$A$6:$A$10000,$AB$2,SALE!$H$6:$H$10000,$A$4:$A$220)</f>
        <v>6664.8960000000006</v>
      </c>
      <c r="AF18" s="74">
        <f>SUMIFS(SALE!$N$6:$N$10000,SALE!$A$6:$A$10000,$AB$2,SALE!$H$6:$H$10000,$A$4:$A$220)</f>
        <v>6664.8960000000006</v>
      </c>
      <c r="AG18" s="989">
        <f t="shared" si="10"/>
        <v>0</v>
      </c>
      <c r="AH18" s="34">
        <f>SUMIFS(SALE!$K$6:$K$10000,SALE!$A$6:$A$10000,$AG$2,SALE!$H$6:$H$10000,$A$4:$A$220)</f>
        <v>0</v>
      </c>
      <c r="AI18" s="34">
        <f>SUMIFS(SALE!$L$6:$L$10000,SALE!$A$6:$A$10000,$AG$2,SALE!$H$6:$H$10000,$A$4:$A$220)</f>
        <v>0</v>
      </c>
      <c r="AJ18" s="34">
        <f>SUMIFS(SALE!$M$6:$M$10000,SALE!$A$6:$A$10000,$AG$2,SALE!$H$6:$H$10000,$A$4:$A$220)</f>
        <v>0</v>
      </c>
      <c r="AK18" s="990">
        <f>SUMIFS(SALE!$N$6:$N$10000,SALE!$A$6:$A$10000,$AG$2,SALE!$H$6:$H$10000,$A$4:$A$220)</f>
        <v>0</v>
      </c>
      <c r="AL18" s="981">
        <f t="shared" si="11"/>
        <v>0</v>
      </c>
      <c r="AM18" s="34">
        <f>SUMIFS(SALE!$K$6:$K$10000,SALE!$A$6:$A$10000,#REF!,SALE!$H$6:$H$10000,$A$4:$A$220)</f>
        <v>0</v>
      </c>
      <c r="AN18" s="34">
        <f>SUMIFS(SALE!$L$6:$L$10000,SALE!$A$6:$A$10000,#REF!,SALE!$H$6:$H$10000,$A$4:$A$220)</f>
        <v>0</v>
      </c>
      <c r="AO18" s="34">
        <f>SUMIFS(SALE!$M$6:$M$10000,SALE!$A$6:$A$10000,#REF!,SALE!$H$6:$H$10000,$A$4:$A$220)</f>
        <v>0</v>
      </c>
      <c r="AP18" s="74">
        <f>SUMIFS(SALE!$N$6:$N$10000,SALE!$A$6:$A$10000,#REF!,SALE!$H$6:$H$10000,$A$4:$A$220)</f>
        <v>0</v>
      </c>
      <c r="AQ18" s="989">
        <f t="shared" si="12"/>
        <v>0</v>
      </c>
      <c r="AR18" s="34">
        <f>SUMIFS(SALE!$K$6:$K$10000,SALE!$A$6:$A$10000,#REF!,SALE!$H$6:$H$10000,$A$4:$A$220)</f>
        <v>0</v>
      </c>
      <c r="AS18" s="34">
        <f>SUMIFS(SALE!$L$6:$L$10000,SALE!$A$6:$A$10000,#REF!,SALE!$H$6:$H$10000,$A$4:$A$220)</f>
        <v>0</v>
      </c>
      <c r="AT18" s="34">
        <f>SUMIFS(SALE!$M$6:$M$10000,SALE!$A$6:$A$10000,#REF!,SALE!$H$6:$H$10000,$A$4:$A$220)</f>
        <v>0</v>
      </c>
      <c r="AU18" s="990">
        <f>SUMIFS(SALE!$N$6:$N$10000,SALE!$A$6:$A$10000,#REF!,SALE!$H$6:$H$10000,$A$4:$A$220)</f>
        <v>0</v>
      </c>
      <c r="AV18" s="981">
        <f t="shared" si="13"/>
        <v>0</v>
      </c>
      <c r="AW18" s="34">
        <f>SUMIFS(SALE!$K$6:$K$10000,SALE!$A$6:$A$10000,#REF!,SALE!$H$6:$H$10000,$A$4:$A$220)</f>
        <v>0</v>
      </c>
      <c r="AX18" s="34">
        <f>SUMIFS(SALE!$L$6:$L$10000,SALE!$A$6:$A$10000,#REF!,SALE!$H$6:$H$10000,$A$4:$A$220)</f>
        <v>0</v>
      </c>
      <c r="AY18" s="34">
        <f>SUMIFS(SALE!$M$6:$M$10000,SALE!$A$6:$A$10000,#REF!,SALE!$H$6:$H$10000,$A$4:$A$220)</f>
        <v>0</v>
      </c>
      <c r="AZ18" s="74">
        <f>SUMIFS(SALE!$N$6:$N$10000,SALE!$A$6:$A$10000,#REF!,SALE!$H$6:$H$10000,$A$4:$A$220)</f>
        <v>0</v>
      </c>
      <c r="BA18" s="989">
        <f t="shared" si="14"/>
        <v>0</v>
      </c>
      <c r="BB18" s="34">
        <f>SUMIFS(SALE!$K$6:$K$10000,SALE!$A$6:$A$10000,#REF!,SALE!$H$6:$H$10000,$A$4:$A$220)</f>
        <v>0</v>
      </c>
      <c r="BC18" s="34">
        <f>SUMIFS(SALE!$L$6:$L$10000,SALE!$A$6:$A$10000,#REF!,SALE!$H$6:$H$10000,$A$4:$A$220)</f>
        <v>0</v>
      </c>
      <c r="BD18" s="34">
        <f>SUMIFS(SALE!$M$6:$M$10000,SALE!$A$6:$A$10000,#REF!,SALE!$H$6:$H$10000,$A$4:$A$220)</f>
        <v>0</v>
      </c>
      <c r="BE18" s="990">
        <f>SUMIFS(SALE!$N$6:$N$10000,SALE!$A$6:$A$10000,#REF!,SALE!$H$6:$H$10000,$A$4:$A$220)</f>
        <v>0</v>
      </c>
      <c r="BF18" s="989">
        <f t="shared" si="15"/>
        <v>0</v>
      </c>
      <c r="BG18" s="34">
        <f>SUMIFS(SALE!$K$6:$K$10000,SALE!$A$6:$A$10000,#REF!,SALE!$H$6:$H$10000,$A$4:$A$220)</f>
        <v>0</v>
      </c>
      <c r="BH18" s="34">
        <f>SUMIFS(SALE!$L$6:$L$10000,SALE!$A$6:$A$10000,#REF!,SALE!$H$6:$H$10000,$A$4:$A$220)</f>
        <v>0</v>
      </c>
      <c r="BI18" s="34">
        <f>SUMIFS(SALE!$M$6:$M$10000,SALE!$A$6:$A$10000,#REF!,SALE!$H$6:$H$10000,$A$4:$A$220)</f>
        <v>0</v>
      </c>
      <c r="BJ18" s="990">
        <f>SUMIFS(SALE!$N$6:$N$10000,SALE!$A$6:$A$10000,#REF!,SALE!$H$6:$H$10000,$A$4:$A$220)</f>
        <v>0</v>
      </c>
      <c r="BK18" s="11">
        <f t="shared" si="16"/>
        <v>193133.88032000003</v>
      </c>
      <c r="BL18" s="11">
        <f t="shared" si="17"/>
        <v>150885.84400000001</v>
      </c>
      <c r="BM18" s="11">
        <f t="shared" si="18"/>
        <v>0</v>
      </c>
      <c r="BN18" s="11">
        <f t="shared" si="19"/>
        <v>21124.01816</v>
      </c>
      <c r="BO18" s="11">
        <f t="shared" si="20"/>
        <v>21124.01816</v>
      </c>
    </row>
    <row r="19" spans="1:67" x14ac:dyDescent="0.2">
      <c r="A19" s="467" t="s">
        <v>232</v>
      </c>
      <c r="B19" s="500" t="s">
        <v>266</v>
      </c>
      <c r="C19" s="989">
        <f t="shared" si="4"/>
        <v>0</v>
      </c>
      <c r="D19" s="34">
        <f>SUMIFS(SALE!$K$6:$K$10000,SALE!$A$6:$A$10000,$C$2,SALE!$H$6:$H$10000,$A$4:$A$220)</f>
        <v>0</v>
      </c>
      <c r="E19" s="34">
        <f>SUMIFS(SALE!$L$6:$L$10000,SALE!$A$6:$A$10000,$C$2,SALE!$H$6:$H$10000,$A$4:$A$220)</f>
        <v>0</v>
      </c>
      <c r="F19" s="34">
        <f>SUMIFS(SALE!$M$6:$M$10000,SALE!$A$6:$A$10000,$C$2,SALE!$H$6:$H$10000,$A$4:$A$220)</f>
        <v>0</v>
      </c>
      <c r="G19" s="990">
        <f>SUMIFS(SALE!$N$6:$N$10000,SALE!$A$6:$A$10000,$C$2,SALE!$H$6:$H$10000,$A$4:$A$220)</f>
        <v>0</v>
      </c>
      <c r="H19" s="981">
        <f t="shared" si="5"/>
        <v>0</v>
      </c>
      <c r="I19" s="34">
        <f>SUMIFS(SALE!$K$6:$K$10000,SALE!$A$6:$A$10000,$H$2,SALE!$H$6:$H$10000,$A$4:$A$220)</f>
        <v>0</v>
      </c>
      <c r="J19" s="34">
        <f>SUMIFS(SALE!$L$6:$L$10000,SALE!$A$6:$A$10000,$H$2,SALE!$H$6:$H$10000,$A$4:$A$220)</f>
        <v>0</v>
      </c>
      <c r="K19" s="34">
        <f>SUMIFS(SALE!$M$6:$M$10000,SALE!$A$6:$A$10000,$H$2,SALE!$H$6:$H$10000,$A$4:$A$220)</f>
        <v>0</v>
      </c>
      <c r="L19" s="74">
        <f>SUMIFS(SALE!$N$6:$N$10000,SALE!$A$6:$A$10000,$H$2,SALE!$H$6:$H$10000,$A$4:$A$220)</f>
        <v>0</v>
      </c>
      <c r="M19" s="989">
        <f t="shared" si="6"/>
        <v>0</v>
      </c>
      <c r="N19" s="34">
        <f>SUMIFS(SALE!$K$6:$K$10000,SALE!$A$6:$A$10000,$M$2,SALE!$H$6:$H$10000,$A$4:$A$220)</f>
        <v>0</v>
      </c>
      <c r="O19" s="34">
        <f>SUMIFS(SALE!$L$6:$L$10000,SALE!$A$6:$A$10000,$M$2,SALE!$H$6:$H$10000,$A$4:$A$220)</f>
        <v>0</v>
      </c>
      <c r="P19" s="34">
        <f>SUMIFS(SALE!$M$6:$M$10000,SALE!$A$6:$A$10000,$M$2,SALE!$H$6:$H$10000,$A$4:$A$220)</f>
        <v>0</v>
      </c>
      <c r="Q19" s="990">
        <f>SUMIFS(SALE!$N$6:$N$10000,SALE!$A$6:$A$10000,$M$2,SALE!$H$6:$H$10000,$A$4:$A$220)</f>
        <v>0</v>
      </c>
      <c r="R19" s="981">
        <f t="shared" si="7"/>
        <v>0</v>
      </c>
      <c r="S19" s="34">
        <f>SUMIFS(SALE!$K$6:$K$10000,SALE!$A$6:$A$10000,$R$2,SALE!$H$6:$H$10000,$A$4:$A$220)</f>
        <v>0</v>
      </c>
      <c r="T19" s="34">
        <f>SUMIFS(SALE!$L$6:$L$10000,SALE!$A$6:$A$10000,$R$2,SALE!$H$6:$H$10000,$A$4:$A$220)</f>
        <v>0</v>
      </c>
      <c r="U19" s="34">
        <f>SUMIFS(SALE!$M$6:$M$10000,SALE!$A$6:$A$10000,$R$2,SALE!$H$6:$H$10000,$A$4:$A$220)</f>
        <v>0</v>
      </c>
      <c r="V19" s="74">
        <f>SUMIFS(SALE!$N$6:$N$10000,SALE!$A$6:$A$10000,$R$2,SALE!$H$6:$H$10000,$A$4:$A$220)</f>
        <v>0</v>
      </c>
      <c r="W19" s="989">
        <f t="shared" si="8"/>
        <v>0</v>
      </c>
      <c r="X19" s="34">
        <f>SUMIFS(SALE!$K$6:$K$10000,SALE!$A$6:$A$10000,$W$2,SALE!$H$6:$H$10000,$A$4:$A$220)</f>
        <v>0</v>
      </c>
      <c r="Y19" s="34">
        <f>SUMIFS(SALE!$L$6:$L$10000,SALE!$A$6:$A$10000,$W$2,SALE!$H$6:$H$10000,$A$4:$A$220)</f>
        <v>0</v>
      </c>
      <c r="Z19" s="34">
        <f>SUMIFS(SALE!$M$6:$M$10000,SALE!$A$6:$A$10000,$W$2,SALE!$H$6:$H$10000,$A$4:$A$220)</f>
        <v>0</v>
      </c>
      <c r="AA19" s="990">
        <f>SUMIFS(SALE!$N$6:$N$10000,SALE!$A$6:$A$10000,$W$2,SALE!$H$6:$H$10000,$A$4:$A$220)</f>
        <v>0</v>
      </c>
      <c r="AB19" s="981">
        <f t="shared" si="9"/>
        <v>4393.2579999999998</v>
      </c>
      <c r="AC19" s="34">
        <f>SUMIFS(SALE!$K$6:$K$10000,SALE!$A$6:$A$10000,$AB$2,SALE!$H$6:$H$10000,$A$4:$A$220)</f>
        <v>3723.1</v>
      </c>
      <c r="AD19" s="34">
        <f>SUMIFS(SALE!$L$6:$L$10000,SALE!$A$6:$A$10000,$AB$2,SALE!$H$6:$H$10000,$A$4:$A$220)</f>
        <v>0</v>
      </c>
      <c r="AE19" s="34">
        <f>SUMIFS(SALE!$M$6:$M$10000,SALE!$A$6:$A$10000,$AB$2,SALE!$H$6:$H$10000,$A$4:$A$220)</f>
        <v>335.07900000000001</v>
      </c>
      <c r="AF19" s="74">
        <f>SUMIFS(SALE!$N$6:$N$10000,SALE!$A$6:$A$10000,$AB$2,SALE!$H$6:$H$10000,$A$4:$A$220)</f>
        <v>335.07900000000001</v>
      </c>
      <c r="AG19" s="989">
        <f t="shared" si="10"/>
        <v>0</v>
      </c>
      <c r="AH19" s="34">
        <f>SUMIFS(SALE!$K$6:$K$10000,SALE!$A$6:$A$10000,$AG$2,SALE!$H$6:$H$10000,$A$4:$A$220)</f>
        <v>0</v>
      </c>
      <c r="AI19" s="34">
        <f>SUMIFS(SALE!$L$6:$L$10000,SALE!$A$6:$A$10000,$AG$2,SALE!$H$6:$H$10000,$A$4:$A$220)</f>
        <v>0</v>
      </c>
      <c r="AJ19" s="34">
        <f>SUMIFS(SALE!$M$6:$M$10000,SALE!$A$6:$A$10000,$AG$2,SALE!$H$6:$H$10000,$A$4:$A$220)</f>
        <v>0</v>
      </c>
      <c r="AK19" s="990">
        <f>SUMIFS(SALE!$N$6:$N$10000,SALE!$A$6:$A$10000,$AG$2,SALE!$H$6:$H$10000,$A$4:$A$220)</f>
        <v>0</v>
      </c>
      <c r="AL19" s="981">
        <f t="shared" si="11"/>
        <v>0</v>
      </c>
      <c r="AM19" s="34">
        <f>SUMIFS(SALE!$K$6:$K$10000,SALE!$A$6:$A$10000,#REF!,SALE!$H$6:$H$10000,$A$4:$A$220)</f>
        <v>0</v>
      </c>
      <c r="AN19" s="34">
        <f>SUMIFS(SALE!$L$6:$L$10000,SALE!$A$6:$A$10000,#REF!,SALE!$H$6:$H$10000,$A$4:$A$220)</f>
        <v>0</v>
      </c>
      <c r="AO19" s="34">
        <f>SUMIFS(SALE!$M$6:$M$10000,SALE!$A$6:$A$10000,#REF!,SALE!$H$6:$H$10000,$A$4:$A$220)</f>
        <v>0</v>
      </c>
      <c r="AP19" s="74">
        <f>SUMIFS(SALE!$N$6:$N$10000,SALE!$A$6:$A$10000,#REF!,SALE!$H$6:$H$10000,$A$4:$A$220)</f>
        <v>0</v>
      </c>
      <c r="AQ19" s="989">
        <f t="shared" si="12"/>
        <v>0</v>
      </c>
      <c r="AR19" s="34">
        <f>SUMIFS(SALE!$K$6:$K$10000,SALE!$A$6:$A$10000,#REF!,SALE!$H$6:$H$10000,$A$4:$A$220)</f>
        <v>0</v>
      </c>
      <c r="AS19" s="34">
        <f>SUMIFS(SALE!$L$6:$L$10000,SALE!$A$6:$A$10000,#REF!,SALE!$H$6:$H$10000,$A$4:$A$220)</f>
        <v>0</v>
      </c>
      <c r="AT19" s="34">
        <f>SUMIFS(SALE!$M$6:$M$10000,SALE!$A$6:$A$10000,#REF!,SALE!$H$6:$H$10000,$A$4:$A$220)</f>
        <v>0</v>
      </c>
      <c r="AU19" s="990">
        <f>SUMIFS(SALE!$N$6:$N$10000,SALE!$A$6:$A$10000,#REF!,SALE!$H$6:$H$10000,$A$4:$A$220)</f>
        <v>0</v>
      </c>
      <c r="AV19" s="981">
        <f t="shared" si="13"/>
        <v>0</v>
      </c>
      <c r="AW19" s="34">
        <f>SUMIFS(SALE!$K$6:$K$10000,SALE!$A$6:$A$10000,#REF!,SALE!$H$6:$H$10000,$A$4:$A$220)</f>
        <v>0</v>
      </c>
      <c r="AX19" s="34">
        <f>SUMIFS(SALE!$L$6:$L$10000,SALE!$A$6:$A$10000,#REF!,SALE!$H$6:$H$10000,$A$4:$A$220)</f>
        <v>0</v>
      </c>
      <c r="AY19" s="34">
        <f>SUMIFS(SALE!$M$6:$M$10000,SALE!$A$6:$A$10000,#REF!,SALE!$H$6:$H$10000,$A$4:$A$220)</f>
        <v>0</v>
      </c>
      <c r="AZ19" s="74">
        <f>SUMIFS(SALE!$N$6:$N$10000,SALE!$A$6:$A$10000,#REF!,SALE!$H$6:$H$10000,$A$4:$A$220)</f>
        <v>0</v>
      </c>
      <c r="BA19" s="989">
        <f t="shared" si="14"/>
        <v>0</v>
      </c>
      <c r="BB19" s="34">
        <f>SUMIFS(SALE!$K$6:$K$10000,SALE!$A$6:$A$10000,#REF!,SALE!$H$6:$H$10000,$A$4:$A$220)</f>
        <v>0</v>
      </c>
      <c r="BC19" s="34">
        <f>SUMIFS(SALE!$L$6:$L$10000,SALE!$A$6:$A$10000,#REF!,SALE!$H$6:$H$10000,$A$4:$A$220)</f>
        <v>0</v>
      </c>
      <c r="BD19" s="34">
        <f>SUMIFS(SALE!$M$6:$M$10000,SALE!$A$6:$A$10000,#REF!,SALE!$H$6:$H$10000,$A$4:$A$220)</f>
        <v>0</v>
      </c>
      <c r="BE19" s="990">
        <f>SUMIFS(SALE!$N$6:$N$10000,SALE!$A$6:$A$10000,#REF!,SALE!$H$6:$H$10000,$A$4:$A$220)</f>
        <v>0</v>
      </c>
      <c r="BF19" s="989">
        <f t="shared" si="15"/>
        <v>0</v>
      </c>
      <c r="BG19" s="34">
        <f>SUMIFS(SALE!$K$6:$K$10000,SALE!$A$6:$A$10000,#REF!,SALE!$H$6:$H$10000,$A$4:$A$220)</f>
        <v>0</v>
      </c>
      <c r="BH19" s="34">
        <f>SUMIFS(SALE!$L$6:$L$10000,SALE!$A$6:$A$10000,#REF!,SALE!$H$6:$H$10000,$A$4:$A$220)</f>
        <v>0</v>
      </c>
      <c r="BI19" s="34">
        <f>SUMIFS(SALE!$M$6:$M$10000,SALE!$A$6:$A$10000,#REF!,SALE!$H$6:$H$10000,$A$4:$A$220)</f>
        <v>0</v>
      </c>
      <c r="BJ19" s="990">
        <f>SUMIFS(SALE!$N$6:$N$10000,SALE!$A$6:$A$10000,#REF!,SALE!$H$6:$H$10000,$A$4:$A$220)</f>
        <v>0</v>
      </c>
      <c r="BK19" s="11">
        <f t="shared" si="16"/>
        <v>4393.2579999999998</v>
      </c>
      <c r="BL19" s="11">
        <f t="shared" si="17"/>
        <v>3723.1</v>
      </c>
      <c r="BM19" s="11">
        <f t="shared" si="18"/>
        <v>0</v>
      </c>
      <c r="BN19" s="11">
        <f t="shared" si="19"/>
        <v>335.07900000000001</v>
      </c>
      <c r="BO19" s="11">
        <f t="shared" si="20"/>
        <v>335.07900000000001</v>
      </c>
    </row>
    <row r="20" spans="1:67" x14ac:dyDescent="0.2">
      <c r="A20" s="467" t="s">
        <v>2425</v>
      </c>
      <c r="B20" s="500" t="s">
        <v>266</v>
      </c>
      <c r="C20" s="989">
        <f t="shared" si="4"/>
        <v>0</v>
      </c>
      <c r="D20" s="34">
        <f>SUMIFS(SALE!$K$6:$K$10000,SALE!$A$6:$A$10000,$C$2,SALE!$H$6:$H$10000,$A$4:$A$220)</f>
        <v>0</v>
      </c>
      <c r="E20" s="34">
        <f>SUMIFS(SALE!$L$6:$L$10000,SALE!$A$6:$A$10000,$C$2,SALE!$H$6:$H$10000,$A$4:$A$220)</f>
        <v>0</v>
      </c>
      <c r="F20" s="34">
        <f>SUMIFS(SALE!$M$6:$M$10000,SALE!$A$6:$A$10000,$C$2,SALE!$H$6:$H$10000,$A$4:$A$220)</f>
        <v>0</v>
      </c>
      <c r="G20" s="990">
        <f>SUMIFS(SALE!$N$6:$N$10000,SALE!$A$6:$A$10000,$C$2,SALE!$H$6:$H$10000,$A$4:$A$220)</f>
        <v>0</v>
      </c>
      <c r="H20" s="981">
        <f t="shared" si="5"/>
        <v>0</v>
      </c>
      <c r="I20" s="34">
        <f>SUMIFS(SALE!$K$6:$K$10000,SALE!$A$6:$A$10000,$H$2,SALE!$H$6:$H$10000,$A$4:$A$220)</f>
        <v>0</v>
      </c>
      <c r="J20" s="34">
        <f>SUMIFS(SALE!$L$6:$L$10000,SALE!$A$6:$A$10000,$H$2,SALE!$H$6:$H$10000,$A$4:$A$220)</f>
        <v>0</v>
      </c>
      <c r="K20" s="34">
        <f>SUMIFS(SALE!$M$6:$M$10000,SALE!$A$6:$A$10000,$H$2,SALE!$H$6:$H$10000,$A$4:$A$220)</f>
        <v>0</v>
      </c>
      <c r="L20" s="74">
        <f>SUMIFS(SALE!$N$6:$N$10000,SALE!$A$6:$A$10000,$H$2,SALE!$H$6:$H$10000,$A$4:$A$220)</f>
        <v>0</v>
      </c>
      <c r="M20" s="989">
        <f t="shared" si="6"/>
        <v>0</v>
      </c>
      <c r="N20" s="34">
        <f>SUMIFS(SALE!$K$6:$K$10000,SALE!$A$6:$A$10000,$M$2,SALE!$H$6:$H$10000,$A$4:$A$220)</f>
        <v>0</v>
      </c>
      <c r="O20" s="34">
        <f>SUMIFS(SALE!$L$6:$L$10000,SALE!$A$6:$A$10000,$M$2,SALE!$H$6:$H$10000,$A$4:$A$220)</f>
        <v>0</v>
      </c>
      <c r="P20" s="34">
        <f>SUMIFS(SALE!$M$6:$M$10000,SALE!$A$6:$A$10000,$M$2,SALE!$H$6:$H$10000,$A$4:$A$220)</f>
        <v>0</v>
      </c>
      <c r="Q20" s="990">
        <f>SUMIFS(SALE!$N$6:$N$10000,SALE!$A$6:$A$10000,$M$2,SALE!$H$6:$H$10000,$A$4:$A$220)</f>
        <v>0</v>
      </c>
      <c r="R20" s="981">
        <f t="shared" si="7"/>
        <v>0</v>
      </c>
      <c r="S20" s="34">
        <f>SUMIFS(SALE!$K$6:$K$10000,SALE!$A$6:$A$10000,$R$2,SALE!$H$6:$H$10000,$A$4:$A$220)</f>
        <v>0</v>
      </c>
      <c r="T20" s="34">
        <f>SUMIFS(SALE!$L$6:$L$10000,SALE!$A$6:$A$10000,$R$2,SALE!$H$6:$H$10000,$A$4:$A$220)</f>
        <v>0</v>
      </c>
      <c r="U20" s="34">
        <f>SUMIFS(SALE!$M$6:$M$10000,SALE!$A$6:$A$10000,$R$2,SALE!$H$6:$H$10000,$A$4:$A$220)</f>
        <v>0</v>
      </c>
      <c r="V20" s="74">
        <f>SUMIFS(SALE!$N$6:$N$10000,SALE!$A$6:$A$10000,$R$2,SALE!$H$6:$H$10000,$A$4:$A$220)</f>
        <v>0</v>
      </c>
      <c r="W20" s="989">
        <f t="shared" si="8"/>
        <v>0</v>
      </c>
      <c r="X20" s="34">
        <f>SUMIFS(SALE!$K$6:$K$10000,SALE!$A$6:$A$10000,$W$2,SALE!$H$6:$H$10000,$A$4:$A$220)</f>
        <v>0</v>
      </c>
      <c r="Y20" s="34">
        <f>SUMIFS(SALE!$L$6:$L$10000,SALE!$A$6:$A$10000,$W$2,SALE!$H$6:$H$10000,$A$4:$A$220)</f>
        <v>0</v>
      </c>
      <c r="Z20" s="34">
        <f>SUMIFS(SALE!$M$6:$M$10000,SALE!$A$6:$A$10000,$W$2,SALE!$H$6:$H$10000,$A$4:$A$220)</f>
        <v>0</v>
      </c>
      <c r="AA20" s="990">
        <f>SUMIFS(SALE!$N$6:$N$10000,SALE!$A$6:$A$10000,$W$2,SALE!$H$6:$H$10000,$A$4:$A$220)</f>
        <v>0</v>
      </c>
      <c r="AB20" s="981">
        <f t="shared" si="9"/>
        <v>0</v>
      </c>
      <c r="AC20" s="34">
        <f>SUMIFS(SALE!$K$6:$K$10000,SALE!$A$6:$A$10000,$AB$2,SALE!$H$6:$H$10000,$A$4:$A$220)</f>
        <v>0</v>
      </c>
      <c r="AD20" s="34">
        <f>SUMIFS(SALE!$L$6:$L$10000,SALE!$A$6:$A$10000,$AB$2,SALE!$H$6:$H$10000,$A$4:$A$220)</f>
        <v>0</v>
      </c>
      <c r="AE20" s="34">
        <f>SUMIFS(SALE!$M$6:$M$10000,SALE!$A$6:$A$10000,$AB$2,SALE!$H$6:$H$10000,$A$4:$A$220)</f>
        <v>0</v>
      </c>
      <c r="AF20" s="74">
        <f>SUMIFS(SALE!$N$6:$N$10000,SALE!$A$6:$A$10000,$AB$2,SALE!$H$6:$H$10000,$A$4:$A$220)</f>
        <v>0</v>
      </c>
      <c r="AG20" s="989">
        <f t="shared" si="10"/>
        <v>1162959.6160000002</v>
      </c>
      <c r="AH20" s="34">
        <f>SUMIFS(SALE!$K$6:$K$10000,SALE!$A$6:$A$10000,$AG$2,SALE!$H$6:$H$10000,$A$4:$A$220)</f>
        <v>1038356.8</v>
      </c>
      <c r="AI20" s="34">
        <f>SUMIFS(SALE!$L$6:$L$10000,SALE!$A$6:$A$10000,$AG$2,SALE!$H$6:$H$10000,$A$4:$A$220)</f>
        <v>0</v>
      </c>
      <c r="AJ20" s="34">
        <f>SUMIFS(SALE!$M$6:$M$10000,SALE!$A$6:$A$10000,$AG$2,SALE!$H$6:$H$10000,$A$4:$A$220)</f>
        <v>62301.407999999996</v>
      </c>
      <c r="AK20" s="990">
        <f>SUMIFS(SALE!$N$6:$N$10000,SALE!$A$6:$A$10000,$AG$2,SALE!$H$6:$H$10000,$A$4:$A$220)</f>
        <v>62301.407999999996</v>
      </c>
      <c r="AL20" s="981">
        <f t="shared" si="11"/>
        <v>0</v>
      </c>
      <c r="AM20" s="34">
        <f>SUMIFS(SALE!$K$6:$K$10000,SALE!$A$6:$A$10000,#REF!,SALE!$H$6:$H$10000,$A$4:$A$220)</f>
        <v>0</v>
      </c>
      <c r="AN20" s="34">
        <f>SUMIFS(SALE!$L$6:$L$10000,SALE!$A$6:$A$10000,#REF!,SALE!$H$6:$H$10000,$A$4:$A$220)</f>
        <v>0</v>
      </c>
      <c r="AO20" s="34">
        <f>SUMIFS(SALE!$M$6:$M$10000,SALE!$A$6:$A$10000,#REF!,SALE!$H$6:$H$10000,$A$4:$A$220)</f>
        <v>0</v>
      </c>
      <c r="AP20" s="74">
        <f>SUMIFS(SALE!$N$6:$N$10000,SALE!$A$6:$A$10000,#REF!,SALE!$H$6:$H$10000,$A$4:$A$220)</f>
        <v>0</v>
      </c>
      <c r="AQ20" s="989">
        <f t="shared" si="12"/>
        <v>0</v>
      </c>
      <c r="AR20" s="34">
        <f>SUMIFS(SALE!$K$6:$K$10000,SALE!$A$6:$A$10000,#REF!,SALE!$H$6:$H$10000,$A$4:$A$220)</f>
        <v>0</v>
      </c>
      <c r="AS20" s="34">
        <f>SUMIFS(SALE!$L$6:$L$10000,SALE!$A$6:$A$10000,#REF!,SALE!$H$6:$H$10000,$A$4:$A$220)</f>
        <v>0</v>
      </c>
      <c r="AT20" s="34">
        <f>SUMIFS(SALE!$M$6:$M$10000,SALE!$A$6:$A$10000,#REF!,SALE!$H$6:$H$10000,$A$4:$A$220)</f>
        <v>0</v>
      </c>
      <c r="AU20" s="990">
        <f>SUMIFS(SALE!$N$6:$N$10000,SALE!$A$6:$A$10000,#REF!,SALE!$H$6:$H$10000,$A$4:$A$220)</f>
        <v>0</v>
      </c>
      <c r="AV20" s="981">
        <f t="shared" si="13"/>
        <v>0</v>
      </c>
      <c r="AW20" s="34">
        <f>SUMIFS(SALE!$K$6:$K$10000,SALE!$A$6:$A$10000,#REF!,SALE!$H$6:$H$10000,$A$4:$A$220)</f>
        <v>0</v>
      </c>
      <c r="AX20" s="34">
        <f>SUMIFS(SALE!$L$6:$L$10000,SALE!$A$6:$A$10000,#REF!,SALE!$H$6:$H$10000,$A$4:$A$220)</f>
        <v>0</v>
      </c>
      <c r="AY20" s="34">
        <f>SUMIFS(SALE!$M$6:$M$10000,SALE!$A$6:$A$10000,#REF!,SALE!$H$6:$H$10000,$A$4:$A$220)</f>
        <v>0</v>
      </c>
      <c r="AZ20" s="74">
        <f>SUMIFS(SALE!$N$6:$N$10000,SALE!$A$6:$A$10000,#REF!,SALE!$H$6:$H$10000,$A$4:$A$220)</f>
        <v>0</v>
      </c>
      <c r="BA20" s="989">
        <f t="shared" si="14"/>
        <v>0</v>
      </c>
      <c r="BB20" s="34">
        <f>SUMIFS(SALE!$K$6:$K$10000,SALE!$A$6:$A$10000,#REF!,SALE!$H$6:$H$10000,$A$4:$A$220)</f>
        <v>0</v>
      </c>
      <c r="BC20" s="34">
        <f>SUMIFS(SALE!$L$6:$L$10000,SALE!$A$6:$A$10000,#REF!,SALE!$H$6:$H$10000,$A$4:$A$220)</f>
        <v>0</v>
      </c>
      <c r="BD20" s="34">
        <f>SUMIFS(SALE!$M$6:$M$10000,SALE!$A$6:$A$10000,#REF!,SALE!$H$6:$H$10000,$A$4:$A$220)</f>
        <v>0</v>
      </c>
      <c r="BE20" s="990">
        <f>SUMIFS(SALE!$N$6:$N$10000,SALE!$A$6:$A$10000,#REF!,SALE!$H$6:$H$10000,$A$4:$A$220)</f>
        <v>0</v>
      </c>
      <c r="BF20" s="989">
        <f t="shared" si="15"/>
        <v>0</v>
      </c>
      <c r="BG20" s="34">
        <f>SUMIFS(SALE!$K$6:$K$10000,SALE!$A$6:$A$10000,#REF!,SALE!$H$6:$H$10000,$A$4:$A$220)</f>
        <v>0</v>
      </c>
      <c r="BH20" s="34">
        <f>SUMIFS(SALE!$L$6:$L$10000,SALE!$A$6:$A$10000,#REF!,SALE!$H$6:$H$10000,$A$4:$A$220)</f>
        <v>0</v>
      </c>
      <c r="BI20" s="34">
        <f>SUMIFS(SALE!$M$6:$M$10000,SALE!$A$6:$A$10000,#REF!,SALE!$H$6:$H$10000,$A$4:$A$220)</f>
        <v>0</v>
      </c>
      <c r="BJ20" s="990">
        <f>SUMIFS(SALE!$N$6:$N$10000,SALE!$A$6:$A$10000,#REF!,SALE!$H$6:$H$10000,$A$4:$A$220)</f>
        <v>0</v>
      </c>
      <c r="BK20" s="11">
        <f t="shared" si="16"/>
        <v>1162959.6160000002</v>
      </c>
      <c r="BL20" s="11">
        <f t="shared" si="17"/>
        <v>1038356.8</v>
      </c>
      <c r="BM20" s="11">
        <f t="shared" si="18"/>
        <v>0</v>
      </c>
      <c r="BN20" s="11">
        <f t="shared" si="19"/>
        <v>62301.407999999996</v>
      </c>
      <c r="BO20" s="11">
        <f t="shared" si="20"/>
        <v>62301.407999999996</v>
      </c>
    </row>
    <row r="21" spans="1:67" x14ac:dyDescent="0.2">
      <c r="A21" s="467"/>
      <c r="B21" s="467"/>
      <c r="C21" s="989">
        <f t="shared" si="4"/>
        <v>0</v>
      </c>
      <c r="D21" s="34">
        <f>SUMIFS(SALE!$K$6:$K$10000,SALE!$A$6:$A$10000,$C$2,SALE!$H$6:$H$10000,$A$4:$A$220)</f>
        <v>0</v>
      </c>
      <c r="E21" s="34">
        <f>SUMIFS(SALE!$L$6:$L$10000,SALE!$A$6:$A$10000,$C$2,SALE!$H$6:$H$10000,$A$4:$A$220)</f>
        <v>0</v>
      </c>
      <c r="F21" s="34">
        <f>SUMIFS(SALE!$M$6:$M$10000,SALE!$A$6:$A$10000,$C$2,SALE!$H$6:$H$10000,$A$4:$A$220)</f>
        <v>0</v>
      </c>
      <c r="G21" s="990">
        <f>SUMIFS(SALE!$N$6:$N$10000,SALE!$A$6:$A$10000,$C$2,SALE!$H$6:$H$10000,$A$4:$A$220)</f>
        <v>0</v>
      </c>
      <c r="H21" s="981">
        <f t="shared" si="5"/>
        <v>0</v>
      </c>
      <c r="I21" s="34">
        <f>SUMIFS(SALE!$K$6:$K$10000,SALE!$A$6:$A$10000,$H$2,SALE!$H$6:$H$10000,$A$4:$A$220)</f>
        <v>0</v>
      </c>
      <c r="J21" s="34">
        <f>SUMIFS(SALE!$L$6:$L$10000,SALE!$A$6:$A$10000,$H$2,SALE!$H$6:$H$10000,$A$4:$A$220)</f>
        <v>0</v>
      </c>
      <c r="K21" s="34">
        <f>SUMIFS(SALE!$M$6:$M$10000,SALE!$A$6:$A$10000,$H$2,SALE!$H$6:$H$10000,$A$4:$A$220)</f>
        <v>0</v>
      </c>
      <c r="L21" s="74">
        <f>SUMIFS(SALE!$N$6:$N$10000,SALE!$A$6:$A$10000,$H$2,SALE!$H$6:$H$10000,$A$4:$A$220)</f>
        <v>0</v>
      </c>
      <c r="M21" s="989">
        <f t="shared" si="6"/>
        <v>0</v>
      </c>
      <c r="N21" s="34">
        <f>SUMIFS(SALE!$K$6:$K$10000,SALE!$A$6:$A$10000,$M$2,SALE!$H$6:$H$10000,$A$4:$A$220)</f>
        <v>0</v>
      </c>
      <c r="O21" s="34">
        <f>SUMIFS(SALE!$L$6:$L$10000,SALE!$A$6:$A$10000,$M$2,SALE!$H$6:$H$10000,$A$4:$A$220)</f>
        <v>0</v>
      </c>
      <c r="P21" s="34">
        <f>SUMIFS(SALE!$M$6:$M$10000,SALE!$A$6:$A$10000,$M$2,SALE!$H$6:$H$10000,$A$4:$A$220)</f>
        <v>0</v>
      </c>
      <c r="Q21" s="990">
        <f>SUMIFS(SALE!$N$6:$N$10000,SALE!$A$6:$A$10000,$M$2,SALE!$H$6:$H$10000,$A$4:$A$220)</f>
        <v>0</v>
      </c>
      <c r="R21" s="981">
        <f t="shared" si="7"/>
        <v>0</v>
      </c>
      <c r="S21" s="34">
        <f>SUMIFS(SALE!$K$6:$K$10000,SALE!$A$6:$A$10000,$R$2,SALE!$H$6:$H$10000,$A$4:$A$220)</f>
        <v>0</v>
      </c>
      <c r="T21" s="34">
        <f>SUMIFS(SALE!$L$6:$L$10000,SALE!$A$6:$A$10000,$R$2,SALE!$H$6:$H$10000,$A$4:$A$220)</f>
        <v>0</v>
      </c>
      <c r="U21" s="34">
        <f>SUMIFS(SALE!$M$6:$M$10000,SALE!$A$6:$A$10000,$R$2,SALE!$H$6:$H$10000,$A$4:$A$220)</f>
        <v>0</v>
      </c>
      <c r="V21" s="74">
        <f>SUMIFS(SALE!$N$6:$N$10000,SALE!$A$6:$A$10000,$R$2,SALE!$H$6:$H$10000,$A$4:$A$220)</f>
        <v>0</v>
      </c>
      <c r="W21" s="989">
        <f t="shared" si="8"/>
        <v>0</v>
      </c>
      <c r="X21" s="34">
        <f>SUMIFS(SALE!$K$6:$K$10000,SALE!$A$6:$A$10000,$W$2,SALE!$H$6:$H$10000,$A$4:$A$220)</f>
        <v>0</v>
      </c>
      <c r="Y21" s="34">
        <f>SUMIFS(SALE!$L$6:$L$10000,SALE!$A$6:$A$10000,$W$2,SALE!$H$6:$H$10000,$A$4:$A$220)</f>
        <v>0</v>
      </c>
      <c r="Z21" s="34">
        <f>SUMIFS(SALE!$M$6:$M$10000,SALE!$A$6:$A$10000,$W$2,SALE!$H$6:$H$10000,$A$4:$A$220)</f>
        <v>0</v>
      </c>
      <c r="AA21" s="990">
        <f>SUMIFS(SALE!$N$6:$N$10000,SALE!$A$6:$A$10000,$W$2,SALE!$H$6:$H$10000,$A$4:$A$220)</f>
        <v>0</v>
      </c>
      <c r="AB21" s="981">
        <f t="shared" si="9"/>
        <v>0</v>
      </c>
      <c r="AC21" s="34">
        <f>SUMIFS(SALE!$K$6:$K$10000,SALE!$A$6:$A$10000,$AB$2,SALE!$H$6:$H$10000,$A$4:$A$220)</f>
        <v>0</v>
      </c>
      <c r="AD21" s="34">
        <f>SUMIFS(SALE!$L$6:$L$10000,SALE!$A$6:$A$10000,$AB$2,SALE!$H$6:$H$10000,$A$4:$A$220)</f>
        <v>0</v>
      </c>
      <c r="AE21" s="34">
        <f>SUMIFS(SALE!$M$6:$M$10000,SALE!$A$6:$A$10000,$AB$2,SALE!$H$6:$H$10000,$A$4:$A$220)</f>
        <v>0</v>
      </c>
      <c r="AF21" s="74">
        <f>SUMIFS(SALE!$N$6:$N$10000,SALE!$A$6:$A$10000,$AB$2,SALE!$H$6:$H$10000,$A$4:$A$220)</f>
        <v>0</v>
      </c>
      <c r="AG21" s="989">
        <f t="shared" si="10"/>
        <v>0</v>
      </c>
      <c r="AH21" s="34">
        <f>SUMIFS(SALE!$K$6:$K$10000,SALE!$A$6:$A$10000,$AG$2,SALE!$H$6:$H$10000,$A$4:$A$220)</f>
        <v>0</v>
      </c>
      <c r="AI21" s="34">
        <f>SUMIFS(SALE!$L$6:$L$10000,SALE!$A$6:$A$10000,$AG$2,SALE!$H$6:$H$10000,$A$4:$A$220)</f>
        <v>0</v>
      </c>
      <c r="AJ21" s="34">
        <f>SUMIFS(SALE!$M$6:$M$10000,SALE!$A$6:$A$10000,$AG$2,SALE!$H$6:$H$10000,$A$4:$A$220)</f>
        <v>0</v>
      </c>
      <c r="AK21" s="990">
        <f>SUMIFS(SALE!$N$6:$N$10000,SALE!$A$6:$A$10000,$AG$2,SALE!$H$6:$H$10000,$A$4:$A$220)</f>
        <v>0</v>
      </c>
      <c r="AL21" s="981">
        <f t="shared" si="11"/>
        <v>0</v>
      </c>
      <c r="AM21" s="34">
        <f>SUMIFS(SALE!$K$6:$K$10000,SALE!$A$6:$A$10000,#REF!,SALE!$H$6:$H$10000,$A$4:$A$220)</f>
        <v>0</v>
      </c>
      <c r="AN21" s="34">
        <f>SUMIFS(SALE!$L$6:$L$10000,SALE!$A$6:$A$10000,#REF!,SALE!$H$6:$H$10000,$A$4:$A$220)</f>
        <v>0</v>
      </c>
      <c r="AO21" s="34">
        <f>SUMIFS(SALE!$M$6:$M$10000,SALE!$A$6:$A$10000,#REF!,SALE!$H$6:$H$10000,$A$4:$A$220)</f>
        <v>0</v>
      </c>
      <c r="AP21" s="74">
        <f>SUMIFS(SALE!$N$6:$N$10000,SALE!$A$6:$A$10000,#REF!,SALE!$H$6:$H$10000,$A$4:$A$220)</f>
        <v>0</v>
      </c>
      <c r="AQ21" s="989">
        <f t="shared" si="12"/>
        <v>0</v>
      </c>
      <c r="AR21" s="34">
        <f>SUMIFS(SALE!$K$6:$K$10000,SALE!$A$6:$A$10000,#REF!,SALE!$H$6:$H$10000,$A$4:$A$220)</f>
        <v>0</v>
      </c>
      <c r="AS21" s="34">
        <f>SUMIFS(SALE!$L$6:$L$10000,SALE!$A$6:$A$10000,#REF!,SALE!$H$6:$H$10000,$A$4:$A$220)</f>
        <v>0</v>
      </c>
      <c r="AT21" s="34">
        <f>SUMIFS(SALE!$M$6:$M$10000,SALE!$A$6:$A$10000,#REF!,SALE!$H$6:$H$10000,$A$4:$A$220)</f>
        <v>0</v>
      </c>
      <c r="AU21" s="990">
        <f>SUMIFS(SALE!$N$6:$N$10000,SALE!$A$6:$A$10000,#REF!,SALE!$H$6:$H$10000,$A$4:$A$220)</f>
        <v>0</v>
      </c>
      <c r="AV21" s="981">
        <f t="shared" si="13"/>
        <v>0</v>
      </c>
      <c r="AW21" s="34">
        <f>SUMIFS(SALE!$K$6:$K$10000,SALE!$A$6:$A$10000,#REF!,SALE!$H$6:$H$10000,$A$4:$A$220)</f>
        <v>0</v>
      </c>
      <c r="AX21" s="34">
        <f>SUMIFS(SALE!$L$6:$L$10000,SALE!$A$6:$A$10000,#REF!,SALE!$H$6:$H$10000,$A$4:$A$220)</f>
        <v>0</v>
      </c>
      <c r="AY21" s="34">
        <f>SUMIFS(SALE!$M$6:$M$10000,SALE!$A$6:$A$10000,#REF!,SALE!$H$6:$H$10000,$A$4:$A$220)</f>
        <v>0</v>
      </c>
      <c r="AZ21" s="74">
        <f>SUMIFS(SALE!$N$6:$N$10000,SALE!$A$6:$A$10000,#REF!,SALE!$H$6:$H$10000,$A$4:$A$220)</f>
        <v>0</v>
      </c>
      <c r="BA21" s="989">
        <f t="shared" si="14"/>
        <v>0</v>
      </c>
      <c r="BB21" s="34">
        <f>SUMIFS(SALE!$K$6:$K$10000,SALE!$A$6:$A$10000,#REF!,SALE!$H$6:$H$10000,$A$4:$A$220)</f>
        <v>0</v>
      </c>
      <c r="BC21" s="34">
        <f>SUMIFS(SALE!$L$6:$L$10000,SALE!$A$6:$A$10000,#REF!,SALE!$H$6:$H$10000,$A$4:$A$220)</f>
        <v>0</v>
      </c>
      <c r="BD21" s="34">
        <f>SUMIFS(SALE!$M$6:$M$10000,SALE!$A$6:$A$10000,#REF!,SALE!$H$6:$H$10000,$A$4:$A$220)</f>
        <v>0</v>
      </c>
      <c r="BE21" s="990">
        <f>SUMIFS(SALE!$N$6:$N$10000,SALE!$A$6:$A$10000,#REF!,SALE!$H$6:$H$10000,$A$4:$A$220)</f>
        <v>0</v>
      </c>
      <c r="BF21" s="989">
        <f t="shared" si="15"/>
        <v>0</v>
      </c>
      <c r="BG21" s="34">
        <f>SUMIFS(SALE!$K$6:$K$10000,SALE!$A$6:$A$10000,#REF!,SALE!$H$6:$H$10000,$A$4:$A$220)</f>
        <v>0</v>
      </c>
      <c r="BH21" s="34">
        <f>SUMIFS(SALE!$L$6:$L$10000,SALE!$A$6:$A$10000,#REF!,SALE!$H$6:$H$10000,$A$4:$A$220)</f>
        <v>0</v>
      </c>
      <c r="BI21" s="34">
        <f>SUMIFS(SALE!$M$6:$M$10000,SALE!$A$6:$A$10000,#REF!,SALE!$H$6:$H$10000,$A$4:$A$220)</f>
        <v>0</v>
      </c>
      <c r="BJ21" s="990">
        <f>SUMIFS(SALE!$N$6:$N$10000,SALE!$A$6:$A$10000,#REF!,SALE!$H$6:$H$10000,$A$4:$A$220)</f>
        <v>0</v>
      </c>
      <c r="BK21" s="11">
        <f t="shared" si="16"/>
        <v>0</v>
      </c>
      <c r="BL21" s="11">
        <f t="shared" si="17"/>
        <v>0</v>
      </c>
      <c r="BM21" s="11">
        <f t="shared" si="18"/>
        <v>0</v>
      </c>
      <c r="BN21" s="11">
        <f t="shared" si="19"/>
        <v>0</v>
      </c>
      <c r="BO21" s="11">
        <f t="shared" si="20"/>
        <v>0</v>
      </c>
    </row>
    <row r="22" spans="1:67" x14ac:dyDescent="0.2">
      <c r="A22" s="467"/>
      <c r="B22" s="467"/>
      <c r="C22" s="989">
        <f t="shared" si="4"/>
        <v>0</v>
      </c>
      <c r="D22" s="34">
        <f>SUMIFS(SALE!$K$6:$K$10000,SALE!$A$6:$A$10000,$C$2,SALE!$H$6:$H$10000,$A$4:$A$220)</f>
        <v>0</v>
      </c>
      <c r="E22" s="34">
        <f>SUMIFS(SALE!$L$6:$L$10000,SALE!$A$6:$A$10000,$C$2,SALE!$H$6:$H$10000,$A$4:$A$220)</f>
        <v>0</v>
      </c>
      <c r="F22" s="34">
        <f>SUMIFS(SALE!$M$6:$M$10000,SALE!$A$6:$A$10000,$C$2,SALE!$H$6:$H$10000,$A$4:$A$220)</f>
        <v>0</v>
      </c>
      <c r="G22" s="990">
        <f>SUMIFS(SALE!$N$6:$N$10000,SALE!$A$6:$A$10000,$C$2,SALE!$H$6:$H$10000,$A$4:$A$220)</f>
        <v>0</v>
      </c>
      <c r="H22" s="981">
        <f t="shared" si="5"/>
        <v>0</v>
      </c>
      <c r="I22" s="34">
        <f>SUMIFS(SALE!$K$6:$K$10000,SALE!$A$6:$A$10000,$H$2,SALE!$H$6:$H$10000,$A$4:$A$220)</f>
        <v>0</v>
      </c>
      <c r="J22" s="34">
        <f>SUMIFS(SALE!$L$6:$L$10000,SALE!$A$6:$A$10000,$H$2,SALE!$H$6:$H$10000,$A$4:$A$220)</f>
        <v>0</v>
      </c>
      <c r="K22" s="34">
        <f>SUMIFS(SALE!$M$6:$M$10000,SALE!$A$6:$A$10000,$H$2,SALE!$H$6:$H$10000,$A$4:$A$220)</f>
        <v>0</v>
      </c>
      <c r="L22" s="74">
        <f>SUMIFS(SALE!$N$6:$N$10000,SALE!$A$6:$A$10000,$H$2,SALE!$H$6:$H$10000,$A$4:$A$220)</f>
        <v>0</v>
      </c>
      <c r="M22" s="989">
        <f t="shared" si="6"/>
        <v>0</v>
      </c>
      <c r="N22" s="34">
        <f>SUMIFS(SALE!$K$6:$K$10000,SALE!$A$6:$A$10000,$M$2,SALE!$H$6:$H$10000,$A$4:$A$220)</f>
        <v>0</v>
      </c>
      <c r="O22" s="34">
        <f>SUMIFS(SALE!$L$6:$L$10000,SALE!$A$6:$A$10000,$M$2,SALE!$H$6:$H$10000,$A$4:$A$220)</f>
        <v>0</v>
      </c>
      <c r="P22" s="34">
        <f>SUMIFS(SALE!$M$6:$M$10000,SALE!$A$6:$A$10000,$M$2,SALE!$H$6:$H$10000,$A$4:$A$220)</f>
        <v>0</v>
      </c>
      <c r="Q22" s="990">
        <f>SUMIFS(SALE!$N$6:$N$10000,SALE!$A$6:$A$10000,$M$2,SALE!$H$6:$H$10000,$A$4:$A$220)</f>
        <v>0</v>
      </c>
      <c r="R22" s="981">
        <f t="shared" si="7"/>
        <v>0</v>
      </c>
      <c r="S22" s="34">
        <f>SUMIFS(SALE!$K$6:$K$10000,SALE!$A$6:$A$10000,$R$2,SALE!$H$6:$H$10000,$A$4:$A$220)</f>
        <v>0</v>
      </c>
      <c r="T22" s="34">
        <f>SUMIFS(SALE!$L$6:$L$10000,SALE!$A$6:$A$10000,$R$2,SALE!$H$6:$H$10000,$A$4:$A$220)</f>
        <v>0</v>
      </c>
      <c r="U22" s="34">
        <f>SUMIFS(SALE!$M$6:$M$10000,SALE!$A$6:$A$10000,$R$2,SALE!$H$6:$H$10000,$A$4:$A$220)</f>
        <v>0</v>
      </c>
      <c r="V22" s="74">
        <f>SUMIFS(SALE!$N$6:$N$10000,SALE!$A$6:$A$10000,$R$2,SALE!$H$6:$H$10000,$A$4:$A$220)</f>
        <v>0</v>
      </c>
      <c r="W22" s="989">
        <f t="shared" si="8"/>
        <v>0</v>
      </c>
      <c r="X22" s="34">
        <f>SUMIFS(SALE!$K$6:$K$10000,SALE!$A$6:$A$10000,$W$2,SALE!$H$6:$H$10000,$A$4:$A$220)</f>
        <v>0</v>
      </c>
      <c r="Y22" s="34">
        <f>SUMIFS(SALE!$L$6:$L$10000,SALE!$A$6:$A$10000,$W$2,SALE!$H$6:$H$10000,$A$4:$A$220)</f>
        <v>0</v>
      </c>
      <c r="Z22" s="34">
        <f>SUMIFS(SALE!$M$6:$M$10000,SALE!$A$6:$A$10000,$W$2,SALE!$H$6:$H$10000,$A$4:$A$220)</f>
        <v>0</v>
      </c>
      <c r="AA22" s="990">
        <f>SUMIFS(SALE!$N$6:$N$10000,SALE!$A$6:$A$10000,$W$2,SALE!$H$6:$H$10000,$A$4:$A$220)</f>
        <v>0</v>
      </c>
      <c r="AB22" s="981">
        <f t="shared" si="9"/>
        <v>0</v>
      </c>
      <c r="AC22" s="34">
        <f>SUMIFS(SALE!$K$6:$K$10000,SALE!$A$6:$A$10000,$AB$2,SALE!$H$6:$H$10000,$A$4:$A$220)</f>
        <v>0</v>
      </c>
      <c r="AD22" s="34">
        <f>SUMIFS(SALE!$L$6:$L$10000,SALE!$A$6:$A$10000,$AB$2,SALE!$H$6:$H$10000,$A$4:$A$220)</f>
        <v>0</v>
      </c>
      <c r="AE22" s="34">
        <f>SUMIFS(SALE!$M$6:$M$10000,SALE!$A$6:$A$10000,$AB$2,SALE!$H$6:$H$10000,$A$4:$A$220)</f>
        <v>0</v>
      </c>
      <c r="AF22" s="74">
        <f>SUMIFS(SALE!$N$6:$N$10000,SALE!$A$6:$A$10000,$AB$2,SALE!$H$6:$H$10000,$A$4:$A$220)</f>
        <v>0</v>
      </c>
      <c r="AG22" s="989">
        <f t="shared" si="10"/>
        <v>0</v>
      </c>
      <c r="AH22" s="34">
        <f>SUMIFS(SALE!$K$6:$K$10000,SALE!$A$6:$A$10000,$AG$2,SALE!$H$6:$H$10000,$A$4:$A$220)</f>
        <v>0</v>
      </c>
      <c r="AI22" s="34">
        <f>SUMIFS(SALE!$L$6:$L$10000,SALE!$A$6:$A$10000,$AG$2,SALE!$H$6:$H$10000,$A$4:$A$220)</f>
        <v>0</v>
      </c>
      <c r="AJ22" s="34">
        <f>SUMIFS(SALE!$M$6:$M$10000,SALE!$A$6:$A$10000,$AG$2,SALE!$H$6:$H$10000,$A$4:$A$220)</f>
        <v>0</v>
      </c>
      <c r="AK22" s="990">
        <f>SUMIFS(SALE!$N$6:$N$10000,SALE!$A$6:$A$10000,$AG$2,SALE!$H$6:$H$10000,$A$4:$A$220)</f>
        <v>0</v>
      </c>
      <c r="AL22" s="981">
        <f t="shared" si="11"/>
        <v>0</v>
      </c>
      <c r="AM22" s="34">
        <f>SUMIFS(SALE!$K$6:$K$10000,SALE!$A$6:$A$10000,#REF!,SALE!$H$6:$H$10000,$A$4:$A$220)</f>
        <v>0</v>
      </c>
      <c r="AN22" s="34">
        <f>SUMIFS(SALE!$L$6:$L$10000,SALE!$A$6:$A$10000,#REF!,SALE!$H$6:$H$10000,$A$4:$A$220)</f>
        <v>0</v>
      </c>
      <c r="AO22" s="34">
        <f>SUMIFS(SALE!$M$6:$M$10000,SALE!$A$6:$A$10000,#REF!,SALE!$H$6:$H$10000,$A$4:$A$220)</f>
        <v>0</v>
      </c>
      <c r="AP22" s="74">
        <f>SUMIFS(SALE!$N$6:$N$10000,SALE!$A$6:$A$10000,#REF!,SALE!$H$6:$H$10000,$A$4:$A$220)</f>
        <v>0</v>
      </c>
      <c r="AQ22" s="989">
        <f t="shared" si="12"/>
        <v>0</v>
      </c>
      <c r="AR22" s="34">
        <f>SUMIFS(SALE!$K$6:$K$10000,SALE!$A$6:$A$10000,#REF!,SALE!$H$6:$H$10000,$A$4:$A$220)</f>
        <v>0</v>
      </c>
      <c r="AS22" s="34">
        <f>SUMIFS(SALE!$L$6:$L$10000,SALE!$A$6:$A$10000,#REF!,SALE!$H$6:$H$10000,$A$4:$A$220)</f>
        <v>0</v>
      </c>
      <c r="AT22" s="34">
        <f>SUMIFS(SALE!$M$6:$M$10000,SALE!$A$6:$A$10000,#REF!,SALE!$H$6:$H$10000,$A$4:$A$220)</f>
        <v>0</v>
      </c>
      <c r="AU22" s="990">
        <f>SUMIFS(SALE!$N$6:$N$10000,SALE!$A$6:$A$10000,#REF!,SALE!$H$6:$H$10000,$A$4:$A$220)</f>
        <v>0</v>
      </c>
      <c r="AV22" s="981">
        <f t="shared" si="13"/>
        <v>0</v>
      </c>
      <c r="AW22" s="34">
        <f>SUMIFS(SALE!$K$6:$K$10000,SALE!$A$6:$A$10000,#REF!,SALE!$H$6:$H$10000,$A$4:$A$220)</f>
        <v>0</v>
      </c>
      <c r="AX22" s="34">
        <f>SUMIFS(SALE!$L$6:$L$10000,SALE!$A$6:$A$10000,#REF!,SALE!$H$6:$H$10000,$A$4:$A$220)</f>
        <v>0</v>
      </c>
      <c r="AY22" s="34">
        <f>SUMIFS(SALE!$M$6:$M$10000,SALE!$A$6:$A$10000,#REF!,SALE!$H$6:$H$10000,$A$4:$A$220)</f>
        <v>0</v>
      </c>
      <c r="AZ22" s="74">
        <f>SUMIFS(SALE!$N$6:$N$10000,SALE!$A$6:$A$10000,#REF!,SALE!$H$6:$H$10000,$A$4:$A$220)</f>
        <v>0</v>
      </c>
      <c r="BA22" s="989">
        <f t="shared" si="14"/>
        <v>0</v>
      </c>
      <c r="BB22" s="34">
        <f>SUMIFS(SALE!$K$6:$K$10000,SALE!$A$6:$A$10000,#REF!,SALE!$H$6:$H$10000,$A$4:$A$220)</f>
        <v>0</v>
      </c>
      <c r="BC22" s="34">
        <f>SUMIFS(SALE!$L$6:$L$10000,SALE!$A$6:$A$10000,#REF!,SALE!$H$6:$H$10000,$A$4:$A$220)</f>
        <v>0</v>
      </c>
      <c r="BD22" s="34">
        <f>SUMIFS(SALE!$M$6:$M$10000,SALE!$A$6:$A$10000,#REF!,SALE!$H$6:$H$10000,$A$4:$A$220)</f>
        <v>0</v>
      </c>
      <c r="BE22" s="990">
        <f>SUMIFS(SALE!$N$6:$N$10000,SALE!$A$6:$A$10000,#REF!,SALE!$H$6:$H$10000,$A$4:$A$220)</f>
        <v>0</v>
      </c>
      <c r="BF22" s="989">
        <f t="shared" si="15"/>
        <v>0</v>
      </c>
      <c r="BG22" s="34">
        <f>SUMIFS(SALE!$K$6:$K$10000,SALE!$A$6:$A$10000,#REF!,SALE!$H$6:$H$10000,$A$4:$A$220)</f>
        <v>0</v>
      </c>
      <c r="BH22" s="34">
        <f>SUMIFS(SALE!$L$6:$L$10000,SALE!$A$6:$A$10000,#REF!,SALE!$H$6:$H$10000,$A$4:$A$220)</f>
        <v>0</v>
      </c>
      <c r="BI22" s="34">
        <f>SUMIFS(SALE!$M$6:$M$10000,SALE!$A$6:$A$10000,#REF!,SALE!$H$6:$H$10000,$A$4:$A$220)</f>
        <v>0</v>
      </c>
      <c r="BJ22" s="990">
        <f>SUMIFS(SALE!$N$6:$N$10000,SALE!$A$6:$A$10000,#REF!,SALE!$H$6:$H$10000,$A$4:$A$220)</f>
        <v>0</v>
      </c>
      <c r="BK22" s="11">
        <f t="shared" si="16"/>
        <v>0</v>
      </c>
      <c r="BL22" s="11">
        <f t="shared" si="17"/>
        <v>0</v>
      </c>
      <c r="BM22" s="11">
        <f t="shared" si="18"/>
        <v>0</v>
      </c>
      <c r="BN22" s="11">
        <f t="shared" si="19"/>
        <v>0</v>
      </c>
      <c r="BO22" s="11">
        <f t="shared" si="20"/>
        <v>0</v>
      </c>
    </row>
    <row r="23" spans="1:67" x14ac:dyDescent="0.2">
      <c r="A23" s="467"/>
      <c r="B23" s="467"/>
      <c r="C23" s="989"/>
      <c r="D23" s="34"/>
      <c r="E23" s="34"/>
      <c r="F23" s="34"/>
      <c r="G23" s="990"/>
      <c r="H23" s="981"/>
      <c r="I23" s="34"/>
      <c r="J23" s="34"/>
      <c r="K23" s="34"/>
      <c r="L23" s="74"/>
      <c r="M23" s="989"/>
      <c r="N23" s="34"/>
      <c r="O23" s="34"/>
      <c r="P23" s="34"/>
      <c r="Q23" s="990"/>
      <c r="R23" s="981"/>
      <c r="S23" s="34"/>
      <c r="T23" s="34"/>
      <c r="U23" s="34"/>
      <c r="V23" s="74"/>
      <c r="W23" s="989"/>
      <c r="X23" s="34"/>
      <c r="Y23" s="34"/>
      <c r="Z23" s="34"/>
      <c r="AA23" s="990"/>
      <c r="AB23" s="981"/>
      <c r="AC23" s="34"/>
      <c r="AD23" s="34"/>
      <c r="AE23" s="34"/>
      <c r="AF23" s="74"/>
      <c r="AG23" s="989"/>
      <c r="AH23" s="34"/>
      <c r="AI23" s="34"/>
      <c r="AJ23" s="34"/>
      <c r="AK23" s="990"/>
      <c r="AL23" s="981"/>
      <c r="AM23" s="34"/>
      <c r="AN23" s="34"/>
      <c r="AO23" s="34"/>
      <c r="AP23" s="74"/>
      <c r="AQ23" s="989"/>
      <c r="AR23" s="34"/>
      <c r="AS23" s="34"/>
      <c r="AT23" s="34"/>
      <c r="AU23" s="990"/>
      <c r="AV23" s="981"/>
      <c r="AW23" s="34"/>
      <c r="AX23" s="34"/>
      <c r="AY23" s="34"/>
      <c r="AZ23" s="74"/>
      <c r="BA23" s="989"/>
      <c r="BB23" s="34"/>
      <c r="BC23" s="34"/>
      <c r="BD23" s="34"/>
      <c r="BE23" s="990"/>
      <c r="BF23" s="989"/>
      <c r="BG23" s="34"/>
      <c r="BH23" s="34"/>
      <c r="BI23" s="34"/>
      <c r="BJ23" s="990"/>
      <c r="BK23" s="11">
        <f t="shared" si="16"/>
        <v>0</v>
      </c>
      <c r="BL23" s="11">
        <f t="shared" si="17"/>
        <v>0</v>
      </c>
      <c r="BM23" s="11">
        <f t="shared" si="18"/>
        <v>0</v>
      </c>
      <c r="BN23" s="11">
        <f t="shared" si="19"/>
        <v>0</v>
      </c>
      <c r="BO23" s="11">
        <f t="shared" si="20"/>
        <v>0</v>
      </c>
    </row>
    <row r="24" spans="1:67" x14ac:dyDescent="0.2">
      <c r="M24" s="473"/>
      <c r="N24" s="60"/>
      <c r="O24" s="60"/>
      <c r="P24" s="60"/>
      <c r="Q24" s="474"/>
      <c r="W24" s="473"/>
      <c r="X24" s="60"/>
      <c r="Y24" s="60"/>
      <c r="Z24" s="60"/>
      <c r="AA24" s="474"/>
      <c r="AG24" s="473"/>
      <c r="AH24" s="60"/>
      <c r="AI24" s="60"/>
      <c r="AJ24" s="60"/>
      <c r="AK24" s="474"/>
    </row>
  </sheetData>
  <mergeCells count="13">
    <mergeCell ref="BK2:BO2"/>
    <mergeCell ref="BF2:BJ2"/>
    <mergeCell ref="AB2:AF2"/>
    <mergeCell ref="AG2:AK2"/>
    <mergeCell ref="C2:G2"/>
    <mergeCell ref="H2:L2"/>
    <mergeCell ref="M2:Q2"/>
    <mergeCell ref="R2:V2"/>
    <mergeCell ref="W2:AA2"/>
    <mergeCell ref="AL2:AP2"/>
    <mergeCell ref="AQ2:AU2"/>
    <mergeCell ref="AV2:AZ2"/>
    <mergeCell ref="BA2:BE2"/>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workbookViewId="0">
      <selection activeCell="Q6" sqref="Q6"/>
    </sheetView>
  </sheetViews>
  <sheetFormatPr defaultRowHeight="10.199999999999999" x14ac:dyDescent="0.2"/>
  <cols>
    <col min="1" max="1" width="9" style="11" bestFit="1" customWidth="1"/>
    <col min="2" max="2" width="3.21875" style="11" bestFit="1" customWidth="1"/>
    <col min="3" max="3" width="22.5546875" style="11" bestFit="1" customWidth="1"/>
    <col min="4" max="4" width="15.5546875" style="11" bestFit="1" customWidth="1"/>
    <col min="5" max="5" width="8.6640625" style="11" customWidth="1"/>
    <col min="6" max="6" width="8.88671875" style="11"/>
    <col min="7" max="7" width="9.77734375" style="11" bestFit="1" customWidth="1"/>
    <col min="8" max="8" width="5" style="11" bestFit="1" customWidth="1"/>
    <col min="9" max="9" width="4.88671875" style="11" bestFit="1" customWidth="1"/>
    <col min="10" max="10" width="6" style="11" bestFit="1" customWidth="1"/>
    <col min="11" max="11" width="11.33203125" style="11" bestFit="1" customWidth="1"/>
    <col min="12" max="12" width="5.77734375" style="11" bestFit="1" customWidth="1"/>
    <col min="13" max="14" width="8.88671875" style="11" bestFit="1" customWidth="1"/>
    <col min="15" max="15" width="5.44140625" style="11" bestFit="1" customWidth="1"/>
    <col min="16" max="16" width="11.33203125" style="11" bestFit="1" customWidth="1"/>
    <col min="17" max="17" width="10.109375" style="11" customWidth="1"/>
    <col min="18" max="18" width="6.109375" style="11" bestFit="1" customWidth="1"/>
    <col min="19" max="16384" width="8.88671875" style="11"/>
  </cols>
  <sheetData>
    <row r="1" spans="1:18" x14ac:dyDescent="0.2">
      <c r="A1" s="614"/>
      <c r="B1" s="615"/>
      <c r="C1" s="616"/>
      <c r="D1" s="616"/>
      <c r="E1" s="617"/>
      <c r="F1" s="616" t="s">
        <v>1041</v>
      </c>
      <c r="G1" s="616"/>
      <c r="H1" s="6"/>
      <c r="I1" s="7"/>
      <c r="J1" s="618"/>
      <c r="K1" s="7">
        <f>SUM(K6:K10000)</f>
        <v>299021</v>
      </c>
      <c r="L1" s="7">
        <f t="shared" ref="L1:P1" si="0">SUM(L6:L10000)</f>
        <v>118.05</v>
      </c>
      <c r="M1" s="7">
        <f t="shared" si="0"/>
        <v>7416.5</v>
      </c>
      <c r="N1" s="7">
        <f t="shared" si="0"/>
        <v>7416.5</v>
      </c>
      <c r="O1" s="7">
        <f t="shared" si="0"/>
        <v>0</v>
      </c>
      <c r="P1" s="7">
        <f t="shared" si="0"/>
        <v>313972.05</v>
      </c>
      <c r="Q1" s="619"/>
      <c r="R1" s="116"/>
    </row>
    <row r="2" spans="1:18" x14ac:dyDescent="0.2">
      <c r="A2" s="1211" t="s">
        <v>0</v>
      </c>
      <c r="B2" s="1212"/>
      <c r="C2" s="1212"/>
      <c r="D2" s="1212"/>
      <c r="E2" s="1212"/>
      <c r="F2" s="1212"/>
      <c r="G2" s="1212"/>
      <c r="H2" s="1212"/>
      <c r="I2" s="1212"/>
      <c r="J2" s="1212"/>
      <c r="K2" s="1212"/>
      <c r="L2" s="1212"/>
      <c r="M2" s="1212"/>
      <c r="N2" s="1212"/>
      <c r="O2" s="1212"/>
      <c r="P2" s="1212"/>
      <c r="Q2" s="1212"/>
      <c r="R2" s="1213"/>
    </row>
    <row r="3" spans="1:18" x14ac:dyDescent="0.2">
      <c r="A3" s="1214" t="s">
        <v>1</v>
      </c>
      <c r="B3" s="1215"/>
      <c r="C3" s="1215"/>
      <c r="D3" s="1215"/>
      <c r="E3" s="1215"/>
      <c r="F3" s="1215"/>
      <c r="G3" s="1215"/>
      <c r="H3" s="1215"/>
      <c r="I3" s="1215"/>
      <c r="J3" s="1215"/>
      <c r="K3" s="1215"/>
      <c r="L3" s="1215"/>
      <c r="M3" s="1215"/>
      <c r="N3" s="1215"/>
      <c r="O3" s="1215"/>
      <c r="P3" s="1215"/>
      <c r="Q3" s="1215"/>
      <c r="R3" s="1216"/>
    </row>
    <row r="4" spans="1:18" ht="14.4" customHeight="1" x14ac:dyDescent="0.2">
      <c r="A4" s="1004" t="s">
        <v>2</v>
      </c>
      <c r="B4" s="12" t="s">
        <v>1503</v>
      </c>
      <c r="C4" s="13" t="s">
        <v>3718</v>
      </c>
      <c r="D4" s="14" t="s">
        <v>3719</v>
      </c>
      <c r="E4" s="995" t="s">
        <v>6</v>
      </c>
      <c r="F4" s="996"/>
      <c r="G4" s="997"/>
      <c r="H4" s="14" t="s">
        <v>3714</v>
      </c>
      <c r="I4" s="994" t="s">
        <v>10</v>
      </c>
      <c r="J4" s="14" t="s">
        <v>3716</v>
      </c>
      <c r="K4" s="15" t="s">
        <v>3715</v>
      </c>
      <c r="L4" s="991" t="s">
        <v>12</v>
      </c>
      <c r="M4" s="991"/>
      <c r="N4" s="991"/>
      <c r="O4" s="991"/>
      <c r="P4" s="15" t="s">
        <v>3712</v>
      </c>
      <c r="Q4" s="992" t="s">
        <v>3710</v>
      </c>
      <c r="R4" s="993"/>
    </row>
    <row r="5" spans="1:18" ht="20.399999999999999" x14ac:dyDescent="0.2">
      <c r="A5" s="1005"/>
      <c r="B5" s="16" t="s">
        <v>1506</v>
      </c>
      <c r="C5" s="971" t="s">
        <v>274</v>
      </c>
      <c r="D5" s="16" t="s">
        <v>3720</v>
      </c>
      <c r="E5" s="970" t="s">
        <v>15</v>
      </c>
      <c r="F5" s="19" t="s">
        <v>3706</v>
      </c>
      <c r="G5" s="19" t="s">
        <v>3707</v>
      </c>
      <c r="H5" s="16" t="s">
        <v>3713</v>
      </c>
      <c r="I5" s="994"/>
      <c r="J5" s="16" t="s">
        <v>3717</v>
      </c>
      <c r="K5" s="20" t="s">
        <v>3708</v>
      </c>
      <c r="L5" s="21" t="s">
        <v>16</v>
      </c>
      <c r="M5" s="21" t="s">
        <v>17</v>
      </c>
      <c r="N5" s="21" t="s">
        <v>18</v>
      </c>
      <c r="O5" s="21" t="s">
        <v>19</v>
      </c>
      <c r="P5" s="20" t="s">
        <v>3708</v>
      </c>
      <c r="Q5" s="19" t="s">
        <v>3709</v>
      </c>
      <c r="R5" s="22" t="s">
        <v>3711</v>
      </c>
    </row>
    <row r="6" spans="1:18" x14ac:dyDescent="0.2">
      <c r="A6" s="23">
        <v>43556</v>
      </c>
      <c r="B6" s="24">
        <v>1</v>
      </c>
      <c r="C6" s="24" t="s">
        <v>600</v>
      </c>
      <c r="D6" s="24"/>
      <c r="E6" s="24" t="s">
        <v>22</v>
      </c>
      <c r="F6" s="26" t="s">
        <v>23</v>
      </c>
      <c r="G6" s="27">
        <v>43557</v>
      </c>
      <c r="H6" s="28"/>
      <c r="I6" s="219">
        <v>2.5</v>
      </c>
      <c r="J6" s="218"/>
      <c r="K6" s="115">
        <v>18500</v>
      </c>
      <c r="L6" s="620">
        <v>0</v>
      </c>
      <c r="M6" s="620">
        <f t="shared" ref="M6:M22" si="1">+K6/100*I6</f>
        <v>462.5</v>
      </c>
      <c r="N6" s="620">
        <f t="shared" ref="N6:N22" si="2">+M6</f>
        <v>462.5</v>
      </c>
      <c r="O6" s="620">
        <v>0</v>
      </c>
      <c r="P6" s="32">
        <f>+O6+N6+M6+L6+K6</f>
        <v>19425</v>
      </c>
      <c r="Q6" s="24" t="s">
        <v>458</v>
      </c>
      <c r="R6" s="24" t="s">
        <v>26</v>
      </c>
    </row>
    <row r="7" spans="1:18" x14ac:dyDescent="0.2">
      <c r="A7" s="33">
        <v>43586</v>
      </c>
      <c r="B7" s="34">
        <v>2</v>
      </c>
      <c r="C7" s="34" t="s">
        <v>600</v>
      </c>
      <c r="D7" s="34"/>
      <c r="E7" s="34" t="s">
        <v>22</v>
      </c>
      <c r="F7" s="36" t="s">
        <v>27</v>
      </c>
      <c r="G7" s="37">
        <v>43557</v>
      </c>
      <c r="H7" s="38"/>
      <c r="I7" s="221">
        <v>2.5</v>
      </c>
      <c r="J7" s="43"/>
      <c r="K7" s="126">
        <v>17400</v>
      </c>
      <c r="L7" s="621">
        <v>0</v>
      </c>
      <c r="M7" s="621">
        <f t="shared" si="1"/>
        <v>435</v>
      </c>
      <c r="N7" s="621">
        <f t="shared" si="2"/>
        <v>435</v>
      </c>
      <c r="O7" s="621">
        <v>0</v>
      </c>
      <c r="P7" s="42">
        <f t="shared" ref="P7:P24" si="3">+O7+N7+M7+L7+K7</f>
        <v>18270</v>
      </c>
      <c r="Q7" s="34" t="s">
        <v>458</v>
      </c>
      <c r="R7" s="34" t="s">
        <v>26</v>
      </c>
    </row>
    <row r="8" spans="1:18" x14ac:dyDescent="0.2">
      <c r="A8" s="33">
        <v>43586</v>
      </c>
      <c r="B8" s="34">
        <v>3</v>
      </c>
      <c r="C8" s="35" t="s">
        <v>673</v>
      </c>
      <c r="D8" s="34" t="s">
        <v>674</v>
      </c>
      <c r="E8" s="34" t="s">
        <v>22</v>
      </c>
      <c r="F8" s="36" t="s">
        <v>30</v>
      </c>
      <c r="G8" s="37">
        <v>43557</v>
      </c>
      <c r="H8" s="38"/>
      <c r="I8" s="221">
        <v>2.5</v>
      </c>
      <c r="J8" s="43"/>
      <c r="K8" s="126">
        <v>4500</v>
      </c>
      <c r="L8" s="621">
        <v>0</v>
      </c>
      <c r="M8" s="621">
        <f t="shared" si="1"/>
        <v>112.5</v>
      </c>
      <c r="N8" s="621">
        <f t="shared" si="2"/>
        <v>112.5</v>
      </c>
      <c r="O8" s="621">
        <v>0</v>
      </c>
      <c r="P8" s="42">
        <f t="shared" si="3"/>
        <v>4725</v>
      </c>
      <c r="Q8" s="34" t="s">
        <v>458</v>
      </c>
      <c r="R8" s="34" t="s">
        <v>26</v>
      </c>
    </row>
    <row r="9" spans="1:18" x14ac:dyDescent="0.2">
      <c r="A9" s="33">
        <v>43586</v>
      </c>
      <c r="B9" s="34"/>
      <c r="C9" s="34" t="s">
        <v>2432</v>
      </c>
      <c r="D9" s="34" t="e">
        <v>#N/A</v>
      </c>
      <c r="E9" s="34" t="s">
        <v>22</v>
      </c>
      <c r="F9" s="38"/>
      <c r="G9" s="38"/>
      <c r="H9" s="38"/>
      <c r="I9" s="221">
        <v>2.5</v>
      </c>
      <c r="J9" s="43"/>
      <c r="K9" s="126">
        <v>23660</v>
      </c>
      <c r="L9" s="621">
        <v>0</v>
      </c>
      <c r="M9" s="621">
        <f t="shared" si="1"/>
        <v>591.5</v>
      </c>
      <c r="N9" s="621">
        <f t="shared" si="2"/>
        <v>591.5</v>
      </c>
      <c r="O9" s="621">
        <v>0</v>
      </c>
      <c r="P9" s="42">
        <f t="shared" si="3"/>
        <v>24843</v>
      </c>
      <c r="Q9" s="34" t="s">
        <v>458</v>
      </c>
      <c r="R9" s="34" t="s">
        <v>26</v>
      </c>
    </row>
    <row r="10" spans="1:18" x14ac:dyDescent="0.2">
      <c r="A10" s="33">
        <v>43617</v>
      </c>
      <c r="B10" s="34"/>
      <c r="C10" s="34" t="s">
        <v>600</v>
      </c>
      <c r="D10" s="34"/>
      <c r="E10" s="34" t="s">
        <v>22</v>
      </c>
      <c r="F10" s="38"/>
      <c r="G10" s="38"/>
      <c r="H10" s="38"/>
      <c r="I10" s="221">
        <v>2.5</v>
      </c>
      <c r="J10" s="43"/>
      <c r="K10" s="126">
        <v>24600</v>
      </c>
      <c r="L10" s="621">
        <v>0</v>
      </c>
      <c r="M10" s="621">
        <f t="shared" si="1"/>
        <v>615</v>
      </c>
      <c r="N10" s="621">
        <f t="shared" si="2"/>
        <v>615</v>
      </c>
      <c r="O10" s="621">
        <v>0</v>
      </c>
      <c r="P10" s="42">
        <f t="shared" si="3"/>
        <v>25830</v>
      </c>
      <c r="Q10" s="34" t="s">
        <v>458</v>
      </c>
      <c r="R10" s="34" t="s">
        <v>26</v>
      </c>
    </row>
    <row r="11" spans="1:18" x14ac:dyDescent="0.2">
      <c r="A11" s="33">
        <v>43647</v>
      </c>
      <c r="B11" s="34"/>
      <c r="C11" s="35" t="s">
        <v>600</v>
      </c>
      <c r="D11" s="34"/>
      <c r="E11" s="34" t="s">
        <v>22</v>
      </c>
      <c r="F11" s="38"/>
      <c r="G11" s="38"/>
      <c r="H11" s="38"/>
      <c r="I11" s="221">
        <v>2.5</v>
      </c>
      <c r="J11" s="43"/>
      <c r="K11" s="126">
        <v>23800</v>
      </c>
      <c r="L11" s="621">
        <v>0</v>
      </c>
      <c r="M11" s="621">
        <f t="shared" si="1"/>
        <v>595</v>
      </c>
      <c r="N11" s="621">
        <f t="shared" si="2"/>
        <v>595</v>
      </c>
      <c r="O11" s="621">
        <v>0</v>
      </c>
      <c r="P11" s="42">
        <f t="shared" si="3"/>
        <v>24990</v>
      </c>
      <c r="Q11" s="34" t="s">
        <v>458</v>
      </c>
      <c r="R11" s="34" t="s">
        <v>26</v>
      </c>
    </row>
    <row r="12" spans="1:18" x14ac:dyDescent="0.2">
      <c r="A12" s="33">
        <v>43647</v>
      </c>
      <c r="B12" s="34"/>
      <c r="C12" s="35" t="s">
        <v>686</v>
      </c>
      <c r="D12" s="34" t="s">
        <v>687</v>
      </c>
      <c r="E12" s="34" t="s">
        <v>22</v>
      </c>
      <c r="F12" s="38"/>
      <c r="G12" s="38"/>
      <c r="H12" s="38"/>
      <c r="I12" s="221">
        <v>2.5</v>
      </c>
      <c r="J12" s="43"/>
      <c r="K12" s="126">
        <v>7450</v>
      </c>
      <c r="L12" s="621">
        <v>0</v>
      </c>
      <c r="M12" s="621">
        <f t="shared" si="1"/>
        <v>186.25</v>
      </c>
      <c r="N12" s="621">
        <f t="shared" si="2"/>
        <v>186.25</v>
      </c>
      <c r="O12" s="621">
        <v>0</v>
      </c>
      <c r="P12" s="42">
        <f t="shared" si="3"/>
        <v>7822.5</v>
      </c>
      <c r="Q12" s="34" t="s">
        <v>458</v>
      </c>
      <c r="R12" s="34" t="s">
        <v>26</v>
      </c>
    </row>
    <row r="13" spans="1:18" x14ac:dyDescent="0.2">
      <c r="A13" s="33">
        <v>43678</v>
      </c>
      <c r="B13" s="34"/>
      <c r="C13" s="35" t="s">
        <v>600</v>
      </c>
      <c r="D13" s="34"/>
      <c r="E13" s="34" t="s">
        <v>22</v>
      </c>
      <c r="F13" s="38"/>
      <c r="G13" s="38"/>
      <c r="H13" s="38"/>
      <c r="I13" s="221">
        <v>2.5</v>
      </c>
      <c r="J13" s="43"/>
      <c r="K13" s="126">
        <v>33600</v>
      </c>
      <c r="L13" s="621">
        <v>0</v>
      </c>
      <c r="M13" s="621">
        <f t="shared" si="1"/>
        <v>840</v>
      </c>
      <c r="N13" s="621">
        <f t="shared" si="2"/>
        <v>840</v>
      </c>
      <c r="O13" s="621">
        <v>0</v>
      </c>
      <c r="P13" s="42">
        <f t="shared" si="3"/>
        <v>35280</v>
      </c>
      <c r="Q13" s="34" t="s">
        <v>458</v>
      </c>
      <c r="R13" s="34" t="s">
        <v>26</v>
      </c>
    </row>
    <row r="14" spans="1:18" x14ac:dyDescent="0.2">
      <c r="A14" s="33">
        <v>43678</v>
      </c>
      <c r="B14" s="34"/>
      <c r="C14" s="35" t="s">
        <v>686</v>
      </c>
      <c r="D14" s="34" t="s">
        <v>687</v>
      </c>
      <c r="E14" s="34" t="s">
        <v>22</v>
      </c>
      <c r="F14" s="38"/>
      <c r="G14" s="38"/>
      <c r="H14" s="38"/>
      <c r="I14" s="221">
        <v>2.5</v>
      </c>
      <c r="J14" s="43"/>
      <c r="K14" s="126">
        <v>2300</v>
      </c>
      <c r="L14" s="621">
        <v>0</v>
      </c>
      <c r="M14" s="621">
        <f t="shared" si="1"/>
        <v>57.5</v>
      </c>
      <c r="N14" s="621">
        <f t="shared" si="2"/>
        <v>57.5</v>
      </c>
      <c r="O14" s="621">
        <v>0</v>
      </c>
      <c r="P14" s="42">
        <f t="shared" si="3"/>
        <v>2415</v>
      </c>
      <c r="Q14" s="34" t="s">
        <v>458</v>
      </c>
      <c r="R14" s="34" t="s">
        <v>26</v>
      </c>
    </row>
    <row r="15" spans="1:18" x14ac:dyDescent="0.2">
      <c r="A15" s="33">
        <v>43709</v>
      </c>
      <c r="B15" s="34"/>
      <c r="C15" s="34" t="s">
        <v>600</v>
      </c>
      <c r="D15" s="34" t="e">
        <v>#N/A</v>
      </c>
      <c r="E15" s="34" t="s">
        <v>22</v>
      </c>
      <c r="F15" s="38"/>
      <c r="G15" s="38"/>
      <c r="H15" s="38"/>
      <c r="I15" s="221">
        <v>2.5</v>
      </c>
      <c r="J15" s="34"/>
      <c r="K15" s="126">
        <v>22100</v>
      </c>
      <c r="L15" s="621">
        <v>0</v>
      </c>
      <c r="M15" s="621">
        <f t="shared" si="1"/>
        <v>552.5</v>
      </c>
      <c r="N15" s="621">
        <f t="shared" si="2"/>
        <v>552.5</v>
      </c>
      <c r="O15" s="621">
        <v>0</v>
      </c>
      <c r="P15" s="42">
        <f t="shared" si="3"/>
        <v>23205</v>
      </c>
      <c r="Q15" s="34" t="s">
        <v>458</v>
      </c>
      <c r="R15" s="34" t="s">
        <v>26</v>
      </c>
    </row>
    <row r="16" spans="1:18" x14ac:dyDescent="0.2">
      <c r="A16" s="33">
        <v>43709</v>
      </c>
      <c r="B16" s="34"/>
      <c r="C16" s="34" t="s">
        <v>686</v>
      </c>
      <c r="D16" s="34" t="s">
        <v>687</v>
      </c>
      <c r="E16" s="34" t="s">
        <v>22</v>
      </c>
      <c r="F16" s="38"/>
      <c r="G16" s="38"/>
      <c r="H16" s="38"/>
      <c r="I16" s="221">
        <v>2.5</v>
      </c>
      <c r="J16" s="34"/>
      <c r="K16" s="126">
        <v>6050</v>
      </c>
      <c r="L16" s="621">
        <v>0</v>
      </c>
      <c r="M16" s="621">
        <f t="shared" si="1"/>
        <v>151.25</v>
      </c>
      <c r="N16" s="621">
        <f t="shared" si="2"/>
        <v>151.25</v>
      </c>
      <c r="O16" s="621">
        <v>0</v>
      </c>
      <c r="P16" s="42">
        <f t="shared" si="3"/>
        <v>6352.5</v>
      </c>
      <c r="Q16" s="34" t="s">
        <v>458</v>
      </c>
      <c r="R16" s="34" t="s">
        <v>26</v>
      </c>
    </row>
    <row r="17" spans="1:18" x14ac:dyDescent="0.2">
      <c r="A17" s="33">
        <v>43709</v>
      </c>
      <c r="B17" s="34"/>
      <c r="C17" s="34" t="s">
        <v>686</v>
      </c>
      <c r="D17" s="34" t="s">
        <v>687</v>
      </c>
      <c r="E17" s="34" t="s">
        <v>22</v>
      </c>
      <c r="F17" s="38"/>
      <c r="G17" s="38"/>
      <c r="H17" s="38"/>
      <c r="I17" s="221">
        <v>2.5</v>
      </c>
      <c r="J17" s="34"/>
      <c r="K17" s="126">
        <v>2800</v>
      </c>
      <c r="L17" s="621">
        <v>0</v>
      </c>
      <c r="M17" s="621">
        <f t="shared" si="1"/>
        <v>70</v>
      </c>
      <c r="N17" s="621">
        <f t="shared" si="2"/>
        <v>70</v>
      </c>
      <c r="O17" s="621">
        <v>0</v>
      </c>
      <c r="P17" s="42">
        <f t="shared" si="3"/>
        <v>2940</v>
      </c>
      <c r="Q17" s="34" t="s">
        <v>458</v>
      </c>
      <c r="R17" s="34" t="s">
        <v>26</v>
      </c>
    </row>
    <row r="18" spans="1:18" x14ac:dyDescent="0.2">
      <c r="A18" s="33">
        <v>43709</v>
      </c>
      <c r="B18" s="34"/>
      <c r="C18" s="34" t="s">
        <v>673</v>
      </c>
      <c r="D18" s="34" t="s">
        <v>674</v>
      </c>
      <c r="E18" s="34" t="s">
        <v>22</v>
      </c>
      <c r="F18" s="38"/>
      <c r="G18" s="38"/>
      <c r="H18" s="38"/>
      <c r="I18" s="221">
        <v>2.5</v>
      </c>
      <c r="J18" s="34"/>
      <c r="K18" s="126">
        <v>4500</v>
      </c>
      <c r="L18" s="621">
        <v>0</v>
      </c>
      <c r="M18" s="621">
        <f t="shared" si="1"/>
        <v>112.5</v>
      </c>
      <c r="N18" s="621">
        <f t="shared" si="2"/>
        <v>112.5</v>
      </c>
      <c r="O18" s="621">
        <v>0</v>
      </c>
      <c r="P18" s="42">
        <f t="shared" si="3"/>
        <v>4725</v>
      </c>
      <c r="Q18" s="34" t="s">
        <v>458</v>
      </c>
      <c r="R18" s="34" t="s">
        <v>26</v>
      </c>
    </row>
    <row r="19" spans="1:18" x14ac:dyDescent="0.2">
      <c r="A19" s="33">
        <v>43709</v>
      </c>
      <c r="B19" s="34"/>
      <c r="C19" s="34" t="s">
        <v>686</v>
      </c>
      <c r="D19" s="34" t="s">
        <v>687</v>
      </c>
      <c r="E19" s="34" t="s">
        <v>22</v>
      </c>
      <c r="F19" s="38"/>
      <c r="G19" s="38"/>
      <c r="H19" s="38"/>
      <c r="I19" s="221">
        <v>2.5</v>
      </c>
      <c r="J19" s="34"/>
      <c r="K19" s="126">
        <v>1500</v>
      </c>
      <c r="L19" s="621">
        <v>0</v>
      </c>
      <c r="M19" s="621">
        <f t="shared" si="1"/>
        <v>37.5</v>
      </c>
      <c r="N19" s="621">
        <f t="shared" si="2"/>
        <v>37.5</v>
      </c>
      <c r="O19" s="621">
        <v>0</v>
      </c>
      <c r="P19" s="42">
        <f t="shared" si="3"/>
        <v>1575</v>
      </c>
      <c r="Q19" s="34" t="s">
        <v>458</v>
      </c>
      <c r="R19" s="34" t="s">
        <v>26</v>
      </c>
    </row>
    <row r="20" spans="1:18" x14ac:dyDescent="0.2">
      <c r="A20" s="33">
        <v>43739</v>
      </c>
      <c r="B20" s="34"/>
      <c r="C20" s="34" t="s">
        <v>600</v>
      </c>
      <c r="D20" s="34" t="e">
        <v>#N/A</v>
      </c>
      <c r="E20" s="34" t="s">
        <v>22</v>
      </c>
      <c r="F20" s="38"/>
      <c r="G20" s="38"/>
      <c r="H20" s="38"/>
      <c r="I20" s="221">
        <v>2.5</v>
      </c>
      <c r="J20" s="34"/>
      <c r="K20" s="126">
        <v>26450</v>
      </c>
      <c r="L20" s="621">
        <v>0</v>
      </c>
      <c r="M20" s="621">
        <f t="shared" si="1"/>
        <v>661.25</v>
      </c>
      <c r="N20" s="621">
        <f t="shared" si="2"/>
        <v>661.25</v>
      </c>
      <c r="O20" s="621">
        <v>0</v>
      </c>
      <c r="P20" s="42">
        <f t="shared" si="3"/>
        <v>27772.5</v>
      </c>
      <c r="Q20" s="34" t="s">
        <v>458</v>
      </c>
      <c r="R20" s="34" t="s">
        <v>26</v>
      </c>
    </row>
    <row r="21" spans="1:18" x14ac:dyDescent="0.2">
      <c r="A21" s="33">
        <v>43739</v>
      </c>
      <c r="B21" s="34"/>
      <c r="C21" s="34" t="s">
        <v>686</v>
      </c>
      <c r="D21" s="34" t="s">
        <v>687</v>
      </c>
      <c r="E21" s="34" t="s">
        <v>22</v>
      </c>
      <c r="F21" s="38"/>
      <c r="G21" s="38"/>
      <c r="H21" s="38"/>
      <c r="I21" s="221">
        <v>2.5</v>
      </c>
      <c r="J21" s="34"/>
      <c r="K21" s="126">
        <v>1750</v>
      </c>
      <c r="L21" s="621">
        <v>0</v>
      </c>
      <c r="M21" s="621">
        <f t="shared" si="1"/>
        <v>43.75</v>
      </c>
      <c r="N21" s="621">
        <f t="shared" si="2"/>
        <v>43.75</v>
      </c>
      <c r="O21" s="621">
        <v>0</v>
      </c>
      <c r="P21" s="42">
        <f t="shared" si="3"/>
        <v>1837.5</v>
      </c>
      <c r="Q21" s="34" t="s">
        <v>458</v>
      </c>
      <c r="R21" s="34" t="s">
        <v>26</v>
      </c>
    </row>
    <row r="22" spans="1:18" x14ac:dyDescent="0.2">
      <c r="A22" s="33">
        <v>43739</v>
      </c>
      <c r="B22" s="34"/>
      <c r="C22" s="34" t="s">
        <v>686</v>
      </c>
      <c r="D22" s="34" t="s">
        <v>687</v>
      </c>
      <c r="E22" s="34" t="s">
        <v>22</v>
      </c>
      <c r="F22" s="38"/>
      <c r="G22" s="38"/>
      <c r="H22" s="38"/>
      <c r="I22" s="221">
        <v>2.5</v>
      </c>
      <c r="J22" s="34"/>
      <c r="K22" s="126">
        <v>900</v>
      </c>
      <c r="L22" s="621">
        <v>0</v>
      </c>
      <c r="M22" s="621">
        <f t="shared" si="1"/>
        <v>22.5</v>
      </c>
      <c r="N22" s="621">
        <f t="shared" si="2"/>
        <v>22.5</v>
      </c>
      <c r="O22" s="621">
        <v>0</v>
      </c>
      <c r="P22" s="42">
        <f t="shared" si="3"/>
        <v>945</v>
      </c>
      <c r="Q22" s="34" t="s">
        <v>458</v>
      </c>
      <c r="R22" s="34" t="s">
        <v>26</v>
      </c>
    </row>
    <row r="23" spans="1:18" x14ac:dyDescent="0.2">
      <c r="A23" s="984">
        <v>43770</v>
      </c>
      <c r="B23" s="11">
        <v>22</v>
      </c>
      <c r="C23" s="34" t="s">
        <v>686</v>
      </c>
      <c r="D23" s="34" t="s">
        <v>687</v>
      </c>
      <c r="E23" s="34" t="s">
        <v>22</v>
      </c>
      <c r="F23" s="38"/>
      <c r="G23" s="38"/>
      <c r="H23" s="38"/>
      <c r="I23" s="221">
        <v>2.5</v>
      </c>
      <c r="J23" s="34"/>
      <c r="K23" s="126">
        <v>3100</v>
      </c>
      <c r="L23" s="621">
        <v>0</v>
      </c>
      <c r="M23" s="621">
        <f>+K23/100*I23</f>
        <v>77.5</v>
      </c>
      <c r="N23" s="621">
        <f>+M23</f>
        <v>77.5</v>
      </c>
      <c r="O23" s="621">
        <v>0</v>
      </c>
      <c r="P23" s="42">
        <f t="shared" si="3"/>
        <v>3255</v>
      </c>
      <c r="Q23" s="34" t="s">
        <v>458</v>
      </c>
      <c r="R23" s="34" t="s">
        <v>26</v>
      </c>
    </row>
    <row r="24" spans="1:18" x14ac:dyDescent="0.2">
      <c r="A24" s="984">
        <v>43770</v>
      </c>
      <c r="B24" s="11">
        <v>23</v>
      </c>
      <c r="C24" s="34" t="s">
        <v>686</v>
      </c>
      <c r="D24" s="34" t="s">
        <v>687</v>
      </c>
      <c r="E24" s="34" t="s">
        <v>22</v>
      </c>
      <c r="F24" s="38"/>
      <c r="G24" s="38"/>
      <c r="H24" s="38"/>
      <c r="I24" s="221">
        <v>2.5</v>
      </c>
      <c r="J24" s="34"/>
      <c r="K24" s="126">
        <v>1150</v>
      </c>
      <c r="L24" s="621">
        <v>0</v>
      </c>
      <c r="M24" s="621">
        <f>+K24/100*I24</f>
        <v>28.75</v>
      </c>
      <c r="N24" s="621">
        <f>+M24</f>
        <v>28.75</v>
      </c>
      <c r="O24" s="621">
        <v>0</v>
      </c>
      <c r="P24" s="42">
        <f t="shared" si="3"/>
        <v>1207.5</v>
      </c>
      <c r="Q24" s="34" t="s">
        <v>458</v>
      </c>
      <c r="R24" s="34" t="s">
        <v>26</v>
      </c>
    </row>
    <row r="25" spans="1:18" x14ac:dyDescent="0.2">
      <c r="A25" s="984">
        <v>43770</v>
      </c>
      <c r="B25" s="34">
        <v>24</v>
      </c>
      <c r="C25" s="34" t="s">
        <v>600</v>
      </c>
      <c r="D25" s="34" t="e">
        <v>#N/A</v>
      </c>
      <c r="E25" s="34" t="s">
        <v>22</v>
      </c>
      <c r="F25" s="38"/>
      <c r="G25" s="38"/>
      <c r="H25" s="38"/>
      <c r="I25" s="221">
        <v>2.5</v>
      </c>
      <c r="J25" s="34"/>
      <c r="K25" s="126">
        <v>19500</v>
      </c>
      <c r="L25" s="621">
        <v>0</v>
      </c>
      <c r="M25" s="621">
        <f>+K25/100*I25</f>
        <v>487.5</v>
      </c>
      <c r="N25" s="621">
        <f>+M25</f>
        <v>487.5</v>
      </c>
      <c r="O25" s="621">
        <v>0</v>
      </c>
      <c r="P25" s="42">
        <f>+O25+N25+M25+L25+K25</f>
        <v>20475</v>
      </c>
      <c r="Q25" s="34" t="s">
        <v>458</v>
      </c>
      <c r="R25" s="34" t="s">
        <v>26</v>
      </c>
    </row>
    <row r="26" spans="1:18" x14ac:dyDescent="0.2">
      <c r="A26" s="984">
        <v>43770</v>
      </c>
      <c r="B26" s="11">
        <v>25</v>
      </c>
      <c r="C26" s="34" t="s">
        <v>686</v>
      </c>
      <c r="D26" s="34" t="s">
        <v>687</v>
      </c>
      <c r="E26" s="34" t="s">
        <v>22</v>
      </c>
      <c r="F26" s="38"/>
      <c r="G26" s="38"/>
      <c r="H26" s="38"/>
      <c r="I26" s="221">
        <v>2.5</v>
      </c>
      <c r="J26" s="34"/>
      <c r="K26" s="126">
        <v>500</v>
      </c>
      <c r="L26" s="621">
        <v>0</v>
      </c>
      <c r="M26" s="621">
        <f>+K26/100*I26</f>
        <v>12.5</v>
      </c>
      <c r="N26" s="621">
        <f>+M26</f>
        <v>12.5</v>
      </c>
      <c r="O26" s="621">
        <v>0</v>
      </c>
      <c r="P26" s="42">
        <f>+O26+N26+M26+L26+K26</f>
        <v>525</v>
      </c>
      <c r="Q26" s="34" t="s">
        <v>458</v>
      </c>
      <c r="R26" s="34" t="s">
        <v>26</v>
      </c>
    </row>
    <row r="27" spans="1:18" x14ac:dyDescent="0.2">
      <c r="A27" s="638">
        <v>43770</v>
      </c>
      <c r="B27" s="34">
        <v>26</v>
      </c>
      <c r="C27" s="981" t="s">
        <v>686</v>
      </c>
      <c r="D27" s="11" t="s">
        <v>687</v>
      </c>
      <c r="E27" s="43" t="s">
        <v>22</v>
      </c>
      <c r="F27" s="38"/>
      <c r="G27" s="38"/>
      <c r="H27" s="38"/>
      <c r="I27" s="221">
        <v>2.5</v>
      </c>
      <c r="J27" s="43"/>
      <c r="K27" s="564">
        <v>1100</v>
      </c>
      <c r="L27" s="621">
        <v>0</v>
      </c>
      <c r="M27" s="621">
        <f t="shared" ref="M27:M36" si="4">+K27/100*I27</f>
        <v>27.5</v>
      </c>
      <c r="N27" s="621">
        <f t="shared" ref="N27:N36" si="5">+M27</f>
        <v>27.5</v>
      </c>
      <c r="O27" s="621">
        <v>0</v>
      </c>
      <c r="P27" s="222">
        <f t="shared" ref="P27:P36" si="6">+O27+N27+M27+L27+K27</f>
        <v>1155</v>
      </c>
      <c r="Q27" s="43" t="s">
        <v>458</v>
      </c>
      <c r="R27" s="43" t="s">
        <v>26</v>
      </c>
    </row>
    <row r="28" spans="1:18" x14ac:dyDescent="0.2">
      <c r="A28" s="638">
        <v>43770</v>
      </c>
      <c r="B28" s="34">
        <v>27</v>
      </c>
      <c r="C28" s="981" t="s">
        <v>686</v>
      </c>
      <c r="D28" s="11" t="s">
        <v>687</v>
      </c>
      <c r="E28" s="43" t="s">
        <v>22</v>
      </c>
      <c r="F28" s="38"/>
      <c r="G28" s="38"/>
      <c r="H28" s="38"/>
      <c r="I28" s="221">
        <v>2.5</v>
      </c>
      <c r="J28" s="43"/>
      <c r="K28" s="564">
        <v>2050</v>
      </c>
      <c r="L28" s="621">
        <v>0</v>
      </c>
      <c r="M28" s="621">
        <f t="shared" si="4"/>
        <v>51.25</v>
      </c>
      <c r="N28" s="621">
        <f t="shared" si="5"/>
        <v>51.25</v>
      </c>
      <c r="O28" s="621">
        <v>0</v>
      </c>
      <c r="P28" s="222">
        <f t="shared" si="6"/>
        <v>2152.5</v>
      </c>
      <c r="Q28" s="43" t="s">
        <v>458</v>
      </c>
      <c r="R28" s="43" t="s">
        <v>26</v>
      </c>
    </row>
    <row r="29" spans="1:18" x14ac:dyDescent="0.2">
      <c r="A29" s="638">
        <v>43800</v>
      </c>
      <c r="B29" s="34">
        <v>28</v>
      </c>
      <c r="C29" s="565" t="s">
        <v>600</v>
      </c>
      <c r="D29" s="983" t="e">
        <v>#N/A</v>
      </c>
      <c r="E29" s="43" t="s">
        <v>22</v>
      </c>
      <c r="F29" s="38"/>
      <c r="G29" s="38"/>
      <c r="H29" s="38"/>
      <c r="I29" s="221">
        <v>2.5</v>
      </c>
      <c r="J29" s="43"/>
      <c r="K29" s="564">
        <v>20200</v>
      </c>
      <c r="L29" s="621">
        <v>0</v>
      </c>
      <c r="M29" s="621">
        <f t="shared" si="4"/>
        <v>505</v>
      </c>
      <c r="N29" s="621">
        <f t="shared" si="5"/>
        <v>505</v>
      </c>
      <c r="O29" s="621">
        <v>0</v>
      </c>
      <c r="P29" s="222">
        <f t="shared" si="6"/>
        <v>21210</v>
      </c>
      <c r="Q29" s="43" t="s">
        <v>458</v>
      </c>
      <c r="R29" s="43" t="s">
        <v>26</v>
      </c>
    </row>
    <row r="30" spans="1:18" x14ac:dyDescent="0.2">
      <c r="A30" s="638">
        <v>43800</v>
      </c>
      <c r="B30" s="34">
        <v>29</v>
      </c>
      <c r="C30" s="565" t="s">
        <v>4568</v>
      </c>
      <c r="D30" s="983" t="e">
        <v>#N/A</v>
      </c>
      <c r="E30" s="43" t="s">
        <v>22</v>
      </c>
      <c r="F30" s="38"/>
      <c r="G30" s="38"/>
      <c r="H30" s="38"/>
      <c r="I30" s="221">
        <v>2.5</v>
      </c>
      <c r="J30" s="43"/>
      <c r="K30" s="564">
        <v>7500</v>
      </c>
      <c r="L30" s="621">
        <v>0</v>
      </c>
      <c r="M30" s="621">
        <f t="shared" si="4"/>
        <v>187.5</v>
      </c>
      <c r="N30" s="621">
        <f t="shared" si="5"/>
        <v>187.5</v>
      </c>
      <c r="O30" s="621">
        <v>0</v>
      </c>
      <c r="P30" s="222">
        <f t="shared" si="6"/>
        <v>7875</v>
      </c>
      <c r="Q30" s="43" t="s">
        <v>458</v>
      </c>
      <c r="R30" s="43" t="s">
        <v>26</v>
      </c>
    </row>
    <row r="31" spans="1:18" x14ac:dyDescent="0.2">
      <c r="A31" s="638">
        <v>43800</v>
      </c>
      <c r="B31" s="34">
        <v>30</v>
      </c>
      <c r="C31" s="981" t="s">
        <v>4569</v>
      </c>
      <c r="D31" s="983" t="e">
        <v>#N/A</v>
      </c>
      <c r="E31" s="43" t="s">
        <v>22</v>
      </c>
      <c r="F31" s="38"/>
      <c r="G31" s="38"/>
      <c r="H31" s="38"/>
      <c r="I31" s="221">
        <v>2.5</v>
      </c>
      <c r="J31" s="43"/>
      <c r="K31" s="564">
        <v>8500</v>
      </c>
      <c r="L31" s="621">
        <v>0</v>
      </c>
      <c r="M31" s="621">
        <f t="shared" si="4"/>
        <v>212.5</v>
      </c>
      <c r="N31" s="621">
        <f t="shared" si="5"/>
        <v>212.5</v>
      </c>
      <c r="O31" s="621">
        <v>0</v>
      </c>
      <c r="P31" s="222">
        <f t="shared" si="6"/>
        <v>8925</v>
      </c>
      <c r="Q31" s="43" t="s">
        <v>458</v>
      </c>
      <c r="R31" s="43" t="s">
        <v>26</v>
      </c>
    </row>
    <row r="32" spans="1:18" x14ac:dyDescent="0.2">
      <c r="A32" s="638">
        <v>43800</v>
      </c>
      <c r="B32" s="34">
        <v>31</v>
      </c>
      <c r="C32" s="11" t="s">
        <v>4570</v>
      </c>
      <c r="D32" s="11" t="s">
        <v>4571</v>
      </c>
      <c r="E32" s="43" t="s">
        <v>22</v>
      </c>
      <c r="F32" s="38"/>
      <c r="G32" s="38"/>
      <c r="H32" s="38"/>
      <c r="I32" s="221">
        <v>2.5</v>
      </c>
      <c r="J32" s="43"/>
      <c r="K32" s="564">
        <v>2000</v>
      </c>
      <c r="L32" s="621">
        <v>0</v>
      </c>
      <c r="M32" s="621">
        <f t="shared" si="4"/>
        <v>50</v>
      </c>
      <c r="N32" s="621">
        <f t="shared" si="5"/>
        <v>50</v>
      </c>
      <c r="O32" s="621">
        <v>0</v>
      </c>
      <c r="P32" s="222">
        <f t="shared" si="6"/>
        <v>2100</v>
      </c>
      <c r="Q32" s="43" t="s">
        <v>458</v>
      </c>
      <c r="R32" s="43" t="s">
        <v>26</v>
      </c>
    </row>
    <row r="33" spans="1:18" x14ac:dyDescent="0.2">
      <c r="A33" s="638">
        <v>43800</v>
      </c>
      <c r="B33" s="34">
        <v>32</v>
      </c>
      <c r="C33" s="11" t="s">
        <v>4572</v>
      </c>
      <c r="E33" s="43" t="s">
        <v>22</v>
      </c>
      <c r="F33" s="38"/>
      <c r="G33" s="38"/>
      <c r="H33" s="38"/>
      <c r="I33" s="221">
        <v>2.5</v>
      </c>
      <c r="J33" s="43"/>
      <c r="K33" s="564">
        <v>2361</v>
      </c>
      <c r="L33" s="621">
        <v>118.05</v>
      </c>
      <c r="M33" s="621">
        <v>0</v>
      </c>
      <c r="N33" s="621">
        <f t="shared" si="5"/>
        <v>0</v>
      </c>
      <c r="O33" s="621">
        <v>0</v>
      </c>
      <c r="P33" s="222">
        <f t="shared" si="6"/>
        <v>2479.0500000000002</v>
      </c>
      <c r="Q33" s="43" t="s">
        <v>458</v>
      </c>
      <c r="R33" s="43" t="s">
        <v>4581</v>
      </c>
    </row>
    <row r="34" spans="1:18" x14ac:dyDescent="0.2">
      <c r="A34" s="638">
        <v>43800</v>
      </c>
      <c r="B34" s="34">
        <v>33</v>
      </c>
      <c r="C34" s="981" t="s">
        <v>686</v>
      </c>
      <c r="D34" s="11" t="s">
        <v>687</v>
      </c>
      <c r="E34" s="43" t="s">
        <v>22</v>
      </c>
      <c r="F34" s="38"/>
      <c r="G34" s="38"/>
      <c r="H34" s="38"/>
      <c r="I34" s="221">
        <v>2.5</v>
      </c>
      <c r="J34" s="43"/>
      <c r="K34" s="564">
        <v>2600</v>
      </c>
      <c r="L34" s="621">
        <v>0</v>
      </c>
      <c r="M34" s="621">
        <f t="shared" si="4"/>
        <v>65</v>
      </c>
      <c r="N34" s="621">
        <f t="shared" si="5"/>
        <v>65</v>
      </c>
      <c r="O34" s="621">
        <v>0</v>
      </c>
      <c r="P34" s="222">
        <f t="shared" si="6"/>
        <v>2730</v>
      </c>
      <c r="Q34" s="43" t="s">
        <v>458</v>
      </c>
      <c r="R34" s="43" t="s">
        <v>26</v>
      </c>
    </row>
    <row r="35" spans="1:18" x14ac:dyDescent="0.2">
      <c r="A35" s="638">
        <v>43800</v>
      </c>
      <c r="B35" s="34">
        <v>34</v>
      </c>
      <c r="C35" s="981" t="s">
        <v>686</v>
      </c>
      <c r="D35" s="11" t="s">
        <v>687</v>
      </c>
      <c r="E35" s="43" t="s">
        <v>22</v>
      </c>
      <c r="F35" s="38"/>
      <c r="G35" s="38"/>
      <c r="H35" s="38"/>
      <c r="I35" s="221">
        <v>2.5</v>
      </c>
      <c r="J35" s="43"/>
      <c r="K35" s="564">
        <v>2400</v>
      </c>
      <c r="L35" s="621">
        <v>0</v>
      </c>
      <c r="M35" s="621">
        <f t="shared" si="4"/>
        <v>60</v>
      </c>
      <c r="N35" s="621">
        <f t="shared" si="5"/>
        <v>60</v>
      </c>
      <c r="O35" s="621">
        <v>0</v>
      </c>
      <c r="P35" s="222">
        <f t="shared" si="6"/>
        <v>2520</v>
      </c>
      <c r="Q35" s="43" t="s">
        <v>458</v>
      </c>
      <c r="R35" s="43" t="s">
        <v>26</v>
      </c>
    </row>
    <row r="36" spans="1:18" x14ac:dyDescent="0.2">
      <c r="A36" s="638">
        <v>43800</v>
      </c>
      <c r="B36" s="34">
        <v>35</v>
      </c>
      <c r="C36" s="35" t="s">
        <v>673</v>
      </c>
      <c r="D36" s="11" t="s">
        <v>674</v>
      </c>
      <c r="E36" s="43" t="s">
        <v>22</v>
      </c>
      <c r="F36" s="38"/>
      <c r="G36" s="38"/>
      <c r="H36" s="38"/>
      <c r="I36" s="221">
        <v>2.5</v>
      </c>
      <c r="J36" s="43"/>
      <c r="K36" s="564">
        <v>4200</v>
      </c>
      <c r="L36" s="621">
        <v>0</v>
      </c>
      <c r="M36" s="621">
        <f t="shared" si="4"/>
        <v>105</v>
      </c>
      <c r="N36" s="621">
        <f t="shared" si="5"/>
        <v>105</v>
      </c>
      <c r="O36" s="621">
        <v>0</v>
      </c>
      <c r="P36" s="222">
        <f t="shared" si="6"/>
        <v>4410</v>
      </c>
      <c r="Q36" s="43" t="s">
        <v>458</v>
      </c>
      <c r="R36" s="43" t="s">
        <v>26</v>
      </c>
    </row>
  </sheetData>
  <mergeCells count="7">
    <mergeCell ref="E4:G4"/>
    <mergeCell ref="Q4:R4"/>
    <mergeCell ref="A2:R2"/>
    <mergeCell ref="A3:R3"/>
    <mergeCell ref="A4:A5"/>
    <mergeCell ref="I4:I5"/>
    <mergeCell ref="L4:O4"/>
  </mergeCells>
  <conditionalFormatting sqref="C12">
    <cfRule type="duplicateValues" dxfId="820" priority="2"/>
  </conditionalFormatting>
  <conditionalFormatting sqref="C14">
    <cfRule type="duplicateValues" dxfId="819" priority="1"/>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'MASTER SALE PUR TYPE'!$C$3:$C$15</xm:f>
          </x14:formula1>
          <xm:sqref>E4:E5</xm:sqref>
        </x14:dataValidation>
        <x14:dataValidation type="list" allowBlank="1" showInputMessage="1" showErrorMessage="1">
          <x14:formula1>
            <xm:f>'[2]MASTER SALE PUR TYPE'!#REF!</xm:f>
          </x14:formula1>
          <xm:sqref>Q27:Q36</xm:sqref>
        </x14:dataValidation>
        <x14:dataValidation type="list" allowBlank="1" showInputMessage="1" showErrorMessage="1">
          <x14:formula1>
            <xm:f>'[2]MASTER SALE PUR TYPE'!#REF!</xm:f>
          </x14:formula1>
          <xm:sqref>E6:E36</xm:sqref>
        </x14:dataValidation>
        <x14:dataValidation type="list" allowBlank="1" showInputMessage="1" showErrorMessage="1">
          <x14:formula1>
            <xm:f>'[2]MASTER SALE PUR TYPE'!#REF!</xm:f>
          </x14:formula1>
          <xm:sqref>Q6:Q26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sheetViews>
  <sheetFormatPr defaultRowHeight="10.199999999999999" x14ac:dyDescent="0.2"/>
  <cols>
    <col min="1" max="1" width="6.77734375" style="11" bestFit="1" customWidth="1"/>
    <col min="2" max="2" width="5.6640625" style="11" bestFit="1" customWidth="1"/>
    <col min="3" max="3" width="12.6640625" style="11" customWidth="1"/>
    <col min="4" max="4" width="11.6640625" style="11" customWidth="1"/>
    <col min="5" max="5" width="11.109375" style="11" customWidth="1"/>
    <col min="6" max="7" width="9.88671875" style="11" customWidth="1"/>
    <col min="8" max="8" width="8.88671875" style="11"/>
    <col min="9" max="9" width="12.33203125" style="11" customWidth="1"/>
    <col min="10" max="10" width="9.88671875" style="11" bestFit="1" customWidth="1"/>
    <col min="11" max="11" width="6" style="11" bestFit="1" customWidth="1"/>
    <col min="12" max="12" width="9.44140625" style="11" bestFit="1" customWidth="1"/>
    <col min="13" max="13" width="4.88671875" style="11" bestFit="1" customWidth="1"/>
    <col min="14" max="15" width="7.6640625" style="11" bestFit="1" customWidth="1"/>
    <col min="16" max="16" width="5.109375" style="11" bestFit="1" customWidth="1"/>
    <col min="17" max="17" width="4.88671875" style="11" bestFit="1" customWidth="1"/>
    <col min="18" max="16384" width="8.88671875" style="11"/>
  </cols>
  <sheetData>
    <row r="1" spans="1:17" ht="10.8" thickBot="1" x14ac:dyDescent="0.25">
      <c r="A1" s="114" t="s">
        <v>347</v>
      </c>
      <c r="B1" s="114"/>
      <c r="C1" s="114"/>
      <c r="D1" s="114"/>
      <c r="E1" s="114"/>
      <c r="F1" s="114"/>
      <c r="G1" s="114"/>
      <c r="H1" s="114"/>
      <c r="I1" s="114"/>
      <c r="J1" s="115"/>
      <c r="K1" s="115"/>
      <c r="L1" s="115"/>
      <c r="M1" s="115"/>
      <c r="N1" s="115"/>
      <c r="O1" s="115"/>
      <c r="P1" s="115"/>
    </row>
    <row r="2" spans="1:17" x14ac:dyDescent="0.2">
      <c r="A2" s="1220" t="s">
        <v>362</v>
      </c>
      <c r="B2" s="1221"/>
      <c r="C2" s="1221"/>
      <c r="D2" s="1221"/>
      <c r="E2" s="1221"/>
      <c r="F2" s="1221"/>
      <c r="G2" s="1221"/>
      <c r="H2" s="1221"/>
      <c r="I2" s="1221"/>
      <c r="J2" s="1221"/>
      <c r="K2" s="1221"/>
      <c r="L2" s="1221"/>
      <c r="M2" s="1221"/>
      <c r="N2" s="1221"/>
      <c r="O2" s="1221"/>
      <c r="P2" s="1221"/>
      <c r="Q2" s="1221"/>
    </row>
    <row r="3" spans="1:17" x14ac:dyDescent="0.2">
      <c r="A3" s="1217" t="s">
        <v>2</v>
      </c>
      <c r="B3" s="994" t="s">
        <v>3</v>
      </c>
      <c r="C3" s="994" t="s">
        <v>4</v>
      </c>
      <c r="D3" s="1219" t="s">
        <v>5</v>
      </c>
      <c r="E3" s="1217" t="s">
        <v>3343</v>
      </c>
      <c r="F3" s="1217" t="s">
        <v>3344</v>
      </c>
      <c r="G3" s="1217" t="s">
        <v>3342</v>
      </c>
      <c r="H3" s="1223" t="s">
        <v>3345</v>
      </c>
      <c r="I3" s="1217" t="s">
        <v>3346</v>
      </c>
      <c r="J3" s="1217" t="s">
        <v>9</v>
      </c>
      <c r="K3" s="994" t="s">
        <v>10</v>
      </c>
      <c r="L3" s="1219" t="s">
        <v>11</v>
      </c>
      <c r="M3" s="994" t="s">
        <v>12</v>
      </c>
      <c r="N3" s="994"/>
      <c r="O3" s="994"/>
      <c r="P3" s="994"/>
      <c r="Q3" s="116" t="s">
        <v>333</v>
      </c>
    </row>
    <row r="4" spans="1:17" ht="19.2" customHeight="1" x14ac:dyDescent="0.2">
      <c r="A4" s="1218"/>
      <c r="B4" s="994"/>
      <c r="C4" s="994"/>
      <c r="D4" s="994"/>
      <c r="E4" s="1218"/>
      <c r="F4" s="1222"/>
      <c r="G4" s="1218"/>
      <c r="H4" s="1224"/>
      <c r="I4" s="1218"/>
      <c r="J4" s="1218"/>
      <c r="K4" s="994"/>
      <c r="L4" s="994"/>
      <c r="M4" s="19" t="s">
        <v>16</v>
      </c>
      <c r="N4" s="19" t="s">
        <v>17</v>
      </c>
      <c r="O4" s="19" t="s">
        <v>18</v>
      </c>
      <c r="P4" s="19" t="s">
        <v>19</v>
      </c>
      <c r="Q4" s="19"/>
    </row>
    <row r="5" spans="1:17" x14ac:dyDescent="0.2">
      <c r="A5" s="23">
        <v>43556</v>
      </c>
      <c r="B5" s="24">
        <v>1</v>
      </c>
      <c r="C5" s="24" t="s">
        <v>224</v>
      </c>
      <c r="D5" s="24" t="s">
        <v>225</v>
      </c>
      <c r="E5" s="24" t="s">
        <v>24</v>
      </c>
      <c r="F5" s="24">
        <v>0</v>
      </c>
      <c r="G5" s="24" t="s">
        <v>22</v>
      </c>
      <c r="H5" s="24" t="s">
        <v>3347</v>
      </c>
      <c r="I5" s="24" t="s">
        <v>3348</v>
      </c>
      <c r="J5" s="28">
        <v>87142090</v>
      </c>
      <c r="K5" s="29">
        <v>28</v>
      </c>
      <c r="L5" s="30">
        <v>0</v>
      </c>
      <c r="M5" s="117">
        <v>0</v>
      </c>
      <c r="N5" s="117">
        <v>0</v>
      </c>
      <c r="O5" s="117">
        <v>0</v>
      </c>
      <c r="P5" s="117">
        <v>0</v>
      </c>
      <c r="Q5" s="24" t="s">
        <v>26</v>
      </c>
    </row>
    <row r="6" spans="1:17" x14ac:dyDescent="0.2">
      <c r="A6" s="33">
        <v>43647</v>
      </c>
      <c r="B6" s="34">
        <v>2</v>
      </c>
      <c r="C6" s="34" t="s">
        <v>224</v>
      </c>
      <c r="D6" s="34" t="s">
        <v>225</v>
      </c>
      <c r="E6" s="34" t="s">
        <v>24</v>
      </c>
      <c r="F6" s="34">
        <v>0</v>
      </c>
      <c r="G6" s="34"/>
      <c r="H6" s="34" t="s">
        <v>3347</v>
      </c>
      <c r="I6" s="34" t="s">
        <v>3348</v>
      </c>
      <c r="J6" s="34">
        <v>85119000</v>
      </c>
      <c r="K6" s="39">
        <v>28</v>
      </c>
      <c r="L6" s="40">
        <v>0</v>
      </c>
      <c r="M6" s="118">
        <v>0</v>
      </c>
      <c r="N6" s="118">
        <v>0</v>
      </c>
      <c r="O6" s="118">
        <v>0</v>
      </c>
      <c r="P6" s="118">
        <v>0</v>
      </c>
      <c r="Q6" s="34" t="s">
        <v>26</v>
      </c>
    </row>
    <row r="7" spans="1:17" x14ac:dyDescent="0.2">
      <c r="A7" s="34"/>
      <c r="B7" s="34"/>
      <c r="C7" s="34"/>
      <c r="D7" s="34"/>
      <c r="E7" s="34"/>
      <c r="F7" s="34"/>
      <c r="G7" s="34"/>
      <c r="H7" s="34"/>
      <c r="I7" s="34" t="s">
        <v>3349</v>
      </c>
      <c r="J7" s="34"/>
      <c r="K7" s="34"/>
      <c r="L7" s="34"/>
      <c r="M7" s="34"/>
      <c r="N7" s="34"/>
      <c r="O7" s="34"/>
      <c r="P7" s="34"/>
      <c r="Q7" s="34"/>
    </row>
    <row r="8" spans="1:17" x14ac:dyDescent="0.2">
      <c r="A8" s="34"/>
      <c r="B8" s="34"/>
      <c r="C8" s="34"/>
      <c r="D8" s="34"/>
      <c r="E8" s="34"/>
      <c r="F8" s="34"/>
      <c r="G8" s="34"/>
      <c r="H8" s="34"/>
      <c r="I8" s="34"/>
      <c r="J8" s="34"/>
      <c r="K8" s="34"/>
      <c r="L8" s="34"/>
      <c r="M8" s="34"/>
      <c r="N8" s="34"/>
      <c r="O8" s="34"/>
      <c r="P8" s="34"/>
      <c r="Q8" s="34"/>
    </row>
    <row r="9" spans="1:17" x14ac:dyDescent="0.2">
      <c r="A9" s="34"/>
      <c r="B9" s="34"/>
      <c r="C9" s="34"/>
      <c r="D9" s="34"/>
      <c r="E9" s="34"/>
      <c r="F9" s="34"/>
      <c r="G9" s="34"/>
      <c r="H9" s="34"/>
      <c r="I9" s="34"/>
      <c r="J9" s="34"/>
      <c r="K9" s="34"/>
      <c r="L9" s="34"/>
      <c r="M9" s="34"/>
      <c r="N9" s="34"/>
      <c r="O9" s="34"/>
      <c r="P9" s="34"/>
      <c r="Q9" s="34"/>
    </row>
    <row r="10" spans="1:17" x14ac:dyDescent="0.2">
      <c r="A10" s="34"/>
      <c r="B10" s="34"/>
      <c r="C10" s="34"/>
      <c r="D10" s="34"/>
      <c r="E10" s="34"/>
      <c r="F10" s="34"/>
      <c r="G10" s="34"/>
      <c r="H10" s="34"/>
      <c r="I10" s="34"/>
      <c r="J10" s="34"/>
      <c r="K10" s="34"/>
      <c r="L10" s="34"/>
      <c r="M10" s="34"/>
      <c r="N10" s="34"/>
      <c r="O10" s="34"/>
      <c r="P10" s="34"/>
      <c r="Q10" s="34"/>
    </row>
    <row r="11" spans="1:17" x14ac:dyDescent="0.2">
      <c r="A11" s="34"/>
      <c r="B11" s="34"/>
      <c r="C11" s="34"/>
      <c r="D11" s="34"/>
      <c r="E11" s="34"/>
      <c r="F11" s="34"/>
      <c r="G11" s="34"/>
      <c r="H11" s="34"/>
      <c r="I11" s="34"/>
      <c r="J11" s="34"/>
      <c r="K11" s="34"/>
      <c r="L11" s="34"/>
      <c r="M11" s="34"/>
      <c r="N11" s="34"/>
      <c r="O11" s="34"/>
      <c r="P11" s="34"/>
      <c r="Q11" s="34"/>
    </row>
    <row r="12" spans="1:17" x14ac:dyDescent="0.2">
      <c r="A12" s="34"/>
      <c r="B12" s="34"/>
      <c r="C12" s="34"/>
      <c r="D12" s="34"/>
      <c r="E12" s="34"/>
      <c r="F12" s="34"/>
      <c r="G12" s="34"/>
      <c r="H12" s="34"/>
      <c r="I12" s="34"/>
      <c r="J12" s="34"/>
      <c r="K12" s="34"/>
      <c r="L12" s="34"/>
      <c r="M12" s="34"/>
      <c r="N12" s="34"/>
      <c r="O12" s="34"/>
      <c r="P12" s="34"/>
      <c r="Q12" s="34"/>
    </row>
    <row r="13" spans="1:17" x14ac:dyDescent="0.2">
      <c r="A13" s="34"/>
      <c r="B13" s="34"/>
      <c r="C13" s="34"/>
      <c r="D13" s="34"/>
      <c r="E13" s="34"/>
      <c r="F13" s="34"/>
      <c r="G13" s="34"/>
      <c r="H13" s="34"/>
      <c r="I13" s="34"/>
      <c r="J13" s="34"/>
      <c r="K13" s="34"/>
      <c r="L13" s="34"/>
      <c r="M13" s="34"/>
      <c r="N13" s="34"/>
      <c r="O13" s="34"/>
      <c r="P13" s="34"/>
      <c r="Q13" s="34"/>
    </row>
    <row r="14" spans="1:17" x14ac:dyDescent="0.2">
      <c r="A14" s="34"/>
      <c r="B14" s="34"/>
      <c r="C14" s="34"/>
      <c r="D14" s="34"/>
      <c r="E14" s="34"/>
      <c r="F14" s="34"/>
      <c r="G14" s="34"/>
      <c r="H14" s="34"/>
      <c r="I14" s="34"/>
      <c r="J14" s="34"/>
      <c r="K14" s="34"/>
      <c r="L14" s="34"/>
      <c r="M14" s="34"/>
      <c r="N14" s="34"/>
      <c r="O14" s="34"/>
      <c r="P14" s="34"/>
      <c r="Q14" s="34"/>
    </row>
    <row r="15" spans="1:17" x14ac:dyDescent="0.2">
      <c r="A15" s="34"/>
      <c r="B15" s="34"/>
      <c r="C15" s="34"/>
      <c r="D15" s="34"/>
      <c r="E15" s="34"/>
      <c r="F15" s="34"/>
      <c r="G15" s="34"/>
      <c r="H15" s="34"/>
      <c r="I15" s="34"/>
      <c r="J15" s="34"/>
      <c r="K15" s="34"/>
      <c r="L15" s="34"/>
      <c r="M15" s="34"/>
      <c r="N15" s="34"/>
      <c r="O15" s="34"/>
      <c r="P15" s="34"/>
      <c r="Q15" s="34"/>
    </row>
    <row r="16" spans="1:17" x14ac:dyDescent="0.2">
      <c r="A16" s="34"/>
      <c r="B16" s="34"/>
      <c r="C16" s="34"/>
      <c r="D16" s="34"/>
      <c r="E16" s="34"/>
      <c r="F16" s="34"/>
      <c r="G16" s="34"/>
      <c r="H16" s="34"/>
      <c r="I16" s="34"/>
      <c r="J16" s="34"/>
      <c r="K16" s="34"/>
      <c r="L16" s="34"/>
      <c r="M16" s="34"/>
      <c r="N16" s="34"/>
      <c r="O16" s="34"/>
      <c r="P16" s="34"/>
      <c r="Q16" s="34"/>
    </row>
    <row r="17" spans="1:17" x14ac:dyDescent="0.2">
      <c r="A17" s="34"/>
      <c r="B17" s="34"/>
      <c r="C17" s="34"/>
      <c r="D17" s="34"/>
      <c r="E17" s="34"/>
      <c r="F17" s="34"/>
      <c r="G17" s="34"/>
      <c r="H17" s="34"/>
      <c r="I17" s="34"/>
      <c r="J17" s="34"/>
      <c r="K17" s="34"/>
      <c r="L17" s="34"/>
      <c r="M17" s="34"/>
      <c r="N17" s="34"/>
      <c r="O17" s="34"/>
      <c r="P17" s="34"/>
      <c r="Q17" s="34"/>
    </row>
    <row r="18" spans="1:17" x14ac:dyDescent="0.2">
      <c r="A18" s="34"/>
      <c r="B18" s="34"/>
      <c r="C18" s="34"/>
      <c r="D18" s="34"/>
      <c r="E18" s="34"/>
      <c r="F18" s="34"/>
      <c r="G18" s="34"/>
      <c r="H18" s="34"/>
      <c r="I18" s="34"/>
      <c r="J18" s="34"/>
      <c r="K18" s="34"/>
      <c r="L18" s="34"/>
      <c r="M18" s="34"/>
      <c r="N18" s="34"/>
      <c r="O18" s="34"/>
      <c r="P18" s="34"/>
      <c r="Q18" s="34"/>
    </row>
    <row r="19" spans="1:17" x14ac:dyDescent="0.2">
      <c r="A19" s="34"/>
      <c r="B19" s="34"/>
      <c r="C19" s="34"/>
      <c r="D19" s="34"/>
      <c r="E19" s="34"/>
      <c r="F19" s="34"/>
      <c r="G19" s="34"/>
      <c r="H19" s="34"/>
      <c r="I19" s="34"/>
      <c r="J19" s="34"/>
      <c r="K19" s="34"/>
      <c r="L19" s="34"/>
      <c r="M19" s="34"/>
      <c r="N19" s="34"/>
      <c r="O19" s="34"/>
      <c r="P19" s="34"/>
      <c r="Q19" s="34"/>
    </row>
    <row r="20" spans="1:17" x14ac:dyDescent="0.2">
      <c r="A20" s="34"/>
      <c r="B20" s="34"/>
      <c r="C20" s="34"/>
      <c r="D20" s="34"/>
      <c r="E20" s="34"/>
      <c r="F20" s="34"/>
      <c r="G20" s="34"/>
      <c r="H20" s="34"/>
      <c r="I20" s="34"/>
      <c r="J20" s="34"/>
      <c r="K20" s="34"/>
      <c r="L20" s="34"/>
      <c r="M20" s="34"/>
      <c r="N20" s="34"/>
      <c r="O20" s="34"/>
      <c r="P20" s="34"/>
      <c r="Q20" s="34"/>
    </row>
  </sheetData>
  <mergeCells count="14">
    <mergeCell ref="J3:J4"/>
    <mergeCell ref="K3:K4"/>
    <mergeCell ref="L3:L4"/>
    <mergeCell ref="M3:P3"/>
    <mergeCell ref="A2:Q2"/>
    <mergeCell ref="A3:A4"/>
    <mergeCell ref="B3:B4"/>
    <mergeCell ref="C3:C4"/>
    <mergeCell ref="D3:D4"/>
    <mergeCell ref="E3:E4"/>
    <mergeCell ref="F3:F4"/>
    <mergeCell ref="G3:G4"/>
    <mergeCell ref="H3:H4"/>
    <mergeCell ref="I3:I4"/>
  </mergeCells>
  <dataValidations count="1">
    <dataValidation type="list" allowBlank="1" showInputMessage="1" showErrorMessage="1" sqref="G5">
      <formula1>"CREDIT NOTE,DEBIT NOTE,INVOICE,BILL OF ENTRY"</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34"/>
  <sheetViews>
    <sheetView topLeftCell="F358" workbookViewId="0">
      <selection activeCell="R270" sqref="R270"/>
    </sheetView>
  </sheetViews>
  <sheetFormatPr defaultColWidth="9.109375" defaultRowHeight="10.199999999999999" x14ac:dyDescent="0.2"/>
  <cols>
    <col min="1" max="1" width="7.44140625" style="52" bestFit="1" customWidth="1"/>
    <col min="2" max="2" width="4.5546875" style="11" customWidth="1"/>
    <col min="3" max="3" width="27" style="11" customWidth="1"/>
    <col min="4" max="4" width="17.6640625" style="11" customWidth="1"/>
    <col min="5" max="5" width="8.44140625" style="11" customWidth="1"/>
    <col min="6" max="6" width="11.33203125" style="11" customWidth="1"/>
    <col min="7" max="7" width="11.44140625" style="11" bestFit="1" customWidth="1"/>
    <col min="8" max="8" width="8.109375" style="11" customWidth="1"/>
    <col min="9" max="9" width="5.109375" style="11" customWidth="1"/>
    <col min="10" max="10" width="5.5546875" style="11" customWidth="1"/>
    <col min="11" max="11" width="11.5546875" style="54" bestFit="1" customWidth="1"/>
    <col min="12" max="12" width="9.5546875" style="54" bestFit="1" customWidth="1"/>
    <col min="13" max="14" width="10.5546875" style="54" bestFit="1" customWidth="1"/>
    <col min="15" max="15" width="4.77734375" style="54" bestFit="1" customWidth="1"/>
    <col min="16" max="16" width="11.5546875" style="54" bestFit="1" customWidth="1"/>
    <col min="17" max="17" width="14.109375" style="11" bestFit="1" customWidth="1"/>
    <col min="18" max="18" width="6.44140625" style="11" customWidth="1"/>
    <col min="19" max="19" width="54" style="11" customWidth="1"/>
    <col min="20" max="16384" width="9.109375" style="11"/>
  </cols>
  <sheetData>
    <row r="1" spans="1:19" ht="17.399999999999999" customHeight="1" x14ac:dyDescent="0.2">
      <c r="A1" s="119"/>
      <c r="B1" s="120"/>
      <c r="C1" s="120"/>
      <c r="D1" s="120"/>
      <c r="E1" s="66"/>
      <c r="F1" s="120" t="s">
        <v>347</v>
      </c>
      <c r="G1" s="120"/>
      <c r="H1" s="6"/>
      <c r="I1" s="7"/>
      <c r="J1" s="120"/>
      <c r="K1" s="7">
        <v>19307453.953999996</v>
      </c>
      <c r="L1" s="7">
        <v>307957.54920000007</v>
      </c>
      <c r="M1" s="7">
        <v>2200357.6619599937</v>
      </c>
      <c r="N1" s="7">
        <v>2200357.6619599937</v>
      </c>
      <c r="O1" s="7">
        <v>0</v>
      </c>
      <c r="P1" s="7">
        <v>24016127.767120034</v>
      </c>
      <c r="Q1" s="7"/>
      <c r="R1" s="121"/>
    </row>
    <row r="2" spans="1:19" ht="14.4" customHeight="1" x14ac:dyDescent="0.2">
      <c r="A2" s="1211" t="s">
        <v>0</v>
      </c>
      <c r="B2" s="1212"/>
      <c r="C2" s="1212"/>
      <c r="D2" s="1212"/>
      <c r="E2" s="1212"/>
      <c r="F2" s="1212"/>
      <c r="G2" s="1212"/>
      <c r="H2" s="1212"/>
      <c r="I2" s="1212"/>
      <c r="J2" s="1212"/>
      <c r="K2" s="1212"/>
      <c r="L2" s="1212"/>
      <c r="M2" s="1212"/>
      <c r="N2" s="1212"/>
      <c r="O2" s="1212"/>
      <c r="P2" s="1212"/>
      <c r="Q2" s="1212"/>
      <c r="R2" s="1213"/>
    </row>
    <row r="3" spans="1:19" ht="14.4" customHeight="1" x14ac:dyDescent="0.2">
      <c r="A3" s="1214" t="s">
        <v>1</v>
      </c>
      <c r="B3" s="1215"/>
      <c r="C3" s="1215"/>
      <c r="D3" s="1215"/>
      <c r="E3" s="1215"/>
      <c r="F3" s="1215"/>
      <c r="G3" s="1215"/>
      <c r="H3" s="1215"/>
      <c r="I3" s="1215"/>
      <c r="J3" s="1215"/>
      <c r="K3" s="1215"/>
      <c r="L3" s="1215"/>
      <c r="M3" s="1215"/>
      <c r="N3" s="1215"/>
      <c r="O3" s="1215"/>
      <c r="P3" s="1215"/>
      <c r="Q3" s="1215"/>
      <c r="R3" s="1216"/>
    </row>
    <row r="4" spans="1:19" ht="12" customHeight="1" x14ac:dyDescent="0.2">
      <c r="A4" s="1004" t="s">
        <v>2</v>
      </c>
      <c r="B4" s="12" t="s">
        <v>1503</v>
      </c>
      <c r="C4" s="13" t="s">
        <v>3718</v>
      </c>
      <c r="D4" s="14" t="s">
        <v>3719</v>
      </c>
      <c r="E4" s="995" t="s">
        <v>6</v>
      </c>
      <c r="F4" s="996"/>
      <c r="G4" s="997"/>
      <c r="H4" s="14" t="s">
        <v>3714</v>
      </c>
      <c r="I4" s="994" t="s">
        <v>10</v>
      </c>
      <c r="J4" s="14" t="s">
        <v>3716</v>
      </c>
      <c r="K4" s="15" t="s">
        <v>3715</v>
      </c>
      <c r="L4" s="991" t="s">
        <v>12</v>
      </c>
      <c r="M4" s="991"/>
      <c r="N4" s="991"/>
      <c r="O4" s="991"/>
      <c r="P4" s="15" t="s">
        <v>3712</v>
      </c>
      <c r="Q4" s="992" t="s">
        <v>3710</v>
      </c>
      <c r="R4" s="993"/>
      <c r="S4" s="11" t="s">
        <v>4103</v>
      </c>
    </row>
    <row r="5" spans="1:19" ht="11.4" customHeight="1" x14ac:dyDescent="0.2">
      <c r="A5" s="1005"/>
      <c r="B5" s="16" t="s">
        <v>1506</v>
      </c>
      <c r="C5" s="128" t="s">
        <v>274</v>
      </c>
      <c r="D5" s="16" t="s">
        <v>3720</v>
      </c>
      <c r="E5" s="18" t="s">
        <v>15</v>
      </c>
      <c r="F5" s="19" t="s">
        <v>3706</v>
      </c>
      <c r="G5" s="19" t="s">
        <v>3707</v>
      </c>
      <c r="H5" s="16" t="s">
        <v>3713</v>
      </c>
      <c r="I5" s="994"/>
      <c r="J5" s="16" t="s">
        <v>3717</v>
      </c>
      <c r="K5" s="20" t="s">
        <v>3708</v>
      </c>
      <c r="L5" s="21" t="s">
        <v>16</v>
      </c>
      <c r="M5" s="21" t="s">
        <v>17</v>
      </c>
      <c r="N5" s="21" t="s">
        <v>18</v>
      </c>
      <c r="O5" s="21" t="s">
        <v>19</v>
      </c>
      <c r="P5" s="20" t="s">
        <v>3708</v>
      </c>
      <c r="Q5" s="19" t="s">
        <v>3709</v>
      </c>
      <c r="R5" s="22" t="s">
        <v>3711</v>
      </c>
    </row>
    <row r="6" spans="1:19" x14ac:dyDescent="0.2">
      <c r="A6" s="23">
        <v>43556</v>
      </c>
      <c r="B6" s="24">
        <v>1</v>
      </c>
      <c r="C6" s="25" t="s">
        <v>471</v>
      </c>
      <c r="D6" s="24" t="str">
        <f>VLOOKUP(C6,'PUR-PARTY MASTER'!$B$4:$E$2000,2,FALSE)</f>
        <v>27AAECM8871A1ZF</v>
      </c>
      <c r="E6" s="24" t="s">
        <v>22</v>
      </c>
      <c r="F6" s="131">
        <v>192000007</v>
      </c>
      <c r="G6" s="132">
        <v>43556</v>
      </c>
      <c r="H6" s="24">
        <v>87089900</v>
      </c>
      <c r="I6" s="29">
        <f>VLOOKUP(H6,'PUR-HSN MASTER'!$A$4:$E$5000,5,FALSE)</f>
        <v>28</v>
      </c>
      <c r="J6" s="28">
        <v>12</v>
      </c>
      <c r="K6" s="30">
        <v>17483.52</v>
      </c>
      <c r="L6" s="31">
        <v>0</v>
      </c>
      <c r="M6" s="31">
        <v>2447.6928000000003</v>
      </c>
      <c r="N6" s="31">
        <v>2447.6928000000003</v>
      </c>
      <c r="O6" s="31">
        <v>0</v>
      </c>
      <c r="P6" s="32">
        <v>22378.895600000003</v>
      </c>
      <c r="Q6" s="24" t="s">
        <v>410</v>
      </c>
      <c r="R6" s="24" t="s">
        <v>26</v>
      </c>
      <c r="S6" s="11" t="s">
        <v>4120</v>
      </c>
    </row>
    <row r="7" spans="1:19" x14ac:dyDescent="0.2">
      <c r="A7" s="33">
        <v>43556</v>
      </c>
      <c r="B7" s="34">
        <v>2</v>
      </c>
      <c r="C7" s="35" t="s">
        <v>471</v>
      </c>
      <c r="D7" s="34" t="str">
        <f>VLOOKUP(C7,'PUR-PARTY MASTER'!$B$4:$E$2000,2,FALSE)</f>
        <v>27AAECM8871A1ZF</v>
      </c>
      <c r="E7" s="34" t="s">
        <v>22</v>
      </c>
      <c r="F7" s="134">
        <v>192000008</v>
      </c>
      <c r="G7" s="135">
        <v>43556</v>
      </c>
      <c r="H7" s="34">
        <v>87089900</v>
      </c>
      <c r="I7" s="39">
        <f>VLOOKUP(H7,'PUR-HSN MASTER'!$A$4:$E$5000,5,FALSE)</f>
        <v>28</v>
      </c>
      <c r="J7" s="38">
        <v>12</v>
      </c>
      <c r="K7" s="40">
        <v>17483.52</v>
      </c>
      <c r="L7" s="41">
        <v>0</v>
      </c>
      <c r="M7" s="41">
        <v>2447.6928000000003</v>
      </c>
      <c r="N7" s="41">
        <v>2447.6928000000003</v>
      </c>
      <c r="O7" s="41">
        <v>0</v>
      </c>
      <c r="P7" s="42">
        <v>22378.895600000003</v>
      </c>
      <c r="Q7" s="34" t="s">
        <v>410</v>
      </c>
      <c r="R7" s="34" t="s">
        <v>26</v>
      </c>
      <c r="S7" s="11" t="s">
        <v>4120</v>
      </c>
    </row>
    <row r="8" spans="1:19" ht="11.4" customHeight="1" x14ac:dyDescent="0.2">
      <c r="A8" s="33">
        <v>43556</v>
      </c>
      <c r="B8" s="34">
        <v>3</v>
      </c>
      <c r="C8" s="35" t="s">
        <v>471</v>
      </c>
      <c r="D8" s="34" t="str">
        <f>VLOOKUP(C8,'PUR-PARTY MASTER'!$B$4:$E$2000,2,FALSE)</f>
        <v>27AAECM8871A1ZF</v>
      </c>
      <c r="E8" s="34" t="s">
        <v>22</v>
      </c>
      <c r="F8" s="134">
        <v>192000022</v>
      </c>
      <c r="G8" s="135">
        <v>43556</v>
      </c>
      <c r="H8" s="34">
        <v>87089900</v>
      </c>
      <c r="I8" s="39">
        <f>VLOOKUP(H8,'PUR-HSN MASTER'!$A$4:$E$5000,5,FALSE)</f>
        <v>28</v>
      </c>
      <c r="J8" s="38">
        <v>12</v>
      </c>
      <c r="K8" s="40">
        <v>17483.52</v>
      </c>
      <c r="L8" s="41">
        <v>0</v>
      </c>
      <c r="M8" s="41">
        <v>2447.6928000000003</v>
      </c>
      <c r="N8" s="41">
        <v>2447.6928000000003</v>
      </c>
      <c r="O8" s="41">
        <v>0</v>
      </c>
      <c r="P8" s="42">
        <v>22378.895600000003</v>
      </c>
      <c r="Q8" s="34" t="s">
        <v>410</v>
      </c>
      <c r="R8" s="34" t="s">
        <v>26</v>
      </c>
      <c r="S8" s="11" t="s">
        <v>4120</v>
      </c>
    </row>
    <row r="9" spans="1:19" x14ac:dyDescent="0.2">
      <c r="A9" s="33">
        <v>43556</v>
      </c>
      <c r="B9" s="34">
        <v>4</v>
      </c>
      <c r="C9" s="35" t="s">
        <v>471</v>
      </c>
      <c r="D9" s="34" t="str">
        <f>VLOOKUP(C9,'PUR-PARTY MASTER'!$B$4:$E$2000,2,FALSE)</f>
        <v>27AAECM8871A1ZF</v>
      </c>
      <c r="E9" s="34" t="s">
        <v>22</v>
      </c>
      <c r="F9" s="134">
        <v>192000028</v>
      </c>
      <c r="G9" s="135">
        <v>43556</v>
      </c>
      <c r="H9" s="34">
        <v>87089900</v>
      </c>
      <c r="I9" s="39">
        <f>VLOOKUP(H9,'PUR-HSN MASTER'!$A$4:$E$5000,5,FALSE)</f>
        <v>28</v>
      </c>
      <c r="J9" s="38">
        <v>12</v>
      </c>
      <c r="K9" s="40">
        <v>17483.52</v>
      </c>
      <c r="L9" s="41">
        <v>0</v>
      </c>
      <c r="M9" s="41">
        <v>2447.6928000000003</v>
      </c>
      <c r="N9" s="41">
        <v>2447.6928000000003</v>
      </c>
      <c r="O9" s="41">
        <v>0</v>
      </c>
      <c r="P9" s="42">
        <v>22378.895600000003</v>
      </c>
      <c r="Q9" s="34" t="s">
        <v>410</v>
      </c>
      <c r="R9" s="34" t="s">
        <v>26</v>
      </c>
      <c r="S9" s="11" t="s">
        <v>4120</v>
      </c>
    </row>
    <row r="10" spans="1:19" x14ac:dyDescent="0.2">
      <c r="A10" s="33">
        <v>43556</v>
      </c>
      <c r="B10" s="34">
        <v>5</v>
      </c>
      <c r="C10" s="35" t="s">
        <v>472</v>
      </c>
      <c r="D10" s="34" t="str">
        <f>VLOOKUP(C10,'PUR-PARTY MASTER'!$B$4:$E$2000,2,FALSE)</f>
        <v>27AABCM2508F1ZU</v>
      </c>
      <c r="E10" s="34" t="s">
        <v>22</v>
      </c>
      <c r="F10" s="134">
        <v>2041211093</v>
      </c>
      <c r="G10" s="135">
        <v>43557</v>
      </c>
      <c r="H10" s="34">
        <v>87141090</v>
      </c>
      <c r="I10" s="39">
        <f>VLOOKUP(H10,'PUR-HSN MASTER'!$A$4:$E$5000,5,FALSE)</f>
        <v>28</v>
      </c>
      <c r="J10" s="38">
        <v>100</v>
      </c>
      <c r="K10" s="40">
        <v>3708</v>
      </c>
      <c r="L10" s="41">
        <v>0</v>
      </c>
      <c r="M10" s="41">
        <v>519.12</v>
      </c>
      <c r="N10" s="41">
        <v>519.12</v>
      </c>
      <c r="O10" s="41">
        <v>0</v>
      </c>
      <c r="P10" s="42">
        <v>4746.24</v>
      </c>
      <c r="Q10" s="34" t="s">
        <v>410</v>
      </c>
      <c r="R10" s="34" t="s">
        <v>26</v>
      </c>
      <c r="S10" s="11" t="s">
        <v>4120</v>
      </c>
    </row>
    <row r="11" spans="1:19" x14ac:dyDescent="0.2">
      <c r="A11" s="33">
        <v>43556</v>
      </c>
      <c r="B11" s="34">
        <v>6</v>
      </c>
      <c r="C11" s="35" t="s">
        <v>472</v>
      </c>
      <c r="D11" s="34" t="str">
        <f>VLOOKUP(C11,'PUR-PARTY MASTER'!$B$4:$E$2000,2,FALSE)</f>
        <v>27AABCM2508F1ZU</v>
      </c>
      <c r="E11" s="34" t="s">
        <v>22</v>
      </c>
      <c r="F11" s="134">
        <v>2041211094</v>
      </c>
      <c r="G11" s="135">
        <v>43557</v>
      </c>
      <c r="H11" s="34">
        <v>87141090</v>
      </c>
      <c r="I11" s="39">
        <f>VLOOKUP(H11,'PUR-HSN MASTER'!$A$4:$E$5000,5,FALSE)</f>
        <v>28</v>
      </c>
      <c r="J11" s="38">
        <v>200</v>
      </c>
      <c r="K11" s="40">
        <v>7416</v>
      </c>
      <c r="L11" s="41">
        <v>0</v>
      </c>
      <c r="M11" s="41">
        <v>1038.24</v>
      </c>
      <c r="N11" s="41">
        <v>1038.24</v>
      </c>
      <c r="O11" s="41">
        <v>0</v>
      </c>
      <c r="P11" s="42">
        <v>9492.48</v>
      </c>
      <c r="Q11" s="34" t="s">
        <v>410</v>
      </c>
      <c r="R11" s="34" t="s">
        <v>26</v>
      </c>
      <c r="S11" s="11" t="s">
        <v>4120</v>
      </c>
    </row>
    <row r="12" spans="1:19" x14ac:dyDescent="0.2">
      <c r="A12" s="33">
        <v>43556</v>
      </c>
      <c r="B12" s="34">
        <v>7</v>
      </c>
      <c r="C12" s="35" t="s">
        <v>472</v>
      </c>
      <c r="D12" s="34" t="str">
        <f>VLOOKUP(C12,'PUR-PARTY MASTER'!$B$4:$E$2000,2,FALSE)</f>
        <v>27AABCM2508F1ZU</v>
      </c>
      <c r="E12" s="34" t="s">
        <v>22</v>
      </c>
      <c r="F12" s="134">
        <v>2041211095</v>
      </c>
      <c r="G12" s="135">
        <v>43557</v>
      </c>
      <c r="H12" s="34">
        <v>87141090</v>
      </c>
      <c r="I12" s="39">
        <f>VLOOKUP(H12,'PUR-HSN MASTER'!$A$4:$E$5000,5,FALSE)</f>
        <v>28</v>
      </c>
      <c r="J12" s="38">
        <v>100</v>
      </c>
      <c r="K12" s="40">
        <v>3708</v>
      </c>
      <c r="L12" s="41">
        <v>0</v>
      </c>
      <c r="M12" s="41">
        <v>519.12</v>
      </c>
      <c r="N12" s="41">
        <v>519.12</v>
      </c>
      <c r="O12" s="41">
        <v>0</v>
      </c>
      <c r="P12" s="42">
        <v>4746.24</v>
      </c>
      <c r="Q12" s="34" t="s">
        <v>410</v>
      </c>
      <c r="R12" s="34" t="s">
        <v>26</v>
      </c>
      <c r="S12" s="11" t="s">
        <v>4120</v>
      </c>
    </row>
    <row r="13" spans="1:19" x14ac:dyDescent="0.2">
      <c r="A13" s="33">
        <v>43556</v>
      </c>
      <c r="B13" s="34">
        <v>8</v>
      </c>
      <c r="C13" s="35" t="s">
        <v>472</v>
      </c>
      <c r="D13" s="34" t="str">
        <f>VLOOKUP(C13,'PUR-PARTY MASTER'!$B$4:$E$2000,2,FALSE)</f>
        <v>27AABCM2508F1ZU</v>
      </c>
      <c r="E13" s="34" t="s">
        <v>22</v>
      </c>
      <c r="F13" s="134">
        <v>2041211413</v>
      </c>
      <c r="G13" s="135">
        <v>43558</v>
      </c>
      <c r="H13" s="34">
        <v>87141090</v>
      </c>
      <c r="I13" s="39">
        <f>VLOOKUP(H13,'PUR-HSN MASTER'!$A$4:$E$5000,5,FALSE)</f>
        <v>28</v>
      </c>
      <c r="J13" s="38">
        <v>100</v>
      </c>
      <c r="K13" s="40">
        <v>3708</v>
      </c>
      <c r="L13" s="41">
        <v>0</v>
      </c>
      <c r="M13" s="41">
        <v>519.12</v>
      </c>
      <c r="N13" s="41">
        <v>519.12</v>
      </c>
      <c r="O13" s="41">
        <v>0</v>
      </c>
      <c r="P13" s="42">
        <v>4746.24</v>
      </c>
      <c r="Q13" s="34" t="s">
        <v>410</v>
      </c>
      <c r="R13" s="34" t="s">
        <v>26</v>
      </c>
      <c r="S13" s="11" t="s">
        <v>4120</v>
      </c>
    </row>
    <row r="14" spans="1:19" x14ac:dyDescent="0.2">
      <c r="A14" s="33">
        <v>43556</v>
      </c>
      <c r="B14" s="34">
        <v>9</v>
      </c>
      <c r="C14" s="35" t="s">
        <v>472</v>
      </c>
      <c r="D14" s="34" t="str">
        <f>VLOOKUP(C14,'PUR-PARTY MASTER'!$B$4:$E$2000,2,FALSE)</f>
        <v>27AABCM2508F1ZU</v>
      </c>
      <c r="E14" s="34" t="s">
        <v>22</v>
      </c>
      <c r="F14" s="134">
        <v>2041211414</v>
      </c>
      <c r="G14" s="135">
        <v>43558</v>
      </c>
      <c r="H14" s="34">
        <v>87141090</v>
      </c>
      <c r="I14" s="39">
        <f>VLOOKUP(H14,'PUR-HSN MASTER'!$A$4:$E$5000,5,FALSE)</f>
        <v>28</v>
      </c>
      <c r="J14" s="38">
        <v>100</v>
      </c>
      <c r="K14" s="40">
        <v>3708</v>
      </c>
      <c r="L14" s="41">
        <v>0</v>
      </c>
      <c r="M14" s="41">
        <v>519.12</v>
      </c>
      <c r="N14" s="41">
        <v>519.12</v>
      </c>
      <c r="O14" s="41">
        <v>0</v>
      </c>
      <c r="P14" s="42">
        <v>4746.24</v>
      </c>
      <c r="Q14" s="34" t="s">
        <v>410</v>
      </c>
      <c r="R14" s="34" t="s">
        <v>26</v>
      </c>
      <c r="S14" s="11" t="s">
        <v>4120</v>
      </c>
    </row>
    <row r="15" spans="1:19" x14ac:dyDescent="0.2">
      <c r="A15" s="33">
        <v>43556</v>
      </c>
      <c r="B15" s="34">
        <v>10</v>
      </c>
      <c r="C15" s="35" t="s">
        <v>473</v>
      </c>
      <c r="D15" s="34" t="str">
        <f>VLOOKUP(C15,'PUR-PARTY MASTER'!$B$4:$E$2000,2,FALSE)</f>
        <v>27AAACT1848E1ZH</v>
      </c>
      <c r="E15" s="34" t="s">
        <v>22</v>
      </c>
      <c r="F15" s="136" t="s">
        <v>474</v>
      </c>
      <c r="G15" s="135">
        <v>43559</v>
      </c>
      <c r="H15" s="34">
        <v>87082900</v>
      </c>
      <c r="I15" s="39">
        <f>VLOOKUP(H15,'PUR-HSN MASTER'!$A$4:$E$5000,5,FALSE)</f>
        <v>28</v>
      </c>
      <c r="J15" s="38">
        <v>24</v>
      </c>
      <c r="K15" s="40">
        <v>3847.2</v>
      </c>
      <c r="L15" s="41">
        <v>0</v>
      </c>
      <c r="M15" s="41">
        <v>538.60800000000006</v>
      </c>
      <c r="N15" s="41">
        <v>538.60800000000006</v>
      </c>
      <c r="O15" s="41">
        <v>0</v>
      </c>
      <c r="P15" s="42">
        <v>4924.4160000000002</v>
      </c>
      <c r="Q15" s="34" t="s">
        <v>410</v>
      </c>
      <c r="R15" s="34" t="s">
        <v>26</v>
      </c>
      <c r="S15" s="11" t="s">
        <v>4120</v>
      </c>
    </row>
    <row r="16" spans="1:19" x14ac:dyDescent="0.2">
      <c r="A16" s="33">
        <v>43556</v>
      </c>
      <c r="B16" s="34">
        <v>11</v>
      </c>
      <c r="C16" s="35" t="s">
        <v>473</v>
      </c>
      <c r="D16" s="34" t="str">
        <f>VLOOKUP(C16,'PUR-PARTY MASTER'!$B$4:$E$2000,2,FALSE)</f>
        <v>27AAACT1848E1ZH</v>
      </c>
      <c r="E16" s="34" t="s">
        <v>22</v>
      </c>
      <c r="F16" s="136" t="s">
        <v>475</v>
      </c>
      <c r="G16" s="135">
        <v>43559</v>
      </c>
      <c r="H16" s="34">
        <v>87089900</v>
      </c>
      <c r="I16" s="39">
        <f>VLOOKUP(H16,'PUR-HSN MASTER'!$A$4:$E$5000,5,FALSE)</f>
        <v>28</v>
      </c>
      <c r="J16" s="38">
        <v>40</v>
      </c>
      <c r="K16" s="40">
        <v>6223.2</v>
      </c>
      <c r="L16" s="41">
        <v>0</v>
      </c>
      <c r="M16" s="41">
        <v>871.24800000000005</v>
      </c>
      <c r="N16" s="41">
        <v>871.24800000000005</v>
      </c>
      <c r="O16" s="41">
        <v>0</v>
      </c>
      <c r="P16" s="42">
        <v>7965.6959999999999</v>
      </c>
      <c r="Q16" s="34" t="s">
        <v>410</v>
      </c>
      <c r="R16" s="34" t="s">
        <v>26</v>
      </c>
      <c r="S16" s="11" t="s">
        <v>4120</v>
      </c>
    </row>
    <row r="17" spans="1:19" x14ac:dyDescent="0.2">
      <c r="A17" s="34"/>
      <c r="B17" s="34">
        <v>12</v>
      </c>
      <c r="C17" s="35"/>
      <c r="D17" s="34" t="e">
        <f>VLOOKUP(C17,'PUR-PARTY MASTER'!$B$4:$E$2000,2,FALSE)</f>
        <v>#N/A</v>
      </c>
      <c r="E17" s="34" t="s">
        <v>22</v>
      </c>
      <c r="F17" s="136"/>
      <c r="G17" s="622"/>
      <c r="H17" s="34"/>
      <c r="I17" s="39" t="e">
        <f>VLOOKUP(H17,'PUR-HSN MASTER'!$A$4:$E$5000,5,FALSE)</f>
        <v>#N/A</v>
      </c>
      <c r="J17" s="38"/>
      <c r="K17" s="40"/>
      <c r="L17" s="41">
        <v>0</v>
      </c>
      <c r="M17" s="41">
        <v>0</v>
      </c>
      <c r="N17" s="41">
        <v>0</v>
      </c>
      <c r="O17" s="41">
        <v>0</v>
      </c>
      <c r="P17" s="42"/>
      <c r="Q17" s="34" t="s">
        <v>410</v>
      </c>
      <c r="R17" s="34" t="e">
        <v>#N/A</v>
      </c>
    </row>
    <row r="18" spans="1:19" x14ac:dyDescent="0.2">
      <c r="A18" s="33">
        <v>43556</v>
      </c>
      <c r="B18" s="34">
        <v>13</v>
      </c>
      <c r="C18" s="35" t="s">
        <v>476</v>
      </c>
      <c r="D18" s="34" t="str">
        <f>VLOOKUP(C18,'PUR-PARTY MASTER'!$B$4:$E$2000,2,FALSE)</f>
        <v>27AABCO8467D1ZA</v>
      </c>
      <c r="E18" s="34" t="s">
        <v>22</v>
      </c>
      <c r="F18" s="136" t="s">
        <v>478</v>
      </c>
      <c r="G18" s="135">
        <v>43556</v>
      </c>
      <c r="H18" s="34">
        <v>441480</v>
      </c>
      <c r="I18" s="39">
        <f>VLOOKUP(H18,'PUR-HSN MASTER'!$A$4:$E$5000,5,FALSE)</f>
        <v>28</v>
      </c>
      <c r="J18" s="38"/>
      <c r="K18" s="40">
        <v>376945</v>
      </c>
      <c r="L18" s="41">
        <v>0</v>
      </c>
      <c r="M18" s="41">
        <v>52772.299999999996</v>
      </c>
      <c r="N18" s="41">
        <v>52772.299999999996</v>
      </c>
      <c r="O18" s="41">
        <v>0</v>
      </c>
      <c r="P18" s="42">
        <v>482490</v>
      </c>
      <c r="Q18" s="34" t="s">
        <v>411</v>
      </c>
      <c r="R18" s="34" t="s">
        <v>26</v>
      </c>
      <c r="S18" s="11" t="s">
        <v>4167</v>
      </c>
    </row>
    <row r="19" spans="1:19" x14ac:dyDescent="0.2">
      <c r="A19" s="34"/>
      <c r="B19" s="34">
        <v>14</v>
      </c>
      <c r="C19" s="35"/>
      <c r="D19" s="34" t="e">
        <f>VLOOKUP(C19,'PUR-PARTY MASTER'!$B$4:$E$2000,2,FALSE)</f>
        <v>#N/A</v>
      </c>
      <c r="E19" s="34" t="s">
        <v>22</v>
      </c>
      <c r="F19" s="136"/>
      <c r="G19" s="622"/>
      <c r="H19" s="34"/>
      <c r="I19" s="39" t="e">
        <f>VLOOKUP(H19,'PUR-HSN MASTER'!$A$4:$E$5000,5,FALSE)</f>
        <v>#N/A</v>
      </c>
      <c r="J19" s="38"/>
      <c r="K19" s="40"/>
      <c r="L19" s="41">
        <v>0</v>
      </c>
      <c r="M19" s="41">
        <v>0</v>
      </c>
      <c r="N19" s="41">
        <v>0</v>
      </c>
      <c r="O19" s="41">
        <v>0</v>
      </c>
      <c r="P19" s="42"/>
      <c r="Q19" s="34"/>
      <c r="R19" s="34" t="e">
        <v>#N/A</v>
      </c>
    </row>
    <row r="20" spans="1:19" x14ac:dyDescent="0.2">
      <c r="A20" s="33">
        <v>43556</v>
      </c>
      <c r="B20" s="34">
        <v>15</v>
      </c>
      <c r="C20" s="35" t="s">
        <v>479</v>
      </c>
      <c r="D20" s="34" t="str">
        <f>VLOOKUP(C20,'PUR-PARTY MASTER'!$B$4:$E$2000,2,FALSE)</f>
        <v>27AAMFC2124K1ZG</v>
      </c>
      <c r="E20" s="34" t="s">
        <v>22</v>
      </c>
      <c r="F20" s="134">
        <v>1009</v>
      </c>
      <c r="G20" s="135">
        <v>43560</v>
      </c>
      <c r="H20" s="34">
        <v>76071994</v>
      </c>
      <c r="I20" s="39">
        <f>VLOOKUP(H20,'PUR-HSN MASTER'!$A$4:$E$5000,5,FALSE)</f>
        <v>18</v>
      </c>
      <c r="J20" s="38">
        <v>1508</v>
      </c>
      <c r="K20" s="40">
        <v>14902.400000000001</v>
      </c>
      <c r="L20" s="41">
        <v>0</v>
      </c>
      <c r="M20" s="41">
        <v>1341.2159999999999</v>
      </c>
      <c r="N20" s="41">
        <v>1341.2159999999999</v>
      </c>
      <c r="O20" s="41">
        <v>0</v>
      </c>
      <c r="P20" s="42">
        <v>17584.832000000002</v>
      </c>
      <c r="Q20" s="34" t="s">
        <v>410</v>
      </c>
      <c r="R20" s="34" t="s">
        <v>26</v>
      </c>
      <c r="S20" s="11" t="s">
        <v>4131</v>
      </c>
    </row>
    <row r="21" spans="1:19" x14ac:dyDescent="0.2">
      <c r="A21" s="33">
        <v>43556</v>
      </c>
      <c r="B21" s="34"/>
      <c r="C21" s="35" t="s">
        <v>479</v>
      </c>
      <c r="D21" s="34" t="str">
        <f>VLOOKUP(C21,'PUR-PARTY MASTER'!$B$4:$E$2000,2,FALSE)</f>
        <v>27AAMFC2124K1ZG</v>
      </c>
      <c r="E21" s="34" t="s">
        <v>22</v>
      </c>
      <c r="F21" s="134">
        <v>1009</v>
      </c>
      <c r="G21" s="135">
        <v>43560</v>
      </c>
      <c r="H21" s="34" t="s">
        <v>481</v>
      </c>
      <c r="I21" s="39">
        <f>VLOOKUP(H21,'PUR-HSN MASTER'!$A$4:$E$5000,5,FALSE)</f>
        <v>18</v>
      </c>
      <c r="J21" s="38">
        <v>10</v>
      </c>
      <c r="K21" s="40">
        <v>2400</v>
      </c>
      <c r="L21" s="41">
        <v>0</v>
      </c>
      <c r="M21" s="41">
        <v>216</v>
      </c>
      <c r="N21" s="41">
        <v>216</v>
      </c>
      <c r="O21" s="41">
        <v>0</v>
      </c>
      <c r="P21" s="42">
        <v>2832</v>
      </c>
      <c r="Q21" s="34" t="s">
        <v>410</v>
      </c>
      <c r="R21" s="34" t="s">
        <v>26</v>
      </c>
      <c r="S21" s="11" t="s">
        <v>4131</v>
      </c>
    </row>
    <row r="22" spans="1:19" x14ac:dyDescent="0.2">
      <c r="A22" s="33">
        <v>43556</v>
      </c>
      <c r="B22" s="34">
        <v>16</v>
      </c>
      <c r="C22" s="35" t="s">
        <v>482</v>
      </c>
      <c r="D22" s="34" t="str">
        <f>VLOOKUP(C22,'PUR-PARTY MASTER'!$B$4:$E$2000,2,FALSE)</f>
        <v>27AAHCA1363L1ZK</v>
      </c>
      <c r="E22" s="34" t="s">
        <v>22</v>
      </c>
      <c r="F22" s="136" t="s">
        <v>484</v>
      </c>
      <c r="G22" s="135">
        <v>43562</v>
      </c>
      <c r="H22" s="34">
        <v>87141900</v>
      </c>
      <c r="I22" s="39">
        <f>VLOOKUP(H22,'PUR-HSN MASTER'!$A$4:$E$5000,5,FALSE)</f>
        <v>28</v>
      </c>
      <c r="J22" s="38">
        <v>1920</v>
      </c>
      <c r="K22" s="40">
        <v>100953.60000000001</v>
      </c>
      <c r="L22" s="41">
        <v>0</v>
      </c>
      <c r="M22" s="41">
        <v>14133.504000000001</v>
      </c>
      <c r="N22" s="41">
        <v>14133.504000000001</v>
      </c>
      <c r="O22" s="41">
        <v>0</v>
      </c>
      <c r="P22" s="42">
        <v>129220.59800000001</v>
      </c>
      <c r="Q22" s="34" t="s">
        <v>410</v>
      </c>
      <c r="R22" s="34" t="s">
        <v>26</v>
      </c>
      <c r="S22" s="11" t="s">
        <v>4120</v>
      </c>
    </row>
    <row r="23" spans="1:19" x14ac:dyDescent="0.2">
      <c r="A23" s="33">
        <v>43556</v>
      </c>
      <c r="B23" s="34">
        <v>17</v>
      </c>
      <c r="C23" s="35" t="s">
        <v>472</v>
      </c>
      <c r="D23" s="34" t="str">
        <f>VLOOKUP(C23,'PUR-PARTY MASTER'!$B$4:$E$2000,2,FALSE)</f>
        <v>27AABCM2508F1ZU</v>
      </c>
      <c r="E23" s="34" t="s">
        <v>22</v>
      </c>
      <c r="F23" s="134">
        <v>2041211984</v>
      </c>
      <c r="G23" s="135">
        <v>43560</v>
      </c>
      <c r="H23" s="34">
        <v>87141090</v>
      </c>
      <c r="I23" s="39">
        <f>VLOOKUP(H23,'PUR-HSN MASTER'!$A$4:$E$5000,5,FALSE)</f>
        <v>28</v>
      </c>
      <c r="J23" s="38">
        <v>160</v>
      </c>
      <c r="K23" s="40">
        <v>8184</v>
      </c>
      <c r="L23" s="41">
        <v>0</v>
      </c>
      <c r="M23" s="41">
        <v>1145.76</v>
      </c>
      <c r="N23" s="41">
        <v>1145.76</v>
      </c>
      <c r="O23" s="41">
        <v>0</v>
      </c>
      <c r="P23" s="42">
        <v>10475.52</v>
      </c>
      <c r="Q23" s="34" t="s">
        <v>410</v>
      </c>
      <c r="R23" s="34" t="s">
        <v>26</v>
      </c>
      <c r="S23" s="11" t="s">
        <v>4120</v>
      </c>
    </row>
    <row r="24" spans="1:19" x14ac:dyDescent="0.2">
      <c r="A24" s="33">
        <v>43556</v>
      </c>
      <c r="B24" s="34">
        <v>18</v>
      </c>
      <c r="C24" s="35" t="s">
        <v>472</v>
      </c>
      <c r="D24" s="34" t="str">
        <f>VLOOKUP(C24,'PUR-PARTY MASTER'!$B$4:$E$2000,2,FALSE)</f>
        <v>27AABCM2508F1ZU</v>
      </c>
      <c r="E24" s="34" t="s">
        <v>22</v>
      </c>
      <c r="F24" s="134">
        <v>2041211985</v>
      </c>
      <c r="G24" s="135">
        <v>43560</v>
      </c>
      <c r="H24" s="34">
        <v>87141090</v>
      </c>
      <c r="I24" s="39">
        <f>VLOOKUP(H24,'PUR-HSN MASTER'!$A$4:$E$5000,5,FALSE)</f>
        <v>28</v>
      </c>
      <c r="J24" s="38">
        <v>160</v>
      </c>
      <c r="K24" s="40">
        <v>6713.6</v>
      </c>
      <c r="L24" s="41">
        <v>0</v>
      </c>
      <c r="M24" s="41">
        <v>939.90400000000011</v>
      </c>
      <c r="N24" s="41">
        <v>939.90400000000011</v>
      </c>
      <c r="O24" s="41">
        <v>0</v>
      </c>
      <c r="P24" s="42">
        <v>8593.398000000001</v>
      </c>
      <c r="Q24" s="34" t="s">
        <v>410</v>
      </c>
      <c r="R24" s="34" t="s">
        <v>26</v>
      </c>
      <c r="S24" s="11" t="s">
        <v>4120</v>
      </c>
    </row>
    <row r="25" spans="1:19" x14ac:dyDescent="0.2">
      <c r="A25" s="33">
        <v>43556</v>
      </c>
      <c r="B25" s="34">
        <v>19</v>
      </c>
      <c r="C25" s="35" t="s">
        <v>473</v>
      </c>
      <c r="D25" s="34" t="str">
        <f>VLOOKUP(C25,'PUR-PARTY MASTER'!$B$4:$E$2000,2,FALSE)</f>
        <v>27AAACT1848E1ZH</v>
      </c>
      <c r="E25" s="34" t="s">
        <v>22</v>
      </c>
      <c r="F25" s="136" t="s">
        <v>485</v>
      </c>
      <c r="G25" s="135">
        <v>43562</v>
      </c>
      <c r="H25" s="34">
        <v>87089900</v>
      </c>
      <c r="I25" s="39">
        <f>VLOOKUP(H25,'PUR-HSN MASTER'!$A$4:$E$5000,5,FALSE)</f>
        <v>28</v>
      </c>
      <c r="J25" s="38">
        <v>232</v>
      </c>
      <c r="K25" s="40">
        <v>6227.56</v>
      </c>
      <c r="L25" s="41">
        <v>0</v>
      </c>
      <c r="M25" s="41">
        <v>871.85840000000007</v>
      </c>
      <c r="N25" s="41">
        <v>871.85840000000007</v>
      </c>
      <c r="O25" s="41">
        <v>0</v>
      </c>
      <c r="P25" s="42">
        <v>7971.2768000000005</v>
      </c>
      <c r="Q25" s="34" t="s">
        <v>410</v>
      </c>
      <c r="R25" s="34" t="s">
        <v>26</v>
      </c>
      <c r="S25" s="11" t="s">
        <v>4120</v>
      </c>
    </row>
    <row r="26" spans="1:19" x14ac:dyDescent="0.2">
      <c r="A26" s="33">
        <v>43556</v>
      </c>
      <c r="B26" s="34">
        <v>20</v>
      </c>
      <c r="C26" s="35" t="s">
        <v>482</v>
      </c>
      <c r="D26" s="34" t="str">
        <f>VLOOKUP(C26,'PUR-PARTY MASTER'!$B$4:$E$2000,2,FALSE)</f>
        <v>27AAHCA1363L1ZK</v>
      </c>
      <c r="E26" s="34" t="s">
        <v>22</v>
      </c>
      <c r="F26" s="136" t="s">
        <v>486</v>
      </c>
      <c r="G26" s="135">
        <v>43563</v>
      </c>
      <c r="H26" s="34">
        <v>87141900</v>
      </c>
      <c r="I26" s="39">
        <f>VLOOKUP(H26,'PUR-HSN MASTER'!$A$4:$E$5000,5,FALSE)</f>
        <v>28</v>
      </c>
      <c r="J26" s="38">
        <v>1440</v>
      </c>
      <c r="K26" s="40">
        <v>75715.199999999997</v>
      </c>
      <c r="L26" s="41">
        <v>0</v>
      </c>
      <c r="M26" s="41">
        <v>10600.127999999999</v>
      </c>
      <c r="N26" s="41">
        <v>10600.127999999999</v>
      </c>
      <c r="O26" s="41">
        <v>0</v>
      </c>
      <c r="P26" s="42">
        <v>96915.455999999991</v>
      </c>
      <c r="Q26" s="34" t="s">
        <v>410</v>
      </c>
      <c r="R26" s="34" t="s">
        <v>26</v>
      </c>
      <c r="S26" s="11" t="s">
        <v>4120</v>
      </c>
    </row>
    <row r="27" spans="1:19" x14ac:dyDescent="0.2">
      <c r="A27" s="33">
        <v>43556</v>
      </c>
      <c r="B27" s="34">
        <v>21</v>
      </c>
      <c r="C27" s="35" t="s">
        <v>472</v>
      </c>
      <c r="D27" s="34" t="str">
        <f>VLOOKUP(C27,'PUR-PARTY MASTER'!$B$4:$E$2000,2,FALSE)</f>
        <v>27AABCM2508F1ZU</v>
      </c>
      <c r="E27" s="34" t="s">
        <v>22</v>
      </c>
      <c r="F27" s="134">
        <v>2041212224</v>
      </c>
      <c r="G27" s="135">
        <v>43562</v>
      </c>
      <c r="H27" s="34">
        <v>87141090</v>
      </c>
      <c r="I27" s="39">
        <f>VLOOKUP(H27,'PUR-HSN MASTER'!$A$4:$E$5000,5,FALSE)</f>
        <v>28</v>
      </c>
      <c r="J27" s="38">
        <v>100</v>
      </c>
      <c r="K27" s="40">
        <v>3708</v>
      </c>
      <c r="L27" s="41">
        <v>0</v>
      </c>
      <c r="M27" s="41">
        <v>519.12</v>
      </c>
      <c r="N27" s="41">
        <v>519.12</v>
      </c>
      <c r="O27" s="41">
        <v>0</v>
      </c>
      <c r="P27" s="42">
        <v>4746.24</v>
      </c>
      <c r="Q27" s="34" t="s">
        <v>410</v>
      </c>
      <c r="R27" s="34" t="s">
        <v>26</v>
      </c>
      <c r="S27" s="11" t="s">
        <v>4120</v>
      </c>
    </row>
    <row r="28" spans="1:19" x14ac:dyDescent="0.2">
      <c r="A28" s="33">
        <v>43556</v>
      </c>
      <c r="B28" s="34">
        <v>22</v>
      </c>
      <c r="C28" s="35" t="s">
        <v>472</v>
      </c>
      <c r="D28" s="34" t="str">
        <f>VLOOKUP(C28,'PUR-PARTY MASTER'!$B$4:$E$2000,2,FALSE)</f>
        <v>27AABCM2508F1ZU</v>
      </c>
      <c r="E28" s="34" t="s">
        <v>22</v>
      </c>
      <c r="F28" s="134">
        <v>2041212225</v>
      </c>
      <c r="G28" s="135">
        <v>43562</v>
      </c>
      <c r="H28" s="34">
        <v>87141090</v>
      </c>
      <c r="I28" s="39">
        <f>VLOOKUP(H28,'PUR-HSN MASTER'!$A$4:$E$5000,5,FALSE)</f>
        <v>28</v>
      </c>
      <c r="J28" s="38">
        <v>100</v>
      </c>
      <c r="K28" s="40">
        <v>3708</v>
      </c>
      <c r="L28" s="41">
        <v>0</v>
      </c>
      <c r="M28" s="41">
        <v>519.12</v>
      </c>
      <c r="N28" s="41">
        <v>519.12</v>
      </c>
      <c r="O28" s="41">
        <v>0</v>
      </c>
      <c r="P28" s="42">
        <v>4746.24</v>
      </c>
      <c r="Q28" s="34" t="s">
        <v>410</v>
      </c>
      <c r="R28" s="34" t="s">
        <v>26</v>
      </c>
      <c r="S28" s="11" t="s">
        <v>4120</v>
      </c>
    </row>
    <row r="29" spans="1:19" x14ac:dyDescent="0.2">
      <c r="A29" s="33">
        <v>43556</v>
      </c>
      <c r="B29" s="34">
        <v>23</v>
      </c>
      <c r="C29" s="35" t="s">
        <v>472</v>
      </c>
      <c r="D29" s="34" t="str">
        <f>VLOOKUP(C29,'PUR-PARTY MASTER'!$B$4:$E$2000,2,FALSE)</f>
        <v>27AABCM2508F1ZU</v>
      </c>
      <c r="E29" s="34" t="s">
        <v>22</v>
      </c>
      <c r="F29" s="134">
        <v>3205709515</v>
      </c>
      <c r="G29" s="135">
        <v>43563</v>
      </c>
      <c r="H29" s="34">
        <v>87141090</v>
      </c>
      <c r="I29" s="39">
        <f>VLOOKUP(H29,'PUR-HSN MASTER'!$A$4:$E$5000,5,FALSE)</f>
        <v>28</v>
      </c>
      <c r="J29" s="38">
        <v>50</v>
      </c>
      <c r="K29" s="40">
        <v>2682</v>
      </c>
      <c r="L29" s="41">
        <v>0</v>
      </c>
      <c r="M29" s="41">
        <v>375.48</v>
      </c>
      <c r="N29" s="41">
        <v>375.48</v>
      </c>
      <c r="O29" s="41">
        <v>0</v>
      </c>
      <c r="P29" s="42">
        <v>3432.96</v>
      </c>
      <c r="Q29" s="34" t="s">
        <v>410</v>
      </c>
      <c r="R29" s="34" t="s">
        <v>26</v>
      </c>
      <c r="S29" s="11" t="s">
        <v>4120</v>
      </c>
    </row>
    <row r="30" spans="1:19" x14ac:dyDescent="0.2">
      <c r="A30" s="33">
        <v>43556</v>
      </c>
      <c r="B30" s="34">
        <v>24</v>
      </c>
      <c r="C30" s="35" t="s">
        <v>472</v>
      </c>
      <c r="D30" s="34" t="str">
        <f>VLOOKUP(C30,'PUR-PARTY MASTER'!$B$4:$E$2000,2,FALSE)</f>
        <v>27AABCM2508F1ZU</v>
      </c>
      <c r="E30" s="34" t="s">
        <v>22</v>
      </c>
      <c r="F30" s="134">
        <v>3205709528</v>
      </c>
      <c r="G30" s="135">
        <v>43563</v>
      </c>
      <c r="H30" s="34">
        <v>87141090</v>
      </c>
      <c r="I30" s="39">
        <f>VLOOKUP(H30,'PUR-HSN MASTER'!$A$4:$E$5000,5,FALSE)</f>
        <v>28</v>
      </c>
      <c r="J30" s="38">
        <v>350</v>
      </c>
      <c r="K30" s="40">
        <v>18774</v>
      </c>
      <c r="L30" s="41">
        <v>0</v>
      </c>
      <c r="M30" s="41">
        <v>2628.36</v>
      </c>
      <c r="N30" s="41">
        <v>2628.36</v>
      </c>
      <c r="O30" s="41">
        <v>0</v>
      </c>
      <c r="P30" s="42">
        <v>24030.720000000001</v>
      </c>
      <c r="Q30" s="34" t="s">
        <v>410</v>
      </c>
      <c r="R30" s="34" t="s">
        <v>26</v>
      </c>
      <c r="S30" s="11" t="s">
        <v>4120</v>
      </c>
    </row>
    <row r="31" spans="1:19" x14ac:dyDescent="0.2">
      <c r="A31" s="33">
        <v>43556</v>
      </c>
      <c r="B31" s="34">
        <v>25</v>
      </c>
      <c r="C31" s="35" t="s">
        <v>471</v>
      </c>
      <c r="D31" s="34" t="str">
        <f>VLOOKUP(C31,'PUR-PARTY MASTER'!$B$4:$E$2000,2,FALSE)</f>
        <v>27AAECM8871A1ZF</v>
      </c>
      <c r="E31" s="34" t="s">
        <v>22</v>
      </c>
      <c r="F31" s="134">
        <v>192000256</v>
      </c>
      <c r="G31" s="135">
        <v>43564</v>
      </c>
      <c r="H31" s="34">
        <v>87089900</v>
      </c>
      <c r="I31" s="39">
        <f>VLOOKUP(H31,'PUR-HSN MASTER'!$A$4:$E$5000,5,FALSE)</f>
        <v>28</v>
      </c>
      <c r="J31" s="38">
        <v>12</v>
      </c>
      <c r="K31" s="40">
        <v>17483.52</v>
      </c>
      <c r="L31" s="41">
        <v>0</v>
      </c>
      <c r="M31" s="41">
        <v>2447.6928000000003</v>
      </c>
      <c r="N31" s="41">
        <v>2447.6928000000003</v>
      </c>
      <c r="O31" s="41">
        <v>0</v>
      </c>
      <c r="P31" s="42">
        <v>22378.895600000003</v>
      </c>
      <c r="Q31" s="34" t="s">
        <v>410</v>
      </c>
      <c r="R31" s="34" t="s">
        <v>26</v>
      </c>
      <c r="S31" s="11" t="s">
        <v>4120</v>
      </c>
    </row>
    <row r="32" spans="1:19" x14ac:dyDescent="0.2">
      <c r="A32" s="33">
        <v>43556</v>
      </c>
      <c r="B32" s="34">
        <v>26</v>
      </c>
      <c r="C32" s="35" t="s">
        <v>471</v>
      </c>
      <c r="D32" s="34" t="str">
        <f>VLOOKUP(C32,'PUR-PARTY MASTER'!$B$4:$E$2000,2,FALSE)</f>
        <v>27AAECM8871A1ZF</v>
      </c>
      <c r="E32" s="34" t="s">
        <v>22</v>
      </c>
      <c r="F32" s="134">
        <v>192000257</v>
      </c>
      <c r="G32" s="135">
        <v>43564</v>
      </c>
      <c r="H32" s="34">
        <v>87089900</v>
      </c>
      <c r="I32" s="39">
        <f>VLOOKUP(H32,'PUR-HSN MASTER'!$A$4:$E$5000,5,FALSE)</f>
        <v>28</v>
      </c>
      <c r="J32" s="38">
        <v>12</v>
      </c>
      <c r="K32" s="40">
        <v>17483.52</v>
      </c>
      <c r="L32" s="41">
        <v>0</v>
      </c>
      <c r="M32" s="41">
        <v>2447.6928000000003</v>
      </c>
      <c r="N32" s="41">
        <v>2447.6928000000003</v>
      </c>
      <c r="O32" s="41">
        <v>0</v>
      </c>
      <c r="P32" s="42">
        <v>22378.895600000003</v>
      </c>
      <c r="Q32" s="34" t="s">
        <v>410</v>
      </c>
      <c r="R32" s="34" t="s">
        <v>26</v>
      </c>
      <c r="S32" s="11" t="s">
        <v>4120</v>
      </c>
    </row>
    <row r="33" spans="1:19" x14ac:dyDescent="0.2">
      <c r="A33" s="33">
        <v>43556</v>
      </c>
      <c r="B33" s="34">
        <v>27</v>
      </c>
      <c r="C33" s="35" t="s">
        <v>471</v>
      </c>
      <c r="D33" s="34" t="str">
        <f>VLOOKUP(C33,'PUR-PARTY MASTER'!$B$4:$E$2000,2,FALSE)</f>
        <v>27AAECM8871A1ZF</v>
      </c>
      <c r="E33" s="34" t="s">
        <v>22</v>
      </c>
      <c r="F33" s="134">
        <v>192000266</v>
      </c>
      <c r="G33" s="135">
        <v>43564</v>
      </c>
      <c r="H33" s="34">
        <v>87089900</v>
      </c>
      <c r="I33" s="39">
        <f>VLOOKUP(H33,'PUR-HSN MASTER'!$A$4:$E$5000,5,FALSE)</f>
        <v>28</v>
      </c>
      <c r="J33" s="38">
        <v>12</v>
      </c>
      <c r="K33" s="40">
        <v>17483.52</v>
      </c>
      <c r="L33" s="41">
        <v>0</v>
      </c>
      <c r="M33" s="41">
        <v>2447.6928000000003</v>
      </c>
      <c r="N33" s="41">
        <v>2447.6928000000003</v>
      </c>
      <c r="O33" s="41">
        <v>0</v>
      </c>
      <c r="P33" s="42">
        <v>22378.895600000003</v>
      </c>
      <c r="Q33" s="34" t="s">
        <v>410</v>
      </c>
      <c r="R33" s="34" t="s">
        <v>26</v>
      </c>
      <c r="S33" s="11" t="s">
        <v>4120</v>
      </c>
    </row>
    <row r="34" spans="1:19" x14ac:dyDescent="0.2">
      <c r="A34" s="33">
        <v>43556</v>
      </c>
      <c r="B34" s="34">
        <v>28</v>
      </c>
      <c r="C34" s="35" t="s">
        <v>487</v>
      </c>
      <c r="D34" s="34" t="str">
        <f>VLOOKUP(C34,'PUR-PARTY MASTER'!$B$4:$E$2000,2,FALSE)</f>
        <v>27AFJPK6177Q1ZJ</v>
      </c>
      <c r="E34" s="34" t="s">
        <v>22</v>
      </c>
      <c r="F34" s="134">
        <v>64</v>
      </c>
      <c r="G34" s="135">
        <v>43564</v>
      </c>
      <c r="H34" s="34">
        <v>34029092</v>
      </c>
      <c r="I34" s="39">
        <f>VLOOKUP(H34,'PUR-HSN MASTER'!$A$4:$E$5000,5,FALSE)</f>
        <v>18</v>
      </c>
      <c r="J34" s="38">
        <v>100</v>
      </c>
      <c r="K34" s="40">
        <v>8000</v>
      </c>
      <c r="L34" s="41">
        <v>0</v>
      </c>
      <c r="M34" s="41">
        <v>720</v>
      </c>
      <c r="N34" s="41">
        <v>720</v>
      </c>
      <c r="O34" s="41">
        <v>0</v>
      </c>
      <c r="P34" s="42">
        <v>9440</v>
      </c>
      <c r="Q34" s="34" t="s">
        <v>410</v>
      </c>
      <c r="R34" s="34" t="s">
        <v>26</v>
      </c>
      <c r="S34" s="11" t="s">
        <v>4120</v>
      </c>
    </row>
    <row r="35" spans="1:19" x14ac:dyDescent="0.2">
      <c r="A35" s="33">
        <v>43556</v>
      </c>
      <c r="B35" s="34">
        <v>29</v>
      </c>
      <c r="C35" s="35" t="s">
        <v>489</v>
      </c>
      <c r="D35" s="34" t="str">
        <f>VLOOKUP(C35,'PUR-PARTY MASTER'!$B$4:$E$2000,2,FALSE)</f>
        <v>27AAECD2713N1ZK</v>
      </c>
      <c r="E35" s="34" t="s">
        <v>22</v>
      </c>
      <c r="F35" s="134">
        <v>7887981164</v>
      </c>
      <c r="G35" s="135">
        <v>43564</v>
      </c>
      <c r="H35" s="34">
        <v>32082090</v>
      </c>
      <c r="I35" s="39">
        <f>VLOOKUP(H35,'PUR-HSN MASTER'!$A$4:$E$5000,5,FALSE)</f>
        <v>18</v>
      </c>
      <c r="J35" s="38">
        <v>100</v>
      </c>
      <c r="K35" s="40">
        <v>14540</v>
      </c>
      <c r="L35" s="41">
        <v>0</v>
      </c>
      <c r="M35" s="41">
        <v>1308.6000000000001</v>
      </c>
      <c r="N35" s="41">
        <v>1308.6000000000001</v>
      </c>
      <c r="O35" s="41">
        <v>0</v>
      </c>
      <c r="P35" s="42">
        <v>17157</v>
      </c>
      <c r="Q35" s="34" t="s">
        <v>410</v>
      </c>
      <c r="R35" s="34" t="s">
        <v>26</v>
      </c>
      <c r="S35" s="11" t="s">
        <v>4120</v>
      </c>
    </row>
    <row r="36" spans="1:19" x14ac:dyDescent="0.2">
      <c r="A36" s="33">
        <v>43556</v>
      </c>
      <c r="B36" s="34">
        <v>30</v>
      </c>
      <c r="C36" s="35" t="s">
        <v>482</v>
      </c>
      <c r="D36" s="34" t="str">
        <f>VLOOKUP(C36,'PUR-PARTY MASTER'!$B$4:$E$2000,2,FALSE)</f>
        <v>27AAHCA1363L1ZK</v>
      </c>
      <c r="E36" s="34" t="s">
        <v>22</v>
      </c>
      <c r="F36" s="136" t="s">
        <v>491</v>
      </c>
      <c r="G36" s="135">
        <v>43564</v>
      </c>
      <c r="H36" s="34">
        <v>87141900</v>
      </c>
      <c r="I36" s="39">
        <f>VLOOKUP(H36,'PUR-HSN MASTER'!$A$4:$E$5000,5,FALSE)</f>
        <v>28</v>
      </c>
      <c r="J36" s="38">
        <v>1340</v>
      </c>
      <c r="K36" s="40">
        <v>70457.2</v>
      </c>
      <c r="L36" s="41">
        <v>0</v>
      </c>
      <c r="M36" s="41">
        <v>9864.0079999999998</v>
      </c>
      <c r="N36" s="41">
        <v>9864.0079999999998</v>
      </c>
      <c r="O36" s="41">
        <v>0</v>
      </c>
      <c r="P36" s="42">
        <v>90185.216</v>
      </c>
      <c r="Q36" s="34" t="s">
        <v>410</v>
      </c>
      <c r="R36" s="34" t="s">
        <v>26</v>
      </c>
      <c r="S36" s="11" t="s">
        <v>4120</v>
      </c>
    </row>
    <row r="37" spans="1:19" x14ac:dyDescent="0.2">
      <c r="A37" s="33">
        <v>43556</v>
      </c>
      <c r="B37" s="34">
        <v>31</v>
      </c>
      <c r="C37" s="35" t="s">
        <v>473</v>
      </c>
      <c r="D37" s="34" t="str">
        <f>VLOOKUP(C37,'PUR-PARTY MASTER'!$B$4:$E$2000,2,FALSE)</f>
        <v>27AAACT1848E1ZH</v>
      </c>
      <c r="E37" s="34" t="s">
        <v>22</v>
      </c>
      <c r="F37" s="136" t="s">
        <v>492</v>
      </c>
      <c r="G37" s="135">
        <v>43564</v>
      </c>
      <c r="H37" s="34">
        <v>87089900</v>
      </c>
      <c r="I37" s="39">
        <f>VLOOKUP(H37,'PUR-HSN MASTER'!$A$4:$E$5000,5,FALSE)</f>
        <v>28</v>
      </c>
      <c r="J37" s="38">
        <v>70</v>
      </c>
      <c r="K37" s="40">
        <v>10232.299999999999</v>
      </c>
      <c r="L37" s="41">
        <v>0</v>
      </c>
      <c r="M37" s="41">
        <v>1432.5219999999999</v>
      </c>
      <c r="N37" s="41">
        <v>1432.5219999999999</v>
      </c>
      <c r="O37" s="41">
        <v>0</v>
      </c>
      <c r="P37" s="42">
        <v>13097.344000000001</v>
      </c>
      <c r="Q37" s="34" t="s">
        <v>410</v>
      </c>
      <c r="R37" s="34" t="s">
        <v>26</v>
      </c>
      <c r="S37" s="11" t="s">
        <v>4120</v>
      </c>
    </row>
    <row r="38" spans="1:19" x14ac:dyDescent="0.2">
      <c r="A38" s="33">
        <v>43556</v>
      </c>
      <c r="B38" s="34">
        <v>32</v>
      </c>
      <c r="C38" s="35" t="s">
        <v>493</v>
      </c>
      <c r="D38" s="34" t="str">
        <f>VLOOKUP(C38,'PUR-PARTY MASTER'!$B$4:$E$2000,2,FALSE)</f>
        <v>27AMMPB3648M1ZO</v>
      </c>
      <c r="E38" s="34" t="s">
        <v>22</v>
      </c>
      <c r="F38" s="134">
        <v>148</v>
      </c>
      <c r="G38" s="135">
        <v>43564</v>
      </c>
      <c r="H38" s="34">
        <v>85129000</v>
      </c>
      <c r="I38" s="39">
        <f>VLOOKUP(H38,'PUR-HSN MASTER'!$A$4:$E$5000,5,FALSE)</f>
        <v>18</v>
      </c>
      <c r="J38" s="38">
        <v>1115</v>
      </c>
      <c r="K38" s="40">
        <v>36415.9</v>
      </c>
      <c r="L38" s="41">
        <v>0</v>
      </c>
      <c r="M38" s="41">
        <v>3277.431</v>
      </c>
      <c r="N38" s="41">
        <v>3277.431</v>
      </c>
      <c r="O38" s="41">
        <v>0</v>
      </c>
      <c r="P38" s="42">
        <v>42971.001999999993</v>
      </c>
      <c r="Q38" s="34" t="s">
        <v>410</v>
      </c>
      <c r="R38" s="34" t="s">
        <v>26</v>
      </c>
      <c r="S38" s="11" t="s">
        <v>4120</v>
      </c>
    </row>
    <row r="39" spans="1:19" x14ac:dyDescent="0.2">
      <c r="A39" s="33">
        <v>43556</v>
      </c>
      <c r="B39" s="34">
        <v>33</v>
      </c>
      <c r="C39" s="35" t="s">
        <v>471</v>
      </c>
      <c r="D39" s="34" t="str">
        <f>VLOOKUP(C39,'PUR-PARTY MASTER'!$B$4:$E$2000,2,FALSE)</f>
        <v>27AAECM8871A1ZF</v>
      </c>
      <c r="E39" s="34" t="s">
        <v>22</v>
      </c>
      <c r="F39" s="134">
        <v>192000265</v>
      </c>
      <c r="G39" s="135">
        <v>43564</v>
      </c>
      <c r="H39" s="34">
        <v>87089900</v>
      </c>
      <c r="I39" s="39">
        <f>VLOOKUP(H39,'PUR-HSN MASTER'!$A$4:$E$5000,5,FALSE)</f>
        <v>28</v>
      </c>
      <c r="J39" s="38">
        <v>12</v>
      </c>
      <c r="K39" s="40">
        <v>17483.52</v>
      </c>
      <c r="L39" s="41">
        <v>0</v>
      </c>
      <c r="M39" s="41">
        <v>2447.6928000000003</v>
      </c>
      <c r="N39" s="41">
        <v>2447.6928000000003</v>
      </c>
      <c r="O39" s="41">
        <v>0</v>
      </c>
      <c r="P39" s="42">
        <v>22378.895600000003</v>
      </c>
      <c r="Q39" s="34" t="s">
        <v>410</v>
      </c>
      <c r="R39" s="34" t="s">
        <v>26</v>
      </c>
      <c r="S39" s="11" t="s">
        <v>4120</v>
      </c>
    </row>
    <row r="40" spans="1:19" x14ac:dyDescent="0.2">
      <c r="A40" s="33">
        <v>43556</v>
      </c>
      <c r="B40" s="34">
        <v>34</v>
      </c>
      <c r="C40" s="35" t="s">
        <v>471</v>
      </c>
      <c r="D40" s="34" t="str">
        <f>VLOOKUP(C40,'PUR-PARTY MASTER'!$B$4:$E$2000,2,FALSE)</f>
        <v>27AAECM8871A1ZF</v>
      </c>
      <c r="E40" s="34" t="s">
        <v>22</v>
      </c>
      <c r="F40" s="134">
        <v>192000299</v>
      </c>
      <c r="G40" s="135">
        <v>43564</v>
      </c>
      <c r="H40" s="34">
        <v>87089900</v>
      </c>
      <c r="I40" s="39">
        <f>VLOOKUP(H40,'PUR-HSN MASTER'!$A$4:$E$5000,5,FALSE)</f>
        <v>28</v>
      </c>
      <c r="J40" s="38">
        <v>12</v>
      </c>
      <c r="K40" s="40">
        <v>17483.52</v>
      </c>
      <c r="L40" s="41">
        <v>0</v>
      </c>
      <c r="M40" s="41">
        <v>2447.6928000000003</v>
      </c>
      <c r="N40" s="41">
        <v>2447.6928000000003</v>
      </c>
      <c r="O40" s="41">
        <v>0</v>
      </c>
      <c r="P40" s="42">
        <v>22378.895600000003</v>
      </c>
      <c r="Q40" s="34" t="s">
        <v>410</v>
      </c>
      <c r="R40" s="34" t="s">
        <v>26</v>
      </c>
      <c r="S40" s="11" t="s">
        <v>4120</v>
      </c>
    </row>
    <row r="41" spans="1:19" x14ac:dyDescent="0.2">
      <c r="A41" s="33">
        <v>43556</v>
      </c>
      <c r="B41" s="34">
        <v>35</v>
      </c>
      <c r="C41" s="35" t="s">
        <v>495</v>
      </c>
      <c r="D41" s="34" t="str">
        <f>VLOOKUP(C41,'PUR-PARTY MASTER'!$B$4:$E$2000,2,FALSE)</f>
        <v>27AAACH4211R1ZF</v>
      </c>
      <c r="E41" s="34" t="s">
        <v>22</v>
      </c>
      <c r="F41" s="134">
        <v>5510041932</v>
      </c>
      <c r="G41" s="135">
        <v>43564</v>
      </c>
      <c r="H41" s="34">
        <v>85129000</v>
      </c>
      <c r="I41" s="39">
        <f>VLOOKUP(H41,'PUR-HSN MASTER'!$A$4:$E$5000,5,FALSE)</f>
        <v>18</v>
      </c>
      <c r="J41" s="38">
        <v>4320</v>
      </c>
      <c r="K41" s="40">
        <v>47779.199999999997</v>
      </c>
      <c r="L41" s="41">
        <v>0</v>
      </c>
      <c r="M41" s="41">
        <v>4300.1279999999997</v>
      </c>
      <c r="N41" s="41">
        <v>4300.1279999999997</v>
      </c>
      <c r="O41" s="41">
        <v>0</v>
      </c>
      <c r="P41" s="42">
        <v>56379.455999999991</v>
      </c>
      <c r="Q41" s="34" t="s">
        <v>410</v>
      </c>
      <c r="R41" s="34" t="s">
        <v>26</v>
      </c>
      <c r="S41" s="11" t="s">
        <v>4120</v>
      </c>
    </row>
    <row r="42" spans="1:19" x14ac:dyDescent="0.2">
      <c r="A42" s="33">
        <v>43556</v>
      </c>
      <c r="B42" s="34">
        <v>36</v>
      </c>
      <c r="C42" s="35" t="s">
        <v>495</v>
      </c>
      <c r="D42" s="34" t="str">
        <f>VLOOKUP(C42,'PUR-PARTY MASTER'!$B$4:$E$2000,2,FALSE)</f>
        <v>27AAACH4211R1ZF</v>
      </c>
      <c r="E42" s="34" t="s">
        <v>22</v>
      </c>
      <c r="F42" s="134">
        <v>5510041933</v>
      </c>
      <c r="G42" s="135">
        <v>43564</v>
      </c>
      <c r="H42" s="34">
        <v>85129000</v>
      </c>
      <c r="I42" s="39">
        <f>VLOOKUP(H42,'PUR-HSN MASTER'!$A$4:$E$5000,5,FALSE)</f>
        <v>18</v>
      </c>
      <c r="J42" s="38">
        <v>4320</v>
      </c>
      <c r="K42" s="40">
        <v>47779.199999999997</v>
      </c>
      <c r="L42" s="41">
        <v>0</v>
      </c>
      <c r="M42" s="41">
        <v>4300.1279999999997</v>
      </c>
      <c r="N42" s="41">
        <v>4300.1279999999997</v>
      </c>
      <c r="O42" s="41">
        <v>0</v>
      </c>
      <c r="P42" s="42">
        <v>56379.455999999991</v>
      </c>
      <c r="Q42" s="34" t="s">
        <v>410</v>
      </c>
      <c r="R42" s="34" t="s">
        <v>26</v>
      </c>
      <c r="S42" s="11" t="s">
        <v>4120</v>
      </c>
    </row>
    <row r="43" spans="1:19" x14ac:dyDescent="0.2">
      <c r="A43" s="33">
        <v>43556</v>
      </c>
      <c r="B43" s="34">
        <v>37</v>
      </c>
      <c r="C43" s="35" t="s">
        <v>471</v>
      </c>
      <c r="D43" s="34" t="str">
        <f>VLOOKUP(C43,'PUR-PARTY MASTER'!$B$4:$E$2000,2,FALSE)</f>
        <v>27AAECM8871A1ZF</v>
      </c>
      <c r="E43" s="34" t="s">
        <v>22</v>
      </c>
      <c r="F43" s="134">
        <v>192000300</v>
      </c>
      <c r="G43" s="135">
        <v>43565</v>
      </c>
      <c r="H43" s="34">
        <v>87089900</v>
      </c>
      <c r="I43" s="39">
        <f>VLOOKUP(H43,'PUR-HSN MASTER'!$A$4:$E$5000,5,FALSE)</f>
        <v>28</v>
      </c>
      <c r="J43" s="38">
        <v>12</v>
      </c>
      <c r="K43" s="40">
        <v>17483.52</v>
      </c>
      <c r="L43" s="41">
        <v>0</v>
      </c>
      <c r="M43" s="41">
        <v>2447.6928000000003</v>
      </c>
      <c r="N43" s="41">
        <v>2447.6928000000003</v>
      </c>
      <c r="O43" s="41">
        <v>0</v>
      </c>
      <c r="P43" s="42">
        <v>22378.895600000003</v>
      </c>
      <c r="Q43" s="34" t="s">
        <v>410</v>
      </c>
      <c r="R43" s="34" t="s">
        <v>26</v>
      </c>
      <c r="S43" s="11" t="s">
        <v>4120</v>
      </c>
    </row>
    <row r="44" spans="1:19" x14ac:dyDescent="0.2">
      <c r="A44" s="33">
        <v>43556</v>
      </c>
      <c r="B44" s="34">
        <v>38</v>
      </c>
      <c r="C44" s="35" t="s">
        <v>472</v>
      </c>
      <c r="D44" s="34" t="str">
        <f>VLOOKUP(C44,'PUR-PARTY MASTER'!$B$4:$E$2000,2,FALSE)</f>
        <v>27AABCM2508F1ZU</v>
      </c>
      <c r="E44" s="34" t="s">
        <v>22</v>
      </c>
      <c r="F44" s="134">
        <v>2041213179</v>
      </c>
      <c r="G44" s="135">
        <v>43565</v>
      </c>
      <c r="H44" s="34">
        <v>87141090</v>
      </c>
      <c r="I44" s="39">
        <f>VLOOKUP(H44,'PUR-HSN MASTER'!$A$4:$E$5000,5,FALSE)</f>
        <v>28</v>
      </c>
      <c r="J44" s="38">
        <v>50</v>
      </c>
      <c r="K44" s="40">
        <v>1854</v>
      </c>
      <c r="L44" s="41">
        <v>0</v>
      </c>
      <c r="M44" s="41">
        <v>259.56</v>
      </c>
      <c r="N44" s="41">
        <v>259.56</v>
      </c>
      <c r="O44" s="41">
        <v>0</v>
      </c>
      <c r="P44" s="42">
        <v>2373.12</v>
      </c>
      <c r="Q44" s="34" t="s">
        <v>410</v>
      </c>
      <c r="R44" s="34" t="s">
        <v>26</v>
      </c>
      <c r="S44" s="11" t="s">
        <v>4120</v>
      </c>
    </row>
    <row r="45" spans="1:19" x14ac:dyDescent="0.2">
      <c r="A45" s="33">
        <v>43556</v>
      </c>
      <c r="B45" s="34">
        <v>39</v>
      </c>
      <c r="C45" s="35" t="s">
        <v>472</v>
      </c>
      <c r="D45" s="34" t="str">
        <f>VLOOKUP(C45,'PUR-PARTY MASTER'!$B$4:$E$2000,2,FALSE)</f>
        <v>27AABCM2508F1ZU</v>
      </c>
      <c r="E45" s="34" t="s">
        <v>22</v>
      </c>
      <c r="F45" s="134">
        <v>2041213180</v>
      </c>
      <c r="G45" s="135">
        <v>43565</v>
      </c>
      <c r="H45" s="34">
        <v>87141090</v>
      </c>
      <c r="I45" s="39">
        <f>VLOOKUP(H45,'PUR-HSN MASTER'!$A$4:$E$5000,5,FALSE)</f>
        <v>28</v>
      </c>
      <c r="J45" s="38">
        <v>50</v>
      </c>
      <c r="K45" s="40">
        <v>1854</v>
      </c>
      <c r="L45" s="41">
        <v>0</v>
      </c>
      <c r="M45" s="41">
        <v>259.56</v>
      </c>
      <c r="N45" s="41">
        <v>259.56</v>
      </c>
      <c r="O45" s="41">
        <v>0</v>
      </c>
      <c r="P45" s="42">
        <v>2373.12</v>
      </c>
      <c r="Q45" s="34" t="s">
        <v>410</v>
      </c>
      <c r="R45" s="34" t="s">
        <v>26</v>
      </c>
      <c r="S45" s="11" t="s">
        <v>4120</v>
      </c>
    </row>
    <row r="46" spans="1:19" x14ac:dyDescent="0.2">
      <c r="A46" s="33">
        <v>43556</v>
      </c>
      <c r="B46" s="34">
        <v>40</v>
      </c>
      <c r="C46" s="35" t="s">
        <v>471</v>
      </c>
      <c r="D46" s="34" t="str">
        <f>VLOOKUP(C46,'PUR-PARTY MASTER'!$B$4:$E$2000,2,FALSE)</f>
        <v>27AAECM8871A1ZF</v>
      </c>
      <c r="E46" s="34" t="s">
        <v>22</v>
      </c>
      <c r="F46" s="134">
        <v>192000337</v>
      </c>
      <c r="G46" s="135">
        <v>43566</v>
      </c>
      <c r="H46" s="34">
        <v>87089900</v>
      </c>
      <c r="I46" s="39">
        <f>VLOOKUP(H46,'PUR-HSN MASTER'!$A$4:$E$5000,5,FALSE)</f>
        <v>28</v>
      </c>
      <c r="J46" s="38">
        <v>12</v>
      </c>
      <c r="K46" s="40">
        <v>17483.52</v>
      </c>
      <c r="L46" s="41">
        <v>0</v>
      </c>
      <c r="M46" s="41">
        <v>2447.6928000000003</v>
      </c>
      <c r="N46" s="41">
        <v>2447.6928000000003</v>
      </c>
      <c r="O46" s="41">
        <v>0</v>
      </c>
      <c r="P46" s="42">
        <v>22378.895600000003</v>
      </c>
      <c r="Q46" s="34" t="s">
        <v>410</v>
      </c>
      <c r="R46" s="34" t="s">
        <v>26</v>
      </c>
      <c r="S46" s="11" t="s">
        <v>4120</v>
      </c>
    </row>
    <row r="47" spans="1:19" x14ac:dyDescent="0.2">
      <c r="A47" s="33">
        <v>43556</v>
      </c>
      <c r="B47" s="34">
        <v>41</v>
      </c>
      <c r="C47" s="35" t="s">
        <v>471</v>
      </c>
      <c r="D47" s="34" t="str">
        <f>VLOOKUP(C47,'PUR-PARTY MASTER'!$B$4:$E$2000,2,FALSE)</f>
        <v>27AAECM8871A1ZF</v>
      </c>
      <c r="E47" s="34" t="s">
        <v>22</v>
      </c>
      <c r="F47" s="134">
        <v>192000338</v>
      </c>
      <c r="G47" s="135">
        <v>43566</v>
      </c>
      <c r="H47" s="34">
        <v>87089900</v>
      </c>
      <c r="I47" s="39">
        <f>VLOOKUP(H47,'PUR-HSN MASTER'!$A$4:$E$5000,5,FALSE)</f>
        <v>28</v>
      </c>
      <c r="J47" s="38">
        <v>12</v>
      </c>
      <c r="K47" s="40">
        <v>17483.52</v>
      </c>
      <c r="L47" s="41">
        <v>0</v>
      </c>
      <c r="M47" s="41">
        <v>2447.6928000000003</v>
      </c>
      <c r="N47" s="41">
        <v>2447.6928000000003</v>
      </c>
      <c r="O47" s="41">
        <v>0</v>
      </c>
      <c r="P47" s="42">
        <v>22378.895600000003</v>
      </c>
      <c r="Q47" s="34" t="s">
        <v>410</v>
      </c>
      <c r="R47" s="34" t="s">
        <v>26</v>
      </c>
      <c r="S47" s="11" t="s">
        <v>4120</v>
      </c>
    </row>
    <row r="48" spans="1:19" x14ac:dyDescent="0.2">
      <c r="A48" s="33">
        <v>43556</v>
      </c>
      <c r="B48" s="34">
        <v>42</v>
      </c>
      <c r="C48" s="35" t="s">
        <v>493</v>
      </c>
      <c r="D48" s="34" t="str">
        <f>VLOOKUP(C48,'PUR-PARTY MASTER'!$B$4:$E$2000,2,FALSE)</f>
        <v>27AMMPB3648M1ZO</v>
      </c>
      <c r="E48" s="34" t="s">
        <v>22</v>
      </c>
      <c r="F48" s="134">
        <v>204</v>
      </c>
      <c r="G48" s="135">
        <v>43566</v>
      </c>
      <c r="H48" s="34">
        <v>85129000</v>
      </c>
      <c r="I48" s="39">
        <f>VLOOKUP(H48,'PUR-HSN MASTER'!$A$4:$E$5000,5,FALSE)</f>
        <v>18</v>
      </c>
      <c r="J48" s="38">
        <v>1000</v>
      </c>
      <c r="K48" s="40">
        <v>22990</v>
      </c>
      <c r="L48" s="41">
        <v>0</v>
      </c>
      <c r="M48" s="41">
        <v>2069.1</v>
      </c>
      <c r="N48" s="41">
        <v>2069.1</v>
      </c>
      <c r="O48" s="41">
        <v>0</v>
      </c>
      <c r="P48" s="42">
        <v>27127.999999999996</v>
      </c>
      <c r="Q48" s="34" t="s">
        <v>410</v>
      </c>
      <c r="R48" s="34" t="s">
        <v>26</v>
      </c>
      <c r="S48" s="11" t="s">
        <v>4120</v>
      </c>
    </row>
    <row r="49" spans="1:19" x14ac:dyDescent="0.2">
      <c r="A49" s="33">
        <v>43556</v>
      </c>
      <c r="B49" s="34">
        <v>43</v>
      </c>
      <c r="C49" s="35" t="s">
        <v>471</v>
      </c>
      <c r="D49" s="34" t="str">
        <f>VLOOKUP(C49,'PUR-PARTY MASTER'!$B$4:$E$2000,2,FALSE)</f>
        <v>27AAECM8871A1ZF</v>
      </c>
      <c r="E49" s="34" t="s">
        <v>22</v>
      </c>
      <c r="F49" s="134">
        <v>192000381</v>
      </c>
      <c r="G49" s="135">
        <v>43567</v>
      </c>
      <c r="H49" s="34">
        <v>87089900</v>
      </c>
      <c r="I49" s="39">
        <f>VLOOKUP(H49,'PUR-HSN MASTER'!$A$4:$E$5000,5,FALSE)</f>
        <v>28</v>
      </c>
      <c r="J49" s="38">
        <v>12</v>
      </c>
      <c r="K49" s="40">
        <v>17483.52</v>
      </c>
      <c r="L49" s="41">
        <v>0</v>
      </c>
      <c r="M49" s="41">
        <v>2447.6928000000003</v>
      </c>
      <c r="N49" s="41">
        <v>2447.6928000000003</v>
      </c>
      <c r="O49" s="41">
        <v>0</v>
      </c>
      <c r="P49" s="42">
        <v>22378.895600000003</v>
      </c>
      <c r="Q49" s="34" t="s">
        <v>410</v>
      </c>
      <c r="R49" s="34" t="s">
        <v>26</v>
      </c>
      <c r="S49" s="11" t="s">
        <v>4120</v>
      </c>
    </row>
    <row r="50" spans="1:19" x14ac:dyDescent="0.2">
      <c r="A50" s="33">
        <v>43556</v>
      </c>
      <c r="B50" s="34">
        <v>44</v>
      </c>
      <c r="C50" s="35" t="s">
        <v>496</v>
      </c>
      <c r="D50" s="34" t="str">
        <f>VLOOKUP(C50,'PUR-PARTY MASTER'!$B$4:$E$2000,2,FALSE)</f>
        <v>27AACFM2940F1ZJ</v>
      </c>
      <c r="E50" s="34" t="s">
        <v>22</v>
      </c>
      <c r="F50" s="136" t="s">
        <v>498</v>
      </c>
      <c r="G50" s="135">
        <v>43567</v>
      </c>
      <c r="H50" s="34">
        <v>40169330</v>
      </c>
      <c r="I50" s="39">
        <f>VLOOKUP(H50,'PUR-HSN MASTER'!$A$4:$E$5000,5,FALSE)</f>
        <v>18</v>
      </c>
      <c r="J50" s="38">
        <v>2</v>
      </c>
      <c r="K50" s="40">
        <v>1299</v>
      </c>
      <c r="L50" s="41">
        <v>0</v>
      </c>
      <c r="M50" s="41">
        <v>116.91</v>
      </c>
      <c r="N50" s="41">
        <v>116.91</v>
      </c>
      <c r="O50" s="41">
        <v>0</v>
      </c>
      <c r="P50" s="42">
        <v>1532.8100000000002</v>
      </c>
      <c r="Q50" s="34" t="s">
        <v>410</v>
      </c>
      <c r="R50" s="34" t="s">
        <v>26</v>
      </c>
      <c r="S50" s="11" t="s">
        <v>4120</v>
      </c>
    </row>
    <row r="51" spans="1:19" x14ac:dyDescent="0.2">
      <c r="A51" s="33">
        <v>43556</v>
      </c>
      <c r="B51" s="34"/>
      <c r="C51" s="35" t="s">
        <v>496</v>
      </c>
      <c r="D51" s="34" t="str">
        <f>VLOOKUP(C51,'PUR-PARTY MASTER'!$B$4:$E$2000,2,FALSE)</f>
        <v>27AACFM2940F1ZJ</v>
      </c>
      <c r="E51" s="34" t="s">
        <v>22</v>
      </c>
      <c r="F51" s="136" t="s">
        <v>498</v>
      </c>
      <c r="G51" s="135">
        <v>43567</v>
      </c>
      <c r="H51" s="34">
        <v>84818090</v>
      </c>
      <c r="I51" s="39">
        <f>VLOOKUP(H51,'PUR-HSN MASTER'!$A$4:$E$5000,5,FALSE)</f>
        <v>18</v>
      </c>
      <c r="J51" s="38">
        <v>6</v>
      </c>
      <c r="K51" s="40">
        <v>1248</v>
      </c>
      <c r="L51" s="41">
        <v>0</v>
      </c>
      <c r="M51" s="41">
        <v>112.32000000000001</v>
      </c>
      <c r="N51" s="41">
        <v>112.32000000000001</v>
      </c>
      <c r="O51" s="41">
        <v>0</v>
      </c>
      <c r="P51" s="42">
        <v>1472.6299999999999</v>
      </c>
      <c r="Q51" s="34" t="s">
        <v>410</v>
      </c>
      <c r="R51" s="34" t="s">
        <v>26</v>
      </c>
      <c r="S51" s="11" t="s">
        <v>4120</v>
      </c>
    </row>
    <row r="52" spans="1:19" x14ac:dyDescent="0.2">
      <c r="A52" s="33">
        <v>43556</v>
      </c>
      <c r="B52" s="34"/>
      <c r="C52" s="35" t="s">
        <v>496</v>
      </c>
      <c r="D52" s="34" t="str">
        <f>VLOOKUP(C52,'PUR-PARTY MASTER'!$B$4:$E$2000,2,FALSE)</f>
        <v>27AACFM2940F1ZJ</v>
      </c>
      <c r="E52" s="34" t="s">
        <v>22</v>
      </c>
      <c r="F52" s="136" t="s">
        <v>498</v>
      </c>
      <c r="G52" s="135">
        <v>43567</v>
      </c>
      <c r="H52" s="34">
        <v>8467299</v>
      </c>
      <c r="I52" s="39">
        <f>VLOOKUP(H52,'PUR-HSN MASTER'!$A$4:$E$5000,5,FALSE)</f>
        <v>18</v>
      </c>
      <c r="J52" s="38">
        <v>1</v>
      </c>
      <c r="K52" s="40">
        <v>595</v>
      </c>
      <c r="L52" s="41">
        <v>0</v>
      </c>
      <c r="M52" s="41">
        <v>53.550000000000004</v>
      </c>
      <c r="N52" s="41">
        <v>53.550000000000004</v>
      </c>
      <c r="O52" s="41">
        <v>0</v>
      </c>
      <c r="P52" s="42">
        <v>702.08999999999992</v>
      </c>
      <c r="Q52" s="34" t="s">
        <v>410</v>
      </c>
      <c r="R52" s="34" t="s">
        <v>26</v>
      </c>
      <c r="S52" s="11" t="s">
        <v>4120</v>
      </c>
    </row>
    <row r="53" spans="1:19" x14ac:dyDescent="0.2">
      <c r="A53" s="33">
        <v>43556</v>
      </c>
      <c r="B53" s="34"/>
      <c r="C53" s="35" t="s">
        <v>496</v>
      </c>
      <c r="D53" s="34" t="str">
        <f>VLOOKUP(C53,'PUR-PARTY MASTER'!$B$4:$E$2000,2,FALSE)</f>
        <v>27AACFM2940F1ZJ</v>
      </c>
      <c r="E53" s="34" t="s">
        <v>22</v>
      </c>
      <c r="F53" s="136" t="s">
        <v>498</v>
      </c>
      <c r="G53" s="135">
        <v>43567</v>
      </c>
      <c r="H53" s="34">
        <v>73182200</v>
      </c>
      <c r="I53" s="39">
        <f>VLOOKUP(H53,'PUR-HSN MASTER'!$A$4:$E$5000,5,FALSE)</f>
        <v>18</v>
      </c>
      <c r="J53" s="38">
        <v>2</v>
      </c>
      <c r="K53" s="40">
        <v>358</v>
      </c>
      <c r="L53" s="41">
        <v>0</v>
      </c>
      <c r="M53" s="41">
        <v>32.22</v>
      </c>
      <c r="N53" s="41">
        <v>32.22</v>
      </c>
      <c r="O53" s="41">
        <v>0</v>
      </c>
      <c r="P53" s="42">
        <v>422.43000000000006</v>
      </c>
      <c r="Q53" s="34" t="s">
        <v>410</v>
      </c>
      <c r="R53" s="34" t="s">
        <v>26</v>
      </c>
      <c r="S53" s="11" t="s">
        <v>4120</v>
      </c>
    </row>
    <row r="54" spans="1:19" x14ac:dyDescent="0.2">
      <c r="A54" s="33">
        <v>43556</v>
      </c>
      <c r="B54" s="34"/>
      <c r="C54" s="35" t="s">
        <v>496</v>
      </c>
      <c r="D54" s="34" t="str">
        <f>VLOOKUP(C54,'PUR-PARTY MASTER'!$B$4:$E$2000,2,FALSE)</f>
        <v>27AACFM2940F1ZJ</v>
      </c>
      <c r="E54" s="34" t="s">
        <v>22</v>
      </c>
      <c r="F54" s="136" t="s">
        <v>498</v>
      </c>
      <c r="G54" s="135">
        <v>43567</v>
      </c>
      <c r="H54" s="34">
        <v>40169320</v>
      </c>
      <c r="I54" s="39">
        <f>VLOOKUP(H54,'PUR-HSN MASTER'!$A$4:$E$5000,5,FALSE)</f>
        <v>18</v>
      </c>
      <c r="J54" s="38">
        <v>2</v>
      </c>
      <c r="K54" s="40">
        <v>596</v>
      </c>
      <c r="L54" s="41">
        <v>0</v>
      </c>
      <c r="M54" s="41">
        <v>53.64</v>
      </c>
      <c r="N54" s="41">
        <v>53.64</v>
      </c>
      <c r="O54" s="41">
        <v>0</v>
      </c>
      <c r="P54" s="42">
        <v>703.27</v>
      </c>
      <c r="Q54" s="34" t="s">
        <v>410</v>
      </c>
      <c r="R54" s="34" t="s">
        <v>26</v>
      </c>
      <c r="S54" s="11" t="s">
        <v>4120</v>
      </c>
    </row>
    <row r="55" spans="1:19" x14ac:dyDescent="0.2">
      <c r="A55" s="33">
        <v>43556</v>
      </c>
      <c r="B55" s="34"/>
      <c r="C55" s="35" t="s">
        <v>496</v>
      </c>
      <c r="D55" s="34" t="str">
        <f>VLOOKUP(C55,'PUR-PARTY MASTER'!$B$4:$E$2000,2,FALSE)</f>
        <v>27AACFM2940F1ZJ</v>
      </c>
      <c r="E55" s="34" t="s">
        <v>22</v>
      </c>
      <c r="F55" s="136" t="s">
        <v>498</v>
      </c>
      <c r="G55" s="135">
        <v>43567</v>
      </c>
      <c r="H55" s="34">
        <v>84689900</v>
      </c>
      <c r="I55" s="39">
        <f>VLOOKUP(H55,'PUR-HSN MASTER'!$A$4:$E$5000,5,FALSE)</f>
        <v>18</v>
      </c>
      <c r="J55" s="38">
        <v>2</v>
      </c>
      <c r="K55" s="40">
        <v>250</v>
      </c>
      <c r="L55" s="41">
        <v>0</v>
      </c>
      <c r="M55" s="41">
        <v>22.5</v>
      </c>
      <c r="N55" s="41">
        <v>22.5</v>
      </c>
      <c r="O55" s="41">
        <v>0</v>
      </c>
      <c r="P55" s="42">
        <v>294.99</v>
      </c>
      <c r="Q55" s="34" t="s">
        <v>410</v>
      </c>
      <c r="R55" s="34" t="s">
        <v>26</v>
      </c>
      <c r="S55" s="11" t="s">
        <v>4120</v>
      </c>
    </row>
    <row r="56" spans="1:19" x14ac:dyDescent="0.2">
      <c r="A56" s="33">
        <v>43556</v>
      </c>
      <c r="B56" s="34"/>
      <c r="C56" s="35" t="s">
        <v>496</v>
      </c>
      <c r="D56" s="34" t="str">
        <f>VLOOKUP(C56,'PUR-PARTY MASTER'!$B$4:$E$2000,2,FALSE)</f>
        <v>27AACFM2940F1ZJ</v>
      </c>
      <c r="E56" s="34" t="s">
        <v>22</v>
      </c>
      <c r="F56" s="136" t="s">
        <v>498</v>
      </c>
      <c r="G56" s="135">
        <v>43567</v>
      </c>
      <c r="H56" s="34">
        <v>84679900</v>
      </c>
      <c r="I56" s="39">
        <f>VLOOKUP(H56,'PUR-HSN MASTER'!$A$4:$E$5000,5,FALSE)</f>
        <v>18</v>
      </c>
      <c r="J56" s="38">
        <v>2</v>
      </c>
      <c r="K56" s="40">
        <v>1196</v>
      </c>
      <c r="L56" s="41">
        <v>0</v>
      </c>
      <c r="M56" s="41">
        <v>107.64000000000001</v>
      </c>
      <c r="N56" s="41">
        <v>107.64000000000001</v>
      </c>
      <c r="O56" s="41">
        <v>0</v>
      </c>
      <c r="P56" s="42">
        <v>1411.2700000000002</v>
      </c>
      <c r="Q56" s="34" t="s">
        <v>410</v>
      </c>
      <c r="R56" s="34" t="s">
        <v>26</v>
      </c>
      <c r="S56" s="11" t="s">
        <v>4120</v>
      </c>
    </row>
    <row r="57" spans="1:19" x14ac:dyDescent="0.2">
      <c r="A57" s="33">
        <v>43556</v>
      </c>
      <c r="B57" s="34"/>
      <c r="C57" s="35" t="s">
        <v>496</v>
      </c>
      <c r="D57" s="34" t="str">
        <f>VLOOKUP(C57,'PUR-PARTY MASTER'!$B$4:$E$2000,2,FALSE)</f>
        <v>27AACFM2940F1ZJ</v>
      </c>
      <c r="E57" s="34" t="s">
        <v>22</v>
      </c>
      <c r="F57" s="136" t="s">
        <v>498</v>
      </c>
      <c r="G57" s="135">
        <v>43567</v>
      </c>
      <c r="H57" s="34">
        <v>998719</v>
      </c>
      <c r="I57" s="39">
        <f>VLOOKUP(H57,'PUR-HSN MASTER'!$A$4:$E$5000,5,FALSE)</f>
        <v>18</v>
      </c>
      <c r="J57" s="38">
        <v>1</v>
      </c>
      <c r="K57" s="40">
        <v>500</v>
      </c>
      <c r="L57" s="41">
        <v>0</v>
      </c>
      <c r="M57" s="41">
        <v>45</v>
      </c>
      <c r="N57" s="41">
        <v>45</v>
      </c>
      <c r="O57" s="41">
        <v>0</v>
      </c>
      <c r="P57" s="42">
        <v>589.99</v>
      </c>
      <c r="Q57" s="34" t="s">
        <v>410</v>
      </c>
      <c r="R57" s="34" t="s">
        <v>26</v>
      </c>
      <c r="S57" s="11" t="s">
        <v>4120</v>
      </c>
    </row>
    <row r="58" spans="1:19" x14ac:dyDescent="0.2">
      <c r="A58" s="33">
        <v>43556</v>
      </c>
      <c r="B58" s="34">
        <v>45</v>
      </c>
      <c r="C58" s="35" t="s">
        <v>499</v>
      </c>
      <c r="D58" s="34" t="str">
        <f>VLOOKUP(C58,'PUR-PARTY MASTER'!$B$4:$E$2000,2,FALSE)</f>
        <v>27AAHFP1154B1ZN</v>
      </c>
      <c r="E58" s="34" t="s">
        <v>22</v>
      </c>
      <c r="F58" s="136" t="s">
        <v>501</v>
      </c>
      <c r="G58" s="135">
        <v>43567</v>
      </c>
      <c r="H58" s="34">
        <v>48196000</v>
      </c>
      <c r="I58" s="39">
        <f>VLOOKUP(H58,'PUR-HSN MASTER'!$A$4:$E$5000,5,FALSE)</f>
        <v>18</v>
      </c>
      <c r="J58" s="38">
        <v>12</v>
      </c>
      <c r="K58" s="40">
        <v>660</v>
      </c>
      <c r="L58" s="41">
        <v>0</v>
      </c>
      <c r="M58" s="41">
        <v>59.4</v>
      </c>
      <c r="N58" s="41">
        <v>59.4</v>
      </c>
      <c r="O58" s="41">
        <v>0</v>
      </c>
      <c r="P58" s="42">
        <v>778.79</v>
      </c>
      <c r="Q58" s="34" t="s">
        <v>410</v>
      </c>
      <c r="R58" s="34" t="s">
        <v>26</v>
      </c>
      <c r="S58" s="11" t="s">
        <v>4120</v>
      </c>
    </row>
    <row r="59" spans="1:19" x14ac:dyDescent="0.2">
      <c r="A59" s="33">
        <v>43556</v>
      </c>
      <c r="B59" s="34"/>
      <c r="C59" s="35" t="s">
        <v>499</v>
      </c>
      <c r="D59" s="34" t="str">
        <f>VLOOKUP(C59,'PUR-PARTY MASTER'!$B$4:$E$2000,2,FALSE)</f>
        <v>27AAHFP1154B1ZN</v>
      </c>
      <c r="E59" s="34" t="s">
        <v>22</v>
      </c>
      <c r="F59" s="136" t="s">
        <v>501</v>
      </c>
      <c r="G59" s="135">
        <v>43567</v>
      </c>
      <c r="H59" s="34">
        <v>85068090</v>
      </c>
      <c r="I59" s="39">
        <f>VLOOKUP(H59,'PUR-HSN MASTER'!$A$4:$E$5000,5,FALSE)</f>
        <v>18</v>
      </c>
      <c r="J59" s="38">
        <v>12</v>
      </c>
      <c r="K59" s="40">
        <v>402</v>
      </c>
      <c r="L59" s="41">
        <v>0</v>
      </c>
      <c r="M59" s="41">
        <v>36.179999999999993</v>
      </c>
      <c r="N59" s="41">
        <v>36.179999999999993</v>
      </c>
      <c r="O59" s="41">
        <v>0</v>
      </c>
      <c r="P59" s="42">
        <v>474.35</v>
      </c>
      <c r="Q59" s="34" t="s">
        <v>410</v>
      </c>
      <c r="R59" s="34" t="s">
        <v>26</v>
      </c>
      <c r="S59" s="11" t="s">
        <v>4120</v>
      </c>
    </row>
    <row r="60" spans="1:19" x14ac:dyDescent="0.2">
      <c r="A60" s="33">
        <v>43556</v>
      </c>
      <c r="B60" s="34"/>
      <c r="C60" s="35" t="s">
        <v>499</v>
      </c>
      <c r="D60" s="34" t="str">
        <f>VLOOKUP(C60,'PUR-PARTY MASTER'!$B$4:$E$2000,2,FALSE)</f>
        <v>27AAHFP1154B1ZN</v>
      </c>
      <c r="E60" s="34" t="s">
        <v>22</v>
      </c>
      <c r="F60" s="136" t="s">
        <v>501</v>
      </c>
      <c r="G60" s="135">
        <v>43567</v>
      </c>
      <c r="H60" s="34">
        <v>48114100</v>
      </c>
      <c r="I60" s="39">
        <f>VLOOKUP(H60,'PUR-HSN MASTER'!$A$4:$E$5000,5,FALSE)</f>
        <v>18</v>
      </c>
      <c r="J60" s="38">
        <v>72</v>
      </c>
      <c r="K60" s="40">
        <v>2592</v>
      </c>
      <c r="L60" s="41">
        <v>0</v>
      </c>
      <c r="M60" s="41">
        <v>233.28000000000003</v>
      </c>
      <c r="N60" s="41">
        <v>233.28000000000003</v>
      </c>
      <c r="O60" s="41">
        <v>0</v>
      </c>
      <c r="P60" s="42">
        <v>3058.55</v>
      </c>
      <c r="Q60" s="34" t="s">
        <v>410</v>
      </c>
      <c r="R60" s="34" t="s">
        <v>26</v>
      </c>
      <c r="S60" s="11" t="s">
        <v>4120</v>
      </c>
    </row>
    <row r="61" spans="1:19" x14ac:dyDescent="0.2">
      <c r="A61" s="33">
        <v>43556</v>
      </c>
      <c r="B61" s="34"/>
      <c r="C61" s="35" t="s">
        <v>499</v>
      </c>
      <c r="D61" s="34" t="str">
        <f>VLOOKUP(C61,'PUR-PARTY MASTER'!$B$4:$E$2000,2,FALSE)</f>
        <v>27AAHFP1154B1ZN</v>
      </c>
      <c r="E61" s="34" t="s">
        <v>22</v>
      </c>
      <c r="F61" s="136" t="s">
        <v>501</v>
      </c>
      <c r="G61" s="135">
        <v>43567</v>
      </c>
      <c r="H61" s="34" t="s">
        <v>481</v>
      </c>
      <c r="I61" s="39">
        <f>VLOOKUP(H61,'PUR-HSN MASTER'!$A$4:$E$5000,5,FALSE)</f>
        <v>18</v>
      </c>
      <c r="J61" s="38">
        <v>288</v>
      </c>
      <c r="K61" s="40">
        <v>1728</v>
      </c>
      <c r="L61" s="41">
        <v>0</v>
      </c>
      <c r="M61" s="41">
        <v>155.52000000000001</v>
      </c>
      <c r="N61" s="41">
        <v>155.52000000000001</v>
      </c>
      <c r="O61" s="41">
        <v>0</v>
      </c>
      <c r="P61" s="42">
        <v>2039.03</v>
      </c>
      <c r="Q61" s="34" t="s">
        <v>410</v>
      </c>
      <c r="R61" s="34" t="s">
        <v>26</v>
      </c>
      <c r="S61" s="11" t="s">
        <v>4120</v>
      </c>
    </row>
    <row r="62" spans="1:19" x14ac:dyDescent="0.2">
      <c r="A62" s="33">
        <v>43556</v>
      </c>
      <c r="B62" s="34"/>
      <c r="C62" s="35" t="s">
        <v>499</v>
      </c>
      <c r="D62" s="34" t="str">
        <f>VLOOKUP(C62,'PUR-PARTY MASTER'!$B$4:$E$2000,2,FALSE)</f>
        <v>27AAHFP1154B1ZN</v>
      </c>
      <c r="E62" s="34" t="s">
        <v>22</v>
      </c>
      <c r="F62" s="136" t="s">
        <v>501</v>
      </c>
      <c r="G62" s="135">
        <v>43567</v>
      </c>
      <c r="H62" s="34">
        <v>63071090</v>
      </c>
      <c r="I62" s="39">
        <f>VLOOKUP(H62,'PUR-HSN MASTER'!$A$4:$E$5000,5,FALSE)</f>
        <v>18</v>
      </c>
      <c r="J62" s="38">
        <v>12</v>
      </c>
      <c r="K62" s="40">
        <v>144</v>
      </c>
      <c r="L62" s="41">
        <v>0</v>
      </c>
      <c r="M62" s="41">
        <v>12.959999999999999</v>
      </c>
      <c r="N62" s="41">
        <v>12.959999999999999</v>
      </c>
      <c r="O62" s="41">
        <v>0</v>
      </c>
      <c r="P62" s="42">
        <v>169.91000000000003</v>
      </c>
      <c r="Q62" s="34" t="s">
        <v>410</v>
      </c>
      <c r="R62" s="34" t="s">
        <v>26</v>
      </c>
      <c r="S62" s="11" t="s">
        <v>4120</v>
      </c>
    </row>
    <row r="63" spans="1:19" x14ac:dyDescent="0.2">
      <c r="A63" s="33">
        <v>43556</v>
      </c>
      <c r="B63" s="34">
        <v>46</v>
      </c>
      <c r="C63" s="35" t="s">
        <v>499</v>
      </c>
      <c r="D63" s="34" t="str">
        <f>VLOOKUP(C63,'PUR-PARTY MASTER'!$B$4:$E$2000,2,FALSE)</f>
        <v>27AAHFP1154B1ZN</v>
      </c>
      <c r="E63" s="34" t="s">
        <v>22</v>
      </c>
      <c r="F63" s="136" t="s">
        <v>502</v>
      </c>
      <c r="G63" s="135">
        <v>43567</v>
      </c>
      <c r="H63" s="34">
        <v>40151100</v>
      </c>
      <c r="I63" s="39">
        <f>VLOOKUP(H63,'PUR-HSN MASTER'!$A$4:$E$5000,5,FALSE)</f>
        <v>12</v>
      </c>
      <c r="J63" s="38">
        <v>2000</v>
      </c>
      <c r="K63" s="40">
        <v>5200</v>
      </c>
      <c r="L63" s="41">
        <v>0</v>
      </c>
      <c r="M63" s="41">
        <v>312</v>
      </c>
      <c r="N63" s="41">
        <v>312</v>
      </c>
      <c r="O63" s="41">
        <v>0</v>
      </c>
      <c r="P63" s="42">
        <v>5823.99</v>
      </c>
      <c r="Q63" s="34" t="s">
        <v>410</v>
      </c>
      <c r="R63" s="34" t="s">
        <v>26</v>
      </c>
      <c r="S63" s="11" t="s">
        <v>4120</v>
      </c>
    </row>
    <row r="64" spans="1:19" x14ac:dyDescent="0.2">
      <c r="A64" s="33">
        <v>43556</v>
      </c>
      <c r="B64" s="34"/>
      <c r="C64" s="35" t="s">
        <v>499</v>
      </c>
      <c r="D64" s="34" t="str">
        <f>VLOOKUP(C64,'PUR-PARTY MASTER'!$B$4:$E$2000,2,FALSE)</f>
        <v>27AAHFP1154B1ZN</v>
      </c>
      <c r="E64" s="34" t="s">
        <v>22</v>
      </c>
      <c r="F64" s="136" t="s">
        <v>502</v>
      </c>
      <c r="G64" s="135">
        <v>43567</v>
      </c>
      <c r="H64" s="34">
        <v>59111000</v>
      </c>
      <c r="I64" s="39">
        <f>VLOOKUP(H64,'PUR-HSN MASTER'!$A$4:$E$5000,5,FALSE)</f>
        <v>12</v>
      </c>
      <c r="J64" s="38">
        <v>150</v>
      </c>
      <c r="K64" s="40">
        <v>1950</v>
      </c>
      <c r="L64" s="41">
        <v>0</v>
      </c>
      <c r="M64" s="41">
        <v>117</v>
      </c>
      <c r="N64" s="41">
        <v>117</v>
      </c>
      <c r="O64" s="41">
        <v>0</v>
      </c>
      <c r="P64" s="42">
        <v>2183.9899999999998</v>
      </c>
      <c r="Q64" s="34" t="s">
        <v>410</v>
      </c>
      <c r="R64" s="34" t="s">
        <v>26</v>
      </c>
      <c r="S64" s="11" t="s">
        <v>4120</v>
      </c>
    </row>
    <row r="65" spans="1:19" x14ac:dyDescent="0.2">
      <c r="A65" s="33">
        <v>43556</v>
      </c>
      <c r="B65" s="34">
        <v>47</v>
      </c>
      <c r="C65" s="35" t="s">
        <v>482</v>
      </c>
      <c r="D65" s="34" t="str">
        <f>VLOOKUP(C65,'PUR-PARTY MASTER'!$B$4:$E$2000,2,FALSE)</f>
        <v>27AAHCA1363L1ZK</v>
      </c>
      <c r="E65" s="34" t="s">
        <v>22</v>
      </c>
      <c r="F65" s="136" t="s">
        <v>503</v>
      </c>
      <c r="G65" s="135">
        <v>43567</v>
      </c>
      <c r="H65" s="34">
        <v>87141900</v>
      </c>
      <c r="I65" s="39">
        <f>VLOOKUP(H65,'PUR-HSN MASTER'!$A$4:$E$5000,5,FALSE)</f>
        <v>28</v>
      </c>
      <c r="J65" s="38">
        <v>1680</v>
      </c>
      <c r="K65" s="40">
        <v>88334.399999999994</v>
      </c>
      <c r="L65" s="41">
        <v>0</v>
      </c>
      <c r="M65" s="41">
        <v>12366.815999999999</v>
      </c>
      <c r="N65" s="41">
        <v>12366.815999999999</v>
      </c>
      <c r="O65" s="41">
        <v>0</v>
      </c>
      <c r="P65" s="42">
        <v>113068.04199999997</v>
      </c>
      <c r="Q65" s="34" t="s">
        <v>410</v>
      </c>
      <c r="R65" s="34" t="s">
        <v>26</v>
      </c>
      <c r="S65" s="11" t="s">
        <v>4120</v>
      </c>
    </row>
    <row r="66" spans="1:19" x14ac:dyDescent="0.2">
      <c r="A66" s="33">
        <v>43556</v>
      </c>
      <c r="B66" s="34">
        <v>48</v>
      </c>
      <c r="C66" s="35" t="s">
        <v>471</v>
      </c>
      <c r="D66" s="34" t="str">
        <f>VLOOKUP(C66,'PUR-PARTY MASTER'!$B$4:$E$2000,2,FALSE)</f>
        <v>27AAECM8871A1ZF</v>
      </c>
      <c r="E66" s="34" t="s">
        <v>22</v>
      </c>
      <c r="F66" s="134">
        <v>192000389</v>
      </c>
      <c r="G66" s="135">
        <v>43567</v>
      </c>
      <c r="H66" s="34">
        <v>87089900</v>
      </c>
      <c r="I66" s="39">
        <f>VLOOKUP(H66,'PUR-HSN MASTER'!$A$4:$E$5000,5,FALSE)</f>
        <v>28</v>
      </c>
      <c r="J66" s="38">
        <v>12</v>
      </c>
      <c r="K66" s="40">
        <v>17483.52</v>
      </c>
      <c r="L66" s="41">
        <v>0</v>
      </c>
      <c r="M66" s="41">
        <v>2447.6928000000003</v>
      </c>
      <c r="N66" s="41">
        <v>2447.6928000000003</v>
      </c>
      <c r="O66" s="41">
        <v>0</v>
      </c>
      <c r="P66" s="42">
        <v>22378.895600000003</v>
      </c>
      <c r="Q66" s="34" t="s">
        <v>410</v>
      </c>
      <c r="R66" s="34" t="s">
        <v>26</v>
      </c>
      <c r="S66" s="11" t="s">
        <v>4120</v>
      </c>
    </row>
    <row r="67" spans="1:19" x14ac:dyDescent="0.2">
      <c r="A67" s="33">
        <v>43556</v>
      </c>
      <c r="B67" s="34">
        <v>49</v>
      </c>
      <c r="C67" s="35" t="s">
        <v>473</v>
      </c>
      <c r="D67" s="34" t="str">
        <f>VLOOKUP(C67,'PUR-PARTY MASTER'!$B$4:$E$2000,2,FALSE)</f>
        <v>27AAACT1848E1ZH</v>
      </c>
      <c r="E67" s="34" t="s">
        <v>22</v>
      </c>
      <c r="F67" s="136" t="s">
        <v>504</v>
      </c>
      <c r="G67" s="135">
        <v>43567</v>
      </c>
      <c r="H67" s="34">
        <v>87082900</v>
      </c>
      <c r="I67" s="39">
        <f>VLOOKUP(H67,'PUR-HSN MASTER'!$A$4:$E$5000,5,FALSE)</f>
        <v>28</v>
      </c>
      <c r="J67" s="38">
        <v>24</v>
      </c>
      <c r="K67" s="40">
        <v>3847.2</v>
      </c>
      <c r="L67" s="41">
        <v>0</v>
      </c>
      <c r="M67" s="41">
        <v>538.60800000000006</v>
      </c>
      <c r="N67" s="41">
        <v>538.60800000000006</v>
      </c>
      <c r="O67" s="41">
        <v>0</v>
      </c>
      <c r="P67" s="42">
        <v>4924.4160000000002</v>
      </c>
      <c r="Q67" s="34" t="s">
        <v>410</v>
      </c>
      <c r="R67" s="34" t="s">
        <v>26</v>
      </c>
      <c r="S67" s="11" t="s">
        <v>4120</v>
      </c>
    </row>
    <row r="68" spans="1:19" x14ac:dyDescent="0.2">
      <c r="A68" s="33">
        <v>43556</v>
      </c>
      <c r="B68" s="34">
        <v>50</v>
      </c>
      <c r="C68" s="35" t="s">
        <v>473</v>
      </c>
      <c r="D68" s="34" t="str">
        <f>VLOOKUP(C68,'PUR-PARTY MASTER'!$B$4:$E$2000,2,FALSE)</f>
        <v>27AAACT1848E1ZH</v>
      </c>
      <c r="E68" s="34" t="s">
        <v>22</v>
      </c>
      <c r="F68" s="136" t="s">
        <v>505</v>
      </c>
      <c r="G68" s="135">
        <v>43567</v>
      </c>
      <c r="H68" s="34">
        <v>87089900</v>
      </c>
      <c r="I68" s="39">
        <f>VLOOKUP(H68,'PUR-HSN MASTER'!$A$4:$E$5000,5,FALSE)</f>
        <v>28</v>
      </c>
      <c r="J68" s="38">
        <v>32</v>
      </c>
      <c r="K68" s="40">
        <v>4810.24</v>
      </c>
      <c r="L68" s="41">
        <v>0</v>
      </c>
      <c r="M68" s="41">
        <v>673.43359999999996</v>
      </c>
      <c r="N68" s="41">
        <v>673.43359999999996</v>
      </c>
      <c r="O68" s="41">
        <v>0</v>
      </c>
      <c r="P68" s="42">
        <v>6157.0972000000002</v>
      </c>
      <c r="Q68" s="34" t="s">
        <v>410</v>
      </c>
      <c r="R68" s="34" t="s">
        <v>26</v>
      </c>
      <c r="S68" s="11" t="s">
        <v>4120</v>
      </c>
    </row>
    <row r="69" spans="1:19" x14ac:dyDescent="0.2">
      <c r="A69" s="33">
        <v>43556</v>
      </c>
      <c r="B69" s="34">
        <v>51</v>
      </c>
      <c r="C69" s="35" t="s">
        <v>506</v>
      </c>
      <c r="D69" s="34" t="str">
        <f>VLOOKUP(C69,'PUR-PARTY MASTER'!$B$4:$E$2000,2,FALSE)</f>
        <v>27AAACG1376N1ZC</v>
      </c>
      <c r="E69" s="34" t="s">
        <v>22</v>
      </c>
      <c r="F69" s="136" t="s">
        <v>508</v>
      </c>
      <c r="G69" s="135">
        <v>43567</v>
      </c>
      <c r="H69" s="34">
        <v>32081090</v>
      </c>
      <c r="I69" s="39">
        <f>VLOOKUP(H69,'PUR-HSN MASTER'!$A$4:$E$5000,5,FALSE)</f>
        <v>18</v>
      </c>
      <c r="J69" s="38">
        <v>60</v>
      </c>
      <c r="K69" s="40">
        <v>13920</v>
      </c>
      <c r="L69" s="41">
        <v>0</v>
      </c>
      <c r="M69" s="41">
        <v>1252.8</v>
      </c>
      <c r="N69" s="41">
        <v>1252.8</v>
      </c>
      <c r="O69" s="41">
        <v>0</v>
      </c>
      <c r="P69" s="42">
        <v>16426</v>
      </c>
      <c r="Q69" s="34" t="s">
        <v>410</v>
      </c>
      <c r="R69" s="34" t="s">
        <v>26</v>
      </c>
      <c r="S69" s="11" t="s">
        <v>4120</v>
      </c>
    </row>
    <row r="70" spans="1:19" x14ac:dyDescent="0.2">
      <c r="A70" s="33">
        <v>43556</v>
      </c>
      <c r="B70" s="34">
        <v>52</v>
      </c>
      <c r="C70" s="35" t="s">
        <v>506</v>
      </c>
      <c r="D70" s="34" t="str">
        <f>VLOOKUP(C70,'PUR-PARTY MASTER'!$B$4:$E$2000,2,FALSE)</f>
        <v>27AAACG1376N1ZC</v>
      </c>
      <c r="E70" s="34" t="s">
        <v>22</v>
      </c>
      <c r="F70" s="136" t="s">
        <v>509</v>
      </c>
      <c r="G70" s="135">
        <v>43567</v>
      </c>
      <c r="H70" s="34">
        <v>38140010</v>
      </c>
      <c r="I70" s="39">
        <f>VLOOKUP(H70,'PUR-HSN MASTER'!$A$4:$E$5000,5,FALSE)</f>
        <v>18</v>
      </c>
      <c r="J70" s="38">
        <v>120</v>
      </c>
      <c r="K70" s="40">
        <v>2400</v>
      </c>
      <c r="L70" s="41">
        <v>0</v>
      </c>
      <c r="M70" s="41">
        <v>216</v>
      </c>
      <c r="N70" s="41">
        <v>216</v>
      </c>
      <c r="O70" s="41">
        <v>0</v>
      </c>
      <c r="P70" s="42">
        <v>2832</v>
      </c>
      <c r="Q70" s="34" t="s">
        <v>410</v>
      </c>
      <c r="R70" s="34" t="s">
        <v>26</v>
      </c>
      <c r="S70" s="11" t="s">
        <v>4120</v>
      </c>
    </row>
    <row r="71" spans="1:19" x14ac:dyDescent="0.2">
      <c r="A71" s="33">
        <v>43556</v>
      </c>
      <c r="B71" s="34">
        <v>53</v>
      </c>
      <c r="C71" s="35" t="s">
        <v>506</v>
      </c>
      <c r="D71" s="34" t="str">
        <f>VLOOKUP(C71,'PUR-PARTY MASTER'!$B$4:$E$2000,2,FALSE)</f>
        <v>27AAACG1376N1ZC</v>
      </c>
      <c r="E71" s="34" t="s">
        <v>22</v>
      </c>
      <c r="F71" s="136" t="s">
        <v>510</v>
      </c>
      <c r="G71" s="135">
        <v>43567</v>
      </c>
      <c r="H71" s="34">
        <v>38140010</v>
      </c>
      <c r="I71" s="39">
        <f>VLOOKUP(H71,'PUR-HSN MASTER'!$A$4:$E$5000,5,FALSE)</f>
        <v>18</v>
      </c>
      <c r="J71" s="38">
        <v>300</v>
      </c>
      <c r="K71" s="40">
        <v>18480</v>
      </c>
      <c r="L71" s="41">
        <v>0</v>
      </c>
      <c r="M71" s="41">
        <v>1663.2</v>
      </c>
      <c r="N71" s="41">
        <v>1663.2</v>
      </c>
      <c r="O71" s="41">
        <v>0</v>
      </c>
      <c r="P71" s="42">
        <v>21806</v>
      </c>
      <c r="Q71" s="34" t="s">
        <v>410</v>
      </c>
      <c r="R71" s="34" t="s">
        <v>26</v>
      </c>
      <c r="S71" s="11" t="s">
        <v>4120</v>
      </c>
    </row>
    <row r="72" spans="1:19" x14ac:dyDescent="0.2">
      <c r="A72" s="33">
        <v>43556</v>
      </c>
      <c r="B72" s="34">
        <v>54</v>
      </c>
      <c r="C72" s="35" t="s">
        <v>511</v>
      </c>
      <c r="D72" s="34" t="str">
        <f>VLOOKUP(C72,'PUR-PARTY MASTER'!$B$4:$E$2000,2,FALSE)</f>
        <v>27AABFA1883E1ZQ</v>
      </c>
      <c r="E72" s="34" t="s">
        <v>22</v>
      </c>
      <c r="F72" s="136" t="s">
        <v>513</v>
      </c>
      <c r="G72" s="135">
        <v>43566</v>
      </c>
      <c r="H72" s="34">
        <v>32082090</v>
      </c>
      <c r="I72" s="39">
        <f>VLOOKUP(H72,'PUR-HSN MASTER'!$A$4:$E$5000,5,FALSE)</f>
        <v>18</v>
      </c>
      <c r="J72" s="38">
        <v>100</v>
      </c>
      <c r="K72" s="40">
        <v>17500</v>
      </c>
      <c r="L72" s="41">
        <v>0</v>
      </c>
      <c r="M72" s="41">
        <v>1575</v>
      </c>
      <c r="N72" s="41">
        <v>1575</v>
      </c>
      <c r="O72" s="41">
        <v>0</v>
      </c>
      <c r="P72" s="42">
        <v>20650</v>
      </c>
      <c r="Q72" s="34" t="s">
        <v>410</v>
      </c>
      <c r="R72" s="34" t="s">
        <v>26</v>
      </c>
      <c r="S72" s="11" t="s">
        <v>4120</v>
      </c>
    </row>
    <row r="73" spans="1:19" x14ac:dyDescent="0.2">
      <c r="A73" s="33">
        <v>43556</v>
      </c>
      <c r="B73" s="34">
        <v>55</v>
      </c>
      <c r="C73" s="35" t="s">
        <v>472</v>
      </c>
      <c r="D73" s="34" t="str">
        <f>VLOOKUP(C73,'PUR-PARTY MASTER'!$B$4:$E$2000,2,FALSE)</f>
        <v>27AABCM2508F1ZU</v>
      </c>
      <c r="E73" s="34" t="s">
        <v>22</v>
      </c>
      <c r="F73" s="134">
        <v>2041213946</v>
      </c>
      <c r="G73" s="135">
        <v>43568</v>
      </c>
      <c r="H73" s="34">
        <v>87141090</v>
      </c>
      <c r="I73" s="39">
        <f>VLOOKUP(H73,'PUR-HSN MASTER'!$A$4:$E$5000,5,FALSE)</f>
        <v>28</v>
      </c>
      <c r="J73" s="38">
        <v>200</v>
      </c>
      <c r="K73" s="40">
        <v>10230</v>
      </c>
      <c r="L73" s="41">
        <v>0</v>
      </c>
      <c r="M73" s="41">
        <v>1432.2</v>
      </c>
      <c r="N73" s="41">
        <v>1432.2</v>
      </c>
      <c r="O73" s="41">
        <v>0</v>
      </c>
      <c r="P73" s="42">
        <v>13094.400000000001</v>
      </c>
      <c r="Q73" s="34" t="s">
        <v>410</v>
      </c>
      <c r="R73" s="34" t="s">
        <v>26</v>
      </c>
      <c r="S73" s="11" t="s">
        <v>4120</v>
      </c>
    </row>
    <row r="74" spans="1:19" x14ac:dyDescent="0.2">
      <c r="A74" s="33">
        <v>43556</v>
      </c>
      <c r="B74" s="34">
        <v>56</v>
      </c>
      <c r="C74" s="35" t="s">
        <v>472</v>
      </c>
      <c r="D74" s="34" t="str">
        <f>VLOOKUP(C74,'PUR-PARTY MASTER'!$B$4:$E$2000,2,FALSE)</f>
        <v>27AABCM2508F1ZU</v>
      </c>
      <c r="E74" s="34" t="s">
        <v>22</v>
      </c>
      <c r="F74" s="134">
        <v>2041213947</v>
      </c>
      <c r="G74" s="135">
        <v>43568</v>
      </c>
      <c r="H74" s="34">
        <v>87141090</v>
      </c>
      <c r="I74" s="39">
        <f>VLOOKUP(H74,'PUR-HSN MASTER'!$A$4:$E$5000,5,FALSE)</f>
        <v>28</v>
      </c>
      <c r="J74" s="38">
        <v>200</v>
      </c>
      <c r="K74" s="40">
        <v>8392</v>
      </c>
      <c r="L74" s="41">
        <v>0</v>
      </c>
      <c r="M74" s="41">
        <v>1174.8800000000001</v>
      </c>
      <c r="N74" s="41">
        <v>1174.8800000000001</v>
      </c>
      <c r="O74" s="41">
        <v>0</v>
      </c>
      <c r="P74" s="42">
        <v>10741.760000000002</v>
      </c>
      <c r="Q74" s="34" t="s">
        <v>410</v>
      </c>
      <c r="R74" s="34" t="s">
        <v>26</v>
      </c>
      <c r="S74" s="11" t="s">
        <v>4120</v>
      </c>
    </row>
    <row r="75" spans="1:19" x14ac:dyDescent="0.2">
      <c r="A75" s="33">
        <v>43556</v>
      </c>
      <c r="B75" s="34">
        <v>57</v>
      </c>
      <c r="C75" s="35" t="s">
        <v>514</v>
      </c>
      <c r="D75" s="34" t="str">
        <f>VLOOKUP(C75,'PUR-PARTY MASTER'!$B$4:$E$2000,2,FALSE)</f>
        <v>27AAACU2414K1ZF</v>
      </c>
      <c r="E75" s="34" t="s">
        <v>22</v>
      </c>
      <c r="F75" s="136" t="s">
        <v>516</v>
      </c>
      <c r="G75" s="135">
        <v>43568</v>
      </c>
      <c r="H75" s="34">
        <v>9971</v>
      </c>
      <c r="I75" s="39">
        <f>VLOOKUP(H75,'PUR-HSN MASTER'!$A$4:$E$5000,5,FALSE)</f>
        <v>18</v>
      </c>
      <c r="J75" s="38">
        <v>0</v>
      </c>
      <c r="K75" s="40">
        <v>1525</v>
      </c>
      <c r="L75" s="41">
        <v>0</v>
      </c>
      <c r="M75" s="41">
        <v>137.25</v>
      </c>
      <c r="N75" s="41">
        <v>137.25</v>
      </c>
      <c r="O75" s="41">
        <v>0</v>
      </c>
      <c r="P75" s="42">
        <v>1799.5</v>
      </c>
      <c r="Q75" s="34" t="s">
        <v>410</v>
      </c>
      <c r="R75" s="34" t="s">
        <v>26</v>
      </c>
      <c r="S75" s="11" t="s">
        <v>4120</v>
      </c>
    </row>
    <row r="76" spans="1:19" x14ac:dyDescent="0.2">
      <c r="A76" s="33">
        <v>43556</v>
      </c>
      <c r="B76" s="34">
        <v>58</v>
      </c>
      <c r="C76" s="35" t="s">
        <v>471</v>
      </c>
      <c r="D76" s="34" t="str">
        <f>VLOOKUP(C76,'PUR-PARTY MASTER'!$B$4:$E$2000,2,FALSE)</f>
        <v>27AAECM8871A1ZF</v>
      </c>
      <c r="E76" s="34" t="s">
        <v>22</v>
      </c>
      <c r="F76" s="134">
        <v>192000413</v>
      </c>
      <c r="G76" s="135">
        <v>43568</v>
      </c>
      <c r="H76" s="34">
        <v>87089900</v>
      </c>
      <c r="I76" s="39">
        <f>VLOOKUP(H76,'PUR-HSN MASTER'!$A$4:$E$5000,5,FALSE)</f>
        <v>28</v>
      </c>
      <c r="J76" s="38">
        <v>12</v>
      </c>
      <c r="K76" s="40">
        <v>17483.52</v>
      </c>
      <c r="L76" s="41">
        <v>0</v>
      </c>
      <c r="M76" s="41">
        <v>2447.6928000000003</v>
      </c>
      <c r="N76" s="41">
        <v>2447.6928000000003</v>
      </c>
      <c r="O76" s="41">
        <v>0</v>
      </c>
      <c r="P76" s="42">
        <v>22378.895600000003</v>
      </c>
      <c r="Q76" s="34" t="s">
        <v>410</v>
      </c>
      <c r="R76" s="34" t="s">
        <v>26</v>
      </c>
      <c r="S76" s="11" t="s">
        <v>4120</v>
      </c>
    </row>
    <row r="77" spans="1:19" x14ac:dyDescent="0.2">
      <c r="A77" s="33">
        <v>43556</v>
      </c>
      <c r="B77" s="34">
        <v>59</v>
      </c>
      <c r="C77" s="35" t="s">
        <v>471</v>
      </c>
      <c r="D77" s="34" t="str">
        <f>VLOOKUP(C77,'PUR-PARTY MASTER'!$B$4:$E$2000,2,FALSE)</f>
        <v>27AAECM8871A1ZF</v>
      </c>
      <c r="E77" s="34" t="s">
        <v>22</v>
      </c>
      <c r="F77" s="134">
        <v>192000414</v>
      </c>
      <c r="G77" s="135">
        <v>43568</v>
      </c>
      <c r="H77" s="34">
        <v>87089900</v>
      </c>
      <c r="I77" s="39">
        <f>VLOOKUP(H77,'PUR-HSN MASTER'!$A$4:$E$5000,5,FALSE)</f>
        <v>28</v>
      </c>
      <c r="J77" s="38">
        <v>12</v>
      </c>
      <c r="K77" s="40">
        <v>17483.52</v>
      </c>
      <c r="L77" s="41">
        <v>0</v>
      </c>
      <c r="M77" s="41">
        <v>2447.6928000000003</v>
      </c>
      <c r="N77" s="41">
        <v>2447.6928000000003</v>
      </c>
      <c r="O77" s="41">
        <v>0</v>
      </c>
      <c r="P77" s="42">
        <v>22378.895600000003</v>
      </c>
      <c r="Q77" s="34" t="s">
        <v>410</v>
      </c>
      <c r="R77" s="34" t="s">
        <v>26</v>
      </c>
      <c r="S77" s="11" t="s">
        <v>4120</v>
      </c>
    </row>
    <row r="78" spans="1:19" x14ac:dyDescent="0.2">
      <c r="A78" s="33">
        <v>43556</v>
      </c>
      <c r="B78" s="34">
        <v>60</v>
      </c>
      <c r="C78" s="35" t="s">
        <v>493</v>
      </c>
      <c r="D78" s="34" t="str">
        <f>VLOOKUP(C78,'PUR-PARTY MASTER'!$B$4:$E$2000,2,FALSE)</f>
        <v>27AMMPB3648M1ZO</v>
      </c>
      <c r="E78" s="34" t="s">
        <v>22</v>
      </c>
      <c r="F78" s="134">
        <v>222</v>
      </c>
      <c r="G78" s="135">
        <v>43567</v>
      </c>
      <c r="H78" s="34">
        <v>85129000</v>
      </c>
      <c r="I78" s="39">
        <f>VLOOKUP(H78,'PUR-HSN MASTER'!$A$4:$E$5000,5,FALSE)</f>
        <v>18</v>
      </c>
      <c r="J78" s="38">
        <v>500</v>
      </c>
      <c r="K78" s="40">
        <v>11495</v>
      </c>
      <c r="L78" s="41">
        <v>0</v>
      </c>
      <c r="M78" s="41">
        <v>1034.55</v>
      </c>
      <c r="N78" s="41">
        <v>1034.55</v>
      </c>
      <c r="O78" s="41">
        <v>0</v>
      </c>
      <c r="P78" s="42">
        <v>13563.999999999998</v>
      </c>
      <c r="Q78" s="34" t="s">
        <v>410</v>
      </c>
      <c r="R78" s="34" t="s">
        <v>26</v>
      </c>
      <c r="S78" s="11" t="s">
        <v>4120</v>
      </c>
    </row>
    <row r="79" spans="1:19" x14ac:dyDescent="0.2">
      <c r="A79" s="33">
        <v>43556</v>
      </c>
      <c r="B79" s="34">
        <v>61</v>
      </c>
      <c r="C79" s="35" t="s">
        <v>517</v>
      </c>
      <c r="D79" s="34" t="str">
        <f>VLOOKUP(C79,'PUR-PARTY MASTER'!$B$4:$E$2000,2,FALSE)</f>
        <v>23AAACT6376M1ZZ</v>
      </c>
      <c r="E79" s="34" t="s">
        <v>22</v>
      </c>
      <c r="F79" s="134">
        <v>19600826</v>
      </c>
      <c r="G79" s="135">
        <v>43567</v>
      </c>
      <c r="H79" s="34">
        <v>87081090</v>
      </c>
      <c r="I79" s="39">
        <f>VLOOKUP(H79,'PUR-HSN MASTER'!$A$4:$E$5000,5,FALSE)</f>
        <v>28</v>
      </c>
      <c r="J79" s="38">
        <v>25</v>
      </c>
      <c r="K79" s="40">
        <v>7428.34</v>
      </c>
      <c r="L79" s="41">
        <v>2079.9351999999999</v>
      </c>
      <c r="M79" s="41">
        <v>0</v>
      </c>
      <c r="N79" s="41">
        <v>0</v>
      </c>
      <c r="O79" s="41">
        <v>0</v>
      </c>
      <c r="P79" s="42">
        <v>9508.2752</v>
      </c>
      <c r="Q79" s="34" t="s">
        <v>410</v>
      </c>
      <c r="R79" s="34" t="s">
        <v>106</v>
      </c>
      <c r="S79" s="11" t="s">
        <v>4120</v>
      </c>
    </row>
    <row r="80" spans="1:19" x14ac:dyDescent="0.2">
      <c r="A80" s="33">
        <v>43556</v>
      </c>
      <c r="B80" s="34">
        <v>62</v>
      </c>
      <c r="C80" s="35" t="s">
        <v>518</v>
      </c>
      <c r="D80" s="34" t="str">
        <f>VLOOKUP(C80,'PUR-PARTY MASTER'!$B$4:$E$2000,2,FALSE)</f>
        <v>27AAACB2894G1ZN</v>
      </c>
      <c r="E80" s="34" t="s">
        <v>22</v>
      </c>
      <c r="F80" s="136" t="s">
        <v>520</v>
      </c>
      <c r="G80" s="135">
        <v>43567</v>
      </c>
      <c r="H80" s="34">
        <v>9984</v>
      </c>
      <c r="I80" s="39">
        <f>VLOOKUP(H80,'PUR-HSN MASTER'!$A$4:$E$5000,5,FALSE)</f>
        <v>18</v>
      </c>
      <c r="J80" s="38">
        <v>0</v>
      </c>
      <c r="K80" s="40">
        <v>4806</v>
      </c>
      <c r="L80" s="41">
        <v>0</v>
      </c>
      <c r="M80" s="41">
        <v>432.54</v>
      </c>
      <c r="N80" s="41">
        <v>432.54</v>
      </c>
      <c r="O80" s="41">
        <v>0</v>
      </c>
      <c r="P80" s="42">
        <v>5671.08</v>
      </c>
      <c r="Q80" s="34" t="s">
        <v>410</v>
      </c>
      <c r="R80" s="34" t="s">
        <v>26</v>
      </c>
      <c r="S80" s="11" t="s">
        <v>4120</v>
      </c>
    </row>
    <row r="81" spans="1:19" x14ac:dyDescent="0.2">
      <c r="A81" s="33">
        <v>43556</v>
      </c>
      <c r="B81" s="34">
        <v>63</v>
      </c>
      <c r="C81" s="35" t="s">
        <v>521</v>
      </c>
      <c r="D81" s="34" t="str">
        <f>VLOOKUP(C81,'PUR-PARTY MASTER'!$B$4:$E$2000,2,FALSE)</f>
        <v>27APHPD1073Q1ZM</v>
      </c>
      <c r="E81" s="34" t="s">
        <v>22</v>
      </c>
      <c r="F81" s="136" t="s">
        <v>523</v>
      </c>
      <c r="G81" s="135">
        <v>43568</v>
      </c>
      <c r="H81" s="34">
        <v>84778090</v>
      </c>
      <c r="I81" s="39">
        <f>VLOOKUP(H81,'PUR-HSN MASTER'!$A$4:$E$5000,5,FALSE)</f>
        <v>18</v>
      </c>
      <c r="J81" s="38">
        <v>100</v>
      </c>
      <c r="K81" s="40">
        <v>56000</v>
      </c>
      <c r="L81" s="41">
        <v>0</v>
      </c>
      <c r="M81" s="41">
        <v>5040</v>
      </c>
      <c r="N81" s="41">
        <v>5040</v>
      </c>
      <c r="O81" s="41">
        <v>0</v>
      </c>
      <c r="P81" s="42">
        <v>66080</v>
      </c>
      <c r="Q81" s="34" t="s">
        <v>412</v>
      </c>
      <c r="R81" s="34" t="s">
        <v>26</v>
      </c>
      <c r="S81" s="11" t="s">
        <v>4120</v>
      </c>
    </row>
    <row r="82" spans="1:19" x14ac:dyDescent="0.2">
      <c r="A82" s="33">
        <v>43556</v>
      </c>
      <c r="B82" s="34">
        <v>64</v>
      </c>
      <c r="C82" s="35" t="s">
        <v>476</v>
      </c>
      <c r="D82" s="34" t="str">
        <f>VLOOKUP(C82,'PUR-PARTY MASTER'!$B$4:$E$2000,2,FALSE)</f>
        <v>27AABCO8467D1ZA</v>
      </c>
      <c r="E82" s="34" t="s">
        <v>22</v>
      </c>
      <c r="F82" s="136" t="s">
        <v>478</v>
      </c>
      <c r="G82" s="135">
        <v>43556</v>
      </c>
      <c r="H82" s="34" t="s">
        <v>524</v>
      </c>
      <c r="I82" s="39">
        <f>VLOOKUP(H82,'PUR-HSN MASTER'!$A$4:$E$5000,5,FALSE)</f>
        <v>18</v>
      </c>
      <c r="J82" s="38"/>
      <c r="K82" s="40">
        <v>40650</v>
      </c>
      <c r="L82" s="41">
        <v>0</v>
      </c>
      <c r="M82" s="41">
        <v>3658.5</v>
      </c>
      <c r="N82" s="41">
        <v>3658.5</v>
      </c>
      <c r="O82" s="41">
        <v>0</v>
      </c>
      <c r="P82" s="42">
        <v>47967</v>
      </c>
      <c r="Q82" s="34" t="s">
        <v>411</v>
      </c>
      <c r="R82" s="34" t="s">
        <v>26</v>
      </c>
      <c r="S82" s="11" t="s">
        <v>4120</v>
      </c>
    </row>
    <row r="83" spans="1:19" x14ac:dyDescent="0.2">
      <c r="A83" s="33">
        <v>43556</v>
      </c>
      <c r="B83" s="34">
        <v>65</v>
      </c>
      <c r="C83" s="35" t="s">
        <v>472</v>
      </c>
      <c r="D83" s="34" t="str">
        <f>VLOOKUP(C83,'PUR-PARTY MASTER'!$B$4:$E$2000,2,FALSE)</f>
        <v>27AABCM2508F1ZU</v>
      </c>
      <c r="E83" s="34" t="s">
        <v>22</v>
      </c>
      <c r="F83" s="134">
        <v>2041214291</v>
      </c>
      <c r="G83" s="135">
        <v>43570</v>
      </c>
      <c r="H83" s="34">
        <v>87141090</v>
      </c>
      <c r="I83" s="39">
        <f>VLOOKUP(H83,'PUR-HSN MASTER'!$A$4:$E$5000,5,FALSE)</f>
        <v>28</v>
      </c>
      <c r="J83" s="38">
        <v>160</v>
      </c>
      <c r="K83" s="40">
        <v>6713.6</v>
      </c>
      <c r="L83" s="41">
        <v>0</v>
      </c>
      <c r="M83" s="41">
        <v>939.90400000000011</v>
      </c>
      <c r="N83" s="41">
        <v>939.90400000000011</v>
      </c>
      <c r="O83" s="41">
        <v>0</v>
      </c>
      <c r="P83" s="42">
        <v>8593.398000000001</v>
      </c>
      <c r="Q83" s="34" t="s">
        <v>410</v>
      </c>
      <c r="R83" s="34" t="s">
        <v>26</v>
      </c>
      <c r="S83" s="11" t="s">
        <v>4120</v>
      </c>
    </row>
    <row r="84" spans="1:19" x14ac:dyDescent="0.2">
      <c r="A84" s="33">
        <v>43556</v>
      </c>
      <c r="B84" s="34">
        <v>66</v>
      </c>
      <c r="C84" s="35" t="s">
        <v>472</v>
      </c>
      <c r="D84" s="34" t="str">
        <f>VLOOKUP(C84,'PUR-PARTY MASTER'!$B$4:$E$2000,2,FALSE)</f>
        <v>27AABCM2508F1ZU</v>
      </c>
      <c r="E84" s="34" t="s">
        <v>22</v>
      </c>
      <c r="F84" s="134">
        <v>2041214292</v>
      </c>
      <c r="G84" s="135">
        <v>43570</v>
      </c>
      <c r="H84" s="34">
        <v>87141090</v>
      </c>
      <c r="I84" s="39">
        <f>VLOOKUP(H84,'PUR-HSN MASTER'!$A$4:$E$5000,5,FALSE)</f>
        <v>28</v>
      </c>
      <c r="J84" s="38">
        <v>160</v>
      </c>
      <c r="K84" s="40">
        <v>8184</v>
      </c>
      <c r="L84" s="41">
        <v>0</v>
      </c>
      <c r="M84" s="41">
        <v>1145.76</v>
      </c>
      <c r="N84" s="41">
        <v>1145.76</v>
      </c>
      <c r="O84" s="41">
        <v>0</v>
      </c>
      <c r="P84" s="42">
        <v>10475.52</v>
      </c>
      <c r="Q84" s="34" t="s">
        <v>410</v>
      </c>
      <c r="R84" s="34" t="s">
        <v>26</v>
      </c>
      <c r="S84" s="11" t="s">
        <v>4120</v>
      </c>
    </row>
    <row r="85" spans="1:19" x14ac:dyDescent="0.2">
      <c r="A85" s="33">
        <v>43556</v>
      </c>
      <c r="B85" s="34">
        <v>67</v>
      </c>
      <c r="C85" s="35" t="s">
        <v>471</v>
      </c>
      <c r="D85" s="34" t="str">
        <f>VLOOKUP(C85,'PUR-PARTY MASTER'!$B$4:$E$2000,2,FALSE)</f>
        <v>27AAECM8871A1ZF</v>
      </c>
      <c r="E85" s="34" t="s">
        <v>22</v>
      </c>
      <c r="F85" s="134">
        <v>192000432</v>
      </c>
      <c r="G85" s="135">
        <v>43570</v>
      </c>
      <c r="H85" s="34">
        <v>87089900</v>
      </c>
      <c r="I85" s="39">
        <f>VLOOKUP(H85,'PUR-HSN MASTER'!$A$4:$E$5000,5,FALSE)</f>
        <v>28</v>
      </c>
      <c r="J85" s="38">
        <v>12</v>
      </c>
      <c r="K85" s="40">
        <v>17483.52</v>
      </c>
      <c r="L85" s="41">
        <v>0</v>
      </c>
      <c r="M85" s="41">
        <v>2447.6928000000003</v>
      </c>
      <c r="N85" s="41">
        <v>2447.6928000000003</v>
      </c>
      <c r="O85" s="41">
        <v>0</v>
      </c>
      <c r="P85" s="42">
        <v>22378.895600000003</v>
      </c>
      <c r="Q85" s="34" t="s">
        <v>410</v>
      </c>
      <c r="R85" s="34" t="s">
        <v>26</v>
      </c>
      <c r="S85" s="11" t="s">
        <v>4120</v>
      </c>
    </row>
    <row r="86" spans="1:19" x14ac:dyDescent="0.2">
      <c r="A86" s="33">
        <v>43556</v>
      </c>
      <c r="B86" s="34">
        <v>68</v>
      </c>
      <c r="C86" s="35" t="s">
        <v>471</v>
      </c>
      <c r="D86" s="34" t="str">
        <f>VLOOKUP(C86,'PUR-PARTY MASTER'!$B$4:$E$2000,2,FALSE)</f>
        <v>27AAECM8871A1ZF</v>
      </c>
      <c r="E86" s="34" t="s">
        <v>22</v>
      </c>
      <c r="F86" s="134">
        <v>192000433</v>
      </c>
      <c r="G86" s="135">
        <v>43570</v>
      </c>
      <c r="H86" s="34">
        <v>87089900</v>
      </c>
      <c r="I86" s="39">
        <f>VLOOKUP(H86,'PUR-HSN MASTER'!$A$4:$E$5000,5,FALSE)</f>
        <v>28</v>
      </c>
      <c r="J86" s="38">
        <v>12</v>
      </c>
      <c r="K86" s="40">
        <v>17483.52</v>
      </c>
      <c r="L86" s="41">
        <v>0</v>
      </c>
      <c r="M86" s="41">
        <v>2447.6928000000003</v>
      </c>
      <c r="N86" s="41">
        <v>2447.6928000000003</v>
      </c>
      <c r="O86" s="41">
        <v>0</v>
      </c>
      <c r="P86" s="42">
        <v>22378.895600000003</v>
      </c>
      <c r="Q86" s="34" t="s">
        <v>410</v>
      </c>
      <c r="R86" s="34" t="s">
        <v>26</v>
      </c>
      <c r="S86" s="11" t="s">
        <v>4120</v>
      </c>
    </row>
    <row r="87" spans="1:19" x14ac:dyDescent="0.2">
      <c r="A87" s="33">
        <v>43556</v>
      </c>
      <c r="B87" s="34">
        <v>69</v>
      </c>
      <c r="C87" s="35" t="s">
        <v>473</v>
      </c>
      <c r="D87" s="34" t="str">
        <f>VLOOKUP(C87,'PUR-PARTY MASTER'!$B$4:$E$2000,2,FALSE)</f>
        <v>27AAACT1848E1ZH</v>
      </c>
      <c r="E87" s="34" t="s">
        <v>22</v>
      </c>
      <c r="F87" s="136" t="s">
        <v>525</v>
      </c>
      <c r="G87" s="135">
        <v>43570</v>
      </c>
      <c r="H87" s="34">
        <v>87082900</v>
      </c>
      <c r="I87" s="39">
        <f>VLOOKUP(H87,'PUR-HSN MASTER'!$A$4:$E$5000,5,FALSE)</f>
        <v>28</v>
      </c>
      <c r="J87" s="38">
        <v>36</v>
      </c>
      <c r="K87" s="40">
        <v>5770.8</v>
      </c>
      <c r="L87" s="41">
        <v>0</v>
      </c>
      <c r="M87" s="41">
        <v>807.91200000000003</v>
      </c>
      <c r="N87" s="41">
        <v>807.91200000000003</v>
      </c>
      <c r="O87" s="41">
        <v>0</v>
      </c>
      <c r="P87" s="42">
        <v>7386.6240000000007</v>
      </c>
      <c r="Q87" s="34" t="s">
        <v>410</v>
      </c>
      <c r="R87" s="34" t="s">
        <v>26</v>
      </c>
      <c r="S87" s="11" t="s">
        <v>4120</v>
      </c>
    </row>
    <row r="88" spans="1:19" x14ac:dyDescent="0.2">
      <c r="A88" s="33">
        <v>43556</v>
      </c>
      <c r="B88" s="34">
        <v>70</v>
      </c>
      <c r="C88" s="35" t="s">
        <v>499</v>
      </c>
      <c r="D88" s="34" t="str">
        <f>VLOOKUP(C88,'PUR-PARTY MASTER'!$B$4:$E$2000,2,FALSE)</f>
        <v>27AAHFP1154B1ZN</v>
      </c>
      <c r="E88" s="34" t="s">
        <v>22</v>
      </c>
      <c r="F88" s="136" t="s">
        <v>526</v>
      </c>
      <c r="G88" s="135">
        <v>43567</v>
      </c>
      <c r="H88" s="34">
        <v>61169200</v>
      </c>
      <c r="I88" s="39">
        <f>VLOOKUP(H88,'PUR-HSN MASTER'!$A$4:$E$5000,5,FALSE)</f>
        <v>5</v>
      </c>
      <c r="J88" s="38">
        <v>100</v>
      </c>
      <c r="K88" s="40">
        <v>1200</v>
      </c>
      <c r="L88" s="41">
        <v>0</v>
      </c>
      <c r="M88" s="41">
        <v>30</v>
      </c>
      <c r="N88" s="41">
        <v>30</v>
      </c>
      <c r="O88" s="41">
        <v>0</v>
      </c>
      <c r="P88" s="42">
        <v>1259.99</v>
      </c>
      <c r="Q88" s="34" t="s">
        <v>410</v>
      </c>
      <c r="R88" s="34" t="s">
        <v>26</v>
      </c>
      <c r="S88" s="11" t="s">
        <v>4120</v>
      </c>
    </row>
    <row r="89" spans="1:19" x14ac:dyDescent="0.2">
      <c r="A89" s="33">
        <v>43556</v>
      </c>
      <c r="B89" s="34"/>
      <c r="C89" s="35" t="s">
        <v>499</v>
      </c>
      <c r="D89" s="34" t="str">
        <f>VLOOKUP(C89,'PUR-PARTY MASTER'!$B$4:$E$2000,2,FALSE)</f>
        <v>27AAHFP1154B1ZN</v>
      </c>
      <c r="E89" s="34" t="s">
        <v>22</v>
      </c>
      <c r="F89" s="136" t="s">
        <v>526</v>
      </c>
      <c r="G89" s="135">
        <v>43567</v>
      </c>
      <c r="H89" s="34">
        <v>5407</v>
      </c>
      <c r="I89" s="39">
        <f>VLOOKUP(H89,'PUR-HSN MASTER'!$A$4:$E$5000,5,FALSE)</f>
        <v>5</v>
      </c>
      <c r="J89" s="38">
        <v>24</v>
      </c>
      <c r="K89" s="40">
        <v>6480</v>
      </c>
      <c r="L89" s="41">
        <v>0</v>
      </c>
      <c r="M89" s="41">
        <v>162</v>
      </c>
      <c r="N89" s="41">
        <v>162</v>
      </c>
      <c r="O89" s="41">
        <v>0</v>
      </c>
      <c r="P89" s="42">
        <v>6803.99</v>
      </c>
      <c r="Q89" s="34" t="s">
        <v>410</v>
      </c>
      <c r="R89" s="34" t="s">
        <v>26</v>
      </c>
      <c r="S89" s="11" t="s">
        <v>4120</v>
      </c>
    </row>
    <row r="90" spans="1:19" x14ac:dyDescent="0.2">
      <c r="A90" s="33">
        <v>43556</v>
      </c>
      <c r="B90" s="34"/>
      <c r="C90" s="35" t="s">
        <v>499</v>
      </c>
      <c r="D90" s="34" t="str">
        <f>VLOOKUP(C90,'PUR-PARTY MASTER'!$B$4:$E$2000,2,FALSE)</f>
        <v>27AAHFP1154B1ZN</v>
      </c>
      <c r="E90" s="34" t="s">
        <v>22</v>
      </c>
      <c r="F90" s="136" t="s">
        <v>526</v>
      </c>
      <c r="G90" s="135">
        <v>43567</v>
      </c>
      <c r="H90" s="34">
        <v>60060000</v>
      </c>
      <c r="I90" s="39">
        <f>VLOOKUP(H90,'PUR-HSN MASTER'!$A$4:$E$5000,5,FALSE)</f>
        <v>5</v>
      </c>
      <c r="J90" s="38">
        <v>50</v>
      </c>
      <c r="K90" s="40">
        <v>1650</v>
      </c>
      <c r="L90" s="41">
        <v>0</v>
      </c>
      <c r="M90" s="41">
        <v>41.25</v>
      </c>
      <c r="N90" s="41">
        <v>41.25</v>
      </c>
      <c r="O90" s="41">
        <v>0</v>
      </c>
      <c r="P90" s="42">
        <v>1732.49</v>
      </c>
      <c r="Q90" s="34" t="s">
        <v>410</v>
      </c>
      <c r="R90" s="34" t="s">
        <v>26</v>
      </c>
      <c r="S90" s="11" t="s">
        <v>4120</v>
      </c>
    </row>
    <row r="91" spans="1:19" x14ac:dyDescent="0.2">
      <c r="A91" s="33">
        <v>43556</v>
      </c>
      <c r="B91" s="34">
        <v>71</v>
      </c>
      <c r="C91" s="35" t="s">
        <v>527</v>
      </c>
      <c r="D91" s="34" t="str">
        <f>VLOOKUP(C91,'PUR-PARTY MASTER'!$B$4:$E$2000,2,FALSE)</f>
        <v>27AAACM2185R1ZX</v>
      </c>
      <c r="E91" s="34" t="s">
        <v>22</v>
      </c>
      <c r="F91" s="134">
        <v>9330003671</v>
      </c>
      <c r="G91" s="135">
        <v>43570</v>
      </c>
      <c r="H91" s="34">
        <v>32082090</v>
      </c>
      <c r="I91" s="39">
        <f>VLOOKUP(H91,'PUR-HSN MASTER'!$A$4:$E$5000,5,FALSE)</f>
        <v>18</v>
      </c>
      <c r="J91" s="38">
        <v>80</v>
      </c>
      <c r="K91" s="40">
        <v>28606</v>
      </c>
      <c r="L91" s="41">
        <v>0</v>
      </c>
      <c r="M91" s="41">
        <v>2574.54</v>
      </c>
      <c r="N91" s="41">
        <v>2574.54</v>
      </c>
      <c r="O91" s="41">
        <v>0</v>
      </c>
      <c r="P91" s="42">
        <v>33755</v>
      </c>
      <c r="Q91" s="34" t="s">
        <v>410</v>
      </c>
      <c r="R91" s="34" t="s">
        <v>26</v>
      </c>
      <c r="S91" s="11" t="s">
        <v>4120</v>
      </c>
    </row>
    <row r="92" spans="1:19" x14ac:dyDescent="0.2">
      <c r="A92" s="33">
        <v>43556</v>
      </c>
      <c r="B92" s="34">
        <v>72</v>
      </c>
      <c r="C92" s="35" t="s">
        <v>472</v>
      </c>
      <c r="D92" s="34" t="str">
        <f>VLOOKUP(C92,'PUR-PARTY MASTER'!$B$4:$E$2000,2,FALSE)</f>
        <v>27AABCM2508F1ZU</v>
      </c>
      <c r="E92" s="34" t="s">
        <v>22</v>
      </c>
      <c r="F92" s="134">
        <v>2041214540</v>
      </c>
      <c r="G92" s="135">
        <v>43571</v>
      </c>
      <c r="H92" s="34">
        <v>87141090</v>
      </c>
      <c r="I92" s="39">
        <f>VLOOKUP(H92,'PUR-HSN MASTER'!$A$4:$E$5000,5,FALSE)</f>
        <v>28</v>
      </c>
      <c r="J92" s="38">
        <v>160</v>
      </c>
      <c r="K92" s="40">
        <v>8184</v>
      </c>
      <c r="L92" s="41">
        <v>0</v>
      </c>
      <c r="M92" s="41">
        <v>1145.76</v>
      </c>
      <c r="N92" s="41">
        <v>1145.76</v>
      </c>
      <c r="O92" s="41">
        <v>0</v>
      </c>
      <c r="P92" s="42">
        <v>10475.52</v>
      </c>
      <c r="Q92" s="34" t="s">
        <v>410</v>
      </c>
      <c r="R92" s="34" t="s">
        <v>26</v>
      </c>
      <c r="S92" s="11" t="s">
        <v>4120</v>
      </c>
    </row>
    <row r="93" spans="1:19" x14ac:dyDescent="0.2">
      <c r="A93" s="33">
        <v>43556</v>
      </c>
      <c r="B93" s="34">
        <v>73</v>
      </c>
      <c r="C93" s="35" t="s">
        <v>472</v>
      </c>
      <c r="D93" s="34" t="str">
        <f>VLOOKUP(C93,'PUR-PARTY MASTER'!$B$4:$E$2000,2,FALSE)</f>
        <v>27AABCM2508F1ZU</v>
      </c>
      <c r="E93" s="34" t="s">
        <v>22</v>
      </c>
      <c r="F93" s="134">
        <v>2041214541</v>
      </c>
      <c r="G93" s="135">
        <v>43571</v>
      </c>
      <c r="H93" s="34">
        <v>87141090</v>
      </c>
      <c r="I93" s="39">
        <f>VLOOKUP(H93,'PUR-HSN MASTER'!$A$4:$E$5000,5,FALSE)</f>
        <v>28</v>
      </c>
      <c r="J93" s="38">
        <v>160</v>
      </c>
      <c r="K93" s="40">
        <v>6713.6</v>
      </c>
      <c r="L93" s="41">
        <v>0</v>
      </c>
      <c r="M93" s="41">
        <v>939.90400000000011</v>
      </c>
      <c r="N93" s="41">
        <v>939.90400000000011</v>
      </c>
      <c r="O93" s="41">
        <v>0</v>
      </c>
      <c r="P93" s="42">
        <v>8593.398000000001</v>
      </c>
      <c r="Q93" s="34" t="s">
        <v>410</v>
      </c>
      <c r="R93" s="34" t="s">
        <v>26</v>
      </c>
      <c r="S93" s="11" t="s">
        <v>4120</v>
      </c>
    </row>
    <row r="94" spans="1:19" x14ac:dyDescent="0.2">
      <c r="A94" s="33">
        <v>43556</v>
      </c>
      <c r="B94" s="34">
        <v>74</v>
      </c>
      <c r="C94" s="35" t="s">
        <v>471</v>
      </c>
      <c r="D94" s="34" t="str">
        <f>VLOOKUP(C94,'PUR-PARTY MASTER'!$B$4:$E$2000,2,FALSE)</f>
        <v>27AAECM8871A1ZF</v>
      </c>
      <c r="E94" s="34" t="s">
        <v>22</v>
      </c>
      <c r="F94" s="134">
        <v>192000468</v>
      </c>
      <c r="G94" s="135">
        <v>43571</v>
      </c>
      <c r="H94" s="34">
        <v>87089900</v>
      </c>
      <c r="I94" s="39">
        <f>VLOOKUP(H94,'PUR-HSN MASTER'!$A$4:$E$5000,5,FALSE)</f>
        <v>28</v>
      </c>
      <c r="J94" s="38">
        <v>12</v>
      </c>
      <c r="K94" s="40">
        <v>17483.52</v>
      </c>
      <c r="L94" s="41">
        <v>0</v>
      </c>
      <c r="M94" s="41">
        <v>2447.6928000000003</v>
      </c>
      <c r="N94" s="41">
        <v>2447.6928000000003</v>
      </c>
      <c r="O94" s="41">
        <v>0</v>
      </c>
      <c r="P94" s="42">
        <v>22378.895600000003</v>
      </c>
      <c r="Q94" s="34" t="s">
        <v>410</v>
      </c>
      <c r="R94" s="34" t="s">
        <v>26</v>
      </c>
      <c r="S94" s="11" t="s">
        <v>4120</v>
      </c>
    </row>
    <row r="95" spans="1:19" x14ac:dyDescent="0.2">
      <c r="A95" s="33">
        <v>43556</v>
      </c>
      <c r="B95" s="34">
        <v>75</v>
      </c>
      <c r="C95" s="35" t="s">
        <v>471</v>
      </c>
      <c r="D95" s="34" t="str">
        <f>VLOOKUP(C95,'PUR-PARTY MASTER'!$B$4:$E$2000,2,FALSE)</f>
        <v>27AAECM8871A1ZF</v>
      </c>
      <c r="E95" s="34" t="s">
        <v>22</v>
      </c>
      <c r="F95" s="134">
        <v>192000469</v>
      </c>
      <c r="G95" s="135">
        <v>43571</v>
      </c>
      <c r="H95" s="34">
        <v>87089900</v>
      </c>
      <c r="I95" s="39">
        <f>VLOOKUP(H95,'PUR-HSN MASTER'!$A$4:$E$5000,5,FALSE)</f>
        <v>28</v>
      </c>
      <c r="J95" s="38">
        <v>12</v>
      </c>
      <c r="K95" s="40">
        <v>17483.52</v>
      </c>
      <c r="L95" s="41">
        <v>0</v>
      </c>
      <c r="M95" s="41">
        <v>2447.6928000000003</v>
      </c>
      <c r="N95" s="41">
        <v>2447.6928000000003</v>
      </c>
      <c r="O95" s="41">
        <v>0</v>
      </c>
      <c r="P95" s="42">
        <v>22378.895600000003</v>
      </c>
      <c r="Q95" s="34" t="s">
        <v>410</v>
      </c>
      <c r="R95" s="34" t="s">
        <v>26</v>
      </c>
      <c r="S95" s="11" t="s">
        <v>4120</v>
      </c>
    </row>
    <row r="96" spans="1:19" x14ac:dyDescent="0.2">
      <c r="A96" s="33">
        <v>43556</v>
      </c>
      <c r="B96" s="34">
        <v>76</v>
      </c>
      <c r="C96" s="35" t="s">
        <v>471</v>
      </c>
      <c r="D96" s="34" t="str">
        <f>VLOOKUP(C96,'PUR-PARTY MASTER'!$B$4:$E$2000,2,FALSE)</f>
        <v>27AAECM8871A1ZF</v>
      </c>
      <c r="E96" s="34" t="s">
        <v>22</v>
      </c>
      <c r="F96" s="134">
        <v>192000478</v>
      </c>
      <c r="G96" s="135">
        <v>43571</v>
      </c>
      <c r="H96" s="34">
        <v>87089900</v>
      </c>
      <c r="I96" s="39">
        <f>VLOOKUP(H96,'PUR-HSN MASTER'!$A$4:$E$5000,5,FALSE)</f>
        <v>28</v>
      </c>
      <c r="J96" s="38">
        <v>10</v>
      </c>
      <c r="K96" s="40">
        <v>14569.6</v>
      </c>
      <c r="L96" s="41">
        <v>0</v>
      </c>
      <c r="M96" s="41">
        <v>2039.7439999999999</v>
      </c>
      <c r="N96" s="41">
        <v>2039.7439999999999</v>
      </c>
      <c r="O96" s="41">
        <v>0</v>
      </c>
      <c r="P96" s="42">
        <v>18649.078000000001</v>
      </c>
      <c r="Q96" s="34" t="s">
        <v>410</v>
      </c>
      <c r="R96" s="34" t="s">
        <v>26</v>
      </c>
      <c r="S96" s="11" t="s">
        <v>4120</v>
      </c>
    </row>
    <row r="97" spans="1:19" x14ac:dyDescent="0.2">
      <c r="A97" s="33">
        <v>43556</v>
      </c>
      <c r="B97" s="34">
        <v>77</v>
      </c>
      <c r="C97" s="35" t="s">
        <v>529</v>
      </c>
      <c r="D97" s="34" t="str">
        <f>VLOOKUP(C97,'PUR-PARTY MASTER'!$B$4:$E$2000,2,FALSE)</f>
        <v>27AAACB4599E1ZL</v>
      </c>
      <c r="E97" s="34" t="s">
        <v>22</v>
      </c>
      <c r="F97" s="136" t="s">
        <v>531</v>
      </c>
      <c r="G97" s="135">
        <v>43572</v>
      </c>
      <c r="H97" s="34">
        <v>32089090</v>
      </c>
      <c r="I97" s="39">
        <f>VLOOKUP(H97,'PUR-HSN MASTER'!$A$4:$E$5000,5,FALSE)</f>
        <v>18</v>
      </c>
      <c r="J97" s="38">
        <v>60</v>
      </c>
      <c r="K97" s="40">
        <v>14500.8</v>
      </c>
      <c r="L97" s="41">
        <v>0</v>
      </c>
      <c r="M97" s="41">
        <v>1305.0719999999999</v>
      </c>
      <c r="N97" s="41">
        <v>1305.0719999999999</v>
      </c>
      <c r="O97" s="41">
        <v>0</v>
      </c>
      <c r="P97" s="42">
        <v>17111.004000000001</v>
      </c>
      <c r="Q97" s="34" t="s">
        <v>410</v>
      </c>
      <c r="R97" s="34" t="s">
        <v>26</v>
      </c>
      <c r="S97" s="11" t="s">
        <v>4120</v>
      </c>
    </row>
    <row r="98" spans="1:19" x14ac:dyDescent="0.2">
      <c r="A98" s="33">
        <v>43556</v>
      </c>
      <c r="B98" s="34">
        <v>78</v>
      </c>
      <c r="C98" s="35" t="s">
        <v>529</v>
      </c>
      <c r="D98" s="34" t="str">
        <f>VLOOKUP(C98,'PUR-PARTY MASTER'!$B$4:$E$2000,2,FALSE)</f>
        <v>27AAACB4599E1ZL</v>
      </c>
      <c r="E98" s="34" t="s">
        <v>22</v>
      </c>
      <c r="F98" s="136" t="s">
        <v>532</v>
      </c>
      <c r="G98" s="135">
        <v>43572</v>
      </c>
      <c r="H98" s="34">
        <v>38140010</v>
      </c>
      <c r="I98" s="39">
        <f>VLOOKUP(H98,'PUR-HSN MASTER'!$A$4:$E$5000,5,FALSE)</f>
        <v>18</v>
      </c>
      <c r="J98" s="38">
        <v>100</v>
      </c>
      <c r="K98" s="40">
        <v>10100</v>
      </c>
      <c r="L98" s="41">
        <v>0</v>
      </c>
      <c r="M98" s="41">
        <v>909</v>
      </c>
      <c r="N98" s="41">
        <v>909</v>
      </c>
      <c r="O98" s="41">
        <v>0</v>
      </c>
      <c r="P98" s="42">
        <v>11918</v>
      </c>
      <c r="Q98" s="34" t="s">
        <v>410</v>
      </c>
      <c r="R98" s="34" t="s">
        <v>26</v>
      </c>
      <c r="S98" s="11" t="s">
        <v>4120</v>
      </c>
    </row>
    <row r="99" spans="1:19" x14ac:dyDescent="0.2">
      <c r="A99" s="33">
        <v>43556</v>
      </c>
      <c r="B99" s="34">
        <v>79</v>
      </c>
      <c r="C99" s="35" t="s">
        <v>472</v>
      </c>
      <c r="D99" s="34" t="str">
        <f>VLOOKUP(C99,'PUR-PARTY MASTER'!$B$4:$E$2000,2,FALSE)</f>
        <v>27AABCM2508F1ZU</v>
      </c>
      <c r="E99" s="34" t="s">
        <v>22</v>
      </c>
      <c r="F99" s="134">
        <v>2041214699</v>
      </c>
      <c r="G99" s="135">
        <v>43571</v>
      </c>
      <c r="H99" s="34">
        <v>87141090</v>
      </c>
      <c r="I99" s="39">
        <f>VLOOKUP(H99,'PUR-HSN MASTER'!$A$4:$E$5000,5,FALSE)</f>
        <v>28</v>
      </c>
      <c r="J99" s="38">
        <v>100</v>
      </c>
      <c r="K99" s="40">
        <v>5115</v>
      </c>
      <c r="L99" s="41">
        <v>0</v>
      </c>
      <c r="M99" s="41">
        <v>716.1</v>
      </c>
      <c r="N99" s="41">
        <v>716.1</v>
      </c>
      <c r="O99" s="41">
        <v>0</v>
      </c>
      <c r="P99" s="42">
        <v>6547.2000000000007</v>
      </c>
      <c r="Q99" s="34" t="s">
        <v>410</v>
      </c>
      <c r="R99" s="34" t="s">
        <v>26</v>
      </c>
      <c r="S99" s="11" t="s">
        <v>4120</v>
      </c>
    </row>
    <row r="100" spans="1:19" x14ac:dyDescent="0.2">
      <c r="A100" s="33">
        <v>43556</v>
      </c>
      <c r="B100" s="34">
        <v>80</v>
      </c>
      <c r="C100" s="35" t="s">
        <v>472</v>
      </c>
      <c r="D100" s="34" t="str">
        <f>VLOOKUP(C100,'PUR-PARTY MASTER'!$B$4:$E$2000,2,FALSE)</f>
        <v>27AABCM2508F1ZU</v>
      </c>
      <c r="E100" s="34" t="s">
        <v>22</v>
      </c>
      <c r="F100" s="134">
        <v>2041214700</v>
      </c>
      <c r="G100" s="135">
        <v>43571</v>
      </c>
      <c r="H100" s="34">
        <v>87141090</v>
      </c>
      <c r="I100" s="39">
        <f>VLOOKUP(H100,'PUR-HSN MASTER'!$A$4:$E$5000,5,FALSE)</f>
        <v>28</v>
      </c>
      <c r="J100" s="38">
        <v>100</v>
      </c>
      <c r="K100" s="40">
        <v>4196</v>
      </c>
      <c r="L100" s="41">
        <v>0</v>
      </c>
      <c r="M100" s="41">
        <v>587.44000000000005</v>
      </c>
      <c r="N100" s="41">
        <v>587.44000000000005</v>
      </c>
      <c r="O100" s="41">
        <v>0</v>
      </c>
      <c r="P100" s="42">
        <v>5370.880000000001</v>
      </c>
      <c r="Q100" s="34" t="s">
        <v>410</v>
      </c>
      <c r="R100" s="34" t="s">
        <v>26</v>
      </c>
      <c r="S100" s="11" t="s">
        <v>4120</v>
      </c>
    </row>
    <row r="101" spans="1:19" x14ac:dyDescent="0.2">
      <c r="A101" s="33">
        <v>43556</v>
      </c>
      <c r="B101" s="34">
        <v>81</v>
      </c>
      <c r="C101" s="35" t="s">
        <v>472</v>
      </c>
      <c r="D101" s="34" t="str">
        <f>VLOOKUP(C101,'PUR-PARTY MASTER'!$B$4:$E$2000,2,FALSE)</f>
        <v>27AABCM2508F1ZU</v>
      </c>
      <c r="E101" s="34" t="s">
        <v>22</v>
      </c>
      <c r="F101" s="134">
        <v>2041214653</v>
      </c>
      <c r="G101" s="135">
        <v>43571</v>
      </c>
      <c r="H101" s="34">
        <v>87141090</v>
      </c>
      <c r="I101" s="39">
        <f>VLOOKUP(H101,'PUR-HSN MASTER'!$A$4:$E$5000,5,FALSE)</f>
        <v>28</v>
      </c>
      <c r="J101" s="38">
        <v>100</v>
      </c>
      <c r="K101" s="40">
        <v>3708</v>
      </c>
      <c r="L101" s="41">
        <v>0</v>
      </c>
      <c r="M101" s="41">
        <v>519.12</v>
      </c>
      <c r="N101" s="41">
        <v>519.12</v>
      </c>
      <c r="O101" s="41">
        <v>0</v>
      </c>
      <c r="P101" s="42">
        <v>4746.24</v>
      </c>
      <c r="Q101" s="34" t="s">
        <v>410</v>
      </c>
      <c r="R101" s="34" t="s">
        <v>26</v>
      </c>
      <c r="S101" s="11" t="s">
        <v>4120</v>
      </c>
    </row>
    <row r="102" spans="1:19" x14ac:dyDescent="0.2">
      <c r="A102" s="33">
        <v>43556</v>
      </c>
      <c r="B102" s="34">
        <v>82</v>
      </c>
      <c r="C102" s="35" t="s">
        <v>472</v>
      </c>
      <c r="D102" s="34" t="str">
        <f>VLOOKUP(C102,'PUR-PARTY MASTER'!$B$4:$E$2000,2,FALSE)</f>
        <v>27AABCM2508F1ZU</v>
      </c>
      <c r="E102" s="34" t="s">
        <v>22</v>
      </c>
      <c r="F102" s="134">
        <v>2041214654</v>
      </c>
      <c r="G102" s="135">
        <v>43571</v>
      </c>
      <c r="H102" s="34">
        <v>87141090</v>
      </c>
      <c r="I102" s="39">
        <f>VLOOKUP(H102,'PUR-HSN MASTER'!$A$4:$E$5000,5,FALSE)</f>
        <v>28</v>
      </c>
      <c r="J102" s="38">
        <v>100</v>
      </c>
      <c r="K102" s="40">
        <v>3708</v>
      </c>
      <c r="L102" s="41">
        <v>0</v>
      </c>
      <c r="M102" s="41">
        <v>519.12</v>
      </c>
      <c r="N102" s="41">
        <v>519.12</v>
      </c>
      <c r="O102" s="41">
        <v>0</v>
      </c>
      <c r="P102" s="42">
        <v>4746.24</v>
      </c>
      <c r="Q102" s="34" t="s">
        <v>410</v>
      </c>
      <c r="R102" s="34" t="s">
        <v>26</v>
      </c>
      <c r="S102" s="11" t="s">
        <v>4120</v>
      </c>
    </row>
    <row r="103" spans="1:19" x14ac:dyDescent="0.2">
      <c r="A103" s="33">
        <v>43556</v>
      </c>
      <c r="B103" s="34">
        <v>83</v>
      </c>
      <c r="C103" s="35" t="s">
        <v>472</v>
      </c>
      <c r="D103" s="34" t="str">
        <f>VLOOKUP(C103,'PUR-PARTY MASTER'!$B$4:$E$2000,2,FALSE)</f>
        <v>27AABCM2508F1ZU</v>
      </c>
      <c r="E103" s="34" t="s">
        <v>22</v>
      </c>
      <c r="F103" s="134">
        <v>2041214697</v>
      </c>
      <c r="G103" s="135">
        <v>43571</v>
      </c>
      <c r="H103" s="34">
        <v>87141090</v>
      </c>
      <c r="I103" s="39">
        <f>VLOOKUP(H103,'PUR-HSN MASTER'!$A$4:$E$5000,5,FALSE)</f>
        <v>28</v>
      </c>
      <c r="J103" s="38">
        <v>100</v>
      </c>
      <c r="K103" s="40">
        <v>3708</v>
      </c>
      <c r="L103" s="41">
        <v>0</v>
      </c>
      <c r="M103" s="41">
        <v>519.12</v>
      </c>
      <c r="N103" s="41">
        <v>519.12</v>
      </c>
      <c r="O103" s="41">
        <v>0</v>
      </c>
      <c r="P103" s="42">
        <v>4746.24</v>
      </c>
      <c r="Q103" s="34" t="s">
        <v>410</v>
      </c>
      <c r="R103" s="34" t="s">
        <v>26</v>
      </c>
      <c r="S103" s="11" t="s">
        <v>4120</v>
      </c>
    </row>
    <row r="104" spans="1:19" x14ac:dyDescent="0.2">
      <c r="A104" s="33">
        <v>43556</v>
      </c>
      <c r="B104" s="34">
        <v>84</v>
      </c>
      <c r="C104" s="35" t="s">
        <v>472</v>
      </c>
      <c r="D104" s="34" t="str">
        <f>VLOOKUP(C104,'PUR-PARTY MASTER'!$B$4:$E$2000,2,FALSE)</f>
        <v>27AABCM2508F1ZU</v>
      </c>
      <c r="E104" s="34" t="s">
        <v>22</v>
      </c>
      <c r="F104" s="134">
        <v>2041214698</v>
      </c>
      <c r="G104" s="135">
        <v>43571</v>
      </c>
      <c r="H104" s="34">
        <v>87141090</v>
      </c>
      <c r="I104" s="39">
        <f>VLOOKUP(H104,'PUR-HSN MASTER'!$A$4:$E$5000,5,FALSE)</f>
        <v>28</v>
      </c>
      <c r="J104" s="38">
        <v>100</v>
      </c>
      <c r="K104" s="40">
        <v>3708</v>
      </c>
      <c r="L104" s="41">
        <v>0</v>
      </c>
      <c r="M104" s="41">
        <v>519.12</v>
      </c>
      <c r="N104" s="41">
        <v>519.12</v>
      </c>
      <c r="O104" s="41">
        <v>0</v>
      </c>
      <c r="P104" s="42">
        <v>4746.24</v>
      </c>
      <c r="Q104" s="34" t="s">
        <v>410</v>
      </c>
      <c r="R104" s="34" t="s">
        <v>26</v>
      </c>
      <c r="S104" s="11" t="s">
        <v>4120</v>
      </c>
    </row>
    <row r="105" spans="1:19" x14ac:dyDescent="0.2">
      <c r="A105" s="33">
        <v>43556</v>
      </c>
      <c r="B105" s="34">
        <v>85</v>
      </c>
      <c r="C105" s="35" t="s">
        <v>533</v>
      </c>
      <c r="D105" s="34" t="str">
        <f>VLOOKUP(C105,'PUR-PARTY MASTER'!$B$4:$E$2000,2,FALSE)</f>
        <v>27AJAPG7696K1ZP</v>
      </c>
      <c r="E105" s="34" t="s">
        <v>22</v>
      </c>
      <c r="F105" s="136" t="s">
        <v>535</v>
      </c>
      <c r="G105" s="135">
        <v>43556</v>
      </c>
      <c r="H105" s="34">
        <v>48211090</v>
      </c>
      <c r="I105" s="39">
        <f>VLOOKUP(H105,'PUR-HSN MASTER'!$A$4:$E$5000,5,FALSE)</f>
        <v>18</v>
      </c>
      <c r="J105" s="38">
        <v>10</v>
      </c>
      <c r="K105" s="40">
        <v>1400</v>
      </c>
      <c r="L105" s="41">
        <v>0</v>
      </c>
      <c r="M105" s="41">
        <v>126</v>
      </c>
      <c r="N105" s="41">
        <v>126</v>
      </c>
      <c r="O105" s="41">
        <v>0</v>
      </c>
      <c r="P105" s="42">
        <v>1652</v>
      </c>
      <c r="Q105" s="34" t="s">
        <v>410</v>
      </c>
      <c r="R105" s="34" t="s">
        <v>26</v>
      </c>
      <c r="S105" s="11" t="s">
        <v>4120</v>
      </c>
    </row>
    <row r="106" spans="1:19" x14ac:dyDescent="0.2">
      <c r="A106" s="33">
        <v>43556</v>
      </c>
      <c r="B106" s="34">
        <v>86</v>
      </c>
      <c r="C106" s="35" t="s">
        <v>489</v>
      </c>
      <c r="D106" s="34" t="str">
        <f>VLOOKUP(C106,'PUR-PARTY MASTER'!$B$4:$E$2000,2,FALSE)</f>
        <v>27AAECD2713N1ZK</v>
      </c>
      <c r="E106" s="34" t="s">
        <v>22</v>
      </c>
      <c r="F106" s="134">
        <v>7887981646</v>
      </c>
      <c r="G106" s="135">
        <v>43573</v>
      </c>
      <c r="H106" s="34">
        <v>32082090</v>
      </c>
      <c r="I106" s="39">
        <f>VLOOKUP(H106,'PUR-HSN MASTER'!$A$4:$E$5000,5,FALSE)</f>
        <v>18</v>
      </c>
      <c r="J106" s="38">
        <v>4</v>
      </c>
      <c r="K106" s="40">
        <v>1880</v>
      </c>
      <c r="L106" s="41">
        <v>0</v>
      </c>
      <c r="M106" s="41">
        <v>169.20000000000002</v>
      </c>
      <c r="N106" s="41">
        <v>169.20000000000002</v>
      </c>
      <c r="O106" s="41">
        <v>0</v>
      </c>
      <c r="P106" s="42">
        <v>2218.4999999999995</v>
      </c>
      <c r="Q106" s="34" t="s">
        <v>410</v>
      </c>
      <c r="R106" s="34" t="s">
        <v>26</v>
      </c>
      <c r="S106" s="11" t="s">
        <v>4120</v>
      </c>
    </row>
    <row r="107" spans="1:19" x14ac:dyDescent="0.2">
      <c r="A107" s="33">
        <v>43556</v>
      </c>
      <c r="B107" s="34"/>
      <c r="C107" s="35" t="s">
        <v>489</v>
      </c>
      <c r="D107" s="34" t="str">
        <f>VLOOKUP(C107,'PUR-PARTY MASTER'!$B$4:$E$2000,2,FALSE)</f>
        <v>27AAECD2713N1ZK</v>
      </c>
      <c r="E107" s="34" t="s">
        <v>22</v>
      </c>
      <c r="F107" s="134">
        <v>7887981646</v>
      </c>
      <c r="G107" s="135">
        <v>43573</v>
      </c>
      <c r="H107" s="34">
        <v>39119090</v>
      </c>
      <c r="I107" s="39">
        <f>VLOOKUP(H107,'PUR-HSN MASTER'!$A$4:$E$5000,5,FALSE)</f>
        <v>18</v>
      </c>
      <c r="J107" s="38">
        <v>1</v>
      </c>
      <c r="K107" s="40">
        <v>595</v>
      </c>
      <c r="L107" s="41">
        <v>0</v>
      </c>
      <c r="M107" s="41">
        <v>53.550000000000004</v>
      </c>
      <c r="N107" s="41">
        <v>53.550000000000004</v>
      </c>
      <c r="O107" s="41">
        <v>0</v>
      </c>
      <c r="P107" s="42">
        <v>702.49999999999989</v>
      </c>
      <c r="Q107" s="34" t="s">
        <v>410</v>
      </c>
      <c r="R107" s="34" t="s">
        <v>26</v>
      </c>
      <c r="S107" s="11" t="s">
        <v>4120</v>
      </c>
    </row>
    <row r="108" spans="1:19" x14ac:dyDescent="0.2">
      <c r="A108" s="33">
        <v>43556</v>
      </c>
      <c r="B108" s="34">
        <v>87</v>
      </c>
      <c r="C108" s="35" t="s">
        <v>489</v>
      </c>
      <c r="D108" s="34" t="str">
        <f>VLOOKUP(C108,'PUR-PARTY MASTER'!$B$4:$E$2000,2,FALSE)</f>
        <v>27AAECD2713N1ZK</v>
      </c>
      <c r="E108" s="34" t="s">
        <v>22</v>
      </c>
      <c r="F108" s="134">
        <v>7887981645</v>
      </c>
      <c r="G108" s="135">
        <v>43573</v>
      </c>
      <c r="H108" s="34">
        <v>32081090</v>
      </c>
      <c r="I108" s="39">
        <f>VLOOKUP(H108,'PUR-HSN MASTER'!$A$4:$E$5000,5,FALSE)</f>
        <v>18</v>
      </c>
      <c r="J108" s="38">
        <v>20</v>
      </c>
      <c r="K108" s="40">
        <v>10200</v>
      </c>
      <c r="L108" s="41">
        <v>0</v>
      </c>
      <c r="M108" s="41">
        <v>918</v>
      </c>
      <c r="N108" s="41">
        <v>918</v>
      </c>
      <c r="O108" s="41">
        <v>0</v>
      </c>
      <c r="P108" s="42">
        <v>12036</v>
      </c>
      <c r="Q108" s="34" t="s">
        <v>410</v>
      </c>
      <c r="R108" s="34" t="s">
        <v>26</v>
      </c>
      <c r="S108" s="11" t="s">
        <v>4120</v>
      </c>
    </row>
    <row r="109" spans="1:19" x14ac:dyDescent="0.2">
      <c r="A109" s="33">
        <v>43556</v>
      </c>
      <c r="B109" s="34">
        <v>88</v>
      </c>
      <c r="C109" s="35" t="s">
        <v>482</v>
      </c>
      <c r="D109" s="34" t="str">
        <f>VLOOKUP(C109,'PUR-PARTY MASTER'!$B$4:$E$2000,2,FALSE)</f>
        <v>27AAHCA1363L1ZK</v>
      </c>
      <c r="E109" s="34" t="s">
        <v>22</v>
      </c>
      <c r="F109" s="136" t="s">
        <v>536</v>
      </c>
      <c r="G109" s="135">
        <v>43573</v>
      </c>
      <c r="H109" s="34">
        <v>87141900</v>
      </c>
      <c r="I109" s="39">
        <f>VLOOKUP(H109,'PUR-HSN MASTER'!$A$4:$E$5000,5,FALSE)</f>
        <v>28</v>
      </c>
      <c r="J109" s="38">
        <v>400</v>
      </c>
      <c r="K109" s="40">
        <v>21032</v>
      </c>
      <c r="L109" s="41">
        <v>0</v>
      </c>
      <c r="M109" s="41">
        <v>2944.48</v>
      </c>
      <c r="N109" s="41">
        <v>2944.48</v>
      </c>
      <c r="O109" s="41">
        <v>0</v>
      </c>
      <c r="P109" s="42">
        <v>26920.959999999999</v>
      </c>
      <c r="Q109" s="34" t="s">
        <v>410</v>
      </c>
      <c r="R109" s="34" t="s">
        <v>26</v>
      </c>
      <c r="S109" s="11" t="s">
        <v>4120</v>
      </c>
    </row>
    <row r="110" spans="1:19" x14ac:dyDescent="0.2">
      <c r="A110" s="33">
        <v>43556</v>
      </c>
      <c r="B110" s="34">
        <v>89</v>
      </c>
      <c r="C110" s="35" t="s">
        <v>482</v>
      </c>
      <c r="D110" s="34" t="str">
        <f>VLOOKUP(C110,'PUR-PARTY MASTER'!$B$4:$E$2000,2,FALSE)</f>
        <v>27AAHCA1363L1ZK</v>
      </c>
      <c r="E110" s="34" t="s">
        <v>22</v>
      </c>
      <c r="F110" s="136" t="s">
        <v>537</v>
      </c>
      <c r="G110" s="135">
        <v>43573</v>
      </c>
      <c r="H110" s="34">
        <v>87141900</v>
      </c>
      <c r="I110" s="39">
        <f>VLOOKUP(H110,'PUR-HSN MASTER'!$A$4:$E$5000,5,FALSE)</f>
        <v>28</v>
      </c>
      <c r="J110" s="38">
        <v>1560</v>
      </c>
      <c r="K110" s="40">
        <v>29686.799999999999</v>
      </c>
      <c r="L110" s="41">
        <v>0</v>
      </c>
      <c r="M110" s="41">
        <v>4156.152</v>
      </c>
      <c r="N110" s="41">
        <v>4156.152</v>
      </c>
      <c r="O110" s="41">
        <v>0</v>
      </c>
      <c r="P110" s="42">
        <v>37999.103999999999</v>
      </c>
      <c r="Q110" s="34" t="s">
        <v>410</v>
      </c>
      <c r="R110" s="34" t="s">
        <v>26</v>
      </c>
      <c r="S110" s="11" t="s">
        <v>4120</v>
      </c>
    </row>
    <row r="111" spans="1:19" x14ac:dyDescent="0.2">
      <c r="A111" s="33">
        <v>43556</v>
      </c>
      <c r="B111" s="34">
        <v>90</v>
      </c>
      <c r="C111" s="35" t="s">
        <v>538</v>
      </c>
      <c r="D111" s="34" t="str">
        <f>VLOOKUP(C111,'PUR-PARTY MASTER'!$B$4:$E$2000,2,FALSE)</f>
        <v>27AABFI6338L1Z3</v>
      </c>
      <c r="E111" s="34" t="s">
        <v>22</v>
      </c>
      <c r="F111" s="136" t="s">
        <v>540</v>
      </c>
      <c r="G111" s="135">
        <v>43573</v>
      </c>
      <c r="H111" s="34">
        <v>84242000</v>
      </c>
      <c r="I111" s="39">
        <f>VLOOKUP(H111,'PUR-HSN MASTER'!$A$4:$E$5000,5,FALSE)</f>
        <v>18</v>
      </c>
      <c r="J111" s="38">
        <v>10</v>
      </c>
      <c r="K111" s="40">
        <v>54740</v>
      </c>
      <c r="L111" s="41">
        <v>0</v>
      </c>
      <c r="M111" s="41">
        <v>4926.5999999999995</v>
      </c>
      <c r="N111" s="41">
        <v>4926.5999999999995</v>
      </c>
      <c r="O111" s="41">
        <v>0</v>
      </c>
      <c r="P111" s="42">
        <v>64593</v>
      </c>
      <c r="Q111" s="34" t="s">
        <v>412</v>
      </c>
      <c r="R111" s="34" t="s">
        <v>26</v>
      </c>
      <c r="S111" s="11" t="s">
        <v>4120</v>
      </c>
    </row>
    <row r="112" spans="1:19" x14ac:dyDescent="0.2">
      <c r="A112" s="33">
        <v>43556</v>
      </c>
      <c r="B112" s="34">
        <v>91</v>
      </c>
      <c r="C112" s="35" t="s">
        <v>541</v>
      </c>
      <c r="D112" s="34" t="str">
        <f>VLOOKUP(C112,'PUR-PARTY MASTER'!$B$4:$E$2000,2,FALSE)</f>
        <v>27AYCPB9228K1ZA</v>
      </c>
      <c r="E112" s="34" t="s">
        <v>22</v>
      </c>
      <c r="F112" s="136" t="s">
        <v>543</v>
      </c>
      <c r="G112" s="135">
        <v>43556</v>
      </c>
      <c r="H112" s="34" t="s">
        <v>544</v>
      </c>
      <c r="I112" s="39">
        <f>VLOOKUP(H112,'PUR-HSN MASTER'!$A$4:$E$5000,5,FALSE)</f>
        <v>18</v>
      </c>
      <c r="J112" s="38">
        <v>0</v>
      </c>
      <c r="K112" s="40">
        <v>3500</v>
      </c>
      <c r="L112" s="41">
        <v>0</v>
      </c>
      <c r="M112" s="41">
        <v>315</v>
      </c>
      <c r="N112" s="41">
        <v>315</v>
      </c>
      <c r="O112" s="41">
        <v>0</v>
      </c>
      <c r="P112" s="42">
        <v>4130</v>
      </c>
      <c r="Q112" s="34" t="s">
        <v>411</v>
      </c>
      <c r="R112" s="34" t="s">
        <v>26</v>
      </c>
      <c r="S112" s="11" t="s">
        <v>4120</v>
      </c>
    </row>
    <row r="113" spans="1:19" x14ac:dyDescent="0.2">
      <c r="A113" s="33">
        <v>43556</v>
      </c>
      <c r="B113" s="34">
        <v>92</v>
      </c>
      <c r="C113" s="35" t="s">
        <v>479</v>
      </c>
      <c r="D113" s="34" t="str">
        <f>VLOOKUP(C113,'PUR-PARTY MASTER'!$B$4:$E$2000,2,FALSE)</f>
        <v>27AAMFC2124K1ZG</v>
      </c>
      <c r="E113" s="34" t="s">
        <v>22</v>
      </c>
      <c r="F113" s="134">
        <v>1038</v>
      </c>
      <c r="G113" s="135">
        <v>43572</v>
      </c>
      <c r="H113" s="34" t="s">
        <v>481</v>
      </c>
      <c r="I113" s="39">
        <f>VLOOKUP(H113,'PUR-HSN MASTER'!$A$4:$E$5000,5,FALSE)</f>
        <v>18</v>
      </c>
      <c r="J113" s="38">
        <v>20</v>
      </c>
      <c r="K113" s="40">
        <v>4536</v>
      </c>
      <c r="L113" s="41">
        <v>0</v>
      </c>
      <c r="M113" s="41">
        <v>408.24</v>
      </c>
      <c r="N113" s="41">
        <v>408.24</v>
      </c>
      <c r="O113" s="41">
        <v>0</v>
      </c>
      <c r="P113" s="42">
        <v>5352.48</v>
      </c>
      <c r="Q113" s="34" t="s">
        <v>410</v>
      </c>
      <c r="R113" s="34" t="s">
        <v>26</v>
      </c>
      <c r="S113" s="11" t="s">
        <v>4120</v>
      </c>
    </row>
    <row r="114" spans="1:19" x14ac:dyDescent="0.2">
      <c r="A114" s="33">
        <v>43556</v>
      </c>
      <c r="B114" s="34">
        <v>93</v>
      </c>
      <c r="C114" s="35" t="s">
        <v>473</v>
      </c>
      <c r="D114" s="34" t="str">
        <f>VLOOKUP(C114,'PUR-PARTY MASTER'!$B$4:$E$2000,2,FALSE)</f>
        <v>27AAACT1848E1ZH</v>
      </c>
      <c r="E114" s="34" t="s">
        <v>22</v>
      </c>
      <c r="F114" s="136" t="s">
        <v>545</v>
      </c>
      <c r="G114" s="135">
        <v>43574</v>
      </c>
      <c r="H114" s="34">
        <v>87089900</v>
      </c>
      <c r="I114" s="39">
        <f>VLOOKUP(H114,'PUR-HSN MASTER'!$A$4:$E$5000,5,FALSE)</f>
        <v>28</v>
      </c>
      <c r="J114" s="38">
        <v>520</v>
      </c>
      <c r="K114" s="40">
        <v>3284</v>
      </c>
      <c r="L114" s="41">
        <v>0</v>
      </c>
      <c r="M114" s="41">
        <v>459.76000000000005</v>
      </c>
      <c r="N114" s="41">
        <v>459.76000000000005</v>
      </c>
      <c r="O114" s="41">
        <v>0</v>
      </c>
      <c r="P114" s="42">
        <v>4203.5200000000004</v>
      </c>
      <c r="Q114" s="34" t="s">
        <v>410</v>
      </c>
      <c r="R114" s="34" t="s">
        <v>26</v>
      </c>
      <c r="S114" s="11" t="s">
        <v>4120</v>
      </c>
    </row>
    <row r="115" spans="1:19" x14ac:dyDescent="0.2">
      <c r="A115" s="33">
        <v>43556</v>
      </c>
      <c r="B115" s="34">
        <v>94</v>
      </c>
      <c r="C115" s="35" t="s">
        <v>471</v>
      </c>
      <c r="D115" s="34" t="str">
        <f>VLOOKUP(C115,'PUR-PARTY MASTER'!$B$4:$E$2000,2,FALSE)</f>
        <v>27AAECM8871A1ZF</v>
      </c>
      <c r="E115" s="34" t="s">
        <v>22</v>
      </c>
      <c r="F115" s="134">
        <v>192000599</v>
      </c>
      <c r="G115" s="135">
        <v>43574</v>
      </c>
      <c r="H115" s="34">
        <v>87089900</v>
      </c>
      <c r="I115" s="39">
        <f>VLOOKUP(H115,'PUR-HSN MASTER'!$A$4:$E$5000,5,FALSE)</f>
        <v>28</v>
      </c>
      <c r="J115" s="38">
        <v>12</v>
      </c>
      <c r="K115" s="40">
        <v>17483.52</v>
      </c>
      <c r="L115" s="41">
        <v>0</v>
      </c>
      <c r="M115" s="41">
        <v>2447.6928000000003</v>
      </c>
      <c r="N115" s="41">
        <v>2447.6928000000003</v>
      </c>
      <c r="O115" s="41">
        <v>0</v>
      </c>
      <c r="P115" s="42">
        <v>22378.895600000003</v>
      </c>
      <c r="Q115" s="34" t="s">
        <v>410</v>
      </c>
      <c r="R115" s="34" t="s">
        <v>26</v>
      </c>
      <c r="S115" s="11" t="s">
        <v>4120</v>
      </c>
    </row>
    <row r="116" spans="1:19" x14ac:dyDescent="0.2">
      <c r="A116" s="33">
        <v>43556</v>
      </c>
      <c r="B116" s="34">
        <v>95</v>
      </c>
      <c r="C116" s="35" t="s">
        <v>471</v>
      </c>
      <c r="D116" s="34" t="str">
        <f>VLOOKUP(C116,'PUR-PARTY MASTER'!$B$4:$E$2000,2,FALSE)</f>
        <v>27AAECM8871A1ZF</v>
      </c>
      <c r="E116" s="34" t="s">
        <v>22</v>
      </c>
      <c r="F116" s="134">
        <v>192000632</v>
      </c>
      <c r="G116" s="135">
        <v>43575</v>
      </c>
      <c r="H116" s="34">
        <v>87089900</v>
      </c>
      <c r="I116" s="39">
        <f>VLOOKUP(H116,'PUR-HSN MASTER'!$A$4:$E$5000,5,FALSE)</f>
        <v>28</v>
      </c>
      <c r="J116" s="38">
        <v>12</v>
      </c>
      <c r="K116" s="40">
        <v>17483.52</v>
      </c>
      <c r="L116" s="41">
        <v>0</v>
      </c>
      <c r="M116" s="41">
        <v>2447.6928000000003</v>
      </c>
      <c r="N116" s="41">
        <v>2447.6928000000003</v>
      </c>
      <c r="O116" s="41">
        <v>0</v>
      </c>
      <c r="P116" s="42">
        <v>22378.895600000003</v>
      </c>
      <c r="Q116" s="34" t="s">
        <v>410</v>
      </c>
      <c r="R116" s="34" t="s">
        <v>26</v>
      </c>
      <c r="S116" s="11" t="s">
        <v>4120</v>
      </c>
    </row>
    <row r="117" spans="1:19" x14ac:dyDescent="0.2">
      <c r="A117" s="33">
        <v>43556</v>
      </c>
      <c r="B117" s="34">
        <v>96</v>
      </c>
      <c r="C117" s="35" t="s">
        <v>471</v>
      </c>
      <c r="D117" s="34" t="str">
        <f>VLOOKUP(C117,'PUR-PARTY MASTER'!$B$4:$E$2000,2,FALSE)</f>
        <v>27AAECM8871A1ZF</v>
      </c>
      <c r="E117" s="34" t="s">
        <v>22</v>
      </c>
      <c r="F117" s="134">
        <v>192000639</v>
      </c>
      <c r="G117" s="135">
        <v>43575</v>
      </c>
      <c r="H117" s="34">
        <v>87089900</v>
      </c>
      <c r="I117" s="39">
        <f>VLOOKUP(H117,'PUR-HSN MASTER'!$A$4:$E$5000,5,FALSE)</f>
        <v>28</v>
      </c>
      <c r="J117" s="38">
        <v>12</v>
      </c>
      <c r="K117" s="40">
        <v>17483.52</v>
      </c>
      <c r="L117" s="41">
        <v>0</v>
      </c>
      <c r="M117" s="41">
        <v>2447.6928000000003</v>
      </c>
      <c r="N117" s="41">
        <v>2447.6928000000003</v>
      </c>
      <c r="O117" s="41">
        <v>0</v>
      </c>
      <c r="P117" s="42">
        <v>22378.895600000003</v>
      </c>
      <c r="Q117" s="34" t="s">
        <v>410</v>
      </c>
      <c r="R117" s="34" t="s">
        <v>26</v>
      </c>
      <c r="S117" s="11" t="s">
        <v>4120</v>
      </c>
    </row>
    <row r="118" spans="1:19" x14ac:dyDescent="0.2">
      <c r="A118" s="33">
        <v>43556</v>
      </c>
      <c r="B118" s="34">
        <v>97</v>
      </c>
      <c r="C118" s="35" t="s">
        <v>471</v>
      </c>
      <c r="D118" s="34" t="str">
        <f>VLOOKUP(C118,'PUR-PARTY MASTER'!$B$4:$E$2000,2,FALSE)</f>
        <v>27AAECM8871A1ZF</v>
      </c>
      <c r="E118" s="34" t="s">
        <v>22</v>
      </c>
      <c r="F118" s="134">
        <v>192000642</v>
      </c>
      <c r="G118" s="135">
        <v>43575</v>
      </c>
      <c r="H118" s="34">
        <v>87089900</v>
      </c>
      <c r="I118" s="39">
        <f>VLOOKUP(H118,'PUR-HSN MASTER'!$A$4:$E$5000,5,FALSE)</f>
        <v>28</v>
      </c>
      <c r="J118" s="38">
        <v>12</v>
      </c>
      <c r="K118" s="40">
        <v>17483.52</v>
      </c>
      <c r="L118" s="41">
        <v>0</v>
      </c>
      <c r="M118" s="41">
        <v>2447.6928000000003</v>
      </c>
      <c r="N118" s="41">
        <v>2447.6928000000003</v>
      </c>
      <c r="O118" s="41">
        <v>0</v>
      </c>
      <c r="P118" s="42">
        <v>22378.895600000003</v>
      </c>
      <c r="Q118" s="34" t="s">
        <v>410</v>
      </c>
      <c r="R118" s="34" t="s">
        <v>26</v>
      </c>
      <c r="S118" s="11" t="s">
        <v>4120</v>
      </c>
    </row>
    <row r="119" spans="1:19" x14ac:dyDescent="0.2">
      <c r="A119" s="33">
        <v>43556</v>
      </c>
      <c r="B119" s="34">
        <v>98</v>
      </c>
      <c r="C119" s="35" t="s">
        <v>546</v>
      </c>
      <c r="D119" s="34" t="str">
        <f>VLOOKUP(C119,'PUR-PARTY MASTER'!$B$4:$E$2000,2,FALSE)</f>
        <v>27AAFFT6563N1ZH</v>
      </c>
      <c r="E119" s="34" t="s">
        <v>22</v>
      </c>
      <c r="F119" s="136" t="s">
        <v>548</v>
      </c>
      <c r="G119" s="135">
        <v>43574</v>
      </c>
      <c r="H119" s="34">
        <v>32082090</v>
      </c>
      <c r="I119" s="39">
        <f>VLOOKUP(H119,'PUR-HSN MASTER'!$A$4:$E$5000,5,FALSE)</f>
        <v>18</v>
      </c>
      <c r="J119" s="38">
        <v>1</v>
      </c>
      <c r="K119" s="40">
        <v>1275</v>
      </c>
      <c r="L119" s="41">
        <v>0</v>
      </c>
      <c r="M119" s="41">
        <v>114.75</v>
      </c>
      <c r="N119" s="41">
        <v>114.75</v>
      </c>
      <c r="O119" s="41">
        <v>0</v>
      </c>
      <c r="P119" s="42">
        <v>1505</v>
      </c>
      <c r="Q119" s="34" t="s">
        <v>410</v>
      </c>
      <c r="R119" s="34" t="s">
        <v>26</v>
      </c>
      <c r="S119" s="11" t="s">
        <v>4120</v>
      </c>
    </row>
    <row r="120" spans="1:19" x14ac:dyDescent="0.2">
      <c r="A120" s="33">
        <v>43556</v>
      </c>
      <c r="B120" s="34">
        <v>99</v>
      </c>
      <c r="C120" s="35" t="s">
        <v>473</v>
      </c>
      <c r="D120" s="34" t="str">
        <f>VLOOKUP(C120,'PUR-PARTY MASTER'!$B$4:$E$2000,2,FALSE)</f>
        <v>27AAACT1848E1ZH</v>
      </c>
      <c r="E120" s="34" t="s">
        <v>22</v>
      </c>
      <c r="F120" s="136" t="s">
        <v>549</v>
      </c>
      <c r="G120" s="135">
        <v>43576</v>
      </c>
      <c r="H120" s="34">
        <v>87082900</v>
      </c>
      <c r="I120" s="39">
        <f>VLOOKUP(H120,'PUR-HSN MASTER'!$A$4:$E$5000,5,FALSE)</f>
        <v>28</v>
      </c>
      <c r="J120" s="38">
        <v>36</v>
      </c>
      <c r="K120" s="40">
        <v>5770.8</v>
      </c>
      <c r="L120" s="41">
        <v>0</v>
      </c>
      <c r="M120" s="41">
        <v>807.91200000000003</v>
      </c>
      <c r="N120" s="41">
        <v>807.91200000000003</v>
      </c>
      <c r="O120" s="41">
        <v>0</v>
      </c>
      <c r="P120" s="42">
        <v>7386.6240000000007</v>
      </c>
      <c r="Q120" s="34" t="s">
        <v>410</v>
      </c>
      <c r="R120" s="34" t="s">
        <v>26</v>
      </c>
      <c r="S120" s="11" t="s">
        <v>4120</v>
      </c>
    </row>
    <row r="121" spans="1:19" x14ac:dyDescent="0.2">
      <c r="A121" s="33">
        <v>43556</v>
      </c>
      <c r="B121" s="34">
        <v>100</v>
      </c>
      <c r="C121" s="35" t="s">
        <v>473</v>
      </c>
      <c r="D121" s="34" t="str">
        <f>VLOOKUP(C121,'PUR-PARTY MASTER'!$B$4:$E$2000,2,FALSE)</f>
        <v>27AAACT1848E1ZH</v>
      </c>
      <c r="E121" s="34" t="s">
        <v>22</v>
      </c>
      <c r="F121" s="136" t="s">
        <v>550</v>
      </c>
      <c r="G121" s="135">
        <v>43576</v>
      </c>
      <c r="H121" s="34">
        <v>87089900</v>
      </c>
      <c r="I121" s="39">
        <f>VLOOKUP(H121,'PUR-HSN MASTER'!$A$4:$E$5000,5,FALSE)</f>
        <v>28</v>
      </c>
      <c r="J121" s="38">
        <v>32</v>
      </c>
      <c r="K121" s="40">
        <v>4810.24</v>
      </c>
      <c r="L121" s="41">
        <v>0</v>
      </c>
      <c r="M121" s="41">
        <v>673.43359999999996</v>
      </c>
      <c r="N121" s="41">
        <v>673.43359999999996</v>
      </c>
      <c r="O121" s="41">
        <v>0</v>
      </c>
      <c r="P121" s="42">
        <v>6157.1072000000004</v>
      </c>
      <c r="Q121" s="34" t="s">
        <v>410</v>
      </c>
      <c r="R121" s="34" t="s">
        <v>26</v>
      </c>
      <c r="S121" s="11" t="s">
        <v>4120</v>
      </c>
    </row>
    <row r="122" spans="1:19" x14ac:dyDescent="0.2">
      <c r="A122" s="33">
        <v>43556</v>
      </c>
      <c r="B122" s="34">
        <v>101</v>
      </c>
      <c r="C122" s="35" t="s">
        <v>471</v>
      </c>
      <c r="D122" s="34" t="str">
        <f>VLOOKUP(C122,'PUR-PARTY MASTER'!$B$4:$E$2000,2,FALSE)</f>
        <v>27AAECM8871A1ZF</v>
      </c>
      <c r="E122" s="34" t="s">
        <v>22</v>
      </c>
      <c r="F122" s="134">
        <v>192000659</v>
      </c>
      <c r="G122" s="135">
        <v>43577</v>
      </c>
      <c r="H122" s="34">
        <v>87089900</v>
      </c>
      <c r="I122" s="39">
        <f>VLOOKUP(H122,'PUR-HSN MASTER'!$A$4:$E$5000,5,FALSE)</f>
        <v>28</v>
      </c>
      <c r="J122" s="38">
        <v>12</v>
      </c>
      <c r="K122" s="40">
        <v>17483.52</v>
      </c>
      <c r="L122" s="41">
        <v>0</v>
      </c>
      <c r="M122" s="41">
        <v>2447.6928000000003</v>
      </c>
      <c r="N122" s="41">
        <v>2447.6928000000003</v>
      </c>
      <c r="O122" s="41">
        <v>0</v>
      </c>
      <c r="P122" s="42">
        <v>22378.895600000003</v>
      </c>
      <c r="Q122" s="34" t="s">
        <v>410</v>
      </c>
      <c r="R122" s="34" t="s">
        <v>26</v>
      </c>
      <c r="S122" s="11" t="s">
        <v>4120</v>
      </c>
    </row>
    <row r="123" spans="1:19" x14ac:dyDescent="0.2">
      <c r="A123" s="33">
        <v>43556</v>
      </c>
      <c r="B123" s="34">
        <v>102</v>
      </c>
      <c r="C123" s="35" t="s">
        <v>551</v>
      </c>
      <c r="D123" s="34" t="str">
        <f>VLOOKUP(C123,'PUR-PARTY MASTER'!$B$4:$E$2000,2,FALSE)</f>
        <v>27AHVPG8951G1ZQ</v>
      </c>
      <c r="E123" s="34" t="s">
        <v>22</v>
      </c>
      <c r="F123" s="136" t="s">
        <v>553</v>
      </c>
      <c r="G123" s="135">
        <v>43577</v>
      </c>
      <c r="H123" s="34">
        <v>8443</v>
      </c>
      <c r="I123" s="39">
        <f>VLOOKUP(H123,'PUR-HSN MASTER'!$A$4:$E$5000,5,FALSE)</f>
        <v>18</v>
      </c>
      <c r="J123" s="38">
        <v>1</v>
      </c>
      <c r="K123" s="40">
        <v>1000</v>
      </c>
      <c r="L123" s="41">
        <v>0</v>
      </c>
      <c r="M123" s="41">
        <v>90</v>
      </c>
      <c r="N123" s="41">
        <v>90</v>
      </c>
      <c r="O123" s="41">
        <v>0</v>
      </c>
      <c r="P123" s="42">
        <v>1180</v>
      </c>
      <c r="Q123" s="34" t="s">
        <v>410</v>
      </c>
      <c r="R123" s="34" t="s">
        <v>26</v>
      </c>
      <c r="S123" s="11" t="s">
        <v>4120</v>
      </c>
    </row>
    <row r="124" spans="1:19" x14ac:dyDescent="0.2">
      <c r="A124" s="33">
        <v>43556</v>
      </c>
      <c r="B124" s="34">
        <v>103</v>
      </c>
      <c r="C124" s="35" t="s">
        <v>554</v>
      </c>
      <c r="D124" s="34" t="str">
        <f>VLOOKUP(C124,'PUR-PARTY MASTER'!$B$4:$E$2000,2,FALSE)</f>
        <v>27AACFA1881H1ZL</v>
      </c>
      <c r="E124" s="34" t="s">
        <v>22</v>
      </c>
      <c r="F124" s="134">
        <v>764</v>
      </c>
      <c r="G124" s="135">
        <v>43577</v>
      </c>
      <c r="H124" s="34">
        <v>87141900</v>
      </c>
      <c r="I124" s="39">
        <f>VLOOKUP(H124,'PUR-HSN MASTER'!$A$4:$E$5000,5,FALSE)</f>
        <v>28</v>
      </c>
      <c r="J124" s="38">
        <v>700</v>
      </c>
      <c r="K124" s="40">
        <v>1946</v>
      </c>
      <c r="L124" s="41">
        <v>0</v>
      </c>
      <c r="M124" s="41">
        <v>272.44</v>
      </c>
      <c r="N124" s="41">
        <v>272.44</v>
      </c>
      <c r="O124" s="41">
        <v>0</v>
      </c>
      <c r="P124" s="42">
        <v>2490.88</v>
      </c>
      <c r="Q124" s="34" t="s">
        <v>410</v>
      </c>
      <c r="R124" s="34" t="s">
        <v>26</v>
      </c>
      <c r="S124" s="11" t="s">
        <v>4120</v>
      </c>
    </row>
    <row r="125" spans="1:19" x14ac:dyDescent="0.2">
      <c r="A125" s="33">
        <v>43556</v>
      </c>
      <c r="B125" s="34">
        <v>104</v>
      </c>
      <c r="C125" s="35" t="s">
        <v>471</v>
      </c>
      <c r="D125" s="34" t="str">
        <f>VLOOKUP(C125,'PUR-PARTY MASTER'!$B$4:$E$2000,2,FALSE)</f>
        <v>27AAECM8871A1ZF</v>
      </c>
      <c r="E125" s="34" t="s">
        <v>22</v>
      </c>
      <c r="F125" s="134">
        <v>192000722</v>
      </c>
      <c r="G125" s="135">
        <v>43578</v>
      </c>
      <c r="H125" s="34">
        <v>87089900</v>
      </c>
      <c r="I125" s="39">
        <f>VLOOKUP(H125,'PUR-HSN MASTER'!$A$4:$E$5000,5,FALSE)</f>
        <v>28</v>
      </c>
      <c r="J125" s="38">
        <v>12</v>
      </c>
      <c r="K125" s="40">
        <v>17483.52</v>
      </c>
      <c r="L125" s="41">
        <v>0</v>
      </c>
      <c r="M125" s="41">
        <v>2447.6928000000003</v>
      </c>
      <c r="N125" s="41">
        <v>2447.6928000000003</v>
      </c>
      <c r="O125" s="41">
        <v>0</v>
      </c>
      <c r="P125" s="42">
        <v>22378.895600000003</v>
      </c>
      <c r="Q125" s="34" t="s">
        <v>410</v>
      </c>
      <c r="R125" s="34" t="s">
        <v>26</v>
      </c>
      <c r="S125" s="11" t="s">
        <v>4120</v>
      </c>
    </row>
    <row r="126" spans="1:19" x14ac:dyDescent="0.2">
      <c r="A126" s="33">
        <v>43556</v>
      </c>
      <c r="B126" s="34">
        <v>105</v>
      </c>
      <c r="C126" s="35" t="s">
        <v>471</v>
      </c>
      <c r="D126" s="34" t="str">
        <f>VLOOKUP(C126,'PUR-PARTY MASTER'!$B$4:$E$2000,2,FALSE)</f>
        <v>27AAECM8871A1ZF</v>
      </c>
      <c r="E126" s="34" t="s">
        <v>22</v>
      </c>
      <c r="F126" s="134">
        <v>192000729</v>
      </c>
      <c r="G126" s="135">
        <v>43578</v>
      </c>
      <c r="H126" s="34">
        <v>87089900</v>
      </c>
      <c r="I126" s="39">
        <f>VLOOKUP(H126,'PUR-HSN MASTER'!$A$4:$E$5000,5,FALSE)</f>
        <v>28</v>
      </c>
      <c r="J126" s="38">
        <v>12</v>
      </c>
      <c r="K126" s="40">
        <v>17483.52</v>
      </c>
      <c r="L126" s="41">
        <v>0</v>
      </c>
      <c r="M126" s="41">
        <v>2447.6928000000003</v>
      </c>
      <c r="N126" s="41">
        <v>2447.6928000000003</v>
      </c>
      <c r="O126" s="41">
        <v>0</v>
      </c>
      <c r="P126" s="42">
        <v>22378.895600000003</v>
      </c>
      <c r="Q126" s="34" t="s">
        <v>410</v>
      </c>
      <c r="R126" s="34" t="s">
        <v>26</v>
      </c>
      <c r="S126" s="11" t="s">
        <v>4120</v>
      </c>
    </row>
    <row r="127" spans="1:19" x14ac:dyDescent="0.2">
      <c r="A127" s="33">
        <v>43556</v>
      </c>
      <c r="B127" s="34">
        <v>106</v>
      </c>
      <c r="C127" s="35" t="s">
        <v>471</v>
      </c>
      <c r="D127" s="34" t="str">
        <f>VLOOKUP(C127,'PUR-PARTY MASTER'!$B$4:$E$2000,2,FALSE)</f>
        <v>27AAECM8871A1ZF</v>
      </c>
      <c r="E127" s="34" t="s">
        <v>22</v>
      </c>
      <c r="F127" s="134">
        <v>192000730</v>
      </c>
      <c r="G127" s="135">
        <v>43578</v>
      </c>
      <c r="H127" s="34">
        <v>87089900</v>
      </c>
      <c r="I127" s="39">
        <f>VLOOKUP(H127,'PUR-HSN MASTER'!$A$4:$E$5000,5,FALSE)</f>
        <v>28</v>
      </c>
      <c r="J127" s="38">
        <v>12</v>
      </c>
      <c r="K127" s="40">
        <v>17483.52</v>
      </c>
      <c r="L127" s="41">
        <v>0</v>
      </c>
      <c r="M127" s="41">
        <v>2447.6928000000003</v>
      </c>
      <c r="N127" s="41">
        <v>2447.6928000000003</v>
      </c>
      <c r="O127" s="41">
        <v>0</v>
      </c>
      <c r="P127" s="42">
        <v>22378.895600000003</v>
      </c>
      <c r="Q127" s="34" t="s">
        <v>410</v>
      </c>
      <c r="R127" s="34" t="s">
        <v>26</v>
      </c>
      <c r="S127" s="11" t="s">
        <v>4120</v>
      </c>
    </row>
    <row r="128" spans="1:19" x14ac:dyDescent="0.2">
      <c r="A128" s="33">
        <v>43556</v>
      </c>
      <c r="B128" s="34">
        <v>107</v>
      </c>
      <c r="C128" s="35" t="s">
        <v>472</v>
      </c>
      <c r="D128" s="34" t="str">
        <f>VLOOKUP(C128,'PUR-PARTY MASTER'!$B$4:$E$2000,2,FALSE)</f>
        <v>27AABCM2508F1ZU</v>
      </c>
      <c r="E128" s="34" t="s">
        <v>22</v>
      </c>
      <c r="F128" s="134">
        <v>2041216299</v>
      </c>
      <c r="G128" s="135">
        <v>43578</v>
      </c>
      <c r="H128" s="34">
        <v>87141090</v>
      </c>
      <c r="I128" s="39">
        <f>VLOOKUP(H128,'PUR-HSN MASTER'!$A$4:$E$5000,5,FALSE)</f>
        <v>28</v>
      </c>
      <c r="J128" s="38">
        <v>150</v>
      </c>
      <c r="K128" s="40">
        <v>5562</v>
      </c>
      <c r="L128" s="41">
        <v>0</v>
      </c>
      <c r="M128" s="41">
        <v>778.68</v>
      </c>
      <c r="N128" s="41">
        <v>778.68</v>
      </c>
      <c r="O128" s="41">
        <v>0</v>
      </c>
      <c r="P128" s="42">
        <v>7119.3600000000006</v>
      </c>
      <c r="Q128" s="34" t="s">
        <v>410</v>
      </c>
      <c r="R128" s="34" t="s">
        <v>26</v>
      </c>
      <c r="S128" s="11" t="s">
        <v>4120</v>
      </c>
    </row>
    <row r="129" spans="1:19" x14ac:dyDescent="0.2">
      <c r="A129" s="33">
        <v>43556</v>
      </c>
      <c r="B129" s="34">
        <v>108</v>
      </c>
      <c r="C129" s="35" t="s">
        <v>472</v>
      </c>
      <c r="D129" s="34" t="str">
        <f>VLOOKUP(C129,'PUR-PARTY MASTER'!$B$4:$E$2000,2,FALSE)</f>
        <v>27AABCM2508F1ZU</v>
      </c>
      <c r="E129" s="34" t="s">
        <v>22</v>
      </c>
      <c r="F129" s="134">
        <v>2041216300</v>
      </c>
      <c r="G129" s="135">
        <v>43578</v>
      </c>
      <c r="H129" s="34">
        <v>87141090</v>
      </c>
      <c r="I129" s="39">
        <f>VLOOKUP(H129,'PUR-HSN MASTER'!$A$4:$E$5000,5,FALSE)</f>
        <v>28</v>
      </c>
      <c r="J129" s="38">
        <v>150</v>
      </c>
      <c r="K129" s="40">
        <v>5562</v>
      </c>
      <c r="L129" s="41">
        <v>0</v>
      </c>
      <c r="M129" s="41">
        <v>778.68</v>
      </c>
      <c r="N129" s="41">
        <v>778.68</v>
      </c>
      <c r="O129" s="41">
        <v>0</v>
      </c>
      <c r="P129" s="42">
        <v>7119.3600000000006</v>
      </c>
      <c r="Q129" s="34" t="s">
        <v>410</v>
      </c>
      <c r="R129" s="34" t="s">
        <v>26</v>
      </c>
      <c r="S129" s="11" t="s">
        <v>4120</v>
      </c>
    </row>
    <row r="130" spans="1:19" x14ac:dyDescent="0.2">
      <c r="A130" s="33">
        <v>43556</v>
      </c>
      <c r="B130" s="34">
        <v>109</v>
      </c>
      <c r="C130" s="35" t="s">
        <v>556</v>
      </c>
      <c r="D130" s="34" t="str">
        <f>VLOOKUP(C130,'PUR-PARTY MASTER'!$B$4:$E$2000,2,FALSE)</f>
        <v>27AAQCS7977M1Z3</v>
      </c>
      <c r="E130" s="34" t="s">
        <v>22</v>
      </c>
      <c r="F130" s="136" t="s">
        <v>558</v>
      </c>
      <c r="G130" s="135">
        <v>43577</v>
      </c>
      <c r="H130" s="34">
        <v>29051220</v>
      </c>
      <c r="I130" s="39">
        <f>VLOOKUP(H130,'PUR-HSN MASTER'!$A$4:$E$5000,5,FALSE)</f>
        <v>18</v>
      </c>
      <c r="J130" s="38">
        <v>440</v>
      </c>
      <c r="K130" s="40">
        <v>26840</v>
      </c>
      <c r="L130" s="41">
        <v>0</v>
      </c>
      <c r="M130" s="41">
        <v>2415.6</v>
      </c>
      <c r="N130" s="41">
        <v>2415.6</v>
      </c>
      <c r="O130" s="41">
        <v>0</v>
      </c>
      <c r="P130" s="42">
        <v>31671.199999999997</v>
      </c>
      <c r="Q130" s="34" t="s">
        <v>410</v>
      </c>
      <c r="R130" s="34" t="s">
        <v>26</v>
      </c>
      <c r="S130" s="11" t="s">
        <v>4120</v>
      </c>
    </row>
    <row r="131" spans="1:19" x14ac:dyDescent="0.2">
      <c r="A131" s="33">
        <v>43556</v>
      </c>
      <c r="B131" s="34"/>
      <c r="C131" s="35" t="s">
        <v>556</v>
      </c>
      <c r="D131" s="34" t="str">
        <f>VLOOKUP(C131,'PUR-PARTY MASTER'!$B$4:$E$2000,2,FALSE)</f>
        <v>27AAQCS7977M1Z3</v>
      </c>
      <c r="E131" s="34" t="s">
        <v>22</v>
      </c>
      <c r="F131" s="136" t="s">
        <v>558</v>
      </c>
      <c r="G131" s="135">
        <v>43577</v>
      </c>
      <c r="H131" s="34">
        <v>29153100</v>
      </c>
      <c r="I131" s="39">
        <f>VLOOKUP(H131,'PUR-HSN MASTER'!$A$4:$E$5000,5,FALSE)</f>
        <v>18</v>
      </c>
      <c r="J131" s="38">
        <v>660</v>
      </c>
      <c r="K131" s="40">
        <v>41580</v>
      </c>
      <c r="L131" s="41">
        <v>0</v>
      </c>
      <c r="M131" s="41">
        <v>3742.2000000000003</v>
      </c>
      <c r="N131" s="41">
        <v>3742.2000000000003</v>
      </c>
      <c r="O131" s="41">
        <v>0</v>
      </c>
      <c r="P131" s="42">
        <v>49064.399999999994</v>
      </c>
      <c r="Q131" s="34" t="s">
        <v>410</v>
      </c>
      <c r="R131" s="34" t="s">
        <v>26</v>
      </c>
      <c r="S131" s="11" t="s">
        <v>4120</v>
      </c>
    </row>
    <row r="132" spans="1:19" x14ac:dyDescent="0.2">
      <c r="A132" s="33">
        <v>43556</v>
      </c>
      <c r="B132" s="34">
        <v>110</v>
      </c>
      <c r="C132" s="35" t="s">
        <v>473</v>
      </c>
      <c r="D132" s="34" t="str">
        <f>VLOOKUP(C132,'PUR-PARTY MASTER'!$B$4:$E$2000,2,FALSE)</f>
        <v>27AAACT1848E1ZH</v>
      </c>
      <c r="E132" s="34" t="s">
        <v>22</v>
      </c>
      <c r="F132" s="136" t="s">
        <v>559</v>
      </c>
      <c r="G132" s="135">
        <v>43579</v>
      </c>
      <c r="H132" s="34">
        <v>87082900</v>
      </c>
      <c r="I132" s="39">
        <f>VLOOKUP(H132,'PUR-HSN MASTER'!$A$4:$E$5000,5,FALSE)</f>
        <v>28</v>
      </c>
      <c r="J132" s="38">
        <v>20</v>
      </c>
      <c r="K132" s="40">
        <v>3206</v>
      </c>
      <c r="L132" s="41">
        <v>0</v>
      </c>
      <c r="M132" s="41">
        <v>448.84000000000003</v>
      </c>
      <c r="N132" s="41">
        <v>448.84000000000003</v>
      </c>
      <c r="O132" s="41">
        <v>0</v>
      </c>
      <c r="P132" s="42">
        <v>4103.68</v>
      </c>
      <c r="Q132" s="34" t="s">
        <v>410</v>
      </c>
      <c r="R132" s="34" t="s">
        <v>26</v>
      </c>
      <c r="S132" s="11" t="s">
        <v>4120</v>
      </c>
    </row>
    <row r="133" spans="1:19" x14ac:dyDescent="0.2">
      <c r="A133" s="33">
        <v>43556</v>
      </c>
      <c r="B133" s="34">
        <v>111</v>
      </c>
      <c r="C133" s="35" t="s">
        <v>473</v>
      </c>
      <c r="D133" s="34" t="str">
        <f>VLOOKUP(C133,'PUR-PARTY MASTER'!$B$4:$E$2000,2,FALSE)</f>
        <v>27AAACT1848E1ZH</v>
      </c>
      <c r="E133" s="34" t="s">
        <v>22</v>
      </c>
      <c r="F133" s="136" t="s">
        <v>560</v>
      </c>
      <c r="G133" s="135">
        <v>43579</v>
      </c>
      <c r="H133" s="34">
        <v>87089900</v>
      </c>
      <c r="I133" s="39">
        <f>VLOOKUP(H133,'PUR-HSN MASTER'!$A$4:$E$5000,5,FALSE)</f>
        <v>28</v>
      </c>
      <c r="J133" s="38">
        <v>32</v>
      </c>
      <c r="K133" s="40">
        <v>4810.24</v>
      </c>
      <c r="L133" s="41">
        <v>0</v>
      </c>
      <c r="M133" s="41">
        <v>673.43359999999996</v>
      </c>
      <c r="N133" s="41">
        <v>673.43359999999996</v>
      </c>
      <c r="O133" s="41">
        <v>0</v>
      </c>
      <c r="P133" s="42">
        <v>6157.0972000000002</v>
      </c>
      <c r="Q133" s="34" t="s">
        <v>410</v>
      </c>
      <c r="R133" s="34" t="s">
        <v>26</v>
      </c>
      <c r="S133" s="11" t="s">
        <v>4120</v>
      </c>
    </row>
    <row r="134" spans="1:19" x14ac:dyDescent="0.2">
      <c r="A134" s="33">
        <v>43556</v>
      </c>
      <c r="B134" s="34">
        <v>112</v>
      </c>
      <c r="C134" s="35" t="s">
        <v>561</v>
      </c>
      <c r="D134" s="34" t="str">
        <f>VLOOKUP(C134,'PUR-PARTY MASTER'!$B$4:$E$2000,2,FALSE)</f>
        <v>27BUQPM7574N1ZH</v>
      </c>
      <c r="E134" s="34" t="s">
        <v>22</v>
      </c>
      <c r="F134" s="136" t="s">
        <v>563</v>
      </c>
      <c r="G134" s="135">
        <v>43571</v>
      </c>
      <c r="H134" s="34">
        <v>998346</v>
      </c>
      <c r="I134" s="39">
        <f>VLOOKUP(H134,'PUR-HSN MASTER'!$A$4:$E$5000,5,FALSE)</f>
        <v>18</v>
      </c>
      <c r="J134" s="38">
        <v>6</v>
      </c>
      <c r="K134" s="40">
        <v>17100</v>
      </c>
      <c r="L134" s="41">
        <v>0</v>
      </c>
      <c r="M134" s="41">
        <v>1539</v>
      </c>
      <c r="N134" s="41">
        <v>1539</v>
      </c>
      <c r="O134" s="41">
        <v>0</v>
      </c>
      <c r="P134" s="42">
        <v>20178</v>
      </c>
      <c r="Q134" s="34" t="s">
        <v>411</v>
      </c>
      <c r="R134" s="34" t="s">
        <v>26</v>
      </c>
      <c r="S134" s="11" t="s">
        <v>4120</v>
      </c>
    </row>
    <row r="135" spans="1:19" x14ac:dyDescent="0.2">
      <c r="A135" s="33">
        <v>43556</v>
      </c>
      <c r="B135" s="34">
        <v>113</v>
      </c>
      <c r="C135" s="35" t="s">
        <v>471</v>
      </c>
      <c r="D135" s="34" t="str">
        <f>VLOOKUP(C135,'PUR-PARTY MASTER'!$B$4:$E$2000,2,FALSE)</f>
        <v>27AAECM8871A1ZF</v>
      </c>
      <c r="E135" s="34" t="s">
        <v>22</v>
      </c>
      <c r="F135" s="134">
        <v>192000782</v>
      </c>
      <c r="G135" s="135">
        <v>43579</v>
      </c>
      <c r="H135" s="34">
        <v>87089900</v>
      </c>
      <c r="I135" s="39">
        <f>VLOOKUP(H135,'PUR-HSN MASTER'!$A$4:$E$5000,5,FALSE)</f>
        <v>28</v>
      </c>
      <c r="J135" s="38">
        <v>12</v>
      </c>
      <c r="K135" s="40">
        <v>17483.52</v>
      </c>
      <c r="L135" s="41">
        <v>0</v>
      </c>
      <c r="M135" s="41">
        <v>2447.6928000000003</v>
      </c>
      <c r="N135" s="41">
        <v>2447.6928000000003</v>
      </c>
      <c r="O135" s="41">
        <v>0</v>
      </c>
      <c r="P135" s="42">
        <v>22378.895600000003</v>
      </c>
      <c r="Q135" s="34" t="s">
        <v>410</v>
      </c>
      <c r="R135" s="34" t="s">
        <v>26</v>
      </c>
      <c r="S135" s="11" t="s">
        <v>4120</v>
      </c>
    </row>
    <row r="136" spans="1:19" x14ac:dyDescent="0.2">
      <c r="A136" s="33">
        <v>43556</v>
      </c>
      <c r="B136" s="34">
        <v>114</v>
      </c>
      <c r="C136" s="35" t="s">
        <v>471</v>
      </c>
      <c r="D136" s="34" t="str">
        <f>VLOOKUP(C136,'PUR-PARTY MASTER'!$B$4:$E$2000,2,FALSE)</f>
        <v>27AAECM8871A1ZF</v>
      </c>
      <c r="E136" s="34" t="s">
        <v>22</v>
      </c>
      <c r="F136" s="134">
        <v>192000783</v>
      </c>
      <c r="G136" s="135">
        <v>43579</v>
      </c>
      <c r="H136" s="34">
        <v>87089900</v>
      </c>
      <c r="I136" s="39">
        <f>VLOOKUP(H136,'PUR-HSN MASTER'!$A$4:$E$5000,5,FALSE)</f>
        <v>28</v>
      </c>
      <c r="J136" s="38">
        <v>12</v>
      </c>
      <c r="K136" s="40">
        <v>17483.52</v>
      </c>
      <c r="L136" s="41">
        <v>0</v>
      </c>
      <c r="M136" s="41">
        <v>2447.6928000000003</v>
      </c>
      <c r="N136" s="41">
        <v>2447.6928000000003</v>
      </c>
      <c r="O136" s="41">
        <v>0</v>
      </c>
      <c r="P136" s="42">
        <v>22378.895600000003</v>
      </c>
      <c r="Q136" s="34" t="s">
        <v>410</v>
      </c>
      <c r="R136" s="34" t="s">
        <v>26</v>
      </c>
      <c r="S136" s="11" t="s">
        <v>4120</v>
      </c>
    </row>
    <row r="137" spans="1:19" x14ac:dyDescent="0.2">
      <c r="A137" s="33">
        <v>43556</v>
      </c>
      <c r="B137" s="34">
        <v>115</v>
      </c>
      <c r="C137" s="35" t="s">
        <v>511</v>
      </c>
      <c r="D137" s="34" t="str">
        <f>VLOOKUP(C137,'PUR-PARTY MASTER'!$B$4:$E$2000,2,FALSE)</f>
        <v>27AABFA1883E1ZQ</v>
      </c>
      <c r="E137" s="34" t="s">
        <v>22</v>
      </c>
      <c r="F137" s="136" t="s">
        <v>564</v>
      </c>
      <c r="G137" s="135">
        <v>43580</v>
      </c>
      <c r="H137" s="34">
        <v>32082090</v>
      </c>
      <c r="I137" s="39">
        <f>VLOOKUP(H137,'PUR-HSN MASTER'!$A$4:$E$5000,5,FALSE)</f>
        <v>18</v>
      </c>
      <c r="J137" s="38">
        <v>25</v>
      </c>
      <c r="K137" s="40">
        <v>4200</v>
      </c>
      <c r="L137" s="41">
        <v>0</v>
      </c>
      <c r="M137" s="41">
        <v>378</v>
      </c>
      <c r="N137" s="41">
        <v>378</v>
      </c>
      <c r="O137" s="41">
        <v>0</v>
      </c>
      <c r="P137" s="42">
        <v>4956</v>
      </c>
      <c r="Q137" s="34" t="s">
        <v>410</v>
      </c>
      <c r="R137" s="34" t="s">
        <v>26</v>
      </c>
      <c r="S137" s="11" t="s">
        <v>4120</v>
      </c>
    </row>
    <row r="138" spans="1:19" x14ac:dyDescent="0.2">
      <c r="A138" s="33">
        <v>43556</v>
      </c>
      <c r="B138" s="34">
        <v>116</v>
      </c>
      <c r="C138" s="35" t="s">
        <v>471</v>
      </c>
      <c r="D138" s="34" t="str">
        <f>VLOOKUP(C138,'PUR-PARTY MASTER'!$B$4:$E$2000,2,FALSE)</f>
        <v>27AAECM8871A1ZF</v>
      </c>
      <c r="E138" s="34" t="s">
        <v>22</v>
      </c>
      <c r="F138" s="134">
        <v>192000837</v>
      </c>
      <c r="G138" s="135">
        <v>43581</v>
      </c>
      <c r="H138" s="34">
        <v>87089900</v>
      </c>
      <c r="I138" s="39">
        <f>VLOOKUP(H138,'PUR-HSN MASTER'!$A$4:$E$5000,5,FALSE)</f>
        <v>28</v>
      </c>
      <c r="J138" s="38">
        <v>12</v>
      </c>
      <c r="K138" s="40">
        <v>17483.52</v>
      </c>
      <c r="L138" s="41">
        <v>0</v>
      </c>
      <c r="M138" s="41">
        <v>2447.6928000000003</v>
      </c>
      <c r="N138" s="41">
        <v>2447.6928000000003</v>
      </c>
      <c r="O138" s="41">
        <v>0</v>
      </c>
      <c r="P138" s="42">
        <v>22378.895600000003</v>
      </c>
      <c r="Q138" s="34" t="s">
        <v>410</v>
      </c>
      <c r="R138" s="34" t="s">
        <v>26</v>
      </c>
      <c r="S138" s="11" t="s">
        <v>4120</v>
      </c>
    </row>
    <row r="139" spans="1:19" x14ac:dyDescent="0.2">
      <c r="A139" s="33">
        <v>43556</v>
      </c>
      <c r="B139" s="34">
        <v>117</v>
      </c>
      <c r="C139" s="35" t="s">
        <v>471</v>
      </c>
      <c r="D139" s="34" t="str">
        <f>VLOOKUP(C139,'PUR-PARTY MASTER'!$B$4:$E$2000,2,FALSE)</f>
        <v>27AAECM8871A1ZF</v>
      </c>
      <c r="E139" s="34" t="s">
        <v>22</v>
      </c>
      <c r="F139" s="134">
        <v>192000838</v>
      </c>
      <c r="G139" s="135">
        <v>43581</v>
      </c>
      <c r="H139" s="34">
        <v>87089900</v>
      </c>
      <c r="I139" s="39">
        <f>VLOOKUP(H139,'PUR-HSN MASTER'!$A$4:$E$5000,5,FALSE)</f>
        <v>28</v>
      </c>
      <c r="J139" s="38">
        <v>12</v>
      </c>
      <c r="K139" s="40">
        <v>17483.52</v>
      </c>
      <c r="L139" s="41">
        <v>0</v>
      </c>
      <c r="M139" s="41">
        <v>2447.6928000000003</v>
      </c>
      <c r="N139" s="41">
        <v>2447.6928000000003</v>
      </c>
      <c r="O139" s="41">
        <v>0</v>
      </c>
      <c r="P139" s="42">
        <v>22378.895600000003</v>
      </c>
      <c r="Q139" s="34" t="s">
        <v>410</v>
      </c>
      <c r="R139" s="34" t="s">
        <v>26</v>
      </c>
      <c r="S139" s="11" t="s">
        <v>4120</v>
      </c>
    </row>
    <row r="140" spans="1:19" x14ac:dyDescent="0.2">
      <c r="A140" s="33">
        <v>43556</v>
      </c>
      <c r="B140" s="34">
        <v>118</v>
      </c>
      <c r="C140" s="35" t="s">
        <v>565</v>
      </c>
      <c r="D140" s="34" t="str">
        <f>VLOOKUP(C140,'PUR-PARTY MASTER'!$B$4:$E$2000,2,FALSE)</f>
        <v>27ADOPJ4418Q1ZV</v>
      </c>
      <c r="E140" s="34" t="s">
        <v>22</v>
      </c>
      <c r="F140" s="134">
        <v>4635</v>
      </c>
      <c r="G140" s="135">
        <v>43556</v>
      </c>
      <c r="H140" s="34" t="s">
        <v>567</v>
      </c>
      <c r="I140" s="39">
        <f>VLOOKUP(H140,'PUR-HSN MASTER'!$A$4:$E$5000,5,FALSE)</f>
        <v>18</v>
      </c>
      <c r="J140" s="38">
        <v>12</v>
      </c>
      <c r="K140" s="40">
        <v>120</v>
      </c>
      <c r="L140" s="41">
        <v>0</v>
      </c>
      <c r="M140" s="41">
        <v>10.799999999999999</v>
      </c>
      <c r="N140" s="41">
        <v>10.799999999999999</v>
      </c>
      <c r="O140" s="41">
        <v>0</v>
      </c>
      <c r="P140" s="42">
        <v>141.59000000000003</v>
      </c>
      <c r="Q140" s="34" t="s">
        <v>410</v>
      </c>
      <c r="R140" s="34" t="s">
        <v>26</v>
      </c>
      <c r="S140" s="11" t="s">
        <v>4120</v>
      </c>
    </row>
    <row r="141" spans="1:19" x14ac:dyDescent="0.2">
      <c r="A141" s="33">
        <v>43556</v>
      </c>
      <c r="B141" s="34"/>
      <c r="C141" s="35" t="s">
        <v>565</v>
      </c>
      <c r="D141" s="34" t="str">
        <f>VLOOKUP(C141,'PUR-PARTY MASTER'!$B$4:$E$2000,2,FALSE)</f>
        <v>27ADOPJ4418Q1ZV</v>
      </c>
      <c r="E141" s="34" t="s">
        <v>22</v>
      </c>
      <c r="F141" s="134">
        <v>4635</v>
      </c>
      <c r="G141" s="135">
        <v>43556</v>
      </c>
      <c r="H141" s="34">
        <v>3405</v>
      </c>
      <c r="I141" s="39">
        <f>VLOOKUP(H141,'PUR-HSN MASTER'!$A$4:$E$5000,5,FALSE)</f>
        <v>18</v>
      </c>
      <c r="J141" s="38">
        <v>8</v>
      </c>
      <c r="K141" s="40">
        <v>440.64</v>
      </c>
      <c r="L141" s="41">
        <v>0</v>
      </c>
      <c r="M141" s="41">
        <v>39.657599999999995</v>
      </c>
      <c r="N141" s="41">
        <v>39.657599999999995</v>
      </c>
      <c r="O141" s="41">
        <v>0</v>
      </c>
      <c r="P141" s="42">
        <v>519.9452</v>
      </c>
      <c r="Q141" s="34" t="s">
        <v>410</v>
      </c>
      <c r="R141" s="34" t="s">
        <v>26</v>
      </c>
      <c r="S141" s="11" t="s">
        <v>4120</v>
      </c>
    </row>
    <row r="142" spans="1:19" x14ac:dyDescent="0.2">
      <c r="A142" s="33">
        <v>43556</v>
      </c>
      <c r="B142" s="34"/>
      <c r="C142" s="35" t="s">
        <v>565</v>
      </c>
      <c r="D142" s="34" t="str">
        <f>VLOOKUP(C142,'PUR-PARTY MASTER'!$B$4:$E$2000,2,FALSE)</f>
        <v>27ADOPJ4418Q1ZV</v>
      </c>
      <c r="E142" s="34" t="s">
        <v>22</v>
      </c>
      <c r="F142" s="134">
        <v>4635</v>
      </c>
      <c r="G142" s="135">
        <v>43556</v>
      </c>
      <c r="H142" s="34">
        <v>8481</v>
      </c>
      <c r="I142" s="39">
        <f>VLOOKUP(H142,'PUR-HSN MASTER'!$A$4:$E$5000,5,FALSE)</f>
        <v>18</v>
      </c>
      <c r="J142" s="38">
        <v>2</v>
      </c>
      <c r="K142" s="40">
        <v>380</v>
      </c>
      <c r="L142" s="41">
        <v>0</v>
      </c>
      <c r="M142" s="41">
        <v>34.199999999999996</v>
      </c>
      <c r="N142" s="41">
        <v>34.199999999999996</v>
      </c>
      <c r="O142" s="41">
        <v>0</v>
      </c>
      <c r="P142" s="42">
        <v>448.39</v>
      </c>
      <c r="Q142" s="34" t="s">
        <v>410</v>
      </c>
      <c r="R142" s="34" t="s">
        <v>26</v>
      </c>
      <c r="S142" s="11" t="s">
        <v>4120</v>
      </c>
    </row>
    <row r="143" spans="1:19" x14ac:dyDescent="0.2">
      <c r="A143" s="33">
        <v>43556</v>
      </c>
      <c r="B143" s="34"/>
      <c r="C143" s="35" t="s">
        <v>565</v>
      </c>
      <c r="D143" s="34" t="str">
        <f>VLOOKUP(C143,'PUR-PARTY MASTER'!$B$4:$E$2000,2,FALSE)</f>
        <v>27ADOPJ4418Q1ZV</v>
      </c>
      <c r="E143" s="34" t="s">
        <v>22</v>
      </c>
      <c r="F143" s="134">
        <v>4635</v>
      </c>
      <c r="G143" s="135">
        <v>43556</v>
      </c>
      <c r="H143" s="34">
        <v>8536</v>
      </c>
      <c r="I143" s="39">
        <f>VLOOKUP(H143,'PUR-HSN MASTER'!$A$4:$E$5000,5,FALSE)</f>
        <v>18</v>
      </c>
      <c r="J143" s="38">
        <v>1</v>
      </c>
      <c r="K143" s="40">
        <v>492.34</v>
      </c>
      <c r="L143" s="41">
        <v>0</v>
      </c>
      <c r="M143" s="41">
        <v>44.310600000000001</v>
      </c>
      <c r="N143" s="41">
        <v>44.310600000000001</v>
      </c>
      <c r="O143" s="41">
        <v>0</v>
      </c>
      <c r="P143" s="42">
        <v>580.95119999999997</v>
      </c>
      <c r="Q143" s="34" t="s">
        <v>410</v>
      </c>
      <c r="R143" s="34" t="s">
        <v>26</v>
      </c>
      <c r="S143" s="11" t="s">
        <v>4120</v>
      </c>
    </row>
    <row r="144" spans="1:19" x14ac:dyDescent="0.2">
      <c r="A144" s="33">
        <v>43556</v>
      </c>
      <c r="B144" s="34"/>
      <c r="C144" s="35" t="s">
        <v>565</v>
      </c>
      <c r="D144" s="34" t="str">
        <f>VLOOKUP(C144,'PUR-PARTY MASTER'!$B$4:$E$2000,2,FALSE)</f>
        <v>27ADOPJ4418Q1ZV</v>
      </c>
      <c r="E144" s="34" t="s">
        <v>22</v>
      </c>
      <c r="F144" s="134">
        <v>4635</v>
      </c>
      <c r="G144" s="135">
        <v>43556</v>
      </c>
      <c r="H144" s="34">
        <v>8532</v>
      </c>
      <c r="I144" s="39">
        <f>VLOOKUP(H144,'PUR-HSN MASTER'!$A$4:$E$5000,5,FALSE)</f>
        <v>18</v>
      </c>
      <c r="J144" s="38">
        <v>1</v>
      </c>
      <c r="K144" s="40">
        <v>120</v>
      </c>
      <c r="L144" s="41">
        <v>0</v>
      </c>
      <c r="M144" s="41">
        <v>10.799999999999999</v>
      </c>
      <c r="N144" s="41">
        <v>10.799999999999999</v>
      </c>
      <c r="O144" s="41">
        <v>0</v>
      </c>
      <c r="P144" s="42">
        <v>141.59000000000003</v>
      </c>
      <c r="Q144" s="34" t="s">
        <v>410</v>
      </c>
      <c r="R144" s="34" t="s">
        <v>26</v>
      </c>
      <c r="S144" s="11" t="s">
        <v>4120</v>
      </c>
    </row>
    <row r="145" spans="1:19" x14ac:dyDescent="0.2">
      <c r="A145" s="33">
        <v>43556</v>
      </c>
      <c r="B145" s="34"/>
      <c r="C145" s="35" t="s">
        <v>565</v>
      </c>
      <c r="D145" s="34" t="str">
        <f>VLOOKUP(C145,'PUR-PARTY MASTER'!$B$4:$E$2000,2,FALSE)</f>
        <v>27ADOPJ4418Q1ZV</v>
      </c>
      <c r="E145" s="34" t="s">
        <v>22</v>
      </c>
      <c r="F145" s="134">
        <v>4635</v>
      </c>
      <c r="G145" s="135">
        <v>43556</v>
      </c>
      <c r="H145" s="34">
        <v>7307</v>
      </c>
      <c r="I145" s="39">
        <f>VLOOKUP(H145,'PUR-HSN MASTER'!$A$4:$E$5000,5,FALSE)</f>
        <v>18</v>
      </c>
      <c r="J145" s="38">
        <v>5</v>
      </c>
      <c r="K145" s="40">
        <v>247</v>
      </c>
      <c r="L145" s="41">
        <v>0</v>
      </c>
      <c r="M145" s="41">
        <v>22.23</v>
      </c>
      <c r="N145" s="41">
        <v>22.23</v>
      </c>
      <c r="O145" s="41">
        <v>0</v>
      </c>
      <c r="P145" s="42">
        <v>291.45000000000005</v>
      </c>
      <c r="Q145" s="34" t="s">
        <v>410</v>
      </c>
      <c r="R145" s="34" t="s">
        <v>26</v>
      </c>
      <c r="S145" s="11" t="s">
        <v>4120</v>
      </c>
    </row>
    <row r="146" spans="1:19" x14ac:dyDescent="0.2">
      <c r="A146" s="33">
        <v>43556</v>
      </c>
      <c r="B146" s="34"/>
      <c r="C146" s="35" t="s">
        <v>565</v>
      </c>
      <c r="D146" s="34" t="str">
        <f>VLOOKUP(C146,'PUR-PARTY MASTER'!$B$4:$E$2000,2,FALSE)</f>
        <v>27ADOPJ4418Q1ZV</v>
      </c>
      <c r="E146" s="34" t="s">
        <v>22</v>
      </c>
      <c r="F146" s="134">
        <v>4635</v>
      </c>
      <c r="G146" s="135">
        <v>43556</v>
      </c>
      <c r="H146" s="34">
        <v>3924</v>
      </c>
      <c r="I146" s="39">
        <f>VLOOKUP(H146,'PUR-HSN MASTER'!$A$4:$E$5000,5,FALSE)</f>
        <v>18</v>
      </c>
      <c r="J146" s="38">
        <v>3</v>
      </c>
      <c r="K146" s="40">
        <v>60</v>
      </c>
      <c r="L146" s="41">
        <v>0</v>
      </c>
      <c r="M146" s="41">
        <v>5.3999999999999995</v>
      </c>
      <c r="N146" s="41">
        <v>5.3999999999999995</v>
      </c>
      <c r="O146" s="41">
        <v>0</v>
      </c>
      <c r="P146" s="42">
        <v>70.790000000000006</v>
      </c>
      <c r="Q146" s="34" t="s">
        <v>410</v>
      </c>
      <c r="R146" s="34" t="s">
        <v>26</v>
      </c>
      <c r="S146" s="11" t="s">
        <v>4120</v>
      </c>
    </row>
    <row r="147" spans="1:19" x14ac:dyDescent="0.2">
      <c r="A147" s="33">
        <v>43556</v>
      </c>
      <c r="B147" s="34"/>
      <c r="C147" s="35" t="s">
        <v>565</v>
      </c>
      <c r="D147" s="34" t="str">
        <f>VLOOKUP(C147,'PUR-PARTY MASTER'!$B$4:$E$2000,2,FALSE)</f>
        <v>27ADOPJ4418Q1ZV</v>
      </c>
      <c r="E147" s="34" t="s">
        <v>22</v>
      </c>
      <c r="F147" s="134">
        <v>4635</v>
      </c>
      <c r="G147" s="135">
        <v>43556</v>
      </c>
      <c r="H147" s="34">
        <v>7317</v>
      </c>
      <c r="I147" s="39">
        <f>VLOOKUP(H147,'PUR-HSN MASTER'!$A$4:$E$5000,5,FALSE)</f>
        <v>18</v>
      </c>
      <c r="J147" s="38">
        <v>12</v>
      </c>
      <c r="K147" s="40">
        <v>900</v>
      </c>
      <c r="L147" s="41">
        <v>0</v>
      </c>
      <c r="M147" s="41">
        <v>81</v>
      </c>
      <c r="N147" s="41">
        <v>81</v>
      </c>
      <c r="O147" s="41">
        <v>0</v>
      </c>
      <c r="P147" s="42">
        <v>1061.99</v>
      </c>
      <c r="Q147" s="34" t="s">
        <v>410</v>
      </c>
      <c r="R147" s="34" t="s">
        <v>26</v>
      </c>
      <c r="S147" s="11" t="s">
        <v>4120</v>
      </c>
    </row>
    <row r="148" spans="1:19" x14ac:dyDescent="0.2">
      <c r="A148" s="33">
        <v>43556</v>
      </c>
      <c r="B148" s="34"/>
      <c r="C148" s="35" t="s">
        <v>565</v>
      </c>
      <c r="D148" s="34" t="str">
        <f>VLOOKUP(C148,'PUR-PARTY MASTER'!$B$4:$E$2000,2,FALSE)</f>
        <v>27ADOPJ4418Q1ZV</v>
      </c>
      <c r="E148" s="34" t="s">
        <v>22</v>
      </c>
      <c r="F148" s="134">
        <v>4635</v>
      </c>
      <c r="G148" s="135">
        <v>43556</v>
      </c>
      <c r="H148" s="34">
        <v>2509</v>
      </c>
      <c r="I148" s="39">
        <f>VLOOKUP(H148,'PUR-HSN MASTER'!$A$4:$E$5000,5,FALSE)</f>
        <v>5</v>
      </c>
      <c r="J148" s="38">
        <v>2</v>
      </c>
      <c r="K148" s="40">
        <v>640</v>
      </c>
      <c r="L148" s="41">
        <v>0</v>
      </c>
      <c r="M148" s="41">
        <v>16</v>
      </c>
      <c r="N148" s="41">
        <v>16</v>
      </c>
      <c r="O148" s="41">
        <v>0</v>
      </c>
      <c r="P148" s="42">
        <v>672</v>
      </c>
      <c r="Q148" s="34" t="s">
        <v>410</v>
      </c>
      <c r="R148" s="34" t="s">
        <v>26</v>
      </c>
      <c r="S148" s="11" t="s">
        <v>4120</v>
      </c>
    </row>
    <row r="149" spans="1:19" x14ac:dyDescent="0.2">
      <c r="A149" s="33">
        <v>43556</v>
      </c>
      <c r="B149" s="34"/>
      <c r="C149" s="35" t="s">
        <v>565</v>
      </c>
      <c r="D149" s="34" t="str">
        <f>VLOOKUP(C149,'PUR-PARTY MASTER'!$B$4:$E$2000,2,FALSE)</f>
        <v>27ADOPJ4418Q1ZV</v>
      </c>
      <c r="E149" s="34" t="s">
        <v>22</v>
      </c>
      <c r="F149" s="134">
        <v>4635</v>
      </c>
      <c r="G149" s="135">
        <v>43556</v>
      </c>
      <c r="H149" s="34" t="s">
        <v>568</v>
      </c>
      <c r="I149" s="39" t="e">
        <f>VLOOKUP(H149,'PUR-HSN MASTER'!$A$4:$E$5000,5,FALSE)</f>
        <v>#N/A</v>
      </c>
      <c r="J149" s="38">
        <v>10</v>
      </c>
      <c r="K149" s="40">
        <v>169.49</v>
      </c>
      <c r="L149" s="41">
        <v>0</v>
      </c>
      <c r="M149" s="41">
        <v>15.254100000000001</v>
      </c>
      <c r="N149" s="41">
        <v>15.254100000000001</v>
      </c>
      <c r="O149" s="41">
        <v>0</v>
      </c>
      <c r="P149" s="42">
        <v>199.98820000000001</v>
      </c>
      <c r="Q149" s="34" t="s">
        <v>410</v>
      </c>
      <c r="R149" s="34" t="s">
        <v>26</v>
      </c>
      <c r="S149" s="11" t="s">
        <v>4120</v>
      </c>
    </row>
    <row r="150" spans="1:19" x14ac:dyDescent="0.2">
      <c r="A150" s="33">
        <v>43556</v>
      </c>
      <c r="B150" s="34"/>
      <c r="C150" s="35" t="s">
        <v>565</v>
      </c>
      <c r="D150" s="34" t="str">
        <f>VLOOKUP(C150,'PUR-PARTY MASTER'!$B$4:$E$2000,2,FALSE)</f>
        <v>27ADOPJ4418Q1ZV</v>
      </c>
      <c r="E150" s="34" t="s">
        <v>22</v>
      </c>
      <c r="F150" s="134">
        <v>4635</v>
      </c>
      <c r="G150" s="135">
        <v>43556</v>
      </c>
      <c r="H150" s="34">
        <v>8506</v>
      </c>
      <c r="I150" s="39">
        <f>VLOOKUP(H150,'PUR-HSN MASTER'!$A$4:$E$5000,5,FALSE)</f>
        <v>18</v>
      </c>
      <c r="J150" s="38">
        <v>10</v>
      </c>
      <c r="K150" s="40">
        <v>130</v>
      </c>
      <c r="L150" s="41">
        <v>0</v>
      </c>
      <c r="M150" s="41">
        <v>11.700000000000001</v>
      </c>
      <c r="N150" s="41">
        <v>11.700000000000001</v>
      </c>
      <c r="O150" s="41">
        <v>0</v>
      </c>
      <c r="P150" s="42">
        <v>153.38999999999999</v>
      </c>
      <c r="Q150" s="34" t="s">
        <v>410</v>
      </c>
      <c r="R150" s="34" t="s">
        <v>26</v>
      </c>
      <c r="S150" s="11" t="s">
        <v>4120</v>
      </c>
    </row>
    <row r="151" spans="1:19" x14ac:dyDescent="0.2">
      <c r="A151" s="33">
        <v>43556</v>
      </c>
      <c r="B151" s="34"/>
      <c r="C151" s="35" t="s">
        <v>565</v>
      </c>
      <c r="D151" s="34" t="str">
        <f>VLOOKUP(C151,'PUR-PARTY MASTER'!$B$4:$E$2000,2,FALSE)</f>
        <v>27ADOPJ4418Q1ZV</v>
      </c>
      <c r="E151" s="34" t="s">
        <v>22</v>
      </c>
      <c r="F151" s="134">
        <v>4635</v>
      </c>
      <c r="G151" s="135">
        <v>43556</v>
      </c>
      <c r="H151" s="34">
        <v>9608</v>
      </c>
      <c r="I151" s="39">
        <f>VLOOKUP(H151,'PUR-HSN MASTER'!$A$4:$E$5000,5,FALSE)</f>
        <v>18</v>
      </c>
      <c r="J151" s="38">
        <v>5</v>
      </c>
      <c r="K151" s="40">
        <v>500</v>
      </c>
      <c r="L151" s="41">
        <v>0</v>
      </c>
      <c r="M151" s="41">
        <v>45</v>
      </c>
      <c r="N151" s="41">
        <v>45</v>
      </c>
      <c r="O151" s="41">
        <v>0</v>
      </c>
      <c r="P151" s="42">
        <v>589.99</v>
      </c>
      <c r="Q151" s="34" t="s">
        <v>410</v>
      </c>
      <c r="R151" s="34" t="s">
        <v>26</v>
      </c>
      <c r="S151" s="11" t="s">
        <v>4120</v>
      </c>
    </row>
    <row r="152" spans="1:19" x14ac:dyDescent="0.2">
      <c r="A152" s="33">
        <v>43556</v>
      </c>
      <c r="B152" s="34"/>
      <c r="C152" s="35" t="s">
        <v>565</v>
      </c>
      <c r="D152" s="34" t="str">
        <f>VLOOKUP(C152,'PUR-PARTY MASTER'!$B$4:$E$2000,2,FALSE)</f>
        <v>27ADOPJ4418Q1ZV</v>
      </c>
      <c r="E152" s="34" t="s">
        <v>22</v>
      </c>
      <c r="F152" s="134">
        <v>4635</v>
      </c>
      <c r="G152" s="135">
        <v>43556</v>
      </c>
      <c r="H152" s="34" t="s">
        <v>569</v>
      </c>
      <c r="I152" s="39">
        <f>VLOOKUP(H152,'PUR-HSN MASTER'!$A$4:$E$5000,5,FALSE)</f>
        <v>18</v>
      </c>
      <c r="J152" s="38">
        <v>2</v>
      </c>
      <c r="K152" s="40">
        <v>906.43</v>
      </c>
      <c r="L152" s="41">
        <v>0</v>
      </c>
      <c r="M152" s="41">
        <v>81.578699999999998</v>
      </c>
      <c r="N152" s="41">
        <v>81.578699999999998</v>
      </c>
      <c r="O152" s="41">
        <v>0</v>
      </c>
      <c r="P152" s="42">
        <v>1069.5773999999999</v>
      </c>
      <c r="Q152" s="34" t="s">
        <v>410</v>
      </c>
      <c r="R152" s="34" t="s">
        <v>26</v>
      </c>
      <c r="S152" s="11" t="s">
        <v>4120</v>
      </c>
    </row>
    <row r="153" spans="1:19" x14ac:dyDescent="0.2">
      <c r="A153" s="33">
        <v>43556</v>
      </c>
      <c r="B153" s="34"/>
      <c r="C153" s="35" t="s">
        <v>565</v>
      </c>
      <c r="D153" s="34" t="str">
        <f>VLOOKUP(C153,'PUR-PARTY MASTER'!$B$4:$E$2000,2,FALSE)</f>
        <v>27ADOPJ4418Q1ZV</v>
      </c>
      <c r="E153" s="34" t="s">
        <v>22</v>
      </c>
      <c r="F153" s="134">
        <v>4635</v>
      </c>
      <c r="G153" s="135">
        <v>43556</v>
      </c>
      <c r="H153" s="34">
        <v>3917</v>
      </c>
      <c r="I153" s="39">
        <f>VLOOKUP(H153,'PUR-HSN MASTER'!$A$4:$E$5000,5,FALSE)</f>
        <v>18</v>
      </c>
      <c r="J153" s="38">
        <v>1</v>
      </c>
      <c r="K153" s="40">
        <v>390.44</v>
      </c>
      <c r="L153" s="41">
        <v>0</v>
      </c>
      <c r="M153" s="41">
        <v>35.139600000000002</v>
      </c>
      <c r="N153" s="41">
        <v>35.139600000000002</v>
      </c>
      <c r="O153" s="41">
        <v>0</v>
      </c>
      <c r="P153" s="42">
        <v>460.70920000000001</v>
      </c>
      <c r="Q153" s="34" t="s">
        <v>410</v>
      </c>
      <c r="R153" s="34" t="s">
        <v>26</v>
      </c>
      <c r="S153" s="11" t="s">
        <v>4120</v>
      </c>
    </row>
    <row r="154" spans="1:19" x14ac:dyDescent="0.2">
      <c r="A154" s="33">
        <v>43556</v>
      </c>
      <c r="B154" s="34">
        <v>119</v>
      </c>
      <c r="C154" s="35" t="s">
        <v>570</v>
      </c>
      <c r="D154" s="34" t="str">
        <f>VLOOKUP(C154,'PUR-PARTY MASTER'!$B$4:$E$2000,2,FALSE)</f>
        <v>27AAYPA0273F1ZQ</v>
      </c>
      <c r="E154" s="34" t="s">
        <v>22</v>
      </c>
      <c r="F154" s="136" t="s">
        <v>572</v>
      </c>
      <c r="G154" s="135">
        <v>43573</v>
      </c>
      <c r="H154" s="34">
        <v>85362020</v>
      </c>
      <c r="I154" s="39">
        <f>VLOOKUP(H154,'PUR-HSN MASTER'!$A$4:$E$5000,5,FALSE)</f>
        <v>18</v>
      </c>
      <c r="J154" s="38">
        <v>1</v>
      </c>
      <c r="K154" s="40">
        <v>23756.25</v>
      </c>
      <c r="L154" s="41">
        <v>0</v>
      </c>
      <c r="M154" s="41">
        <v>2138.0625</v>
      </c>
      <c r="N154" s="41">
        <v>2138.0625</v>
      </c>
      <c r="O154" s="41">
        <v>0</v>
      </c>
      <c r="P154" s="42">
        <v>28032.375</v>
      </c>
      <c r="Q154" s="34" t="s">
        <v>410</v>
      </c>
      <c r="R154" s="34" t="s">
        <v>26</v>
      </c>
      <c r="S154" s="11" t="s">
        <v>4120</v>
      </c>
    </row>
    <row r="155" spans="1:19" x14ac:dyDescent="0.2">
      <c r="A155" s="33">
        <v>43556</v>
      </c>
      <c r="B155" s="34"/>
      <c r="C155" s="35" t="s">
        <v>570</v>
      </c>
      <c r="D155" s="34" t="str">
        <f>VLOOKUP(C155,'PUR-PARTY MASTER'!$B$4:$E$2000,2,FALSE)</f>
        <v>27AAYPA0273F1ZQ</v>
      </c>
      <c r="E155" s="34" t="s">
        <v>22</v>
      </c>
      <c r="F155" s="136" t="s">
        <v>572</v>
      </c>
      <c r="G155" s="135">
        <v>43573</v>
      </c>
      <c r="H155" s="34">
        <v>85381010</v>
      </c>
      <c r="I155" s="39">
        <f>VLOOKUP(H155,'PUR-HSN MASTER'!$A$4:$E$5000,5,FALSE)</f>
        <v>18</v>
      </c>
      <c r="J155" s="38">
        <v>1</v>
      </c>
      <c r="K155" s="40">
        <v>2500</v>
      </c>
      <c r="L155" s="41">
        <v>0</v>
      </c>
      <c r="M155" s="41">
        <v>225</v>
      </c>
      <c r="N155" s="41">
        <v>225</v>
      </c>
      <c r="O155" s="41">
        <v>0</v>
      </c>
      <c r="P155" s="42">
        <v>2950</v>
      </c>
      <c r="Q155" s="34" t="s">
        <v>410</v>
      </c>
      <c r="R155" s="34" t="s">
        <v>26</v>
      </c>
      <c r="S155" s="11" t="s">
        <v>4120</v>
      </c>
    </row>
    <row r="156" spans="1:19" x14ac:dyDescent="0.2">
      <c r="A156" s="33">
        <v>43556</v>
      </c>
      <c r="B156" s="34"/>
      <c r="C156" s="35" t="s">
        <v>570</v>
      </c>
      <c r="D156" s="34" t="str">
        <f>VLOOKUP(C156,'PUR-PARTY MASTER'!$B$4:$E$2000,2,FALSE)</f>
        <v>27AAYPA0273F1ZQ</v>
      </c>
      <c r="E156" s="34" t="s">
        <v>22</v>
      </c>
      <c r="F156" s="136" t="s">
        <v>572</v>
      </c>
      <c r="G156" s="135">
        <v>43573</v>
      </c>
      <c r="H156" s="34" t="s">
        <v>573</v>
      </c>
      <c r="I156" s="39">
        <f>VLOOKUP(H156,'PUR-HSN MASTER'!$A$4:$E$5000,5,FALSE)</f>
        <v>18</v>
      </c>
      <c r="J156" s="38">
        <v>2</v>
      </c>
      <c r="K156" s="40">
        <v>5625</v>
      </c>
      <c r="L156" s="41">
        <v>0</v>
      </c>
      <c r="M156" s="41">
        <v>506.25</v>
      </c>
      <c r="N156" s="41">
        <v>506.25</v>
      </c>
      <c r="O156" s="41">
        <v>0</v>
      </c>
      <c r="P156" s="42">
        <v>6637.6</v>
      </c>
      <c r="Q156" s="34" t="s">
        <v>410</v>
      </c>
      <c r="R156" s="34" t="s">
        <v>26</v>
      </c>
      <c r="S156" s="11" t="s">
        <v>4120</v>
      </c>
    </row>
    <row r="157" spans="1:19" x14ac:dyDescent="0.2">
      <c r="A157" s="33">
        <v>43556</v>
      </c>
      <c r="B157" s="34">
        <v>120</v>
      </c>
      <c r="C157" s="35" t="s">
        <v>554</v>
      </c>
      <c r="D157" s="34" t="str">
        <f>VLOOKUP(C157,'PUR-PARTY MASTER'!$B$4:$E$2000,2,FALSE)</f>
        <v>27AACFA1881H1ZL</v>
      </c>
      <c r="E157" s="34" t="s">
        <v>22</v>
      </c>
      <c r="F157" s="134">
        <v>902</v>
      </c>
      <c r="G157" s="135">
        <v>43581</v>
      </c>
      <c r="H157" s="34">
        <v>87141900</v>
      </c>
      <c r="I157" s="39">
        <f>VLOOKUP(H157,'PUR-HSN MASTER'!$A$4:$E$5000,5,FALSE)</f>
        <v>28</v>
      </c>
      <c r="J157" s="38">
        <v>1000</v>
      </c>
      <c r="K157" s="40">
        <v>2780</v>
      </c>
      <c r="L157" s="41">
        <v>0</v>
      </c>
      <c r="M157" s="41">
        <v>389.2</v>
      </c>
      <c r="N157" s="41">
        <v>389.2</v>
      </c>
      <c r="O157" s="41">
        <v>0</v>
      </c>
      <c r="P157" s="42">
        <v>3558.3999999999996</v>
      </c>
      <c r="Q157" s="34" t="s">
        <v>410</v>
      </c>
      <c r="R157" s="34" t="s">
        <v>26</v>
      </c>
      <c r="S157" s="11" t="s">
        <v>4120</v>
      </c>
    </row>
    <row r="158" spans="1:19" x14ac:dyDescent="0.2">
      <c r="A158" s="33">
        <v>43556</v>
      </c>
      <c r="B158" s="34">
        <v>121</v>
      </c>
      <c r="C158" s="35" t="s">
        <v>521</v>
      </c>
      <c r="D158" s="34" t="str">
        <f>VLOOKUP(C158,'PUR-PARTY MASTER'!$B$4:$E$2000,2,FALSE)</f>
        <v>27APHPD1073Q1ZM</v>
      </c>
      <c r="E158" s="34" t="s">
        <v>22</v>
      </c>
      <c r="F158" s="136" t="s">
        <v>574</v>
      </c>
      <c r="G158" s="135">
        <v>43582</v>
      </c>
      <c r="H158" s="34">
        <v>84778090</v>
      </c>
      <c r="I158" s="39">
        <f>VLOOKUP(H158,'PUR-HSN MASTER'!$A$4:$E$5000,5,FALSE)</f>
        <v>18</v>
      </c>
      <c r="J158" s="38">
        <v>40</v>
      </c>
      <c r="K158" s="40">
        <v>30000</v>
      </c>
      <c r="L158" s="41">
        <v>0</v>
      </c>
      <c r="M158" s="41">
        <v>2700</v>
      </c>
      <c r="N158" s="41">
        <v>2700</v>
      </c>
      <c r="O158" s="41">
        <v>0</v>
      </c>
      <c r="P158" s="42">
        <v>35399.800000000003</v>
      </c>
      <c r="Q158" s="34" t="s">
        <v>412</v>
      </c>
      <c r="R158" s="34" t="s">
        <v>26</v>
      </c>
      <c r="S158" s="11" t="s">
        <v>4120</v>
      </c>
    </row>
    <row r="159" spans="1:19" x14ac:dyDescent="0.2">
      <c r="A159" s="33">
        <v>43556</v>
      </c>
      <c r="B159" s="34">
        <v>122</v>
      </c>
      <c r="C159" s="35" t="s">
        <v>473</v>
      </c>
      <c r="D159" s="34" t="str">
        <f>VLOOKUP(C159,'PUR-PARTY MASTER'!$B$4:$E$2000,2,FALSE)</f>
        <v>27AAACT1848E1ZH</v>
      </c>
      <c r="E159" s="34" t="s">
        <v>22</v>
      </c>
      <c r="F159" s="136" t="s">
        <v>575</v>
      </c>
      <c r="G159" s="135">
        <v>43582</v>
      </c>
      <c r="H159" s="34">
        <v>87082900</v>
      </c>
      <c r="I159" s="39">
        <f>VLOOKUP(H159,'PUR-HSN MASTER'!$A$4:$E$5000,5,FALSE)</f>
        <v>28</v>
      </c>
      <c r="J159" s="38">
        <v>30</v>
      </c>
      <c r="K159" s="40">
        <v>4809</v>
      </c>
      <c r="L159" s="41">
        <v>0</v>
      </c>
      <c r="M159" s="41">
        <v>673.26</v>
      </c>
      <c r="N159" s="41">
        <v>673.26</v>
      </c>
      <c r="O159" s="41">
        <v>0</v>
      </c>
      <c r="P159" s="42">
        <v>6155.52</v>
      </c>
      <c r="Q159" s="34" t="s">
        <v>410</v>
      </c>
      <c r="R159" s="34" t="s">
        <v>26</v>
      </c>
      <c r="S159" s="11" t="s">
        <v>4120</v>
      </c>
    </row>
    <row r="160" spans="1:19" x14ac:dyDescent="0.2">
      <c r="A160" s="33">
        <v>43556</v>
      </c>
      <c r="B160" s="34">
        <v>123</v>
      </c>
      <c r="C160" s="35" t="s">
        <v>473</v>
      </c>
      <c r="D160" s="34" t="str">
        <f>VLOOKUP(C160,'PUR-PARTY MASTER'!$B$4:$E$2000,2,FALSE)</f>
        <v>27AAACT1848E1ZH</v>
      </c>
      <c r="E160" s="34" t="s">
        <v>22</v>
      </c>
      <c r="F160" s="136" t="s">
        <v>576</v>
      </c>
      <c r="G160" s="135">
        <v>43582</v>
      </c>
      <c r="H160" s="34">
        <v>87089900</v>
      </c>
      <c r="I160" s="39">
        <f>VLOOKUP(H160,'PUR-HSN MASTER'!$A$4:$E$5000,5,FALSE)</f>
        <v>28</v>
      </c>
      <c r="J160" s="38">
        <v>40</v>
      </c>
      <c r="K160" s="40">
        <v>6012.8</v>
      </c>
      <c r="L160" s="41">
        <v>0</v>
      </c>
      <c r="M160" s="41">
        <v>841.79200000000003</v>
      </c>
      <c r="N160" s="41">
        <v>841.79200000000003</v>
      </c>
      <c r="O160" s="41">
        <v>0</v>
      </c>
      <c r="P160" s="42">
        <v>7696.3840000000009</v>
      </c>
      <c r="Q160" s="34" t="s">
        <v>410</v>
      </c>
      <c r="R160" s="34" t="s">
        <v>26</v>
      </c>
      <c r="S160" s="11" t="s">
        <v>4120</v>
      </c>
    </row>
    <row r="161" spans="1:19" x14ac:dyDescent="0.2">
      <c r="A161" s="33">
        <v>43556</v>
      </c>
      <c r="B161" s="34">
        <v>124</v>
      </c>
      <c r="C161" s="35" t="s">
        <v>554</v>
      </c>
      <c r="D161" s="34" t="str">
        <f>VLOOKUP(C161,'PUR-PARTY MASTER'!$B$4:$E$2000,2,FALSE)</f>
        <v>27AACFA1881H1ZL</v>
      </c>
      <c r="E161" s="34" t="s">
        <v>22</v>
      </c>
      <c r="F161" s="134">
        <v>953</v>
      </c>
      <c r="G161" s="135">
        <v>43583</v>
      </c>
      <c r="H161" s="34">
        <v>87141900</v>
      </c>
      <c r="I161" s="39">
        <f>VLOOKUP(H161,'PUR-HSN MASTER'!$A$4:$E$5000,5,FALSE)</f>
        <v>28</v>
      </c>
      <c r="J161" s="623" t="s">
        <v>577</v>
      </c>
      <c r="K161" s="40">
        <v>5481.25</v>
      </c>
      <c r="L161" s="41">
        <v>0</v>
      </c>
      <c r="M161" s="41">
        <v>767.375</v>
      </c>
      <c r="N161" s="41">
        <v>767.375</v>
      </c>
      <c r="O161" s="41">
        <v>0</v>
      </c>
      <c r="P161" s="42">
        <v>7016.01</v>
      </c>
      <c r="Q161" s="34" t="s">
        <v>410</v>
      </c>
      <c r="R161" s="34" t="s">
        <v>26</v>
      </c>
      <c r="S161" s="11" t="s">
        <v>4120</v>
      </c>
    </row>
    <row r="162" spans="1:19" x14ac:dyDescent="0.2">
      <c r="A162" s="33">
        <v>43556</v>
      </c>
      <c r="B162" s="34">
        <v>125</v>
      </c>
      <c r="C162" s="35" t="s">
        <v>471</v>
      </c>
      <c r="D162" s="34" t="str">
        <f>VLOOKUP(C162,'PUR-PARTY MASTER'!$B$4:$E$2000,2,FALSE)</f>
        <v>27AAECM8871A1ZF</v>
      </c>
      <c r="E162" s="34" t="s">
        <v>22</v>
      </c>
      <c r="F162" s="134">
        <v>192000885</v>
      </c>
      <c r="G162" s="135">
        <v>43583</v>
      </c>
      <c r="H162" s="34">
        <v>87089900</v>
      </c>
      <c r="I162" s="39">
        <f>VLOOKUP(H162,'PUR-HSN MASTER'!$A$4:$E$5000,5,FALSE)</f>
        <v>28</v>
      </c>
      <c r="J162" s="38">
        <v>12</v>
      </c>
      <c r="K162" s="40">
        <v>17483.52</v>
      </c>
      <c r="L162" s="41">
        <v>0</v>
      </c>
      <c r="M162" s="41">
        <v>2447.6928000000003</v>
      </c>
      <c r="N162" s="41">
        <v>2447.6928000000003</v>
      </c>
      <c r="O162" s="41">
        <v>0</v>
      </c>
      <c r="P162" s="42">
        <v>22378.895600000003</v>
      </c>
      <c r="Q162" s="34" t="s">
        <v>410</v>
      </c>
      <c r="R162" s="34" t="s">
        <v>26</v>
      </c>
      <c r="S162" s="11" t="s">
        <v>4120</v>
      </c>
    </row>
    <row r="163" spans="1:19" x14ac:dyDescent="0.2">
      <c r="A163" s="33">
        <v>43556</v>
      </c>
      <c r="B163" s="34">
        <v>126</v>
      </c>
      <c r="C163" s="35" t="s">
        <v>471</v>
      </c>
      <c r="D163" s="34" t="str">
        <f>VLOOKUP(C163,'PUR-PARTY MASTER'!$B$4:$E$2000,2,FALSE)</f>
        <v>27AAECM8871A1ZF</v>
      </c>
      <c r="E163" s="34" t="s">
        <v>22</v>
      </c>
      <c r="F163" s="134">
        <v>192000894</v>
      </c>
      <c r="G163" s="135">
        <v>43583</v>
      </c>
      <c r="H163" s="34">
        <v>87089900</v>
      </c>
      <c r="I163" s="39">
        <f>VLOOKUP(H163,'PUR-HSN MASTER'!$A$4:$E$5000,5,FALSE)</f>
        <v>28</v>
      </c>
      <c r="J163" s="38">
        <v>12</v>
      </c>
      <c r="K163" s="40">
        <v>17483.52</v>
      </c>
      <c r="L163" s="41">
        <v>0</v>
      </c>
      <c r="M163" s="41">
        <v>2447.6928000000003</v>
      </c>
      <c r="N163" s="41">
        <v>2447.6928000000003</v>
      </c>
      <c r="O163" s="41">
        <v>0</v>
      </c>
      <c r="P163" s="42">
        <v>22378.895600000003</v>
      </c>
      <c r="Q163" s="34" t="s">
        <v>410</v>
      </c>
      <c r="R163" s="34" t="s">
        <v>26</v>
      </c>
      <c r="S163" s="11" t="s">
        <v>4120</v>
      </c>
    </row>
    <row r="164" spans="1:19" x14ac:dyDescent="0.2">
      <c r="A164" s="33">
        <v>43556</v>
      </c>
      <c r="B164" s="34">
        <v>127</v>
      </c>
      <c r="C164" s="35" t="s">
        <v>493</v>
      </c>
      <c r="D164" s="34" t="str">
        <f>VLOOKUP(C164,'PUR-PARTY MASTER'!$B$4:$E$2000,2,FALSE)</f>
        <v>27AMMPB3648M1ZO</v>
      </c>
      <c r="E164" s="34" t="s">
        <v>22</v>
      </c>
      <c r="F164" s="134">
        <v>490</v>
      </c>
      <c r="G164" s="135">
        <v>43583</v>
      </c>
      <c r="H164" s="34">
        <v>85129000</v>
      </c>
      <c r="I164" s="39">
        <f>VLOOKUP(H164,'PUR-HSN MASTER'!$A$4:$E$5000,5,FALSE)</f>
        <v>18</v>
      </c>
      <c r="J164" s="38">
        <v>445</v>
      </c>
      <c r="K164" s="40">
        <v>10230.549999999999</v>
      </c>
      <c r="L164" s="41">
        <v>0</v>
      </c>
      <c r="M164" s="41">
        <v>920.7494999999999</v>
      </c>
      <c r="N164" s="41">
        <v>920.7494999999999</v>
      </c>
      <c r="O164" s="41">
        <v>0</v>
      </c>
      <c r="P164" s="42">
        <v>12071.999</v>
      </c>
      <c r="Q164" s="34" t="s">
        <v>410</v>
      </c>
      <c r="R164" s="34" t="s">
        <v>26</v>
      </c>
      <c r="S164" s="11" t="s">
        <v>4120</v>
      </c>
    </row>
    <row r="165" spans="1:19" x14ac:dyDescent="0.2">
      <c r="A165" s="33">
        <v>43556</v>
      </c>
      <c r="B165" s="34">
        <v>128</v>
      </c>
      <c r="C165" s="35" t="s">
        <v>489</v>
      </c>
      <c r="D165" s="34" t="str">
        <f>VLOOKUP(C165,'PUR-PARTY MASTER'!$B$4:$E$2000,2,FALSE)</f>
        <v>27AAECD2713N1ZK</v>
      </c>
      <c r="E165" s="34" t="s">
        <v>22</v>
      </c>
      <c r="F165" s="134">
        <v>7887982163</v>
      </c>
      <c r="G165" s="135">
        <v>43583</v>
      </c>
      <c r="H165" s="34">
        <v>32082090</v>
      </c>
      <c r="I165" s="39">
        <f>VLOOKUP(H165,'PUR-HSN MASTER'!$A$4:$E$5000,5,FALSE)</f>
        <v>18</v>
      </c>
      <c r="J165" s="38">
        <v>16</v>
      </c>
      <c r="K165" s="40">
        <v>7520</v>
      </c>
      <c r="L165" s="41">
        <v>0</v>
      </c>
      <c r="M165" s="41">
        <v>676.80000000000007</v>
      </c>
      <c r="N165" s="41">
        <v>676.80000000000007</v>
      </c>
      <c r="O165" s="41">
        <v>0</v>
      </c>
      <c r="P165" s="42">
        <v>8873.6999999999989</v>
      </c>
      <c r="Q165" s="34" t="s">
        <v>410</v>
      </c>
      <c r="R165" s="34" t="s">
        <v>26</v>
      </c>
      <c r="S165" s="11" t="s">
        <v>4120</v>
      </c>
    </row>
    <row r="166" spans="1:19" x14ac:dyDescent="0.2">
      <c r="A166" s="33">
        <v>43556</v>
      </c>
      <c r="B166" s="34"/>
      <c r="C166" s="35" t="s">
        <v>489</v>
      </c>
      <c r="D166" s="34" t="str">
        <f>VLOOKUP(C166,'PUR-PARTY MASTER'!$B$4:$E$2000,2,FALSE)</f>
        <v>27AAECD2713N1ZK</v>
      </c>
      <c r="E166" s="34" t="s">
        <v>22</v>
      </c>
      <c r="F166" s="134">
        <v>7887982163</v>
      </c>
      <c r="G166" s="135">
        <v>43583</v>
      </c>
      <c r="H166" s="34">
        <v>39119090</v>
      </c>
      <c r="I166" s="39">
        <f>VLOOKUP(H166,'PUR-HSN MASTER'!$A$4:$E$5000,5,FALSE)</f>
        <v>18</v>
      </c>
      <c r="J166" s="38">
        <v>2</v>
      </c>
      <c r="K166" s="40">
        <v>1190</v>
      </c>
      <c r="L166" s="41">
        <v>0</v>
      </c>
      <c r="M166" s="41">
        <v>107.10000000000001</v>
      </c>
      <c r="N166" s="41">
        <v>107.10000000000001</v>
      </c>
      <c r="O166" s="41">
        <v>0</v>
      </c>
      <c r="P166" s="42">
        <v>1404.2999999999997</v>
      </c>
      <c r="Q166" s="34" t="s">
        <v>410</v>
      </c>
      <c r="R166" s="34" t="s">
        <v>26</v>
      </c>
      <c r="S166" s="11" t="s">
        <v>4120</v>
      </c>
    </row>
    <row r="167" spans="1:19" x14ac:dyDescent="0.2">
      <c r="A167" s="33">
        <v>43556</v>
      </c>
      <c r="B167" s="34">
        <v>129</v>
      </c>
      <c r="C167" s="35" t="s">
        <v>489</v>
      </c>
      <c r="D167" s="34" t="str">
        <f>VLOOKUP(C167,'PUR-PARTY MASTER'!$B$4:$E$2000,2,FALSE)</f>
        <v>27AAECD2713N1ZK</v>
      </c>
      <c r="E167" s="34" t="s">
        <v>22</v>
      </c>
      <c r="F167" s="134">
        <v>7887982162</v>
      </c>
      <c r="G167" s="135">
        <v>43583</v>
      </c>
      <c r="H167" s="34">
        <v>32082090</v>
      </c>
      <c r="I167" s="39">
        <f>VLOOKUP(H167,'PUR-HSN MASTER'!$A$4:$E$5000,5,FALSE)</f>
        <v>18</v>
      </c>
      <c r="J167" s="38">
        <v>12</v>
      </c>
      <c r="K167" s="40">
        <v>5100</v>
      </c>
      <c r="L167" s="41">
        <v>0</v>
      </c>
      <c r="M167" s="41">
        <v>459</v>
      </c>
      <c r="N167" s="41">
        <v>459</v>
      </c>
      <c r="O167" s="41">
        <v>0</v>
      </c>
      <c r="P167" s="42">
        <v>6018</v>
      </c>
      <c r="Q167" s="34" t="s">
        <v>410</v>
      </c>
      <c r="R167" s="34" t="s">
        <v>26</v>
      </c>
      <c r="S167" s="11" t="s">
        <v>4120</v>
      </c>
    </row>
    <row r="168" spans="1:19" x14ac:dyDescent="0.2">
      <c r="A168" s="33">
        <v>43556</v>
      </c>
      <c r="B168" s="34"/>
      <c r="C168" s="35" t="s">
        <v>489</v>
      </c>
      <c r="D168" s="34" t="str">
        <f>VLOOKUP(C168,'PUR-PARTY MASTER'!$B$4:$E$2000,2,FALSE)</f>
        <v>27AAECD2713N1ZK</v>
      </c>
      <c r="E168" s="34" t="s">
        <v>22</v>
      </c>
      <c r="F168" s="134">
        <v>7887982162</v>
      </c>
      <c r="G168" s="135">
        <v>43583</v>
      </c>
      <c r="H168" s="34">
        <v>32089090</v>
      </c>
      <c r="I168" s="39">
        <f>VLOOKUP(H168,'PUR-HSN MASTER'!$A$4:$E$5000,5,FALSE)</f>
        <v>18</v>
      </c>
      <c r="J168" s="38">
        <v>32</v>
      </c>
      <c r="K168" s="40">
        <v>20480</v>
      </c>
      <c r="L168" s="41">
        <v>0</v>
      </c>
      <c r="M168" s="41">
        <v>1843.2</v>
      </c>
      <c r="N168" s="41">
        <v>1843.2</v>
      </c>
      <c r="O168" s="41">
        <v>0</v>
      </c>
      <c r="P168" s="42">
        <v>24166.400000000001</v>
      </c>
      <c r="Q168" s="34" t="s">
        <v>410</v>
      </c>
      <c r="R168" s="34" t="s">
        <v>26</v>
      </c>
      <c r="S168" s="11" t="s">
        <v>4120</v>
      </c>
    </row>
    <row r="169" spans="1:19" x14ac:dyDescent="0.2">
      <c r="A169" s="33">
        <v>43556</v>
      </c>
      <c r="B169" s="34"/>
      <c r="C169" s="35" t="s">
        <v>489</v>
      </c>
      <c r="D169" s="34" t="str">
        <f>VLOOKUP(C169,'PUR-PARTY MASTER'!$B$4:$E$2000,2,FALSE)</f>
        <v>27AAECD2713N1ZK</v>
      </c>
      <c r="E169" s="34" t="s">
        <v>22</v>
      </c>
      <c r="F169" s="134">
        <v>7887982162</v>
      </c>
      <c r="G169" s="135">
        <v>43583</v>
      </c>
      <c r="H169" s="34">
        <v>39119090</v>
      </c>
      <c r="I169" s="39">
        <f>VLOOKUP(H169,'PUR-HSN MASTER'!$A$4:$E$5000,5,FALSE)</f>
        <v>18</v>
      </c>
      <c r="J169" s="38">
        <v>18</v>
      </c>
      <c r="K169" s="40">
        <v>12420</v>
      </c>
      <c r="L169" s="41">
        <v>0</v>
      </c>
      <c r="M169" s="41">
        <v>1117.8</v>
      </c>
      <c r="N169" s="41">
        <v>1117.8</v>
      </c>
      <c r="O169" s="41">
        <v>0</v>
      </c>
      <c r="P169" s="42">
        <v>14655.599999999999</v>
      </c>
      <c r="Q169" s="34" t="s">
        <v>410</v>
      </c>
      <c r="R169" s="34" t="s">
        <v>26</v>
      </c>
      <c r="S169" s="11" t="s">
        <v>4120</v>
      </c>
    </row>
    <row r="170" spans="1:19" x14ac:dyDescent="0.2">
      <c r="A170" s="33">
        <v>43556</v>
      </c>
      <c r="B170" s="34"/>
      <c r="C170" s="35" t="s">
        <v>489</v>
      </c>
      <c r="D170" s="34" t="str">
        <f>VLOOKUP(C170,'PUR-PARTY MASTER'!$B$4:$E$2000,2,FALSE)</f>
        <v>27AAECD2713N1ZK</v>
      </c>
      <c r="E170" s="34" t="s">
        <v>22</v>
      </c>
      <c r="F170" s="134">
        <v>7887982162</v>
      </c>
      <c r="G170" s="135">
        <v>43583</v>
      </c>
      <c r="H170" s="34">
        <v>38140010</v>
      </c>
      <c r="I170" s="39">
        <f>VLOOKUP(H170,'PUR-HSN MASTER'!$A$4:$E$5000,5,FALSE)</f>
        <v>18</v>
      </c>
      <c r="J170" s="38">
        <v>40</v>
      </c>
      <c r="K170" s="40">
        <v>5800</v>
      </c>
      <c r="L170" s="41">
        <v>0</v>
      </c>
      <c r="M170" s="41">
        <v>522</v>
      </c>
      <c r="N170" s="41">
        <v>522</v>
      </c>
      <c r="O170" s="41">
        <v>0</v>
      </c>
      <c r="P170" s="42">
        <v>6844</v>
      </c>
      <c r="Q170" s="34" t="s">
        <v>410</v>
      </c>
      <c r="R170" s="34" t="s">
        <v>26</v>
      </c>
      <c r="S170" s="11" t="s">
        <v>4120</v>
      </c>
    </row>
    <row r="171" spans="1:19" x14ac:dyDescent="0.2">
      <c r="A171" s="33">
        <v>43556</v>
      </c>
      <c r="B171" s="34">
        <v>130</v>
      </c>
      <c r="C171" s="35" t="s">
        <v>565</v>
      </c>
      <c r="D171" s="34" t="str">
        <f>VLOOKUP(C171,'PUR-PARTY MASTER'!$B$4:$E$2000,2,FALSE)</f>
        <v>27ADOPJ4418Q1ZV</v>
      </c>
      <c r="E171" s="34" t="s">
        <v>22</v>
      </c>
      <c r="F171" s="134">
        <v>4666</v>
      </c>
      <c r="G171" s="135">
        <v>43572</v>
      </c>
      <c r="H171" s="34">
        <v>8481</v>
      </c>
      <c r="I171" s="39">
        <f>VLOOKUP(H171,'PUR-HSN MASTER'!$A$4:$E$5000,5,FALSE)</f>
        <v>18</v>
      </c>
      <c r="J171" s="38">
        <v>59</v>
      </c>
      <c r="K171" s="40">
        <v>9550</v>
      </c>
      <c r="L171" s="39">
        <v>0</v>
      </c>
      <c r="M171" s="39">
        <v>859.5</v>
      </c>
      <c r="N171" s="39">
        <v>859.5</v>
      </c>
      <c r="O171" s="39">
        <v>0</v>
      </c>
      <c r="P171" s="39">
        <v>11269</v>
      </c>
      <c r="Q171" s="34" t="s">
        <v>410</v>
      </c>
      <c r="R171" s="34" t="s">
        <v>26</v>
      </c>
      <c r="S171" s="11" t="s">
        <v>4120</v>
      </c>
    </row>
    <row r="172" spans="1:19" x14ac:dyDescent="0.2">
      <c r="A172" s="33">
        <v>43556</v>
      </c>
      <c r="B172" s="34"/>
      <c r="C172" s="35" t="s">
        <v>565</v>
      </c>
      <c r="D172" s="34" t="str">
        <f>VLOOKUP(C172,'PUR-PARTY MASTER'!$B$4:$E$2000,2,FALSE)</f>
        <v>27ADOPJ4418Q1ZV</v>
      </c>
      <c r="E172" s="34" t="s">
        <v>22</v>
      </c>
      <c r="F172" s="134">
        <v>4666</v>
      </c>
      <c r="G172" s="135">
        <v>43572</v>
      </c>
      <c r="H172" s="34">
        <v>3917</v>
      </c>
      <c r="I172" s="39">
        <f>VLOOKUP(H172,'PUR-HSN MASTER'!$A$4:$E$5000,5,FALSE)</f>
        <v>18</v>
      </c>
      <c r="J172" s="38">
        <v>3</v>
      </c>
      <c r="K172" s="40">
        <v>180</v>
      </c>
      <c r="L172" s="39">
        <v>0</v>
      </c>
      <c r="M172" s="39">
        <v>16.2</v>
      </c>
      <c r="N172" s="39">
        <v>16.2</v>
      </c>
      <c r="O172" s="39">
        <v>0</v>
      </c>
      <c r="P172" s="39">
        <v>212.39999999999998</v>
      </c>
      <c r="Q172" s="34" t="s">
        <v>410</v>
      </c>
      <c r="R172" s="34" t="s">
        <v>26</v>
      </c>
      <c r="S172" s="11" t="s">
        <v>4120</v>
      </c>
    </row>
    <row r="173" spans="1:19" x14ac:dyDescent="0.2">
      <c r="A173" s="33">
        <v>43556</v>
      </c>
      <c r="B173" s="34"/>
      <c r="C173" s="35" t="s">
        <v>565</v>
      </c>
      <c r="D173" s="34" t="str">
        <f>VLOOKUP(C173,'PUR-PARTY MASTER'!$B$4:$E$2000,2,FALSE)</f>
        <v>27ADOPJ4418Q1ZV</v>
      </c>
      <c r="E173" s="34" t="s">
        <v>22</v>
      </c>
      <c r="F173" s="134">
        <v>4666</v>
      </c>
      <c r="G173" s="135">
        <v>43572</v>
      </c>
      <c r="H173" s="34">
        <v>7318</v>
      </c>
      <c r="I173" s="39">
        <f>VLOOKUP(H173,'PUR-HSN MASTER'!$A$4:$E$5000,5,FALSE)</f>
        <v>18</v>
      </c>
      <c r="J173" s="38">
        <v>2</v>
      </c>
      <c r="K173" s="40">
        <v>90</v>
      </c>
      <c r="L173" s="39">
        <v>0</v>
      </c>
      <c r="M173" s="39">
        <v>8.1</v>
      </c>
      <c r="N173" s="39">
        <v>8.1</v>
      </c>
      <c r="O173" s="39">
        <v>0</v>
      </c>
      <c r="P173" s="39">
        <v>106.29999999999998</v>
      </c>
      <c r="Q173" s="34" t="s">
        <v>410</v>
      </c>
      <c r="R173" s="34" t="s">
        <v>26</v>
      </c>
      <c r="S173" s="11" t="s">
        <v>4120</v>
      </c>
    </row>
    <row r="174" spans="1:19" x14ac:dyDescent="0.2">
      <c r="A174" s="33">
        <v>43556</v>
      </c>
      <c r="B174" s="34"/>
      <c r="C174" s="35" t="s">
        <v>565</v>
      </c>
      <c r="D174" s="34" t="str">
        <f>VLOOKUP(C174,'PUR-PARTY MASTER'!$B$4:$E$2000,2,FALSE)</f>
        <v>27ADOPJ4418Q1ZV</v>
      </c>
      <c r="E174" s="34" t="s">
        <v>22</v>
      </c>
      <c r="F174" s="134">
        <v>4666</v>
      </c>
      <c r="G174" s="135">
        <v>43572</v>
      </c>
      <c r="H174" s="34">
        <v>2523</v>
      </c>
      <c r="I174" s="39">
        <f>VLOOKUP(H174,'PUR-HSN MASTER'!$A$4:$E$5000,5,FALSE)</f>
        <v>28</v>
      </c>
      <c r="J174" s="38">
        <v>1</v>
      </c>
      <c r="K174" s="40">
        <v>140</v>
      </c>
      <c r="L174" s="39">
        <v>0</v>
      </c>
      <c r="M174" s="39">
        <v>19.599999999999998</v>
      </c>
      <c r="N174" s="39">
        <v>19.599999999999998</v>
      </c>
      <c r="O174" s="39">
        <v>0</v>
      </c>
      <c r="P174" s="39">
        <v>179.29999999999998</v>
      </c>
      <c r="Q174" s="34" t="s">
        <v>410</v>
      </c>
      <c r="R174" s="34" t="s">
        <v>26</v>
      </c>
      <c r="S174" s="11" t="s">
        <v>4120</v>
      </c>
    </row>
    <row r="175" spans="1:19" x14ac:dyDescent="0.2">
      <c r="A175" s="33">
        <v>43556</v>
      </c>
      <c r="B175" s="34">
        <v>131</v>
      </c>
      <c r="C175" s="35" t="s">
        <v>499</v>
      </c>
      <c r="D175" s="34" t="str">
        <f>VLOOKUP(C175,'PUR-PARTY MASTER'!$B$4:$E$2000,2,FALSE)</f>
        <v>27AAHFP1154B1ZN</v>
      </c>
      <c r="E175" s="34" t="s">
        <v>22</v>
      </c>
      <c r="F175" s="136" t="s">
        <v>578</v>
      </c>
      <c r="G175" s="135">
        <v>43581</v>
      </c>
      <c r="H175" s="34">
        <v>27076000</v>
      </c>
      <c r="I175" s="39">
        <f>VLOOKUP(H175,'PUR-HSN MASTER'!$A$4:$E$5000,5,FALSE)</f>
        <v>18</v>
      </c>
      <c r="J175" s="38">
        <v>10</v>
      </c>
      <c r="K175" s="40">
        <v>170</v>
      </c>
      <c r="L175" s="39">
        <v>0</v>
      </c>
      <c r="M175" s="39">
        <v>15.299999999999999</v>
      </c>
      <c r="N175" s="39">
        <v>15.299999999999999</v>
      </c>
      <c r="O175" s="39">
        <v>0</v>
      </c>
      <c r="P175" s="39">
        <v>200.59000000000003</v>
      </c>
      <c r="Q175" s="34" t="s">
        <v>410</v>
      </c>
      <c r="R175" s="34" t="s">
        <v>26</v>
      </c>
      <c r="S175" s="11" t="s">
        <v>4120</v>
      </c>
    </row>
    <row r="176" spans="1:19" x14ac:dyDescent="0.2">
      <c r="A176" s="33">
        <v>43556</v>
      </c>
      <c r="B176" s="34"/>
      <c r="C176" s="35" t="s">
        <v>499</v>
      </c>
      <c r="D176" s="34" t="str">
        <f>VLOOKUP(C176,'PUR-PARTY MASTER'!$B$4:$E$2000,2,FALSE)</f>
        <v>27AAHFP1154B1ZN</v>
      </c>
      <c r="E176" s="34" t="s">
        <v>22</v>
      </c>
      <c r="F176" s="136" t="s">
        <v>578</v>
      </c>
      <c r="G176" s="135">
        <v>43581</v>
      </c>
      <c r="H176" s="34">
        <v>96039000</v>
      </c>
      <c r="I176" s="39">
        <f>VLOOKUP(H176,'PUR-HSN MASTER'!$A$4:$E$5000,5,FALSE)</f>
        <v>18</v>
      </c>
      <c r="J176" s="38">
        <v>6</v>
      </c>
      <c r="K176" s="40">
        <v>468</v>
      </c>
      <c r="L176" s="39">
        <v>0</v>
      </c>
      <c r="M176" s="39">
        <v>42.12</v>
      </c>
      <c r="N176" s="39">
        <v>42.12</v>
      </c>
      <c r="O176" s="39">
        <v>0</v>
      </c>
      <c r="P176" s="39">
        <v>552.23</v>
      </c>
      <c r="Q176" s="34" t="s">
        <v>410</v>
      </c>
      <c r="R176" s="34" t="s">
        <v>26</v>
      </c>
      <c r="S176" s="11" t="s">
        <v>4120</v>
      </c>
    </row>
    <row r="177" spans="1:19" x14ac:dyDescent="0.2">
      <c r="A177" s="33">
        <v>43556</v>
      </c>
      <c r="B177" s="34"/>
      <c r="C177" s="35" t="s">
        <v>499</v>
      </c>
      <c r="D177" s="34" t="str">
        <f>VLOOKUP(C177,'PUR-PARTY MASTER'!$B$4:$E$2000,2,FALSE)</f>
        <v>27AAHFP1154B1ZN</v>
      </c>
      <c r="E177" s="34" t="s">
        <v>22</v>
      </c>
      <c r="F177" s="136" t="s">
        <v>578</v>
      </c>
      <c r="G177" s="135">
        <v>43581</v>
      </c>
      <c r="H177" s="34">
        <v>68053050</v>
      </c>
      <c r="I177" s="39">
        <f>VLOOKUP(H177,'PUR-HSN MASTER'!$A$4:$E$5000,5,FALSE)</f>
        <v>18</v>
      </c>
      <c r="J177" s="38">
        <v>120</v>
      </c>
      <c r="K177" s="40">
        <v>3000</v>
      </c>
      <c r="L177" s="39">
        <v>0</v>
      </c>
      <c r="M177" s="39">
        <v>270</v>
      </c>
      <c r="N177" s="39">
        <v>270</v>
      </c>
      <c r="O177" s="39">
        <v>0</v>
      </c>
      <c r="P177" s="39">
        <v>3539.99</v>
      </c>
      <c r="Q177" s="34" t="s">
        <v>410</v>
      </c>
      <c r="R177" s="34" t="s">
        <v>26</v>
      </c>
      <c r="S177" s="11" t="s">
        <v>4120</v>
      </c>
    </row>
    <row r="178" spans="1:19" x14ac:dyDescent="0.2">
      <c r="A178" s="33">
        <v>43556</v>
      </c>
      <c r="B178" s="34"/>
      <c r="C178" s="35" t="s">
        <v>499</v>
      </c>
      <c r="D178" s="34" t="str">
        <f>VLOOKUP(C178,'PUR-PARTY MASTER'!$B$4:$E$2000,2,FALSE)</f>
        <v>27AAHFP1154B1ZN</v>
      </c>
      <c r="E178" s="34" t="s">
        <v>22</v>
      </c>
      <c r="F178" s="136" t="s">
        <v>578</v>
      </c>
      <c r="G178" s="135">
        <v>43581</v>
      </c>
      <c r="H178" s="34" t="s">
        <v>567</v>
      </c>
      <c r="I178" s="39">
        <f>VLOOKUP(H178,'PUR-HSN MASTER'!$A$4:$E$5000,5,FALSE)</f>
        <v>18</v>
      </c>
      <c r="J178" s="38">
        <v>4</v>
      </c>
      <c r="K178" s="40">
        <v>840</v>
      </c>
      <c r="L178" s="39">
        <v>0</v>
      </c>
      <c r="M178" s="39">
        <v>75.600000000000009</v>
      </c>
      <c r="N178" s="39">
        <v>75.600000000000009</v>
      </c>
      <c r="O178" s="39">
        <v>0</v>
      </c>
      <c r="P178" s="39">
        <v>991.19</v>
      </c>
      <c r="Q178" s="34" t="s">
        <v>410</v>
      </c>
      <c r="R178" s="34" t="s">
        <v>26</v>
      </c>
      <c r="S178" s="11" t="s">
        <v>4120</v>
      </c>
    </row>
    <row r="179" spans="1:19" x14ac:dyDescent="0.2">
      <c r="A179" s="33">
        <v>43556</v>
      </c>
      <c r="B179" s="34">
        <v>132</v>
      </c>
      <c r="C179" s="35" t="s">
        <v>499</v>
      </c>
      <c r="D179" s="34" t="str">
        <f>VLOOKUP(C179,'PUR-PARTY MASTER'!$B$4:$E$2000,2,FALSE)</f>
        <v>27AAHFP1154B1ZN</v>
      </c>
      <c r="E179" s="34" t="s">
        <v>22</v>
      </c>
      <c r="F179" s="136" t="s">
        <v>579</v>
      </c>
      <c r="G179" s="135">
        <v>43581</v>
      </c>
      <c r="H179" s="34">
        <v>96089990</v>
      </c>
      <c r="I179" s="39">
        <f>VLOOKUP(H179,'PUR-HSN MASTER'!$A$4:$E$5000,5,FALSE)</f>
        <v>12</v>
      </c>
      <c r="J179" s="38">
        <v>39</v>
      </c>
      <c r="K179" s="40">
        <v>113.1</v>
      </c>
      <c r="L179" s="39">
        <v>0</v>
      </c>
      <c r="M179" s="39">
        <v>6.7859999999999996</v>
      </c>
      <c r="N179" s="39">
        <v>6.7859999999999996</v>
      </c>
      <c r="O179" s="39">
        <v>0</v>
      </c>
      <c r="P179" s="39">
        <v>126.66199999999999</v>
      </c>
      <c r="Q179" s="34" t="s">
        <v>410</v>
      </c>
      <c r="R179" s="34" t="s">
        <v>26</v>
      </c>
      <c r="S179" s="11" t="s">
        <v>4120</v>
      </c>
    </row>
    <row r="180" spans="1:19" x14ac:dyDescent="0.2">
      <c r="A180" s="33">
        <v>43556</v>
      </c>
      <c r="B180" s="34"/>
      <c r="C180" s="35" t="s">
        <v>499</v>
      </c>
      <c r="D180" s="34" t="str">
        <f>VLOOKUP(C180,'PUR-PARTY MASTER'!$B$4:$E$2000,2,FALSE)</f>
        <v>27AAHFP1154B1ZN</v>
      </c>
      <c r="E180" s="34" t="s">
        <v>22</v>
      </c>
      <c r="F180" s="136" t="s">
        <v>579</v>
      </c>
      <c r="G180" s="135">
        <v>43581</v>
      </c>
      <c r="H180" s="34">
        <v>40151100</v>
      </c>
      <c r="I180" s="39">
        <f>VLOOKUP(H180,'PUR-HSN MASTER'!$A$4:$E$5000,5,FALSE)</f>
        <v>12</v>
      </c>
      <c r="J180" s="38">
        <v>1800</v>
      </c>
      <c r="K180" s="40">
        <v>4680</v>
      </c>
      <c r="L180" s="39">
        <v>0</v>
      </c>
      <c r="M180" s="39">
        <v>280.79999999999995</v>
      </c>
      <c r="N180" s="39">
        <v>280.79999999999995</v>
      </c>
      <c r="O180" s="39">
        <v>0</v>
      </c>
      <c r="P180" s="39">
        <v>5241.59</v>
      </c>
      <c r="Q180" s="34" t="s">
        <v>410</v>
      </c>
      <c r="R180" s="34" t="s">
        <v>26</v>
      </c>
      <c r="S180" s="11" t="s">
        <v>4120</v>
      </c>
    </row>
    <row r="181" spans="1:19" x14ac:dyDescent="0.2">
      <c r="A181" s="33">
        <v>43556</v>
      </c>
      <c r="B181" s="34"/>
      <c r="C181" s="35" t="s">
        <v>499</v>
      </c>
      <c r="D181" s="34" t="str">
        <f>VLOOKUP(C181,'PUR-PARTY MASTER'!$B$4:$E$2000,2,FALSE)</f>
        <v>27AAHFP1154B1ZN</v>
      </c>
      <c r="E181" s="34" t="s">
        <v>22</v>
      </c>
      <c r="F181" s="136" t="s">
        <v>579</v>
      </c>
      <c r="G181" s="135">
        <v>43581</v>
      </c>
      <c r="H181" s="34">
        <v>61169200</v>
      </c>
      <c r="I181" s="39">
        <f>VLOOKUP(H181,'PUR-HSN MASTER'!$A$4:$E$5000,5,FALSE)</f>
        <v>5</v>
      </c>
      <c r="J181" s="38">
        <v>200</v>
      </c>
      <c r="K181" s="40">
        <v>2400</v>
      </c>
      <c r="L181" s="39">
        <v>0</v>
      </c>
      <c r="M181" s="39">
        <v>60</v>
      </c>
      <c r="N181" s="39">
        <v>60</v>
      </c>
      <c r="O181" s="39">
        <v>0</v>
      </c>
      <c r="P181" s="39">
        <v>2519.9899999999998</v>
      </c>
      <c r="Q181" s="34" t="s">
        <v>410</v>
      </c>
      <c r="R181" s="34" t="s">
        <v>26</v>
      </c>
      <c r="S181" s="11" t="s">
        <v>4120</v>
      </c>
    </row>
    <row r="182" spans="1:19" x14ac:dyDescent="0.2">
      <c r="A182" s="33">
        <v>43556</v>
      </c>
      <c r="B182" s="34">
        <v>133</v>
      </c>
      <c r="C182" s="35" t="s">
        <v>499</v>
      </c>
      <c r="D182" s="34" t="str">
        <f>VLOOKUP(C182,'PUR-PARTY MASTER'!$B$4:$E$2000,2,FALSE)</f>
        <v>27AAHFP1154B1ZN</v>
      </c>
      <c r="E182" s="34" t="s">
        <v>22</v>
      </c>
      <c r="F182" s="136" t="s">
        <v>580</v>
      </c>
      <c r="G182" s="135">
        <v>43581</v>
      </c>
      <c r="H182" s="34">
        <v>48114100</v>
      </c>
      <c r="I182" s="39">
        <f>VLOOKUP(H182,'PUR-HSN MASTER'!$A$4:$E$5000,5,FALSE)</f>
        <v>18</v>
      </c>
      <c r="J182" s="38">
        <v>144</v>
      </c>
      <c r="K182" s="40">
        <v>5184</v>
      </c>
      <c r="L182" s="39">
        <v>0</v>
      </c>
      <c r="M182" s="39">
        <v>466.56000000000006</v>
      </c>
      <c r="N182" s="39">
        <v>466.56000000000006</v>
      </c>
      <c r="O182" s="39">
        <v>0</v>
      </c>
      <c r="P182" s="39">
        <v>6117.1100000000006</v>
      </c>
      <c r="Q182" s="34" t="s">
        <v>410</v>
      </c>
      <c r="R182" s="34" t="s">
        <v>26</v>
      </c>
      <c r="S182" s="11" t="s">
        <v>4120</v>
      </c>
    </row>
    <row r="183" spans="1:19" x14ac:dyDescent="0.2">
      <c r="A183" s="33">
        <v>43556</v>
      </c>
      <c r="B183" s="34">
        <v>134</v>
      </c>
      <c r="C183" s="35" t="s">
        <v>499</v>
      </c>
      <c r="D183" s="34" t="str">
        <f>VLOOKUP(C183,'PUR-PARTY MASTER'!$B$4:$E$2000,2,FALSE)</f>
        <v>27AAHFP1154B1ZN</v>
      </c>
      <c r="E183" s="34" t="s">
        <v>22</v>
      </c>
      <c r="F183" s="136" t="s">
        <v>581</v>
      </c>
      <c r="G183" s="135">
        <v>43581</v>
      </c>
      <c r="H183" s="34" t="s">
        <v>481</v>
      </c>
      <c r="I183" s="39">
        <f>VLOOKUP(H183,'PUR-HSN MASTER'!$A$4:$E$5000,5,FALSE)</f>
        <v>18</v>
      </c>
      <c r="J183" s="38">
        <v>30</v>
      </c>
      <c r="K183" s="40">
        <v>600</v>
      </c>
      <c r="L183" s="39">
        <v>0</v>
      </c>
      <c r="M183" s="39">
        <v>54</v>
      </c>
      <c r="N183" s="39">
        <v>54</v>
      </c>
      <c r="O183" s="39">
        <v>0</v>
      </c>
      <c r="P183" s="39">
        <v>707.99</v>
      </c>
      <c r="Q183" s="34" t="s">
        <v>410</v>
      </c>
      <c r="R183" s="34" t="s">
        <v>26</v>
      </c>
      <c r="S183" s="11" t="s">
        <v>4120</v>
      </c>
    </row>
    <row r="184" spans="1:19" x14ac:dyDescent="0.2">
      <c r="A184" s="33">
        <v>43556</v>
      </c>
      <c r="B184" s="34">
        <v>135</v>
      </c>
      <c r="C184" s="35" t="s">
        <v>471</v>
      </c>
      <c r="D184" s="34" t="str">
        <f>VLOOKUP(C184,'PUR-PARTY MASTER'!$B$4:$E$2000,2,FALSE)</f>
        <v>27AAECM8871A1ZF</v>
      </c>
      <c r="E184" s="34" t="s">
        <v>22</v>
      </c>
      <c r="F184" s="134">
        <v>192000995</v>
      </c>
      <c r="G184" s="135">
        <v>43585</v>
      </c>
      <c r="H184" s="34">
        <v>87089900</v>
      </c>
      <c r="I184" s="39">
        <f>VLOOKUP(H184,'PUR-HSN MASTER'!$A$4:$E$5000,5,FALSE)</f>
        <v>28</v>
      </c>
      <c r="J184" s="38">
        <v>12</v>
      </c>
      <c r="K184" s="40">
        <v>17483.52</v>
      </c>
      <c r="L184" s="39">
        <v>0</v>
      </c>
      <c r="M184" s="39">
        <v>2447.6928000000003</v>
      </c>
      <c r="N184" s="39">
        <v>2447.6928000000003</v>
      </c>
      <c r="O184" s="39">
        <v>0</v>
      </c>
      <c r="P184" s="39">
        <v>22378.895600000003</v>
      </c>
      <c r="Q184" s="34" t="s">
        <v>410</v>
      </c>
      <c r="R184" s="34" t="s">
        <v>26</v>
      </c>
      <c r="S184" s="11" t="s">
        <v>4120</v>
      </c>
    </row>
    <row r="185" spans="1:19" x14ac:dyDescent="0.2">
      <c r="A185" s="33">
        <v>43556</v>
      </c>
      <c r="B185" s="34">
        <v>136</v>
      </c>
      <c r="C185" s="35" t="s">
        <v>471</v>
      </c>
      <c r="D185" s="34" t="str">
        <f>VLOOKUP(C185,'PUR-PARTY MASTER'!$B$4:$E$2000,2,FALSE)</f>
        <v>27AAECM8871A1ZF</v>
      </c>
      <c r="E185" s="34" t="s">
        <v>22</v>
      </c>
      <c r="F185" s="134">
        <v>192000996</v>
      </c>
      <c r="G185" s="135">
        <v>43585</v>
      </c>
      <c r="H185" s="34">
        <v>87089900</v>
      </c>
      <c r="I185" s="39">
        <f>VLOOKUP(H185,'PUR-HSN MASTER'!$A$4:$E$5000,5,FALSE)</f>
        <v>28</v>
      </c>
      <c r="J185" s="38">
        <v>12</v>
      </c>
      <c r="K185" s="40">
        <v>17483.52</v>
      </c>
      <c r="L185" s="39">
        <v>0</v>
      </c>
      <c r="M185" s="39">
        <v>2447.6928000000003</v>
      </c>
      <c r="N185" s="39">
        <v>2447.6928000000003</v>
      </c>
      <c r="O185" s="39">
        <v>0</v>
      </c>
      <c r="P185" s="39">
        <v>22378.895600000003</v>
      </c>
      <c r="Q185" s="34" t="s">
        <v>410</v>
      </c>
      <c r="R185" s="34" t="s">
        <v>26</v>
      </c>
      <c r="S185" s="11" t="s">
        <v>4120</v>
      </c>
    </row>
    <row r="186" spans="1:19" x14ac:dyDescent="0.2">
      <c r="A186" s="33">
        <v>43556</v>
      </c>
      <c r="B186" s="34">
        <v>137</v>
      </c>
      <c r="C186" s="35" t="s">
        <v>538</v>
      </c>
      <c r="D186" s="34" t="str">
        <f>VLOOKUP(C186,'PUR-PARTY MASTER'!$B$4:$E$2000,2,FALSE)</f>
        <v>27AABFI6338L1Z3</v>
      </c>
      <c r="E186" s="34" t="s">
        <v>22</v>
      </c>
      <c r="F186" s="136" t="s">
        <v>582</v>
      </c>
      <c r="G186" s="135">
        <v>43585</v>
      </c>
      <c r="H186" s="34">
        <v>74122012</v>
      </c>
      <c r="I186" s="39">
        <f>VLOOKUP(H186,'PUR-HSN MASTER'!$A$4:$E$5000,5,FALSE)</f>
        <v>18</v>
      </c>
      <c r="J186" s="38">
        <v>21</v>
      </c>
      <c r="K186" s="40">
        <v>1537</v>
      </c>
      <c r="L186" s="39">
        <v>0</v>
      </c>
      <c r="M186" s="39">
        <v>138.32999999999998</v>
      </c>
      <c r="N186" s="39">
        <v>138.32999999999998</v>
      </c>
      <c r="O186" s="39">
        <v>0</v>
      </c>
      <c r="P186" s="39">
        <v>1813.6599999999999</v>
      </c>
      <c r="Q186" s="34" t="s">
        <v>410</v>
      </c>
      <c r="R186" s="34" t="s">
        <v>26</v>
      </c>
      <c r="S186" s="11" t="s">
        <v>4120</v>
      </c>
    </row>
    <row r="187" spans="1:19" x14ac:dyDescent="0.2">
      <c r="A187" s="33">
        <v>43556</v>
      </c>
      <c r="B187" s="34"/>
      <c r="C187" s="35" t="s">
        <v>538</v>
      </c>
      <c r="D187" s="34" t="str">
        <f>VLOOKUP(C187,'PUR-PARTY MASTER'!$B$4:$E$2000,2,FALSE)</f>
        <v>27AABFI6338L1Z3</v>
      </c>
      <c r="E187" s="34" t="s">
        <v>22</v>
      </c>
      <c r="F187" s="136" t="s">
        <v>582</v>
      </c>
      <c r="G187" s="135">
        <v>43585</v>
      </c>
      <c r="H187" s="34">
        <v>7307</v>
      </c>
      <c r="I187" s="39">
        <f>VLOOKUP(H187,'PUR-HSN MASTER'!$A$4:$E$5000,5,FALSE)</f>
        <v>18</v>
      </c>
      <c r="J187" s="38">
        <v>21</v>
      </c>
      <c r="K187" s="40">
        <v>11690</v>
      </c>
      <c r="L187" s="39">
        <v>0</v>
      </c>
      <c r="M187" s="39">
        <v>1052.1000000000001</v>
      </c>
      <c r="N187" s="39">
        <v>1052.1000000000001</v>
      </c>
      <c r="O187" s="39">
        <v>0</v>
      </c>
      <c r="P187" s="39">
        <v>13794.26</v>
      </c>
      <c r="Q187" s="34" t="s">
        <v>410</v>
      </c>
      <c r="R187" s="34" t="s">
        <v>26</v>
      </c>
      <c r="S187" s="11" t="s">
        <v>4120</v>
      </c>
    </row>
    <row r="188" spans="1:19" x14ac:dyDescent="0.2">
      <c r="A188" s="33">
        <v>43556</v>
      </c>
      <c r="B188" s="34"/>
      <c r="C188" s="35" t="s">
        <v>538</v>
      </c>
      <c r="D188" s="34" t="str">
        <f>VLOOKUP(C188,'PUR-PARTY MASTER'!$B$4:$E$2000,2,FALSE)</f>
        <v>27AABFI6338L1Z3</v>
      </c>
      <c r="E188" s="34" t="s">
        <v>22</v>
      </c>
      <c r="F188" s="136" t="s">
        <v>582</v>
      </c>
      <c r="G188" s="135">
        <v>43585</v>
      </c>
      <c r="H188" s="34" t="s">
        <v>583</v>
      </c>
      <c r="I188" s="39" t="e">
        <f>VLOOKUP(H188,'PUR-HSN MASTER'!$A$4:$E$5000,5,FALSE)</f>
        <v>#N/A</v>
      </c>
      <c r="J188" s="38">
        <v>21</v>
      </c>
      <c r="K188" s="40">
        <v>231</v>
      </c>
      <c r="L188" s="39">
        <v>0</v>
      </c>
      <c r="M188" s="39">
        <v>20.79</v>
      </c>
      <c r="N188" s="39">
        <v>20.79</v>
      </c>
      <c r="O188" s="39">
        <v>0</v>
      </c>
      <c r="P188" s="39">
        <v>272.58</v>
      </c>
      <c r="Q188" s="34" t="s">
        <v>410</v>
      </c>
      <c r="R188" s="34" t="s">
        <v>26</v>
      </c>
      <c r="S188" s="11" t="s">
        <v>4120</v>
      </c>
    </row>
    <row r="189" spans="1:19" x14ac:dyDescent="0.2">
      <c r="A189" s="33">
        <v>43556</v>
      </c>
      <c r="B189" s="34"/>
      <c r="C189" s="35" t="s">
        <v>538</v>
      </c>
      <c r="D189" s="34" t="str">
        <f>VLOOKUP(C189,'PUR-PARTY MASTER'!$B$4:$E$2000,2,FALSE)</f>
        <v>27AABFI6338L1Z3</v>
      </c>
      <c r="E189" s="34" t="s">
        <v>22</v>
      </c>
      <c r="F189" s="136" t="s">
        <v>582</v>
      </c>
      <c r="G189" s="135">
        <v>43585</v>
      </c>
      <c r="H189" s="34">
        <v>84818030</v>
      </c>
      <c r="I189" s="39">
        <f>VLOOKUP(H189,'PUR-HSN MASTER'!$A$4:$E$5000,5,FALSE)</f>
        <v>18</v>
      </c>
      <c r="J189" s="38">
        <v>2</v>
      </c>
      <c r="K189" s="40">
        <v>700</v>
      </c>
      <c r="L189" s="39">
        <v>0</v>
      </c>
      <c r="M189" s="39">
        <v>63</v>
      </c>
      <c r="N189" s="39">
        <v>63</v>
      </c>
      <c r="O189" s="39">
        <v>0</v>
      </c>
      <c r="P189" s="39">
        <v>826</v>
      </c>
      <c r="Q189" s="34" t="s">
        <v>410</v>
      </c>
      <c r="R189" s="34" t="s">
        <v>26</v>
      </c>
      <c r="S189" s="11" t="s">
        <v>4120</v>
      </c>
    </row>
    <row r="190" spans="1:19" x14ac:dyDescent="0.2">
      <c r="A190" s="33">
        <v>43556</v>
      </c>
      <c r="B190" s="34"/>
      <c r="C190" s="35" t="s">
        <v>538</v>
      </c>
      <c r="D190" s="34" t="str">
        <f>VLOOKUP(C190,'PUR-PARTY MASTER'!$B$4:$E$2000,2,FALSE)</f>
        <v>27AABFI6338L1Z3</v>
      </c>
      <c r="E190" s="34" t="s">
        <v>22</v>
      </c>
      <c r="F190" s="136" t="s">
        <v>582</v>
      </c>
      <c r="G190" s="135">
        <v>43585</v>
      </c>
      <c r="H190" s="34">
        <v>84219100</v>
      </c>
      <c r="I190" s="39">
        <f>VLOOKUP(H190,'PUR-HSN MASTER'!$A$4:$E$5000,5,FALSE)</f>
        <v>18</v>
      </c>
      <c r="J190" s="38">
        <v>1</v>
      </c>
      <c r="K190" s="40">
        <v>2475</v>
      </c>
      <c r="L190" s="39">
        <v>0</v>
      </c>
      <c r="M190" s="39">
        <v>222.75</v>
      </c>
      <c r="N190" s="39">
        <v>222.75</v>
      </c>
      <c r="O190" s="39">
        <v>0</v>
      </c>
      <c r="P190" s="39">
        <v>2920.5</v>
      </c>
      <c r="Q190" s="34" t="s">
        <v>410</v>
      </c>
      <c r="R190" s="34" t="s">
        <v>26</v>
      </c>
      <c r="S190" s="11" t="s">
        <v>4120</v>
      </c>
    </row>
    <row r="191" spans="1:19" x14ac:dyDescent="0.2">
      <c r="A191" s="33">
        <v>43556</v>
      </c>
      <c r="B191" s="34">
        <v>138</v>
      </c>
      <c r="C191" s="35" t="s">
        <v>538</v>
      </c>
      <c r="D191" s="34" t="str">
        <f>VLOOKUP(C191,'PUR-PARTY MASTER'!$B$4:$E$2000,2,FALSE)</f>
        <v>27AABFI6338L1Z3</v>
      </c>
      <c r="E191" s="34" t="s">
        <v>22</v>
      </c>
      <c r="F191" s="136" t="s">
        <v>584</v>
      </c>
      <c r="G191" s="135">
        <v>43585</v>
      </c>
      <c r="H191" s="34">
        <v>84219100</v>
      </c>
      <c r="I191" s="39">
        <f>VLOOKUP(H191,'PUR-HSN MASTER'!$A$4:$E$5000,5,FALSE)</f>
        <v>18</v>
      </c>
      <c r="J191" s="38">
        <v>2</v>
      </c>
      <c r="K191" s="40">
        <v>2100</v>
      </c>
      <c r="L191" s="39">
        <v>0</v>
      </c>
      <c r="M191" s="39">
        <v>189</v>
      </c>
      <c r="N191" s="39">
        <v>189</v>
      </c>
      <c r="O191" s="39">
        <v>0</v>
      </c>
      <c r="P191" s="39">
        <v>2478</v>
      </c>
      <c r="Q191" s="34" t="s">
        <v>410</v>
      </c>
      <c r="R191" s="34" t="s">
        <v>26</v>
      </c>
      <c r="S191" s="11" t="s">
        <v>4120</v>
      </c>
    </row>
    <row r="192" spans="1:19" x14ac:dyDescent="0.2">
      <c r="A192" s="33">
        <v>43556</v>
      </c>
      <c r="B192" s="34">
        <v>139</v>
      </c>
      <c r="C192" s="35" t="s">
        <v>538</v>
      </c>
      <c r="D192" s="34" t="str">
        <f>VLOOKUP(C192,'PUR-PARTY MASTER'!$B$4:$E$2000,2,FALSE)</f>
        <v>27AABFI6338L1Z3</v>
      </c>
      <c r="E192" s="34" t="s">
        <v>22</v>
      </c>
      <c r="F192" s="136" t="s">
        <v>585</v>
      </c>
      <c r="G192" s="135">
        <v>43585</v>
      </c>
      <c r="H192" s="34">
        <v>8424</v>
      </c>
      <c r="I192" s="39">
        <f>VLOOKUP(H192,'PUR-HSN MASTER'!$A$4:$E$5000,5,FALSE)</f>
        <v>18</v>
      </c>
      <c r="J192" s="38">
        <v>30</v>
      </c>
      <c r="K192" s="40">
        <v>12000</v>
      </c>
      <c r="L192" s="39">
        <v>0</v>
      </c>
      <c r="M192" s="39">
        <v>1080</v>
      </c>
      <c r="N192" s="39">
        <v>1080</v>
      </c>
      <c r="O192" s="39">
        <v>0</v>
      </c>
      <c r="P192" s="39">
        <v>14160</v>
      </c>
      <c r="Q192" s="34" t="s">
        <v>410</v>
      </c>
      <c r="R192" s="34" t="s">
        <v>26</v>
      </c>
      <c r="S192" s="11" t="s">
        <v>4120</v>
      </c>
    </row>
    <row r="193" spans="1:19" x14ac:dyDescent="0.2">
      <c r="A193" s="33">
        <v>43556</v>
      </c>
      <c r="B193" s="34"/>
      <c r="C193" s="35" t="s">
        <v>538</v>
      </c>
      <c r="D193" s="34" t="str">
        <f>VLOOKUP(C193,'PUR-PARTY MASTER'!$B$4:$E$2000,2,FALSE)</f>
        <v>27AABFI6338L1Z3</v>
      </c>
      <c r="E193" s="34" t="s">
        <v>22</v>
      </c>
      <c r="F193" s="136" t="s">
        <v>585</v>
      </c>
      <c r="G193" s="135">
        <v>43585</v>
      </c>
      <c r="H193" s="34">
        <v>84249000</v>
      </c>
      <c r="I193" s="39">
        <f>VLOOKUP(H193,'PUR-HSN MASTER'!$A$4:$E$5000,5,FALSE)</f>
        <v>18</v>
      </c>
      <c r="J193" s="38">
        <v>4</v>
      </c>
      <c r="K193" s="40">
        <v>1600</v>
      </c>
      <c r="L193" s="39">
        <v>0</v>
      </c>
      <c r="M193" s="39">
        <v>144</v>
      </c>
      <c r="N193" s="39">
        <v>144</v>
      </c>
      <c r="O193" s="39">
        <v>0</v>
      </c>
      <c r="P193" s="39">
        <v>1888</v>
      </c>
      <c r="Q193" s="34" t="s">
        <v>410</v>
      </c>
      <c r="R193" s="34" t="s">
        <v>26</v>
      </c>
      <c r="S193" s="11" t="s">
        <v>4120</v>
      </c>
    </row>
    <row r="194" spans="1:19" x14ac:dyDescent="0.2">
      <c r="A194" s="33">
        <v>43556</v>
      </c>
      <c r="B194" s="34">
        <v>140</v>
      </c>
      <c r="C194" s="35" t="s">
        <v>538</v>
      </c>
      <c r="D194" s="34" t="str">
        <f>VLOOKUP(C194,'PUR-PARTY MASTER'!$B$4:$E$2000,2,FALSE)</f>
        <v>27AABFI6338L1Z3</v>
      </c>
      <c r="E194" s="34" t="s">
        <v>22</v>
      </c>
      <c r="F194" s="136" t="s">
        <v>586</v>
      </c>
      <c r="G194" s="135">
        <v>43585</v>
      </c>
      <c r="H194" s="34">
        <v>40169990</v>
      </c>
      <c r="I194" s="39">
        <f>VLOOKUP(H194,'PUR-HSN MASTER'!$A$4:$E$5000,5,FALSE)</f>
        <v>18</v>
      </c>
      <c r="J194" s="38">
        <v>6</v>
      </c>
      <c r="K194" s="40">
        <v>2780</v>
      </c>
      <c r="L194" s="39">
        <v>0</v>
      </c>
      <c r="M194" s="39">
        <v>250.20000000000002</v>
      </c>
      <c r="N194" s="39">
        <v>250.20000000000002</v>
      </c>
      <c r="O194" s="39">
        <v>0</v>
      </c>
      <c r="P194" s="39">
        <v>3279.9999999999995</v>
      </c>
      <c r="Q194" s="34" t="s">
        <v>410</v>
      </c>
      <c r="R194" s="34" t="s">
        <v>26</v>
      </c>
      <c r="S194" s="11" t="s">
        <v>4120</v>
      </c>
    </row>
    <row r="195" spans="1:19" x14ac:dyDescent="0.2">
      <c r="A195" s="33">
        <v>43556</v>
      </c>
      <c r="B195" s="34"/>
      <c r="C195" s="35" t="s">
        <v>538</v>
      </c>
      <c r="D195" s="34" t="str">
        <f>VLOOKUP(C195,'PUR-PARTY MASTER'!$B$4:$E$2000,2,FALSE)</f>
        <v>27AABFI6338L1Z3</v>
      </c>
      <c r="E195" s="34" t="s">
        <v>22</v>
      </c>
      <c r="F195" s="136" t="s">
        <v>586</v>
      </c>
      <c r="G195" s="135">
        <v>43585</v>
      </c>
      <c r="H195" s="34">
        <v>40169320</v>
      </c>
      <c r="I195" s="39">
        <f>VLOOKUP(H195,'PUR-HSN MASTER'!$A$4:$E$5000,5,FALSE)</f>
        <v>18</v>
      </c>
      <c r="J195" s="38">
        <v>10</v>
      </c>
      <c r="K195" s="40">
        <v>1160</v>
      </c>
      <c r="L195" s="39">
        <v>0</v>
      </c>
      <c r="M195" s="39">
        <v>104.39999999999999</v>
      </c>
      <c r="N195" s="39">
        <v>104.39999999999999</v>
      </c>
      <c r="O195" s="39">
        <v>0</v>
      </c>
      <c r="P195" s="39">
        <v>1368.8000000000002</v>
      </c>
      <c r="Q195" s="34" t="s">
        <v>410</v>
      </c>
      <c r="R195" s="34" t="s">
        <v>26</v>
      </c>
      <c r="S195" s="11" t="s">
        <v>4120</v>
      </c>
    </row>
    <row r="196" spans="1:19" x14ac:dyDescent="0.2">
      <c r="A196" s="33">
        <v>43556</v>
      </c>
      <c r="B196" s="34"/>
      <c r="C196" s="35" t="s">
        <v>538</v>
      </c>
      <c r="D196" s="34" t="str">
        <f>VLOOKUP(C196,'PUR-PARTY MASTER'!$B$4:$E$2000,2,FALSE)</f>
        <v>27AABFI6338L1Z3</v>
      </c>
      <c r="E196" s="34" t="s">
        <v>22</v>
      </c>
      <c r="F196" s="136" t="s">
        <v>586</v>
      </c>
      <c r="G196" s="135">
        <v>43585</v>
      </c>
      <c r="H196" s="34">
        <v>73259999</v>
      </c>
      <c r="I196" s="39">
        <f>VLOOKUP(H196,'PUR-HSN MASTER'!$A$4:$E$5000,5,FALSE)</f>
        <v>18</v>
      </c>
      <c r="J196" s="38">
        <v>4</v>
      </c>
      <c r="K196" s="40">
        <v>2840</v>
      </c>
      <c r="L196" s="39">
        <v>0</v>
      </c>
      <c r="M196" s="39">
        <v>255.6</v>
      </c>
      <c r="N196" s="39">
        <v>255.6</v>
      </c>
      <c r="O196" s="39">
        <v>0</v>
      </c>
      <c r="P196" s="39">
        <v>3351.2</v>
      </c>
      <c r="Q196" s="34" t="s">
        <v>410</v>
      </c>
      <c r="R196" s="34" t="s">
        <v>26</v>
      </c>
      <c r="S196" s="11" t="s">
        <v>4120</v>
      </c>
    </row>
    <row r="197" spans="1:19" x14ac:dyDescent="0.2">
      <c r="A197" s="33">
        <v>43556</v>
      </c>
      <c r="B197" s="34">
        <v>141</v>
      </c>
      <c r="C197" s="35" t="s">
        <v>538</v>
      </c>
      <c r="D197" s="34" t="str">
        <f>VLOOKUP(C197,'PUR-PARTY MASTER'!$B$4:$E$2000,2,FALSE)</f>
        <v>27AABFI6338L1Z3</v>
      </c>
      <c r="E197" s="34" t="s">
        <v>22</v>
      </c>
      <c r="F197" s="136" t="s">
        <v>587</v>
      </c>
      <c r="G197" s="135">
        <v>43585</v>
      </c>
      <c r="H197" s="34" t="s">
        <v>588</v>
      </c>
      <c r="I197" s="39" t="e">
        <f>VLOOKUP(H197,'PUR-HSN MASTER'!$A$4:$E$5000,5,FALSE)</f>
        <v>#N/A</v>
      </c>
      <c r="J197" s="38">
        <v>0</v>
      </c>
      <c r="K197" s="40">
        <v>3000</v>
      </c>
      <c r="L197" s="39">
        <v>0</v>
      </c>
      <c r="M197" s="39">
        <v>270</v>
      </c>
      <c r="N197" s="39">
        <v>270</v>
      </c>
      <c r="O197" s="39">
        <v>0</v>
      </c>
      <c r="P197" s="39">
        <v>3540</v>
      </c>
      <c r="Q197" s="34" t="s">
        <v>411</v>
      </c>
      <c r="R197" s="34" t="s">
        <v>26</v>
      </c>
      <c r="S197" s="11" t="s">
        <v>4120</v>
      </c>
    </row>
    <row r="198" spans="1:19" x14ac:dyDescent="0.2">
      <c r="A198" s="33">
        <v>43556</v>
      </c>
      <c r="B198" s="34">
        <v>142</v>
      </c>
      <c r="C198" s="35" t="s">
        <v>589</v>
      </c>
      <c r="D198" s="34" t="str">
        <f>VLOOKUP(C198,'PUR-PARTY MASTER'!$B$4:$E$2000,2,FALSE)</f>
        <v>27CVNPK1560R1ZT</v>
      </c>
      <c r="E198" s="34" t="s">
        <v>22</v>
      </c>
      <c r="F198" s="134">
        <v>8</v>
      </c>
      <c r="G198" s="135">
        <v>43585</v>
      </c>
      <c r="H198" s="34">
        <v>73110010</v>
      </c>
      <c r="I198" s="39">
        <f>VLOOKUP(H198,'PUR-HSN MASTER'!$A$4:$E$5000,5,FALSE)</f>
        <v>18</v>
      </c>
      <c r="J198" s="38">
        <v>45</v>
      </c>
      <c r="K198" s="40">
        <v>105430</v>
      </c>
      <c r="L198" s="39">
        <v>0</v>
      </c>
      <c r="M198" s="39">
        <v>9488.6999999999989</v>
      </c>
      <c r="N198" s="39">
        <v>9488.6999999999989</v>
      </c>
      <c r="O198" s="39">
        <v>0</v>
      </c>
      <c r="P198" s="39">
        <v>124408</v>
      </c>
      <c r="Q198" s="34" t="s">
        <v>411</v>
      </c>
      <c r="R198" s="34" t="s">
        <v>26</v>
      </c>
      <c r="S198" s="11" t="s">
        <v>4120</v>
      </c>
    </row>
    <row r="199" spans="1:19" x14ac:dyDescent="0.2">
      <c r="A199" s="33">
        <v>43556</v>
      </c>
      <c r="B199" s="34">
        <v>143</v>
      </c>
      <c r="C199" s="35" t="s">
        <v>471</v>
      </c>
      <c r="D199" s="34" t="str">
        <f>VLOOKUP(C199,'PUR-PARTY MASTER'!$B$4:$E$2000,2,FALSE)</f>
        <v>27AAECM8871A1ZF</v>
      </c>
      <c r="E199" s="34" t="s">
        <v>22</v>
      </c>
      <c r="F199" s="134">
        <v>192000898</v>
      </c>
      <c r="G199" s="135">
        <v>43585</v>
      </c>
      <c r="H199" s="34">
        <v>87089900</v>
      </c>
      <c r="I199" s="39">
        <f>VLOOKUP(H199,'PUR-HSN MASTER'!$A$4:$E$5000,5,FALSE)</f>
        <v>28</v>
      </c>
      <c r="J199" s="38">
        <v>9</v>
      </c>
      <c r="K199" s="40">
        <v>13112.64</v>
      </c>
      <c r="L199" s="39">
        <v>0</v>
      </c>
      <c r="M199" s="39">
        <v>1835.7695999999999</v>
      </c>
      <c r="N199" s="39">
        <v>1835.7695999999999</v>
      </c>
      <c r="O199" s="39">
        <v>0</v>
      </c>
      <c r="P199" s="39">
        <v>16784.179199999999</v>
      </c>
      <c r="Q199" s="34" t="s">
        <v>410</v>
      </c>
      <c r="R199" s="34" t="s">
        <v>26</v>
      </c>
      <c r="S199" s="11" t="s">
        <v>4120</v>
      </c>
    </row>
    <row r="200" spans="1:19" x14ac:dyDescent="0.2">
      <c r="A200" s="33">
        <v>43556</v>
      </c>
      <c r="B200" s="34">
        <v>144</v>
      </c>
      <c r="C200" s="35" t="s">
        <v>489</v>
      </c>
      <c r="D200" s="34" t="str">
        <f>VLOOKUP(C200,'PUR-PARTY MASTER'!$B$4:$E$2000,2,FALSE)</f>
        <v>27AAECD2713N1ZK</v>
      </c>
      <c r="E200" s="34" t="s">
        <v>22</v>
      </c>
      <c r="F200" s="134">
        <v>7887982239</v>
      </c>
      <c r="G200" s="135">
        <v>43585</v>
      </c>
      <c r="H200" s="34">
        <v>32082090</v>
      </c>
      <c r="I200" s="39">
        <f>VLOOKUP(H200,'PUR-HSN MASTER'!$A$4:$E$5000,5,FALSE)</f>
        <v>18</v>
      </c>
      <c r="J200" s="38">
        <v>4</v>
      </c>
      <c r="K200" s="40">
        <v>4368</v>
      </c>
      <c r="L200" s="39">
        <v>0</v>
      </c>
      <c r="M200" s="39">
        <v>393.12</v>
      </c>
      <c r="N200" s="39">
        <v>393.12</v>
      </c>
      <c r="O200" s="39">
        <v>0</v>
      </c>
      <c r="P200" s="39">
        <v>5154</v>
      </c>
      <c r="Q200" s="34" t="s">
        <v>410</v>
      </c>
      <c r="R200" s="34" t="s">
        <v>26</v>
      </c>
      <c r="S200" s="11" t="s">
        <v>4120</v>
      </c>
    </row>
    <row r="201" spans="1:19" x14ac:dyDescent="0.2">
      <c r="A201" s="33">
        <v>43556</v>
      </c>
      <c r="B201" s="34">
        <v>145</v>
      </c>
      <c r="C201" s="35" t="s">
        <v>591</v>
      </c>
      <c r="D201" s="34" t="str">
        <f>VLOOKUP(C201,'PUR-PARTY MASTER'!$B$4:$E$2000,2,FALSE)</f>
        <v>27AAACI6297A1ZN</v>
      </c>
      <c r="E201" s="34" t="s">
        <v>22</v>
      </c>
      <c r="F201" s="136" t="s">
        <v>593</v>
      </c>
      <c r="G201" s="135">
        <v>43585</v>
      </c>
      <c r="H201" s="34">
        <v>3907</v>
      </c>
      <c r="I201" s="39">
        <f>VLOOKUP(H201,'PUR-HSN MASTER'!$A$4:$E$5000,5,FALSE)</f>
        <v>18</v>
      </c>
      <c r="J201" s="38">
        <v>54</v>
      </c>
      <c r="K201" s="40">
        <v>40500</v>
      </c>
      <c r="L201" s="39">
        <v>0</v>
      </c>
      <c r="M201" s="39">
        <v>3645</v>
      </c>
      <c r="N201" s="39">
        <v>3645</v>
      </c>
      <c r="O201" s="39">
        <v>0</v>
      </c>
      <c r="P201" s="39">
        <v>47790.1</v>
      </c>
      <c r="Q201" s="34" t="s">
        <v>410</v>
      </c>
      <c r="R201" s="34" t="s">
        <v>26</v>
      </c>
      <c r="S201" s="11" t="s">
        <v>4120</v>
      </c>
    </row>
    <row r="202" spans="1:19" x14ac:dyDescent="0.2">
      <c r="A202" s="33">
        <v>43556</v>
      </c>
      <c r="B202" s="34">
        <v>146</v>
      </c>
      <c r="C202" s="35" t="s">
        <v>594</v>
      </c>
      <c r="D202" s="34" t="str">
        <f>VLOOKUP(C202,'PUR-PARTY MASTER'!$B$4:$E$2000,2,FALSE)</f>
        <v>27AAHCS2420A1ZX</v>
      </c>
      <c r="E202" s="34" t="s">
        <v>22</v>
      </c>
      <c r="F202" s="134">
        <v>192000054</v>
      </c>
      <c r="G202" s="135">
        <v>43580</v>
      </c>
      <c r="H202" s="34">
        <v>998719</v>
      </c>
      <c r="I202" s="39">
        <f>VLOOKUP(H202,'PUR-HSN MASTER'!$A$4:$E$5000,5,FALSE)</f>
        <v>18</v>
      </c>
      <c r="J202" s="38">
        <v>1</v>
      </c>
      <c r="K202" s="40">
        <v>18000</v>
      </c>
      <c r="L202" s="39">
        <v>0</v>
      </c>
      <c r="M202" s="39">
        <v>1620</v>
      </c>
      <c r="N202" s="39">
        <v>1620</v>
      </c>
      <c r="O202" s="39">
        <v>0</v>
      </c>
      <c r="P202" s="39">
        <v>21240</v>
      </c>
      <c r="Q202" s="34" t="s">
        <v>410</v>
      </c>
      <c r="R202" s="34" t="s">
        <v>26</v>
      </c>
      <c r="S202" s="11" t="s">
        <v>4120</v>
      </c>
    </row>
    <row r="203" spans="1:19" x14ac:dyDescent="0.2">
      <c r="A203" s="33">
        <v>43556</v>
      </c>
      <c r="B203" s="34">
        <v>147</v>
      </c>
      <c r="C203" s="35" t="s">
        <v>514</v>
      </c>
      <c r="D203" s="34" t="str">
        <f>VLOOKUP(C203,'PUR-PARTY MASTER'!$B$4:$E$2000,2,FALSE)</f>
        <v>27AAACU2414K1ZF</v>
      </c>
      <c r="E203" s="34" t="s">
        <v>22</v>
      </c>
      <c r="F203" s="136" t="s">
        <v>596</v>
      </c>
      <c r="G203" s="135">
        <v>43577</v>
      </c>
      <c r="H203" s="34">
        <v>9971</v>
      </c>
      <c r="I203" s="39">
        <f>VLOOKUP(H203,'PUR-HSN MASTER'!$A$4:$E$5000,5,FALSE)</f>
        <v>18</v>
      </c>
      <c r="J203" s="38">
        <v>0</v>
      </c>
      <c r="K203" s="40">
        <v>2950.11</v>
      </c>
      <c r="L203" s="39">
        <v>0</v>
      </c>
      <c r="M203" s="39">
        <v>265.50990000000002</v>
      </c>
      <c r="N203" s="39">
        <v>265.50990000000002</v>
      </c>
      <c r="O203" s="39">
        <v>0</v>
      </c>
      <c r="P203" s="39">
        <v>3481.1298000000002</v>
      </c>
      <c r="Q203" s="34" t="s">
        <v>410</v>
      </c>
      <c r="R203" s="34" t="s">
        <v>26</v>
      </c>
      <c r="S203" s="11" t="s">
        <v>4120</v>
      </c>
    </row>
    <row r="204" spans="1:19" x14ac:dyDescent="0.2">
      <c r="A204" s="33">
        <v>43556</v>
      </c>
      <c r="B204" s="34">
        <v>148</v>
      </c>
      <c r="C204" s="35" t="s">
        <v>514</v>
      </c>
      <c r="D204" s="34" t="str">
        <f>VLOOKUP(C204,'PUR-PARTY MASTER'!$B$4:$E$2000,2,FALSE)</f>
        <v>27AAACU2414K1ZF</v>
      </c>
      <c r="E204" s="34" t="s">
        <v>22</v>
      </c>
      <c r="F204" s="136" t="s">
        <v>597</v>
      </c>
      <c r="G204" s="135">
        <v>43577</v>
      </c>
      <c r="H204" s="34">
        <v>9971</v>
      </c>
      <c r="I204" s="39">
        <f>VLOOKUP(H204,'PUR-HSN MASTER'!$A$4:$E$5000,5,FALSE)</f>
        <v>18</v>
      </c>
      <c r="J204" s="38">
        <v>0</v>
      </c>
      <c r="K204" s="40">
        <v>2000</v>
      </c>
      <c r="L204" s="39">
        <v>0</v>
      </c>
      <c r="M204" s="39">
        <v>180</v>
      </c>
      <c r="N204" s="39">
        <v>180</v>
      </c>
      <c r="O204" s="39">
        <v>0</v>
      </c>
      <c r="P204" s="39">
        <v>2360</v>
      </c>
      <c r="Q204" s="34" t="s">
        <v>410</v>
      </c>
      <c r="R204" s="34" t="s">
        <v>26</v>
      </c>
      <c r="S204" s="11" t="s">
        <v>4120</v>
      </c>
    </row>
    <row r="205" spans="1:19" x14ac:dyDescent="0.2">
      <c r="A205" s="33">
        <v>43556</v>
      </c>
      <c r="B205" s="34">
        <v>149</v>
      </c>
      <c r="C205" s="35" t="s">
        <v>514</v>
      </c>
      <c r="D205" s="34" t="str">
        <f>VLOOKUP(C205,'PUR-PARTY MASTER'!$B$4:$E$2000,2,FALSE)</f>
        <v>27AAACU2414K1ZF</v>
      </c>
      <c r="E205" s="34" t="s">
        <v>22</v>
      </c>
      <c r="F205" s="136" t="s">
        <v>598</v>
      </c>
      <c r="G205" s="135">
        <v>43577</v>
      </c>
      <c r="H205" s="34">
        <v>9971</v>
      </c>
      <c r="I205" s="39">
        <f>VLOOKUP(H205,'PUR-HSN MASTER'!$A$4:$E$5000,5,FALSE)</f>
        <v>18</v>
      </c>
      <c r="J205" s="38">
        <v>0</v>
      </c>
      <c r="K205" s="40">
        <v>500</v>
      </c>
      <c r="L205" s="39">
        <v>0</v>
      </c>
      <c r="M205" s="39">
        <v>45</v>
      </c>
      <c r="N205" s="39">
        <v>45</v>
      </c>
      <c r="O205" s="39">
        <v>0</v>
      </c>
      <c r="P205" s="39">
        <v>590</v>
      </c>
      <c r="Q205" s="34" t="s">
        <v>410</v>
      </c>
      <c r="R205" s="34" t="s">
        <v>26</v>
      </c>
      <c r="S205" s="11" t="s">
        <v>4120</v>
      </c>
    </row>
    <row r="206" spans="1:19" x14ac:dyDescent="0.2">
      <c r="A206" s="33">
        <v>43556</v>
      </c>
      <c r="B206" s="34">
        <v>150</v>
      </c>
      <c r="C206" s="35" t="s">
        <v>514</v>
      </c>
      <c r="D206" s="34" t="str">
        <f>VLOOKUP(C206,'PUR-PARTY MASTER'!$B$4:$E$2000,2,FALSE)</f>
        <v>27AAACU2414K1ZF</v>
      </c>
      <c r="E206" s="34" t="s">
        <v>22</v>
      </c>
      <c r="F206" s="136" t="s">
        <v>599</v>
      </c>
      <c r="G206" s="135">
        <v>43577</v>
      </c>
      <c r="H206" s="34">
        <v>9971</v>
      </c>
      <c r="I206" s="39">
        <f>VLOOKUP(H206,'PUR-HSN MASTER'!$A$4:$E$5000,5,FALSE)</f>
        <v>18</v>
      </c>
      <c r="J206" s="38">
        <v>0</v>
      </c>
      <c r="K206" s="40">
        <v>1318.32</v>
      </c>
      <c r="L206" s="39">
        <v>0</v>
      </c>
      <c r="M206" s="39">
        <v>118.64879999999999</v>
      </c>
      <c r="N206" s="39">
        <v>118.64879999999999</v>
      </c>
      <c r="O206" s="39">
        <v>0</v>
      </c>
      <c r="P206" s="39">
        <v>1555.6175999999998</v>
      </c>
      <c r="Q206" s="34" t="s">
        <v>410</v>
      </c>
      <c r="R206" s="34" t="s">
        <v>26</v>
      </c>
      <c r="S206" s="11" t="s">
        <v>4120</v>
      </c>
    </row>
    <row r="207" spans="1:19" x14ac:dyDescent="0.2">
      <c r="A207" s="33">
        <v>43556</v>
      </c>
      <c r="B207" s="34">
        <v>151</v>
      </c>
      <c r="C207" s="35" t="s">
        <v>489</v>
      </c>
      <c r="D207" s="34" t="str">
        <f>VLOOKUP(C207,'PUR-PARTY MASTER'!$B$4:$E$2000,2,FALSE)</f>
        <v>27AAECD2713N1ZK</v>
      </c>
      <c r="E207" s="34" t="s">
        <v>22</v>
      </c>
      <c r="F207" s="134">
        <v>7887981884</v>
      </c>
      <c r="G207" s="135">
        <v>43577</v>
      </c>
      <c r="H207" s="34">
        <v>32082090</v>
      </c>
      <c r="I207" s="39">
        <f>VLOOKUP(H207,'PUR-HSN MASTER'!$A$4:$E$5000,5,FALSE)</f>
        <v>18</v>
      </c>
      <c r="J207" s="38">
        <v>4</v>
      </c>
      <c r="K207" s="40">
        <v>4368</v>
      </c>
      <c r="L207" s="39">
        <v>0</v>
      </c>
      <c r="M207" s="39">
        <v>393.12</v>
      </c>
      <c r="N207" s="39">
        <v>393.12</v>
      </c>
      <c r="O207" s="39">
        <v>0</v>
      </c>
      <c r="P207" s="39">
        <v>5154</v>
      </c>
      <c r="Q207" s="34" t="s">
        <v>410</v>
      </c>
      <c r="R207" s="34" t="s">
        <v>26</v>
      </c>
      <c r="S207" s="11" t="s">
        <v>4120</v>
      </c>
    </row>
    <row r="208" spans="1:19" x14ac:dyDescent="0.2">
      <c r="A208" s="33">
        <v>43556</v>
      </c>
      <c r="B208" s="34">
        <v>1</v>
      </c>
      <c r="C208" s="35" t="s">
        <v>600</v>
      </c>
      <c r="D208" s="34">
        <f>VLOOKUP(C208,'PUR-PARTY MASTER'!$B$4:$E$2000,2,FALSE)</f>
        <v>2</v>
      </c>
      <c r="E208" s="34" t="s">
        <v>22</v>
      </c>
      <c r="F208" s="136"/>
      <c r="G208" s="135"/>
      <c r="H208" s="34"/>
      <c r="I208" s="39" t="e">
        <f>VLOOKUP(H208,'PUR-HSN MASTER'!$A$4:$E$5000,5,FALSE)</f>
        <v>#N/A</v>
      </c>
      <c r="J208" s="38"/>
      <c r="K208" s="40">
        <v>0</v>
      </c>
      <c r="L208" s="39"/>
      <c r="M208" s="39"/>
      <c r="N208" s="39"/>
      <c r="O208" s="39"/>
      <c r="P208" s="39">
        <v>18500</v>
      </c>
      <c r="Q208" s="34" t="s">
        <v>413</v>
      </c>
      <c r="R208" s="34" t="e">
        <v>#N/A</v>
      </c>
      <c r="S208" s="11" t="s">
        <v>4120</v>
      </c>
    </row>
    <row r="209" spans="1:19" x14ac:dyDescent="0.2">
      <c r="A209" s="33">
        <v>43556</v>
      </c>
      <c r="B209" s="34"/>
      <c r="C209" s="35" t="s">
        <v>499</v>
      </c>
      <c r="D209" s="34" t="str">
        <f>VLOOKUP(C209,'PUR-PARTY MASTER'!$B$4:$E$2000,2,FALSE)</f>
        <v>27AAHFP1154B1ZN</v>
      </c>
      <c r="E209" s="34" t="s">
        <v>22</v>
      </c>
      <c r="F209" s="624" t="s">
        <v>526</v>
      </c>
      <c r="G209" s="135">
        <v>43567</v>
      </c>
      <c r="H209" s="34"/>
      <c r="I209" s="39" t="e">
        <f>VLOOKUP(H209,'PUR-HSN MASTER'!$A$4:$E$5000,5,FALSE)</f>
        <v>#N/A</v>
      </c>
      <c r="J209" s="38"/>
      <c r="K209" s="40">
        <v>0</v>
      </c>
      <c r="L209" s="39"/>
      <c r="M209" s="39"/>
      <c r="N209" s="39"/>
      <c r="O209" s="39"/>
      <c r="P209" s="39">
        <v>300</v>
      </c>
      <c r="Q209" s="34" t="s">
        <v>377</v>
      </c>
      <c r="R209" s="34" t="s">
        <v>26</v>
      </c>
      <c r="S209" s="11" t="s">
        <v>4120</v>
      </c>
    </row>
    <row r="210" spans="1:19" x14ac:dyDescent="0.2">
      <c r="A210" s="33">
        <v>43556</v>
      </c>
      <c r="B210" s="34"/>
      <c r="C210" s="35" t="s">
        <v>499</v>
      </c>
      <c r="D210" s="34" t="str">
        <f>VLOOKUP(C210,'PUR-PARTY MASTER'!$B$4:$E$2000,2,FALSE)</f>
        <v>27AAHFP1154B1ZN</v>
      </c>
      <c r="E210" s="34" t="s">
        <v>22</v>
      </c>
      <c r="F210" s="624" t="s">
        <v>578</v>
      </c>
      <c r="G210" s="135">
        <v>43585</v>
      </c>
      <c r="H210" s="34"/>
      <c r="I210" s="39" t="e">
        <f>VLOOKUP(H210,'PUR-HSN MASTER'!$A$4:$E$5000,5,FALSE)</f>
        <v>#N/A</v>
      </c>
      <c r="J210" s="38"/>
      <c r="K210" s="40">
        <v>0</v>
      </c>
      <c r="L210" s="39"/>
      <c r="M210" s="39"/>
      <c r="N210" s="39"/>
      <c r="O210" s="39"/>
      <c r="P210" s="39">
        <v>60</v>
      </c>
      <c r="Q210" s="34" t="s">
        <v>377</v>
      </c>
      <c r="R210" s="34" t="s">
        <v>26</v>
      </c>
      <c r="S210" s="11" t="s">
        <v>4120</v>
      </c>
    </row>
    <row r="211" spans="1:19" x14ac:dyDescent="0.2">
      <c r="A211" s="34"/>
      <c r="B211" s="34"/>
      <c r="C211" s="35"/>
      <c r="D211" s="34" t="e">
        <f>VLOOKUP(C211,'PUR-PARTY MASTER'!$B$4:$E$2000,2,FALSE)</f>
        <v>#N/A</v>
      </c>
      <c r="E211" s="34" t="s">
        <v>22</v>
      </c>
      <c r="F211" s="136"/>
      <c r="G211" s="135"/>
      <c r="H211" s="34"/>
      <c r="I211" s="39" t="e">
        <f>VLOOKUP(H211,'PUR-HSN MASTER'!$A$4:$E$5000,5,FALSE)</f>
        <v>#N/A</v>
      </c>
      <c r="J211" s="38"/>
      <c r="K211" s="40"/>
      <c r="L211" s="39"/>
      <c r="M211" s="39"/>
      <c r="N211" s="39"/>
      <c r="O211" s="39"/>
      <c r="P211" s="39"/>
      <c r="Q211" s="34"/>
      <c r="R211" s="34" t="e">
        <v>#N/A</v>
      </c>
      <c r="S211" s="11" t="s">
        <v>4120</v>
      </c>
    </row>
    <row r="212" spans="1:19" x14ac:dyDescent="0.2">
      <c r="A212" s="122"/>
      <c r="B212" s="122"/>
      <c r="C212" s="625"/>
      <c r="D212" s="34" t="e">
        <f>VLOOKUP(C212,'PUR-PARTY MASTER'!$B$4:$E$2000,2,FALSE)</f>
        <v>#N/A</v>
      </c>
      <c r="E212" s="34" t="s">
        <v>22</v>
      </c>
      <c r="F212" s="626"/>
      <c r="G212" s="122"/>
      <c r="H212" s="122"/>
      <c r="I212" s="39" t="e">
        <f>VLOOKUP(H212,'PUR-HSN MASTER'!$A$4:$E$5000,5,FALSE)</f>
        <v>#N/A</v>
      </c>
      <c r="J212" s="122"/>
      <c r="K212" s="123"/>
      <c r="L212" s="39"/>
      <c r="M212" s="39"/>
      <c r="N212" s="39"/>
      <c r="O212" s="39"/>
      <c r="P212" s="39"/>
      <c r="Q212" s="122"/>
      <c r="R212" s="34" t="e">
        <v>#N/A</v>
      </c>
      <c r="S212" s="11" t="s">
        <v>4120</v>
      </c>
    </row>
    <row r="213" spans="1:19" x14ac:dyDescent="0.2">
      <c r="A213" s="33">
        <v>43586</v>
      </c>
      <c r="B213" s="24">
        <v>1</v>
      </c>
      <c r="C213" s="35" t="s">
        <v>601</v>
      </c>
      <c r="D213" s="34" t="str">
        <f>VLOOKUP(C213,'PUR-PARTY MASTER'!$B$4:$E$2000,2,FALSE)</f>
        <v>27AAZFM6461A1ZY</v>
      </c>
      <c r="E213" s="34" t="s">
        <v>22</v>
      </c>
      <c r="F213" s="131">
        <v>769</v>
      </c>
      <c r="G213" s="132">
        <v>43587</v>
      </c>
      <c r="H213" s="24">
        <v>87082900</v>
      </c>
      <c r="I213" s="39">
        <f>VLOOKUP(H213,'PUR-HSN MASTER'!$A$4:$E$5000,5,FALSE)</f>
        <v>28</v>
      </c>
      <c r="J213" s="28">
        <v>500</v>
      </c>
      <c r="K213" s="30">
        <v>11160</v>
      </c>
      <c r="L213" s="39">
        <v>0</v>
      </c>
      <c r="M213" s="39">
        <v>1562.3999999999999</v>
      </c>
      <c r="N213" s="39">
        <v>1562.3999999999999</v>
      </c>
      <c r="O213" s="39">
        <v>0</v>
      </c>
      <c r="P213" s="39">
        <v>14284.8</v>
      </c>
      <c r="Q213" s="34" t="s">
        <v>410</v>
      </c>
      <c r="R213" s="34" t="s">
        <v>26</v>
      </c>
      <c r="S213" s="11" t="s">
        <v>4120</v>
      </c>
    </row>
    <row r="214" spans="1:19" x14ac:dyDescent="0.2">
      <c r="A214" s="33">
        <v>43586</v>
      </c>
      <c r="B214" s="34">
        <v>2</v>
      </c>
      <c r="C214" s="35" t="s">
        <v>601</v>
      </c>
      <c r="D214" s="34" t="str">
        <f>VLOOKUP(C214,'PUR-PARTY MASTER'!$B$4:$E$2000,2,FALSE)</f>
        <v>27AAZFM6461A1ZY</v>
      </c>
      <c r="E214" s="34" t="s">
        <v>22</v>
      </c>
      <c r="F214" s="134">
        <v>770</v>
      </c>
      <c r="G214" s="135">
        <v>43587</v>
      </c>
      <c r="H214" s="34">
        <v>87082900</v>
      </c>
      <c r="I214" s="39">
        <f>VLOOKUP(H214,'PUR-HSN MASTER'!$A$4:$E$5000,5,FALSE)</f>
        <v>28</v>
      </c>
      <c r="J214" s="38">
        <v>400</v>
      </c>
      <c r="K214" s="40">
        <v>17028</v>
      </c>
      <c r="L214" s="39">
        <v>0</v>
      </c>
      <c r="M214" s="39">
        <v>2383.92</v>
      </c>
      <c r="N214" s="39">
        <v>2383.92</v>
      </c>
      <c r="O214" s="39">
        <v>0</v>
      </c>
      <c r="P214" s="39">
        <v>21795.839999999997</v>
      </c>
      <c r="Q214" s="34" t="s">
        <v>410</v>
      </c>
      <c r="R214" s="34" t="s">
        <v>26</v>
      </c>
      <c r="S214" s="11" t="s">
        <v>4120</v>
      </c>
    </row>
    <row r="215" spans="1:19" x14ac:dyDescent="0.2">
      <c r="A215" s="33">
        <v>43586</v>
      </c>
      <c r="B215" s="34">
        <v>3</v>
      </c>
      <c r="C215" s="35" t="s">
        <v>476</v>
      </c>
      <c r="D215" s="34" t="str">
        <f>VLOOKUP(C215,'PUR-PARTY MASTER'!$B$4:$E$2000,2,FALSE)</f>
        <v>27AABCO8467D1ZA</v>
      </c>
      <c r="E215" s="34" t="s">
        <v>22</v>
      </c>
      <c r="F215" s="136" t="s">
        <v>603</v>
      </c>
      <c r="G215" s="135">
        <v>43586</v>
      </c>
      <c r="H215" s="34">
        <v>441480</v>
      </c>
      <c r="I215" s="39">
        <f>VLOOKUP(H215,'PUR-HSN MASTER'!$A$4:$E$5000,5,FALSE)</f>
        <v>28</v>
      </c>
      <c r="J215" s="38"/>
      <c r="K215" s="40">
        <v>376945</v>
      </c>
      <c r="L215" s="39">
        <v>0</v>
      </c>
      <c r="M215" s="39">
        <v>52772.299999999996</v>
      </c>
      <c r="N215" s="39">
        <v>52772.299999999996</v>
      </c>
      <c r="O215" s="39">
        <v>0</v>
      </c>
      <c r="P215" s="39">
        <v>482490</v>
      </c>
      <c r="Q215" s="34" t="s">
        <v>410</v>
      </c>
      <c r="R215" s="34" t="s">
        <v>26</v>
      </c>
      <c r="S215" s="11" t="s">
        <v>4120</v>
      </c>
    </row>
    <row r="216" spans="1:19" x14ac:dyDescent="0.2">
      <c r="A216" s="33">
        <v>43586</v>
      </c>
      <c r="B216" s="34">
        <v>4</v>
      </c>
      <c r="C216" s="35" t="s">
        <v>473</v>
      </c>
      <c r="D216" s="34" t="str">
        <f>VLOOKUP(C216,'PUR-PARTY MASTER'!$B$4:$E$2000,2,FALSE)</f>
        <v>27AAACT1848E1ZH</v>
      </c>
      <c r="E216" s="34" t="s">
        <v>22</v>
      </c>
      <c r="F216" s="136" t="s">
        <v>604</v>
      </c>
      <c r="G216" s="135">
        <v>43588</v>
      </c>
      <c r="H216" s="34">
        <v>87082900</v>
      </c>
      <c r="I216" s="39">
        <f>VLOOKUP(H216,'PUR-HSN MASTER'!$A$4:$E$5000,5,FALSE)</f>
        <v>28</v>
      </c>
      <c r="J216" s="38">
        <v>30</v>
      </c>
      <c r="K216" s="40">
        <v>4809</v>
      </c>
      <c r="L216" s="39">
        <v>0</v>
      </c>
      <c r="M216" s="39">
        <v>673.26</v>
      </c>
      <c r="N216" s="39">
        <v>673.26</v>
      </c>
      <c r="O216" s="39">
        <v>0</v>
      </c>
      <c r="P216" s="39">
        <v>6155.52</v>
      </c>
      <c r="Q216" s="34" t="s">
        <v>410</v>
      </c>
      <c r="R216" s="34" t="s">
        <v>26</v>
      </c>
      <c r="S216" s="11" t="s">
        <v>4120</v>
      </c>
    </row>
    <row r="217" spans="1:19" x14ac:dyDescent="0.2">
      <c r="A217" s="33">
        <v>43586</v>
      </c>
      <c r="B217" s="34">
        <v>5</v>
      </c>
      <c r="C217" s="35" t="s">
        <v>473</v>
      </c>
      <c r="D217" s="34" t="str">
        <f>VLOOKUP(C217,'PUR-PARTY MASTER'!$B$4:$E$2000,2,FALSE)</f>
        <v>27AAACT1848E1ZH</v>
      </c>
      <c r="E217" s="34" t="s">
        <v>22</v>
      </c>
      <c r="F217" s="136" t="s">
        <v>605</v>
      </c>
      <c r="G217" s="135">
        <v>43588</v>
      </c>
      <c r="H217" s="34">
        <v>87089900</v>
      </c>
      <c r="I217" s="39">
        <f>VLOOKUP(H217,'PUR-HSN MASTER'!$A$4:$E$5000,5,FALSE)</f>
        <v>28</v>
      </c>
      <c r="J217" s="38">
        <v>40</v>
      </c>
      <c r="K217" s="40">
        <v>6012.8</v>
      </c>
      <c r="L217" s="39">
        <v>0</v>
      </c>
      <c r="M217" s="39">
        <v>841.79200000000003</v>
      </c>
      <c r="N217" s="39">
        <v>841.79200000000003</v>
      </c>
      <c r="O217" s="39">
        <v>0</v>
      </c>
      <c r="P217" s="39">
        <v>7696.3840000000009</v>
      </c>
      <c r="Q217" s="34" t="s">
        <v>410</v>
      </c>
      <c r="R217" s="34" t="s">
        <v>26</v>
      </c>
      <c r="S217" s="11" t="s">
        <v>4120</v>
      </c>
    </row>
    <row r="218" spans="1:19" x14ac:dyDescent="0.2">
      <c r="A218" s="33">
        <v>43586</v>
      </c>
      <c r="B218" s="34">
        <v>6</v>
      </c>
      <c r="C218" s="35" t="s">
        <v>601</v>
      </c>
      <c r="D218" s="34" t="str">
        <f>VLOOKUP(C218,'PUR-PARTY MASTER'!$B$4:$E$2000,2,FALSE)</f>
        <v>27AAZFM6461A1ZY</v>
      </c>
      <c r="E218" s="34" t="s">
        <v>22</v>
      </c>
      <c r="F218" s="134">
        <v>798</v>
      </c>
      <c r="G218" s="135">
        <v>43588</v>
      </c>
      <c r="H218" s="34">
        <v>87082900</v>
      </c>
      <c r="I218" s="39">
        <f>VLOOKUP(H218,'PUR-HSN MASTER'!$A$4:$E$5000,5,FALSE)</f>
        <v>28</v>
      </c>
      <c r="J218" s="38">
        <v>500</v>
      </c>
      <c r="K218" s="40">
        <v>21285</v>
      </c>
      <c r="L218" s="39">
        <v>0</v>
      </c>
      <c r="M218" s="39">
        <v>2979.9</v>
      </c>
      <c r="N218" s="39">
        <v>2979.9</v>
      </c>
      <c r="O218" s="39">
        <v>0</v>
      </c>
      <c r="P218" s="39">
        <v>27244.800000000003</v>
      </c>
      <c r="Q218" s="34" t="s">
        <v>410</v>
      </c>
      <c r="R218" s="34" t="s">
        <v>26</v>
      </c>
      <c r="S218" s="11" t="s">
        <v>4120</v>
      </c>
    </row>
    <row r="219" spans="1:19" x14ac:dyDescent="0.2">
      <c r="A219" s="33">
        <v>43586</v>
      </c>
      <c r="B219" s="34">
        <v>7</v>
      </c>
      <c r="C219" s="35" t="s">
        <v>601</v>
      </c>
      <c r="D219" s="34" t="str">
        <f>VLOOKUP(C219,'PUR-PARTY MASTER'!$B$4:$E$2000,2,FALSE)</f>
        <v>27AAZFM6461A1ZY</v>
      </c>
      <c r="E219" s="34" t="s">
        <v>22</v>
      </c>
      <c r="F219" s="134">
        <v>799</v>
      </c>
      <c r="G219" s="135">
        <v>43588</v>
      </c>
      <c r="H219" s="34">
        <v>87082900</v>
      </c>
      <c r="I219" s="39">
        <f>VLOOKUP(H219,'PUR-HSN MASTER'!$A$4:$E$5000,5,FALSE)</f>
        <v>28</v>
      </c>
      <c r="J219" s="38">
        <v>500</v>
      </c>
      <c r="K219" s="40">
        <v>11160</v>
      </c>
      <c r="L219" s="39">
        <v>0</v>
      </c>
      <c r="M219" s="39">
        <v>1562.3999999999999</v>
      </c>
      <c r="N219" s="39">
        <v>1562.3999999999999</v>
      </c>
      <c r="O219" s="39">
        <v>0</v>
      </c>
      <c r="P219" s="39">
        <v>14284.8</v>
      </c>
      <c r="Q219" s="34" t="s">
        <v>410</v>
      </c>
      <c r="R219" s="34" t="s">
        <v>26</v>
      </c>
      <c r="S219" s="11" t="s">
        <v>4120</v>
      </c>
    </row>
    <row r="220" spans="1:19" x14ac:dyDescent="0.2">
      <c r="A220" s="33">
        <v>43586</v>
      </c>
      <c r="B220" s="34">
        <v>8</v>
      </c>
      <c r="C220" s="35" t="s">
        <v>472</v>
      </c>
      <c r="D220" s="34" t="str">
        <f>VLOOKUP(C220,'PUR-PARTY MASTER'!$B$4:$E$2000,2,FALSE)</f>
        <v>27AABCM2508F1ZU</v>
      </c>
      <c r="E220" s="34" t="s">
        <v>22</v>
      </c>
      <c r="F220" s="134">
        <v>2041218955</v>
      </c>
      <c r="G220" s="135">
        <v>43588</v>
      </c>
      <c r="H220" s="34">
        <v>87141090</v>
      </c>
      <c r="I220" s="39">
        <f>VLOOKUP(H220,'PUR-HSN MASTER'!$A$4:$E$5000,5,FALSE)</f>
        <v>28</v>
      </c>
      <c r="J220" s="38">
        <v>250</v>
      </c>
      <c r="K220" s="40">
        <v>9270</v>
      </c>
      <c r="L220" s="39">
        <v>0</v>
      </c>
      <c r="M220" s="39">
        <v>1297.8</v>
      </c>
      <c r="N220" s="39">
        <v>1297.8</v>
      </c>
      <c r="O220" s="39">
        <v>0</v>
      </c>
      <c r="P220" s="39">
        <v>11865.599999999999</v>
      </c>
      <c r="Q220" s="34" t="s">
        <v>410</v>
      </c>
      <c r="R220" s="34" t="s">
        <v>26</v>
      </c>
      <c r="S220" s="11" t="s">
        <v>4120</v>
      </c>
    </row>
    <row r="221" spans="1:19" x14ac:dyDescent="0.2">
      <c r="A221" s="33">
        <v>43586</v>
      </c>
      <c r="B221" s="34">
        <v>9</v>
      </c>
      <c r="C221" s="35" t="s">
        <v>472</v>
      </c>
      <c r="D221" s="34" t="str">
        <f>VLOOKUP(C221,'PUR-PARTY MASTER'!$B$4:$E$2000,2,FALSE)</f>
        <v>27AABCM2508F1ZU</v>
      </c>
      <c r="E221" s="34" t="s">
        <v>22</v>
      </c>
      <c r="F221" s="134">
        <v>2041218960</v>
      </c>
      <c r="G221" s="135">
        <v>43588</v>
      </c>
      <c r="H221" s="34">
        <v>87141090</v>
      </c>
      <c r="I221" s="39">
        <f>VLOOKUP(H221,'PUR-HSN MASTER'!$A$4:$E$5000,5,FALSE)</f>
        <v>28</v>
      </c>
      <c r="J221" s="38">
        <v>250</v>
      </c>
      <c r="K221" s="40">
        <v>9270</v>
      </c>
      <c r="L221" s="39">
        <v>0</v>
      </c>
      <c r="M221" s="39">
        <v>1297.8</v>
      </c>
      <c r="N221" s="39">
        <v>1297.8</v>
      </c>
      <c r="O221" s="39">
        <v>0</v>
      </c>
      <c r="P221" s="39">
        <v>11865.599999999999</v>
      </c>
      <c r="Q221" s="34" t="s">
        <v>410</v>
      </c>
      <c r="R221" s="34" t="s">
        <v>26</v>
      </c>
      <c r="S221" s="11" t="s">
        <v>4120</v>
      </c>
    </row>
    <row r="222" spans="1:19" x14ac:dyDescent="0.2">
      <c r="A222" s="33">
        <v>43586</v>
      </c>
      <c r="B222" s="34">
        <v>10</v>
      </c>
      <c r="C222" s="35" t="s">
        <v>471</v>
      </c>
      <c r="D222" s="34" t="str">
        <f>VLOOKUP(C222,'PUR-PARTY MASTER'!$B$4:$E$2000,2,FALSE)</f>
        <v>27AAECM8871A1ZF</v>
      </c>
      <c r="E222" s="34" t="s">
        <v>22</v>
      </c>
      <c r="F222" s="134">
        <v>192001047</v>
      </c>
      <c r="G222" s="135">
        <v>43589</v>
      </c>
      <c r="H222" s="34">
        <v>87089900</v>
      </c>
      <c r="I222" s="39">
        <f>VLOOKUP(H222,'PUR-HSN MASTER'!$A$4:$E$5000,5,FALSE)</f>
        <v>28</v>
      </c>
      <c r="J222" s="38">
        <v>12</v>
      </c>
      <c r="K222" s="40">
        <v>17483.52</v>
      </c>
      <c r="L222" s="39">
        <v>0</v>
      </c>
      <c r="M222" s="39">
        <v>2447.6928000000003</v>
      </c>
      <c r="N222" s="39">
        <v>2447.6928000000003</v>
      </c>
      <c r="O222" s="39">
        <v>0</v>
      </c>
      <c r="P222" s="39">
        <v>22378.895600000003</v>
      </c>
      <c r="Q222" s="34" t="s">
        <v>410</v>
      </c>
      <c r="R222" s="34" t="s">
        <v>26</v>
      </c>
      <c r="S222" s="11" t="s">
        <v>4120</v>
      </c>
    </row>
    <row r="223" spans="1:19" x14ac:dyDescent="0.2">
      <c r="A223" s="33">
        <v>43586</v>
      </c>
      <c r="B223" s="34">
        <v>11</v>
      </c>
      <c r="C223" s="35" t="s">
        <v>471</v>
      </c>
      <c r="D223" s="34" t="str">
        <f>VLOOKUP(C223,'PUR-PARTY MASTER'!$B$4:$E$2000,2,FALSE)</f>
        <v>27AAECM8871A1ZF</v>
      </c>
      <c r="E223" s="34" t="s">
        <v>22</v>
      </c>
      <c r="F223" s="134">
        <v>192001048</v>
      </c>
      <c r="G223" s="135">
        <v>43589</v>
      </c>
      <c r="H223" s="34">
        <v>87089900</v>
      </c>
      <c r="I223" s="39">
        <f>VLOOKUP(H223,'PUR-HSN MASTER'!$A$4:$E$5000,5,FALSE)</f>
        <v>28</v>
      </c>
      <c r="J223" s="38">
        <v>12</v>
      </c>
      <c r="K223" s="40">
        <v>17483.52</v>
      </c>
      <c r="L223" s="39">
        <v>0</v>
      </c>
      <c r="M223" s="39">
        <v>2447.6928000000003</v>
      </c>
      <c r="N223" s="39">
        <v>2447.6928000000003</v>
      </c>
      <c r="O223" s="39">
        <v>0</v>
      </c>
      <c r="P223" s="39">
        <v>22378.895600000003</v>
      </c>
      <c r="Q223" s="34" t="s">
        <v>410</v>
      </c>
      <c r="R223" s="34" t="s">
        <v>26</v>
      </c>
      <c r="S223" s="11" t="s">
        <v>4120</v>
      </c>
    </row>
    <row r="224" spans="1:19" x14ac:dyDescent="0.2">
      <c r="A224" s="33">
        <v>43586</v>
      </c>
      <c r="B224" s="34">
        <v>12</v>
      </c>
      <c r="C224" s="35" t="s">
        <v>471</v>
      </c>
      <c r="D224" s="34" t="str">
        <f>VLOOKUP(C224,'PUR-PARTY MASTER'!$B$4:$E$2000,2,FALSE)</f>
        <v>27AAECM8871A1ZF</v>
      </c>
      <c r="E224" s="34" t="s">
        <v>22</v>
      </c>
      <c r="F224" s="134">
        <v>192001039</v>
      </c>
      <c r="G224" s="135">
        <v>43589</v>
      </c>
      <c r="H224" s="34">
        <v>87089900</v>
      </c>
      <c r="I224" s="39">
        <f>VLOOKUP(H224,'PUR-HSN MASTER'!$A$4:$E$5000,5,FALSE)</f>
        <v>28</v>
      </c>
      <c r="J224" s="38">
        <v>12</v>
      </c>
      <c r="K224" s="40">
        <v>17483.52</v>
      </c>
      <c r="L224" s="39">
        <v>0</v>
      </c>
      <c r="M224" s="39">
        <v>2447.6928000000003</v>
      </c>
      <c r="N224" s="39">
        <v>2447.6928000000003</v>
      </c>
      <c r="O224" s="39">
        <v>0</v>
      </c>
      <c r="P224" s="39">
        <v>22378.895600000003</v>
      </c>
      <c r="Q224" s="34" t="s">
        <v>410</v>
      </c>
      <c r="R224" s="34" t="s">
        <v>26</v>
      </c>
      <c r="S224" s="11" t="s">
        <v>4120</v>
      </c>
    </row>
    <row r="225" spans="1:19" x14ac:dyDescent="0.2">
      <c r="A225" s="33">
        <v>43586</v>
      </c>
      <c r="B225" s="34">
        <v>13</v>
      </c>
      <c r="C225" s="35" t="s">
        <v>471</v>
      </c>
      <c r="D225" s="34" t="str">
        <f>VLOOKUP(C225,'PUR-PARTY MASTER'!$B$4:$E$2000,2,FALSE)</f>
        <v>27AAECM8871A1ZF</v>
      </c>
      <c r="E225" s="34" t="s">
        <v>22</v>
      </c>
      <c r="F225" s="134">
        <v>192001040</v>
      </c>
      <c r="G225" s="135">
        <v>43589</v>
      </c>
      <c r="H225" s="34">
        <v>87089900</v>
      </c>
      <c r="I225" s="39">
        <f>VLOOKUP(H225,'PUR-HSN MASTER'!$A$4:$E$5000,5,FALSE)</f>
        <v>28</v>
      </c>
      <c r="J225" s="38">
        <v>12</v>
      </c>
      <c r="K225" s="40">
        <v>17483.52</v>
      </c>
      <c r="L225" s="39">
        <v>0</v>
      </c>
      <c r="M225" s="39">
        <v>2447.6928000000003</v>
      </c>
      <c r="N225" s="39">
        <v>2447.6928000000003</v>
      </c>
      <c r="O225" s="39">
        <v>0</v>
      </c>
      <c r="P225" s="39">
        <v>22378.895600000003</v>
      </c>
      <c r="Q225" s="34" t="s">
        <v>410</v>
      </c>
      <c r="R225" s="34" t="s">
        <v>26</v>
      </c>
      <c r="S225" s="11" t="s">
        <v>4120</v>
      </c>
    </row>
    <row r="226" spans="1:19" x14ac:dyDescent="0.2">
      <c r="A226" s="33">
        <v>43586</v>
      </c>
      <c r="B226" s="34">
        <v>14</v>
      </c>
      <c r="C226" s="35" t="s">
        <v>601</v>
      </c>
      <c r="D226" s="34" t="str">
        <f>VLOOKUP(C226,'PUR-PARTY MASTER'!$B$4:$E$2000,2,FALSE)</f>
        <v>27AAZFM6461A1ZY</v>
      </c>
      <c r="E226" s="34" t="s">
        <v>22</v>
      </c>
      <c r="F226" s="134">
        <v>836</v>
      </c>
      <c r="G226" s="135">
        <v>43590</v>
      </c>
      <c r="H226" s="34">
        <v>87082900</v>
      </c>
      <c r="I226" s="39">
        <f>VLOOKUP(H226,'PUR-HSN MASTER'!$A$4:$E$5000,5,FALSE)</f>
        <v>28</v>
      </c>
      <c r="J226" s="38">
        <v>720</v>
      </c>
      <c r="K226" s="40">
        <v>30650.400000000001</v>
      </c>
      <c r="L226" s="39">
        <v>0</v>
      </c>
      <c r="M226" s="39">
        <v>4291.0560000000005</v>
      </c>
      <c r="N226" s="39">
        <v>4291.0560000000005</v>
      </c>
      <c r="O226" s="39">
        <v>0</v>
      </c>
      <c r="P226" s="39">
        <v>39232.522000000004</v>
      </c>
      <c r="Q226" s="34" t="s">
        <v>410</v>
      </c>
      <c r="R226" s="34" t="s">
        <v>26</v>
      </c>
      <c r="S226" s="11" t="s">
        <v>4120</v>
      </c>
    </row>
    <row r="227" spans="1:19" x14ac:dyDescent="0.2">
      <c r="A227" s="33">
        <v>43586</v>
      </c>
      <c r="B227" s="34">
        <v>15</v>
      </c>
      <c r="C227" s="35" t="s">
        <v>601</v>
      </c>
      <c r="D227" s="34" t="str">
        <f>VLOOKUP(C227,'PUR-PARTY MASTER'!$B$4:$E$2000,2,FALSE)</f>
        <v>27AAZFM6461A1ZY</v>
      </c>
      <c r="E227" s="34" t="s">
        <v>22</v>
      </c>
      <c r="F227" s="134">
        <v>837</v>
      </c>
      <c r="G227" s="135">
        <v>43590</v>
      </c>
      <c r="H227" s="34">
        <v>87082900</v>
      </c>
      <c r="I227" s="39">
        <f>VLOOKUP(H227,'PUR-HSN MASTER'!$A$4:$E$5000,5,FALSE)</f>
        <v>28</v>
      </c>
      <c r="J227" s="38">
        <v>878</v>
      </c>
      <c r="K227" s="40">
        <v>19596.96</v>
      </c>
      <c r="L227" s="39">
        <v>0</v>
      </c>
      <c r="M227" s="39">
        <v>2743.5744</v>
      </c>
      <c r="N227" s="39">
        <v>2743.5744</v>
      </c>
      <c r="O227" s="39">
        <v>0</v>
      </c>
      <c r="P227" s="39">
        <v>25084.098800000003</v>
      </c>
      <c r="Q227" s="34" t="s">
        <v>410</v>
      </c>
      <c r="R227" s="34" t="s">
        <v>26</v>
      </c>
      <c r="S227" s="11" t="s">
        <v>4120</v>
      </c>
    </row>
    <row r="228" spans="1:19" x14ac:dyDescent="0.2">
      <c r="A228" s="33">
        <v>43586</v>
      </c>
      <c r="B228" s="34">
        <v>16</v>
      </c>
      <c r="C228" s="35" t="s">
        <v>601</v>
      </c>
      <c r="D228" s="34" t="str">
        <f>VLOOKUP(C228,'PUR-PARTY MASTER'!$B$4:$E$2000,2,FALSE)</f>
        <v>27AAZFM6461A1ZY</v>
      </c>
      <c r="E228" s="34" t="s">
        <v>22</v>
      </c>
      <c r="F228" s="134">
        <v>844</v>
      </c>
      <c r="G228" s="135">
        <v>43590</v>
      </c>
      <c r="H228" s="34">
        <v>87082900</v>
      </c>
      <c r="I228" s="39">
        <f>VLOOKUP(H228,'PUR-HSN MASTER'!$A$4:$E$5000,5,FALSE)</f>
        <v>28</v>
      </c>
      <c r="J228" s="38">
        <v>420</v>
      </c>
      <c r="K228" s="40">
        <v>17879.400000000001</v>
      </c>
      <c r="L228" s="39">
        <v>0</v>
      </c>
      <c r="M228" s="39">
        <v>2503.116</v>
      </c>
      <c r="N228" s="39">
        <v>2503.116</v>
      </c>
      <c r="O228" s="39">
        <v>0</v>
      </c>
      <c r="P228" s="39">
        <v>22885.642000000003</v>
      </c>
      <c r="Q228" s="34" t="s">
        <v>410</v>
      </c>
      <c r="R228" s="34" t="s">
        <v>26</v>
      </c>
      <c r="S228" s="11" t="s">
        <v>4120</v>
      </c>
    </row>
    <row r="229" spans="1:19" x14ac:dyDescent="0.2">
      <c r="A229" s="33">
        <v>43586</v>
      </c>
      <c r="B229" s="34">
        <v>17</v>
      </c>
      <c r="C229" s="35" t="s">
        <v>606</v>
      </c>
      <c r="D229" s="34" t="str">
        <f>VLOOKUP(C229,'PUR-PARTY MASTER'!$B$4:$E$2000,2,FALSE)</f>
        <v>27AJZPM2520M1ZL</v>
      </c>
      <c r="E229" s="34" t="s">
        <v>22</v>
      </c>
      <c r="F229" s="136" t="s">
        <v>608</v>
      </c>
      <c r="G229" s="135">
        <v>43589</v>
      </c>
      <c r="H229" s="34">
        <v>68052090</v>
      </c>
      <c r="I229" s="39">
        <f>VLOOKUP(H229,'PUR-HSN MASTER'!$A$4:$E$5000,5,FALSE)</f>
        <v>18</v>
      </c>
      <c r="J229" s="38">
        <v>2500</v>
      </c>
      <c r="K229" s="40">
        <v>25000</v>
      </c>
      <c r="L229" s="39">
        <v>0</v>
      </c>
      <c r="M229" s="39">
        <v>2250</v>
      </c>
      <c r="N229" s="39">
        <v>2250</v>
      </c>
      <c r="O229" s="39">
        <v>0</v>
      </c>
      <c r="P229" s="39">
        <v>29500</v>
      </c>
      <c r="Q229" s="34" t="s">
        <v>410</v>
      </c>
      <c r="R229" s="34" t="s">
        <v>26</v>
      </c>
      <c r="S229" s="11" t="s">
        <v>4120</v>
      </c>
    </row>
    <row r="230" spans="1:19" x14ac:dyDescent="0.2">
      <c r="A230" s="33">
        <v>43586</v>
      </c>
      <c r="B230" s="34">
        <v>18</v>
      </c>
      <c r="C230" s="35" t="s">
        <v>471</v>
      </c>
      <c r="D230" s="34" t="str">
        <f>VLOOKUP(C230,'PUR-PARTY MASTER'!$B$4:$E$2000,2,FALSE)</f>
        <v>27AAECM8871A1ZF</v>
      </c>
      <c r="E230" s="34" t="s">
        <v>22</v>
      </c>
      <c r="F230" s="134">
        <v>192001080</v>
      </c>
      <c r="G230" s="135">
        <v>43591</v>
      </c>
      <c r="H230" s="34">
        <v>87089900</v>
      </c>
      <c r="I230" s="39">
        <f>VLOOKUP(H230,'PUR-HSN MASTER'!$A$4:$E$5000,5,FALSE)</f>
        <v>28</v>
      </c>
      <c r="J230" s="38">
        <v>12</v>
      </c>
      <c r="K230" s="40">
        <v>17483.52</v>
      </c>
      <c r="L230" s="39">
        <v>0</v>
      </c>
      <c r="M230" s="39">
        <v>2447.6928000000003</v>
      </c>
      <c r="N230" s="39">
        <v>2447.6928000000003</v>
      </c>
      <c r="O230" s="39">
        <v>0</v>
      </c>
      <c r="P230" s="39">
        <v>22378.895600000003</v>
      </c>
      <c r="Q230" s="34" t="s">
        <v>410</v>
      </c>
      <c r="R230" s="34" t="s">
        <v>26</v>
      </c>
      <c r="S230" s="11" t="s">
        <v>4120</v>
      </c>
    </row>
    <row r="231" spans="1:19" x14ac:dyDescent="0.2">
      <c r="A231" s="33">
        <v>43586</v>
      </c>
      <c r="B231" s="34">
        <v>19</v>
      </c>
      <c r="C231" s="35" t="s">
        <v>471</v>
      </c>
      <c r="D231" s="34" t="str">
        <f>VLOOKUP(C231,'PUR-PARTY MASTER'!$B$4:$E$2000,2,FALSE)</f>
        <v>27AAECM8871A1ZF</v>
      </c>
      <c r="E231" s="34" t="s">
        <v>22</v>
      </c>
      <c r="F231" s="134">
        <v>192001093</v>
      </c>
      <c r="G231" s="135">
        <v>43591</v>
      </c>
      <c r="H231" s="34">
        <v>87089900</v>
      </c>
      <c r="I231" s="39">
        <f>VLOOKUP(H231,'PUR-HSN MASTER'!$A$4:$E$5000,5,FALSE)</f>
        <v>28</v>
      </c>
      <c r="J231" s="38">
        <v>12</v>
      </c>
      <c r="K231" s="40">
        <v>17483.52</v>
      </c>
      <c r="L231" s="39">
        <v>0</v>
      </c>
      <c r="M231" s="39">
        <v>2447.6928000000003</v>
      </c>
      <c r="N231" s="39">
        <v>2447.6928000000003</v>
      </c>
      <c r="O231" s="39">
        <v>0</v>
      </c>
      <c r="P231" s="39">
        <v>22378.895600000003</v>
      </c>
      <c r="Q231" s="34" t="s">
        <v>410</v>
      </c>
      <c r="R231" s="34" t="s">
        <v>26</v>
      </c>
      <c r="S231" s="11" t="s">
        <v>4120</v>
      </c>
    </row>
    <row r="232" spans="1:19" x14ac:dyDescent="0.2">
      <c r="A232" s="33">
        <v>43586</v>
      </c>
      <c r="B232" s="34">
        <v>20</v>
      </c>
      <c r="C232" s="35" t="s">
        <v>489</v>
      </c>
      <c r="D232" s="34" t="str">
        <f>VLOOKUP(C232,'PUR-PARTY MASTER'!$B$4:$E$2000,2,FALSE)</f>
        <v>27AAECD2713N1ZK</v>
      </c>
      <c r="E232" s="34" t="s">
        <v>22</v>
      </c>
      <c r="F232" s="134">
        <v>7887982494</v>
      </c>
      <c r="G232" s="135">
        <v>43591</v>
      </c>
      <c r="H232" s="34">
        <v>32081090</v>
      </c>
      <c r="I232" s="39">
        <f>VLOOKUP(H232,'PUR-HSN MASTER'!$A$4:$E$5000,5,FALSE)</f>
        <v>18</v>
      </c>
      <c r="J232" s="38">
        <v>12</v>
      </c>
      <c r="K232" s="40">
        <v>6120</v>
      </c>
      <c r="L232" s="39">
        <v>0</v>
      </c>
      <c r="M232" s="39">
        <v>550.80000000000007</v>
      </c>
      <c r="N232" s="39">
        <v>550.80000000000007</v>
      </c>
      <c r="O232" s="39">
        <v>0</v>
      </c>
      <c r="P232" s="39">
        <v>7221.8</v>
      </c>
      <c r="Q232" s="34" t="s">
        <v>410</v>
      </c>
      <c r="R232" s="34" t="s">
        <v>26</v>
      </c>
      <c r="S232" s="11" t="s">
        <v>4120</v>
      </c>
    </row>
    <row r="233" spans="1:19" x14ac:dyDescent="0.2">
      <c r="A233" s="33">
        <v>43586</v>
      </c>
      <c r="B233" s="34"/>
      <c r="C233" s="35" t="s">
        <v>489</v>
      </c>
      <c r="D233" s="34" t="str">
        <f>VLOOKUP(C233,'PUR-PARTY MASTER'!$B$4:$E$2000,2,FALSE)</f>
        <v>27AAECD2713N1ZK</v>
      </c>
      <c r="E233" s="34" t="s">
        <v>22</v>
      </c>
      <c r="F233" s="134">
        <v>7887982494</v>
      </c>
      <c r="G233" s="135">
        <v>43591</v>
      </c>
      <c r="H233" s="34">
        <v>32082090</v>
      </c>
      <c r="I233" s="39">
        <f>VLOOKUP(H233,'PUR-HSN MASTER'!$A$4:$E$5000,5,FALSE)</f>
        <v>18</v>
      </c>
      <c r="J233" s="38">
        <v>20</v>
      </c>
      <c r="K233" s="40">
        <v>12800</v>
      </c>
      <c r="L233" s="39">
        <v>0</v>
      </c>
      <c r="M233" s="39">
        <v>1152</v>
      </c>
      <c r="N233" s="39">
        <v>1152</v>
      </c>
      <c r="O233" s="39">
        <v>0</v>
      </c>
      <c r="P233" s="39">
        <v>15103.72</v>
      </c>
      <c r="Q233" s="34" t="s">
        <v>410</v>
      </c>
      <c r="R233" s="34" t="s">
        <v>26</v>
      </c>
      <c r="S233" s="11" t="s">
        <v>4120</v>
      </c>
    </row>
    <row r="234" spans="1:19" x14ac:dyDescent="0.2">
      <c r="A234" s="33">
        <v>43586</v>
      </c>
      <c r="B234" s="34"/>
      <c r="C234" s="35" t="s">
        <v>489</v>
      </c>
      <c r="D234" s="34" t="str">
        <f>VLOOKUP(C234,'PUR-PARTY MASTER'!$B$4:$E$2000,2,FALSE)</f>
        <v>27AAECD2713N1ZK</v>
      </c>
      <c r="E234" s="34" t="s">
        <v>22</v>
      </c>
      <c r="F234" s="134">
        <v>7887982494</v>
      </c>
      <c r="G234" s="135">
        <v>43591</v>
      </c>
      <c r="H234" s="34">
        <v>38249990</v>
      </c>
      <c r="I234" s="39">
        <f>VLOOKUP(H234,'PUR-HSN MASTER'!$A$4:$E$5000,5,FALSE)</f>
        <v>18</v>
      </c>
      <c r="J234" s="38">
        <v>12</v>
      </c>
      <c r="K234" s="40">
        <v>7416</v>
      </c>
      <c r="L234" s="39">
        <v>0</v>
      </c>
      <c r="M234" s="39">
        <v>667.43999999999994</v>
      </c>
      <c r="N234" s="39">
        <v>667.43999999999994</v>
      </c>
      <c r="O234" s="39">
        <v>0</v>
      </c>
      <c r="P234" s="39">
        <v>8750.48</v>
      </c>
      <c r="Q234" s="34" t="s">
        <v>410</v>
      </c>
      <c r="R234" s="34" t="s">
        <v>26</v>
      </c>
      <c r="S234" s="11" t="s">
        <v>4120</v>
      </c>
    </row>
    <row r="235" spans="1:19" x14ac:dyDescent="0.2">
      <c r="A235" s="33">
        <v>43586</v>
      </c>
      <c r="B235" s="34">
        <v>21</v>
      </c>
      <c r="C235" s="35" t="s">
        <v>489</v>
      </c>
      <c r="D235" s="34" t="str">
        <f>VLOOKUP(C235,'PUR-PARTY MASTER'!$B$4:$E$2000,2,FALSE)</f>
        <v>27AAECD2713N1ZK</v>
      </c>
      <c r="E235" s="34" t="s">
        <v>22</v>
      </c>
      <c r="F235" s="134">
        <v>7887982520</v>
      </c>
      <c r="G235" s="135">
        <v>43591</v>
      </c>
      <c r="H235" s="34">
        <v>32082090</v>
      </c>
      <c r="I235" s="39">
        <f>VLOOKUP(H235,'PUR-HSN MASTER'!$A$4:$E$5000,5,FALSE)</f>
        <v>18</v>
      </c>
      <c r="J235" s="38">
        <v>8</v>
      </c>
      <c r="K235" s="40">
        <v>8736</v>
      </c>
      <c r="L235" s="39">
        <v>0</v>
      </c>
      <c r="M235" s="39">
        <v>786.24</v>
      </c>
      <c r="N235" s="39">
        <v>786.24</v>
      </c>
      <c r="O235" s="39">
        <v>0</v>
      </c>
      <c r="P235" s="39">
        <v>10308</v>
      </c>
      <c r="Q235" s="34" t="s">
        <v>410</v>
      </c>
      <c r="R235" s="34" t="s">
        <v>26</v>
      </c>
      <c r="S235" s="11" t="s">
        <v>4120</v>
      </c>
    </row>
    <row r="236" spans="1:19" x14ac:dyDescent="0.2">
      <c r="A236" s="33">
        <v>43586</v>
      </c>
      <c r="B236" s="34">
        <v>22</v>
      </c>
      <c r="C236" s="35" t="s">
        <v>609</v>
      </c>
      <c r="D236" s="34" t="str">
        <f>VLOOKUP(C236,'PUR-PARTY MASTER'!$B$4:$E$2000,2,FALSE)</f>
        <v>27AASCS9231J1ZO</v>
      </c>
      <c r="E236" s="34" t="s">
        <v>22</v>
      </c>
      <c r="F236" s="136" t="s">
        <v>611</v>
      </c>
      <c r="G236" s="135">
        <v>43586</v>
      </c>
      <c r="H236" s="34">
        <v>998519</v>
      </c>
      <c r="I236" s="39">
        <f>VLOOKUP(H236,'PUR-HSN MASTER'!$A$4:$E$5000,5,FALSE)</f>
        <v>18</v>
      </c>
      <c r="J236" s="38"/>
      <c r="K236" s="40">
        <v>653410</v>
      </c>
      <c r="L236" s="39">
        <v>0</v>
      </c>
      <c r="M236" s="39">
        <v>58806.9</v>
      </c>
      <c r="N236" s="39">
        <v>58806.9</v>
      </c>
      <c r="O236" s="39">
        <v>0</v>
      </c>
      <c r="P236" s="39">
        <v>771024</v>
      </c>
      <c r="Q236" s="34" t="s">
        <v>411</v>
      </c>
      <c r="R236" s="34" t="s">
        <v>26</v>
      </c>
      <c r="S236" s="11" t="s">
        <v>4120</v>
      </c>
    </row>
    <row r="237" spans="1:19" x14ac:dyDescent="0.2">
      <c r="A237" s="33">
        <v>43586</v>
      </c>
      <c r="B237" s="34">
        <v>23</v>
      </c>
      <c r="C237" s="35" t="s">
        <v>609</v>
      </c>
      <c r="D237" s="34" t="str">
        <f>VLOOKUP(C237,'PUR-PARTY MASTER'!$B$4:$E$2000,2,FALSE)</f>
        <v>27AASCS9231J1ZO</v>
      </c>
      <c r="E237" s="34" t="s">
        <v>22</v>
      </c>
      <c r="F237" s="136" t="s">
        <v>612</v>
      </c>
      <c r="G237" s="135">
        <v>43586</v>
      </c>
      <c r="H237" s="34">
        <v>998519</v>
      </c>
      <c r="I237" s="39">
        <f>VLOOKUP(H237,'PUR-HSN MASTER'!$A$4:$E$5000,5,FALSE)</f>
        <v>18</v>
      </c>
      <c r="J237" s="38"/>
      <c r="K237" s="40">
        <v>22361</v>
      </c>
      <c r="L237" s="39">
        <v>0</v>
      </c>
      <c r="M237" s="39">
        <v>2012.4900000000002</v>
      </c>
      <c r="N237" s="39">
        <v>2012.4900000000002</v>
      </c>
      <c r="O237" s="39">
        <v>0</v>
      </c>
      <c r="P237" s="39">
        <v>26386.000000000004</v>
      </c>
      <c r="Q237" s="34" t="s">
        <v>411</v>
      </c>
      <c r="R237" s="34" t="s">
        <v>26</v>
      </c>
      <c r="S237" s="11" t="s">
        <v>4120</v>
      </c>
    </row>
    <row r="238" spans="1:19" x14ac:dyDescent="0.2">
      <c r="A238" s="33">
        <v>43586</v>
      </c>
      <c r="B238" s="34">
        <v>24</v>
      </c>
      <c r="C238" s="35" t="s">
        <v>493</v>
      </c>
      <c r="D238" s="34" t="str">
        <f>VLOOKUP(C238,'PUR-PARTY MASTER'!$B$4:$E$2000,2,FALSE)</f>
        <v>27AMMPB3648M1ZO</v>
      </c>
      <c r="E238" s="34" t="s">
        <v>22</v>
      </c>
      <c r="F238" s="134">
        <v>575</v>
      </c>
      <c r="G238" s="135">
        <v>43591</v>
      </c>
      <c r="H238" s="34">
        <v>85129000</v>
      </c>
      <c r="I238" s="39">
        <f>VLOOKUP(H238,'PUR-HSN MASTER'!$A$4:$E$5000,5,FALSE)</f>
        <v>18</v>
      </c>
      <c r="J238" s="38">
        <v>1100</v>
      </c>
      <c r="K238" s="40">
        <v>25289</v>
      </c>
      <c r="L238" s="39">
        <v>0</v>
      </c>
      <c r="M238" s="39">
        <v>2276.0099999999998</v>
      </c>
      <c r="N238" s="39">
        <v>2276.0099999999998</v>
      </c>
      <c r="O238" s="39">
        <v>0</v>
      </c>
      <c r="P238" s="39">
        <v>29840.999999999996</v>
      </c>
      <c r="Q238" s="34" t="s">
        <v>410</v>
      </c>
      <c r="R238" s="34" t="s">
        <v>26</v>
      </c>
      <c r="S238" s="11" t="s">
        <v>4120</v>
      </c>
    </row>
    <row r="239" spans="1:19" x14ac:dyDescent="0.2">
      <c r="A239" s="33">
        <v>43586</v>
      </c>
      <c r="B239" s="34">
        <v>25</v>
      </c>
      <c r="C239" s="35" t="s">
        <v>601</v>
      </c>
      <c r="D239" s="34" t="str">
        <f>VLOOKUP(C239,'PUR-PARTY MASTER'!$B$4:$E$2000,2,FALSE)</f>
        <v>27AAZFM6461A1ZY</v>
      </c>
      <c r="E239" s="34" t="s">
        <v>22</v>
      </c>
      <c r="F239" s="134">
        <v>872</v>
      </c>
      <c r="G239" s="135">
        <v>43591</v>
      </c>
      <c r="H239" s="34">
        <v>87082900</v>
      </c>
      <c r="I239" s="39">
        <f>VLOOKUP(H239,'PUR-HSN MASTER'!$A$4:$E$5000,5,FALSE)</f>
        <v>28</v>
      </c>
      <c r="J239" s="38">
        <v>1100</v>
      </c>
      <c r="K239" s="40">
        <v>46827</v>
      </c>
      <c r="L239" s="39">
        <v>0</v>
      </c>
      <c r="M239" s="39">
        <v>6555.78</v>
      </c>
      <c r="N239" s="39">
        <v>6555.78</v>
      </c>
      <c r="O239" s="39">
        <v>0</v>
      </c>
      <c r="P239" s="39">
        <v>59938.559999999998</v>
      </c>
      <c r="Q239" s="34" t="s">
        <v>410</v>
      </c>
      <c r="R239" s="34" t="s">
        <v>26</v>
      </c>
      <c r="S239" s="11" t="s">
        <v>4120</v>
      </c>
    </row>
    <row r="240" spans="1:19" x14ac:dyDescent="0.2">
      <c r="A240" s="33">
        <v>43586</v>
      </c>
      <c r="B240" s="34">
        <v>26</v>
      </c>
      <c r="C240" s="35" t="s">
        <v>613</v>
      </c>
      <c r="D240" s="34" t="str">
        <f>VLOOKUP(C240,'PUR-PARTY MASTER'!$B$4:$E$2000,2,FALSE)</f>
        <v>27ACFPY4813J1Z6</v>
      </c>
      <c r="E240" s="34" t="s">
        <v>22</v>
      </c>
      <c r="F240" s="134">
        <v>19211</v>
      </c>
      <c r="G240" s="135">
        <v>43592</v>
      </c>
      <c r="H240" s="34">
        <v>39201091</v>
      </c>
      <c r="I240" s="39">
        <f>VLOOKUP(H240,'PUR-HSN MASTER'!$A$4:$E$5000,5,FALSE)</f>
        <v>18</v>
      </c>
      <c r="J240" s="38">
        <v>9</v>
      </c>
      <c r="K240" s="40">
        <v>18900</v>
      </c>
      <c r="L240" s="39">
        <v>0</v>
      </c>
      <c r="M240" s="39">
        <v>1701</v>
      </c>
      <c r="N240" s="39">
        <v>1701</v>
      </c>
      <c r="O240" s="39">
        <v>0</v>
      </c>
      <c r="P240" s="39">
        <v>22302</v>
      </c>
      <c r="Q240" s="34" t="s">
        <v>410</v>
      </c>
      <c r="R240" s="34" t="s">
        <v>26</v>
      </c>
      <c r="S240" s="11" t="s">
        <v>4120</v>
      </c>
    </row>
    <row r="241" spans="1:19" x14ac:dyDescent="0.2">
      <c r="A241" s="33">
        <v>43586</v>
      </c>
      <c r="B241" s="34">
        <v>27</v>
      </c>
      <c r="C241" s="35" t="s">
        <v>471</v>
      </c>
      <c r="D241" s="34" t="str">
        <f>VLOOKUP(C241,'PUR-PARTY MASTER'!$B$4:$E$2000,2,FALSE)</f>
        <v>27AAECM8871A1ZF</v>
      </c>
      <c r="E241" s="34" t="s">
        <v>22</v>
      </c>
      <c r="F241" s="134">
        <v>192001122</v>
      </c>
      <c r="G241" s="135">
        <v>43592</v>
      </c>
      <c r="H241" s="34">
        <v>87089900</v>
      </c>
      <c r="I241" s="39">
        <f>VLOOKUP(H241,'PUR-HSN MASTER'!$A$4:$E$5000,5,FALSE)</f>
        <v>28</v>
      </c>
      <c r="J241" s="38">
        <v>12</v>
      </c>
      <c r="K241" s="40">
        <v>17483.52</v>
      </c>
      <c r="L241" s="39">
        <v>0</v>
      </c>
      <c r="M241" s="39">
        <v>2447.6928000000003</v>
      </c>
      <c r="N241" s="39">
        <v>2447.6928000000003</v>
      </c>
      <c r="O241" s="39">
        <v>0</v>
      </c>
      <c r="P241" s="39">
        <v>22378.895600000003</v>
      </c>
      <c r="Q241" s="34" t="s">
        <v>410</v>
      </c>
      <c r="R241" s="34" t="s">
        <v>26</v>
      </c>
      <c r="S241" s="11" t="s">
        <v>4120</v>
      </c>
    </row>
    <row r="242" spans="1:19" x14ac:dyDescent="0.2">
      <c r="A242" s="33">
        <v>43586</v>
      </c>
      <c r="B242" s="34">
        <v>28</v>
      </c>
      <c r="C242" s="35" t="s">
        <v>541</v>
      </c>
      <c r="D242" s="34" t="str">
        <f>VLOOKUP(C242,'PUR-PARTY MASTER'!$B$4:$E$2000,2,FALSE)</f>
        <v>27AYCPB9228K1ZA</v>
      </c>
      <c r="E242" s="34" t="s">
        <v>22</v>
      </c>
      <c r="F242" s="136" t="s">
        <v>615</v>
      </c>
      <c r="G242" s="135">
        <v>43586</v>
      </c>
      <c r="H242" s="34" t="s">
        <v>544</v>
      </c>
      <c r="I242" s="39">
        <f>VLOOKUP(H242,'PUR-HSN MASTER'!$A$4:$E$5000,5,FALSE)</f>
        <v>18</v>
      </c>
      <c r="J242" s="38"/>
      <c r="K242" s="40">
        <v>3500</v>
      </c>
      <c r="L242" s="39">
        <v>0</v>
      </c>
      <c r="M242" s="39">
        <v>315</v>
      </c>
      <c r="N242" s="39">
        <v>315</v>
      </c>
      <c r="O242" s="39">
        <v>0</v>
      </c>
      <c r="P242" s="39">
        <v>4130</v>
      </c>
      <c r="Q242" s="34" t="s">
        <v>411</v>
      </c>
      <c r="R242" s="34" t="s">
        <v>26</v>
      </c>
      <c r="S242" s="11" t="s">
        <v>4120</v>
      </c>
    </row>
    <row r="243" spans="1:19" x14ac:dyDescent="0.2">
      <c r="A243" s="33">
        <v>43586</v>
      </c>
      <c r="B243" s="34">
        <v>29</v>
      </c>
      <c r="C243" s="35" t="s">
        <v>471</v>
      </c>
      <c r="D243" s="34" t="str">
        <f>VLOOKUP(C243,'PUR-PARTY MASTER'!$B$4:$E$2000,2,FALSE)</f>
        <v>27AAECM8871A1ZF</v>
      </c>
      <c r="E243" s="34" t="s">
        <v>22</v>
      </c>
      <c r="F243" s="134">
        <v>192001123</v>
      </c>
      <c r="G243" s="135">
        <v>43592</v>
      </c>
      <c r="H243" s="34">
        <v>87089900</v>
      </c>
      <c r="I243" s="39">
        <f>VLOOKUP(H243,'PUR-HSN MASTER'!$A$4:$E$5000,5,FALSE)</f>
        <v>28</v>
      </c>
      <c r="J243" s="38">
        <v>12</v>
      </c>
      <c r="K243" s="40">
        <v>17483.52</v>
      </c>
      <c r="L243" s="39">
        <v>0</v>
      </c>
      <c r="M243" s="39">
        <v>2447.6928000000003</v>
      </c>
      <c r="N243" s="39">
        <v>2447.6928000000003</v>
      </c>
      <c r="O243" s="39">
        <v>0</v>
      </c>
      <c r="P243" s="39">
        <v>22378.895600000003</v>
      </c>
      <c r="Q243" s="34" t="s">
        <v>410</v>
      </c>
      <c r="R243" s="34" t="s">
        <v>26</v>
      </c>
      <c r="S243" s="11" t="s">
        <v>4120</v>
      </c>
    </row>
    <row r="244" spans="1:19" x14ac:dyDescent="0.2">
      <c r="A244" s="33">
        <v>43586</v>
      </c>
      <c r="B244" s="34">
        <v>30</v>
      </c>
      <c r="C244" s="35" t="s">
        <v>601</v>
      </c>
      <c r="D244" s="34" t="str">
        <f>VLOOKUP(C244,'PUR-PARTY MASTER'!$B$4:$E$2000,2,FALSE)</f>
        <v>27AAZFM6461A1ZY</v>
      </c>
      <c r="E244" s="34" t="s">
        <v>22</v>
      </c>
      <c r="F244" s="134">
        <v>910</v>
      </c>
      <c r="G244" s="135">
        <v>43593</v>
      </c>
      <c r="H244" s="34">
        <v>87082900</v>
      </c>
      <c r="I244" s="39">
        <f>VLOOKUP(H244,'PUR-HSN MASTER'!$A$4:$E$5000,5,FALSE)</f>
        <v>28</v>
      </c>
      <c r="J244" s="38">
        <v>720</v>
      </c>
      <c r="K244" s="40">
        <v>16070.4</v>
      </c>
      <c r="L244" s="39">
        <v>0</v>
      </c>
      <c r="M244" s="39">
        <v>2249.8560000000002</v>
      </c>
      <c r="N244" s="39">
        <v>2249.8560000000002</v>
      </c>
      <c r="O244" s="39">
        <v>0</v>
      </c>
      <c r="P244" s="39">
        <v>20570.121999999999</v>
      </c>
      <c r="Q244" s="34" t="s">
        <v>410</v>
      </c>
      <c r="R244" s="34" t="s">
        <v>26</v>
      </c>
      <c r="S244" s="11" t="s">
        <v>4120</v>
      </c>
    </row>
    <row r="245" spans="1:19" x14ac:dyDescent="0.2">
      <c r="A245" s="33">
        <v>43586</v>
      </c>
      <c r="B245" s="34">
        <v>31</v>
      </c>
      <c r="C245" s="35" t="s">
        <v>499</v>
      </c>
      <c r="D245" s="34" t="str">
        <f>VLOOKUP(C245,'PUR-PARTY MASTER'!$B$4:$E$2000,2,FALSE)</f>
        <v>27AAHFP1154B1ZN</v>
      </c>
      <c r="E245" s="34" t="s">
        <v>22</v>
      </c>
      <c r="F245" s="136" t="s">
        <v>616</v>
      </c>
      <c r="G245" s="135">
        <v>43592</v>
      </c>
      <c r="H245" s="34">
        <v>5407</v>
      </c>
      <c r="I245" s="39">
        <f>VLOOKUP(H245,'PUR-HSN MASTER'!$A$4:$E$5000,5,FALSE)</f>
        <v>5</v>
      </c>
      <c r="J245" s="38">
        <v>94</v>
      </c>
      <c r="K245" s="40">
        <v>15122</v>
      </c>
      <c r="L245" s="39">
        <v>0</v>
      </c>
      <c r="M245" s="39">
        <v>378.05</v>
      </c>
      <c r="N245" s="39">
        <v>378.05</v>
      </c>
      <c r="O245" s="39">
        <v>0</v>
      </c>
      <c r="P245" s="39">
        <v>15878.399999999998</v>
      </c>
      <c r="Q245" s="34" t="s">
        <v>410</v>
      </c>
      <c r="R245" s="34" t="s">
        <v>26</v>
      </c>
      <c r="S245" s="11" t="s">
        <v>4120</v>
      </c>
    </row>
    <row r="246" spans="1:19" x14ac:dyDescent="0.2">
      <c r="A246" s="33">
        <v>43586</v>
      </c>
      <c r="B246" s="34"/>
      <c r="C246" s="35" t="s">
        <v>499</v>
      </c>
      <c r="D246" s="34" t="str">
        <f>VLOOKUP(C246,'PUR-PARTY MASTER'!$B$4:$E$2000,2,FALSE)</f>
        <v>27AAHFP1154B1ZN</v>
      </c>
      <c r="E246" s="34" t="s">
        <v>22</v>
      </c>
      <c r="F246" s="136" t="s">
        <v>616</v>
      </c>
      <c r="G246" s="135">
        <v>43592</v>
      </c>
      <c r="H246" s="34">
        <v>60060000</v>
      </c>
      <c r="I246" s="39">
        <f>VLOOKUP(H246,'PUR-HSN MASTER'!$A$4:$E$5000,5,FALSE)</f>
        <v>5</v>
      </c>
      <c r="J246" s="38">
        <v>15</v>
      </c>
      <c r="K246" s="40">
        <v>495</v>
      </c>
      <c r="L246" s="39">
        <v>0</v>
      </c>
      <c r="M246" s="39">
        <v>12.375</v>
      </c>
      <c r="N246" s="39">
        <v>12.375</v>
      </c>
      <c r="O246" s="39">
        <v>0</v>
      </c>
      <c r="P246" s="39">
        <v>519.75</v>
      </c>
      <c r="Q246" s="34" t="s">
        <v>410</v>
      </c>
      <c r="R246" s="34" t="s">
        <v>26</v>
      </c>
      <c r="S246" s="11" t="s">
        <v>4120</v>
      </c>
    </row>
    <row r="247" spans="1:19" x14ac:dyDescent="0.2">
      <c r="A247" s="33">
        <v>43586</v>
      </c>
      <c r="B247" s="34"/>
      <c r="C247" s="35" t="s">
        <v>499</v>
      </c>
      <c r="D247" s="34" t="str">
        <f>VLOOKUP(C247,'PUR-PARTY MASTER'!$B$4:$E$2000,2,FALSE)</f>
        <v>27AAHFP1154B1ZN</v>
      </c>
      <c r="E247" s="34" t="s">
        <v>22</v>
      </c>
      <c r="F247" s="136" t="s">
        <v>616</v>
      </c>
      <c r="G247" s="135">
        <v>43592</v>
      </c>
      <c r="H247" s="34">
        <v>63079090</v>
      </c>
      <c r="I247" s="39">
        <f>VLOOKUP(H247,'PUR-HSN MASTER'!$A$4:$E$5000,5,FALSE)</f>
        <v>5</v>
      </c>
      <c r="J247" s="38">
        <v>100</v>
      </c>
      <c r="K247" s="40">
        <v>775</v>
      </c>
      <c r="L247" s="39">
        <v>0</v>
      </c>
      <c r="M247" s="39">
        <v>19.375</v>
      </c>
      <c r="N247" s="39">
        <v>19.375</v>
      </c>
      <c r="O247" s="39">
        <v>0</v>
      </c>
      <c r="P247" s="39">
        <v>813.85</v>
      </c>
      <c r="Q247" s="34" t="s">
        <v>410</v>
      </c>
      <c r="R247" s="34" t="s">
        <v>26</v>
      </c>
      <c r="S247" s="11" t="s">
        <v>4120</v>
      </c>
    </row>
    <row r="248" spans="1:19" x14ac:dyDescent="0.2">
      <c r="A248" s="33">
        <v>43586</v>
      </c>
      <c r="B248" s="34"/>
      <c r="C248" s="35" t="s">
        <v>499</v>
      </c>
      <c r="D248" s="34" t="str">
        <f>VLOOKUP(C248,'PUR-PARTY MASTER'!$B$4:$E$2000,2,FALSE)</f>
        <v>27AAHFP1154B1ZN</v>
      </c>
      <c r="E248" s="34" t="s">
        <v>22</v>
      </c>
      <c r="F248" s="136" t="s">
        <v>616</v>
      </c>
      <c r="G248" s="135">
        <v>43592</v>
      </c>
      <c r="H248" s="34">
        <v>96031000</v>
      </c>
      <c r="I248" s="39">
        <f>VLOOKUP(H248,'PUR-HSN MASTER'!$A$4:$E$5000,5,FALSE)</f>
        <v>0</v>
      </c>
      <c r="J248" s="38">
        <v>12</v>
      </c>
      <c r="K248" s="40">
        <v>0</v>
      </c>
      <c r="L248" s="39">
        <v>0</v>
      </c>
      <c r="M248" s="39">
        <v>0</v>
      </c>
      <c r="N248" s="39">
        <v>0</v>
      </c>
      <c r="O248" s="39">
        <v>0</v>
      </c>
      <c r="P248" s="39">
        <v>180</v>
      </c>
      <c r="Q248" s="34" t="s">
        <v>377</v>
      </c>
      <c r="R248" s="34" t="s">
        <v>26</v>
      </c>
      <c r="S248" s="11" t="s">
        <v>4120</v>
      </c>
    </row>
    <row r="249" spans="1:19" x14ac:dyDescent="0.2">
      <c r="A249" s="33">
        <v>43586</v>
      </c>
      <c r="B249" s="34"/>
      <c r="C249" s="35" t="s">
        <v>499</v>
      </c>
      <c r="D249" s="34" t="str">
        <f>VLOOKUP(C249,'PUR-PARTY MASTER'!$B$4:$E$2000,2,FALSE)</f>
        <v>27AAHFP1154B1ZN</v>
      </c>
      <c r="E249" s="34" t="s">
        <v>22</v>
      </c>
      <c r="F249" s="136" t="s">
        <v>617</v>
      </c>
      <c r="G249" s="135">
        <v>43592</v>
      </c>
      <c r="H249" s="34">
        <v>96031000</v>
      </c>
      <c r="I249" s="39">
        <f>VLOOKUP(H249,'PUR-HSN MASTER'!$A$4:$E$5000,5,FALSE)</f>
        <v>0</v>
      </c>
      <c r="J249" s="38">
        <v>6</v>
      </c>
      <c r="K249" s="40">
        <v>0</v>
      </c>
      <c r="L249" s="39">
        <v>0</v>
      </c>
      <c r="M249" s="39">
        <v>0</v>
      </c>
      <c r="N249" s="39">
        <v>0</v>
      </c>
      <c r="O249" s="39">
        <v>0</v>
      </c>
      <c r="P249" s="39">
        <v>150</v>
      </c>
      <c r="Q249" s="34" t="s">
        <v>377</v>
      </c>
      <c r="R249" s="34" t="s">
        <v>26</v>
      </c>
      <c r="S249" s="11" t="s">
        <v>4120</v>
      </c>
    </row>
    <row r="250" spans="1:19" x14ac:dyDescent="0.2">
      <c r="A250" s="33">
        <v>43586</v>
      </c>
      <c r="B250" s="34">
        <v>33</v>
      </c>
      <c r="C250" s="35" t="s">
        <v>471</v>
      </c>
      <c r="D250" s="34" t="str">
        <f>VLOOKUP(C250,'PUR-PARTY MASTER'!$B$4:$E$2000,2,FALSE)</f>
        <v>27AAECM8871A1ZF</v>
      </c>
      <c r="E250" s="34" t="s">
        <v>22</v>
      </c>
      <c r="F250" s="134">
        <v>192001205</v>
      </c>
      <c r="G250" s="135">
        <v>43593</v>
      </c>
      <c r="H250" s="34">
        <v>87089900</v>
      </c>
      <c r="I250" s="39">
        <f>VLOOKUP(H250,'PUR-HSN MASTER'!$A$4:$E$5000,5,FALSE)</f>
        <v>28</v>
      </c>
      <c r="J250" s="38">
        <v>12</v>
      </c>
      <c r="K250" s="40">
        <v>17483.52</v>
      </c>
      <c r="L250" s="39">
        <v>0</v>
      </c>
      <c r="M250" s="39">
        <v>2447.6928000000003</v>
      </c>
      <c r="N250" s="39">
        <v>2447.6928000000003</v>
      </c>
      <c r="O250" s="39">
        <v>0</v>
      </c>
      <c r="P250" s="39">
        <v>22378.895600000003</v>
      </c>
      <c r="Q250" s="34" t="s">
        <v>410</v>
      </c>
      <c r="R250" s="34" t="s">
        <v>26</v>
      </c>
      <c r="S250" s="11" t="s">
        <v>4120</v>
      </c>
    </row>
    <row r="251" spans="1:19" x14ac:dyDescent="0.2">
      <c r="A251" s="33">
        <v>43586</v>
      </c>
      <c r="B251" s="34">
        <v>34</v>
      </c>
      <c r="C251" s="35" t="s">
        <v>471</v>
      </c>
      <c r="D251" s="34" t="str">
        <f>VLOOKUP(C251,'PUR-PARTY MASTER'!$B$4:$E$2000,2,FALSE)</f>
        <v>27AAECM8871A1ZF</v>
      </c>
      <c r="E251" s="34" t="s">
        <v>22</v>
      </c>
      <c r="F251" s="134">
        <v>192001206</v>
      </c>
      <c r="G251" s="135">
        <v>43593</v>
      </c>
      <c r="H251" s="34">
        <v>87089900</v>
      </c>
      <c r="I251" s="39">
        <f>VLOOKUP(H251,'PUR-HSN MASTER'!$A$4:$E$5000,5,FALSE)</f>
        <v>28</v>
      </c>
      <c r="J251" s="38">
        <v>12</v>
      </c>
      <c r="K251" s="40">
        <v>17483.52</v>
      </c>
      <c r="L251" s="39">
        <v>0</v>
      </c>
      <c r="M251" s="39">
        <v>2447.6928000000003</v>
      </c>
      <c r="N251" s="39">
        <v>2447.6928000000003</v>
      </c>
      <c r="O251" s="39">
        <v>0</v>
      </c>
      <c r="P251" s="39">
        <v>22378.895600000003</v>
      </c>
      <c r="Q251" s="34" t="s">
        <v>410</v>
      </c>
      <c r="R251" s="34" t="s">
        <v>26</v>
      </c>
      <c r="S251" s="11" t="s">
        <v>4120</v>
      </c>
    </row>
    <row r="252" spans="1:19" x14ac:dyDescent="0.2">
      <c r="A252" s="33">
        <v>43586</v>
      </c>
      <c r="B252" s="34">
        <v>35</v>
      </c>
      <c r="C252" s="35" t="s">
        <v>499</v>
      </c>
      <c r="D252" s="34" t="str">
        <f>VLOOKUP(C252,'PUR-PARTY MASTER'!$B$4:$E$2000,2,FALSE)</f>
        <v>27AAHFP1154B1ZN</v>
      </c>
      <c r="E252" s="34" t="s">
        <v>22</v>
      </c>
      <c r="F252" s="136" t="s">
        <v>618</v>
      </c>
      <c r="G252" s="135">
        <v>43592</v>
      </c>
      <c r="H252" s="34">
        <v>48196000</v>
      </c>
      <c r="I252" s="39">
        <f>VLOOKUP(H252,'PUR-HSN MASTER'!$A$4:$E$5000,5,FALSE)</f>
        <v>18</v>
      </c>
      <c r="J252" s="38">
        <v>100</v>
      </c>
      <c r="K252" s="40">
        <v>860</v>
      </c>
      <c r="L252" s="39">
        <v>0</v>
      </c>
      <c r="M252" s="39">
        <v>77.399999999999991</v>
      </c>
      <c r="N252" s="39">
        <v>77.399999999999991</v>
      </c>
      <c r="O252" s="39">
        <v>0</v>
      </c>
      <c r="P252" s="39">
        <v>1014.8</v>
      </c>
      <c r="Q252" s="34" t="s">
        <v>410</v>
      </c>
      <c r="R252" s="34" t="s">
        <v>26</v>
      </c>
      <c r="S252" s="11" t="s">
        <v>4120</v>
      </c>
    </row>
    <row r="253" spans="1:19" x14ac:dyDescent="0.2">
      <c r="A253" s="33">
        <v>43586</v>
      </c>
      <c r="B253" s="34"/>
      <c r="C253" s="35" t="s">
        <v>499</v>
      </c>
      <c r="D253" s="34" t="str">
        <f>VLOOKUP(C253,'PUR-PARTY MASTER'!$B$4:$E$2000,2,FALSE)</f>
        <v>27AAHFP1154B1ZN</v>
      </c>
      <c r="E253" s="34" t="s">
        <v>22</v>
      </c>
      <c r="F253" s="136" t="s">
        <v>618</v>
      </c>
      <c r="G253" s="135">
        <v>43592</v>
      </c>
      <c r="H253" s="34">
        <v>28530010</v>
      </c>
      <c r="I253" s="39">
        <f>VLOOKUP(H253,'PUR-HSN MASTER'!$A$4:$E$5000,5,FALSE)</f>
        <v>18</v>
      </c>
      <c r="J253" s="38">
        <v>12</v>
      </c>
      <c r="K253" s="40">
        <v>144</v>
      </c>
      <c r="L253" s="39">
        <v>0</v>
      </c>
      <c r="M253" s="39">
        <v>12.959999999999999</v>
      </c>
      <c r="N253" s="39">
        <v>12.959999999999999</v>
      </c>
      <c r="O253" s="39">
        <v>0</v>
      </c>
      <c r="P253" s="39">
        <v>169.9</v>
      </c>
      <c r="Q253" s="34" t="s">
        <v>410</v>
      </c>
      <c r="R253" s="34" t="s">
        <v>26</v>
      </c>
      <c r="S253" s="11" t="s">
        <v>4120</v>
      </c>
    </row>
    <row r="254" spans="1:19" x14ac:dyDescent="0.2">
      <c r="A254" s="33">
        <v>43586</v>
      </c>
      <c r="B254" s="34"/>
      <c r="C254" s="35" t="s">
        <v>499</v>
      </c>
      <c r="D254" s="34" t="str">
        <f>VLOOKUP(C254,'PUR-PARTY MASTER'!$B$4:$E$2000,2,FALSE)</f>
        <v>27AAHFP1154B1ZN</v>
      </c>
      <c r="E254" s="34" t="s">
        <v>22</v>
      </c>
      <c r="F254" s="136" t="s">
        <v>618</v>
      </c>
      <c r="G254" s="135">
        <v>43592</v>
      </c>
      <c r="H254" s="34">
        <v>84729010</v>
      </c>
      <c r="I254" s="39">
        <f>VLOOKUP(H254,'PUR-HSN MASTER'!$A$4:$E$5000,5,FALSE)</f>
        <v>18</v>
      </c>
      <c r="J254" s="38">
        <v>1</v>
      </c>
      <c r="K254" s="40">
        <v>120</v>
      </c>
      <c r="L254" s="39">
        <v>0</v>
      </c>
      <c r="M254" s="39">
        <v>10.799999999999999</v>
      </c>
      <c r="N254" s="39">
        <v>10.799999999999999</v>
      </c>
      <c r="O254" s="39">
        <v>0</v>
      </c>
      <c r="P254" s="39">
        <v>141.60000000000002</v>
      </c>
      <c r="Q254" s="34" t="s">
        <v>410</v>
      </c>
      <c r="R254" s="34" t="s">
        <v>26</v>
      </c>
      <c r="S254" s="11" t="s">
        <v>4120</v>
      </c>
    </row>
    <row r="255" spans="1:19" x14ac:dyDescent="0.2">
      <c r="A255" s="33">
        <v>43586</v>
      </c>
      <c r="B255" s="34"/>
      <c r="C255" s="35" t="s">
        <v>499</v>
      </c>
      <c r="D255" s="34" t="str">
        <f>VLOOKUP(C255,'PUR-PARTY MASTER'!$B$4:$E$2000,2,FALSE)</f>
        <v>27AAHFP1154B1ZN</v>
      </c>
      <c r="E255" s="34" t="s">
        <v>22</v>
      </c>
      <c r="F255" s="136" t="s">
        <v>618</v>
      </c>
      <c r="G255" s="135">
        <v>43592</v>
      </c>
      <c r="H255" s="34">
        <v>38249024</v>
      </c>
      <c r="I255" s="39">
        <f>VLOOKUP(H255,'PUR-HSN MASTER'!$A$4:$E$5000,5,FALSE)</f>
        <v>12</v>
      </c>
      <c r="J255" s="38">
        <v>2</v>
      </c>
      <c r="K255" s="40">
        <v>56</v>
      </c>
      <c r="L255" s="39">
        <v>0</v>
      </c>
      <c r="M255" s="39">
        <v>3.3600000000000003</v>
      </c>
      <c r="N255" s="39">
        <v>3.3600000000000003</v>
      </c>
      <c r="O255" s="39">
        <v>0</v>
      </c>
      <c r="P255" s="39">
        <v>62.699999999999996</v>
      </c>
      <c r="Q255" s="34" t="s">
        <v>410</v>
      </c>
      <c r="R255" s="34" t="s">
        <v>26</v>
      </c>
      <c r="S255" s="11" t="s">
        <v>4120</v>
      </c>
    </row>
    <row r="256" spans="1:19" x14ac:dyDescent="0.2">
      <c r="A256" s="33">
        <v>43586</v>
      </c>
      <c r="B256" s="34">
        <v>36</v>
      </c>
      <c r="C256" s="35" t="s">
        <v>471</v>
      </c>
      <c r="D256" s="34" t="str">
        <f>VLOOKUP(C256,'PUR-PARTY MASTER'!$B$4:$E$2000,2,FALSE)</f>
        <v>27AAECM8871A1ZF</v>
      </c>
      <c r="E256" s="34" t="s">
        <v>22</v>
      </c>
      <c r="F256" s="134">
        <v>192001245</v>
      </c>
      <c r="G256" s="135">
        <v>43595</v>
      </c>
      <c r="H256" s="34">
        <v>87089900</v>
      </c>
      <c r="I256" s="39">
        <f>VLOOKUP(H256,'PUR-HSN MASTER'!$A$4:$E$5000,5,FALSE)</f>
        <v>28</v>
      </c>
      <c r="J256" s="38">
        <v>12</v>
      </c>
      <c r="K256" s="40">
        <v>17483.52</v>
      </c>
      <c r="L256" s="39">
        <v>0</v>
      </c>
      <c r="M256" s="39">
        <v>2447.6928000000003</v>
      </c>
      <c r="N256" s="39">
        <v>2447.6928000000003</v>
      </c>
      <c r="O256" s="39">
        <v>0</v>
      </c>
      <c r="P256" s="39">
        <v>22378.895600000003</v>
      </c>
      <c r="Q256" s="34" t="s">
        <v>410</v>
      </c>
      <c r="R256" s="34" t="s">
        <v>26</v>
      </c>
      <c r="S256" s="11" t="s">
        <v>4120</v>
      </c>
    </row>
    <row r="257" spans="1:19" x14ac:dyDescent="0.2">
      <c r="A257" s="33">
        <v>43586</v>
      </c>
      <c r="B257" s="34">
        <v>37</v>
      </c>
      <c r="C257" s="35" t="s">
        <v>471</v>
      </c>
      <c r="D257" s="34" t="str">
        <f>VLOOKUP(C257,'PUR-PARTY MASTER'!$B$4:$E$2000,2,FALSE)</f>
        <v>27AAECM8871A1ZF</v>
      </c>
      <c r="E257" s="34" t="s">
        <v>22</v>
      </c>
      <c r="F257" s="134">
        <v>192001246</v>
      </c>
      <c r="G257" s="135">
        <v>43595</v>
      </c>
      <c r="H257" s="34">
        <v>87089900</v>
      </c>
      <c r="I257" s="39">
        <f>VLOOKUP(H257,'PUR-HSN MASTER'!$A$4:$E$5000,5,FALSE)</f>
        <v>28</v>
      </c>
      <c r="J257" s="38">
        <v>12</v>
      </c>
      <c r="K257" s="40">
        <v>17483.52</v>
      </c>
      <c r="L257" s="39">
        <v>0</v>
      </c>
      <c r="M257" s="39">
        <v>2447.6928000000003</v>
      </c>
      <c r="N257" s="39">
        <v>2447.6928000000003</v>
      </c>
      <c r="O257" s="39">
        <v>0</v>
      </c>
      <c r="P257" s="39">
        <v>22378.895600000003</v>
      </c>
      <c r="Q257" s="34" t="s">
        <v>410</v>
      </c>
      <c r="R257" s="34" t="s">
        <v>26</v>
      </c>
      <c r="S257" s="11" t="s">
        <v>4120</v>
      </c>
    </row>
    <row r="258" spans="1:19" x14ac:dyDescent="0.2">
      <c r="A258" s="33">
        <v>43586</v>
      </c>
      <c r="B258" s="34">
        <v>38</v>
      </c>
      <c r="C258" s="35" t="s">
        <v>556</v>
      </c>
      <c r="D258" s="34" t="str">
        <f>VLOOKUP(C258,'PUR-PARTY MASTER'!$B$4:$E$2000,2,FALSE)</f>
        <v>27AAQCS7977M1Z3</v>
      </c>
      <c r="E258" s="34" t="s">
        <v>22</v>
      </c>
      <c r="F258" s="136" t="s">
        <v>619</v>
      </c>
      <c r="G258" s="135">
        <v>43594</v>
      </c>
      <c r="H258" s="34">
        <v>29153100</v>
      </c>
      <c r="I258" s="39">
        <f>VLOOKUP(H258,'PUR-HSN MASTER'!$A$4:$E$5000,5,FALSE)</f>
        <v>18</v>
      </c>
      <c r="J258" s="38">
        <v>1100</v>
      </c>
      <c r="K258" s="40">
        <v>69300</v>
      </c>
      <c r="L258" s="39">
        <v>0</v>
      </c>
      <c r="M258" s="39">
        <v>6237</v>
      </c>
      <c r="N258" s="39">
        <v>6237</v>
      </c>
      <c r="O258" s="39">
        <v>0</v>
      </c>
      <c r="P258" s="39">
        <v>81774</v>
      </c>
      <c r="Q258" s="34" t="s">
        <v>410</v>
      </c>
      <c r="R258" s="34" t="s">
        <v>26</v>
      </c>
      <c r="S258" s="11" t="s">
        <v>4120</v>
      </c>
    </row>
    <row r="259" spans="1:19" x14ac:dyDescent="0.2">
      <c r="A259" s="33">
        <v>43586</v>
      </c>
      <c r="B259" s="34">
        <v>39</v>
      </c>
      <c r="C259" s="35" t="s">
        <v>538</v>
      </c>
      <c r="D259" s="34" t="str">
        <f>VLOOKUP(C259,'PUR-PARTY MASTER'!$B$4:$E$2000,2,FALSE)</f>
        <v>27AABFI6338L1Z3</v>
      </c>
      <c r="E259" s="34" t="s">
        <v>22</v>
      </c>
      <c r="F259" s="136" t="s">
        <v>620</v>
      </c>
      <c r="G259" s="135">
        <v>43595</v>
      </c>
      <c r="H259" s="34">
        <v>84818090</v>
      </c>
      <c r="I259" s="39">
        <f>VLOOKUP(H259,'PUR-HSN MASTER'!$A$4:$E$5000,5,FALSE)</f>
        <v>18</v>
      </c>
      <c r="J259" s="38">
        <v>1</v>
      </c>
      <c r="K259" s="40">
        <v>17200</v>
      </c>
      <c r="L259" s="39">
        <v>0</v>
      </c>
      <c r="M259" s="39">
        <v>1548</v>
      </c>
      <c r="N259" s="39">
        <v>1548</v>
      </c>
      <c r="O259" s="39">
        <v>0</v>
      </c>
      <c r="P259" s="39">
        <v>20296</v>
      </c>
      <c r="Q259" s="34" t="s">
        <v>410</v>
      </c>
      <c r="R259" s="34" t="s">
        <v>26</v>
      </c>
      <c r="S259" s="11" t="s">
        <v>4120</v>
      </c>
    </row>
    <row r="260" spans="1:19" x14ac:dyDescent="0.2">
      <c r="A260" s="33">
        <v>43586</v>
      </c>
      <c r="B260" s="34">
        <v>40</v>
      </c>
      <c r="C260" s="35" t="s">
        <v>601</v>
      </c>
      <c r="D260" s="34" t="str">
        <f>VLOOKUP(C260,'PUR-PARTY MASTER'!$B$4:$E$2000,2,FALSE)</f>
        <v>27AAZFM6461A1ZY</v>
      </c>
      <c r="E260" s="34" t="s">
        <v>22</v>
      </c>
      <c r="F260" s="134">
        <v>972</v>
      </c>
      <c r="G260" s="135">
        <v>43595</v>
      </c>
      <c r="H260" s="34">
        <v>87082900</v>
      </c>
      <c r="I260" s="39">
        <f>VLOOKUP(H260,'PUR-HSN MASTER'!$A$4:$E$5000,5,FALSE)</f>
        <v>28</v>
      </c>
      <c r="J260" s="38">
        <v>660</v>
      </c>
      <c r="K260" s="40">
        <v>14731.2</v>
      </c>
      <c r="L260" s="39">
        <v>0</v>
      </c>
      <c r="M260" s="39">
        <v>2062.3680000000004</v>
      </c>
      <c r="N260" s="39">
        <v>2062.3680000000004</v>
      </c>
      <c r="O260" s="39">
        <v>0</v>
      </c>
      <c r="P260" s="39">
        <v>18855.936000000002</v>
      </c>
      <c r="Q260" s="34" t="s">
        <v>410</v>
      </c>
      <c r="R260" s="34" t="s">
        <v>26</v>
      </c>
      <c r="S260" s="11" t="s">
        <v>4120</v>
      </c>
    </row>
    <row r="261" spans="1:19" x14ac:dyDescent="0.2">
      <c r="A261" s="33">
        <v>43586</v>
      </c>
      <c r="B261" s="34">
        <v>41</v>
      </c>
      <c r="C261" s="35" t="s">
        <v>471</v>
      </c>
      <c r="D261" s="34" t="str">
        <f>VLOOKUP(C261,'PUR-PARTY MASTER'!$B$4:$E$2000,2,FALSE)</f>
        <v>27AAECM8871A1ZF</v>
      </c>
      <c r="E261" s="34" t="s">
        <v>22</v>
      </c>
      <c r="F261" s="134">
        <v>192001263</v>
      </c>
      <c r="G261" s="135">
        <v>43595</v>
      </c>
      <c r="H261" s="34">
        <v>87089900</v>
      </c>
      <c r="I261" s="39">
        <f>VLOOKUP(H261,'PUR-HSN MASTER'!$A$4:$E$5000,5,FALSE)</f>
        <v>28</v>
      </c>
      <c r="J261" s="38">
        <v>12</v>
      </c>
      <c r="K261" s="40">
        <v>17483.52</v>
      </c>
      <c r="L261" s="39">
        <v>0</v>
      </c>
      <c r="M261" s="39">
        <v>2447.6928000000003</v>
      </c>
      <c r="N261" s="39">
        <v>2447.6928000000003</v>
      </c>
      <c r="O261" s="39">
        <v>0</v>
      </c>
      <c r="P261" s="39">
        <v>22378.895600000003</v>
      </c>
      <c r="Q261" s="34" t="s">
        <v>410</v>
      </c>
      <c r="R261" s="34" t="s">
        <v>26</v>
      </c>
      <c r="S261" s="11" t="s">
        <v>4120</v>
      </c>
    </row>
    <row r="262" spans="1:19" x14ac:dyDescent="0.2">
      <c r="A262" s="33">
        <v>43586</v>
      </c>
      <c r="B262" s="34">
        <v>42</v>
      </c>
      <c r="C262" s="35" t="s">
        <v>471</v>
      </c>
      <c r="D262" s="34" t="str">
        <f>VLOOKUP(C262,'PUR-PARTY MASTER'!$B$4:$E$2000,2,FALSE)</f>
        <v>27AAECM8871A1ZF</v>
      </c>
      <c r="E262" s="34" t="s">
        <v>22</v>
      </c>
      <c r="F262" s="134">
        <v>192001264</v>
      </c>
      <c r="G262" s="135">
        <v>43595</v>
      </c>
      <c r="H262" s="34">
        <v>87089900</v>
      </c>
      <c r="I262" s="39">
        <f>VLOOKUP(H262,'PUR-HSN MASTER'!$A$4:$E$5000,5,FALSE)</f>
        <v>28</v>
      </c>
      <c r="J262" s="38">
        <v>12</v>
      </c>
      <c r="K262" s="40">
        <v>17483.52</v>
      </c>
      <c r="L262" s="39">
        <v>0</v>
      </c>
      <c r="M262" s="39">
        <v>2447.6928000000003</v>
      </c>
      <c r="N262" s="39">
        <v>2447.6928000000003</v>
      </c>
      <c r="O262" s="39">
        <v>0</v>
      </c>
      <c r="P262" s="39">
        <v>22378.895600000003</v>
      </c>
      <c r="Q262" s="34" t="s">
        <v>410</v>
      </c>
      <c r="R262" s="34" t="s">
        <v>26</v>
      </c>
      <c r="S262" s="11" t="s">
        <v>4120</v>
      </c>
    </row>
    <row r="263" spans="1:19" x14ac:dyDescent="0.2">
      <c r="A263" s="33">
        <v>43586</v>
      </c>
      <c r="B263" s="34">
        <v>43</v>
      </c>
      <c r="C263" s="35" t="s">
        <v>493</v>
      </c>
      <c r="D263" s="34" t="str">
        <f>VLOOKUP(C263,'PUR-PARTY MASTER'!$B$4:$E$2000,2,FALSE)</f>
        <v>27AMMPB3648M1ZO</v>
      </c>
      <c r="E263" s="34" t="s">
        <v>22</v>
      </c>
      <c r="F263" s="134">
        <v>675</v>
      </c>
      <c r="G263" s="135">
        <v>43596</v>
      </c>
      <c r="H263" s="34">
        <v>85129000</v>
      </c>
      <c r="I263" s="39">
        <f>VLOOKUP(H263,'PUR-HSN MASTER'!$A$4:$E$5000,5,FALSE)</f>
        <v>18</v>
      </c>
      <c r="J263" s="38">
        <v>1000</v>
      </c>
      <c r="K263" s="40">
        <v>22990</v>
      </c>
      <c r="L263" s="39">
        <v>0</v>
      </c>
      <c r="M263" s="39">
        <v>2069.1</v>
      </c>
      <c r="N263" s="39">
        <v>2069.1</v>
      </c>
      <c r="O263" s="39">
        <v>0</v>
      </c>
      <c r="P263" s="39">
        <v>27127.999999999996</v>
      </c>
      <c r="Q263" s="34" t="s">
        <v>410</v>
      </c>
      <c r="R263" s="34" t="s">
        <v>26</v>
      </c>
      <c r="S263" s="11" t="s">
        <v>4120</v>
      </c>
    </row>
    <row r="264" spans="1:19" x14ac:dyDescent="0.2">
      <c r="A264" s="33">
        <v>43586</v>
      </c>
      <c r="B264" s="34">
        <v>44</v>
      </c>
      <c r="C264" s="35" t="s">
        <v>471</v>
      </c>
      <c r="D264" s="34" t="str">
        <f>VLOOKUP(C264,'PUR-PARTY MASTER'!$B$4:$E$2000,2,FALSE)</f>
        <v>27AAECM8871A1ZF</v>
      </c>
      <c r="E264" s="34" t="s">
        <v>22</v>
      </c>
      <c r="F264" s="134">
        <v>192001297</v>
      </c>
      <c r="G264" s="135">
        <v>43596</v>
      </c>
      <c r="H264" s="34">
        <v>87089900</v>
      </c>
      <c r="I264" s="39">
        <f>VLOOKUP(H264,'PUR-HSN MASTER'!$A$4:$E$5000,5,FALSE)</f>
        <v>28</v>
      </c>
      <c r="J264" s="38">
        <v>12</v>
      </c>
      <c r="K264" s="40">
        <v>17483.52</v>
      </c>
      <c r="L264" s="39">
        <v>0</v>
      </c>
      <c r="M264" s="39">
        <v>2447.6928000000003</v>
      </c>
      <c r="N264" s="39">
        <v>2447.6928000000003</v>
      </c>
      <c r="O264" s="39">
        <v>0</v>
      </c>
      <c r="P264" s="39">
        <v>22378.895600000003</v>
      </c>
      <c r="Q264" s="34" t="s">
        <v>410</v>
      </c>
      <c r="R264" s="34" t="s">
        <v>26</v>
      </c>
      <c r="S264" s="11" t="s">
        <v>4120</v>
      </c>
    </row>
    <row r="265" spans="1:19" x14ac:dyDescent="0.2">
      <c r="A265" s="33">
        <v>43586</v>
      </c>
      <c r="B265" s="34">
        <v>45</v>
      </c>
      <c r="C265" s="35" t="s">
        <v>471</v>
      </c>
      <c r="D265" s="34" t="str">
        <f>VLOOKUP(C265,'PUR-PARTY MASTER'!$B$4:$E$2000,2,FALSE)</f>
        <v>27AAECM8871A1ZF</v>
      </c>
      <c r="E265" s="34" t="s">
        <v>22</v>
      </c>
      <c r="F265" s="134">
        <v>192001300</v>
      </c>
      <c r="G265" s="135">
        <v>43596</v>
      </c>
      <c r="H265" s="34">
        <v>87089900</v>
      </c>
      <c r="I265" s="39">
        <f>VLOOKUP(H265,'PUR-HSN MASTER'!$A$4:$E$5000,5,FALSE)</f>
        <v>28</v>
      </c>
      <c r="J265" s="38">
        <v>12</v>
      </c>
      <c r="K265" s="40">
        <v>17483.52</v>
      </c>
      <c r="L265" s="39">
        <v>0</v>
      </c>
      <c r="M265" s="39">
        <v>2447.6928000000003</v>
      </c>
      <c r="N265" s="39">
        <v>2447.6928000000003</v>
      </c>
      <c r="O265" s="39">
        <v>0</v>
      </c>
      <c r="P265" s="39">
        <v>22378.895600000003</v>
      </c>
      <c r="Q265" s="34" t="s">
        <v>410</v>
      </c>
      <c r="R265" s="34" t="s">
        <v>26</v>
      </c>
      <c r="S265" s="11" t="s">
        <v>4120</v>
      </c>
    </row>
    <row r="266" spans="1:19" x14ac:dyDescent="0.2">
      <c r="A266" s="33">
        <v>43586</v>
      </c>
      <c r="B266" s="34">
        <v>46</v>
      </c>
      <c r="C266" s="35" t="s">
        <v>471</v>
      </c>
      <c r="D266" s="34" t="str">
        <f>VLOOKUP(C266,'PUR-PARTY MASTER'!$B$4:$E$2000,2,FALSE)</f>
        <v>27AAECM8871A1ZF</v>
      </c>
      <c r="E266" s="34" t="s">
        <v>22</v>
      </c>
      <c r="F266" s="134">
        <v>192001311</v>
      </c>
      <c r="G266" s="135">
        <v>43596</v>
      </c>
      <c r="H266" s="34">
        <v>87089900</v>
      </c>
      <c r="I266" s="39">
        <f>VLOOKUP(H266,'PUR-HSN MASTER'!$A$4:$E$5000,5,FALSE)</f>
        <v>28</v>
      </c>
      <c r="J266" s="38">
        <v>8</v>
      </c>
      <c r="K266" s="40">
        <v>11655.68</v>
      </c>
      <c r="L266" s="39">
        <v>0</v>
      </c>
      <c r="M266" s="39">
        <v>1631.7952</v>
      </c>
      <c r="N266" s="39">
        <v>1631.7952</v>
      </c>
      <c r="O266" s="39">
        <v>0</v>
      </c>
      <c r="P266" s="39">
        <v>14919.280400000001</v>
      </c>
      <c r="Q266" s="34" t="s">
        <v>410</v>
      </c>
      <c r="R266" s="34" t="s">
        <v>26</v>
      </c>
      <c r="S266" s="11" t="s">
        <v>4120</v>
      </c>
    </row>
    <row r="267" spans="1:19" x14ac:dyDescent="0.2">
      <c r="A267" s="33">
        <v>43586</v>
      </c>
      <c r="B267" s="34">
        <v>47</v>
      </c>
      <c r="C267" s="35" t="s">
        <v>514</v>
      </c>
      <c r="D267" s="34" t="str">
        <f>VLOOKUP(C267,'PUR-PARTY MASTER'!$B$4:$E$2000,2,FALSE)</f>
        <v>27AAACU2414K1ZF</v>
      </c>
      <c r="E267" s="34" t="s">
        <v>22</v>
      </c>
      <c r="F267" s="136" t="s">
        <v>621</v>
      </c>
      <c r="G267" s="135">
        <v>43596</v>
      </c>
      <c r="H267" s="34">
        <v>9971</v>
      </c>
      <c r="I267" s="39">
        <f>VLOOKUP(H267,'PUR-HSN MASTER'!$A$4:$E$5000,5,FALSE)</f>
        <v>18</v>
      </c>
      <c r="J267" s="38"/>
      <c r="K267" s="40">
        <v>48</v>
      </c>
      <c r="L267" s="39">
        <v>0</v>
      </c>
      <c r="M267" s="39">
        <v>4.32</v>
      </c>
      <c r="N267" s="39">
        <v>4.32</v>
      </c>
      <c r="O267" s="39">
        <v>0</v>
      </c>
      <c r="P267" s="39">
        <v>56.64</v>
      </c>
      <c r="Q267" s="34" t="s">
        <v>411</v>
      </c>
      <c r="R267" s="34" t="s">
        <v>26</v>
      </c>
      <c r="S267" s="11" t="s">
        <v>4120</v>
      </c>
    </row>
    <row r="268" spans="1:19" x14ac:dyDescent="0.2">
      <c r="A268" s="33">
        <v>43586</v>
      </c>
      <c r="B268" s="34">
        <v>48</v>
      </c>
      <c r="C268" s="35" t="s">
        <v>514</v>
      </c>
      <c r="D268" s="34" t="str">
        <f>VLOOKUP(C268,'PUR-PARTY MASTER'!$B$4:$E$2000,2,FALSE)</f>
        <v>27AAACU2414K1ZF</v>
      </c>
      <c r="E268" s="34" t="s">
        <v>22</v>
      </c>
      <c r="F268" s="136" t="s">
        <v>622</v>
      </c>
      <c r="G268" s="135">
        <v>43596</v>
      </c>
      <c r="H268" s="34">
        <v>9971</v>
      </c>
      <c r="I268" s="39">
        <f>VLOOKUP(H268,'PUR-HSN MASTER'!$A$4:$E$5000,5,FALSE)</f>
        <v>18</v>
      </c>
      <c r="J268" s="38"/>
      <c r="K268" s="40">
        <v>950</v>
      </c>
      <c r="L268" s="39">
        <v>0</v>
      </c>
      <c r="M268" s="39">
        <v>85.5</v>
      </c>
      <c r="N268" s="39">
        <v>85.5</v>
      </c>
      <c r="O268" s="39">
        <v>0</v>
      </c>
      <c r="P268" s="39">
        <v>1121</v>
      </c>
      <c r="Q268" s="34" t="s">
        <v>411</v>
      </c>
      <c r="R268" s="34" t="s">
        <v>26</v>
      </c>
      <c r="S268" s="11" t="s">
        <v>4120</v>
      </c>
    </row>
    <row r="269" spans="1:19" x14ac:dyDescent="0.2">
      <c r="A269" s="33">
        <v>43586</v>
      </c>
      <c r="B269" s="34">
        <v>49</v>
      </c>
      <c r="C269" s="35" t="s">
        <v>493</v>
      </c>
      <c r="D269" s="34" t="str">
        <f>VLOOKUP(C269,'PUR-PARTY MASTER'!$B$4:$E$2000,2,FALSE)</f>
        <v>27AMMPB3648M1ZO</v>
      </c>
      <c r="E269" s="34" t="s">
        <v>22</v>
      </c>
      <c r="F269" s="134">
        <v>688</v>
      </c>
      <c r="G269" s="135">
        <v>43597</v>
      </c>
      <c r="H269" s="34">
        <v>85129000</v>
      </c>
      <c r="I269" s="39">
        <f>VLOOKUP(H269,'PUR-HSN MASTER'!$A$4:$E$5000,5,FALSE)</f>
        <v>18</v>
      </c>
      <c r="J269" s="38">
        <v>834</v>
      </c>
      <c r="K269" s="40">
        <v>19173.66</v>
      </c>
      <c r="L269" s="39">
        <v>0</v>
      </c>
      <c r="M269" s="39">
        <v>1725.6294</v>
      </c>
      <c r="N269" s="39">
        <v>1725.6294</v>
      </c>
      <c r="O269" s="39">
        <v>0</v>
      </c>
      <c r="P269" s="39">
        <v>22624.998800000005</v>
      </c>
      <c r="Q269" s="34" t="s">
        <v>410</v>
      </c>
      <c r="R269" s="34" t="s">
        <v>26</v>
      </c>
      <c r="S269" s="11" t="s">
        <v>4120</v>
      </c>
    </row>
    <row r="270" spans="1:19" x14ac:dyDescent="0.2">
      <c r="A270" s="33">
        <v>43586</v>
      </c>
      <c r="B270" s="34">
        <v>50</v>
      </c>
      <c r="C270" s="35" t="s">
        <v>591</v>
      </c>
      <c r="D270" s="34" t="str">
        <f>VLOOKUP(C270,'PUR-PARTY MASTER'!$B$4:$E$2000,2,FALSE)</f>
        <v>27AAACI6297A1ZN</v>
      </c>
      <c r="E270" s="34" t="s">
        <v>22</v>
      </c>
      <c r="F270" s="136" t="s">
        <v>623</v>
      </c>
      <c r="G270" s="135">
        <v>43596</v>
      </c>
      <c r="H270" s="34">
        <v>3907</v>
      </c>
      <c r="I270" s="39">
        <f>VLOOKUP(H270,'PUR-HSN MASTER'!$A$4:$E$5000,5,FALSE)</f>
        <v>18</v>
      </c>
      <c r="J270" s="38">
        <v>12</v>
      </c>
      <c r="K270" s="40">
        <v>7800</v>
      </c>
      <c r="L270" s="39">
        <v>0</v>
      </c>
      <c r="M270" s="39">
        <v>702</v>
      </c>
      <c r="N270" s="39">
        <v>702</v>
      </c>
      <c r="O270" s="39">
        <v>0</v>
      </c>
      <c r="P270" s="39">
        <v>9204</v>
      </c>
      <c r="Q270" s="34" t="s">
        <v>410</v>
      </c>
      <c r="R270" s="34" t="s">
        <v>26</v>
      </c>
      <c r="S270" s="11" t="s">
        <v>4120</v>
      </c>
    </row>
    <row r="271" spans="1:19" x14ac:dyDescent="0.2">
      <c r="A271" s="33">
        <v>43586</v>
      </c>
      <c r="B271" s="34"/>
      <c r="C271" s="35" t="s">
        <v>591</v>
      </c>
      <c r="D271" s="34" t="str">
        <f>VLOOKUP(C271,'PUR-PARTY MASTER'!$B$4:$E$2000,2,FALSE)</f>
        <v>27AAACI6297A1ZN</v>
      </c>
      <c r="E271" s="34" t="s">
        <v>22</v>
      </c>
      <c r="F271" s="136" t="s">
        <v>623</v>
      </c>
      <c r="G271" s="135">
        <v>43596</v>
      </c>
      <c r="H271" s="34" t="s">
        <v>624</v>
      </c>
      <c r="I271" s="39">
        <f>VLOOKUP(H271,'PUR-HSN MASTER'!$A$4:$E$5000,5,FALSE)</f>
        <v>18</v>
      </c>
      <c r="J271" s="38">
        <v>54</v>
      </c>
      <c r="K271" s="40">
        <v>42390</v>
      </c>
      <c r="L271" s="39">
        <v>0</v>
      </c>
      <c r="M271" s="39">
        <v>3815.1</v>
      </c>
      <c r="N271" s="39">
        <v>3815.1</v>
      </c>
      <c r="O271" s="39">
        <v>0</v>
      </c>
      <c r="P271" s="39">
        <v>50020.2</v>
      </c>
      <c r="Q271" s="34" t="s">
        <v>410</v>
      </c>
      <c r="R271" s="34" t="s">
        <v>26</v>
      </c>
      <c r="S271" s="11" t="s">
        <v>4120</v>
      </c>
    </row>
    <row r="272" spans="1:19" x14ac:dyDescent="0.2">
      <c r="A272" s="33">
        <v>43586</v>
      </c>
      <c r="B272" s="34"/>
      <c r="C272" s="35" t="s">
        <v>591</v>
      </c>
      <c r="D272" s="34" t="str">
        <f>VLOOKUP(C272,'PUR-PARTY MASTER'!$B$4:$E$2000,2,FALSE)</f>
        <v>27AAACI6297A1ZN</v>
      </c>
      <c r="E272" s="34" t="s">
        <v>22</v>
      </c>
      <c r="F272" s="136" t="s">
        <v>623</v>
      </c>
      <c r="G272" s="135">
        <v>43596</v>
      </c>
      <c r="H272" s="34">
        <v>3824</v>
      </c>
      <c r="I272" s="39">
        <f>VLOOKUP(H272,'PUR-HSN MASTER'!$A$4:$E$5000,5,FALSE)</f>
        <v>18</v>
      </c>
      <c r="J272" s="38">
        <v>12</v>
      </c>
      <c r="K272" s="40">
        <v>8640</v>
      </c>
      <c r="L272" s="39">
        <v>0</v>
      </c>
      <c r="M272" s="39">
        <v>777.6</v>
      </c>
      <c r="N272" s="39">
        <v>777.6</v>
      </c>
      <c r="O272" s="39">
        <v>0</v>
      </c>
      <c r="P272" s="39">
        <v>10195.200000000001</v>
      </c>
      <c r="Q272" s="34" t="s">
        <v>410</v>
      </c>
      <c r="R272" s="34" t="s">
        <v>26</v>
      </c>
      <c r="S272" s="11" t="s">
        <v>4120</v>
      </c>
    </row>
    <row r="273" spans="1:19" x14ac:dyDescent="0.2">
      <c r="A273" s="33">
        <v>43586</v>
      </c>
      <c r="B273" s="34">
        <v>51</v>
      </c>
      <c r="C273" s="35" t="s">
        <v>625</v>
      </c>
      <c r="D273" s="34" t="str">
        <f>VLOOKUP(C273,'PUR-PARTY MASTER'!$B$4:$E$2000,2,FALSE)</f>
        <v>27AAPFA7196J1ZR</v>
      </c>
      <c r="E273" s="34" t="s">
        <v>22</v>
      </c>
      <c r="F273" s="136" t="s">
        <v>627</v>
      </c>
      <c r="G273" s="135">
        <v>43598</v>
      </c>
      <c r="H273" s="34">
        <v>8481</v>
      </c>
      <c r="I273" s="39">
        <f>VLOOKUP(H273,'PUR-HSN MASTER'!$A$4:$E$5000,5,FALSE)</f>
        <v>18</v>
      </c>
      <c r="J273" s="38">
        <v>1</v>
      </c>
      <c r="K273" s="40">
        <v>10315</v>
      </c>
      <c r="L273" s="39">
        <v>0</v>
      </c>
      <c r="M273" s="39">
        <v>928.35</v>
      </c>
      <c r="N273" s="39">
        <v>928.35</v>
      </c>
      <c r="O273" s="39">
        <v>0</v>
      </c>
      <c r="P273" s="39">
        <v>12172</v>
      </c>
      <c r="Q273" s="34" t="s">
        <v>410</v>
      </c>
      <c r="R273" s="34" t="s">
        <v>26</v>
      </c>
      <c r="S273" s="11" t="s">
        <v>4120</v>
      </c>
    </row>
    <row r="274" spans="1:19" x14ac:dyDescent="0.2">
      <c r="A274" s="33">
        <v>43586</v>
      </c>
      <c r="B274" s="34">
        <v>52</v>
      </c>
      <c r="C274" s="35" t="s">
        <v>506</v>
      </c>
      <c r="D274" s="34" t="str">
        <f>VLOOKUP(C274,'PUR-PARTY MASTER'!$B$4:$E$2000,2,FALSE)</f>
        <v>27AAACG1376N1ZC</v>
      </c>
      <c r="E274" s="34" t="s">
        <v>22</v>
      </c>
      <c r="F274" s="136" t="s">
        <v>628</v>
      </c>
      <c r="G274" s="135">
        <v>43598</v>
      </c>
      <c r="H274" s="34">
        <v>38140010</v>
      </c>
      <c r="I274" s="39">
        <f>VLOOKUP(H274,'PUR-HSN MASTER'!$A$4:$E$5000,5,FALSE)</f>
        <v>18</v>
      </c>
      <c r="J274" s="38">
        <v>100</v>
      </c>
      <c r="K274" s="40">
        <v>9240</v>
      </c>
      <c r="L274" s="39">
        <v>0</v>
      </c>
      <c r="M274" s="39">
        <v>831.6</v>
      </c>
      <c r="N274" s="39">
        <v>831.6</v>
      </c>
      <c r="O274" s="39">
        <v>0</v>
      </c>
      <c r="P274" s="39">
        <v>10903</v>
      </c>
      <c r="Q274" s="34" t="s">
        <v>410</v>
      </c>
      <c r="R274" s="34" t="s">
        <v>26</v>
      </c>
      <c r="S274" s="11" t="s">
        <v>4120</v>
      </c>
    </row>
    <row r="275" spans="1:19" x14ac:dyDescent="0.2">
      <c r="A275" s="33">
        <v>43586</v>
      </c>
      <c r="B275" s="34">
        <v>53</v>
      </c>
      <c r="C275" s="35" t="s">
        <v>554</v>
      </c>
      <c r="D275" s="34" t="str">
        <f>VLOOKUP(C275,'PUR-PARTY MASTER'!$B$4:$E$2000,2,FALSE)</f>
        <v>27AACFA1881H1ZL</v>
      </c>
      <c r="E275" s="34" t="s">
        <v>22</v>
      </c>
      <c r="F275" s="134">
        <v>1419</v>
      </c>
      <c r="G275" s="135">
        <v>43598</v>
      </c>
      <c r="H275" s="34">
        <v>87141900</v>
      </c>
      <c r="I275" s="39">
        <f>VLOOKUP(H275,'PUR-HSN MASTER'!$A$4:$E$5000,5,FALSE)</f>
        <v>28</v>
      </c>
      <c r="J275" s="38">
        <v>860</v>
      </c>
      <c r="K275" s="40">
        <v>2442.6</v>
      </c>
      <c r="L275" s="39">
        <v>0</v>
      </c>
      <c r="M275" s="39">
        <v>341.964</v>
      </c>
      <c r="N275" s="39">
        <v>341.964</v>
      </c>
      <c r="O275" s="39">
        <v>0</v>
      </c>
      <c r="P275" s="39">
        <v>3126.5179999999996</v>
      </c>
      <c r="Q275" s="34" t="s">
        <v>410</v>
      </c>
      <c r="R275" s="34" t="s">
        <v>26</v>
      </c>
      <c r="S275" s="11" t="s">
        <v>4120</v>
      </c>
    </row>
    <row r="276" spans="1:19" x14ac:dyDescent="0.2">
      <c r="A276" s="33">
        <v>43586</v>
      </c>
      <c r="B276" s="34">
        <v>54</v>
      </c>
      <c r="C276" s="35" t="s">
        <v>601</v>
      </c>
      <c r="D276" s="34" t="str">
        <f>VLOOKUP(C276,'PUR-PARTY MASTER'!$B$4:$E$2000,2,FALSE)</f>
        <v>27AAZFM6461A1ZY</v>
      </c>
      <c r="E276" s="34" t="s">
        <v>22</v>
      </c>
      <c r="F276" s="134">
        <v>1045</v>
      </c>
      <c r="G276" s="135">
        <v>43598</v>
      </c>
      <c r="H276" s="34">
        <v>87082900</v>
      </c>
      <c r="I276" s="39">
        <f>VLOOKUP(H276,'PUR-HSN MASTER'!$A$4:$E$5000,5,FALSE)</f>
        <v>28</v>
      </c>
      <c r="J276" s="38">
        <v>600</v>
      </c>
      <c r="K276" s="40">
        <v>13392</v>
      </c>
      <c r="L276" s="39">
        <v>0</v>
      </c>
      <c r="M276" s="39">
        <v>1874.8799999999999</v>
      </c>
      <c r="N276" s="39">
        <v>1874.8799999999999</v>
      </c>
      <c r="O276" s="39">
        <v>0</v>
      </c>
      <c r="P276" s="39">
        <v>17141.759999999998</v>
      </c>
      <c r="Q276" s="34" t="s">
        <v>410</v>
      </c>
      <c r="R276" s="34" t="s">
        <v>26</v>
      </c>
      <c r="S276" s="11" t="s">
        <v>4120</v>
      </c>
    </row>
    <row r="277" spans="1:19" x14ac:dyDescent="0.2">
      <c r="A277" s="33">
        <v>43586</v>
      </c>
      <c r="B277" s="34">
        <v>55</v>
      </c>
      <c r="C277" s="35" t="s">
        <v>517</v>
      </c>
      <c r="D277" s="34" t="str">
        <f>VLOOKUP(C277,'PUR-PARTY MASTER'!$B$4:$E$2000,2,FALSE)</f>
        <v>23AAACT6376M1ZZ</v>
      </c>
      <c r="E277" s="34" t="s">
        <v>22</v>
      </c>
      <c r="F277" s="134">
        <v>19603865</v>
      </c>
      <c r="G277" s="135">
        <v>43597</v>
      </c>
      <c r="H277" s="34">
        <v>87081090</v>
      </c>
      <c r="I277" s="39">
        <f>VLOOKUP(H277,'PUR-HSN MASTER'!$A$4:$E$5000,5,FALSE)</f>
        <v>28</v>
      </c>
      <c r="J277" s="38">
        <v>40</v>
      </c>
      <c r="K277" s="40">
        <v>24925.4</v>
      </c>
      <c r="L277" s="39">
        <v>6979.112000000001</v>
      </c>
      <c r="M277" s="39">
        <v>0</v>
      </c>
      <c r="N277" s="39">
        <v>0</v>
      </c>
      <c r="O277" s="39">
        <v>0</v>
      </c>
      <c r="P277" s="39">
        <v>31904.512000000002</v>
      </c>
      <c r="Q277" s="34" t="s">
        <v>410</v>
      </c>
      <c r="R277" s="34" t="s">
        <v>106</v>
      </c>
      <c r="S277" s="11" t="s">
        <v>4120</v>
      </c>
    </row>
    <row r="278" spans="1:19" x14ac:dyDescent="0.2">
      <c r="A278" s="33">
        <v>43586</v>
      </c>
      <c r="B278" s="34">
        <v>56</v>
      </c>
      <c r="C278" s="35" t="s">
        <v>517</v>
      </c>
      <c r="D278" s="34" t="str">
        <f>VLOOKUP(C278,'PUR-PARTY MASTER'!$B$4:$E$2000,2,FALSE)</f>
        <v>23AAACT6376M1ZZ</v>
      </c>
      <c r="E278" s="34" t="s">
        <v>22</v>
      </c>
      <c r="F278" s="134">
        <v>19603866</v>
      </c>
      <c r="G278" s="135">
        <v>43597</v>
      </c>
      <c r="H278" s="34">
        <v>87081090</v>
      </c>
      <c r="I278" s="39">
        <f>VLOOKUP(H278,'PUR-HSN MASTER'!$A$4:$E$5000,5,FALSE)</f>
        <v>28</v>
      </c>
      <c r="J278" s="38">
        <v>35</v>
      </c>
      <c r="K278" s="40">
        <v>31636.5</v>
      </c>
      <c r="L278" s="39">
        <v>8858.2200000000012</v>
      </c>
      <c r="M278" s="39">
        <v>0</v>
      </c>
      <c r="N278" s="39">
        <v>0</v>
      </c>
      <c r="O278" s="39">
        <v>0</v>
      </c>
      <c r="P278" s="39">
        <v>40494.720000000001</v>
      </c>
      <c r="Q278" s="34" t="s">
        <v>410</v>
      </c>
      <c r="R278" s="34" t="s">
        <v>106</v>
      </c>
      <c r="S278" s="11" t="s">
        <v>4120</v>
      </c>
    </row>
    <row r="279" spans="1:19" x14ac:dyDescent="0.2">
      <c r="A279" s="33">
        <v>43586</v>
      </c>
      <c r="B279" s="34">
        <v>57</v>
      </c>
      <c r="C279" s="35" t="s">
        <v>471</v>
      </c>
      <c r="D279" s="34" t="str">
        <f>VLOOKUP(C279,'PUR-PARTY MASTER'!$B$4:$E$2000,2,FALSE)</f>
        <v>27AAECM8871A1ZF</v>
      </c>
      <c r="E279" s="34" t="s">
        <v>22</v>
      </c>
      <c r="F279" s="134">
        <v>192001386</v>
      </c>
      <c r="G279" s="135">
        <v>43599</v>
      </c>
      <c r="H279" s="34">
        <v>87089900</v>
      </c>
      <c r="I279" s="39">
        <f>VLOOKUP(H279,'PUR-HSN MASTER'!$A$4:$E$5000,5,FALSE)</f>
        <v>28</v>
      </c>
      <c r="J279" s="38">
        <v>12</v>
      </c>
      <c r="K279" s="40">
        <v>17483.52</v>
      </c>
      <c r="L279" s="39">
        <v>0</v>
      </c>
      <c r="M279" s="39">
        <v>2447.6928000000003</v>
      </c>
      <c r="N279" s="39">
        <v>2447.6928000000003</v>
      </c>
      <c r="O279" s="39">
        <v>0</v>
      </c>
      <c r="P279" s="39">
        <v>22378.895600000003</v>
      </c>
      <c r="Q279" s="34" t="s">
        <v>410</v>
      </c>
      <c r="R279" s="34" t="s">
        <v>26</v>
      </c>
      <c r="S279" s="11" t="s">
        <v>4120</v>
      </c>
    </row>
    <row r="280" spans="1:19" x14ac:dyDescent="0.2">
      <c r="A280" s="33">
        <v>43586</v>
      </c>
      <c r="B280" s="34">
        <v>58</v>
      </c>
      <c r="C280" s="35" t="s">
        <v>471</v>
      </c>
      <c r="D280" s="34" t="str">
        <f>VLOOKUP(C280,'PUR-PARTY MASTER'!$B$4:$E$2000,2,FALSE)</f>
        <v>27AAECM8871A1ZF</v>
      </c>
      <c r="E280" s="34" t="s">
        <v>22</v>
      </c>
      <c r="F280" s="134">
        <v>192001388</v>
      </c>
      <c r="G280" s="135">
        <v>43599</v>
      </c>
      <c r="H280" s="34">
        <v>87089900</v>
      </c>
      <c r="I280" s="39">
        <f>VLOOKUP(H280,'PUR-HSN MASTER'!$A$4:$E$5000,5,FALSE)</f>
        <v>28</v>
      </c>
      <c r="J280" s="38">
        <v>12</v>
      </c>
      <c r="K280" s="40">
        <v>17483.52</v>
      </c>
      <c r="L280" s="39">
        <v>0</v>
      </c>
      <c r="M280" s="39">
        <v>2447.6928000000003</v>
      </c>
      <c r="N280" s="39">
        <v>2447.6928000000003</v>
      </c>
      <c r="O280" s="39">
        <v>0</v>
      </c>
      <c r="P280" s="39">
        <v>22378.895600000003</v>
      </c>
      <c r="Q280" s="34" t="s">
        <v>410</v>
      </c>
      <c r="R280" s="34" t="s">
        <v>26</v>
      </c>
      <c r="S280" s="11" t="s">
        <v>4120</v>
      </c>
    </row>
    <row r="281" spans="1:19" x14ac:dyDescent="0.2">
      <c r="A281" s="33">
        <v>43586</v>
      </c>
      <c r="B281" s="34">
        <v>59</v>
      </c>
      <c r="C281" s="35" t="s">
        <v>629</v>
      </c>
      <c r="D281" s="34" t="str">
        <f>VLOOKUP(C281,'PUR-PARTY MASTER'!$B$4:$E$2000,2,FALSE)</f>
        <v>27AACPH4424P1ZJ</v>
      </c>
      <c r="E281" s="34" t="s">
        <v>22</v>
      </c>
      <c r="F281" s="134">
        <v>81</v>
      </c>
      <c r="G281" s="135">
        <v>43599</v>
      </c>
      <c r="H281" s="34">
        <v>998531</v>
      </c>
      <c r="I281" s="39">
        <f>VLOOKUP(H281,'PUR-HSN MASTER'!$A$4:$E$5000,5,FALSE)</f>
        <v>18</v>
      </c>
      <c r="J281" s="38"/>
      <c r="K281" s="40">
        <v>2000</v>
      </c>
      <c r="L281" s="39">
        <v>0</v>
      </c>
      <c r="M281" s="39">
        <v>180</v>
      </c>
      <c r="N281" s="39">
        <v>180</v>
      </c>
      <c r="O281" s="39">
        <v>0</v>
      </c>
      <c r="P281" s="39">
        <v>2360</v>
      </c>
      <c r="Q281" s="34" t="s">
        <v>411</v>
      </c>
      <c r="R281" s="34" t="s">
        <v>26</v>
      </c>
      <c r="S281" s="11" t="s">
        <v>4120</v>
      </c>
    </row>
    <row r="282" spans="1:19" x14ac:dyDescent="0.2">
      <c r="A282" s="33">
        <v>43586</v>
      </c>
      <c r="B282" s="34">
        <v>60</v>
      </c>
      <c r="C282" s="35" t="s">
        <v>518</v>
      </c>
      <c r="D282" s="34" t="str">
        <f>VLOOKUP(C282,'PUR-PARTY MASTER'!$B$4:$E$2000,2,FALSE)</f>
        <v>27AAACB2894G1ZN</v>
      </c>
      <c r="E282" s="34" t="s">
        <v>22</v>
      </c>
      <c r="F282" s="136" t="s">
        <v>631</v>
      </c>
      <c r="G282" s="135">
        <v>43597</v>
      </c>
      <c r="H282" s="34">
        <v>9984</v>
      </c>
      <c r="I282" s="39">
        <f>VLOOKUP(H282,'PUR-HSN MASTER'!$A$4:$E$5000,5,FALSE)</f>
        <v>18</v>
      </c>
      <c r="J282" s="38"/>
      <c r="K282" s="40">
        <v>4795</v>
      </c>
      <c r="L282" s="39">
        <v>0</v>
      </c>
      <c r="M282" s="39">
        <v>431.55</v>
      </c>
      <c r="N282" s="39">
        <v>431.55</v>
      </c>
      <c r="O282" s="39">
        <v>0</v>
      </c>
      <c r="P282" s="39">
        <v>5658.1</v>
      </c>
      <c r="Q282" s="34" t="s">
        <v>411</v>
      </c>
      <c r="R282" s="34" t="s">
        <v>26</v>
      </c>
      <c r="S282" s="11" t="s">
        <v>4120</v>
      </c>
    </row>
    <row r="283" spans="1:19" x14ac:dyDescent="0.2">
      <c r="A283" s="33">
        <v>43586</v>
      </c>
      <c r="B283" s="34">
        <v>61</v>
      </c>
      <c r="C283" s="35" t="s">
        <v>554</v>
      </c>
      <c r="D283" s="34" t="str">
        <f>VLOOKUP(C283,'PUR-PARTY MASTER'!$B$4:$E$2000,2,FALSE)</f>
        <v>27AACFA1881H1ZL</v>
      </c>
      <c r="E283" s="34" t="s">
        <v>22</v>
      </c>
      <c r="F283" s="134">
        <v>1481</v>
      </c>
      <c r="G283" s="135">
        <v>43599</v>
      </c>
      <c r="H283" s="34">
        <v>87141900</v>
      </c>
      <c r="I283" s="39">
        <f>VLOOKUP(H283,'PUR-HSN MASTER'!$A$4:$E$5000,5,FALSE)</f>
        <v>28</v>
      </c>
      <c r="J283" s="38">
        <v>700</v>
      </c>
      <c r="K283" s="40">
        <v>1946</v>
      </c>
      <c r="L283" s="39">
        <v>0</v>
      </c>
      <c r="M283" s="39">
        <v>272.44</v>
      </c>
      <c r="N283" s="39">
        <v>272.44</v>
      </c>
      <c r="O283" s="39">
        <v>0</v>
      </c>
      <c r="P283" s="39">
        <v>2490.88</v>
      </c>
      <c r="Q283" s="34" t="s">
        <v>410</v>
      </c>
      <c r="R283" s="34" t="s">
        <v>26</v>
      </c>
      <c r="S283" s="11" t="s">
        <v>4120</v>
      </c>
    </row>
    <row r="284" spans="1:19" x14ac:dyDescent="0.2">
      <c r="A284" s="33">
        <v>43586</v>
      </c>
      <c r="B284" s="34">
        <v>62</v>
      </c>
      <c r="C284" s="35" t="s">
        <v>471</v>
      </c>
      <c r="D284" s="34" t="str">
        <f>VLOOKUP(C284,'PUR-PARTY MASTER'!$B$4:$E$2000,2,FALSE)</f>
        <v>27AAECM8871A1ZF</v>
      </c>
      <c r="E284" s="34" t="s">
        <v>22</v>
      </c>
      <c r="F284" s="134">
        <v>192001416</v>
      </c>
      <c r="G284" s="135">
        <v>43599</v>
      </c>
      <c r="H284" s="34">
        <v>87089900</v>
      </c>
      <c r="I284" s="39">
        <f>VLOOKUP(H284,'PUR-HSN MASTER'!$A$4:$E$5000,5,FALSE)</f>
        <v>28</v>
      </c>
      <c r="J284" s="38">
        <v>12</v>
      </c>
      <c r="K284" s="40">
        <v>17483.52</v>
      </c>
      <c r="L284" s="39">
        <v>0</v>
      </c>
      <c r="M284" s="39">
        <v>2447.6928000000003</v>
      </c>
      <c r="N284" s="39">
        <v>2447.6928000000003</v>
      </c>
      <c r="O284" s="39">
        <v>0</v>
      </c>
      <c r="P284" s="39">
        <v>22378.895600000003</v>
      </c>
      <c r="Q284" s="34" t="s">
        <v>410</v>
      </c>
      <c r="R284" s="34" t="s">
        <v>26</v>
      </c>
      <c r="S284" s="11" t="s">
        <v>4120</v>
      </c>
    </row>
    <row r="285" spans="1:19" x14ac:dyDescent="0.2">
      <c r="A285" s="33">
        <v>43586</v>
      </c>
      <c r="B285" s="34">
        <v>63</v>
      </c>
      <c r="C285" s="35" t="s">
        <v>471</v>
      </c>
      <c r="D285" s="34" t="str">
        <f>VLOOKUP(C285,'PUR-PARTY MASTER'!$B$4:$E$2000,2,FALSE)</f>
        <v>27AAECM8871A1ZF</v>
      </c>
      <c r="E285" s="34" t="s">
        <v>22</v>
      </c>
      <c r="F285" s="134">
        <v>192001415</v>
      </c>
      <c r="G285" s="135">
        <v>43599</v>
      </c>
      <c r="H285" s="34">
        <v>87089900</v>
      </c>
      <c r="I285" s="39">
        <f>VLOOKUP(H285,'PUR-HSN MASTER'!$A$4:$E$5000,5,FALSE)</f>
        <v>28</v>
      </c>
      <c r="J285" s="38">
        <v>12</v>
      </c>
      <c r="K285" s="40">
        <v>17483.52</v>
      </c>
      <c r="L285" s="39">
        <v>0</v>
      </c>
      <c r="M285" s="39">
        <v>2447.6928000000003</v>
      </c>
      <c r="N285" s="39">
        <v>2447.6928000000003</v>
      </c>
      <c r="O285" s="39">
        <v>0</v>
      </c>
      <c r="P285" s="39">
        <v>22378.895600000003</v>
      </c>
      <c r="Q285" s="34" t="s">
        <v>410</v>
      </c>
      <c r="R285" s="34" t="s">
        <v>26</v>
      </c>
      <c r="S285" s="11" t="s">
        <v>4120</v>
      </c>
    </row>
    <row r="286" spans="1:19" x14ac:dyDescent="0.2">
      <c r="A286" s="33">
        <v>43586</v>
      </c>
      <c r="B286" s="34">
        <v>64</v>
      </c>
      <c r="C286" s="35" t="s">
        <v>476</v>
      </c>
      <c r="D286" s="34" t="str">
        <f>VLOOKUP(C286,'PUR-PARTY MASTER'!$B$4:$E$2000,2,FALSE)</f>
        <v>27AABCO8467D1ZA</v>
      </c>
      <c r="E286" s="34" t="s">
        <v>22</v>
      </c>
      <c r="F286" s="136" t="s">
        <v>632</v>
      </c>
      <c r="G286" s="135">
        <v>43600</v>
      </c>
      <c r="H286" s="34" t="s">
        <v>524</v>
      </c>
      <c r="I286" s="39">
        <f>VLOOKUP(H286,'PUR-HSN MASTER'!$A$4:$E$5000,5,FALSE)</f>
        <v>18</v>
      </c>
      <c r="J286" s="38"/>
      <c r="K286" s="40">
        <v>40650</v>
      </c>
      <c r="L286" s="39">
        <v>0</v>
      </c>
      <c r="M286" s="39">
        <v>3658.5</v>
      </c>
      <c r="N286" s="39">
        <v>3658.5</v>
      </c>
      <c r="O286" s="39">
        <v>0</v>
      </c>
      <c r="P286" s="39">
        <v>47967.4</v>
      </c>
      <c r="Q286" s="34" t="s">
        <v>410</v>
      </c>
      <c r="R286" s="34" t="s">
        <v>26</v>
      </c>
      <c r="S286" s="11" t="s">
        <v>4120</v>
      </c>
    </row>
    <row r="287" spans="1:19" x14ac:dyDescent="0.2">
      <c r="A287" s="33">
        <v>43586</v>
      </c>
      <c r="B287" s="34">
        <v>65</v>
      </c>
      <c r="C287" s="35" t="s">
        <v>471</v>
      </c>
      <c r="D287" s="34" t="str">
        <f>VLOOKUP(C287,'PUR-PARTY MASTER'!$B$4:$E$2000,2,FALSE)</f>
        <v>27AAECM8871A1ZF</v>
      </c>
      <c r="E287" s="34" t="s">
        <v>22</v>
      </c>
      <c r="F287" s="134">
        <v>192001438</v>
      </c>
      <c r="G287" s="135">
        <v>43600</v>
      </c>
      <c r="H287" s="34">
        <v>87089900</v>
      </c>
      <c r="I287" s="39">
        <f>VLOOKUP(H287,'PUR-HSN MASTER'!$A$4:$E$5000,5,FALSE)</f>
        <v>28</v>
      </c>
      <c r="J287" s="38">
        <v>12</v>
      </c>
      <c r="K287" s="40">
        <v>17483.52</v>
      </c>
      <c r="L287" s="39">
        <v>0</v>
      </c>
      <c r="M287" s="39">
        <v>2447.6928000000003</v>
      </c>
      <c r="N287" s="39">
        <v>2447.6928000000003</v>
      </c>
      <c r="O287" s="39">
        <v>0</v>
      </c>
      <c r="P287" s="39">
        <v>22378.895600000003</v>
      </c>
      <c r="Q287" s="34" t="s">
        <v>410</v>
      </c>
      <c r="R287" s="34" t="s">
        <v>26</v>
      </c>
      <c r="S287" s="11" t="s">
        <v>4120</v>
      </c>
    </row>
    <row r="288" spans="1:19" x14ac:dyDescent="0.2">
      <c r="A288" s="33">
        <v>43586</v>
      </c>
      <c r="B288" s="34">
        <v>66</v>
      </c>
      <c r="C288" s="35" t="s">
        <v>471</v>
      </c>
      <c r="D288" s="34" t="str">
        <f>VLOOKUP(C288,'PUR-PARTY MASTER'!$B$4:$E$2000,2,FALSE)</f>
        <v>27AAECM8871A1ZF</v>
      </c>
      <c r="E288" s="34" t="s">
        <v>22</v>
      </c>
      <c r="F288" s="134">
        <v>192001439</v>
      </c>
      <c r="G288" s="135">
        <v>43600</v>
      </c>
      <c r="H288" s="34">
        <v>87089900</v>
      </c>
      <c r="I288" s="39">
        <f>VLOOKUP(H288,'PUR-HSN MASTER'!$A$4:$E$5000,5,FALSE)</f>
        <v>28</v>
      </c>
      <c r="J288" s="38">
        <v>12</v>
      </c>
      <c r="K288" s="40">
        <v>17483.52</v>
      </c>
      <c r="L288" s="39">
        <v>0</v>
      </c>
      <c r="M288" s="39">
        <v>2447.6928000000003</v>
      </c>
      <c r="N288" s="39">
        <v>2447.6928000000003</v>
      </c>
      <c r="O288" s="39">
        <v>0</v>
      </c>
      <c r="P288" s="39">
        <v>22378.895600000003</v>
      </c>
      <c r="Q288" s="34" t="s">
        <v>410</v>
      </c>
      <c r="R288" s="34" t="s">
        <v>26</v>
      </c>
      <c r="S288" s="11" t="s">
        <v>4120</v>
      </c>
    </row>
    <row r="289" spans="1:19" x14ac:dyDescent="0.2">
      <c r="A289" s="33">
        <v>43586</v>
      </c>
      <c r="B289" s="34">
        <v>67</v>
      </c>
      <c r="C289" s="35" t="s">
        <v>493</v>
      </c>
      <c r="D289" s="34" t="str">
        <f>VLOOKUP(C289,'PUR-PARTY MASTER'!$B$4:$E$2000,2,FALSE)</f>
        <v>27AMMPB3648M1ZO</v>
      </c>
      <c r="E289" s="34" t="s">
        <v>22</v>
      </c>
      <c r="F289" s="134">
        <v>755</v>
      </c>
      <c r="G289" s="135">
        <v>43600</v>
      </c>
      <c r="H289" s="34">
        <v>85129000</v>
      </c>
      <c r="I289" s="39">
        <f>VLOOKUP(H289,'PUR-HSN MASTER'!$A$4:$E$5000,5,FALSE)</f>
        <v>18</v>
      </c>
      <c r="J289" s="38">
        <v>790</v>
      </c>
      <c r="K289" s="40">
        <v>25801.4</v>
      </c>
      <c r="L289" s="39">
        <v>0</v>
      </c>
      <c r="M289" s="39">
        <v>2322.1260000000002</v>
      </c>
      <c r="N289" s="39">
        <v>2322.1260000000002</v>
      </c>
      <c r="O289" s="39">
        <v>0</v>
      </c>
      <c r="P289" s="39">
        <v>30446.002</v>
      </c>
      <c r="Q289" s="34" t="s">
        <v>410</v>
      </c>
      <c r="R289" s="34" t="s">
        <v>26</v>
      </c>
      <c r="S289" s="11" t="s">
        <v>4120</v>
      </c>
    </row>
    <row r="290" spans="1:19" x14ac:dyDescent="0.2">
      <c r="A290" s="33">
        <v>43586</v>
      </c>
      <c r="B290" s="34">
        <v>68</v>
      </c>
      <c r="C290" s="35" t="s">
        <v>601</v>
      </c>
      <c r="D290" s="34" t="str">
        <f>VLOOKUP(C290,'PUR-PARTY MASTER'!$B$4:$E$2000,2,FALSE)</f>
        <v>27AAZFM6461A1ZY</v>
      </c>
      <c r="E290" s="34" t="s">
        <v>22</v>
      </c>
      <c r="F290" s="134">
        <v>1130</v>
      </c>
      <c r="G290" s="135">
        <v>43600</v>
      </c>
      <c r="H290" s="34">
        <v>87082900</v>
      </c>
      <c r="I290" s="39">
        <f>VLOOKUP(H290,'PUR-HSN MASTER'!$A$4:$E$5000,5,FALSE)</f>
        <v>28</v>
      </c>
      <c r="J290" s="38">
        <v>900</v>
      </c>
      <c r="K290" s="40">
        <v>20088</v>
      </c>
      <c r="L290" s="39">
        <v>0</v>
      </c>
      <c r="M290" s="39">
        <v>2812.3199999999997</v>
      </c>
      <c r="N290" s="39">
        <v>2812.3199999999997</v>
      </c>
      <c r="O290" s="39">
        <v>0</v>
      </c>
      <c r="P290" s="39">
        <v>25712.639999999999</v>
      </c>
      <c r="Q290" s="34" t="s">
        <v>410</v>
      </c>
      <c r="R290" s="34" t="s">
        <v>26</v>
      </c>
      <c r="S290" s="11" t="s">
        <v>4120</v>
      </c>
    </row>
    <row r="291" spans="1:19" x14ac:dyDescent="0.2">
      <c r="A291" s="33">
        <v>43586</v>
      </c>
      <c r="B291" s="34">
        <v>69</v>
      </c>
      <c r="C291" s="35" t="s">
        <v>554</v>
      </c>
      <c r="D291" s="34" t="str">
        <f>VLOOKUP(C291,'PUR-PARTY MASTER'!$B$4:$E$2000,2,FALSE)</f>
        <v>27AACFA1881H1ZL</v>
      </c>
      <c r="E291" s="34" t="s">
        <v>22</v>
      </c>
      <c r="F291" s="134">
        <v>1573</v>
      </c>
      <c r="G291" s="135">
        <v>43601</v>
      </c>
      <c r="H291" s="34">
        <v>87141900</v>
      </c>
      <c r="I291" s="39">
        <f>VLOOKUP(H291,'PUR-HSN MASTER'!$A$4:$E$5000,5,FALSE)</f>
        <v>28</v>
      </c>
      <c r="J291" s="38">
        <v>600</v>
      </c>
      <c r="K291" s="40">
        <v>1668</v>
      </c>
      <c r="L291" s="39">
        <v>0</v>
      </c>
      <c r="M291" s="39">
        <v>233.51999999999998</v>
      </c>
      <c r="N291" s="39">
        <v>233.51999999999998</v>
      </c>
      <c r="O291" s="39">
        <v>0</v>
      </c>
      <c r="P291" s="39">
        <v>2135.04</v>
      </c>
      <c r="Q291" s="34" t="s">
        <v>410</v>
      </c>
      <c r="R291" s="34" t="s">
        <v>26</v>
      </c>
      <c r="S291" s="11" t="s">
        <v>4120</v>
      </c>
    </row>
    <row r="292" spans="1:19" x14ac:dyDescent="0.2">
      <c r="A292" s="33">
        <v>43586</v>
      </c>
      <c r="B292" s="34">
        <v>70</v>
      </c>
      <c r="C292" s="35" t="s">
        <v>471</v>
      </c>
      <c r="D292" s="34" t="str">
        <f>VLOOKUP(C292,'PUR-PARTY MASTER'!$B$4:$E$2000,2,FALSE)</f>
        <v>27AAECM8871A1ZF</v>
      </c>
      <c r="E292" s="34" t="s">
        <v>22</v>
      </c>
      <c r="F292" s="134">
        <v>192001490</v>
      </c>
      <c r="G292" s="135">
        <v>43601</v>
      </c>
      <c r="H292" s="34">
        <v>87089900</v>
      </c>
      <c r="I292" s="39">
        <f>VLOOKUP(H292,'PUR-HSN MASTER'!$A$4:$E$5000,5,FALSE)</f>
        <v>28</v>
      </c>
      <c r="J292" s="38">
        <v>12</v>
      </c>
      <c r="K292" s="40">
        <v>17483.52</v>
      </c>
      <c r="L292" s="39">
        <v>0</v>
      </c>
      <c r="M292" s="39">
        <v>2447.6928000000003</v>
      </c>
      <c r="N292" s="39">
        <v>2447.6928000000003</v>
      </c>
      <c r="O292" s="39">
        <v>0</v>
      </c>
      <c r="P292" s="39">
        <v>22378.895600000003</v>
      </c>
      <c r="Q292" s="34" t="s">
        <v>410</v>
      </c>
      <c r="R292" s="34" t="s">
        <v>26</v>
      </c>
      <c r="S292" s="11" t="s">
        <v>4120</v>
      </c>
    </row>
    <row r="293" spans="1:19" x14ac:dyDescent="0.2">
      <c r="A293" s="33">
        <v>43586</v>
      </c>
      <c r="B293" s="34">
        <v>71</v>
      </c>
      <c r="C293" s="35" t="s">
        <v>471</v>
      </c>
      <c r="D293" s="34" t="str">
        <f>VLOOKUP(C293,'PUR-PARTY MASTER'!$B$4:$E$2000,2,FALSE)</f>
        <v>27AAECM8871A1ZF</v>
      </c>
      <c r="E293" s="34" t="s">
        <v>22</v>
      </c>
      <c r="F293" s="134">
        <v>192001491</v>
      </c>
      <c r="G293" s="135">
        <v>43601</v>
      </c>
      <c r="H293" s="34">
        <v>87089900</v>
      </c>
      <c r="I293" s="39">
        <f>VLOOKUP(H293,'PUR-HSN MASTER'!$A$4:$E$5000,5,FALSE)</f>
        <v>28</v>
      </c>
      <c r="J293" s="38">
        <v>12</v>
      </c>
      <c r="K293" s="40">
        <v>17483.52</v>
      </c>
      <c r="L293" s="39">
        <v>0</v>
      </c>
      <c r="M293" s="39">
        <v>2447.6928000000003</v>
      </c>
      <c r="N293" s="39">
        <v>2447.6928000000003</v>
      </c>
      <c r="O293" s="39">
        <v>0</v>
      </c>
      <c r="P293" s="39">
        <v>22378.895600000003</v>
      </c>
      <c r="Q293" s="34" t="s">
        <v>410</v>
      </c>
      <c r="R293" s="34" t="s">
        <v>26</v>
      </c>
      <c r="S293" s="11" t="s">
        <v>4120</v>
      </c>
    </row>
    <row r="294" spans="1:19" x14ac:dyDescent="0.2">
      <c r="A294" s="33">
        <v>43586</v>
      </c>
      <c r="B294" s="34">
        <v>72</v>
      </c>
      <c r="C294" s="35" t="s">
        <v>495</v>
      </c>
      <c r="D294" s="34" t="str">
        <f>VLOOKUP(C294,'PUR-PARTY MASTER'!$B$4:$E$2000,2,FALSE)</f>
        <v>27AAACH4211R1ZF</v>
      </c>
      <c r="E294" s="34" t="s">
        <v>22</v>
      </c>
      <c r="F294" s="134">
        <v>5510045378</v>
      </c>
      <c r="G294" s="135">
        <v>43601</v>
      </c>
      <c r="H294" s="34">
        <v>85129000</v>
      </c>
      <c r="I294" s="39">
        <f>VLOOKUP(H294,'PUR-HSN MASTER'!$A$4:$E$5000,5,FALSE)</f>
        <v>18</v>
      </c>
      <c r="J294" s="38">
        <v>6480</v>
      </c>
      <c r="K294" s="40">
        <v>71668.800000000003</v>
      </c>
      <c r="L294" s="39">
        <v>0</v>
      </c>
      <c r="M294" s="39">
        <v>6450.192</v>
      </c>
      <c r="N294" s="39">
        <v>6450.192</v>
      </c>
      <c r="O294" s="39">
        <v>0</v>
      </c>
      <c r="P294" s="39">
        <v>84569.183999999994</v>
      </c>
      <c r="Q294" s="34" t="s">
        <v>410</v>
      </c>
      <c r="R294" s="34" t="s">
        <v>26</v>
      </c>
      <c r="S294" s="11" t="s">
        <v>4120</v>
      </c>
    </row>
    <row r="295" spans="1:19" x14ac:dyDescent="0.2">
      <c r="A295" s="33">
        <v>43586</v>
      </c>
      <c r="B295" s="34">
        <v>73</v>
      </c>
      <c r="C295" s="35" t="s">
        <v>633</v>
      </c>
      <c r="D295" s="34" t="str">
        <f>VLOOKUP(C295,'PUR-PARTY MASTER'!$B$4:$E$2000,2,FALSE)</f>
        <v>27AAECD2713N1ZK</v>
      </c>
      <c r="E295" s="34" t="s">
        <v>22</v>
      </c>
      <c r="F295" s="134">
        <v>7887983123</v>
      </c>
      <c r="G295" s="135">
        <v>43602</v>
      </c>
      <c r="H295" s="34">
        <v>38140010</v>
      </c>
      <c r="I295" s="39">
        <f>VLOOKUP(H295,'PUR-HSN MASTER'!$A$4:$E$5000,5,FALSE)</f>
        <v>18</v>
      </c>
      <c r="J295" s="38">
        <v>20</v>
      </c>
      <c r="K295" s="40">
        <v>2500</v>
      </c>
      <c r="L295" s="39">
        <v>0</v>
      </c>
      <c r="M295" s="39">
        <v>225</v>
      </c>
      <c r="N295" s="39">
        <v>225</v>
      </c>
      <c r="O295" s="39">
        <v>0</v>
      </c>
      <c r="P295" s="39">
        <v>2950</v>
      </c>
      <c r="Q295" s="34" t="s">
        <v>410</v>
      </c>
      <c r="R295" s="34" t="s">
        <v>26</v>
      </c>
      <c r="S295" s="11" t="s">
        <v>4120</v>
      </c>
    </row>
    <row r="296" spans="1:19" x14ac:dyDescent="0.2">
      <c r="A296" s="33">
        <v>43586</v>
      </c>
      <c r="B296" s="34"/>
      <c r="C296" s="35" t="s">
        <v>633</v>
      </c>
      <c r="D296" s="34" t="str">
        <f>VLOOKUP(C296,'PUR-PARTY MASTER'!$B$4:$E$2000,2,FALSE)</f>
        <v>27AAECD2713N1ZK</v>
      </c>
      <c r="E296" s="34" t="s">
        <v>22</v>
      </c>
      <c r="F296" s="134">
        <v>7887983123</v>
      </c>
      <c r="G296" s="135">
        <v>43602</v>
      </c>
      <c r="H296" s="34">
        <v>32082090</v>
      </c>
      <c r="I296" s="39">
        <f>VLOOKUP(H296,'PUR-HSN MASTER'!$A$4:$E$5000,5,FALSE)</f>
        <v>18</v>
      </c>
      <c r="J296" s="38">
        <v>40</v>
      </c>
      <c r="K296" s="40">
        <v>12680</v>
      </c>
      <c r="L296" s="39">
        <v>0</v>
      </c>
      <c r="M296" s="39">
        <v>1141.2</v>
      </c>
      <c r="N296" s="39">
        <v>1141.2</v>
      </c>
      <c r="O296" s="39">
        <v>0</v>
      </c>
      <c r="P296" s="39">
        <v>14962.000000000002</v>
      </c>
      <c r="Q296" s="34" t="s">
        <v>410</v>
      </c>
      <c r="R296" s="34" t="s">
        <v>26</v>
      </c>
      <c r="S296" s="11" t="s">
        <v>4120</v>
      </c>
    </row>
    <row r="297" spans="1:19" x14ac:dyDescent="0.2">
      <c r="A297" s="33">
        <v>43586</v>
      </c>
      <c r="B297" s="34">
        <v>74</v>
      </c>
      <c r="C297" s="35" t="s">
        <v>634</v>
      </c>
      <c r="D297" s="34" t="str">
        <f>VLOOKUP(C297,'PUR-PARTY MASTER'!$B$4:$E$2000,2,FALSE)</f>
        <v>27AVIPS7433C1ZF</v>
      </c>
      <c r="E297" s="34" t="s">
        <v>22</v>
      </c>
      <c r="F297" s="136" t="s">
        <v>636</v>
      </c>
      <c r="G297" s="135">
        <v>43603</v>
      </c>
      <c r="H297" s="34">
        <v>8503</v>
      </c>
      <c r="I297" s="39">
        <f>VLOOKUP(H297,'PUR-HSN MASTER'!$A$4:$E$5000,5,FALSE)</f>
        <v>18</v>
      </c>
      <c r="J297" s="38">
        <v>2</v>
      </c>
      <c r="K297" s="40">
        <v>1040</v>
      </c>
      <c r="L297" s="39">
        <v>0</v>
      </c>
      <c r="M297" s="39">
        <v>93.600000000000009</v>
      </c>
      <c r="N297" s="39">
        <v>93.600000000000009</v>
      </c>
      <c r="O297" s="39">
        <v>0</v>
      </c>
      <c r="P297" s="39">
        <v>1226.9999999999998</v>
      </c>
      <c r="Q297" s="34" t="s">
        <v>410</v>
      </c>
      <c r="R297" s="34" t="s">
        <v>26</v>
      </c>
      <c r="S297" s="11" t="s">
        <v>4120</v>
      </c>
    </row>
    <row r="298" spans="1:19" x14ac:dyDescent="0.2">
      <c r="A298" s="33">
        <v>43586</v>
      </c>
      <c r="B298" s="34">
        <v>75</v>
      </c>
      <c r="C298" s="35" t="s">
        <v>471</v>
      </c>
      <c r="D298" s="34" t="str">
        <f>VLOOKUP(C298,'PUR-PARTY MASTER'!$B$4:$E$2000,2,FALSE)</f>
        <v>27AAECM8871A1ZF</v>
      </c>
      <c r="E298" s="34" t="s">
        <v>22</v>
      </c>
      <c r="F298" s="134">
        <v>192001583</v>
      </c>
      <c r="G298" s="135">
        <v>43603</v>
      </c>
      <c r="H298" s="34">
        <v>87089900</v>
      </c>
      <c r="I298" s="39">
        <f>VLOOKUP(H298,'PUR-HSN MASTER'!$A$4:$E$5000,5,FALSE)</f>
        <v>28</v>
      </c>
      <c r="J298" s="38">
        <v>12</v>
      </c>
      <c r="K298" s="40">
        <v>17483.52</v>
      </c>
      <c r="L298" s="39">
        <v>0</v>
      </c>
      <c r="M298" s="39">
        <v>2447.6928000000003</v>
      </c>
      <c r="N298" s="39">
        <v>2447.6928000000003</v>
      </c>
      <c r="O298" s="39">
        <v>0</v>
      </c>
      <c r="P298" s="39">
        <v>22378.895600000003</v>
      </c>
      <c r="Q298" s="34" t="s">
        <v>410</v>
      </c>
      <c r="R298" s="34" t="s">
        <v>26</v>
      </c>
      <c r="S298" s="11" t="s">
        <v>4120</v>
      </c>
    </row>
    <row r="299" spans="1:19" x14ac:dyDescent="0.2">
      <c r="A299" s="33">
        <v>43586</v>
      </c>
      <c r="B299" s="34">
        <v>76</v>
      </c>
      <c r="C299" s="35" t="s">
        <v>471</v>
      </c>
      <c r="D299" s="34" t="str">
        <f>VLOOKUP(C299,'PUR-PARTY MASTER'!$B$4:$E$2000,2,FALSE)</f>
        <v>27AAECM8871A1ZF</v>
      </c>
      <c r="E299" s="34" t="s">
        <v>22</v>
      </c>
      <c r="F299" s="134">
        <v>192001586</v>
      </c>
      <c r="G299" s="135">
        <v>43603</v>
      </c>
      <c r="H299" s="34">
        <v>87089900</v>
      </c>
      <c r="I299" s="39">
        <f>VLOOKUP(H299,'PUR-HSN MASTER'!$A$4:$E$5000,5,FALSE)</f>
        <v>28</v>
      </c>
      <c r="J299" s="38">
        <v>12</v>
      </c>
      <c r="K299" s="40">
        <v>17483.52</v>
      </c>
      <c r="L299" s="39">
        <v>0</v>
      </c>
      <c r="M299" s="39">
        <v>2447.6928000000003</v>
      </c>
      <c r="N299" s="39">
        <v>2447.6928000000003</v>
      </c>
      <c r="O299" s="39">
        <v>0</v>
      </c>
      <c r="P299" s="39">
        <v>22378.895600000003</v>
      </c>
      <c r="Q299" s="34" t="s">
        <v>410</v>
      </c>
      <c r="R299" s="34" t="s">
        <v>26</v>
      </c>
      <c r="S299" s="11" t="s">
        <v>4120</v>
      </c>
    </row>
    <row r="300" spans="1:19" x14ac:dyDescent="0.2">
      <c r="A300" s="33">
        <v>43586</v>
      </c>
      <c r="B300" s="34">
        <v>77</v>
      </c>
      <c r="C300" s="35" t="s">
        <v>495</v>
      </c>
      <c r="D300" s="34" t="str">
        <f>VLOOKUP(C300,'PUR-PARTY MASTER'!$B$4:$E$2000,2,FALSE)</f>
        <v>27AAACH4211R1ZF</v>
      </c>
      <c r="E300" s="34" t="s">
        <v>22</v>
      </c>
      <c r="F300" s="134">
        <v>5510045586</v>
      </c>
      <c r="G300" s="135">
        <v>43603</v>
      </c>
      <c r="H300" s="34">
        <v>85129000</v>
      </c>
      <c r="I300" s="39">
        <f>VLOOKUP(H300,'PUR-HSN MASTER'!$A$4:$E$5000,5,FALSE)</f>
        <v>18</v>
      </c>
      <c r="J300" s="38">
        <v>4800</v>
      </c>
      <c r="K300" s="40">
        <v>53088</v>
      </c>
      <c r="L300" s="39">
        <v>0</v>
      </c>
      <c r="M300" s="39">
        <v>4777.92</v>
      </c>
      <c r="N300" s="39">
        <v>4777.92</v>
      </c>
      <c r="O300" s="39">
        <v>0</v>
      </c>
      <c r="P300" s="39">
        <v>62643.839999999997</v>
      </c>
      <c r="Q300" s="34" t="s">
        <v>410</v>
      </c>
      <c r="R300" s="34" t="s">
        <v>26</v>
      </c>
      <c r="S300" s="11" t="s">
        <v>4120</v>
      </c>
    </row>
    <row r="301" spans="1:19" x14ac:dyDescent="0.2">
      <c r="A301" s="33">
        <v>43586</v>
      </c>
      <c r="B301" s="34">
        <v>78</v>
      </c>
      <c r="C301" s="35" t="s">
        <v>565</v>
      </c>
      <c r="D301" s="34" t="str">
        <f>VLOOKUP(C301,'PUR-PARTY MASTER'!$B$4:$E$2000,2,FALSE)</f>
        <v>27ADOPJ4418Q1ZV</v>
      </c>
      <c r="E301" s="34" t="s">
        <v>22</v>
      </c>
      <c r="F301" s="134">
        <v>1659</v>
      </c>
      <c r="G301" s="135">
        <v>43602</v>
      </c>
      <c r="H301" s="34">
        <v>3208</v>
      </c>
      <c r="I301" s="39">
        <f>VLOOKUP(H301,'PUR-HSN MASTER'!$A$4:$E$5000,5,FALSE)</f>
        <v>18</v>
      </c>
      <c r="J301" s="38">
        <v>24</v>
      </c>
      <c r="K301" s="40">
        <v>60</v>
      </c>
      <c r="L301" s="39">
        <v>0</v>
      </c>
      <c r="M301" s="39">
        <v>5.3999999999999995</v>
      </c>
      <c r="N301" s="39">
        <v>5.3999999999999995</v>
      </c>
      <c r="O301" s="39">
        <v>0</v>
      </c>
      <c r="P301" s="39">
        <v>70.800000000000011</v>
      </c>
      <c r="Q301" s="34" t="s">
        <v>410</v>
      </c>
      <c r="R301" s="34" t="s">
        <v>26</v>
      </c>
      <c r="S301" s="11" t="s">
        <v>4120</v>
      </c>
    </row>
    <row r="302" spans="1:19" x14ac:dyDescent="0.2">
      <c r="A302" s="33">
        <v>43586</v>
      </c>
      <c r="B302" s="34"/>
      <c r="C302" s="35" t="s">
        <v>565</v>
      </c>
      <c r="D302" s="34" t="str">
        <f>VLOOKUP(C302,'PUR-PARTY MASTER'!$B$4:$E$2000,2,FALSE)</f>
        <v>27ADOPJ4418Q1ZV</v>
      </c>
      <c r="E302" s="34" t="s">
        <v>22</v>
      </c>
      <c r="F302" s="134">
        <v>1659</v>
      </c>
      <c r="G302" s="135">
        <v>43602</v>
      </c>
      <c r="H302" s="34">
        <v>8203</v>
      </c>
      <c r="I302" s="39">
        <f>VLOOKUP(H302,'PUR-HSN MASTER'!$A$4:$E$5000,5,FALSE)</f>
        <v>18</v>
      </c>
      <c r="J302" s="38">
        <v>1</v>
      </c>
      <c r="K302" s="40">
        <v>204.22</v>
      </c>
      <c r="L302" s="39">
        <v>0</v>
      </c>
      <c r="M302" s="39">
        <v>18.379799999999999</v>
      </c>
      <c r="N302" s="39">
        <v>18.379799999999999</v>
      </c>
      <c r="O302" s="39">
        <v>0</v>
      </c>
      <c r="P302" s="39">
        <v>240.97959999999998</v>
      </c>
      <c r="Q302" s="34" t="s">
        <v>410</v>
      </c>
      <c r="R302" s="34" t="s">
        <v>26</v>
      </c>
      <c r="S302" s="11" t="s">
        <v>4120</v>
      </c>
    </row>
    <row r="303" spans="1:19" x14ac:dyDescent="0.2">
      <c r="A303" s="33">
        <v>43586</v>
      </c>
      <c r="B303" s="34"/>
      <c r="C303" s="35" t="s">
        <v>565</v>
      </c>
      <c r="D303" s="34" t="str">
        <f>VLOOKUP(C303,'PUR-PARTY MASTER'!$B$4:$E$2000,2,FALSE)</f>
        <v>27ADOPJ4418Q1ZV</v>
      </c>
      <c r="E303" s="34" t="s">
        <v>22</v>
      </c>
      <c r="F303" s="134">
        <v>1659</v>
      </c>
      <c r="G303" s="135">
        <v>43602</v>
      </c>
      <c r="H303" s="34">
        <v>8205</v>
      </c>
      <c r="I303" s="39">
        <f>VLOOKUP(H303,'PUR-HSN MASTER'!$A$4:$E$5000,5,FALSE)</f>
        <v>18</v>
      </c>
      <c r="J303" s="38">
        <v>1</v>
      </c>
      <c r="K303" s="40">
        <v>76</v>
      </c>
      <c r="L303" s="39">
        <v>0</v>
      </c>
      <c r="M303" s="39">
        <v>6.84</v>
      </c>
      <c r="N303" s="39">
        <v>6.84</v>
      </c>
      <c r="O303" s="39">
        <v>0</v>
      </c>
      <c r="P303" s="39">
        <v>89.68</v>
      </c>
      <c r="Q303" s="34" t="s">
        <v>410</v>
      </c>
      <c r="R303" s="34" t="s">
        <v>26</v>
      </c>
      <c r="S303" s="11" t="s">
        <v>4120</v>
      </c>
    </row>
    <row r="304" spans="1:19" x14ac:dyDescent="0.2">
      <c r="A304" s="33">
        <v>43586</v>
      </c>
      <c r="B304" s="34"/>
      <c r="C304" s="35" t="s">
        <v>565</v>
      </c>
      <c r="D304" s="34" t="str">
        <f>VLOOKUP(C304,'PUR-PARTY MASTER'!$B$4:$E$2000,2,FALSE)</f>
        <v>27ADOPJ4418Q1ZV</v>
      </c>
      <c r="E304" s="34" t="s">
        <v>22</v>
      </c>
      <c r="F304" s="134">
        <v>1659</v>
      </c>
      <c r="G304" s="135">
        <v>43602</v>
      </c>
      <c r="H304" s="34">
        <v>8536</v>
      </c>
      <c r="I304" s="39">
        <f>VLOOKUP(H304,'PUR-HSN MASTER'!$A$4:$E$5000,5,FALSE)</f>
        <v>18</v>
      </c>
      <c r="J304" s="38">
        <v>6</v>
      </c>
      <c r="K304" s="40">
        <v>567.33999999999992</v>
      </c>
      <c r="L304" s="39">
        <v>0</v>
      </c>
      <c r="M304" s="39">
        <v>51.060599999999994</v>
      </c>
      <c r="N304" s="39">
        <v>51.060599999999994</v>
      </c>
      <c r="O304" s="39">
        <v>0</v>
      </c>
      <c r="P304" s="39">
        <v>669.46119999999996</v>
      </c>
      <c r="Q304" s="34" t="s">
        <v>410</v>
      </c>
      <c r="R304" s="34" t="s">
        <v>26</v>
      </c>
      <c r="S304" s="11" t="s">
        <v>4120</v>
      </c>
    </row>
    <row r="305" spans="1:19" x14ac:dyDescent="0.2">
      <c r="A305" s="33">
        <v>43586</v>
      </c>
      <c r="B305" s="34"/>
      <c r="C305" s="35" t="s">
        <v>565</v>
      </c>
      <c r="D305" s="34" t="str">
        <f>VLOOKUP(C305,'PUR-PARTY MASTER'!$B$4:$E$2000,2,FALSE)</f>
        <v>27ADOPJ4418Q1ZV</v>
      </c>
      <c r="E305" s="34" t="s">
        <v>22</v>
      </c>
      <c r="F305" s="134">
        <v>1659</v>
      </c>
      <c r="G305" s="135">
        <v>43602</v>
      </c>
      <c r="H305" s="34">
        <v>8532</v>
      </c>
      <c r="I305" s="39">
        <f>VLOOKUP(H305,'PUR-HSN MASTER'!$A$4:$E$5000,5,FALSE)</f>
        <v>18</v>
      </c>
      <c r="J305" s="38">
        <v>3</v>
      </c>
      <c r="K305" s="40">
        <v>180</v>
      </c>
      <c r="L305" s="39">
        <v>0</v>
      </c>
      <c r="M305" s="39">
        <v>16.2</v>
      </c>
      <c r="N305" s="39">
        <v>16.2</v>
      </c>
      <c r="O305" s="39">
        <v>0</v>
      </c>
      <c r="P305" s="39">
        <v>212.39999999999998</v>
      </c>
      <c r="Q305" s="34" t="s">
        <v>410</v>
      </c>
      <c r="R305" s="34" t="s">
        <v>26</v>
      </c>
      <c r="S305" s="11" t="s">
        <v>4120</v>
      </c>
    </row>
    <row r="306" spans="1:19" x14ac:dyDescent="0.2">
      <c r="A306" s="33">
        <v>43586</v>
      </c>
      <c r="B306" s="34"/>
      <c r="C306" s="35" t="s">
        <v>565</v>
      </c>
      <c r="D306" s="34" t="str">
        <f>VLOOKUP(C306,'PUR-PARTY MASTER'!$B$4:$E$2000,2,FALSE)</f>
        <v>27ADOPJ4418Q1ZV</v>
      </c>
      <c r="E306" s="34" t="s">
        <v>22</v>
      </c>
      <c r="F306" s="134">
        <v>1659</v>
      </c>
      <c r="G306" s="135">
        <v>43602</v>
      </c>
      <c r="H306" s="34">
        <v>8538</v>
      </c>
      <c r="I306" s="39">
        <f>VLOOKUP(H306,'PUR-HSN MASTER'!$A$4:$E$5000,5,FALSE)</f>
        <v>18</v>
      </c>
      <c r="J306" s="38">
        <v>2</v>
      </c>
      <c r="K306" s="40">
        <v>180</v>
      </c>
      <c r="L306" s="39">
        <v>0</v>
      </c>
      <c r="M306" s="39">
        <v>16.2</v>
      </c>
      <c r="N306" s="39">
        <v>16.2</v>
      </c>
      <c r="O306" s="39">
        <v>0</v>
      </c>
      <c r="P306" s="39">
        <v>212.39999999999998</v>
      </c>
      <c r="Q306" s="34" t="s">
        <v>410</v>
      </c>
      <c r="R306" s="34" t="s">
        <v>26</v>
      </c>
      <c r="S306" s="11" t="s">
        <v>4120</v>
      </c>
    </row>
    <row r="307" spans="1:19" x14ac:dyDescent="0.2">
      <c r="A307" s="33">
        <v>43586</v>
      </c>
      <c r="B307" s="34"/>
      <c r="C307" s="35" t="s">
        <v>565</v>
      </c>
      <c r="D307" s="34" t="str">
        <f>VLOOKUP(C307,'PUR-PARTY MASTER'!$B$4:$E$2000,2,FALSE)</f>
        <v>27ADOPJ4418Q1ZV</v>
      </c>
      <c r="E307" s="34" t="s">
        <v>22</v>
      </c>
      <c r="F307" s="134">
        <v>1659</v>
      </c>
      <c r="G307" s="135">
        <v>43602</v>
      </c>
      <c r="H307" s="34">
        <v>8546</v>
      </c>
      <c r="I307" s="39">
        <f>VLOOKUP(H307,'PUR-HSN MASTER'!$A$4:$E$5000,5,FALSE)</f>
        <v>18</v>
      </c>
      <c r="J307" s="38">
        <v>6</v>
      </c>
      <c r="K307" s="40">
        <v>60</v>
      </c>
      <c r="L307" s="39">
        <v>0</v>
      </c>
      <c r="M307" s="39">
        <v>5.3999999999999995</v>
      </c>
      <c r="N307" s="39">
        <v>5.3999999999999995</v>
      </c>
      <c r="O307" s="39">
        <v>0</v>
      </c>
      <c r="P307" s="39">
        <v>70.800000000000011</v>
      </c>
      <c r="Q307" s="34" t="s">
        <v>410</v>
      </c>
      <c r="R307" s="34" t="s">
        <v>26</v>
      </c>
      <c r="S307" s="11" t="s">
        <v>4120</v>
      </c>
    </row>
    <row r="308" spans="1:19" x14ac:dyDescent="0.2">
      <c r="A308" s="33">
        <v>43586</v>
      </c>
      <c r="B308" s="34"/>
      <c r="C308" s="35" t="s">
        <v>565</v>
      </c>
      <c r="D308" s="34" t="str">
        <f>VLOOKUP(C308,'PUR-PARTY MASTER'!$B$4:$E$2000,2,FALSE)</f>
        <v>27ADOPJ4418Q1ZV</v>
      </c>
      <c r="E308" s="34" t="s">
        <v>22</v>
      </c>
      <c r="F308" s="134">
        <v>1659</v>
      </c>
      <c r="G308" s="135">
        <v>43602</v>
      </c>
      <c r="H308" s="34">
        <v>8487</v>
      </c>
      <c r="I308" s="39">
        <f>VLOOKUP(H308,'PUR-HSN MASTER'!$A$4:$E$5000,5,FALSE)</f>
        <v>18</v>
      </c>
      <c r="J308" s="38">
        <v>18</v>
      </c>
      <c r="K308" s="40">
        <v>397.8</v>
      </c>
      <c r="L308" s="39">
        <v>0</v>
      </c>
      <c r="M308" s="39">
        <v>35.802</v>
      </c>
      <c r="N308" s="39">
        <v>35.802</v>
      </c>
      <c r="O308" s="39">
        <v>0</v>
      </c>
      <c r="P308" s="39">
        <v>469.40400000000005</v>
      </c>
      <c r="Q308" s="34" t="s">
        <v>410</v>
      </c>
      <c r="R308" s="34" t="s">
        <v>26</v>
      </c>
      <c r="S308" s="11" t="s">
        <v>4120</v>
      </c>
    </row>
    <row r="309" spans="1:19" x14ac:dyDescent="0.2">
      <c r="A309" s="33">
        <v>43586</v>
      </c>
      <c r="B309" s="34"/>
      <c r="C309" s="35" t="s">
        <v>565</v>
      </c>
      <c r="D309" s="34" t="str">
        <f>VLOOKUP(C309,'PUR-PARTY MASTER'!$B$4:$E$2000,2,FALSE)</f>
        <v>27ADOPJ4418Q1ZV</v>
      </c>
      <c r="E309" s="34" t="s">
        <v>22</v>
      </c>
      <c r="F309" s="134">
        <v>1659</v>
      </c>
      <c r="G309" s="135">
        <v>43602</v>
      </c>
      <c r="H309" s="34">
        <v>4417</v>
      </c>
      <c r="I309" s="39">
        <f>VLOOKUP(H309,'PUR-HSN MASTER'!$A$4:$E$5000,5,FALSE)</f>
        <v>12</v>
      </c>
      <c r="J309" s="38">
        <v>346</v>
      </c>
      <c r="K309" s="40">
        <v>2738</v>
      </c>
      <c r="L309" s="39">
        <v>0</v>
      </c>
      <c r="M309" s="39">
        <v>164.28</v>
      </c>
      <c r="N309" s="39">
        <v>164.28</v>
      </c>
      <c r="O309" s="39">
        <v>0</v>
      </c>
      <c r="P309" s="39">
        <v>3066.5600000000004</v>
      </c>
      <c r="Q309" s="34" t="s">
        <v>410</v>
      </c>
      <c r="R309" s="34" t="s">
        <v>26</v>
      </c>
      <c r="S309" s="11" t="s">
        <v>4120</v>
      </c>
    </row>
    <row r="310" spans="1:19" x14ac:dyDescent="0.2">
      <c r="A310" s="33">
        <v>43586</v>
      </c>
      <c r="B310" s="34"/>
      <c r="C310" s="35" t="s">
        <v>565</v>
      </c>
      <c r="D310" s="34" t="str">
        <f>VLOOKUP(C310,'PUR-PARTY MASTER'!$B$4:$E$2000,2,FALSE)</f>
        <v>27ADOPJ4418Q1ZV</v>
      </c>
      <c r="E310" s="34" t="s">
        <v>22</v>
      </c>
      <c r="F310" s="134">
        <v>1659</v>
      </c>
      <c r="G310" s="135">
        <v>43602</v>
      </c>
      <c r="H310" s="34" t="s">
        <v>567</v>
      </c>
      <c r="I310" s="39">
        <f>VLOOKUP(H310,'PUR-HSN MASTER'!$A$4:$E$5000,5,FALSE)</f>
        <v>18</v>
      </c>
      <c r="J310" s="38">
        <v>1</v>
      </c>
      <c r="K310" s="40">
        <v>60</v>
      </c>
      <c r="L310" s="39">
        <v>0</v>
      </c>
      <c r="M310" s="39">
        <v>5.3999999999999995</v>
      </c>
      <c r="N310" s="39">
        <v>5.3999999999999995</v>
      </c>
      <c r="O310" s="39">
        <v>0</v>
      </c>
      <c r="P310" s="39">
        <v>70.800000000000011</v>
      </c>
      <c r="Q310" s="34" t="s">
        <v>410</v>
      </c>
      <c r="R310" s="34" t="s">
        <v>26</v>
      </c>
      <c r="S310" s="11" t="s">
        <v>4120</v>
      </c>
    </row>
    <row r="311" spans="1:19" x14ac:dyDescent="0.2">
      <c r="A311" s="33">
        <v>43586</v>
      </c>
      <c r="B311" s="34"/>
      <c r="C311" s="35" t="s">
        <v>565</v>
      </c>
      <c r="D311" s="34" t="str">
        <f>VLOOKUP(C311,'PUR-PARTY MASTER'!$B$4:$E$2000,2,FALSE)</f>
        <v>27ADOPJ4418Q1ZV</v>
      </c>
      <c r="E311" s="34" t="s">
        <v>22</v>
      </c>
      <c r="F311" s="134">
        <v>1659</v>
      </c>
      <c r="G311" s="135">
        <v>43602</v>
      </c>
      <c r="H311" s="34">
        <v>7317</v>
      </c>
      <c r="I311" s="39">
        <f>VLOOKUP(H311,'PUR-HSN MASTER'!$A$4:$E$5000,5,FALSE)</f>
        <v>18</v>
      </c>
      <c r="J311" s="38">
        <v>2</v>
      </c>
      <c r="K311" s="40">
        <v>196.2</v>
      </c>
      <c r="L311" s="39">
        <v>0</v>
      </c>
      <c r="M311" s="39">
        <v>17.658000000000001</v>
      </c>
      <c r="N311" s="39">
        <v>17.658000000000001</v>
      </c>
      <c r="O311" s="39">
        <v>0</v>
      </c>
      <c r="P311" s="39">
        <v>231.73600000000002</v>
      </c>
      <c r="Q311" s="34" t="s">
        <v>410</v>
      </c>
      <c r="R311" s="34" t="s">
        <v>26</v>
      </c>
      <c r="S311" s="11" t="s">
        <v>4120</v>
      </c>
    </row>
    <row r="312" spans="1:19" x14ac:dyDescent="0.2">
      <c r="A312" s="33">
        <v>43586</v>
      </c>
      <c r="B312" s="34"/>
      <c r="C312" s="35" t="s">
        <v>565</v>
      </c>
      <c r="D312" s="34" t="str">
        <f>VLOOKUP(C312,'PUR-PARTY MASTER'!$B$4:$E$2000,2,FALSE)</f>
        <v>27ADOPJ4418Q1ZV</v>
      </c>
      <c r="E312" s="34" t="s">
        <v>22</v>
      </c>
      <c r="F312" s="134">
        <v>1659</v>
      </c>
      <c r="G312" s="135">
        <v>43602</v>
      </c>
      <c r="H312" s="34">
        <v>7314</v>
      </c>
      <c r="I312" s="39">
        <f>VLOOKUP(H312,'PUR-HSN MASTER'!$A$4:$E$5000,5,FALSE)</f>
        <v>18</v>
      </c>
      <c r="J312" s="38">
        <v>42.1</v>
      </c>
      <c r="K312" s="40">
        <v>3073.3</v>
      </c>
      <c r="L312" s="39">
        <v>0</v>
      </c>
      <c r="M312" s="39">
        <v>276.59699999999998</v>
      </c>
      <c r="N312" s="39">
        <v>276.59699999999998</v>
      </c>
      <c r="O312" s="39">
        <v>0</v>
      </c>
      <c r="P312" s="39">
        <v>3626.4939999999997</v>
      </c>
      <c r="Q312" s="34" t="s">
        <v>410</v>
      </c>
      <c r="R312" s="34" t="s">
        <v>26</v>
      </c>
      <c r="S312" s="11" t="s">
        <v>4120</v>
      </c>
    </row>
    <row r="313" spans="1:19" x14ac:dyDescent="0.2">
      <c r="A313" s="33">
        <v>43586</v>
      </c>
      <c r="B313" s="34"/>
      <c r="C313" s="35" t="s">
        <v>565</v>
      </c>
      <c r="D313" s="34" t="str">
        <f>VLOOKUP(C313,'PUR-PARTY MASTER'!$B$4:$E$2000,2,FALSE)</f>
        <v>27ADOPJ4418Q1ZV</v>
      </c>
      <c r="E313" s="34" t="s">
        <v>22</v>
      </c>
      <c r="F313" s="134">
        <v>1659</v>
      </c>
      <c r="G313" s="135">
        <v>43602</v>
      </c>
      <c r="H313" s="34">
        <v>8544</v>
      </c>
      <c r="I313" s="39">
        <f>VLOOKUP(H313,'PUR-HSN MASTER'!$A$4:$E$5000,5,FALSE)</f>
        <v>18</v>
      </c>
      <c r="J313" s="38">
        <v>50</v>
      </c>
      <c r="K313" s="40">
        <v>3500</v>
      </c>
      <c r="L313" s="39">
        <v>0</v>
      </c>
      <c r="M313" s="39">
        <v>315</v>
      </c>
      <c r="N313" s="39">
        <v>315</v>
      </c>
      <c r="O313" s="39">
        <v>0</v>
      </c>
      <c r="P313" s="39">
        <v>4130</v>
      </c>
      <c r="Q313" s="34" t="s">
        <v>410</v>
      </c>
      <c r="R313" s="34" t="s">
        <v>26</v>
      </c>
      <c r="S313" s="11" t="s">
        <v>4120</v>
      </c>
    </row>
    <row r="314" spans="1:19" x14ac:dyDescent="0.2">
      <c r="A314" s="33">
        <v>43586</v>
      </c>
      <c r="B314" s="34"/>
      <c r="C314" s="35" t="s">
        <v>565</v>
      </c>
      <c r="D314" s="34" t="str">
        <f>VLOOKUP(C314,'PUR-PARTY MASTER'!$B$4:$E$2000,2,FALSE)</f>
        <v>27ADOPJ4418Q1ZV</v>
      </c>
      <c r="E314" s="34" t="s">
        <v>22</v>
      </c>
      <c r="F314" s="134">
        <v>1659</v>
      </c>
      <c r="G314" s="135">
        <v>43602</v>
      </c>
      <c r="H314" s="34">
        <v>7318</v>
      </c>
      <c r="I314" s="39">
        <f>VLOOKUP(H314,'PUR-HSN MASTER'!$A$4:$E$5000,5,FALSE)</f>
        <v>18</v>
      </c>
      <c r="J314" s="38">
        <v>200</v>
      </c>
      <c r="K314" s="40">
        <v>296</v>
      </c>
      <c r="L314" s="39">
        <v>0</v>
      </c>
      <c r="M314" s="39">
        <v>26.64</v>
      </c>
      <c r="N314" s="39">
        <v>26.64</v>
      </c>
      <c r="O314" s="39">
        <v>0</v>
      </c>
      <c r="P314" s="39">
        <v>349.47999999999996</v>
      </c>
      <c r="Q314" s="34" t="s">
        <v>410</v>
      </c>
      <c r="R314" s="34" t="s">
        <v>26</v>
      </c>
      <c r="S314" s="11" t="s">
        <v>4120</v>
      </c>
    </row>
    <row r="315" spans="1:19" x14ac:dyDescent="0.2">
      <c r="A315" s="33">
        <v>43586</v>
      </c>
      <c r="B315" s="34"/>
      <c r="C315" s="35" t="s">
        <v>565</v>
      </c>
      <c r="D315" s="34" t="str">
        <f>VLOOKUP(C315,'PUR-PARTY MASTER'!$B$4:$E$2000,2,FALSE)</f>
        <v>27ADOPJ4418Q1ZV</v>
      </c>
      <c r="E315" s="34" t="s">
        <v>22</v>
      </c>
      <c r="F315" s="134">
        <v>1659</v>
      </c>
      <c r="G315" s="135">
        <v>43602</v>
      </c>
      <c r="H315" s="34" t="s">
        <v>637</v>
      </c>
      <c r="I315" s="39">
        <f>VLOOKUP(H315,'PUR-HSN MASTER'!$A$4:$E$5000,5,FALSE)</f>
        <v>18</v>
      </c>
      <c r="J315" s="38">
        <v>1</v>
      </c>
      <c r="K315" s="40">
        <v>13.56</v>
      </c>
      <c r="L315" s="39">
        <v>0</v>
      </c>
      <c r="M315" s="39">
        <v>1.2203999999999999</v>
      </c>
      <c r="N315" s="39">
        <v>1.2203999999999999</v>
      </c>
      <c r="O315" s="39">
        <v>0</v>
      </c>
      <c r="P315" s="39">
        <v>16.000800000000002</v>
      </c>
      <c r="Q315" s="34" t="s">
        <v>410</v>
      </c>
      <c r="R315" s="34" t="s">
        <v>26</v>
      </c>
      <c r="S315" s="11" t="s">
        <v>4120</v>
      </c>
    </row>
    <row r="316" spans="1:19" x14ac:dyDescent="0.2">
      <c r="A316" s="33">
        <v>43586</v>
      </c>
      <c r="B316" s="34"/>
      <c r="C316" s="35" t="s">
        <v>565</v>
      </c>
      <c r="D316" s="34" t="str">
        <f>VLOOKUP(C316,'PUR-PARTY MASTER'!$B$4:$E$2000,2,FALSE)</f>
        <v>27ADOPJ4418Q1ZV</v>
      </c>
      <c r="E316" s="34" t="s">
        <v>22</v>
      </c>
      <c r="F316" s="134">
        <v>1659</v>
      </c>
      <c r="G316" s="135">
        <v>43602</v>
      </c>
      <c r="H316" s="34">
        <v>8481</v>
      </c>
      <c r="I316" s="39">
        <f>VLOOKUP(H316,'PUR-HSN MASTER'!$A$4:$E$5000,5,FALSE)</f>
        <v>18</v>
      </c>
      <c r="J316" s="38">
        <v>1</v>
      </c>
      <c r="K316" s="40">
        <v>300</v>
      </c>
      <c r="L316" s="39">
        <v>0</v>
      </c>
      <c r="M316" s="39">
        <v>27</v>
      </c>
      <c r="N316" s="39">
        <v>27</v>
      </c>
      <c r="O316" s="39">
        <v>0</v>
      </c>
      <c r="P316" s="39">
        <v>354</v>
      </c>
      <c r="Q316" s="34" t="s">
        <v>410</v>
      </c>
      <c r="R316" s="34" t="s">
        <v>26</v>
      </c>
      <c r="S316" s="11" t="s">
        <v>4120</v>
      </c>
    </row>
    <row r="317" spans="1:19" x14ac:dyDescent="0.2">
      <c r="A317" s="33">
        <v>43586</v>
      </c>
      <c r="B317" s="34">
        <v>79</v>
      </c>
      <c r="C317" s="35" t="s">
        <v>554</v>
      </c>
      <c r="D317" s="34" t="str">
        <f>VLOOKUP(C317,'PUR-PARTY MASTER'!$B$4:$E$2000,2,FALSE)</f>
        <v>27AACFA1881H1ZL</v>
      </c>
      <c r="E317" s="34" t="s">
        <v>22</v>
      </c>
      <c r="F317" s="134">
        <v>1683</v>
      </c>
      <c r="G317" s="135">
        <v>43605</v>
      </c>
      <c r="H317" s="34">
        <v>87141900</v>
      </c>
      <c r="I317" s="39">
        <f>VLOOKUP(H317,'PUR-HSN MASTER'!$A$4:$E$5000,5,FALSE)</f>
        <v>28</v>
      </c>
      <c r="J317" s="38">
        <v>600</v>
      </c>
      <c r="K317" s="40">
        <v>1668</v>
      </c>
      <c r="L317" s="39">
        <v>0</v>
      </c>
      <c r="M317" s="39">
        <v>233.51999999999998</v>
      </c>
      <c r="N317" s="39">
        <v>233.51999999999998</v>
      </c>
      <c r="O317" s="39">
        <v>0</v>
      </c>
      <c r="P317" s="39">
        <v>2135.04</v>
      </c>
      <c r="Q317" s="34" t="s">
        <v>410</v>
      </c>
      <c r="R317" s="34" t="s">
        <v>26</v>
      </c>
      <c r="S317" s="11" t="s">
        <v>4120</v>
      </c>
    </row>
    <row r="318" spans="1:19" x14ac:dyDescent="0.2">
      <c r="A318" s="33">
        <v>43586</v>
      </c>
      <c r="B318" s="34">
        <v>80</v>
      </c>
      <c r="C318" s="35" t="s">
        <v>538</v>
      </c>
      <c r="D318" s="34" t="str">
        <f>VLOOKUP(C318,'PUR-PARTY MASTER'!$B$4:$E$2000,2,FALSE)</f>
        <v>27AABFI6338L1Z3</v>
      </c>
      <c r="E318" s="34" t="s">
        <v>22</v>
      </c>
      <c r="F318" s="136" t="s">
        <v>638</v>
      </c>
      <c r="G318" s="135">
        <v>43605</v>
      </c>
      <c r="H318" s="34">
        <v>74122012</v>
      </c>
      <c r="I318" s="39">
        <f>VLOOKUP(H318,'PUR-HSN MASTER'!$A$4:$E$5000,5,FALSE)</f>
        <v>18</v>
      </c>
      <c r="J318" s="38">
        <v>2</v>
      </c>
      <c r="K318" s="40">
        <v>205</v>
      </c>
      <c r="L318" s="39">
        <v>0</v>
      </c>
      <c r="M318" s="39">
        <v>18.45</v>
      </c>
      <c r="N318" s="39">
        <v>18.45</v>
      </c>
      <c r="O318" s="39">
        <v>0</v>
      </c>
      <c r="P318" s="39">
        <v>241.99999999999997</v>
      </c>
      <c r="Q318" s="34" t="s">
        <v>410</v>
      </c>
      <c r="R318" s="34" t="s">
        <v>26</v>
      </c>
      <c r="S318" s="11" t="s">
        <v>4120</v>
      </c>
    </row>
    <row r="319" spans="1:19" x14ac:dyDescent="0.2">
      <c r="A319" s="33">
        <v>43586</v>
      </c>
      <c r="B319" s="34">
        <v>81</v>
      </c>
      <c r="C319" s="35" t="s">
        <v>633</v>
      </c>
      <c r="D319" s="34" t="str">
        <f>VLOOKUP(C319,'PUR-PARTY MASTER'!$B$4:$E$2000,2,FALSE)</f>
        <v>27AAECD2713N1ZK</v>
      </c>
      <c r="E319" s="34" t="s">
        <v>22</v>
      </c>
      <c r="F319" s="134">
        <v>7887983227</v>
      </c>
      <c r="G319" s="135">
        <v>43605</v>
      </c>
      <c r="H319" s="34">
        <v>38140010</v>
      </c>
      <c r="I319" s="39">
        <f>VLOOKUP(H319,'PUR-HSN MASTER'!$A$4:$E$5000,5,FALSE)</f>
        <v>18</v>
      </c>
      <c r="J319" s="38">
        <v>20</v>
      </c>
      <c r="K319" s="40">
        <v>2500</v>
      </c>
      <c r="L319" s="39">
        <v>0</v>
      </c>
      <c r="M319" s="39">
        <v>225</v>
      </c>
      <c r="N319" s="39">
        <v>225</v>
      </c>
      <c r="O319" s="39">
        <v>0</v>
      </c>
      <c r="P319" s="39">
        <v>2950</v>
      </c>
      <c r="Q319" s="34" t="s">
        <v>410</v>
      </c>
      <c r="R319" s="34" t="s">
        <v>26</v>
      </c>
      <c r="S319" s="11" t="s">
        <v>4120</v>
      </c>
    </row>
    <row r="320" spans="1:19" x14ac:dyDescent="0.2">
      <c r="A320" s="33">
        <v>43586</v>
      </c>
      <c r="B320" s="34"/>
      <c r="C320" s="35" t="s">
        <v>633</v>
      </c>
      <c r="D320" s="34" t="str">
        <f>VLOOKUP(C320,'PUR-PARTY MASTER'!$B$4:$E$2000,2,FALSE)</f>
        <v>27AAECD2713N1ZK</v>
      </c>
      <c r="E320" s="34" t="s">
        <v>22</v>
      </c>
      <c r="F320" s="134">
        <v>7887983227</v>
      </c>
      <c r="G320" s="135">
        <v>43605</v>
      </c>
      <c r="H320" s="34">
        <v>32082090</v>
      </c>
      <c r="I320" s="39">
        <f>VLOOKUP(H320,'PUR-HSN MASTER'!$A$4:$E$5000,5,FALSE)</f>
        <v>18</v>
      </c>
      <c r="J320" s="38">
        <v>40</v>
      </c>
      <c r="K320" s="40">
        <v>14960</v>
      </c>
      <c r="L320" s="39">
        <v>0</v>
      </c>
      <c r="M320" s="39">
        <v>1346.3999999999999</v>
      </c>
      <c r="N320" s="39">
        <v>1346.3999999999999</v>
      </c>
      <c r="O320" s="39">
        <v>0</v>
      </c>
      <c r="P320" s="39">
        <v>17653</v>
      </c>
      <c r="Q320" s="34" t="s">
        <v>410</v>
      </c>
      <c r="R320" s="34" t="s">
        <v>26</v>
      </c>
      <c r="S320" s="11" t="s">
        <v>4120</v>
      </c>
    </row>
    <row r="321" spans="1:19" x14ac:dyDescent="0.2">
      <c r="A321" s="33">
        <v>43586</v>
      </c>
      <c r="B321" s="34">
        <v>82</v>
      </c>
      <c r="C321" s="35" t="s">
        <v>591</v>
      </c>
      <c r="D321" s="34" t="str">
        <f>VLOOKUP(C321,'PUR-PARTY MASTER'!$B$4:$E$2000,2,FALSE)</f>
        <v>27AAACI6297A1ZN</v>
      </c>
      <c r="E321" s="34" t="s">
        <v>22</v>
      </c>
      <c r="F321" s="136" t="s">
        <v>639</v>
      </c>
      <c r="G321" s="135">
        <v>43605</v>
      </c>
      <c r="H321" s="34">
        <v>3907</v>
      </c>
      <c r="I321" s="39">
        <f>VLOOKUP(H321,'PUR-HSN MASTER'!$A$4:$E$5000,5,FALSE)</f>
        <v>18</v>
      </c>
      <c r="J321" s="38">
        <v>11</v>
      </c>
      <c r="K321" s="40">
        <v>8250</v>
      </c>
      <c r="L321" s="39">
        <v>0</v>
      </c>
      <c r="M321" s="39">
        <v>742.5</v>
      </c>
      <c r="N321" s="39">
        <v>742.5</v>
      </c>
      <c r="O321" s="39">
        <v>0</v>
      </c>
      <c r="P321" s="39">
        <v>9735</v>
      </c>
      <c r="Q321" s="34" t="s">
        <v>410</v>
      </c>
      <c r="R321" s="34" t="s">
        <v>26</v>
      </c>
      <c r="S321" s="11" t="s">
        <v>4120</v>
      </c>
    </row>
    <row r="322" spans="1:19" x14ac:dyDescent="0.2">
      <c r="A322" s="33">
        <v>43586</v>
      </c>
      <c r="B322" s="34">
        <v>83</v>
      </c>
      <c r="C322" s="35" t="s">
        <v>640</v>
      </c>
      <c r="D322" s="34" t="str">
        <f>VLOOKUP(C322,'PUR-PARTY MASTER'!$B$4:$E$2000,2,FALSE)</f>
        <v>27ACMFS6707J1ZL</v>
      </c>
      <c r="E322" s="34" t="s">
        <v>22</v>
      </c>
      <c r="F322" s="136" t="s">
        <v>642</v>
      </c>
      <c r="G322" s="135">
        <v>43596</v>
      </c>
      <c r="H322" s="34">
        <v>38245010</v>
      </c>
      <c r="I322" s="39">
        <f>VLOOKUP(H322,'PUR-HSN MASTER'!$A$4:$E$5000,5,FALSE)</f>
        <v>18</v>
      </c>
      <c r="J322" s="38">
        <v>11</v>
      </c>
      <c r="K322" s="40">
        <v>38220.379999999997</v>
      </c>
      <c r="L322" s="39">
        <v>0</v>
      </c>
      <c r="M322" s="39">
        <v>3439.8342000000002</v>
      </c>
      <c r="N322" s="39">
        <v>3439.8342000000002</v>
      </c>
      <c r="O322" s="39">
        <v>0</v>
      </c>
      <c r="P322" s="39">
        <v>45099.998399999989</v>
      </c>
      <c r="Q322" s="34" t="s">
        <v>412</v>
      </c>
      <c r="R322" s="34" t="s">
        <v>26</v>
      </c>
      <c r="S322" s="11" t="s">
        <v>4120</v>
      </c>
    </row>
    <row r="323" spans="1:19" x14ac:dyDescent="0.2">
      <c r="A323" s="33">
        <v>43586</v>
      </c>
      <c r="B323" s="34">
        <v>84</v>
      </c>
      <c r="C323" s="35" t="s">
        <v>529</v>
      </c>
      <c r="D323" s="34" t="str">
        <f>VLOOKUP(C323,'PUR-PARTY MASTER'!$B$4:$E$2000,2,FALSE)</f>
        <v>27AAACB4599E1ZL</v>
      </c>
      <c r="E323" s="34" t="s">
        <v>22</v>
      </c>
      <c r="F323" s="136" t="s">
        <v>643</v>
      </c>
      <c r="G323" s="135">
        <v>43605</v>
      </c>
      <c r="H323" s="34">
        <v>32089090</v>
      </c>
      <c r="I323" s="39">
        <f>VLOOKUP(H323,'PUR-HSN MASTER'!$A$4:$E$5000,5,FALSE)</f>
        <v>18</v>
      </c>
      <c r="J323" s="38">
        <v>100</v>
      </c>
      <c r="K323" s="40">
        <v>24168</v>
      </c>
      <c r="L323" s="39">
        <v>0</v>
      </c>
      <c r="M323" s="39">
        <v>2175.12</v>
      </c>
      <c r="N323" s="39">
        <v>2175.12</v>
      </c>
      <c r="O323" s="39">
        <v>0</v>
      </c>
      <c r="P323" s="39">
        <v>28517.999999999996</v>
      </c>
      <c r="Q323" s="34" t="s">
        <v>410</v>
      </c>
      <c r="R323" s="34" t="s">
        <v>26</v>
      </c>
      <c r="S323" s="11" t="s">
        <v>4120</v>
      </c>
    </row>
    <row r="324" spans="1:19" x14ac:dyDescent="0.2">
      <c r="A324" s="33">
        <v>43586</v>
      </c>
      <c r="B324" s="34">
        <v>85</v>
      </c>
      <c r="C324" s="35" t="s">
        <v>529</v>
      </c>
      <c r="D324" s="34" t="str">
        <f>VLOOKUP(C324,'PUR-PARTY MASTER'!$B$4:$E$2000,2,FALSE)</f>
        <v>27AAACB4599E1ZL</v>
      </c>
      <c r="E324" s="34" t="s">
        <v>22</v>
      </c>
      <c r="F324" s="136" t="s">
        <v>644</v>
      </c>
      <c r="G324" s="135">
        <v>43605</v>
      </c>
      <c r="H324" s="34">
        <v>38140010</v>
      </c>
      <c r="I324" s="39">
        <f>VLOOKUP(H324,'PUR-HSN MASTER'!$A$4:$E$5000,5,FALSE)</f>
        <v>18</v>
      </c>
      <c r="J324" s="38">
        <v>40</v>
      </c>
      <c r="K324" s="40">
        <v>4040</v>
      </c>
      <c r="L324" s="39">
        <v>0</v>
      </c>
      <c r="M324" s="39">
        <v>363.59999999999997</v>
      </c>
      <c r="N324" s="39">
        <v>363.59999999999997</v>
      </c>
      <c r="O324" s="39">
        <v>0</v>
      </c>
      <c r="P324" s="39">
        <v>4767.0000000000009</v>
      </c>
      <c r="Q324" s="34" t="s">
        <v>410</v>
      </c>
      <c r="R324" s="34" t="s">
        <v>26</v>
      </c>
      <c r="S324" s="11" t="s">
        <v>4120</v>
      </c>
    </row>
    <row r="325" spans="1:19" x14ac:dyDescent="0.2">
      <c r="A325" s="33">
        <v>43586</v>
      </c>
      <c r="B325" s="34">
        <v>87</v>
      </c>
      <c r="C325" s="35" t="s">
        <v>554</v>
      </c>
      <c r="D325" s="34" t="str">
        <f>VLOOKUP(C325,'PUR-PARTY MASTER'!$B$4:$E$2000,2,FALSE)</f>
        <v>27AACFA1881H1ZL</v>
      </c>
      <c r="E325" s="34" t="s">
        <v>22</v>
      </c>
      <c r="F325" s="134">
        <v>1703</v>
      </c>
      <c r="G325" s="135">
        <v>43605</v>
      </c>
      <c r="H325" s="34">
        <v>87141900</v>
      </c>
      <c r="I325" s="39">
        <f>VLOOKUP(H325,'PUR-HSN MASTER'!$A$4:$E$5000,5,FALSE)</f>
        <v>28</v>
      </c>
      <c r="J325" s="38">
        <v>600</v>
      </c>
      <c r="K325" s="40">
        <v>1668</v>
      </c>
      <c r="L325" s="39">
        <v>0</v>
      </c>
      <c r="M325" s="39">
        <v>233.51999999999998</v>
      </c>
      <c r="N325" s="39">
        <v>233.51999999999998</v>
      </c>
      <c r="O325" s="39">
        <v>0</v>
      </c>
      <c r="P325" s="39">
        <v>2135.04</v>
      </c>
      <c r="Q325" s="34" t="s">
        <v>410</v>
      </c>
      <c r="R325" s="34" t="s">
        <v>26</v>
      </c>
      <c r="S325" s="11" t="s">
        <v>4120</v>
      </c>
    </row>
    <row r="326" spans="1:19" x14ac:dyDescent="0.2">
      <c r="A326" s="33">
        <v>43586</v>
      </c>
      <c r="B326" s="34">
        <v>88</v>
      </c>
      <c r="C326" s="35" t="s">
        <v>473</v>
      </c>
      <c r="D326" s="34" t="str">
        <f>VLOOKUP(C326,'PUR-PARTY MASTER'!$B$4:$E$2000,2,FALSE)</f>
        <v>27AAACT1848E1ZH</v>
      </c>
      <c r="E326" s="34" t="s">
        <v>22</v>
      </c>
      <c r="F326" s="136" t="s">
        <v>645</v>
      </c>
      <c r="G326" s="135">
        <v>43605</v>
      </c>
      <c r="H326" s="34">
        <v>87089900</v>
      </c>
      <c r="I326" s="39">
        <f>VLOOKUP(H326,'PUR-HSN MASTER'!$A$4:$E$5000,5,FALSE)</f>
        <v>28</v>
      </c>
      <c r="J326" s="38">
        <v>315</v>
      </c>
      <c r="K326" s="40">
        <v>7366.25</v>
      </c>
      <c r="L326" s="39">
        <v>0</v>
      </c>
      <c r="M326" s="39">
        <v>1031.2749999999999</v>
      </c>
      <c r="N326" s="39">
        <v>1031.2749999999999</v>
      </c>
      <c r="O326" s="39">
        <v>0</v>
      </c>
      <c r="P326" s="39">
        <v>9428.81</v>
      </c>
      <c r="Q326" s="34" t="s">
        <v>410</v>
      </c>
      <c r="R326" s="34" t="s">
        <v>26</v>
      </c>
      <c r="S326" s="11" t="s">
        <v>4120</v>
      </c>
    </row>
    <row r="327" spans="1:19" x14ac:dyDescent="0.2">
      <c r="A327" s="33">
        <v>43586</v>
      </c>
      <c r="B327" s="34">
        <v>89</v>
      </c>
      <c r="C327" s="35" t="s">
        <v>601</v>
      </c>
      <c r="D327" s="34" t="str">
        <f>VLOOKUP(C327,'PUR-PARTY MASTER'!$B$4:$E$2000,2,FALSE)</f>
        <v>27AAZFM6461A1ZY</v>
      </c>
      <c r="E327" s="34" t="s">
        <v>22</v>
      </c>
      <c r="F327" s="134">
        <v>1282</v>
      </c>
      <c r="G327" s="135">
        <v>43605</v>
      </c>
      <c r="H327" s="34">
        <v>87082900</v>
      </c>
      <c r="I327" s="39">
        <f>VLOOKUP(H327,'PUR-HSN MASTER'!$A$4:$E$5000,5,FALSE)</f>
        <v>28</v>
      </c>
      <c r="J327" s="38">
        <v>420</v>
      </c>
      <c r="K327" s="40">
        <v>17879.400000000001</v>
      </c>
      <c r="L327" s="39">
        <v>0</v>
      </c>
      <c r="M327" s="39">
        <v>2503.116</v>
      </c>
      <c r="N327" s="39">
        <v>2503.116</v>
      </c>
      <c r="O327" s="39">
        <v>0</v>
      </c>
      <c r="P327" s="39">
        <v>22885.642000000003</v>
      </c>
      <c r="Q327" s="34" t="s">
        <v>410</v>
      </c>
      <c r="R327" s="34" t="s">
        <v>26</v>
      </c>
      <c r="S327" s="11" t="s">
        <v>4120</v>
      </c>
    </row>
    <row r="328" spans="1:19" x14ac:dyDescent="0.2">
      <c r="A328" s="33">
        <v>43586</v>
      </c>
      <c r="B328" s="34">
        <v>90</v>
      </c>
      <c r="C328" s="35" t="s">
        <v>601</v>
      </c>
      <c r="D328" s="34" t="str">
        <f>VLOOKUP(C328,'PUR-PARTY MASTER'!$B$4:$E$2000,2,FALSE)</f>
        <v>27AAZFM6461A1ZY</v>
      </c>
      <c r="E328" s="34" t="s">
        <v>22</v>
      </c>
      <c r="F328" s="134">
        <v>1283</v>
      </c>
      <c r="G328" s="135">
        <v>43605</v>
      </c>
      <c r="H328" s="34">
        <v>87082900</v>
      </c>
      <c r="I328" s="39">
        <f>VLOOKUP(H328,'PUR-HSN MASTER'!$A$4:$E$5000,5,FALSE)</f>
        <v>28</v>
      </c>
      <c r="J328" s="38">
        <v>360</v>
      </c>
      <c r="K328" s="40">
        <v>8035.2</v>
      </c>
      <c r="L328" s="39">
        <v>0</v>
      </c>
      <c r="M328" s="39">
        <v>1124.9280000000001</v>
      </c>
      <c r="N328" s="39">
        <v>1124.9280000000001</v>
      </c>
      <c r="O328" s="39">
        <v>0</v>
      </c>
      <c r="P328" s="39">
        <v>10285.056</v>
      </c>
      <c r="Q328" s="34" t="s">
        <v>410</v>
      </c>
      <c r="R328" s="34" t="s">
        <v>26</v>
      </c>
      <c r="S328" s="11" t="s">
        <v>4120</v>
      </c>
    </row>
    <row r="329" spans="1:19" x14ac:dyDescent="0.2">
      <c r="A329" s="33">
        <v>43586</v>
      </c>
      <c r="B329" s="34">
        <v>91</v>
      </c>
      <c r="C329" s="35" t="s">
        <v>495</v>
      </c>
      <c r="D329" s="34" t="str">
        <f>VLOOKUP(C329,'PUR-PARTY MASTER'!$B$4:$E$2000,2,FALSE)</f>
        <v>27AAACH4211R1ZF</v>
      </c>
      <c r="E329" s="34" t="s">
        <v>22</v>
      </c>
      <c r="F329" s="134">
        <v>5510045698</v>
      </c>
      <c r="G329" s="135">
        <v>43605</v>
      </c>
      <c r="H329" s="34">
        <v>85129000</v>
      </c>
      <c r="I329" s="39">
        <f>VLOOKUP(H329,'PUR-HSN MASTER'!$A$4:$E$5000,5,FALSE)</f>
        <v>18</v>
      </c>
      <c r="J329" s="38">
        <v>2400</v>
      </c>
      <c r="K329" s="40">
        <v>26544</v>
      </c>
      <c r="L329" s="39">
        <v>0</v>
      </c>
      <c r="M329" s="39">
        <v>2388.96</v>
      </c>
      <c r="N329" s="39">
        <v>2388.96</v>
      </c>
      <c r="O329" s="39">
        <v>0</v>
      </c>
      <c r="P329" s="39">
        <v>31321.919999999998</v>
      </c>
      <c r="Q329" s="34" t="s">
        <v>410</v>
      </c>
      <c r="R329" s="34" t="s">
        <v>26</v>
      </c>
      <c r="S329" s="11" t="s">
        <v>4120</v>
      </c>
    </row>
    <row r="330" spans="1:19" x14ac:dyDescent="0.2">
      <c r="A330" s="33">
        <v>43586</v>
      </c>
      <c r="B330" s="34">
        <v>92</v>
      </c>
      <c r="C330" s="35" t="s">
        <v>471</v>
      </c>
      <c r="D330" s="34" t="str">
        <f>VLOOKUP(C330,'PUR-PARTY MASTER'!$B$4:$E$2000,2,FALSE)</f>
        <v>27AAECM8871A1ZF</v>
      </c>
      <c r="E330" s="34" t="s">
        <v>22</v>
      </c>
      <c r="F330" s="134">
        <v>192001630</v>
      </c>
      <c r="G330" s="135">
        <v>43605</v>
      </c>
      <c r="H330" s="34">
        <v>87089900</v>
      </c>
      <c r="I330" s="39">
        <f>VLOOKUP(H330,'PUR-HSN MASTER'!$A$4:$E$5000,5,FALSE)</f>
        <v>28</v>
      </c>
      <c r="J330" s="38">
        <v>12</v>
      </c>
      <c r="K330" s="40">
        <v>17483.52</v>
      </c>
      <c r="L330" s="39">
        <v>0</v>
      </c>
      <c r="M330" s="39">
        <v>2447.6928000000003</v>
      </c>
      <c r="N330" s="39">
        <v>2447.6928000000003</v>
      </c>
      <c r="O330" s="39">
        <v>0</v>
      </c>
      <c r="P330" s="39">
        <v>22378.895600000003</v>
      </c>
      <c r="Q330" s="34" t="s">
        <v>410</v>
      </c>
      <c r="R330" s="34" t="s">
        <v>26</v>
      </c>
      <c r="S330" s="11" t="s">
        <v>4120</v>
      </c>
    </row>
    <row r="331" spans="1:19" x14ac:dyDescent="0.2">
      <c r="A331" s="33">
        <v>43586</v>
      </c>
      <c r="B331" s="34">
        <v>93</v>
      </c>
      <c r="C331" s="35" t="s">
        <v>471</v>
      </c>
      <c r="D331" s="34" t="str">
        <f>VLOOKUP(C331,'PUR-PARTY MASTER'!$B$4:$E$2000,2,FALSE)</f>
        <v>27AAECM8871A1ZF</v>
      </c>
      <c r="E331" s="34" t="s">
        <v>22</v>
      </c>
      <c r="F331" s="134">
        <v>192001631</v>
      </c>
      <c r="G331" s="135">
        <v>43605</v>
      </c>
      <c r="H331" s="34">
        <v>87089900</v>
      </c>
      <c r="I331" s="39">
        <f>VLOOKUP(H331,'PUR-HSN MASTER'!$A$4:$E$5000,5,FALSE)</f>
        <v>28</v>
      </c>
      <c r="J331" s="38">
        <v>12</v>
      </c>
      <c r="K331" s="40">
        <v>17483.52</v>
      </c>
      <c r="L331" s="39">
        <v>0</v>
      </c>
      <c r="M331" s="39">
        <v>2447.6928000000003</v>
      </c>
      <c r="N331" s="39">
        <v>2447.6928000000003</v>
      </c>
      <c r="O331" s="39">
        <v>0</v>
      </c>
      <c r="P331" s="39">
        <v>22378.895600000003</v>
      </c>
      <c r="Q331" s="34" t="s">
        <v>410</v>
      </c>
      <c r="R331" s="34" t="s">
        <v>26</v>
      </c>
      <c r="S331" s="11" t="s">
        <v>4120</v>
      </c>
    </row>
    <row r="332" spans="1:19" x14ac:dyDescent="0.2">
      <c r="A332" s="33">
        <v>43586</v>
      </c>
      <c r="B332" s="34">
        <v>94</v>
      </c>
      <c r="C332" s="35" t="s">
        <v>471</v>
      </c>
      <c r="D332" s="34" t="str">
        <f>VLOOKUP(C332,'PUR-PARTY MASTER'!$B$4:$E$2000,2,FALSE)</f>
        <v>27AAECM8871A1ZF</v>
      </c>
      <c r="E332" s="34" t="s">
        <v>22</v>
      </c>
      <c r="F332" s="134">
        <v>192001682</v>
      </c>
      <c r="G332" s="135">
        <v>43606</v>
      </c>
      <c r="H332" s="34">
        <v>87089900</v>
      </c>
      <c r="I332" s="39">
        <f>VLOOKUP(H332,'PUR-HSN MASTER'!$A$4:$E$5000,5,FALSE)</f>
        <v>28</v>
      </c>
      <c r="J332" s="38">
        <v>12</v>
      </c>
      <c r="K332" s="40">
        <v>17483.52</v>
      </c>
      <c r="L332" s="39">
        <v>0</v>
      </c>
      <c r="M332" s="39">
        <v>2447.6928000000003</v>
      </c>
      <c r="N332" s="39">
        <v>2447.6928000000003</v>
      </c>
      <c r="O332" s="39">
        <v>0</v>
      </c>
      <c r="P332" s="39">
        <v>22378.895600000003</v>
      </c>
      <c r="Q332" s="34" t="s">
        <v>410</v>
      </c>
      <c r="R332" s="34" t="s">
        <v>26</v>
      </c>
      <c r="S332" s="11" t="s">
        <v>4120</v>
      </c>
    </row>
    <row r="333" spans="1:19" x14ac:dyDescent="0.2">
      <c r="A333" s="33">
        <v>43586</v>
      </c>
      <c r="B333" s="34">
        <v>95</v>
      </c>
      <c r="C333" s="35" t="s">
        <v>471</v>
      </c>
      <c r="D333" s="34" t="str">
        <f>VLOOKUP(C333,'PUR-PARTY MASTER'!$B$4:$E$2000,2,FALSE)</f>
        <v>27AAECM8871A1ZF</v>
      </c>
      <c r="E333" s="34" t="s">
        <v>22</v>
      </c>
      <c r="F333" s="134">
        <v>192001689</v>
      </c>
      <c r="G333" s="135">
        <v>43606</v>
      </c>
      <c r="H333" s="34">
        <v>87089900</v>
      </c>
      <c r="I333" s="39">
        <f>VLOOKUP(H333,'PUR-HSN MASTER'!$A$4:$E$5000,5,FALSE)</f>
        <v>28</v>
      </c>
      <c r="J333" s="38">
        <v>12</v>
      </c>
      <c r="K333" s="40">
        <v>17483.52</v>
      </c>
      <c r="L333" s="39">
        <v>0</v>
      </c>
      <c r="M333" s="39">
        <v>2447.6928000000003</v>
      </c>
      <c r="N333" s="39">
        <v>2447.6928000000003</v>
      </c>
      <c r="O333" s="39">
        <v>0</v>
      </c>
      <c r="P333" s="39">
        <v>22378.895600000003</v>
      </c>
      <c r="Q333" s="34" t="s">
        <v>410</v>
      </c>
      <c r="R333" s="34" t="s">
        <v>26</v>
      </c>
      <c r="S333" s="11" t="s">
        <v>4120</v>
      </c>
    </row>
    <row r="334" spans="1:19" x14ac:dyDescent="0.2">
      <c r="A334" s="33">
        <v>43586</v>
      </c>
      <c r="B334" s="34">
        <v>96</v>
      </c>
      <c r="C334" s="35" t="s">
        <v>471</v>
      </c>
      <c r="D334" s="34" t="str">
        <f>VLOOKUP(C334,'PUR-PARTY MASTER'!$B$4:$E$2000,2,FALSE)</f>
        <v>27AAECM8871A1ZF</v>
      </c>
      <c r="E334" s="34" t="s">
        <v>22</v>
      </c>
      <c r="F334" s="134">
        <v>192001690</v>
      </c>
      <c r="G334" s="135">
        <v>43606</v>
      </c>
      <c r="H334" s="34">
        <v>87089900</v>
      </c>
      <c r="I334" s="39">
        <f>VLOOKUP(H334,'PUR-HSN MASTER'!$A$4:$E$5000,5,FALSE)</f>
        <v>28</v>
      </c>
      <c r="J334" s="38">
        <v>12</v>
      </c>
      <c r="K334" s="40">
        <v>17483.52</v>
      </c>
      <c r="L334" s="39">
        <v>0</v>
      </c>
      <c r="M334" s="39">
        <v>2447.6928000000003</v>
      </c>
      <c r="N334" s="39">
        <v>2447.6928000000003</v>
      </c>
      <c r="O334" s="39">
        <v>0</v>
      </c>
      <c r="P334" s="39">
        <v>22378.895600000003</v>
      </c>
      <c r="Q334" s="34" t="s">
        <v>410</v>
      </c>
      <c r="R334" s="34" t="s">
        <v>26</v>
      </c>
      <c r="S334" s="11" t="s">
        <v>4120</v>
      </c>
    </row>
    <row r="335" spans="1:19" x14ac:dyDescent="0.2">
      <c r="A335" s="33">
        <v>43586</v>
      </c>
      <c r="B335" s="34">
        <v>97</v>
      </c>
      <c r="C335" s="35" t="s">
        <v>471</v>
      </c>
      <c r="D335" s="34" t="str">
        <f>VLOOKUP(C335,'PUR-PARTY MASTER'!$B$4:$E$2000,2,FALSE)</f>
        <v>27AAECM8871A1ZF</v>
      </c>
      <c r="E335" s="34" t="s">
        <v>22</v>
      </c>
      <c r="F335" s="134">
        <v>192001691</v>
      </c>
      <c r="G335" s="135">
        <v>43606</v>
      </c>
      <c r="H335" s="34">
        <v>87089900</v>
      </c>
      <c r="I335" s="39">
        <f>VLOOKUP(H335,'PUR-HSN MASTER'!$A$4:$E$5000,5,FALSE)</f>
        <v>28</v>
      </c>
      <c r="J335" s="38">
        <v>12</v>
      </c>
      <c r="K335" s="40">
        <v>17483.52</v>
      </c>
      <c r="L335" s="39">
        <v>0</v>
      </c>
      <c r="M335" s="39">
        <v>2447.6928000000003</v>
      </c>
      <c r="N335" s="39">
        <v>2447.6928000000003</v>
      </c>
      <c r="O335" s="39">
        <v>0</v>
      </c>
      <c r="P335" s="39">
        <v>22378.895600000003</v>
      </c>
      <c r="Q335" s="34" t="s">
        <v>410</v>
      </c>
      <c r="R335" s="34" t="s">
        <v>26</v>
      </c>
      <c r="S335" s="11" t="s">
        <v>4120</v>
      </c>
    </row>
    <row r="336" spans="1:19" x14ac:dyDescent="0.2">
      <c r="A336" s="33">
        <v>43586</v>
      </c>
      <c r="B336" s="34">
        <v>98</v>
      </c>
      <c r="C336" s="35" t="s">
        <v>601</v>
      </c>
      <c r="D336" s="34" t="str">
        <f>VLOOKUP(C336,'PUR-PARTY MASTER'!$B$4:$E$2000,2,FALSE)</f>
        <v>27AAZFM6461A1ZY</v>
      </c>
      <c r="E336" s="34" t="s">
        <v>22</v>
      </c>
      <c r="F336" s="134">
        <v>1310</v>
      </c>
      <c r="G336" s="135">
        <v>43606</v>
      </c>
      <c r="H336" s="34">
        <v>87082900</v>
      </c>
      <c r="I336" s="39">
        <f>VLOOKUP(H336,'PUR-HSN MASTER'!$A$4:$E$5000,5,FALSE)</f>
        <v>28</v>
      </c>
      <c r="J336" s="38">
        <v>300</v>
      </c>
      <c r="K336" s="40">
        <v>6696</v>
      </c>
      <c r="L336" s="39">
        <v>0</v>
      </c>
      <c r="M336" s="39">
        <v>937.43999999999994</v>
      </c>
      <c r="N336" s="39">
        <v>937.43999999999994</v>
      </c>
      <c r="O336" s="39">
        <v>0</v>
      </c>
      <c r="P336" s="39">
        <v>8570.8799999999992</v>
      </c>
      <c r="Q336" s="34" t="s">
        <v>410</v>
      </c>
      <c r="R336" s="34" t="s">
        <v>26</v>
      </c>
      <c r="S336" s="11" t="s">
        <v>4120</v>
      </c>
    </row>
    <row r="337" spans="1:19" x14ac:dyDescent="0.2">
      <c r="A337" s="33">
        <v>43586</v>
      </c>
      <c r="B337" s="34">
        <v>99</v>
      </c>
      <c r="C337" s="35" t="s">
        <v>601</v>
      </c>
      <c r="D337" s="34" t="str">
        <f>VLOOKUP(C337,'PUR-PARTY MASTER'!$B$4:$E$2000,2,FALSE)</f>
        <v>27AAZFM6461A1ZY</v>
      </c>
      <c r="E337" s="34" t="s">
        <v>22</v>
      </c>
      <c r="F337" s="134">
        <v>1309</v>
      </c>
      <c r="G337" s="135">
        <v>43606</v>
      </c>
      <c r="H337" s="34">
        <v>87082900</v>
      </c>
      <c r="I337" s="39">
        <f>VLOOKUP(H337,'PUR-HSN MASTER'!$A$4:$E$5000,5,FALSE)</f>
        <v>28</v>
      </c>
      <c r="J337" s="38">
        <v>780</v>
      </c>
      <c r="K337" s="40">
        <v>33204.6</v>
      </c>
      <c r="L337" s="39">
        <v>0</v>
      </c>
      <c r="M337" s="39">
        <v>4648.6440000000002</v>
      </c>
      <c r="N337" s="39">
        <v>4648.6440000000002</v>
      </c>
      <c r="O337" s="39">
        <v>0</v>
      </c>
      <c r="P337" s="39">
        <v>42501.877999999997</v>
      </c>
      <c r="Q337" s="34" t="s">
        <v>410</v>
      </c>
      <c r="R337" s="34" t="s">
        <v>26</v>
      </c>
      <c r="S337" s="11" t="s">
        <v>4120</v>
      </c>
    </row>
    <row r="338" spans="1:19" x14ac:dyDescent="0.2">
      <c r="A338" s="33">
        <v>43586</v>
      </c>
      <c r="B338" s="34">
        <v>100</v>
      </c>
      <c r="C338" s="35" t="s">
        <v>493</v>
      </c>
      <c r="D338" s="34" t="str">
        <f>VLOOKUP(C338,'PUR-PARTY MASTER'!$B$4:$E$2000,2,FALSE)</f>
        <v>27AMMPB3648M1ZO</v>
      </c>
      <c r="E338" s="34" t="s">
        <v>22</v>
      </c>
      <c r="F338" s="134">
        <v>849</v>
      </c>
      <c r="G338" s="135">
        <v>43606</v>
      </c>
      <c r="H338" s="34">
        <v>85129000</v>
      </c>
      <c r="I338" s="39">
        <f>VLOOKUP(H338,'PUR-HSN MASTER'!$A$4:$E$5000,5,FALSE)</f>
        <v>18</v>
      </c>
      <c r="J338" s="38">
        <v>1879</v>
      </c>
      <c r="K338" s="40">
        <v>43198.21</v>
      </c>
      <c r="L338" s="39">
        <v>0</v>
      </c>
      <c r="M338" s="39">
        <v>3887.8389000000002</v>
      </c>
      <c r="N338" s="39">
        <v>3887.8389000000002</v>
      </c>
      <c r="O338" s="39">
        <v>0</v>
      </c>
      <c r="P338" s="39">
        <v>50973.997800000005</v>
      </c>
      <c r="Q338" s="34" t="s">
        <v>410</v>
      </c>
      <c r="R338" s="34" t="s">
        <v>26</v>
      </c>
      <c r="S338" s="11" t="s">
        <v>4120</v>
      </c>
    </row>
    <row r="339" spans="1:19" x14ac:dyDescent="0.2">
      <c r="A339" s="33">
        <v>43586</v>
      </c>
      <c r="B339" s="34">
        <v>101</v>
      </c>
      <c r="C339" s="35" t="s">
        <v>493</v>
      </c>
      <c r="D339" s="34" t="str">
        <f>VLOOKUP(C339,'PUR-PARTY MASTER'!$B$4:$E$2000,2,FALSE)</f>
        <v>27AMMPB3648M1ZO</v>
      </c>
      <c r="E339" s="34" t="s">
        <v>22</v>
      </c>
      <c r="F339" s="134">
        <v>850</v>
      </c>
      <c r="G339" s="135">
        <v>43606</v>
      </c>
      <c r="H339" s="34">
        <v>85129000</v>
      </c>
      <c r="I339" s="39">
        <f>VLOOKUP(H339,'PUR-HSN MASTER'!$A$4:$E$5000,5,FALSE)</f>
        <v>18</v>
      </c>
      <c r="J339" s="38">
        <v>315</v>
      </c>
      <c r="K339" s="40">
        <v>10287.9</v>
      </c>
      <c r="L339" s="39">
        <v>0</v>
      </c>
      <c r="M339" s="39">
        <v>925.91099999999994</v>
      </c>
      <c r="N339" s="39">
        <v>925.91099999999994</v>
      </c>
      <c r="O339" s="39">
        <v>0</v>
      </c>
      <c r="P339" s="39">
        <v>12140.002</v>
      </c>
      <c r="Q339" s="34" t="s">
        <v>410</v>
      </c>
      <c r="R339" s="34" t="s">
        <v>26</v>
      </c>
      <c r="S339" s="11" t="s">
        <v>4120</v>
      </c>
    </row>
    <row r="340" spans="1:19" x14ac:dyDescent="0.2">
      <c r="A340" s="33">
        <v>43586</v>
      </c>
      <c r="B340" s="34">
        <v>102</v>
      </c>
      <c r="C340" s="35" t="s">
        <v>506</v>
      </c>
      <c r="D340" s="34" t="str">
        <f>VLOOKUP(C340,'PUR-PARTY MASTER'!$B$4:$E$2000,2,FALSE)</f>
        <v>27AAACG1376N1ZC</v>
      </c>
      <c r="E340" s="34" t="s">
        <v>22</v>
      </c>
      <c r="F340" s="136" t="s">
        <v>646</v>
      </c>
      <c r="G340" s="135">
        <v>43606</v>
      </c>
      <c r="H340" s="34">
        <v>32082020</v>
      </c>
      <c r="I340" s="39">
        <f>VLOOKUP(H340,'PUR-HSN MASTER'!$A$4:$E$5000,5,FALSE)</f>
        <v>18</v>
      </c>
      <c r="J340" s="38">
        <v>40</v>
      </c>
      <c r="K340" s="40">
        <v>14400</v>
      </c>
      <c r="L340" s="39">
        <v>0</v>
      </c>
      <c r="M340" s="39">
        <v>1296</v>
      </c>
      <c r="N340" s="39">
        <v>1296</v>
      </c>
      <c r="O340" s="39">
        <v>0</v>
      </c>
      <c r="P340" s="39">
        <v>16992</v>
      </c>
      <c r="Q340" s="34" t="s">
        <v>410</v>
      </c>
      <c r="R340" s="34" t="s">
        <v>26</v>
      </c>
      <c r="S340" s="11" t="s">
        <v>4120</v>
      </c>
    </row>
    <row r="341" spans="1:19" x14ac:dyDescent="0.2">
      <c r="A341" s="33">
        <v>43586</v>
      </c>
      <c r="B341" s="34">
        <v>103</v>
      </c>
      <c r="C341" s="35" t="s">
        <v>506</v>
      </c>
      <c r="D341" s="34" t="str">
        <f>VLOOKUP(C341,'PUR-PARTY MASTER'!$B$4:$E$2000,2,FALSE)</f>
        <v>27AAACG1376N1ZC</v>
      </c>
      <c r="E341" s="34" t="s">
        <v>22</v>
      </c>
      <c r="F341" s="136" t="s">
        <v>647</v>
      </c>
      <c r="G341" s="135">
        <v>43606</v>
      </c>
      <c r="H341" s="34">
        <v>32082090</v>
      </c>
      <c r="I341" s="39">
        <f>VLOOKUP(H341,'PUR-HSN MASTER'!$A$4:$E$5000,5,FALSE)</f>
        <v>18</v>
      </c>
      <c r="J341" s="38">
        <v>20</v>
      </c>
      <c r="K341" s="40">
        <v>6600</v>
      </c>
      <c r="L341" s="39">
        <v>0</v>
      </c>
      <c r="M341" s="39">
        <v>594</v>
      </c>
      <c r="N341" s="39">
        <v>594</v>
      </c>
      <c r="O341" s="39">
        <v>0</v>
      </c>
      <c r="P341" s="39">
        <v>7788</v>
      </c>
      <c r="Q341" s="34" t="s">
        <v>410</v>
      </c>
      <c r="R341" s="34" t="s">
        <v>26</v>
      </c>
      <c r="S341" s="11" t="s">
        <v>4120</v>
      </c>
    </row>
    <row r="342" spans="1:19" x14ac:dyDescent="0.2">
      <c r="A342" s="33">
        <v>43586</v>
      </c>
      <c r="B342" s="34">
        <v>104</v>
      </c>
      <c r="C342" s="35" t="s">
        <v>506</v>
      </c>
      <c r="D342" s="34" t="str">
        <f>VLOOKUP(C342,'PUR-PARTY MASTER'!$B$4:$E$2000,2,FALSE)</f>
        <v>27AAACG1376N1ZC</v>
      </c>
      <c r="E342" s="34" t="s">
        <v>22</v>
      </c>
      <c r="F342" s="136" t="s">
        <v>648</v>
      </c>
      <c r="G342" s="135">
        <v>43606</v>
      </c>
      <c r="H342" s="34">
        <v>38140010</v>
      </c>
      <c r="I342" s="39">
        <f>VLOOKUP(H342,'PUR-HSN MASTER'!$A$4:$E$5000,5,FALSE)</f>
        <v>18</v>
      </c>
      <c r="J342" s="38">
        <v>60</v>
      </c>
      <c r="K342" s="40">
        <v>5544</v>
      </c>
      <c r="L342" s="39">
        <v>0</v>
      </c>
      <c r="M342" s="39">
        <v>498.96</v>
      </c>
      <c r="N342" s="39">
        <v>498.96</v>
      </c>
      <c r="O342" s="39">
        <v>0</v>
      </c>
      <c r="P342" s="39">
        <v>6542</v>
      </c>
      <c r="Q342" s="34" t="s">
        <v>410</v>
      </c>
      <c r="R342" s="34" t="s">
        <v>26</v>
      </c>
      <c r="S342" s="11" t="s">
        <v>4120</v>
      </c>
    </row>
    <row r="343" spans="1:19" x14ac:dyDescent="0.2">
      <c r="A343" s="33">
        <v>43586</v>
      </c>
      <c r="B343" s="34">
        <v>105</v>
      </c>
      <c r="C343" s="35" t="s">
        <v>601</v>
      </c>
      <c r="D343" s="34" t="str">
        <f>VLOOKUP(C343,'PUR-PARTY MASTER'!$B$4:$E$2000,2,FALSE)</f>
        <v>27AAZFM6461A1ZY</v>
      </c>
      <c r="E343" s="34" t="s">
        <v>22</v>
      </c>
      <c r="F343" s="134">
        <v>1367</v>
      </c>
      <c r="G343" s="135">
        <v>43607</v>
      </c>
      <c r="H343" s="34">
        <v>87082900</v>
      </c>
      <c r="I343" s="39">
        <f>VLOOKUP(H343,'PUR-HSN MASTER'!$A$4:$E$5000,5,FALSE)</f>
        <v>28</v>
      </c>
      <c r="J343" s="38">
        <v>600</v>
      </c>
      <c r="K343" s="40">
        <v>13392</v>
      </c>
      <c r="L343" s="39">
        <v>0</v>
      </c>
      <c r="M343" s="39">
        <v>1874.8799999999999</v>
      </c>
      <c r="N343" s="39">
        <v>1874.8799999999999</v>
      </c>
      <c r="O343" s="39">
        <v>0</v>
      </c>
      <c r="P343" s="39">
        <v>17141.759999999998</v>
      </c>
      <c r="Q343" s="34" t="s">
        <v>410</v>
      </c>
      <c r="R343" s="34" t="s">
        <v>26</v>
      </c>
      <c r="S343" s="11" t="s">
        <v>4120</v>
      </c>
    </row>
    <row r="344" spans="1:19" x14ac:dyDescent="0.2">
      <c r="A344" s="33">
        <v>43586</v>
      </c>
      <c r="B344" s="34">
        <v>106</v>
      </c>
      <c r="C344" s="35" t="s">
        <v>499</v>
      </c>
      <c r="D344" s="34" t="str">
        <f>VLOOKUP(C344,'PUR-PARTY MASTER'!$B$4:$E$2000,2,FALSE)</f>
        <v>27AAHFP1154B1ZN</v>
      </c>
      <c r="E344" s="34" t="s">
        <v>22</v>
      </c>
      <c r="F344" s="136" t="s">
        <v>649</v>
      </c>
      <c r="G344" s="135">
        <v>43608</v>
      </c>
      <c r="H344" s="34">
        <v>62160010</v>
      </c>
      <c r="I344" s="39">
        <f>VLOOKUP(H344,'PUR-HSN MASTER'!$A$4:$E$5000,5,FALSE)</f>
        <v>5</v>
      </c>
      <c r="J344" s="38">
        <v>200</v>
      </c>
      <c r="K344" s="40">
        <v>2400</v>
      </c>
      <c r="L344" s="39">
        <v>0</v>
      </c>
      <c r="M344" s="39">
        <v>60</v>
      </c>
      <c r="N344" s="39">
        <v>60</v>
      </c>
      <c r="O344" s="39">
        <v>0</v>
      </c>
      <c r="P344" s="39">
        <v>2520</v>
      </c>
      <c r="Q344" s="34" t="s">
        <v>410</v>
      </c>
      <c r="R344" s="34" t="s">
        <v>26</v>
      </c>
      <c r="S344" s="11" t="s">
        <v>4120</v>
      </c>
    </row>
    <row r="345" spans="1:19" x14ac:dyDescent="0.2">
      <c r="A345" s="33">
        <v>43586</v>
      </c>
      <c r="B345" s="34"/>
      <c r="C345" s="35" t="s">
        <v>499</v>
      </c>
      <c r="D345" s="34" t="str">
        <f>VLOOKUP(C345,'PUR-PARTY MASTER'!$B$4:$E$2000,2,FALSE)</f>
        <v>27AAHFP1154B1ZN</v>
      </c>
      <c r="E345" s="34" t="s">
        <v>22</v>
      </c>
      <c r="F345" s="136" t="s">
        <v>649</v>
      </c>
      <c r="G345" s="135">
        <v>43608</v>
      </c>
      <c r="H345" s="34" t="s">
        <v>481</v>
      </c>
      <c r="I345" s="39">
        <f>VLOOKUP(H345,'PUR-HSN MASTER'!$A$4:$E$5000,5,FALSE)</f>
        <v>18</v>
      </c>
      <c r="J345" s="38">
        <v>6</v>
      </c>
      <c r="K345" s="40">
        <v>120</v>
      </c>
      <c r="L345" s="39">
        <v>0</v>
      </c>
      <c r="M345" s="39">
        <v>10.799999999999999</v>
      </c>
      <c r="N345" s="39">
        <v>10.799999999999999</v>
      </c>
      <c r="O345" s="39">
        <v>0</v>
      </c>
      <c r="P345" s="39">
        <v>141.60000000000002</v>
      </c>
      <c r="Q345" s="34" t="s">
        <v>410</v>
      </c>
      <c r="R345" s="34" t="s">
        <v>26</v>
      </c>
      <c r="S345" s="11" t="s">
        <v>4120</v>
      </c>
    </row>
    <row r="346" spans="1:19" x14ac:dyDescent="0.2">
      <c r="A346" s="33">
        <v>43586</v>
      </c>
      <c r="B346" s="34"/>
      <c r="C346" s="35" t="s">
        <v>499</v>
      </c>
      <c r="D346" s="34" t="str">
        <f>VLOOKUP(C346,'PUR-PARTY MASTER'!$B$4:$E$2000,2,FALSE)</f>
        <v>27AAHFP1154B1ZN</v>
      </c>
      <c r="E346" s="34" t="s">
        <v>22</v>
      </c>
      <c r="F346" s="136" t="s">
        <v>649</v>
      </c>
      <c r="G346" s="135">
        <v>43608</v>
      </c>
      <c r="H346" s="34">
        <v>60060000</v>
      </c>
      <c r="I346" s="39">
        <f>VLOOKUP(H346,'PUR-HSN MASTER'!$A$4:$E$5000,5,FALSE)</f>
        <v>5</v>
      </c>
      <c r="J346" s="38">
        <v>30</v>
      </c>
      <c r="K346" s="40">
        <v>990</v>
      </c>
      <c r="L346" s="39">
        <v>0</v>
      </c>
      <c r="M346" s="39">
        <v>24.75</v>
      </c>
      <c r="N346" s="39">
        <v>24.75</v>
      </c>
      <c r="O346" s="39">
        <v>0</v>
      </c>
      <c r="P346" s="39">
        <v>1039.8</v>
      </c>
      <c r="Q346" s="34" t="s">
        <v>410</v>
      </c>
      <c r="R346" s="34" t="s">
        <v>26</v>
      </c>
      <c r="S346" s="11" t="s">
        <v>4120</v>
      </c>
    </row>
    <row r="347" spans="1:19" x14ac:dyDescent="0.2">
      <c r="A347" s="33">
        <v>43586</v>
      </c>
      <c r="B347" s="34"/>
      <c r="C347" s="35" t="s">
        <v>499</v>
      </c>
      <c r="D347" s="34" t="str">
        <f>VLOOKUP(C347,'PUR-PARTY MASTER'!$B$4:$E$2000,2,FALSE)</f>
        <v>27AAHFP1154B1ZN</v>
      </c>
      <c r="E347" s="34" t="s">
        <v>22</v>
      </c>
      <c r="F347" s="136" t="s">
        <v>649</v>
      </c>
      <c r="G347" s="135">
        <v>43608</v>
      </c>
      <c r="H347" s="34">
        <v>84701000</v>
      </c>
      <c r="I347" s="39">
        <f>VLOOKUP(H347,'PUR-HSN MASTER'!$A$4:$E$5000,5,FALSE)</f>
        <v>18</v>
      </c>
      <c r="J347" s="38">
        <v>1</v>
      </c>
      <c r="K347" s="40">
        <v>320</v>
      </c>
      <c r="L347" s="39">
        <v>0</v>
      </c>
      <c r="M347" s="39">
        <v>28.8</v>
      </c>
      <c r="N347" s="39">
        <v>28.8</v>
      </c>
      <c r="O347" s="39">
        <v>0</v>
      </c>
      <c r="P347" s="39">
        <v>377.6</v>
      </c>
      <c r="Q347" s="34" t="s">
        <v>410</v>
      </c>
      <c r="R347" s="34" t="s">
        <v>26</v>
      </c>
      <c r="S347" s="11" t="s">
        <v>4120</v>
      </c>
    </row>
    <row r="348" spans="1:19" x14ac:dyDescent="0.2">
      <c r="A348" s="33">
        <v>43586</v>
      </c>
      <c r="B348" s="34">
        <v>107</v>
      </c>
      <c r="C348" s="35" t="s">
        <v>556</v>
      </c>
      <c r="D348" s="34" t="str">
        <f>VLOOKUP(C348,'PUR-PARTY MASTER'!$B$4:$E$2000,2,FALSE)</f>
        <v>27AAQCS7977M1Z3</v>
      </c>
      <c r="E348" s="34" t="s">
        <v>22</v>
      </c>
      <c r="F348" s="136" t="s">
        <v>650</v>
      </c>
      <c r="G348" s="135">
        <v>43605</v>
      </c>
      <c r="H348" s="34">
        <v>29023000</v>
      </c>
      <c r="I348" s="39">
        <f>VLOOKUP(H348,'PUR-HSN MASTER'!$A$4:$E$5000,5,FALSE)</f>
        <v>18</v>
      </c>
      <c r="J348" s="38">
        <v>35</v>
      </c>
      <c r="K348" s="40">
        <v>2450</v>
      </c>
      <c r="L348" s="39">
        <v>0</v>
      </c>
      <c r="M348" s="39">
        <v>220.5</v>
      </c>
      <c r="N348" s="39">
        <v>220.5</v>
      </c>
      <c r="O348" s="39">
        <v>0</v>
      </c>
      <c r="P348" s="39">
        <v>2891</v>
      </c>
      <c r="Q348" s="34" t="s">
        <v>410</v>
      </c>
      <c r="R348" s="34" t="s">
        <v>26</v>
      </c>
      <c r="S348" s="11" t="s">
        <v>4120</v>
      </c>
    </row>
    <row r="349" spans="1:19" x14ac:dyDescent="0.2">
      <c r="A349" s="33">
        <v>43586</v>
      </c>
      <c r="B349" s="34">
        <v>108</v>
      </c>
      <c r="C349" s="35" t="s">
        <v>554</v>
      </c>
      <c r="D349" s="34" t="str">
        <f>VLOOKUP(C349,'PUR-PARTY MASTER'!$B$4:$E$2000,2,FALSE)</f>
        <v>27AACFA1881H1ZL</v>
      </c>
      <c r="E349" s="34" t="s">
        <v>22</v>
      </c>
      <c r="F349" s="134">
        <v>1771</v>
      </c>
      <c r="G349" s="135">
        <v>43607</v>
      </c>
      <c r="H349" s="34">
        <v>87141900</v>
      </c>
      <c r="I349" s="39">
        <f>VLOOKUP(H349,'PUR-HSN MASTER'!$A$4:$E$5000,5,FALSE)</f>
        <v>28</v>
      </c>
      <c r="J349" s="38">
        <v>700</v>
      </c>
      <c r="K349" s="40">
        <v>1946</v>
      </c>
      <c r="L349" s="39">
        <v>0</v>
      </c>
      <c r="M349" s="39">
        <v>272.44</v>
      </c>
      <c r="N349" s="39">
        <v>272.44</v>
      </c>
      <c r="O349" s="39">
        <v>0</v>
      </c>
      <c r="P349" s="39">
        <v>2490.88</v>
      </c>
      <c r="Q349" s="34" t="s">
        <v>410</v>
      </c>
      <c r="R349" s="34" t="s">
        <v>26</v>
      </c>
      <c r="S349" s="11" t="s">
        <v>4120</v>
      </c>
    </row>
    <row r="350" spans="1:19" x14ac:dyDescent="0.2">
      <c r="A350" s="33">
        <v>43586</v>
      </c>
      <c r="B350" s="34">
        <v>109</v>
      </c>
      <c r="C350" s="35" t="s">
        <v>495</v>
      </c>
      <c r="D350" s="34" t="str">
        <f>VLOOKUP(C350,'PUR-PARTY MASTER'!$B$4:$E$2000,2,FALSE)</f>
        <v>27AAACH4211R1ZF</v>
      </c>
      <c r="E350" s="34" t="s">
        <v>22</v>
      </c>
      <c r="F350" s="134">
        <v>5510045999</v>
      </c>
      <c r="G350" s="135">
        <v>43608</v>
      </c>
      <c r="H350" s="34">
        <v>85129000</v>
      </c>
      <c r="I350" s="39">
        <f>VLOOKUP(H350,'PUR-HSN MASTER'!$A$4:$E$5000,5,FALSE)</f>
        <v>18</v>
      </c>
      <c r="J350" s="38">
        <v>4080</v>
      </c>
      <c r="K350" s="40">
        <v>45124.800000000003</v>
      </c>
      <c r="L350" s="39">
        <v>0</v>
      </c>
      <c r="M350" s="39">
        <v>4061.2320000000004</v>
      </c>
      <c r="N350" s="39">
        <v>4061.2320000000004</v>
      </c>
      <c r="O350" s="39">
        <v>0</v>
      </c>
      <c r="P350" s="39">
        <v>53247.26400000001</v>
      </c>
      <c r="Q350" s="34" t="s">
        <v>410</v>
      </c>
      <c r="R350" s="34" t="s">
        <v>26</v>
      </c>
      <c r="S350" s="11" t="s">
        <v>4120</v>
      </c>
    </row>
    <row r="351" spans="1:19" x14ac:dyDescent="0.2">
      <c r="A351" s="33">
        <v>43586</v>
      </c>
      <c r="B351" s="34">
        <v>110</v>
      </c>
      <c r="C351" s="35" t="s">
        <v>506</v>
      </c>
      <c r="D351" s="34" t="str">
        <f>VLOOKUP(C351,'PUR-PARTY MASTER'!$B$4:$E$2000,2,FALSE)</f>
        <v>27AAACG1376N1ZC</v>
      </c>
      <c r="E351" s="34" t="s">
        <v>22</v>
      </c>
      <c r="F351" s="136" t="s">
        <v>651</v>
      </c>
      <c r="G351" s="135">
        <v>43607</v>
      </c>
      <c r="H351" s="34">
        <v>32082090</v>
      </c>
      <c r="I351" s="39">
        <f>VLOOKUP(H351,'PUR-HSN MASTER'!$A$4:$E$5000,5,FALSE)</f>
        <v>18</v>
      </c>
      <c r="J351" s="38">
        <v>100</v>
      </c>
      <c r="K351" s="40">
        <v>34879</v>
      </c>
      <c r="L351" s="39">
        <v>0</v>
      </c>
      <c r="M351" s="39">
        <v>3139.11</v>
      </c>
      <c r="N351" s="39">
        <v>3139.11</v>
      </c>
      <c r="O351" s="39">
        <v>0</v>
      </c>
      <c r="P351" s="39">
        <v>41157</v>
      </c>
      <c r="Q351" s="34" t="s">
        <v>410</v>
      </c>
      <c r="R351" s="34" t="s">
        <v>26</v>
      </c>
      <c r="S351" s="11" t="s">
        <v>4120</v>
      </c>
    </row>
    <row r="352" spans="1:19" x14ac:dyDescent="0.2">
      <c r="A352" s="33">
        <v>43586</v>
      </c>
      <c r="B352" s="34">
        <v>111</v>
      </c>
      <c r="C352" s="35" t="s">
        <v>506</v>
      </c>
      <c r="D352" s="34" t="str">
        <f>VLOOKUP(C352,'PUR-PARTY MASTER'!$B$4:$E$2000,2,FALSE)</f>
        <v>27AAACG1376N1ZC</v>
      </c>
      <c r="E352" s="34" t="s">
        <v>22</v>
      </c>
      <c r="F352" s="136" t="s">
        <v>652</v>
      </c>
      <c r="G352" s="135">
        <v>43607</v>
      </c>
      <c r="H352" s="34">
        <v>38140010</v>
      </c>
      <c r="I352" s="39">
        <f>VLOOKUP(H352,'PUR-HSN MASTER'!$A$4:$E$5000,5,FALSE)</f>
        <v>18</v>
      </c>
      <c r="J352" s="38">
        <v>40</v>
      </c>
      <c r="K352" s="40">
        <v>3696</v>
      </c>
      <c r="L352" s="39">
        <v>0</v>
      </c>
      <c r="M352" s="39">
        <v>332.64</v>
      </c>
      <c r="N352" s="39">
        <v>332.64</v>
      </c>
      <c r="O352" s="39">
        <v>0</v>
      </c>
      <c r="P352" s="39">
        <v>4361</v>
      </c>
      <c r="Q352" s="34" t="s">
        <v>410</v>
      </c>
      <c r="R352" s="34" t="s">
        <v>26</v>
      </c>
      <c r="S352" s="11" t="s">
        <v>4120</v>
      </c>
    </row>
    <row r="353" spans="1:19" x14ac:dyDescent="0.2">
      <c r="A353" s="33">
        <v>43586</v>
      </c>
      <c r="B353" s="34">
        <v>112</v>
      </c>
      <c r="C353" s="35" t="s">
        <v>471</v>
      </c>
      <c r="D353" s="34" t="str">
        <f>VLOOKUP(C353,'PUR-PARTY MASTER'!$B$4:$E$2000,2,FALSE)</f>
        <v>27AAECM8871A1ZF</v>
      </c>
      <c r="E353" s="34" t="s">
        <v>22</v>
      </c>
      <c r="F353" s="134">
        <v>192001808</v>
      </c>
      <c r="G353" s="135">
        <v>43609</v>
      </c>
      <c r="H353" s="34">
        <v>87089900</v>
      </c>
      <c r="I353" s="39">
        <f>VLOOKUP(H353,'PUR-HSN MASTER'!$A$4:$E$5000,5,FALSE)</f>
        <v>28</v>
      </c>
      <c r="J353" s="38">
        <v>12</v>
      </c>
      <c r="K353" s="40">
        <v>17483.52</v>
      </c>
      <c r="L353" s="39">
        <v>0</v>
      </c>
      <c r="M353" s="39">
        <v>2447.6928000000003</v>
      </c>
      <c r="N353" s="39">
        <v>2447.6928000000003</v>
      </c>
      <c r="O353" s="39">
        <v>0</v>
      </c>
      <c r="P353" s="39">
        <v>22378.895600000003</v>
      </c>
      <c r="Q353" s="34" t="s">
        <v>410</v>
      </c>
      <c r="R353" s="34" t="s">
        <v>26</v>
      </c>
      <c r="S353" s="11" t="s">
        <v>4120</v>
      </c>
    </row>
    <row r="354" spans="1:19" x14ac:dyDescent="0.2">
      <c r="A354" s="33">
        <v>43586</v>
      </c>
      <c r="B354" s="34">
        <v>113</v>
      </c>
      <c r="C354" s="35" t="s">
        <v>471</v>
      </c>
      <c r="D354" s="34" t="str">
        <f>VLOOKUP(C354,'PUR-PARTY MASTER'!$B$4:$E$2000,2,FALSE)</f>
        <v>27AAECM8871A1ZF</v>
      </c>
      <c r="E354" s="34" t="s">
        <v>22</v>
      </c>
      <c r="F354" s="134">
        <v>192001809</v>
      </c>
      <c r="G354" s="135">
        <v>43609</v>
      </c>
      <c r="H354" s="34">
        <v>87089900</v>
      </c>
      <c r="I354" s="39">
        <f>VLOOKUP(H354,'PUR-HSN MASTER'!$A$4:$E$5000,5,FALSE)</f>
        <v>28</v>
      </c>
      <c r="J354" s="38">
        <v>12</v>
      </c>
      <c r="K354" s="40">
        <v>17483.52</v>
      </c>
      <c r="L354" s="39">
        <v>0</v>
      </c>
      <c r="M354" s="39">
        <v>2447.6928000000003</v>
      </c>
      <c r="N354" s="39">
        <v>2447.6928000000003</v>
      </c>
      <c r="O354" s="39">
        <v>0</v>
      </c>
      <c r="P354" s="39">
        <v>22378.895600000003</v>
      </c>
      <c r="Q354" s="34" t="s">
        <v>410</v>
      </c>
      <c r="R354" s="34" t="s">
        <v>26</v>
      </c>
      <c r="S354" s="11" t="s">
        <v>4120</v>
      </c>
    </row>
    <row r="355" spans="1:19" x14ac:dyDescent="0.2">
      <c r="A355" s="33">
        <v>43586</v>
      </c>
      <c r="B355" s="34">
        <v>114</v>
      </c>
      <c r="C355" s="35" t="s">
        <v>554</v>
      </c>
      <c r="D355" s="34" t="str">
        <f>VLOOKUP(C355,'PUR-PARTY MASTER'!$B$4:$E$2000,2,FALSE)</f>
        <v>27AACFA1881H1ZL</v>
      </c>
      <c r="E355" s="34" t="s">
        <v>22</v>
      </c>
      <c r="F355" s="134">
        <v>1881</v>
      </c>
      <c r="G355" s="135">
        <v>43609</v>
      </c>
      <c r="H355" s="34">
        <v>87141900</v>
      </c>
      <c r="I355" s="39">
        <f>VLOOKUP(H355,'PUR-HSN MASTER'!$A$4:$E$5000,5,FALSE)</f>
        <v>28</v>
      </c>
      <c r="J355" s="38">
        <v>900</v>
      </c>
      <c r="K355" s="40">
        <v>2502</v>
      </c>
      <c r="L355" s="39">
        <v>0</v>
      </c>
      <c r="M355" s="39">
        <v>350.28</v>
      </c>
      <c r="N355" s="39">
        <v>350.28</v>
      </c>
      <c r="O355" s="39">
        <v>0</v>
      </c>
      <c r="P355" s="39">
        <v>3202.5599999999995</v>
      </c>
      <c r="Q355" s="34" t="s">
        <v>410</v>
      </c>
      <c r="R355" s="34" t="s">
        <v>26</v>
      </c>
      <c r="S355" s="11" t="s">
        <v>4120</v>
      </c>
    </row>
    <row r="356" spans="1:19" x14ac:dyDescent="0.2">
      <c r="A356" s="33">
        <v>43586</v>
      </c>
      <c r="B356" s="34">
        <v>115</v>
      </c>
      <c r="C356" s="35" t="s">
        <v>506</v>
      </c>
      <c r="D356" s="34" t="str">
        <f>VLOOKUP(C356,'PUR-PARTY MASTER'!$B$4:$E$2000,2,FALSE)</f>
        <v>27AAACG1376N1ZC</v>
      </c>
      <c r="E356" s="34" t="s">
        <v>22</v>
      </c>
      <c r="F356" s="136" t="s">
        <v>653</v>
      </c>
      <c r="G356" s="135">
        <v>43609</v>
      </c>
      <c r="H356" s="34">
        <v>32082090</v>
      </c>
      <c r="I356" s="39">
        <f>VLOOKUP(H356,'PUR-HSN MASTER'!$A$4:$E$5000,5,FALSE)</f>
        <v>18</v>
      </c>
      <c r="J356" s="38">
        <v>200</v>
      </c>
      <c r="K356" s="40">
        <v>69758</v>
      </c>
      <c r="L356" s="39">
        <v>0</v>
      </c>
      <c r="M356" s="39">
        <v>6278.22</v>
      </c>
      <c r="N356" s="39">
        <v>6278.22</v>
      </c>
      <c r="O356" s="39">
        <v>0</v>
      </c>
      <c r="P356" s="39">
        <v>82314</v>
      </c>
      <c r="Q356" s="34" t="s">
        <v>410</v>
      </c>
      <c r="R356" s="34" t="s">
        <v>26</v>
      </c>
      <c r="S356" s="11" t="s">
        <v>4120</v>
      </c>
    </row>
    <row r="357" spans="1:19" x14ac:dyDescent="0.2">
      <c r="A357" s="33">
        <v>43586</v>
      </c>
      <c r="B357" s="34">
        <v>116</v>
      </c>
      <c r="C357" s="35" t="s">
        <v>506</v>
      </c>
      <c r="D357" s="34" t="str">
        <f>VLOOKUP(C357,'PUR-PARTY MASTER'!$B$4:$E$2000,2,FALSE)</f>
        <v>27AAACG1376N1ZC</v>
      </c>
      <c r="E357" s="34" t="s">
        <v>22</v>
      </c>
      <c r="F357" s="136" t="s">
        <v>654</v>
      </c>
      <c r="G357" s="135">
        <v>43609</v>
      </c>
      <c r="H357" s="34">
        <v>38140010</v>
      </c>
      <c r="I357" s="39">
        <f>VLOOKUP(H357,'PUR-HSN MASTER'!$A$4:$E$5000,5,FALSE)</f>
        <v>18</v>
      </c>
      <c r="J357" s="38">
        <v>100</v>
      </c>
      <c r="K357" s="40">
        <v>9240</v>
      </c>
      <c r="L357" s="39">
        <v>0</v>
      </c>
      <c r="M357" s="39">
        <v>831.6</v>
      </c>
      <c r="N357" s="39">
        <v>831.6</v>
      </c>
      <c r="O357" s="39">
        <v>0</v>
      </c>
      <c r="P357" s="39">
        <v>10903</v>
      </c>
      <c r="Q357" s="34" t="s">
        <v>410</v>
      </c>
      <c r="R357" s="34" t="s">
        <v>26</v>
      </c>
      <c r="S357" s="11" t="s">
        <v>4120</v>
      </c>
    </row>
    <row r="358" spans="1:19" x14ac:dyDescent="0.2">
      <c r="A358" s="33">
        <v>43586</v>
      </c>
      <c r="B358" s="34">
        <v>117</v>
      </c>
      <c r="C358" s="35" t="s">
        <v>471</v>
      </c>
      <c r="D358" s="34" t="str">
        <f>VLOOKUP(C358,'PUR-PARTY MASTER'!$B$4:$E$2000,2,FALSE)</f>
        <v>27AAECM8871A1ZF</v>
      </c>
      <c r="E358" s="34" t="s">
        <v>22</v>
      </c>
      <c r="F358" s="134">
        <v>192001824</v>
      </c>
      <c r="G358" s="135">
        <v>43609</v>
      </c>
      <c r="H358" s="34">
        <v>87089900</v>
      </c>
      <c r="I358" s="39">
        <f>VLOOKUP(H358,'PUR-HSN MASTER'!$A$4:$E$5000,5,FALSE)</f>
        <v>28</v>
      </c>
      <c r="J358" s="38">
        <v>12</v>
      </c>
      <c r="K358" s="40">
        <v>17483.52</v>
      </c>
      <c r="L358" s="39">
        <v>0</v>
      </c>
      <c r="M358" s="39">
        <v>2447.6928000000003</v>
      </c>
      <c r="N358" s="39">
        <v>2447.6928000000003</v>
      </c>
      <c r="O358" s="39">
        <v>0</v>
      </c>
      <c r="P358" s="39">
        <v>22378.895600000003</v>
      </c>
      <c r="Q358" s="34" t="s">
        <v>410</v>
      </c>
      <c r="R358" s="34" t="s">
        <v>26</v>
      </c>
      <c r="S358" s="11" t="s">
        <v>4120</v>
      </c>
    </row>
    <row r="359" spans="1:19" x14ac:dyDescent="0.2">
      <c r="A359" s="33">
        <v>43586</v>
      </c>
      <c r="B359" s="34">
        <v>118</v>
      </c>
      <c r="C359" s="35" t="s">
        <v>471</v>
      </c>
      <c r="D359" s="34" t="str">
        <f>VLOOKUP(C359,'PUR-PARTY MASTER'!$B$4:$E$2000,2,FALSE)</f>
        <v>27AAECM8871A1ZF</v>
      </c>
      <c r="E359" s="34" t="s">
        <v>22</v>
      </c>
      <c r="F359" s="134">
        <v>192001825</v>
      </c>
      <c r="G359" s="135">
        <v>43609</v>
      </c>
      <c r="H359" s="34">
        <v>87089900</v>
      </c>
      <c r="I359" s="39">
        <f>VLOOKUP(H359,'PUR-HSN MASTER'!$A$4:$E$5000,5,FALSE)</f>
        <v>28</v>
      </c>
      <c r="J359" s="38">
        <v>12</v>
      </c>
      <c r="K359" s="40">
        <v>17483.52</v>
      </c>
      <c r="L359" s="39">
        <v>0</v>
      </c>
      <c r="M359" s="39">
        <v>2447.6928000000003</v>
      </c>
      <c r="N359" s="39">
        <v>2447.6928000000003</v>
      </c>
      <c r="O359" s="39">
        <v>0</v>
      </c>
      <c r="P359" s="39">
        <v>22378.895600000003</v>
      </c>
      <c r="Q359" s="34" t="s">
        <v>410</v>
      </c>
      <c r="R359" s="34" t="s">
        <v>26</v>
      </c>
      <c r="S359" s="11" t="s">
        <v>4120</v>
      </c>
    </row>
    <row r="360" spans="1:19" x14ac:dyDescent="0.2">
      <c r="A360" s="33">
        <v>43586</v>
      </c>
      <c r="B360" s="34">
        <v>119</v>
      </c>
      <c r="C360" s="35" t="s">
        <v>551</v>
      </c>
      <c r="D360" s="34" t="str">
        <f>VLOOKUP(C360,'PUR-PARTY MASTER'!$B$4:$E$2000,2,FALSE)</f>
        <v>27AHVPG8951G1ZQ</v>
      </c>
      <c r="E360" s="34" t="s">
        <v>22</v>
      </c>
      <c r="F360" s="136" t="s">
        <v>655</v>
      </c>
      <c r="G360" s="135">
        <v>43609</v>
      </c>
      <c r="H360" s="34">
        <v>37079090</v>
      </c>
      <c r="I360" s="39">
        <f>VLOOKUP(H360,'PUR-HSN MASTER'!$A$4:$E$5000,5,FALSE)</f>
        <v>18</v>
      </c>
      <c r="J360" s="38">
        <v>1</v>
      </c>
      <c r="K360" s="40">
        <v>300</v>
      </c>
      <c r="L360" s="39">
        <v>0</v>
      </c>
      <c r="M360" s="39">
        <v>27</v>
      </c>
      <c r="N360" s="39">
        <v>27</v>
      </c>
      <c r="O360" s="39">
        <v>0</v>
      </c>
      <c r="P360" s="39">
        <v>354.2</v>
      </c>
      <c r="Q360" s="34" t="s">
        <v>410</v>
      </c>
      <c r="R360" s="34" t="s">
        <v>26</v>
      </c>
      <c r="S360" s="11" t="s">
        <v>4120</v>
      </c>
    </row>
    <row r="361" spans="1:19" x14ac:dyDescent="0.2">
      <c r="A361" s="33">
        <v>43586</v>
      </c>
      <c r="B361" s="34"/>
      <c r="C361" s="35" t="s">
        <v>551</v>
      </c>
      <c r="D361" s="34" t="str">
        <f>VLOOKUP(C361,'PUR-PARTY MASTER'!$B$4:$E$2000,2,FALSE)</f>
        <v>27AHVPG8951G1ZQ</v>
      </c>
      <c r="E361" s="34" t="s">
        <v>22</v>
      </c>
      <c r="F361" s="136" t="s">
        <v>655</v>
      </c>
      <c r="G361" s="135">
        <v>43609</v>
      </c>
      <c r="H361" s="34">
        <v>8506</v>
      </c>
      <c r="I361" s="39">
        <f>VLOOKUP(H361,'PUR-HSN MASTER'!$A$4:$E$5000,5,FALSE)</f>
        <v>18</v>
      </c>
      <c r="J361" s="38">
        <v>1</v>
      </c>
      <c r="K361" s="40">
        <v>110</v>
      </c>
      <c r="L361" s="39">
        <v>0</v>
      </c>
      <c r="M361" s="39">
        <v>9.9</v>
      </c>
      <c r="N361" s="39">
        <v>9.9</v>
      </c>
      <c r="O361" s="39">
        <v>0</v>
      </c>
      <c r="P361" s="39">
        <v>129.80000000000001</v>
      </c>
      <c r="Q361" s="34" t="s">
        <v>410</v>
      </c>
      <c r="R361" s="34" t="s">
        <v>26</v>
      </c>
      <c r="S361" s="11" t="s">
        <v>4120</v>
      </c>
    </row>
    <row r="362" spans="1:19" x14ac:dyDescent="0.2">
      <c r="A362" s="33">
        <v>43586</v>
      </c>
      <c r="B362" s="34">
        <v>120</v>
      </c>
      <c r="C362" s="35" t="s">
        <v>551</v>
      </c>
      <c r="D362" s="34" t="str">
        <f>VLOOKUP(C362,'PUR-PARTY MASTER'!$B$4:$E$2000,2,FALSE)</f>
        <v>27AHVPG8951G1ZQ</v>
      </c>
      <c r="E362" s="34" t="s">
        <v>22</v>
      </c>
      <c r="F362" s="136" t="s">
        <v>656</v>
      </c>
      <c r="G362" s="135">
        <v>43610</v>
      </c>
      <c r="H362" s="34">
        <v>37079090</v>
      </c>
      <c r="I362" s="39">
        <f>VLOOKUP(H362,'PUR-HSN MASTER'!$A$4:$E$5000,5,FALSE)</f>
        <v>18</v>
      </c>
      <c r="J362" s="38">
        <v>1</v>
      </c>
      <c r="K362" s="40">
        <v>300</v>
      </c>
      <c r="L362" s="39">
        <v>0</v>
      </c>
      <c r="M362" s="39">
        <v>27</v>
      </c>
      <c r="N362" s="39">
        <v>27</v>
      </c>
      <c r="O362" s="39">
        <v>0</v>
      </c>
      <c r="P362" s="39">
        <v>354.2</v>
      </c>
      <c r="Q362" s="34" t="s">
        <v>410</v>
      </c>
      <c r="R362" s="34" t="s">
        <v>26</v>
      </c>
      <c r="S362" s="11" t="s">
        <v>4120</v>
      </c>
    </row>
    <row r="363" spans="1:19" x14ac:dyDescent="0.2">
      <c r="A363" s="33">
        <v>43586</v>
      </c>
      <c r="B363" s="34">
        <v>121</v>
      </c>
      <c r="C363" s="35" t="s">
        <v>527</v>
      </c>
      <c r="D363" s="34" t="str">
        <f>VLOOKUP(C363,'PUR-PARTY MASTER'!$B$4:$E$2000,2,FALSE)</f>
        <v>27AAACM2185R1ZX</v>
      </c>
      <c r="E363" s="34" t="s">
        <v>22</v>
      </c>
      <c r="F363" s="134">
        <v>9330003845</v>
      </c>
      <c r="G363" s="135">
        <v>43610</v>
      </c>
      <c r="H363" s="34">
        <v>32082090</v>
      </c>
      <c r="I363" s="39">
        <f>VLOOKUP(H363,'PUR-HSN MASTER'!$A$4:$E$5000,5,FALSE)</f>
        <v>18</v>
      </c>
      <c r="J363" s="38">
        <v>37</v>
      </c>
      <c r="K363" s="40">
        <v>13283</v>
      </c>
      <c r="L363" s="39">
        <v>0</v>
      </c>
      <c r="M363" s="39">
        <v>1195.47</v>
      </c>
      <c r="N363" s="39">
        <v>1195.47</v>
      </c>
      <c r="O363" s="39">
        <v>0</v>
      </c>
      <c r="P363" s="39">
        <v>15673.999999999998</v>
      </c>
      <c r="Q363" s="34" t="s">
        <v>410</v>
      </c>
      <c r="R363" s="34" t="s">
        <v>26</v>
      </c>
      <c r="S363" s="11" t="s">
        <v>4120</v>
      </c>
    </row>
    <row r="364" spans="1:19" x14ac:dyDescent="0.2">
      <c r="A364" s="33">
        <v>43586</v>
      </c>
      <c r="B364" s="34">
        <v>122</v>
      </c>
      <c r="C364" s="35" t="s">
        <v>521</v>
      </c>
      <c r="D364" s="34" t="str">
        <f>VLOOKUP(C364,'PUR-PARTY MASTER'!$B$4:$E$2000,2,FALSE)</f>
        <v>27APHPD1073Q1ZM</v>
      </c>
      <c r="E364" s="34" t="s">
        <v>22</v>
      </c>
      <c r="F364" s="136" t="s">
        <v>657</v>
      </c>
      <c r="G364" s="135">
        <v>43593</v>
      </c>
      <c r="H364" s="34">
        <v>998873</v>
      </c>
      <c r="I364" s="39">
        <f>VLOOKUP(H364,'PUR-HSN MASTER'!$A$4:$E$5000,5,FALSE)</f>
        <v>18</v>
      </c>
      <c r="J364" s="38">
        <v>216</v>
      </c>
      <c r="K364" s="40">
        <v>43200</v>
      </c>
      <c r="L364" s="39">
        <v>0</v>
      </c>
      <c r="M364" s="39">
        <v>3888</v>
      </c>
      <c r="N364" s="39">
        <v>3888</v>
      </c>
      <c r="O364" s="39">
        <v>0</v>
      </c>
      <c r="P364" s="39">
        <v>50976</v>
      </c>
      <c r="Q364" s="34" t="s">
        <v>410</v>
      </c>
      <c r="R364" s="34" t="s">
        <v>26</v>
      </c>
      <c r="S364" s="11" t="s">
        <v>4120</v>
      </c>
    </row>
    <row r="365" spans="1:19" x14ac:dyDescent="0.2">
      <c r="A365" s="33">
        <v>43586</v>
      </c>
      <c r="B365" s="34"/>
      <c r="C365" s="35" t="s">
        <v>521</v>
      </c>
      <c r="D365" s="34" t="str">
        <f>VLOOKUP(C365,'PUR-PARTY MASTER'!$B$4:$E$2000,2,FALSE)</f>
        <v>27APHPD1073Q1ZM</v>
      </c>
      <c r="E365" s="34" t="s">
        <v>22</v>
      </c>
      <c r="F365" s="136" t="s">
        <v>657</v>
      </c>
      <c r="G365" s="135">
        <v>43593</v>
      </c>
      <c r="H365" s="34">
        <v>84778090</v>
      </c>
      <c r="I365" s="39">
        <f>VLOOKUP(H365,'PUR-HSN MASTER'!$A$4:$E$5000,5,FALSE)</f>
        <v>18</v>
      </c>
      <c r="J365" s="38">
        <v>65</v>
      </c>
      <c r="K365" s="40">
        <v>22750</v>
      </c>
      <c r="L365" s="39">
        <v>0</v>
      </c>
      <c r="M365" s="39">
        <v>2047.5</v>
      </c>
      <c r="N365" s="39">
        <v>2047.5</v>
      </c>
      <c r="O365" s="39">
        <v>0</v>
      </c>
      <c r="P365" s="39">
        <v>26845</v>
      </c>
      <c r="Q365" s="34" t="s">
        <v>410</v>
      </c>
      <c r="R365" s="34" t="s">
        <v>26</v>
      </c>
      <c r="S365" s="11" t="s">
        <v>4120</v>
      </c>
    </row>
    <row r="366" spans="1:19" x14ac:dyDescent="0.2">
      <c r="A366" s="33">
        <v>43586</v>
      </c>
      <c r="B366" s="34">
        <v>123</v>
      </c>
      <c r="C366" s="35" t="s">
        <v>471</v>
      </c>
      <c r="D366" s="34" t="str">
        <f>VLOOKUP(C366,'PUR-PARTY MASTER'!$B$4:$E$2000,2,FALSE)</f>
        <v>27AAECM8871A1ZF</v>
      </c>
      <c r="E366" s="34" t="s">
        <v>22</v>
      </c>
      <c r="F366" s="134">
        <v>192001853</v>
      </c>
      <c r="G366" s="135">
        <v>43593</v>
      </c>
      <c r="H366" s="34">
        <v>87089900</v>
      </c>
      <c r="I366" s="39">
        <f>VLOOKUP(H366,'PUR-HSN MASTER'!$A$4:$E$5000,5,FALSE)</f>
        <v>28</v>
      </c>
      <c r="J366" s="38">
        <v>12</v>
      </c>
      <c r="K366" s="40">
        <v>17483.52</v>
      </c>
      <c r="L366" s="39">
        <v>0</v>
      </c>
      <c r="M366" s="39">
        <v>2447.6928000000003</v>
      </c>
      <c r="N366" s="39">
        <v>2447.6928000000003</v>
      </c>
      <c r="O366" s="39">
        <v>0</v>
      </c>
      <c r="P366" s="39">
        <v>22378.895600000003</v>
      </c>
      <c r="Q366" s="34" t="s">
        <v>410</v>
      </c>
      <c r="R366" s="34" t="s">
        <v>26</v>
      </c>
      <c r="S366" s="11" t="s">
        <v>4120</v>
      </c>
    </row>
    <row r="367" spans="1:19" x14ac:dyDescent="0.2">
      <c r="A367" s="33">
        <v>43586</v>
      </c>
      <c r="B367" s="34">
        <v>124</v>
      </c>
      <c r="C367" s="35" t="s">
        <v>473</v>
      </c>
      <c r="D367" s="34" t="str">
        <f>VLOOKUP(C367,'PUR-PARTY MASTER'!$B$4:$E$2000,2,FALSE)</f>
        <v>27AAACT1848E1ZH</v>
      </c>
      <c r="E367" s="34" t="s">
        <v>22</v>
      </c>
      <c r="F367" s="136" t="s">
        <v>658</v>
      </c>
      <c r="G367" s="135">
        <v>43610</v>
      </c>
      <c r="H367" s="34">
        <v>87082900</v>
      </c>
      <c r="I367" s="39">
        <f>VLOOKUP(H367,'PUR-HSN MASTER'!$A$4:$E$5000,5,FALSE)</f>
        <v>28</v>
      </c>
      <c r="J367" s="38">
        <v>36</v>
      </c>
      <c r="K367" s="40">
        <v>5770.8</v>
      </c>
      <c r="L367" s="39">
        <v>0</v>
      </c>
      <c r="M367" s="39">
        <v>807.91200000000003</v>
      </c>
      <c r="N367" s="39">
        <v>807.91200000000003</v>
      </c>
      <c r="O367" s="39">
        <v>0</v>
      </c>
      <c r="P367" s="39">
        <v>7386.6340000000009</v>
      </c>
      <c r="Q367" s="34" t="s">
        <v>410</v>
      </c>
      <c r="R367" s="34" t="s">
        <v>26</v>
      </c>
      <c r="S367" s="11" t="s">
        <v>4120</v>
      </c>
    </row>
    <row r="368" spans="1:19" x14ac:dyDescent="0.2">
      <c r="A368" s="33">
        <v>43586</v>
      </c>
      <c r="B368" s="34">
        <v>125</v>
      </c>
      <c r="C368" s="35" t="s">
        <v>517</v>
      </c>
      <c r="D368" s="34" t="str">
        <f>VLOOKUP(C368,'PUR-PARTY MASTER'!$B$4:$E$2000,2,FALSE)</f>
        <v>23AAACT6376M1ZZ</v>
      </c>
      <c r="E368" s="34" t="s">
        <v>22</v>
      </c>
      <c r="F368" s="134">
        <v>19605190</v>
      </c>
      <c r="G368" s="135">
        <v>43610</v>
      </c>
      <c r="H368" s="34">
        <v>87081090</v>
      </c>
      <c r="I368" s="39">
        <f>VLOOKUP(H368,'PUR-HSN MASTER'!$A$4:$E$5000,5,FALSE)</f>
        <v>28</v>
      </c>
      <c r="J368" s="38">
        <v>4</v>
      </c>
      <c r="K368" s="40">
        <v>3013.12</v>
      </c>
      <c r="L368" s="39">
        <v>843.67359999999996</v>
      </c>
      <c r="M368" s="39">
        <v>0</v>
      </c>
      <c r="N368" s="39">
        <v>0</v>
      </c>
      <c r="O368" s="39">
        <v>0</v>
      </c>
      <c r="P368" s="39">
        <v>3856.7936</v>
      </c>
      <c r="Q368" s="34" t="s">
        <v>410</v>
      </c>
      <c r="R368" s="34" t="s">
        <v>106</v>
      </c>
      <c r="S368" s="11" t="s">
        <v>4120</v>
      </c>
    </row>
    <row r="369" spans="1:19" x14ac:dyDescent="0.2">
      <c r="A369" s="33">
        <v>43586</v>
      </c>
      <c r="B369" s="34">
        <v>126</v>
      </c>
      <c r="C369" s="35" t="s">
        <v>601</v>
      </c>
      <c r="D369" s="34" t="str">
        <f>VLOOKUP(C369,'PUR-PARTY MASTER'!$B$4:$E$2000,2,FALSE)</f>
        <v>27AAZFM6461A1ZY</v>
      </c>
      <c r="E369" s="34" t="s">
        <v>22</v>
      </c>
      <c r="F369" s="134">
        <v>1458</v>
      </c>
      <c r="G369" s="135">
        <v>43611</v>
      </c>
      <c r="H369" s="34">
        <v>87082900</v>
      </c>
      <c r="I369" s="39">
        <f>VLOOKUP(H369,'PUR-HSN MASTER'!$A$4:$E$5000,5,FALSE)</f>
        <v>28</v>
      </c>
      <c r="J369" s="38">
        <v>380</v>
      </c>
      <c r="K369" s="40">
        <v>16176.6</v>
      </c>
      <c r="L369" s="39">
        <v>0</v>
      </c>
      <c r="M369" s="39">
        <v>2264.7239999999997</v>
      </c>
      <c r="N369" s="39">
        <v>2264.7239999999997</v>
      </c>
      <c r="O369" s="39">
        <v>0</v>
      </c>
      <c r="P369" s="39">
        <v>20706.038</v>
      </c>
      <c r="Q369" s="34" t="s">
        <v>410</v>
      </c>
      <c r="R369" s="34" t="s">
        <v>26</v>
      </c>
      <c r="S369" s="11" t="s">
        <v>4120</v>
      </c>
    </row>
    <row r="370" spans="1:19" x14ac:dyDescent="0.2">
      <c r="A370" s="33">
        <v>43586</v>
      </c>
      <c r="B370" s="34">
        <v>127</v>
      </c>
      <c r="C370" s="35" t="s">
        <v>601</v>
      </c>
      <c r="D370" s="34" t="str">
        <f>VLOOKUP(C370,'PUR-PARTY MASTER'!$B$4:$E$2000,2,FALSE)</f>
        <v>27AAZFM6461A1ZY</v>
      </c>
      <c r="E370" s="34" t="s">
        <v>22</v>
      </c>
      <c r="F370" s="134">
        <v>1459</v>
      </c>
      <c r="G370" s="135">
        <v>43611</v>
      </c>
      <c r="H370" s="34">
        <v>87082900</v>
      </c>
      <c r="I370" s="39">
        <f>VLOOKUP(H370,'PUR-HSN MASTER'!$A$4:$E$5000,5,FALSE)</f>
        <v>28</v>
      </c>
      <c r="J370" s="38">
        <v>780</v>
      </c>
      <c r="K370" s="40">
        <v>17409.599999999999</v>
      </c>
      <c r="L370" s="39">
        <v>0</v>
      </c>
      <c r="M370" s="39">
        <v>2437.3439999999996</v>
      </c>
      <c r="N370" s="39">
        <v>2437.3439999999996</v>
      </c>
      <c r="O370" s="39">
        <v>0</v>
      </c>
      <c r="P370" s="39">
        <v>22284.278000000002</v>
      </c>
      <c r="Q370" s="34" t="s">
        <v>410</v>
      </c>
      <c r="R370" s="34" t="s">
        <v>26</v>
      </c>
      <c r="S370" s="11" t="s">
        <v>4120</v>
      </c>
    </row>
    <row r="371" spans="1:19" x14ac:dyDescent="0.2">
      <c r="A371" s="33">
        <v>43586</v>
      </c>
      <c r="B371" s="34">
        <v>128</v>
      </c>
      <c r="C371" s="35" t="s">
        <v>471</v>
      </c>
      <c r="D371" s="34" t="str">
        <f>VLOOKUP(C371,'PUR-PARTY MASTER'!$B$4:$E$2000,2,FALSE)</f>
        <v>27AAECM8871A1ZF</v>
      </c>
      <c r="E371" s="34" t="s">
        <v>22</v>
      </c>
      <c r="F371" s="134">
        <v>192001866</v>
      </c>
      <c r="G371" s="135">
        <v>43612</v>
      </c>
      <c r="H371" s="34">
        <v>87089900</v>
      </c>
      <c r="I371" s="39">
        <f>VLOOKUP(H371,'PUR-HSN MASTER'!$A$4:$E$5000,5,FALSE)</f>
        <v>28</v>
      </c>
      <c r="J371" s="38">
        <v>12</v>
      </c>
      <c r="K371" s="40">
        <v>17483.52</v>
      </c>
      <c r="L371" s="39">
        <v>0</v>
      </c>
      <c r="M371" s="39">
        <v>2447.6928000000003</v>
      </c>
      <c r="N371" s="39">
        <v>2447.6928000000003</v>
      </c>
      <c r="O371" s="39">
        <v>0</v>
      </c>
      <c r="P371" s="39">
        <v>22378.895600000003</v>
      </c>
      <c r="Q371" s="34" t="s">
        <v>410</v>
      </c>
      <c r="R371" s="34" t="s">
        <v>26</v>
      </c>
      <c r="S371" s="11" t="s">
        <v>4120</v>
      </c>
    </row>
    <row r="372" spans="1:19" x14ac:dyDescent="0.2">
      <c r="A372" s="33">
        <v>43586</v>
      </c>
      <c r="B372" s="34">
        <v>129</v>
      </c>
      <c r="C372" s="35" t="s">
        <v>471</v>
      </c>
      <c r="D372" s="34" t="str">
        <f>VLOOKUP(C372,'PUR-PARTY MASTER'!$B$4:$E$2000,2,FALSE)</f>
        <v>27AAECM8871A1ZF</v>
      </c>
      <c r="E372" s="34" t="s">
        <v>22</v>
      </c>
      <c r="F372" s="134">
        <v>192001854</v>
      </c>
      <c r="G372" s="135">
        <v>43610</v>
      </c>
      <c r="H372" s="34">
        <v>87089900</v>
      </c>
      <c r="I372" s="39">
        <f>VLOOKUP(H372,'PUR-HSN MASTER'!$A$4:$E$5000,5,FALSE)</f>
        <v>28</v>
      </c>
      <c r="J372" s="38">
        <v>12</v>
      </c>
      <c r="K372" s="40">
        <v>17483.52</v>
      </c>
      <c r="L372" s="39">
        <v>0</v>
      </c>
      <c r="M372" s="39">
        <v>2447.6928000000003</v>
      </c>
      <c r="N372" s="39">
        <v>2447.6928000000003</v>
      </c>
      <c r="O372" s="39">
        <v>0</v>
      </c>
      <c r="P372" s="39">
        <v>22378.895600000003</v>
      </c>
      <c r="Q372" s="34" t="s">
        <v>410</v>
      </c>
      <c r="R372" s="34" t="s">
        <v>26</v>
      </c>
      <c r="S372" s="11" t="s">
        <v>4120</v>
      </c>
    </row>
    <row r="373" spans="1:19" x14ac:dyDescent="0.2">
      <c r="A373" s="33">
        <v>43586</v>
      </c>
      <c r="B373" s="34">
        <v>130</v>
      </c>
      <c r="C373" s="35" t="s">
        <v>659</v>
      </c>
      <c r="D373" s="34" t="str">
        <f>VLOOKUP(C373,'PUR-PARTY MASTER'!$B$4:$E$2000,2,FALSE)</f>
        <v>27AAZPJ4136D1ZI</v>
      </c>
      <c r="E373" s="34" t="s">
        <v>22</v>
      </c>
      <c r="F373" s="136" t="s">
        <v>661</v>
      </c>
      <c r="G373" s="135">
        <v>43612</v>
      </c>
      <c r="H373" s="34">
        <v>2710</v>
      </c>
      <c r="I373" s="39">
        <f>VLOOKUP(H373,'PUR-HSN MASTER'!$A$4:$E$5000,5,FALSE)</f>
        <v>18</v>
      </c>
      <c r="J373" s="38">
        <v>240</v>
      </c>
      <c r="K373" s="40">
        <v>16320</v>
      </c>
      <c r="L373" s="39">
        <v>0</v>
      </c>
      <c r="M373" s="39">
        <v>1468.8</v>
      </c>
      <c r="N373" s="39">
        <v>1468.8</v>
      </c>
      <c r="O373" s="39">
        <v>0</v>
      </c>
      <c r="P373" s="39">
        <v>19258</v>
      </c>
      <c r="Q373" s="34" t="s">
        <v>410</v>
      </c>
      <c r="R373" s="34" t="s">
        <v>26</v>
      </c>
      <c r="S373" s="11" t="s">
        <v>4120</v>
      </c>
    </row>
    <row r="374" spans="1:19" x14ac:dyDescent="0.2">
      <c r="A374" s="33">
        <v>43586</v>
      </c>
      <c r="B374" s="34">
        <v>131</v>
      </c>
      <c r="C374" s="35" t="s">
        <v>554</v>
      </c>
      <c r="D374" s="34" t="str">
        <f>VLOOKUP(C374,'PUR-PARTY MASTER'!$B$4:$E$2000,2,FALSE)</f>
        <v>27AACFA1881H1ZL</v>
      </c>
      <c r="E374" s="34" t="s">
        <v>22</v>
      </c>
      <c r="F374" s="134">
        <v>1957</v>
      </c>
      <c r="G374" s="135">
        <v>43612</v>
      </c>
      <c r="H374" s="34">
        <v>87141900</v>
      </c>
      <c r="I374" s="39">
        <f>VLOOKUP(H374,'PUR-HSN MASTER'!$A$4:$E$5000,5,FALSE)</f>
        <v>28</v>
      </c>
      <c r="J374" s="38">
        <v>1200</v>
      </c>
      <c r="K374" s="40">
        <v>3336</v>
      </c>
      <c r="L374" s="39">
        <v>0</v>
      </c>
      <c r="M374" s="39">
        <v>467.03999999999996</v>
      </c>
      <c r="N374" s="39">
        <v>467.03999999999996</v>
      </c>
      <c r="O374" s="39">
        <v>0</v>
      </c>
      <c r="P374" s="39">
        <v>4270.08</v>
      </c>
      <c r="Q374" s="34" t="s">
        <v>410</v>
      </c>
      <c r="R374" s="34" t="s">
        <v>26</v>
      </c>
      <c r="S374" s="11" t="s">
        <v>4120</v>
      </c>
    </row>
    <row r="375" spans="1:19" x14ac:dyDescent="0.2">
      <c r="A375" s="33">
        <v>43586</v>
      </c>
      <c r="B375" s="34">
        <v>132</v>
      </c>
      <c r="C375" s="35" t="s">
        <v>471</v>
      </c>
      <c r="D375" s="34" t="str">
        <f>VLOOKUP(C375,'PUR-PARTY MASTER'!$B$4:$E$2000,2,FALSE)</f>
        <v>27AAECM8871A1ZF</v>
      </c>
      <c r="E375" s="34" t="s">
        <v>22</v>
      </c>
      <c r="F375" s="134">
        <v>192001867</v>
      </c>
      <c r="G375" s="135">
        <v>43612</v>
      </c>
      <c r="H375" s="34">
        <v>87089900</v>
      </c>
      <c r="I375" s="39">
        <f>VLOOKUP(H375,'PUR-HSN MASTER'!$A$4:$E$5000,5,FALSE)</f>
        <v>28</v>
      </c>
      <c r="J375" s="38">
        <v>12</v>
      </c>
      <c r="K375" s="40">
        <v>17483.52</v>
      </c>
      <c r="L375" s="39">
        <v>0</v>
      </c>
      <c r="M375" s="39">
        <v>2447.6928000000003</v>
      </c>
      <c r="N375" s="39">
        <v>2447.6928000000003</v>
      </c>
      <c r="O375" s="39">
        <v>0</v>
      </c>
      <c r="P375" s="39">
        <v>22378.895600000003</v>
      </c>
      <c r="Q375" s="34" t="s">
        <v>410</v>
      </c>
      <c r="R375" s="34" t="s">
        <v>26</v>
      </c>
      <c r="S375" s="11" t="s">
        <v>4120</v>
      </c>
    </row>
    <row r="376" spans="1:19" x14ac:dyDescent="0.2">
      <c r="A376" s="33">
        <v>43586</v>
      </c>
      <c r="B376" s="34">
        <v>133</v>
      </c>
      <c r="C376" s="35" t="s">
        <v>471</v>
      </c>
      <c r="D376" s="34" t="str">
        <f>VLOOKUP(C376,'PUR-PARTY MASTER'!$B$4:$E$2000,2,FALSE)</f>
        <v>27AAECM8871A1ZF</v>
      </c>
      <c r="E376" s="34" t="s">
        <v>22</v>
      </c>
      <c r="F376" s="134">
        <v>192001898</v>
      </c>
      <c r="G376" s="135">
        <v>43612</v>
      </c>
      <c r="H376" s="34">
        <v>87089900</v>
      </c>
      <c r="I376" s="39">
        <f>VLOOKUP(H376,'PUR-HSN MASTER'!$A$4:$E$5000,5,FALSE)</f>
        <v>28</v>
      </c>
      <c r="J376" s="38">
        <v>12</v>
      </c>
      <c r="K376" s="40">
        <v>17483.52</v>
      </c>
      <c r="L376" s="39">
        <v>0</v>
      </c>
      <c r="M376" s="39">
        <v>2447.6928000000003</v>
      </c>
      <c r="N376" s="39">
        <v>2447.6928000000003</v>
      </c>
      <c r="O376" s="39">
        <v>0</v>
      </c>
      <c r="P376" s="39">
        <v>22378.895600000003</v>
      </c>
      <c r="Q376" s="34" t="s">
        <v>410</v>
      </c>
      <c r="R376" s="34" t="s">
        <v>26</v>
      </c>
      <c r="S376" s="11" t="s">
        <v>4120</v>
      </c>
    </row>
    <row r="377" spans="1:19" x14ac:dyDescent="0.2">
      <c r="A377" s="33">
        <v>43586</v>
      </c>
      <c r="B377" s="34">
        <v>134</v>
      </c>
      <c r="C377" s="35" t="s">
        <v>601</v>
      </c>
      <c r="D377" s="34" t="str">
        <f>VLOOKUP(C377,'PUR-PARTY MASTER'!$B$4:$E$2000,2,FALSE)</f>
        <v>27AAZFM6461A1ZY</v>
      </c>
      <c r="E377" s="34" t="s">
        <v>22</v>
      </c>
      <c r="F377" s="134">
        <v>1466</v>
      </c>
      <c r="G377" s="135">
        <v>43612</v>
      </c>
      <c r="H377" s="34">
        <v>87082900</v>
      </c>
      <c r="I377" s="39">
        <f>VLOOKUP(H377,'PUR-HSN MASTER'!$A$4:$E$5000,5,FALSE)</f>
        <v>28</v>
      </c>
      <c r="J377" s="38">
        <v>800</v>
      </c>
      <c r="K377" s="40">
        <v>34056</v>
      </c>
      <c r="L377" s="39">
        <v>0</v>
      </c>
      <c r="M377" s="39">
        <v>4767.84</v>
      </c>
      <c r="N377" s="39">
        <v>4767.84</v>
      </c>
      <c r="O377" s="39">
        <v>0</v>
      </c>
      <c r="P377" s="39">
        <v>43591.669999999991</v>
      </c>
      <c r="Q377" s="34" t="s">
        <v>410</v>
      </c>
      <c r="R377" s="34" t="s">
        <v>26</v>
      </c>
      <c r="S377" s="11" t="s">
        <v>4120</v>
      </c>
    </row>
    <row r="378" spans="1:19" x14ac:dyDescent="0.2">
      <c r="A378" s="33">
        <v>43586</v>
      </c>
      <c r="B378" s="34">
        <v>135</v>
      </c>
      <c r="C378" s="35" t="s">
        <v>556</v>
      </c>
      <c r="D378" s="34" t="str">
        <f>VLOOKUP(C378,'PUR-PARTY MASTER'!$B$4:$E$2000,2,FALSE)</f>
        <v>27AAQCS7977M1Z3</v>
      </c>
      <c r="E378" s="34" t="s">
        <v>22</v>
      </c>
      <c r="F378" s="136" t="s">
        <v>662</v>
      </c>
      <c r="G378" s="135">
        <v>43612</v>
      </c>
      <c r="H378" s="34">
        <v>29141100</v>
      </c>
      <c r="I378" s="39">
        <f>VLOOKUP(H378,'PUR-HSN MASTER'!$A$4:$E$5000,5,FALSE)</f>
        <v>18</v>
      </c>
      <c r="J378" s="38">
        <v>1100</v>
      </c>
      <c r="K378" s="40">
        <v>69300</v>
      </c>
      <c r="L378" s="39">
        <v>0</v>
      </c>
      <c r="M378" s="39">
        <v>6237</v>
      </c>
      <c r="N378" s="39">
        <v>6237</v>
      </c>
      <c r="O378" s="39">
        <v>0</v>
      </c>
      <c r="P378" s="39">
        <v>81774</v>
      </c>
      <c r="Q378" s="34" t="s">
        <v>410</v>
      </c>
      <c r="R378" s="34" t="s">
        <v>26</v>
      </c>
      <c r="S378" s="11" t="s">
        <v>4120</v>
      </c>
    </row>
    <row r="379" spans="1:19" x14ac:dyDescent="0.2">
      <c r="A379" s="33">
        <v>43586</v>
      </c>
      <c r="B379" s="34">
        <v>136</v>
      </c>
      <c r="C379" s="35" t="s">
        <v>601</v>
      </c>
      <c r="D379" s="34" t="str">
        <f>VLOOKUP(C379,'PUR-PARTY MASTER'!$B$4:$E$2000,2,FALSE)</f>
        <v>27AAZFM6461A1ZY</v>
      </c>
      <c r="E379" s="34" t="s">
        <v>22</v>
      </c>
      <c r="F379" s="134">
        <v>1496</v>
      </c>
      <c r="G379" s="135">
        <v>43613</v>
      </c>
      <c r="H379" s="34">
        <v>87082900</v>
      </c>
      <c r="I379" s="39">
        <f>VLOOKUP(H379,'PUR-HSN MASTER'!$A$4:$E$5000,5,FALSE)</f>
        <v>28</v>
      </c>
      <c r="J379" s="38">
        <v>1100</v>
      </c>
      <c r="K379" s="40">
        <v>46827</v>
      </c>
      <c r="L379" s="39">
        <v>0</v>
      </c>
      <c r="M379" s="39">
        <v>6555.78</v>
      </c>
      <c r="N379" s="39">
        <v>6555.78</v>
      </c>
      <c r="O379" s="39">
        <v>0</v>
      </c>
      <c r="P379" s="39">
        <v>59938.549999999996</v>
      </c>
      <c r="Q379" s="34" t="s">
        <v>410</v>
      </c>
      <c r="R379" s="34" t="s">
        <v>26</v>
      </c>
      <c r="S379" s="11" t="s">
        <v>4120</v>
      </c>
    </row>
    <row r="380" spans="1:19" x14ac:dyDescent="0.2">
      <c r="A380" s="33">
        <v>43586</v>
      </c>
      <c r="B380" s="34">
        <v>137</v>
      </c>
      <c r="C380" s="35" t="s">
        <v>493</v>
      </c>
      <c r="D380" s="34" t="str">
        <f>VLOOKUP(C380,'PUR-PARTY MASTER'!$B$4:$E$2000,2,FALSE)</f>
        <v>27AMMPB3648M1ZO</v>
      </c>
      <c r="E380" s="34" t="s">
        <v>22</v>
      </c>
      <c r="F380" s="134">
        <v>975</v>
      </c>
      <c r="G380" s="135">
        <v>43613</v>
      </c>
      <c r="H380" s="34">
        <v>85129000</v>
      </c>
      <c r="I380" s="39">
        <f>VLOOKUP(H380,'PUR-HSN MASTER'!$A$4:$E$5000,5,FALSE)</f>
        <v>18</v>
      </c>
      <c r="J380" s="38">
        <v>1083</v>
      </c>
      <c r="K380" s="40">
        <v>24898.17</v>
      </c>
      <c r="L380" s="39">
        <v>0</v>
      </c>
      <c r="M380" s="39">
        <v>2240.8352999999997</v>
      </c>
      <c r="N380" s="39">
        <v>2240.8352999999997</v>
      </c>
      <c r="O380" s="39">
        <v>0</v>
      </c>
      <c r="P380" s="39">
        <v>29380.000599999996</v>
      </c>
      <c r="Q380" s="34" t="s">
        <v>410</v>
      </c>
      <c r="R380" s="34" t="s">
        <v>26</v>
      </c>
      <c r="S380" s="11" t="s">
        <v>4120</v>
      </c>
    </row>
    <row r="381" spans="1:19" x14ac:dyDescent="0.2">
      <c r="A381" s="33">
        <v>43586</v>
      </c>
      <c r="B381" s="34">
        <v>138</v>
      </c>
      <c r="C381" s="35" t="s">
        <v>554</v>
      </c>
      <c r="D381" s="34" t="str">
        <f>VLOOKUP(C381,'PUR-PARTY MASTER'!$B$4:$E$2000,2,FALSE)</f>
        <v>27AACFA1881H1ZL</v>
      </c>
      <c r="E381" s="34" t="s">
        <v>22</v>
      </c>
      <c r="F381" s="134">
        <v>2007</v>
      </c>
      <c r="G381" s="135">
        <v>43613</v>
      </c>
      <c r="H381" s="34">
        <v>87141900</v>
      </c>
      <c r="I381" s="39">
        <f>VLOOKUP(H381,'PUR-HSN MASTER'!$A$4:$E$5000,5,FALSE)</f>
        <v>28</v>
      </c>
      <c r="J381" s="38">
        <v>600</v>
      </c>
      <c r="K381" s="40">
        <v>1668</v>
      </c>
      <c r="L381" s="39">
        <v>0</v>
      </c>
      <c r="M381" s="39">
        <v>233.51999999999998</v>
      </c>
      <c r="N381" s="39">
        <v>233.51999999999998</v>
      </c>
      <c r="O381" s="39">
        <v>0</v>
      </c>
      <c r="P381" s="39">
        <v>2135.04</v>
      </c>
      <c r="Q381" s="34" t="s">
        <v>410</v>
      </c>
      <c r="R381" s="34" t="s">
        <v>26</v>
      </c>
      <c r="S381" s="11" t="s">
        <v>4120</v>
      </c>
    </row>
    <row r="382" spans="1:19" x14ac:dyDescent="0.2">
      <c r="A382" s="33">
        <v>43586</v>
      </c>
      <c r="B382" s="34">
        <v>139</v>
      </c>
      <c r="C382" s="35" t="s">
        <v>554</v>
      </c>
      <c r="D382" s="34" t="str">
        <f>VLOOKUP(C382,'PUR-PARTY MASTER'!$B$4:$E$2000,2,FALSE)</f>
        <v>27AACFA1881H1ZL</v>
      </c>
      <c r="E382" s="34" t="s">
        <v>22</v>
      </c>
      <c r="F382" s="134">
        <v>2035</v>
      </c>
      <c r="G382" s="135">
        <v>43613</v>
      </c>
      <c r="H382" s="34">
        <v>87141900</v>
      </c>
      <c r="I382" s="39">
        <f>VLOOKUP(H382,'PUR-HSN MASTER'!$A$4:$E$5000,5,FALSE)</f>
        <v>28</v>
      </c>
      <c r="J382" s="38">
        <v>400</v>
      </c>
      <c r="K382" s="40">
        <v>1112</v>
      </c>
      <c r="L382" s="39">
        <v>0</v>
      </c>
      <c r="M382" s="39">
        <v>155.67999999999998</v>
      </c>
      <c r="N382" s="39">
        <v>155.67999999999998</v>
      </c>
      <c r="O382" s="39">
        <v>0</v>
      </c>
      <c r="P382" s="39">
        <v>1423.3600000000001</v>
      </c>
      <c r="Q382" s="34" t="s">
        <v>410</v>
      </c>
      <c r="R382" s="34" t="s">
        <v>26</v>
      </c>
      <c r="S382" s="11" t="s">
        <v>4120</v>
      </c>
    </row>
    <row r="383" spans="1:19" x14ac:dyDescent="0.2">
      <c r="A383" s="33">
        <v>43586</v>
      </c>
      <c r="B383" s="34">
        <v>140</v>
      </c>
      <c r="C383" s="35" t="s">
        <v>521</v>
      </c>
      <c r="D383" s="34" t="str">
        <f>VLOOKUP(C383,'PUR-PARTY MASTER'!$B$4:$E$2000,2,FALSE)</f>
        <v>27APHPD1073Q1ZM</v>
      </c>
      <c r="E383" s="34" t="s">
        <v>22</v>
      </c>
      <c r="F383" s="136" t="s">
        <v>663</v>
      </c>
      <c r="G383" s="135">
        <v>43613</v>
      </c>
      <c r="H383" s="34">
        <v>998873</v>
      </c>
      <c r="I383" s="39">
        <f>VLOOKUP(H383,'PUR-HSN MASTER'!$A$4:$E$5000,5,FALSE)</f>
        <v>18</v>
      </c>
      <c r="J383" s="38">
        <v>46</v>
      </c>
      <c r="K383" s="40">
        <v>9200</v>
      </c>
      <c r="L383" s="39">
        <v>0</v>
      </c>
      <c r="M383" s="39">
        <v>828</v>
      </c>
      <c r="N383" s="39">
        <v>828</v>
      </c>
      <c r="O383" s="39">
        <v>0</v>
      </c>
      <c r="P383" s="39">
        <v>10856</v>
      </c>
      <c r="Q383" s="34" t="s">
        <v>410</v>
      </c>
      <c r="R383" s="34" t="s">
        <v>26</v>
      </c>
      <c r="S383" s="11" t="s">
        <v>4120</v>
      </c>
    </row>
    <row r="384" spans="1:19" x14ac:dyDescent="0.2">
      <c r="A384" s="33">
        <v>43586</v>
      </c>
      <c r="B384" s="34"/>
      <c r="C384" s="35" t="s">
        <v>521</v>
      </c>
      <c r="D384" s="34" t="str">
        <f>VLOOKUP(C384,'PUR-PARTY MASTER'!$B$4:$E$2000,2,FALSE)</f>
        <v>27APHPD1073Q1ZM</v>
      </c>
      <c r="E384" s="34" t="s">
        <v>22</v>
      </c>
      <c r="F384" s="136" t="s">
        <v>663</v>
      </c>
      <c r="G384" s="135">
        <v>43613</v>
      </c>
      <c r="H384" s="34">
        <v>84778090</v>
      </c>
      <c r="I384" s="39">
        <f>VLOOKUP(H384,'PUR-HSN MASTER'!$A$4:$E$5000,5,FALSE)</f>
        <v>18</v>
      </c>
      <c r="J384" s="38">
        <v>10</v>
      </c>
      <c r="K384" s="40">
        <v>10000</v>
      </c>
      <c r="L384" s="39">
        <v>0</v>
      </c>
      <c r="M384" s="39">
        <v>900</v>
      </c>
      <c r="N384" s="39">
        <v>900</v>
      </c>
      <c r="O384" s="39">
        <v>0</v>
      </c>
      <c r="P384" s="39">
        <v>11800</v>
      </c>
      <c r="Q384" s="34" t="s">
        <v>410</v>
      </c>
      <c r="R384" s="34" t="s">
        <v>26</v>
      </c>
      <c r="S384" s="11" t="s">
        <v>4120</v>
      </c>
    </row>
    <row r="385" spans="1:19" x14ac:dyDescent="0.2">
      <c r="A385" s="33">
        <v>43586</v>
      </c>
      <c r="B385" s="34">
        <v>141</v>
      </c>
      <c r="C385" s="35" t="s">
        <v>495</v>
      </c>
      <c r="D385" s="34" t="str">
        <f>VLOOKUP(C385,'PUR-PARTY MASTER'!$B$4:$E$2000,2,FALSE)</f>
        <v>27AAACH4211R1ZF</v>
      </c>
      <c r="E385" s="34" t="s">
        <v>22</v>
      </c>
      <c r="F385" s="134">
        <v>5510046442</v>
      </c>
      <c r="G385" s="135">
        <v>43612</v>
      </c>
      <c r="H385" s="34">
        <v>85129000</v>
      </c>
      <c r="I385" s="39">
        <f>VLOOKUP(H385,'PUR-HSN MASTER'!$A$4:$E$5000,5,FALSE)</f>
        <v>18</v>
      </c>
      <c r="J385" s="38">
        <v>1680</v>
      </c>
      <c r="K385" s="40">
        <v>18580.8</v>
      </c>
      <c r="L385" s="39">
        <v>0</v>
      </c>
      <c r="M385" s="39">
        <v>1672.2719999999999</v>
      </c>
      <c r="N385" s="39">
        <v>1672.2719999999999</v>
      </c>
      <c r="O385" s="39">
        <v>0</v>
      </c>
      <c r="P385" s="39">
        <v>21925.344000000001</v>
      </c>
      <c r="Q385" s="34" t="s">
        <v>410</v>
      </c>
      <c r="R385" s="34" t="s">
        <v>26</v>
      </c>
      <c r="S385" s="11" t="s">
        <v>4120</v>
      </c>
    </row>
    <row r="386" spans="1:19" x14ac:dyDescent="0.2">
      <c r="A386" s="33">
        <v>43586</v>
      </c>
      <c r="B386" s="34">
        <v>142</v>
      </c>
      <c r="C386" s="35" t="s">
        <v>495</v>
      </c>
      <c r="D386" s="34" t="str">
        <f>VLOOKUP(C386,'PUR-PARTY MASTER'!$B$4:$E$2000,2,FALSE)</f>
        <v>27AAACH4211R1ZF</v>
      </c>
      <c r="E386" s="34" t="s">
        <v>22</v>
      </c>
      <c r="F386" s="134">
        <v>5510046539</v>
      </c>
      <c r="G386" s="135">
        <v>43613</v>
      </c>
      <c r="H386" s="34">
        <v>85129000</v>
      </c>
      <c r="I386" s="39">
        <f>VLOOKUP(H386,'PUR-HSN MASTER'!$A$4:$E$5000,5,FALSE)</f>
        <v>18</v>
      </c>
      <c r="J386" s="38">
        <v>2160</v>
      </c>
      <c r="K386" s="40">
        <v>23889.599999999999</v>
      </c>
      <c r="L386" s="39">
        <v>0</v>
      </c>
      <c r="M386" s="39">
        <v>2150.0639999999999</v>
      </c>
      <c r="N386" s="39">
        <v>2150.0639999999999</v>
      </c>
      <c r="O386" s="39">
        <v>0</v>
      </c>
      <c r="P386" s="39">
        <v>28189.717999999997</v>
      </c>
      <c r="Q386" s="34" t="s">
        <v>410</v>
      </c>
      <c r="R386" s="34" t="s">
        <v>26</v>
      </c>
      <c r="S386" s="11" t="s">
        <v>4120</v>
      </c>
    </row>
    <row r="387" spans="1:19" x14ac:dyDescent="0.2">
      <c r="A387" s="33">
        <v>43586</v>
      </c>
      <c r="B387" s="34">
        <v>143</v>
      </c>
      <c r="C387" s="35" t="s">
        <v>591</v>
      </c>
      <c r="D387" s="34" t="str">
        <f>VLOOKUP(C387,'PUR-PARTY MASTER'!$B$4:$E$2000,2,FALSE)</f>
        <v>27AAACI6297A1ZN</v>
      </c>
      <c r="E387" s="34" t="s">
        <v>22</v>
      </c>
      <c r="F387" s="136" t="s">
        <v>664</v>
      </c>
      <c r="G387" s="135">
        <v>43612</v>
      </c>
      <c r="H387" s="34">
        <v>3208</v>
      </c>
      <c r="I387" s="39">
        <f>VLOOKUP(H387,'PUR-HSN MASTER'!$A$4:$E$5000,5,FALSE)</f>
        <v>18</v>
      </c>
      <c r="J387" s="38">
        <v>18</v>
      </c>
      <c r="K387" s="40">
        <v>17100</v>
      </c>
      <c r="L387" s="39">
        <v>0</v>
      </c>
      <c r="M387" s="39">
        <v>1539</v>
      </c>
      <c r="N387" s="39">
        <v>1539</v>
      </c>
      <c r="O387" s="39">
        <v>0</v>
      </c>
      <c r="P387" s="39">
        <v>20178</v>
      </c>
      <c r="Q387" s="34" t="s">
        <v>410</v>
      </c>
      <c r="R387" s="34" t="s">
        <v>26</v>
      </c>
      <c r="S387" s="11" t="s">
        <v>4120</v>
      </c>
    </row>
    <row r="388" spans="1:19" x14ac:dyDescent="0.2">
      <c r="A388" s="33">
        <v>43586</v>
      </c>
      <c r="B388" s="34">
        <v>144</v>
      </c>
      <c r="C388" s="35" t="s">
        <v>591</v>
      </c>
      <c r="D388" s="34" t="str">
        <f>VLOOKUP(C388,'PUR-PARTY MASTER'!$B$4:$E$2000,2,FALSE)</f>
        <v>27AAACI6297A1ZN</v>
      </c>
      <c r="E388" s="34" t="s">
        <v>22</v>
      </c>
      <c r="F388" s="136" t="s">
        <v>665</v>
      </c>
      <c r="G388" s="135">
        <v>43613</v>
      </c>
      <c r="H388" s="34">
        <v>3208</v>
      </c>
      <c r="I388" s="39">
        <f>VLOOKUP(H388,'PUR-HSN MASTER'!$A$4:$E$5000,5,FALSE)</f>
        <v>18</v>
      </c>
      <c r="J388" s="38">
        <v>18</v>
      </c>
      <c r="K388" s="40">
        <v>13500</v>
      </c>
      <c r="L388" s="39">
        <v>0</v>
      </c>
      <c r="M388" s="39">
        <v>1215</v>
      </c>
      <c r="N388" s="39">
        <v>1215</v>
      </c>
      <c r="O388" s="39">
        <v>0</v>
      </c>
      <c r="P388" s="39">
        <v>15930</v>
      </c>
      <c r="Q388" s="34" t="s">
        <v>410</v>
      </c>
      <c r="R388" s="34" t="s">
        <v>26</v>
      </c>
      <c r="S388" s="11" t="s">
        <v>4120</v>
      </c>
    </row>
    <row r="389" spans="1:19" x14ac:dyDescent="0.2">
      <c r="A389" s="33">
        <v>43586</v>
      </c>
      <c r="B389" s="34">
        <v>145</v>
      </c>
      <c r="C389" s="35" t="s">
        <v>517</v>
      </c>
      <c r="D389" s="34" t="str">
        <f>VLOOKUP(C389,'PUR-PARTY MASTER'!$B$4:$E$2000,2,FALSE)</f>
        <v>23AAACT6376M1ZZ</v>
      </c>
      <c r="E389" s="34" t="s">
        <v>22</v>
      </c>
      <c r="F389" s="134">
        <v>19605297</v>
      </c>
      <c r="G389" s="135">
        <v>43612</v>
      </c>
      <c r="H389" s="34">
        <v>87081090</v>
      </c>
      <c r="I389" s="39">
        <f>VLOOKUP(H389,'PUR-HSN MASTER'!$A$4:$E$5000,5,FALSE)</f>
        <v>28</v>
      </c>
      <c r="J389" s="38">
        <v>26</v>
      </c>
      <c r="K389" s="40">
        <v>22597.68</v>
      </c>
      <c r="L389" s="39">
        <v>6327.3504000000003</v>
      </c>
      <c r="M389" s="39">
        <v>0</v>
      </c>
      <c r="N389" s="39">
        <v>0</v>
      </c>
      <c r="O389" s="39">
        <v>0</v>
      </c>
      <c r="P389" s="39">
        <v>28925.0304</v>
      </c>
      <c r="Q389" s="34" t="s">
        <v>410</v>
      </c>
      <c r="R389" s="34" t="s">
        <v>106</v>
      </c>
      <c r="S389" s="11" t="s">
        <v>4120</v>
      </c>
    </row>
    <row r="390" spans="1:19" x14ac:dyDescent="0.2">
      <c r="A390" s="33">
        <v>43586</v>
      </c>
      <c r="B390" s="34">
        <v>146</v>
      </c>
      <c r="C390" s="35" t="s">
        <v>666</v>
      </c>
      <c r="D390" s="34" t="str">
        <f>VLOOKUP(C390,'PUR-PARTY MASTER'!$B$4:$E$2000,2,FALSE)</f>
        <v>27AAECP8535C1ZF</v>
      </c>
      <c r="E390" s="34" t="s">
        <v>22</v>
      </c>
      <c r="F390" s="136" t="s">
        <v>668</v>
      </c>
      <c r="G390" s="135">
        <v>43614</v>
      </c>
      <c r="H390" s="34">
        <v>8708</v>
      </c>
      <c r="I390" s="39">
        <f>VLOOKUP(H390,'PUR-HSN MASTER'!$A$4:$E$5000,5,FALSE)</f>
        <v>28</v>
      </c>
      <c r="J390" s="38">
        <v>225</v>
      </c>
      <c r="K390" s="40">
        <v>78423.75</v>
      </c>
      <c r="L390" s="39">
        <v>0</v>
      </c>
      <c r="M390" s="39">
        <v>10979.324999999999</v>
      </c>
      <c r="N390" s="39">
        <v>10979.324999999999</v>
      </c>
      <c r="O390" s="39">
        <v>0</v>
      </c>
      <c r="P390" s="39">
        <v>100382.40999999999</v>
      </c>
      <c r="Q390" s="34" t="s">
        <v>410</v>
      </c>
      <c r="R390" s="34" t="s">
        <v>26</v>
      </c>
      <c r="S390" s="11" t="s">
        <v>4120</v>
      </c>
    </row>
    <row r="391" spans="1:19" x14ac:dyDescent="0.2">
      <c r="A391" s="33">
        <v>43586</v>
      </c>
      <c r="B391" s="34">
        <v>147</v>
      </c>
      <c r="C391" s="35" t="s">
        <v>666</v>
      </c>
      <c r="D391" s="34" t="str">
        <f>VLOOKUP(C391,'PUR-PARTY MASTER'!$B$4:$E$2000,2,FALSE)</f>
        <v>27AAECP8535C1ZF</v>
      </c>
      <c r="E391" s="34" t="s">
        <v>22</v>
      </c>
      <c r="F391" s="136" t="s">
        <v>669</v>
      </c>
      <c r="G391" s="135">
        <v>43614</v>
      </c>
      <c r="H391" s="34">
        <v>8708</v>
      </c>
      <c r="I391" s="39">
        <f>VLOOKUP(H391,'PUR-HSN MASTER'!$A$4:$E$5000,5,FALSE)</f>
        <v>28</v>
      </c>
      <c r="J391" s="38">
        <v>200</v>
      </c>
      <c r="K391" s="40">
        <v>16000</v>
      </c>
      <c r="L391" s="39">
        <v>0</v>
      </c>
      <c r="M391" s="39">
        <v>2240</v>
      </c>
      <c r="N391" s="39">
        <v>2240</v>
      </c>
      <c r="O391" s="39">
        <v>0</v>
      </c>
      <c r="P391" s="39">
        <v>20480</v>
      </c>
      <c r="Q391" s="34" t="s">
        <v>410</v>
      </c>
      <c r="R391" s="34" t="s">
        <v>26</v>
      </c>
      <c r="S391" s="11" t="s">
        <v>4120</v>
      </c>
    </row>
    <row r="392" spans="1:19" x14ac:dyDescent="0.2">
      <c r="A392" s="33">
        <v>43586</v>
      </c>
      <c r="B392" s="34">
        <v>148</v>
      </c>
      <c r="C392" s="35" t="s">
        <v>471</v>
      </c>
      <c r="D392" s="34" t="str">
        <f>VLOOKUP(C392,'PUR-PARTY MASTER'!$B$4:$E$2000,2,FALSE)</f>
        <v>27AAECM8871A1ZF</v>
      </c>
      <c r="E392" s="34" t="s">
        <v>22</v>
      </c>
      <c r="F392" s="134">
        <v>192001932</v>
      </c>
      <c r="G392" s="135">
        <v>43614</v>
      </c>
      <c r="H392" s="34">
        <v>87089900</v>
      </c>
      <c r="I392" s="39">
        <f>VLOOKUP(H392,'PUR-HSN MASTER'!$A$4:$E$5000,5,FALSE)</f>
        <v>28</v>
      </c>
      <c r="J392" s="38">
        <v>12</v>
      </c>
      <c r="K392" s="40">
        <v>17483.52</v>
      </c>
      <c r="L392" s="39">
        <v>0</v>
      </c>
      <c r="M392" s="39">
        <v>2447.6928000000003</v>
      </c>
      <c r="N392" s="39">
        <v>2447.6928000000003</v>
      </c>
      <c r="O392" s="39">
        <v>0</v>
      </c>
      <c r="P392" s="39">
        <v>22378.895600000003</v>
      </c>
      <c r="Q392" s="34" t="s">
        <v>410</v>
      </c>
      <c r="R392" s="34" t="s">
        <v>26</v>
      </c>
      <c r="S392" s="11" t="s">
        <v>4120</v>
      </c>
    </row>
    <row r="393" spans="1:19" x14ac:dyDescent="0.2">
      <c r="A393" s="33">
        <v>43586</v>
      </c>
      <c r="B393" s="34">
        <v>149</v>
      </c>
      <c r="C393" s="35" t="s">
        <v>471</v>
      </c>
      <c r="D393" s="34" t="str">
        <f>VLOOKUP(C393,'PUR-PARTY MASTER'!$B$4:$E$2000,2,FALSE)</f>
        <v>27AAECM8871A1ZF</v>
      </c>
      <c r="E393" s="34" t="s">
        <v>22</v>
      </c>
      <c r="F393" s="134">
        <v>192001933</v>
      </c>
      <c r="G393" s="135">
        <v>43614</v>
      </c>
      <c r="H393" s="34">
        <v>87089900</v>
      </c>
      <c r="I393" s="39">
        <f>VLOOKUP(H393,'PUR-HSN MASTER'!$A$4:$E$5000,5,FALSE)</f>
        <v>28</v>
      </c>
      <c r="J393" s="38">
        <v>12</v>
      </c>
      <c r="K393" s="40">
        <v>17483.52</v>
      </c>
      <c r="L393" s="39">
        <v>0</v>
      </c>
      <c r="M393" s="39">
        <v>2447.6928000000003</v>
      </c>
      <c r="N393" s="39">
        <v>2447.6928000000003</v>
      </c>
      <c r="O393" s="39">
        <v>0</v>
      </c>
      <c r="P393" s="39">
        <v>22378.895600000003</v>
      </c>
      <c r="Q393" s="34" t="s">
        <v>410</v>
      </c>
      <c r="R393" s="34" t="s">
        <v>26</v>
      </c>
      <c r="S393" s="11" t="s">
        <v>4120</v>
      </c>
    </row>
    <row r="394" spans="1:19" x14ac:dyDescent="0.2">
      <c r="A394" s="33">
        <v>43586</v>
      </c>
      <c r="B394" s="34">
        <v>150</v>
      </c>
      <c r="C394" s="35" t="s">
        <v>554</v>
      </c>
      <c r="D394" s="34" t="str">
        <f>VLOOKUP(C394,'PUR-PARTY MASTER'!$B$4:$E$2000,2,FALSE)</f>
        <v>27AACFA1881H1ZL</v>
      </c>
      <c r="E394" s="34" t="s">
        <v>22</v>
      </c>
      <c r="F394" s="134">
        <v>2094</v>
      </c>
      <c r="G394" s="135">
        <v>43614</v>
      </c>
      <c r="H394" s="34">
        <v>87141900</v>
      </c>
      <c r="I394" s="39">
        <f>VLOOKUP(H394,'PUR-HSN MASTER'!$A$4:$E$5000,5,FALSE)</f>
        <v>28</v>
      </c>
      <c r="J394" s="38">
        <v>600</v>
      </c>
      <c r="K394" s="40">
        <v>1668</v>
      </c>
      <c r="L394" s="39">
        <v>0</v>
      </c>
      <c r="M394" s="39">
        <v>233.51999999999998</v>
      </c>
      <c r="N394" s="39">
        <v>233.51999999999998</v>
      </c>
      <c r="O394" s="39">
        <v>0</v>
      </c>
      <c r="P394" s="39">
        <v>2135.04</v>
      </c>
      <c r="Q394" s="34" t="s">
        <v>410</v>
      </c>
      <c r="R394" s="34" t="s">
        <v>26</v>
      </c>
      <c r="S394" s="11" t="s">
        <v>4120</v>
      </c>
    </row>
    <row r="395" spans="1:19" x14ac:dyDescent="0.2">
      <c r="A395" s="33">
        <v>43586</v>
      </c>
      <c r="B395" s="34">
        <v>151</v>
      </c>
      <c r="C395" s="35" t="s">
        <v>601</v>
      </c>
      <c r="D395" s="34" t="str">
        <f>VLOOKUP(C395,'PUR-PARTY MASTER'!$B$4:$E$2000,2,FALSE)</f>
        <v>27AAZFM6461A1ZY</v>
      </c>
      <c r="E395" s="34" t="s">
        <v>22</v>
      </c>
      <c r="F395" s="134">
        <v>1542</v>
      </c>
      <c r="G395" s="135">
        <v>43614</v>
      </c>
      <c r="H395" s="34">
        <v>87082900</v>
      </c>
      <c r="I395" s="39">
        <f>VLOOKUP(H395,'PUR-HSN MASTER'!$A$4:$E$5000,5,FALSE)</f>
        <v>28</v>
      </c>
      <c r="J395" s="38">
        <v>400</v>
      </c>
      <c r="K395" s="40">
        <v>17028</v>
      </c>
      <c r="L395" s="39">
        <v>0</v>
      </c>
      <c r="M395" s="39">
        <v>2383.92</v>
      </c>
      <c r="N395" s="39">
        <v>2383.92</v>
      </c>
      <c r="O395" s="39">
        <v>0</v>
      </c>
      <c r="P395" s="39">
        <v>21795.839999999997</v>
      </c>
      <c r="Q395" s="34" t="s">
        <v>410</v>
      </c>
      <c r="R395" s="34" t="s">
        <v>26</v>
      </c>
      <c r="S395" s="11" t="s">
        <v>4120</v>
      </c>
    </row>
    <row r="396" spans="1:19" x14ac:dyDescent="0.2">
      <c r="A396" s="33">
        <v>43586</v>
      </c>
      <c r="B396" s="34">
        <v>152</v>
      </c>
      <c r="C396" s="35" t="s">
        <v>601</v>
      </c>
      <c r="D396" s="34" t="str">
        <f>VLOOKUP(C396,'PUR-PARTY MASTER'!$B$4:$E$2000,2,FALSE)</f>
        <v>27AAZFM6461A1ZY</v>
      </c>
      <c r="E396" s="34" t="s">
        <v>22</v>
      </c>
      <c r="F396" s="134">
        <v>1543</v>
      </c>
      <c r="G396" s="135">
        <v>43614</v>
      </c>
      <c r="H396" s="34">
        <v>87082900</v>
      </c>
      <c r="I396" s="39">
        <f>VLOOKUP(H396,'PUR-HSN MASTER'!$A$4:$E$5000,5,FALSE)</f>
        <v>28</v>
      </c>
      <c r="J396" s="38">
        <v>780</v>
      </c>
      <c r="K396" s="40">
        <v>17409.599999999999</v>
      </c>
      <c r="L396" s="39">
        <v>0</v>
      </c>
      <c r="M396" s="39">
        <v>2437.3439999999996</v>
      </c>
      <c r="N396" s="39">
        <v>2437.3439999999996</v>
      </c>
      <c r="O396" s="39">
        <v>0</v>
      </c>
      <c r="P396" s="39">
        <v>22284.278000000002</v>
      </c>
      <c r="Q396" s="34" t="s">
        <v>410</v>
      </c>
      <c r="R396" s="34" t="s">
        <v>26</v>
      </c>
      <c r="S396" s="11" t="s">
        <v>4120</v>
      </c>
    </row>
    <row r="397" spans="1:19" x14ac:dyDescent="0.2">
      <c r="A397" s="33">
        <v>43586</v>
      </c>
      <c r="B397" s="34">
        <v>153</v>
      </c>
      <c r="C397" s="35" t="s">
        <v>554</v>
      </c>
      <c r="D397" s="34" t="str">
        <f>VLOOKUP(C397,'PUR-PARTY MASTER'!$B$4:$E$2000,2,FALSE)</f>
        <v>27AACFA1881H1ZL</v>
      </c>
      <c r="E397" s="34" t="s">
        <v>22</v>
      </c>
      <c r="F397" s="134">
        <v>2094</v>
      </c>
      <c r="G397" s="135">
        <v>43615</v>
      </c>
      <c r="H397" s="34">
        <v>87141900</v>
      </c>
      <c r="I397" s="39">
        <f>VLOOKUP(H397,'PUR-HSN MASTER'!$A$4:$E$5000,5,FALSE)</f>
        <v>28</v>
      </c>
      <c r="J397" s="38">
        <v>800</v>
      </c>
      <c r="K397" s="40">
        <v>2224</v>
      </c>
      <c r="L397" s="39">
        <v>0</v>
      </c>
      <c r="M397" s="39">
        <v>311.35999999999996</v>
      </c>
      <c r="N397" s="39">
        <v>311.35999999999996</v>
      </c>
      <c r="O397" s="39">
        <v>0</v>
      </c>
      <c r="P397" s="39">
        <v>2846.7200000000003</v>
      </c>
      <c r="Q397" s="34" t="s">
        <v>410</v>
      </c>
      <c r="R397" s="34" t="s">
        <v>26</v>
      </c>
      <c r="S397" s="11" t="s">
        <v>4120</v>
      </c>
    </row>
    <row r="398" spans="1:19" x14ac:dyDescent="0.2">
      <c r="A398" s="33">
        <v>43586</v>
      </c>
      <c r="B398" s="34">
        <v>154</v>
      </c>
      <c r="C398" s="35" t="s">
        <v>471</v>
      </c>
      <c r="D398" s="34" t="str">
        <f>VLOOKUP(C398,'PUR-PARTY MASTER'!$B$4:$E$2000,2,FALSE)</f>
        <v>27AAECM8871A1ZF</v>
      </c>
      <c r="E398" s="34" t="s">
        <v>22</v>
      </c>
      <c r="F398" s="134">
        <v>192001968</v>
      </c>
      <c r="G398" s="135">
        <v>43615</v>
      </c>
      <c r="H398" s="34">
        <v>87089900</v>
      </c>
      <c r="I398" s="39">
        <f>VLOOKUP(H398,'PUR-HSN MASTER'!$A$4:$E$5000,5,FALSE)</f>
        <v>28</v>
      </c>
      <c r="J398" s="38">
        <v>12</v>
      </c>
      <c r="K398" s="40">
        <v>17483.52</v>
      </c>
      <c r="L398" s="39">
        <v>0</v>
      </c>
      <c r="M398" s="39">
        <v>2447.6928000000003</v>
      </c>
      <c r="N398" s="39">
        <v>2447.6928000000003</v>
      </c>
      <c r="O398" s="39">
        <v>0</v>
      </c>
      <c r="P398" s="39">
        <v>22378.895600000003</v>
      </c>
      <c r="Q398" s="34" t="s">
        <v>410</v>
      </c>
      <c r="R398" s="34" t="s">
        <v>26</v>
      </c>
      <c r="S398" s="11" t="s">
        <v>4120</v>
      </c>
    </row>
    <row r="399" spans="1:19" x14ac:dyDescent="0.2">
      <c r="A399" s="33">
        <v>43586</v>
      </c>
      <c r="B399" s="34">
        <v>155</v>
      </c>
      <c r="C399" s="35" t="s">
        <v>670</v>
      </c>
      <c r="D399" s="34" t="str">
        <f>VLOOKUP(C399,'PUR-PARTY MASTER'!$B$4:$E$2000,2,FALSE)</f>
        <v>27ABDFS1863M1ZR</v>
      </c>
      <c r="E399" s="34" t="s">
        <v>22</v>
      </c>
      <c r="F399" s="136" t="s">
        <v>672</v>
      </c>
      <c r="G399" s="135">
        <v>43616</v>
      </c>
      <c r="H399" s="34">
        <v>7318</v>
      </c>
      <c r="I399" s="39">
        <f>VLOOKUP(H399,'PUR-HSN MASTER'!$A$4:$E$5000,5,FALSE)</f>
        <v>18</v>
      </c>
      <c r="J399" s="38">
        <v>200</v>
      </c>
      <c r="K399" s="40">
        <v>660</v>
      </c>
      <c r="L399" s="39">
        <v>0</v>
      </c>
      <c r="M399" s="39">
        <v>59.4</v>
      </c>
      <c r="N399" s="39">
        <v>59.4</v>
      </c>
      <c r="O399" s="39">
        <v>0</v>
      </c>
      <c r="P399" s="39">
        <v>779</v>
      </c>
      <c r="Q399" s="34" t="s">
        <v>410</v>
      </c>
      <c r="R399" s="34" t="s">
        <v>26</v>
      </c>
      <c r="S399" s="11" t="s">
        <v>4120</v>
      </c>
    </row>
    <row r="400" spans="1:19" x14ac:dyDescent="0.2">
      <c r="A400" s="33">
        <v>43586</v>
      </c>
      <c r="B400" s="34">
        <v>156</v>
      </c>
      <c r="C400" s="35" t="s">
        <v>673</v>
      </c>
      <c r="D400" s="34" t="str">
        <f>VLOOKUP(C400,'PUR-PARTY MASTER'!$B$4:$E$2000,2,FALSE)</f>
        <v>27AAFCD5233J1ZM</v>
      </c>
      <c r="E400" s="34" t="s">
        <v>22</v>
      </c>
      <c r="F400" s="136" t="s">
        <v>675</v>
      </c>
      <c r="G400" s="135">
        <v>43614</v>
      </c>
      <c r="H400" s="34" t="s">
        <v>676</v>
      </c>
      <c r="I400" s="39">
        <f>VLOOKUP(H400,'PUR-HSN MASTER'!$A$4:$E$5000,5,FALSE)</f>
        <v>18</v>
      </c>
      <c r="J400" s="38">
        <v>0</v>
      </c>
      <c r="K400" s="40">
        <v>23296</v>
      </c>
      <c r="L400" s="39">
        <v>0</v>
      </c>
      <c r="M400" s="39">
        <v>2096.64</v>
      </c>
      <c r="N400" s="39">
        <v>2096.64</v>
      </c>
      <c r="O400" s="39">
        <v>0</v>
      </c>
      <c r="P400" s="39">
        <v>56852.28</v>
      </c>
      <c r="Q400" s="34" t="s">
        <v>410</v>
      </c>
      <c r="R400" s="34" t="s">
        <v>26</v>
      </c>
      <c r="S400" s="11" t="s">
        <v>4120</v>
      </c>
    </row>
    <row r="401" spans="1:19" x14ac:dyDescent="0.2">
      <c r="A401" s="33">
        <v>43586</v>
      </c>
      <c r="B401" s="34">
        <v>157</v>
      </c>
      <c r="C401" s="35" t="s">
        <v>517</v>
      </c>
      <c r="D401" s="34" t="str">
        <f>VLOOKUP(C401,'PUR-PARTY MASTER'!$B$4:$E$2000,2,FALSE)</f>
        <v>23AAACT6376M1ZZ</v>
      </c>
      <c r="E401" s="34" t="s">
        <v>22</v>
      </c>
      <c r="F401" s="134">
        <v>19605541</v>
      </c>
      <c r="G401" s="135">
        <v>43615</v>
      </c>
      <c r="H401" s="34">
        <v>87081090</v>
      </c>
      <c r="I401" s="39">
        <f>VLOOKUP(H401,'PUR-HSN MASTER'!$A$4:$E$5000,5,FALSE)</f>
        <v>28</v>
      </c>
      <c r="J401" s="38">
        <v>30</v>
      </c>
      <c r="K401" s="40">
        <v>27117</v>
      </c>
      <c r="L401" s="39">
        <v>7592.76</v>
      </c>
      <c r="M401" s="39">
        <v>0</v>
      </c>
      <c r="N401" s="39">
        <v>0</v>
      </c>
      <c r="O401" s="39">
        <v>0</v>
      </c>
      <c r="P401" s="39">
        <v>34709.760000000002</v>
      </c>
      <c r="Q401" s="34" t="s">
        <v>410</v>
      </c>
      <c r="R401" s="34" t="s">
        <v>106</v>
      </c>
      <c r="S401" s="11" t="s">
        <v>4120</v>
      </c>
    </row>
    <row r="402" spans="1:19" x14ac:dyDescent="0.2">
      <c r="A402" s="33">
        <v>43586</v>
      </c>
      <c r="B402" s="34">
        <v>158</v>
      </c>
      <c r="C402" s="35" t="s">
        <v>677</v>
      </c>
      <c r="D402" s="34" t="str">
        <f>VLOOKUP(C402,'PUR-PARTY MASTER'!$B$4:$E$2000,2,FALSE)</f>
        <v>06AAACM6984G1Z9</v>
      </c>
      <c r="E402" s="34" t="s">
        <v>22</v>
      </c>
      <c r="F402" s="136" t="s">
        <v>679</v>
      </c>
      <c r="G402" s="135">
        <v>43606</v>
      </c>
      <c r="H402" s="34">
        <v>87081090</v>
      </c>
      <c r="I402" s="39">
        <f>VLOOKUP(H402,'PUR-HSN MASTER'!$A$4:$E$5000,5,FALSE)</f>
        <v>28</v>
      </c>
      <c r="J402" s="38">
        <v>500</v>
      </c>
      <c r="K402" s="40">
        <v>22615</v>
      </c>
      <c r="L402" s="39">
        <v>6332.2</v>
      </c>
      <c r="M402" s="39">
        <v>0</v>
      </c>
      <c r="N402" s="39">
        <v>0</v>
      </c>
      <c r="O402" s="39">
        <v>0</v>
      </c>
      <c r="P402" s="39">
        <v>28947.200000000001</v>
      </c>
      <c r="Q402" s="34" t="s">
        <v>410</v>
      </c>
      <c r="R402" s="34" t="s">
        <v>106</v>
      </c>
      <c r="S402" s="11" t="s">
        <v>4120</v>
      </c>
    </row>
    <row r="403" spans="1:19" x14ac:dyDescent="0.2">
      <c r="A403" s="33">
        <v>43586</v>
      </c>
      <c r="B403" s="34">
        <v>159</v>
      </c>
      <c r="C403" s="35" t="s">
        <v>589</v>
      </c>
      <c r="D403" s="34" t="str">
        <f>VLOOKUP(C403,'PUR-PARTY MASTER'!$B$4:$E$2000,2,FALSE)</f>
        <v>27CVNPK1560R1ZT</v>
      </c>
      <c r="E403" s="34" t="s">
        <v>22</v>
      </c>
      <c r="F403" s="134">
        <v>9</v>
      </c>
      <c r="G403" s="135">
        <v>43616</v>
      </c>
      <c r="H403" s="34">
        <v>73110010</v>
      </c>
      <c r="I403" s="39">
        <f>VLOOKUP(H403,'PUR-HSN MASTER'!$A$4:$E$5000,5,FALSE)</f>
        <v>18</v>
      </c>
      <c r="J403" s="38">
        <v>75</v>
      </c>
      <c r="K403" s="40">
        <v>202181.4</v>
      </c>
      <c r="L403" s="39">
        <v>0</v>
      </c>
      <c r="M403" s="39">
        <v>18196.325999999997</v>
      </c>
      <c r="N403" s="39">
        <v>18196.325999999997</v>
      </c>
      <c r="O403" s="39">
        <v>0</v>
      </c>
      <c r="P403" s="39">
        <v>238574.052</v>
      </c>
      <c r="Q403" s="34" t="s">
        <v>410</v>
      </c>
      <c r="R403" s="34" t="s">
        <v>26</v>
      </c>
      <c r="S403" s="11" t="s">
        <v>4120</v>
      </c>
    </row>
    <row r="404" spans="1:19" x14ac:dyDescent="0.2">
      <c r="A404" s="33">
        <v>43586</v>
      </c>
      <c r="B404" s="34">
        <v>160</v>
      </c>
      <c r="C404" s="35" t="s">
        <v>551</v>
      </c>
      <c r="D404" s="34" t="str">
        <f>VLOOKUP(C404,'PUR-PARTY MASTER'!$B$4:$E$2000,2,FALSE)</f>
        <v>27AHVPG8951G1ZQ</v>
      </c>
      <c r="E404" s="34" t="s">
        <v>22</v>
      </c>
      <c r="F404" s="136" t="s">
        <v>680</v>
      </c>
      <c r="G404" s="135">
        <v>43616</v>
      </c>
      <c r="H404" s="34">
        <v>37079090</v>
      </c>
      <c r="I404" s="39">
        <f>VLOOKUP(H404,'PUR-HSN MASTER'!$A$4:$E$5000,5,FALSE)</f>
        <v>18</v>
      </c>
      <c r="J404" s="38">
        <v>1</v>
      </c>
      <c r="K404" s="40">
        <v>300</v>
      </c>
      <c r="L404" s="39">
        <v>0</v>
      </c>
      <c r="M404" s="39">
        <v>27</v>
      </c>
      <c r="N404" s="39">
        <v>27</v>
      </c>
      <c r="O404" s="39">
        <v>0</v>
      </c>
      <c r="P404" s="39">
        <v>354</v>
      </c>
      <c r="Q404" s="34" t="s">
        <v>410</v>
      </c>
      <c r="R404" s="34" t="s">
        <v>26</v>
      </c>
      <c r="S404" s="11" t="s">
        <v>4120</v>
      </c>
    </row>
    <row r="405" spans="1:19" x14ac:dyDescent="0.2">
      <c r="A405" s="33">
        <v>43586</v>
      </c>
      <c r="B405" s="34">
        <v>161</v>
      </c>
      <c r="C405" s="35" t="s">
        <v>514</v>
      </c>
      <c r="D405" s="34" t="str">
        <f>VLOOKUP(C405,'PUR-PARTY MASTER'!$B$4:$E$2000,2,FALSE)</f>
        <v>27AAACU2414K1ZF</v>
      </c>
      <c r="E405" s="34" t="s">
        <v>22</v>
      </c>
      <c r="F405" s="136" t="s">
        <v>681</v>
      </c>
      <c r="G405" s="135">
        <v>43600</v>
      </c>
      <c r="H405" s="34">
        <v>9971</v>
      </c>
      <c r="I405" s="39">
        <f>VLOOKUP(H405,'PUR-HSN MASTER'!$A$4:$E$5000,5,FALSE)</f>
        <v>18</v>
      </c>
      <c r="J405" s="38">
        <v>0</v>
      </c>
      <c r="K405" s="40">
        <v>15</v>
      </c>
      <c r="L405" s="39">
        <v>0</v>
      </c>
      <c r="M405" s="39">
        <v>1.3499999999999999</v>
      </c>
      <c r="N405" s="39">
        <v>1.3499999999999999</v>
      </c>
      <c r="O405" s="39">
        <v>0</v>
      </c>
      <c r="P405" s="39">
        <v>17.700000000000003</v>
      </c>
      <c r="Q405" s="34" t="s">
        <v>411</v>
      </c>
      <c r="R405" s="34" t="s">
        <v>26</v>
      </c>
      <c r="S405" s="11" t="s">
        <v>4120</v>
      </c>
    </row>
    <row r="406" spans="1:19" x14ac:dyDescent="0.2">
      <c r="A406" s="33">
        <v>43586</v>
      </c>
      <c r="B406" s="34">
        <v>162</v>
      </c>
      <c r="C406" s="35" t="s">
        <v>682</v>
      </c>
      <c r="D406" s="34" t="str">
        <f>VLOOKUP(C406,'PUR-PARTY MASTER'!$B$4:$E$2000,2,FALSE)</f>
        <v>27AACCV17226H1ZE</v>
      </c>
      <c r="E406" s="34" t="s">
        <v>22</v>
      </c>
      <c r="F406" s="627" t="s">
        <v>684</v>
      </c>
      <c r="G406" s="231">
        <v>42491</v>
      </c>
      <c r="H406" s="34">
        <v>998873</v>
      </c>
      <c r="I406" s="39">
        <f>VLOOKUP(H406,'PUR-HSN MASTER'!$A$4:$E$5000,5,FALSE)</f>
        <v>18</v>
      </c>
      <c r="J406" s="38">
        <v>0</v>
      </c>
      <c r="K406" s="40">
        <v>3939</v>
      </c>
      <c r="L406" s="39">
        <v>0</v>
      </c>
      <c r="M406" s="39">
        <v>354.51</v>
      </c>
      <c r="N406" s="39">
        <v>354.51</v>
      </c>
      <c r="O406" s="39">
        <v>0</v>
      </c>
      <c r="P406" s="39">
        <v>4648.0200000000004</v>
      </c>
      <c r="Q406" s="34" t="s">
        <v>410</v>
      </c>
      <c r="R406" s="34" t="s">
        <v>26</v>
      </c>
      <c r="S406" s="11" t="s">
        <v>4120</v>
      </c>
    </row>
    <row r="407" spans="1:19" x14ac:dyDescent="0.2">
      <c r="A407" s="33">
        <v>43586</v>
      </c>
      <c r="B407" s="34">
        <v>162</v>
      </c>
      <c r="C407" s="35" t="s">
        <v>682</v>
      </c>
      <c r="D407" s="34" t="str">
        <f>VLOOKUP(C407,'PUR-PARTY MASTER'!$B$4:$E$2000,2,FALSE)</f>
        <v>27AACCV17226H1ZE</v>
      </c>
      <c r="E407" s="34" t="s">
        <v>22</v>
      </c>
      <c r="F407" s="627" t="s">
        <v>684</v>
      </c>
      <c r="G407" s="231">
        <v>42491</v>
      </c>
      <c r="H407" s="34">
        <v>8415</v>
      </c>
      <c r="I407" s="39">
        <f>VLOOKUP(H407,'PUR-HSN MASTER'!$A$4:$E$5000,5,FALSE)</f>
        <v>28</v>
      </c>
      <c r="J407" s="38">
        <v>0</v>
      </c>
      <c r="K407" s="40">
        <v>24953</v>
      </c>
      <c r="L407" s="39">
        <v>0</v>
      </c>
      <c r="M407" s="39">
        <v>3493.42</v>
      </c>
      <c r="N407" s="39">
        <v>3493.42</v>
      </c>
      <c r="O407" s="39">
        <v>0</v>
      </c>
      <c r="P407" s="39">
        <v>31939.839999999997</v>
      </c>
      <c r="Q407" s="34" t="s">
        <v>410</v>
      </c>
      <c r="R407" s="34" t="s">
        <v>26</v>
      </c>
      <c r="S407" s="11" t="s">
        <v>4120</v>
      </c>
    </row>
    <row r="408" spans="1:19" x14ac:dyDescent="0.2">
      <c r="A408" s="33">
        <v>43586</v>
      </c>
      <c r="B408" s="34">
        <v>2</v>
      </c>
      <c r="C408" s="35" t="s">
        <v>600</v>
      </c>
      <c r="D408" s="34">
        <f>VLOOKUP(C408,'PUR-PARTY MASTER'!$B$4:$E$2000,2,FALSE)</f>
        <v>2</v>
      </c>
      <c r="E408" s="34" t="s">
        <v>22</v>
      </c>
      <c r="F408" s="136"/>
      <c r="G408" s="135"/>
      <c r="H408" s="34"/>
      <c r="I408" s="39" t="e">
        <f>VLOOKUP(H408,'PUR-HSN MASTER'!$A$4:$E$5000,5,FALSE)</f>
        <v>#N/A</v>
      </c>
      <c r="J408" s="38"/>
      <c r="K408" s="40">
        <v>0</v>
      </c>
      <c r="L408" s="39"/>
      <c r="M408" s="39"/>
      <c r="N408" s="39"/>
      <c r="O408" s="39"/>
      <c r="P408" s="39">
        <v>17400</v>
      </c>
      <c r="Q408" s="34" t="s">
        <v>413</v>
      </c>
      <c r="R408" s="34" t="e">
        <v>#N/A</v>
      </c>
      <c r="S408" s="11" t="s">
        <v>4120</v>
      </c>
    </row>
    <row r="409" spans="1:19" x14ac:dyDescent="0.2">
      <c r="A409" s="33">
        <v>43586</v>
      </c>
      <c r="B409" s="34">
        <v>3</v>
      </c>
      <c r="C409" s="35" t="s">
        <v>673</v>
      </c>
      <c r="D409" s="34" t="str">
        <f>VLOOKUP(C409,'PUR-PARTY MASTER'!$B$4:$E$2000,2,FALSE)</f>
        <v>27AAFCD5233J1ZM</v>
      </c>
      <c r="E409" s="34" t="s">
        <v>22</v>
      </c>
      <c r="F409" s="136" t="s">
        <v>685</v>
      </c>
      <c r="G409" s="135">
        <v>43601</v>
      </c>
      <c r="H409" s="34"/>
      <c r="I409" s="39" t="e">
        <f>VLOOKUP(H409,'PUR-HSN MASTER'!$A$4:$E$5000,5,FALSE)</f>
        <v>#N/A</v>
      </c>
      <c r="J409" s="38"/>
      <c r="K409" s="40">
        <v>0</v>
      </c>
      <c r="L409" s="39"/>
      <c r="M409" s="39"/>
      <c r="N409" s="39"/>
      <c r="O409" s="39"/>
      <c r="P409" s="39">
        <v>4500</v>
      </c>
      <c r="Q409" s="34" t="s">
        <v>413</v>
      </c>
      <c r="R409" s="34" t="s">
        <v>26</v>
      </c>
      <c r="S409" s="11" t="s">
        <v>4120</v>
      </c>
    </row>
    <row r="410" spans="1:19" x14ac:dyDescent="0.2">
      <c r="A410" s="33">
        <v>43586</v>
      </c>
      <c r="B410" s="34">
        <v>4</v>
      </c>
      <c r="C410" s="35" t="s">
        <v>686</v>
      </c>
      <c r="D410" s="34" t="str">
        <f>VLOOKUP(C410,'PUR-PARTY MASTER'!$B$4:$E$2000,2,FALSE)</f>
        <v>23AAFFO4378L1ZX</v>
      </c>
      <c r="E410" s="34" t="s">
        <v>22</v>
      </c>
      <c r="F410" s="136">
        <v>1460</v>
      </c>
      <c r="G410" s="135">
        <v>43613</v>
      </c>
      <c r="H410" s="34"/>
      <c r="I410" s="39" t="e">
        <f>VLOOKUP(H410,'PUR-HSN MASTER'!$A$4:$E$5000,5,FALSE)</f>
        <v>#N/A</v>
      </c>
      <c r="J410" s="38"/>
      <c r="K410" s="40">
        <v>0</v>
      </c>
      <c r="L410" s="39"/>
      <c r="M410" s="39"/>
      <c r="N410" s="39"/>
      <c r="O410" s="39"/>
      <c r="P410" s="39">
        <v>4550</v>
      </c>
      <c r="Q410" s="34" t="s">
        <v>413</v>
      </c>
      <c r="R410" s="34" t="s">
        <v>106</v>
      </c>
      <c r="S410" s="11" t="s">
        <v>4120</v>
      </c>
    </row>
    <row r="411" spans="1:19" x14ac:dyDescent="0.2">
      <c r="A411" s="33">
        <v>43586</v>
      </c>
      <c r="B411" s="34">
        <v>5</v>
      </c>
      <c r="C411" s="35" t="s">
        <v>686</v>
      </c>
      <c r="D411" s="34" t="str">
        <f>VLOOKUP(C411,'PUR-PARTY MASTER'!$B$4:$E$2000,2,FALSE)</f>
        <v>23AAFFO4378L1ZX</v>
      </c>
      <c r="E411" s="34" t="s">
        <v>22</v>
      </c>
      <c r="F411" s="136">
        <v>1423</v>
      </c>
      <c r="G411" s="135">
        <v>43615</v>
      </c>
      <c r="H411" s="34"/>
      <c r="I411" s="39" t="e">
        <f>VLOOKUP(H411,'PUR-HSN MASTER'!$A$4:$E$5000,5,FALSE)</f>
        <v>#N/A</v>
      </c>
      <c r="J411" s="38"/>
      <c r="K411" s="40">
        <v>0</v>
      </c>
      <c r="L411" s="39"/>
      <c r="M411" s="39"/>
      <c r="N411" s="39"/>
      <c r="O411" s="39"/>
      <c r="P411" s="39">
        <v>6860</v>
      </c>
      <c r="Q411" s="34" t="s">
        <v>413</v>
      </c>
      <c r="R411" s="34" t="s">
        <v>106</v>
      </c>
      <c r="S411" s="11" t="s">
        <v>4120</v>
      </c>
    </row>
    <row r="412" spans="1:19" x14ac:dyDescent="0.2">
      <c r="A412" s="33">
        <v>43586</v>
      </c>
      <c r="B412" s="34">
        <v>6</v>
      </c>
      <c r="C412" s="35" t="s">
        <v>686</v>
      </c>
      <c r="D412" s="34" t="str">
        <f>VLOOKUP(C412,'PUR-PARTY MASTER'!$B$4:$E$2000,2,FALSE)</f>
        <v>23AAFFO4378L1ZX</v>
      </c>
      <c r="E412" s="34" t="s">
        <v>22</v>
      </c>
      <c r="F412" s="136">
        <v>1346</v>
      </c>
      <c r="G412" s="135">
        <v>43615</v>
      </c>
      <c r="H412" s="34"/>
      <c r="I412" s="39" t="e">
        <f>VLOOKUP(H412,'PUR-HSN MASTER'!$A$4:$E$5000,5,FALSE)</f>
        <v>#N/A</v>
      </c>
      <c r="J412" s="38"/>
      <c r="K412" s="40">
        <v>0</v>
      </c>
      <c r="L412" s="39"/>
      <c r="M412" s="39"/>
      <c r="N412" s="39"/>
      <c r="O412" s="39"/>
      <c r="P412" s="39">
        <v>8250</v>
      </c>
      <c r="Q412" s="34" t="s">
        <v>413</v>
      </c>
      <c r="R412" s="34" t="s">
        <v>106</v>
      </c>
      <c r="S412" s="11" t="s">
        <v>4120</v>
      </c>
    </row>
    <row r="413" spans="1:19" x14ac:dyDescent="0.2">
      <c r="A413" s="33">
        <v>43586</v>
      </c>
      <c r="B413" s="34">
        <v>7</v>
      </c>
      <c r="C413" s="35" t="s">
        <v>686</v>
      </c>
      <c r="D413" s="34" t="str">
        <f>VLOOKUP(C413,'PUR-PARTY MASTER'!$B$4:$E$2000,2,FALSE)</f>
        <v>23AAFFO4378L1ZX</v>
      </c>
      <c r="E413" s="34" t="s">
        <v>22</v>
      </c>
      <c r="F413" s="136">
        <v>1372</v>
      </c>
      <c r="G413" s="135">
        <v>43615</v>
      </c>
      <c r="H413" s="34"/>
      <c r="I413" s="39" t="e">
        <f>VLOOKUP(H413,'PUR-HSN MASTER'!$A$4:$E$5000,5,FALSE)</f>
        <v>#N/A</v>
      </c>
      <c r="J413" s="38"/>
      <c r="K413" s="40">
        <v>0</v>
      </c>
      <c r="L413" s="39"/>
      <c r="M413" s="39"/>
      <c r="N413" s="39"/>
      <c r="O413" s="39"/>
      <c r="P413" s="39">
        <v>4000</v>
      </c>
      <c r="Q413" s="34" t="s">
        <v>413</v>
      </c>
      <c r="R413" s="34" t="s">
        <v>106</v>
      </c>
      <c r="S413" s="11" t="s">
        <v>4120</v>
      </c>
    </row>
    <row r="414" spans="1:19" x14ac:dyDescent="0.2">
      <c r="A414" s="33">
        <v>43586</v>
      </c>
      <c r="B414" s="122"/>
      <c r="C414" s="34" t="s">
        <v>688</v>
      </c>
      <c r="D414" s="34">
        <f>VLOOKUP(C414,'PUR-PARTY MASTER'!$B$4:$E$2000,2,FALSE)</f>
        <v>1</v>
      </c>
      <c r="E414" s="34" t="s">
        <v>22</v>
      </c>
      <c r="F414" s="626"/>
      <c r="G414" s="122"/>
      <c r="H414" s="34">
        <v>39206290</v>
      </c>
      <c r="I414" s="39">
        <f>VLOOKUP(H414,'PUR-HSN MASTER'!$A$4:$E$5000,5,FALSE)</f>
        <v>18</v>
      </c>
      <c r="J414" s="122"/>
      <c r="K414" s="39">
        <v>567427.30000000005</v>
      </c>
      <c r="L414" s="39">
        <v>102136.914</v>
      </c>
      <c r="M414" s="39">
        <v>0</v>
      </c>
      <c r="N414" s="39">
        <v>0</v>
      </c>
      <c r="O414" s="39">
        <v>0</v>
      </c>
      <c r="P414" s="39">
        <v>488218.86</v>
      </c>
      <c r="Q414" s="34" t="s">
        <v>407</v>
      </c>
      <c r="R414" s="34" t="e">
        <v>#N/A</v>
      </c>
      <c r="S414" s="11" t="s">
        <v>4120</v>
      </c>
    </row>
    <row r="415" spans="1:19" x14ac:dyDescent="0.2">
      <c r="A415" s="33">
        <v>43586</v>
      </c>
      <c r="B415" s="122"/>
      <c r="C415" s="35" t="s">
        <v>482</v>
      </c>
      <c r="D415" s="34" t="str">
        <f>VLOOKUP(C415,'PUR-PARTY MASTER'!$B$4:$E$2000,2,FALSE)</f>
        <v>27AAHCA1363L1ZK</v>
      </c>
      <c r="E415" s="34" t="s">
        <v>228</v>
      </c>
      <c r="F415" s="628">
        <v>1</v>
      </c>
      <c r="G415" s="231">
        <v>43598</v>
      </c>
      <c r="H415" s="34">
        <v>87141900</v>
      </c>
      <c r="I415" s="39">
        <f>VLOOKUP(H415,'PUR-HSN MASTER'!$A$4:$E$5000,5,FALSE)</f>
        <v>28</v>
      </c>
      <c r="J415" s="122"/>
      <c r="K415" s="40">
        <v>-48816</v>
      </c>
      <c r="L415" s="39">
        <v>0</v>
      </c>
      <c r="M415" s="39">
        <v>-6834.24</v>
      </c>
      <c r="N415" s="39">
        <v>-6834.24</v>
      </c>
      <c r="O415" s="39">
        <v>0</v>
      </c>
      <c r="P415" s="39">
        <v>-62484.479999999996</v>
      </c>
      <c r="Q415" s="34" t="s">
        <v>410</v>
      </c>
      <c r="R415" s="34" t="s">
        <v>26</v>
      </c>
      <c r="S415" s="11" t="s">
        <v>4120</v>
      </c>
    </row>
    <row r="416" spans="1:19" x14ac:dyDescent="0.2">
      <c r="A416" s="33"/>
      <c r="B416" s="122"/>
      <c r="C416" s="34"/>
      <c r="D416" s="34" t="e">
        <f>VLOOKUP(C416,'PUR-PARTY MASTER'!$B$4:$E$2000,2,FALSE)</f>
        <v>#N/A</v>
      </c>
      <c r="E416" s="34"/>
      <c r="F416" s="626"/>
      <c r="G416" s="122"/>
      <c r="H416" s="34"/>
      <c r="I416" s="39" t="e">
        <f>VLOOKUP(H416,'PUR-HSN MASTER'!$A$4:$E$5000,5,FALSE)</f>
        <v>#N/A</v>
      </c>
      <c r="J416" s="122"/>
      <c r="K416" s="39"/>
      <c r="L416" s="39"/>
      <c r="M416" s="39"/>
      <c r="N416" s="39"/>
      <c r="O416" s="39"/>
      <c r="P416" s="39"/>
      <c r="Q416" s="34"/>
      <c r="R416" s="34" t="e">
        <v>#N/A</v>
      </c>
      <c r="S416" s="11" t="s">
        <v>4120</v>
      </c>
    </row>
    <row r="417" spans="1:19" x14ac:dyDescent="0.2">
      <c r="A417" s="122"/>
      <c r="B417" s="122"/>
      <c r="C417" s="625"/>
      <c r="D417" s="34" t="e">
        <f>VLOOKUP(C417,'PUR-PARTY MASTER'!$B$4:$E$2000,2,FALSE)</f>
        <v>#N/A</v>
      </c>
      <c r="E417" s="34" t="s">
        <v>22</v>
      </c>
      <c r="F417" s="626"/>
      <c r="G417" s="122"/>
      <c r="H417" s="122"/>
      <c r="I417" s="39" t="e">
        <f>VLOOKUP(H417,'PUR-HSN MASTER'!$A$4:$E$5000,5,FALSE)</f>
        <v>#N/A</v>
      </c>
      <c r="J417" s="122"/>
      <c r="K417" s="123"/>
      <c r="L417" s="39"/>
      <c r="M417" s="39"/>
      <c r="N417" s="39"/>
      <c r="O417" s="39"/>
      <c r="P417" s="39"/>
      <c r="Q417" s="122"/>
      <c r="R417" s="34" t="e">
        <v>#N/A</v>
      </c>
      <c r="S417" s="11" t="s">
        <v>4120</v>
      </c>
    </row>
    <row r="418" spans="1:19" x14ac:dyDescent="0.2">
      <c r="A418" s="33">
        <v>43617</v>
      </c>
      <c r="B418" s="34">
        <v>1</v>
      </c>
      <c r="C418" s="35" t="s">
        <v>554</v>
      </c>
      <c r="D418" s="34" t="str">
        <f>VLOOKUP(C418,'PUR-PARTY MASTER'!$B$4:$E$2000,2,FALSE)</f>
        <v>27AACFA1881H1ZL</v>
      </c>
      <c r="E418" s="34" t="s">
        <v>22</v>
      </c>
      <c r="F418" s="134">
        <v>2190</v>
      </c>
      <c r="G418" s="37">
        <v>43617</v>
      </c>
      <c r="H418" s="34">
        <v>87141900</v>
      </c>
      <c r="I418" s="39">
        <f>VLOOKUP(H418,'PUR-HSN MASTER'!$A$4:$E$5000,5,FALSE)</f>
        <v>28</v>
      </c>
      <c r="J418" s="38">
        <v>1000</v>
      </c>
      <c r="K418" s="40">
        <v>2780</v>
      </c>
      <c r="L418" s="39">
        <v>0</v>
      </c>
      <c r="M418" s="39">
        <v>389.2</v>
      </c>
      <c r="N418" s="39">
        <v>389.2</v>
      </c>
      <c r="O418" s="39">
        <v>0</v>
      </c>
      <c r="P418" s="39">
        <v>3558.3999999999996</v>
      </c>
      <c r="Q418" s="34" t="s">
        <v>410</v>
      </c>
      <c r="R418" s="34" t="s">
        <v>26</v>
      </c>
      <c r="S418" s="11" t="s">
        <v>4120</v>
      </c>
    </row>
    <row r="419" spans="1:19" x14ac:dyDescent="0.2">
      <c r="A419" s="33">
        <v>43617</v>
      </c>
      <c r="B419" s="34">
        <v>2</v>
      </c>
      <c r="C419" s="35" t="s">
        <v>601</v>
      </c>
      <c r="D419" s="34" t="str">
        <f>VLOOKUP(C419,'PUR-PARTY MASTER'!$B$4:$E$2000,2,FALSE)</f>
        <v>27AAZFM6461A1ZY</v>
      </c>
      <c r="E419" s="34" t="s">
        <v>22</v>
      </c>
      <c r="F419" s="134">
        <v>1602</v>
      </c>
      <c r="G419" s="37">
        <v>43617</v>
      </c>
      <c r="H419" s="34">
        <v>87082900</v>
      </c>
      <c r="I419" s="39">
        <f>VLOOKUP(H419,'PUR-HSN MASTER'!$A$4:$E$5000,5,FALSE)</f>
        <v>28</v>
      </c>
      <c r="J419" s="38">
        <v>1000</v>
      </c>
      <c r="K419" s="40">
        <v>42570</v>
      </c>
      <c r="L419" s="39">
        <v>0</v>
      </c>
      <c r="M419" s="39">
        <v>5959.8</v>
      </c>
      <c r="N419" s="39">
        <v>5959.8</v>
      </c>
      <c r="O419" s="39">
        <v>0</v>
      </c>
      <c r="P419" s="39">
        <v>54489.600000000006</v>
      </c>
      <c r="Q419" s="34" t="s">
        <v>412</v>
      </c>
      <c r="R419" s="34" t="s">
        <v>26</v>
      </c>
      <c r="S419" s="11" t="s">
        <v>4120</v>
      </c>
    </row>
    <row r="420" spans="1:19" x14ac:dyDescent="0.2">
      <c r="A420" s="33">
        <v>43617</v>
      </c>
      <c r="B420" s="34">
        <v>3</v>
      </c>
      <c r="C420" s="35" t="s">
        <v>601</v>
      </c>
      <c r="D420" s="34" t="str">
        <f>VLOOKUP(C420,'PUR-PARTY MASTER'!$B$4:$E$2000,2,FALSE)</f>
        <v>27AAZFM6461A1ZY</v>
      </c>
      <c r="E420" s="34" t="s">
        <v>22</v>
      </c>
      <c r="F420" s="134">
        <v>1603</v>
      </c>
      <c r="G420" s="37">
        <v>43617</v>
      </c>
      <c r="H420" s="34">
        <v>87082900</v>
      </c>
      <c r="I420" s="39">
        <f>VLOOKUP(H420,'PUR-HSN MASTER'!$A$4:$E$5000,5,FALSE)</f>
        <v>28</v>
      </c>
      <c r="J420" s="38">
        <v>1080</v>
      </c>
      <c r="K420" s="40">
        <v>24105.599999999999</v>
      </c>
      <c r="L420" s="39">
        <v>0</v>
      </c>
      <c r="M420" s="39">
        <v>3374.7839999999997</v>
      </c>
      <c r="N420" s="39">
        <v>3374.7839999999997</v>
      </c>
      <c r="O420" s="39">
        <v>0</v>
      </c>
      <c r="P420" s="39">
        <v>30855.157999999999</v>
      </c>
      <c r="Q420" s="34" t="s">
        <v>411</v>
      </c>
      <c r="R420" s="34" t="s">
        <v>26</v>
      </c>
      <c r="S420" s="11" t="s">
        <v>4120</v>
      </c>
    </row>
    <row r="421" spans="1:19" x14ac:dyDescent="0.2">
      <c r="A421" s="33">
        <v>43617</v>
      </c>
      <c r="B421" s="34">
        <v>4</v>
      </c>
      <c r="C421" s="35" t="s">
        <v>554</v>
      </c>
      <c r="D421" s="34" t="str">
        <f>VLOOKUP(C421,'PUR-PARTY MASTER'!$B$4:$E$2000,2,FALSE)</f>
        <v>27AACFA1881H1ZL</v>
      </c>
      <c r="E421" s="34" t="s">
        <v>22</v>
      </c>
      <c r="F421" s="134">
        <v>2217</v>
      </c>
      <c r="G421" s="37">
        <v>43617</v>
      </c>
      <c r="H421" s="34">
        <v>87141900</v>
      </c>
      <c r="I421" s="39">
        <f>VLOOKUP(H421,'PUR-HSN MASTER'!$A$4:$E$5000,5,FALSE)</f>
        <v>28</v>
      </c>
      <c r="J421" s="38">
        <v>500</v>
      </c>
      <c r="K421" s="40">
        <v>1390</v>
      </c>
      <c r="L421" s="39">
        <v>0</v>
      </c>
      <c r="M421" s="39">
        <v>194.6</v>
      </c>
      <c r="N421" s="39">
        <v>194.6</v>
      </c>
      <c r="O421" s="39">
        <v>0</v>
      </c>
      <c r="P421" s="39">
        <v>1779.1999999999998</v>
      </c>
      <c r="Q421" s="34" t="s">
        <v>410</v>
      </c>
      <c r="R421" s="34" t="s">
        <v>26</v>
      </c>
      <c r="S421" s="11" t="s">
        <v>4120</v>
      </c>
    </row>
    <row r="422" spans="1:19" x14ac:dyDescent="0.2">
      <c r="A422" s="33">
        <v>43617</v>
      </c>
      <c r="B422" s="34">
        <v>5</v>
      </c>
      <c r="C422" s="35" t="s">
        <v>499</v>
      </c>
      <c r="D422" s="34" t="str">
        <f>VLOOKUP(C422,'PUR-PARTY MASTER'!$B$4:$E$2000,2,FALSE)</f>
        <v>27AAHFP1154B1ZN</v>
      </c>
      <c r="E422" s="34" t="s">
        <v>22</v>
      </c>
      <c r="F422" s="136" t="s">
        <v>689</v>
      </c>
      <c r="G422" s="37">
        <v>43619</v>
      </c>
      <c r="H422" s="34">
        <v>48196000</v>
      </c>
      <c r="I422" s="39">
        <f>VLOOKUP(H422,'PUR-HSN MASTER'!$A$4:$E$5000,5,FALSE)</f>
        <v>18</v>
      </c>
      <c r="J422" s="38">
        <v>12</v>
      </c>
      <c r="K422" s="40">
        <v>540</v>
      </c>
      <c r="L422" s="39">
        <v>0</v>
      </c>
      <c r="M422" s="39">
        <v>48.6</v>
      </c>
      <c r="N422" s="39">
        <v>48.6</v>
      </c>
      <c r="O422" s="39">
        <v>0</v>
      </c>
      <c r="P422" s="39">
        <v>637.20000000000005</v>
      </c>
      <c r="Q422" s="34" t="s">
        <v>410</v>
      </c>
      <c r="R422" s="34" t="s">
        <v>26</v>
      </c>
      <c r="S422" s="11" t="s">
        <v>4120</v>
      </c>
    </row>
    <row r="423" spans="1:19" x14ac:dyDescent="0.2">
      <c r="A423" s="33">
        <v>43617</v>
      </c>
      <c r="B423" s="34"/>
      <c r="C423" s="35" t="s">
        <v>499</v>
      </c>
      <c r="D423" s="34" t="str">
        <f>VLOOKUP(C423,'PUR-PARTY MASTER'!$B$4:$E$2000,2,FALSE)</f>
        <v>27AAHFP1154B1ZN</v>
      </c>
      <c r="E423" s="34" t="s">
        <v>22</v>
      </c>
      <c r="F423" s="136" t="s">
        <v>689</v>
      </c>
      <c r="G423" s="37">
        <v>43619</v>
      </c>
      <c r="H423" s="34">
        <v>39199099</v>
      </c>
      <c r="I423" s="39">
        <f>VLOOKUP(H423,'PUR-HSN MASTER'!$A$4:$E$5000,5,FALSE)</f>
        <v>18</v>
      </c>
      <c r="J423" s="38">
        <v>576</v>
      </c>
      <c r="K423" s="40">
        <v>3456</v>
      </c>
      <c r="L423" s="39">
        <v>0</v>
      </c>
      <c r="M423" s="39">
        <v>311.04000000000002</v>
      </c>
      <c r="N423" s="39">
        <v>311.04000000000002</v>
      </c>
      <c r="O423" s="39">
        <v>0</v>
      </c>
      <c r="P423" s="39">
        <v>4078</v>
      </c>
      <c r="Q423" s="34" t="s">
        <v>410</v>
      </c>
      <c r="R423" s="34" t="s">
        <v>26</v>
      </c>
      <c r="S423" s="11" t="s">
        <v>4120</v>
      </c>
    </row>
    <row r="424" spans="1:19" x14ac:dyDescent="0.2">
      <c r="A424" s="33">
        <v>43617</v>
      </c>
      <c r="B424" s="34"/>
      <c r="C424" s="35" t="s">
        <v>499</v>
      </c>
      <c r="D424" s="34" t="str">
        <f>VLOOKUP(C424,'PUR-PARTY MASTER'!$B$4:$E$2000,2,FALSE)</f>
        <v>27AAHFP1154B1ZN</v>
      </c>
      <c r="E424" s="34" t="s">
        <v>22</v>
      </c>
      <c r="F424" s="136" t="s">
        <v>689</v>
      </c>
      <c r="G424" s="37">
        <v>43619</v>
      </c>
      <c r="H424" s="34">
        <v>63071090</v>
      </c>
      <c r="I424" s="39">
        <f>VLOOKUP(H424,'PUR-HSN MASTER'!$A$4:$E$5000,5,FALSE)</f>
        <v>18</v>
      </c>
      <c r="J424" s="38">
        <v>12</v>
      </c>
      <c r="K424" s="40">
        <v>144</v>
      </c>
      <c r="L424" s="39">
        <v>0</v>
      </c>
      <c r="M424" s="39">
        <v>12.959999999999999</v>
      </c>
      <c r="N424" s="39">
        <v>12.959999999999999</v>
      </c>
      <c r="O424" s="39">
        <v>0</v>
      </c>
      <c r="P424" s="39">
        <v>169.9</v>
      </c>
      <c r="Q424" s="34" t="s">
        <v>410</v>
      </c>
      <c r="R424" s="34" t="s">
        <v>26</v>
      </c>
      <c r="S424" s="11" t="s">
        <v>4120</v>
      </c>
    </row>
    <row r="425" spans="1:19" x14ac:dyDescent="0.2">
      <c r="A425" s="33">
        <v>43617</v>
      </c>
      <c r="B425" s="34"/>
      <c r="C425" s="35" t="s">
        <v>499</v>
      </c>
      <c r="D425" s="34" t="str">
        <f>VLOOKUP(C425,'PUR-PARTY MASTER'!$B$4:$E$2000,2,FALSE)</f>
        <v>27AAHFP1154B1ZN</v>
      </c>
      <c r="E425" s="34" t="s">
        <v>22</v>
      </c>
      <c r="F425" s="136" t="s">
        <v>689</v>
      </c>
      <c r="G425" s="37">
        <v>43619</v>
      </c>
      <c r="H425" s="34">
        <v>34011190</v>
      </c>
      <c r="I425" s="39">
        <f>VLOOKUP(H425,'PUR-HSN MASTER'!$A$4:$E$5000,5,FALSE)</f>
        <v>18</v>
      </c>
      <c r="J425" s="38">
        <v>2</v>
      </c>
      <c r="K425" s="40">
        <v>144</v>
      </c>
      <c r="L425" s="39">
        <v>0</v>
      </c>
      <c r="M425" s="39">
        <v>12.959999999999999</v>
      </c>
      <c r="N425" s="39">
        <v>12.959999999999999</v>
      </c>
      <c r="O425" s="39">
        <v>0</v>
      </c>
      <c r="P425" s="39">
        <v>169.9</v>
      </c>
      <c r="Q425" s="34" t="s">
        <v>410</v>
      </c>
      <c r="R425" s="34" t="s">
        <v>26</v>
      </c>
      <c r="S425" s="11" t="s">
        <v>4120</v>
      </c>
    </row>
    <row r="426" spans="1:19" x14ac:dyDescent="0.2">
      <c r="A426" s="33">
        <v>43617</v>
      </c>
      <c r="B426" s="34">
        <v>6</v>
      </c>
      <c r="C426" s="35" t="s">
        <v>499</v>
      </c>
      <c r="D426" s="34" t="str">
        <f>VLOOKUP(C426,'PUR-PARTY MASTER'!$B$4:$E$2000,2,FALSE)</f>
        <v>27AAHFP1154B1ZN</v>
      </c>
      <c r="E426" s="34" t="s">
        <v>22</v>
      </c>
      <c r="F426" s="136" t="s">
        <v>690</v>
      </c>
      <c r="G426" s="37">
        <v>43619</v>
      </c>
      <c r="H426" s="34">
        <v>60060000</v>
      </c>
      <c r="I426" s="39">
        <f>VLOOKUP(H426,'PUR-HSN MASTER'!$A$4:$E$5000,5,FALSE)</f>
        <v>5</v>
      </c>
      <c r="J426" s="38">
        <v>90</v>
      </c>
      <c r="K426" s="40">
        <v>2970</v>
      </c>
      <c r="L426" s="39">
        <v>0</v>
      </c>
      <c r="M426" s="39">
        <v>74.25</v>
      </c>
      <c r="N426" s="39">
        <v>74.25</v>
      </c>
      <c r="O426" s="39">
        <v>0</v>
      </c>
      <c r="P426" s="39">
        <v>3118.5</v>
      </c>
      <c r="Q426" s="34" t="s">
        <v>410</v>
      </c>
      <c r="R426" s="34" t="s">
        <v>26</v>
      </c>
      <c r="S426" s="11" t="s">
        <v>4120</v>
      </c>
    </row>
    <row r="427" spans="1:19" x14ac:dyDescent="0.2">
      <c r="A427" s="33">
        <v>43617</v>
      </c>
      <c r="B427" s="34"/>
      <c r="C427" s="35" t="s">
        <v>499</v>
      </c>
      <c r="D427" s="34" t="str">
        <f>VLOOKUP(C427,'PUR-PARTY MASTER'!$B$4:$E$2000,2,FALSE)</f>
        <v>27AAHFP1154B1ZN</v>
      </c>
      <c r="E427" s="34" t="s">
        <v>22</v>
      </c>
      <c r="F427" s="136" t="s">
        <v>690</v>
      </c>
      <c r="G427" s="37">
        <v>43619</v>
      </c>
      <c r="H427" s="34">
        <v>40151100</v>
      </c>
      <c r="I427" s="39">
        <f>VLOOKUP(H427,'PUR-HSN MASTER'!$A$4:$E$5000,5,FALSE)</f>
        <v>12</v>
      </c>
      <c r="J427" s="38">
        <v>2000</v>
      </c>
      <c r="K427" s="40">
        <v>5200</v>
      </c>
      <c r="L427" s="39">
        <v>0</v>
      </c>
      <c r="M427" s="39">
        <v>312</v>
      </c>
      <c r="N427" s="39">
        <v>312</v>
      </c>
      <c r="O427" s="39">
        <v>0</v>
      </c>
      <c r="P427" s="39">
        <v>5824</v>
      </c>
      <c r="Q427" s="34" t="s">
        <v>410</v>
      </c>
      <c r="R427" s="34" t="s">
        <v>26</v>
      </c>
      <c r="S427" s="11" t="s">
        <v>4120</v>
      </c>
    </row>
    <row r="428" spans="1:19" x14ac:dyDescent="0.2">
      <c r="A428" s="33">
        <v>43617</v>
      </c>
      <c r="B428" s="34"/>
      <c r="C428" s="35" t="s">
        <v>499</v>
      </c>
      <c r="D428" s="34" t="str">
        <f>VLOOKUP(C428,'PUR-PARTY MASTER'!$B$4:$E$2000,2,FALSE)</f>
        <v>27AAHFP1154B1ZN</v>
      </c>
      <c r="E428" s="34" t="s">
        <v>22</v>
      </c>
      <c r="F428" s="136" t="s">
        <v>690</v>
      </c>
      <c r="G428" s="37">
        <v>43619</v>
      </c>
      <c r="H428" s="34">
        <v>34012000</v>
      </c>
      <c r="I428" s="39">
        <f>VLOOKUP(H428,'PUR-HSN MASTER'!$A$4:$E$5000,5,FALSE)</f>
        <v>18</v>
      </c>
      <c r="J428" s="38">
        <v>30</v>
      </c>
      <c r="K428" s="40">
        <v>675</v>
      </c>
      <c r="L428" s="39">
        <v>0</v>
      </c>
      <c r="M428" s="39">
        <v>60.75</v>
      </c>
      <c r="N428" s="39">
        <v>60.75</v>
      </c>
      <c r="O428" s="39">
        <v>0</v>
      </c>
      <c r="P428" s="39">
        <v>796.5</v>
      </c>
      <c r="Q428" s="34" t="s">
        <v>410</v>
      </c>
      <c r="R428" s="34" t="s">
        <v>26</v>
      </c>
      <c r="S428" s="11" t="s">
        <v>4120</v>
      </c>
    </row>
    <row r="429" spans="1:19" x14ac:dyDescent="0.2">
      <c r="A429" s="33">
        <v>43617</v>
      </c>
      <c r="B429" s="34">
        <v>7</v>
      </c>
      <c r="C429" s="35" t="s">
        <v>591</v>
      </c>
      <c r="D429" s="34" t="str">
        <f>VLOOKUP(C429,'PUR-PARTY MASTER'!$B$4:$E$2000,2,FALSE)</f>
        <v>27AAACI6297A1ZN</v>
      </c>
      <c r="E429" s="34" t="s">
        <v>22</v>
      </c>
      <c r="F429" s="136" t="s">
        <v>691</v>
      </c>
      <c r="G429" s="37">
        <v>43619</v>
      </c>
      <c r="H429" s="34">
        <v>3907</v>
      </c>
      <c r="I429" s="39">
        <f>VLOOKUP(H429,'PUR-HSN MASTER'!$A$4:$E$5000,5,FALSE)</f>
        <v>18</v>
      </c>
      <c r="J429" s="38">
        <v>79</v>
      </c>
      <c r="K429" s="40">
        <v>58550</v>
      </c>
      <c r="L429" s="39">
        <v>0</v>
      </c>
      <c r="M429" s="39">
        <v>5269.5</v>
      </c>
      <c r="N429" s="39">
        <v>5269.5</v>
      </c>
      <c r="O429" s="39">
        <v>0</v>
      </c>
      <c r="P429" s="39">
        <v>69089</v>
      </c>
      <c r="Q429" s="34" t="s">
        <v>410</v>
      </c>
      <c r="R429" s="34" t="s">
        <v>26</v>
      </c>
      <c r="S429" s="11" t="s">
        <v>4120</v>
      </c>
    </row>
    <row r="430" spans="1:19" x14ac:dyDescent="0.2">
      <c r="A430" s="33">
        <v>43617</v>
      </c>
      <c r="B430" s="34"/>
      <c r="C430" s="35" t="s">
        <v>591</v>
      </c>
      <c r="D430" s="34" t="str">
        <f>VLOOKUP(C430,'PUR-PARTY MASTER'!$B$4:$E$2000,2,FALSE)</f>
        <v>27AAACI6297A1ZN</v>
      </c>
      <c r="E430" s="34" t="s">
        <v>22</v>
      </c>
      <c r="F430" s="136" t="s">
        <v>691</v>
      </c>
      <c r="G430" s="37">
        <v>43619</v>
      </c>
      <c r="H430" s="34">
        <v>3824</v>
      </c>
      <c r="I430" s="39">
        <f>VLOOKUP(H430,'PUR-HSN MASTER'!$A$4:$E$5000,5,FALSE)</f>
        <v>18</v>
      </c>
      <c r="J430" s="38">
        <v>7</v>
      </c>
      <c r="K430" s="40">
        <v>5040</v>
      </c>
      <c r="L430" s="39">
        <v>0</v>
      </c>
      <c r="M430" s="39">
        <v>453.59999999999997</v>
      </c>
      <c r="N430" s="39">
        <v>453.59999999999997</v>
      </c>
      <c r="O430" s="39">
        <v>0</v>
      </c>
      <c r="P430" s="39">
        <v>5947.2000000000007</v>
      </c>
      <c r="Q430" s="34" t="s">
        <v>410</v>
      </c>
      <c r="R430" s="34" t="s">
        <v>26</v>
      </c>
      <c r="S430" s="11" t="s">
        <v>4120</v>
      </c>
    </row>
    <row r="431" spans="1:19" x14ac:dyDescent="0.2">
      <c r="A431" s="33">
        <v>43617</v>
      </c>
      <c r="B431" s="34"/>
      <c r="C431" s="35" t="s">
        <v>591</v>
      </c>
      <c r="D431" s="34" t="str">
        <f>VLOOKUP(C431,'PUR-PARTY MASTER'!$B$4:$E$2000,2,FALSE)</f>
        <v>27AAACI6297A1ZN</v>
      </c>
      <c r="E431" s="34" t="s">
        <v>22</v>
      </c>
      <c r="F431" s="136" t="s">
        <v>691</v>
      </c>
      <c r="G431" s="37">
        <v>43619</v>
      </c>
      <c r="H431" s="34" t="s">
        <v>624</v>
      </c>
      <c r="I431" s="39">
        <f>VLOOKUP(H431,'PUR-HSN MASTER'!$A$4:$E$5000,5,FALSE)</f>
        <v>18</v>
      </c>
      <c r="J431" s="38">
        <v>36</v>
      </c>
      <c r="K431" s="40">
        <v>28260</v>
      </c>
      <c r="L431" s="39">
        <v>0</v>
      </c>
      <c r="M431" s="39">
        <v>2543.4</v>
      </c>
      <c r="N431" s="39">
        <v>2543.4</v>
      </c>
      <c r="O431" s="39">
        <v>0</v>
      </c>
      <c r="P431" s="39">
        <v>33346.800000000003</v>
      </c>
      <c r="Q431" s="34" t="s">
        <v>410</v>
      </c>
      <c r="R431" s="34" t="s">
        <v>26</v>
      </c>
      <c r="S431" s="11" t="s">
        <v>4120</v>
      </c>
    </row>
    <row r="432" spans="1:19" x14ac:dyDescent="0.2">
      <c r="A432" s="33">
        <v>43617</v>
      </c>
      <c r="B432" s="34">
        <v>8</v>
      </c>
      <c r="C432" s="35" t="s">
        <v>554</v>
      </c>
      <c r="D432" s="34" t="str">
        <f>VLOOKUP(C432,'PUR-PARTY MASTER'!$B$4:$E$2000,2,FALSE)</f>
        <v>27AACFA1881H1ZL</v>
      </c>
      <c r="E432" s="34" t="s">
        <v>22</v>
      </c>
      <c r="F432" s="134">
        <v>2245</v>
      </c>
      <c r="G432" s="37">
        <v>43619</v>
      </c>
      <c r="H432" s="34">
        <v>87141900</v>
      </c>
      <c r="I432" s="39">
        <f>VLOOKUP(H432,'PUR-HSN MASTER'!$A$4:$E$5000,5,FALSE)</f>
        <v>28</v>
      </c>
      <c r="J432" s="38">
        <v>650</v>
      </c>
      <c r="K432" s="40">
        <v>1825.5</v>
      </c>
      <c r="L432" s="39">
        <v>0</v>
      </c>
      <c r="M432" s="39">
        <v>255.57</v>
      </c>
      <c r="N432" s="39">
        <v>255.57</v>
      </c>
      <c r="O432" s="39">
        <v>0</v>
      </c>
      <c r="P432" s="39">
        <v>2336.6400000000003</v>
      </c>
      <c r="Q432" s="34" t="s">
        <v>410</v>
      </c>
      <c r="R432" s="34" t="s">
        <v>26</v>
      </c>
      <c r="S432" s="11" t="s">
        <v>4120</v>
      </c>
    </row>
    <row r="433" spans="1:19" x14ac:dyDescent="0.2">
      <c r="A433" s="33">
        <v>43617</v>
      </c>
      <c r="B433" s="34">
        <v>9</v>
      </c>
      <c r="C433" s="35" t="s">
        <v>554</v>
      </c>
      <c r="D433" s="34" t="str">
        <f>VLOOKUP(C433,'PUR-PARTY MASTER'!$B$4:$E$2000,2,FALSE)</f>
        <v>27AACFA1881H1ZL</v>
      </c>
      <c r="E433" s="34" t="s">
        <v>22</v>
      </c>
      <c r="F433" s="134">
        <v>2279</v>
      </c>
      <c r="G433" s="37">
        <v>43619</v>
      </c>
      <c r="H433" s="34">
        <v>87141900</v>
      </c>
      <c r="I433" s="39">
        <f>VLOOKUP(H433,'PUR-HSN MASTER'!$A$4:$E$5000,5,FALSE)</f>
        <v>28</v>
      </c>
      <c r="J433" s="38">
        <v>600</v>
      </c>
      <c r="K433" s="40">
        <v>1668</v>
      </c>
      <c r="L433" s="39">
        <v>0</v>
      </c>
      <c r="M433" s="39">
        <v>233.51999999999998</v>
      </c>
      <c r="N433" s="39">
        <v>233.51999999999998</v>
      </c>
      <c r="O433" s="39">
        <v>0</v>
      </c>
      <c r="P433" s="39">
        <v>2135.04</v>
      </c>
      <c r="Q433" s="34" t="s">
        <v>410</v>
      </c>
      <c r="R433" s="34" t="s">
        <v>26</v>
      </c>
      <c r="S433" s="11" t="s">
        <v>4120</v>
      </c>
    </row>
    <row r="434" spans="1:19" x14ac:dyDescent="0.2">
      <c r="A434" s="33">
        <v>43617</v>
      </c>
      <c r="B434" s="34">
        <v>10</v>
      </c>
      <c r="C434" s="35" t="s">
        <v>554</v>
      </c>
      <c r="D434" s="34" t="str">
        <f>VLOOKUP(C434,'PUR-PARTY MASTER'!$B$4:$E$2000,2,FALSE)</f>
        <v>27AACFA1881H1ZL</v>
      </c>
      <c r="E434" s="34" t="s">
        <v>22</v>
      </c>
      <c r="F434" s="134">
        <v>2280</v>
      </c>
      <c r="G434" s="37">
        <v>43619</v>
      </c>
      <c r="H434" s="34">
        <v>87141900</v>
      </c>
      <c r="I434" s="39">
        <f>VLOOKUP(H434,'PUR-HSN MASTER'!$A$4:$E$5000,5,FALSE)</f>
        <v>28</v>
      </c>
      <c r="J434" s="38">
        <v>150</v>
      </c>
      <c r="K434" s="40">
        <v>472.5</v>
      </c>
      <c r="L434" s="39">
        <v>0</v>
      </c>
      <c r="M434" s="39">
        <v>66.149999999999991</v>
      </c>
      <c r="N434" s="39">
        <v>66.149999999999991</v>
      </c>
      <c r="O434" s="39">
        <v>0</v>
      </c>
      <c r="P434" s="39">
        <v>604.79999999999995</v>
      </c>
      <c r="Q434" s="34" t="s">
        <v>410</v>
      </c>
      <c r="R434" s="34" t="s">
        <v>26</v>
      </c>
      <c r="S434" s="11" t="s">
        <v>4120</v>
      </c>
    </row>
    <row r="435" spans="1:19" x14ac:dyDescent="0.2">
      <c r="A435" s="33">
        <v>43617</v>
      </c>
      <c r="B435" s="34">
        <v>11</v>
      </c>
      <c r="C435" s="35" t="s">
        <v>473</v>
      </c>
      <c r="D435" s="34" t="str">
        <f>VLOOKUP(C435,'PUR-PARTY MASTER'!$B$4:$E$2000,2,FALSE)</f>
        <v>27AAACT1848E1ZH</v>
      </c>
      <c r="E435" s="34" t="s">
        <v>22</v>
      </c>
      <c r="F435" s="136" t="s">
        <v>692</v>
      </c>
      <c r="G435" s="37">
        <v>43619</v>
      </c>
      <c r="H435" s="34">
        <v>87082900</v>
      </c>
      <c r="I435" s="39">
        <f>VLOOKUP(H435,'PUR-HSN MASTER'!$A$4:$E$5000,5,FALSE)</f>
        <v>28</v>
      </c>
      <c r="J435" s="38">
        <v>39</v>
      </c>
      <c r="K435" s="40">
        <v>6251.7</v>
      </c>
      <c r="L435" s="39">
        <v>0</v>
      </c>
      <c r="M435" s="39">
        <v>875.23799999999994</v>
      </c>
      <c r="N435" s="39">
        <v>875.23799999999994</v>
      </c>
      <c r="O435" s="39">
        <v>0</v>
      </c>
      <c r="P435" s="39">
        <v>8002.1760000000004</v>
      </c>
      <c r="Q435" s="34" t="s">
        <v>410</v>
      </c>
      <c r="R435" s="34" t="s">
        <v>26</v>
      </c>
      <c r="S435" s="11" t="s">
        <v>4120</v>
      </c>
    </row>
    <row r="436" spans="1:19" x14ac:dyDescent="0.2">
      <c r="A436" s="33">
        <v>43617</v>
      </c>
      <c r="B436" s="34">
        <v>12</v>
      </c>
      <c r="C436" s="35" t="s">
        <v>473</v>
      </c>
      <c r="D436" s="34" t="str">
        <f>VLOOKUP(C436,'PUR-PARTY MASTER'!$B$4:$E$2000,2,FALSE)</f>
        <v>27AAACT1848E1ZH</v>
      </c>
      <c r="E436" s="34" t="s">
        <v>22</v>
      </c>
      <c r="F436" s="136" t="s">
        <v>693</v>
      </c>
      <c r="G436" s="37">
        <v>43619</v>
      </c>
      <c r="H436" s="34">
        <v>87089900</v>
      </c>
      <c r="I436" s="39">
        <f>VLOOKUP(H436,'PUR-HSN MASTER'!$A$4:$E$5000,5,FALSE)</f>
        <v>28</v>
      </c>
      <c r="J436" s="38">
        <v>29</v>
      </c>
      <c r="K436" s="40">
        <v>138.33000000000001</v>
      </c>
      <c r="L436" s="39">
        <v>0</v>
      </c>
      <c r="M436" s="39">
        <v>19.366200000000003</v>
      </c>
      <c r="N436" s="39">
        <v>19.366200000000003</v>
      </c>
      <c r="O436" s="39">
        <v>0</v>
      </c>
      <c r="P436" s="39">
        <v>177.07239999999999</v>
      </c>
      <c r="Q436" s="34" t="s">
        <v>410</v>
      </c>
      <c r="R436" s="34" t="s">
        <v>26</v>
      </c>
      <c r="S436" s="11" t="s">
        <v>4120</v>
      </c>
    </row>
    <row r="437" spans="1:19" x14ac:dyDescent="0.2">
      <c r="A437" s="33">
        <v>43617</v>
      </c>
      <c r="B437" s="34">
        <v>13</v>
      </c>
      <c r="C437" s="35" t="s">
        <v>473</v>
      </c>
      <c r="D437" s="34" t="str">
        <f>VLOOKUP(C437,'PUR-PARTY MASTER'!$B$4:$E$2000,2,FALSE)</f>
        <v>27AAACT1848E1ZH</v>
      </c>
      <c r="E437" s="34" t="s">
        <v>22</v>
      </c>
      <c r="F437" s="136" t="s">
        <v>694</v>
      </c>
      <c r="G437" s="37">
        <v>43619</v>
      </c>
      <c r="H437" s="34">
        <v>87089900</v>
      </c>
      <c r="I437" s="39">
        <f>VLOOKUP(H437,'PUR-HSN MASTER'!$A$4:$E$5000,5,FALSE)</f>
        <v>28</v>
      </c>
      <c r="J437" s="38">
        <v>250</v>
      </c>
      <c r="K437" s="40">
        <v>1576.5</v>
      </c>
      <c r="L437" s="39">
        <v>0</v>
      </c>
      <c r="M437" s="39">
        <v>220.71</v>
      </c>
      <c r="N437" s="39">
        <v>220.71</v>
      </c>
      <c r="O437" s="39">
        <v>0</v>
      </c>
      <c r="P437" s="39">
        <v>2017.92</v>
      </c>
      <c r="Q437" s="34" t="s">
        <v>410</v>
      </c>
      <c r="R437" s="34" t="s">
        <v>26</v>
      </c>
      <c r="S437" s="11" t="s">
        <v>4120</v>
      </c>
    </row>
    <row r="438" spans="1:19" x14ac:dyDescent="0.2">
      <c r="A438" s="33">
        <v>43617</v>
      </c>
      <c r="B438" s="34">
        <v>14</v>
      </c>
      <c r="C438" s="35" t="s">
        <v>601</v>
      </c>
      <c r="D438" s="34" t="str">
        <f>VLOOKUP(C438,'PUR-PARTY MASTER'!$B$4:$E$2000,2,FALSE)</f>
        <v>27AAZFM6461A1ZY</v>
      </c>
      <c r="E438" s="34" t="s">
        <v>22</v>
      </c>
      <c r="F438" s="134">
        <v>1634</v>
      </c>
      <c r="G438" s="37">
        <v>43619</v>
      </c>
      <c r="H438" s="34">
        <v>87082900</v>
      </c>
      <c r="I438" s="39">
        <f>VLOOKUP(H438,'PUR-HSN MASTER'!$A$4:$E$5000,5,FALSE)</f>
        <v>28</v>
      </c>
      <c r="J438" s="38">
        <v>900</v>
      </c>
      <c r="K438" s="40">
        <v>38313</v>
      </c>
      <c r="L438" s="39">
        <v>0</v>
      </c>
      <c r="M438" s="39">
        <v>5363.82</v>
      </c>
      <c r="N438" s="39">
        <v>5363.82</v>
      </c>
      <c r="O438" s="39">
        <v>0</v>
      </c>
      <c r="P438" s="39">
        <v>49040.639999999999</v>
      </c>
      <c r="Q438" s="34" t="s">
        <v>410</v>
      </c>
      <c r="R438" s="34" t="s">
        <v>26</v>
      </c>
      <c r="S438" s="11" t="s">
        <v>4120</v>
      </c>
    </row>
    <row r="439" spans="1:19" x14ac:dyDescent="0.2">
      <c r="A439" s="33">
        <v>43617</v>
      </c>
      <c r="B439" s="34">
        <v>15</v>
      </c>
      <c r="C439" s="35" t="s">
        <v>601</v>
      </c>
      <c r="D439" s="34" t="str">
        <f>VLOOKUP(C439,'PUR-PARTY MASTER'!$B$4:$E$2000,2,FALSE)</f>
        <v>27AAZFM6461A1ZY</v>
      </c>
      <c r="E439" s="34" t="s">
        <v>22</v>
      </c>
      <c r="F439" s="134">
        <v>1635</v>
      </c>
      <c r="G439" s="37">
        <v>43619</v>
      </c>
      <c r="H439" s="34">
        <v>87082900</v>
      </c>
      <c r="I439" s="39">
        <f>VLOOKUP(H439,'PUR-HSN MASTER'!$A$4:$E$5000,5,FALSE)</f>
        <v>28</v>
      </c>
      <c r="J439" s="38">
        <v>600</v>
      </c>
      <c r="K439" s="40">
        <v>13392</v>
      </c>
      <c r="L439" s="39">
        <v>0</v>
      </c>
      <c r="M439" s="39">
        <v>1874.8799999999999</v>
      </c>
      <c r="N439" s="39">
        <v>1874.8799999999999</v>
      </c>
      <c r="O439" s="39">
        <v>0</v>
      </c>
      <c r="P439" s="39">
        <v>17141.759999999998</v>
      </c>
      <c r="Q439" s="34" t="s">
        <v>410</v>
      </c>
      <c r="R439" s="34" t="s">
        <v>26</v>
      </c>
      <c r="S439" s="11" t="s">
        <v>4120</v>
      </c>
    </row>
    <row r="440" spans="1:19" x14ac:dyDescent="0.2">
      <c r="A440" s="33">
        <v>43617</v>
      </c>
      <c r="B440" s="34">
        <v>16</v>
      </c>
      <c r="C440" s="35" t="s">
        <v>601</v>
      </c>
      <c r="D440" s="34" t="str">
        <f>VLOOKUP(C440,'PUR-PARTY MASTER'!$B$4:$E$2000,2,FALSE)</f>
        <v>27AAZFM6461A1ZY</v>
      </c>
      <c r="E440" s="34" t="s">
        <v>22</v>
      </c>
      <c r="F440" s="134">
        <v>1616</v>
      </c>
      <c r="G440" s="37">
        <v>43619</v>
      </c>
      <c r="H440" s="34">
        <v>87082900</v>
      </c>
      <c r="I440" s="39">
        <f>VLOOKUP(H440,'PUR-HSN MASTER'!$A$4:$E$5000,5,FALSE)</f>
        <v>28</v>
      </c>
      <c r="J440" s="38">
        <v>1100</v>
      </c>
      <c r="K440" s="40">
        <v>46827</v>
      </c>
      <c r="L440" s="39">
        <v>0</v>
      </c>
      <c r="M440" s="39">
        <v>6555.78</v>
      </c>
      <c r="N440" s="39">
        <v>6555.78</v>
      </c>
      <c r="O440" s="39">
        <v>0</v>
      </c>
      <c r="P440" s="39">
        <v>59938.559999999998</v>
      </c>
      <c r="Q440" s="34" t="s">
        <v>410</v>
      </c>
      <c r="R440" s="34" t="s">
        <v>26</v>
      </c>
      <c r="S440" s="11" t="s">
        <v>4120</v>
      </c>
    </row>
    <row r="441" spans="1:19" x14ac:dyDescent="0.2">
      <c r="A441" s="33">
        <v>43617</v>
      </c>
      <c r="B441" s="34">
        <v>17</v>
      </c>
      <c r="C441" s="35" t="s">
        <v>489</v>
      </c>
      <c r="D441" s="34" t="str">
        <f>VLOOKUP(C441,'PUR-PARTY MASTER'!$B$4:$E$2000,2,FALSE)</f>
        <v>27AAECD2713N1ZK</v>
      </c>
      <c r="E441" s="34" t="s">
        <v>22</v>
      </c>
      <c r="F441" s="134">
        <v>7887983839</v>
      </c>
      <c r="G441" s="37">
        <v>43617</v>
      </c>
      <c r="H441" s="34">
        <v>32082090</v>
      </c>
      <c r="I441" s="39">
        <f>VLOOKUP(H441,'PUR-HSN MASTER'!$A$4:$E$5000,5,FALSE)</f>
        <v>18</v>
      </c>
      <c r="J441" s="38">
        <v>8</v>
      </c>
      <c r="K441" s="40">
        <v>8736</v>
      </c>
      <c r="L441" s="39">
        <v>0</v>
      </c>
      <c r="M441" s="39">
        <v>786.24</v>
      </c>
      <c r="N441" s="39">
        <v>786.24</v>
      </c>
      <c r="O441" s="39">
        <v>0</v>
      </c>
      <c r="P441" s="39">
        <v>10308</v>
      </c>
      <c r="Q441" s="34" t="s">
        <v>410</v>
      </c>
      <c r="R441" s="34" t="s">
        <v>26</v>
      </c>
      <c r="S441" s="11" t="s">
        <v>4120</v>
      </c>
    </row>
    <row r="442" spans="1:19" x14ac:dyDescent="0.2">
      <c r="A442" s="33">
        <v>43617</v>
      </c>
      <c r="B442" s="34">
        <v>18</v>
      </c>
      <c r="C442" s="35" t="s">
        <v>489</v>
      </c>
      <c r="D442" s="34" t="str">
        <f>VLOOKUP(C442,'PUR-PARTY MASTER'!$B$4:$E$2000,2,FALSE)</f>
        <v>27AAECD2713N1ZK</v>
      </c>
      <c r="E442" s="34" t="s">
        <v>22</v>
      </c>
      <c r="F442" s="134">
        <v>7887983907</v>
      </c>
      <c r="G442" s="37">
        <v>43619</v>
      </c>
      <c r="H442" s="34">
        <v>32082090</v>
      </c>
      <c r="I442" s="39">
        <f>VLOOKUP(H442,'PUR-HSN MASTER'!$A$4:$E$5000,5,FALSE)</f>
        <v>18</v>
      </c>
      <c r="J442" s="38">
        <v>72</v>
      </c>
      <c r="K442" s="40">
        <v>36216</v>
      </c>
      <c r="L442" s="39">
        <v>0</v>
      </c>
      <c r="M442" s="39">
        <v>3259.44</v>
      </c>
      <c r="N442" s="39">
        <v>3259.44</v>
      </c>
      <c r="O442" s="39">
        <v>0</v>
      </c>
      <c r="P442" s="39">
        <v>42735.000000000007</v>
      </c>
      <c r="Q442" s="34" t="s">
        <v>410</v>
      </c>
      <c r="R442" s="34" t="s">
        <v>26</v>
      </c>
      <c r="S442" s="11" t="s">
        <v>4120</v>
      </c>
    </row>
    <row r="443" spans="1:19" x14ac:dyDescent="0.2">
      <c r="A443" s="33">
        <v>43617</v>
      </c>
      <c r="B443" s="34"/>
      <c r="C443" s="35" t="s">
        <v>489</v>
      </c>
      <c r="D443" s="34" t="str">
        <f>VLOOKUP(C443,'PUR-PARTY MASTER'!$B$4:$E$2000,2,FALSE)</f>
        <v>27AAECD2713N1ZK</v>
      </c>
      <c r="E443" s="34" t="s">
        <v>22</v>
      </c>
      <c r="F443" s="134">
        <v>7887983907</v>
      </c>
      <c r="G443" s="37">
        <v>43619</v>
      </c>
      <c r="H443" s="34">
        <v>39119090</v>
      </c>
      <c r="I443" s="39">
        <f>VLOOKUP(H443,'PUR-HSN MASTER'!$A$4:$E$5000,5,FALSE)</f>
        <v>18</v>
      </c>
      <c r="J443" s="38">
        <v>40</v>
      </c>
      <c r="K443" s="40">
        <v>20000</v>
      </c>
      <c r="L443" s="39">
        <v>0</v>
      </c>
      <c r="M443" s="39">
        <v>1800</v>
      </c>
      <c r="N443" s="39">
        <v>1800</v>
      </c>
      <c r="O443" s="39">
        <v>0</v>
      </c>
      <c r="P443" s="39">
        <v>23600</v>
      </c>
      <c r="Q443" s="34" t="s">
        <v>410</v>
      </c>
      <c r="R443" s="34" t="s">
        <v>26</v>
      </c>
      <c r="S443" s="11" t="s">
        <v>4120</v>
      </c>
    </row>
    <row r="444" spans="1:19" x14ac:dyDescent="0.2">
      <c r="A444" s="33">
        <v>43617</v>
      </c>
      <c r="B444" s="34">
        <v>19</v>
      </c>
      <c r="C444" s="35" t="s">
        <v>489</v>
      </c>
      <c r="D444" s="34" t="str">
        <f>VLOOKUP(C444,'PUR-PARTY MASTER'!$B$4:$E$2000,2,FALSE)</f>
        <v>27AAECD2713N1ZK</v>
      </c>
      <c r="E444" s="34" t="s">
        <v>22</v>
      </c>
      <c r="F444" s="134">
        <v>7887983908</v>
      </c>
      <c r="G444" s="37">
        <v>43619</v>
      </c>
      <c r="H444" s="34">
        <v>39119090</v>
      </c>
      <c r="I444" s="39">
        <f>VLOOKUP(H444,'PUR-HSN MASTER'!$A$4:$E$5000,5,FALSE)</f>
        <v>18</v>
      </c>
      <c r="J444" s="38">
        <v>4</v>
      </c>
      <c r="K444" s="40">
        <v>2380</v>
      </c>
      <c r="L444" s="39">
        <v>0</v>
      </c>
      <c r="M444" s="39">
        <v>214.20000000000002</v>
      </c>
      <c r="N444" s="39">
        <v>214.20000000000002</v>
      </c>
      <c r="O444" s="39">
        <v>0</v>
      </c>
      <c r="P444" s="39">
        <v>2808.5999999999995</v>
      </c>
      <c r="Q444" s="34" t="s">
        <v>410</v>
      </c>
      <c r="R444" s="34" t="s">
        <v>26</v>
      </c>
      <c r="S444" s="11" t="s">
        <v>4120</v>
      </c>
    </row>
    <row r="445" spans="1:19" x14ac:dyDescent="0.2">
      <c r="A445" s="33">
        <v>43617</v>
      </c>
      <c r="B445" s="34"/>
      <c r="C445" s="35" t="s">
        <v>489</v>
      </c>
      <c r="D445" s="34" t="str">
        <f>VLOOKUP(C445,'PUR-PARTY MASTER'!$B$4:$E$2000,2,FALSE)</f>
        <v>27AAECD2713N1ZK</v>
      </c>
      <c r="E445" s="34" t="s">
        <v>22</v>
      </c>
      <c r="F445" s="134">
        <v>7887983908</v>
      </c>
      <c r="G445" s="37">
        <v>43619</v>
      </c>
      <c r="H445" s="34">
        <v>32082090</v>
      </c>
      <c r="I445" s="39">
        <f>VLOOKUP(H445,'PUR-HSN MASTER'!$A$4:$E$5000,5,FALSE)</f>
        <v>18</v>
      </c>
      <c r="J445" s="38">
        <v>24</v>
      </c>
      <c r="K445" s="40">
        <v>11280</v>
      </c>
      <c r="L445" s="39">
        <v>0</v>
      </c>
      <c r="M445" s="39">
        <v>1015.1999999999999</v>
      </c>
      <c r="N445" s="39">
        <v>1015.1999999999999</v>
      </c>
      <c r="O445" s="39">
        <v>0</v>
      </c>
      <c r="P445" s="39">
        <v>13310.400000000001</v>
      </c>
      <c r="Q445" s="34" t="s">
        <v>410</v>
      </c>
      <c r="R445" s="34" t="s">
        <v>26</v>
      </c>
      <c r="S445" s="11" t="s">
        <v>4120</v>
      </c>
    </row>
    <row r="446" spans="1:19" x14ac:dyDescent="0.2">
      <c r="A446" s="33">
        <v>43617</v>
      </c>
      <c r="B446" s="34"/>
      <c r="C446" s="35" t="s">
        <v>489</v>
      </c>
      <c r="D446" s="34" t="str">
        <f>VLOOKUP(C446,'PUR-PARTY MASTER'!$B$4:$E$2000,2,FALSE)</f>
        <v>27AAECD2713N1ZK</v>
      </c>
      <c r="E446" s="34" t="s">
        <v>22</v>
      </c>
      <c r="F446" s="134">
        <v>7887983908</v>
      </c>
      <c r="G446" s="37">
        <v>43619</v>
      </c>
      <c r="H446" s="34">
        <v>38140010</v>
      </c>
      <c r="I446" s="39">
        <f>VLOOKUP(H446,'PUR-HSN MASTER'!$A$4:$E$5000,5,FALSE)</f>
        <v>18</v>
      </c>
      <c r="J446" s="38">
        <v>100</v>
      </c>
      <c r="K446" s="40">
        <v>14500</v>
      </c>
      <c r="L446" s="39">
        <v>0</v>
      </c>
      <c r="M446" s="39">
        <v>1305</v>
      </c>
      <c r="N446" s="39">
        <v>1305</v>
      </c>
      <c r="O446" s="39">
        <v>0</v>
      </c>
      <c r="P446" s="39">
        <v>17110</v>
      </c>
      <c r="Q446" s="34" t="s">
        <v>410</v>
      </c>
      <c r="R446" s="34" t="s">
        <v>26</v>
      </c>
      <c r="S446" s="11" t="s">
        <v>4120</v>
      </c>
    </row>
    <row r="447" spans="1:19" x14ac:dyDescent="0.2">
      <c r="A447" s="33">
        <v>43617</v>
      </c>
      <c r="B447" s="34">
        <v>20</v>
      </c>
      <c r="C447" s="35" t="s">
        <v>695</v>
      </c>
      <c r="D447" s="34" t="str">
        <f>VLOOKUP(C447,'PUR-PARTY MASTER'!$B$4:$E$2000,2,FALSE)</f>
        <v>27CIDPP6150M1ZU</v>
      </c>
      <c r="E447" s="34" t="s">
        <v>22</v>
      </c>
      <c r="F447" s="134">
        <v>1</v>
      </c>
      <c r="G447" s="37">
        <v>43617</v>
      </c>
      <c r="H447" s="34">
        <v>7411</v>
      </c>
      <c r="I447" s="39">
        <f>VLOOKUP(H447,'PUR-HSN MASTER'!$A$4:$E$5000,5,FALSE)</f>
        <v>18</v>
      </c>
      <c r="J447" s="38">
        <v>42</v>
      </c>
      <c r="K447" s="40">
        <v>12180</v>
      </c>
      <c r="L447" s="39">
        <v>0</v>
      </c>
      <c r="M447" s="39">
        <v>1096.2</v>
      </c>
      <c r="N447" s="39">
        <v>1096.2</v>
      </c>
      <c r="O447" s="39">
        <v>0</v>
      </c>
      <c r="P447" s="39">
        <v>14372.000000000002</v>
      </c>
      <c r="Q447" s="34" t="s">
        <v>410</v>
      </c>
      <c r="R447" s="34" t="s">
        <v>26</v>
      </c>
      <c r="S447" s="11" t="s">
        <v>4120</v>
      </c>
    </row>
    <row r="448" spans="1:19" x14ac:dyDescent="0.2">
      <c r="A448" s="33">
        <v>43617</v>
      </c>
      <c r="B448" s="34"/>
      <c r="C448" s="35" t="s">
        <v>695</v>
      </c>
      <c r="D448" s="34" t="str">
        <f>VLOOKUP(C448,'PUR-PARTY MASTER'!$B$4:$E$2000,2,FALSE)</f>
        <v>27CIDPP6150M1ZU</v>
      </c>
      <c r="E448" s="34" t="s">
        <v>22</v>
      </c>
      <c r="F448" s="134">
        <v>1</v>
      </c>
      <c r="G448" s="37">
        <v>43617</v>
      </c>
      <c r="H448" s="34">
        <v>3917</v>
      </c>
      <c r="I448" s="39">
        <f>VLOOKUP(H448,'PUR-HSN MASTER'!$A$4:$E$5000,5,FALSE)</f>
        <v>18</v>
      </c>
      <c r="J448" s="38">
        <v>15</v>
      </c>
      <c r="K448" s="40">
        <v>900</v>
      </c>
      <c r="L448" s="39">
        <v>0</v>
      </c>
      <c r="M448" s="39">
        <v>81</v>
      </c>
      <c r="N448" s="39">
        <v>81</v>
      </c>
      <c r="O448" s="39">
        <v>0</v>
      </c>
      <c r="P448" s="39">
        <v>1062</v>
      </c>
      <c r="Q448" s="34" t="s">
        <v>410</v>
      </c>
      <c r="R448" s="34" t="s">
        <v>26</v>
      </c>
      <c r="S448" s="11" t="s">
        <v>4120</v>
      </c>
    </row>
    <row r="449" spans="1:19" x14ac:dyDescent="0.2">
      <c r="A449" s="33">
        <v>43617</v>
      </c>
      <c r="B449" s="34"/>
      <c r="C449" s="35" t="s">
        <v>695</v>
      </c>
      <c r="D449" s="34" t="str">
        <f>VLOOKUP(C449,'PUR-PARTY MASTER'!$B$4:$E$2000,2,FALSE)</f>
        <v>27CIDPP6150M1ZU</v>
      </c>
      <c r="E449" s="34" t="s">
        <v>22</v>
      </c>
      <c r="F449" s="134">
        <v>1</v>
      </c>
      <c r="G449" s="37">
        <v>43617</v>
      </c>
      <c r="H449" s="34">
        <v>7301</v>
      </c>
      <c r="I449" s="39">
        <f>VLOOKUP(H449,'PUR-HSN MASTER'!$A$4:$E$5000,5,FALSE)</f>
        <v>18</v>
      </c>
      <c r="J449" s="38">
        <v>2</v>
      </c>
      <c r="K449" s="40">
        <v>1500</v>
      </c>
      <c r="L449" s="39">
        <v>0</v>
      </c>
      <c r="M449" s="39">
        <v>135</v>
      </c>
      <c r="N449" s="39">
        <v>135</v>
      </c>
      <c r="O449" s="39">
        <v>0</v>
      </c>
      <c r="P449" s="39">
        <v>1770</v>
      </c>
      <c r="Q449" s="34" t="s">
        <v>410</v>
      </c>
      <c r="R449" s="34" t="s">
        <v>26</v>
      </c>
      <c r="S449" s="11" t="s">
        <v>4120</v>
      </c>
    </row>
    <row r="450" spans="1:19" x14ac:dyDescent="0.2">
      <c r="A450" s="33">
        <v>43617</v>
      </c>
      <c r="B450" s="34"/>
      <c r="C450" s="35" t="s">
        <v>695</v>
      </c>
      <c r="D450" s="34" t="str">
        <f>VLOOKUP(C450,'PUR-PARTY MASTER'!$B$4:$E$2000,2,FALSE)</f>
        <v>27CIDPP6150M1ZU</v>
      </c>
      <c r="E450" s="34" t="s">
        <v>22</v>
      </c>
      <c r="F450" s="134">
        <v>1</v>
      </c>
      <c r="G450" s="37">
        <v>43617</v>
      </c>
      <c r="H450" s="34" t="s">
        <v>588</v>
      </c>
      <c r="I450" s="39" t="e">
        <f>VLOOKUP(H450,'PUR-HSN MASTER'!$A$4:$E$5000,5,FALSE)</f>
        <v>#N/A</v>
      </c>
      <c r="J450" s="38">
        <v>2</v>
      </c>
      <c r="K450" s="40">
        <v>3000</v>
      </c>
      <c r="L450" s="39">
        <v>0</v>
      </c>
      <c r="M450" s="39">
        <v>270</v>
      </c>
      <c r="N450" s="39">
        <v>270</v>
      </c>
      <c r="O450" s="39">
        <v>0</v>
      </c>
      <c r="P450" s="39">
        <v>3540</v>
      </c>
      <c r="Q450" s="34" t="s">
        <v>410</v>
      </c>
      <c r="R450" s="34" t="s">
        <v>26</v>
      </c>
      <c r="S450" s="11" t="s">
        <v>4120</v>
      </c>
    </row>
    <row r="451" spans="1:19" x14ac:dyDescent="0.2">
      <c r="A451" s="33">
        <v>43617</v>
      </c>
      <c r="B451" s="34">
        <v>21</v>
      </c>
      <c r="C451" s="35" t="s">
        <v>487</v>
      </c>
      <c r="D451" s="34" t="str">
        <f>VLOOKUP(C451,'PUR-PARTY MASTER'!$B$4:$E$2000,2,FALSE)</f>
        <v>27AFJPK6177Q1ZJ</v>
      </c>
      <c r="E451" s="34" t="s">
        <v>22</v>
      </c>
      <c r="F451" s="134">
        <v>414</v>
      </c>
      <c r="G451" s="37">
        <v>43620</v>
      </c>
      <c r="H451" s="34">
        <v>34029092</v>
      </c>
      <c r="I451" s="39">
        <f>VLOOKUP(H451,'PUR-HSN MASTER'!$A$4:$E$5000,5,FALSE)</f>
        <v>18</v>
      </c>
      <c r="J451" s="38">
        <v>100</v>
      </c>
      <c r="K451" s="40">
        <v>8000</v>
      </c>
      <c r="L451" s="39">
        <v>0</v>
      </c>
      <c r="M451" s="39">
        <v>720</v>
      </c>
      <c r="N451" s="39">
        <v>720</v>
      </c>
      <c r="O451" s="39">
        <v>0</v>
      </c>
      <c r="P451" s="39">
        <v>9440</v>
      </c>
      <c r="Q451" s="34" t="s">
        <v>410</v>
      </c>
      <c r="R451" s="34" t="s">
        <v>26</v>
      </c>
      <c r="S451" s="11" t="s">
        <v>4120</v>
      </c>
    </row>
    <row r="452" spans="1:19" x14ac:dyDescent="0.2">
      <c r="A452" s="33">
        <v>43617</v>
      </c>
      <c r="B452" s="34">
        <v>22</v>
      </c>
      <c r="C452" s="35" t="s">
        <v>521</v>
      </c>
      <c r="D452" s="34" t="str">
        <f>VLOOKUP(C452,'PUR-PARTY MASTER'!$B$4:$E$2000,2,FALSE)</f>
        <v>27APHPD1073Q1ZM</v>
      </c>
      <c r="E452" s="34" t="s">
        <v>22</v>
      </c>
      <c r="F452" s="136" t="s">
        <v>697</v>
      </c>
      <c r="G452" s="37">
        <v>43619</v>
      </c>
      <c r="H452" s="34">
        <v>84778090</v>
      </c>
      <c r="I452" s="39">
        <f>VLOOKUP(H452,'PUR-HSN MASTER'!$A$4:$E$5000,5,FALSE)</f>
        <v>18</v>
      </c>
      <c r="J452" s="38">
        <v>30</v>
      </c>
      <c r="K452" s="40">
        <v>6000</v>
      </c>
      <c r="L452" s="39">
        <v>0</v>
      </c>
      <c r="M452" s="39">
        <v>540</v>
      </c>
      <c r="N452" s="39">
        <v>540</v>
      </c>
      <c r="O452" s="39">
        <v>0</v>
      </c>
      <c r="P452" s="39">
        <v>7080</v>
      </c>
      <c r="Q452" s="34" t="s">
        <v>410</v>
      </c>
      <c r="R452" s="34" t="s">
        <v>26</v>
      </c>
      <c r="S452" s="11" t="s">
        <v>4120</v>
      </c>
    </row>
    <row r="453" spans="1:19" x14ac:dyDescent="0.2">
      <c r="A453" s="33">
        <v>43617</v>
      </c>
      <c r="B453" s="34">
        <v>23</v>
      </c>
      <c r="C453" s="35" t="s">
        <v>506</v>
      </c>
      <c r="D453" s="34" t="str">
        <f>VLOOKUP(C453,'PUR-PARTY MASTER'!$B$4:$E$2000,2,FALSE)</f>
        <v>27AAACG1376N1ZC</v>
      </c>
      <c r="E453" s="34" t="s">
        <v>22</v>
      </c>
      <c r="F453" s="136" t="s">
        <v>698</v>
      </c>
      <c r="G453" s="37">
        <v>43619</v>
      </c>
      <c r="H453" s="34">
        <v>32082090</v>
      </c>
      <c r="I453" s="39">
        <f>VLOOKUP(H453,'PUR-HSN MASTER'!$A$4:$E$5000,5,FALSE)</f>
        <v>18</v>
      </c>
      <c r="J453" s="38">
        <v>200</v>
      </c>
      <c r="K453" s="40">
        <v>69758</v>
      </c>
      <c r="L453" s="39">
        <v>0</v>
      </c>
      <c r="M453" s="39">
        <v>6278.22</v>
      </c>
      <c r="N453" s="39">
        <v>6278.22</v>
      </c>
      <c r="O453" s="39">
        <v>0</v>
      </c>
      <c r="P453" s="39">
        <v>82314</v>
      </c>
      <c r="Q453" s="34" t="s">
        <v>410</v>
      </c>
      <c r="R453" s="34" t="s">
        <v>26</v>
      </c>
      <c r="S453" s="11" t="s">
        <v>4120</v>
      </c>
    </row>
    <row r="454" spans="1:19" x14ac:dyDescent="0.2">
      <c r="A454" s="33">
        <v>43617</v>
      </c>
      <c r="B454" s="34">
        <v>24</v>
      </c>
      <c r="C454" s="35" t="s">
        <v>506</v>
      </c>
      <c r="D454" s="34" t="str">
        <f>VLOOKUP(C454,'PUR-PARTY MASTER'!$B$4:$E$2000,2,FALSE)</f>
        <v>27AAACG1376N1ZC</v>
      </c>
      <c r="E454" s="34" t="s">
        <v>22</v>
      </c>
      <c r="F454" s="136" t="s">
        <v>699</v>
      </c>
      <c r="G454" s="37">
        <v>43619</v>
      </c>
      <c r="H454" s="34">
        <v>32081090</v>
      </c>
      <c r="I454" s="39">
        <f>VLOOKUP(H454,'PUR-HSN MASTER'!$A$4:$E$5000,5,FALSE)</f>
        <v>18</v>
      </c>
      <c r="J454" s="38">
        <v>60</v>
      </c>
      <c r="K454" s="40">
        <v>13920</v>
      </c>
      <c r="L454" s="39">
        <v>0</v>
      </c>
      <c r="M454" s="39">
        <v>1252.8</v>
      </c>
      <c r="N454" s="39">
        <v>1252.8</v>
      </c>
      <c r="O454" s="39">
        <v>0</v>
      </c>
      <c r="P454" s="39">
        <v>16426</v>
      </c>
      <c r="Q454" s="34" t="s">
        <v>410</v>
      </c>
      <c r="R454" s="34" t="s">
        <v>26</v>
      </c>
      <c r="S454" s="11" t="s">
        <v>4120</v>
      </c>
    </row>
    <row r="455" spans="1:19" x14ac:dyDescent="0.2">
      <c r="A455" s="33">
        <v>43617</v>
      </c>
      <c r="B455" s="34">
        <v>25</v>
      </c>
      <c r="C455" s="35" t="s">
        <v>506</v>
      </c>
      <c r="D455" s="34" t="str">
        <f>VLOOKUP(C455,'PUR-PARTY MASTER'!$B$4:$E$2000,2,FALSE)</f>
        <v>27AAACG1376N1ZC</v>
      </c>
      <c r="E455" s="34" t="s">
        <v>22</v>
      </c>
      <c r="F455" s="136" t="s">
        <v>700</v>
      </c>
      <c r="G455" s="37">
        <v>43619</v>
      </c>
      <c r="H455" s="34">
        <v>38140010</v>
      </c>
      <c r="I455" s="39">
        <f>VLOOKUP(H455,'PUR-HSN MASTER'!$A$4:$E$5000,5,FALSE)</f>
        <v>18</v>
      </c>
      <c r="J455" s="38">
        <v>200</v>
      </c>
      <c r="K455" s="40">
        <v>18480</v>
      </c>
      <c r="L455" s="39">
        <v>0</v>
      </c>
      <c r="M455" s="39">
        <v>1663.2</v>
      </c>
      <c r="N455" s="39">
        <v>1663.2</v>
      </c>
      <c r="O455" s="39">
        <v>0</v>
      </c>
      <c r="P455" s="39">
        <v>21806</v>
      </c>
      <c r="Q455" s="34" t="s">
        <v>410</v>
      </c>
      <c r="R455" s="34" t="s">
        <v>26</v>
      </c>
      <c r="S455" s="11" t="s">
        <v>4120</v>
      </c>
    </row>
    <row r="456" spans="1:19" x14ac:dyDescent="0.2">
      <c r="A456" s="33">
        <v>43617</v>
      </c>
      <c r="B456" s="34">
        <v>26</v>
      </c>
      <c r="C456" s="35" t="s">
        <v>506</v>
      </c>
      <c r="D456" s="34" t="str">
        <f>VLOOKUP(C456,'PUR-PARTY MASTER'!$B$4:$E$2000,2,FALSE)</f>
        <v>27AAACG1376N1ZC</v>
      </c>
      <c r="E456" s="34" t="s">
        <v>22</v>
      </c>
      <c r="F456" s="136" t="s">
        <v>701</v>
      </c>
      <c r="G456" s="37">
        <v>43619</v>
      </c>
      <c r="H456" s="34">
        <v>38140010</v>
      </c>
      <c r="I456" s="39">
        <f>VLOOKUP(H456,'PUR-HSN MASTER'!$A$4:$E$5000,5,FALSE)</f>
        <v>18</v>
      </c>
      <c r="J456" s="38">
        <v>20</v>
      </c>
      <c r="K456" s="40">
        <v>2400</v>
      </c>
      <c r="L456" s="39">
        <v>0</v>
      </c>
      <c r="M456" s="39">
        <v>216</v>
      </c>
      <c r="N456" s="39">
        <v>216</v>
      </c>
      <c r="O456" s="39">
        <v>0</v>
      </c>
      <c r="P456" s="39">
        <v>2832</v>
      </c>
      <c r="Q456" s="34" t="s">
        <v>410</v>
      </c>
      <c r="R456" s="34" t="s">
        <v>26</v>
      </c>
      <c r="S456" s="11" t="s">
        <v>4120</v>
      </c>
    </row>
    <row r="457" spans="1:19" x14ac:dyDescent="0.2">
      <c r="A457" s="33">
        <v>43617</v>
      </c>
      <c r="B457" s="34">
        <v>27</v>
      </c>
      <c r="C457" s="35" t="s">
        <v>554</v>
      </c>
      <c r="D457" s="34" t="str">
        <f>VLOOKUP(C457,'PUR-PARTY MASTER'!$B$4:$E$2000,2,FALSE)</f>
        <v>27AACFA1881H1ZL</v>
      </c>
      <c r="E457" s="34" t="s">
        <v>22</v>
      </c>
      <c r="F457" s="134">
        <v>2294</v>
      </c>
      <c r="G457" s="37">
        <v>43620</v>
      </c>
      <c r="H457" s="34">
        <v>87141900</v>
      </c>
      <c r="I457" s="39">
        <f>VLOOKUP(H457,'PUR-HSN MASTER'!$A$4:$E$5000,5,FALSE)</f>
        <v>28</v>
      </c>
      <c r="J457" s="38">
        <v>500</v>
      </c>
      <c r="K457" s="40">
        <v>1353</v>
      </c>
      <c r="L457" s="39">
        <v>0</v>
      </c>
      <c r="M457" s="39">
        <v>189.42</v>
      </c>
      <c r="N457" s="39">
        <v>189.42</v>
      </c>
      <c r="O457" s="39">
        <v>0</v>
      </c>
      <c r="P457" s="39">
        <v>1731.8400000000001</v>
      </c>
      <c r="Q457" s="34" t="s">
        <v>410</v>
      </c>
      <c r="R457" s="34" t="s">
        <v>26</v>
      </c>
      <c r="S457" s="11" t="s">
        <v>4120</v>
      </c>
    </row>
    <row r="458" spans="1:19" x14ac:dyDescent="0.2">
      <c r="A458" s="33">
        <v>43617</v>
      </c>
      <c r="B458" s="34">
        <v>28</v>
      </c>
      <c r="C458" s="35" t="s">
        <v>493</v>
      </c>
      <c r="D458" s="34" t="str">
        <f>VLOOKUP(C458,'PUR-PARTY MASTER'!$B$4:$E$2000,2,FALSE)</f>
        <v>27AMMPB3648M1ZO</v>
      </c>
      <c r="E458" s="34" t="s">
        <v>22</v>
      </c>
      <c r="F458" s="134">
        <v>1105</v>
      </c>
      <c r="G458" s="37">
        <v>43620</v>
      </c>
      <c r="H458" s="34">
        <v>85129000</v>
      </c>
      <c r="I458" s="39">
        <f>VLOOKUP(H458,'PUR-HSN MASTER'!$A$4:$E$5000,5,FALSE)</f>
        <v>18</v>
      </c>
      <c r="J458" s="38">
        <v>1800</v>
      </c>
      <c r="K458" s="40">
        <v>41382</v>
      </c>
      <c r="L458" s="39">
        <v>0</v>
      </c>
      <c r="M458" s="39">
        <v>3724.38</v>
      </c>
      <c r="N458" s="39">
        <v>3724.38</v>
      </c>
      <c r="O458" s="39">
        <v>0</v>
      </c>
      <c r="P458" s="39">
        <v>48830.999999999993</v>
      </c>
      <c r="Q458" s="34" t="s">
        <v>410</v>
      </c>
      <c r="R458" s="34" t="s">
        <v>26</v>
      </c>
      <c r="S458" s="11" t="s">
        <v>4120</v>
      </c>
    </row>
    <row r="459" spans="1:19" x14ac:dyDescent="0.2">
      <c r="A459" s="33">
        <v>43617</v>
      </c>
      <c r="B459" s="34">
        <v>29</v>
      </c>
      <c r="C459" s="35" t="s">
        <v>554</v>
      </c>
      <c r="D459" s="34" t="str">
        <f>VLOOKUP(C459,'PUR-PARTY MASTER'!$B$4:$E$2000,2,FALSE)</f>
        <v>27AACFA1881H1ZL</v>
      </c>
      <c r="E459" s="34" t="s">
        <v>22</v>
      </c>
      <c r="F459" s="134">
        <v>2326</v>
      </c>
      <c r="G459" s="37">
        <v>43620</v>
      </c>
      <c r="H459" s="34">
        <v>87141900</v>
      </c>
      <c r="I459" s="39">
        <f>VLOOKUP(H459,'PUR-HSN MASTER'!$A$4:$E$5000,5,FALSE)</f>
        <v>28</v>
      </c>
      <c r="J459" s="38">
        <v>800</v>
      </c>
      <c r="K459" s="40">
        <v>2298</v>
      </c>
      <c r="L459" s="39">
        <v>0</v>
      </c>
      <c r="M459" s="39">
        <v>321.72000000000003</v>
      </c>
      <c r="N459" s="39">
        <v>321.72000000000003</v>
      </c>
      <c r="O459" s="39">
        <v>0</v>
      </c>
      <c r="P459" s="39">
        <v>2941.4400000000005</v>
      </c>
      <c r="Q459" s="34" t="s">
        <v>410</v>
      </c>
      <c r="R459" s="34" t="s">
        <v>26</v>
      </c>
      <c r="S459" s="11" t="s">
        <v>4120</v>
      </c>
    </row>
    <row r="460" spans="1:19" x14ac:dyDescent="0.2">
      <c r="A460" s="33">
        <v>43617</v>
      </c>
      <c r="B460" s="34">
        <v>30</v>
      </c>
      <c r="C460" s="35" t="s">
        <v>554</v>
      </c>
      <c r="D460" s="34" t="str">
        <f>VLOOKUP(C460,'PUR-PARTY MASTER'!$B$4:$E$2000,2,FALSE)</f>
        <v>27AACFA1881H1ZL</v>
      </c>
      <c r="E460" s="34" t="s">
        <v>22</v>
      </c>
      <c r="F460" s="134">
        <v>2335</v>
      </c>
      <c r="G460" s="37">
        <v>43620</v>
      </c>
      <c r="H460" s="34">
        <v>87141900</v>
      </c>
      <c r="I460" s="39">
        <f>VLOOKUP(H460,'PUR-HSN MASTER'!$A$4:$E$5000,5,FALSE)</f>
        <v>28</v>
      </c>
      <c r="J460" s="38">
        <v>300</v>
      </c>
      <c r="K460" s="40">
        <v>797</v>
      </c>
      <c r="L460" s="39">
        <v>0</v>
      </c>
      <c r="M460" s="39">
        <v>111.58</v>
      </c>
      <c r="N460" s="39">
        <v>111.58</v>
      </c>
      <c r="O460" s="39">
        <v>0</v>
      </c>
      <c r="P460" s="39">
        <v>1020.1600000000001</v>
      </c>
      <c r="Q460" s="34" t="s">
        <v>410</v>
      </c>
      <c r="R460" s="34" t="s">
        <v>26</v>
      </c>
      <c r="S460" s="11" t="s">
        <v>4120</v>
      </c>
    </row>
    <row r="461" spans="1:19" x14ac:dyDescent="0.2">
      <c r="A461" s="33">
        <v>43617</v>
      </c>
      <c r="B461" s="34">
        <v>31</v>
      </c>
      <c r="C461" s="35" t="s">
        <v>471</v>
      </c>
      <c r="D461" s="34" t="str">
        <f>VLOOKUP(C461,'PUR-PARTY MASTER'!$B$4:$E$2000,2,FALSE)</f>
        <v>27AAECM8871A1ZF</v>
      </c>
      <c r="E461" s="34" t="s">
        <v>22</v>
      </c>
      <c r="F461" s="134">
        <v>192002128</v>
      </c>
      <c r="G461" s="37">
        <v>43621</v>
      </c>
      <c r="H461" s="34">
        <v>87089900</v>
      </c>
      <c r="I461" s="39">
        <f>VLOOKUP(H461,'PUR-HSN MASTER'!$A$4:$E$5000,5,FALSE)</f>
        <v>28</v>
      </c>
      <c r="J461" s="38">
        <v>12</v>
      </c>
      <c r="K461" s="40">
        <v>17483.52</v>
      </c>
      <c r="L461" s="39">
        <v>0</v>
      </c>
      <c r="M461" s="39">
        <v>2447.6928000000003</v>
      </c>
      <c r="N461" s="39">
        <v>2447.6928000000003</v>
      </c>
      <c r="O461" s="39">
        <v>0</v>
      </c>
      <c r="P461" s="39">
        <v>22378.895600000003</v>
      </c>
      <c r="Q461" s="34" t="s">
        <v>410</v>
      </c>
      <c r="R461" s="34" t="s">
        <v>26</v>
      </c>
      <c r="S461" s="11" t="s">
        <v>4120</v>
      </c>
    </row>
    <row r="462" spans="1:19" x14ac:dyDescent="0.2">
      <c r="A462" s="33">
        <v>43617</v>
      </c>
      <c r="B462" s="34">
        <v>32</v>
      </c>
      <c r="C462" s="35" t="s">
        <v>471</v>
      </c>
      <c r="D462" s="34" t="str">
        <f>VLOOKUP(C462,'PUR-PARTY MASTER'!$B$4:$E$2000,2,FALSE)</f>
        <v>27AAECM8871A1ZF</v>
      </c>
      <c r="E462" s="34" t="s">
        <v>22</v>
      </c>
      <c r="F462" s="134">
        <v>192002129</v>
      </c>
      <c r="G462" s="37">
        <v>43621</v>
      </c>
      <c r="H462" s="34">
        <v>87089900</v>
      </c>
      <c r="I462" s="39">
        <f>VLOOKUP(H462,'PUR-HSN MASTER'!$A$4:$E$5000,5,FALSE)</f>
        <v>28</v>
      </c>
      <c r="J462" s="38">
        <v>12</v>
      </c>
      <c r="K462" s="40">
        <v>17483.52</v>
      </c>
      <c r="L462" s="39">
        <v>0</v>
      </c>
      <c r="M462" s="39">
        <v>2447.6928000000003</v>
      </c>
      <c r="N462" s="39">
        <v>2447.6928000000003</v>
      </c>
      <c r="O462" s="39">
        <v>0</v>
      </c>
      <c r="P462" s="39">
        <v>22378.895600000003</v>
      </c>
      <c r="Q462" s="34" t="s">
        <v>410</v>
      </c>
      <c r="R462" s="34" t="s">
        <v>26</v>
      </c>
      <c r="S462" s="11" t="s">
        <v>4120</v>
      </c>
    </row>
    <row r="463" spans="1:19" x14ac:dyDescent="0.2">
      <c r="A463" s="33">
        <v>43617</v>
      </c>
      <c r="B463" s="34">
        <v>33</v>
      </c>
      <c r="C463" s="35" t="s">
        <v>471</v>
      </c>
      <c r="D463" s="34" t="str">
        <f>VLOOKUP(C463,'PUR-PARTY MASTER'!$B$4:$E$2000,2,FALSE)</f>
        <v>27AAECM8871A1ZF</v>
      </c>
      <c r="E463" s="34" t="s">
        <v>22</v>
      </c>
      <c r="F463" s="134">
        <v>192002136</v>
      </c>
      <c r="G463" s="37">
        <v>43621</v>
      </c>
      <c r="H463" s="34">
        <v>87089900</v>
      </c>
      <c r="I463" s="39">
        <f>VLOOKUP(H463,'PUR-HSN MASTER'!$A$4:$E$5000,5,FALSE)</f>
        <v>28</v>
      </c>
      <c r="J463" s="38">
        <v>12</v>
      </c>
      <c r="K463" s="40">
        <v>17483.52</v>
      </c>
      <c r="L463" s="39">
        <v>0</v>
      </c>
      <c r="M463" s="39">
        <v>2447.6928000000003</v>
      </c>
      <c r="N463" s="39">
        <v>2447.6928000000003</v>
      </c>
      <c r="O463" s="39">
        <v>0</v>
      </c>
      <c r="P463" s="39">
        <v>22378.895600000003</v>
      </c>
      <c r="Q463" s="34" t="s">
        <v>410</v>
      </c>
      <c r="R463" s="34" t="s">
        <v>26</v>
      </c>
      <c r="S463" s="11" t="s">
        <v>4120</v>
      </c>
    </row>
    <row r="464" spans="1:19" x14ac:dyDescent="0.2">
      <c r="A464" s="33">
        <v>43617</v>
      </c>
      <c r="B464" s="34">
        <v>34</v>
      </c>
      <c r="C464" s="35" t="s">
        <v>471</v>
      </c>
      <c r="D464" s="34" t="str">
        <f>VLOOKUP(C464,'PUR-PARTY MASTER'!$B$4:$E$2000,2,FALSE)</f>
        <v>27AAECM8871A1ZF</v>
      </c>
      <c r="E464" s="34" t="s">
        <v>22</v>
      </c>
      <c r="F464" s="134">
        <v>192002146</v>
      </c>
      <c r="G464" s="37">
        <v>43621</v>
      </c>
      <c r="H464" s="34">
        <v>87089900</v>
      </c>
      <c r="I464" s="39">
        <f>VLOOKUP(H464,'PUR-HSN MASTER'!$A$4:$E$5000,5,FALSE)</f>
        <v>28</v>
      </c>
      <c r="J464" s="38">
        <v>12</v>
      </c>
      <c r="K464" s="40">
        <v>17483.52</v>
      </c>
      <c r="L464" s="39">
        <v>0</v>
      </c>
      <c r="M464" s="39">
        <v>2447.6928000000003</v>
      </c>
      <c r="N464" s="39">
        <v>2447.6928000000003</v>
      </c>
      <c r="O464" s="39">
        <v>0</v>
      </c>
      <c r="P464" s="39">
        <v>22378.895600000003</v>
      </c>
      <c r="Q464" s="34" t="s">
        <v>410</v>
      </c>
      <c r="R464" s="34" t="s">
        <v>26</v>
      </c>
      <c r="S464" s="11" t="s">
        <v>4120</v>
      </c>
    </row>
    <row r="465" spans="1:19" x14ac:dyDescent="0.2">
      <c r="A465" s="33">
        <v>43617</v>
      </c>
      <c r="B465" s="34">
        <v>35</v>
      </c>
      <c r="C465" s="35" t="s">
        <v>554</v>
      </c>
      <c r="D465" s="34" t="str">
        <f>VLOOKUP(C465,'PUR-PARTY MASTER'!$B$4:$E$2000,2,FALSE)</f>
        <v>27AACFA1881H1ZL</v>
      </c>
      <c r="E465" s="34" t="s">
        <v>22</v>
      </c>
      <c r="F465" s="134">
        <v>2351</v>
      </c>
      <c r="G465" s="37">
        <v>43621</v>
      </c>
      <c r="H465" s="34">
        <v>87141900</v>
      </c>
      <c r="I465" s="39">
        <f>VLOOKUP(H465,'PUR-HSN MASTER'!$A$4:$E$5000,5,FALSE)</f>
        <v>28</v>
      </c>
      <c r="J465" s="38">
        <v>1000</v>
      </c>
      <c r="K465" s="40">
        <v>2780</v>
      </c>
      <c r="L465" s="39">
        <v>0</v>
      </c>
      <c r="M465" s="39">
        <v>389.2</v>
      </c>
      <c r="N465" s="39">
        <v>389.2</v>
      </c>
      <c r="O465" s="39">
        <v>0</v>
      </c>
      <c r="P465" s="39">
        <v>3558.3999999999996</v>
      </c>
      <c r="Q465" s="34" t="s">
        <v>410</v>
      </c>
      <c r="R465" s="34" t="s">
        <v>26</v>
      </c>
      <c r="S465" s="11" t="s">
        <v>4120</v>
      </c>
    </row>
    <row r="466" spans="1:19" x14ac:dyDescent="0.2">
      <c r="A466" s="33">
        <v>43617</v>
      </c>
      <c r="B466" s="34">
        <v>36</v>
      </c>
      <c r="C466" s="35" t="s">
        <v>476</v>
      </c>
      <c r="D466" s="34" t="str">
        <f>VLOOKUP(C466,'PUR-PARTY MASTER'!$B$4:$E$2000,2,FALSE)</f>
        <v>27AABCO8467D1ZA</v>
      </c>
      <c r="E466" s="34" t="s">
        <v>22</v>
      </c>
      <c r="F466" s="136" t="s">
        <v>702</v>
      </c>
      <c r="G466" s="37">
        <v>43617</v>
      </c>
      <c r="H466" s="34" t="s">
        <v>703</v>
      </c>
      <c r="I466" s="39">
        <f>VLOOKUP(H466,'PUR-HSN MASTER'!$A$4:$E$5000,5,FALSE)</f>
        <v>28</v>
      </c>
      <c r="J466" s="38">
        <v>0</v>
      </c>
      <c r="K466" s="40">
        <v>376945</v>
      </c>
      <c r="L466" s="39">
        <v>0</v>
      </c>
      <c r="M466" s="39">
        <v>52772.299999999996</v>
      </c>
      <c r="N466" s="39">
        <v>52772.299999999996</v>
      </c>
      <c r="O466" s="39">
        <v>0</v>
      </c>
      <c r="P466" s="39">
        <v>482490</v>
      </c>
      <c r="Q466" s="34" t="s">
        <v>410</v>
      </c>
      <c r="R466" s="34" t="s">
        <v>26</v>
      </c>
      <c r="S466" s="11" t="s">
        <v>4120</v>
      </c>
    </row>
    <row r="467" spans="1:19" x14ac:dyDescent="0.2">
      <c r="A467" s="33">
        <v>43617</v>
      </c>
      <c r="B467" s="34">
        <v>37</v>
      </c>
      <c r="C467" s="35" t="s">
        <v>521</v>
      </c>
      <c r="D467" s="34" t="str">
        <f>VLOOKUP(C467,'PUR-PARTY MASTER'!$B$4:$E$2000,2,FALSE)</f>
        <v>27APHPD1073Q1ZM</v>
      </c>
      <c r="E467" s="34" t="s">
        <v>22</v>
      </c>
      <c r="F467" s="136" t="s">
        <v>704</v>
      </c>
      <c r="G467" s="37">
        <v>43621</v>
      </c>
      <c r="H467" s="34">
        <v>84778090</v>
      </c>
      <c r="I467" s="39">
        <f>VLOOKUP(H467,'PUR-HSN MASTER'!$A$4:$E$5000,5,FALSE)</f>
        <v>18</v>
      </c>
      <c r="J467" s="38">
        <v>20</v>
      </c>
      <c r="K467" s="40">
        <v>4000</v>
      </c>
      <c r="L467" s="39">
        <v>0</v>
      </c>
      <c r="M467" s="39">
        <v>360</v>
      </c>
      <c r="N467" s="39">
        <v>360</v>
      </c>
      <c r="O467" s="39">
        <v>0</v>
      </c>
      <c r="P467" s="39">
        <v>4720</v>
      </c>
      <c r="Q467" s="34" t="s">
        <v>410</v>
      </c>
      <c r="R467" s="34" t="s">
        <v>26</v>
      </c>
      <c r="S467" s="11" t="s">
        <v>4120</v>
      </c>
    </row>
    <row r="468" spans="1:19" x14ac:dyDescent="0.2">
      <c r="A468" s="33">
        <v>43617</v>
      </c>
      <c r="B468" s="34">
        <v>38</v>
      </c>
      <c r="C468" s="35" t="s">
        <v>705</v>
      </c>
      <c r="D468" s="34" t="str">
        <f>VLOOKUP(C468,'PUR-PARTY MASTER'!$B$4:$E$2000,2,FALSE)</f>
        <v>27AABFM8397H1ZT</v>
      </c>
      <c r="E468" s="34" t="s">
        <v>22</v>
      </c>
      <c r="F468" s="136" t="s">
        <v>707</v>
      </c>
      <c r="G468" s="37">
        <v>43621</v>
      </c>
      <c r="H468" s="34">
        <v>87089900</v>
      </c>
      <c r="I468" s="39">
        <f>VLOOKUP(H468,'PUR-HSN MASTER'!$A$4:$E$5000,5,FALSE)</f>
        <v>28</v>
      </c>
      <c r="J468" s="38">
        <v>0</v>
      </c>
      <c r="K468" s="40">
        <v>0</v>
      </c>
      <c r="L468" s="39">
        <v>0</v>
      </c>
      <c r="M468" s="39">
        <v>0</v>
      </c>
      <c r="N468" s="39">
        <v>0</v>
      </c>
      <c r="O468" s="39">
        <v>0</v>
      </c>
      <c r="P468" s="39">
        <v>0</v>
      </c>
      <c r="Q468" s="34" t="s">
        <v>410</v>
      </c>
      <c r="R468" s="34" t="s">
        <v>26</v>
      </c>
      <c r="S468" s="11" t="s">
        <v>4120</v>
      </c>
    </row>
    <row r="469" spans="1:19" x14ac:dyDescent="0.2">
      <c r="A469" s="33">
        <v>43617</v>
      </c>
      <c r="B469" s="34">
        <v>39</v>
      </c>
      <c r="C469" s="35" t="s">
        <v>554</v>
      </c>
      <c r="D469" s="34" t="str">
        <f>VLOOKUP(C469,'PUR-PARTY MASTER'!$B$4:$E$2000,2,FALSE)</f>
        <v>27AACFA1881H1ZL</v>
      </c>
      <c r="E469" s="34" t="s">
        <v>22</v>
      </c>
      <c r="F469" s="134">
        <v>2393</v>
      </c>
      <c r="G469" s="37">
        <v>43621</v>
      </c>
      <c r="H469" s="34">
        <v>87141900</v>
      </c>
      <c r="I469" s="39">
        <f>VLOOKUP(H469,'PUR-HSN MASTER'!$A$4:$E$5000,5,FALSE)</f>
        <v>28</v>
      </c>
      <c r="J469" s="38">
        <v>400</v>
      </c>
      <c r="K469" s="40">
        <v>964</v>
      </c>
      <c r="L469" s="39">
        <v>0</v>
      </c>
      <c r="M469" s="39">
        <v>134.96</v>
      </c>
      <c r="N469" s="39">
        <v>134.96</v>
      </c>
      <c r="O469" s="39">
        <v>0</v>
      </c>
      <c r="P469" s="39">
        <v>1233.92</v>
      </c>
      <c r="Q469" s="34" t="s">
        <v>410</v>
      </c>
      <c r="R469" s="34" t="s">
        <v>26</v>
      </c>
      <c r="S469" s="11" t="s">
        <v>4120</v>
      </c>
    </row>
    <row r="470" spans="1:19" x14ac:dyDescent="0.2">
      <c r="A470" s="33">
        <v>43617</v>
      </c>
      <c r="B470" s="34">
        <v>40</v>
      </c>
      <c r="C470" s="35" t="s">
        <v>601</v>
      </c>
      <c r="D470" s="34" t="str">
        <f>VLOOKUP(C470,'PUR-PARTY MASTER'!$B$4:$E$2000,2,FALSE)</f>
        <v>27AAZFM6461A1ZY</v>
      </c>
      <c r="E470" s="34" t="s">
        <v>22</v>
      </c>
      <c r="F470" s="134">
        <v>1698</v>
      </c>
      <c r="G470" s="37">
        <v>43621</v>
      </c>
      <c r="H470" s="34">
        <v>87082900</v>
      </c>
      <c r="I470" s="39">
        <f>VLOOKUP(H470,'PUR-HSN MASTER'!$A$4:$E$5000,5,FALSE)</f>
        <v>28</v>
      </c>
      <c r="J470" s="38">
        <v>1080</v>
      </c>
      <c r="K470" s="40">
        <v>24105.599999999999</v>
      </c>
      <c r="L470" s="39">
        <v>0</v>
      </c>
      <c r="M470" s="39">
        <v>3374.7839999999997</v>
      </c>
      <c r="N470" s="39">
        <v>3374.7839999999997</v>
      </c>
      <c r="O470" s="39">
        <v>0</v>
      </c>
      <c r="P470" s="39">
        <v>30855.157999999999</v>
      </c>
      <c r="Q470" s="34" t="s">
        <v>410</v>
      </c>
      <c r="R470" s="34" t="s">
        <v>26</v>
      </c>
      <c r="S470" s="11" t="s">
        <v>4120</v>
      </c>
    </row>
    <row r="471" spans="1:19" x14ac:dyDescent="0.2">
      <c r="A471" s="33">
        <v>43617</v>
      </c>
      <c r="B471" s="34">
        <v>41</v>
      </c>
      <c r="C471" s="35" t="s">
        <v>601</v>
      </c>
      <c r="D471" s="34" t="str">
        <f>VLOOKUP(C471,'PUR-PARTY MASTER'!$B$4:$E$2000,2,FALSE)</f>
        <v>27AAZFM6461A1ZY</v>
      </c>
      <c r="E471" s="34" t="s">
        <v>22</v>
      </c>
      <c r="F471" s="134">
        <v>1699</v>
      </c>
      <c r="G471" s="37">
        <v>43621</v>
      </c>
      <c r="H471" s="34">
        <v>87082900</v>
      </c>
      <c r="I471" s="39">
        <f>VLOOKUP(H471,'PUR-HSN MASTER'!$A$4:$E$5000,5,FALSE)</f>
        <v>28</v>
      </c>
      <c r="J471" s="38">
        <v>700</v>
      </c>
      <c r="K471" s="40">
        <v>29799</v>
      </c>
      <c r="L471" s="39">
        <v>0</v>
      </c>
      <c r="M471" s="39">
        <v>4171.8600000000006</v>
      </c>
      <c r="N471" s="39">
        <v>4171.8600000000006</v>
      </c>
      <c r="O471" s="39">
        <v>0</v>
      </c>
      <c r="P471" s="39">
        <v>38142.720000000001</v>
      </c>
      <c r="Q471" s="34" t="s">
        <v>410</v>
      </c>
      <c r="R471" s="34" t="s">
        <v>26</v>
      </c>
      <c r="S471" s="11" t="s">
        <v>4120</v>
      </c>
    </row>
    <row r="472" spans="1:19" x14ac:dyDescent="0.2">
      <c r="A472" s="33">
        <v>43617</v>
      </c>
      <c r="B472" s="34">
        <v>42</v>
      </c>
      <c r="C472" s="35" t="s">
        <v>471</v>
      </c>
      <c r="D472" s="34" t="str">
        <f>VLOOKUP(C472,'PUR-PARTY MASTER'!$B$4:$E$2000,2,FALSE)</f>
        <v>27AAECM8871A1ZF</v>
      </c>
      <c r="E472" s="34" t="s">
        <v>22</v>
      </c>
      <c r="F472" s="134">
        <v>192002177</v>
      </c>
      <c r="G472" s="37">
        <v>43622</v>
      </c>
      <c r="H472" s="34">
        <v>87089900</v>
      </c>
      <c r="I472" s="39">
        <f>VLOOKUP(H472,'PUR-HSN MASTER'!$A$4:$E$5000,5,FALSE)</f>
        <v>28</v>
      </c>
      <c r="J472" s="38">
        <v>12</v>
      </c>
      <c r="K472" s="40">
        <v>17483.52</v>
      </c>
      <c r="L472" s="39">
        <v>0</v>
      </c>
      <c r="M472" s="39">
        <v>2447.6928000000003</v>
      </c>
      <c r="N472" s="39">
        <v>2447.6928000000003</v>
      </c>
      <c r="O472" s="39">
        <v>0</v>
      </c>
      <c r="P472" s="39">
        <v>22378.895600000003</v>
      </c>
      <c r="Q472" s="34" t="s">
        <v>410</v>
      </c>
      <c r="R472" s="34" t="s">
        <v>26</v>
      </c>
      <c r="S472" s="11" t="s">
        <v>4120</v>
      </c>
    </row>
    <row r="473" spans="1:19" x14ac:dyDescent="0.2">
      <c r="A473" s="33">
        <v>43617</v>
      </c>
      <c r="B473" s="34">
        <v>43</v>
      </c>
      <c r="C473" s="35" t="s">
        <v>708</v>
      </c>
      <c r="D473" s="34" t="str">
        <f>VLOOKUP(C473,'PUR-PARTY MASTER'!$B$4:$E$2000,2,FALSE)</f>
        <v>24AAECD2713N1ZQ</v>
      </c>
      <c r="E473" s="34" t="s">
        <v>22</v>
      </c>
      <c r="F473" s="134">
        <v>7888007473</v>
      </c>
      <c r="G473" s="37">
        <v>43620</v>
      </c>
      <c r="H473" s="34">
        <v>38140010</v>
      </c>
      <c r="I473" s="39">
        <f>VLOOKUP(H473,'PUR-HSN MASTER'!$A$4:$E$5000,5,FALSE)</f>
        <v>18</v>
      </c>
      <c r="J473" s="38">
        <v>100</v>
      </c>
      <c r="K473" s="40">
        <v>7500</v>
      </c>
      <c r="L473" s="39">
        <v>1350</v>
      </c>
      <c r="M473" s="39">
        <v>0</v>
      </c>
      <c r="N473" s="39">
        <v>0</v>
      </c>
      <c r="O473" s="39">
        <v>0</v>
      </c>
      <c r="P473" s="39">
        <v>8850</v>
      </c>
      <c r="Q473" s="34" t="s">
        <v>410</v>
      </c>
      <c r="R473" s="34" t="s">
        <v>106</v>
      </c>
      <c r="S473" s="11" t="s">
        <v>4120</v>
      </c>
    </row>
    <row r="474" spans="1:19" x14ac:dyDescent="0.2">
      <c r="A474" s="33">
        <v>43617</v>
      </c>
      <c r="B474" s="34">
        <v>44</v>
      </c>
      <c r="C474" s="629" t="s">
        <v>710</v>
      </c>
      <c r="D474" s="34" t="str">
        <f>VLOOKUP(C474,'PUR-PARTY MASTER'!$B$4:$E$2000,2,FALSE)</f>
        <v>27ATWPK5509M1ZV</v>
      </c>
      <c r="E474" s="34" t="s">
        <v>22</v>
      </c>
      <c r="F474" s="134">
        <v>668</v>
      </c>
      <c r="G474" s="37">
        <v>43621</v>
      </c>
      <c r="H474" s="43">
        <v>3813</v>
      </c>
      <c r="I474" s="39">
        <f>VLOOKUP(H474,'PUR-HSN MASTER'!$A$4:$E$5000,5,FALSE)</f>
        <v>18</v>
      </c>
      <c r="J474" s="38">
        <v>9</v>
      </c>
      <c r="K474" s="40">
        <v>7590</v>
      </c>
      <c r="L474" s="39">
        <v>0</v>
      </c>
      <c r="M474" s="39">
        <v>683.1</v>
      </c>
      <c r="N474" s="39">
        <v>683.1</v>
      </c>
      <c r="O474" s="39">
        <v>0</v>
      </c>
      <c r="P474" s="39">
        <v>8956.2000000000007</v>
      </c>
      <c r="Q474" s="43" t="s">
        <v>410</v>
      </c>
      <c r="R474" s="34" t="s">
        <v>26</v>
      </c>
      <c r="S474" s="11" t="s">
        <v>4120</v>
      </c>
    </row>
    <row r="475" spans="1:19" x14ac:dyDescent="0.2">
      <c r="A475" s="33">
        <v>43617</v>
      </c>
      <c r="B475" s="34">
        <v>45</v>
      </c>
      <c r="C475" s="35" t="s">
        <v>712</v>
      </c>
      <c r="D475" s="34" t="str">
        <f>VLOOKUP(C475,'PUR-PARTY MASTER'!$B$4:$E$2000,2,FALSE)</f>
        <v>27AAIPN4131D1Z0</v>
      </c>
      <c r="E475" s="34" t="s">
        <v>22</v>
      </c>
      <c r="F475" s="136" t="s">
        <v>714</v>
      </c>
      <c r="G475" s="37">
        <v>43619</v>
      </c>
      <c r="H475" s="34">
        <v>85051110</v>
      </c>
      <c r="I475" s="39">
        <f>VLOOKUP(H475,'PUR-HSN MASTER'!$A$4:$E$5000,5,FALSE)</f>
        <v>18</v>
      </c>
      <c r="J475" s="38">
        <v>96</v>
      </c>
      <c r="K475" s="40">
        <v>6912</v>
      </c>
      <c r="L475" s="39">
        <v>0</v>
      </c>
      <c r="M475" s="39">
        <v>622.08000000000004</v>
      </c>
      <c r="N475" s="39">
        <v>622.08000000000004</v>
      </c>
      <c r="O475" s="39">
        <v>0</v>
      </c>
      <c r="P475" s="39">
        <v>8156.16</v>
      </c>
      <c r="Q475" s="34" t="s">
        <v>410</v>
      </c>
      <c r="R475" s="34" t="s">
        <v>26</v>
      </c>
      <c r="S475" s="11" t="s">
        <v>4120</v>
      </c>
    </row>
    <row r="476" spans="1:19" x14ac:dyDescent="0.2">
      <c r="A476" s="33">
        <v>43617</v>
      </c>
      <c r="B476" s="34">
        <v>46</v>
      </c>
      <c r="C476" s="35" t="s">
        <v>634</v>
      </c>
      <c r="D476" s="34" t="str">
        <f>VLOOKUP(C476,'PUR-PARTY MASTER'!$B$4:$E$2000,2,FALSE)</f>
        <v>27AVIPS7433C1ZF</v>
      </c>
      <c r="E476" s="34" t="s">
        <v>22</v>
      </c>
      <c r="F476" s="136" t="s">
        <v>715</v>
      </c>
      <c r="G476" s="37">
        <v>43622</v>
      </c>
      <c r="H476" s="34">
        <v>8414</v>
      </c>
      <c r="I476" s="39">
        <f>VLOOKUP(H476,'PUR-HSN MASTER'!$A$4:$E$5000,5,FALSE)</f>
        <v>18</v>
      </c>
      <c r="J476" s="38">
        <v>3</v>
      </c>
      <c r="K476" s="40">
        <v>5550</v>
      </c>
      <c r="L476" s="39">
        <v>0</v>
      </c>
      <c r="M476" s="39">
        <v>499.5</v>
      </c>
      <c r="N476" s="39">
        <v>499.5</v>
      </c>
      <c r="O476" s="39">
        <v>0</v>
      </c>
      <c r="P476" s="39">
        <v>6549</v>
      </c>
      <c r="Q476" s="34" t="s">
        <v>410</v>
      </c>
      <c r="R476" s="34" t="s">
        <v>26</v>
      </c>
      <c r="S476" s="11" t="s">
        <v>4120</v>
      </c>
    </row>
    <row r="477" spans="1:19" x14ac:dyDescent="0.2">
      <c r="A477" s="33">
        <v>43617</v>
      </c>
      <c r="B477" s="34">
        <v>47</v>
      </c>
      <c r="C477" s="35" t="s">
        <v>554</v>
      </c>
      <c r="D477" s="34" t="str">
        <f>VLOOKUP(C477,'PUR-PARTY MASTER'!$B$4:$E$2000,2,FALSE)</f>
        <v>27AACFA1881H1ZL</v>
      </c>
      <c r="E477" s="34" t="s">
        <v>22</v>
      </c>
      <c r="F477" s="134">
        <v>2413</v>
      </c>
      <c r="G477" s="37">
        <v>43622</v>
      </c>
      <c r="H477" s="34">
        <v>87141900</v>
      </c>
      <c r="I477" s="39">
        <f>VLOOKUP(H477,'PUR-HSN MASTER'!$A$4:$E$5000,5,FALSE)</f>
        <v>28</v>
      </c>
      <c r="J477" s="38">
        <v>600</v>
      </c>
      <c r="K477" s="40">
        <v>1668</v>
      </c>
      <c r="L477" s="39">
        <v>0</v>
      </c>
      <c r="M477" s="39">
        <v>233.51999999999998</v>
      </c>
      <c r="N477" s="39">
        <v>233.51999999999998</v>
      </c>
      <c r="O477" s="39">
        <v>0</v>
      </c>
      <c r="P477" s="39">
        <v>2135.04</v>
      </c>
      <c r="Q477" s="34" t="s">
        <v>410</v>
      </c>
      <c r="R477" s="34" t="s">
        <v>26</v>
      </c>
      <c r="S477" s="11" t="s">
        <v>4120</v>
      </c>
    </row>
    <row r="478" spans="1:19" x14ac:dyDescent="0.2">
      <c r="A478" s="33">
        <v>43617</v>
      </c>
      <c r="B478" s="34">
        <v>48</v>
      </c>
      <c r="C478" s="35" t="s">
        <v>471</v>
      </c>
      <c r="D478" s="34" t="str">
        <f>VLOOKUP(C478,'PUR-PARTY MASTER'!$B$4:$E$2000,2,FALSE)</f>
        <v>27AAECM8871A1ZF</v>
      </c>
      <c r="E478" s="34" t="s">
        <v>22</v>
      </c>
      <c r="F478" s="134">
        <v>192002178</v>
      </c>
      <c r="G478" s="37">
        <v>43622</v>
      </c>
      <c r="H478" s="34">
        <v>87089900</v>
      </c>
      <c r="I478" s="39">
        <f>VLOOKUP(H478,'PUR-HSN MASTER'!$A$4:$E$5000,5,FALSE)</f>
        <v>28</v>
      </c>
      <c r="J478" s="38">
        <v>12</v>
      </c>
      <c r="K478" s="40">
        <v>17483.52</v>
      </c>
      <c r="L478" s="39">
        <v>0</v>
      </c>
      <c r="M478" s="39">
        <v>2447.6928000000003</v>
      </c>
      <c r="N478" s="39">
        <v>2447.6928000000003</v>
      </c>
      <c r="O478" s="39">
        <v>0</v>
      </c>
      <c r="P478" s="39">
        <v>22378.895600000003</v>
      </c>
      <c r="Q478" s="34" t="s">
        <v>410</v>
      </c>
      <c r="R478" s="34" t="s">
        <v>26</v>
      </c>
      <c r="S478" s="11" t="s">
        <v>4120</v>
      </c>
    </row>
    <row r="479" spans="1:19" x14ac:dyDescent="0.2">
      <c r="A479" s="33">
        <v>43617</v>
      </c>
      <c r="B479" s="34">
        <v>49</v>
      </c>
      <c r="C479" s="35" t="s">
        <v>601</v>
      </c>
      <c r="D479" s="34" t="str">
        <f>VLOOKUP(C479,'PUR-PARTY MASTER'!$B$4:$E$2000,2,FALSE)</f>
        <v>27AAZFM6461A1ZY</v>
      </c>
      <c r="E479" s="34" t="s">
        <v>22</v>
      </c>
      <c r="F479" s="134">
        <v>1715</v>
      </c>
      <c r="G479" s="37">
        <v>43622</v>
      </c>
      <c r="H479" s="34">
        <v>87082900</v>
      </c>
      <c r="I479" s="39">
        <f>VLOOKUP(H479,'PUR-HSN MASTER'!$A$4:$E$5000,5,FALSE)</f>
        <v>28</v>
      </c>
      <c r="J479" s="38">
        <v>1040</v>
      </c>
      <c r="K479" s="40">
        <v>44272.800000000003</v>
      </c>
      <c r="L479" s="39">
        <v>0</v>
      </c>
      <c r="M479" s="39">
        <v>6198.192</v>
      </c>
      <c r="N479" s="39">
        <v>6198.192</v>
      </c>
      <c r="O479" s="39">
        <v>0</v>
      </c>
      <c r="P479" s="39">
        <v>56669.184000000008</v>
      </c>
      <c r="Q479" s="34" t="s">
        <v>410</v>
      </c>
      <c r="R479" s="34" t="s">
        <v>26</v>
      </c>
      <c r="S479" s="11" t="s">
        <v>4120</v>
      </c>
    </row>
    <row r="480" spans="1:19" x14ac:dyDescent="0.2">
      <c r="A480" s="33">
        <v>43617</v>
      </c>
      <c r="B480" s="34">
        <v>50</v>
      </c>
      <c r="C480" s="35" t="s">
        <v>511</v>
      </c>
      <c r="D480" s="34" t="str">
        <f>VLOOKUP(C480,'PUR-PARTY MASTER'!$B$4:$E$2000,2,FALSE)</f>
        <v>27AABFA1883E1ZQ</v>
      </c>
      <c r="E480" s="34" t="s">
        <v>22</v>
      </c>
      <c r="F480" s="136" t="s">
        <v>716</v>
      </c>
      <c r="G480" s="37">
        <v>43623</v>
      </c>
      <c r="H480" s="34">
        <v>32082090</v>
      </c>
      <c r="I480" s="39">
        <f>VLOOKUP(H480,'PUR-HSN MASTER'!$A$4:$E$5000,5,FALSE)</f>
        <v>18</v>
      </c>
      <c r="J480" s="38">
        <v>50</v>
      </c>
      <c r="K480" s="40">
        <v>8750</v>
      </c>
      <c r="L480" s="39">
        <v>0</v>
      </c>
      <c r="M480" s="39">
        <v>787.5</v>
      </c>
      <c r="N480" s="39">
        <v>787.5</v>
      </c>
      <c r="O480" s="39">
        <v>0</v>
      </c>
      <c r="P480" s="39">
        <v>10325</v>
      </c>
      <c r="Q480" s="34" t="s">
        <v>410</v>
      </c>
      <c r="R480" s="34" t="s">
        <v>26</v>
      </c>
      <c r="S480" s="11" t="s">
        <v>4120</v>
      </c>
    </row>
    <row r="481" spans="1:19" x14ac:dyDescent="0.2">
      <c r="A481" s="33">
        <v>43617</v>
      </c>
      <c r="B481" s="34">
        <v>51</v>
      </c>
      <c r="C481" s="35" t="s">
        <v>489</v>
      </c>
      <c r="D481" s="34" t="str">
        <f>VLOOKUP(C481,'PUR-PARTY MASTER'!$B$4:$E$2000,2,FALSE)</f>
        <v>27AAECD2713N1ZK</v>
      </c>
      <c r="E481" s="34" t="s">
        <v>22</v>
      </c>
      <c r="F481" s="134">
        <v>7887984181</v>
      </c>
      <c r="G481" s="37">
        <v>43623</v>
      </c>
      <c r="H481" s="34">
        <v>32082090</v>
      </c>
      <c r="I481" s="39">
        <f>VLOOKUP(H481,'PUR-HSN MASTER'!$A$4:$E$5000,5,FALSE)</f>
        <v>18</v>
      </c>
      <c r="J481" s="38">
        <v>16</v>
      </c>
      <c r="K481" s="40">
        <v>17472</v>
      </c>
      <c r="L481" s="39">
        <v>0</v>
      </c>
      <c r="M481" s="39">
        <v>1572.48</v>
      </c>
      <c r="N481" s="39">
        <v>1572.48</v>
      </c>
      <c r="O481" s="39">
        <v>0</v>
      </c>
      <c r="P481" s="39">
        <v>20617</v>
      </c>
      <c r="Q481" s="34" t="s">
        <v>410</v>
      </c>
      <c r="R481" s="34" t="s">
        <v>26</v>
      </c>
      <c r="S481" s="11" t="s">
        <v>4120</v>
      </c>
    </row>
    <row r="482" spans="1:19" x14ac:dyDescent="0.2">
      <c r="A482" s="33">
        <v>43617</v>
      </c>
      <c r="B482" s="34">
        <v>52</v>
      </c>
      <c r="C482" s="35" t="s">
        <v>609</v>
      </c>
      <c r="D482" s="34" t="str">
        <f>VLOOKUP(C482,'PUR-PARTY MASTER'!$B$4:$E$2000,2,FALSE)</f>
        <v>27AASCS9231J1ZO</v>
      </c>
      <c r="E482" s="34" t="s">
        <v>22</v>
      </c>
      <c r="F482" s="136" t="s">
        <v>717</v>
      </c>
      <c r="G482" s="37">
        <v>43617</v>
      </c>
      <c r="H482" s="34">
        <v>998519</v>
      </c>
      <c r="I482" s="39">
        <f>VLOOKUP(H482,'PUR-HSN MASTER'!$A$4:$E$5000,5,FALSE)</f>
        <v>18</v>
      </c>
      <c r="J482" s="38">
        <v>0</v>
      </c>
      <c r="K482" s="40">
        <v>24626</v>
      </c>
      <c r="L482" s="39">
        <v>0</v>
      </c>
      <c r="M482" s="39">
        <v>2216.34</v>
      </c>
      <c r="N482" s="39">
        <v>2216.34</v>
      </c>
      <c r="O482" s="39">
        <v>0</v>
      </c>
      <c r="P482" s="39">
        <v>29059</v>
      </c>
      <c r="Q482" s="34" t="s">
        <v>411</v>
      </c>
      <c r="R482" s="34" t="s">
        <v>26</v>
      </c>
      <c r="S482" s="11" t="s">
        <v>4120</v>
      </c>
    </row>
    <row r="483" spans="1:19" x14ac:dyDescent="0.2">
      <c r="A483" s="33">
        <v>43617</v>
      </c>
      <c r="B483" s="34">
        <v>53</v>
      </c>
      <c r="C483" s="35" t="s">
        <v>609</v>
      </c>
      <c r="D483" s="34" t="str">
        <f>VLOOKUP(C483,'PUR-PARTY MASTER'!$B$4:$E$2000,2,FALSE)</f>
        <v>27AASCS9231J1ZO</v>
      </c>
      <c r="E483" s="34" t="s">
        <v>22</v>
      </c>
      <c r="F483" s="136" t="s">
        <v>718</v>
      </c>
      <c r="G483" s="37">
        <v>43617</v>
      </c>
      <c r="H483" s="34">
        <v>998519</v>
      </c>
      <c r="I483" s="39">
        <f>VLOOKUP(H483,'PUR-HSN MASTER'!$A$4:$E$5000,5,FALSE)</f>
        <v>18</v>
      </c>
      <c r="J483" s="38">
        <v>0</v>
      </c>
      <c r="K483" s="40">
        <v>758400</v>
      </c>
      <c r="L483" s="39">
        <v>0</v>
      </c>
      <c r="M483" s="39">
        <v>68256</v>
      </c>
      <c r="N483" s="39">
        <v>68256</v>
      </c>
      <c r="O483" s="39">
        <v>0</v>
      </c>
      <c r="P483" s="39">
        <v>894912</v>
      </c>
      <c r="Q483" s="34" t="s">
        <v>411</v>
      </c>
      <c r="R483" s="34" t="s">
        <v>26</v>
      </c>
      <c r="S483" s="11" t="s">
        <v>4120</v>
      </c>
    </row>
    <row r="484" spans="1:19" x14ac:dyDescent="0.2">
      <c r="A484" s="33">
        <v>43617</v>
      </c>
      <c r="B484" s="34">
        <v>54</v>
      </c>
      <c r="C484" s="35" t="s">
        <v>591</v>
      </c>
      <c r="D484" s="34" t="str">
        <f>VLOOKUP(C484,'PUR-PARTY MASTER'!$B$4:$E$2000,2,FALSE)</f>
        <v>27AAACI6297A1ZN</v>
      </c>
      <c r="E484" s="34" t="s">
        <v>22</v>
      </c>
      <c r="F484" s="136" t="s">
        <v>719</v>
      </c>
      <c r="G484" s="37">
        <v>43623</v>
      </c>
      <c r="H484" s="34">
        <v>3208</v>
      </c>
      <c r="I484" s="39">
        <f>VLOOKUP(H484,'PUR-HSN MASTER'!$A$4:$E$5000,5,FALSE)</f>
        <v>18</v>
      </c>
      <c r="J484" s="38">
        <v>54</v>
      </c>
      <c r="K484" s="40">
        <v>36504</v>
      </c>
      <c r="L484" s="39">
        <v>0</v>
      </c>
      <c r="M484" s="39">
        <v>3285.36</v>
      </c>
      <c r="N484" s="39">
        <v>3285.36</v>
      </c>
      <c r="O484" s="39">
        <v>0</v>
      </c>
      <c r="P484" s="39">
        <v>43074.720000000001</v>
      </c>
      <c r="Q484" s="34" t="s">
        <v>410</v>
      </c>
      <c r="R484" s="34" t="s">
        <v>26</v>
      </c>
      <c r="S484" s="11" t="s">
        <v>4120</v>
      </c>
    </row>
    <row r="485" spans="1:19" x14ac:dyDescent="0.2">
      <c r="A485" s="33">
        <v>43617</v>
      </c>
      <c r="B485" s="34">
        <v>55</v>
      </c>
      <c r="C485" s="35" t="s">
        <v>471</v>
      </c>
      <c r="D485" s="34" t="str">
        <f>VLOOKUP(C485,'PUR-PARTY MASTER'!$B$4:$E$2000,2,FALSE)</f>
        <v>27AAECM8871A1ZF</v>
      </c>
      <c r="E485" s="34" t="s">
        <v>22</v>
      </c>
      <c r="F485" s="134">
        <v>192002118</v>
      </c>
      <c r="G485" s="37">
        <v>43620</v>
      </c>
      <c r="H485" s="34">
        <v>87089900</v>
      </c>
      <c r="I485" s="39">
        <f>VLOOKUP(H485,'PUR-HSN MASTER'!$A$4:$E$5000,5,FALSE)</f>
        <v>28</v>
      </c>
      <c r="J485" s="38">
        <v>12</v>
      </c>
      <c r="K485" s="40">
        <v>17483.52</v>
      </c>
      <c r="L485" s="39">
        <v>0</v>
      </c>
      <c r="M485" s="39">
        <v>2447.6928000000003</v>
      </c>
      <c r="N485" s="39">
        <v>2447.6928000000003</v>
      </c>
      <c r="O485" s="39">
        <v>0</v>
      </c>
      <c r="P485" s="39">
        <v>22378.895600000003</v>
      </c>
      <c r="Q485" s="34" t="s">
        <v>410</v>
      </c>
      <c r="R485" s="34" t="s">
        <v>26</v>
      </c>
      <c r="S485" s="11" t="s">
        <v>4120</v>
      </c>
    </row>
    <row r="486" spans="1:19" x14ac:dyDescent="0.2">
      <c r="A486" s="33">
        <v>43617</v>
      </c>
      <c r="B486" s="34">
        <v>56</v>
      </c>
      <c r="C486" s="35" t="s">
        <v>471</v>
      </c>
      <c r="D486" s="34" t="str">
        <f>VLOOKUP(C486,'PUR-PARTY MASTER'!$B$4:$E$2000,2,FALSE)</f>
        <v>27AAECM8871A1ZF</v>
      </c>
      <c r="E486" s="34" t="s">
        <v>22</v>
      </c>
      <c r="F486" s="134">
        <v>192002178</v>
      </c>
      <c r="G486" s="37">
        <v>43620</v>
      </c>
      <c r="H486" s="34">
        <v>87089900</v>
      </c>
      <c r="I486" s="39">
        <f>VLOOKUP(H486,'PUR-HSN MASTER'!$A$4:$E$5000,5,FALSE)</f>
        <v>28</v>
      </c>
      <c r="J486" s="38">
        <v>12</v>
      </c>
      <c r="K486" s="40">
        <v>17483.52</v>
      </c>
      <c r="L486" s="39">
        <v>0</v>
      </c>
      <c r="M486" s="39">
        <v>2447.6928000000003</v>
      </c>
      <c r="N486" s="39">
        <v>2447.6928000000003</v>
      </c>
      <c r="O486" s="39">
        <v>0</v>
      </c>
      <c r="P486" s="39">
        <v>22378.895600000003</v>
      </c>
      <c r="Q486" s="34" t="s">
        <v>410</v>
      </c>
      <c r="R486" s="34" t="s">
        <v>26</v>
      </c>
      <c r="S486" s="11" t="s">
        <v>4120</v>
      </c>
    </row>
    <row r="487" spans="1:19" x14ac:dyDescent="0.2">
      <c r="A487" s="33">
        <v>43617</v>
      </c>
      <c r="B487" s="34">
        <v>57</v>
      </c>
      <c r="C487" s="35" t="s">
        <v>720</v>
      </c>
      <c r="D487" s="34" t="str">
        <f>VLOOKUP(C487,'PUR-PARTY MASTER'!$B$4:$E$2000,2,FALSE)</f>
        <v>27ABDFS1863M1ZR</v>
      </c>
      <c r="E487" s="34" t="s">
        <v>22</v>
      </c>
      <c r="F487" s="136" t="s">
        <v>721</v>
      </c>
      <c r="G487" s="37">
        <v>43623</v>
      </c>
      <c r="H487" s="34">
        <v>7318</v>
      </c>
      <c r="I487" s="39">
        <f>VLOOKUP(H487,'PUR-HSN MASTER'!$A$4:$E$5000,5,FALSE)</f>
        <v>18</v>
      </c>
      <c r="J487" s="38">
        <v>240</v>
      </c>
      <c r="K487" s="40">
        <v>792</v>
      </c>
      <c r="L487" s="39">
        <v>0</v>
      </c>
      <c r="M487" s="39">
        <v>71.28</v>
      </c>
      <c r="N487" s="39">
        <v>71.28</v>
      </c>
      <c r="O487" s="39">
        <v>0</v>
      </c>
      <c r="P487" s="39">
        <v>935</v>
      </c>
      <c r="Q487" s="34" t="s">
        <v>410</v>
      </c>
      <c r="R487" s="34" t="s">
        <v>26</v>
      </c>
      <c r="S487" s="11" t="s">
        <v>4120</v>
      </c>
    </row>
    <row r="488" spans="1:19" x14ac:dyDescent="0.2">
      <c r="A488" s="33">
        <v>43617</v>
      </c>
      <c r="B488" s="34">
        <v>58</v>
      </c>
      <c r="C488" s="35" t="s">
        <v>554</v>
      </c>
      <c r="D488" s="34" t="str">
        <f>VLOOKUP(C488,'PUR-PARTY MASTER'!$B$4:$E$2000,2,FALSE)</f>
        <v>27AACFA1881H1ZL</v>
      </c>
      <c r="E488" s="34" t="s">
        <v>22</v>
      </c>
      <c r="F488" s="134">
        <v>2454</v>
      </c>
      <c r="G488" s="37">
        <v>43623</v>
      </c>
      <c r="H488" s="34">
        <v>87141900</v>
      </c>
      <c r="I488" s="39">
        <f>VLOOKUP(H488,'PUR-HSN MASTER'!$A$4:$E$5000,5,FALSE)</f>
        <v>28</v>
      </c>
      <c r="J488" s="38">
        <v>600</v>
      </c>
      <c r="K488" s="40">
        <v>1742</v>
      </c>
      <c r="L488" s="39">
        <v>0</v>
      </c>
      <c r="M488" s="39">
        <v>243.88000000000002</v>
      </c>
      <c r="N488" s="39">
        <v>243.88000000000002</v>
      </c>
      <c r="O488" s="39">
        <v>0</v>
      </c>
      <c r="P488" s="39">
        <v>2229.7600000000002</v>
      </c>
      <c r="Q488" s="34" t="s">
        <v>410</v>
      </c>
      <c r="R488" s="34" t="s">
        <v>26</v>
      </c>
      <c r="S488" s="11" t="s">
        <v>4120</v>
      </c>
    </row>
    <row r="489" spans="1:19" x14ac:dyDescent="0.2">
      <c r="A489" s="33">
        <v>43617</v>
      </c>
      <c r="B489" s="34">
        <v>59</v>
      </c>
      <c r="C489" s="35" t="s">
        <v>554</v>
      </c>
      <c r="D489" s="34" t="str">
        <f>VLOOKUP(C489,'PUR-PARTY MASTER'!$B$4:$E$2000,2,FALSE)</f>
        <v>27AACFA1881H1ZL</v>
      </c>
      <c r="E489" s="34" t="s">
        <v>22</v>
      </c>
      <c r="F489" s="134">
        <v>2471</v>
      </c>
      <c r="G489" s="37">
        <v>43623</v>
      </c>
      <c r="H489" s="34">
        <v>87141900</v>
      </c>
      <c r="I489" s="39">
        <f>VLOOKUP(H489,'PUR-HSN MASTER'!$A$4:$E$5000,5,FALSE)</f>
        <v>28</v>
      </c>
      <c r="J489" s="38">
        <v>700</v>
      </c>
      <c r="K489" s="40">
        <v>1946</v>
      </c>
      <c r="L489" s="39">
        <v>0</v>
      </c>
      <c r="M489" s="39">
        <v>272.44</v>
      </c>
      <c r="N489" s="39">
        <v>272.44</v>
      </c>
      <c r="O489" s="39">
        <v>0</v>
      </c>
      <c r="P489" s="39">
        <v>2490.88</v>
      </c>
      <c r="Q489" s="34" t="s">
        <v>410</v>
      </c>
      <c r="R489" s="34" t="s">
        <v>26</v>
      </c>
      <c r="S489" s="11" t="s">
        <v>4120</v>
      </c>
    </row>
    <row r="490" spans="1:19" x14ac:dyDescent="0.2">
      <c r="A490" s="33">
        <v>43617</v>
      </c>
      <c r="B490" s="34">
        <v>60</v>
      </c>
      <c r="C490" s="35" t="s">
        <v>554</v>
      </c>
      <c r="D490" s="34" t="str">
        <f>VLOOKUP(C490,'PUR-PARTY MASTER'!$B$4:$E$2000,2,FALSE)</f>
        <v>27AACFA1881H1ZL</v>
      </c>
      <c r="E490" s="34" t="s">
        <v>22</v>
      </c>
      <c r="F490" s="134">
        <v>2522</v>
      </c>
      <c r="G490" s="37">
        <v>43624</v>
      </c>
      <c r="H490" s="34">
        <v>87141900</v>
      </c>
      <c r="I490" s="39">
        <f>VLOOKUP(H490,'PUR-HSN MASTER'!$A$4:$E$5000,5,FALSE)</f>
        <v>28</v>
      </c>
      <c r="J490" s="38">
        <v>605</v>
      </c>
      <c r="K490" s="40">
        <v>1850.25</v>
      </c>
      <c r="L490" s="39">
        <v>0</v>
      </c>
      <c r="M490" s="39">
        <v>259.03500000000003</v>
      </c>
      <c r="N490" s="39">
        <v>259.03500000000003</v>
      </c>
      <c r="O490" s="39">
        <v>0</v>
      </c>
      <c r="P490" s="39">
        <v>2368.33</v>
      </c>
      <c r="Q490" s="34" t="s">
        <v>410</v>
      </c>
      <c r="R490" s="34" t="s">
        <v>26</v>
      </c>
      <c r="S490" s="11" t="s">
        <v>4120</v>
      </c>
    </row>
    <row r="491" spans="1:19" x14ac:dyDescent="0.2">
      <c r="A491" s="33">
        <v>43617</v>
      </c>
      <c r="B491" s="34">
        <v>61</v>
      </c>
      <c r="C491" s="35" t="s">
        <v>554</v>
      </c>
      <c r="D491" s="34" t="str">
        <f>VLOOKUP(C491,'PUR-PARTY MASTER'!$B$4:$E$2000,2,FALSE)</f>
        <v>27AACFA1881H1ZL</v>
      </c>
      <c r="E491" s="34" t="s">
        <v>22</v>
      </c>
      <c r="F491" s="134">
        <v>2555</v>
      </c>
      <c r="G491" s="37">
        <v>43624</v>
      </c>
      <c r="H491" s="34">
        <v>87141900</v>
      </c>
      <c r="I491" s="39">
        <f>VLOOKUP(H491,'PUR-HSN MASTER'!$A$4:$E$5000,5,FALSE)</f>
        <v>28</v>
      </c>
      <c r="J491" s="38">
        <v>750</v>
      </c>
      <c r="K491" s="40">
        <v>2214.5</v>
      </c>
      <c r="L491" s="39">
        <v>0</v>
      </c>
      <c r="M491" s="39">
        <v>310.02999999999997</v>
      </c>
      <c r="N491" s="39">
        <v>310.02999999999997</v>
      </c>
      <c r="O491" s="39">
        <v>0</v>
      </c>
      <c r="P491" s="39">
        <v>2834.5599999999995</v>
      </c>
      <c r="Q491" s="34" t="s">
        <v>410</v>
      </c>
      <c r="R491" s="34" t="s">
        <v>26</v>
      </c>
      <c r="S491" s="11" t="s">
        <v>4120</v>
      </c>
    </row>
    <row r="492" spans="1:19" x14ac:dyDescent="0.2">
      <c r="A492" s="33">
        <v>43617</v>
      </c>
      <c r="B492" s="34">
        <v>62</v>
      </c>
      <c r="C492" s="35" t="s">
        <v>517</v>
      </c>
      <c r="D492" s="34" t="str">
        <f>VLOOKUP(C492,'PUR-PARTY MASTER'!$B$4:$E$2000,2,FALSE)</f>
        <v>23AAACT6376M1ZZ</v>
      </c>
      <c r="E492" s="34" t="s">
        <v>22</v>
      </c>
      <c r="F492" s="134">
        <v>19606306</v>
      </c>
      <c r="G492" s="37">
        <v>43623</v>
      </c>
      <c r="H492" s="34">
        <v>87081090</v>
      </c>
      <c r="I492" s="39">
        <f>VLOOKUP(H492,'PUR-HSN MASTER'!$A$4:$E$5000,5,FALSE)</f>
        <v>28</v>
      </c>
      <c r="J492" s="38">
        <v>27</v>
      </c>
      <c r="K492" s="40">
        <v>19920.900000000001</v>
      </c>
      <c r="L492" s="39">
        <v>5577.8519999999999</v>
      </c>
      <c r="M492" s="39">
        <v>0</v>
      </c>
      <c r="N492" s="39">
        <v>0</v>
      </c>
      <c r="O492" s="39">
        <v>0</v>
      </c>
      <c r="P492" s="39">
        <v>25498.742000000002</v>
      </c>
      <c r="Q492" s="34" t="s">
        <v>410</v>
      </c>
      <c r="R492" s="34" t="s">
        <v>106</v>
      </c>
      <c r="S492" s="11" t="s">
        <v>4120</v>
      </c>
    </row>
    <row r="493" spans="1:19" x14ac:dyDescent="0.2">
      <c r="A493" s="33">
        <v>43617</v>
      </c>
      <c r="B493" s="34">
        <v>63</v>
      </c>
      <c r="C493" s="35" t="s">
        <v>722</v>
      </c>
      <c r="D493" s="34" t="str">
        <f>VLOOKUP(C493,'PUR-PARTY MASTER'!$B$4:$E$2000,2,FALSE)</f>
        <v>27ANLPS2142M1ZJ</v>
      </c>
      <c r="E493" s="34" t="s">
        <v>22</v>
      </c>
      <c r="F493" s="136" t="s">
        <v>724</v>
      </c>
      <c r="G493" s="37">
        <v>43626</v>
      </c>
      <c r="H493" s="34">
        <v>85051900</v>
      </c>
      <c r="I493" s="39">
        <f>VLOOKUP(H493,'PUR-HSN MASTER'!$A$4:$E$5000,5,FALSE)</f>
        <v>18</v>
      </c>
      <c r="J493" s="38">
        <v>101</v>
      </c>
      <c r="K493" s="40">
        <v>6700</v>
      </c>
      <c r="L493" s="39">
        <v>0</v>
      </c>
      <c r="M493" s="39">
        <v>603</v>
      </c>
      <c r="N493" s="39">
        <v>603</v>
      </c>
      <c r="O493" s="39">
        <v>0</v>
      </c>
      <c r="P493" s="39">
        <v>7906</v>
      </c>
      <c r="Q493" s="34" t="s">
        <v>410</v>
      </c>
      <c r="R493" s="34" t="s">
        <v>26</v>
      </c>
      <c r="S493" s="11" t="s">
        <v>4120</v>
      </c>
    </row>
    <row r="494" spans="1:19" x14ac:dyDescent="0.2">
      <c r="A494" s="33">
        <v>43617</v>
      </c>
      <c r="B494" s="34">
        <v>64</v>
      </c>
      <c r="C494" s="35" t="s">
        <v>554</v>
      </c>
      <c r="D494" s="34" t="str">
        <f>VLOOKUP(C494,'PUR-PARTY MASTER'!$B$4:$E$2000,2,FALSE)</f>
        <v>27AACFA1881H1ZL</v>
      </c>
      <c r="E494" s="34" t="s">
        <v>22</v>
      </c>
      <c r="F494" s="134">
        <v>2570</v>
      </c>
      <c r="G494" s="37">
        <v>43626</v>
      </c>
      <c r="H494" s="34">
        <v>87141900</v>
      </c>
      <c r="I494" s="39">
        <f>VLOOKUP(H494,'PUR-HSN MASTER'!$A$4:$E$5000,5,FALSE)</f>
        <v>28</v>
      </c>
      <c r="J494" s="38">
        <v>700</v>
      </c>
      <c r="K494" s="40">
        <v>1687</v>
      </c>
      <c r="L494" s="39">
        <v>0</v>
      </c>
      <c r="M494" s="39">
        <v>236.18</v>
      </c>
      <c r="N494" s="39">
        <v>236.18</v>
      </c>
      <c r="O494" s="39">
        <v>0</v>
      </c>
      <c r="P494" s="39">
        <v>2159.36</v>
      </c>
      <c r="Q494" s="34" t="s">
        <v>410</v>
      </c>
      <c r="R494" s="34" t="s">
        <v>26</v>
      </c>
      <c r="S494" s="11" t="s">
        <v>4120</v>
      </c>
    </row>
    <row r="495" spans="1:19" x14ac:dyDescent="0.2">
      <c r="A495" s="33">
        <v>43617</v>
      </c>
      <c r="B495" s="34">
        <v>65</v>
      </c>
      <c r="C495" s="35" t="s">
        <v>554</v>
      </c>
      <c r="D495" s="34" t="str">
        <f>VLOOKUP(C495,'PUR-PARTY MASTER'!$B$4:$E$2000,2,FALSE)</f>
        <v>27AACFA1881H1ZL</v>
      </c>
      <c r="E495" s="34" t="s">
        <v>22</v>
      </c>
      <c r="F495" s="134">
        <v>2586</v>
      </c>
      <c r="G495" s="37">
        <v>43626</v>
      </c>
      <c r="H495" s="34">
        <v>87141900</v>
      </c>
      <c r="I495" s="39">
        <f>VLOOKUP(H495,'PUR-HSN MASTER'!$A$4:$E$5000,5,FALSE)</f>
        <v>28</v>
      </c>
      <c r="J495" s="38">
        <v>350</v>
      </c>
      <c r="K495" s="40">
        <v>843.5</v>
      </c>
      <c r="L495" s="39">
        <v>0</v>
      </c>
      <c r="M495" s="39">
        <v>118.09</v>
      </c>
      <c r="N495" s="39">
        <v>118.09</v>
      </c>
      <c r="O495" s="39">
        <v>0</v>
      </c>
      <c r="P495" s="39">
        <v>1079.68</v>
      </c>
      <c r="Q495" s="34" t="s">
        <v>410</v>
      </c>
      <c r="R495" s="34" t="s">
        <v>26</v>
      </c>
      <c r="S495" s="11" t="s">
        <v>4120</v>
      </c>
    </row>
    <row r="496" spans="1:19" x14ac:dyDescent="0.2">
      <c r="A496" s="33">
        <v>43617</v>
      </c>
      <c r="B496" s="34">
        <v>66</v>
      </c>
      <c r="C496" s="35" t="s">
        <v>554</v>
      </c>
      <c r="D496" s="34" t="str">
        <f>VLOOKUP(C496,'PUR-PARTY MASTER'!$B$4:$E$2000,2,FALSE)</f>
        <v>27AACFA1881H1ZL</v>
      </c>
      <c r="E496" s="34" t="s">
        <v>22</v>
      </c>
      <c r="F496" s="134">
        <v>2593</v>
      </c>
      <c r="G496" s="37">
        <v>43626</v>
      </c>
      <c r="H496" s="34">
        <v>87141900</v>
      </c>
      <c r="I496" s="39">
        <f>VLOOKUP(H496,'PUR-HSN MASTER'!$A$4:$E$5000,5,FALSE)</f>
        <v>28</v>
      </c>
      <c r="J496" s="38">
        <v>300</v>
      </c>
      <c r="K496" s="40">
        <v>945</v>
      </c>
      <c r="L496" s="39">
        <v>0</v>
      </c>
      <c r="M496" s="39">
        <v>132.29999999999998</v>
      </c>
      <c r="N496" s="39">
        <v>132.29999999999998</v>
      </c>
      <c r="O496" s="39">
        <v>0</v>
      </c>
      <c r="P496" s="39">
        <v>1209.5999999999999</v>
      </c>
      <c r="Q496" s="34" t="s">
        <v>410</v>
      </c>
      <c r="R496" s="34" t="s">
        <v>26</v>
      </c>
      <c r="S496" s="11" t="s">
        <v>4120</v>
      </c>
    </row>
    <row r="497" spans="1:19" x14ac:dyDescent="0.2">
      <c r="A497" s="33">
        <v>43617</v>
      </c>
      <c r="B497" s="34">
        <v>67</v>
      </c>
      <c r="C497" s="35" t="s">
        <v>554</v>
      </c>
      <c r="D497" s="34" t="str">
        <f>VLOOKUP(C497,'PUR-PARTY MASTER'!$B$4:$E$2000,2,FALSE)</f>
        <v>27AACFA1881H1ZL</v>
      </c>
      <c r="E497" s="34" t="s">
        <v>22</v>
      </c>
      <c r="F497" s="134">
        <v>2616</v>
      </c>
      <c r="G497" s="37">
        <v>43626</v>
      </c>
      <c r="H497" s="34">
        <v>87141900</v>
      </c>
      <c r="I497" s="39">
        <f>VLOOKUP(H497,'PUR-HSN MASTER'!$A$4:$E$5000,5,FALSE)</f>
        <v>28</v>
      </c>
      <c r="J497" s="38">
        <v>250</v>
      </c>
      <c r="K497" s="40">
        <v>787.5</v>
      </c>
      <c r="L497" s="39">
        <v>0</v>
      </c>
      <c r="M497" s="39">
        <v>110.25</v>
      </c>
      <c r="N497" s="39">
        <v>110.25</v>
      </c>
      <c r="O497" s="39">
        <v>0</v>
      </c>
      <c r="P497" s="39">
        <v>1008</v>
      </c>
      <c r="Q497" s="34" t="s">
        <v>410</v>
      </c>
      <c r="R497" s="34" t="s">
        <v>26</v>
      </c>
      <c r="S497" s="11" t="s">
        <v>4120</v>
      </c>
    </row>
    <row r="498" spans="1:19" x14ac:dyDescent="0.2">
      <c r="A498" s="33">
        <v>43617</v>
      </c>
      <c r="B498" s="34">
        <v>68</v>
      </c>
      <c r="C498" s="35" t="s">
        <v>495</v>
      </c>
      <c r="D498" s="34" t="str">
        <f>VLOOKUP(C498,'PUR-PARTY MASTER'!$B$4:$E$2000,2,FALSE)</f>
        <v>27AAACH4211R1ZF</v>
      </c>
      <c r="E498" s="34" t="s">
        <v>22</v>
      </c>
      <c r="F498" s="134">
        <v>5510047957</v>
      </c>
      <c r="G498" s="37">
        <v>43626</v>
      </c>
      <c r="H498" s="34">
        <v>85129000</v>
      </c>
      <c r="I498" s="39">
        <f>VLOOKUP(H498,'PUR-HSN MASTER'!$A$4:$E$5000,5,FALSE)</f>
        <v>18</v>
      </c>
      <c r="J498" s="38">
        <v>3600</v>
      </c>
      <c r="K498" s="40">
        <v>39816</v>
      </c>
      <c r="L498" s="39">
        <v>0</v>
      </c>
      <c r="M498" s="39">
        <v>3583.44</v>
      </c>
      <c r="N498" s="39">
        <v>3583.44</v>
      </c>
      <c r="O498" s="39">
        <v>0</v>
      </c>
      <c r="P498" s="39">
        <v>46982.880000000005</v>
      </c>
      <c r="Q498" s="34" t="s">
        <v>410</v>
      </c>
      <c r="R498" s="34" t="s">
        <v>26</v>
      </c>
      <c r="S498" s="11" t="s">
        <v>4120</v>
      </c>
    </row>
    <row r="499" spans="1:19" x14ac:dyDescent="0.2">
      <c r="A499" s="33">
        <v>43617</v>
      </c>
      <c r="B499" s="34">
        <v>69</v>
      </c>
      <c r="C499" s="35" t="s">
        <v>601</v>
      </c>
      <c r="D499" s="34" t="str">
        <f>VLOOKUP(C499,'PUR-PARTY MASTER'!$B$4:$E$2000,2,FALSE)</f>
        <v>27AAZFM6461A1ZY</v>
      </c>
      <c r="E499" s="34" t="s">
        <v>22</v>
      </c>
      <c r="F499" s="134">
        <v>1801</v>
      </c>
      <c r="G499" s="37">
        <v>43627</v>
      </c>
      <c r="H499" s="34">
        <v>87082900</v>
      </c>
      <c r="I499" s="39">
        <f>VLOOKUP(H499,'PUR-HSN MASTER'!$A$4:$E$5000,5,FALSE)</f>
        <v>28</v>
      </c>
      <c r="J499" s="38">
        <v>900</v>
      </c>
      <c r="K499" s="40">
        <v>38313</v>
      </c>
      <c r="L499" s="39">
        <v>0</v>
      </c>
      <c r="M499" s="39">
        <v>5363.82</v>
      </c>
      <c r="N499" s="39">
        <v>5363.82</v>
      </c>
      <c r="O499" s="39">
        <v>0</v>
      </c>
      <c r="P499" s="39">
        <v>49040.639999999999</v>
      </c>
      <c r="Q499" s="34" t="s">
        <v>410</v>
      </c>
      <c r="R499" s="34" t="s">
        <v>26</v>
      </c>
      <c r="S499" s="11" t="s">
        <v>4120</v>
      </c>
    </row>
    <row r="500" spans="1:19" x14ac:dyDescent="0.2">
      <c r="A500" s="33">
        <v>43617</v>
      </c>
      <c r="B500" s="34">
        <v>70</v>
      </c>
      <c r="C500" s="35" t="s">
        <v>601</v>
      </c>
      <c r="D500" s="34" t="str">
        <f>VLOOKUP(C500,'PUR-PARTY MASTER'!$B$4:$E$2000,2,FALSE)</f>
        <v>27AAZFM6461A1ZY</v>
      </c>
      <c r="E500" s="34" t="s">
        <v>22</v>
      </c>
      <c r="F500" s="134">
        <v>1802</v>
      </c>
      <c r="G500" s="37">
        <v>43627</v>
      </c>
      <c r="H500" s="34">
        <v>87082900</v>
      </c>
      <c r="I500" s="39">
        <f>VLOOKUP(H500,'PUR-HSN MASTER'!$A$4:$E$5000,5,FALSE)</f>
        <v>28</v>
      </c>
      <c r="J500" s="38">
        <v>360</v>
      </c>
      <c r="K500" s="40">
        <v>8035.2</v>
      </c>
      <c r="L500" s="39">
        <v>0</v>
      </c>
      <c r="M500" s="39">
        <v>1124.9280000000001</v>
      </c>
      <c r="N500" s="39">
        <v>1124.9280000000001</v>
      </c>
      <c r="O500" s="39">
        <v>0</v>
      </c>
      <c r="P500" s="39">
        <v>10285.056</v>
      </c>
      <c r="Q500" s="34" t="s">
        <v>410</v>
      </c>
      <c r="R500" s="34" t="s">
        <v>26</v>
      </c>
      <c r="S500" s="11" t="s">
        <v>4120</v>
      </c>
    </row>
    <row r="501" spans="1:19" x14ac:dyDescent="0.2">
      <c r="A501" s="33">
        <v>43617</v>
      </c>
      <c r="B501" s="34">
        <v>71</v>
      </c>
      <c r="C501" s="35" t="s">
        <v>554</v>
      </c>
      <c r="D501" s="34" t="str">
        <f>VLOOKUP(C501,'PUR-PARTY MASTER'!$B$4:$E$2000,2,FALSE)</f>
        <v>27AACFA1881H1ZL</v>
      </c>
      <c r="E501" s="34" t="s">
        <v>22</v>
      </c>
      <c r="F501" s="134">
        <v>2642</v>
      </c>
      <c r="G501" s="37">
        <v>43627</v>
      </c>
      <c r="H501" s="34">
        <v>87141900</v>
      </c>
      <c r="I501" s="39">
        <f>VLOOKUP(H501,'PUR-HSN MASTER'!$A$4:$E$5000,5,FALSE)</f>
        <v>28</v>
      </c>
      <c r="J501" s="38">
        <v>100</v>
      </c>
      <c r="K501" s="40">
        <v>241</v>
      </c>
      <c r="L501" s="39">
        <v>0</v>
      </c>
      <c r="M501" s="39">
        <v>33.74</v>
      </c>
      <c r="N501" s="39">
        <v>33.74</v>
      </c>
      <c r="O501" s="39">
        <v>0</v>
      </c>
      <c r="P501" s="39">
        <v>308.48</v>
      </c>
      <c r="Q501" s="34" t="s">
        <v>410</v>
      </c>
      <c r="R501" s="34" t="s">
        <v>26</v>
      </c>
      <c r="S501" s="11" t="s">
        <v>4120</v>
      </c>
    </row>
    <row r="502" spans="1:19" x14ac:dyDescent="0.2">
      <c r="A502" s="33">
        <v>43617</v>
      </c>
      <c r="B502" s="34">
        <v>72</v>
      </c>
      <c r="C502" s="35" t="s">
        <v>554</v>
      </c>
      <c r="D502" s="34" t="str">
        <f>VLOOKUP(C502,'PUR-PARTY MASTER'!$B$4:$E$2000,2,FALSE)</f>
        <v>27AACFA1881H1ZL</v>
      </c>
      <c r="E502" s="34" t="s">
        <v>22</v>
      </c>
      <c r="F502" s="134">
        <v>2627</v>
      </c>
      <c r="G502" s="37">
        <v>43626</v>
      </c>
      <c r="H502" s="34">
        <v>87141900</v>
      </c>
      <c r="I502" s="39">
        <f>VLOOKUP(H502,'PUR-HSN MASTER'!$A$4:$E$5000,5,FALSE)</f>
        <v>28</v>
      </c>
      <c r="J502" s="38">
        <v>200</v>
      </c>
      <c r="K502" s="40">
        <v>630</v>
      </c>
      <c r="L502" s="39">
        <v>0</v>
      </c>
      <c r="M502" s="39">
        <v>88.2</v>
      </c>
      <c r="N502" s="39">
        <v>88.2</v>
      </c>
      <c r="O502" s="39">
        <v>0</v>
      </c>
      <c r="P502" s="39">
        <v>806.40000000000009</v>
      </c>
      <c r="Q502" s="34" t="s">
        <v>410</v>
      </c>
      <c r="R502" s="34" t="s">
        <v>26</v>
      </c>
      <c r="S502" s="11" t="s">
        <v>4120</v>
      </c>
    </row>
    <row r="503" spans="1:19" x14ac:dyDescent="0.2">
      <c r="A503" s="33">
        <v>43617</v>
      </c>
      <c r="B503" s="34">
        <v>73</v>
      </c>
      <c r="C503" s="35" t="s">
        <v>554</v>
      </c>
      <c r="D503" s="34" t="str">
        <f>VLOOKUP(C503,'PUR-PARTY MASTER'!$B$4:$E$2000,2,FALSE)</f>
        <v>27AACFA1881H1ZL</v>
      </c>
      <c r="E503" s="34" t="s">
        <v>22</v>
      </c>
      <c r="F503" s="134">
        <v>2655</v>
      </c>
      <c r="G503" s="37">
        <v>43627</v>
      </c>
      <c r="H503" s="34">
        <v>87141900</v>
      </c>
      <c r="I503" s="39">
        <f>VLOOKUP(H503,'PUR-HSN MASTER'!$A$4:$E$5000,5,FALSE)</f>
        <v>28</v>
      </c>
      <c r="J503" s="38">
        <v>700</v>
      </c>
      <c r="K503" s="40">
        <v>1909</v>
      </c>
      <c r="L503" s="39">
        <v>0</v>
      </c>
      <c r="M503" s="39">
        <v>267.26</v>
      </c>
      <c r="N503" s="39">
        <v>267.26</v>
      </c>
      <c r="O503" s="39">
        <v>0</v>
      </c>
      <c r="P503" s="39">
        <v>2443.5200000000004</v>
      </c>
      <c r="Q503" s="34" t="s">
        <v>410</v>
      </c>
      <c r="R503" s="34" t="s">
        <v>26</v>
      </c>
      <c r="S503" s="11" t="s">
        <v>4120</v>
      </c>
    </row>
    <row r="504" spans="1:19" x14ac:dyDescent="0.2">
      <c r="A504" s="33">
        <v>43617</v>
      </c>
      <c r="B504" s="34">
        <v>74</v>
      </c>
      <c r="C504" s="35" t="s">
        <v>554</v>
      </c>
      <c r="D504" s="34" t="str">
        <f>VLOOKUP(C504,'PUR-PARTY MASTER'!$B$4:$E$2000,2,FALSE)</f>
        <v>27AACFA1881H1ZL</v>
      </c>
      <c r="E504" s="34" t="s">
        <v>22</v>
      </c>
      <c r="F504" s="134">
        <v>2676</v>
      </c>
      <c r="G504" s="37">
        <v>43627</v>
      </c>
      <c r="H504" s="34">
        <v>87141900</v>
      </c>
      <c r="I504" s="39">
        <f>VLOOKUP(H504,'PUR-HSN MASTER'!$A$4:$E$5000,5,FALSE)</f>
        <v>28</v>
      </c>
      <c r="J504" s="38">
        <v>900</v>
      </c>
      <c r="K504" s="40">
        <v>2465</v>
      </c>
      <c r="L504" s="39">
        <v>0</v>
      </c>
      <c r="M504" s="39">
        <v>345.09999999999997</v>
      </c>
      <c r="N504" s="39">
        <v>345.09999999999997</v>
      </c>
      <c r="O504" s="39">
        <v>0</v>
      </c>
      <c r="P504" s="39">
        <v>3155.2</v>
      </c>
      <c r="Q504" s="34" t="s">
        <v>410</v>
      </c>
      <c r="R504" s="34" t="s">
        <v>26</v>
      </c>
      <c r="S504" s="11" t="s">
        <v>4120</v>
      </c>
    </row>
    <row r="505" spans="1:19" x14ac:dyDescent="0.2">
      <c r="A505" s="33">
        <v>43617</v>
      </c>
      <c r="B505" s="34">
        <v>75</v>
      </c>
      <c r="C505" s="35" t="s">
        <v>554</v>
      </c>
      <c r="D505" s="34" t="str">
        <f>VLOOKUP(C505,'PUR-PARTY MASTER'!$B$4:$E$2000,2,FALSE)</f>
        <v>27AACFA1881H1ZL</v>
      </c>
      <c r="E505" s="34" t="s">
        <v>22</v>
      </c>
      <c r="F505" s="134">
        <v>2699</v>
      </c>
      <c r="G505" s="37">
        <v>43628</v>
      </c>
      <c r="H505" s="34">
        <v>87141900</v>
      </c>
      <c r="I505" s="39">
        <f>VLOOKUP(H505,'PUR-HSN MASTER'!$A$4:$E$5000,5,FALSE)</f>
        <v>28</v>
      </c>
      <c r="J505" s="38">
        <v>600</v>
      </c>
      <c r="K505" s="40">
        <v>1668</v>
      </c>
      <c r="L505" s="39">
        <v>0</v>
      </c>
      <c r="M505" s="39">
        <v>233.51999999999998</v>
      </c>
      <c r="N505" s="39">
        <v>233.51999999999998</v>
      </c>
      <c r="O505" s="39">
        <v>0</v>
      </c>
      <c r="P505" s="39">
        <v>2135.04</v>
      </c>
      <c r="Q505" s="34" t="s">
        <v>410</v>
      </c>
      <c r="R505" s="34" t="s">
        <v>26</v>
      </c>
      <c r="S505" s="11" t="s">
        <v>4120</v>
      </c>
    </row>
    <row r="506" spans="1:19" x14ac:dyDescent="0.2">
      <c r="A506" s="33">
        <v>43617</v>
      </c>
      <c r="B506" s="34">
        <v>76</v>
      </c>
      <c r="C506" s="35" t="s">
        <v>495</v>
      </c>
      <c r="D506" s="34" t="str">
        <f>VLOOKUP(C506,'PUR-PARTY MASTER'!$B$4:$E$2000,2,FALSE)</f>
        <v>27AAACH4211R1ZF</v>
      </c>
      <c r="E506" s="34" t="s">
        <v>22</v>
      </c>
      <c r="F506" s="134">
        <v>5510048179</v>
      </c>
      <c r="G506" s="37">
        <v>43628</v>
      </c>
      <c r="H506" s="34">
        <v>85129000</v>
      </c>
      <c r="I506" s="39">
        <f>VLOOKUP(H506,'PUR-HSN MASTER'!$A$4:$E$5000,5,FALSE)</f>
        <v>18</v>
      </c>
      <c r="J506" s="38">
        <v>3600</v>
      </c>
      <c r="K506" s="40">
        <v>39816</v>
      </c>
      <c r="L506" s="39">
        <v>0</v>
      </c>
      <c r="M506" s="39">
        <v>3583.44</v>
      </c>
      <c r="N506" s="39">
        <v>3583.44</v>
      </c>
      <c r="O506" s="39">
        <v>0</v>
      </c>
      <c r="P506" s="39">
        <v>46982.880000000005</v>
      </c>
      <c r="Q506" s="34" t="s">
        <v>410</v>
      </c>
      <c r="R506" s="34" t="s">
        <v>26</v>
      </c>
      <c r="S506" s="11" t="s">
        <v>4120</v>
      </c>
    </row>
    <row r="507" spans="1:19" x14ac:dyDescent="0.2">
      <c r="A507" s="33">
        <v>43617</v>
      </c>
      <c r="B507" s="34">
        <v>77</v>
      </c>
      <c r="C507" s="35" t="s">
        <v>554</v>
      </c>
      <c r="D507" s="34" t="str">
        <f>VLOOKUP(C507,'PUR-PARTY MASTER'!$B$4:$E$2000,2,FALSE)</f>
        <v>27AACFA1881H1ZL</v>
      </c>
      <c r="E507" s="34" t="s">
        <v>22</v>
      </c>
      <c r="F507" s="134">
        <v>2737</v>
      </c>
      <c r="G507" s="37">
        <v>43628</v>
      </c>
      <c r="H507" s="34">
        <v>87141900</v>
      </c>
      <c r="I507" s="39">
        <f>VLOOKUP(H507,'PUR-HSN MASTER'!$A$4:$E$5000,5,FALSE)</f>
        <v>28</v>
      </c>
      <c r="J507" s="38">
        <v>600</v>
      </c>
      <c r="K507" s="40">
        <v>1668</v>
      </c>
      <c r="L507" s="39">
        <v>0</v>
      </c>
      <c r="M507" s="39">
        <v>233.51999999999998</v>
      </c>
      <c r="N507" s="39">
        <v>233.51999999999998</v>
      </c>
      <c r="O507" s="39">
        <v>0</v>
      </c>
      <c r="P507" s="39">
        <v>2135.04</v>
      </c>
      <c r="Q507" s="34" t="s">
        <v>410</v>
      </c>
      <c r="R507" s="34" t="s">
        <v>26</v>
      </c>
      <c r="S507" s="11" t="s">
        <v>4120</v>
      </c>
    </row>
    <row r="508" spans="1:19" x14ac:dyDescent="0.2">
      <c r="A508" s="33">
        <v>43617</v>
      </c>
      <c r="B508" s="34">
        <v>78</v>
      </c>
      <c r="C508" s="35" t="s">
        <v>601</v>
      </c>
      <c r="D508" s="34" t="str">
        <f>VLOOKUP(C508,'PUR-PARTY MASTER'!$B$4:$E$2000,2,FALSE)</f>
        <v>27AAZFM6461A1ZY</v>
      </c>
      <c r="E508" s="34" t="s">
        <v>22</v>
      </c>
      <c r="F508" s="134">
        <v>1883</v>
      </c>
      <c r="G508" s="37">
        <v>43628</v>
      </c>
      <c r="H508" s="34">
        <v>87082900</v>
      </c>
      <c r="I508" s="39">
        <f>VLOOKUP(H508,'PUR-HSN MASTER'!$A$4:$E$5000,5,FALSE)</f>
        <v>28</v>
      </c>
      <c r="J508" s="38">
        <v>900</v>
      </c>
      <c r="K508" s="40">
        <v>20088</v>
      </c>
      <c r="L508" s="39">
        <v>0</v>
      </c>
      <c r="M508" s="39">
        <v>2812.3199999999997</v>
      </c>
      <c r="N508" s="39">
        <v>2812.3199999999997</v>
      </c>
      <c r="O508" s="39">
        <v>0</v>
      </c>
      <c r="P508" s="39">
        <v>25712.639999999999</v>
      </c>
      <c r="Q508" s="34" t="s">
        <v>410</v>
      </c>
      <c r="R508" s="34" t="s">
        <v>26</v>
      </c>
      <c r="S508" s="11" t="s">
        <v>4120</v>
      </c>
    </row>
    <row r="509" spans="1:19" x14ac:dyDescent="0.2">
      <c r="A509" s="33">
        <v>43617</v>
      </c>
      <c r="B509" s="34">
        <v>79</v>
      </c>
      <c r="C509" s="35" t="s">
        <v>551</v>
      </c>
      <c r="D509" s="34" t="str">
        <f>VLOOKUP(C509,'PUR-PARTY MASTER'!$B$4:$E$2000,2,FALSE)</f>
        <v>27AHVPG8951G1ZQ</v>
      </c>
      <c r="E509" s="34" t="s">
        <v>22</v>
      </c>
      <c r="F509" s="136" t="s">
        <v>725</v>
      </c>
      <c r="G509" s="37">
        <v>43628</v>
      </c>
      <c r="H509" s="34">
        <v>8443</v>
      </c>
      <c r="I509" s="39">
        <f>VLOOKUP(H509,'PUR-HSN MASTER'!$A$4:$E$5000,5,FALSE)</f>
        <v>18</v>
      </c>
      <c r="J509" s="38">
        <v>1</v>
      </c>
      <c r="K509" s="40">
        <v>170</v>
      </c>
      <c r="L509" s="39">
        <v>0</v>
      </c>
      <c r="M509" s="39">
        <v>15.299999999999999</v>
      </c>
      <c r="N509" s="39">
        <v>15.299999999999999</v>
      </c>
      <c r="O509" s="39">
        <v>0</v>
      </c>
      <c r="P509" s="39">
        <v>201.00000000000003</v>
      </c>
      <c r="Q509" s="34" t="s">
        <v>410</v>
      </c>
      <c r="R509" s="34" t="s">
        <v>26</v>
      </c>
      <c r="S509" s="11" t="s">
        <v>4120</v>
      </c>
    </row>
    <row r="510" spans="1:19" x14ac:dyDescent="0.2">
      <c r="A510" s="33">
        <v>43617</v>
      </c>
      <c r="B510" s="34">
        <v>80</v>
      </c>
      <c r="C510" s="35" t="s">
        <v>601</v>
      </c>
      <c r="D510" s="34" t="str">
        <f>VLOOKUP(C510,'PUR-PARTY MASTER'!$B$4:$E$2000,2,FALSE)</f>
        <v>27AAZFM6461A1ZY</v>
      </c>
      <c r="E510" s="34" t="s">
        <v>22</v>
      </c>
      <c r="F510" s="134">
        <v>1891</v>
      </c>
      <c r="G510" s="37">
        <v>43629</v>
      </c>
      <c r="H510" s="34">
        <v>87082900</v>
      </c>
      <c r="I510" s="39">
        <f>VLOOKUP(H510,'PUR-HSN MASTER'!$A$4:$E$5000,5,FALSE)</f>
        <v>28</v>
      </c>
      <c r="J510" s="38">
        <v>1020</v>
      </c>
      <c r="K510" s="40">
        <v>22766.400000000001</v>
      </c>
      <c r="L510" s="39">
        <v>0</v>
      </c>
      <c r="M510" s="39">
        <v>3187.2960000000003</v>
      </c>
      <c r="N510" s="39">
        <v>3187.2960000000003</v>
      </c>
      <c r="O510" s="39">
        <v>0</v>
      </c>
      <c r="P510" s="39">
        <v>29141.002000000004</v>
      </c>
      <c r="Q510" s="34" t="s">
        <v>410</v>
      </c>
      <c r="R510" s="34" t="s">
        <v>26</v>
      </c>
      <c r="S510" s="11" t="s">
        <v>4120</v>
      </c>
    </row>
    <row r="511" spans="1:19" x14ac:dyDescent="0.2">
      <c r="A511" s="33">
        <v>43617</v>
      </c>
      <c r="B511" s="34">
        <v>81</v>
      </c>
      <c r="C511" s="35" t="s">
        <v>556</v>
      </c>
      <c r="D511" s="34" t="str">
        <f>VLOOKUP(C511,'PUR-PARTY MASTER'!$B$4:$E$2000,2,FALSE)</f>
        <v>27AAQCS7977M1Z3</v>
      </c>
      <c r="E511" s="34" t="s">
        <v>22</v>
      </c>
      <c r="F511" s="136" t="s">
        <v>726</v>
      </c>
      <c r="G511" s="37">
        <v>43621</v>
      </c>
      <c r="H511" s="34">
        <v>29023000</v>
      </c>
      <c r="I511" s="39">
        <f>VLOOKUP(H511,'PUR-HSN MASTER'!$A$4:$E$5000,5,FALSE)</f>
        <v>18</v>
      </c>
      <c r="J511" s="38">
        <v>35</v>
      </c>
      <c r="K511" s="40">
        <v>2450</v>
      </c>
      <c r="L511" s="39">
        <v>0</v>
      </c>
      <c r="M511" s="39">
        <v>220.5</v>
      </c>
      <c r="N511" s="39">
        <v>220.5</v>
      </c>
      <c r="O511" s="39">
        <v>0</v>
      </c>
      <c r="P511" s="39">
        <v>2891</v>
      </c>
      <c r="Q511" s="34" t="s">
        <v>410</v>
      </c>
      <c r="R511" s="34" t="s">
        <v>26</v>
      </c>
      <c r="S511" s="11" t="s">
        <v>4120</v>
      </c>
    </row>
    <row r="512" spans="1:19" x14ac:dyDescent="0.2">
      <c r="A512" s="33">
        <v>43617</v>
      </c>
      <c r="B512" s="34">
        <v>82</v>
      </c>
      <c r="C512" s="35" t="s">
        <v>554</v>
      </c>
      <c r="D512" s="34" t="str">
        <f>VLOOKUP(C512,'PUR-PARTY MASTER'!$B$4:$E$2000,2,FALSE)</f>
        <v>27AACFA1881H1ZL</v>
      </c>
      <c r="E512" s="34" t="s">
        <v>22</v>
      </c>
      <c r="F512" s="134">
        <v>2757</v>
      </c>
      <c r="G512" s="37">
        <v>43629</v>
      </c>
      <c r="H512" s="34">
        <v>87141900</v>
      </c>
      <c r="I512" s="39">
        <f>VLOOKUP(H512,'PUR-HSN MASTER'!$A$4:$E$5000,5,FALSE)</f>
        <v>28</v>
      </c>
      <c r="J512" s="38">
        <v>420</v>
      </c>
      <c r="K512" s="40">
        <v>1175</v>
      </c>
      <c r="L512" s="39">
        <v>0</v>
      </c>
      <c r="M512" s="39">
        <v>164.5</v>
      </c>
      <c r="N512" s="39">
        <v>164.5</v>
      </c>
      <c r="O512" s="39">
        <v>0</v>
      </c>
      <c r="P512" s="39">
        <v>1504</v>
      </c>
      <c r="Q512" s="34" t="s">
        <v>410</v>
      </c>
      <c r="R512" s="34" t="s">
        <v>26</v>
      </c>
      <c r="S512" s="11" t="s">
        <v>4120</v>
      </c>
    </row>
    <row r="513" spans="1:19" x14ac:dyDescent="0.2">
      <c r="A513" s="33">
        <v>43617</v>
      </c>
      <c r="B513" s="34">
        <v>83</v>
      </c>
      <c r="C513" s="35" t="s">
        <v>554</v>
      </c>
      <c r="D513" s="34" t="str">
        <f>VLOOKUP(C513,'PUR-PARTY MASTER'!$B$4:$E$2000,2,FALSE)</f>
        <v>27AACFA1881H1ZL</v>
      </c>
      <c r="E513" s="34" t="s">
        <v>22</v>
      </c>
      <c r="F513" s="134">
        <v>2783</v>
      </c>
      <c r="G513" s="37">
        <v>43629</v>
      </c>
      <c r="H513" s="34">
        <v>87141900</v>
      </c>
      <c r="I513" s="39">
        <f>VLOOKUP(H513,'PUR-HSN MASTER'!$A$4:$E$5000,5,FALSE)</f>
        <v>28</v>
      </c>
      <c r="J513" s="38">
        <v>600</v>
      </c>
      <c r="K513" s="40">
        <v>1668</v>
      </c>
      <c r="L513" s="39">
        <v>0</v>
      </c>
      <c r="M513" s="39">
        <v>233.51999999999998</v>
      </c>
      <c r="N513" s="39">
        <v>233.51999999999998</v>
      </c>
      <c r="O513" s="39">
        <v>0</v>
      </c>
      <c r="P513" s="39">
        <v>2135.04</v>
      </c>
      <c r="Q513" s="34" t="s">
        <v>410</v>
      </c>
      <c r="R513" s="34" t="s">
        <v>26</v>
      </c>
      <c r="S513" s="11" t="s">
        <v>4120</v>
      </c>
    </row>
    <row r="514" spans="1:19" x14ac:dyDescent="0.2">
      <c r="A514" s="33">
        <v>43617</v>
      </c>
      <c r="B514" s="34">
        <v>84</v>
      </c>
      <c r="C514" s="35" t="s">
        <v>554</v>
      </c>
      <c r="D514" s="34" t="str">
        <f>VLOOKUP(C514,'PUR-PARTY MASTER'!$B$4:$E$2000,2,FALSE)</f>
        <v>27AACFA1881H1ZL</v>
      </c>
      <c r="E514" s="34" t="s">
        <v>22</v>
      </c>
      <c r="F514" s="134">
        <v>2805</v>
      </c>
      <c r="G514" s="37">
        <v>43630</v>
      </c>
      <c r="H514" s="34">
        <v>87141900</v>
      </c>
      <c r="I514" s="39">
        <f>VLOOKUP(H514,'PUR-HSN MASTER'!$A$4:$E$5000,5,FALSE)</f>
        <v>28</v>
      </c>
      <c r="J514" s="38">
        <v>600</v>
      </c>
      <c r="K514" s="40">
        <v>1668</v>
      </c>
      <c r="L514" s="39">
        <v>0</v>
      </c>
      <c r="M514" s="39">
        <v>233.51999999999998</v>
      </c>
      <c r="N514" s="39">
        <v>233.51999999999998</v>
      </c>
      <c r="O514" s="39">
        <v>0</v>
      </c>
      <c r="P514" s="39">
        <v>2135.04</v>
      </c>
      <c r="Q514" s="34" t="s">
        <v>410</v>
      </c>
      <c r="R514" s="34" t="s">
        <v>26</v>
      </c>
      <c r="S514" s="11" t="s">
        <v>4120</v>
      </c>
    </row>
    <row r="515" spans="1:19" x14ac:dyDescent="0.2">
      <c r="A515" s="33">
        <v>43617</v>
      </c>
      <c r="B515" s="34">
        <v>85</v>
      </c>
      <c r="C515" s="35" t="s">
        <v>554</v>
      </c>
      <c r="D515" s="34" t="str">
        <f>VLOOKUP(C515,'PUR-PARTY MASTER'!$B$4:$E$2000,2,FALSE)</f>
        <v>27AACFA1881H1ZL</v>
      </c>
      <c r="E515" s="34" t="s">
        <v>22</v>
      </c>
      <c r="F515" s="134">
        <v>2817</v>
      </c>
      <c r="G515" s="37">
        <v>43630</v>
      </c>
      <c r="H515" s="34">
        <v>87141900</v>
      </c>
      <c r="I515" s="39">
        <f>VLOOKUP(H515,'PUR-HSN MASTER'!$A$4:$E$5000,5,FALSE)</f>
        <v>28</v>
      </c>
      <c r="J515" s="38">
        <v>860</v>
      </c>
      <c r="K515" s="40">
        <v>2368.6</v>
      </c>
      <c r="L515" s="39">
        <v>0</v>
      </c>
      <c r="M515" s="39">
        <v>331.60399999999998</v>
      </c>
      <c r="N515" s="39">
        <v>331.60399999999998</v>
      </c>
      <c r="O515" s="39">
        <v>0</v>
      </c>
      <c r="P515" s="39">
        <v>3031.7979999999993</v>
      </c>
      <c r="Q515" s="34" t="s">
        <v>410</v>
      </c>
      <c r="R515" s="34" t="s">
        <v>26</v>
      </c>
      <c r="S515" s="11" t="s">
        <v>4120</v>
      </c>
    </row>
    <row r="516" spans="1:19" x14ac:dyDescent="0.2">
      <c r="A516" s="33">
        <v>43617</v>
      </c>
      <c r="B516" s="34">
        <v>86</v>
      </c>
      <c r="C516" s="35" t="s">
        <v>493</v>
      </c>
      <c r="D516" s="34" t="str">
        <f>VLOOKUP(C516,'PUR-PARTY MASTER'!$B$4:$E$2000,2,FALSE)</f>
        <v>27AMMPB3648M1ZO</v>
      </c>
      <c r="E516" s="34" t="s">
        <v>22</v>
      </c>
      <c r="F516" s="134">
        <v>1310</v>
      </c>
      <c r="G516" s="37">
        <v>43630</v>
      </c>
      <c r="H516" s="34">
        <v>85129000</v>
      </c>
      <c r="I516" s="39">
        <f>VLOOKUP(H516,'PUR-HSN MASTER'!$A$4:$E$5000,5,FALSE)</f>
        <v>18</v>
      </c>
      <c r="J516" s="38">
        <v>250</v>
      </c>
      <c r="K516" s="40">
        <v>5747.5</v>
      </c>
      <c r="L516" s="39">
        <v>0</v>
      </c>
      <c r="M516" s="39">
        <v>517.27499999999998</v>
      </c>
      <c r="N516" s="39">
        <v>517.27499999999998</v>
      </c>
      <c r="O516" s="39">
        <v>0</v>
      </c>
      <c r="P516" s="39">
        <v>6781.9999999999991</v>
      </c>
      <c r="Q516" s="34" t="s">
        <v>410</v>
      </c>
      <c r="R516" s="34" t="s">
        <v>26</v>
      </c>
      <c r="S516" s="11" t="s">
        <v>4120</v>
      </c>
    </row>
    <row r="517" spans="1:19" x14ac:dyDescent="0.2">
      <c r="A517" s="33">
        <v>43617</v>
      </c>
      <c r="B517" s="34">
        <v>87</v>
      </c>
      <c r="C517" s="35" t="s">
        <v>506</v>
      </c>
      <c r="D517" s="34" t="str">
        <f>VLOOKUP(C517,'PUR-PARTY MASTER'!$B$4:$E$2000,2,FALSE)</f>
        <v>27AAACG1376N1ZC</v>
      </c>
      <c r="E517" s="34" t="s">
        <v>22</v>
      </c>
      <c r="F517" s="136" t="s">
        <v>727</v>
      </c>
      <c r="G517" s="37">
        <v>43630</v>
      </c>
      <c r="H517" s="34">
        <v>32082090</v>
      </c>
      <c r="I517" s="39">
        <f>VLOOKUP(H517,'PUR-HSN MASTER'!$A$4:$E$5000,5,FALSE)</f>
        <v>18</v>
      </c>
      <c r="J517" s="38">
        <v>200</v>
      </c>
      <c r="K517" s="40">
        <v>69758</v>
      </c>
      <c r="L517" s="39">
        <v>0</v>
      </c>
      <c r="M517" s="39">
        <v>6278.22</v>
      </c>
      <c r="N517" s="39">
        <v>6278.22</v>
      </c>
      <c r="O517" s="39">
        <v>0</v>
      </c>
      <c r="P517" s="39">
        <v>82314</v>
      </c>
      <c r="Q517" s="34" t="s">
        <v>410</v>
      </c>
      <c r="R517" s="34" t="s">
        <v>26</v>
      </c>
      <c r="S517" s="11" t="s">
        <v>4120</v>
      </c>
    </row>
    <row r="518" spans="1:19" x14ac:dyDescent="0.2">
      <c r="A518" s="33">
        <v>43617</v>
      </c>
      <c r="B518" s="34">
        <v>88</v>
      </c>
      <c r="C518" s="35" t="s">
        <v>506</v>
      </c>
      <c r="D518" s="34" t="str">
        <f>VLOOKUP(C518,'PUR-PARTY MASTER'!$B$4:$E$2000,2,FALSE)</f>
        <v>27AAACG1376N1ZC</v>
      </c>
      <c r="E518" s="34" t="s">
        <v>22</v>
      </c>
      <c r="F518" s="136" t="s">
        <v>728</v>
      </c>
      <c r="G518" s="37">
        <v>43630</v>
      </c>
      <c r="H518" s="34">
        <v>38140010</v>
      </c>
      <c r="I518" s="39">
        <f>VLOOKUP(H518,'PUR-HSN MASTER'!$A$4:$E$5000,5,FALSE)</f>
        <v>18</v>
      </c>
      <c r="J518" s="38">
        <v>100</v>
      </c>
      <c r="K518" s="40">
        <v>9240</v>
      </c>
      <c r="L518" s="39">
        <v>0</v>
      </c>
      <c r="M518" s="39">
        <v>831.6</v>
      </c>
      <c r="N518" s="39">
        <v>831.6</v>
      </c>
      <c r="O518" s="39">
        <v>0</v>
      </c>
      <c r="P518" s="39">
        <v>10903</v>
      </c>
      <c r="Q518" s="34" t="s">
        <v>410</v>
      </c>
      <c r="R518" s="34" t="s">
        <v>26</v>
      </c>
      <c r="S518" s="11" t="s">
        <v>4120</v>
      </c>
    </row>
    <row r="519" spans="1:19" x14ac:dyDescent="0.2">
      <c r="A519" s="33">
        <v>43617</v>
      </c>
      <c r="B519" s="34">
        <v>89</v>
      </c>
      <c r="C519" s="35" t="s">
        <v>527</v>
      </c>
      <c r="D519" s="34" t="str">
        <f>VLOOKUP(C519,'PUR-PARTY MASTER'!$B$4:$E$2000,2,FALSE)</f>
        <v>27AAACM2185R1ZX</v>
      </c>
      <c r="E519" s="34" t="s">
        <v>22</v>
      </c>
      <c r="F519" s="134">
        <v>9330003913</v>
      </c>
      <c r="G519" s="37">
        <v>43629</v>
      </c>
      <c r="H519" s="34">
        <v>32082090</v>
      </c>
      <c r="I519" s="39">
        <f>VLOOKUP(H519,'PUR-HSN MASTER'!$A$4:$E$5000,5,FALSE)</f>
        <v>18</v>
      </c>
      <c r="J519" s="38">
        <v>8</v>
      </c>
      <c r="K519" s="40">
        <v>2872</v>
      </c>
      <c r="L519" s="39">
        <v>0</v>
      </c>
      <c r="M519" s="39">
        <v>258.48</v>
      </c>
      <c r="N519" s="39">
        <v>258.48</v>
      </c>
      <c r="O519" s="39">
        <v>0</v>
      </c>
      <c r="P519" s="39">
        <v>3389</v>
      </c>
      <c r="Q519" s="34" t="s">
        <v>410</v>
      </c>
      <c r="R519" s="34" t="s">
        <v>26</v>
      </c>
      <c r="S519" s="11" t="s">
        <v>4120</v>
      </c>
    </row>
    <row r="520" spans="1:19" x14ac:dyDescent="0.2">
      <c r="A520" s="33">
        <v>43617</v>
      </c>
      <c r="B520" s="34">
        <v>90</v>
      </c>
      <c r="C520" s="35" t="s">
        <v>527</v>
      </c>
      <c r="D520" s="34" t="str">
        <f>VLOOKUP(C520,'PUR-PARTY MASTER'!$B$4:$E$2000,2,FALSE)</f>
        <v>27AAACM2185R1ZX</v>
      </c>
      <c r="E520" s="34" t="s">
        <v>22</v>
      </c>
      <c r="F520" s="134">
        <v>9330003918</v>
      </c>
      <c r="G520" s="37">
        <v>43630</v>
      </c>
      <c r="H520" s="34">
        <v>32082090</v>
      </c>
      <c r="I520" s="39">
        <f>VLOOKUP(H520,'PUR-HSN MASTER'!$A$4:$E$5000,5,FALSE)</f>
        <v>18</v>
      </c>
      <c r="J520" s="38">
        <v>40</v>
      </c>
      <c r="K520" s="40">
        <v>14360</v>
      </c>
      <c r="L520" s="39">
        <v>0</v>
      </c>
      <c r="M520" s="39">
        <v>1292.3999999999999</v>
      </c>
      <c r="N520" s="39">
        <v>1292.3999999999999</v>
      </c>
      <c r="O520" s="39">
        <v>0</v>
      </c>
      <c r="P520" s="39">
        <v>16945</v>
      </c>
      <c r="Q520" s="34" t="s">
        <v>410</v>
      </c>
      <c r="R520" s="34" t="s">
        <v>26</v>
      </c>
      <c r="S520" s="11" t="s">
        <v>4120</v>
      </c>
    </row>
    <row r="521" spans="1:19" x14ac:dyDescent="0.2">
      <c r="A521" s="33">
        <v>43617</v>
      </c>
      <c r="B521" s="34">
        <v>91</v>
      </c>
      <c r="C521" s="35" t="s">
        <v>499</v>
      </c>
      <c r="D521" s="34" t="str">
        <f>VLOOKUP(C521,'PUR-PARTY MASTER'!$B$4:$E$2000,2,FALSE)</f>
        <v>27AAHFP1154B1ZN</v>
      </c>
      <c r="E521" s="34" t="s">
        <v>22</v>
      </c>
      <c r="F521" s="136" t="s">
        <v>729</v>
      </c>
      <c r="G521" s="37">
        <v>43629</v>
      </c>
      <c r="H521" s="34">
        <v>63071030</v>
      </c>
      <c r="I521" s="39">
        <f>VLOOKUP(H521,'PUR-HSN MASTER'!$A$4:$E$5000,5,FALSE)</f>
        <v>5</v>
      </c>
      <c r="J521" s="38">
        <v>60</v>
      </c>
      <c r="K521" s="40">
        <v>15720</v>
      </c>
      <c r="L521" s="39">
        <v>0</v>
      </c>
      <c r="M521" s="39">
        <v>393</v>
      </c>
      <c r="N521" s="39">
        <v>393</v>
      </c>
      <c r="O521" s="39">
        <v>0</v>
      </c>
      <c r="P521" s="39">
        <v>16506</v>
      </c>
      <c r="Q521" s="34" t="s">
        <v>410</v>
      </c>
      <c r="R521" s="34" t="s">
        <v>26</v>
      </c>
      <c r="S521" s="11" t="s">
        <v>4120</v>
      </c>
    </row>
    <row r="522" spans="1:19" x14ac:dyDescent="0.2">
      <c r="A522" s="33">
        <v>43617</v>
      </c>
      <c r="B522" s="34">
        <v>92</v>
      </c>
      <c r="C522" s="35" t="s">
        <v>554</v>
      </c>
      <c r="D522" s="34" t="str">
        <f>VLOOKUP(C522,'PUR-PARTY MASTER'!$B$4:$E$2000,2,FALSE)</f>
        <v>27AACFA1881H1ZL</v>
      </c>
      <c r="E522" s="34" t="s">
        <v>22</v>
      </c>
      <c r="F522" s="134">
        <v>2837</v>
      </c>
      <c r="G522" s="37">
        <v>43630</v>
      </c>
      <c r="H522" s="34">
        <v>87141900</v>
      </c>
      <c r="I522" s="39">
        <f>VLOOKUP(H522,'PUR-HSN MASTER'!$A$4:$E$5000,5,FALSE)</f>
        <v>28</v>
      </c>
      <c r="J522" s="38">
        <v>600</v>
      </c>
      <c r="K522" s="40">
        <v>1668</v>
      </c>
      <c r="L522" s="39">
        <v>0</v>
      </c>
      <c r="M522" s="39">
        <v>233.51999999999998</v>
      </c>
      <c r="N522" s="39">
        <v>233.51999999999998</v>
      </c>
      <c r="O522" s="39">
        <v>0</v>
      </c>
      <c r="P522" s="39">
        <v>2135.04</v>
      </c>
      <c r="Q522" s="34" t="s">
        <v>410</v>
      </c>
      <c r="R522" s="34" t="s">
        <v>26</v>
      </c>
      <c r="S522" s="11" t="s">
        <v>4120</v>
      </c>
    </row>
    <row r="523" spans="1:19" x14ac:dyDescent="0.2">
      <c r="A523" s="33">
        <v>43617</v>
      </c>
      <c r="B523" s="34">
        <v>93</v>
      </c>
      <c r="C523" s="35" t="s">
        <v>471</v>
      </c>
      <c r="D523" s="34" t="str">
        <f>VLOOKUP(C523,'PUR-PARTY MASTER'!$B$4:$E$2000,2,FALSE)</f>
        <v>27AAECM8871A1ZF</v>
      </c>
      <c r="E523" s="34" t="s">
        <v>22</v>
      </c>
      <c r="F523" s="134">
        <v>192002478</v>
      </c>
      <c r="G523" s="37">
        <v>43630</v>
      </c>
      <c r="H523" s="34">
        <v>87089900</v>
      </c>
      <c r="I523" s="39">
        <f>VLOOKUP(H523,'PUR-HSN MASTER'!$A$4:$E$5000,5,FALSE)</f>
        <v>28</v>
      </c>
      <c r="J523" s="38">
        <v>12</v>
      </c>
      <c r="K523" s="40">
        <v>17483.52</v>
      </c>
      <c r="L523" s="39">
        <v>0</v>
      </c>
      <c r="M523" s="39">
        <v>2447.6928000000003</v>
      </c>
      <c r="N523" s="39">
        <v>2447.6928000000003</v>
      </c>
      <c r="O523" s="39">
        <v>0</v>
      </c>
      <c r="P523" s="39">
        <v>22378.895600000003</v>
      </c>
      <c r="Q523" s="34" t="s">
        <v>410</v>
      </c>
      <c r="R523" s="34" t="s">
        <v>26</v>
      </c>
      <c r="S523" s="11" t="s">
        <v>4120</v>
      </c>
    </row>
    <row r="524" spans="1:19" x14ac:dyDescent="0.2">
      <c r="A524" s="33">
        <v>43617</v>
      </c>
      <c r="B524" s="34">
        <v>94</v>
      </c>
      <c r="C524" s="35" t="s">
        <v>471</v>
      </c>
      <c r="D524" s="34" t="str">
        <f>VLOOKUP(C524,'PUR-PARTY MASTER'!$B$4:$E$2000,2,FALSE)</f>
        <v>27AAECM8871A1ZF</v>
      </c>
      <c r="E524" s="34" t="s">
        <v>22</v>
      </c>
      <c r="F524" s="134">
        <v>192002179</v>
      </c>
      <c r="G524" s="37">
        <v>43630</v>
      </c>
      <c r="H524" s="34">
        <v>87089900</v>
      </c>
      <c r="I524" s="39">
        <f>VLOOKUP(H524,'PUR-HSN MASTER'!$A$4:$E$5000,5,FALSE)</f>
        <v>28</v>
      </c>
      <c r="J524" s="38">
        <v>12</v>
      </c>
      <c r="K524" s="40">
        <v>17483.52</v>
      </c>
      <c r="L524" s="39">
        <v>0</v>
      </c>
      <c r="M524" s="39">
        <v>2447.6928000000003</v>
      </c>
      <c r="N524" s="39">
        <v>2447.6928000000003</v>
      </c>
      <c r="O524" s="39">
        <v>0</v>
      </c>
      <c r="P524" s="39">
        <v>22378.895600000003</v>
      </c>
      <c r="Q524" s="34" t="s">
        <v>410</v>
      </c>
      <c r="R524" s="34" t="s">
        <v>26</v>
      </c>
      <c r="S524" s="11" t="s">
        <v>4120</v>
      </c>
    </row>
    <row r="525" spans="1:19" x14ac:dyDescent="0.2">
      <c r="A525" s="33">
        <v>43617</v>
      </c>
      <c r="B525" s="34">
        <v>95</v>
      </c>
      <c r="C525" s="35" t="s">
        <v>473</v>
      </c>
      <c r="D525" s="34" t="str">
        <f>VLOOKUP(C525,'PUR-PARTY MASTER'!$B$4:$E$2000,2,FALSE)</f>
        <v>27AAACT1848E1ZH</v>
      </c>
      <c r="E525" s="34" t="s">
        <v>22</v>
      </c>
      <c r="F525" s="136" t="s">
        <v>730</v>
      </c>
      <c r="G525" s="37">
        <v>43630</v>
      </c>
      <c r="H525" s="34">
        <v>87089900</v>
      </c>
      <c r="I525" s="39">
        <f>VLOOKUP(H525,'PUR-HSN MASTER'!$A$4:$E$5000,5,FALSE)</f>
        <v>28</v>
      </c>
      <c r="J525" s="38">
        <v>68</v>
      </c>
      <c r="K525" s="40">
        <v>10280.84</v>
      </c>
      <c r="L525" s="39">
        <v>0</v>
      </c>
      <c r="M525" s="39">
        <v>1439.3176000000001</v>
      </c>
      <c r="N525" s="39">
        <v>1439.3176000000001</v>
      </c>
      <c r="O525" s="39">
        <v>0</v>
      </c>
      <c r="P525" s="39">
        <v>13159.475200000001</v>
      </c>
      <c r="Q525" s="34" t="s">
        <v>410</v>
      </c>
      <c r="R525" s="34" t="s">
        <v>26</v>
      </c>
      <c r="S525" s="11" t="s">
        <v>4120</v>
      </c>
    </row>
    <row r="526" spans="1:19" x14ac:dyDescent="0.2">
      <c r="A526" s="33">
        <v>43617</v>
      </c>
      <c r="B526" s="34">
        <v>96</v>
      </c>
      <c r="C526" s="35" t="s">
        <v>517</v>
      </c>
      <c r="D526" s="34" t="str">
        <f>VLOOKUP(C526,'PUR-PARTY MASTER'!$B$4:$E$2000,2,FALSE)</f>
        <v>23AAACT6376M1ZZ</v>
      </c>
      <c r="E526" s="34" t="s">
        <v>22</v>
      </c>
      <c r="F526" s="134">
        <v>19606798</v>
      </c>
      <c r="G526" s="37">
        <v>43629</v>
      </c>
      <c r="H526" s="34">
        <v>87081090</v>
      </c>
      <c r="I526" s="39">
        <f>VLOOKUP(H526,'PUR-HSN MASTER'!$A$4:$E$5000,5,FALSE)</f>
        <v>28</v>
      </c>
      <c r="J526" s="38">
        <v>46</v>
      </c>
      <c r="K526" s="40">
        <v>23606.92</v>
      </c>
      <c r="L526" s="39">
        <v>6609.9376000000002</v>
      </c>
      <c r="M526" s="39">
        <v>0</v>
      </c>
      <c r="N526" s="39">
        <v>0</v>
      </c>
      <c r="O526" s="39">
        <v>0</v>
      </c>
      <c r="P526" s="39">
        <v>30216.857599999999</v>
      </c>
      <c r="Q526" s="34" t="s">
        <v>410</v>
      </c>
      <c r="R526" s="34" t="s">
        <v>106</v>
      </c>
      <c r="S526" s="11" t="s">
        <v>4120</v>
      </c>
    </row>
    <row r="527" spans="1:19" x14ac:dyDescent="0.2">
      <c r="A527" s="33">
        <v>43617</v>
      </c>
      <c r="B527" s="34">
        <v>97</v>
      </c>
      <c r="C527" s="35" t="s">
        <v>517</v>
      </c>
      <c r="D527" s="34" t="str">
        <f>VLOOKUP(C527,'PUR-PARTY MASTER'!$B$4:$E$2000,2,FALSE)</f>
        <v>23AAACT6376M1ZZ</v>
      </c>
      <c r="E527" s="34" t="s">
        <v>22</v>
      </c>
      <c r="F527" s="134">
        <v>19606799</v>
      </c>
      <c r="G527" s="37">
        <v>43629</v>
      </c>
      <c r="H527" s="34">
        <v>87081090</v>
      </c>
      <c r="I527" s="39">
        <f>VLOOKUP(H527,'PUR-HSN MASTER'!$A$4:$E$5000,5,FALSE)</f>
        <v>28</v>
      </c>
      <c r="J527" s="38">
        <v>18</v>
      </c>
      <c r="K527" s="40">
        <v>15065.24</v>
      </c>
      <c r="L527" s="39">
        <v>4218.2672000000002</v>
      </c>
      <c r="M527" s="39">
        <v>0</v>
      </c>
      <c r="N527" s="39">
        <v>0</v>
      </c>
      <c r="O527" s="39">
        <v>0</v>
      </c>
      <c r="P527" s="39">
        <v>19283.5072</v>
      </c>
      <c r="Q527" s="34" t="s">
        <v>410</v>
      </c>
      <c r="R527" s="34" t="s">
        <v>106</v>
      </c>
      <c r="S527" s="11" t="s">
        <v>4120</v>
      </c>
    </row>
    <row r="528" spans="1:19" x14ac:dyDescent="0.2">
      <c r="A528" s="33">
        <v>43617</v>
      </c>
      <c r="B528" s="34">
        <v>98</v>
      </c>
      <c r="C528" s="35" t="s">
        <v>476</v>
      </c>
      <c r="D528" s="34" t="str">
        <f>VLOOKUP(C528,'PUR-PARTY MASTER'!$B$4:$E$2000,2,FALSE)</f>
        <v>27AABCO8467D1ZA</v>
      </c>
      <c r="E528" s="34" t="s">
        <v>22</v>
      </c>
      <c r="F528" s="136" t="s">
        <v>731</v>
      </c>
      <c r="G528" s="37">
        <v>43631</v>
      </c>
      <c r="H528" s="34" t="s">
        <v>732</v>
      </c>
      <c r="I528" s="39">
        <f>VLOOKUP(H528,'PUR-HSN MASTER'!$A$4:$E$5000,5,FALSE)</f>
        <v>18</v>
      </c>
      <c r="J528" s="38">
        <v>0</v>
      </c>
      <c r="K528" s="40">
        <v>40650</v>
      </c>
      <c r="L528" s="39">
        <v>0</v>
      </c>
      <c r="M528" s="39">
        <v>3658.5</v>
      </c>
      <c r="N528" s="39">
        <v>3658.5</v>
      </c>
      <c r="O528" s="39">
        <v>0</v>
      </c>
      <c r="P528" s="39">
        <v>47967</v>
      </c>
      <c r="Q528" s="34" t="s">
        <v>410</v>
      </c>
      <c r="R528" s="34" t="s">
        <v>26</v>
      </c>
      <c r="S528" s="11" t="s">
        <v>4120</v>
      </c>
    </row>
    <row r="529" spans="1:19" x14ac:dyDescent="0.2">
      <c r="A529" s="33">
        <v>43617</v>
      </c>
      <c r="B529" s="34">
        <v>99</v>
      </c>
      <c r="C529" s="35" t="s">
        <v>489</v>
      </c>
      <c r="D529" s="34" t="str">
        <f>VLOOKUP(C529,'PUR-PARTY MASTER'!$B$4:$E$2000,2,FALSE)</f>
        <v>27AAECD2713N1ZK</v>
      </c>
      <c r="E529" s="34" t="s">
        <v>22</v>
      </c>
      <c r="F529" s="134">
        <v>7887984587</v>
      </c>
      <c r="G529" s="37">
        <v>43630</v>
      </c>
      <c r="H529" s="34">
        <v>39119090</v>
      </c>
      <c r="I529" s="39">
        <f>VLOOKUP(H529,'PUR-HSN MASTER'!$A$4:$E$5000,5,FALSE)</f>
        <v>18</v>
      </c>
      <c r="J529" s="38">
        <v>24</v>
      </c>
      <c r="K529" s="40">
        <v>10176</v>
      </c>
      <c r="L529" s="39">
        <v>0</v>
      </c>
      <c r="M529" s="39">
        <v>915.84</v>
      </c>
      <c r="N529" s="39">
        <v>915.84</v>
      </c>
      <c r="O529" s="39">
        <v>0</v>
      </c>
      <c r="P529" s="39">
        <v>12008</v>
      </c>
      <c r="Q529" s="34" t="s">
        <v>410</v>
      </c>
      <c r="R529" s="34" t="s">
        <v>26</v>
      </c>
      <c r="S529" s="11" t="s">
        <v>4120</v>
      </c>
    </row>
    <row r="530" spans="1:19" x14ac:dyDescent="0.2">
      <c r="A530" s="33">
        <v>43617</v>
      </c>
      <c r="B530" s="34"/>
      <c r="C530" s="35" t="s">
        <v>489</v>
      </c>
      <c r="D530" s="34" t="str">
        <f>VLOOKUP(C530,'PUR-PARTY MASTER'!$B$4:$E$2000,2,FALSE)</f>
        <v>27AAECD2713N1ZK</v>
      </c>
      <c r="E530" s="34" t="s">
        <v>22</v>
      </c>
      <c r="F530" s="134">
        <v>7887984587</v>
      </c>
      <c r="G530" s="37">
        <v>43630</v>
      </c>
      <c r="H530" s="34">
        <v>38140010</v>
      </c>
      <c r="I530" s="39">
        <f>VLOOKUP(H530,'PUR-HSN MASTER'!$A$4:$E$5000,5,FALSE)</f>
        <v>18</v>
      </c>
      <c r="J530" s="38">
        <v>60</v>
      </c>
      <c r="K530" s="40">
        <v>7500</v>
      </c>
      <c r="L530" s="39">
        <v>0</v>
      </c>
      <c r="M530" s="39">
        <v>675</v>
      </c>
      <c r="N530" s="39">
        <v>675</v>
      </c>
      <c r="O530" s="39">
        <v>0</v>
      </c>
      <c r="P530" s="39">
        <v>8850</v>
      </c>
      <c r="Q530" s="34" t="s">
        <v>410</v>
      </c>
      <c r="R530" s="34" t="s">
        <v>26</v>
      </c>
      <c r="S530" s="11" t="s">
        <v>4120</v>
      </c>
    </row>
    <row r="531" spans="1:19" x14ac:dyDescent="0.2">
      <c r="A531" s="33">
        <v>43617</v>
      </c>
      <c r="B531" s="34">
        <v>100</v>
      </c>
      <c r="C531" s="35" t="s">
        <v>554</v>
      </c>
      <c r="D531" s="34" t="str">
        <f>VLOOKUP(C531,'PUR-PARTY MASTER'!$B$4:$E$2000,2,FALSE)</f>
        <v>27AACFA1881H1ZL</v>
      </c>
      <c r="E531" s="34" t="s">
        <v>22</v>
      </c>
      <c r="F531" s="134">
        <v>2854</v>
      </c>
      <c r="G531" s="37">
        <v>43631</v>
      </c>
      <c r="H531" s="34">
        <v>87141900</v>
      </c>
      <c r="I531" s="39">
        <f>VLOOKUP(H531,'PUR-HSN MASTER'!$A$4:$E$5000,5,FALSE)</f>
        <v>28</v>
      </c>
      <c r="J531" s="38">
        <v>800</v>
      </c>
      <c r="K531" s="40">
        <v>2224</v>
      </c>
      <c r="L531" s="39">
        <v>0</v>
      </c>
      <c r="M531" s="39">
        <v>311.35999999999996</v>
      </c>
      <c r="N531" s="39">
        <v>311.35999999999996</v>
      </c>
      <c r="O531" s="39">
        <v>0</v>
      </c>
      <c r="P531" s="39">
        <v>2846.7200000000003</v>
      </c>
      <c r="Q531" s="34" t="s">
        <v>410</v>
      </c>
      <c r="R531" s="34" t="s">
        <v>26</v>
      </c>
      <c r="S531" s="11" t="s">
        <v>4120</v>
      </c>
    </row>
    <row r="532" spans="1:19" x14ac:dyDescent="0.2">
      <c r="A532" s="33">
        <v>43617</v>
      </c>
      <c r="B532" s="34">
        <v>101</v>
      </c>
      <c r="C532" s="35" t="s">
        <v>554</v>
      </c>
      <c r="D532" s="34" t="str">
        <f>VLOOKUP(C532,'PUR-PARTY MASTER'!$B$4:$E$2000,2,FALSE)</f>
        <v>27AACFA1881H1ZL</v>
      </c>
      <c r="E532" s="34" t="s">
        <v>22</v>
      </c>
      <c r="F532" s="134">
        <v>2870</v>
      </c>
      <c r="G532" s="37">
        <v>43631</v>
      </c>
      <c r="H532" s="34">
        <v>87141900</v>
      </c>
      <c r="I532" s="39">
        <f>VLOOKUP(H532,'PUR-HSN MASTER'!$A$4:$E$5000,5,FALSE)</f>
        <v>28</v>
      </c>
      <c r="J532" s="38">
        <v>1000</v>
      </c>
      <c r="K532" s="40">
        <v>2780</v>
      </c>
      <c r="L532" s="39">
        <v>0</v>
      </c>
      <c r="M532" s="39">
        <v>389.2</v>
      </c>
      <c r="N532" s="39">
        <v>389.2</v>
      </c>
      <c r="O532" s="39">
        <v>0</v>
      </c>
      <c r="P532" s="39">
        <v>3558.3999999999996</v>
      </c>
      <c r="Q532" s="34" t="s">
        <v>410</v>
      </c>
      <c r="R532" s="34" t="s">
        <v>26</v>
      </c>
      <c r="S532" s="11" t="s">
        <v>4120</v>
      </c>
    </row>
    <row r="533" spans="1:19" x14ac:dyDescent="0.2">
      <c r="A533" s="33">
        <v>43617</v>
      </c>
      <c r="B533" s="34">
        <v>102</v>
      </c>
      <c r="C533" s="35" t="s">
        <v>493</v>
      </c>
      <c r="D533" s="34" t="str">
        <f>VLOOKUP(C533,'PUR-PARTY MASTER'!$B$4:$E$2000,2,FALSE)</f>
        <v>27AMMPB3648M1ZO</v>
      </c>
      <c r="E533" s="34" t="s">
        <v>22</v>
      </c>
      <c r="F533" s="134">
        <v>1325</v>
      </c>
      <c r="G533" s="37">
        <v>43631</v>
      </c>
      <c r="H533" s="34">
        <v>85129000</v>
      </c>
      <c r="I533" s="39">
        <f>VLOOKUP(H533,'PUR-HSN MASTER'!$A$4:$E$5000,5,FALSE)</f>
        <v>18</v>
      </c>
      <c r="J533" s="38">
        <v>1250</v>
      </c>
      <c r="K533" s="40">
        <v>28737.5</v>
      </c>
      <c r="L533" s="39">
        <v>0</v>
      </c>
      <c r="M533" s="39">
        <v>2586.375</v>
      </c>
      <c r="N533" s="39">
        <v>2586.375</v>
      </c>
      <c r="O533" s="39">
        <v>0</v>
      </c>
      <c r="P533" s="39">
        <v>33910</v>
      </c>
      <c r="Q533" s="34" t="s">
        <v>410</v>
      </c>
      <c r="R533" s="34" t="s">
        <v>26</v>
      </c>
      <c r="S533" s="11" t="s">
        <v>4120</v>
      </c>
    </row>
    <row r="534" spans="1:19" x14ac:dyDescent="0.2">
      <c r="A534" s="33">
        <v>43617</v>
      </c>
      <c r="B534" s="34">
        <v>103</v>
      </c>
      <c r="C534" s="35" t="s">
        <v>489</v>
      </c>
      <c r="D534" s="34" t="str">
        <f>VLOOKUP(C534,'PUR-PARTY MASTER'!$B$4:$E$2000,2,FALSE)</f>
        <v>27AAECD2713N1ZK</v>
      </c>
      <c r="E534" s="34" t="s">
        <v>22</v>
      </c>
      <c r="F534" s="134">
        <v>7887984262</v>
      </c>
      <c r="G534" s="37">
        <v>43624</v>
      </c>
      <c r="H534" s="34">
        <v>32129090</v>
      </c>
      <c r="I534" s="39">
        <f>VLOOKUP(H534,'PUR-HSN MASTER'!$A$4:$E$5000,5,FALSE)</f>
        <v>18</v>
      </c>
      <c r="J534" s="38">
        <v>1</v>
      </c>
      <c r="K534" s="40">
        <v>2251</v>
      </c>
      <c r="L534" s="39">
        <v>0</v>
      </c>
      <c r="M534" s="39">
        <v>202.59</v>
      </c>
      <c r="N534" s="39">
        <v>202.59</v>
      </c>
      <c r="O534" s="39">
        <v>0</v>
      </c>
      <c r="P534" s="39">
        <v>2656.0000000000005</v>
      </c>
      <c r="Q534" s="34" t="s">
        <v>410</v>
      </c>
      <c r="R534" s="34" t="s">
        <v>26</v>
      </c>
      <c r="S534" s="11" t="s">
        <v>4120</v>
      </c>
    </row>
    <row r="535" spans="1:19" x14ac:dyDescent="0.2">
      <c r="A535" s="33">
        <v>43617</v>
      </c>
      <c r="B535" s="34">
        <v>104</v>
      </c>
      <c r="C535" s="35" t="s">
        <v>489</v>
      </c>
      <c r="D535" s="34" t="str">
        <f>VLOOKUP(C535,'PUR-PARTY MASTER'!$B$4:$E$2000,2,FALSE)</f>
        <v>27AAECD2713N1ZK</v>
      </c>
      <c r="E535" s="34" t="s">
        <v>22</v>
      </c>
      <c r="F535" s="134">
        <v>7887984587</v>
      </c>
      <c r="G535" s="37">
        <v>43628</v>
      </c>
      <c r="H535" s="34">
        <v>32129090</v>
      </c>
      <c r="I535" s="39">
        <f>VLOOKUP(H535,'PUR-HSN MASTER'!$A$4:$E$5000,5,FALSE)</f>
        <v>18</v>
      </c>
      <c r="J535" s="38">
        <v>1</v>
      </c>
      <c r="K535" s="40">
        <v>3274</v>
      </c>
      <c r="L535" s="39">
        <v>0</v>
      </c>
      <c r="M535" s="39">
        <v>294.66000000000003</v>
      </c>
      <c r="N535" s="39">
        <v>294.66000000000003</v>
      </c>
      <c r="O535" s="39">
        <v>0</v>
      </c>
      <c r="P535" s="39">
        <v>3862.9999999999995</v>
      </c>
      <c r="Q535" s="34" t="s">
        <v>410</v>
      </c>
      <c r="R535" s="34" t="s">
        <v>26</v>
      </c>
      <c r="S535" s="11" t="s">
        <v>4120</v>
      </c>
    </row>
    <row r="536" spans="1:19" x14ac:dyDescent="0.2">
      <c r="A536" s="33">
        <v>43617</v>
      </c>
      <c r="B536" s="34">
        <v>105</v>
      </c>
      <c r="C536" s="35" t="s">
        <v>489</v>
      </c>
      <c r="D536" s="34" t="str">
        <f>VLOOKUP(C536,'PUR-PARTY MASTER'!$B$4:$E$2000,2,FALSE)</f>
        <v>27AAECD2713N1ZK</v>
      </c>
      <c r="E536" s="34" t="s">
        <v>22</v>
      </c>
      <c r="F536" s="134">
        <v>7887984630</v>
      </c>
      <c r="G536" s="37">
        <v>43631</v>
      </c>
      <c r="H536" s="34">
        <v>32082090</v>
      </c>
      <c r="I536" s="39">
        <f>VLOOKUP(H536,'PUR-HSN MASTER'!$A$4:$E$5000,5,FALSE)</f>
        <v>18</v>
      </c>
      <c r="J536" s="38">
        <v>40</v>
      </c>
      <c r="K536" s="40">
        <v>23920</v>
      </c>
      <c r="L536" s="39">
        <v>0</v>
      </c>
      <c r="M536" s="39">
        <v>2152.7999999999997</v>
      </c>
      <c r="N536" s="39">
        <v>2152.7999999999997</v>
      </c>
      <c r="O536" s="39">
        <v>0</v>
      </c>
      <c r="P536" s="39">
        <v>28225.599999999999</v>
      </c>
      <c r="Q536" s="34" t="s">
        <v>410</v>
      </c>
      <c r="R536" s="34" t="s">
        <v>26</v>
      </c>
      <c r="S536" s="11" t="s">
        <v>4120</v>
      </c>
    </row>
    <row r="537" spans="1:19" x14ac:dyDescent="0.2">
      <c r="A537" s="33">
        <v>43617</v>
      </c>
      <c r="B537" s="34"/>
      <c r="C537" s="35" t="s">
        <v>489</v>
      </c>
      <c r="D537" s="34" t="str">
        <f>VLOOKUP(C537,'PUR-PARTY MASTER'!$B$4:$E$2000,2,FALSE)</f>
        <v>27AAECD2713N1ZK</v>
      </c>
      <c r="E537" s="34" t="s">
        <v>22</v>
      </c>
      <c r="F537" s="134">
        <v>7887984630</v>
      </c>
      <c r="G537" s="37">
        <v>43631</v>
      </c>
      <c r="H537" s="34">
        <v>39119090</v>
      </c>
      <c r="I537" s="39">
        <f>VLOOKUP(H537,'PUR-HSN MASTER'!$A$4:$E$5000,5,FALSE)</f>
        <v>18</v>
      </c>
      <c r="J537" s="38">
        <v>2</v>
      </c>
      <c r="K537" s="40">
        <v>1190</v>
      </c>
      <c r="L537" s="39">
        <v>0</v>
      </c>
      <c r="M537" s="39">
        <v>107.10000000000001</v>
      </c>
      <c r="N537" s="39">
        <v>107.10000000000001</v>
      </c>
      <c r="O537" s="39">
        <v>0</v>
      </c>
      <c r="P537" s="39">
        <v>1404.1999999999998</v>
      </c>
      <c r="Q537" s="34" t="s">
        <v>410</v>
      </c>
      <c r="R537" s="34" t="s">
        <v>26</v>
      </c>
      <c r="S537" s="11" t="s">
        <v>4120</v>
      </c>
    </row>
    <row r="538" spans="1:19" x14ac:dyDescent="0.2">
      <c r="A538" s="33">
        <v>43617</v>
      </c>
      <c r="B538" s="34"/>
      <c r="C538" s="35" t="s">
        <v>489</v>
      </c>
      <c r="D538" s="34" t="str">
        <f>VLOOKUP(C538,'PUR-PARTY MASTER'!$B$4:$E$2000,2,FALSE)</f>
        <v>27AAECD2713N1ZK</v>
      </c>
      <c r="E538" s="34" t="s">
        <v>22</v>
      </c>
      <c r="F538" s="134">
        <v>7887984630</v>
      </c>
      <c r="G538" s="37">
        <v>43631</v>
      </c>
      <c r="H538" s="34">
        <v>32089090</v>
      </c>
      <c r="I538" s="39">
        <f>VLOOKUP(H538,'PUR-HSN MASTER'!$A$4:$E$5000,5,FALSE)</f>
        <v>18</v>
      </c>
      <c r="J538" s="38">
        <v>16</v>
      </c>
      <c r="K538" s="40">
        <v>10240</v>
      </c>
      <c r="L538" s="39">
        <v>0</v>
      </c>
      <c r="M538" s="39">
        <v>921.6</v>
      </c>
      <c r="N538" s="39">
        <v>921.6</v>
      </c>
      <c r="O538" s="39">
        <v>0</v>
      </c>
      <c r="P538" s="39">
        <v>12083.2</v>
      </c>
      <c r="Q538" s="34" t="s">
        <v>410</v>
      </c>
      <c r="R538" s="34" t="s">
        <v>26</v>
      </c>
      <c r="S538" s="11" t="s">
        <v>4120</v>
      </c>
    </row>
    <row r="539" spans="1:19" x14ac:dyDescent="0.2">
      <c r="A539" s="33">
        <v>43617</v>
      </c>
      <c r="B539" s="34">
        <v>106</v>
      </c>
      <c r="C539" s="35" t="s">
        <v>489</v>
      </c>
      <c r="D539" s="34" t="str">
        <f>VLOOKUP(C539,'PUR-PARTY MASTER'!$B$4:$E$2000,2,FALSE)</f>
        <v>27AAECD2713N1ZK</v>
      </c>
      <c r="E539" s="34" t="s">
        <v>22</v>
      </c>
      <c r="F539" s="134">
        <v>7887984631</v>
      </c>
      <c r="G539" s="37">
        <v>43631</v>
      </c>
      <c r="H539" s="34">
        <v>32082090</v>
      </c>
      <c r="I539" s="39">
        <f>VLOOKUP(H539,'PUR-HSN MASTER'!$A$4:$E$5000,5,FALSE)</f>
        <v>18</v>
      </c>
      <c r="J539" s="38">
        <v>16</v>
      </c>
      <c r="K539" s="40">
        <v>17472</v>
      </c>
      <c r="L539" s="39">
        <v>0</v>
      </c>
      <c r="M539" s="39">
        <v>1572.48</v>
      </c>
      <c r="N539" s="39">
        <v>1572.48</v>
      </c>
      <c r="O539" s="39">
        <v>0</v>
      </c>
      <c r="P539" s="39">
        <v>20617</v>
      </c>
      <c r="Q539" s="34" t="s">
        <v>410</v>
      </c>
      <c r="R539" s="34" t="s">
        <v>26</v>
      </c>
      <c r="S539" s="11" t="s">
        <v>4120</v>
      </c>
    </row>
    <row r="540" spans="1:19" x14ac:dyDescent="0.2">
      <c r="A540" s="33">
        <v>43617</v>
      </c>
      <c r="B540" s="34">
        <v>107</v>
      </c>
      <c r="C540" s="35" t="s">
        <v>499</v>
      </c>
      <c r="D540" s="34" t="str">
        <f>VLOOKUP(C540,'PUR-PARTY MASTER'!$B$4:$E$2000,2,FALSE)</f>
        <v>27AAHFP1154B1ZN</v>
      </c>
      <c r="E540" s="34" t="s">
        <v>22</v>
      </c>
      <c r="F540" s="136" t="s">
        <v>733</v>
      </c>
      <c r="G540" s="37">
        <v>43631</v>
      </c>
      <c r="H540" s="34">
        <v>5407</v>
      </c>
      <c r="I540" s="39">
        <f>VLOOKUP(H540,'PUR-HSN MASTER'!$A$4:$E$5000,5,FALSE)</f>
        <v>5</v>
      </c>
      <c r="J540" s="38">
        <v>88</v>
      </c>
      <c r="K540" s="40">
        <v>11718</v>
      </c>
      <c r="L540" s="39">
        <v>0</v>
      </c>
      <c r="M540" s="39">
        <v>292.95000000000005</v>
      </c>
      <c r="N540" s="39">
        <v>292.95000000000005</v>
      </c>
      <c r="O540" s="39">
        <v>0</v>
      </c>
      <c r="P540" s="39">
        <v>12304.000000000002</v>
      </c>
      <c r="Q540" s="34" t="s">
        <v>410</v>
      </c>
      <c r="R540" s="34" t="s">
        <v>26</v>
      </c>
      <c r="S540" s="11" t="s">
        <v>4120</v>
      </c>
    </row>
    <row r="541" spans="1:19" x14ac:dyDescent="0.2">
      <c r="A541" s="33">
        <v>43617</v>
      </c>
      <c r="B541" s="34">
        <v>108</v>
      </c>
      <c r="C541" s="35" t="s">
        <v>471</v>
      </c>
      <c r="D541" s="34" t="str">
        <f>VLOOKUP(C541,'PUR-PARTY MASTER'!$B$4:$E$2000,2,FALSE)</f>
        <v>27AAECM8871A1ZF</v>
      </c>
      <c r="E541" s="34" t="s">
        <v>22</v>
      </c>
      <c r="F541" s="134">
        <v>192002521</v>
      </c>
      <c r="G541" s="37">
        <v>43631</v>
      </c>
      <c r="H541" s="34">
        <v>87089900</v>
      </c>
      <c r="I541" s="39">
        <f>VLOOKUP(H541,'PUR-HSN MASTER'!$A$4:$E$5000,5,FALSE)</f>
        <v>28</v>
      </c>
      <c r="J541" s="38">
        <v>12</v>
      </c>
      <c r="K541" s="40">
        <v>17483.52</v>
      </c>
      <c r="L541" s="39">
        <v>0</v>
      </c>
      <c r="M541" s="39">
        <v>2447.6928000000003</v>
      </c>
      <c r="N541" s="39">
        <v>2447.6928000000003</v>
      </c>
      <c r="O541" s="39">
        <v>0</v>
      </c>
      <c r="P541" s="39">
        <v>22378.895600000003</v>
      </c>
      <c r="Q541" s="34" t="s">
        <v>410</v>
      </c>
      <c r="R541" s="34" t="s">
        <v>26</v>
      </c>
      <c r="S541" s="11" t="s">
        <v>4120</v>
      </c>
    </row>
    <row r="542" spans="1:19" x14ac:dyDescent="0.2">
      <c r="A542" s="33">
        <v>43617</v>
      </c>
      <c r="B542" s="34">
        <v>109</v>
      </c>
      <c r="C542" s="35" t="s">
        <v>554</v>
      </c>
      <c r="D542" s="34" t="str">
        <f>VLOOKUP(C542,'PUR-PARTY MASTER'!$B$4:$E$2000,2,FALSE)</f>
        <v>27AACFA1881H1ZL</v>
      </c>
      <c r="E542" s="34" t="s">
        <v>22</v>
      </c>
      <c r="F542" s="134">
        <v>2898</v>
      </c>
      <c r="G542" s="37">
        <v>43631</v>
      </c>
      <c r="H542" s="34">
        <v>87141900</v>
      </c>
      <c r="I542" s="39">
        <f>VLOOKUP(H542,'PUR-HSN MASTER'!$A$4:$E$5000,5,FALSE)</f>
        <v>28</v>
      </c>
      <c r="J542" s="38">
        <v>1570</v>
      </c>
      <c r="K542" s="40">
        <v>4368.3</v>
      </c>
      <c r="L542" s="39">
        <v>0</v>
      </c>
      <c r="M542" s="39">
        <v>611.56200000000001</v>
      </c>
      <c r="N542" s="39">
        <v>611.56200000000001</v>
      </c>
      <c r="O542" s="39">
        <v>0</v>
      </c>
      <c r="P542" s="39">
        <v>5591.424</v>
      </c>
      <c r="Q542" s="34" t="s">
        <v>410</v>
      </c>
      <c r="R542" s="34" t="s">
        <v>26</v>
      </c>
      <c r="S542" s="11" t="s">
        <v>4120</v>
      </c>
    </row>
    <row r="543" spans="1:19" x14ac:dyDescent="0.2">
      <c r="A543" s="33">
        <v>43617</v>
      </c>
      <c r="B543" s="34">
        <v>110</v>
      </c>
      <c r="C543" s="35" t="s">
        <v>601</v>
      </c>
      <c r="D543" s="34" t="str">
        <f>VLOOKUP(C543,'PUR-PARTY MASTER'!$B$4:$E$2000,2,FALSE)</f>
        <v>27AAZFM6461A1ZY</v>
      </c>
      <c r="E543" s="34" t="s">
        <v>22</v>
      </c>
      <c r="F543" s="134">
        <v>1998</v>
      </c>
      <c r="G543" s="37">
        <v>43631</v>
      </c>
      <c r="H543" s="34">
        <v>87082900</v>
      </c>
      <c r="I543" s="39">
        <f>VLOOKUP(H543,'PUR-HSN MASTER'!$A$4:$E$5000,5,FALSE)</f>
        <v>28</v>
      </c>
      <c r="J543" s="38">
        <v>1800</v>
      </c>
      <c r="K543" s="40">
        <v>40176</v>
      </c>
      <c r="L543" s="39">
        <v>0</v>
      </c>
      <c r="M543" s="39">
        <v>5624.6399999999994</v>
      </c>
      <c r="N543" s="39">
        <v>5624.6399999999994</v>
      </c>
      <c r="O543" s="39">
        <v>0</v>
      </c>
      <c r="P543" s="39">
        <v>51425.279999999999</v>
      </c>
      <c r="Q543" s="34" t="s">
        <v>410</v>
      </c>
      <c r="R543" s="34" t="s">
        <v>26</v>
      </c>
      <c r="S543" s="11" t="s">
        <v>4120</v>
      </c>
    </row>
    <row r="544" spans="1:19" x14ac:dyDescent="0.2">
      <c r="A544" s="33">
        <v>43617</v>
      </c>
      <c r="B544" s="34">
        <v>111</v>
      </c>
      <c r="C544" s="35" t="s">
        <v>601</v>
      </c>
      <c r="D544" s="34" t="str">
        <f>VLOOKUP(C544,'PUR-PARTY MASTER'!$B$4:$E$2000,2,FALSE)</f>
        <v>27AAZFM6461A1ZY</v>
      </c>
      <c r="E544" s="34" t="s">
        <v>22</v>
      </c>
      <c r="F544" s="134">
        <v>1999</v>
      </c>
      <c r="G544" s="37">
        <v>43631</v>
      </c>
      <c r="H544" s="34">
        <v>87082900</v>
      </c>
      <c r="I544" s="39">
        <f>VLOOKUP(H544,'PUR-HSN MASTER'!$A$4:$E$5000,5,FALSE)</f>
        <v>28</v>
      </c>
      <c r="J544" s="38">
        <v>840</v>
      </c>
      <c r="K544" s="40">
        <v>35758.800000000003</v>
      </c>
      <c r="L544" s="39">
        <v>0</v>
      </c>
      <c r="M544" s="39">
        <v>5006.232</v>
      </c>
      <c r="N544" s="39">
        <v>5006.232</v>
      </c>
      <c r="O544" s="39">
        <v>0</v>
      </c>
      <c r="P544" s="39">
        <v>45771.26400000001</v>
      </c>
      <c r="Q544" s="34" t="s">
        <v>410</v>
      </c>
      <c r="R544" s="34" t="s">
        <v>26</v>
      </c>
      <c r="S544" s="11" t="s">
        <v>4120</v>
      </c>
    </row>
    <row r="545" spans="1:19" x14ac:dyDescent="0.2">
      <c r="A545" s="33">
        <v>43617</v>
      </c>
      <c r="B545" s="34">
        <v>112</v>
      </c>
      <c r="C545" s="35" t="s">
        <v>495</v>
      </c>
      <c r="D545" s="34" t="str">
        <f>VLOOKUP(C545,'PUR-PARTY MASTER'!$B$4:$E$2000,2,FALSE)</f>
        <v>27AAACH4211R1ZF</v>
      </c>
      <c r="E545" s="34" t="s">
        <v>22</v>
      </c>
      <c r="F545" s="134">
        <v>5510048530</v>
      </c>
      <c r="G545" s="37">
        <v>43631</v>
      </c>
      <c r="H545" s="34">
        <v>85129000</v>
      </c>
      <c r="I545" s="39">
        <f>VLOOKUP(H545,'PUR-HSN MASTER'!$A$4:$E$5000,5,FALSE)</f>
        <v>18</v>
      </c>
      <c r="J545" s="38">
        <v>720</v>
      </c>
      <c r="K545" s="40">
        <v>7963.2</v>
      </c>
      <c r="L545" s="39">
        <v>0</v>
      </c>
      <c r="M545" s="39">
        <v>716.6880000000001</v>
      </c>
      <c r="N545" s="39">
        <v>716.6880000000001</v>
      </c>
      <c r="O545" s="39">
        <v>0</v>
      </c>
      <c r="P545" s="39">
        <v>9396.5759999999991</v>
      </c>
      <c r="Q545" s="34" t="s">
        <v>410</v>
      </c>
      <c r="R545" s="34" t="s">
        <v>26</v>
      </c>
      <c r="S545" s="11" t="s">
        <v>4120</v>
      </c>
    </row>
    <row r="546" spans="1:19" x14ac:dyDescent="0.2">
      <c r="A546" s="33">
        <v>43617</v>
      </c>
      <c r="B546" s="34">
        <v>113</v>
      </c>
      <c r="C546" s="35" t="s">
        <v>495</v>
      </c>
      <c r="D546" s="34" t="str">
        <f>VLOOKUP(C546,'PUR-PARTY MASTER'!$B$4:$E$2000,2,FALSE)</f>
        <v>27AAACH4211R1ZF</v>
      </c>
      <c r="E546" s="34" t="s">
        <v>22</v>
      </c>
      <c r="F546" s="134">
        <v>5510048564</v>
      </c>
      <c r="G546" s="37">
        <v>43631</v>
      </c>
      <c r="H546" s="34">
        <v>85129000</v>
      </c>
      <c r="I546" s="39">
        <f>VLOOKUP(H546,'PUR-HSN MASTER'!$A$4:$E$5000,5,FALSE)</f>
        <v>18</v>
      </c>
      <c r="J546" s="38">
        <v>1920</v>
      </c>
      <c r="K546" s="40">
        <v>21235.200000000001</v>
      </c>
      <c r="L546" s="39">
        <v>0</v>
      </c>
      <c r="M546" s="39">
        <v>1911.1680000000001</v>
      </c>
      <c r="N546" s="39">
        <v>1911.1680000000001</v>
      </c>
      <c r="O546" s="39">
        <v>0</v>
      </c>
      <c r="P546" s="39">
        <v>25057.536000000004</v>
      </c>
      <c r="Q546" s="34" t="s">
        <v>410</v>
      </c>
      <c r="R546" s="34" t="s">
        <v>26</v>
      </c>
      <c r="S546" s="11" t="s">
        <v>4120</v>
      </c>
    </row>
    <row r="547" spans="1:19" x14ac:dyDescent="0.2">
      <c r="A547" s="33">
        <v>43617</v>
      </c>
      <c r="B547" s="34">
        <v>114</v>
      </c>
      <c r="C547" s="35" t="s">
        <v>541</v>
      </c>
      <c r="D547" s="34" t="str">
        <f>VLOOKUP(C547,'PUR-PARTY MASTER'!$B$4:$E$2000,2,FALSE)</f>
        <v>27AYCPB9228K1ZA</v>
      </c>
      <c r="E547" s="34" t="s">
        <v>22</v>
      </c>
      <c r="F547" s="136" t="s">
        <v>734</v>
      </c>
      <c r="G547" s="37">
        <v>43617</v>
      </c>
      <c r="H547" s="34" t="s">
        <v>544</v>
      </c>
      <c r="I547" s="39">
        <f>VLOOKUP(H547,'PUR-HSN MASTER'!$A$4:$E$5000,5,FALSE)</f>
        <v>18</v>
      </c>
      <c r="J547" s="38">
        <v>0</v>
      </c>
      <c r="K547" s="40">
        <v>3500</v>
      </c>
      <c r="L547" s="39">
        <v>0</v>
      </c>
      <c r="M547" s="39">
        <v>315</v>
      </c>
      <c r="N547" s="39">
        <v>315</v>
      </c>
      <c r="O547" s="39">
        <v>0</v>
      </c>
      <c r="P547" s="39">
        <v>4130</v>
      </c>
      <c r="Q547" s="34" t="s">
        <v>411</v>
      </c>
      <c r="R547" s="34" t="s">
        <v>26</v>
      </c>
      <c r="S547" s="11" t="s">
        <v>4120</v>
      </c>
    </row>
    <row r="548" spans="1:19" x14ac:dyDescent="0.2">
      <c r="A548" s="33">
        <v>43617</v>
      </c>
      <c r="B548" s="34">
        <v>115</v>
      </c>
      <c r="C548" s="35" t="s">
        <v>493</v>
      </c>
      <c r="D548" s="34" t="str">
        <f>VLOOKUP(C548,'PUR-PARTY MASTER'!$B$4:$E$2000,2,FALSE)</f>
        <v>27AMMPB3648M1ZO</v>
      </c>
      <c r="E548" s="34" t="s">
        <v>22</v>
      </c>
      <c r="F548" s="134">
        <v>1348</v>
      </c>
      <c r="G548" s="37">
        <v>43632</v>
      </c>
      <c r="H548" s="34">
        <v>85129000</v>
      </c>
      <c r="I548" s="39">
        <f>VLOOKUP(H548,'PUR-HSN MASTER'!$A$4:$E$5000,5,FALSE)</f>
        <v>18</v>
      </c>
      <c r="J548" s="38">
        <v>2320</v>
      </c>
      <c r="K548" s="40">
        <v>53336.800000000003</v>
      </c>
      <c r="L548" s="39">
        <v>0</v>
      </c>
      <c r="M548" s="39">
        <v>4800.3120000000008</v>
      </c>
      <c r="N548" s="39">
        <v>4800.3120000000008</v>
      </c>
      <c r="O548" s="39">
        <v>0</v>
      </c>
      <c r="P548" s="39">
        <v>62937.004000000001</v>
      </c>
      <c r="Q548" s="34" t="s">
        <v>410</v>
      </c>
      <c r="R548" s="34" t="s">
        <v>26</v>
      </c>
      <c r="S548" s="11" t="s">
        <v>4120</v>
      </c>
    </row>
    <row r="549" spans="1:19" x14ac:dyDescent="0.2">
      <c r="A549" s="33">
        <v>43617</v>
      </c>
      <c r="B549" s="34">
        <v>116</v>
      </c>
      <c r="C549" s="35" t="s">
        <v>471</v>
      </c>
      <c r="D549" s="34" t="str">
        <f>VLOOKUP(C549,'PUR-PARTY MASTER'!$B$4:$E$2000,2,FALSE)</f>
        <v>27AAECM8871A1ZF</v>
      </c>
      <c r="E549" s="34" t="s">
        <v>22</v>
      </c>
      <c r="F549" s="134">
        <v>192002522</v>
      </c>
      <c r="G549" s="37">
        <v>43631</v>
      </c>
      <c r="H549" s="34">
        <v>87089900</v>
      </c>
      <c r="I549" s="39">
        <f>VLOOKUP(H549,'PUR-HSN MASTER'!$A$4:$E$5000,5,FALSE)</f>
        <v>28</v>
      </c>
      <c r="J549" s="38">
        <v>12</v>
      </c>
      <c r="K549" s="40">
        <v>17483.52</v>
      </c>
      <c r="L549" s="39">
        <v>0</v>
      </c>
      <c r="M549" s="39">
        <v>2447.6928000000003</v>
      </c>
      <c r="N549" s="39">
        <v>2447.6928000000003</v>
      </c>
      <c r="O549" s="39">
        <v>0</v>
      </c>
      <c r="P549" s="39">
        <v>22378.895600000003</v>
      </c>
      <c r="Q549" s="34" t="s">
        <v>410</v>
      </c>
      <c r="R549" s="34" t="s">
        <v>26</v>
      </c>
      <c r="S549" s="11" t="s">
        <v>4120</v>
      </c>
    </row>
    <row r="550" spans="1:19" x14ac:dyDescent="0.2">
      <c r="A550" s="33">
        <v>43617</v>
      </c>
      <c r="B550" s="34">
        <v>117</v>
      </c>
      <c r="C550" s="35" t="s">
        <v>471</v>
      </c>
      <c r="D550" s="34" t="str">
        <f>VLOOKUP(C550,'PUR-PARTY MASTER'!$B$4:$E$2000,2,FALSE)</f>
        <v>27AAECM8871A1ZF</v>
      </c>
      <c r="E550" s="34" t="s">
        <v>22</v>
      </c>
      <c r="F550" s="134">
        <v>192002537</v>
      </c>
      <c r="G550" s="37">
        <v>43633</v>
      </c>
      <c r="H550" s="34">
        <v>87089900</v>
      </c>
      <c r="I550" s="39">
        <f>VLOOKUP(H550,'PUR-HSN MASTER'!$A$4:$E$5000,5,FALSE)</f>
        <v>28</v>
      </c>
      <c r="J550" s="38">
        <v>12</v>
      </c>
      <c r="K550" s="40">
        <v>17483.52</v>
      </c>
      <c r="L550" s="39">
        <v>0</v>
      </c>
      <c r="M550" s="39">
        <v>2447.6928000000003</v>
      </c>
      <c r="N550" s="39">
        <v>2447.6928000000003</v>
      </c>
      <c r="O550" s="39">
        <v>0</v>
      </c>
      <c r="P550" s="39">
        <v>22378.895600000003</v>
      </c>
      <c r="Q550" s="34" t="s">
        <v>410</v>
      </c>
      <c r="R550" s="34" t="s">
        <v>26</v>
      </c>
      <c r="S550" s="11" t="s">
        <v>4120</v>
      </c>
    </row>
    <row r="551" spans="1:19" x14ac:dyDescent="0.2">
      <c r="A551" s="33">
        <v>43617</v>
      </c>
      <c r="B551" s="34">
        <v>118</v>
      </c>
      <c r="C551" s="35" t="s">
        <v>708</v>
      </c>
      <c r="D551" s="34" t="str">
        <f>VLOOKUP(C551,'PUR-PARTY MASTER'!$B$4:$E$2000,2,FALSE)</f>
        <v>24AAECD2713N1ZQ</v>
      </c>
      <c r="E551" s="34" t="s">
        <v>22</v>
      </c>
      <c r="F551" s="134">
        <v>78880008096</v>
      </c>
      <c r="G551" s="37">
        <v>43630</v>
      </c>
      <c r="H551" s="34">
        <v>32082090</v>
      </c>
      <c r="I551" s="39">
        <f>VLOOKUP(H551,'PUR-HSN MASTER'!$A$4:$E$5000,5,FALSE)</f>
        <v>18</v>
      </c>
      <c r="J551" s="38">
        <v>36</v>
      </c>
      <c r="K551" s="40">
        <v>14648</v>
      </c>
      <c r="L551" s="39">
        <v>2636.64</v>
      </c>
      <c r="M551" s="39">
        <v>0</v>
      </c>
      <c r="N551" s="39">
        <v>0</v>
      </c>
      <c r="O551" s="39">
        <v>0</v>
      </c>
      <c r="P551" s="39">
        <v>17285</v>
      </c>
      <c r="Q551" s="34" t="s">
        <v>410</v>
      </c>
      <c r="R551" s="34" t="s">
        <v>106</v>
      </c>
      <c r="S551" s="11" t="s">
        <v>4120</v>
      </c>
    </row>
    <row r="552" spans="1:19" x14ac:dyDescent="0.2">
      <c r="A552" s="33">
        <v>43617</v>
      </c>
      <c r="B552" s="34">
        <v>119</v>
      </c>
      <c r="C552" s="35" t="s">
        <v>554</v>
      </c>
      <c r="D552" s="34" t="str">
        <f>VLOOKUP(C552,'PUR-PARTY MASTER'!$B$4:$E$2000,2,FALSE)</f>
        <v>27AACFA1881H1ZL</v>
      </c>
      <c r="E552" s="34" t="s">
        <v>22</v>
      </c>
      <c r="F552" s="134">
        <v>2912</v>
      </c>
      <c r="G552" s="37">
        <v>43633</v>
      </c>
      <c r="H552" s="34">
        <v>87141900</v>
      </c>
      <c r="I552" s="39">
        <f>VLOOKUP(H552,'PUR-HSN MASTER'!$A$4:$E$5000,5,FALSE)</f>
        <v>28</v>
      </c>
      <c r="J552" s="38">
        <v>400</v>
      </c>
      <c r="K552" s="40">
        <v>1112</v>
      </c>
      <c r="L552" s="39">
        <v>0</v>
      </c>
      <c r="M552" s="39">
        <v>155.67999999999998</v>
      </c>
      <c r="N552" s="39">
        <v>155.67999999999998</v>
      </c>
      <c r="O552" s="39">
        <v>0</v>
      </c>
      <c r="P552" s="39">
        <v>1423.3600000000001</v>
      </c>
      <c r="Q552" s="34" t="s">
        <v>410</v>
      </c>
      <c r="R552" s="34" t="s">
        <v>26</v>
      </c>
      <c r="S552" s="11" t="s">
        <v>4120</v>
      </c>
    </row>
    <row r="553" spans="1:19" x14ac:dyDescent="0.2">
      <c r="A553" s="33">
        <v>43617</v>
      </c>
      <c r="B553" s="34">
        <v>120</v>
      </c>
      <c r="C553" s="35" t="s">
        <v>554</v>
      </c>
      <c r="D553" s="34" t="str">
        <f>VLOOKUP(C553,'PUR-PARTY MASTER'!$B$4:$E$2000,2,FALSE)</f>
        <v>27AACFA1881H1ZL</v>
      </c>
      <c r="E553" s="34" t="s">
        <v>22</v>
      </c>
      <c r="F553" s="134">
        <v>2920</v>
      </c>
      <c r="G553" s="37">
        <v>43633</v>
      </c>
      <c r="H553" s="34">
        <v>87141900</v>
      </c>
      <c r="I553" s="39">
        <f>VLOOKUP(H553,'PUR-HSN MASTER'!$A$4:$E$5000,5,FALSE)</f>
        <v>28</v>
      </c>
      <c r="J553" s="38">
        <v>600</v>
      </c>
      <c r="K553" s="40">
        <v>1668</v>
      </c>
      <c r="L553" s="39">
        <v>0</v>
      </c>
      <c r="M553" s="39">
        <v>233.51999999999998</v>
      </c>
      <c r="N553" s="39">
        <v>233.51999999999998</v>
      </c>
      <c r="O553" s="39">
        <v>0</v>
      </c>
      <c r="P553" s="39">
        <v>2135.04</v>
      </c>
      <c r="Q553" s="34" t="s">
        <v>410</v>
      </c>
      <c r="R553" s="34" t="s">
        <v>26</v>
      </c>
      <c r="S553" s="11" t="s">
        <v>4120</v>
      </c>
    </row>
    <row r="554" spans="1:19" x14ac:dyDescent="0.2">
      <c r="A554" s="33">
        <v>43617</v>
      </c>
      <c r="B554" s="34">
        <v>121</v>
      </c>
      <c r="C554" s="35" t="s">
        <v>554</v>
      </c>
      <c r="D554" s="34" t="str">
        <f>VLOOKUP(C554,'PUR-PARTY MASTER'!$B$4:$E$2000,2,FALSE)</f>
        <v>27AACFA1881H1ZL</v>
      </c>
      <c r="E554" s="34" t="s">
        <v>22</v>
      </c>
      <c r="F554" s="134">
        <v>2926</v>
      </c>
      <c r="G554" s="37">
        <v>43633</v>
      </c>
      <c r="H554" s="34">
        <v>87141900</v>
      </c>
      <c r="I554" s="39">
        <f>VLOOKUP(H554,'PUR-HSN MASTER'!$A$4:$E$5000,5,FALSE)</f>
        <v>28</v>
      </c>
      <c r="J554" s="38">
        <v>1800</v>
      </c>
      <c r="K554" s="40">
        <v>5004</v>
      </c>
      <c r="L554" s="39">
        <v>0</v>
      </c>
      <c r="M554" s="39">
        <v>700.56</v>
      </c>
      <c r="N554" s="39">
        <v>700.56</v>
      </c>
      <c r="O554" s="39">
        <v>0</v>
      </c>
      <c r="P554" s="39">
        <v>6405.119999999999</v>
      </c>
      <c r="Q554" s="34" t="s">
        <v>410</v>
      </c>
      <c r="R554" s="34" t="s">
        <v>26</v>
      </c>
      <c r="S554" s="11" t="s">
        <v>4120</v>
      </c>
    </row>
    <row r="555" spans="1:19" x14ac:dyDescent="0.2">
      <c r="A555" s="33">
        <v>43617</v>
      </c>
      <c r="B555" s="34">
        <v>122</v>
      </c>
      <c r="C555" s="35" t="s">
        <v>554</v>
      </c>
      <c r="D555" s="34" t="str">
        <f>VLOOKUP(C555,'PUR-PARTY MASTER'!$B$4:$E$2000,2,FALSE)</f>
        <v>27AACFA1881H1ZL</v>
      </c>
      <c r="E555" s="34" t="s">
        <v>22</v>
      </c>
      <c r="F555" s="134">
        <v>2960</v>
      </c>
      <c r="G555" s="37">
        <v>43633</v>
      </c>
      <c r="H555" s="34">
        <v>87141900</v>
      </c>
      <c r="I555" s="39">
        <f>VLOOKUP(H555,'PUR-HSN MASTER'!$A$4:$E$5000,5,FALSE)</f>
        <v>28</v>
      </c>
      <c r="J555" s="38">
        <v>600</v>
      </c>
      <c r="K555" s="40">
        <v>1668</v>
      </c>
      <c r="L555" s="39">
        <v>0</v>
      </c>
      <c r="M555" s="39">
        <v>233.51999999999998</v>
      </c>
      <c r="N555" s="39">
        <v>233.51999999999998</v>
      </c>
      <c r="O555" s="39">
        <v>0</v>
      </c>
      <c r="P555" s="39">
        <v>2135.04</v>
      </c>
      <c r="Q555" s="34" t="s">
        <v>410</v>
      </c>
      <c r="R555" s="34" t="s">
        <v>26</v>
      </c>
      <c r="S555" s="11" t="s">
        <v>4120</v>
      </c>
    </row>
    <row r="556" spans="1:19" x14ac:dyDescent="0.2">
      <c r="A556" s="33">
        <v>43617</v>
      </c>
      <c r="B556" s="34">
        <v>123</v>
      </c>
      <c r="C556" s="35" t="s">
        <v>514</v>
      </c>
      <c r="D556" s="34" t="str">
        <f>VLOOKUP(C556,'PUR-PARTY MASTER'!$B$4:$E$2000,2,FALSE)</f>
        <v>27AAACU2414K1ZF</v>
      </c>
      <c r="E556" s="34" t="s">
        <v>22</v>
      </c>
      <c r="F556" s="136" t="s">
        <v>735</v>
      </c>
      <c r="G556" s="37">
        <v>43633</v>
      </c>
      <c r="H556" s="34">
        <v>9971</v>
      </c>
      <c r="I556" s="39">
        <f>VLOOKUP(H556,'PUR-HSN MASTER'!$A$4:$E$5000,5,FALSE)</f>
        <v>18</v>
      </c>
      <c r="J556" s="38">
        <v>0</v>
      </c>
      <c r="K556" s="40">
        <v>50</v>
      </c>
      <c r="L556" s="39">
        <v>0</v>
      </c>
      <c r="M556" s="39">
        <v>4.5</v>
      </c>
      <c r="N556" s="39">
        <v>4.5</v>
      </c>
      <c r="O556" s="39">
        <v>0</v>
      </c>
      <c r="P556" s="39">
        <v>59</v>
      </c>
      <c r="Q556" s="34" t="s">
        <v>411</v>
      </c>
      <c r="R556" s="34" t="s">
        <v>26</v>
      </c>
      <c r="S556" s="11" t="s">
        <v>4120</v>
      </c>
    </row>
    <row r="557" spans="1:19" x14ac:dyDescent="0.2">
      <c r="A557" s="33">
        <v>43617</v>
      </c>
      <c r="B557" s="34">
        <v>124</v>
      </c>
      <c r="C557" s="35" t="s">
        <v>708</v>
      </c>
      <c r="D557" s="34" t="str">
        <f>VLOOKUP(C557,'PUR-PARTY MASTER'!$B$4:$E$2000,2,FALSE)</f>
        <v>24AAECD2713N1ZQ</v>
      </c>
      <c r="E557" s="34" t="s">
        <v>22</v>
      </c>
      <c r="F557" s="134">
        <v>7888008265</v>
      </c>
      <c r="G557" s="37">
        <v>43633</v>
      </c>
      <c r="H557" s="34">
        <v>32082090</v>
      </c>
      <c r="I557" s="39">
        <f>VLOOKUP(H557,'PUR-HSN MASTER'!$A$4:$E$5000,5,FALSE)</f>
        <v>18</v>
      </c>
      <c r="J557" s="38">
        <v>38</v>
      </c>
      <c r="K557" s="40">
        <v>15534</v>
      </c>
      <c r="L557" s="39">
        <v>2796.12</v>
      </c>
      <c r="M557" s="39">
        <v>0</v>
      </c>
      <c r="N557" s="39">
        <v>0</v>
      </c>
      <c r="O557" s="39">
        <v>0</v>
      </c>
      <c r="P557" s="39">
        <v>18330</v>
      </c>
      <c r="Q557" s="34" t="s">
        <v>410</v>
      </c>
      <c r="R557" s="34" t="s">
        <v>106</v>
      </c>
      <c r="S557" s="11" t="s">
        <v>4120</v>
      </c>
    </row>
    <row r="558" spans="1:19" x14ac:dyDescent="0.2">
      <c r="A558" s="33">
        <v>43617</v>
      </c>
      <c r="B558" s="34">
        <v>125</v>
      </c>
      <c r="C558" s="35" t="s">
        <v>471</v>
      </c>
      <c r="D558" s="34" t="str">
        <f>VLOOKUP(C558,'PUR-PARTY MASTER'!$B$4:$E$2000,2,FALSE)</f>
        <v>27AAECM8871A1ZF</v>
      </c>
      <c r="E558" s="34" t="s">
        <v>22</v>
      </c>
      <c r="F558" s="134">
        <v>192002539</v>
      </c>
      <c r="G558" s="37">
        <v>43633</v>
      </c>
      <c r="H558" s="34">
        <v>87089900</v>
      </c>
      <c r="I558" s="39">
        <f>VLOOKUP(H558,'PUR-HSN MASTER'!$A$4:$E$5000,5,FALSE)</f>
        <v>28</v>
      </c>
      <c r="J558" s="38">
        <v>12</v>
      </c>
      <c r="K558" s="40">
        <v>17483.52</v>
      </c>
      <c r="L558" s="39">
        <v>0</v>
      </c>
      <c r="M558" s="39">
        <v>2447.6928000000003</v>
      </c>
      <c r="N558" s="39">
        <v>2447.6928000000003</v>
      </c>
      <c r="O558" s="39">
        <v>0</v>
      </c>
      <c r="P558" s="39">
        <v>22378.895600000003</v>
      </c>
      <c r="Q558" s="34" t="s">
        <v>410</v>
      </c>
      <c r="R558" s="34" t="s">
        <v>26</v>
      </c>
      <c r="S558" s="11" t="s">
        <v>4120</v>
      </c>
    </row>
    <row r="559" spans="1:19" x14ac:dyDescent="0.2">
      <c r="A559" s="33">
        <v>43617</v>
      </c>
      <c r="B559" s="34">
        <v>126</v>
      </c>
      <c r="C559" s="35" t="s">
        <v>514</v>
      </c>
      <c r="D559" s="34" t="str">
        <f>VLOOKUP(C559,'PUR-PARTY MASTER'!$B$4:$E$2000,2,FALSE)</f>
        <v>27AAACU2414K1ZF</v>
      </c>
      <c r="E559" s="34" t="s">
        <v>22</v>
      </c>
      <c r="F559" s="134">
        <v>0</v>
      </c>
      <c r="G559" s="37">
        <v>43633</v>
      </c>
      <c r="H559" s="34">
        <v>9971</v>
      </c>
      <c r="I559" s="39">
        <f>VLOOKUP(H559,'PUR-HSN MASTER'!$A$4:$E$5000,5,FALSE)</f>
        <v>18</v>
      </c>
      <c r="J559" s="38">
        <v>0</v>
      </c>
      <c r="K559" s="40">
        <v>2000</v>
      </c>
      <c r="L559" s="39">
        <v>0</v>
      </c>
      <c r="M559" s="39">
        <v>180</v>
      </c>
      <c r="N559" s="39">
        <v>180</v>
      </c>
      <c r="O559" s="39">
        <v>0</v>
      </c>
      <c r="P559" s="39">
        <v>2360</v>
      </c>
      <c r="Q559" s="34" t="s">
        <v>411</v>
      </c>
      <c r="R559" s="34" t="s">
        <v>26</v>
      </c>
      <c r="S559" s="11" t="s">
        <v>4120</v>
      </c>
    </row>
    <row r="560" spans="1:19" x14ac:dyDescent="0.2">
      <c r="A560" s="33">
        <v>43617</v>
      </c>
      <c r="B560" s="34">
        <v>127</v>
      </c>
      <c r="C560" s="35" t="s">
        <v>514</v>
      </c>
      <c r="D560" s="34" t="str">
        <f>VLOOKUP(C560,'PUR-PARTY MASTER'!$B$4:$E$2000,2,FALSE)</f>
        <v>27AAACU2414K1ZF</v>
      </c>
      <c r="E560" s="34" t="s">
        <v>22</v>
      </c>
      <c r="F560" s="136" t="s">
        <v>736</v>
      </c>
      <c r="G560" s="37">
        <v>43633</v>
      </c>
      <c r="H560" s="34">
        <v>9971</v>
      </c>
      <c r="I560" s="39">
        <f>VLOOKUP(H560,'PUR-HSN MASTER'!$A$4:$E$5000,5,FALSE)</f>
        <v>18</v>
      </c>
      <c r="J560" s="38">
        <v>0</v>
      </c>
      <c r="K560" s="40">
        <v>1529.22</v>
      </c>
      <c r="L560" s="39">
        <v>0</v>
      </c>
      <c r="M560" s="39">
        <v>137.62980000000002</v>
      </c>
      <c r="N560" s="39">
        <v>137.62980000000002</v>
      </c>
      <c r="O560" s="39">
        <v>0</v>
      </c>
      <c r="P560" s="39">
        <v>1804.4795999999999</v>
      </c>
      <c r="Q560" s="34" t="s">
        <v>411</v>
      </c>
      <c r="R560" s="34" t="s">
        <v>26</v>
      </c>
      <c r="S560" s="11" t="s">
        <v>4120</v>
      </c>
    </row>
    <row r="561" spans="1:19" x14ac:dyDescent="0.2">
      <c r="A561" s="33">
        <v>43617</v>
      </c>
      <c r="B561" s="34">
        <v>128</v>
      </c>
      <c r="C561" s="35" t="s">
        <v>514</v>
      </c>
      <c r="D561" s="34" t="str">
        <f>VLOOKUP(C561,'PUR-PARTY MASTER'!$B$4:$E$2000,2,FALSE)</f>
        <v>27AAACU2414K1ZF</v>
      </c>
      <c r="E561" s="34" t="s">
        <v>22</v>
      </c>
      <c r="F561" s="136" t="s">
        <v>737</v>
      </c>
      <c r="G561" s="37">
        <v>43633</v>
      </c>
      <c r="H561" s="34">
        <v>9971</v>
      </c>
      <c r="I561" s="39">
        <f>VLOOKUP(H561,'PUR-HSN MASTER'!$A$4:$E$5000,5,FALSE)</f>
        <v>18</v>
      </c>
      <c r="J561" s="38">
        <v>0</v>
      </c>
      <c r="K561" s="40">
        <v>500</v>
      </c>
      <c r="L561" s="39">
        <v>0</v>
      </c>
      <c r="M561" s="39">
        <v>45</v>
      </c>
      <c r="N561" s="39">
        <v>45</v>
      </c>
      <c r="O561" s="39">
        <v>0</v>
      </c>
      <c r="P561" s="39">
        <v>590</v>
      </c>
      <c r="Q561" s="34" t="s">
        <v>411</v>
      </c>
      <c r="R561" s="34" t="s">
        <v>26</v>
      </c>
      <c r="S561" s="11" t="s">
        <v>4120</v>
      </c>
    </row>
    <row r="562" spans="1:19" x14ac:dyDescent="0.2">
      <c r="A562" s="33">
        <v>43617</v>
      </c>
      <c r="B562" s="34">
        <v>129</v>
      </c>
      <c r="C562" s="35" t="s">
        <v>551</v>
      </c>
      <c r="D562" s="34" t="str">
        <f>VLOOKUP(C562,'PUR-PARTY MASTER'!$B$4:$E$2000,2,FALSE)</f>
        <v>27AHVPG8951G1ZQ</v>
      </c>
      <c r="E562" s="34" t="s">
        <v>22</v>
      </c>
      <c r="F562" s="136" t="s">
        <v>738</v>
      </c>
      <c r="G562" s="37">
        <v>43633</v>
      </c>
      <c r="H562" s="34">
        <v>85198990</v>
      </c>
      <c r="I562" s="39">
        <f>VLOOKUP(H562,'PUR-HSN MASTER'!$A$4:$E$5000,5,FALSE)</f>
        <v>18</v>
      </c>
      <c r="J562" s="38">
        <v>1</v>
      </c>
      <c r="K562" s="40">
        <v>400</v>
      </c>
      <c r="L562" s="39">
        <v>0</v>
      </c>
      <c r="M562" s="39">
        <v>36</v>
      </c>
      <c r="N562" s="39">
        <v>36</v>
      </c>
      <c r="O562" s="39">
        <v>0</v>
      </c>
      <c r="P562" s="39">
        <v>472</v>
      </c>
      <c r="Q562" s="34" t="s">
        <v>411</v>
      </c>
      <c r="R562" s="34" t="s">
        <v>26</v>
      </c>
      <c r="S562" s="11" t="s">
        <v>4120</v>
      </c>
    </row>
    <row r="563" spans="1:19" x14ac:dyDescent="0.2">
      <c r="A563" s="33">
        <v>43617</v>
      </c>
      <c r="B563" s="34">
        <v>130</v>
      </c>
      <c r="C563" s="35" t="s">
        <v>471</v>
      </c>
      <c r="D563" s="34" t="str">
        <f>VLOOKUP(C563,'PUR-PARTY MASTER'!$B$4:$E$2000,2,FALSE)</f>
        <v>27AAECM8871A1ZF</v>
      </c>
      <c r="E563" s="34" t="s">
        <v>22</v>
      </c>
      <c r="F563" s="134">
        <v>192002538</v>
      </c>
      <c r="G563" s="37">
        <v>43633</v>
      </c>
      <c r="H563" s="34">
        <v>87089900</v>
      </c>
      <c r="I563" s="39">
        <f>VLOOKUP(H563,'PUR-HSN MASTER'!$A$4:$E$5000,5,FALSE)</f>
        <v>28</v>
      </c>
      <c r="J563" s="38">
        <v>12</v>
      </c>
      <c r="K563" s="40">
        <v>17483.52</v>
      </c>
      <c r="L563" s="39">
        <v>0</v>
      </c>
      <c r="M563" s="39">
        <v>2447.6928000000003</v>
      </c>
      <c r="N563" s="39">
        <v>2447.6928000000003</v>
      </c>
      <c r="O563" s="39">
        <v>0</v>
      </c>
      <c r="P563" s="39">
        <v>22378.895600000003</v>
      </c>
      <c r="Q563" s="34" t="s">
        <v>410</v>
      </c>
      <c r="R563" s="34" t="s">
        <v>26</v>
      </c>
      <c r="S563" s="11" t="s">
        <v>4120</v>
      </c>
    </row>
    <row r="564" spans="1:19" x14ac:dyDescent="0.2">
      <c r="A564" s="33">
        <v>43617</v>
      </c>
      <c r="B564" s="34">
        <v>131</v>
      </c>
      <c r="C564" s="35" t="s">
        <v>554</v>
      </c>
      <c r="D564" s="34" t="str">
        <f>VLOOKUP(C564,'PUR-PARTY MASTER'!$B$4:$E$2000,2,FALSE)</f>
        <v>27AACFA1881H1ZL</v>
      </c>
      <c r="E564" s="34" t="s">
        <v>22</v>
      </c>
      <c r="F564" s="134">
        <v>2969</v>
      </c>
      <c r="G564" s="37">
        <v>43634</v>
      </c>
      <c r="H564" s="34">
        <v>87141900</v>
      </c>
      <c r="I564" s="39">
        <f>VLOOKUP(H564,'PUR-HSN MASTER'!$A$4:$E$5000,5,FALSE)</f>
        <v>28</v>
      </c>
      <c r="J564" s="38">
        <v>607</v>
      </c>
      <c r="K564" s="40">
        <v>1699.67</v>
      </c>
      <c r="L564" s="39">
        <v>0</v>
      </c>
      <c r="M564" s="39">
        <v>237.9538</v>
      </c>
      <c r="N564" s="39">
        <v>237.9538</v>
      </c>
      <c r="O564" s="39">
        <v>0</v>
      </c>
      <c r="P564" s="39">
        <v>2175.5675999999999</v>
      </c>
      <c r="Q564" s="34" t="s">
        <v>410</v>
      </c>
      <c r="R564" s="34" t="s">
        <v>26</v>
      </c>
      <c r="S564" s="11" t="s">
        <v>4120</v>
      </c>
    </row>
    <row r="565" spans="1:19" x14ac:dyDescent="0.2">
      <c r="A565" s="33">
        <v>43617</v>
      </c>
      <c r="B565" s="34">
        <v>132</v>
      </c>
      <c r="C565" s="35" t="s">
        <v>554</v>
      </c>
      <c r="D565" s="34" t="str">
        <f>VLOOKUP(C565,'PUR-PARTY MASTER'!$B$4:$E$2000,2,FALSE)</f>
        <v>27AACFA1881H1ZL</v>
      </c>
      <c r="E565" s="34" t="s">
        <v>22</v>
      </c>
      <c r="F565" s="134">
        <v>2983</v>
      </c>
      <c r="G565" s="37">
        <v>43634</v>
      </c>
      <c r="H565" s="34">
        <v>87141900</v>
      </c>
      <c r="I565" s="39">
        <f>VLOOKUP(H565,'PUR-HSN MASTER'!$A$4:$E$5000,5,FALSE)</f>
        <v>28</v>
      </c>
      <c r="J565" s="38">
        <v>600</v>
      </c>
      <c r="K565" s="40">
        <v>1668</v>
      </c>
      <c r="L565" s="39">
        <v>0</v>
      </c>
      <c r="M565" s="39">
        <v>233.51999999999998</v>
      </c>
      <c r="N565" s="39">
        <v>233.51999999999998</v>
      </c>
      <c r="O565" s="39">
        <v>0</v>
      </c>
      <c r="P565" s="39">
        <v>2135.04</v>
      </c>
      <c r="Q565" s="34" t="s">
        <v>410</v>
      </c>
      <c r="R565" s="34" t="s">
        <v>26</v>
      </c>
      <c r="S565" s="11" t="s">
        <v>4120</v>
      </c>
    </row>
    <row r="566" spans="1:19" x14ac:dyDescent="0.2">
      <c r="A566" s="33">
        <v>43617</v>
      </c>
      <c r="B566" s="34">
        <v>133</v>
      </c>
      <c r="C566" s="35" t="s">
        <v>739</v>
      </c>
      <c r="D566" s="34" t="str">
        <f>VLOOKUP(C566,'PUR-PARTY MASTER'!$B$4:$E$2000,2,FALSE)</f>
        <v>27AAECM3522C1ZX</v>
      </c>
      <c r="E566" s="34" t="s">
        <v>22</v>
      </c>
      <c r="F566" s="134">
        <v>330219003574</v>
      </c>
      <c r="G566" s="37">
        <v>43633</v>
      </c>
      <c r="H566" s="34">
        <v>999432</v>
      </c>
      <c r="I566" s="39">
        <f>VLOOKUP(H566,'PUR-HSN MASTER'!$A$4:$E$5000,5,FALSE)</f>
        <v>18</v>
      </c>
      <c r="J566" s="38">
        <v>1</v>
      </c>
      <c r="K566" s="40">
        <v>24587</v>
      </c>
      <c r="L566" s="39">
        <v>0</v>
      </c>
      <c r="M566" s="39">
        <v>2212.83</v>
      </c>
      <c r="N566" s="39">
        <v>2212.83</v>
      </c>
      <c r="O566" s="39">
        <v>0</v>
      </c>
      <c r="P566" s="39">
        <v>29013.000000000004</v>
      </c>
      <c r="Q566" s="34" t="s">
        <v>411</v>
      </c>
      <c r="R566" s="34" t="s">
        <v>26</v>
      </c>
      <c r="S566" s="11" t="s">
        <v>4120</v>
      </c>
    </row>
    <row r="567" spans="1:19" x14ac:dyDescent="0.2">
      <c r="A567" s="33">
        <v>43617</v>
      </c>
      <c r="B567" s="34">
        <v>134</v>
      </c>
      <c r="C567" s="35" t="s">
        <v>554</v>
      </c>
      <c r="D567" s="34" t="str">
        <f>VLOOKUP(C567,'PUR-PARTY MASTER'!$B$4:$E$2000,2,FALSE)</f>
        <v>27AACFA1881H1ZL</v>
      </c>
      <c r="E567" s="34" t="s">
        <v>22</v>
      </c>
      <c r="F567" s="134">
        <v>2994</v>
      </c>
      <c r="G567" s="37">
        <v>43634</v>
      </c>
      <c r="H567" s="34">
        <v>87141900</v>
      </c>
      <c r="I567" s="39">
        <f>VLOOKUP(H567,'PUR-HSN MASTER'!$A$4:$E$5000,5,FALSE)</f>
        <v>28</v>
      </c>
      <c r="J567" s="38">
        <v>800</v>
      </c>
      <c r="K567" s="40">
        <v>2224</v>
      </c>
      <c r="L567" s="39">
        <v>0</v>
      </c>
      <c r="M567" s="39">
        <v>311.35999999999996</v>
      </c>
      <c r="N567" s="39">
        <v>311.35999999999996</v>
      </c>
      <c r="O567" s="39">
        <v>0</v>
      </c>
      <c r="P567" s="39">
        <v>2846.7200000000003</v>
      </c>
      <c r="Q567" s="34" t="s">
        <v>410</v>
      </c>
      <c r="R567" s="34" t="s">
        <v>26</v>
      </c>
      <c r="S567" s="11" t="s">
        <v>4120</v>
      </c>
    </row>
    <row r="568" spans="1:19" x14ac:dyDescent="0.2">
      <c r="A568" s="33">
        <v>43617</v>
      </c>
      <c r="B568" s="34">
        <v>135</v>
      </c>
      <c r="C568" s="35" t="s">
        <v>741</v>
      </c>
      <c r="D568" s="34" t="str">
        <f>VLOOKUP(C568,'PUR-PARTY MASTER'!$B$4:$E$2000,2,FALSE)</f>
        <v>27AAACV2420J1ZI</v>
      </c>
      <c r="E568" s="34" t="s">
        <v>22</v>
      </c>
      <c r="F568" s="134">
        <v>2240087224</v>
      </c>
      <c r="G568" s="37">
        <v>43634</v>
      </c>
      <c r="H568" s="34">
        <v>87142090</v>
      </c>
      <c r="I568" s="39">
        <f>VLOOKUP(H568,'PUR-HSN MASTER'!$A$4:$E$5000,5,FALSE)</f>
        <v>28</v>
      </c>
      <c r="J568" s="38">
        <v>1200</v>
      </c>
      <c r="K568" s="40">
        <v>35268</v>
      </c>
      <c r="L568" s="39">
        <v>0</v>
      </c>
      <c r="M568" s="39">
        <v>4937.5200000000004</v>
      </c>
      <c r="N568" s="39">
        <v>4937.5200000000004</v>
      </c>
      <c r="O568" s="39">
        <v>0</v>
      </c>
      <c r="P568" s="39">
        <v>45143.040000000008</v>
      </c>
      <c r="Q568" s="34" t="s">
        <v>410</v>
      </c>
      <c r="R568" s="34" t="s">
        <v>26</v>
      </c>
      <c r="S568" s="11" t="s">
        <v>4120</v>
      </c>
    </row>
    <row r="569" spans="1:19" x14ac:dyDescent="0.2">
      <c r="A569" s="33">
        <v>43617</v>
      </c>
      <c r="B569" s="34">
        <v>136</v>
      </c>
      <c r="C569" s="35" t="s">
        <v>741</v>
      </c>
      <c r="D569" s="34" t="str">
        <f>VLOOKUP(C569,'PUR-PARTY MASTER'!$B$4:$E$2000,2,FALSE)</f>
        <v>27AAACV2420J1ZI</v>
      </c>
      <c r="E569" s="34" t="s">
        <v>22</v>
      </c>
      <c r="F569" s="134">
        <v>2240087225</v>
      </c>
      <c r="G569" s="37">
        <v>43634</v>
      </c>
      <c r="H569" s="34">
        <v>87142090</v>
      </c>
      <c r="I569" s="39">
        <f>VLOOKUP(H569,'PUR-HSN MASTER'!$A$4:$E$5000,5,FALSE)</f>
        <v>28</v>
      </c>
      <c r="J569" s="38">
        <v>1188</v>
      </c>
      <c r="K569" s="40">
        <v>10157.4</v>
      </c>
      <c r="L569" s="39">
        <v>0</v>
      </c>
      <c r="M569" s="39">
        <v>1422.0360000000001</v>
      </c>
      <c r="N569" s="39">
        <v>1422.0360000000001</v>
      </c>
      <c r="O569" s="39">
        <v>0</v>
      </c>
      <c r="P569" s="39">
        <v>13001.482</v>
      </c>
      <c r="Q569" s="34" t="s">
        <v>410</v>
      </c>
      <c r="R569" s="34" t="s">
        <v>26</v>
      </c>
      <c r="S569" s="11" t="s">
        <v>4120</v>
      </c>
    </row>
    <row r="570" spans="1:19" x14ac:dyDescent="0.2">
      <c r="A570" s="33">
        <v>43617</v>
      </c>
      <c r="B570" s="34">
        <v>137</v>
      </c>
      <c r="C570" s="35" t="s">
        <v>554</v>
      </c>
      <c r="D570" s="34" t="str">
        <f>VLOOKUP(C570,'PUR-PARTY MASTER'!$B$4:$E$2000,2,FALSE)</f>
        <v>27AACFA1881H1ZL</v>
      </c>
      <c r="E570" s="34" t="s">
        <v>22</v>
      </c>
      <c r="F570" s="134">
        <v>3008</v>
      </c>
      <c r="G570" s="37">
        <v>43635</v>
      </c>
      <c r="H570" s="34">
        <v>87141900</v>
      </c>
      <c r="I570" s="39">
        <f>VLOOKUP(H570,'PUR-HSN MASTER'!$A$4:$E$5000,5,FALSE)</f>
        <v>28</v>
      </c>
      <c r="J570" s="38">
        <v>640</v>
      </c>
      <c r="K570" s="40">
        <v>1779.2</v>
      </c>
      <c r="L570" s="39">
        <v>0</v>
      </c>
      <c r="M570" s="39">
        <v>249.08800000000002</v>
      </c>
      <c r="N570" s="39">
        <v>249.08800000000002</v>
      </c>
      <c r="O570" s="39">
        <v>0</v>
      </c>
      <c r="P570" s="39">
        <v>2277.3760000000002</v>
      </c>
      <c r="Q570" s="34" t="s">
        <v>410</v>
      </c>
      <c r="R570" s="34" t="s">
        <v>26</v>
      </c>
      <c r="S570" s="11" t="s">
        <v>4120</v>
      </c>
    </row>
    <row r="571" spans="1:19" x14ac:dyDescent="0.2">
      <c r="A571" s="33">
        <v>43617</v>
      </c>
      <c r="B571" s="34">
        <v>138</v>
      </c>
      <c r="C571" s="35" t="s">
        <v>554</v>
      </c>
      <c r="D571" s="34" t="str">
        <f>VLOOKUP(C571,'PUR-PARTY MASTER'!$B$4:$E$2000,2,FALSE)</f>
        <v>27AACFA1881H1ZL</v>
      </c>
      <c r="E571" s="34" t="s">
        <v>22</v>
      </c>
      <c r="F571" s="134">
        <v>3024</v>
      </c>
      <c r="G571" s="37">
        <v>43635</v>
      </c>
      <c r="H571" s="34">
        <v>87141900</v>
      </c>
      <c r="I571" s="39">
        <f>VLOOKUP(H571,'PUR-HSN MASTER'!$A$4:$E$5000,5,FALSE)</f>
        <v>28</v>
      </c>
      <c r="J571" s="38">
        <v>680</v>
      </c>
      <c r="K571" s="40">
        <v>1890.4</v>
      </c>
      <c r="L571" s="39">
        <v>0</v>
      </c>
      <c r="M571" s="39">
        <v>264.65600000000001</v>
      </c>
      <c r="N571" s="39">
        <v>264.65600000000001</v>
      </c>
      <c r="O571" s="39">
        <v>0</v>
      </c>
      <c r="P571" s="39">
        <v>2419.7220000000002</v>
      </c>
      <c r="Q571" s="34" t="s">
        <v>410</v>
      </c>
      <c r="R571" s="34" t="s">
        <v>26</v>
      </c>
      <c r="S571" s="11" t="s">
        <v>4120</v>
      </c>
    </row>
    <row r="572" spans="1:19" x14ac:dyDescent="0.2">
      <c r="A572" s="33">
        <v>43617</v>
      </c>
      <c r="B572" s="34">
        <v>139</v>
      </c>
      <c r="C572" s="35" t="s">
        <v>591</v>
      </c>
      <c r="D572" s="34" t="str">
        <f>VLOOKUP(C572,'PUR-PARTY MASTER'!$B$4:$E$2000,2,FALSE)</f>
        <v>27AAACI6297A1ZN</v>
      </c>
      <c r="E572" s="34" t="s">
        <v>22</v>
      </c>
      <c r="F572" s="136" t="s">
        <v>742</v>
      </c>
      <c r="G572" s="37">
        <v>43634</v>
      </c>
      <c r="H572" s="34">
        <v>3907</v>
      </c>
      <c r="I572" s="39">
        <f>VLOOKUP(H572,'PUR-HSN MASTER'!$A$4:$E$5000,5,FALSE)</f>
        <v>18</v>
      </c>
      <c r="J572" s="38">
        <v>42</v>
      </c>
      <c r="K572" s="40">
        <v>30900</v>
      </c>
      <c r="L572" s="39">
        <v>0</v>
      </c>
      <c r="M572" s="39">
        <v>2781</v>
      </c>
      <c r="N572" s="39">
        <v>2781</v>
      </c>
      <c r="O572" s="39">
        <v>0</v>
      </c>
      <c r="P572" s="39">
        <v>36462</v>
      </c>
      <c r="Q572" s="34" t="s">
        <v>410</v>
      </c>
      <c r="R572" s="34" t="s">
        <v>26</v>
      </c>
      <c r="S572" s="11" t="s">
        <v>4120</v>
      </c>
    </row>
    <row r="573" spans="1:19" x14ac:dyDescent="0.2">
      <c r="A573" s="33">
        <v>43617</v>
      </c>
      <c r="B573" s="34">
        <v>140</v>
      </c>
      <c r="C573" s="35" t="s">
        <v>511</v>
      </c>
      <c r="D573" s="34" t="str">
        <f>VLOOKUP(C573,'PUR-PARTY MASTER'!$B$4:$E$2000,2,FALSE)</f>
        <v>27AABFA1883E1ZQ</v>
      </c>
      <c r="E573" s="34" t="s">
        <v>22</v>
      </c>
      <c r="F573" s="136" t="s">
        <v>743</v>
      </c>
      <c r="G573" s="37">
        <v>43635</v>
      </c>
      <c r="H573" s="34">
        <v>32082090</v>
      </c>
      <c r="I573" s="39">
        <f>VLOOKUP(H573,'PUR-HSN MASTER'!$A$4:$E$5000,5,FALSE)</f>
        <v>18</v>
      </c>
      <c r="J573" s="38">
        <v>25</v>
      </c>
      <c r="K573" s="40">
        <v>4500</v>
      </c>
      <c r="L573" s="39">
        <v>0</v>
      </c>
      <c r="M573" s="39">
        <v>405</v>
      </c>
      <c r="N573" s="39">
        <v>405</v>
      </c>
      <c r="O573" s="39">
        <v>0</v>
      </c>
      <c r="P573" s="39">
        <v>5310</v>
      </c>
      <c r="Q573" s="34" t="s">
        <v>410</v>
      </c>
      <c r="R573" s="34" t="s">
        <v>26</v>
      </c>
      <c r="S573" s="11" t="s">
        <v>4120</v>
      </c>
    </row>
    <row r="574" spans="1:19" x14ac:dyDescent="0.2">
      <c r="A574" s="33">
        <v>43617</v>
      </c>
      <c r="B574" s="34">
        <v>141</v>
      </c>
      <c r="C574" s="35" t="s">
        <v>554</v>
      </c>
      <c r="D574" s="34" t="str">
        <f>VLOOKUP(C574,'PUR-PARTY MASTER'!$B$4:$E$2000,2,FALSE)</f>
        <v>27AACFA1881H1ZL</v>
      </c>
      <c r="E574" s="34" t="s">
        <v>22</v>
      </c>
      <c r="F574" s="134">
        <v>3033</v>
      </c>
      <c r="G574" s="37">
        <v>43635</v>
      </c>
      <c r="H574" s="34">
        <v>87141900</v>
      </c>
      <c r="I574" s="39">
        <f>VLOOKUP(H574,'PUR-HSN MASTER'!$A$4:$E$5000,5,FALSE)</f>
        <v>28</v>
      </c>
      <c r="J574" s="38">
        <v>470</v>
      </c>
      <c r="K574" s="40">
        <v>1306.5999999999999</v>
      </c>
      <c r="L574" s="39">
        <v>0</v>
      </c>
      <c r="M574" s="39">
        <v>182.92399999999998</v>
      </c>
      <c r="N574" s="39">
        <v>182.92399999999998</v>
      </c>
      <c r="O574" s="39">
        <v>0</v>
      </c>
      <c r="P574" s="39">
        <v>1672.4379999999999</v>
      </c>
      <c r="Q574" s="34" t="s">
        <v>410</v>
      </c>
      <c r="R574" s="34" t="s">
        <v>26</v>
      </c>
      <c r="S574" s="11" t="s">
        <v>4120</v>
      </c>
    </row>
    <row r="575" spans="1:19" x14ac:dyDescent="0.2">
      <c r="A575" s="33">
        <v>43617</v>
      </c>
      <c r="B575" s="34">
        <v>142</v>
      </c>
      <c r="C575" s="35" t="s">
        <v>471</v>
      </c>
      <c r="D575" s="34" t="str">
        <f>VLOOKUP(C575,'PUR-PARTY MASTER'!$B$4:$E$2000,2,FALSE)</f>
        <v>27AAECM8871A1ZF</v>
      </c>
      <c r="E575" s="34" t="s">
        <v>22</v>
      </c>
      <c r="F575" s="134">
        <v>192002627</v>
      </c>
      <c r="G575" s="37">
        <v>43635</v>
      </c>
      <c r="H575" s="34">
        <v>87089900</v>
      </c>
      <c r="I575" s="39">
        <f>VLOOKUP(H575,'PUR-HSN MASTER'!$A$4:$E$5000,5,FALSE)</f>
        <v>28</v>
      </c>
      <c r="J575" s="38">
        <v>12</v>
      </c>
      <c r="K575" s="40">
        <v>17483.52</v>
      </c>
      <c r="L575" s="39">
        <v>0</v>
      </c>
      <c r="M575" s="39">
        <v>2447.6928000000003</v>
      </c>
      <c r="N575" s="39">
        <v>2447.6928000000003</v>
      </c>
      <c r="O575" s="39">
        <v>0</v>
      </c>
      <c r="P575" s="39">
        <v>22378.895600000003</v>
      </c>
      <c r="Q575" s="34" t="s">
        <v>410</v>
      </c>
      <c r="R575" s="34" t="s">
        <v>26</v>
      </c>
      <c r="S575" s="11" t="s">
        <v>4120</v>
      </c>
    </row>
    <row r="576" spans="1:19" x14ac:dyDescent="0.2">
      <c r="A576" s="33">
        <v>43617</v>
      </c>
      <c r="B576" s="34">
        <v>143</v>
      </c>
      <c r="C576" s="35" t="s">
        <v>471</v>
      </c>
      <c r="D576" s="34" t="str">
        <f>VLOOKUP(C576,'PUR-PARTY MASTER'!$B$4:$E$2000,2,FALSE)</f>
        <v>27AAECM8871A1ZF</v>
      </c>
      <c r="E576" s="34" t="s">
        <v>22</v>
      </c>
      <c r="F576" s="134">
        <v>192002628</v>
      </c>
      <c r="G576" s="37">
        <v>43635</v>
      </c>
      <c r="H576" s="34">
        <v>87089900</v>
      </c>
      <c r="I576" s="39">
        <f>VLOOKUP(H576,'PUR-HSN MASTER'!$A$4:$E$5000,5,FALSE)</f>
        <v>28</v>
      </c>
      <c r="J576" s="38">
        <v>12</v>
      </c>
      <c r="K576" s="40">
        <v>17483.52</v>
      </c>
      <c r="L576" s="39">
        <v>0</v>
      </c>
      <c r="M576" s="39">
        <v>2447.6928000000003</v>
      </c>
      <c r="N576" s="39">
        <v>2447.6928000000003</v>
      </c>
      <c r="O576" s="39">
        <v>0</v>
      </c>
      <c r="P576" s="39">
        <v>22378.895600000003</v>
      </c>
      <c r="Q576" s="34" t="s">
        <v>410</v>
      </c>
      <c r="R576" s="34" t="s">
        <v>26</v>
      </c>
      <c r="S576" s="11" t="s">
        <v>4120</v>
      </c>
    </row>
    <row r="577" spans="1:19" x14ac:dyDescent="0.2">
      <c r="A577" s="33">
        <v>43617</v>
      </c>
      <c r="B577" s="34">
        <v>144</v>
      </c>
      <c r="C577" s="35" t="s">
        <v>495</v>
      </c>
      <c r="D577" s="34" t="str">
        <f>VLOOKUP(C577,'PUR-PARTY MASTER'!$B$4:$E$2000,2,FALSE)</f>
        <v>27AAACH4211R1ZF</v>
      </c>
      <c r="E577" s="34" t="s">
        <v>22</v>
      </c>
      <c r="F577" s="134">
        <v>5510048900</v>
      </c>
      <c r="G577" s="37">
        <v>43635</v>
      </c>
      <c r="H577" s="34">
        <v>85129000</v>
      </c>
      <c r="I577" s="39">
        <f>VLOOKUP(H577,'PUR-HSN MASTER'!$A$4:$E$5000,5,FALSE)</f>
        <v>18</v>
      </c>
      <c r="J577" s="38">
        <v>2880</v>
      </c>
      <c r="K577" s="40">
        <v>31852.799999999999</v>
      </c>
      <c r="L577" s="39">
        <v>0</v>
      </c>
      <c r="M577" s="39">
        <v>2866.7520000000004</v>
      </c>
      <c r="N577" s="39">
        <v>2866.7520000000004</v>
      </c>
      <c r="O577" s="39">
        <v>0</v>
      </c>
      <c r="P577" s="39">
        <v>37586.303999999996</v>
      </c>
      <c r="Q577" s="34" t="s">
        <v>410</v>
      </c>
      <c r="R577" s="34" t="s">
        <v>26</v>
      </c>
      <c r="S577" s="11" t="s">
        <v>4120</v>
      </c>
    </row>
    <row r="578" spans="1:19" x14ac:dyDescent="0.2">
      <c r="A578" s="33">
        <v>43617</v>
      </c>
      <c r="B578" s="34">
        <v>145</v>
      </c>
      <c r="C578" s="35" t="s">
        <v>489</v>
      </c>
      <c r="D578" s="34" t="str">
        <f>VLOOKUP(C578,'PUR-PARTY MASTER'!$B$4:$E$2000,2,FALSE)</f>
        <v>27AAECD2713N1ZK</v>
      </c>
      <c r="E578" s="34" t="s">
        <v>22</v>
      </c>
      <c r="F578" s="134">
        <v>7887984827</v>
      </c>
      <c r="G578" s="37">
        <v>43635</v>
      </c>
      <c r="H578" s="34">
        <v>39119090</v>
      </c>
      <c r="I578" s="39">
        <f>VLOOKUP(H578,'PUR-HSN MASTER'!$A$4:$E$5000,5,FALSE)</f>
        <v>18</v>
      </c>
      <c r="J578" s="38">
        <v>30</v>
      </c>
      <c r="K578" s="40">
        <v>12720</v>
      </c>
      <c r="L578" s="39">
        <v>0</v>
      </c>
      <c r="M578" s="39">
        <v>1144.8</v>
      </c>
      <c r="N578" s="39">
        <v>1144.8</v>
      </c>
      <c r="O578" s="39">
        <v>0</v>
      </c>
      <c r="P578" s="39">
        <v>15009.999999999998</v>
      </c>
      <c r="Q578" s="34" t="s">
        <v>410</v>
      </c>
      <c r="R578" s="34" t="s">
        <v>26</v>
      </c>
      <c r="S578" s="11" t="s">
        <v>4120</v>
      </c>
    </row>
    <row r="579" spans="1:19" x14ac:dyDescent="0.2">
      <c r="A579" s="33">
        <v>43617</v>
      </c>
      <c r="B579" s="34">
        <v>146</v>
      </c>
      <c r="C579" s="35" t="s">
        <v>554</v>
      </c>
      <c r="D579" s="34" t="str">
        <f>VLOOKUP(C579,'PUR-PARTY MASTER'!$B$4:$E$2000,2,FALSE)</f>
        <v>27AACFA1881H1ZL</v>
      </c>
      <c r="E579" s="34" t="s">
        <v>22</v>
      </c>
      <c r="F579" s="134">
        <v>3067</v>
      </c>
      <c r="G579" s="37">
        <v>43636</v>
      </c>
      <c r="H579" s="34">
        <v>87141900</v>
      </c>
      <c r="I579" s="39">
        <f>VLOOKUP(H579,'PUR-HSN MASTER'!$A$4:$E$5000,5,FALSE)</f>
        <v>28</v>
      </c>
      <c r="J579" s="38">
        <v>2000</v>
      </c>
      <c r="K579" s="40">
        <v>5560</v>
      </c>
      <c r="L579" s="39">
        <v>0</v>
      </c>
      <c r="M579" s="39">
        <v>778.4</v>
      </c>
      <c r="N579" s="39">
        <v>778.4</v>
      </c>
      <c r="O579" s="39">
        <v>0</v>
      </c>
      <c r="P579" s="39">
        <v>7116.7999999999993</v>
      </c>
      <c r="Q579" s="34" t="s">
        <v>410</v>
      </c>
      <c r="R579" s="34" t="s">
        <v>26</v>
      </c>
      <c r="S579" s="11" t="s">
        <v>4120</v>
      </c>
    </row>
    <row r="580" spans="1:19" x14ac:dyDescent="0.2">
      <c r="A580" s="33">
        <v>43617</v>
      </c>
      <c r="B580" s="34"/>
      <c r="C580" s="35" t="s">
        <v>499</v>
      </c>
      <c r="D580" s="34" t="str">
        <f>VLOOKUP(C580,'PUR-PARTY MASTER'!$B$4:$E$2000,2,FALSE)</f>
        <v>27AAHFP1154B1ZN</v>
      </c>
      <c r="E580" s="34" t="s">
        <v>22</v>
      </c>
      <c r="F580" s="136" t="s">
        <v>744</v>
      </c>
      <c r="G580" s="37">
        <v>43636</v>
      </c>
      <c r="H580" s="34">
        <v>4820</v>
      </c>
      <c r="I580" s="39">
        <f>VLOOKUP(H580,'PUR-HSN MASTER'!$A$4:$E$5000,5,FALSE)</f>
        <v>18</v>
      </c>
      <c r="J580" s="38">
        <v>9</v>
      </c>
      <c r="K580" s="40">
        <v>90</v>
      </c>
      <c r="L580" s="39">
        <v>0</v>
      </c>
      <c r="M580" s="39">
        <v>8.1</v>
      </c>
      <c r="N580" s="39">
        <v>8.1</v>
      </c>
      <c r="O580" s="39">
        <v>0</v>
      </c>
      <c r="P580" s="39">
        <v>106.29999999999998</v>
      </c>
      <c r="Q580" s="34" t="s">
        <v>410</v>
      </c>
      <c r="R580" s="34" t="s">
        <v>26</v>
      </c>
      <c r="S580" s="11" t="s">
        <v>4120</v>
      </c>
    </row>
    <row r="581" spans="1:19" x14ac:dyDescent="0.2">
      <c r="A581" s="33">
        <v>43617</v>
      </c>
      <c r="B581" s="34"/>
      <c r="C581" s="35" t="s">
        <v>499</v>
      </c>
      <c r="D581" s="34" t="str">
        <f>VLOOKUP(C581,'PUR-PARTY MASTER'!$B$4:$E$2000,2,FALSE)</f>
        <v>27AAHFP1154B1ZN</v>
      </c>
      <c r="E581" s="34" t="s">
        <v>22</v>
      </c>
      <c r="F581" s="136" t="s">
        <v>744</v>
      </c>
      <c r="G581" s="37">
        <v>43636</v>
      </c>
      <c r="H581" s="34">
        <v>63071090</v>
      </c>
      <c r="I581" s="39">
        <f>VLOOKUP(H581,'PUR-HSN MASTER'!$A$4:$E$5000,5,FALSE)</f>
        <v>18</v>
      </c>
      <c r="J581" s="38">
        <v>12</v>
      </c>
      <c r="K581" s="40">
        <v>144</v>
      </c>
      <c r="L581" s="39">
        <v>0</v>
      </c>
      <c r="M581" s="39">
        <v>12.959999999999999</v>
      </c>
      <c r="N581" s="39">
        <v>12.959999999999999</v>
      </c>
      <c r="O581" s="39">
        <v>0</v>
      </c>
      <c r="P581" s="39">
        <v>169.92000000000002</v>
      </c>
      <c r="Q581" s="34" t="s">
        <v>410</v>
      </c>
      <c r="R581" s="34" t="s">
        <v>26</v>
      </c>
      <c r="S581" s="11" t="s">
        <v>4120</v>
      </c>
    </row>
    <row r="582" spans="1:19" x14ac:dyDescent="0.2">
      <c r="A582" s="33">
        <v>43617</v>
      </c>
      <c r="B582" s="34"/>
      <c r="C582" s="35" t="s">
        <v>499</v>
      </c>
      <c r="D582" s="34" t="str">
        <f>VLOOKUP(C582,'PUR-PARTY MASTER'!$B$4:$E$2000,2,FALSE)</f>
        <v>27AAHFP1154B1ZN</v>
      </c>
      <c r="E582" s="34" t="s">
        <v>22</v>
      </c>
      <c r="F582" s="136" t="s">
        <v>744</v>
      </c>
      <c r="G582" s="37">
        <v>43636</v>
      </c>
      <c r="H582" s="34">
        <v>96089990</v>
      </c>
      <c r="I582" s="39">
        <f>VLOOKUP(H582,'PUR-HSN MASTER'!$A$4:$E$5000,5,FALSE)</f>
        <v>12</v>
      </c>
      <c r="J582" s="38">
        <v>100</v>
      </c>
      <c r="K582" s="40">
        <v>290</v>
      </c>
      <c r="L582" s="39">
        <v>0</v>
      </c>
      <c r="M582" s="39">
        <v>17.399999999999999</v>
      </c>
      <c r="N582" s="39">
        <v>17.399999999999999</v>
      </c>
      <c r="O582" s="39">
        <v>0</v>
      </c>
      <c r="P582" s="39">
        <v>324.89999999999998</v>
      </c>
      <c r="Q582" s="34" t="s">
        <v>410</v>
      </c>
      <c r="R582" s="34" t="s">
        <v>26</v>
      </c>
      <c r="S582" s="11" t="s">
        <v>4120</v>
      </c>
    </row>
    <row r="583" spans="1:19" x14ac:dyDescent="0.2">
      <c r="A583" s="33">
        <v>43617</v>
      </c>
      <c r="B583" s="34">
        <v>147</v>
      </c>
      <c r="C583" s="35" t="s">
        <v>499</v>
      </c>
      <c r="D583" s="34" t="str">
        <f>VLOOKUP(C583,'PUR-PARTY MASTER'!$B$4:$E$2000,2,FALSE)</f>
        <v>27AAHFP1154B1ZN</v>
      </c>
      <c r="E583" s="34" t="s">
        <v>22</v>
      </c>
      <c r="F583" s="136" t="s">
        <v>744</v>
      </c>
      <c r="G583" s="37">
        <v>43636</v>
      </c>
      <c r="H583" s="34">
        <v>96081019</v>
      </c>
      <c r="I583" s="39">
        <f>VLOOKUP(H583,'PUR-HSN MASTER'!$A$4:$E$5000,5,FALSE)</f>
        <v>12</v>
      </c>
      <c r="J583" s="38">
        <v>10</v>
      </c>
      <c r="K583" s="40">
        <v>53.2</v>
      </c>
      <c r="L583" s="39">
        <v>0</v>
      </c>
      <c r="M583" s="39">
        <v>3.1920000000000002</v>
      </c>
      <c r="N583" s="39">
        <v>3.1920000000000002</v>
      </c>
      <c r="O583" s="39">
        <v>0</v>
      </c>
      <c r="P583" s="39">
        <v>59.884</v>
      </c>
      <c r="Q583" s="34" t="s">
        <v>410</v>
      </c>
      <c r="R583" s="34" t="s">
        <v>26</v>
      </c>
      <c r="S583" s="11" t="s">
        <v>4120</v>
      </c>
    </row>
    <row r="584" spans="1:19" x14ac:dyDescent="0.2">
      <c r="A584" s="33">
        <v>43617</v>
      </c>
      <c r="B584" s="34">
        <v>148</v>
      </c>
      <c r="C584" s="35" t="s">
        <v>499</v>
      </c>
      <c r="D584" s="34" t="str">
        <f>VLOOKUP(C584,'PUR-PARTY MASTER'!$B$4:$E$2000,2,FALSE)</f>
        <v>27AAHFP1154B1ZN</v>
      </c>
      <c r="E584" s="34" t="s">
        <v>22</v>
      </c>
      <c r="F584" s="136" t="s">
        <v>745</v>
      </c>
      <c r="G584" s="37">
        <v>43636</v>
      </c>
      <c r="H584" s="34" t="s">
        <v>567</v>
      </c>
      <c r="I584" s="39">
        <f>VLOOKUP(H584,'PUR-HSN MASTER'!$A$4:$E$5000,5,FALSE)</f>
        <v>18</v>
      </c>
      <c r="J584" s="38">
        <v>2</v>
      </c>
      <c r="K584" s="40">
        <v>420</v>
      </c>
      <c r="L584" s="39">
        <v>0</v>
      </c>
      <c r="M584" s="39">
        <v>37.800000000000004</v>
      </c>
      <c r="N584" s="39">
        <v>37.800000000000004</v>
      </c>
      <c r="O584" s="39">
        <v>0</v>
      </c>
      <c r="P584" s="39">
        <v>496</v>
      </c>
      <c r="Q584" s="34" t="s">
        <v>410</v>
      </c>
      <c r="R584" s="34" t="s">
        <v>26</v>
      </c>
      <c r="S584" s="11" t="s">
        <v>4120</v>
      </c>
    </row>
    <row r="585" spans="1:19" x14ac:dyDescent="0.2">
      <c r="A585" s="33">
        <v>43617</v>
      </c>
      <c r="B585" s="34">
        <v>149</v>
      </c>
      <c r="C585" s="35" t="s">
        <v>554</v>
      </c>
      <c r="D585" s="34" t="str">
        <f>VLOOKUP(C585,'PUR-PARTY MASTER'!$B$4:$E$2000,2,FALSE)</f>
        <v>27AACFA1881H1ZL</v>
      </c>
      <c r="E585" s="34" t="s">
        <v>22</v>
      </c>
      <c r="F585" s="134">
        <v>3109</v>
      </c>
      <c r="G585" s="37">
        <v>43636</v>
      </c>
      <c r="H585" s="34">
        <v>87141900</v>
      </c>
      <c r="I585" s="39">
        <f>VLOOKUP(H585,'PUR-HSN MASTER'!$A$4:$E$5000,5,FALSE)</f>
        <v>28</v>
      </c>
      <c r="J585" s="38">
        <v>1700</v>
      </c>
      <c r="K585" s="40">
        <v>4726</v>
      </c>
      <c r="L585" s="39">
        <v>0</v>
      </c>
      <c r="M585" s="39">
        <v>661.64</v>
      </c>
      <c r="N585" s="39">
        <v>661.64</v>
      </c>
      <c r="O585" s="39">
        <v>0</v>
      </c>
      <c r="P585" s="39">
        <v>6049.2800000000007</v>
      </c>
      <c r="Q585" s="34" t="s">
        <v>410</v>
      </c>
      <c r="R585" s="34" t="s">
        <v>26</v>
      </c>
      <c r="S585" s="11" t="s">
        <v>4120</v>
      </c>
    </row>
    <row r="586" spans="1:19" x14ac:dyDescent="0.2">
      <c r="A586" s="33">
        <v>43617</v>
      </c>
      <c r="B586" s="34">
        <v>150</v>
      </c>
      <c r="C586" s="35" t="s">
        <v>471</v>
      </c>
      <c r="D586" s="34" t="str">
        <f>VLOOKUP(C586,'PUR-PARTY MASTER'!$B$4:$E$2000,2,FALSE)</f>
        <v>27AAECM8871A1ZF</v>
      </c>
      <c r="E586" s="34" t="s">
        <v>22</v>
      </c>
      <c r="F586" s="134">
        <v>192002650</v>
      </c>
      <c r="G586" s="37">
        <v>43635</v>
      </c>
      <c r="H586" s="34">
        <v>87089900</v>
      </c>
      <c r="I586" s="39">
        <f>VLOOKUP(H586,'PUR-HSN MASTER'!$A$4:$E$5000,5,FALSE)</f>
        <v>28</v>
      </c>
      <c r="J586" s="38">
        <v>12</v>
      </c>
      <c r="K586" s="40">
        <v>17483.52</v>
      </c>
      <c r="L586" s="39">
        <v>0</v>
      </c>
      <c r="M586" s="39">
        <v>2447.6928000000003</v>
      </c>
      <c r="N586" s="39">
        <v>2447.6928000000003</v>
      </c>
      <c r="O586" s="39">
        <v>0</v>
      </c>
      <c r="P586" s="39">
        <v>22378.895600000003</v>
      </c>
      <c r="Q586" s="34" t="s">
        <v>410</v>
      </c>
      <c r="R586" s="34" t="s">
        <v>26</v>
      </c>
      <c r="S586" s="11" t="s">
        <v>4120</v>
      </c>
    </row>
    <row r="587" spans="1:19" x14ac:dyDescent="0.2">
      <c r="A587" s="33">
        <v>43617</v>
      </c>
      <c r="B587" s="34">
        <v>151</v>
      </c>
      <c r="C587" s="35" t="s">
        <v>471</v>
      </c>
      <c r="D587" s="34" t="str">
        <f>VLOOKUP(C587,'PUR-PARTY MASTER'!$B$4:$E$2000,2,FALSE)</f>
        <v>27AAECM8871A1ZF</v>
      </c>
      <c r="E587" s="34" t="s">
        <v>22</v>
      </c>
      <c r="F587" s="134">
        <v>192002657</v>
      </c>
      <c r="G587" s="37">
        <v>43636</v>
      </c>
      <c r="H587" s="34">
        <v>87089900</v>
      </c>
      <c r="I587" s="39">
        <f>VLOOKUP(H587,'PUR-HSN MASTER'!$A$4:$E$5000,5,FALSE)</f>
        <v>28</v>
      </c>
      <c r="J587" s="38">
        <v>12</v>
      </c>
      <c r="K587" s="40">
        <v>17483.52</v>
      </c>
      <c r="L587" s="39">
        <v>0</v>
      </c>
      <c r="M587" s="39">
        <v>2447.6928000000003</v>
      </c>
      <c r="N587" s="39">
        <v>2447.6928000000003</v>
      </c>
      <c r="O587" s="39">
        <v>0</v>
      </c>
      <c r="P587" s="39">
        <v>22378.895600000003</v>
      </c>
      <c r="Q587" s="34" t="s">
        <v>410</v>
      </c>
      <c r="R587" s="34" t="s">
        <v>26</v>
      </c>
      <c r="S587" s="11" t="s">
        <v>4120</v>
      </c>
    </row>
    <row r="588" spans="1:19" x14ac:dyDescent="0.2">
      <c r="A588" s="33">
        <v>43617</v>
      </c>
      <c r="B588" s="34">
        <v>152</v>
      </c>
      <c r="C588" s="35" t="s">
        <v>495</v>
      </c>
      <c r="D588" s="34" t="str">
        <f>VLOOKUP(C588,'PUR-PARTY MASTER'!$B$4:$E$2000,2,FALSE)</f>
        <v>27AAACH4211R1ZF</v>
      </c>
      <c r="E588" s="34" t="s">
        <v>22</v>
      </c>
      <c r="F588" s="134">
        <v>5510049069</v>
      </c>
      <c r="G588" s="37">
        <v>43636</v>
      </c>
      <c r="H588" s="34">
        <v>85129000</v>
      </c>
      <c r="I588" s="39">
        <f>VLOOKUP(H588,'PUR-HSN MASTER'!$A$4:$E$5000,5,FALSE)</f>
        <v>18</v>
      </c>
      <c r="J588" s="38">
        <v>3600</v>
      </c>
      <c r="K588" s="40">
        <v>39816</v>
      </c>
      <c r="L588" s="39">
        <v>0</v>
      </c>
      <c r="M588" s="39">
        <v>3583.44</v>
      </c>
      <c r="N588" s="39">
        <v>3583.44</v>
      </c>
      <c r="O588" s="39">
        <v>0</v>
      </c>
      <c r="P588" s="39">
        <v>46982.880000000005</v>
      </c>
      <c r="Q588" s="34" t="s">
        <v>410</v>
      </c>
      <c r="R588" s="34" t="s">
        <v>26</v>
      </c>
      <c r="S588" s="11" t="s">
        <v>4120</v>
      </c>
    </row>
    <row r="589" spans="1:19" x14ac:dyDescent="0.2">
      <c r="A589" s="33">
        <v>43617</v>
      </c>
      <c r="B589" s="34">
        <v>153</v>
      </c>
      <c r="C589" s="35" t="s">
        <v>708</v>
      </c>
      <c r="D589" s="34" t="str">
        <f>VLOOKUP(C589,'PUR-PARTY MASTER'!$B$4:$E$2000,2,FALSE)</f>
        <v>24AAECD2713N1ZQ</v>
      </c>
      <c r="E589" s="34" t="s">
        <v>22</v>
      </c>
      <c r="F589" s="134">
        <v>7888008462</v>
      </c>
      <c r="G589" s="37">
        <v>43636</v>
      </c>
      <c r="H589" s="34">
        <v>32082090</v>
      </c>
      <c r="I589" s="39">
        <f>VLOOKUP(H589,'PUR-HSN MASTER'!$A$4:$E$5000,5,FALSE)</f>
        <v>18</v>
      </c>
      <c r="J589" s="38">
        <v>20</v>
      </c>
      <c r="K589" s="40">
        <v>8860</v>
      </c>
      <c r="L589" s="39">
        <v>1594.8</v>
      </c>
      <c r="M589" s="39">
        <v>0</v>
      </c>
      <c r="N589" s="39">
        <v>0</v>
      </c>
      <c r="O589" s="39">
        <v>0</v>
      </c>
      <c r="P589" s="39">
        <v>10455</v>
      </c>
      <c r="Q589" s="34" t="s">
        <v>410</v>
      </c>
      <c r="R589" s="34" t="s">
        <v>106</v>
      </c>
      <c r="S589" s="11" t="s">
        <v>4120</v>
      </c>
    </row>
    <row r="590" spans="1:19" x14ac:dyDescent="0.2">
      <c r="A590" s="33">
        <v>43617</v>
      </c>
      <c r="B590" s="34">
        <v>154</v>
      </c>
      <c r="C590" s="35" t="s">
        <v>554</v>
      </c>
      <c r="D590" s="34" t="str">
        <f>VLOOKUP(C590,'PUR-PARTY MASTER'!$B$4:$E$2000,2,FALSE)</f>
        <v>27AACFA1881H1ZL</v>
      </c>
      <c r="E590" s="34" t="s">
        <v>22</v>
      </c>
      <c r="F590" s="134">
        <v>3135</v>
      </c>
      <c r="G590" s="37">
        <v>43637</v>
      </c>
      <c r="H590" s="34">
        <v>87141900</v>
      </c>
      <c r="I590" s="39">
        <f>VLOOKUP(H590,'PUR-HSN MASTER'!$A$4:$E$5000,5,FALSE)</f>
        <v>28</v>
      </c>
      <c r="J590" s="38">
        <v>2800</v>
      </c>
      <c r="K590" s="40">
        <v>7784</v>
      </c>
      <c r="L590" s="39">
        <v>0</v>
      </c>
      <c r="M590" s="39">
        <v>1089.76</v>
      </c>
      <c r="N590" s="39">
        <v>1089.76</v>
      </c>
      <c r="O590" s="39">
        <v>0</v>
      </c>
      <c r="P590" s="39">
        <v>9963.52</v>
      </c>
      <c r="Q590" s="34" t="s">
        <v>410</v>
      </c>
      <c r="R590" s="34" t="s">
        <v>26</v>
      </c>
      <c r="S590" s="11" t="s">
        <v>4120</v>
      </c>
    </row>
    <row r="591" spans="1:19" x14ac:dyDescent="0.2">
      <c r="A591" s="33">
        <v>43617</v>
      </c>
      <c r="B591" s="34">
        <v>155</v>
      </c>
      <c r="C591" s="35" t="s">
        <v>554</v>
      </c>
      <c r="D591" s="34" t="str">
        <f>VLOOKUP(C591,'PUR-PARTY MASTER'!$B$4:$E$2000,2,FALSE)</f>
        <v>27AACFA1881H1ZL</v>
      </c>
      <c r="E591" s="34" t="s">
        <v>22</v>
      </c>
      <c r="F591" s="134">
        <v>3150</v>
      </c>
      <c r="G591" s="37">
        <v>43637</v>
      </c>
      <c r="H591" s="34">
        <v>87141900</v>
      </c>
      <c r="I591" s="39">
        <f>VLOOKUP(H591,'PUR-HSN MASTER'!$A$4:$E$5000,5,FALSE)</f>
        <v>28</v>
      </c>
      <c r="J591" s="38">
        <v>1600</v>
      </c>
      <c r="K591" s="40">
        <v>4448</v>
      </c>
      <c r="L591" s="39">
        <v>0</v>
      </c>
      <c r="M591" s="39">
        <v>622.71999999999991</v>
      </c>
      <c r="N591" s="39">
        <v>622.71999999999991</v>
      </c>
      <c r="O591" s="39">
        <v>0</v>
      </c>
      <c r="P591" s="39">
        <v>5693.4400000000005</v>
      </c>
      <c r="Q591" s="34" t="s">
        <v>410</v>
      </c>
      <c r="R591" s="34" t="s">
        <v>26</v>
      </c>
      <c r="S591" s="11" t="s">
        <v>4120</v>
      </c>
    </row>
    <row r="592" spans="1:19" x14ac:dyDescent="0.2">
      <c r="A592" s="33">
        <v>43617</v>
      </c>
      <c r="B592" s="34">
        <v>156</v>
      </c>
      <c r="C592" s="35" t="s">
        <v>471</v>
      </c>
      <c r="D592" s="34" t="str">
        <f>VLOOKUP(C592,'PUR-PARTY MASTER'!$B$4:$E$2000,2,FALSE)</f>
        <v>27AAECM8871A1ZF</v>
      </c>
      <c r="E592" s="34" t="s">
        <v>22</v>
      </c>
      <c r="F592" s="134">
        <v>192002692</v>
      </c>
      <c r="G592" s="37">
        <v>43637</v>
      </c>
      <c r="H592" s="34">
        <v>87089900</v>
      </c>
      <c r="I592" s="39">
        <f>VLOOKUP(H592,'PUR-HSN MASTER'!$A$4:$E$5000,5,FALSE)</f>
        <v>28</v>
      </c>
      <c r="J592" s="38">
        <v>12</v>
      </c>
      <c r="K592" s="40">
        <v>17483.52</v>
      </c>
      <c r="L592" s="39">
        <v>0</v>
      </c>
      <c r="M592" s="39">
        <v>2447.6928000000003</v>
      </c>
      <c r="N592" s="39">
        <v>2447.6928000000003</v>
      </c>
      <c r="O592" s="39">
        <v>0</v>
      </c>
      <c r="P592" s="39">
        <v>22378.895600000003</v>
      </c>
      <c r="Q592" s="34" t="s">
        <v>410</v>
      </c>
      <c r="R592" s="34" t="s">
        <v>26</v>
      </c>
      <c r="S592" s="11" t="s">
        <v>4120</v>
      </c>
    </row>
    <row r="593" spans="1:19" x14ac:dyDescent="0.2">
      <c r="A593" s="33">
        <v>43617</v>
      </c>
      <c r="B593" s="34">
        <v>157</v>
      </c>
      <c r="C593" s="35" t="s">
        <v>471</v>
      </c>
      <c r="D593" s="34" t="str">
        <f>VLOOKUP(C593,'PUR-PARTY MASTER'!$B$4:$E$2000,2,FALSE)</f>
        <v>27AAECM8871A1ZF</v>
      </c>
      <c r="E593" s="34" t="s">
        <v>22</v>
      </c>
      <c r="F593" s="134">
        <v>192002699</v>
      </c>
      <c r="G593" s="37">
        <v>43637</v>
      </c>
      <c r="H593" s="34">
        <v>87089900</v>
      </c>
      <c r="I593" s="39">
        <f>VLOOKUP(H593,'PUR-HSN MASTER'!$A$4:$E$5000,5,FALSE)</f>
        <v>28</v>
      </c>
      <c r="J593" s="38">
        <v>12</v>
      </c>
      <c r="K593" s="40">
        <v>17483.52</v>
      </c>
      <c r="L593" s="39">
        <v>0</v>
      </c>
      <c r="M593" s="39">
        <v>2447.6928000000003</v>
      </c>
      <c r="N593" s="39">
        <v>2447.6928000000003</v>
      </c>
      <c r="O593" s="39">
        <v>0</v>
      </c>
      <c r="P593" s="39">
        <v>22378.895600000003</v>
      </c>
      <c r="Q593" s="34" t="s">
        <v>410</v>
      </c>
      <c r="R593" s="34" t="s">
        <v>26</v>
      </c>
      <c r="S593" s="11" t="s">
        <v>4120</v>
      </c>
    </row>
    <row r="594" spans="1:19" x14ac:dyDescent="0.2">
      <c r="A594" s="33">
        <v>43617</v>
      </c>
      <c r="B594" s="34">
        <v>158</v>
      </c>
      <c r="C594" s="35" t="s">
        <v>473</v>
      </c>
      <c r="D594" s="34" t="str">
        <f>VLOOKUP(C594,'PUR-PARTY MASTER'!$B$4:$E$2000,2,FALSE)</f>
        <v>27AAACT1848E1ZH</v>
      </c>
      <c r="E594" s="34" t="s">
        <v>22</v>
      </c>
      <c r="F594" s="136" t="s">
        <v>746</v>
      </c>
      <c r="G594" s="37">
        <v>43637</v>
      </c>
      <c r="H594" s="34">
        <v>87089900</v>
      </c>
      <c r="I594" s="39">
        <f>VLOOKUP(H594,'PUR-HSN MASTER'!$A$4:$E$5000,5,FALSE)</f>
        <v>28</v>
      </c>
      <c r="J594" s="38">
        <v>40</v>
      </c>
      <c r="K594" s="40">
        <v>6223.2</v>
      </c>
      <c r="L594" s="39">
        <v>0</v>
      </c>
      <c r="M594" s="39">
        <v>871.24800000000005</v>
      </c>
      <c r="N594" s="39">
        <v>871.24800000000005</v>
      </c>
      <c r="O594" s="39">
        <v>0</v>
      </c>
      <c r="P594" s="39">
        <v>7965.6959999999999</v>
      </c>
      <c r="Q594" s="34" t="s">
        <v>410</v>
      </c>
      <c r="R594" s="34" t="s">
        <v>26</v>
      </c>
      <c r="S594" s="11" t="s">
        <v>4120</v>
      </c>
    </row>
    <row r="595" spans="1:19" x14ac:dyDescent="0.2">
      <c r="A595" s="33">
        <v>43617</v>
      </c>
      <c r="B595" s="34">
        <v>159</v>
      </c>
      <c r="C595" s="35" t="s">
        <v>747</v>
      </c>
      <c r="D595" s="34" t="str">
        <f>VLOOKUP(C595,'PUR-PARTY MASTER'!$B$4:$E$2000,2,FALSE)</f>
        <v>27ACIPD7822K1ZF</v>
      </c>
      <c r="E595" s="34" t="s">
        <v>22</v>
      </c>
      <c r="F595" s="136" t="s">
        <v>749</v>
      </c>
      <c r="G595" s="37">
        <v>43637</v>
      </c>
      <c r="H595" s="34">
        <v>84778090</v>
      </c>
      <c r="I595" s="39">
        <f>VLOOKUP(H595,'PUR-HSN MASTER'!$A$4:$E$5000,5,FALSE)</f>
        <v>18</v>
      </c>
      <c r="J595" s="38">
        <v>75</v>
      </c>
      <c r="K595" s="40">
        <v>24000</v>
      </c>
      <c r="L595" s="39">
        <v>0</v>
      </c>
      <c r="M595" s="39">
        <v>2160</v>
      </c>
      <c r="N595" s="39">
        <v>2160</v>
      </c>
      <c r="O595" s="39">
        <v>0</v>
      </c>
      <c r="P595" s="39">
        <v>28320</v>
      </c>
      <c r="Q595" s="34" t="s">
        <v>410</v>
      </c>
      <c r="R595" s="34" t="s">
        <v>26</v>
      </c>
      <c r="S595" s="11" t="s">
        <v>4120</v>
      </c>
    </row>
    <row r="596" spans="1:19" x14ac:dyDescent="0.2">
      <c r="A596" s="33">
        <v>43617</v>
      </c>
      <c r="B596" s="34">
        <v>160</v>
      </c>
      <c r="C596" s="35" t="s">
        <v>517</v>
      </c>
      <c r="D596" s="34" t="str">
        <f>VLOOKUP(C596,'PUR-PARTY MASTER'!$B$4:$E$2000,2,FALSE)</f>
        <v>23AAACT6376M1ZZ</v>
      </c>
      <c r="E596" s="34" t="s">
        <v>22</v>
      </c>
      <c r="F596" s="134">
        <v>19607357</v>
      </c>
      <c r="G596" s="37">
        <v>43636</v>
      </c>
      <c r="H596" s="34">
        <v>87081090</v>
      </c>
      <c r="I596" s="39">
        <f>VLOOKUP(H596,'PUR-HSN MASTER'!$A$4:$E$5000,5,FALSE)</f>
        <v>28</v>
      </c>
      <c r="J596" s="38">
        <v>20</v>
      </c>
      <c r="K596" s="40">
        <v>12571</v>
      </c>
      <c r="L596" s="39">
        <v>3519.8799999999997</v>
      </c>
      <c r="M596" s="39">
        <v>0</v>
      </c>
      <c r="N596" s="39">
        <v>0</v>
      </c>
      <c r="O596" s="39">
        <v>0</v>
      </c>
      <c r="P596" s="39">
        <v>16090.88</v>
      </c>
      <c r="Q596" s="34" t="s">
        <v>410</v>
      </c>
      <c r="R596" s="34" t="s">
        <v>106</v>
      </c>
      <c r="S596" s="11" t="s">
        <v>4120</v>
      </c>
    </row>
    <row r="597" spans="1:19" x14ac:dyDescent="0.2">
      <c r="A597" s="33">
        <v>43617</v>
      </c>
      <c r="B597" s="34">
        <v>161</v>
      </c>
      <c r="C597" s="35" t="s">
        <v>489</v>
      </c>
      <c r="D597" s="34" t="str">
        <f>VLOOKUP(C597,'PUR-PARTY MASTER'!$B$4:$E$2000,2,FALSE)</f>
        <v>27AAECD2713N1ZK</v>
      </c>
      <c r="E597" s="34" t="s">
        <v>22</v>
      </c>
      <c r="F597" s="134">
        <v>7887984925</v>
      </c>
      <c r="G597" s="37">
        <v>43637</v>
      </c>
      <c r="H597" s="34">
        <v>32089090</v>
      </c>
      <c r="I597" s="39">
        <f>VLOOKUP(H597,'PUR-HSN MASTER'!$A$4:$E$5000,5,FALSE)</f>
        <v>18</v>
      </c>
      <c r="J597" s="38">
        <v>8</v>
      </c>
      <c r="K597" s="40">
        <v>5120</v>
      </c>
      <c r="L597" s="39">
        <v>0</v>
      </c>
      <c r="M597" s="39">
        <v>460.8</v>
      </c>
      <c r="N597" s="39">
        <v>460.8</v>
      </c>
      <c r="O597" s="39">
        <v>0</v>
      </c>
      <c r="P597" s="39">
        <v>6041.6</v>
      </c>
      <c r="Q597" s="34" t="s">
        <v>410</v>
      </c>
      <c r="R597" s="34" t="s">
        <v>26</v>
      </c>
      <c r="S597" s="11" t="s">
        <v>4120</v>
      </c>
    </row>
    <row r="598" spans="1:19" x14ac:dyDescent="0.2">
      <c r="A598" s="33">
        <v>43617</v>
      </c>
      <c r="B598" s="34"/>
      <c r="C598" s="35" t="s">
        <v>489</v>
      </c>
      <c r="D598" s="34" t="str">
        <f>VLOOKUP(C598,'PUR-PARTY MASTER'!$B$4:$E$2000,2,FALSE)</f>
        <v>27AAECD2713N1ZK</v>
      </c>
      <c r="E598" s="34" t="s">
        <v>22</v>
      </c>
      <c r="F598" s="134">
        <v>7887984925</v>
      </c>
      <c r="G598" s="37">
        <v>43637</v>
      </c>
      <c r="H598" s="34">
        <v>32082090</v>
      </c>
      <c r="I598" s="39">
        <f>VLOOKUP(H598,'PUR-HSN MASTER'!$A$4:$E$5000,5,FALSE)</f>
        <v>18</v>
      </c>
      <c r="J598" s="38">
        <v>4</v>
      </c>
      <c r="K598" s="40">
        <v>1880</v>
      </c>
      <c r="L598" s="39">
        <v>0</v>
      </c>
      <c r="M598" s="39">
        <v>169.20000000000002</v>
      </c>
      <c r="N598" s="39">
        <v>169.20000000000002</v>
      </c>
      <c r="O598" s="39">
        <v>0</v>
      </c>
      <c r="P598" s="39">
        <v>2218.3999999999996</v>
      </c>
      <c r="Q598" s="34" t="s">
        <v>410</v>
      </c>
      <c r="R598" s="34" t="s">
        <v>26</v>
      </c>
      <c r="S598" s="11" t="s">
        <v>4120</v>
      </c>
    </row>
    <row r="599" spans="1:19" x14ac:dyDescent="0.2">
      <c r="A599" s="33">
        <v>43617</v>
      </c>
      <c r="B599" s="34">
        <v>162</v>
      </c>
      <c r="C599" s="35" t="s">
        <v>489</v>
      </c>
      <c r="D599" s="34" t="str">
        <f>VLOOKUP(C599,'PUR-PARTY MASTER'!$B$4:$E$2000,2,FALSE)</f>
        <v>27AAECD2713N1ZK</v>
      </c>
      <c r="E599" s="34" t="s">
        <v>22</v>
      </c>
      <c r="F599" s="134">
        <v>7887984955</v>
      </c>
      <c r="G599" s="37">
        <v>43638</v>
      </c>
      <c r="H599" s="34">
        <v>32082090</v>
      </c>
      <c r="I599" s="39">
        <f>VLOOKUP(H599,'PUR-HSN MASTER'!$A$4:$E$5000,5,FALSE)</f>
        <v>18</v>
      </c>
      <c r="J599" s="38">
        <v>48</v>
      </c>
      <c r="K599" s="40">
        <v>52416</v>
      </c>
      <c r="L599" s="39">
        <v>0</v>
      </c>
      <c r="M599" s="39">
        <v>4717.4399999999996</v>
      </c>
      <c r="N599" s="39">
        <v>4717.4399999999996</v>
      </c>
      <c r="O599" s="39">
        <v>0</v>
      </c>
      <c r="P599" s="39">
        <v>61851.000000000007</v>
      </c>
      <c r="Q599" s="34" t="s">
        <v>410</v>
      </c>
      <c r="R599" s="34" t="s">
        <v>26</v>
      </c>
      <c r="S599" s="11" t="s">
        <v>4120</v>
      </c>
    </row>
    <row r="600" spans="1:19" x14ac:dyDescent="0.2">
      <c r="A600" s="33">
        <v>43617</v>
      </c>
      <c r="B600" s="34">
        <v>163</v>
      </c>
      <c r="C600" s="35" t="s">
        <v>554</v>
      </c>
      <c r="D600" s="34" t="str">
        <f>VLOOKUP(C600,'PUR-PARTY MASTER'!$B$4:$E$2000,2,FALSE)</f>
        <v>27AACFA1881H1ZL</v>
      </c>
      <c r="E600" s="34" t="s">
        <v>22</v>
      </c>
      <c r="F600" s="134">
        <v>3184</v>
      </c>
      <c r="G600" s="37">
        <v>43638</v>
      </c>
      <c r="H600" s="34">
        <v>87141900</v>
      </c>
      <c r="I600" s="39">
        <f>VLOOKUP(H600,'PUR-HSN MASTER'!$A$4:$E$5000,5,FALSE)</f>
        <v>28</v>
      </c>
      <c r="J600" s="38">
        <v>2700</v>
      </c>
      <c r="K600" s="40">
        <v>7506</v>
      </c>
      <c r="L600" s="39">
        <v>0</v>
      </c>
      <c r="M600" s="39">
        <v>1050.8400000000001</v>
      </c>
      <c r="N600" s="39">
        <v>1050.8400000000001</v>
      </c>
      <c r="O600" s="39">
        <v>0</v>
      </c>
      <c r="P600" s="39">
        <v>9607.68</v>
      </c>
      <c r="Q600" s="34" t="s">
        <v>410</v>
      </c>
      <c r="R600" s="34" t="s">
        <v>26</v>
      </c>
      <c r="S600" s="11" t="s">
        <v>4120</v>
      </c>
    </row>
    <row r="601" spans="1:19" x14ac:dyDescent="0.2">
      <c r="A601" s="33">
        <v>43617</v>
      </c>
      <c r="B601" s="34">
        <v>164</v>
      </c>
      <c r="C601" s="35" t="s">
        <v>554</v>
      </c>
      <c r="D601" s="34" t="str">
        <f>VLOOKUP(C601,'PUR-PARTY MASTER'!$B$4:$E$2000,2,FALSE)</f>
        <v>27AACFA1881H1ZL</v>
      </c>
      <c r="E601" s="34" t="s">
        <v>22</v>
      </c>
      <c r="F601" s="134">
        <v>3207</v>
      </c>
      <c r="G601" s="37">
        <v>43638</v>
      </c>
      <c r="H601" s="34">
        <v>87141900</v>
      </c>
      <c r="I601" s="39">
        <f>VLOOKUP(H601,'PUR-HSN MASTER'!$A$4:$E$5000,5,FALSE)</f>
        <v>28</v>
      </c>
      <c r="J601" s="38">
        <v>1100</v>
      </c>
      <c r="K601" s="40">
        <v>3058</v>
      </c>
      <c r="L601" s="39">
        <v>0</v>
      </c>
      <c r="M601" s="39">
        <v>428.12</v>
      </c>
      <c r="N601" s="39">
        <v>428.12</v>
      </c>
      <c r="O601" s="39">
        <v>0</v>
      </c>
      <c r="P601" s="39">
        <v>3914.24</v>
      </c>
      <c r="Q601" s="34" t="s">
        <v>410</v>
      </c>
      <c r="R601" s="34" t="s">
        <v>26</v>
      </c>
      <c r="S601" s="11" t="s">
        <v>4120</v>
      </c>
    </row>
    <row r="602" spans="1:19" x14ac:dyDescent="0.2">
      <c r="A602" s="33">
        <v>43617</v>
      </c>
      <c r="B602" s="34">
        <v>165</v>
      </c>
      <c r="C602" s="35" t="s">
        <v>554</v>
      </c>
      <c r="D602" s="34" t="str">
        <f>VLOOKUP(C602,'PUR-PARTY MASTER'!$B$4:$E$2000,2,FALSE)</f>
        <v>27AACFA1881H1ZL</v>
      </c>
      <c r="E602" s="34" t="s">
        <v>22</v>
      </c>
      <c r="F602" s="134">
        <v>3221</v>
      </c>
      <c r="G602" s="37">
        <v>43638</v>
      </c>
      <c r="H602" s="34">
        <v>87141900</v>
      </c>
      <c r="I602" s="39">
        <f>VLOOKUP(H602,'PUR-HSN MASTER'!$A$4:$E$5000,5,FALSE)</f>
        <v>28</v>
      </c>
      <c r="J602" s="38">
        <v>1500</v>
      </c>
      <c r="K602" s="40">
        <v>4281</v>
      </c>
      <c r="L602" s="39">
        <v>0</v>
      </c>
      <c r="M602" s="39">
        <v>599.34</v>
      </c>
      <c r="N602" s="39">
        <v>599.34</v>
      </c>
      <c r="O602" s="39">
        <v>0</v>
      </c>
      <c r="P602" s="39">
        <v>5479.68</v>
      </c>
      <c r="Q602" s="34" t="s">
        <v>410</v>
      </c>
      <c r="R602" s="34" t="s">
        <v>26</v>
      </c>
      <c r="S602" s="11" t="s">
        <v>4120</v>
      </c>
    </row>
    <row r="603" spans="1:19" x14ac:dyDescent="0.2">
      <c r="A603" s="33">
        <v>43617</v>
      </c>
      <c r="B603" s="34">
        <v>166</v>
      </c>
      <c r="C603" s="35" t="s">
        <v>554</v>
      </c>
      <c r="D603" s="34" t="str">
        <f>VLOOKUP(C603,'PUR-PARTY MASTER'!$B$4:$E$2000,2,FALSE)</f>
        <v>27AACFA1881H1ZL</v>
      </c>
      <c r="E603" s="34" t="s">
        <v>22</v>
      </c>
      <c r="F603" s="134">
        <v>3222</v>
      </c>
      <c r="G603" s="37">
        <v>43638</v>
      </c>
      <c r="H603" s="34">
        <v>87141900</v>
      </c>
      <c r="I603" s="39">
        <f>VLOOKUP(H603,'PUR-HSN MASTER'!$A$4:$E$5000,5,FALSE)</f>
        <v>28</v>
      </c>
      <c r="J603" s="38">
        <v>1500</v>
      </c>
      <c r="K603" s="40">
        <v>4059</v>
      </c>
      <c r="L603" s="39">
        <v>0</v>
      </c>
      <c r="M603" s="39">
        <v>568.26</v>
      </c>
      <c r="N603" s="39">
        <v>568.26</v>
      </c>
      <c r="O603" s="39">
        <v>0</v>
      </c>
      <c r="P603" s="39">
        <v>5195.5200000000004</v>
      </c>
      <c r="Q603" s="34" t="s">
        <v>410</v>
      </c>
      <c r="R603" s="34" t="s">
        <v>26</v>
      </c>
      <c r="S603" s="11" t="s">
        <v>4120</v>
      </c>
    </row>
    <row r="604" spans="1:19" x14ac:dyDescent="0.2">
      <c r="A604" s="33">
        <v>43617</v>
      </c>
      <c r="B604" s="34">
        <v>167</v>
      </c>
      <c r="C604" s="35" t="s">
        <v>666</v>
      </c>
      <c r="D604" s="34" t="str">
        <f>VLOOKUP(C604,'PUR-PARTY MASTER'!$B$4:$E$2000,2,FALSE)</f>
        <v>27AAECP8535C1ZF</v>
      </c>
      <c r="E604" s="34" t="s">
        <v>22</v>
      </c>
      <c r="F604" s="136" t="s">
        <v>750</v>
      </c>
      <c r="G604" s="37">
        <v>43638</v>
      </c>
      <c r="H604" s="34">
        <v>8708</v>
      </c>
      <c r="I604" s="39">
        <f>VLOOKUP(H604,'PUR-HSN MASTER'!$A$4:$E$5000,5,FALSE)</f>
        <v>28</v>
      </c>
      <c r="J604" s="38">
        <v>250</v>
      </c>
      <c r="K604" s="40">
        <v>87137.5</v>
      </c>
      <c r="L604" s="39">
        <v>0</v>
      </c>
      <c r="M604" s="39">
        <v>12199.25</v>
      </c>
      <c r="N604" s="39">
        <v>12199.25</v>
      </c>
      <c r="O604" s="39">
        <v>0</v>
      </c>
      <c r="P604" s="39">
        <v>111536</v>
      </c>
      <c r="Q604" s="34" t="s">
        <v>410</v>
      </c>
      <c r="R604" s="34" t="s">
        <v>26</v>
      </c>
      <c r="S604" s="11" t="s">
        <v>4120</v>
      </c>
    </row>
    <row r="605" spans="1:19" x14ac:dyDescent="0.2">
      <c r="A605" s="33">
        <v>43617</v>
      </c>
      <c r="B605" s="34">
        <v>168</v>
      </c>
      <c r="C605" s="35" t="s">
        <v>666</v>
      </c>
      <c r="D605" s="34" t="str">
        <f>VLOOKUP(C605,'PUR-PARTY MASTER'!$B$4:$E$2000,2,FALSE)</f>
        <v>27AAECP8535C1ZF</v>
      </c>
      <c r="E605" s="34" t="s">
        <v>22</v>
      </c>
      <c r="F605" s="136" t="s">
        <v>751</v>
      </c>
      <c r="G605" s="37">
        <v>43638</v>
      </c>
      <c r="H605" s="34">
        <v>8708</v>
      </c>
      <c r="I605" s="39">
        <f>VLOOKUP(H605,'PUR-HSN MASTER'!$A$4:$E$5000,5,FALSE)</f>
        <v>28</v>
      </c>
      <c r="J605" s="38">
        <v>300</v>
      </c>
      <c r="K605" s="40">
        <v>24000</v>
      </c>
      <c r="L605" s="39">
        <v>0</v>
      </c>
      <c r="M605" s="39">
        <v>3360</v>
      </c>
      <c r="N605" s="39">
        <v>3360</v>
      </c>
      <c r="O605" s="39">
        <v>0</v>
      </c>
      <c r="P605" s="39">
        <v>30720</v>
      </c>
      <c r="Q605" s="34" t="s">
        <v>410</v>
      </c>
      <c r="R605" s="34" t="s">
        <v>26</v>
      </c>
      <c r="S605" s="11" t="s">
        <v>4120</v>
      </c>
    </row>
    <row r="606" spans="1:19" x14ac:dyDescent="0.2">
      <c r="A606" s="33">
        <v>43617</v>
      </c>
      <c r="B606" s="34">
        <v>169</v>
      </c>
      <c r="C606" s="35" t="s">
        <v>601</v>
      </c>
      <c r="D606" s="34" t="str">
        <f>VLOOKUP(C606,'PUR-PARTY MASTER'!$B$4:$E$2000,2,FALSE)</f>
        <v>27AAZFM6461A1ZY</v>
      </c>
      <c r="E606" s="34" t="s">
        <v>22</v>
      </c>
      <c r="F606" s="134">
        <v>2204</v>
      </c>
      <c r="G606" s="37">
        <v>43638</v>
      </c>
      <c r="H606" s="34">
        <v>87082900</v>
      </c>
      <c r="I606" s="39">
        <f>VLOOKUP(H606,'PUR-HSN MASTER'!$A$4:$E$5000,5,FALSE)</f>
        <v>28</v>
      </c>
      <c r="J606" s="38">
        <v>2270</v>
      </c>
      <c r="K606" s="40">
        <v>50666.400000000001</v>
      </c>
      <c r="L606" s="39">
        <v>0</v>
      </c>
      <c r="M606" s="39">
        <v>7093.2960000000003</v>
      </c>
      <c r="N606" s="39">
        <v>7093.2960000000003</v>
      </c>
      <c r="O606" s="39">
        <v>0</v>
      </c>
      <c r="P606" s="39">
        <v>64853.002000000008</v>
      </c>
      <c r="Q606" s="34" t="s">
        <v>410</v>
      </c>
      <c r="R606" s="34" t="s">
        <v>26</v>
      </c>
      <c r="S606" s="11" t="s">
        <v>4120</v>
      </c>
    </row>
    <row r="607" spans="1:19" x14ac:dyDescent="0.2">
      <c r="A607" s="33">
        <v>43617</v>
      </c>
      <c r="B607" s="34">
        <v>170</v>
      </c>
      <c r="C607" s="35" t="s">
        <v>554</v>
      </c>
      <c r="D607" s="34" t="str">
        <f>VLOOKUP(C607,'PUR-PARTY MASTER'!$B$4:$E$2000,2,FALSE)</f>
        <v>27AACFA1881H1ZL</v>
      </c>
      <c r="E607" s="34" t="s">
        <v>22</v>
      </c>
      <c r="F607" s="134">
        <v>3238</v>
      </c>
      <c r="G607" s="37">
        <v>43639</v>
      </c>
      <c r="H607" s="34">
        <v>87141900</v>
      </c>
      <c r="I607" s="39">
        <f>VLOOKUP(H607,'PUR-HSN MASTER'!$A$4:$E$5000,5,FALSE)</f>
        <v>28</v>
      </c>
      <c r="J607" s="38">
        <v>700</v>
      </c>
      <c r="K607" s="40">
        <v>1946</v>
      </c>
      <c r="L607" s="39">
        <v>0</v>
      </c>
      <c r="M607" s="39">
        <v>272.44</v>
      </c>
      <c r="N607" s="39">
        <v>272.44</v>
      </c>
      <c r="O607" s="39">
        <v>0</v>
      </c>
      <c r="P607" s="39">
        <v>2490.88</v>
      </c>
      <c r="Q607" s="34" t="s">
        <v>410</v>
      </c>
      <c r="R607" s="34" t="s">
        <v>26</v>
      </c>
      <c r="S607" s="11" t="s">
        <v>4120</v>
      </c>
    </row>
    <row r="608" spans="1:19" x14ac:dyDescent="0.2">
      <c r="A608" s="33">
        <v>43617</v>
      </c>
      <c r="B608" s="34">
        <v>171</v>
      </c>
      <c r="C608" s="35" t="s">
        <v>495</v>
      </c>
      <c r="D608" s="34" t="str">
        <f>VLOOKUP(C608,'PUR-PARTY MASTER'!$B$4:$E$2000,2,FALSE)</f>
        <v>27AAACH4211R1ZF</v>
      </c>
      <c r="E608" s="34" t="s">
        <v>22</v>
      </c>
      <c r="F608" s="134">
        <v>510049340</v>
      </c>
      <c r="G608" s="37">
        <v>43638</v>
      </c>
      <c r="H608" s="34">
        <v>85129000</v>
      </c>
      <c r="I608" s="39">
        <f>VLOOKUP(H608,'PUR-HSN MASTER'!$A$4:$E$5000,5,FALSE)</f>
        <v>18</v>
      </c>
      <c r="J608" s="38">
        <v>1200</v>
      </c>
      <c r="K608" s="40">
        <v>13272</v>
      </c>
      <c r="L608" s="39">
        <v>0</v>
      </c>
      <c r="M608" s="39">
        <v>1194.48</v>
      </c>
      <c r="N608" s="39">
        <v>1194.48</v>
      </c>
      <c r="O608" s="39">
        <v>0</v>
      </c>
      <c r="P608" s="39">
        <v>15660.96</v>
      </c>
      <c r="Q608" s="34" t="s">
        <v>410</v>
      </c>
      <c r="R608" s="34" t="s">
        <v>26</v>
      </c>
      <c r="S608" s="11" t="s">
        <v>4120</v>
      </c>
    </row>
    <row r="609" spans="1:19" x14ac:dyDescent="0.2">
      <c r="A609" s="33">
        <v>43617</v>
      </c>
      <c r="B609" s="34">
        <v>172</v>
      </c>
      <c r="C609" s="35" t="s">
        <v>708</v>
      </c>
      <c r="D609" s="34" t="str">
        <f>VLOOKUP(C609,'PUR-PARTY MASTER'!$B$4:$E$2000,2,FALSE)</f>
        <v>24AAECD2713N1ZQ</v>
      </c>
      <c r="E609" s="34" t="s">
        <v>22</v>
      </c>
      <c r="F609" s="134">
        <v>7888008632</v>
      </c>
      <c r="G609" s="37">
        <v>43638</v>
      </c>
      <c r="H609" s="34">
        <v>32082090</v>
      </c>
      <c r="I609" s="39">
        <f>VLOOKUP(H609,'PUR-HSN MASTER'!$A$4:$E$5000,5,FALSE)</f>
        <v>18</v>
      </c>
      <c r="J609" s="38">
        <v>792</v>
      </c>
      <c r="K609" s="40">
        <v>318356</v>
      </c>
      <c r="L609" s="39">
        <v>57304.08</v>
      </c>
      <c r="M609" s="39">
        <v>0</v>
      </c>
      <c r="N609" s="39">
        <v>0</v>
      </c>
      <c r="O609" s="39">
        <v>0</v>
      </c>
      <c r="P609" s="39">
        <v>375660.08</v>
      </c>
      <c r="Q609" s="34" t="s">
        <v>410</v>
      </c>
      <c r="R609" s="34" t="s">
        <v>106</v>
      </c>
      <c r="S609" s="11" t="s">
        <v>4120</v>
      </c>
    </row>
    <row r="610" spans="1:19" x14ac:dyDescent="0.2">
      <c r="A610" s="33">
        <v>43617</v>
      </c>
      <c r="B610" s="34"/>
      <c r="C610" s="35" t="s">
        <v>708</v>
      </c>
      <c r="D610" s="34" t="str">
        <f>VLOOKUP(C610,'PUR-PARTY MASTER'!$B$4:$E$2000,2,FALSE)</f>
        <v>24AAECD2713N1ZQ</v>
      </c>
      <c r="E610" s="34" t="s">
        <v>22</v>
      </c>
      <c r="F610" s="134">
        <v>7888008632</v>
      </c>
      <c r="G610" s="37">
        <v>43638</v>
      </c>
      <c r="H610" s="34">
        <v>32129090</v>
      </c>
      <c r="I610" s="39">
        <f>VLOOKUP(H610,'PUR-HSN MASTER'!$A$4:$E$5000,5,FALSE)</f>
        <v>18</v>
      </c>
      <c r="J610" s="38">
        <v>6</v>
      </c>
      <c r="K610" s="40">
        <v>2544</v>
      </c>
      <c r="L610" s="39">
        <v>457.92</v>
      </c>
      <c r="M610" s="39">
        <v>0</v>
      </c>
      <c r="N610" s="39">
        <v>0</v>
      </c>
      <c r="O610" s="39">
        <v>0</v>
      </c>
      <c r="P610" s="39">
        <v>3001.92</v>
      </c>
      <c r="Q610" s="34" t="s">
        <v>410</v>
      </c>
      <c r="R610" s="34" t="s">
        <v>106</v>
      </c>
      <c r="S610" s="11" t="s">
        <v>4120</v>
      </c>
    </row>
    <row r="611" spans="1:19" x14ac:dyDescent="0.2">
      <c r="A611" s="33">
        <v>43617</v>
      </c>
      <c r="B611" s="34">
        <v>173</v>
      </c>
      <c r="C611" s="35" t="s">
        <v>554</v>
      </c>
      <c r="D611" s="34" t="str">
        <f>VLOOKUP(C611,'PUR-PARTY MASTER'!$B$4:$E$2000,2,FALSE)</f>
        <v>27AACFA1881H1ZL</v>
      </c>
      <c r="E611" s="34" t="s">
        <v>22</v>
      </c>
      <c r="F611" s="134">
        <v>3268</v>
      </c>
      <c r="G611" s="37">
        <v>43640</v>
      </c>
      <c r="H611" s="34">
        <v>87141900</v>
      </c>
      <c r="I611" s="39">
        <f>VLOOKUP(H611,'PUR-HSN MASTER'!$A$4:$E$5000,5,FALSE)</f>
        <v>28</v>
      </c>
      <c r="J611" s="38">
        <v>2520</v>
      </c>
      <c r="K611" s="40">
        <v>7124</v>
      </c>
      <c r="L611" s="39">
        <v>0</v>
      </c>
      <c r="M611" s="39">
        <v>997.3599999999999</v>
      </c>
      <c r="N611" s="39">
        <v>997.3599999999999</v>
      </c>
      <c r="O611" s="39">
        <v>0</v>
      </c>
      <c r="P611" s="39">
        <v>9118.7199999999993</v>
      </c>
      <c r="Q611" s="34" t="s">
        <v>410</v>
      </c>
      <c r="R611" s="34" t="s">
        <v>26</v>
      </c>
      <c r="S611" s="11" t="s">
        <v>4120</v>
      </c>
    </row>
    <row r="612" spans="1:19" x14ac:dyDescent="0.2">
      <c r="A612" s="33">
        <v>43617</v>
      </c>
      <c r="B612" s="34">
        <v>174</v>
      </c>
      <c r="C612" s="35" t="s">
        <v>554</v>
      </c>
      <c r="D612" s="34" t="str">
        <f>VLOOKUP(C612,'PUR-PARTY MASTER'!$B$4:$E$2000,2,FALSE)</f>
        <v>27AACFA1881H1ZL</v>
      </c>
      <c r="E612" s="34" t="s">
        <v>22</v>
      </c>
      <c r="F612" s="134">
        <v>3309</v>
      </c>
      <c r="G612" s="37">
        <v>43640</v>
      </c>
      <c r="H612" s="34">
        <v>87141900</v>
      </c>
      <c r="I612" s="39">
        <f>VLOOKUP(H612,'PUR-HSN MASTER'!$A$4:$E$5000,5,FALSE)</f>
        <v>28</v>
      </c>
      <c r="J612" s="38">
        <v>1480</v>
      </c>
      <c r="K612" s="40">
        <v>3936.8</v>
      </c>
      <c r="L612" s="39">
        <v>0</v>
      </c>
      <c r="M612" s="39">
        <v>551.15200000000004</v>
      </c>
      <c r="N612" s="39">
        <v>551.15200000000004</v>
      </c>
      <c r="O612" s="39">
        <v>0</v>
      </c>
      <c r="P612" s="39">
        <v>5039.1040000000003</v>
      </c>
      <c r="Q612" s="34" t="s">
        <v>410</v>
      </c>
      <c r="R612" s="34" t="s">
        <v>26</v>
      </c>
      <c r="S612" s="11" t="s">
        <v>4120</v>
      </c>
    </row>
    <row r="613" spans="1:19" x14ac:dyDescent="0.2">
      <c r="A613" s="33">
        <v>43617</v>
      </c>
      <c r="B613" s="34">
        <v>175</v>
      </c>
      <c r="C613" s="35" t="s">
        <v>471</v>
      </c>
      <c r="D613" s="34" t="str">
        <f>VLOOKUP(C613,'PUR-PARTY MASTER'!$B$4:$E$2000,2,FALSE)</f>
        <v>27AAECM8871A1ZF</v>
      </c>
      <c r="E613" s="34" t="s">
        <v>22</v>
      </c>
      <c r="F613" s="134">
        <v>192002816</v>
      </c>
      <c r="G613" s="37">
        <v>43640</v>
      </c>
      <c r="H613" s="34">
        <v>87089900</v>
      </c>
      <c r="I613" s="39">
        <f>VLOOKUP(H613,'PUR-HSN MASTER'!$A$4:$E$5000,5,FALSE)</f>
        <v>28</v>
      </c>
      <c r="J613" s="38">
        <v>12</v>
      </c>
      <c r="K613" s="40">
        <v>17483.52</v>
      </c>
      <c r="L613" s="39">
        <v>0</v>
      </c>
      <c r="M613" s="39">
        <v>2447.6928000000003</v>
      </c>
      <c r="N613" s="39">
        <v>2447.6928000000003</v>
      </c>
      <c r="O613" s="39">
        <v>0</v>
      </c>
      <c r="P613" s="39">
        <v>22378.895600000003</v>
      </c>
      <c r="Q613" s="34" t="s">
        <v>410</v>
      </c>
      <c r="R613" s="34" t="s">
        <v>26</v>
      </c>
      <c r="S613" s="11" t="s">
        <v>4120</v>
      </c>
    </row>
    <row r="614" spans="1:19" x14ac:dyDescent="0.2">
      <c r="A614" s="33">
        <v>43617</v>
      </c>
      <c r="B614" s="34">
        <v>176</v>
      </c>
      <c r="C614" s="35" t="s">
        <v>471</v>
      </c>
      <c r="D614" s="34" t="str">
        <f>VLOOKUP(C614,'PUR-PARTY MASTER'!$B$4:$E$2000,2,FALSE)</f>
        <v>27AAECM8871A1ZF</v>
      </c>
      <c r="E614" s="34" t="s">
        <v>22</v>
      </c>
      <c r="F614" s="134">
        <v>192002834</v>
      </c>
      <c r="G614" s="37">
        <v>43640</v>
      </c>
      <c r="H614" s="34">
        <v>87089900</v>
      </c>
      <c r="I614" s="39">
        <f>VLOOKUP(H614,'PUR-HSN MASTER'!$A$4:$E$5000,5,FALSE)</f>
        <v>28</v>
      </c>
      <c r="J614" s="38">
        <v>12</v>
      </c>
      <c r="K614" s="40">
        <v>17483.52</v>
      </c>
      <c r="L614" s="39">
        <v>0</v>
      </c>
      <c r="M614" s="39">
        <v>2447.6928000000003</v>
      </c>
      <c r="N614" s="39">
        <v>2447.6928000000003</v>
      </c>
      <c r="O614" s="39">
        <v>0</v>
      </c>
      <c r="P614" s="39">
        <v>22378.895600000003</v>
      </c>
      <c r="Q614" s="34" t="s">
        <v>410</v>
      </c>
      <c r="R614" s="34" t="s">
        <v>26</v>
      </c>
      <c r="S614" s="11" t="s">
        <v>4120</v>
      </c>
    </row>
    <row r="615" spans="1:19" x14ac:dyDescent="0.2">
      <c r="A615" s="33">
        <v>43617</v>
      </c>
      <c r="B615" s="34">
        <v>177</v>
      </c>
      <c r="C615" s="35" t="s">
        <v>705</v>
      </c>
      <c r="D615" s="34" t="str">
        <f>VLOOKUP(C615,'PUR-PARTY MASTER'!$B$4:$E$2000,2,FALSE)</f>
        <v>27AABFM8397H1ZT</v>
      </c>
      <c r="E615" s="34" t="s">
        <v>22</v>
      </c>
      <c r="F615" s="136" t="s">
        <v>752</v>
      </c>
      <c r="G615" s="37">
        <v>43640</v>
      </c>
      <c r="H615" s="34">
        <v>87089900</v>
      </c>
      <c r="I615" s="39">
        <f>VLOOKUP(H615,'PUR-HSN MASTER'!$A$4:$E$5000,5,FALSE)</f>
        <v>28</v>
      </c>
      <c r="J615" s="38">
        <v>121</v>
      </c>
      <c r="K615" s="40">
        <v>2601.5</v>
      </c>
      <c r="L615" s="39">
        <v>0</v>
      </c>
      <c r="M615" s="39">
        <v>364.21000000000004</v>
      </c>
      <c r="N615" s="39">
        <v>364.21000000000004</v>
      </c>
      <c r="O615" s="39">
        <v>0</v>
      </c>
      <c r="P615" s="39">
        <v>3329.92</v>
      </c>
      <c r="Q615" s="34" t="s">
        <v>410</v>
      </c>
      <c r="R615" s="34" t="s">
        <v>26</v>
      </c>
      <c r="S615" s="11" t="s">
        <v>4120</v>
      </c>
    </row>
    <row r="616" spans="1:19" x14ac:dyDescent="0.2">
      <c r="A616" s="33">
        <v>43617</v>
      </c>
      <c r="B616" s="34">
        <v>178</v>
      </c>
      <c r="C616" s="35" t="s">
        <v>551</v>
      </c>
      <c r="D616" s="34" t="str">
        <f>VLOOKUP(C616,'PUR-PARTY MASTER'!$B$4:$E$2000,2,FALSE)</f>
        <v>27AHVPG8951G1ZQ</v>
      </c>
      <c r="E616" s="34" t="s">
        <v>22</v>
      </c>
      <c r="F616" s="136" t="s">
        <v>753</v>
      </c>
      <c r="G616" s="37">
        <v>43641</v>
      </c>
      <c r="H616" s="34">
        <v>37079090</v>
      </c>
      <c r="I616" s="39">
        <f>VLOOKUP(H616,'PUR-HSN MASTER'!$A$4:$E$5000,5,FALSE)</f>
        <v>18</v>
      </c>
      <c r="J616" s="38">
        <v>1</v>
      </c>
      <c r="K616" s="40">
        <v>300</v>
      </c>
      <c r="L616" s="39">
        <v>0</v>
      </c>
      <c r="M616" s="39">
        <v>27</v>
      </c>
      <c r="N616" s="39">
        <v>27</v>
      </c>
      <c r="O616" s="39">
        <v>0</v>
      </c>
      <c r="P616" s="39">
        <v>354</v>
      </c>
      <c r="Q616" s="34" t="s">
        <v>410</v>
      </c>
      <c r="R616" s="34" t="s">
        <v>26</v>
      </c>
      <c r="S616" s="11" t="s">
        <v>4120</v>
      </c>
    </row>
    <row r="617" spans="1:19" x14ac:dyDescent="0.2">
      <c r="A617" s="33">
        <v>43617</v>
      </c>
      <c r="B617" s="34">
        <v>179</v>
      </c>
      <c r="C617" s="35" t="s">
        <v>489</v>
      </c>
      <c r="D617" s="34" t="str">
        <f>VLOOKUP(C617,'PUR-PARTY MASTER'!$B$4:$E$2000,2,FALSE)</f>
        <v>27AAECD2713N1ZK</v>
      </c>
      <c r="E617" s="34" t="s">
        <v>22</v>
      </c>
      <c r="F617" s="134">
        <v>7887985095</v>
      </c>
      <c r="G617" s="37">
        <v>43641</v>
      </c>
      <c r="H617" s="34">
        <v>32082090</v>
      </c>
      <c r="I617" s="39">
        <f>VLOOKUP(H617,'PUR-HSN MASTER'!$A$4:$E$5000,5,FALSE)</f>
        <v>18</v>
      </c>
      <c r="J617" s="38">
        <v>16</v>
      </c>
      <c r="K617" s="40">
        <v>7520</v>
      </c>
      <c r="L617" s="39">
        <v>0</v>
      </c>
      <c r="M617" s="39">
        <v>676.80000000000007</v>
      </c>
      <c r="N617" s="39">
        <v>676.80000000000007</v>
      </c>
      <c r="O617" s="39">
        <v>0</v>
      </c>
      <c r="P617" s="39">
        <v>8873.9999999999982</v>
      </c>
      <c r="Q617" s="34" t="s">
        <v>410</v>
      </c>
      <c r="R617" s="34" t="s">
        <v>26</v>
      </c>
      <c r="S617" s="11" t="s">
        <v>4120</v>
      </c>
    </row>
    <row r="618" spans="1:19" x14ac:dyDescent="0.2">
      <c r="A618" s="33">
        <v>43617</v>
      </c>
      <c r="B618" s="34">
        <v>180</v>
      </c>
      <c r="C618" s="35" t="s">
        <v>554</v>
      </c>
      <c r="D618" s="34" t="str">
        <f>VLOOKUP(C618,'PUR-PARTY MASTER'!$B$4:$E$2000,2,FALSE)</f>
        <v>27AACFA1881H1ZL</v>
      </c>
      <c r="E618" s="34" t="s">
        <v>22</v>
      </c>
      <c r="F618" s="134">
        <v>3370</v>
      </c>
      <c r="G618" s="37">
        <v>43641</v>
      </c>
      <c r="H618" s="34">
        <v>87141900</v>
      </c>
      <c r="I618" s="39">
        <f>VLOOKUP(H618,'PUR-HSN MASTER'!$A$4:$E$5000,5,FALSE)</f>
        <v>28</v>
      </c>
      <c r="J618" s="38">
        <v>1775</v>
      </c>
      <c r="K618" s="40">
        <v>4825.3500000000004</v>
      </c>
      <c r="L618" s="39">
        <v>0</v>
      </c>
      <c r="M618" s="39">
        <v>675.54899999999998</v>
      </c>
      <c r="N618" s="39">
        <v>675.54899999999998</v>
      </c>
      <c r="O618" s="39">
        <v>0</v>
      </c>
      <c r="P618" s="39">
        <v>6176.4480000000003</v>
      </c>
      <c r="Q618" s="34" t="s">
        <v>410</v>
      </c>
      <c r="R618" s="34" t="s">
        <v>26</v>
      </c>
      <c r="S618" s="11" t="s">
        <v>4120</v>
      </c>
    </row>
    <row r="619" spans="1:19" x14ac:dyDescent="0.2">
      <c r="A619" s="33">
        <v>43617</v>
      </c>
      <c r="B619" s="34">
        <v>181</v>
      </c>
      <c r="C619" s="35" t="s">
        <v>473</v>
      </c>
      <c r="D619" s="34" t="str">
        <f>VLOOKUP(C619,'PUR-PARTY MASTER'!$B$4:$E$2000,2,FALSE)</f>
        <v>27AAACT1848E1ZH</v>
      </c>
      <c r="E619" s="34" t="s">
        <v>22</v>
      </c>
      <c r="F619" s="136" t="s">
        <v>754</v>
      </c>
      <c r="G619" s="37">
        <v>43641</v>
      </c>
      <c r="H619" s="34">
        <v>87089900</v>
      </c>
      <c r="I619" s="39">
        <f>VLOOKUP(H619,'PUR-HSN MASTER'!$A$4:$E$5000,5,FALSE)</f>
        <v>28</v>
      </c>
      <c r="J619" s="38">
        <v>85</v>
      </c>
      <c r="K619" s="40">
        <v>12253.85</v>
      </c>
      <c r="L619" s="39">
        <v>0</v>
      </c>
      <c r="M619" s="39">
        <v>1715.539</v>
      </c>
      <c r="N619" s="39">
        <v>1715.539</v>
      </c>
      <c r="O619" s="39">
        <v>0</v>
      </c>
      <c r="P619" s="39">
        <v>15684.928000000002</v>
      </c>
      <c r="Q619" s="34" t="s">
        <v>410</v>
      </c>
      <c r="R619" s="34" t="s">
        <v>26</v>
      </c>
      <c r="S619" s="11" t="s">
        <v>4120</v>
      </c>
    </row>
    <row r="620" spans="1:19" x14ac:dyDescent="0.2">
      <c r="A620" s="33">
        <v>43617</v>
      </c>
      <c r="B620" s="34">
        <v>182</v>
      </c>
      <c r="C620" s="35" t="s">
        <v>747</v>
      </c>
      <c r="D620" s="34" t="str">
        <f>VLOOKUP(C620,'PUR-PARTY MASTER'!$B$4:$E$2000,2,FALSE)</f>
        <v>27ACIPD7822K1ZF</v>
      </c>
      <c r="E620" s="34" t="s">
        <v>22</v>
      </c>
      <c r="F620" s="136" t="s">
        <v>755</v>
      </c>
      <c r="G620" s="37">
        <v>43641</v>
      </c>
      <c r="H620" s="34">
        <v>84778090</v>
      </c>
      <c r="I620" s="39">
        <f>VLOOKUP(H620,'PUR-HSN MASTER'!$A$4:$E$5000,5,FALSE)</f>
        <v>18</v>
      </c>
      <c r="J620" s="38">
        <v>50</v>
      </c>
      <c r="K620" s="40">
        <v>22500</v>
      </c>
      <c r="L620" s="39">
        <v>0</v>
      </c>
      <c r="M620" s="39">
        <v>2025</v>
      </c>
      <c r="N620" s="39">
        <v>2025</v>
      </c>
      <c r="O620" s="39">
        <v>0</v>
      </c>
      <c r="P620" s="39">
        <v>26550</v>
      </c>
      <c r="Q620" s="34" t="s">
        <v>410</v>
      </c>
      <c r="R620" s="34" t="s">
        <v>26</v>
      </c>
      <c r="S620" s="11" t="s">
        <v>4120</v>
      </c>
    </row>
    <row r="621" spans="1:19" x14ac:dyDescent="0.2">
      <c r="A621" s="33">
        <v>43617</v>
      </c>
      <c r="B621" s="34">
        <v>183</v>
      </c>
      <c r="C621" s="35" t="s">
        <v>556</v>
      </c>
      <c r="D621" s="34" t="str">
        <f>VLOOKUP(C621,'PUR-PARTY MASTER'!$B$4:$E$2000,2,FALSE)</f>
        <v>27AAQCS7977M1Z3</v>
      </c>
      <c r="E621" s="34" t="s">
        <v>22</v>
      </c>
      <c r="F621" s="136" t="s">
        <v>756</v>
      </c>
      <c r="G621" s="37">
        <v>43640</v>
      </c>
      <c r="H621" s="34">
        <v>38140020</v>
      </c>
      <c r="I621" s="39">
        <f>VLOOKUP(H621,'PUR-HSN MASTER'!$A$4:$E$5000,5,FALSE)</f>
        <v>18</v>
      </c>
      <c r="J621" s="38">
        <v>1300</v>
      </c>
      <c r="K621" s="40">
        <v>81500</v>
      </c>
      <c r="L621" s="39">
        <v>0</v>
      </c>
      <c r="M621" s="39">
        <v>7335</v>
      </c>
      <c r="N621" s="39">
        <v>7335</v>
      </c>
      <c r="O621" s="39">
        <v>0</v>
      </c>
      <c r="P621" s="39">
        <v>96170</v>
      </c>
      <c r="Q621" s="34" t="s">
        <v>410</v>
      </c>
      <c r="R621" s="34" t="s">
        <v>26</v>
      </c>
      <c r="S621" s="11" t="s">
        <v>4120</v>
      </c>
    </row>
    <row r="622" spans="1:19" x14ac:dyDescent="0.2">
      <c r="A622" s="33">
        <v>43617</v>
      </c>
      <c r="B622" s="34">
        <v>184</v>
      </c>
      <c r="C622" s="35" t="s">
        <v>506</v>
      </c>
      <c r="D622" s="34" t="str">
        <f>VLOOKUP(C622,'PUR-PARTY MASTER'!$B$4:$E$2000,2,FALSE)</f>
        <v>27AAACG1376N1ZC</v>
      </c>
      <c r="E622" s="34" t="s">
        <v>22</v>
      </c>
      <c r="F622" s="136" t="s">
        <v>757</v>
      </c>
      <c r="G622" s="37">
        <v>43641</v>
      </c>
      <c r="H622" s="34">
        <v>32082090</v>
      </c>
      <c r="I622" s="39">
        <f>VLOOKUP(H622,'PUR-HSN MASTER'!$A$4:$E$5000,5,FALSE)</f>
        <v>18</v>
      </c>
      <c r="J622" s="38">
        <v>100</v>
      </c>
      <c r="K622" s="40">
        <v>34879</v>
      </c>
      <c r="L622" s="39">
        <v>0</v>
      </c>
      <c r="M622" s="39">
        <v>3139.11</v>
      </c>
      <c r="N622" s="39">
        <v>3139.11</v>
      </c>
      <c r="O622" s="39">
        <v>0</v>
      </c>
      <c r="P622" s="39">
        <v>41157</v>
      </c>
      <c r="Q622" s="34" t="s">
        <v>410</v>
      </c>
      <c r="R622" s="34" t="s">
        <v>26</v>
      </c>
      <c r="S622" s="11" t="s">
        <v>4120</v>
      </c>
    </row>
    <row r="623" spans="1:19" x14ac:dyDescent="0.2">
      <c r="A623" s="33">
        <v>43617</v>
      </c>
      <c r="B623" s="34">
        <v>185</v>
      </c>
      <c r="C623" s="35" t="s">
        <v>506</v>
      </c>
      <c r="D623" s="34" t="str">
        <f>VLOOKUP(C623,'PUR-PARTY MASTER'!$B$4:$E$2000,2,FALSE)</f>
        <v>27AAACG1376N1ZC</v>
      </c>
      <c r="E623" s="34" t="s">
        <v>22</v>
      </c>
      <c r="F623" s="136" t="s">
        <v>758</v>
      </c>
      <c r="G623" s="37">
        <v>43641</v>
      </c>
      <c r="H623" s="34">
        <v>38140010</v>
      </c>
      <c r="I623" s="39">
        <f>VLOOKUP(H623,'PUR-HSN MASTER'!$A$4:$E$5000,5,FALSE)</f>
        <v>18</v>
      </c>
      <c r="J623" s="38">
        <v>200</v>
      </c>
      <c r="K623" s="40">
        <v>18480</v>
      </c>
      <c r="L623" s="39">
        <v>0</v>
      </c>
      <c r="M623" s="39">
        <v>1663.2</v>
      </c>
      <c r="N623" s="39">
        <v>1663.2</v>
      </c>
      <c r="O623" s="39">
        <v>0</v>
      </c>
      <c r="P623" s="39">
        <v>21806</v>
      </c>
      <c r="Q623" s="34" t="s">
        <v>410</v>
      </c>
      <c r="R623" s="34" t="s">
        <v>26</v>
      </c>
      <c r="S623" s="11" t="s">
        <v>4120</v>
      </c>
    </row>
    <row r="624" spans="1:19" x14ac:dyDescent="0.2">
      <c r="A624" s="33">
        <v>43617</v>
      </c>
      <c r="B624" s="34">
        <v>186</v>
      </c>
      <c r="C624" s="35" t="s">
        <v>493</v>
      </c>
      <c r="D624" s="34" t="str">
        <f>VLOOKUP(C624,'PUR-PARTY MASTER'!$B$4:$E$2000,2,FALSE)</f>
        <v>27AMMPB3648M1ZO</v>
      </c>
      <c r="E624" s="34" t="s">
        <v>22</v>
      </c>
      <c r="F624" s="134">
        <v>1557</v>
      </c>
      <c r="G624" s="37">
        <v>43642</v>
      </c>
      <c r="H624" s="34">
        <v>85129000</v>
      </c>
      <c r="I624" s="39">
        <f>VLOOKUP(H624,'PUR-HSN MASTER'!$A$4:$E$5000,5,FALSE)</f>
        <v>18</v>
      </c>
      <c r="J624" s="38">
        <v>1150</v>
      </c>
      <c r="K624" s="40">
        <v>26438.5</v>
      </c>
      <c r="L624" s="39">
        <v>0</v>
      </c>
      <c r="M624" s="39">
        <v>2379.4650000000001</v>
      </c>
      <c r="N624" s="39">
        <v>2379.4650000000001</v>
      </c>
      <c r="O624" s="39">
        <v>0</v>
      </c>
      <c r="P624" s="39">
        <v>31197</v>
      </c>
      <c r="Q624" s="34" t="s">
        <v>410</v>
      </c>
      <c r="R624" s="34" t="s">
        <v>26</v>
      </c>
      <c r="S624" s="11" t="s">
        <v>4120</v>
      </c>
    </row>
    <row r="625" spans="1:19" x14ac:dyDescent="0.2">
      <c r="A625" s="33">
        <v>43617</v>
      </c>
      <c r="B625" s="34">
        <v>187</v>
      </c>
      <c r="C625" s="35" t="s">
        <v>479</v>
      </c>
      <c r="D625" s="34" t="str">
        <f>VLOOKUP(C625,'PUR-PARTY MASTER'!$B$4:$E$2000,2,FALSE)</f>
        <v>27AAMFC2124K1ZG</v>
      </c>
      <c r="E625" s="34" t="s">
        <v>22</v>
      </c>
      <c r="F625" s="134">
        <v>1111</v>
      </c>
      <c r="G625" s="37">
        <v>43642</v>
      </c>
      <c r="H625" s="34">
        <v>4811</v>
      </c>
      <c r="I625" s="39">
        <f>VLOOKUP(H625,'PUR-HSN MASTER'!$A$4:$E$5000,5,FALSE)</f>
        <v>18</v>
      </c>
      <c r="J625" s="38">
        <v>201</v>
      </c>
      <c r="K625" s="40">
        <v>261.3</v>
      </c>
      <c r="L625" s="39">
        <v>0</v>
      </c>
      <c r="M625" s="39">
        <v>23.516999999999999</v>
      </c>
      <c r="N625" s="39">
        <v>23.516999999999999</v>
      </c>
      <c r="O625" s="39">
        <v>0</v>
      </c>
      <c r="P625" s="39">
        <v>308.334</v>
      </c>
      <c r="Q625" s="34" t="s">
        <v>410</v>
      </c>
      <c r="R625" s="34" t="s">
        <v>26</v>
      </c>
      <c r="S625" s="11" t="s">
        <v>4120</v>
      </c>
    </row>
    <row r="626" spans="1:19" x14ac:dyDescent="0.2">
      <c r="A626" s="33">
        <v>43617</v>
      </c>
      <c r="B626" s="34">
        <v>188</v>
      </c>
      <c r="C626" s="35" t="s">
        <v>554</v>
      </c>
      <c r="D626" s="34" t="str">
        <f>VLOOKUP(C626,'PUR-PARTY MASTER'!$B$4:$E$2000,2,FALSE)</f>
        <v>27AACFA1881H1ZL</v>
      </c>
      <c r="E626" s="34" t="s">
        <v>22</v>
      </c>
      <c r="F626" s="134">
        <v>3410</v>
      </c>
      <c r="G626" s="37">
        <v>43642</v>
      </c>
      <c r="H626" s="34">
        <v>87141900</v>
      </c>
      <c r="I626" s="39">
        <f>VLOOKUP(H626,'PUR-HSN MASTER'!$A$4:$E$5000,5,FALSE)</f>
        <v>28</v>
      </c>
      <c r="J626" s="38">
        <v>1500</v>
      </c>
      <c r="K626" s="40">
        <v>3985</v>
      </c>
      <c r="L626" s="39">
        <v>0</v>
      </c>
      <c r="M626" s="39">
        <v>557.9</v>
      </c>
      <c r="N626" s="39">
        <v>557.9</v>
      </c>
      <c r="O626" s="39">
        <v>0</v>
      </c>
      <c r="P626" s="39">
        <v>5100.7999999999993</v>
      </c>
      <c r="Q626" s="34" t="s">
        <v>410</v>
      </c>
      <c r="R626" s="34" t="s">
        <v>26</v>
      </c>
      <c r="S626" s="11" t="s">
        <v>4120</v>
      </c>
    </row>
    <row r="627" spans="1:19" x14ac:dyDescent="0.2">
      <c r="A627" s="33">
        <v>43617</v>
      </c>
      <c r="B627" s="34">
        <v>189</v>
      </c>
      <c r="C627" s="35" t="s">
        <v>471</v>
      </c>
      <c r="D627" s="34" t="str">
        <f>VLOOKUP(C627,'PUR-PARTY MASTER'!$B$4:$E$2000,2,FALSE)</f>
        <v>27AAECM8871A1ZF</v>
      </c>
      <c r="E627" s="34" t="s">
        <v>22</v>
      </c>
      <c r="F627" s="134">
        <v>192002894</v>
      </c>
      <c r="G627" s="37">
        <v>43642</v>
      </c>
      <c r="H627" s="34">
        <v>87089900</v>
      </c>
      <c r="I627" s="39">
        <f>VLOOKUP(H627,'PUR-HSN MASTER'!$A$4:$E$5000,5,FALSE)</f>
        <v>28</v>
      </c>
      <c r="J627" s="38">
        <v>12</v>
      </c>
      <c r="K627" s="40">
        <v>17483.52</v>
      </c>
      <c r="L627" s="39">
        <v>0</v>
      </c>
      <c r="M627" s="39">
        <v>2447.6928000000003</v>
      </c>
      <c r="N627" s="39">
        <v>2447.6928000000003</v>
      </c>
      <c r="O627" s="39">
        <v>0</v>
      </c>
      <c r="P627" s="39">
        <v>22378.895600000003</v>
      </c>
      <c r="Q627" s="34" t="s">
        <v>410</v>
      </c>
      <c r="R627" s="34" t="s">
        <v>26</v>
      </c>
      <c r="S627" s="11" t="s">
        <v>4120</v>
      </c>
    </row>
    <row r="628" spans="1:19" x14ac:dyDescent="0.2">
      <c r="A628" s="33">
        <v>43617</v>
      </c>
      <c r="B628" s="34">
        <v>190</v>
      </c>
      <c r="C628" s="35" t="s">
        <v>471</v>
      </c>
      <c r="D628" s="34" t="str">
        <f>VLOOKUP(C628,'PUR-PARTY MASTER'!$B$4:$E$2000,2,FALSE)</f>
        <v>27AAECM8871A1ZF</v>
      </c>
      <c r="E628" s="34" t="s">
        <v>22</v>
      </c>
      <c r="F628" s="134">
        <v>192002900</v>
      </c>
      <c r="G628" s="37">
        <v>43642</v>
      </c>
      <c r="H628" s="34">
        <v>87089900</v>
      </c>
      <c r="I628" s="39">
        <f>VLOOKUP(H628,'PUR-HSN MASTER'!$A$4:$E$5000,5,FALSE)</f>
        <v>28</v>
      </c>
      <c r="J628" s="38">
        <v>12</v>
      </c>
      <c r="K628" s="40">
        <v>17483.52</v>
      </c>
      <c r="L628" s="39">
        <v>0</v>
      </c>
      <c r="M628" s="39">
        <v>2447.6928000000003</v>
      </c>
      <c r="N628" s="39">
        <v>2447.6928000000003</v>
      </c>
      <c r="O628" s="39">
        <v>0</v>
      </c>
      <c r="P628" s="39">
        <v>22378.895600000003</v>
      </c>
      <c r="Q628" s="34" t="s">
        <v>410</v>
      </c>
      <c r="R628" s="34" t="s">
        <v>26</v>
      </c>
      <c r="S628" s="11" t="s">
        <v>4120</v>
      </c>
    </row>
    <row r="629" spans="1:19" x14ac:dyDescent="0.2">
      <c r="A629" s="33">
        <v>43617</v>
      </c>
      <c r="B629" s="34">
        <v>191</v>
      </c>
      <c r="C629" s="35" t="s">
        <v>495</v>
      </c>
      <c r="D629" s="34" t="str">
        <f>VLOOKUP(C629,'PUR-PARTY MASTER'!$B$4:$E$2000,2,FALSE)</f>
        <v>27AAACH4211R1ZF</v>
      </c>
      <c r="E629" s="34" t="s">
        <v>22</v>
      </c>
      <c r="F629" s="134">
        <v>5510049676</v>
      </c>
      <c r="G629" s="37">
        <v>43642</v>
      </c>
      <c r="H629" s="34">
        <v>85129000</v>
      </c>
      <c r="I629" s="39">
        <f>VLOOKUP(H629,'PUR-HSN MASTER'!$A$4:$E$5000,5,FALSE)</f>
        <v>18</v>
      </c>
      <c r="J629" s="38">
        <v>1680</v>
      </c>
      <c r="K629" s="40">
        <v>18580.8</v>
      </c>
      <c r="L629" s="39">
        <v>0</v>
      </c>
      <c r="M629" s="39">
        <v>1672.2719999999999</v>
      </c>
      <c r="N629" s="39">
        <v>1672.2719999999999</v>
      </c>
      <c r="O629" s="39">
        <v>0</v>
      </c>
      <c r="P629" s="39">
        <v>21925.344000000001</v>
      </c>
      <c r="Q629" s="34" t="s">
        <v>410</v>
      </c>
      <c r="R629" s="34" t="s">
        <v>26</v>
      </c>
      <c r="S629" s="11" t="s">
        <v>4120</v>
      </c>
    </row>
    <row r="630" spans="1:19" x14ac:dyDescent="0.2">
      <c r="A630" s="33">
        <v>43617</v>
      </c>
      <c r="B630" s="34">
        <v>192</v>
      </c>
      <c r="C630" s="35" t="s">
        <v>471</v>
      </c>
      <c r="D630" s="34" t="str">
        <f>VLOOKUP(C630,'PUR-PARTY MASTER'!$B$4:$E$2000,2,FALSE)</f>
        <v>27AAECM8871A1ZF</v>
      </c>
      <c r="E630" s="34" t="s">
        <v>22</v>
      </c>
      <c r="F630" s="134">
        <v>192002925</v>
      </c>
      <c r="G630" s="37">
        <v>43643</v>
      </c>
      <c r="H630" s="34">
        <v>87089900</v>
      </c>
      <c r="I630" s="39">
        <f>VLOOKUP(H630,'PUR-HSN MASTER'!$A$4:$E$5000,5,FALSE)</f>
        <v>28</v>
      </c>
      <c r="J630" s="38">
        <v>12</v>
      </c>
      <c r="K630" s="40">
        <v>17483.52</v>
      </c>
      <c r="L630" s="39">
        <v>0</v>
      </c>
      <c r="M630" s="39">
        <v>2447.6928000000003</v>
      </c>
      <c r="N630" s="39">
        <v>2447.6928000000003</v>
      </c>
      <c r="O630" s="39">
        <v>0</v>
      </c>
      <c r="P630" s="39">
        <v>22378.895600000003</v>
      </c>
      <c r="Q630" s="34" t="s">
        <v>410</v>
      </c>
      <c r="R630" s="34" t="s">
        <v>26</v>
      </c>
      <c r="S630" s="11" t="s">
        <v>4120</v>
      </c>
    </row>
    <row r="631" spans="1:19" x14ac:dyDescent="0.2">
      <c r="A631" s="33">
        <v>43617</v>
      </c>
      <c r="B631" s="34">
        <v>193</v>
      </c>
      <c r="C631" s="35" t="s">
        <v>471</v>
      </c>
      <c r="D631" s="34" t="str">
        <f>VLOOKUP(C631,'PUR-PARTY MASTER'!$B$4:$E$2000,2,FALSE)</f>
        <v>27AAECM8871A1ZF</v>
      </c>
      <c r="E631" s="34" t="s">
        <v>22</v>
      </c>
      <c r="F631" s="134">
        <v>192002936</v>
      </c>
      <c r="G631" s="37">
        <v>43643</v>
      </c>
      <c r="H631" s="34">
        <v>87089900</v>
      </c>
      <c r="I631" s="39">
        <f>VLOOKUP(H631,'PUR-HSN MASTER'!$A$4:$E$5000,5,FALSE)</f>
        <v>28</v>
      </c>
      <c r="J631" s="38">
        <v>12</v>
      </c>
      <c r="K631" s="40">
        <v>17483.52</v>
      </c>
      <c r="L631" s="39">
        <v>0</v>
      </c>
      <c r="M631" s="39">
        <v>2447.6928000000003</v>
      </c>
      <c r="N631" s="39">
        <v>2447.6928000000003</v>
      </c>
      <c r="O631" s="39">
        <v>0</v>
      </c>
      <c r="P631" s="39">
        <v>22378.895600000003</v>
      </c>
      <c r="Q631" s="34" t="s">
        <v>410</v>
      </c>
      <c r="R631" s="34" t="s">
        <v>26</v>
      </c>
      <c r="S631" s="11" t="s">
        <v>4120</v>
      </c>
    </row>
    <row r="632" spans="1:19" x14ac:dyDescent="0.2">
      <c r="A632" s="33">
        <v>43617</v>
      </c>
      <c r="B632" s="34">
        <v>194</v>
      </c>
      <c r="C632" s="35" t="s">
        <v>554</v>
      </c>
      <c r="D632" s="34" t="str">
        <f>VLOOKUP(C632,'PUR-PARTY MASTER'!$B$4:$E$2000,2,FALSE)</f>
        <v>27AACFA1881H1ZL</v>
      </c>
      <c r="E632" s="34" t="s">
        <v>22</v>
      </c>
      <c r="F632" s="134">
        <v>3438</v>
      </c>
      <c r="G632" s="37">
        <v>43643</v>
      </c>
      <c r="H632" s="34">
        <v>87141900</v>
      </c>
      <c r="I632" s="39">
        <f>VLOOKUP(H632,'PUR-HSN MASTER'!$A$4:$E$5000,5,FALSE)</f>
        <v>28</v>
      </c>
      <c r="J632" s="38">
        <v>1790</v>
      </c>
      <c r="K632" s="40">
        <v>4528.5</v>
      </c>
      <c r="L632" s="39">
        <v>0</v>
      </c>
      <c r="M632" s="39">
        <v>633.99</v>
      </c>
      <c r="N632" s="39">
        <v>633.99</v>
      </c>
      <c r="O632" s="39">
        <v>0</v>
      </c>
      <c r="P632" s="39">
        <v>5796.48</v>
      </c>
      <c r="Q632" s="34" t="s">
        <v>410</v>
      </c>
      <c r="R632" s="34" t="s">
        <v>26</v>
      </c>
      <c r="S632" s="11" t="s">
        <v>4120</v>
      </c>
    </row>
    <row r="633" spans="1:19" x14ac:dyDescent="0.2">
      <c r="A633" s="33">
        <v>43617</v>
      </c>
      <c r="B633" s="34">
        <v>195</v>
      </c>
      <c r="C633" s="35" t="s">
        <v>554</v>
      </c>
      <c r="D633" s="34" t="str">
        <f>VLOOKUP(C633,'PUR-PARTY MASTER'!$B$4:$E$2000,2,FALSE)</f>
        <v>27AACFA1881H1ZL</v>
      </c>
      <c r="E633" s="34" t="s">
        <v>22</v>
      </c>
      <c r="F633" s="134">
        <v>3445</v>
      </c>
      <c r="G633" s="37">
        <v>43643</v>
      </c>
      <c r="H633" s="34">
        <v>87141900</v>
      </c>
      <c r="I633" s="39">
        <f>VLOOKUP(H633,'PUR-HSN MASTER'!$A$4:$E$5000,5,FALSE)</f>
        <v>28</v>
      </c>
      <c r="J633" s="38">
        <v>1250</v>
      </c>
      <c r="K633" s="40">
        <v>3530.5</v>
      </c>
      <c r="L633" s="39">
        <v>0</v>
      </c>
      <c r="M633" s="39">
        <v>494.27</v>
      </c>
      <c r="N633" s="39">
        <v>494.27</v>
      </c>
      <c r="O633" s="39">
        <v>0</v>
      </c>
      <c r="P633" s="39">
        <v>4519.04</v>
      </c>
      <c r="Q633" s="34" t="s">
        <v>410</v>
      </c>
      <c r="R633" s="34" t="s">
        <v>26</v>
      </c>
      <c r="S633" s="11" t="s">
        <v>4120</v>
      </c>
    </row>
    <row r="634" spans="1:19" x14ac:dyDescent="0.2">
      <c r="A634" s="33">
        <v>43617</v>
      </c>
      <c r="B634" s="34">
        <v>196</v>
      </c>
      <c r="C634" s="35" t="s">
        <v>554</v>
      </c>
      <c r="D634" s="34" t="str">
        <f>VLOOKUP(C634,'PUR-PARTY MASTER'!$B$4:$E$2000,2,FALSE)</f>
        <v>27AACFA1881H1ZL</v>
      </c>
      <c r="E634" s="34" t="s">
        <v>22</v>
      </c>
      <c r="F634" s="134">
        <v>3494</v>
      </c>
      <c r="G634" s="37">
        <v>43644</v>
      </c>
      <c r="H634" s="34">
        <v>87141900</v>
      </c>
      <c r="I634" s="39">
        <f>VLOOKUP(H634,'PUR-HSN MASTER'!$A$4:$E$5000,5,FALSE)</f>
        <v>28</v>
      </c>
      <c r="J634" s="38">
        <v>1300</v>
      </c>
      <c r="K634" s="40">
        <v>4095</v>
      </c>
      <c r="L634" s="39">
        <v>0</v>
      </c>
      <c r="M634" s="39">
        <v>573.30000000000007</v>
      </c>
      <c r="N634" s="39">
        <v>573.30000000000007</v>
      </c>
      <c r="O634" s="39">
        <v>0</v>
      </c>
      <c r="P634" s="39">
        <v>5241.6000000000004</v>
      </c>
      <c r="Q634" s="34" t="s">
        <v>410</v>
      </c>
      <c r="R634" s="34" t="s">
        <v>26</v>
      </c>
      <c r="S634" s="11" t="s">
        <v>4120</v>
      </c>
    </row>
    <row r="635" spans="1:19" x14ac:dyDescent="0.2">
      <c r="A635" s="33">
        <v>43617</v>
      </c>
      <c r="B635" s="34">
        <v>197</v>
      </c>
      <c r="C635" s="35" t="s">
        <v>554</v>
      </c>
      <c r="D635" s="34" t="str">
        <f>VLOOKUP(C635,'PUR-PARTY MASTER'!$B$4:$E$2000,2,FALSE)</f>
        <v>27AACFA1881H1ZL</v>
      </c>
      <c r="E635" s="34" t="s">
        <v>22</v>
      </c>
      <c r="F635" s="134">
        <v>3495</v>
      </c>
      <c r="G635" s="37">
        <v>43644</v>
      </c>
      <c r="H635" s="34">
        <v>87141900</v>
      </c>
      <c r="I635" s="39">
        <f>VLOOKUP(H635,'PUR-HSN MASTER'!$A$4:$E$5000,5,FALSE)</f>
        <v>28</v>
      </c>
      <c r="J635" s="38">
        <v>200</v>
      </c>
      <c r="K635" s="40">
        <v>482</v>
      </c>
      <c r="L635" s="39">
        <v>0</v>
      </c>
      <c r="M635" s="39">
        <v>67.48</v>
      </c>
      <c r="N635" s="39">
        <v>67.48</v>
      </c>
      <c r="O635" s="39">
        <v>0</v>
      </c>
      <c r="P635" s="39">
        <v>616.96</v>
      </c>
      <c r="Q635" s="34" t="s">
        <v>410</v>
      </c>
      <c r="R635" s="34" t="s">
        <v>26</v>
      </c>
      <c r="S635" s="11" t="s">
        <v>4120</v>
      </c>
    </row>
    <row r="636" spans="1:19" x14ac:dyDescent="0.2">
      <c r="A636" s="33">
        <v>43617</v>
      </c>
      <c r="B636" s="34">
        <v>198</v>
      </c>
      <c r="C636" s="35" t="s">
        <v>554</v>
      </c>
      <c r="D636" s="34" t="str">
        <f>VLOOKUP(C636,'PUR-PARTY MASTER'!$B$4:$E$2000,2,FALSE)</f>
        <v>27AACFA1881H1ZL</v>
      </c>
      <c r="E636" s="34" t="s">
        <v>22</v>
      </c>
      <c r="F636" s="134">
        <v>3499</v>
      </c>
      <c r="G636" s="37">
        <v>43644</v>
      </c>
      <c r="H636" s="34">
        <v>87141900</v>
      </c>
      <c r="I636" s="39">
        <f>VLOOKUP(H636,'PUR-HSN MASTER'!$A$4:$E$5000,5,FALSE)</f>
        <v>28</v>
      </c>
      <c r="J636" s="38">
        <v>1900</v>
      </c>
      <c r="K636" s="40">
        <v>5319</v>
      </c>
      <c r="L636" s="39">
        <v>0</v>
      </c>
      <c r="M636" s="39">
        <v>744.66</v>
      </c>
      <c r="N636" s="39">
        <v>744.66</v>
      </c>
      <c r="O636" s="39">
        <v>0</v>
      </c>
      <c r="P636" s="39">
        <v>6808.32</v>
      </c>
      <c r="Q636" s="34" t="s">
        <v>410</v>
      </c>
      <c r="R636" s="34" t="s">
        <v>26</v>
      </c>
      <c r="S636" s="11" t="s">
        <v>4120</v>
      </c>
    </row>
    <row r="637" spans="1:19" x14ac:dyDescent="0.2">
      <c r="A637" s="33">
        <v>43617</v>
      </c>
      <c r="B637" s="34">
        <v>199</v>
      </c>
      <c r="C637" s="35" t="s">
        <v>493</v>
      </c>
      <c r="D637" s="34" t="str">
        <f>VLOOKUP(C637,'PUR-PARTY MASTER'!$B$4:$E$2000,2,FALSE)</f>
        <v>27AMMPB3648M1ZO</v>
      </c>
      <c r="E637" s="34" t="s">
        <v>22</v>
      </c>
      <c r="F637" s="134">
        <v>1601</v>
      </c>
      <c r="G637" s="37">
        <v>43644</v>
      </c>
      <c r="H637" s="34">
        <v>85129000</v>
      </c>
      <c r="I637" s="39">
        <f>VLOOKUP(H637,'PUR-HSN MASTER'!$A$4:$E$5000,5,FALSE)</f>
        <v>18</v>
      </c>
      <c r="J637" s="38">
        <v>519</v>
      </c>
      <c r="K637" s="40">
        <v>11931.81</v>
      </c>
      <c r="L637" s="39">
        <v>0</v>
      </c>
      <c r="M637" s="39">
        <v>1073.8629000000001</v>
      </c>
      <c r="N637" s="39">
        <v>1073.8629000000001</v>
      </c>
      <c r="O637" s="39">
        <v>0</v>
      </c>
      <c r="P637" s="39">
        <v>14079.995799999999</v>
      </c>
      <c r="Q637" s="34" t="s">
        <v>410</v>
      </c>
      <c r="R637" s="34" t="s">
        <v>26</v>
      </c>
      <c r="S637" s="11" t="s">
        <v>4120</v>
      </c>
    </row>
    <row r="638" spans="1:19" x14ac:dyDescent="0.2">
      <c r="A638" s="33">
        <v>43617</v>
      </c>
      <c r="B638" s="34">
        <v>200</v>
      </c>
      <c r="C638" s="35" t="s">
        <v>495</v>
      </c>
      <c r="D638" s="34" t="str">
        <f>VLOOKUP(C638,'PUR-PARTY MASTER'!$B$4:$E$2000,2,FALSE)</f>
        <v>27AAACH4211R1ZF</v>
      </c>
      <c r="E638" s="34" t="s">
        <v>22</v>
      </c>
      <c r="F638" s="134">
        <v>5510049947</v>
      </c>
      <c r="G638" s="37">
        <v>43644</v>
      </c>
      <c r="H638" s="34">
        <v>85129000</v>
      </c>
      <c r="I638" s="39">
        <f>VLOOKUP(H638,'PUR-HSN MASTER'!$A$4:$E$5000,5,FALSE)</f>
        <v>18</v>
      </c>
      <c r="J638" s="38">
        <v>2400</v>
      </c>
      <c r="K638" s="40">
        <v>26544</v>
      </c>
      <c r="L638" s="39">
        <v>0</v>
      </c>
      <c r="M638" s="39">
        <v>2388.96</v>
      </c>
      <c r="N638" s="39">
        <v>2388.96</v>
      </c>
      <c r="O638" s="39">
        <v>0</v>
      </c>
      <c r="P638" s="39">
        <v>31321.919999999998</v>
      </c>
      <c r="Q638" s="34" t="s">
        <v>410</v>
      </c>
      <c r="R638" s="34" t="s">
        <v>26</v>
      </c>
      <c r="S638" s="11" t="s">
        <v>4120</v>
      </c>
    </row>
    <row r="639" spans="1:19" x14ac:dyDescent="0.2">
      <c r="A639" s="33">
        <v>43617</v>
      </c>
      <c r="B639" s="34">
        <v>201</v>
      </c>
      <c r="C639" s="35" t="s">
        <v>554</v>
      </c>
      <c r="D639" s="34" t="str">
        <f>VLOOKUP(C639,'PUR-PARTY MASTER'!$B$4:$E$2000,2,FALSE)</f>
        <v>27AACFA1881H1ZL</v>
      </c>
      <c r="E639" s="34" t="s">
        <v>22</v>
      </c>
      <c r="F639" s="134">
        <v>3554</v>
      </c>
      <c r="G639" s="37">
        <v>43645</v>
      </c>
      <c r="H639" s="34">
        <v>87141900</v>
      </c>
      <c r="I639" s="39">
        <f>VLOOKUP(H639,'PUR-HSN MASTER'!$A$4:$E$5000,5,FALSE)</f>
        <v>28</v>
      </c>
      <c r="J639" s="38">
        <v>900</v>
      </c>
      <c r="K639" s="40">
        <v>2539</v>
      </c>
      <c r="L639" s="39">
        <v>0</v>
      </c>
      <c r="M639" s="39">
        <v>355.46000000000004</v>
      </c>
      <c r="N639" s="39">
        <v>355.46000000000004</v>
      </c>
      <c r="O639" s="39">
        <v>0</v>
      </c>
      <c r="P639" s="39">
        <v>3249.92</v>
      </c>
      <c r="Q639" s="34" t="s">
        <v>410</v>
      </c>
      <c r="R639" s="34" t="s">
        <v>26</v>
      </c>
      <c r="S639" s="11" t="s">
        <v>4120</v>
      </c>
    </row>
    <row r="640" spans="1:19" x14ac:dyDescent="0.2">
      <c r="A640" s="33">
        <v>43617</v>
      </c>
      <c r="B640" s="34">
        <v>202</v>
      </c>
      <c r="C640" s="35" t="s">
        <v>554</v>
      </c>
      <c r="D640" s="34" t="str">
        <f>VLOOKUP(C640,'PUR-PARTY MASTER'!$B$4:$E$2000,2,FALSE)</f>
        <v>27AACFA1881H1ZL</v>
      </c>
      <c r="E640" s="34" t="s">
        <v>22</v>
      </c>
      <c r="F640" s="134">
        <v>3555</v>
      </c>
      <c r="G640" s="37">
        <v>43645</v>
      </c>
      <c r="H640" s="34">
        <v>87141900</v>
      </c>
      <c r="I640" s="39">
        <f>VLOOKUP(H640,'PUR-HSN MASTER'!$A$4:$E$5000,5,FALSE)</f>
        <v>28</v>
      </c>
      <c r="J640" s="38">
        <v>950</v>
      </c>
      <c r="K640" s="40">
        <v>2585.5</v>
      </c>
      <c r="L640" s="39">
        <v>0</v>
      </c>
      <c r="M640" s="39">
        <v>361.97</v>
      </c>
      <c r="N640" s="39">
        <v>361.97</v>
      </c>
      <c r="O640" s="39">
        <v>0</v>
      </c>
      <c r="P640" s="39">
        <v>3309.4400000000005</v>
      </c>
      <c r="Q640" s="34" t="s">
        <v>410</v>
      </c>
      <c r="R640" s="34" t="s">
        <v>26</v>
      </c>
      <c r="S640" s="11" t="s">
        <v>4120</v>
      </c>
    </row>
    <row r="641" spans="1:19" x14ac:dyDescent="0.2">
      <c r="A641" s="33">
        <v>43617</v>
      </c>
      <c r="B641" s="34">
        <v>203</v>
      </c>
      <c r="C641" s="35" t="s">
        <v>551</v>
      </c>
      <c r="D641" s="34" t="str">
        <f>VLOOKUP(C641,'PUR-PARTY MASTER'!$B$4:$E$2000,2,FALSE)</f>
        <v>27AHVPG8951G1ZQ</v>
      </c>
      <c r="E641" s="34" t="s">
        <v>22</v>
      </c>
      <c r="F641" s="136" t="s">
        <v>759</v>
      </c>
      <c r="G641" s="37">
        <v>43645</v>
      </c>
      <c r="H641" s="34">
        <v>37079090</v>
      </c>
      <c r="I641" s="39">
        <f>VLOOKUP(H641,'PUR-HSN MASTER'!$A$4:$E$5000,5,FALSE)</f>
        <v>18</v>
      </c>
      <c r="J641" s="38">
        <v>1</v>
      </c>
      <c r="K641" s="40">
        <v>300</v>
      </c>
      <c r="L641" s="39">
        <v>0</v>
      </c>
      <c r="M641" s="39">
        <v>27</v>
      </c>
      <c r="N641" s="39">
        <v>27</v>
      </c>
      <c r="O641" s="39">
        <v>0</v>
      </c>
      <c r="P641" s="39">
        <v>354</v>
      </c>
      <c r="Q641" s="34" t="s">
        <v>410</v>
      </c>
      <c r="R641" s="34" t="s">
        <v>26</v>
      </c>
      <c r="S641" s="11" t="s">
        <v>4120</v>
      </c>
    </row>
    <row r="642" spans="1:19" x14ac:dyDescent="0.2">
      <c r="A642" s="33">
        <v>43617</v>
      </c>
      <c r="B642" s="34">
        <v>204</v>
      </c>
      <c r="C642" s="35" t="s">
        <v>471</v>
      </c>
      <c r="D642" s="34" t="str">
        <f>VLOOKUP(C642,'PUR-PARTY MASTER'!$B$4:$E$2000,2,FALSE)</f>
        <v>27AAECM8871A1ZF</v>
      </c>
      <c r="E642" s="34" t="s">
        <v>22</v>
      </c>
      <c r="F642" s="134">
        <v>192002988</v>
      </c>
      <c r="G642" s="37">
        <v>43645</v>
      </c>
      <c r="H642" s="34">
        <v>87089900</v>
      </c>
      <c r="I642" s="39">
        <f>VLOOKUP(H642,'PUR-HSN MASTER'!$A$4:$E$5000,5,FALSE)</f>
        <v>28</v>
      </c>
      <c r="J642" s="38">
        <v>12</v>
      </c>
      <c r="K642" s="40">
        <v>17483.52</v>
      </c>
      <c r="L642" s="39">
        <v>0</v>
      </c>
      <c r="M642" s="39">
        <v>2447.6928000000003</v>
      </c>
      <c r="N642" s="39">
        <v>2447.6928000000003</v>
      </c>
      <c r="O642" s="39">
        <v>0</v>
      </c>
      <c r="P642" s="39">
        <v>22378.895600000003</v>
      </c>
      <c r="Q642" s="34" t="s">
        <v>410</v>
      </c>
      <c r="R642" s="34" t="s">
        <v>26</v>
      </c>
      <c r="S642" s="11" t="s">
        <v>4120</v>
      </c>
    </row>
    <row r="643" spans="1:19" x14ac:dyDescent="0.2">
      <c r="A643" s="33">
        <v>43617</v>
      </c>
      <c r="B643" s="34">
        <v>205</v>
      </c>
      <c r="C643" s="35" t="s">
        <v>471</v>
      </c>
      <c r="D643" s="34" t="str">
        <f>VLOOKUP(C643,'PUR-PARTY MASTER'!$B$4:$E$2000,2,FALSE)</f>
        <v>27AAECM8871A1ZF</v>
      </c>
      <c r="E643" s="34" t="s">
        <v>22</v>
      </c>
      <c r="F643" s="134">
        <v>192003004</v>
      </c>
      <c r="G643" s="37">
        <v>43645</v>
      </c>
      <c r="H643" s="34">
        <v>87089900</v>
      </c>
      <c r="I643" s="39">
        <f>VLOOKUP(H643,'PUR-HSN MASTER'!$A$4:$E$5000,5,FALSE)</f>
        <v>28</v>
      </c>
      <c r="J643" s="38">
        <v>12</v>
      </c>
      <c r="K643" s="40">
        <v>17483.52</v>
      </c>
      <c r="L643" s="39">
        <v>0</v>
      </c>
      <c r="M643" s="39">
        <v>2447.6928000000003</v>
      </c>
      <c r="N643" s="39">
        <v>2447.6928000000003</v>
      </c>
      <c r="O643" s="39">
        <v>0</v>
      </c>
      <c r="P643" s="39">
        <v>22378.895600000003</v>
      </c>
      <c r="Q643" s="34" t="s">
        <v>410</v>
      </c>
      <c r="R643" s="34" t="s">
        <v>26</v>
      </c>
      <c r="S643" s="11" t="s">
        <v>4120</v>
      </c>
    </row>
    <row r="644" spans="1:19" x14ac:dyDescent="0.2">
      <c r="A644" s="33">
        <v>43617</v>
      </c>
      <c r="B644" s="34">
        <v>206</v>
      </c>
      <c r="C644" s="35" t="s">
        <v>495</v>
      </c>
      <c r="D644" s="34" t="str">
        <f>VLOOKUP(C644,'PUR-PARTY MASTER'!$B$4:$E$2000,2,FALSE)</f>
        <v>27AAACH4211R1ZF</v>
      </c>
      <c r="E644" s="34" t="s">
        <v>22</v>
      </c>
      <c r="F644" s="134">
        <v>5510050108</v>
      </c>
      <c r="G644" s="37">
        <v>43645</v>
      </c>
      <c r="H644" s="34">
        <v>85129000</v>
      </c>
      <c r="I644" s="39">
        <f>VLOOKUP(H644,'PUR-HSN MASTER'!$A$4:$E$5000,5,FALSE)</f>
        <v>18</v>
      </c>
      <c r="J644" s="38">
        <v>2880</v>
      </c>
      <c r="K644" s="40">
        <v>31852.799999999999</v>
      </c>
      <c r="L644" s="39">
        <v>0</v>
      </c>
      <c r="M644" s="39">
        <v>2866.7520000000004</v>
      </c>
      <c r="N644" s="39">
        <v>2866.7520000000004</v>
      </c>
      <c r="O644" s="39">
        <v>0</v>
      </c>
      <c r="P644" s="39">
        <v>37586.303999999996</v>
      </c>
      <c r="Q644" s="34" t="s">
        <v>410</v>
      </c>
      <c r="R644" s="34" t="s">
        <v>26</v>
      </c>
      <c r="S644" s="11" t="s">
        <v>4120</v>
      </c>
    </row>
    <row r="645" spans="1:19" x14ac:dyDescent="0.2">
      <c r="A645" s="33">
        <v>43617</v>
      </c>
      <c r="B645" s="34">
        <v>207</v>
      </c>
      <c r="C645" s="35" t="s">
        <v>554</v>
      </c>
      <c r="D645" s="34" t="str">
        <f>VLOOKUP(C645,'PUR-PARTY MASTER'!$B$4:$E$2000,2,FALSE)</f>
        <v>27AACFA1881H1ZL</v>
      </c>
      <c r="E645" s="34" t="s">
        <v>22</v>
      </c>
      <c r="F645" s="134">
        <v>3597</v>
      </c>
      <c r="G645" s="37">
        <v>43645</v>
      </c>
      <c r="H645" s="34">
        <v>87141900</v>
      </c>
      <c r="I645" s="39">
        <f>VLOOKUP(H645,'PUR-HSN MASTER'!$A$4:$E$5000,5,FALSE)</f>
        <v>28</v>
      </c>
      <c r="J645" s="38">
        <v>1530</v>
      </c>
      <c r="K645" s="40">
        <v>4227.5</v>
      </c>
      <c r="L645" s="39">
        <v>0</v>
      </c>
      <c r="M645" s="39">
        <v>591.85</v>
      </c>
      <c r="N645" s="39">
        <v>591.85</v>
      </c>
      <c r="O645" s="39">
        <v>0</v>
      </c>
      <c r="P645" s="39">
        <v>5411.2000000000007</v>
      </c>
      <c r="Q645" s="34" t="s">
        <v>410</v>
      </c>
      <c r="R645" s="34" t="s">
        <v>26</v>
      </c>
      <c r="S645" s="11" t="s">
        <v>4120</v>
      </c>
    </row>
    <row r="646" spans="1:19" x14ac:dyDescent="0.2">
      <c r="A646" s="33">
        <v>43617</v>
      </c>
      <c r="B646" s="34">
        <v>208</v>
      </c>
      <c r="C646" s="35" t="s">
        <v>518</v>
      </c>
      <c r="D646" s="34" t="str">
        <f>VLOOKUP(C646,'PUR-PARTY MASTER'!$B$4:$E$2000,2,FALSE)</f>
        <v>27AAACB2894G1ZN</v>
      </c>
      <c r="E646" s="34" t="s">
        <v>22</v>
      </c>
      <c r="F646" s="136" t="s">
        <v>760</v>
      </c>
      <c r="G646" s="37">
        <v>43628</v>
      </c>
      <c r="H646" s="34">
        <v>9984</v>
      </c>
      <c r="I646" s="39">
        <f>VLOOKUP(H646,'PUR-HSN MASTER'!$A$4:$E$5000,5,FALSE)</f>
        <v>18</v>
      </c>
      <c r="J646" s="38">
        <v>0</v>
      </c>
      <c r="K646" s="40">
        <v>4935.16</v>
      </c>
      <c r="L646" s="39">
        <v>0</v>
      </c>
      <c r="M646" s="39">
        <v>444.1644</v>
      </c>
      <c r="N646" s="39">
        <v>444.1644</v>
      </c>
      <c r="O646" s="39">
        <v>0</v>
      </c>
      <c r="P646" s="39">
        <v>5823.478799999999</v>
      </c>
      <c r="Q646" s="34" t="s">
        <v>410</v>
      </c>
      <c r="R646" s="34" t="s">
        <v>26</v>
      </c>
      <c r="S646" s="11" t="s">
        <v>4120</v>
      </c>
    </row>
    <row r="647" spans="1:19" x14ac:dyDescent="0.2">
      <c r="A647" s="33">
        <v>43617</v>
      </c>
      <c r="B647" s="34">
        <v>209</v>
      </c>
      <c r="C647" s="35" t="s">
        <v>479</v>
      </c>
      <c r="D647" s="34" t="str">
        <f>VLOOKUP(C647,'PUR-PARTY MASTER'!$B$4:$E$2000,2,FALSE)</f>
        <v>27AAMFC2124K1ZG</v>
      </c>
      <c r="E647" s="34" t="s">
        <v>22</v>
      </c>
      <c r="F647" s="134">
        <v>1105</v>
      </c>
      <c r="G647" s="37">
        <v>43635</v>
      </c>
      <c r="H647" s="34">
        <v>4811</v>
      </c>
      <c r="I647" s="39">
        <f>VLOOKUP(H647,'PUR-HSN MASTER'!$A$4:$E$5000,5,FALSE)</f>
        <v>18</v>
      </c>
      <c r="J647" s="38">
        <v>185</v>
      </c>
      <c r="K647" s="40">
        <v>1295</v>
      </c>
      <c r="L647" s="39">
        <v>0</v>
      </c>
      <c r="M647" s="39">
        <v>116.55</v>
      </c>
      <c r="N647" s="39">
        <v>116.55</v>
      </c>
      <c r="O647" s="39">
        <v>0</v>
      </c>
      <c r="P647" s="39">
        <v>1528.1</v>
      </c>
      <c r="Q647" s="34" t="s">
        <v>410</v>
      </c>
      <c r="R647" s="34" t="s">
        <v>26</v>
      </c>
      <c r="S647" s="11" t="s">
        <v>4120</v>
      </c>
    </row>
    <row r="648" spans="1:19" x14ac:dyDescent="0.2">
      <c r="A648" s="33">
        <v>43617</v>
      </c>
      <c r="B648" s="34">
        <v>210</v>
      </c>
      <c r="C648" s="35" t="s">
        <v>589</v>
      </c>
      <c r="D648" s="34" t="str">
        <f>VLOOKUP(C648,'PUR-PARTY MASTER'!$B$4:$E$2000,2,FALSE)</f>
        <v>27CVNPK1560R1ZT</v>
      </c>
      <c r="E648" s="34" t="s">
        <v>22</v>
      </c>
      <c r="F648" s="134">
        <v>10</v>
      </c>
      <c r="G648" s="37">
        <v>43646</v>
      </c>
      <c r="H648" s="34">
        <v>73110010</v>
      </c>
      <c r="I648" s="39">
        <f>VLOOKUP(H648,'PUR-HSN MASTER'!$A$4:$E$5000,5,FALSE)</f>
        <v>18</v>
      </c>
      <c r="J648" s="38">
        <v>60</v>
      </c>
      <c r="K648" s="40">
        <v>156583.95000000001</v>
      </c>
      <c r="L648" s="39">
        <v>0</v>
      </c>
      <c r="M648" s="39">
        <v>14092.5555</v>
      </c>
      <c r="N648" s="39">
        <v>14092.5555</v>
      </c>
      <c r="O648" s="39">
        <v>0</v>
      </c>
      <c r="P648" s="39">
        <v>184769.06099999999</v>
      </c>
      <c r="Q648" s="34" t="s">
        <v>410</v>
      </c>
      <c r="R648" s="34" t="s">
        <v>26</v>
      </c>
      <c r="S648" s="11" t="s">
        <v>4120</v>
      </c>
    </row>
    <row r="649" spans="1:19" x14ac:dyDescent="0.2">
      <c r="A649" s="33">
        <v>43617</v>
      </c>
      <c r="B649" s="34">
        <v>211</v>
      </c>
      <c r="C649" s="35" t="s">
        <v>517</v>
      </c>
      <c r="D649" s="34" t="str">
        <f>VLOOKUP(C649,'PUR-PARTY MASTER'!$B$4:$E$2000,2,FALSE)</f>
        <v>23AAACT6376M1ZZ</v>
      </c>
      <c r="E649" s="34" t="s">
        <v>22</v>
      </c>
      <c r="F649" s="134">
        <v>19608078</v>
      </c>
      <c r="G649" s="37">
        <v>43644</v>
      </c>
      <c r="H649" s="34">
        <v>87081090</v>
      </c>
      <c r="I649" s="39">
        <f>VLOOKUP(H649,'PUR-HSN MASTER'!$A$4:$E$5000,5,FALSE)</f>
        <v>28</v>
      </c>
      <c r="J649" s="38">
        <v>20</v>
      </c>
      <c r="K649" s="40">
        <v>12571</v>
      </c>
      <c r="L649" s="39">
        <v>3519.8799999999997</v>
      </c>
      <c r="M649" s="39">
        <v>0</v>
      </c>
      <c r="N649" s="39">
        <v>0</v>
      </c>
      <c r="O649" s="39">
        <v>0</v>
      </c>
      <c r="P649" s="39">
        <v>16090.88</v>
      </c>
      <c r="Q649" s="34" t="s">
        <v>410</v>
      </c>
      <c r="R649" s="34" t="s">
        <v>106</v>
      </c>
      <c r="S649" s="11" t="s">
        <v>4120</v>
      </c>
    </row>
    <row r="650" spans="1:19" x14ac:dyDescent="0.2">
      <c r="A650" s="33">
        <v>43617</v>
      </c>
      <c r="B650" s="34">
        <v>212</v>
      </c>
      <c r="C650" s="35" t="s">
        <v>761</v>
      </c>
      <c r="D650" s="34" t="str">
        <f>VLOOKUP(C650,'PUR-PARTY MASTER'!$B$4:$E$2000,2,FALSE)</f>
        <v>27ACPPS1076B1ZI</v>
      </c>
      <c r="E650" s="34" t="s">
        <v>22</v>
      </c>
      <c r="F650" s="136" t="s">
        <v>763</v>
      </c>
      <c r="G650" s="37">
        <v>43635</v>
      </c>
      <c r="H650" s="34">
        <v>73182100</v>
      </c>
      <c r="I650" s="39">
        <f>VLOOKUP(H650,'PUR-HSN MASTER'!$A$4:$E$5000,5,FALSE)</f>
        <v>18</v>
      </c>
      <c r="J650" s="38">
        <v>5000</v>
      </c>
      <c r="K650" s="40">
        <v>4200</v>
      </c>
      <c r="L650" s="39">
        <v>0</v>
      </c>
      <c r="M650" s="39">
        <v>378</v>
      </c>
      <c r="N650" s="39">
        <v>378</v>
      </c>
      <c r="O650" s="39">
        <v>0</v>
      </c>
      <c r="P650" s="39">
        <v>4956</v>
      </c>
      <c r="Q650" s="34" t="s">
        <v>410</v>
      </c>
      <c r="R650" s="34" t="s">
        <v>26</v>
      </c>
      <c r="S650" s="11" t="s">
        <v>4120</v>
      </c>
    </row>
    <row r="651" spans="1:19" x14ac:dyDescent="0.2">
      <c r="A651" s="33">
        <v>43617</v>
      </c>
      <c r="B651" s="34">
        <v>213</v>
      </c>
      <c r="C651" s="35" t="s">
        <v>551</v>
      </c>
      <c r="D651" s="34" t="str">
        <f>VLOOKUP(C651,'PUR-PARTY MASTER'!$B$4:$E$2000,2,FALSE)</f>
        <v>27AHVPG8951G1ZQ</v>
      </c>
      <c r="E651" s="34" t="s">
        <v>22</v>
      </c>
      <c r="F651" s="136" t="s">
        <v>764</v>
      </c>
      <c r="G651" s="37">
        <v>43642</v>
      </c>
      <c r="H651" s="34">
        <v>84439959</v>
      </c>
      <c r="I651" s="39">
        <f>VLOOKUP(H651,'PUR-HSN MASTER'!$A$4:$E$5000,5,FALSE)</f>
        <v>18</v>
      </c>
      <c r="J651" s="38">
        <v>0</v>
      </c>
      <c r="K651" s="40">
        <v>950</v>
      </c>
      <c r="L651" s="39">
        <v>0</v>
      </c>
      <c r="M651" s="39">
        <v>85.5</v>
      </c>
      <c r="N651" s="39">
        <v>85.5</v>
      </c>
      <c r="O651" s="39">
        <v>0</v>
      </c>
      <c r="P651" s="39">
        <v>1121</v>
      </c>
      <c r="Q651" s="34" t="s">
        <v>410</v>
      </c>
      <c r="R651" s="34" t="s">
        <v>26</v>
      </c>
      <c r="S651" s="11" t="s">
        <v>4120</v>
      </c>
    </row>
    <row r="652" spans="1:19" x14ac:dyDescent="0.2">
      <c r="A652" s="33">
        <v>43617</v>
      </c>
      <c r="B652" s="34">
        <v>214</v>
      </c>
      <c r="C652" s="35" t="s">
        <v>565</v>
      </c>
      <c r="D652" s="34" t="str">
        <f>VLOOKUP(C652,'PUR-PARTY MASTER'!$B$4:$E$2000,2,FALSE)</f>
        <v>27ADOPJ4418Q1ZV</v>
      </c>
      <c r="E652" s="34" t="s">
        <v>22</v>
      </c>
      <c r="F652" s="134">
        <v>4766</v>
      </c>
      <c r="G652" s="37">
        <v>43628</v>
      </c>
      <c r="H652" s="34">
        <v>7318</v>
      </c>
      <c r="I652" s="39">
        <f>VLOOKUP(H652,'PUR-HSN MASTER'!$A$4:$E$5000,5,FALSE)</f>
        <v>18</v>
      </c>
      <c r="J652" s="38">
        <v>100</v>
      </c>
      <c r="K652" s="40">
        <v>1818.8</v>
      </c>
      <c r="L652" s="39">
        <v>0</v>
      </c>
      <c r="M652" s="39">
        <v>163.69199999999998</v>
      </c>
      <c r="N652" s="39">
        <v>163.69199999999998</v>
      </c>
      <c r="O652" s="39">
        <v>0</v>
      </c>
      <c r="P652" s="39">
        <v>2146.1839999999997</v>
      </c>
      <c r="Q652" s="34" t="s">
        <v>410</v>
      </c>
      <c r="R652" s="34" t="s">
        <v>26</v>
      </c>
      <c r="S652" s="11" t="s">
        <v>4120</v>
      </c>
    </row>
    <row r="653" spans="1:19" x14ac:dyDescent="0.2">
      <c r="A653" s="33">
        <v>43617</v>
      </c>
      <c r="B653" s="34"/>
      <c r="C653" s="35" t="s">
        <v>565</v>
      </c>
      <c r="D653" s="34" t="str">
        <f>VLOOKUP(C653,'PUR-PARTY MASTER'!$B$4:$E$2000,2,FALSE)</f>
        <v>27ADOPJ4418Q1ZV</v>
      </c>
      <c r="E653" s="34" t="s">
        <v>22</v>
      </c>
      <c r="F653" s="134">
        <v>4766</v>
      </c>
      <c r="G653" s="37">
        <v>43628</v>
      </c>
      <c r="H653" s="34">
        <v>3208</v>
      </c>
      <c r="I653" s="39">
        <f>VLOOKUP(H653,'PUR-HSN MASTER'!$A$4:$E$5000,5,FALSE)</f>
        <v>18</v>
      </c>
      <c r="J653" s="38">
        <v>2</v>
      </c>
      <c r="K653" s="40">
        <v>120</v>
      </c>
      <c r="L653" s="39">
        <v>0</v>
      </c>
      <c r="M653" s="39">
        <v>10.799999999999999</v>
      </c>
      <c r="N653" s="39">
        <v>10.799999999999999</v>
      </c>
      <c r="O653" s="39">
        <v>0</v>
      </c>
      <c r="P653" s="39">
        <v>141.60000000000002</v>
      </c>
      <c r="Q653" s="34" t="s">
        <v>410</v>
      </c>
      <c r="R653" s="34" t="s">
        <v>26</v>
      </c>
      <c r="S653" s="11" t="s">
        <v>4120</v>
      </c>
    </row>
    <row r="654" spans="1:19" x14ac:dyDescent="0.2">
      <c r="A654" s="33">
        <v>43617</v>
      </c>
      <c r="B654" s="34"/>
      <c r="C654" s="35" t="s">
        <v>565</v>
      </c>
      <c r="D654" s="34" t="str">
        <f>VLOOKUP(C654,'PUR-PARTY MASTER'!$B$4:$E$2000,2,FALSE)</f>
        <v>27ADOPJ4418Q1ZV</v>
      </c>
      <c r="E654" s="34" t="s">
        <v>22</v>
      </c>
      <c r="F654" s="134">
        <v>4766</v>
      </c>
      <c r="G654" s="37">
        <v>43628</v>
      </c>
      <c r="H654" s="34">
        <v>8302</v>
      </c>
      <c r="I654" s="39">
        <f>VLOOKUP(H654,'PUR-HSN MASTER'!$A$4:$E$5000,5,FALSE)</f>
        <v>18</v>
      </c>
      <c r="J654" s="38">
        <v>3</v>
      </c>
      <c r="K654" s="40">
        <v>686</v>
      </c>
      <c r="L654" s="39">
        <v>0</v>
      </c>
      <c r="M654" s="39">
        <v>61.74</v>
      </c>
      <c r="N654" s="39">
        <v>61.74</v>
      </c>
      <c r="O654" s="39">
        <v>0</v>
      </c>
      <c r="P654" s="39">
        <v>809.48</v>
      </c>
      <c r="Q654" s="34" t="s">
        <v>410</v>
      </c>
      <c r="R654" s="34" t="s">
        <v>26</v>
      </c>
      <c r="S654" s="11" t="s">
        <v>4120</v>
      </c>
    </row>
    <row r="655" spans="1:19" x14ac:dyDescent="0.2">
      <c r="A655" s="33">
        <v>43617</v>
      </c>
      <c r="B655" s="34"/>
      <c r="C655" s="35" t="s">
        <v>565</v>
      </c>
      <c r="D655" s="34" t="str">
        <f>VLOOKUP(C655,'PUR-PARTY MASTER'!$B$4:$E$2000,2,FALSE)</f>
        <v>27ADOPJ4418Q1ZV</v>
      </c>
      <c r="E655" s="34" t="s">
        <v>22</v>
      </c>
      <c r="F655" s="134">
        <v>4766</v>
      </c>
      <c r="G655" s="37">
        <v>43628</v>
      </c>
      <c r="H655" s="34">
        <v>8414</v>
      </c>
      <c r="I655" s="39">
        <f>VLOOKUP(H655,'PUR-HSN MASTER'!$A$4:$E$5000,5,FALSE)</f>
        <v>18</v>
      </c>
      <c r="J655" s="38">
        <v>3</v>
      </c>
      <c r="K655" s="40">
        <v>800</v>
      </c>
      <c r="L655" s="39">
        <v>0</v>
      </c>
      <c r="M655" s="39">
        <v>72</v>
      </c>
      <c r="N655" s="39">
        <v>72</v>
      </c>
      <c r="O655" s="39">
        <v>0</v>
      </c>
      <c r="P655" s="39">
        <v>944</v>
      </c>
      <c r="Q655" s="34" t="s">
        <v>410</v>
      </c>
      <c r="R655" s="34" t="s">
        <v>26</v>
      </c>
      <c r="S655" s="11" t="s">
        <v>4120</v>
      </c>
    </row>
    <row r="656" spans="1:19" x14ac:dyDescent="0.2">
      <c r="A656" s="33">
        <v>43617</v>
      </c>
      <c r="B656" s="34"/>
      <c r="C656" s="35" t="s">
        <v>565</v>
      </c>
      <c r="D656" s="34" t="str">
        <f>VLOOKUP(C656,'PUR-PARTY MASTER'!$B$4:$E$2000,2,FALSE)</f>
        <v>27ADOPJ4418Q1ZV</v>
      </c>
      <c r="E656" s="34" t="s">
        <v>22</v>
      </c>
      <c r="F656" s="134">
        <v>4766</v>
      </c>
      <c r="G656" s="37">
        <v>43628</v>
      </c>
      <c r="H656" s="34">
        <v>7314</v>
      </c>
      <c r="I656" s="39">
        <f>VLOOKUP(H656,'PUR-HSN MASTER'!$A$4:$E$5000,5,FALSE)</f>
        <v>18</v>
      </c>
      <c r="J656" s="38">
        <v>5</v>
      </c>
      <c r="K656" s="40">
        <v>3080.6</v>
      </c>
      <c r="L656" s="39">
        <v>0</v>
      </c>
      <c r="M656" s="39">
        <v>277.25399999999996</v>
      </c>
      <c r="N656" s="39">
        <v>277.25399999999996</v>
      </c>
      <c r="O656" s="39">
        <v>0</v>
      </c>
      <c r="P656" s="39">
        <v>3635.1079999999997</v>
      </c>
      <c r="Q656" s="34" t="s">
        <v>410</v>
      </c>
      <c r="R656" s="34" t="s">
        <v>26</v>
      </c>
      <c r="S656" s="11" t="s">
        <v>4120</v>
      </c>
    </row>
    <row r="657" spans="1:19" x14ac:dyDescent="0.2">
      <c r="A657" s="33">
        <v>43617</v>
      </c>
      <c r="B657" s="34"/>
      <c r="C657" s="35" t="s">
        <v>565</v>
      </c>
      <c r="D657" s="34" t="str">
        <f>VLOOKUP(C657,'PUR-PARTY MASTER'!$B$4:$E$2000,2,FALSE)</f>
        <v>27ADOPJ4418Q1ZV</v>
      </c>
      <c r="E657" s="34" t="s">
        <v>22</v>
      </c>
      <c r="F657" s="134">
        <v>4766</v>
      </c>
      <c r="G657" s="37">
        <v>43628</v>
      </c>
      <c r="H657" s="34">
        <v>9004</v>
      </c>
      <c r="I657" s="39">
        <f>VLOOKUP(H657,'PUR-HSN MASTER'!$A$4:$E$5000,5,FALSE)</f>
        <v>18</v>
      </c>
      <c r="J657" s="38">
        <v>1</v>
      </c>
      <c r="K657" s="40">
        <v>40</v>
      </c>
      <c r="L657" s="39">
        <v>0</v>
      </c>
      <c r="M657" s="39">
        <v>3.6</v>
      </c>
      <c r="N657" s="39">
        <v>3.6</v>
      </c>
      <c r="O657" s="39">
        <v>0</v>
      </c>
      <c r="P657" s="39">
        <v>47.2</v>
      </c>
      <c r="Q657" s="34" t="s">
        <v>410</v>
      </c>
      <c r="R657" s="34" t="s">
        <v>26</v>
      </c>
      <c r="S657" s="11" t="s">
        <v>4120</v>
      </c>
    </row>
    <row r="658" spans="1:19" x14ac:dyDescent="0.2">
      <c r="A658" s="33">
        <v>43617</v>
      </c>
      <c r="B658" s="34"/>
      <c r="C658" s="35" t="s">
        <v>565</v>
      </c>
      <c r="D658" s="34" t="str">
        <f>VLOOKUP(C658,'PUR-PARTY MASTER'!$B$4:$E$2000,2,FALSE)</f>
        <v>27ADOPJ4418Q1ZV</v>
      </c>
      <c r="E658" s="34" t="s">
        <v>22</v>
      </c>
      <c r="F658" s="134">
        <v>4766</v>
      </c>
      <c r="G658" s="37">
        <v>43628</v>
      </c>
      <c r="H658" s="34">
        <v>2509</v>
      </c>
      <c r="I658" s="39">
        <f>VLOOKUP(H658,'PUR-HSN MASTER'!$A$4:$E$5000,5,FALSE)</f>
        <v>5</v>
      </c>
      <c r="J658" s="38">
        <v>4</v>
      </c>
      <c r="K658" s="40">
        <v>320</v>
      </c>
      <c r="L658" s="39">
        <v>0</v>
      </c>
      <c r="M658" s="39">
        <v>8</v>
      </c>
      <c r="N658" s="39">
        <v>8</v>
      </c>
      <c r="O658" s="39">
        <v>0</v>
      </c>
      <c r="P658" s="39">
        <v>336</v>
      </c>
      <c r="Q658" s="34" t="s">
        <v>410</v>
      </c>
      <c r="R658" s="34" t="s">
        <v>26</v>
      </c>
      <c r="S658" s="11" t="s">
        <v>4120</v>
      </c>
    </row>
    <row r="659" spans="1:19" x14ac:dyDescent="0.2">
      <c r="A659" s="33">
        <v>43617</v>
      </c>
      <c r="B659" s="34"/>
      <c r="C659" s="35" t="s">
        <v>565</v>
      </c>
      <c r="D659" s="34" t="str">
        <f>VLOOKUP(C659,'PUR-PARTY MASTER'!$B$4:$E$2000,2,FALSE)</f>
        <v>27ADOPJ4418Q1ZV</v>
      </c>
      <c r="E659" s="34" t="s">
        <v>22</v>
      </c>
      <c r="F659" s="134">
        <v>4766</v>
      </c>
      <c r="G659" s="37">
        <v>43628</v>
      </c>
      <c r="H659" s="34" t="s">
        <v>568</v>
      </c>
      <c r="I659" s="39" t="e">
        <f>VLOOKUP(H659,'PUR-HSN MASTER'!$A$4:$E$5000,5,FALSE)</f>
        <v>#N/A</v>
      </c>
      <c r="J659" s="38">
        <v>2</v>
      </c>
      <c r="K659" s="40">
        <v>711.81</v>
      </c>
      <c r="L659" s="39">
        <v>0</v>
      </c>
      <c r="M659" s="39">
        <v>64.062899999999999</v>
      </c>
      <c r="N659" s="39">
        <v>64.062899999999999</v>
      </c>
      <c r="O659" s="39">
        <v>0</v>
      </c>
      <c r="P659" s="39">
        <v>839.93579999999997</v>
      </c>
      <c r="Q659" s="34" t="s">
        <v>410</v>
      </c>
      <c r="R659" s="34" t="s">
        <v>26</v>
      </c>
      <c r="S659" s="11" t="s">
        <v>4120</v>
      </c>
    </row>
    <row r="660" spans="1:19" x14ac:dyDescent="0.2">
      <c r="A660" s="33">
        <v>43617</v>
      </c>
      <c r="B660" s="34"/>
      <c r="C660" s="35" t="s">
        <v>565</v>
      </c>
      <c r="D660" s="34" t="str">
        <f>VLOOKUP(C660,'PUR-PARTY MASTER'!$B$4:$E$2000,2,FALSE)</f>
        <v>27ADOPJ4418Q1ZV</v>
      </c>
      <c r="E660" s="34" t="s">
        <v>22</v>
      </c>
      <c r="F660" s="134">
        <v>4766</v>
      </c>
      <c r="G660" s="37">
        <v>43628</v>
      </c>
      <c r="H660" s="34">
        <v>8207</v>
      </c>
      <c r="I660" s="39">
        <f>VLOOKUP(H660,'PUR-HSN MASTER'!$A$4:$E$5000,5,FALSE)</f>
        <v>18</v>
      </c>
      <c r="J660" s="38">
        <v>2</v>
      </c>
      <c r="K660" s="40">
        <v>723.6</v>
      </c>
      <c r="L660" s="39">
        <v>0</v>
      </c>
      <c r="M660" s="39">
        <v>65.124000000000009</v>
      </c>
      <c r="N660" s="39">
        <v>65.124000000000009</v>
      </c>
      <c r="O660" s="39">
        <v>0</v>
      </c>
      <c r="P660" s="39">
        <v>853.84800000000007</v>
      </c>
      <c r="Q660" s="34" t="s">
        <v>410</v>
      </c>
      <c r="R660" s="34" t="s">
        <v>26</v>
      </c>
      <c r="S660" s="11" t="s">
        <v>4120</v>
      </c>
    </row>
    <row r="661" spans="1:19" x14ac:dyDescent="0.2">
      <c r="A661" s="33">
        <v>43617</v>
      </c>
      <c r="B661" s="34"/>
      <c r="C661" s="35" t="s">
        <v>565</v>
      </c>
      <c r="D661" s="34" t="str">
        <f>VLOOKUP(C661,'PUR-PARTY MASTER'!$B$4:$E$2000,2,FALSE)</f>
        <v>27ADOPJ4418Q1ZV</v>
      </c>
      <c r="E661" s="34" t="s">
        <v>22</v>
      </c>
      <c r="F661" s="134">
        <v>4766</v>
      </c>
      <c r="G661" s="37">
        <v>43628</v>
      </c>
      <c r="H661" s="34">
        <v>8202</v>
      </c>
      <c r="I661" s="39">
        <f>VLOOKUP(H661,'PUR-HSN MASTER'!$A$4:$E$5000,5,FALSE)</f>
        <v>18</v>
      </c>
      <c r="J661" s="38">
        <v>1</v>
      </c>
      <c r="K661" s="40">
        <v>40</v>
      </c>
      <c r="L661" s="39">
        <v>0</v>
      </c>
      <c r="M661" s="39">
        <v>3.6</v>
      </c>
      <c r="N661" s="39">
        <v>3.6</v>
      </c>
      <c r="O661" s="39">
        <v>0</v>
      </c>
      <c r="P661" s="39">
        <v>47.2</v>
      </c>
      <c r="Q661" s="34" t="s">
        <v>410</v>
      </c>
      <c r="R661" s="34" t="s">
        <v>26</v>
      </c>
      <c r="S661" s="11" t="s">
        <v>4120</v>
      </c>
    </row>
    <row r="662" spans="1:19" x14ac:dyDescent="0.2">
      <c r="A662" s="33">
        <v>43617</v>
      </c>
      <c r="B662" s="34"/>
      <c r="C662" s="35" t="s">
        <v>565</v>
      </c>
      <c r="D662" s="34" t="str">
        <f>VLOOKUP(C662,'PUR-PARTY MASTER'!$B$4:$E$2000,2,FALSE)</f>
        <v>27ADOPJ4418Q1ZV</v>
      </c>
      <c r="E662" s="34" t="s">
        <v>22</v>
      </c>
      <c r="F662" s="134">
        <v>4766</v>
      </c>
      <c r="G662" s="37">
        <v>43628</v>
      </c>
      <c r="H662" s="34">
        <v>8536</v>
      </c>
      <c r="I662" s="39">
        <f>VLOOKUP(H662,'PUR-HSN MASTER'!$A$4:$E$5000,5,FALSE)</f>
        <v>18</v>
      </c>
      <c r="J662" s="38">
        <v>5</v>
      </c>
      <c r="K662" s="40">
        <v>85</v>
      </c>
      <c r="L662" s="39">
        <v>0</v>
      </c>
      <c r="M662" s="39">
        <v>7.6499999999999995</v>
      </c>
      <c r="N662" s="39">
        <v>7.6499999999999995</v>
      </c>
      <c r="O662" s="39">
        <v>0</v>
      </c>
      <c r="P662" s="39">
        <v>100.30000000000001</v>
      </c>
      <c r="Q662" s="34" t="s">
        <v>410</v>
      </c>
      <c r="R662" s="34" t="s">
        <v>26</v>
      </c>
      <c r="S662" s="11" t="s">
        <v>4120</v>
      </c>
    </row>
    <row r="663" spans="1:19" x14ac:dyDescent="0.2">
      <c r="A663" s="33">
        <v>43617</v>
      </c>
      <c r="B663" s="34"/>
      <c r="C663" s="35" t="s">
        <v>565</v>
      </c>
      <c r="D663" s="34" t="str">
        <f>VLOOKUP(C663,'PUR-PARTY MASTER'!$B$4:$E$2000,2,FALSE)</f>
        <v>27ADOPJ4418Q1ZV</v>
      </c>
      <c r="E663" s="34" t="s">
        <v>22</v>
      </c>
      <c r="F663" s="134">
        <v>4766</v>
      </c>
      <c r="G663" s="37">
        <v>43628</v>
      </c>
      <c r="H663" s="34">
        <v>8538</v>
      </c>
      <c r="I663" s="39">
        <f>VLOOKUP(H663,'PUR-HSN MASTER'!$A$4:$E$5000,5,FALSE)</f>
        <v>18</v>
      </c>
      <c r="J663" s="38">
        <v>3</v>
      </c>
      <c r="K663" s="40">
        <v>70</v>
      </c>
      <c r="L663" s="39">
        <v>0</v>
      </c>
      <c r="M663" s="39">
        <v>6.3</v>
      </c>
      <c r="N663" s="39">
        <v>6.3</v>
      </c>
      <c r="O663" s="39">
        <v>0</v>
      </c>
      <c r="P663" s="39">
        <v>82.6</v>
      </c>
      <c r="Q663" s="34" t="s">
        <v>410</v>
      </c>
      <c r="R663" s="34" t="s">
        <v>26</v>
      </c>
      <c r="S663" s="11" t="s">
        <v>4120</v>
      </c>
    </row>
    <row r="664" spans="1:19" x14ac:dyDescent="0.2">
      <c r="A664" s="33">
        <v>43617</v>
      </c>
      <c r="B664" s="34"/>
      <c r="C664" s="35" t="s">
        <v>565</v>
      </c>
      <c r="D664" s="34" t="str">
        <f>VLOOKUP(C664,'PUR-PARTY MASTER'!$B$4:$E$2000,2,FALSE)</f>
        <v>27ADOPJ4418Q1ZV</v>
      </c>
      <c r="E664" s="34" t="s">
        <v>22</v>
      </c>
      <c r="F664" s="134">
        <v>4766</v>
      </c>
      <c r="G664" s="37">
        <v>43628</v>
      </c>
      <c r="H664" s="34">
        <v>8205</v>
      </c>
      <c r="I664" s="39">
        <f>VLOOKUP(H664,'PUR-HSN MASTER'!$A$4:$E$5000,5,FALSE)</f>
        <v>18</v>
      </c>
      <c r="J664" s="38">
        <v>6</v>
      </c>
      <c r="K664" s="40">
        <v>60</v>
      </c>
      <c r="L664" s="39">
        <v>0</v>
      </c>
      <c r="M664" s="39">
        <v>5.3999999999999995</v>
      </c>
      <c r="N664" s="39">
        <v>5.3999999999999995</v>
      </c>
      <c r="O664" s="39">
        <v>0</v>
      </c>
      <c r="P664" s="39">
        <v>70.800000000000011</v>
      </c>
      <c r="Q664" s="34" t="s">
        <v>410</v>
      </c>
      <c r="R664" s="34" t="s">
        <v>26</v>
      </c>
      <c r="S664" s="11" t="s">
        <v>4120</v>
      </c>
    </row>
    <row r="665" spans="1:19" x14ac:dyDescent="0.2">
      <c r="A665" s="33">
        <v>43617</v>
      </c>
      <c r="B665" s="34"/>
      <c r="C665" s="35" t="s">
        <v>565</v>
      </c>
      <c r="D665" s="34" t="str">
        <f>VLOOKUP(C665,'PUR-PARTY MASTER'!$B$4:$E$2000,2,FALSE)</f>
        <v>27ADOPJ4418Q1ZV</v>
      </c>
      <c r="E665" s="34" t="s">
        <v>22</v>
      </c>
      <c r="F665" s="134">
        <v>4766</v>
      </c>
      <c r="G665" s="37">
        <v>43628</v>
      </c>
      <c r="H665" s="34">
        <v>7317</v>
      </c>
      <c r="I665" s="39">
        <f>VLOOKUP(H665,'PUR-HSN MASTER'!$A$4:$E$5000,5,FALSE)</f>
        <v>18</v>
      </c>
      <c r="J665" s="38">
        <v>5</v>
      </c>
      <c r="K665" s="40">
        <v>375</v>
      </c>
      <c r="L665" s="39">
        <v>0</v>
      </c>
      <c r="M665" s="39">
        <v>33.75</v>
      </c>
      <c r="N665" s="39">
        <v>33.75</v>
      </c>
      <c r="O665" s="39">
        <v>0</v>
      </c>
      <c r="P665" s="39">
        <v>442.5</v>
      </c>
      <c r="Q665" s="34" t="s">
        <v>410</v>
      </c>
      <c r="R665" s="34" t="s">
        <v>26</v>
      </c>
      <c r="S665" s="11" t="s">
        <v>4120</v>
      </c>
    </row>
    <row r="666" spans="1:19" x14ac:dyDescent="0.2">
      <c r="A666" s="33">
        <v>43617</v>
      </c>
      <c r="B666" s="34"/>
      <c r="C666" s="35" t="s">
        <v>565</v>
      </c>
      <c r="D666" s="34" t="str">
        <f>VLOOKUP(C666,'PUR-PARTY MASTER'!$B$4:$E$2000,2,FALSE)</f>
        <v>27ADOPJ4418Q1ZV</v>
      </c>
      <c r="E666" s="34" t="s">
        <v>22</v>
      </c>
      <c r="F666" s="134">
        <v>4766</v>
      </c>
      <c r="G666" s="37">
        <v>43628</v>
      </c>
      <c r="H666" s="34">
        <v>9017</v>
      </c>
      <c r="I666" s="39">
        <f>VLOOKUP(H666,'PUR-HSN MASTER'!$A$4:$E$5000,5,FALSE)</f>
        <v>18</v>
      </c>
      <c r="J666" s="38">
        <v>1</v>
      </c>
      <c r="K666" s="40">
        <v>90</v>
      </c>
      <c r="L666" s="39">
        <v>0</v>
      </c>
      <c r="M666" s="39">
        <v>8.1</v>
      </c>
      <c r="N666" s="39">
        <v>8.1</v>
      </c>
      <c r="O666" s="39">
        <v>0</v>
      </c>
      <c r="P666" s="39">
        <v>106.19999999999999</v>
      </c>
      <c r="Q666" s="34" t="s">
        <v>410</v>
      </c>
      <c r="R666" s="34" t="s">
        <v>26</v>
      </c>
      <c r="S666" s="11" t="s">
        <v>4120</v>
      </c>
    </row>
    <row r="667" spans="1:19" x14ac:dyDescent="0.2">
      <c r="A667" s="33">
        <v>43617</v>
      </c>
      <c r="B667" s="34">
        <v>215</v>
      </c>
      <c r="C667" s="35" t="s">
        <v>556</v>
      </c>
      <c r="D667" s="34" t="str">
        <f>VLOOKUP(C667,'PUR-PARTY MASTER'!$B$4:$E$2000,2,FALSE)</f>
        <v>27AAQCS7977M1Z3</v>
      </c>
      <c r="E667" s="34" t="s">
        <v>22</v>
      </c>
      <c r="F667" s="136" t="s">
        <v>765</v>
      </c>
      <c r="G667" s="37">
        <v>43645</v>
      </c>
      <c r="H667" s="34">
        <v>38140020</v>
      </c>
      <c r="I667" s="39">
        <f>VLOOKUP(H667,'PUR-HSN MASTER'!$A$4:$E$5000,5,FALSE)</f>
        <v>18</v>
      </c>
      <c r="J667" s="38">
        <v>200</v>
      </c>
      <c r="K667" s="40">
        <v>12200</v>
      </c>
      <c r="L667" s="39">
        <v>0</v>
      </c>
      <c r="M667" s="39">
        <v>1098</v>
      </c>
      <c r="N667" s="39">
        <v>1098</v>
      </c>
      <c r="O667" s="39">
        <v>0</v>
      </c>
      <c r="P667" s="39">
        <v>14396</v>
      </c>
      <c r="Q667" s="34" t="s">
        <v>410</v>
      </c>
      <c r="R667" s="34" t="s">
        <v>26</v>
      </c>
      <c r="S667" s="11" t="s">
        <v>4120</v>
      </c>
    </row>
    <row r="668" spans="1:19" x14ac:dyDescent="0.2">
      <c r="A668" s="33">
        <v>43617</v>
      </c>
      <c r="B668" s="34">
        <v>216</v>
      </c>
      <c r="C668" s="35" t="s">
        <v>514</v>
      </c>
      <c r="D668" s="34" t="str">
        <f>VLOOKUP(C668,'PUR-PARTY MASTER'!$B$4:$E$2000,2,FALSE)</f>
        <v>27AAACU2414K1ZF</v>
      </c>
      <c r="E668" s="34" t="s">
        <v>22</v>
      </c>
      <c r="F668" s="136" t="s">
        <v>766</v>
      </c>
      <c r="G668" s="37">
        <v>43621</v>
      </c>
      <c r="H668" s="34">
        <v>9971</v>
      </c>
      <c r="I668" s="39">
        <f>VLOOKUP(H668,'PUR-HSN MASTER'!$A$4:$E$5000,5,FALSE)</f>
        <v>18</v>
      </c>
      <c r="J668" s="38">
        <v>0</v>
      </c>
      <c r="K668" s="40">
        <v>5</v>
      </c>
      <c r="L668" s="39">
        <v>0</v>
      </c>
      <c r="M668" s="39">
        <v>0.45</v>
      </c>
      <c r="N668" s="39">
        <v>0.45</v>
      </c>
      <c r="O668" s="39">
        <v>0</v>
      </c>
      <c r="P668" s="39">
        <v>5.9</v>
      </c>
      <c r="Q668" s="34" t="s">
        <v>411</v>
      </c>
      <c r="R668" s="34" t="s">
        <v>26</v>
      </c>
      <c r="S668" s="11" t="s">
        <v>4120</v>
      </c>
    </row>
    <row r="669" spans="1:19" x14ac:dyDescent="0.2">
      <c r="A669" s="33">
        <v>43617</v>
      </c>
      <c r="B669" s="34">
        <v>217</v>
      </c>
      <c r="C669" s="35" t="s">
        <v>514</v>
      </c>
      <c r="D669" s="34" t="str">
        <f>VLOOKUP(C669,'PUR-PARTY MASTER'!$B$4:$E$2000,2,FALSE)</f>
        <v>27AAACU2414K1ZF</v>
      </c>
      <c r="E669" s="34" t="s">
        <v>22</v>
      </c>
      <c r="F669" s="136" t="s">
        <v>767</v>
      </c>
      <c r="G669" s="37">
        <v>43633</v>
      </c>
      <c r="H669" s="34">
        <v>9971</v>
      </c>
      <c r="I669" s="39">
        <f>VLOOKUP(H669,'PUR-HSN MASTER'!$A$4:$E$5000,5,FALSE)</f>
        <v>18</v>
      </c>
      <c r="J669" s="38">
        <v>0</v>
      </c>
      <c r="K669" s="40">
        <v>1022.6</v>
      </c>
      <c r="L669" s="39">
        <v>0</v>
      </c>
      <c r="M669" s="39">
        <v>92.034000000000006</v>
      </c>
      <c r="N669" s="39">
        <v>92.034000000000006</v>
      </c>
      <c r="O669" s="39">
        <v>0</v>
      </c>
      <c r="P669" s="39">
        <v>1206.6580000000001</v>
      </c>
      <c r="Q669" s="34" t="s">
        <v>411</v>
      </c>
      <c r="R669" s="34" t="s">
        <v>26</v>
      </c>
      <c r="S669" s="11" t="s">
        <v>4120</v>
      </c>
    </row>
    <row r="670" spans="1:19" x14ac:dyDescent="0.2">
      <c r="A670" s="33">
        <v>43617</v>
      </c>
      <c r="B670" s="34">
        <v>8</v>
      </c>
      <c r="C670" s="35" t="s">
        <v>600</v>
      </c>
      <c r="D670" s="34">
        <f>VLOOKUP(C670,'PUR-PARTY MASTER'!$B$4:$E$2000,2,FALSE)</f>
        <v>2</v>
      </c>
      <c r="E670" s="34" t="s">
        <v>392</v>
      </c>
      <c r="F670" s="627"/>
      <c r="G670" s="231"/>
      <c r="H670" s="34"/>
      <c r="I670" s="39" t="e">
        <f>VLOOKUP(H670,'PUR-HSN MASTER'!$A$4:$E$5000,5,FALSE)</f>
        <v>#N/A</v>
      </c>
      <c r="J670" s="34"/>
      <c r="K670" s="41"/>
      <c r="L670" s="39">
        <v>0</v>
      </c>
      <c r="M670" s="39">
        <v>0</v>
      </c>
      <c r="N670" s="39">
        <v>0</v>
      </c>
      <c r="O670" s="39">
        <v>0</v>
      </c>
      <c r="P670" s="39">
        <v>24600</v>
      </c>
      <c r="Q670" s="34" t="s">
        <v>413</v>
      </c>
      <c r="R670" s="34" t="e">
        <v>#N/A</v>
      </c>
      <c r="S670" s="11" t="s">
        <v>4120</v>
      </c>
    </row>
    <row r="671" spans="1:19" x14ac:dyDescent="0.2">
      <c r="A671" s="33">
        <v>43617</v>
      </c>
      <c r="B671" s="34"/>
      <c r="C671" s="35" t="s">
        <v>489</v>
      </c>
      <c r="D671" s="34" t="str">
        <f>VLOOKUP(C671,'PUR-PARTY MASTER'!$B$4:$E$2000,2,FALSE)</f>
        <v>27AAECD2713N1ZK</v>
      </c>
      <c r="E671" s="34" t="s">
        <v>228</v>
      </c>
      <c r="F671" s="628">
        <v>2</v>
      </c>
      <c r="G671" s="231" t="s">
        <v>768</v>
      </c>
      <c r="H671" s="34"/>
      <c r="I671" s="39" t="e">
        <f>VLOOKUP(H671,'PUR-HSN MASTER'!$A$4:$E$5000,5,FALSE)</f>
        <v>#N/A</v>
      </c>
      <c r="J671" s="34"/>
      <c r="K671" s="41"/>
      <c r="L671" s="39"/>
      <c r="M671" s="39"/>
      <c r="N671" s="39"/>
      <c r="O671" s="39"/>
      <c r="P671" s="39"/>
      <c r="Q671" s="34"/>
      <c r="R671" s="34" t="s">
        <v>26</v>
      </c>
      <c r="S671" s="11" t="s">
        <v>4120</v>
      </c>
    </row>
    <row r="672" spans="1:19" x14ac:dyDescent="0.2">
      <c r="A672" s="33">
        <v>43617</v>
      </c>
      <c r="B672" s="34"/>
      <c r="C672" s="35" t="s">
        <v>489</v>
      </c>
      <c r="D672" s="34" t="str">
        <f>VLOOKUP(C672,'PUR-PARTY MASTER'!$B$4:$E$2000,2,FALSE)</f>
        <v>27AAECD2713N1ZK</v>
      </c>
      <c r="E672" s="34" t="s">
        <v>228</v>
      </c>
      <c r="F672" s="628">
        <v>3</v>
      </c>
      <c r="G672" s="231" t="s">
        <v>768</v>
      </c>
      <c r="H672" s="34">
        <v>32129090</v>
      </c>
      <c r="I672" s="39">
        <f>VLOOKUP(H672,'PUR-HSN MASTER'!$A$4:$E$5000,5,FALSE)</f>
        <v>18</v>
      </c>
      <c r="J672" s="38">
        <v>480</v>
      </c>
      <c r="K672" s="41">
        <v>-2251</v>
      </c>
      <c r="L672" s="39">
        <v>0</v>
      </c>
      <c r="M672" s="39">
        <v>-202.59</v>
      </c>
      <c r="N672" s="39">
        <v>-202.59</v>
      </c>
      <c r="O672" s="39">
        <v>0</v>
      </c>
      <c r="P672" s="39">
        <v>-2656</v>
      </c>
      <c r="Q672" s="34" t="s">
        <v>410</v>
      </c>
      <c r="R672" s="34" t="s">
        <v>26</v>
      </c>
      <c r="S672" s="11" t="s">
        <v>4120</v>
      </c>
    </row>
    <row r="673" spans="1:19" x14ac:dyDescent="0.2">
      <c r="A673" s="33"/>
      <c r="B673" s="34"/>
      <c r="C673" s="35"/>
      <c r="D673" s="34" t="e">
        <f>VLOOKUP(C673,'PUR-PARTY MASTER'!$B$4:$E$2000,2,FALSE)</f>
        <v>#N/A</v>
      </c>
      <c r="E673" s="34"/>
      <c r="F673" s="627"/>
      <c r="G673" s="231"/>
      <c r="H673" s="34">
        <v>32129090</v>
      </c>
      <c r="I673" s="39">
        <f>VLOOKUP(H673,'PUR-HSN MASTER'!$A$4:$E$5000,5,FALSE)</f>
        <v>18</v>
      </c>
      <c r="J673" s="38">
        <v>480</v>
      </c>
      <c r="K673" s="41">
        <v>-3274</v>
      </c>
      <c r="L673" s="39">
        <v>0</v>
      </c>
      <c r="M673" s="39">
        <v>-294.66000000000003</v>
      </c>
      <c r="N673" s="39">
        <v>-294.66000000000003</v>
      </c>
      <c r="O673" s="39">
        <v>0</v>
      </c>
      <c r="P673" s="39">
        <v>-3863</v>
      </c>
      <c r="Q673" s="34" t="s">
        <v>410</v>
      </c>
      <c r="R673" s="34" t="e">
        <v>#N/A</v>
      </c>
      <c r="S673" s="11" t="s">
        <v>4120</v>
      </c>
    </row>
    <row r="674" spans="1:19" x14ac:dyDescent="0.2">
      <c r="A674" s="34"/>
      <c r="B674" s="34"/>
      <c r="C674" s="34"/>
      <c r="D674" s="34" t="e">
        <f>VLOOKUP(C674,'PUR-PARTY MASTER'!$B$4:$E$2000,2,FALSE)</f>
        <v>#N/A</v>
      </c>
      <c r="E674" s="34" t="s">
        <v>22</v>
      </c>
      <c r="F674" s="624"/>
      <c r="G674" s="34"/>
      <c r="H674" s="34"/>
      <c r="I674" s="39" t="e">
        <f>VLOOKUP(H674,'PUR-HSN MASTER'!$A$4:$E$5000,5,FALSE)</f>
        <v>#N/A</v>
      </c>
      <c r="J674" s="34"/>
      <c r="K674" s="39"/>
      <c r="L674" s="39"/>
      <c r="M674" s="39"/>
      <c r="N674" s="39"/>
      <c r="O674" s="39"/>
      <c r="P674" s="39"/>
      <c r="Q674" s="34"/>
      <c r="R674" s="34" t="e">
        <v>#N/A</v>
      </c>
      <c r="S674" s="11" t="s">
        <v>4120</v>
      </c>
    </row>
    <row r="675" spans="1:19" x14ac:dyDescent="0.2">
      <c r="A675" s="33">
        <v>43647</v>
      </c>
      <c r="B675" s="34">
        <v>1</v>
      </c>
      <c r="C675" s="35" t="s">
        <v>601</v>
      </c>
      <c r="D675" s="34" t="str">
        <f>VLOOKUP(C675,'PUR-PARTY MASTER'!$B$4:$E$2000,2,FALSE)</f>
        <v>27AAZFM6461A1ZY</v>
      </c>
      <c r="E675" s="34" t="s">
        <v>22</v>
      </c>
      <c r="F675" s="134">
        <v>2442</v>
      </c>
      <c r="G675" s="37">
        <v>43647</v>
      </c>
      <c r="H675" s="34">
        <v>87082900</v>
      </c>
      <c r="I675" s="39">
        <f>VLOOKUP(H675,'PUR-HSN MASTER'!$A$4:$E$5000,5,FALSE)</f>
        <v>28</v>
      </c>
      <c r="J675" s="38">
        <v>480</v>
      </c>
      <c r="K675" s="40">
        <v>10713.6</v>
      </c>
      <c r="L675" s="39">
        <v>0</v>
      </c>
      <c r="M675" s="39">
        <v>1499.9040000000002</v>
      </c>
      <c r="N675" s="39">
        <v>1499.9040000000002</v>
      </c>
      <c r="O675" s="39">
        <v>0</v>
      </c>
      <c r="P675" s="39">
        <v>13713.398000000001</v>
      </c>
      <c r="Q675" s="34" t="s">
        <v>410</v>
      </c>
      <c r="R675" s="34" t="s">
        <v>26</v>
      </c>
      <c r="S675" s="11" t="s">
        <v>4120</v>
      </c>
    </row>
    <row r="676" spans="1:19" x14ac:dyDescent="0.2">
      <c r="A676" s="33">
        <v>43647</v>
      </c>
      <c r="B676" s="34">
        <v>2</v>
      </c>
      <c r="C676" s="35" t="s">
        <v>601</v>
      </c>
      <c r="D676" s="34" t="str">
        <f>VLOOKUP(C676,'PUR-PARTY MASTER'!$B$4:$E$2000,2,FALSE)</f>
        <v>27AAZFM6461A1ZY</v>
      </c>
      <c r="E676" s="34" t="s">
        <v>22</v>
      </c>
      <c r="F676" s="134">
        <v>2443</v>
      </c>
      <c r="G676" s="37">
        <v>43647</v>
      </c>
      <c r="H676" s="34">
        <v>87082900</v>
      </c>
      <c r="I676" s="39">
        <f>VLOOKUP(H676,'PUR-HSN MASTER'!$A$4:$E$5000,5,FALSE)</f>
        <v>28</v>
      </c>
      <c r="J676" s="38">
        <v>500</v>
      </c>
      <c r="K676" s="40">
        <v>21285</v>
      </c>
      <c r="L676" s="39">
        <v>0</v>
      </c>
      <c r="M676" s="39">
        <v>2979.9</v>
      </c>
      <c r="N676" s="39">
        <v>2979.9</v>
      </c>
      <c r="O676" s="39">
        <v>0</v>
      </c>
      <c r="P676" s="39">
        <v>27244.800000000003</v>
      </c>
      <c r="Q676" s="34" t="s">
        <v>410</v>
      </c>
      <c r="R676" s="34" t="s">
        <v>26</v>
      </c>
      <c r="S676" s="11" t="s">
        <v>4120</v>
      </c>
    </row>
    <row r="677" spans="1:19" x14ac:dyDescent="0.2">
      <c r="A677" s="33">
        <v>43647</v>
      </c>
      <c r="B677" s="34">
        <v>3</v>
      </c>
      <c r="C677" s="35" t="s">
        <v>495</v>
      </c>
      <c r="D677" s="34" t="str">
        <f>VLOOKUP(C677,'PUR-PARTY MASTER'!$B$4:$E$2000,2,FALSE)</f>
        <v>27AAACH4211R1ZF</v>
      </c>
      <c r="E677" s="34" t="s">
        <v>22</v>
      </c>
      <c r="F677" s="134">
        <v>5510050272</v>
      </c>
      <c r="G677" s="37">
        <v>43647</v>
      </c>
      <c r="H677" s="34">
        <v>85129000</v>
      </c>
      <c r="I677" s="39">
        <f>VLOOKUP(H677,'PUR-HSN MASTER'!$A$4:$E$5000,5,FALSE)</f>
        <v>18</v>
      </c>
      <c r="J677" s="38">
        <v>4080</v>
      </c>
      <c r="K677" s="40">
        <v>45124.800000000003</v>
      </c>
      <c r="L677" s="39">
        <v>0</v>
      </c>
      <c r="M677" s="39">
        <v>4061.2420000000006</v>
      </c>
      <c r="N677" s="39">
        <v>4061.2420000000006</v>
      </c>
      <c r="O677" s="39">
        <v>0</v>
      </c>
      <c r="P677" s="39">
        <v>53247.284</v>
      </c>
      <c r="Q677" s="34" t="s">
        <v>410</v>
      </c>
      <c r="R677" s="34" t="s">
        <v>26</v>
      </c>
      <c r="S677" s="11" t="s">
        <v>4120</v>
      </c>
    </row>
    <row r="678" spans="1:19" x14ac:dyDescent="0.2">
      <c r="A678" s="33">
        <v>43647</v>
      </c>
      <c r="B678" s="34">
        <v>4</v>
      </c>
      <c r="C678" s="35" t="s">
        <v>554</v>
      </c>
      <c r="D678" s="34" t="str">
        <f>VLOOKUP(C678,'PUR-PARTY MASTER'!$B$4:$E$2000,2,FALSE)</f>
        <v>27AACFA1881H1ZL</v>
      </c>
      <c r="E678" s="34" t="s">
        <v>22</v>
      </c>
      <c r="F678" s="134">
        <v>3633</v>
      </c>
      <c r="G678" s="37">
        <v>43647</v>
      </c>
      <c r="H678" s="34">
        <v>87141900</v>
      </c>
      <c r="I678" s="39">
        <f>VLOOKUP(H678,'PUR-HSN MASTER'!$A$4:$E$5000,5,FALSE)</f>
        <v>28</v>
      </c>
      <c r="J678" s="38">
        <v>950</v>
      </c>
      <c r="K678" s="40">
        <v>2622.5</v>
      </c>
      <c r="L678" s="39">
        <v>0</v>
      </c>
      <c r="M678" s="39">
        <v>367.15000000000003</v>
      </c>
      <c r="N678" s="39">
        <v>367.15000000000003</v>
      </c>
      <c r="O678" s="39">
        <v>0</v>
      </c>
      <c r="P678" s="39">
        <v>3356.8</v>
      </c>
      <c r="Q678" s="34" t="s">
        <v>410</v>
      </c>
      <c r="R678" s="34" t="s">
        <v>26</v>
      </c>
      <c r="S678" s="11" t="s">
        <v>4120</v>
      </c>
    </row>
    <row r="679" spans="1:19" x14ac:dyDescent="0.2">
      <c r="A679" s="33">
        <v>43647</v>
      </c>
      <c r="B679" s="34">
        <v>5</v>
      </c>
      <c r="C679" s="35" t="s">
        <v>554</v>
      </c>
      <c r="D679" s="34" t="str">
        <f>VLOOKUP(C679,'PUR-PARTY MASTER'!$B$4:$E$2000,2,FALSE)</f>
        <v>27AACFA1881H1ZL</v>
      </c>
      <c r="E679" s="34" t="s">
        <v>22</v>
      </c>
      <c r="F679" s="134">
        <v>3655</v>
      </c>
      <c r="G679" s="37">
        <v>43647</v>
      </c>
      <c r="H679" s="34">
        <v>87141900</v>
      </c>
      <c r="I679" s="39">
        <f>VLOOKUP(H679,'PUR-HSN MASTER'!$A$4:$E$5000,5,FALSE)</f>
        <v>28</v>
      </c>
      <c r="J679" s="38">
        <v>1000</v>
      </c>
      <c r="K679" s="40">
        <v>2780</v>
      </c>
      <c r="L679" s="39">
        <v>0</v>
      </c>
      <c r="M679" s="39">
        <v>389.2</v>
      </c>
      <c r="N679" s="39">
        <v>389.2</v>
      </c>
      <c r="O679" s="39">
        <v>0</v>
      </c>
      <c r="P679" s="39">
        <v>3558.3999999999996</v>
      </c>
      <c r="Q679" s="34" t="s">
        <v>410</v>
      </c>
      <c r="R679" s="34" t="s">
        <v>26</v>
      </c>
      <c r="S679" s="11" t="s">
        <v>4120</v>
      </c>
    </row>
    <row r="680" spans="1:19" x14ac:dyDescent="0.2">
      <c r="A680" s="33">
        <v>43647</v>
      </c>
      <c r="B680" s="34">
        <v>6</v>
      </c>
      <c r="C680" s="35" t="s">
        <v>473</v>
      </c>
      <c r="D680" s="34" t="str">
        <f>VLOOKUP(C680,'PUR-PARTY MASTER'!$B$4:$E$2000,2,FALSE)</f>
        <v>27AAACT1848E1ZH</v>
      </c>
      <c r="E680" s="34" t="s">
        <v>22</v>
      </c>
      <c r="F680" s="136" t="s">
        <v>769</v>
      </c>
      <c r="G680" s="37">
        <v>43647</v>
      </c>
      <c r="H680" s="34">
        <v>87089900</v>
      </c>
      <c r="I680" s="39">
        <f>VLOOKUP(H680,'PUR-HSN MASTER'!$A$4:$E$5000,5,FALSE)</f>
        <v>28</v>
      </c>
      <c r="J680" s="38">
        <v>40</v>
      </c>
      <c r="K680" s="40">
        <v>6412</v>
      </c>
      <c r="L680" s="39">
        <v>0</v>
      </c>
      <c r="M680" s="39">
        <v>898.00000000000011</v>
      </c>
      <c r="N680" s="39">
        <v>898.00000000000011</v>
      </c>
      <c r="O680" s="39">
        <v>0</v>
      </c>
      <c r="P680" s="39">
        <v>8208</v>
      </c>
      <c r="Q680" s="34" t="s">
        <v>410</v>
      </c>
      <c r="R680" s="34" t="s">
        <v>26</v>
      </c>
      <c r="S680" s="11" t="s">
        <v>4120</v>
      </c>
    </row>
    <row r="681" spans="1:19" x14ac:dyDescent="0.2">
      <c r="A681" s="33">
        <v>43647</v>
      </c>
      <c r="B681" s="34">
        <v>7</v>
      </c>
      <c r="C681" s="35" t="s">
        <v>473</v>
      </c>
      <c r="D681" s="34" t="str">
        <f>VLOOKUP(C681,'PUR-PARTY MASTER'!$B$4:$E$2000,2,FALSE)</f>
        <v>27AAACT1848E1ZH</v>
      </c>
      <c r="E681" s="34" t="s">
        <v>22</v>
      </c>
      <c r="F681" s="136" t="s">
        <v>770</v>
      </c>
      <c r="G681" s="37">
        <v>43647</v>
      </c>
      <c r="H681" s="34">
        <v>87089900</v>
      </c>
      <c r="I681" s="39">
        <f>VLOOKUP(H681,'PUR-HSN MASTER'!$A$4:$E$5000,5,FALSE)</f>
        <v>28</v>
      </c>
      <c r="J681" s="38">
        <v>90</v>
      </c>
      <c r="K681" s="40">
        <v>562.04999999999995</v>
      </c>
      <c r="L681" s="39">
        <v>0</v>
      </c>
      <c r="M681" s="39">
        <v>78.997</v>
      </c>
      <c r="N681" s="39">
        <v>78.997</v>
      </c>
      <c r="O681" s="39">
        <v>0</v>
      </c>
      <c r="P681" s="39">
        <v>720.05399999999986</v>
      </c>
      <c r="Q681" s="34" t="s">
        <v>410</v>
      </c>
      <c r="R681" s="34" t="s">
        <v>26</v>
      </c>
      <c r="S681" s="11" t="s">
        <v>4120</v>
      </c>
    </row>
    <row r="682" spans="1:19" x14ac:dyDescent="0.2">
      <c r="A682" s="33">
        <v>43647</v>
      </c>
      <c r="B682" s="34">
        <v>8</v>
      </c>
      <c r="C682" s="35" t="s">
        <v>705</v>
      </c>
      <c r="D682" s="34" t="str">
        <f>VLOOKUP(C682,'PUR-PARTY MASTER'!$B$4:$E$2000,2,FALSE)</f>
        <v>27AABFM8397H1ZT</v>
      </c>
      <c r="E682" s="34" t="s">
        <v>22</v>
      </c>
      <c r="F682" s="136" t="s">
        <v>771</v>
      </c>
      <c r="G682" s="37">
        <v>43647</v>
      </c>
      <c r="H682" s="34">
        <v>87089900</v>
      </c>
      <c r="I682" s="39">
        <f>VLOOKUP(H682,'PUR-HSN MASTER'!$A$4:$E$5000,5,FALSE)</f>
        <v>28</v>
      </c>
      <c r="J682" s="38">
        <v>100</v>
      </c>
      <c r="K682" s="40">
        <v>2150</v>
      </c>
      <c r="L682" s="39">
        <v>0</v>
      </c>
      <c r="M682" s="39">
        <v>301</v>
      </c>
      <c r="N682" s="39">
        <v>301</v>
      </c>
      <c r="O682" s="39">
        <v>0</v>
      </c>
      <c r="P682" s="39">
        <v>2752</v>
      </c>
      <c r="Q682" s="34" t="s">
        <v>410</v>
      </c>
      <c r="R682" s="34" t="s">
        <v>26</v>
      </c>
      <c r="S682" s="11" t="s">
        <v>4120</v>
      </c>
    </row>
    <row r="683" spans="1:19" x14ac:dyDescent="0.2">
      <c r="A683" s="33">
        <v>43647</v>
      </c>
      <c r="B683" s="34">
        <v>9</v>
      </c>
      <c r="C683" s="35" t="s">
        <v>551</v>
      </c>
      <c r="D683" s="34" t="str">
        <f>VLOOKUP(C683,'PUR-PARTY MASTER'!$B$4:$E$2000,2,FALSE)</f>
        <v>27AHVPG8951G1ZQ</v>
      </c>
      <c r="E683" s="34" t="s">
        <v>22</v>
      </c>
      <c r="F683" s="136" t="s">
        <v>772</v>
      </c>
      <c r="G683" s="37">
        <v>43647</v>
      </c>
      <c r="H683" s="34">
        <v>8443</v>
      </c>
      <c r="I683" s="39">
        <f>VLOOKUP(H683,'PUR-HSN MASTER'!$A$4:$E$5000,5,FALSE)</f>
        <v>18</v>
      </c>
      <c r="J683" s="38">
        <v>1</v>
      </c>
      <c r="K683" s="40">
        <v>170</v>
      </c>
      <c r="L683" s="39">
        <v>0</v>
      </c>
      <c r="M683" s="39">
        <v>15.299999999999999</v>
      </c>
      <c r="N683" s="39">
        <v>15.299999999999999</v>
      </c>
      <c r="O683" s="39">
        <v>0</v>
      </c>
      <c r="P683" s="39">
        <v>201.00000000000003</v>
      </c>
      <c r="Q683" s="34" t="s">
        <v>410</v>
      </c>
      <c r="R683" s="34" t="s">
        <v>26</v>
      </c>
      <c r="S683" s="11" t="s">
        <v>4120</v>
      </c>
    </row>
    <row r="684" spans="1:19" x14ac:dyDescent="0.2">
      <c r="A684" s="33">
        <v>43647</v>
      </c>
      <c r="B684" s="34">
        <v>10</v>
      </c>
      <c r="C684" s="35" t="s">
        <v>479</v>
      </c>
      <c r="D684" s="34" t="str">
        <f>VLOOKUP(C684,'PUR-PARTY MASTER'!$B$4:$E$2000,2,FALSE)</f>
        <v>27AAMFC2124K1ZG</v>
      </c>
      <c r="E684" s="34" t="s">
        <v>22</v>
      </c>
      <c r="F684" s="134">
        <v>1116</v>
      </c>
      <c r="G684" s="37">
        <v>43647</v>
      </c>
      <c r="H684" s="34">
        <v>3919</v>
      </c>
      <c r="I684" s="39">
        <f>VLOOKUP(H684,'PUR-HSN MASTER'!$A$4:$E$5000,5,FALSE)</f>
        <v>18</v>
      </c>
      <c r="J684" s="38">
        <v>2</v>
      </c>
      <c r="K684" s="40">
        <v>900</v>
      </c>
      <c r="L684" s="39">
        <v>0</v>
      </c>
      <c r="M684" s="39">
        <v>81</v>
      </c>
      <c r="N684" s="39">
        <v>81</v>
      </c>
      <c r="O684" s="39">
        <v>0</v>
      </c>
      <c r="P684" s="39">
        <v>1062</v>
      </c>
      <c r="Q684" s="34" t="s">
        <v>410</v>
      </c>
      <c r="R684" s="34" t="s">
        <v>26</v>
      </c>
      <c r="S684" s="11" t="s">
        <v>4120</v>
      </c>
    </row>
    <row r="685" spans="1:19" x14ac:dyDescent="0.2">
      <c r="A685" s="33">
        <v>43647</v>
      </c>
      <c r="B685" s="34">
        <v>11</v>
      </c>
      <c r="C685" s="35" t="s">
        <v>499</v>
      </c>
      <c r="D685" s="34" t="str">
        <f>VLOOKUP(C685,'PUR-PARTY MASTER'!$B$4:$E$2000,2,FALSE)</f>
        <v>27AAHFP1154B1ZN</v>
      </c>
      <c r="E685" s="34" t="s">
        <v>22</v>
      </c>
      <c r="F685" s="136" t="s">
        <v>773</v>
      </c>
      <c r="G685" s="37">
        <v>43647</v>
      </c>
      <c r="H685" s="34">
        <v>39199090</v>
      </c>
      <c r="I685" s="39">
        <f>VLOOKUP(H685,'PUR-HSN MASTER'!$A$4:$E$5000,5,FALSE)</f>
        <v>18</v>
      </c>
      <c r="J685" s="38">
        <v>76</v>
      </c>
      <c r="K685" s="40">
        <v>4632</v>
      </c>
      <c r="L685" s="39">
        <v>0</v>
      </c>
      <c r="M685" s="39">
        <v>416.88</v>
      </c>
      <c r="N685" s="39">
        <v>416.88</v>
      </c>
      <c r="O685" s="39">
        <v>0</v>
      </c>
      <c r="P685" s="39">
        <v>5465.8</v>
      </c>
      <c r="Q685" s="34" t="s">
        <v>410</v>
      </c>
      <c r="R685" s="34" t="s">
        <v>26</v>
      </c>
      <c r="S685" s="11" t="s">
        <v>4120</v>
      </c>
    </row>
    <row r="686" spans="1:19" x14ac:dyDescent="0.2">
      <c r="A686" s="33">
        <v>43647</v>
      </c>
      <c r="B686" s="34"/>
      <c r="C686" s="35" t="s">
        <v>499</v>
      </c>
      <c r="D686" s="34" t="str">
        <f>VLOOKUP(C686,'PUR-PARTY MASTER'!$B$4:$E$2000,2,FALSE)</f>
        <v>27AAHFP1154B1ZN</v>
      </c>
      <c r="E686" s="34" t="s">
        <v>22</v>
      </c>
      <c r="F686" s="136" t="s">
        <v>773</v>
      </c>
      <c r="G686" s="37">
        <v>43647</v>
      </c>
      <c r="H686" s="34">
        <v>68053050</v>
      </c>
      <c r="I686" s="39">
        <f>VLOOKUP(H686,'PUR-HSN MASTER'!$A$4:$E$5000,5,FALSE)</f>
        <v>18</v>
      </c>
      <c r="J686" s="38">
        <v>105</v>
      </c>
      <c r="K686" s="40">
        <v>2625</v>
      </c>
      <c r="L686" s="39">
        <v>0</v>
      </c>
      <c r="M686" s="39">
        <v>236.25</v>
      </c>
      <c r="N686" s="39">
        <v>236.25</v>
      </c>
      <c r="O686" s="39">
        <v>0</v>
      </c>
      <c r="P686" s="39">
        <v>3097.6</v>
      </c>
      <c r="Q686" s="34" t="s">
        <v>410</v>
      </c>
      <c r="R686" s="34" t="s">
        <v>26</v>
      </c>
      <c r="S686" s="11" t="s">
        <v>4120</v>
      </c>
    </row>
    <row r="687" spans="1:19" x14ac:dyDescent="0.2">
      <c r="A687" s="33">
        <v>43647</v>
      </c>
      <c r="B687" s="34"/>
      <c r="C687" s="35" t="s">
        <v>499</v>
      </c>
      <c r="D687" s="34" t="str">
        <f>VLOOKUP(C687,'PUR-PARTY MASTER'!$B$4:$E$2000,2,FALSE)</f>
        <v>27AAHFP1154B1ZN</v>
      </c>
      <c r="E687" s="34" t="s">
        <v>22</v>
      </c>
      <c r="F687" s="136" t="s">
        <v>773</v>
      </c>
      <c r="G687" s="37">
        <v>43647</v>
      </c>
      <c r="H687" s="34">
        <v>27076000</v>
      </c>
      <c r="I687" s="39">
        <f>VLOOKUP(H687,'PUR-HSN MASTER'!$A$4:$E$5000,5,FALSE)</f>
        <v>18</v>
      </c>
      <c r="J687" s="38">
        <v>10</v>
      </c>
      <c r="K687" s="40">
        <v>170</v>
      </c>
      <c r="L687" s="39">
        <v>0</v>
      </c>
      <c r="M687" s="39">
        <v>15.299999999999999</v>
      </c>
      <c r="N687" s="39">
        <v>15.299999999999999</v>
      </c>
      <c r="O687" s="39">
        <v>0</v>
      </c>
      <c r="P687" s="39">
        <v>200.60000000000002</v>
      </c>
      <c r="Q687" s="34" t="s">
        <v>410</v>
      </c>
      <c r="R687" s="34" t="s">
        <v>26</v>
      </c>
      <c r="S687" s="11" t="s">
        <v>4120</v>
      </c>
    </row>
    <row r="688" spans="1:19" x14ac:dyDescent="0.2">
      <c r="A688" s="33">
        <v>43647</v>
      </c>
      <c r="B688" s="34"/>
      <c r="C688" s="35" t="s">
        <v>499</v>
      </c>
      <c r="D688" s="34" t="str">
        <f>VLOOKUP(C688,'PUR-PARTY MASTER'!$B$4:$E$2000,2,FALSE)</f>
        <v>27AAHFP1154B1ZN</v>
      </c>
      <c r="E688" s="34" t="s">
        <v>22</v>
      </c>
      <c r="F688" s="136" t="s">
        <v>773</v>
      </c>
      <c r="G688" s="37">
        <v>43647</v>
      </c>
      <c r="H688" s="34">
        <v>63071090</v>
      </c>
      <c r="I688" s="39">
        <f>VLOOKUP(H688,'PUR-HSN MASTER'!$A$4:$E$5000,5,FALSE)</f>
        <v>18</v>
      </c>
      <c r="J688" s="38">
        <v>48</v>
      </c>
      <c r="K688" s="40">
        <v>576</v>
      </c>
      <c r="L688" s="39">
        <v>0</v>
      </c>
      <c r="M688" s="39">
        <v>51.839999999999996</v>
      </c>
      <c r="N688" s="39">
        <v>51.839999999999996</v>
      </c>
      <c r="O688" s="39">
        <v>0</v>
      </c>
      <c r="P688" s="39">
        <v>680.00000000000011</v>
      </c>
      <c r="Q688" s="34" t="s">
        <v>410</v>
      </c>
      <c r="R688" s="34" t="s">
        <v>26</v>
      </c>
      <c r="S688" s="11" t="s">
        <v>4120</v>
      </c>
    </row>
    <row r="689" spans="1:19" x14ac:dyDescent="0.2">
      <c r="A689" s="33">
        <v>43647</v>
      </c>
      <c r="B689" s="34">
        <v>12</v>
      </c>
      <c r="C689" s="35" t="s">
        <v>499</v>
      </c>
      <c r="D689" s="34" t="str">
        <f>VLOOKUP(C689,'PUR-PARTY MASTER'!$B$4:$E$2000,2,FALSE)</f>
        <v>27AAHFP1154B1ZN</v>
      </c>
      <c r="E689" s="34" t="s">
        <v>22</v>
      </c>
      <c r="F689" s="136" t="s">
        <v>774</v>
      </c>
      <c r="G689" s="37">
        <v>43647</v>
      </c>
      <c r="H689" s="34">
        <v>96089990</v>
      </c>
      <c r="I689" s="39">
        <f>VLOOKUP(H689,'PUR-HSN MASTER'!$A$4:$E$5000,5,FALSE)</f>
        <v>12</v>
      </c>
      <c r="J689" s="38">
        <v>20</v>
      </c>
      <c r="K689" s="40">
        <v>400</v>
      </c>
      <c r="L689" s="39">
        <v>0</v>
      </c>
      <c r="M689" s="39">
        <v>24</v>
      </c>
      <c r="N689" s="39">
        <v>24</v>
      </c>
      <c r="O689" s="39">
        <v>0</v>
      </c>
      <c r="P689" s="39">
        <v>448</v>
      </c>
      <c r="Q689" s="34" t="s">
        <v>410</v>
      </c>
      <c r="R689" s="34" t="s">
        <v>26</v>
      </c>
      <c r="S689" s="11" t="s">
        <v>4120</v>
      </c>
    </row>
    <row r="690" spans="1:19" x14ac:dyDescent="0.2">
      <c r="A690" s="33">
        <v>43647</v>
      </c>
      <c r="B690" s="34"/>
      <c r="C690" s="35" t="s">
        <v>499</v>
      </c>
      <c r="D690" s="34" t="str">
        <f>VLOOKUP(C690,'PUR-PARTY MASTER'!$B$4:$E$2000,2,FALSE)</f>
        <v>27AAHFP1154B1ZN</v>
      </c>
      <c r="E690" s="34" t="s">
        <v>22</v>
      </c>
      <c r="F690" s="136" t="s">
        <v>774</v>
      </c>
      <c r="G690" s="37">
        <v>43647</v>
      </c>
      <c r="H690" s="34">
        <v>32159090</v>
      </c>
      <c r="I690" s="39">
        <f>VLOOKUP(H690,'PUR-HSN MASTER'!$A$4:$E$5000,5,FALSE)</f>
        <v>12</v>
      </c>
      <c r="J690" s="38">
        <v>20</v>
      </c>
      <c r="K690" s="40">
        <v>340</v>
      </c>
      <c r="L690" s="39">
        <v>0</v>
      </c>
      <c r="M690" s="39">
        <v>20.399999999999999</v>
      </c>
      <c r="N690" s="39">
        <v>20.399999999999999</v>
      </c>
      <c r="O690" s="39">
        <v>0</v>
      </c>
      <c r="P690" s="39">
        <v>380.99999999999994</v>
      </c>
      <c r="Q690" s="34" t="s">
        <v>410</v>
      </c>
      <c r="R690" s="34" t="s">
        <v>26</v>
      </c>
      <c r="S690" s="11" t="s">
        <v>4120</v>
      </c>
    </row>
    <row r="691" spans="1:19" x14ac:dyDescent="0.2">
      <c r="A691" s="33">
        <v>43647</v>
      </c>
      <c r="B691" s="34"/>
      <c r="C691" s="35" t="s">
        <v>499</v>
      </c>
      <c r="D691" s="34" t="str">
        <f>VLOOKUP(C691,'PUR-PARTY MASTER'!$B$4:$E$2000,2,FALSE)</f>
        <v>27AAHFP1154B1ZN</v>
      </c>
      <c r="E691" s="34" t="s">
        <v>22</v>
      </c>
      <c r="F691" s="136" t="s">
        <v>774</v>
      </c>
      <c r="G691" s="37">
        <v>43647</v>
      </c>
      <c r="H691" s="34">
        <v>96082000</v>
      </c>
      <c r="I691" s="39">
        <f>VLOOKUP(H691,'PUR-HSN MASTER'!$A$4:$E$5000,5,FALSE)</f>
        <v>12</v>
      </c>
      <c r="J691" s="38">
        <v>200</v>
      </c>
      <c r="K691" s="40">
        <v>750</v>
      </c>
      <c r="L691" s="39">
        <v>0</v>
      </c>
      <c r="M691" s="39">
        <v>45</v>
      </c>
      <c r="N691" s="39">
        <v>45</v>
      </c>
      <c r="O691" s="39">
        <v>0</v>
      </c>
      <c r="P691" s="39">
        <v>840</v>
      </c>
      <c r="Q691" s="34" t="s">
        <v>410</v>
      </c>
      <c r="R691" s="34" t="s">
        <v>26</v>
      </c>
      <c r="S691" s="11" t="s">
        <v>4120</v>
      </c>
    </row>
    <row r="692" spans="1:19" x14ac:dyDescent="0.2">
      <c r="A692" s="33">
        <v>43647</v>
      </c>
      <c r="B692" s="34"/>
      <c r="C692" s="35" t="s">
        <v>499</v>
      </c>
      <c r="D692" s="34" t="str">
        <f>VLOOKUP(C692,'PUR-PARTY MASTER'!$B$4:$E$2000,2,FALSE)</f>
        <v>27AAHFP1154B1ZN</v>
      </c>
      <c r="E692" s="34" t="s">
        <v>22</v>
      </c>
      <c r="F692" s="136" t="s">
        <v>774</v>
      </c>
      <c r="G692" s="37">
        <v>43647</v>
      </c>
      <c r="H692" s="34">
        <v>96082000</v>
      </c>
      <c r="I692" s="39">
        <f>VLOOKUP(H692,'PUR-HSN MASTER'!$A$4:$E$5000,5,FALSE)</f>
        <v>12</v>
      </c>
      <c r="J692" s="38">
        <v>2000</v>
      </c>
      <c r="K692" s="40">
        <v>5200</v>
      </c>
      <c r="L692" s="39">
        <v>0</v>
      </c>
      <c r="M692" s="39">
        <v>312</v>
      </c>
      <c r="N692" s="39">
        <v>312</v>
      </c>
      <c r="O692" s="39">
        <v>0</v>
      </c>
      <c r="P692" s="39">
        <v>5824</v>
      </c>
      <c r="Q692" s="34" t="s">
        <v>410</v>
      </c>
      <c r="R692" s="34" t="s">
        <v>26</v>
      </c>
      <c r="S692" s="11" t="s">
        <v>4120</v>
      </c>
    </row>
    <row r="693" spans="1:19" x14ac:dyDescent="0.2">
      <c r="A693" s="33">
        <v>43647</v>
      </c>
      <c r="B693" s="34"/>
      <c r="C693" s="35" t="s">
        <v>499</v>
      </c>
      <c r="D693" s="34" t="str">
        <f>VLOOKUP(C693,'PUR-PARTY MASTER'!$B$4:$E$2000,2,FALSE)</f>
        <v>27AAHFP1154B1ZN</v>
      </c>
      <c r="E693" s="34" t="s">
        <v>22</v>
      </c>
      <c r="F693" s="136" t="s">
        <v>774</v>
      </c>
      <c r="G693" s="37">
        <v>43647</v>
      </c>
      <c r="H693" s="34">
        <v>60060000</v>
      </c>
      <c r="I693" s="39">
        <f>VLOOKUP(H693,'PUR-HSN MASTER'!$A$4:$E$5000,5,FALSE)</f>
        <v>5</v>
      </c>
      <c r="J693" s="38">
        <v>100</v>
      </c>
      <c r="K693" s="40">
        <v>3300</v>
      </c>
      <c r="L693" s="39">
        <v>0</v>
      </c>
      <c r="M693" s="39">
        <v>82.5</v>
      </c>
      <c r="N693" s="39">
        <v>82.5</v>
      </c>
      <c r="O693" s="39">
        <v>0</v>
      </c>
      <c r="P693" s="39">
        <v>3465</v>
      </c>
      <c r="Q693" s="34" t="s">
        <v>410</v>
      </c>
      <c r="R693" s="34" t="s">
        <v>26</v>
      </c>
      <c r="S693" s="11" t="s">
        <v>4120</v>
      </c>
    </row>
    <row r="694" spans="1:19" x14ac:dyDescent="0.2">
      <c r="A694" s="33">
        <v>43647</v>
      </c>
      <c r="B694" s="34">
        <v>13</v>
      </c>
      <c r="C694" s="35" t="s">
        <v>554</v>
      </c>
      <c r="D694" s="34" t="str">
        <f>VLOOKUP(C694,'PUR-PARTY MASTER'!$B$4:$E$2000,2,FALSE)</f>
        <v>27AACFA1881H1ZL</v>
      </c>
      <c r="E694" s="34" t="s">
        <v>22</v>
      </c>
      <c r="F694" s="134">
        <v>3681</v>
      </c>
      <c r="G694" s="37">
        <v>43648</v>
      </c>
      <c r="H694" s="34">
        <v>87141900</v>
      </c>
      <c r="I694" s="39">
        <f>VLOOKUP(H694,'PUR-HSN MASTER'!$A$4:$E$5000,5,FALSE)</f>
        <v>28</v>
      </c>
      <c r="J694" s="38">
        <v>1125</v>
      </c>
      <c r="K694" s="40">
        <v>3188.55</v>
      </c>
      <c r="L694" s="39">
        <v>0</v>
      </c>
      <c r="M694" s="39">
        <v>446.39699999999999</v>
      </c>
      <c r="N694" s="39">
        <v>446.39699999999999</v>
      </c>
      <c r="O694" s="39">
        <v>0</v>
      </c>
      <c r="P694" s="39">
        <v>4081.3540000000003</v>
      </c>
      <c r="Q694" s="34" t="s">
        <v>410</v>
      </c>
      <c r="R694" s="34" t="s">
        <v>26</v>
      </c>
      <c r="S694" s="11" t="s">
        <v>4120</v>
      </c>
    </row>
    <row r="695" spans="1:19" x14ac:dyDescent="0.2">
      <c r="A695" s="33">
        <v>43647</v>
      </c>
      <c r="B695" s="34">
        <v>14</v>
      </c>
      <c r="C695" s="35" t="s">
        <v>554</v>
      </c>
      <c r="D695" s="34" t="str">
        <f>VLOOKUP(C695,'PUR-PARTY MASTER'!$B$4:$E$2000,2,FALSE)</f>
        <v>27AACFA1881H1ZL</v>
      </c>
      <c r="E695" s="34" t="s">
        <v>22</v>
      </c>
      <c r="F695" s="134">
        <v>3682</v>
      </c>
      <c r="G695" s="37">
        <v>43648</v>
      </c>
      <c r="H695" s="34">
        <v>87141900</v>
      </c>
      <c r="I695" s="39">
        <f>VLOOKUP(H695,'PUR-HSN MASTER'!$A$4:$E$5000,5,FALSE)</f>
        <v>28</v>
      </c>
      <c r="J695" s="38">
        <v>500</v>
      </c>
      <c r="K695" s="40">
        <v>1427</v>
      </c>
      <c r="L695" s="39">
        <v>0</v>
      </c>
      <c r="M695" s="39">
        <v>199.78</v>
      </c>
      <c r="N695" s="39">
        <v>199.78</v>
      </c>
      <c r="O695" s="39">
        <v>0</v>
      </c>
      <c r="P695" s="39">
        <v>1826.56</v>
      </c>
      <c r="Q695" s="34" t="s">
        <v>410</v>
      </c>
      <c r="R695" s="34" t="s">
        <v>26</v>
      </c>
      <c r="S695" s="11" t="s">
        <v>4120</v>
      </c>
    </row>
    <row r="696" spans="1:19" x14ac:dyDescent="0.2">
      <c r="A696" s="33">
        <v>43647</v>
      </c>
      <c r="B696" s="34">
        <v>15</v>
      </c>
      <c r="C696" s="35" t="s">
        <v>471</v>
      </c>
      <c r="D696" s="34" t="str">
        <f>VLOOKUP(C696,'PUR-PARTY MASTER'!$B$4:$E$2000,2,FALSE)</f>
        <v>27AAECM8871A1ZF</v>
      </c>
      <c r="E696" s="34" t="s">
        <v>22</v>
      </c>
      <c r="F696" s="134">
        <v>192003070</v>
      </c>
      <c r="G696" s="37">
        <v>43648</v>
      </c>
      <c r="H696" s="34">
        <v>87089900</v>
      </c>
      <c r="I696" s="39">
        <f>VLOOKUP(H696,'PUR-HSN MASTER'!$A$4:$E$5000,5,FALSE)</f>
        <v>28</v>
      </c>
      <c r="J696" s="38">
        <v>12</v>
      </c>
      <c r="K696" s="40">
        <v>17483.52</v>
      </c>
      <c r="L696" s="39">
        <v>0</v>
      </c>
      <c r="M696" s="39">
        <v>2447.6928000000003</v>
      </c>
      <c r="N696" s="39">
        <v>2447.6928000000003</v>
      </c>
      <c r="O696" s="39">
        <v>0</v>
      </c>
      <c r="P696" s="39">
        <v>22378.895600000003</v>
      </c>
      <c r="Q696" s="34" t="s">
        <v>410</v>
      </c>
      <c r="R696" s="34" t="s">
        <v>26</v>
      </c>
      <c r="S696" s="11" t="s">
        <v>4120</v>
      </c>
    </row>
    <row r="697" spans="1:19" x14ac:dyDescent="0.2">
      <c r="A697" s="33">
        <v>43647</v>
      </c>
      <c r="B697" s="34">
        <v>16</v>
      </c>
      <c r="C697" s="35" t="s">
        <v>471</v>
      </c>
      <c r="D697" s="34" t="str">
        <f>VLOOKUP(C697,'PUR-PARTY MASTER'!$B$4:$E$2000,2,FALSE)</f>
        <v>27AAECM8871A1ZF</v>
      </c>
      <c r="E697" s="34" t="s">
        <v>22</v>
      </c>
      <c r="F697" s="134">
        <v>192003071</v>
      </c>
      <c r="G697" s="37">
        <v>43648</v>
      </c>
      <c r="H697" s="34">
        <v>87089900</v>
      </c>
      <c r="I697" s="39">
        <f>VLOOKUP(H697,'PUR-HSN MASTER'!$A$4:$E$5000,5,FALSE)</f>
        <v>28</v>
      </c>
      <c r="J697" s="38">
        <v>12</v>
      </c>
      <c r="K697" s="40">
        <v>17483.52</v>
      </c>
      <c r="L697" s="39">
        <v>0</v>
      </c>
      <c r="M697" s="39">
        <v>2447.6928000000003</v>
      </c>
      <c r="N697" s="39">
        <v>2447.6928000000003</v>
      </c>
      <c r="O697" s="39">
        <v>0</v>
      </c>
      <c r="P697" s="39">
        <v>22378.895600000003</v>
      </c>
      <c r="Q697" s="34" t="s">
        <v>410</v>
      </c>
      <c r="R697" s="34" t="s">
        <v>26</v>
      </c>
      <c r="S697" s="11" t="s">
        <v>4120</v>
      </c>
    </row>
    <row r="698" spans="1:19" x14ac:dyDescent="0.2">
      <c r="A698" s="33">
        <v>43647</v>
      </c>
      <c r="B698" s="34">
        <v>17</v>
      </c>
      <c r="C698" s="35" t="s">
        <v>601</v>
      </c>
      <c r="D698" s="34" t="str">
        <f>VLOOKUP(C698,'PUR-PARTY MASTER'!$B$4:$E$2000,2,FALSE)</f>
        <v>27AAZFM6461A1ZY</v>
      </c>
      <c r="E698" s="34" t="s">
        <v>22</v>
      </c>
      <c r="F698" s="134">
        <v>2475</v>
      </c>
      <c r="G698" s="37">
        <v>43648</v>
      </c>
      <c r="H698" s="34">
        <v>87082900</v>
      </c>
      <c r="I698" s="39">
        <f>VLOOKUP(H698,'PUR-HSN MASTER'!$A$4:$E$5000,5,FALSE)</f>
        <v>28</v>
      </c>
      <c r="J698" s="38">
        <v>700</v>
      </c>
      <c r="K698" s="40">
        <v>29799</v>
      </c>
      <c r="L698" s="39">
        <v>0</v>
      </c>
      <c r="M698" s="39">
        <v>4171.8600000000006</v>
      </c>
      <c r="N698" s="39">
        <v>4171.8600000000006</v>
      </c>
      <c r="O698" s="39">
        <v>0</v>
      </c>
      <c r="P698" s="39">
        <v>38142.720000000001</v>
      </c>
      <c r="Q698" s="34" t="s">
        <v>410</v>
      </c>
      <c r="R698" s="34" t="s">
        <v>26</v>
      </c>
      <c r="S698" s="11" t="s">
        <v>4120</v>
      </c>
    </row>
    <row r="699" spans="1:19" x14ac:dyDescent="0.2">
      <c r="A699" s="33">
        <v>43647</v>
      </c>
      <c r="B699" s="34">
        <v>18</v>
      </c>
      <c r="C699" s="34" t="s">
        <v>688</v>
      </c>
      <c r="D699" s="34">
        <f>VLOOKUP(C699,'PUR-PARTY MASTER'!$B$4:$E$2000,2,FALSE)</f>
        <v>1</v>
      </c>
      <c r="E699" s="34" t="s">
        <v>22</v>
      </c>
      <c r="F699" s="626">
        <v>3783796</v>
      </c>
      <c r="G699" s="37">
        <v>43640</v>
      </c>
      <c r="H699" s="34">
        <v>39206290</v>
      </c>
      <c r="I699" s="39">
        <f>VLOOKUP(H699,'PUR-HSN MASTER'!$A$4:$E$5000,5,FALSE)</f>
        <v>18</v>
      </c>
      <c r="J699" s="122">
        <v>2000</v>
      </c>
      <c r="K699" s="39">
        <v>252144</v>
      </c>
      <c r="L699" s="39">
        <v>45385.919999999998</v>
      </c>
      <c r="M699" s="39">
        <v>0</v>
      </c>
      <c r="N699" s="39">
        <v>0</v>
      </c>
      <c r="O699" s="39">
        <v>0</v>
      </c>
      <c r="P699" s="39">
        <v>163271.71</v>
      </c>
      <c r="Q699" s="34" t="s">
        <v>407</v>
      </c>
      <c r="R699" s="34" t="e">
        <v>#N/A</v>
      </c>
      <c r="S699" s="11" t="s">
        <v>4120</v>
      </c>
    </row>
    <row r="700" spans="1:19" x14ac:dyDescent="0.2">
      <c r="A700" s="33">
        <v>43647</v>
      </c>
      <c r="B700" s="34">
        <v>19</v>
      </c>
      <c r="C700" s="35" t="s">
        <v>479</v>
      </c>
      <c r="D700" s="34" t="str">
        <f>VLOOKUP(C700,'PUR-PARTY MASTER'!$B$4:$E$2000,2,FALSE)</f>
        <v>27AAMFC2124K1ZG</v>
      </c>
      <c r="E700" s="34" t="s">
        <v>22</v>
      </c>
      <c r="F700" s="134">
        <v>1120</v>
      </c>
      <c r="G700" s="37">
        <v>43648</v>
      </c>
      <c r="H700" s="34">
        <v>3919</v>
      </c>
      <c r="I700" s="39">
        <f>VLOOKUP(H700,'PUR-HSN MASTER'!$A$4:$E$5000,5,FALSE)</f>
        <v>18</v>
      </c>
      <c r="J700" s="38">
        <v>10</v>
      </c>
      <c r="K700" s="40">
        <v>4000</v>
      </c>
      <c r="L700" s="39">
        <v>0</v>
      </c>
      <c r="M700" s="39">
        <v>360</v>
      </c>
      <c r="N700" s="39">
        <v>360</v>
      </c>
      <c r="O700" s="39">
        <v>0</v>
      </c>
      <c r="P700" s="39">
        <v>4720</v>
      </c>
      <c r="Q700" s="34" t="s">
        <v>410</v>
      </c>
      <c r="R700" s="34" t="s">
        <v>26</v>
      </c>
      <c r="S700" s="11" t="s">
        <v>4120</v>
      </c>
    </row>
    <row r="701" spans="1:19" x14ac:dyDescent="0.2">
      <c r="A701" s="33">
        <v>43647</v>
      </c>
      <c r="B701" s="34">
        <v>20</v>
      </c>
      <c r="C701" s="35" t="s">
        <v>554</v>
      </c>
      <c r="D701" s="34" t="str">
        <f>VLOOKUP(C701,'PUR-PARTY MASTER'!$B$4:$E$2000,2,FALSE)</f>
        <v>27AACFA1881H1ZL</v>
      </c>
      <c r="E701" s="34" t="s">
        <v>22</v>
      </c>
      <c r="F701" s="134">
        <v>3719</v>
      </c>
      <c r="G701" s="37">
        <v>43648</v>
      </c>
      <c r="H701" s="34">
        <v>87141900</v>
      </c>
      <c r="I701" s="39">
        <f>VLOOKUP(H701,'PUR-HSN MASTER'!$A$4:$E$5000,5,FALSE)</f>
        <v>28</v>
      </c>
      <c r="J701" s="38">
        <v>2120</v>
      </c>
      <c r="K701" s="40">
        <v>6012</v>
      </c>
      <c r="L701" s="39">
        <v>0</v>
      </c>
      <c r="M701" s="39">
        <v>841.68</v>
      </c>
      <c r="N701" s="39">
        <v>841.68</v>
      </c>
      <c r="O701" s="39">
        <v>0</v>
      </c>
      <c r="P701" s="39">
        <v>7695.3600000000006</v>
      </c>
      <c r="Q701" s="34" t="s">
        <v>410</v>
      </c>
      <c r="R701" s="34" t="s">
        <v>26</v>
      </c>
      <c r="S701" s="11" t="s">
        <v>4120</v>
      </c>
    </row>
    <row r="702" spans="1:19" x14ac:dyDescent="0.2">
      <c r="A702" s="33">
        <v>43647</v>
      </c>
      <c r="B702" s="34">
        <v>21</v>
      </c>
      <c r="C702" s="35" t="s">
        <v>471</v>
      </c>
      <c r="D702" s="34" t="str">
        <f>VLOOKUP(C702,'PUR-PARTY MASTER'!$B$4:$E$2000,2,FALSE)</f>
        <v>27AAECM8871A1ZF</v>
      </c>
      <c r="E702" s="34" t="s">
        <v>22</v>
      </c>
      <c r="F702" s="134">
        <v>192003074</v>
      </c>
      <c r="G702" s="37">
        <v>43648</v>
      </c>
      <c r="H702" s="34">
        <v>87089900</v>
      </c>
      <c r="I702" s="39">
        <f>VLOOKUP(H702,'PUR-HSN MASTER'!$A$4:$E$5000,5,FALSE)</f>
        <v>28</v>
      </c>
      <c r="J702" s="38">
        <v>12</v>
      </c>
      <c r="K702" s="40">
        <v>17483.52</v>
      </c>
      <c r="L702" s="39">
        <v>0</v>
      </c>
      <c r="M702" s="39">
        <v>2447.6928000000003</v>
      </c>
      <c r="N702" s="39">
        <v>2447.6928000000003</v>
      </c>
      <c r="O702" s="39">
        <v>0</v>
      </c>
      <c r="P702" s="39">
        <v>22378.895600000003</v>
      </c>
      <c r="Q702" s="34" t="s">
        <v>410</v>
      </c>
      <c r="R702" s="34" t="s">
        <v>26</v>
      </c>
      <c r="S702" s="11" t="s">
        <v>4120</v>
      </c>
    </row>
    <row r="703" spans="1:19" x14ac:dyDescent="0.2">
      <c r="A703" s="33">
        <v>43647</v>
      </c>
      <c r="B703" s="34">
        <v>22</v>
      </c>
      <c r="C703" s="35" t="s">
        <v>489</v>
      </c>
      <c r="D703" s="34" t="str">
        <f>VLOOKUP(C703,'PUR-PARTY MASTER'!$B$4:$E$2000,2,FALSE)</f>
        <v>27AAECD2713N1ZK</v>
      </c>
      <c r="E703" s="34" t="s">
        <v>22</v>
      </c>
      <c r="F703" s="134">
        <v>7887985414</v>
      </c>
      <c r="G703" s="37">
        <v>43648</v>
      </c>
      <c r="H703" s="34">
        <v>39119090</v>
      </c>
      <c r="I703" s="39">
        <f>VLOOKUP(H703,'PUR-HSN MASTER'!$A$4:$E$5000,5,FALSE)</f>
        <v>18</v>
      </c>
      <c r="J703" s="38">
        <v>36</v>
      </c>
      <c r="K703" s="40">
        <v>24840</v>
      </c>
      <c r="L703" s="39">
        <v>0</v>
      </c>
      <c r="M703" s="39">
        <v>2235.6</v>
      </c>
      <c r="N703" s="39">
        <v>2235.6</v>
      </c>
      <c r="O703" s="39">
        <v>0</v>
      </c>
      <c r="P703" s="39">
        <v>29311.199999999997</v>
      </c>
      <c r="Q703" s="34" t="s">
        <v>410</v>
      </c>
      <c r="R703" s="34" t="s">
        <v>26</v>
      </c>
      <c r="S703" s="11" t="s">
        <v>4120</v>
      </c>
    </row>
    <row r="704" spans="1:19" x14ac:dyDescent="0.2">
      <c r="A704" s="33">
        <v>43647</v>
      </c>
      <c r="B704" s="34"/>
      <c r="C704" s="35" t="s">
        <v>489</v>
      </c>
      <c r="D704" s="34" t="str">
        <f>VLOOKUP(C704,'PUR-PARTY MASTER'!$B$4:$E$2000,2,FALSE)</f>
        <v>27AAECD2713N1ZK</v>
      </c>
      <c r="E704" s="34" t="s">
        <v>22</v>
      </c>
      <c r="F704" s="134">
        <v>7887985414</v>
      </c>
      <c r="G704" s="37">
        <v>43648</v>
      </c>
      <c r="H704" s="34">
        <v>32082090</v>
      </c>
      <c r="I704" s="39">
        <f>VLOOKUP(H704,'PUR-HSN MASTER'!$A$4:$E$5000,5,FALSE)</f>
        <v>18</v>
      </c>
      <c r="J704" s="38">
        <v>164</v>
      </c>
      <c r="K704" s="40">
        <v>173248</v>
      </c>
      <c r="L704" s="39">
        <v>0</v>
      </c>
      <c r="M704" s="39">
        <v>15592.32</v>
      </c>
      <c r="N704" s="39">
        <v>15592.32</v>
      </c>
      <c r="O704" s="39">
        <v>0</v>
      </c>
      <c r="P704" s="39">
        <v>204432.80000000002</v>
      </c>
      <c r="Q704" s="34" t="s">
        <v>410</v>
      </c>
      <c r="R704" s="34" t="s">
        <v>26</v>
      </c>
      <c r="S704" s="11" t="s">
        <v>4120</v>
      </c>
    </row>
    <row r="705" spans="1:19" x14ac:dyDescent="0.2">
      <c r="A705" s="33">
        <v>43647</v>
      </c>
      <c r="B705" s="34">
        <v>23</v>
      </c>
      <c r="C705" s="35" t="s">
        <v>489</v>
      </c>
      <c r="D705" s="34" t="str">
        <f>VLOOKUP(C705,'PUR-PARTY MASTER'!$B$4:$E$2000,2,FALSE)</f>
        <v>27AAECD2713N1ZK</v>
      </c>
      <c r="E705" s="34" t="s">
        <v>22</v>
      </c>
      <c r="F705" s="134">
        <v>7887985415</v>
      </c>
      <c r="G705" s="37">
        <v>43648</v>
      </c>
      <c r="H705" s="34">
        <v>32089090</v>
      </c>
      <c r="I705" s="39">
        <f>VLOOKUP(H705,'PUR-HSN MASTER'!$A$4:$E$5000,5,FALSE)</f>
        <v>18</v>
      </c>
      <c r="J705" s="38">
        <v>8</v>
      </c>
      <c r="K705" s="40">
        <v>5120</v>
      </c>
      <c r="L705" s="39">
        <v>0</v>
      </c>
      <c r="M705" s="39">
        <v>460.8</v>
      </c>
      <c r="N705" s="39">
        <v>460.8</v>
      </c>
      <c r="O705" s="39">
        <v>0</v>
      </c>
      <c r="P705" s="39">
        <v>6041.6</v>
      </c>
      <c r="Q705" s="34" t="s">
        <v>410</v>
      </c>
      <c r="R705" s="34" t="s">
        <v>26</v>
      </c>
      <c r="S705" s="11" t="s">
        <v>4120</v>
      </c>
    </row>
    <row r="706" spans="1:19" x14ac:dyDescent="0.2">
      <c r="A706" s="33">
        <v>43647</v>
      </c>
      <c r="B706" s="34"/>
      <c r="C706" s="35" t="s">
        <v>489</v>
      </c>
      <c r="D706" s="34" t="str">
        <f>VLOOKUP(C706,'PUR-PARTY MASTER'!$B$4:$E$2000,2,FALSE)</f>
        <v>27AAECD2713N1ZK</v>
      </c>
      <c r="E706" s="34" t="s">
        <v>22</v>
      </c>
      <c r="F706" s="134">
        <v>7887985415</v>
      </c>
      <c r="G706" s="37">
        <v>43648</v>
      </c>
      <c r="H706" s="34">
        <v>39119090</v>
      </c>
      <c r="I706" s="39">
        <f>VLOOKUP(H706,'PUR-HSN MASTER'!$A$4:$E$5000,5,FALSE)</f>
        <v>18</v>
      </c>
      <c r="J706" s="38">
        <v>4</v>
      </c>
      <c r="K706" s="40">
        <v>2380</v>
      </c>
      <c r="L706" s="39">
        <v>0</v>
      </c>
      <c r="M706" s="39">
        <v>214.20000000000002</v>
      </c>
      <c r="N706" s="39">
        <v>214.20000000000002</v>
      </c>
      <c r="O706" s="39">
        <v>0</v>
      </c>
      <c r="P706" s="39">
        <v>2808.3999999999996</v>
      </c>
      <c r="Q706" s="34" t="s">
        <v>410</v>
      </c>
      <c r="R706" s="34" t="s">
        <v>26</v>
      </c>
      <c r="S706" s="11" t="s">
        <v>4120</v>
      </c>
    </row>
    <row r="707" spans="1:19" x14ac:dyDescent="0.2">
      <c r="A707" s="33">
        <v>43647</v>
      </c>
      <c r="B707" s="34"/>
      <c r="C707" s="35" t="s">
        <v>489</v>
      </c>
      <c r="D707" s="34" t="str">
        <f>VLOOKUP(C707,'PUR-PARTY MASTER'!$B$4:$E$2000,2,FALSE)</f>
        <v>27AAECD2713N1ZK</v>
      </c>
      <c r="E707" s="34" t="s">
        <v>22</v>
      </c>
      <c r="F707" s="134">
        <v>7887985415</v>
      </c>
      <c r="G707" s="37">
        <v>43648</v>
      </c>
      <c r="H707" s="34">
        <v>38140010</v>
      </c>
      <c r="I707" s="39">
        <f>VLOOKUP(H707,'PUR-HSN MASTER'!$A$4:$E$5000,5,FALSE)</f>
        <v>18</v>
      </c>
      <c r="J707" s="38">
        <v>100</v>
      </c>
      <c r="K707" s="40">
        <v>14500</v>
      </c>
      <c r="L707" s="39">
        <v>0</v>
      </c>
      <c r="M707" s="39">
        <v>1305</v>
      </c>
      <c r="N707" s="39">
        <v>1305</v>
      </c>
      <c r="O707" s="39">
        <v>0</v>
      </c>
      <c r="P707" s="39">
        <v>17110</v>
      </c>
      <c r="Q707" s="34" t="s">
        <v>410</v>
      </c>
      <c r="R707" s="34" t="s">
        <v>26</v>
      </c>
      <c r="S707" s="11" t="s">
        <v>4120</v>
      </c>
    </row>
    <row r="708" spans="1:19" x14ac:dyDescent="0.2">
      <c r="A708" s="33">
        <v>43647</v>
      </c>
      <c r="B708" s="34">
        <v>24</v>
      </c>
      <c r="C708" s="35" t="s">
        <v>489</v>
      </c>
      <c r="D708" s="34" t="str">
        <f>VLOOKUP(C708,'PUR-PARTY MASTER'!$B$4:$E$2000,2,FALSE)</f>
        <v>27AAECD2713N1ZK</v>
      </c>
      <c r="E708" s="34" t="s">
        <v>22</v>
      </c>
      <c r="F708" s="134">
        <v>7887985416</v>
      </c>
      <c r="G708" s="37">
        <v>43648</v>
      </c>
      <c r="H708" s="34">
        <v>32082090</v>
      </c>
      <c r="I708" s="39">
        <f>VLOOKUP(H708,'PUR-HSN MASTER'!$A$4:$E$5000,5,FALSE)</f>
        <v>18</v>
      </c>
      <c r="J708" s="38">
        <v>12</v>
      </c>
      <c r="K708" s="40">
        <v>5100</v>
      </c>
      <c r="L708" s="39">
        <v>0</v>
      </c>
      <c r="M708" s="39">
        <v>459</v>
      </c>
      <c r="N708" s="39">
        <v>459</v>
      </c>
      <c r="O708" s="39">
        <v>0</v>
      </c>
      <c r="P708" s="39">
        <v>6018</v>
      </c>
      <c r="Q708" s="34" t="s">
        <v>410</v>
      </c>
      <c r="R708" s="34" t="s">
        <v>26</v>
      </c>
      <c r="S708" s="11" t="s">
        <v>4120</v>
      </c>
    </row>
    <row r="709" spans="1:19" x14ac:dyDescent="0.2">
      <c r="A709" s="33">
        <v>43647</v>
      </c>
      <c r="B709" s="34">
        <v>25</v>
      </c>
      <c r="C709" s="35" t="s">
        <v>493</v>
      </c>
      <c r="D709" s="34" t="str">
        <f>VLOOKUP(C709,'PUR-PARTY MASTER'!$B$4:$E$2000,2,FALSE)</f>
        <v>27AMMPB3648M1ZO</v>
      </c>
      <c r="E709" s="34" t="s">
        <v>22</v>
      </c>
      <c r="F709" s="134">
        <v>1671</v>
      </c>
      <c r="G709" s="37">
        <v>43648</v>
      </c>
      <c r="H709" s="34">
        <v>85129000</v>
      </c>
      <c r="I709" s="39">
        <f>VLOOKUP(H709,'PUR-HSN MASTER'!$A$4:$E$5000,5,FALSE)</f>
        <v>18</v>
      </c>
      <c r="J709" s="38">
        <v>450</v>
      </c>
      <c r="K709" s="40">
        <v>10345.5</v>
      </c>
      <c r="L709" s="39">
        <v>0</v>
      </c>
      <c r="M709" s="39">
        <v>931.09500000000003</v>
      </c>
      <c r="N709" s="39">
        <v>931.09500000000003</v>
      </c>
      <c r="O709" s="39">
        <v>0</v>
      </c>
      <c r="P709" s="39">
        <v>12207.999999999998</v>
      </c>
      <c r="Q709" s="34" t="s">
        <v>410</v>
      </c>
      <c r="R709" s="34" t="s">
        <v>26</v>
      </c>
      <c r="S709" s="11" t="s">
        <v>4120</v>
      </c>
    </row>
    <row r="710" spans="1:19" x14ac:dyDescent="0.2">
      <c r="A710" s="33">
        <v>43647</v>
      </c>
      <c r="B710" s="34">
        <v>26</v>
      </c>
      <c r="C710" s="35" t="s">
        <v>493</v>
      </c>
      <c r="D710" s="34" t="str">
        <f>VLOOKUP(C710,'PUR-PARTY MASTER'!$B$4:$E$2000,2,FALSE)</f>
        <v>27AMMPB3648M1ZO</v>
      </c>
      <c r="E710" s="34" t="s">
        <v>22</v>
      </c>
      <c r="F710" s="134">
        <v>1686</v>
      </c>
      <c r="G710" s="37">
        <v>43649</v>
      </c>
      <c r="H710" s="34">
        <v>85129000</v>
      </c>
      <c r="I710" s="39">
        <f>VLOOKUP(H710,'PUR-HSN MASTER'!$A$4:$E$5000,5,FALSE)</f>
        <v>18</v>
      </c>
      <c r="J710" s="38">
        <v>1300</v>
      </c>
      <c r="K710" s="40">
        <v>29887</v>
      </c>
      <c r="L710" s="39">
        <v>0</v>
      </c>
      <c r="M710" s="39">
        <v>2689.83</v>
      </c>
      <c r="N710" s="39">
        <v>2689.83</v>
      </c>
      <c r="O710" s="39">
        <v>0</v>
      </c>
      <c r="P710" s="39">
        <v>35267</v>
      </c>
      <c r="Q710" s="34" t="s">
        <v>410</v>
      </c>
      <c r="R710" s="34" t="s">
        <v>26</v>
      </c>
      <c r="S710" s="11" t="s">
        <v>4120</v>
      </c>
    </row>
    <row r="711" spans="1:19" x14ac:dyDescent="0.2">
      <c r="A711" s="33">
        <v>43647</v>
      </c>
      <c r="B711" s="34">
        <v>27</v>
      </c>
      <c r="C711" s="35" t="s">
        <v>554</v>
      </c>
      <c r="D711" s="34" t="str">
        <f>VLOOKUP(C711,'PUR-PARTY MASTER'!$B$4:$E$2000,2,FALSE)</f>
        <v>27AACFA1881H1ZL</v>
      </c>
      <c r="E711" s="34" t="s">
        <v>22</v>
      </c>
      <c r="F711" s="134">
        <v>3745</v>
      </c>
      <c r="G711" s="37">
        <v>43649</v>
      </c>
      <c r="H711" s="34">
        <v>87141900</v>
      </c>
      <c r="I711" s="39">
        <f>VLOOKUP(H711,'PUR-HSN MASTER'!$A$4:$E$5000,5,FALSE)</f>
        <v>28</v>
      </c>
      <c r="J711" s="38">
        <v>1290</v>
      </c>
      <c r="K711" s="40">
        <v>3663.9</v>
      </c>
      <c r="L711" s="39">
        <v>0</v>
      </c>
      <c r="M711" s="39">
        <v>512.94600000000003</v>
      </c>
      <c r="N711" s="39">
        <v>512.94600000000003</v>
      </c>
      <c r="O711" s="39">
        <v>0</v>
      </c>
      <c r="P711" s="39">
        <v>4689.8020000000006</v>
      </c>
      <c r="Q711" s="34" t="s">
        <v>410</v>
      </c>
      <c r="R711" s="34" t="s">
        <v>26</v>
      </c>
      <c r="S711" s="11" t="s">
        <v>4120</v>
      </c>
    </row>
    <row r="712" spans="1:19" x14ac:dyDescent="0.2">
      <c r="A712" s="33">
        <v>43647</v>
      </c>
      <c r="B712" s="34">
        <v>28</v>
      </c>
      <c r="C712" s="35" t="s">
        <v>554</v>
      </c>
      <c r="D712" s="34" t="str">
        <f>VLOOKUP(C712,'PUR-PARTY MASTER'!$B$4:$E$2000,2,FALSE)</f>
        <v>27AACFA1881H1ZL</v>
      </c>
      <c r="E712" s="34" t="s">
        <v>22</v>
      </c>
      <c r="F712" s="134">
        <v>3770</v>
      </c>
      <c r="G712" s="37">
        <v>43649</v>
      </c>
      <c r="H712" s="34">
        <v>87141900</v>
      </c>
      <c r="I712" s="39">
        <f>VLOOKUP(H712,'PUR-HSN MASTER'!$A$4:$E$5000,5,FALSE)</f>
        <v>28</v>
      </c>
      <c r="J712" s="38">
        <v>2020</v>
      </c>
      <c r="K712" s="40">
        <v>5534.2</v>
      </c>
      <c r="L712" s="39">
        <v>0</v>
      </c>
      <c r="M712" s="39">
        <v>774.78800000000001</v>
      </c>
      <c r="N712" s="39">
        <v>774.78800000000001</v>
      </c>
      <c r="O712" s="39">
        <v>0</v>
      </c>
      <c r="P712" s="39">
        <v>7083.7759999999998</v>
      </c>
      <c r="Q712" s="34" t="s">
        <v>410</v>
      </c>
      <c r="R712" s="34" t="s">
        <v>26</v>
      </c>
      <c r="S712" s="11" t="s">
        <v>4120</v>
      </c>
    </row>
    <row r="713" spans="1:19" x14ac:dyDescent="0.2">
      <c r="A713" s="33">
        <v>43647</v>
      </c>
      <c r="B713" s="34">
        <v>29</v>
      </c>
      <c r="C713" s="35" t="s">
        <v>471</v>
      </c>
      <c r="D713" s="34" t="str">
        <f>VLOOKUP(C713,'PUR-PARTY MASTER'!$B$4:$E$2000,2,FALSE)</f>
        <v>27AAECM8871A1ZF</v>
      </c>
      <c r="E713" s="34" t="s">
        <v>22</v>
      </c>
      <c r="F713" s="134">
        <v>192003095</v>
      </c>
      <c r="G713" s="37">
        <v>43649</v>
      </c>
      <c r="H713" s="34">
        <v>87089900</v>
      </c>
      <c r="I713" s="39">
        <f>VLOOKUP(H713,'PUR-HSN MASTER'!$A$4:$E$5000,5,FALSE)</f>
        <v>28</v>
      </c>
      <c r="J713" s="38">
        <v>12</v>
      </c>
      <c r="K713" s="40">
        <v>17483.52</v>
      </c>
      <c r="L713" s="39">
        <v>0</v>
      </c>
      <c r="M713" s="39">
        <v>2447.6928000000003</v>
      </c>
      <c r="N713" s="39">
        <v>2447.6928000000003</v>
      </c>
      <c r="O713" s="39">
        <v>0</v>
      </c>
      <c r="P713" s="39">
        <v>22378.895600000003</v>
      </c>
      <c r="Q713" s="34" t="s">
        <v>410</v>
      </c>
      <c r="R713" s="34" t="s">
        <v>26</v>
      </c>
      <c r="S713" s="11" t="s">
        <v>4120</v>
      </c>
    </row>
    <row r="714" spans="1:19" x14ac:dyDescent="0.2">
      <c r="A714" s="33">
        <v>43647</v>
      </c>
      <c r="B714" s="34">
        <v>30</v>
      </c>
      <c r="C714" s="35" t="s">
        <v>601</v>
      </c>
      <c r="D714" s="34" t="str">
        <f>VLOOKUP(C714,'PUR-PARTY MASTER'!$B$4:$E$2000,2,FALSE)</f>
        <v>27AAZFM6461A1ZY</v>
      </c>
      <c r="E714" s="34" t="s">
        <v>22</v>
      </c>
      <c r="F714" s="134">
        <v>2505</v>
      </c>
      <c r="G714" s="37">
        <v>43649</v>
      </c>
      <c r="H714" s="34">
        <v>87082900</v>
      </c>
      <c r="I714" s="39">
        <f>VLOOKUP(H714,'PUR-HSN MASTER'!$A$4:$E$5000,5,FALSE)</f>
        <v>28</v>
      </c>
      <c r="J714" s="38">
        <v>1080</v>
      </c>
      <c r="K714" s="40">
        <v>45975.6</v>
      </c>
      <c r="L714" s="39">
        <v>0</v>
      </c>
      <c r="M714" s="39">
        <v>6436.5839999999998</v>
      </c>
      <c r="N714" s="39">
        <v>6436.5839999999998</v>
      </c>
      <c r="O714" s="39">
        <v>0</v>
      </c>
      <c r="P714" s="39">
        <v>58848.758000000002</v>
      </c>
      <c r="Q714" s="34" t="s">
        <v>410</v>
      </c>
      <c r="R714" s="34" t="s">
        <v>26</v>
      </c>
      <c r="S714" s="11" t="s">
        <v>4120</v>
      </c>
    </row>
    <row r="715" spans="1:19" x14ac:dyDescent="0.2">
      <c r="A715" s="33">
        <v>43647</v>
      </c>
      <c r="B715" s="34">
        <v>31</v>
      </c>
      <c r="C715" s="35" t="s">
        <v>527</v>
      </c>
      <c r="D715" s="34" t="str">
        <f>VLOOKUP(C715,'PUR-PARTY MASTER'!$B$4:$E$2000,2,FALSE)</f>
        <v>27AAACM2185R1ZX</v>
      </c>
      <c r="E715" s="34" t="s">
        <v>22</v>
      </c>
      <c r="F715" s="134">
        <v>9330003981</v>
      </c>
      <c r="G715" s="37">
        <v>43648</v>
      </c>
      <c r="H715" s="34">
        <v>32082090</v>
      </c>
      <c r="I715" s="39">
        <f>VLOOKUP(H715,'PUR-HSN MASTER'!$A$4:$E$5000,5,FALSE)</f>
        <v>18</v>
      </c>
      <c r="J715" s="38">
        <v>48</v>
      </c>
      <c r="K715" s="40">
        <v>17004</v>
      </c>
      <c r="L715" s="39">
        <v>0</v>
      </c>
      <c r="M715" s="39">
        <v>1530.36</v>
      </c>
      <c r="N715" s="39">
        <v>1530.36</v>
      </c>
      <c r="O715" s="39">
        <v>0</v>
      </c>
      <c r="P715" s="39">
        <v>20065</v>
      </c>
      <c r="Q715" s="34" t="s">
        <v>410</v>
      </c>
      <c r="R715" s="34" t="s">
        <v>26</v>
      </c>
      <c r="S715" s="11" t="s">
        <v>4120</v>
      </c>
    </row>
    <row r="716" spans="1:19" x14ac:dyDescent="0.2">
      <c r="A716" s="33">
        <v>43647</v>
      </c>
      <c r="B716" s="34"/>
      <c r="C716" s="35" t="s">
        <v>527</v>
      </c>
      <c r="D716" s="34" t="str">
        <f>VLOOKUP(C716,'PUR-PARTY MASTER'!$B$4:$E$2000,2,FALSE)</f>
        <v>27AAACM2185R1ZX</v>
      </c>
      <c r="E716" s="34" t="s">
        <v>22</v>
      </c>
      <c r="F716" s="134">
        <v>9330003981</v>
      </c>
      <c r="G716" s="37">
        <v>43648</v>
      </c>
      <c r="H716" s="34">
        <v>38140010</v>
      </c>
      <c r="I716" s="39">
        <f>VLOOKUP(H716,'PUR-HSN MASTER'!$A$4:$E$5000,5,FALSE)</f>
        <v>18</v>
      </c>
      <c r="J716" s="38">
        <v>20</v>
      </c>
      <c r="K716" s="40">
        <v>3061</v>
      </c>
      <c r="L716" s="39">
        <v>0</v>
      </c>
      <c r="M716" s="39">
        <v>275.49</v>
      </c>
      <c r="N716" s="39">
        <v>275.49</v>
      </c>
      <c r="O716" s="39">
        <v>0</v>
      </c>
      <c r="P716" s="39">
        <v>3611.9999999999995</v>
      </c>
      <c r="Q716" s="34" t="s">
        <v>410</v>
      </c>
      <c r="R716" s="34" t="s">
        <v>26</v>
      </c>
      <c r="S716" s="11" t="s">
        <v>4120</v>
      </c>
    </row>
    <row r="717" spans="1:19" x14ac:dyDescent="0.2">
      <c r="A717" s="33">
        <v>43647</v>
      </c>
      <c r="B717" s="34">
        <v>32</v>
      </c>
      <c r="C717" s="35" t="s">
        <v>489</v>
      </c>
      <c r="D717" s="34" t="str">
        <f>VLOOKUP(C717,'PUR-PARTY MASTER'!$B$4:$E$2000,2,FALSE)</f>
        <v>27AAECD2713N1ZK</v>
      </c>
      <c r="E717" s="34" t="s">
        <v>22</v>
      </c>
      <c r="F717" s="134">
        <v>7887985472</v>
      </c>
      <c r="G717" s="37">
        <v>43649</v>
      </c>
      <c r="H717" s="34">
        <v>32082090</v>
      </c>
      <c r="I717" s="39">
        <f>VLOOKUP(H717,'PUR-HSN MASTER'!$A$4:$E$5000,5,FALSE)</f>
        <v>18</v>
      </c>
      <c r="J717" s="38">
        <v>4</v>
      </c>
      <c r="K717" s="40">
        <v>3920</v>
      </c>
      <c r="L717" s="39">
        <v>0</v>
      </c>
      <c r="M717" s="39">
        <v>352.8</v>
      </c>
      <c r="N717" s="39">
        <v>352.8</v>
      </c>
      <c r="O717" s="39">
        <v>0</v>
      </c>
      <c r="P717" s="39">
        <v>4626</v>
      </c>
      <c r="Q717" s="34" t="s">
        <v>410</v>
      </c>
      <c r="R717" s="34" t="s">
        <v>26</v>
      </c>
      <c r="S717" s="11" t="s">
        <v>4120</v>
      </c>
    </row>
    <row r="718" spans="1:19" x14ac:dyDescent="0.2">
      <c r="A718" s="33">
        <v>43647</v>
      </c>
      <c r="B718" s="34">
        <v>33</v>
      </c>
      <c r="C718" s="35" t="s">
        <v>554</v>
      </c>
      <c r="D718" s="34" t="str">
        <f>VLOOKUP(C718,'PUR-PARTY MASTER'!$B$4:$E$2000,2,FALSE)</f>
        <v>27AACFA1881H1ZL</v>
      </c>
      <c r="E718" s="34" t="s">
        <v>22</v>
      </c>
      <c r="F718" s="134">
        <v>3804</v>
      </c>
      <c r="G718" s="37">
        <v>43650</v>
      </c>
      <c r="H718" s="34">
        <v>87141900</v>
      </c>
      <c r="I718" s="39">
        <f>VLOOKUP(H718,'PUR-HSN MASTER'!$A$4:$E$5000,5,FALSE)</f>
        <v>28</v>
      </c>
      <c r="J718" s="38">
        <v>1530</v>
      </c>
      <c r="K718" s="40">
        <v>4227.5</v>
      </c>
      <c r="L718" s="39">
        <v>0</v>
      </c>
      <c r="M718" s="39">
        <v>591.85</v>
      </c>
      <c r="N718" s="39">
        <v>591.85</v>
      </c>
      <c r="O718" s="39">
        <v>0</v>
      </c>
      <c r="P718" s="39">
        <v>5411.2000000000007</v>
      </c>
      <c r="Q718" s="34" t="s">
        <v>410</v>
      </c>
      <c r="R718" s="34" t="s">
        <v>26</v>
      </c>
      <c r="S718" s="11" t="s">
        <v>4120</v>
      </c>
    </row>
    <row r="719" spans="1:19" x14ac:dyDescent="0.2">
      <c r="A719" s="33">
        <v>43647</v>
      </c>
      <c r="B719" s="34">
        <v>34</v>
      </c>
      <c r="C719" s="35" t="s">
        <v>493</v>
      </c>
      <c r="D719" s="34" t="str">
        <f>VLOOKUP(C719,'PUR-PARTY MASTER'!$B$4:$E$2000,2,FALSE)</f>
        <v>27AMMPB3648M1ZO</v>
      </c>
      <c r="E719" s="34" t="s">
        <v>22</v>
      </c>
      <c r="F719" s="134">
        <v>1715</v>
      </c>
      <c r="G719" s="37">
        <v>43650</v>
      </c>
      <c r="H719" s="34">
        <v>85129000</v>
      </c>
      <c r="I719" s="39">
        <f>VLOOKUP(H719,'PUR-HSN MASTER'!$A$4:$E$5000,5,FALSE)</f>
        <v>18</v>
      </c>
      <c r="J719" s="38">
        <v>207</v>
      </c>
      <c r="K719" s="40">
        <v>4758.93</v>
      </c>
      <c r="L719" s="39">
        <v>0</v>
      </c>
      <c r="M719" s="39">
        <v>428.30369999999999</v>
      </c>
      <c r="N719" s="39">
        <v>428.30369999999999</v>
      </c>
      <c r="O719" s="39">
        <v>0</v>
      </c>
      <c r="P719" s="39">
        <v>5615.9974000000011</v>
      </c>
      <c r="Q719" s="34" t="s">
        <v>410</v>
      </c>
      <c r="R719" s="34" t="s">
        <v>26</v>
      </c>
      <c r="S719" s="11" t="s">
        <v>4120</v>
      </c>
    </row>
    <row r="720" spans="1:19" x14ac:dyDescent="0.2">
      <c r="A720" s="33">
        <v>43647</v>
      </c>
      <c r="B720" s="34">
        <v>35</v>
      </c>
      <c r="C720" s="35" t="s">
        <v>506</v>
      </c>
      <c r="D720" s="34" t="str">
        <f>VLOOKUP(C720,'PUR-PARTY MASTER'!$B$4:$E$2000,2,FALSE)</f>
        <v>27AAACG1376N1ZC</v>
      </c>
      <c r="E720" s="34" t="s">
        <v>22</v>
      </c>
      <c r="F720" s="136" t="s">
        <v>775</v>
      </c>
      <c r="G720" s="37">
        <v>43649</v>
      </c>
      <c r="H720" s="34">
        <v>32082090</v>
      </c>
      <c r="I720" s="39">
        <f>VLOOKUP(H720,'PUR-HSN MASTER'!$A$4:$E$5000,5,FALSE)</f>
        <v>18</v>
      </c>
      <c r="J720" s="38">
        <v>200</v>
      </c>
      <c r="K720" s="40">
        <v>69758</v>
      </c>
      <c r="L720" s="39">
        <v>0</v>
      </c>
      <c r="M720" s="39">
        <v>6278.22</v>
      </c>
      <c r="N720" s="39">
        <v>6278.22</v>
      </c>
      <c r="O720" s="39">
        <v>0</v>
      </c>
      <c r="P720" s="39">
        <v>82314</v>
      </c>
      <c r="Q720" s="34" t="s">
        <v>410</v>
      </c>
      <c r="R720" s="34" t="s">
        <v>26</v>
      </c>
      <c r="S720" s="11" t="s">
        <v>4120</v>
      </c>
    </row>
    <row r="721" spans="1:19" x14ac:dyDescent="0.2">
      <c r="A721" s="33">
        <v>43647</v>
      </c>
      <c r="B721" s="34">
        <v>36</v>
      </c>
      <c r="C721" s="35" t="s">
        <v>506</v>
      </c>
      <c r="D721" s="34" t="str">
        <f>VLOOKUP(C721,'PUR-PARTY MASTER'!$B$4:$E$2000,2,FALSE)</f>
        <v>27AAACG1376N1ZC</v>
      </c>
      <c r="E721" s="34" t="s">
        <v>22</v>
      </c>
      <c r="F721" s="136" t="s">
        <v>776</v>
      </c>
      <c r="G721" s="37">
        <v>43649</v>
      </c>
      <c r="H721" s="34">
        <v>38140010</v>
      </c>
      <c r="I721" s="39">
        <f>VLOOKUP(H721,'PUR-HSN MASTER'!$A$4:$E$5000,5,FALSE)</f>
        <v>18</v>
      </c>
      <c r="J721" s="38">
        <v>100</v>
      </c>
      <c r="K721" s="40">
        <v>9240</v>
      </c>
      <c r="L721" s="39">
        <v>0</v>
      </c>
      <c r="M721" s="39">
        <v>831.6</v>
      </c>
      <c r="N721" s="39">
        <v>831.6</v>
      </c>
      <c r="O721" s="39">
        <v>0</v>
      </c>
      <c r="P721" s="39">
        <v>10903</v>
      </c>
      <c r="Q721" s="34" t="s">
        <v>410</v>
      </c>
      <c r="R721" s="34" t="s">
        <v>26</v>
      </c>
      <c r="S721" s="11" t="s">
        <v>4120</v>
      </c>
    </row>
    <row r="722" spans="1:19" x14ac:dyDescent="0.2">
      <c r="A722" s="33">
        <v>43647</v>
      </c>
      <c r="B722" s="34">
        <v>37</v>
      </c>
      <c r="C722" s="35" t="s">
        <v>506</v>
      </c>
      <c r="D722" s="34" t="str">
        <f>VLOOKUP(C722,'PUR-PARTY MASTER'!$B$4:$E$2000,2,FALSE)</f>
        <v>27AAACG1376N1ZC</v>
      </c>
      <c r="E722" s="34" t="s">
        <v>22</v>
      </c>
      <c r="F722" s="136" t="s">
        <v>777</v>
      </c>
      <c r="G722" s="37">
        <v>43649</v>
      </c>
      <c r="H722" s="34">
        <v>38140010</v>
      </c>
      <c r="I722" s="39">
        <f>VLOOKUP(H722,'PUR-HSN MASTER'!$A$4:$E$5000,5,FALSE)</f>
        <v>18</v>
      </c>
      <c r="J722" s="38">
        <v>20</v>
      </c>
      <c r="K722" s="40">
        <v>2400</v>
      </c>
      <c r="L722" s="39">
        <v>0</v>
      </c>
      <c r="M722" s="39">
        <v>216</v>
      </c>
      <c r="N722" s="39">
        <v>216</v>
      </c>
      <c r="O722" s="39">
        <v>0</v>
      </c>
      <c r="P722" s="39">
        <v>2832</v>
      </c>
      <c r="Q722" s="34" t="s">
        <v>410</v>
      </c>
      <c r="R722" s="34" t="s">
        <v>26</v>
      </c>
      <c r="S722" s="11" t="s">
        <v>4120</v>
      </c>
    </row>
    <row r="723" spans="1:19" x14ac:dyDescent="0.2">
      <c r="A723" s="630">
        <v>43647</v>
      </c>
      <c r="B723" s="34">
        <v>38</v>
      </c>
      <c r="C723" s="35" t="s">
        <v>541</v>
      </c>
      <c r="D723" s="34" t="str">
        <f>VLOOKUP(C723,'PUR-PARTY MASTER'!$B$4:$E$2000,2,FALSE)</f>
        <v>27AYCPB9228K1ZA</v>
      </c>
      <c r="E723" s="34" t="s">
        <v>22</v>
      </c>
      <c r="F723" s="136" t="s">
        <v>778</v>
      </c>
      <c r="G723" s="37">
        <v>43647</v>
      </c>
      <c r="H723" s="124">
        <v>998422</v>
      </c>
      <c r="I723" s="39">
        <f>VLOOKUP(H723,'PUR-HSN MASTER'!$A$4:$E$5000,5,FALSE)</f>
        <v>18</v>
      </c>
      <c r="J723" s="631">
        <v>0</v>
      </c>
      <c r="K723" s="125">
        <v>3500</v>
      </c>
      <c r="L723" s="39">
        <v>0</v>
      </c>
      <c r="M723" s="39">
        <v>315</v>
      </c>
      <c r="N723" s="39">
        <v>315</v>
      </c>
      <c r="O723" s="39">
        <v>0</v>
      </c>
      <c r="P723" s="39">
        <v>4130</v>
      </c>
      <c r="Q723" s="631" t="s">
        <v>411</v>
      </c>
      <c r="R723" s="34" t="s">
        <v>26</v>
      </c>
      <c r="S723" s="11" t="s">
        <v>4120</v>
      </c>
    </row>
    <row r="724" spans="1:19" x14ac:dyDescent="0.2">
      <c r="A724" s="33">
        <v>43647</v>
      </c>
      <c r="B724" s="34">
        <v>39</v>
      </c>
      <c r="C724" s="632" t="s">
        <v>779</v>
      </c>
      <c r="D724" s="34" t="str">
        <f>VLOOKUP(C724,'PUR-PARTY MASTER'!$B$4:$E$2000,2,FALSE)</f>
        <v>27ACKPT7340N1ZU</v>
      </c>
      <c r="E724" s="34" t="s">
        <v>22</v>
      </c>
      <c r="F724" s="136" t="s">
        <v>781</v>
      </c>
      <c r="G724" s="37">
        <v>43649</v>
      </c>
      <c r="H724" s="34">
        <v>8424</v>
      </c>
      <c r="I724" s="39">
        <f>VLOOKUP(H724,'PUR-HSN MASTER'!$A$4:$E$5000,5,FALSE)</f>
        <v>18</v>
      </c>
      <c r="J724" s="38">
        <v>1</v>
      </c>
      <c r="K724" s="40">
        <v>592000</v>
      </c>
      <c r="L724" s="39">
        <v>0</v>
      </c>
      <c r="M724" s="39">
        <v>53280</v>
      </c>
      <c r="N724" s="39">
        <v>53280</v>
      </c>
      <c r="O724" s="39">
        <v>0</v>
      </c>
      <c r="P724" s="39">
        <v>698560</v>
      </c>
      <c r="Q724" s="34" t="s">
        <v>412</v>
      </c>
      <c r="R724" s="34" t="s">
        <v>26</v>
      </c>
      <c r="S724" s="11" t="s">
        <v>4120</v>
      </c>
    </row>
    <row r="725" spans="1:19" x14ac:dyDescent="0.2">
      <c r="A725" s="33">
        <v>43647</v>
      </c>
      <c r="B725" s="34">
        <v>40</v>
      </c>
      <c r="C725" s="35" t="s">
        <v>495</v>
      </c>
      <c r="D725" s="34" t="str">
        <f>VLOOKUP(C725,'PUR-PARTY MASTER'!$B$4:$E$2000,2,FALSE)</f>
        <v>27AAACH4211R1ZF</v>
      </c>
      <c r="E725" s="34" t="s">
        <v>22</v>
      </c>
      <c r="F725" s="134">
        <v>5510050623</v>
      </c>
      <c r="G725" s="37">
        <v>43650</v>
      </c>
      <c r="H725" s="34">
        <v>85129000</v>
      </c>
      <c r="I725" s="39">
        <f>VLOOKUP(H725,'PUR-HSN MASTER'!$A$4:$E$5000,5,FALSE)</f>
        <v>18</v>
      </c>
      <c r="J725" s="38">
        <v>1920</v>
      </c>
      <c r="K725" s="40">
        <v>21235.200000000001</v>
      </c>
      <c r="L725" s="39">
        <v>0</v>
      </c>
      <c r="M725" s="39">
        <v>1911.1580000000001</v>
      </c>
      <c r="N725" s="39">
        <v>1911.1580000000001</v>
      </c>
      <c r="O725" s="39">
        <v>0</v>
      </c>
      <c r="P725" s="39">
        <v>25057.516</v>
      </c>
      <c r="Q725" s="34" t="s">
        <v>410</v>
      </c>
      <c r="R725" s="34" t="s">
        <v>26</v>
      </c>
      <c r="S725" s="11" t="s">
        <v>4120</v>
      </c>
    </row>
    <row r="726" spans="1:19" x14ac:dyDescent="0.2">
      <c r="A726" s="33">
        <v>43647</v>
      </c>
      <c r="B726" s="34">
        <v>41</v>
      </c>
      <c r="C726" s="35" t="s">
        <v>473</v>
      </c>
      <c r="D726" s="34" t="str">
        <f>VLOOKUP(C726,'PUR-PARTY MASTER'!$B$4:$E$2000,2,FALSE)</f>
        <v>27AAACT1848E1ZH</v>
      </c>
      <c r="E726" s="34" t="s">
        <v>22</v>
      </c>
      <c r="F726" s="136" t="s">
        <v>782</v>
      </c>
      <c r="G726" s="37">
        <v>43650</v>
      </c>
      <c r="H726" s="34">
        <v>87089900</v>
      </c>
      <c r="I726" s="39">
        <f>VLOOKUP(H726,'PUR-HSN MASTER'!$A$4:$E$5000,5,FALSE)</f>
        <v>28</v>
      </c>
      <c r="J726" s="38">
        <v>60</v>
      </c>
      <c r="K726" s="40">
        <v>9229.6</v>
      </c>
      <c r="L726" s="39">
        <v>0</v>
      </c>
      <c r="M726" s="39">
        <v>1292.0039999999999</v>
      </c>
      <c r="N726" s="39">
        <v>1292.0039999999999</v>
      </c>
      <c r="O726" s="39">
        <v>0</v>
      </c>
      <c r="P726" s="39">
        <v>11813.618</v>
      </c>
      <c r="Q726" s="34" t="s">
        <v>410</v>
      </c>
      <c r="R726" s="34" t="s">
        <v>26</v>
      </c>
      <c r="S726" s="11" t="s">
        <v>4120</v>
      </c>
    </row>
    <row r="727" spans="1:19" x14ac:dyDescent="0.2">
      <c r="A727" s="33">
        <v>43647</v>
      </c>
      <c r="B727" s="34">
        <v>42</v>
      </c>
      <c r="C727" s="35" t="s">
        <v>514</v>
      </c>
      <c r="D727" s="34" t="str">
        <f>VLOOKUP(C727,'PUR-PARTY MASTER'!$B$4:$E$2000,2,FALSE)</f>
        <v>27AAACU2414K1ZF</v>
      </c>
      <c r="E727" s="34" t="s">
        <v>22</v>
      </c>
      <c r="F727" s="136" t="s">
        <v>783</v>
      </c>
      <c r="G727" s="37">
        <v>43650</v>
      </c>
      <c r="H727" s="34">
        <v>9971</v>
      </c>
      <c r="I727" s="39">
        <f>VLOOKUP(H727,'PUR-HSN MASTER'!$A$4:$E$5000,5,FALSE)</f>
        <v>18</v>
      </c>
      <c r="J727" s="38">
        <v>0</v>
      </c>
      <c r="K727" s="40">
        <v>5</v>
      </c>
      <c r="L727" s="39">
        <v>0</v>
      </c>
      <c r="M727" s="39">
        <v>0.45</v>
      </c>
      <c r="N727" s="39">
        <v>0.45</v>
      </c>
      <c r="O727" s="39">
        <v>0</v>
      </c>
      <c r="P727" s="39">
        <v>5.9</v>
      </c>
      <c r="Q727" s="34" t="s">
        <v>411</v>
      </c>
      <c r="R727" s="34" t="s">
        <v>26</v>
      </c>
      <c r="S727" s="11" t="s">
        <v>4120</v>
      </c>
    </row>
    <row r="728" spans="1:19" x14ac:dyDescent="0.2">
      <c r="A728" s="33">
        <v>43647</v>
      </c>
      <c r="B728" s="34">
        <v>43</v>
      </c>
      <c r="C728" s="632" t="s">
        <v>784</v>
      </c>
      <c r="D728" s="34" t="str">
        <f>VLOOKUP(C728,'PUR-PARTY MASTER'!$B$4:$E$2000,2,FALSE)</f>
        <v>29AACCT3705E1ZJ</v>
      </c>
      <c r="E728" s="34" t="s">
        <v>22</v>
      </c>
      <c r="F728" s="136" t="s">
        <v>786</v>
      </c>
      <c r="G728" s="37">
        <v>43651</v>
      </c>
      <c r="H728" s="34">
        <v>998313</v>
      </c>
      <c r="I728" s="39">
        <f>VLOOKUP(H728,'PUR-HSN MASTER'!$A$4:$E$5000,5,FALSE)</f>
        <v>18</v>
      </c>
      <c r="J728" s="38">
        <v>60</v>
      </c>
      <c r="K728" s="40">
        <v>10800</v>
      </c>
      <c r="L728" s="39">
        <v>1944</v>
      </c>
      <c r="M728" s="39">
        <v>0</v>
      </c>
      <c r="N728" s="39">
        <v>0</v>
      </c>
      <c r="O728" s="39">
        <v>0</v>
      </c>
      <c r="P728" s="39">
        <v>12744</v>
      </c>
      <c r="Q728" s="34" t="s">
        <v>411</v>
      </c>
      <c r="R728" s="34" t="s">
        <v>106</v>
      </c>
      <c r="S728" s="11" t="s">
        <v>4120</v>
      </c>
    </row>
    <row r="729" spans="1:19" x14ac:dyDescent="0.2">
      <c r="A729" s="33">
        <v>43647</v>
      </c>
      <c r="B729" s="34">
        <v>44</v>
      </c>
      <c r="C729" s="35" t="s">
        <v>554</v>
      </c>
      <c r="D729" s="34" t="str">
        <f>VLOOKUP(C729,'PUR-PARTY MASTER'!$B$4:$E$2000,2,FALSE)</f>
        <v>27AACFA1881H1ZL</v>
      </c>
      <c r="E729" s="34" t="s">
        <v>22</v>
      </c>
      <c r="F729" s="134">
        <v>3875</v>
      </c>
      <c r="G729" s="37">
        <v>43651</v>
      </c>
      <c r="H729" s="34">
        <v>87141900</v>
      </c>
      <c r="I729" s="39">
        <f>VLOOKUP(H729,'PUR-HSN MASTER'!$A$4:$E$5000,5,FALSE)</f>
        <v>28</v>
      </c>
      <c r="J729" s="38">
        <v>2720</v>
      </c>
      <c r="K729" s="40">
        <v>7532</v>
      </c>
      <c r="L729" s="39">
        <v>0</v>
      </c>
      <c r="M729" s="39">
        <v>1054.48</v>
      </c>
      <c r="N729" s="39">
        <v>1054.48</v>
      </c>
      <c r="O729" s="39">
        <v>0</v>
      </c>
      <c r="P729" s="39">
        <v>9640.9599999999991</v>
      </c>
      <c r="Q729" s="34" t="s">
        <v>410</v>
      </c>
      <c r="R729" s="34" t="s">
        <v>26</v>
      </c>
      <c r="S729" s="11" t="s">
        <v>4120</v>
      </c>
    </row>
    <row r="730" spans="1:19" x14ac:dyDescent="0.2">
      <c r="A730" s="33">
        <v>43647</v>
      </c>
      <c r="B730" s="34">
        <v>45</v>
      </c>
      <c r="C730" s="35" t="s">
        <v>471</v>
      </c>
      <c r="D730" s="34" t="str">
        <f>VLOOKUP(C730,'PUR-PARTY MASTER'!$B$4:$E$2000,2,FALSE)</f>
        <v>27AAECM8871A1ZF</v>
      </c>
      <c r="E730" s="34" t="s">
        <v>22</v>
      </c>
      <c r="F730" s="134">
        <v>192003228</v>
      </c>
      <c r="G730" s="37">
        <v>43651</v>
      </c>
      <c r="H730" s="34">
        <v>87089900</v>
      </c>
      <c r="I730" s="39">
        <f>VLOOKUP(H730,'PUR-HSN MASTER'!$A$4:$E$5000,5,FALSE)</f>
        <v>28</v>
      </c>
      <c r="J730" s="38">
        <v>12</v>
      </c>
      <c r="K730" s="40">
        <v>17483.52</v>
      </c>
      <c r="L730" s="39">
        <v>0</v>
      </c>
      <c r="M730" s="39">
        <v>2447.6928000000003</v>
      </c>
      <c r="N730" s="39">
        <v>2447.6928000000003</v>
      </c>
      <c r="O730" s="39">
        <v>0</v>
      </c>
      <c r="P730" s="39">
        <v>22378.895600000003</v>
      </c>
      <c r="Q730" s="34" t="s">
        <v>410</v>
      </c>
      <c r="R730" s="34" t="s">
        <v>26</v>
      </c>
      <c r="S730" s="11" t="s">
        <v>4120</v>
      </c>
    </row>
    <row r="731" spans="1:19" x14ac:dyDescent="0.2">
      <c r="A731" s="33">
        <v>43647</v>
      </c>
      <c r="B731" s="34">
        <v>46</v>
      </c>
      <c r="C731" s="35" t="s">
        <v>606</v>
      </c>
      <c r="D731" s="34" t="str">
        <f>VLOOKUP(C731,'PUR-PARTY MASTER'!$B$4:$E$2000,2,FALSE)</f>
        <v>27AJZPM2520M1ZL</v>
      </c>
      <c r="E731" s="34" t="s">
        <v>22</v>
      </c>
      <c r="F731" s="136" t="s">
        <v>787</v>
      </c>
      <c r="G731" s="37">
        <v>43649</v>
      </c>
      <c r="H731" s="34">
        <v>68052090</v>
      </c>
      <c r="I731" s="39">
        <f>VLOOKUP(H731,'PUR-HSN MASTER'!$A$4:$E$5000,5,FALSE)</f>
        <v>18</v>
      </c>
      <c r="J731" s="38">
        <v>1000</v>
      </c>
      <c r="K731" s="40">
        <v>10000</v>
      </c>
      <c r="L731" s="39">
        <v>0</v>
      </c>
      <c r="M731" s="39">
        <v>900</v>
      </c>
      <c r="N731" s="39">
        <v>900</v>
      </c>
      <c r="O731" s="39">
        <v>0</v>
      </c>
      <c r="P731" s="39">
        <v>11800</v>
      </c>
      <c r="Q731" s="34" t="s">
        <v>410</v>
      </c>
      <c r="R731" s="34" t="s">
        <v>26</v>
      </c>
      <c r="S731" s="11" t="s">
        <v>4120</v>
      </c>
    </row>
    <row r="732" spans="1:19" x14ac:dyDescent="0.2">
      <c r="A732" s="33">
        <v>43647</v>
      </c>
      <c r="B732" s="34">
        <v>47</v>
      </c>
      <c r="C732" s="632" t="s">
        <v>788</v>
      </c>
      <c r="D732" s="34" t="str">
        <f>VLOOKUP(C732,'PUR-PARTY MASTER'!$B$4:$E$2000,2,FALSE)</f>
        <v>27AAAFG1674N1Z5</v>
      </c>
      <c r="E732" s="34" t="s">
        <v>22</v>
      </c>
      <c r="F732" s="136" t="s">
        <v>790</v>
      </c>
      <c r="G732" s="37">
        <v>43649</v>
      </c>
      <c r="H732" s="34">
        <v>84663020</v>
      </c>
      <c r="I732" s="39">
        <f>VLOOKUP(H732,'PUR-HSN MASTER'!$A$4:$E$5000,5,FALSE)</f>
        <v>18</v>
      </c>
      <c r="J732" s="38">
        <v>100</v>
      </c>
      <c r="K732" s="40">
        <v>80300</v>
      </c>
      <c r="L732" s="39">
        <v>0</v>
      </c>
      <c r="M732" s="39">
        <v>7227</v>
      </c>
      <c r="N732" s="39">
        <v>7227</v>
      </c>
      <c r="O732" s="39">
        <v>0</v>
      </c>
      <c r="P732" s="39">
        <v>94754</v>
      </c>
      <c r="Q732" s="34" t="s">
        <v>410</v>
      </c>
      <c r="R732" s="34" t="s">
        <v>26</v>
      </c>
      <c r="S732" s="11" t="s">
        <v>4120</v>
      </c>
    </row>
    <row r="733" spans="1:19" x14ac:dyDescent="0.2">
      <c r="A733" s="33">
        <v>43647</v>
      </c>
      <c r="B733" s="34">
        <v>48</v>
      </c>
      <c r="C733" s="35" t="s">
        <v>609</v>
      </c>
      <c r="D733" s="34" t="str">
        <f>VLOOKUP(C733,'PUR-PARTY MASTER'!$B$4:$E$2000,2,FALSE)</f>
        <v>27AASCS9231J1ZO</v>
      </c>
      <c r="E733" s="34" t="s">
        <v>22</v>
      </c>
      <c r="F733" s="136" t="s">
        <v>791</v>
      </c>
      <c r="G733" s="37">
        <v>43647</v>
      </c>
      <c r="H733" s="34">
        <v>998519</v>
      </c>
      <c r="I733" s="39">
        <f>VLOOKUP(H733,'PUR-HSN MASTER'!$A$4:$E$5000,5,FALSE)</f>
        <v>18</v>
      </c>
      <c r="J733" s="38">
        <v>0</v>
      </c>
      <c r="K733" s="40">
        <v>24008</v>
      </c>
      <c r="L733" s="39">
        <v>0</v>
      </c>
      <c r="M733" s="39">
        <v>2160.7200000000003</v>
      </c>
      <c r="N733" s="39">
        <v>2160.7200000000003</v>
      </c>
      <c r="O733" s="39">
        <v>0</v>
      </c>
      <c r="P733" s="39">
        <v>28330.000000000004</v>
      </c>
      <c r="Q733" s="34" t="s">
        <v>411</v>
      </c>
      <c r="R733" s="34" t="s">
        <v>26</v>
      </c>
      <c r="S733" s="11" t="s">
        <v>4120</v>
      </c>
    </row>
    <row r="734" spans="1:19" x14ac:dyDescent="0.2">
      <c r="A734" s="33">
        <v>43647</v>
      </c>
      <c r="B734" s="34">
        <v>49</v>
      </c>
      <c r="C734" s="35" t="s">
        <v>473</v>
      </c>
      <c r="D734" s="34" t="str">
        <f>VLOOKUP(C734,'PUR-PARTY MASTER'!$B$4:$E$2000,2,FALSE)</f>
        <v>27AAACT1848E1ZH</v>
      </c>
      <c r="E734" s="34" t="s">
        <v>22</v>
      </c>
      <c r="F734" s="136" t="s">
        <v>792</v>
      </c>
      <c r="G734" s="37">
        <v>43651</v>
      </c>
      <c r="H734" s="34">
        <v>87089900</v>
      </c>
      <c r="I734" s="39">
        <f>VLOOKUP(H734,'PUR-HSN MASTER'!$A$4:$E$5000,5,FALSE)</f>
        <v>28</v>
      </c>
      <c r="J734" s="38">
        <v>50</v>
      </c>
      <c r="K734" s="40">
        <v>7032.5</v>
      </c>
      <c r="L734" s="39">
        <v>0</v>
      </c>
      <c r="M734" s="39">
        <v>985.00000000000011</v>
      </c>
      <c r="N734" s="39">
        <v>985.00000000000011</v>
      </c>
      <c r="O734" s="39">
        <v>0</v>
      </c>
      <c r="P734" s="39">
        <v>9002.5</v>
      </c>
      <c r="Q734" s="34" t="s">
        <v>410</v>
      </c>
      <c r="R734" s="34" t="s">
        <v>26</v>
      </c>
      <c r="S734" s="11" t="s">
        <v>4120</v>
      </c>
    </row>
    <row r="735" spans="1:19" x14ac:dyDescent="0.2">
      <c r="A735" s="33">
        <v>43647</v>
      </c>
      <c r="B735" s="34">
        <v>50</v>
      </c>
      <c r="C735" s="35" t="s">
        <v>609</v>
      </c>
      <c r="D735" s="34" t="str">
        <f>VLOOKUP(C735,'PUR-PARTY MASTER'!$B$4:$E$2000,2,FALSE)</f>
        <v>27AASCS9231J1ZO</v>
      </c>
      <c r="E735" s="34" t="s">
        <v>22</v>
      </c>
      <c r="F735" s="136" t="s">
        <v>793</v>
      </c>
      <c r="G735" s="37">
        <v>43647</v>
      </c>
      <c r="H735" s="34">
        <v>998519</v>
      </c>
      <c r="I735" s="39">
        <f>VLOOKUP(H735,'PUR-HSN MASTER'!$A$4:$E$5000,5,FALSE)</f>
        <v>18</v>
      </c>
      <c r="J735" s="38">
        <v>0</v>
      </c>
      <c r="K735" s="40">
        <v>798440</v>
      </c>
      <c r="L735" s="39">
        <v>0</v>
      </c>
      <c r="M735" s="39">
        <v>71859.599999999991</v>
      </c>
      <c r="N735" s="39">
        <v>71859.599999999991</v>
      </c>
      <c r="O735" s="39">
        <v>0</v>
      </c>
      <c r="P735" s="39">
        <v>942159</v>
      </c>
      <c r="Q735" s="34" t="s">
        <v>411</v>
      </c>
      <c r="R735" s="34" t="s">
        <v>26</v>
      </c>
      <c r="S735" s="11" t="s">
        <v>4120</v>
      </c>
    </row>
    <row r="736" spans="1:19" x14ac:dyDescent="0.2">
      <c r="A736" s="33">
        <v>43647</v>
      </c>
      <c r="B736" s="34">
        <v>51</v>
      </c>
      <c r="C736" s="35" t="s">
        <v>473</v>
      </c>
      <c r="D736" s="34" t="str">
        <f>VLOOKUP(C736,'PUR-PARTY MASTER'!$B$4:$E$2000,2,FALSE)</f>
        <v>27AAACT1848E1ZH</v>
      </c>
      <c r="E736" s="34" t="s">
        <v>22</v>
      </c>
      <c r="F736" s="136" t="s">
        <v>794</v>
      </c>
      <c r="G736" s="37">
        <v>43651</v>
      </c>
      <c r="H736" s="34">
        <v>87089900</v>
      </c>
      <c r="I736" s="39">
        <f>VLOOKUP(H736,'PUR-HSN MASTER'!$A$4:$E$5000,5,FALSE)</f>
        <v>28</v>
      </c>
      <c r="J736" s="38">
        <v>82</v>
      </c>
      <c r="K736" s="40">
        <v>12011.06</v>
      </c>
      <c r="L736" s="39">
        <v>0</v>
      </c>
      <c r="M736" s="39">
        <v>1681.9983999999999</v>
      </c>
      <c r="N736" s="39">
        <v>1681.9983999999999</v>
      </c>
      <c r="O736" s="39">
        <v>0</v>
      </c>
      <c r="P736" s="39">
        <v>15375.0568</v>
      </c>
      <c r="Q736" s="34" t="s">
        <v>410</v>
      </c>
      <c r="R736" s="34" t="s">
        <v>26</v>
      </c>
      <c r="S736" s="11" t="s">
        <v>4120</v>
      </c>
    </row>
    <row r="737" spans="1:19" x14ac:dyDescent="0.2">
      <c r="A737" s="33">
        <v>43647</v>
      </c>
      <c r="B737" s="34">
        <v>52</v>
      </c>
      <c r="C737" s="35" t="s">
        <v>554</v>
      </c>
      <c r="D737" s="34" t="str">
        <f>VLOOKUP(C737,'PUR-PARTY MASTER'!$B$4:$E$2000,2,FALSE)</f>
        <v>27AACFA1881H1ZL</v>
      </c>
      <c r="E737" s="34" t="s">
        <v>22</v>
      </c>
      <c r="F737" s="134">
        <v>3911</v>
      </c>
      <c r="G737" s="37">
        <v>43651</v>
      </c>
      <c r="H737" s="34">
        <v>87141900</v>
      </c>
      <c r="I737" s="39">
        <f>VLOOKUP(H737,'PUR-HSN MASTER'!$A$4:$E$5000,5,FALSE)</f>
        <v>28</v>
      </c>
      <c r="J737" s="38">
        <v>3800</v>
      </c>
      <c r="K737" s="40">
        <v>10564</v>
      </c>
      <c r="L737" s="39">
        <v>0</v>
      </c>
      <c r="M737" s="39">
        <v>1478.96</v>
      </c>
      <c r="N737" s="39">
        <v>1478.96</v>
      </c>
      <c r="O737" s="39">
        <v>0</v>
      </c>
      <c r="P737" s="39">
        <v>13521.919999999998</v>
      </c>
      <c r="Q737" s="34" t="s">
        <v>410</v>
      </c>
      <c r="R737" s="34" t="s">
        <v>26</v>
      </c>
      <c r="S737" s="11" t="s">
        <v>4120</v>
      </c>
    </row>
    <row r="738" spans="1:19" x14ac:dyDescent="0.2">
      <c r="A738" s="33">
        <v>43647</v>
      </c>
      <c r="B738" s="34">
        <v>53</v>
      </c>
      <c r="C738" s="35" t="s">
        <v>471</v>
      </c>
      <c r="D738" s="34" t="str">
        <f>VLOOKUP(C738,'PUR-PARTY MASTER'!$B$4:$E$2000,2,FALSE)</f>
        <v>27AAECM8871A1ZF</v>
      </c>
      <c r="E738" s="34" t="s">
        <v>22</v>
      </c>
      <c r="F738" s="134">
        <v>192003248</v>
      </c>
      <c r="G738" s="37">
        <v>43651</v>
      </c>
      <c r="H738" s="34">
        <v>87089900</v>
      </c>
      <c r="I738" s="39">
        <f>VLOOKUP(H738,'PUR-HSN MASTER'!$A$4:$E$5000,5,FALSE)</f>
        <v>28</v>
      </c>
      <c r="J738" s="38">
        <v>12</v>
      </c>
      <c r="K738" s="40">
        <v>17483.52</v>
      </c>
      <c r="L738" s="39">
        <v>0</v>
      </c>
      <c r="M738" s="39">
        <v>2447.6928000000003</v>
      </c>
      <c r="N738" s="39">
        <v>2447.6928000000003</v>
      </c>
      <c r="O738" s="39">
        <v>0</v>
      </c>
      <c r="P738" s="39">
        <v>22378.895600000003</v>
      </c>
      <c r="Q738" s="34" t="s">
        <v>410</v>
      </c>
      <c r="R738" s="34" t="s">
        <v>26</v>
      </c>
      <c r="S738" s="11" t="s">
        <v>4120</v>
      </c>
    </row>
    <row r="739" spans="1:19" x14ac:dyDescent="0.2">
      <c r="A739" s="33">
        <v>43647</v>
      </c>
      <c r="B739" s="34">
        <v>54</v>
      </c>
      <c r="C739" s="35" t="s">
        <v>495</v>
      </c>
      <c r="D739" s="34" t="str">
        <f>VLOOKUP(C739,'PUR-PARTY MASTER'!$B$4:$E$2000,2,FALSE)</f>
        <v>27AAACH4211R1ZF</v>
      </c>
      <c r="E739" s="34" t="s">
        <v>22</v>
      </c>
      <c r="F739" s="134">
        <v>5510050742</v>
      </c>
      <c r="G739" s="37">
        <v>43651</v>
      </c>
      <c r="H739" s="34">
        <v>85129000</v>
      </c>
      <c r="I739" s="39">
        <f>VLOOKUP(H739,'PUR-HSN MASTER'!$A$4:$E$5000,5,FALSE)</f>
        <v>18</v>
      </c>
      <c r="J739" s="38">
        <v>2160</v>
      </c>
      <c r="K739" s="40">
        <v>23889.599999999999</v>
      </c>
      <c r="L739" s="39">
        <v>0</v>
      </c>
      <c r="M739" s="39">
        <v>2150.0639999999999</v>
      </c>
      <c r="N739" s="39">
        <v>2150.0639999999999</v>
      </c>
      <c r="O739" s="39">
        <v>0</v>
      </c>
      <c r="P739" s="39">
        <v>28189.717999999997</v>
      </c>
      <c r="Q739" s="34" t="s">
        <v>410</v>
      </c>
      <c r="R739" s="34" t="s">
        <v>26</v>
      </c>
      <c r="S739" s="11" t="s">
        <v>4120</v>
      </c>
    </row>
    <row r="740" spans="1:19" x14ac:dyDescent="0.2">
      <c r="A740" s="33">
        <v>43647</v>
      </c>
      <c r="B740" s="34">
        <v>55</v>
      </c>
      <c r="C740" s="35" t="s">
        <v>517</v>
      </c>
      <c r="D740" s="34" t="str">
        <f>VLOOKUP(C740,'PUR-PARTY MASTER'!$B$4:$E$2000,2,FALSE)</f>
        <v>23AAACT6376M1ZZ</v>
      </c>
      <c r="E740" s="34" t="s">
        <v>22</v>
      </c>
      <c r="F740" s="134">
        <v>19608702</v>
      </c>
      <c r="G740" s="37">
        <v>43651</v>
      </c>
      <c r="H740" s="34">
        <v>87081090</v>
      </c>
      <c r="I740" s="39">
        <f>VLOOKUP(H740,'PUR-HSN MASTER'!$A$4:$E$5000,5,FALSE)</f>
        <v>28</v>
      </c>
      <c r="J740" s="38">
        <v>54</v>
      </c>
      <c r="K740" s="40">
        <v>29700.880000000001</v>
      </c>
      <c r="L740" s="39">
        <v>8316.2464</v>
      </c>
      <c r="M740" s="39">
        <v>0</v>
      </c>
      <c r="N740" s="39">
        <v>0</v>
      </c>
      <c r="O740" s="39">
        <v>0</v>
      </c>
      <c r="P740" s="39">
        <v>38017.116399999999</v>
      </c>
      <c r="Q740" s="34" t="s">
        <v>410</v>
      </c>
      <c r="R740" s="34" t="s">
        <v>106</v>
      </c>
      <c r="S740" s="11" t="s">
        <v>4120</v>
      </c>
    </row>
    <row r="741" spans="1:19" x14ac:dyDescent="0.2">
      <c r="A741" s="33">
        <v>43647</v>
      </c>
      <c r="B741" s="34">
        <v>56</v>
      </c>
      <c r="C741" s="35" t="s">
        <v>479</v>
      </c>
      <c r="D741" s="34" t="str">
        <f>VLOOKUP(C741,'PUR-PARTY MASTER'!$B$4:$E$2000,2,FALSE)</f>
        <v>27AAMFC2124K1ZG</v>
      </c>
      <c r="E741" s="34" t="s">
        <v>22</v>
      </c>
      <c r="F741" s="134">
        <v>1123</v>
      </c>
      <c r="G741" s="37">
        <v>43651</v>
      </c>
      <c r="H741" s="34">
        <v>3919</v>
      </c>
      <c r="I741" s="39">
        <f>VLOOKUP(H741,'PUR-HSN MASTER'!$A$4:$E$5000,5,FALSE)</f>
        <v>18</v>
      </c>
      <c r="J741" s="38">
        <v>213</v>
      </c>
      <c r="K741" s="40">
        <v>3424.05</v>
      </c>
      <c r="L741" s="39">
        <v>0</v>
      </c>
      <c r="M741" s="39">
        <v>308.16450000000003</v>
      </c>
      <c r="N741" s="39">
        <v>308.16450000000003</v>
      </c>
      <c r="O741" s="39">
        <v>0</v>
      </c>
      <c r="P741" s="39">
        <v>4040.3789999999999</v>
      </c>
      <c r="Q741" s="34" t="s">
        <v>410</v>
      </c>
      <c r="R741" s="34" t="s">
        <v>26</v>
      </c>
      <c r="S741" s="11" t="s">
        <v>4120</v>
      </c>
    </row>
    <row r="742" spans="1:19" x14ac:dyDescent="0.2">
      <c r="A742" s="33">
        <v>43647</v>
      </c>
      <c r="B742" s="34">
        <v>57</v>
      </c>
      <c r="C742" s="35" t="s">
        <v>554</v>
      </c>
      <c r="D742" s="34" t="str">
        <f>VLOOKUP(C742,'PUR-PARTY MASTER'!$B$4:$E$2000,2,FALSE)</f>
        <v>27AACFA1881H1ZL</v>
      </c>
      <c r="E742" s="34" t="s">
        <v>22</v>
      </c>
      <c r="F742" s="134">
        <v>3974</v>
      </c>
      <c r="G742" s="37">
        <v>43652</v>
      </c>
      <c r="H742" s="34">
        <v>87141900</v>
      </c>
      <c r="I742" s="39">
        <f>VLOOKUP(H742,'PUR-HSN MASTER'!$A$4:$E$5000,5,FALSE)</f>
        <v>28</v>
      </c>
      <c r="J742" s="38">
        <v>2620</v>
      </c>
      <c r="K742" s="40">
        <v>7217</v>
      </c>
      <c r="L742" s="39">
        <v>0</v>
      </c>
      <c r="M742" s="39">
        <v>1010.38</v>
      </c>
      <c r="N742" s="39">
        <v>1010.38</v>
      </c>
      <c r="O742" s="39">
        <v>0</v>
      </c>
      <c r="P742" s="39">
        <v>9237.7599999999984</v>
      </c>
      <c r="Q742" s="34" t="s">
        <v>410</v>
      </c>
      <c r="R742" s="34" t="s">
        <v>26</v>
      </c>
      <c r="S742" s="11" t="s">
        <v>4120</v>
      </c>
    </row>
    <row r="743" spans="1:19" x14ac:dyDescent="0.2">
      <c r="A743" s="33">
        <v>43647</v>
      </c>
      <c r="B743" s="34">
        <v>58</v>
      </c>
      <c r="C743" s="35" t="s">
        <v>677</v>
      </c>
      <c r="D743" s="34" t="str">
        <f>VLOOKUP(C743,'PUR-PARTY MASTER'!$B$4:$E$2000,2,FALSE)</f>
        <v>06AAACM6984G1Z9</v>
      </c>
      <c r="E743" s="34" t="s">
        <v>22</v>
      </c>
      <c r="F743" s="136" t="s">
        <v>795</v>
      </c>
      <c r="G743" s="37">
        <v>43648</v>
      </c>
      <c r="H743" s="34">
        <v>87081090</v>
      </c>
      <c r="I743" s="39">
        <f>VLOOKUP(H743,'PUR-HSN MASTER'!$A$4:$E$5000,5,FALSE)</f>
        <v>28</v>
      </c>
      <c r="J743" s="38">
        <v>500</v>
      </c>
      <c r="K743" s="40">
        <v>22615</v>
      </c>
      <c r="L743" s="39">
        <v>6332.2</v>
      </c>
      <c r="M743" s="39">
        <v>0</v>
      </c>
      <c r="N743" s="39">
        <v>0</v>
      </c>
      <c r="O743" s="39">
        <v>0</v>
      </c>
      <c r="P743" s="39">
        <v>28947.200000000001</v>
      </c>
      <c r="Q743" s="34" t="s">
        <v>410</v>
      </c>
      <c r="R743" s="34" t="s">
        <v>106</v>
      </c>
      <c r="S743" s="11" t="s">
        <v>4120</v>
      </c>
    </row>
    <row r="744" spans="1:19" x14ac:dyDescent="0.2">
      <c r="A744" s="33">
        <v>43647</v>
      </c>
      <c r="B744" s="34">
        <v>59</v>
      </c>
      <c r="C744" s="35" t="s">
        <v>495</v>
      </c>
      <c r="D744" s="34" t="str">
        <f>VLOOKUP(C744,'PUR-PARTY MASTER'!$B$4:$E$2000,2,FALSE)</f>
        <v>27AAACH4211R1ZF</v>
      </c>
      <c r="E744" s="34" t="s">
        <v>22</v>
      </c>
      <c r="F744" s="134">
        <v>5510050883</v>
      </c>
      <c r="G744" s="37">
        <v>43652</v>
      </c>
      <c r="H744" s="34">
        <v>85129000</v>
      </c>
      <c r="I744" s="39">
        <f>VLOOKUP(H744,'PUR-HSN MASTER'!$A$4:$E$5000,5,FALSE)</f>
        <v>18</v>
      </c>
      <c r="J744" s="38">
        <v>2400</v>
      </c>
      <c r="K744" s="40">
        <v>26544</v>
      </c>
      <c r="L744" s="39">
        <v>0</v>
      </c>
      <c r="M744" s="39">
        <v>2388.96</v>
      </c>
      <c r="N744" s="39">
        <v>2388.96</v>
      </c>
      <c r="O744" s="39">
        <v>0</v>
      </c>
      <c r="P744" s="39">
        <v>31321.919999999998</v>
      </c>
      <c r="Q744" s="34" t="s">
        <v>410</v>
      </c>
      <c r="R744" s="34" t="s">
        <v>26</v>
      </c>
      <c r="S744" s="11" t="s">
        <v>4120</v>
      </c>
    </row>
    <row r="745" spans="1:19" x14ac:dyDescent="0.2">
      <c r="A745" s="33">
        <v>43647</v>
      </c>
      <c r="B745" s="34">
        <v>60</v>
      </c>
      <c r="C745" s="35" t="s">
        <v>554</v>
      </c>
      <c r="D745" s="34" t="str">
        <f>VLOOKUP(C745,'PUR-PARTY MASTER'!$B$4:$E$2000,2,FALSE)</f>
        <v>27AACFA1881H1ZL</v>
      </c>
      <c r="E745" s="34" t="s">
        <v>22</v>
      </c>
      <c r="F745" s="134">
        <v>4007</v>
      </c>
      <c r="G745" s="37">
        <v>43653</v>
      </c>
      <c r="H745" s="34">
        <v>87141900</v>
      </c>
      <c r="I745" s="39">
        <f>VLOOKUP(H745,'PUR-HSN MASTER'!$A$4:$E$5000,5,FALSE)</f>
        <v>28</v>
      </c>
      <c r="J745" s="38">
        <v>2000</v>
      </c>
      <c r="K745" s="40">
        <v>5560</v>
      </c>
      <c r="L745" s="39">
        <v>0</v>
      </c>
      <c r="M745" s="39">
        <v>778.4</v>
      </c>
      <c r="N745" s="39">
        <v>778.4</v>
      </c>
      <c r="O745" s="39">
        <v>0</v>
      </c>
      <c r="P745" s="39">
        <v>7116.7999999999993</v>
      </c>
      <c r="Q745" s="34" t="s">
        <v>410</v>
      </c>
      <c r="R745" s="34" t="s">
        <v>26</v>
      </c>
      <c r="S745" s="11" t="s">
        <v>4120</v>
      </c>
    </row>
    <row r="746" spans="1:19" x14ac:dyDescent="0.2">
      <c r="A746" s="33">
        <v>43647</v>
      </c>
      <c r="B746" s="34">
        <v>61</v>
      </c>
      <c r="C746" s="35" t="s">
        <v>493</v>
      </c>
      <c r="D746" s="34" t="str">
        <f>VLOOKUP(C746,'PUR-PARTY MASTER'!$B$4:$E$2000,2,FALSE)</f>
        <v>27AMMPB3648M1ZO</v>
      </c>
      <c r="E746" s="34" t="s">
        <v>22</v>
      </c>
      <c r="F746" s="134">
        <v>1797</v>
      </c>
      <c r="G746" s="37">
        <v>43653</v>
      </c>
      <c r="H746" s="34">
        <v>85129000</v>
      </c>
      <c r="I746" s="39">
        <f>VLOOKUP(H746,'PUR-HSN MASTER'!$A$4:$E$5000,5,FALSE)</f>
        <v>18</v>
      </c>
      <c r="J746" s="38">
        <v>1200</v>
      </c>
      <c r="K746" s="40">
        <v>27588</v>
      </c>
      <c r="L746" s="39">
        <v>0</v>
      </c>
      <c r="M746" s="39">
        <v>2482.92</v>
      </c>
      <c r="N746" s="39">
        <v>2482.92</v>
      </c>
      <c r="O746" s="39">
        <v>0</v>
      </c>
      <c r="P746" s="39">
        <v>32553.999999999996</v>
      </c>
      <c r="Q746" s="34" t="s">
        <v>410</v>
      </c>
      <c r="R746" s="34" t="s">
        <v>26</v>
      </c>
      <c r="S746" s="11" t="s">
        <v>4120</v>
      </c>
    </row>
    <row r="747" spans="1:19" x14ac:dyDescent="0.2">
      <c r="A747" s="33">
        <v>43647</v>
      </c>
      <c r="B747" s="34">
        <v>62</v>
      </c>
      <c r="C747" s="35" t="s">
        <v>493</v>
      </c>
      <c r="D747" s="34" t="str">
        <f>VLOOKUP(C747,'PUR-PARTY MASTER'!$B$4:$E$2000,2,FALSE)</f>
        <v>27AMMPB3648M1ZO</v>
      </c>
      <c r="E747" s="34" t="s">
        <v>22</v>
      </c>
      <c r="F747" s="134">
        <v>1798</v>
      </c>
      <c r="G747" s="37">
        <v>43653</v>
      </c>
      <c r="H747" s="34">
        <v>85129000</v>
      </c>
      <c r="I747" s="39">
        <f>VLOOKUP(H747,'PUR-HSN MASTER'!$A$4:$E$5000,5,FALSE)</f>
        <v>18</v>
      </c>
      <c r="J747" s="38">
        <v>1325</v>
      </c>
      <c r="K747" s="40">
        <v>43274.5</v>
      </c>
      <c r="L747" s="39">
        <v>0</v>
      </c>
      <c r="M747" s="39">
        <v>3894.7049999999999</v>
      </c>
      <c r="N747" s="39">
        <v>3894.7049999999999</v>
      </c>
      <c r="O747" s="39">
        <v>0</v>
      </c>
      <c r="P747" s="39">
        <v>51064</v>
      </c>
      <c r="Q747" s="34" t="s">
        <v>410</v>
      </c>
      <c r="R747" s="34" t="s">
        <v>26</v>
      </c>
      <c r="S747" s="11" t="s">
        <v>4120</v>
      </c>
    </row>
    <row r="748" spans="1:19" x14ac:dyDescent="0.2">
      <c r="A748" s="33">
        <v>43647</v>
      </c>
      <c r="B748" s="34">
        <v>63</v>
      </c>
      <c r="C748" s="35" t="s">
        <v>479</v>
      </c>
      <c r="D748" s="34" t="str">
        <f>VLOOKUP(C748,'PUR-PARTY MASTER'!$B$4:$E$2000,2,FALSE)</f>
        <v>27AAMFC2124K1ZG</v>
      </c>
      <c r="E748" s="34" t="s">
        <v>22</v>
      </c>
      <c r="F748" s="134">
        <v>1130</v>
      </c>
      <c r="G748" s="37">
        <v>43654</v>
      </c>
      <c r="H748" s="34">
        <v>4811</v>
      </c>
      <c r="I748" s="39">
        <f>VLOOKUP(H748,'PUR-HSN MASTER'!$A$4:$E$5000,5,FALSE)</f>
        <v>18</v>
      </c>
      <c r="J748" s="38">
        <v>100</v>
      </c>
      <c r="K748" s="40">
        <v>135</v>
      </c>
      <c r="L748" s="39">
        <v>0</v>
      </c>
      <c r="M748" s="39">
        <v>12.15</v>
      </c>
      <c r="N748" s="39">
        <v>12.15</v>
      </c>
      <c r="O748" s="39">
        <v>0</v>
      </c>
      <c r="P748" s="39">
        <v>159.30000000000001</v>
      </c>
      <c r="Q748" s="34" t="s">
        <v>410</v>
      </c>
      <c r="R748" s="34" t="s">
        <v>26</v>
      </c>
      <c r="S748" s="11" t="s">
        <v>4120</v>
      </c>
    </row>
    <row r="749" spans="1:19" x14ac:dyDescent="0.2">
      <c r="A749" s="33">
        <v>43647</v>
      </c>
      <c r="B749" s="34">
        <v>64</v>
      </c>
      <c r="C749" s="35" t="s">
        <v>554</v>
      </c>
      <c r="D749" s="34" t="str">
        <f>VLOOKUP(C749,'PUR-PARTY MASTER'!$B$4:$E$2000,2,FALSE)</f>
        <v>27AACFA1881H1ZL</v>
      </c>
      <c r="E749" s="34" t="s">
        <v>22</v>
      </c>
      <c r="F749" s="134">
        <v>4042</v>
      </c>
      <c r="G749" s="37">
        <v>43654</v>
      </c>
      <c r="H749" s="34">
        <v>87141900</v>
      </c>
      <c r="I749" s="39">
        <f>VLOOKUP(H749,'PUR-HSN MASTER'!$A$4:$E$5000,5,FALSE)</f>
        <v>28</v>
      </c>
      <c r="J749" s="38">
        <v>3200</v>
      </c>
      <c r="K749" s="40">
        <v>8896</v>
      </c>
      <c r="L749" s="39">
        <v>0</v>
      </c>
      <c r="M749" s="39">
        <v>1245.4399999999998</v>
      </c>
      <c r="N749" s="39">
        <v>1245.4399999999998</v>
      </c>
      <c r="O749" s="39">
        <v>0</v>
      </c>
      <c r="P749" s="39">
        <v>11386.880000000001</v>
      </c>
      <c r="Q749" s="34" t="s">
        <v>410</v>
      </c>
      <c r="R749" s="34" t="s">
        <v>26</v>
      </c>
      <c r="S749" s="11" t="s">
        <v>4120</v>
      </c>
    </row>
    <row r="750" spans="1:19" x14ac:dyDescent="0.2">
      <c r="A750" s="33">
        <v>43647</v>
      </c>
      <c r="B750" s="34">
        <v>65</v>
      </c>
      <c r="C750" s="35" t="s">
        <v>489</v>
      </c>
      <c r="D750" s="34" t="str">
        <f>VLOOKUP(C750,'PUR-PARTY MASTER'!$B$4:$E$2000,2,FALSE)</f>
        <v>27AAECD2713N1ZK</v>
      </c>
      <c r="E750" s="34" t="s">
        <v>22</v>
      </c>
      <c r="F750" s="134">
        <v>7887985722</v>
      </c>
      <c r="G750" s="37">
        <v>43654</v>
      </c>
      <c r="H750" s="34">
        <v>32082090</v>
      </c>
      <c r="I750" s="39">
        <f>VLOOKUP(H750,'PUR-HSN MASTER'!$A$4:$E$5000,5,FALSE)</f>
        <v>18</v>
      </c>
      <c r="J750" s="38">
        <v>24</v>
      </c>
      <c r="K750" s="40">
        <v>12640</v>
      </c>
      <c r="L750" s="39">
        <v>0</v>
      </c>
      <c r="M750" s="39">
        <v>1137.6000000000001</v>
      </c>
      <c r="N750" s="39">
        <v>1137.6000000000001</v>
      </c>
      <c r="O750" s="39">
        <v>0</v>
      </c>
      <c r="P750" s="39">
        <v>14915</v>
      </c>
      <c r="Q750" s="34" t="s">
        <v>410</v>
      </c>
      <c r="R750" s="34" t="s">
        <v>26</v>
      </c>
      <c r="S750" s="11" t="s">
        <v>4120</v>
      </c>
    </row>
    <row r="751" spans="1:19" x14ac:dyDescent="0.2">
      <c r="A751" s="33">
        <v>43647</v>
      </c>
      <c r="B751" s="34">
        <v>66</v>
      </c>
      <c r="C751" s="35" t="s">
        <v>473</v>
      </c>
      <c r="D751" s="34" t="str">
        <f>VLOOKUP(C751,'PUR-PARTY MASTER'!$B$4:$E$2000,2,FALSE)</f>
        <v>27AAACT1848E1ZH</v>
      </c>
      <c r="E751" s="34" t="s">
        <v>22</v>
      </c>
      <c r="F751" s="136" t="s">
        <v>796</v>
      </c>
      <c r="G751" s="37">
        <v>43654</v>
      </c>
      <c r="H751" s="34">
        <v>87089900</v>
      </c>
      <c r="I751" s="39">
        <f>VLOOKUP(H751,'PUR-HSN MASTER'!$A$4:$E$5000,5,FALSE)</f>
        <v>28</v>
      </c>
      <c r="J751" s="38">
        <v>36</v>
      </c>
      <c r="K751" s="40">
        <v>5448.34</v>
      </c>
      <c r="L751" s="39">
        <v>0</v>
      </c>
      <c r="M751" s="39">
        <v>761.99760000000003</v>
      </c>
      <c r="N751" s="39">
        <v>761.99760000000003</v>
      </c>
      <c r="O751" s="39">
        <v>0</v>
      </c>
      <c r="P751" s="39">
        <v>6972.3351999999995</v>
      </c>
      <c r="Q751" s="34" t="s">
        <v>410</v>
      </c>
      <c r="R751" s="34" t="s">
        <v>26</v>
      </c>
      <c r="S751" s="11" t="s">
        <v>4120</v>
      </c>
    </row>
    <row r="752" spans="1:19" x14ac:dyDescent="0.2">
      <c r="A752" s="33">
        <v>43647</v>
      </c>
      <c r="B752" s="34">
        <v>67</v>
      </c>
      <c r="C752" s="35" t="s">
        <v>601</v>
      </c>
      <c r="D752" s="34" t="str">
        <f>VLOOKUP(C752,'PUR-PARTY MASTER'!$B$4:$E$2000,2,FALSE)</f>
        <v>27AAZFM6461A1ZY</v>
      </c>
      <c r="E752" s="34" t="s">
        <v>22</v>
      </c>
      <c r="F752" s="134">
        <v>2623</v>
      </c>
      <c r="G752" s="37">
        <v>43654</v>
      </c>
      <c r="H752" s="34">
        <v>87082900</v>
      </c>
      <c r="I752" s="39">
        <f>VLOOKUP(H752,'PUR-HSN MASTER'!$A$4:$E$5000,5,FALSE)</f>
        <v>28</v>
      </c>
      <c r="J752" s="38">
        <v>960</v>
      </c>
      <c r="K752" s="40">
        <v>21427.200000000001</v>
      </c>
      <c r="L752" s="39">
        <v>0</v>
      </c>
      <c r="M752" s="39">
        <v>2999.8080000000004</v>
      </c>
      <c r="N752" s="39">
        <v>2999.8080000000004</v>
      </c>
      <c r="O752" s="39">
        <v>0</v>
      </c>
      <c r="P752" s="39">
        <v>27426.816000000003</v>
      </c>
      <c r="Q752" s="34" t="s">
        <v>410</v>
      </c>
      <c r="R752" s="34" t="s">
        <v>26</v>
      </c>
      <c r="S752" s="11" t="s">
        <v>4120</v>
      </c>
    </row>
    <row r="753" spans="1:19" x14ac:dyDescent="0.2">
      <c r="A753" s="33">
        <v>43647</v>
      </c>
      <c r="B753" s="34">
        <v>68</v>
      </c>
      <c r="C753" s="35" t="s">
        <v>601</v>
      </c>
      <c r="D753" s="34" t="str">
        <f>VLOOKUP(C753,'PUR-PARTY MASTER'!$B$4:$E$2000,2,FALSE)</f>
        <v>27AAZFM6461A1ZY</v>
      </c>
      <c r="E753" s="34" t="s">
        <v>22</v>
      </c>
      <c r="F753" s="134">
        <v>2622</v>
      </c>
      <c r="G753" s="37">
        <v>43654</v>
      </c>
      <c r="H753" s="34">
        <v>87082900</v>
      </c>
      <c r="I753" s="39">
        <f>VLOOKUP(H753,'PUR-HSN MASTER'!$A$4:$E$5000,5,FALSE)</f>
        <v>28</v>
      </c>
      <c r="J753" s="38">
        <v>400</v>
      </c>
      <c r="K753" s="40">
        <v>17028</v>
      </c>
      <c r="L753" s="39">
        <v>0</v>
      </c>
      <c r="M753" s="39">
        <v>2383.92</v>
      </c>
      <c r="N753" s="39">
        <v>2383.92</v>
      </c>
      <c r="O753" s="39">
        <v>0</v>
      </c>
      <c r="P753" s="39">
        <v>21795.839999999997</v>
      </c>
      <c r="Q753" s="34" t="s">
        <v>410</v>
      </c>
      <c r="R753" s="34" t="s">
        <v>26</v>
      </c>
      <c r="S753" s="11" t="s">
        <v>4120</v>
      </c>
    </row>
    <row r="754" spans="1:19" x14ac:dyDescent="0.2">
      <c r="A754" s="33">
        <v>43647</v>
      </c>
      <c r="B754" s="34">
        <v>69</v>
      </c>
      <c r="C754" s="35" t="s">
        <v>495</v>
      </c>
      <c r="D754" s="34" t="str">
        <f>VLOOKUP(C754,'PUR-PARTY MASTER'!$B$4:$E$2000,2,FALSE)</f>
        <v>27AAACH4211R1ZF</v>
      </c>
      <c r="E754" s="34" t="s">
        <v>22</v>
      </c>
      <c r="F754" s="134">
        <v>5510050976</v>
      </c>
      <c r="G754" s="37">
        <v>43654</v>
      </c>
      <c r="H754" s="34">
        <v>85129000</v>
      </c>
      <c r="I754" s="39">
        <f>VLOOKUP(H754,'PUR-HSN MASTER'!$A$4:$E$5000,5,FALSE)</f>
        <v>18</v>
      </c>
      <c r="J754" s="38">
        <v>3840</v>
      </c>
      <c r="K754" s="40">
        <v>42470.400000000001</v>
      </c>
      <c r="L754" s="39">
        <v>0</v>
      </c>
      <c r="M754" s="39">
        <v>3822.3360000000002</v>
      </c>
      <c r="N754" s="39">
        <v>3822.3360000000002</v>
      </c>
      <c r="O754" s="39">
        <v>0</v>
      </c>
      <c r="P754" s="39">
        <v>50115.082000000009</v>
      </c>
      <c r="Q754" s="34" t="s">
        <v>410</v>
      </c>
      <c r="R754" s="34" t="s">
        <v>26</v>
      </c>
      <c r="S754" s="11" t="s">
        <v>4120</v>
      </c>
    </row>
    <row r="755" spans="1:19" x14ac:dyDescent="0.2">
      <c r="A755" s="33">
        <v>43647</v>
      </c>
      <c r="B755" s="34">
        <v>70</v>
      </c>
      <c r="C755" s="35" t="s">
        <v>471</v>
      </c>
      <c r="D755" s="34" t="str">
        <f>VLOOKUP(C755,'PUR-PARTY MASTER'!$B$4:$E$2000,2,FALSE)</f>
        <v>27AAECM8871A1ZF</v>
      </c>
      <c r="E755" s="34" t="s">
        <v>22</v>
      </c>
      <c r="F755" s="134">
        <v>192003339</v>
      </c>
      <c r="G755" s="37">
        <v>43654</v>
      </c>
      <c r="H755" s="34">
        <v>87089900</v>
      </c>
      <c r="I755" s="39">
        <f>VLOOKUP(H755,'PUR-HSN MASTER'!$A$4:$E$5000,5,FALSE)</f>
        <v>28</v>
      </c>
      <c r="J755" s="38">
        <v>12</v>
      </c>
      <c r="K755" s="40">
        <v>17483.52</v>
      </c>
      <c r="L755" s="39">
        <v>0</v>
      </c>
      <c r="M755" s="39">
        <v>2447.6928000000003</v>
      </c>
      <c r="N755" s="39">
        <v>2447.6928000000003</v>
      </c>
      <c r="O755" s="39">
        <v>0</v>
      </c>
      <c r="P755" s="39">
        <v>22378.895600000003</v>
      </c>
      <c r="Q755" s="34" t="s">
        <v>410</v>
      </c>
      <c r="R755" s="34" t="s">
        <v>26</v>
      </c>
      <c r="S755" s="11" t="s">
        <v>4120</v>
      </c>
    </row>
    <row r="756" spans="1:19" x14ac:dyDescent="0.2">
      <c r="A756" s="33">
        <v>43647</v>
      </c>
      <c r="B756" s="34">
        <v>71</v>
      </c>
      <c r="C756" s="35" t="s">
        <v>471</v>
      </c>
      <c r="D756" s="34" t="str">
        <f>VLOOKUP(C756,'PUR-PARTY MASTER'!$B$4:$E$2000,2,FALSE)</f>
        <v>27AAECM8871A1ZF</v>
      </c>
      <c r="E756" s="34" t="s">
        <v>22</v>
      </c>
      <c r="F756" s="134">
        <v>192003342</v>
      </c>
      <c r="G756" s="37">
        <v>43654</v>
      </c>
      <c r="H756" s="34">
        <v>87089900</v>
      </c>
      <c r="I756" s="39">
        <f>VLOOKUP(H756,'PUR-HSN MASTER'!$A$4:$E$5000,5,FALSE)</f>
        <v>28</v>
      </c>
      <c r="J756" s="38">
        <v>12</v>
      </c>
      <c r="K756" s="40">
        <v>17483.52</v>
      </c>
      <c r="L756" s="39">
        <v>0</v>
      </c>
      <c r="M756" s="39">
        <v>2447.6928000000003</v>
      </c>
      <c r="N756" s="39">
        <v>2447.6928000000003</v>
      </c>
      <c r="O756" s="39">
        <v>0</v>
      </c>
      <c r="P756" s="39">
        <v>22378.895600000003</v>
      </c>
      <c r="Q756" s="34" t="s">
        <v>410</v>
      </c>
      <c r="R756" s="34" t="s">
        <v>26</v>
      </c>
      <c r="S756" s="11" t="s">
        <v>4120</v>
      </c>
    </row>
    <row r="757" spans="1:19" x14ac:dyDescent="0.2">
      <c r="A757" s="33">
        <v>43647</v>
      </c>
      <c r="B757" s="34">
        <v>72</v>
      </c>
      <c r="C757" s="35" t="s">
        <v>554</v>
      </c>
      <c r="D757" s="34" t="str">
        <f>VLOOKUP(C757,'PUR-PARTY MASTER'!$B$4:$E$2000,2,FALSE)</f>
        <v>27AACFA1881H1ZL</v>
      </c>
      <c r="E757" s="34" t="s">
        <v>22</v>
      </c>
      <c r="F757" s="134">
        <v>4103</v>
      </c>
      <c r="G757" s="37">
        <v>43655</v>
      </c>
      <c r="H757" s="34">
        <v>87141900</v>
      </c>
      <c r="I757" s="39">
        <f>VLOOKUP(H757,'PUR-HSN MASTER'!$A$4:$E$5000,5,FALSE)</f>
        <v>28</v>
      </c>
      <c r="J757" s="38">
        <v>2100</v>
      </c>
      <c r="K757" s="40">
        <v>6097</v>
      </c>
      <c r="L757" s="39">
        <v>0</v>
      </c>
      <c r="M757" s="39">
        <v>853.57999999999993</v>
      </c>
      <c r="N757" s="39">
        <v>853.57999999999993</v>
      </c>
      <c r="O757" s="39">
        <v>0</v>
      </c>
      <c r="P757" s="39">
        <v>7804.16</v>
      </c>
      <c r="Q757" s="34" t="s">
        <v>410</v>
      </c>
      <c r="R757" s="34" t="s">
        <v>26</v>
      </c>
      <c r="S757" s="11" t="s">
        <v>4120</v>
      </c>
    </row>
    <row r="758" spans="1:19" x14ac:dyDescent="0.2">
      <c r="A758" s="33">
        <v>43647</v>
      </c>
      <c r="B758" s="34">
        <v>73</v>
      </c>
      <c r="C758" s="35" t="s">
        <v>601</v>
      </c>
      <c r="D758" s="34" t="str">
        <f>VLOOKUP(C758,'PUR-PARTY MASTER'!$B$4:$E$2000,2,FALSE)</f>
        <v>27AAZFM6461A1ZY</v>
      </c>
      <c r="E758" s="34" t="s">
        <v>22</v>
      </c>
      <c r="F758" s="134">
        <v>2645</v>
      </c>
      <c r="G758" s="37">
        <v>43655</v>
      </c>
      <c r="H758" s="34">
        <v>87082900</v>
      </c>
      <c r="I758" s="39">
        <f>VLOOKUP(H758,'PUR-HSN MASTER'!$A$4:$E$5000,5,FALSE)</f>
        <v>28</v>
      </c>
      <c r="J758" s="38">
        <v>500</v>
      </c>
      <c r="K758" s="40">
        <v>21285</v>
      </c>
      <c r="L758" s="39">
        <v>0</v>
      </c>
      <c r="M758" s="39">
        <v>2979.9</v>
      </c>
      <c r="N758" s="39">
        <v>2979.9</v>
      </c>
      <c r="O758" s="39">
        <v>0</v>
      </c>
      <c r="P758" s="39">
        <v>27244.800000000003</v>
      </c>
      <c r="Q758" s="34" t="s">
        <v>410</v>
      </c>
      <c r="R758" s="34" t="s">
        <v>26</v>
      </c>
      <c r="S758" s="11" t="s">
        <v>4120</v>
      </c>
    </row>
    <row r="759" spans="1:19" x14ac:dyDescent="0.2">
      <c r="A759" s="33">
        <v>43647</v>
      </c>
      <c r="B759" s="34">
        <v>74</v>
      </c>
      <c r="C759" s="35" t="s">
        <v>601</v>
      </c>
      <c r="D759" s="34" t="str">
        <f>VLOOKUP(C759,'PUR-PARTY MASTER'!$B$4:$E$2000,2,FALSE)</f>
        <v>27AAZFM6461A1ZY</v>
      </c>
      <c r="E759" s="34" t="s">
        <v>22</v>
      </c>
      <c r="F759" s="134">
        <v>2646</v>
      </c>
      <c r="G759" s="37">
        <v>43655</v>
      </c>
      <c r="H759" s="34">
        <v>87082900</v>
      </c>
      <c r="I759" s="39">
        <f>VLOOKUP(H759,'PUR-HSN MASTER'!$A$4:$E$5000,5,FALSE)</f>
        <v>28</v>
      </c>
      <c r="J759" s="38">
        <v>780</v>
      </c>
      <c r="K759" s="40">
        <v>17409.599999999999</v>
      </c>
      <c r="L759" s="39">
        <v>0</v>
      </c>
      <c r="M759" s="39">
        <v>2437.3439999999996</v>
      </c>
      <c r="N759" s="39">
        <v>2437.3439999999996</v>
      </c>
      <c r="O759" s="39">
        <v>0</v>
      </c>
      <c r="P759" s="39">
        <v>22284.278000000002</v>
      </c>
      <c r="Q759" s="34" t="s">
        <v>410</v>
      </c>
      <c r="R759" s="34" t="s">
        <v>26</v>
      </c>
      <c r="S759" s="11" t="s">
        <v>4120</v>
      </c>
    </row>
    <row r="760" spans="1:19" x14ac:dyDescent="0.2">
      <c r="A760" s="33">
        <v>43647</v>
      </c>
      <c r="B760" s="34">
        <v>75</v>
      </c>
      <c r="C760" s="35" t="s">
        <v>554</v>
      </c>
      <c r="D760" s="34" t="str">
        <f>VLOOKUP(C760,'PUR-PARTY MASTER'!$B$4:$E$2000,2,FALSE)</f>
        <v>27AACFA1881H1ZL</v>
      </c>
      <c r="E760" s="34" t="s">
        <v>22</v>
      </c>
      <c r="F760" s="134">
        <v>4116</v>
      </c>
      <c r="G760" s="37">
        <v>43655</v>
      </c>
      <c r="H760" s="34">
        <v>87141900</v>
      </c>
      <c r="I760" s="39">
        <f>VLOOKUP(H760,'PUR-HSN MASTER'!$A$4:$E$5000,5,FALSE)</f>
        <v>28</v>
      </c>
      <c r="J760" s="38">
        <v>3300</v>
      </c>
      <c r="K760" s="40">
        <v>8952</v>
      </c>
      <c r="L760" s="39">
        <v>0</v>
      </c>
      <c r="M760" s="39">
        <v>1253.28</v>
      </c>
      <c r="N760" s="39">
        <v>1253.28</v>
      </c>
      <c r="O760" s="39">
        <v>0</v>
      </c>
      <c r="P760" s="39">
        <v>11458.560000000001</v>
      </c>
      <c r="Q760" s="34" t="s">
        <v>410</v>
      </c>
      <c r="R760" s="34" t="s">
        <v>26</v>
      </c>
      <c r="S760" s="11" t="s">
        <v>4120</v>
      </c>
    </row>
    <row r="761" spans="1:19" x14ac:dyDescent="0.2">
      <c r="A761" s="33">
        <v>43647</v>
      </c>
      <c r="B761" s="34">
        <v>76</v>
      </c>
      <c r="C761" s="35" t="s">
        <v>476</v>
      </c>
      <c r="D761" s="34" t="str">
        <f>VLOOKUP(C761,'PUR-PARTY MASTER'!$B$4:$E$2000,2,FALSE)</f>
        <v>27AABCO8467D1ZA</v>
      </c>
      <c r="E761" s="34" t="s">
        <v>22</v>
      </c>
      <c r="F761" s="136" t="s">
        <v>797</v>
      </c>
      <c r="G761" s="37">
        <v>43617</v>
      </c>
      <c r="H761" s="34" t="s">
        <v>703</v>
      </c>
      <c r="I761" s="39">
        <f>VLOOKUP(H761,'PUR-HSN MASTER'!$A$4:$E$5000,5,FALSE)</f>
        <v>28</v>
      </c>
      <c r="J761" s="38">
        <v>0</v>
      </c>
      <c r="K761" s="40">
        <v>376945</v>
      </c>
      <c r="L761" s="39">
        <v>0</v>
      </c>
      <c r="M761" s="39">
        <v>52772.299999999996</v>
      </c>
      <c r="N761" s="39">
        <v>52772.299999999996</v>
      </c>
      <c r="O761" s="39">
        <v>0</v>
      </c>
      <c r="P761" s="39">
        <v>482490</v>
      </c>
      <c r="Q761" s="34" t="s">
        <v>410</v>
      </c>
      <c r="R761" s="34" t="s">
        <v>26</v>
      </c>
      <c r="S761" s="11" t="s">
        <v>4120</v>
      </c>
    </row>
    <row r="762" spans="1:19" x14ac:dyDescent="0.2">
      <c r="A762" s="33">
        <v>43647</v>
      </c>
      <c r="B762" s="34">
        <v>77</v>
      </c>
      <c r="C762" s="35" t="s">
        <v>473</v>
      </c>
      <c r="D762" s="34" t="str">
        <f>VLOOKUP(C762,'PUR-PARTY MASTER'!$B$4:$E$2000,2,FALSE)</f>
        <v>27AAACT1848E1ZH</v>
      </c>
      <c r="E762" s="34" t="s">
        <v>22</v>
      </c>
      <c r="F762" s="136" t="s">
        <v>798</v>
      </c>
      <c r="G762" s="37">
        <v>43654</v>
      </c>
      <c r="H762" s="34">
        <v>87089900</v>
      </c>
      <c r="I762" s="39">
        <f>VLOOKUP(H762,'PUR-HSN MASTER'!$A$4:$E$5000,5,FALSE)</f>
        <v>28</v>
      </c>
      <c r="J762" s="38">
        <v>44</v>
      </c>
      <c r="K762" s="40">
        <v>7053.2</v>
      </c>
      <c r="L762" s="39">
        <v>0</v>
      </c>
      <c r="M762" s="39">
        <v>986.99799999999993</v>
      </c>
      <c r="N762" s="39">
        <v>986.99799999999993</v>
      </c>
      <c r="O762" s="39">
        <v>0</v>
      </c>
      <c r="P762" s="39">
        <v>9027.1959999999999</v>
      </c>
      <c r="Q762" s="34" t="s">
        <v>410</v>
      </c>
      <c r="R762" s="34" t="s">
        <v>26</v>
      </c>
      <c r="S762" s="11" t="s">
        <v>4120</v>
      </c>
    </row>
    <row r="763" spans="1:19" x14ac:dyDescent="0.2">
      <c r="A763" s="33">
        <v>43647</v>
      </c>
      <c r="B763" s="34">
        <v>78</v>
      </c>
      <c r="C763" s="35" t="s">
        <v>479</v>
      </c>
      <c r="D763" s="34" t="str">
        <f>VLOOKUP(C763,'PUR-PARTY MASTER'!$B$4:$E$2000,2,FALSE)</f>
        <v>27AAMFC2124K1ZG</v>
      </c>
      <c r="E763" s="34" t="s">
        <v>22</v>
      </c>
      <c r="F763" s="134">
        <v>1135</v>
      </c>
      <c r="G763" s="37">
        <v>43655</v>
      </c>
      <c r="H763" s="34">
        <v>4811</v>
      </c>
      <c r="I763" s="39">
        <f>VLOOKUP(H763,'PUR-HSN MASTER'!$A$4:$E$5000,5,FALSE)</f>
        <v>18</v>
      </c>
      <c r="J763" s="38">
        <v>200</v>
      </c>
      <c r="K763" s="40">
        <v>270</v>
      </c>
      <c r="L763" s="39">
        <v>0</v>
      </c>
      <c r="M763" s="39">
        <v>24.3</v>
      </c>
      <c r="N763" s="39">
        <v>24.3</v>
      </c>
      <c r="O763" s="39">
        <v>0</v>
      </c>
      <c r="P763" s="39">
        <v>318.60000000000002</v>
      </c>
      <c r="Q763" s="34" t="s">
        <v>410</v>
      </c>
      <c r="R763" s="34" t="s">
        <v>26</v>
      </c>
      <c r="S763" s="11" t="s">
        <v>4120</v>
      </c>
    </row>
    <row r="764" spans="1:19" x14ac:dyDescent="0.2">
      <c r="A764" s="33">
        <v>43647</v>
      </c>
      <c r="B764" s="34">
        <v>79</v>
      </c>
      <c r="C764" s="35" t="s">
        <v>489</v>
      </c>
      <c r="D764" s="34" t="str">
        <f>VLOOKUP(C764,'PUR-PARTY MASTER'!$B$4:$E$2000,2,FALSE)</f>
        <v>27AAECD2713N1ZK</v>
      </c>
      <c r="E764" s="34" t="s">
        <v>22</v>
      </c>
      <c r="F764" s="134">
        <v>7887985820</v>
      </c>
      <c r="G764" s="37">
        <v>43656</v>
      </c>
      <c r="H764" s="34">
        <v>32082090</v>
      </c>
      <c r="I764" s="39">
        <f>VLOOKUP(H764,'PUR-HSN MASTER'!$A$4:$E$5000,5,FALSE)</f>
        <v>18</v>
      </c>
      <c r="J764" s="38">
        <v>4</v>
      </c>
      <c r="K764" s="40">
        <v>2560</v>
      </c>
      <c r="L764" s="39">
        <v>0</v>
      </c>
      <c r="M764" s="39">
        <v>230.4</v>
      </c>
      <c r="N764" s="39">
        <v>230.4</v>
      </c>
      <c r="O764" s="39">
        <v>0</v>
      </c>
      <c r="P764" s="39">
        <v>3021</v>
      </c>
      <c r="Q764" s="34" t="s">
        <v>410</v>
      </c>
      <c r="R764" s="34" t="s">
        <v>26</v>
      </c>
      <c r="S764" s="11" t="s">
        <v>4120</v>
      </c>
    </row>
    <row r="765" spans="1:19" x14ac:dyDescent="0.2">
      <c r="A765" s="33">
        <v>43647</v>
      </c>
      <c r="B765" s="34">
        <v>80</v>
      </c>
      <c r="C765" s="35" t="s">
        <v>499</v>
      </c>
      <c r="D765" s="34" t="str">
        <f>VLOOKUP(C765,'PUR-PARTY MASTER'!$B$4:$E$2000,2,FALSE)</f>
        <v>27AAHFP1154B1ZN</v>
      </c>
      <c r="E765" s="34" t="s">
        <v>22</v>
      </c>
      <c r="F765" s="136" t="s">
        <v>799</v>
      </c>
      <c r="G765" s="37">
        <v>43654</v>
      </c>
      <c r="H765" s="34">
        <v>63071030</v>
      </c>
      <c r="I765" s="39">
        <f>VLOOKUP(H765,'PUR-HSN MASTER'!$A$4:$E$5000,5,FALSE)</f>
        <v>5</v>
      </c>
      <c r="J765" s="38">
        <v>20</v>
      </c>
      <c r="K765" s="40">
        <v>5240</v>
      </c>
      <c r="L765" s="39">
        <v>0</v>
      </c>
      <c r="M765" s="39">
        <v>131</v>
      </c>
      <c r="N765" s="39">
        <v>131</v>
      </c>
      <c r="O765" s="39">
        <v>0</v>
      </c>
      <c r="P765" s="39">
        <v>5502</v>
      </c>
      <c r="Q765" s="34" t="s">
        <v>410</v>
      </c>
      <c r="R765" s="34" t="s">
        <v>26</v>
      </c>
      <c r="S765" s="11" t="s">
        <v>4120</v>
      </c>
    </row>
    <row r="766" spans="1:19" x14ac:dyDescent="0.2">
      <c r="A766" s="33">
        <v>43647</v>
      </c>
      <c r="B766" s="34">
        <v>81</v>
      </c>
      <c r="C766" s="35" t="s">
        <v>666</v>
      </c>
      <c r="D766" s="34" t="str">
        <f>VLOOKUP(C766,'PUR-PARTY MASTER'!$B$4:$E$2000,2,FALSE)</f>
        <v>27AAECP8535C1ZF</v>
      </c>
      <c r="E766" s="34" t="s">
        <v>22</v>
      </c>
      <c r="F766" s="136" t="s">
        <v>800</v>
      </c>
      <c r="G766" s="37">
        <v>43656</v>
      </c>
      <c r="H766" s="34">
        <v>8708</v>
      </c>
      <c r="I766" s="39">
        <f>VLOOKUP(H766,'PUR-HSN MASTER'!$A$4:$E$5000,5,FALSE)</f>
        <v>28</v>
      </c>
      <c r="J766" s="38">
        <v>210</v>
      </c>
      <c r="K766" s="40">
        <v>73195.5</v>
      </c>
      <c r="L766" s="39">
        <v>0</v>
      </c>
      <c r="M766" s="39">
        <v>10247.370000000001</v>
      </c>
      <c r="N766" s="39">
        <v>10247.370000000001</v>
      </c>
      <c r="O766" s="39">
        <v>0</v>
      </c>
      <c r="P766" s="39">
        <v>93690.239999999991</v>
      </c>
      <c r="Q766" s="34" t="s">
        <v>410</v>
      </c>
      <c r="R766" s="34" t="s">
        <v>26</v>
      </c>
      <c r="S766" s="11" t="s">
        <v>4120</v>
      </c>
    </row>
    <row r="767" spans="1:19" x14ac:dyDescent="0.2">
      <c r="A767" s="33">
        <v>43647</v>
      </c>
      <c r="B767" s="34">
        <v>82</v>
      </c>
      <c r="C767" s="35" t="s">
        <v>473</v>
      </c>
      <c r="D767" s="34" t="str">
        <f>VLOOKUP(C767,'PUR-PARTY MASTER'!$B$4:$E$2000,2,FALSE)</f>
        <v>27AAACT1848E1ZH</v>
      </c>
      <c r="E767" s="34" t="s">
        <v>22</v>
      </c>
      <c r="F767" s="136" t="s">
        <v>801</v>
      </c>
      <c r="G767" s="37">
        <v>43656</v>
      </c>
      <c r="H767" s="34">
        <v>87089900</v>
      </c>
      <c r="I767" s="39">
        <f>VLOOKUP(H767,'PUR-HSN MASTER'!$A$4:$E$5000,5,FALSE)</f>
        <v>28</v>
      </c>
      <c r="J767" s="38">
        <v>240</v>
      </c>
      <c r="K767" s="40">
        <v>7472.2</v>
      </c>
      <c r="L767" s="39">
        <v>0</v>
      </c>
      <c r="M767" s="39">
        <v>1045.998</v>
      </c>
      <c r="N767" s="39">
        <v>1045.998</v>
      </c>
      <c r="O767" s="39">
        <v>0</v>
      </c>
      <c r="P767" s="39">
        <v>9564.1959999999999</v>
      </c>
      <c r="Q767" s="34" t="s">
        <v>410</v>
      </c>
      <c r="R767" s="34" t="s">
        <v>26</v>
      </c>
      <c r="S767" s="11" t="s">
        <v>4120</v>
      </c>
    </row>
    <row r="768" spans="1:19" x14ac:dyDescent="0.2">
      <c r="A768" s="33">
        <v>43647</v>
      </c>
      <c r="B768" s="34">
        <v>83</v>
      </c>
      <c r="C768" s="35" t="s">
        <v>495</v>
      </c>
      <c r="D768" s="34" t="str">
        <f>VLOOKUP(C768,'PUR-PARTY MASTER'!$B$4:$E$2000,2,FALSE)</f>
        <v>27AAACH4211R1ZF</v>
      </c>
      <c r="E768" s="34" t="s">
        <v>22</v>
      </c>
      <c r="F768" s="134">
        <v>5510051227</v>
      </c>
      <c r="G768" s="37">
        <v>43656</v>
      </c>
      <c r="H768" s="34">
        <v>85129000</v>
      </c>
      <c r="I768" s="39">
        <f>VLOOKUP(H768,'PUR-HSN MASTER'!$A$4:$E$5000,5,FALSE)</f>
        <v>18</v>
      </c>
      <c r="J768" s="38">
        <v>2400</v>
      </c>
      <c r="K768" s="40">
        <v>26544</v>
      </c>
      <c r="L768" s="39">
        <v>0</v>
      </c>
      <c r="M768" s="39">
        <v>2388.96</v>
      </c>
      <c r="N768" s="39">
        <v>2388.96</v>
      </c>
      <c r="O768" s="39">
        <v>0</v>
      </c>
      <c r="P768" s="39">
        <v>31321.919999999998</v>
      </c>
      <c r="Q768" s="34" t="s">
        <v>410</v>
      </c>
      <c r="R768" s="34" t="s">
        <v>26</v>
      </c>
      <c r="S768" s="11" t="s">
        <v>4120</v>
      </c>
    </row>
    <row r="769" spans="1:19" x14ac:dyDescent="0.2">
      <c r="A769" s="33">
        <v>43647</v>
      </c>
      <c r="B769" s="34">
        <v>84</v>
      </c>
      <c r="C769" s="35" t="s">
        <v>471</v>
      </c>
      <c r="D769" s="34" t="str">
        <f>VLOOKUP(C769,'PUR-PARTY MASTER'!$B$4:$E$2000,2,FALSE)</f>
        <v>27AAECM8871A1ZF</v>
      </c>
      <c r="E769" s="34" t="s">
        <v>22</v>
      </c>
      <c r="F769" s="134">
        <v>192003423</v>
      </c>
      <c r="G769" s="37">
        <v>43656</v>
      </c>
      <c r="H769" s="34">
        <v>87089900</v>
      </c>
      <c r="I769" s="39">
        <f>VLOOKUP(H769,'PUR-HSN MASTER'!$A$4:$E$5000,5,FALSE)</f>
        <v>28</v>
      </c>
      <c r="J769" s="38">
        <v>12</v>
      </c>
      <c r="K769" s="40">
        <v>17483.52</v>
      </c>
      <c r="L769" s="39">
        <v>0</v>
      </c>
      <c r="M769" s="39">
        <v>2447.6928000000003</v>
      </c>
      <c r="N769" s="39">
        <v>2447.6928000000003</v>
      </c>
      <c r="O769" s="39">
        <v>0</v>
      </c>
      <c r="P769" s="39">
        <v>22378.895600000003</v>
      </c>
      <c r="Q769" s="34" t="s">
        <v>410</v>
      </c>
      <c r="R769" s="34" t="s">
        <v>26</v>
      </c>
      <c r="S769" s="11" t="s">
        <v>4120</v>
      </c>
    </row>
    <row r="770" spans="1:19" x14ac:dyDescent="0.2">
      <c r="A770" s="33">
        <v>43647</v>
      </c>
      <c r="B770" s="34">
        <v>85</v>
      </c>
      <c r="C770" s="35" t="s">
        <v>471</v>
      </c>
      <c r="D770" s="34" t="str">
        <f>VLOOKUP(C770,'PUR-PARTY MASTER'!$B$4:$E$2000,2,FALSE)</f>
        <v>27AAECM8871A1ZF</v>
      </c>
      <c r="E770" s="34" t="s">
        <v>22</v>
      </c>
      <c r="F770" s="134">
        <v>192003431</v>
      </c>
      <c r="G770" s="37">
        <v>43656</v>
      </c>
      <c r="H770" s="34">
        <v>87089900</v>
      </c>
      <c r="I770" s="39">
        <f>VLOOKUP(H770,'PUR-HSN MASTER'!$A$4:$E$5000,5,FALSE)</f>
        <v>28</v>
      </c>
      <c r="J770" s="38">
        <v>12</v>
      </c>
      <c r="K770" s="40">
        <v>17483.52</v>
      </c>
      <c r="L770" s="39">
        <v>0</v>
      </c>
      <c r="M770" s="39">
        <v>2447.6928000000003</v>
      </c>
      <c r="N770" s="39">
        <v>2447.6928000000003</v>
      </c>
      <c r="O770" s="39">
        <v>0</v>
      </c>
      <c r="P770" s="39">
        <v>22378.895600000003</v>
      </c>
      <c r="Q770" s="34" t="s">
        <v>410</v>
      </c>
      <c r="R770" s="34" t="s">
        <v>26</v>
      </c>
      <c r="S770" s="11" t="s">
        <v>4120</v>
      </c>
    </row>
    <row r="771" spans="1:19" x14ac:dyDescent="0.2">
      <c r="A771" s="33">
        <v>43647</v>
      </c>
      <c r="B771" s="34">
        <v>86</v>
      </c>
      <c r="C771" s="35" t="s">
        <v>601</v>
      </c>
      <c r="D771" s="34" t="str">
        <f>VLOOKUP(C771,'PUR-PARTY MASTER'!$B$4:$E$2000,2,FALSE)</f>
        <v>27AAZFM6461A1ZY</v>
      </c>
      <c r="E771" s="34" t="s">
        <v>22</v>
      </c>
      <c r="F771" s="134">
        <v>2687</v>
      </c>
      <c r="G771" s="37">
        <v>43656</v>
      </c>
      <c r="H771" s="34">
        <v>87082900</v>
      </c>
      <c r="I771" s="39">
        <f>VLOOKUP(H771,'PUR-HSN MASTER'!$A$4:$E$5000,5,FALSE)</f>
        <v>28</v>
      </c>
      <c r="J771" s="38">
        <v>700</v>
      </c>
      <c r="K771" s="40">
        <v>29799</v>
      </c>
      <c r="L771" s="39">
        <v>0</v>
      </c>
      <c r="M771" s="39">
        <v>4171.8600000000006</v>
      </c>
      <c r="N771" s="39">
        <v>4171.8600000000006</v>
      </c>
      <c r="O771" s="39">
        <v>0</v>
      </c>
      <c r="P771" s="39">
        <v>38142.720000000001</v>
      </c>
      <c r="Q771" s="34" t="s">
        <v>410</v>
      </c>
      <c r="R771" s="34" t="s">
        <v>26</v>
      </c>
      <c r="S771" s="11" t="s">
        <v>4120</v>
      </c>
    </row>
    <row r="772" spans="1:19" x14ac:dyDescent="0.2">
      <c r="A772" s="33">
        <v>43647</v>
      </c>
      <c r="B772" s="34">
        <v>87</v>
      </c>
      <c r="C772" s="35" t="s">
        <v>493</v>
      </c>
      <c r="D772" s="34" t="str">
        <f>VLOOKUP(C772,'PUR-PARTY MASTER'!$B$4:$E$2000,2,FALSE)</f>
        <v>27AMMPB3648M1ZO</v>
      </c>
      <c r="E772" s="34" t="s">
        <v>22</v>
      </c>
      <c r="F772" s="134">
        <v>1849</v>
      </c>
      <c r="G772" s="37">
        <v>43656</v>
      </c>
      <c r="H772" s="34">
        <v>85129000</v>
      </c>
      <c r="I772" s="39">
        <f>VLOOKUP(H772,'PUR-HSN MASTER'!$A$4:$E$5000,5,FALSE)</f>
        <v>18</v>
      </c>
      <c r="J772" s="38">
        <v>460</v>
      </c>
      <c r="K772" s="40">
        <v>10575.4</v>
      </c>
      <c r="L772" s="39">
        <v>0</v>
      </c>
      <c r="M772" s="39">
        <v>951.78599999999994</v>
      </c>
      <c r="N772" s="39">
        <v>951.78599999999994</v>
      </c>
      <c r="O772" s="39">
        <v>0</v>
      </c>
      <c r="P772" s="39">
        <v>12479.002</v>
      </c>
      <c r="Q772" s="34" t="s">
        <v>410</v>
      </c>
      <c r="R772" s="34" t="s">
        <v>26</v>
      </c>
      <c r="S772" s="11" t="s">
        <v>4120</v>
      </c>
    </row>
    <row r="773" spans="1:19" x14ac:dyDescent="0.2">
      <c r="A773" s="33">
        <v>43647</v>
      </c>
      <c r="B773" s="34">
        <v>88</v>
      </c>
      <c r="C773" s="35" t="s">
        <v>554</v>
      </c>
      <c r="D773" s="34" t="str">
        <f>VLOOKUP(C773,'PUR-PARTY MASTER'!$B$4:$E$2000,2,FALSE)</f>
        <v>27AACFA1881H1ZL</v>
      </c>
      <c r="E773" s="34" t="s">
        <v>22</v>
      </c>
      <c r="F773" s="134">
        <v>4186</v>
      </c>
      <c r="G773" s="37">
        <v>43656</v>
      </c>
      <c r="H773" s="34">
        <v>87141900</v>
      </c>
      <c r="I773" s="39">
        <f>VLOOKUP(H773,'PUR-HSN MASTER'!$A$4:$E$5000,5,FALSE)</f>
        <v>28</v>
      </c>
      <c r="J773" s="38">
        <v>3200</v>
      </c>
      <c r="K773" s="40">
        <v>8896</v>
      </c>
      <c r="L773" s="39">
        <v>0</v>
      </c>
      <c r="M773" s="39">
        <v>1245.4399999999998</v>
      </c>
      <c r="N773" s="39">
        <v>1245.4399999999998</v>
      </c>
      <c r="O773" s="39">
        <v>0</v>
      </c>
      <c r="P773" s="39">
        <v>11386.880000000001</v>
      </c>
      <c r="Q773" s="34" t="s">
        <v>410</v>
      </c>
      <c r="R773" s="34" t="s">
        <v>26</v>
      </c>
      <c r="S773" s="11" t="s">
        <v>4120</v>
      </c>
    </row>
    <row r="774" spans="1:19" x14ac:dyDescent="0.2">
      <c r="A774" s="33">
        <v>43647</v>
      </c>
      <c r="B774" s="34">
        <v>89</v>
      </c>
      <c r="C774" s="35" t="s">
        <v>554</v>
      </c>
      <c r="D774" s="34" t="str">
        <f>VLOOKUP(C774,'PUR-PARTY MASTER'!$B$4:$E$2000,2,FALSE)</f>
        <v>27AACFA1881H1ZL</v>
      </c>
      <c r="E774" s="34" t="s">
        <v>22</v>
      </c>
      <c r="F774" s="134">
        <v>4230</v>
      </c>
      <c r="G774" s="37">
        <v>43656</v>
      </c>
      <c r="H774" s="34">
        <v>87141900</v>
      </c>
      <c r="I774" s="39">
        <f>VLOOKUP(H774,'PUR-HSN MASTER'!$A$4:$E$5000,5,FALSE)</f>
        <v>28</v>
      </c>
      <c r="J774" s="38">
        <v>2030</v>
      </c>
      <c r="K774" s="40">
        <v>5654.5</v>
      </c>
      <c r="L774" s="39">
        <v>0</v>
      </c>
      <c r="M774" s="39">
        <v>791.63</v>
      </c>
      <c r="N774" s="39">
        <v>791.63</v>
      </c>
      <c r="O774" s="39">
        <v>0</v>
      </c>
      <c r="P774" s="39">
        <v>7237.76</v>
      </c>
      <c r="Q774" s="34" t="s">
        <v>410</v>
      </c>
      <c r="R774" s="34" t="s">
        <v>26</v>
      </c>
      <c r="S774" s="11" t="s">
        <v>4120</v>
      </c>
    </row>
    <row r="775" spans="1:19" x14ac:dyDescent="0.2">
      <c r="A775" s="33">
        <v>43647</v>
      </c>
      <c r="B775" s="34">
        <v>90</v>
      </c>
      <c r="C775" s="35" t="s">
        <v>471</v>
      </c>
      <c r="D775" s="34" t="str">
        <f>VLOOKUP(C775,'PUR-PARTY MASTER'!$B$4:$E$2000,2,FALSE)</f>
        <v>27AAECM8871A1ZF</v>
      </c>
      <c r="E775" s="34" t="s">
        <v>22</v>
      </c>
      <c r="F775" s="134">
        <v>192003475</v>
      </c>
      <c r="G775" s="37">
        <v>43656</v>
      </c>
      <c r="H775" s="34">
        <v>87089900</v>
      </c>
      <c r="I775" s="39">
        <f>VLOOKUP(H775,'PUR-HSN MASTER'!$A$4:$E$5000,5,FALSE)</f>
        <v>28</v>
      </c>
      <c r="J775" s="38">
        <v>12</v>
      </c>
      <c r="K775" s="40">
        <v>17483.52</v>
      </c>
      <c r="L775" s="39">
        <v>0</v>
      </c>
      <c r="M775" s="39">
        <v>2447.6928000000003</v>
      </c>
      <c r="N775" s="39">
        <v>2447.6928000000003</v>
      </c>
      <c r="O775" s="39">
        <v>0</v>
      </c>
      <c r="P775" s="39">
        <v>22378.895600000003</v>
      </c>
      <c r="Q775" s="34" t="s">
        <v>410</v>
      </c>
      <c r="R775" s="34" t="s">
        <v>26</v>
      </c>
      <c r="S775" s="11" t="s">
        <v>4120</v>
      </c>
    </row>
    <row r="776" spans="1:19" x14ac:dyDescent="0.2">
      <c r="A776" s="33">
        <v>43647</v>
      </c>
      <c r="B776" s="34">
        <v>91</v>
      </c>
      <c r="C776" s="35" t="s">
        <v>705</v>
      </c>
      <c r="D776" s="34" t="str">
        <f>VLOOKUP(C776,'PUR-PARTY MASTER'!$B$4:$E$2000,2,FALSE)</f>
        <v>27AABFM8397H1ZT</v>
      </c>
      <c r="E776" s="34" t="s">
        <v>22</v>
      </c>
      <c r="F776" s="136" t="s">
        <v>802</v>
      </c>
      <c r="G776" s="37">
        <v>43657</v>
      </c>
      <c r="H776" s="34">
        <v>87089900</v>
      </c>
      <c r="I776" s="39">
        <f>VLOOKUP(H776,'PUR-HSN MASTER'!$A$4:$E$5000,5,FALSE)</f>
        <v>28</v>
      </c>
      <c r="J776" s="38">
        <v>100</v>
      </c>
      <c r="K776" s="40">
        <v>2150</v>
      </c>
      <c r="L776" s="39">
        <v>0</v>
      </c>
      <c r="M776" s="39">
        <v>301</v>
      </c>
      <c r="N776" s="39">
        <v>301</v>
      </c>
      <c r="O776" s="39">
        <v>0</v>
      </c>
      <c r="P776" s="39">
        <v>2752</v>
      </c>
      <c r="Q776" s="34" t="s">
        <v>410</v>
      </c>
      <c r="R776" s="34" t="s">
        <v>26</v>
      </c>
      <c r="S776" s="11" t="s">
        <v>4120</v>
      </c>
    </row>
    <row r="777" spans="1:19" x14ac:dyDescent="0.2">
      <c r="A777" s="33">
        <v>43647</v>
      </c>
      <c r="B777" s="34">
        <v>92</v>
      </c>
      <c r="C777" s="35" t="s">
        <v>554</v>
      </c>
      <c r="D777" s="34" t="str">
        <f>VLOOKUP(C777,'PUR-PARTY MASTER'!$B$4:$E$2000,2,FALSE)</f>
        <v>27AACFA1881H1ZL</v>
      </c>
      <c r="E777" s="34" t="s">
        <v>22</v>
      </c>
      <c r="F777" s="134">
        <v>4254</v>
      </c>
      <c r="G777" s="37">
        <v>43657</v>
      </c>
      <c r="H777" s="34">
        <v>87141900</v>
      </c>
      <c r="I777" s="39">
        <f>VLOOKUP(H777,'PUR-HSN MASTER'!$A$4:$E$5000,5,FALSE)</f>
        <v>28</v>
      </c>
      <c r="J777" s="38">
        <v>2400</v>
      </c>
      <c r="K777" s="40">
        <v>6672</v>
      </c>
      <c r="L777" s="39">
        <v>0</v>
      </c>
      <c r="M777" s="39">
        <v>934.07999999999993</v>
      </c>
      <c r="N777" s="39">
        <v>934.07999999999993</v>
      </c>
      <c r="O777" s="39">
        <v>0</v>
      </c>
      <c r="P777" s="39">
        <v>8540.16</v>
      </c>
      <c r="Q777" s="34" t="s">
        <v>410</v>
      </c>
      <c r="R777" s="34" t="s">
        <v>26</v>
      </c>
      <c r="S777" s="11" t="s">
        <v>4120</v>
      </c>
    </row>
    <row r="778" spans="1:19" x14ac:dyDescent="0.2">
      <c r="A778" s="33">
        <v>43647</v>
      </c>
      <c r="B778" s="34">
        <v>93</v>
      </c>
      <c r="C778" s="35" t="s">
        <v>471</v>
      </c>
      <c r="D778" s="34" t="str">
        <f>VLOOKUP(C778,'PUR-PARTY MASTER'!$B$4:$E$2000,2,FALSE)</f>
        <v>27AAECM8871A1ZF</v>
      </c>
      <c r="E778" s="34" t="s">
        <v>22</v>
      </c>
      <c r="F778" s="134">
        <v>192003483</v>
      </c>
      <c r="G778" s="37">
        <v>43657</v>
      </c>
      <c r="H778" s="34">
        <v>87089900</v>
      </c>
      <c r="I778" s="39">
        <f>VLOOKUP(H778,'PUR-HSN MASTER'!$A$4:$E$5000,5,FALSE)</f>
        <v>28</v>
      </c>
      <c r="J778" s="38">
        <v>12</v>
      </c>
      <c r="K778" s="40">
        <v>17483.52</v>
      </c>
      <c r="L778" s="39">
        <v>0</v>
      </c>
      <c r="M778" s="39">
        <v>2447.6928000000003</v>
      </c>
      <c r="N778" s="39">
        <v>2447.6928000000003</v>
      </c>
      <c r="O778" s="39">
        <v>0</v>
      </c>
      <c r="P778" s="39">
        <v>22378.895600000003</v>
      </c>
      <c r="Q778" s="34" t="s">
        <v>410</v>
      </c>
      <c r="R778" s="34" t="s">
        <v>26</v>
      </c>
      <c r="S778" s="11" t="s">
        <v>4120</v>
      </c>
    </row>
    <row r="779" spans="1:19" x14ac:dyDescent="0.2">
      <c r="A779" s="33">
        <v>43647</v>
      </c>
      <c r="B779" s="34">
        <v>94</v>
      </c>
      <c r="C779" s="35" t="s">
        <v>489</v>
      </c>
      <c r="D779" s="34" t="str">
        <f>VLOOKUP(C779,'PUR-PARTY MASTER'!$B$4:$E$2000,2,FALSE)</f>
        <v>27AAECD2713N1ZK</v>
      </c>
      <c r="E779" s="34" t="s">
        <v>22</v>
      </c>
      <c r="F779" s="134">
        <v>7887985906</v>
      </c>
      <c r="G779" s="37">
        <v>43657</v>
      </c>
      <c r="H779" s="34">
        <v>32082090</v>
      </c>
      <c r="I779" s="39">
        <f>VLOOKUP(H779,'PUR-HSN MASTER'!$A$4:$E$5000,5,FALSE)</f>
        <v>18</v>
      </c>
      <c r="J779" s="38">
        <v>48</v>
      </c>
      <c r="K779" s="40">
        <v>30720</v>
      </c>
      <c r="L779" s="39">
        <v>0</v>
      </c>
      <c r="M779" s="39">
        <v>2764.7999999999997</v>
      </c>
      <c r="N779" s="39">
        <v>2764.7999999999997</v>
      </c>
      <c r="O779" s="39">
        <v>0</v>
      </c>
      <c r="P779" s="39">
        <v>36250.000000000007</v>
      </c>
      <c r="Q779" s="34" t="s">
        <v>410</v>
      </c>
      <c r="R779" s="34" t="s">
        <v>26</v>
      </c>
      <c r="S779" s="11" t="s">
        <v>4120</v>
      </c>
    </row>
    <row r="780" spans="1:19" x14ac:dyDescent="0.2">
      <c r="A780" s="33">
        <v>43647</v>
      </c>
      <c r="B780" s="34">
        <v>95</v>
      </c>
      <c r="C780" s="35" t="s">
        <v>489</v>
      </c>
      <c r="D780" s="34" t="str">
        <f>VLOOKUP(C780,'PUR-PARTY MASTER'!$B$4:$E$2000,2,FALSE)</f>
        <v>27AAECD2713N1ZK</v>
      </c>
      <c r="E780" s="34" t="s">
        <v>22</v>
      </c>
      <c r="F780" s="134">
        <v>7887985907</v>
      </c>
      <c r="G780" s="37">
        <v>43657</v>
      </c>
      <c r="H780" s="34">
        <v>38140010</v>
      </c>
      <c r="I780" s="39">
        <f>VLOOKUP(H780,'PUR-HSN MASTER'!$A$4:$E$5000,5,FALSE)</f>
        <v>18</v>
      </c>
      <c r="J780" s="38">
        <v>100</v>
      </c>
      <c r="K780" s="40">
        <v>14500</v>
      </c>
      <c r="L780" s="39">
        <v>0</v>
      </c>
      <c r="M780" s="39">
        <v>1305</v>
      </c>
      <c r="N780" s="39">
        <v>1305</v>
      </c>
      <c r="O780" s="39">
        <v>0</v>
      </c>
      <c r="P780" s="39">
        <v>17110</v>
      </c>
      <c r="Q780" s="34" t="s">
        <v>410</v>
      </c>
      <c r="R780" s="34" t="s">
        <v>26</v>
      </c>
      <c r="S780" s="11" t="s">
        <v>4120</v>
      </c>
    </row>
    <row r="781" spans="1:19" x14ac:dyDescent="0.2">
      <c r="A781" s="33">
        <v>43647</v>
      </c>
      <c r="B781" s="34"/>
      <c r="C781" s="35" t="s">
        <v>489</v>
      </c>
      <c r="D781" s="34" t="str">
        <f>VLOOKUP(C781,'PUR-PARTY MASTER'!$B$4:$E$2000,2,FALSE)</f>
        <v>27AAECD2713N1ZK</v>
      </c>
      <c r="E781" s="34" t="s">
        <v>22</v>
      </c>
      <c r="F781" s="134">
        <v>7887985907</v>
      </c>
      <c r="G781" s="37">
        <v>43657</v>
      </c>
      <c r="H781" s="34">
        <v>32082090</v>
      </c>
      <c r="I781" s="39">
        <f>VLOOKUP(H781,'PUR-HSN MASTER'!$A$4:$E$5000,5,FALSE)</f>
        <v>18</v>
      </c>
      <c r="J781" s="38">
        <v>80</v>
      </c>
      <c r="K781" s="40">
        <v>41200</v>
      </c>
      <c r="L781" s="39">
        <v>0</v>
      </c>
      <c r="M781" s="39">
        <v>3708</v>
      </c>
      <c r="N781" s="39">
        <v>3708</v>
      </c>
      <c r="O781" s="39">
        <v>0</v>
      </c>
      <c r="P781" s="39">
        <v>48616</v>
      </c>
      <c r="Q781" s="34" t="s">
        <v>410</v>
      </c>
      <c r="R781" s="34" t="s">
        <v>26</v>
      </c>
      <c r="S781" s="11" t="s">
        <v>4120</v>
      </c>
    </row>
    <row r="782" spans="1:19" x14ac:dyDescent="0.2">
      <c r="A782" s="33">
        <v>43647</v>
      </c>
      <c r="B782" s="34"/>
      <c r="C782" s="35" t="s">
        <v>489</v>
      </c>
      <c r="D782" s="34" t="str">
        <f>VLOOKUP(C782,'PUR-PARTY MASTER'!$B$4:$E$2000,2,FALSE)</f>
        <v>27AAECD2713N1ZK</v>
      </c>
      <c r="E782" s="34" t="s">
        <v>22</v>
      </c>
      <c r="F782" s="134">
        <v>7887985907</v>
      </c>
      <c r="G782" s="37">
        <v>43657</v>
      </c>
      <c r="H782" s="34">
        <v>39119090</v>
      </c>
      <c r="I782" s="39">
        <f>VLOOKUP(H782,'PUR-HSN MASTER'!$A$4:$E$5000,5,FALSE)</f>
        <v>18</v>
      </c>
      <c r="J782" s="38">
        <v>60</v>
      </c>
      <c r="K782" s="40">
        <v>35700</v>
      </c>
      <c r="L782" s="39">
        <v>0</v>
      </c>
      <c r="M782" s="39">
        <v>3213</v>
      </c>
      <c r="N782" s="39">
        <v>3213</v>
      </c>
      <c r="O782" s="39">
        <v>0</v>
      </c>
      <c r="P782" s="39">
        <v>42126</v>
      </c>
      <c r="Q782" s="34" t="s">
        <v>410</v>
      </c>
      <c r="R782" s="34" t="s">
        <v>26</v>
      </c>
      <c r="S782" s="11" t="s">
        <v>4120</v>
      </c>
    </row>
    <row r="783" spans="1:19" x14ac:dyDescent="0.2">
      <c r="A783" s="33">
        <v>43647</v>
      </c>
      <c r="B783" s="34">
        <v>96</v>
      </c>
      <c r="C783" s="35" t="s">
        <v>601</v>
      </c>
      <c r="D783" s="34" t="str">
        <f>VLOOKUP(C783,'PUR-PARTY MASTER'!$B$4:$E$2000,2,FALSE)</f>
        <v>27AAZFM6461A1ZY</v>
      </c>
      <c r="E783" s="34" t="s">
        <v>22</v>
      </c>
      <c r="F783" s="134">
        <v>2736</v>
      </c>
      <c r="G783" s="37">
        <v>43657</v>
      </c>
      <c r="H783" s="34">
        <v>87082900</v>
      </c>
      <c r="I783" s="39">
        <f>VLOOKUP(H783,'PUR-HSN MASTER'!$A$4:$E$5000,5,FALSE)</f>
        <v>28</v>
      </c>
      <c r="J783" s="38">
        <v>480</v>
      </c>
      <c r="K783" s="40">
        <v>20433.599999999999</v>
      </c>
      <c r="L783" s="39">
        <v>0</v>
      </c>
      <c r="M783" s="39">
        <v>2860.7039999999997</v>
      </c>
      <c r="N783" s="39">
        <v>2860.7039999999997</v>
      </c>
      <c r="O783" s="39">
        <v>0</v>
      </c>
      <c r="P783" s="39">
        <v>26154.997999999996</v>
      </c>
      <c r="Q783" s="34" t="s">
        <v>410</v>
      </c>
      <c r="R783" s="34" t="s">
        <v>26</v>
      </c>
      <c r="S783" s="11" t="s">
        <v>4120</v>
      </c>
    </row>
    <row r="784" spans="1:19" x14ac:dyDescent="0.2">
      <c r="A784" s="33">
        <v>43647</v>
      </c>
      <c r="B784" s="34">
        <v>97</v>
      </c>
      <c r="C784" s="35" t="s">
        <v>601</v>
      </c>
      <c r="D784" s="34" t="str">
        <f>VLOOKUP(C784,'PUR-PARTY MASTER'!$B$4:$E$2000,2,FALSE)</f>
        <v>27AAZFM6461A1ZY</v>
      </c>
      <c r="E784" s="34" t="s">
        <v>22</v>
      </c>
      <c r="F784" s="134">
        <v>2737</v>
      </c>
      <c r="G784" s="37">
        <v>43657</v>
      </c>
      <c r="H784" s="34">
        <v>87082900</v>
      </c>
      <c r="I784" s="39">
        <f>VLOOKUP(H784,'PUR-HSN MASTER'!$A$4:$E$5000,5,FALSE)</f>
        <v>28</v>
      </c>
      <c r="J784" s="38">
        <v>600</v>
      </c>
      <c r="K784" s="40">
        <v>13392</v>
      </c>
      <c r="L784" s="39">
        <v>0</v>
      </c>
      <c r="M784" s="39">
        <v>1874.8799999999999</v>
      </c>
      <c r="N784" s="39">
        <v>1874.8799999999999</v>
      </c>
      <c r="O784" s="39">
        <v>0</v>
      </c>
      <c r="P784" s="39">
        <v>17141.759999999998</v>
      </c>
      <c r="Q784" s="34" t="s">
        <v>410</v>
      </c>
      <c r="R784" s="34" t="s">
        <v>26</v>
      </c>
      <c r="S784" s="11" t="s">
        <v>4120</v>
      </c>
    </row>
    <row r="785" spans="1:19" x14ac:dyDescent="0.2">
      <c r="A785" s="33">
        <v>43647</v>
      </c>
      <c r="B785" s="34">
        <v>98</v>
      </c>
      <c r="C785" s="35" t="s">
        <v>506</v>
      </c>
      <c r="D785" s="34" t="str">
        <f>VLOOKUP(C785,'PUR-PARTY MASTER'!$B$4:$E$2000,2,FALSE)</f>
        <v>27AAACG1376N1ZC</v>
      </c>
      <c r="E785" s="34" t="s">
        <v>22</v>
      </c>
      <c r="F785" s="136" t="s">
        <v>803</v>
      </c>
      <c r="G785" s="37">
        <v>43657</v>
      </c>
      <c r="H785" s="34">
        <v>32082090</v>
      </c>
      <c r="I785" s="39">
        <f>VLOOKUP(H785,'PUR-HSN MASTER'!$A$4:$E$5000,5,FALSE)</f>
        <v>18</v>
      </c>
      <c r="J785" s="38">
        <v>200</v>
      </c>
      <c r="K785" s="40">
        <v>69758</v>
      </c>
      <c r="L785" s="39">
        <v>0</v>
      </c>
      <c r="M785" s="39">
        <v>6278.22</v>
      </c>
      <c r="N785" s="39">
        <v>6278.22</v>
      </c>
      <c r="O785" s="39">
        <v>0</v>
      </c>
      <c r="P785" s="39">
        <v>82314</v>
      </c>
      <c r="Q785" s="34" t="s">
        <v>410</v>
      </c>
      <c r="R785" s="34" t="s">
        <v>26</v>
      </c>
      <c r="S785" s="11" t="s">
        <v>4120</v>
      </c>
    </row>
    <row r="786" spans="1:19" x14ac:dyDescent="0.2">
      <c r="A786" s="33">
        <v>43647</v>
      </c>
      <c r="B786" s="34">
        <v>99</v>
      </c>
      <c r="C786" s="35" t="s">
        <v>506</v>
      </c>
      <c r="D786" s="34" t="str">
        <f>VLOOKUP(C786,'PUR-PARTY MASTER'!$B$4:$E$2000,2,FALSE)</f>
        <v>27AAACG1376N1ZC</v>
      </c>
      <c r="E786" s="34" t="s">
        <v>22</v>
      </c>
      <c r="F786" s="136" t="s">
        <v>804</v>
      </c>
      <c r="G786" s="37">
        <v>43657</v>
      </c>
      <c r="H786" s="34">
        <v>38140010</v>
      </c>
      <c r="I786" s="39">
        <f>VLOOKUP(H786,'PUR-HSN MASTER'!$A$4:$E$5000,5,FALSE)</f>
        <v>18</v>
      </c>
      <c r="J786" s="38">
        <v>100</v>
      </c>
      <c r="K786" s="40">
        <v>9240</v>
      </c>
      <c r="L786" s="39">
        <v>0</v>
      </c>
      <c r="M786" s="39">
        <v>831.6</v>
      </c>
      <c r="N786" s="39">
        <v>831.6</v>
      </c>
      <c r="O786" s="39">
        <v>0</v>
      </c>
      <c r="P786" s="39">
        <v>10903</v>
      </c>
      <c r="Q786" s="34" t="s">
        <v>410</v>
      </c>
      <c r="R786" s="34" t="s">
        <v>26</v>
      </c>
      <c r="S786" s="11" t="s">
        <v>4120</v>
      </c>
    </row>
    <row r="787" spans="1:19" x14ac:dyDescent="0.2">
      <c r="A787" s="33">
        <v>43647</v>
      </c>
      <c r="B787" s="34">
        <v>100</v>
      </c>
      <c r="C787" s="35" t="s">
        <v>518</v>
      </c>
      <c r="D787" s="34" t="str">
        <f>VLOOKUP(C787,'PUR-PARTY MASTER'!$B$4:$E$2000,2,FALSE)</f>
        <v>27AAACB2894G1ZN</v>
      </c>
      <c r="E787" s="34" t="s">
        <v>22</v>
      </c>
      <c r="F787" s="136" t="s">
        <v>805</v>
      </c>
      <c r="G787" s="37">
        <v>43658</v>
      </c>
      <c r="H787" s="34">
        <v>9984</v>
      </c>
      <c r="I787" s="39">
        <f>VLOOKUP(H787,'PUR-HSN MASTER'!$A$4:$E$5000,5,FALSE)</f>
        <v>18</v>
      </c>
      <c r="J787" s="38">
        <v>0</v>
      </c>
      <c r="K787" s="40">
        <v>4871</v>
      </c>
      <c r="L787" s="39">
        <v>0</v>
      </c>
      <c r="M787" s="39">
        <v>438.39</v>
      </c>
      <c r="N787" s="39">
        <v>438.39</v>
      </c>
      <c r="O787" s="39">
        <v>0</v>
      </c>
      <c r="P787" s="39">
        <v>5747.7800000000007</v>
      </c>
      <c r="Q787" s="34" t="s">
        <v>410</v>
      </c>
      <c r="R787" s="34" t="s">
        <v>26</v>
      </c>
      <c r="S787" s="11" t="s">
        <v>4120</v>
      </c>
    </row>
    <row r="788" spans="1:19" x14ac:dyDescent="0.2">
      <c r="A788" s="33">
        <v>43647</v>
      </c>
      <c r="B788" s="34">
        <v>101</v>
      </c>
      <c r="C788" s="35" t="s">
        <v>554</v>
      </c>
      <c r="D788" s="34" t="str">
        <f>VLOOKUP(C788,'PUR-PARTY MASTER'!$B$4:$E$2000,2,FALSE)</f>
        <v>27AACFA1881H1ZL</v>
      </c>
      <c r="E788" s="34" t="s">
        <v>22</v>
      </c>
      <c r="F788" s="134">
        <v>4301</v>
      </c>
      <c r="G788" s="37">
        <v>43658</v>
      </c>
      <c r="H788" s="34">
        <v>87141900</v>
      </c>
      <c r="I788" s="39">
        <f>VLOOKUP(H788,'PUR-HSN MASTER'!$A$4:$E$5000,5,FALSE)</f>
        <v>28</v>
      </c>
      <c r="J788" s="38">
        <v>1600</v>
      </c>
      <c r="K788" s="40">
        <v>4448</v>
      </c>
      <c r="L788" s="39">
        <v>0</v>
      </c>
      <c r="M788" s="39">
        <v>622.71999999999991</v>
      </c>
      <c r="N788" s="39">
        <v>622.71999999999991</v>
      </c>
      <c r="O788" s="39">
        <v>0</v>
      </c>
      <c r="P788" s="39">
        <v>5693.4400000000005</v>
      </c>
      <c r="Q788" s="34" t="s">
        <v>410</v>
      </c>
      <c r="R788" s="34" t="s">
        <v>26</v>
      </c>
      <c r="S788" s="11" t="s">
        <v>4120</v>
      </c>
    </row>
    <row r="789" spans="1:19" x14ac:dyDescent="0.2">
      <c r="A789" s="33">
        <v>43647</v>
      </c>
      <c r="B789" s="34">
        <v>102</v>
      </c>
      <c r="C789" s="35" t="s">
        <v>473</v>
      </c>
      <c r="D789" s="34" t="str">
        <f>VLOOKUP(C789,'PUR-PARTY MASTER'!$B$4:$E$2000,2,FALSE)</f>
        <v>27AAACT1848E1ZH</v>
      </c>
      <c r="E789" s="34" t="s">
        <v>22</v>
      </c>
      <c r="F789" s="136" t="s">
        <v>806</v>
      </c>
      <c r="G789" s="37">
        <v>43658</v>
      </c>
      <c r="H789" s="34">
        <v>87089900</v>
      </c>
      <c r="I789" s="39">
        <f>VLOOKUP(H789,'PUR-HSN MASTER'!$A$4:$E$5000,5,FALSE)</f>
        <v>28</v>
      </c>
      <c r="J789" s="38">
        <v>55</v>
      </c>
      <c r="K789" s="40">
        <v>6216.25</v>
      </c>
      <c r="L789" s="39">
        <v>0</v>
      </c>
      <c r="M789" s="39">
        <v>870.995</v>
      </c>
      <c r="N789" s="39">
        <v>870.995</v>
      </c>
      <c r="O789" s="39">
        <v>0</v>
      </c>
      <c r="P789" s="39">
        <v>7958.25</v>
      </c>
      <c r="Q789" s="34" t="s">
        <v>410</v>
      </c>
      <c r="R789" s="34" t="s">
        <v>26</v>
      </c>
      <c r="S789" s="11" t="s">
        <v>4120</v>
      </c>
    </row>
    <row r="790" spans="1:19" x14ac:dyDescent="0.2">
      <c r="A790" s="33">
        <v>43647</v>
      </c>
      <c r="B790" s="34">
        <v>103</v>
      </c>
      <c r="C790" s="35" t="s">
        <v>489</v>
      </c>
      <c r="D790" s="34" t="str">
        <f>VLOOKUP(C790,'PUR-PARTY MASTER'!$B$4:$E$2000,2,FALSE)</f>
        <v>27AAECD2713N1ZK</v>
      </c>
      <c r="E790" s="34" t="s">
        <v>22</v>
      </c>
      <c r="F790" s="134">
        <v>7887985942</v>
      </c>
      <c r="G790" s="37">
        <v>43658</v>
      </c>
      <c r="H790" s="34">
        <v>32082090</v>
      </c>
      <c r="I790" s="39">
        <f>VLOOKUP(H790,'PUR-HSN MASTER'!$A$4:$E$5000,5,FALSE)</f>
        <v>18</v>
      </c>
      <c r="J790" s="38">
        <v>4</v>
      </c>
      <c r="K790" s="40">
        <v>2560</v>
      </c>
      <c r="L790" s="39">
        <v>0</v>
      </c>
      <c r="M790" s="39">
        <v>230.4</v>
      </c>
      <c r="N790" s="39">
        <v>230.4</v>
      </c>
      <c r="O790" s="39">
        <v>0</v>
      </c>
      <c r="P790" s="39">
        <v>3021</v>
      </c>
      <c r="Q790" s="34" t="s">
        <v>410</v>
      </c>
      <c r="R790" s="34" t="s">
        <v>26</v>
      </c>
      <c r="S790" s="11" t="s">
        <v>4120</v>
      </c>
    </row>
    <row r="791" spans="1:19" x14ac:dyDescent="0.2">
      <c r="A791" s="33">
        <v>43647</v>
      </c>
      <c r="B791" s="34">
        <v>104</v>
      </c>
      <c r="C791" s="35" t="s">
        <v>479</v>
      </c>
      <c r="D791" s="34" t="str">
        <f>VLOOKUP(C791,'PUR-PARTY MASTER'!$B$4:$E$2000,2,FALSE)</f>
        <v>27AAMFC2124K1ZG</v>
      </c>
      <c r="E791" s="34" t="s">
        <v>22</v>
      </c>
      <c r="F791" s="134">
        <v>1137</v>
      </c>
      <c r="G791" s="37">
        <v>43656</v>
      </c>
      <c r="H791" s="34">
        <v>4811</v>
      </c>
      <c r="I791" s="39">
        <f>VLOOKUP(H791,'PUR-HSN MASTER'!$A$4:$E$5000,5,FALSE)</f>
        <v>18</v>
      </c>
      <c r="J791" s="38">
        <v>204</v>
      </c>
      <c r="K791" s="40">
        <v>275.39999999999998</v>
      </c>
      <c r="L791" s="39">
        <v>0</v>
      </c>
      <c r="M791" s="39">
        <v>24.785999999999994</v>
      </c>
      <c r="N791" s="39">
        <v>24.785999999999994</v>
      </c>
      <c r="O791" s="39">
        <v>0</v>
      </c>
      <c r="P791" s="39">
        <v>324.97199999999998</v>
      </c>
      <c r="Q791" s="34" t="s">
        <v>410</v>
      </c>
      <c r="R791" s="34" t="s">
        <v>26</v>
      </c>
      <c r="S791" s="11" t="s">
        <v>4120</v>
      </c>
    </row>
    <row r="792" spans="1:19" x14ac:dyDescent="0.2">
      <c r="A792" s="33">
        <v>43647</v>
      </c>
      <c r="B792" s="34"/>
      <c r="C792" s="35" t="s">
        <v>479</v>
      </c>
      <c r="D792" s="34" t="str">
        <f>VLOOKUP(C792,'PUR-PARTY MASTER'!$B$4:$E$2000,2,FALSE)</f>
        <v>27AAMFC2124K1ZG</v>
      </c>
      <c r="E792" s="34" t="s">
        <v>22</v>
      </c>
      <c r="F792" s="134">
        <v>1137</v>
      </c>
      <c r="G792" s="37">
        <v>43656</v>
      </c>
      <c r="H792" s="34">
        <v>3919</v>
      </c>
      <c r="I792" s="39">
        <f>VLOOKUP(H792,'PUR-HSN MASTER'!$A$4:$E$5000,5,FALSE)</f>
        <v>18</v>
      </c>
      <c r="J792" s="38">
        <v>3</v>
      </c>
      <c r="K792" s="40">
        <v>945</v>
      </c>
      <c r="L792" s="39">
        <v>0</v>
      </c>
      <c r="M792" s="39">
        <v>85.05</v>
      </c>
      <c r="N792" s="39">
        <v>85.05</v>
      </c>
      <c r="O792" s="39">
        <v>0</v>
      </c>
      <c r="P792" s="39">
        <v>1115.0999999999999</v>
      </c>
      <c r="Q792" s="34" t="s">
        <v>410</v>
      </c>
      <c r="R792" s="34" t="s">
        <v>26</v>
      </c>
      <c r="S792" s="11" t="s">
        <v>4120</v>
      </c>
    </row>
    <row r="793" spans="1:19" x14ac:dyDescent="0.2">
      <c r="A793" s="33">
        <v>43647</v>
      </c>
      <c r="B793" s="34">
        <v>105</v>
      </c>
      <c r="C793" s="35" t="s">
        <v>554</v>
      </c>
      <c r="D793" s="34" t="str">
        <f>VLOOKUP(C793,'PUR-PARTY MASTER'!$B$4:$E$2000,2,FALSE)</f>
        <v>27AACFA1881H1ZL</v>
      </c>
      <c r="E793" s="34" t="s">
        <v>22</v>
      </c>
      <c r="F793" s="134">
        <v>4330</v>
      </c>
      <c r="G793" s="37">
        <v>43658</v>
      </c>
      <c r="H793" s="34">
        <v>87141900</v>
      </c>
      <c r="I793" s="39">
        <f>VLOOKUP(H793,'PUR-HSN MASTER'!$A$4:$E$5000,5,FALSE)</f>
        <v>28</v>
      </c>
      <c r="J793" s="38">
        <v>2400</v>
      </c>
      <c r="K793" s="40">
        <v>6672</v>
      </c>
      <c r="L793" s="39">
        <v>0</v>
      </c>
      <c r="M793" s="39">
        <v>934.07999999999993</v>
      </c>
      <c r="N793" s="39">
        <v>934.07999999999993</v>
      </c>
      <c r="O793" s="39">
        <v>0</v>
      </c>
      <c r="P793" s="39">
        <v>8540.16</v>
      </c>
      <c r="Q793" s="34" t="s">
        <v>410</v>
      </c>
      <c r="R793" s="34" t="s">
        <v>26</v>
      </c>
      <c r="S793" s="11" t="s">
        <v>4120</v>
      </c>
    </row>
    <row r="794" spans="1:19" x14ac:dyDescent="0.2">
      <c r="A794" s="33">
        <v>43647</v>
      </c>
      <c r="B794" s="34">
        <v>106</v>
      </c>
      <c r="C794" s="35" t="s">
        <v>471</v>
      </c>
      <c r="D794" s="34" t="str">
        <f>VLOOKUP(C794,'PUR-PARTY MASTER'!$B$4:$E$2000,2,FALSE)</f>
        <v>27AAECM8871A1ZF</v>
      </c>
      <c r="E794" s="34" t="s">
        <v>22</v>
      </c>
      <c r="F794" s="134">
        <v>192003516</v>
      </c>
      <c r="G794" s="37">
        <v>43658</v>
      </c>
      <c r="H794" s="34">
        <v>87089900</v>
      </c>
      <c r="I794" s="39">
        <f>VLOOKUP(H794,'PUR-HSN MASTER'!$A$4:$E$5000,5,FALSE)</f>
        <v>28</v>
      </c>
      <c r="J794" s="38">
        <v>12</v>
      </c>
      <c r="K794" s="40">
        <v>17483.52</v>
      </c>
      <c r="L794" s="39">
        <v>0</v>
      </c>
      <c r="M794" s="39">
        <v>2447.6928000000003</v>
      </c>
      <c r="N794" s="39">
        <v>2447.6928000000003</v>
      </c>
      <c r="O794" s="39">
        <v>0</v>
      </c>
      <c r="P794" s="39">
        <v>22378.895600000003</v>
      </c>
      <c r="Q794" s="34" t="s">
        <v>410</v>
      </c>
      <c r="R794" s="34" t="s">
        <v>26</v>
      </c>
      <c r="S794" s="11" t="s">
        <v>4120</v>
      </c>
    </row>
    <row r="795" spans="1:19" x14ac:dyDescent="0.2">
      <c r="A795" s="33">
        <v>43647</v>
      </c>
      <c r="B795" s="34">
        <v>107</v>
      </c>
      <c r="C795" s="35" t="s">
        <v>471</v>
      </c>
      <c r="D795" s="34" t="str">
        <f>VLOOKUP(C795,'PUR-PARTY MASTER'!$B$4:$E$2000,2,FALSE)</f>
        <v>27AAECM8871A1ZF</v>
      </c>
      <c r="E795" s="34" t="s">
        <v>22</v>
      </c>
      <c r="F795" s="134">
        <v>192003521</v>
      </c>
      <c r="G795" s="37">
        <v>43658</v>
      </c>
      <c r="H795" s="34">
        <v>87089900</v>
      </c>
      <c r="I795" s="39">
        <f>VLOOKUP(H795,'PUR-HSN MASTER'!$A$4:$E$5000,5,FALSE)</f>
        <v>28</v>
      </c>
      <c r="J795" s="38">
        <v>12</v>
      </c>
      <c r="K795" s="40">
        <v>17483.52</v>
      </c>
      <c r="L795" s="39">
        <v>0</v>
      </c>
      <c r="M795" s="39">
        <v>2447.6928000000003</v>
      </c>
      <c r="N795" s="39">
        <v>2447.6928000000003</v>
      </c>
      <c r="O795" s="39">
        <v>0</v>
      </c>
      <c r="P795" s="39">
        <v>22378.895600000003</v>
      </c>
      <c r="Q795" s="34" t="s">
        <v>410</v>
      </c>
      <c r="R795" s="34" t="s">
        <v>26</v>
      </c>
      <c r="S795" s="11" t="s">
        <v>4120</v>
      </c>
    </row>
    <row r="796" spans="1:19" x14ac:dyDescent="0.2">
      <c r="A796" s="33">
        <v>43647</v>
      </c>
      <c r="B796" s="34">
        <v>108</v>
      </c>
      <c r="C796" s="35" t="s">
        <v>495</v>
      </c>
      <c r="D796" s="34" t="str">
        <f>VLOOKUP(C796,'PUR-PARTY MASTER'!$B$4:$E$2000,2,FALSE)</f>
        <v>27AAACH4211R1ZF</v>
      </c>
      <c r="E796" s="34" t="s">
        <v>22</v>
      </c>
      <c r="F796" s="134">
        <v>5510051400</v>
      </c>
      <c r="G796" s="37">
        <v>43658</v>
      </c>
      <c r="H796" s="34">
        <v>85129000</v>
      </c>
      <c r="I796" s="39">
        <f>VLOOKUP(H796,'PUR-HSN MASTER'!$A$4:$E$5000,5,FALSE)</f>
        <v>18</v>
      </c>
      <c r="J796" s="38">
        <v>2400</v>
      </c>
      <c r="K796" s="40">
        <v>26544</v>
      </c>
      <c r="L796" s="39">
        <v>0</v>
      </c>
      <c r="M796" s="39">
        <v>2388.96</v>
      </c>
      <c r="N796" s="39">
        <v>2388.96</v>
      </c>
      <c r="O796" s="39">
        <v>0</v>
      </c>
      <c r="P796" s="39">
        <v>31321.919999999998</v>
      </c>
      <c r="Q796" s="34" t="s">
        <v>410</v>
      </c>
      <c r="R796" s="34" t="s">
        <v>26</v>
      </c>
      <c r="S796" s="11" t="s">
        <v>4120</v>
      </c>
    </row>
    <row r="797" spans="1:19" x14ac:dyDescent="0.2">
      <c r="A797" s="33">
        <v>43647</v>
      </c>
      <c r="B797" s="34">
        <v>109</v>
      </c>
      <c r="C797" s="35" t="s">
        <v>554</v>
      </c>
      <c r="D797" s="34" t="str">
        <f>VLOOKUP(C797,'PUR-PARTY MASTER'!$B$4:$E$2000,2,FALSE)</f>
        <v>27AACFA1881H1ZL</v>
      </c>
      <c r="E797" s="34" t="s">
        <v>22</v>
      </c>
      <c r="F797" s="134">
        <v>4371</v>
      </c>
      <c r="G797" s="37">
        <v>43659</v>
      </c>
      <c r="H797" s="34">
        <v>87141900</v>
      </c>
      <c r="I797" s="39">
        <f>VLOOKUP(H797,'PUR-HSN MASTER'!$A$4:$E$5000,5,FALSE)</f>
        <v>28</v>
      </c>
      <c r="J797" s="38">
        <v>2000</v>
      </c>
      <c r="K797" s="40">
        <v>5560</v>
      </c>
      <c r="L797" s="39">
        <v>0</v>
      </c>
      <c r="M797" s="39">
        <v>778.4</v>
      </c>
      <c r="N797" s="39">
        <v>778.4</v>
      </c>
      <c r="O797" s="39">
        <v>0</v>
      </c>
      <c r="P797" s="39">
        <v>7116.7999999999993</v>
      </c>
      <c r="Q797" s="34" t="s">
        <v>410</v>
      </c>
      <c r="R797" s="34" t="s">
        <v>26</v>
      </c>
      <c r="S797" s="11" t="s">
        <v>4120</v>
      </c>
    </row>
    <row r="798" spans="1:19" x14ac:dyDescent="0.2">
      <c r="A798" s="33">
        <v>43647</v>
      </c>
      <c r="B798" s="34">
        <v>110</v>
      </c>
      <c r="C798" s="35" t="s">
        <v>591</v>
      </c>
      <c r="D798" s="34" t="str">
        <f>VLOOKUP(C798,'PUR-PARTY MASTER'!$B$4:$E$2000,2,FALSE)</f>
        <v>27AAACI6297A1ZN</v>
      </c>
      <c r="E798" s="34" t="s">
        <v>22</v>
      </c>
      <c r="F798" s="136" t="s">
        <v>807</v>
      </c>
      <c r="G798" s="37">
        <v>43658</v>
      </c>
      <c r="H798" s="34">
        <v>38140010</v>
      </c>
      <c r="I798" s="39">
        <f>VLOOKUP(H798,'PUR-HSN MASTER'!$A$4:$E$5000,5,FALSE)</f>
        <v>18</v>
      </c>
      <c r="J798" s="38">
        <v>36</v>
      </c>
      <c r="K798" s="40">
        <v>28260</v>
      </c>
      <c r="L798" s="39">
        <v>0</v>
      </c>
      <c r="M798" s="39">
        <v>2543.4</v>
      </c>
      <c r="N798" s="39">
        <v>2543.4</v>
      </c>
      <c r="O798" s="39">
        <v>0</v>
      </c>
      <c r="P798" s="39">
        <v>33347</v>
      </c>
      <c r="Q798" s="34" t="s">
        <v>410</v>
      </c>
      <c r="R798" s="34" t="s">
        <v>26</v>
      </c>
      <c r="S798" s="11" t="s">
        <v>4120</v>
      </c>
    </row>
    <row r="799" spans="1:19" x14ac:dyDescent="0.2">
      <c r="A799" s="33">
        <v>43647</v>
      </c>
      <c r="B799" s="34"/>
      <c r="C799" s="35" t="s">
        <v>591</v>
      </c>
      <c r="D799" s="34" t="str">
        <f>VLOOKUP(C799,'PUR-PARTY MASTER'!$B$4:$E$2000,2,FALSE)</f>
        <v>27AAACI6297A1ZN</v>
      </c>
      <c r="E799" s="34" t="s">
        <v>22</v>
      </c>
      <c r="F799" s="136" t="s">
        <v>807</v>
      </c>
      <c r="G799" s="37">
        <v>43658</v>
      </c>
      <c r="H799" s="34">
        <v>38249090</v>
      </c>
      <c r="I799" s="39">
        <f>VLOOKUP(H799,'PUR-HSN MASTER'!$A$4:$E$5000,5,FALSE)</f>
        <v>18</v>
      </c>
      <c r="J799" s="38">
        <v>20</v>
      </c>
      <c r="K799" s="40">
        <v>14400</v>
      </c>
      <c r="L799" s="39">
        <v>0</v>
      </c>
      <c r="M799" s="39">
        <v>1296</v>
      </c>
      <c r="N799" s="39">
        <v>1296</v>
      </c>
      <c r="O799" s="39">
        <v>0</v>
      </c>
      <c r="P799" s="39">
        <v>16992</v>
      </c>
      <c r="Q799" s="34" t="s">
        <v>410</v>
      </c>
      <c r="R799" s="34" t="s">
        <v>26</v>
      </c>
      <c r="S799" s="11" t="s">
        <v>4120</v>
      </c>
    </row>
    <row r="800" spans="1:19" x14ac:dyDescent="0.2">
      <c r="A800" s="33">
        <v>43647</v>
      </c>
      <c r="B800" s="34">
        <v>111</v>
      </c>
      <c r="C800" s="35" t="s">
        <v>479</v>
      </c>
      <c r="D800" s="34" t="str">
        <f>VLOOKUP(C800,'PUR-PARTY MASTER'!$B$4:$E$2000,2,FALSE)</f>
        <v>27AAMFC2124K1ZG</v>
      </c>
      <c r="E800" s="34" t="s">
        <v>22</v>
      </c>
      <c r="F800" s="134">
        <v>1140</v>
      </c>
      <c r="G800" s="37">
        <v>43659</v>
      </c>
      <c r="H800" s="34">
        <v>4811</v>
      </c>
      <c r="I800" s="39">
        <f>VLOOKUP(H800,'PUR-HSN MASTER'!$A$4:$E$5000,5,FALSE)</f>
        <v>18</v>
      </c>
      <c r="J800" s="38">
        <v>200</v>
      </c>
      <c r="K800" s="40">
        <v>270</v>
      </c>
      <c r="L800" s="39">
        <v>0</v>
      </c>
      <c r="M800" s="39">
        <v>24.3</v>
      </c>
      <c r="N800" s="39">
        <v>24.3</v>
      </c>
      <c r="O800" s="39">
        <v>0</v>
      </c>
      <c r="P800" s="39">
        <v>318.60000000000002</v>
      </c>
      <c r="Q800" s="34" t="s">
        <v>410</v>
      </c>
      <c r="R800" s="34" t="s">
        <v>26</v>
      </c>
      <c r="S800" s="11" t="s">
        <v>4120</v>
      </c>
    </row>
    <row r="801" spans="1:19" x14ac:dyDescent="0.2">
      <c r="A801" s="33">
        <v>43647</v>
      </c>
      <c r="B801" s="34"/>
      <c r="C801" s="35" t="s">
        <v>479</v>
      </c>
      <c r="D801" s="34" t="str">
        <f>VLOOKUP(C801,'PUR-PARTY MASTER'!$B$4:$E$2000,2,FALSE)</f>
        <v>27AAMFC2124K1ZG</v>
      </c>
      <c r="E801" s="34" t="s">
        <v>22</v>
      </c>
      <c r="F801" s="134">
        <v>1140</v>
      </c>
      <c r="G801" s="37">
        <v>43659</v>
      </c>
      <c r="H801" s="34">
        <v>3919</v>
      </c>
      <c r="I801" s="39">
        <f>VLOOKUP(H801,'PUR-HSN MASTER'!$A$4:$E$5000,5,FALSE)</f>
        <v>18</v>
      </c>
      <c r="J801" s="38">
        <v>25</v>
      </c>
      <c r="K801" s="40">
        <v>7875</v>
      </c>
      <c r="L801" s="39">
        <v>0</v>
      </c>
      <c r="M801" s="39">
        <v>708.75</v>
      </c>
      <c r="N801" s="39">
        <v>708.75</v>
      </c>
      <c r="O801" s="39">
        <v>0</v>
      </c>
      <c r="P801" s="39">
        <v>9292.5</v>
      </c>
      <c r="Q801" s="34" t="s">
        <v>410</v>
      </c>
      <c r="R801" s="34" t="s">
        <v>26</v>
      </c>
      <c r="S801" s="11" t="s">
        <v>4120</v>
      </c>
    </row>
    <row r="802" spans="1:19" x14ac:dyDescent="0.2">
      <c r="A802" s="33">
        <v>43647</v>
      </c>
      <c r="B802" s="34">
        <v>112</v>
      </c>
      <c r="C802" s="35" t="s">
        <v>495</v>
      </c>
      <c r="D802" s="34" t="str">
        <f>VLOOKUP(C802,'PUR-PARTY MASTER'!$B$4:$E$2000,2,FALSE)</f>
        <v>27AAACH4211R1ZF</v>
      </c>
      <c r="E802" s="34" t="s">
        <v>22</v>
      </c>
      <c r="F802" s="134">
        <v>5510051510</v>
      </c>
      <c r="G802" s="37">
        <v>43659</v>
      </c>
      <c r="H802" s="34">
        <v>85129000</v>
      </c>
      <c r="I802" s="39">
        <f>VLOOKUP(H802,'PUR-HSN MASTER'!$A$4:$E$5000,5,FALSE)</f>
        <v>18</v>
      </c>
      <c r="J802" s="38">
        <v>2640</v>
      </c>
      <c r="K802" s="40">
        <v>29198.400000000001</v>
      </c>
      <c r="L802" s="39">
        <v>0</v>
      </c>
      <c r="M802" s="39">
        <v>2627.8560000000002</v>
      </c>
      <c r="N802" s="39">
        <v>2627.8560000000002</v>
      </c>
      <c r="O802" s="39">
        <v>0</v>
      </c>
      <c r="P802" s="39">
        <v>34454.122000000003</v>
      </c>
      <c r="Q802" s="34" t="s">
        <v>410</v>
      </c>
      <c r="R802" s="34" t="s">
        <v>26</v>
      </c>
      <c r="S802" s="11" t="s">
        <v>4120</v>
      </c>
    </row>
    <row r="803" spans="1:19" x14ac:dyDescent="0.2">
      <c r="A803" s="33">
        <v>43647</v>
      </c>
      <c r="B803" s="34">
        <v>113</v>
      </c>
      <c r="C803" s="35" t="s">
        <v>471</v>
      </c>
      <c r="D803" s="34" t="str">
        <f>VLOOKUP(C803,'PUR-PARTY MASTER'!$B$4:$E$2000,2,FALSE)</f>
        <v>27AAECM8871A1ZF</v>
      </c>
      <c r="E803" s="34" t="s">
        <v>22</v>
      </c>
      <c r="F803" s="134">
        <v>192003561</v>
      </c>
      <c r="G803" s="37">
        <v>43659</v>
      </c>
      <c r="H803" s="34">
        <v>87089900</v>
      </c>
      <c r="I803" s="39">
        <f>VLOOKUP(H803,'PUR-HSN MASTER'!$A$4:$E$5000,5,FALSE)</f>
        <v>28</v>
      </c>
      <c r="J803" s="38">
        <v>12</v>
      </c>
      <c r="K803" s="40">
        <v>17483.52</v>
      </c>
      <c r="L803" s="39">
        <v>0</v>
      </c>
      <c r="M803" s="39">
        <v>2447.6928000000003</v>
      </c>
      <c r="N803" s="39">
        <v>2447.6928000000003</v>
      </c>
      <c r="O803" s="39">
        <v>0</v>
      </c>
      <c r="P803" s="39">
        <v>22378.895600000003</v>
      </c>
      <c r="Q803" s="34" t="s">
        <v>410</v>
      </c>
      <c r="R803" s="34" t="s">
        <v>26</v>
      </c>
      <c r="S803" s="11" t="s">
        <v>4120</v>
      </c>
    </row>
    <row r="804" spans="1:19" x14ac:dyDescent="0.2">
      <c r="A804" s="33">
        <v>43647</v>
      </c>
      <c r="B804" s="34">
        <v>114</v>
      </c>
      <c r="C804" s="35" t="s">
        <v>471</v>
      </c>
      <c r="D804" s="34" t="str">
        <f>VLOOKUP(C804,'PUR-PARTY MASTER'!$B$4:$E$2000,2,FALSE)</f>
        <v>27AAECM8871A1ZF</v>
      </c>
      <c r="E804" s="34" t="s">
        <v>22</v>
      </c>
      <c r="F804" s="134">
        <v>192003562</v>
      </c>
      <c r="G804" s="37">
        <v>43659</v>
      </c>
      <c r="H804" s="34">
        <v>87089900</v>
      </c>
      <c r="I804" s="39">
        <f>VLOOKUP(H804,'PUR-HSN MASTER'!$A$4:$E$5000,5,FALSE)</f>
        <v>28</v>
      </c>
      <c r="J804" s="38">
        <v>12</v>
      </c>
      <c r="K804" s="40">
        <v>17483.52</v>
      </c>
      <c r="L804" s="39">
        <v>0</v>
      </c>
      <c r="M804" s="39">
        <v>2447.6928000000003</v>
      </c>
      <c r="N804" s="39">
        <v>2447.6928000000003</v>
      </c>
      <c r="O804" s="39">
        <v>0</v>
      </c>
      <c r="P804" s="39">
        <v>22378.895600000003</v>
      </c>
      <c r="Q804" s="34" t="s">
        <v>410</v>
      </c>
      <c r="R804" s="34" t="s">
        <v>26</v>
      </c>
      <c r="S804" s="11" t="s">
        <v>4120</v>
      </c>
    </row>
    <row r="805" spans="1:19" x14ac:dyDescent="0.2">
      <c r="A805" s="33">
        <v>43647</v>
      </c>
      <c r="B805" s="34">
        <v>115</v>
      </c>
      <c r="C805" s="35" t="s">
        <v>554</v>
      </c>
      <c r="D805" s="34" t="str">
        <f>VLOOKUP(C805,'PUR-PARTY MASTER'!$B$4:$E$2000,2,FALSE)</f>
        <v>27AACFA1881H1ZL</v>
      </c>
      <c r="E805" s="34" t="s">
        <v>22</v>
      </c>
      <c r="F805" s="134">
        <v>4417</v>
      </c>
      <c r="G805" s="37">
        <v>43659</v>
      </c>
      <c r="H805" s="34">
        <v>87141900</v>
      </c>
      <c r="I805" s="39">
        <f>VLOOKUP(H805,'PUR-HSN MASTER'!$A$4:$E$5000,5,FALSE)</f>
        <v>28</v>
      </c>
      <c r="J805" s="38">
        <v>2700</v>
      </c>
      <c r="K805" s="40">
        <v>7395</v>
      </c>
      <c r="L805" s="39">
        <v>0</v>
      </c>
      <c r="M805" s="39">
        <v>1035.3</v>
      </c>
      <c r="N805" s="39">
        <v>1035.3</v>
      </c>
      <c r="O805" s="39">
        <v>0</v>
      </c>
      <c r="P805" s="39">
        <v>9465.5999999999985</v>
      </c>
      <c r="Q805" s="34" t="s">
        <v>410</v>
      </c>
      <c r="R805" s="34" t="s">
        <v>26</v>
      </c>
      <c r="S805" s="11" t="s">
        <v>4120</v>
      </c>
    </row>
    <row r="806" spans="1:19" x14ac:dyDescent="0.2">
      <c r="A806" s="33">
        <v>43647</v>
      </c>
      <c r="B806" s="34">
        <v>116</v>
      </c>
      <c r="C806" s="35" t="s">
        <v>493</v>
      </c>
      <c r="D806" s="34" t="str">
        <f>VLOOKUP(C806,'PUR-PARTY MASTER'!$B$4:$E$2000,2,FALSE)</f>
        <v>27AMMPB3648M1ZO</v>
      </c>
      <c r="E806" s="34" t="s">
        <v>22</v>
      </c>
      <c r="F806" s="134">
        <v>1923</v>
      </c>
      <c r="G806" s="37">
        <v>43659</v>
      </c>
      <c r="H806" s="34">
        <v>85129000</v>
      </c>
      <c r="I806" s="39">
        <f>VLOOKUP(H806,'PUR-HSN MASTER'!$A$4:$E$5000,5,FALSE)</f>
        <v>18</v>
      </c>
      <c r="J806" s="38">
        <v>485</v>
      </c>
      <c r="K806" s="40">
        <v>11150.15</v>
      </c>
      <c r="L806" s="39">
        <v>0</v>
      </c>
      <c r="M806" s="39">
        <v>1003.5134999999999</v>
      </c>
      <c r="N806" s="39">
        <v>1003.5134999999999</v>
      </c>
      <c r="O806" s="39">
        <v>0</v>
      </c>
      <c r="P806" s="39">
        <v>13156.996999999998</v>
      </c>
      <c r="Q806" s="34" t="s">
        <v>410</v>
      </c>
      <c r="R806" s="34" t="s">
        <v>26</v>
      </c>
      <c r="S806" s="11" t="s">
        <v>4120</v>
      </c>
    </row>
    <row r="807" spans="1:19" x14ac:dyDescent="0.2">
      <c r="A807" s="33">
        <v>43647</v>
      </c>
      <c r="B807" s="34">
        <v>117</v>
      </c>
      <c r="C807" s="35" t="s">
        <v>514</v>
      </c>
      <c r="D807" s="34" t="str">
        <f>VLOOKUP(C807,'PUR-PARTY MASTER'!$B$4:$E$2000,2,FALSE)</f>
        <v>27AAACU2414K1ZF</v>
      </c>
      <c r="E807" s="34" t="s">
        <v>22</v>
      </c>
      <c r="F807" s="136" t="s">
        <v>808</v>
      </c>
      <c r="G807" s="37">
        <v>43659</v>
      </c>
      <c r="H807" s="34">
        <v>9971</v>
      </c>
      <c r="I807" s="39">
        <f>VLOOKUP(H807,'PUR-HSN MASTER'!$A$4:$E$5000,5,FALSE)</f>
        <v>18</v>
      </c>
      <c r="J807" s="38">
        <v>0</v>
      </c>
      <c r="K807" s="40">
        <v>50</v>
      </c>
      <c r="L807" s="39">
        <v>0</v>
      </c>
      <c r="M807" s="39">
        <v>4.5</v>
      </c>
      <c r="N807" s="39">
        <v>4.5</v>
      </c>
      <c r="O807" s="39">
        <v>0</v>
      </c>
      <c r="P807" s="39">
        <v>59</v>
      </c>
      <c r="Q807" s="34" t="s">
        <v>411</v>
      </c>
      <c r="R807" s="34" t="s">
        <v>26</v>
      </c>
      <c r="S807" s="11" t="s">
        <v>4120</v>
      </c>
    </row>
    <row r="808" spans="1:19" x14ac:dyDescent="0.2">
      <c r="A808" s="33">
        <v>43647</v>
      </c>
      <c r="B808" s="34">
        <v>118</v>
      </c>
      <c r="C808" s="35" t="s">
        <v>554</v>
      </c>
      <c r="D808" s="34" t="str">
        <f>VLOOKUP(C808,'PUR-PARTY MASTER'!$B$4:$E$2000,2,FALSE)</f>
        <v>27AACFA1881H1ZL</v>
      </c>
      <c r="E808" s="34" t="s">
        <v>22</v>
      </c>
      <c r="F808" s="134">
        <v>4445</v>
      </c>
      <c r="G808" s="37">
        <v>43660</v>
      </c>
      <c r="H808" s="34">
        <v>87141900</v>
      </c>
      <c r="I808" s="39">
        <f>VLOOKUP(H808,'PUR-HSN MASTER'!$A$4:$E$5000,5,FALSE)</f>
        <v>28</v>
      </c>
      <c r="J808" s="38">
        <v>3200</v>
      </c>
      <c r="K808" s="40">
        <v>8896</v>
      </c>
      <c r="L808" s="39">
        <v>0</v>
      </c>
      <c r="M808" s="39">
        <v>1245.4399999999998</v>
      </c>
      <c r="N808" s="39">
        <v>1245.4399999999998</v>
      </c>
      <c r="O808" s="39">
        <v>0</v>
      </c>
      <c r="P808" s="39">
        <v>11386.880000000001</v>
      </c>
      <c r="Q808" s="34" t="s">
        <v>410</v>
      </c>
      <c r="R808" s="34" t="s">
        <v>26</v>
      </c>
      <c r="S808" s="11" t="s">
        <v>4120</v>
      </c>
    </row>
    <row r="809" spans="1:19" x14ac:dyDescent="0.2">
      <c r="A809" s="33">
        <v>43647</v>
      </c>
      <c r="B809" s="34">
        <v>119</v>
      </c>
      <c r="C809" s="35" t="s">
        <v>493</v>
      </c>
      <c r="D809" s="34" t="str">
        <f>VLOOKUP(C809,'PUR-PARTY MASTER'!$B$4:$E$2000,2,FALSE)</f>
        <v>27AMMPB3648M1ZO</v>
      </c>
      <c r="E809" s="34" t="s">
        <v>22</v>
      </c>
      <c r="F809" s="134">
        <v>1934</v>
      </c>
      <c r="G809" s="37">
        <v>43660</v>
      </c>
      <c r="H809" s="34">
        <v>85129000</v>
      </c>
      <c r="I809" s="39">
        <f>VLOOKUP(H809,'PUR-HSN MASTER'!$A$4:$E$5000,5,FALSE)</f>
        <v>18</v>
      </c>
      <c r="J809" s="38">
        <v>1625</v>
      </c>
      <c r="K809" s="40">
        <v>37358.75</v>
      </c>
      <c r="L809" s="39">
        <v>0</v>
      </c>
      <c r="M809" s="39">
        <v>3362.2874999999999</v>
      </c>
      <c r="N809" s="39">
        <v>3362.2874999999999</v>
      </c>
      <c r="O809" s="39">
        <v>0</v>
      </c>
      <c r="P809" s="39">
        <v>44082.994999999995</v>
      </c>
      <c r="Q809" s="34" t="s">
        <v>410</v>
      </c>
      <c r="R809" s="34" t="s">
        <v>26</v>
      </c>
      <c r="S809" s="11" t="s">
        <v>4120</v>
      </c>
    </row>
    <row r="810" spans="1:19" x14ac:dyDescent="0.2">
      <c r="A810" s="33">
        <v>43647</v>
      </c>
      <c r="B810" s="34">
        <v>120</v>
      </c>
      <c r="C810" s="35" t="s">
        <v>476</v>
      </c>
      <c r="D810" s="34" t="str">
        <f>VLOOKUP(C810,'PUR-PARTY MASTER'!$B$4:$E$2000,2,FALSE)</f>
        <v>27AABCO8467D1ZA</v>
      </c>
      <c r="E810" s="34" t="s">
        <v>22</v>
      </c>
      <c r="F810" s="136" t="s">
        <v>809</v>
      </c>
      <c r="G810" s="37">
        <v>43661</v>
      </c>
      <c r="H810" s="34" t="s">
        <v>732</v>
      </c>
      <c r="I810" s="39">
        <f>VLOOKUP(H810,'PUR-HSN MASTER'!$A$4:$E$5000,5,FALSE)</f>
        <v>18</v>
      </c>
      <c r="J810" s="38">
        <v>0</v>
      </c>
      <c r="K810" s="40">
        <v>40650</v>
      </c>
      <c r="L810" s="39">
        <v>0</v>
      </c>
      <c r="M810" s="39">
        <v>3658.5</v>
      </c>
      <c r="N810" s="39">
        <v>3658.5</v>
      </c>
      <c r="O810" s="39">
        <v>0</v>
      </c>
      <c r="P810" s="39">
        <v>47967</v>
      </c>
      <c r="Q810" s="34" t="s">
        <v>410</v>
      </c>
      <c r="R810" s="34" t="s">
        <v>26</v>
      </c>
      <c r="S810" s="11" t="s">
        <v>4120</v>
      </c>
    </row>
    <row r="811" spans="1:19" x14ac:dyDescent="0.2">
      <c r="A811" s="33">
        <v>43647</v>
      </c>
      <c r="B811" s="34">
        <v>121</v>
      </c>
      <c r="C811" s="35" t="s">
        <v>613</v>
      </c>
      <c r="D811" s="34" t="str">
        <f>VLOOKUP(C811,'PUR-PARTY MASTER'!$B$4:$E$2000,2,FALSE)</f>
        <v>27ACFPY4813J1Z6</v>
      </c>
      <c r="E811" s="34" t="s">
        <v>22</v>
      </c>
      <c r="F811" s="134">
        <v>19618</v>
      </c>
      <c r="G811" s="37">
        <v>43661</v>
      </c>
      <c r="H811" s="34">
        <v>39201091</v>
      </c>
      <c r="I811" s="39">
        <f>VLOOKUP(H811,'PUR-HSN MASTER'!$A$4:$E$5000,5,FALSE)</f>
        <v>18</v>
      </c>
      <c r="J811" s="38">
        <v>15</v>
      </c>
      <c r="K811" s="40">
        <v>31500</v>
      </c>
      <c r="L811" s="39">
        <v>0</v>
      </c>
      <c r="M811" s="39">
        <v>2835</v>
      </c>
      <c r="N811" s="39">
        <v>2835</v>
      </c>
      <c r="O811" s="39">
        <v>0</v>
      </c>
      <c r="P811" s="39">
        <v>37170</v>
      </c>
      <c r="Q811" s="34" t="s">
        <v>410</v>
      </c>
      <c r="R811" s="34" t="s">
        <v>26</v>
      </c>
      <c r="S811" s="11" t="s">
        <v>4120</v>
      </c>
    </row>
    <row r="812" spans="1:19" x14ac:dyDescent="0.2">
      <c r="A812" s="33">
        <v>43647</v>
      </c>
      <c r="B812" s="34">
        <v>122</v>
      </c>
      <c r="C812" s="35" t="s">
        <v>527</v>
      </c>
      <c r="D812" s="34" t="str">
        <f>VLOOKUP(C812,'PUR-PARTY MASTER'!$B$4:$E$2000,2,FALSE)</f>
        <v>27AAACM2185R1ZX</v>
      </c>
      <c r="E812" s="34" t="s">
        <v>22</v>
      </c>
      <c r="F812" s="134">
        <v>9330004013</v>
      </c>
      <c r="G812" s="37">
        <v>43659</v>
      </c>
      <c r="H812" s="34">
        <v>32082090</v>
      </c>
      <c r="I812" s="39">
        <f>VLOOKUP(H812,'PUR-HSN MASTER'!$A$4:$E$5000,5,FALSE)</f>
        <v>18</v>
      </c>
      <c r="J812" s="38">
        <v>154</v>
      </c>
      <c r="K812" s="40">
        <v>55058</v>
      </c>
      <c r="L812" s="39">
        <v>0</v>
      </c>
      <c r="M812" s="39">
        <v>4955.22</v>
      </c>
      <c r="N812" s="39">
        <v>4955.22</v>
      </c>
      <c r="O812" s="39">
        <v>0</v>
      </c>
      <c r="P812" s="39">
        <v>64968.060000000005</v>
      </c>
      <c r="Q812" s="34" t="s">
        <v>410</v>
      </c>
      <c r="R812" s="34" t="s">
        <v>26</v>
      </c>
      <c r="S812" s="11" t="s">
        <v>4120</v>
      </c>
    </row>
    <row r="813" spans="1:19" x14ac:dyDescent="0.2">
      <c r="A813" s="33">
        <v>43647</v>
      </c>
      <c r="B813" s="34"/>
      <c r="C813" s="35" t="s">
        <v>527</v>
      </c>
      <c r="D813" s="34" t="str">
        <f>VLOOKUP(C813,'PUR-PARTY MASTER'!$B$4:$E$2000,2,FALSE)</f>
        <v>27AAACM2185R1ZX</v>
      </c>
      <c r="E813" s="34" t="s">
        <v>22</v>
      </c>
      <c r="F813" s="134">
        <v>9330004013</v>
      </c>
      <c r="G813" s="37">
        <v>43659</v>
      </c>
      <c r="H813" s="34">
        <v>38140010</v>
      </c>
      <c r="I813" s="39">
        <f>VLOOKUP(H813,'PUR-HSN MASTER'!$A$4:$E$5000,5,FALSE)</f>
        <v>18</v>
      </c>
      <c r="J813" s="38">
        <v>60</v>
      </c>
      <c r="K813" s="40">
        <v>9183</v>
      </c>
      <c r="L813" s="39">
        <v>0</v>
      </c>
      <c r="M813" s="39">
        <v>826.47</v>
      </c>
      <c r="N813" s="39">
        <v>826.47</v>
      </c>
      <c r="O813" s="39">
        <v>0</v>
      </c>
      <c r="P813" s="39">
        <v>10835.939999999999</v>
      </c>
      <c r="Q813" s="34" t="s">
        <v>410</v>
      </c>
      <c r="R813" s="34" t="s">
        <v>26</v>
      </c>
      <c r="S813" s="11" t="s">
        <v>4120</v>
      </c>
    </row>
    <row r="814" spans="1:19" x14ac:dyDescent="0.2">
      <c r="A814" s="33">
        <v>43647</v>
      </c>
      <c r="B814" s="34">
        <v>123</v>
      </c>
      <c r="C814" s="35" t="s">
        <v>554</v>
      </c>
      <c r="D814" s="34" t="str">
        <f>VLOOKUP(C814,'PUR-PARTY MASTER'!$B$4:$E$2000,2,FALSE)</f>
        <v>27AACFA1881H1ZL</v>
      </c>
      <c r="E814" s="34" t="s">
        <v>22</v>
      </c>
      <c r="F814" s="134">
        <v>4489</v>
      </c>
      <c r="G814" s="37">
        <v>43661</v>
      </c>
      <c r="H814" s="34">
        <v>87141900</v>
      </c>
      <c r="I814" s="39">
        <f>VLOOKUP(H814,'PUR-HSN MASTER'!$A$4:$E$5000,5,FALSE)</f>
        <v>28</v>
      </c>
      <c r="J814" s="38">
        <v>3900</v>
      </c>
      <c r="K814" s="40">
        <v>11027</v>
      </c>
      <c r="L814" s="39">
        <v>0</v>
      </c>
      <c r="M814" s="39">
        <v>1543.78</v>
      </c>
      <c r="N814" s="39">
        <v>1543.78</v>
      </c>
      <c r="O814" s="39">
        <v>0</v>
      </c>
      <c r="P814" s="39">
        <v>14114.560000000001</v>
      </c>
      <c r="Q814" s="34" t="s">
        <v>410</v>
      </c>
      <c r="R814" s="34" t="s">
        <v>26</v>
      </c>
      <c r="S814" s="11" t="s">
        <v>4120</v>
      </c>
    </row>
    <row r="815" spans="1:19" x14ac:dyDescent="0.2">
      <c r="A815" s="33">
        <v>43647</v>
      </c>
      <c r="B815" s="34">
        <v>124</v>
      </c>
      <c r="C815" s="35" t="s">
        <v>471</v>
      </c>
      <c r="D815" s="34" t="str">
        <f>VLOOKUP(C815,'PUR-PARTY MASTER'!$B$4:$E$2000,2,FALSE)</f>
        <v>27AAECM8871A1ZF</v>
      </c>
      <c r="E815" s="34" t="s">
        <v>22</v>
      </c>
      <c r="F815" s="134">
        <v>192003604</v>
      </c>
      <c r="G815" s="37">
        <v>43661</v>
      </c>
      <c r="H815" s="34">
        <v>87089900</v>
      </c>
      <c r="I815" s="39">
        <f>VLOOKUP(H815,'PUR-HSN MASTER'!$A$4:$E$5000,5,FALSE)</f>
        <v>28</v>
      </c>
      <c r="J815" s="38">
        <v>12</v>
      </c>
      <c r="K815" s="40">
        <v>17483.52</v>
      </c>
      <c r="L815" s="39">
        <v>0</v>
      </c>
      <c r="M815" s="39">
        <v>2447.6928000000003</v>
      </c>
      <c r="N815" s="39">
        <v>2447.6928000000003</v>
      </c>
      <c r="O815" s="39">
        <v>0</v>
      </c>
      <c r="P815" s="39">
        <v>22378.895600000003</v>
      </c>
      <c r="Q815" s="34" t="s">
        <v>410</v>
      </c>
      <c r="R815" s="34" t="s">
        <v>26</v>
      </c>
      <c r="S815" s="11" t="s">
        <v>4120</v>
      </c>
    </row>
    <row r="816" spans="1:19" x14ac:dyDescent="0.2">
      <c r="A816" s="33">
        <v>43647</v>
      </c>
      <c r="B816" s="34">
        <v>125</v>
      </c>
      <c r="C816" s="35" t="s">
        <v>471</v>
      </c>
      <c r="D816" s="34" t="str">
        <f>VLOOKUP(C816,'PUR-PARTY MASTER'!$B$4:$E$2000,2,FALSE)</f>
        <v>27AAECM8871A1ZF</v>
      </c>
      <c r="E816" s="34" t="s">
        <v>22</v>
      </c>
      <c r="F816" s="134">
        <v>192003609</v>
      </c>
      <c r="G816" s="37">
        <v>43661</v>
      </c>
      <c r="H816" s="34">
        <v>87089900</v>
      </c>
      <c r="I816" s="39">
        <f>VLOOKUP(H816,'PUR-HSN MASTER'!$A$4:$E$5000,5,FALSE)</f>
        <v>28</v>
      </c>
      <c r="J816" s="38">
        <v>12</v>
      </c>
      <c r="K816" s="40">
        <v>17483.52</v>
      </c>
      <c r="L816" s="39">
        <v>0</v>
      </c>
      <c r="M816" s="39">
        <v>2447.6928000000003</v>
      </c>
      <c r="N816" s="39">
        <v>2447.6928000000003</v>
      </c>
      <c r="O816" s="39">
        <v>0</v>
      </c>
      <c r="P816" s="39">
        <v>22378.895600000003</v>
      </c>
      <c r="Q816" s="34" t="s">
        <v>410</v>
      </c>
      <c r="R816" s="34" t="s">
        <v>26</v>
      </c>
      <c r="S816" s="11" t="s">
        <v>4120</v>
      </c>
    </row>
    <row r="817" spans="1:19" x14ac:dyDescent="0.2">
      <c r="A817" s="33">
        <v>43647</v>
      </c>
      <c r="B817" s="34">
        <v>126</v>
      </c>
      <c r="C817" s="35" t="s">
        <v>601</v>
      </c>
      <c r="D817" s="34" t="str">
        <f>VLOOKUP(C817,'PUR-PARTY MASTER'!$B$4:$E$2000,2,FALSE)</f>
        <v>27AAZFM6461A1ZY</v>
      </c>
      <c r="E817" s="34" t="s">
        <v>22</v>
      </c>
      <c r="F817" s="134">
        <v>2816</v>
      </c>
      <c r="G817" s="37">
        <v>43661</v>
      </c>
      <c r="H817" s="34">
        <v>87082900</v>
      </c>
      <c r="I817" s="39">
        <f>VLOOKUP(H817,'PUR-HSN MASTER'!$A$4:$E$5000,5,FALSE)</f>
        <v>28</v>
      </c>
      <c r="J817" s="38">
        <v>1100</v>
      </c>
      <c r="K817" s="40">
        <v>46827</v>
      </c>
      <c r="L817" s="39">
        <v>0</v>
      </c>
      <c r="M817" s="39">
        <v>6555.78</v>
      </c>
      <c r="N817" s="39">
        <v>6555.78</v>
      </c>
      <c r="O817" s="39">
        <v>0</v>
      </c>
      <c r="P817" s="39">
        <v>59938.559999999998</v>
      </c>
      <c r="Q817" s="34" t="s">
        <v>410</v>
      </c>
      <c r="R817" s="34" t="s">
        <v>26</v>
      </c>
      <c r="S817" s="11" t="s">
        <v>4120</v>
      </c>
    </row>
    <row r="818" spans="1:19" x14ac:dyDescent="0.2">
      <c r="A818" s="33">
        <v>43647</v>
      </c>
      <c r="B818" s="34">
        <v>127</v>
      </c>
      <c r="C818" s="35" t="s">
        <v>473</v>
      </c>
      <c r="D818" s="34" t="str">
        <f>VLOOKUP(C818,'PUR-PARTY MASTER'!$B$4:$E$2000,2,FALSE)</f>
        <v>27AAACT1848E1ZH</v>
      </c>
      <c r="E818" s="34" t="s">
        <v>22</v>
      </c>
      <c r="F818" s="136" t="s">
        <v>810</v>
      </c>
      <c r="G818" s="37">
        <v>43661</v>
      </c>
      <c r="H818" s="34">
        <v>87089900</v>
      </c>
      <c r="I818" s="39">
        <f>VLOOKUP(H818,'PUR-HSN MASTER'!$A$4:$E$5000,5,FALSE)</f>
        <v>28</v>
      </c>
      <c r="J818" s="38">
        <v>44</v>
      </c>
      <c r="K818" s="40">
        <v>7053.2</v>
      </c>
      <c r="L818" s="39">
        <v>0</v>
      </c>
      <c r="M818" s="39">
        <v>986.99799999999993</v>
      </c>
      <c r="N818" s="39">
        <v>986.99799999999993</v>
      </c>
      <c r="O818" s="39">
        <v>0</v>
      </c>
      <c r="P818" s="39">
        <v>9027.1959999999999</v>
      </c>
      <c r="Q818" s="34" t="s">
        <v>410</v>
      </c>
      <c r="R818" s="34" t="s">
        <v>26</v>
      </c>
      <c r="S818" s="11" t="s">
        <v>4120</v>
      </c>
    </row>
    <row r="819" spans="1:19" x14ac:dyDescent="0.2">
      <c r="A819" s="33">
        <v>43647</v>
      </c>
      <c r="B819" s="34">
        <v>128</v>
      </c>
      <c r="C819" s="35" t="s">
        <v>473</v>
      </c>
      <c r="D819" s="34" t="str">
        <f>VLOOKUP(C819,'PUR-PARTY MASTER'!$B$4:$E$2000,2,FALSE)</f>
        <v>27AAACT1848E1ZH</v>
      </c>
      <c r="E819" s="34" t="s">
        <v>22</v>
      </c>
      <c r="F819" s="136" t="s">
        <v>811</v>
      </c>
      <c r="G819" s="37">
        <v>43661</v>
      </c>
      <c r="H819" s="34">
        <v>87089900</v>
      </c>
      <c r="I819" s="39">
        <f>VLOOKUP(H819,'PUR-HSN MASTER'!$A$4:$E$5000,5,FALSE)</f>
        <v>28</v>
      </c>
      <c r="J819" s="38">
        <v>168</v>
      </c>
      <c r="K819" s="40">
        <v>10586.66</v>
      </c>
      <c r="L819" s="39">
        <v>0</v>
      </c>
      <c r="M819" s="39">
        <v>1483.0023999999999</v>
      </c>
      <c r="N819" s="39">
        <v>1483.0023999999999</v>
      </c>
      <c r="O819" s="39">
        <v>0</v>
      </c>
      <c r="P819" s="39">
        <v>13552.664799999999</v>
      </c>
      <c r="Q819" s="34" t="s">
        <v>410</v>
      </c>
      <c r="R819" s="34" t="s">
        <v>26</v>
      </c>
      <c r="S819" s="11" t="s">
        <v>4120</v>
      </c>
    </row>
    <row r="820" spans="1:19" x14ac:dyDescent="0.2">
      <c r="A820" s="33">
        <v>43647</v>
      </c>
      <c r="B820" s="34">
        <v>129</v>
      </c>
      <c r="C820" s="35" t="s">
        <v>554</v>
      </c>
      <c r="D820" s="34" t="str">
        <f>VLOOKUP(C820,'PUR-PARTY MASTER'!$B$4:$E$2000,2,FALSE)</f>
        <v>27AACFA1881H1ZL</v>
      </c>
      <c r="E820" s="34" t="s">
        <v>22</v>
      </c>
      <c r="F820" s="134">
        <v>4510</v>
      </c>
      <c r="G820" s="37">
        <v>43662</v>
      </c>
      <c r="H820" s="34">
        <v>87141900</v>
      </c>
      <c r="I820" s="39">
        <f>VLOOKUP(H820,'PUR-HSN MASTER'!$A$4:$E$5000,5,FALSE)</f>
        <v>28</v>
      </c>
      <c r="J820" s="38">
        <v>1000</v>
      </c>
      <c r="K820" s="40">
        <v>2780</v>
      </c>
      <c r="L820" s="39">
        <v>0</v>
      </c>
      <c r="M820" s="39">
        <v>389.2</v>
      </c>
      <c r="N820" s="39">
        <v>389.2</v>
      </c>
      <c r="O820" s="39">
        <v>0</v>
      </c>
      <c r="P820" s="39">
        <v>3558.3999999999996</v>
      </c>
      <c r="Q820" s="34" t="s">
        <v>410</v>
      </c>
      <c r="R820" s="34" t="s">
        <v>26</v>
      </c>
      <c r="S820" s="11" t="s">
        <v>4120</v>
      </c>
    </row>
    <row r="821" spans="1:19" x14ac:dyDescent="0.2">
      <c r="A821" s="33">
        <v>43647</v>
      </c>
      <c r="B821" s="34">
        <v>130</v>
      </c>
      <c r="C821" s="35" t="s">
        <v>554</v>
      </c>
      <c r="D821" s="34" t="str">
        <f>VLOOKUP(C821,'PUR-PARTY MASTER'!$B$4:$E$2000,2,FALSE)</f>
        <v>27AACFA1881H1ZL</v>
      </c>
      <c r="E821" s="34" t="s">
        <v>22</v>
      </c>
      <c r="F821" s="134">
        <v>4559</v>
      </c>
      <c r="G821" s="37">
        <v>43662</v>
      </c>
      <c r="H821" s="34">
        <v>87141900</v>
      </c>
      <c r="I821" s="39">
        <f>VLOOKUP(H821,'PUR-HSN MASTER'!$A$4:$E$5000,5,FALSE)</f>
        <v>28</v>
      </c>
      <c r="J821" s="38">
        <v>2840</v>
      </c>
      <c r="K821" s="40">
        <v>7880.4</v>
      </c>
      <c r="L821" s="39">
        <v>0</v>
      </c>
      <c r="M821" s="39">
        <v>1103.2560000000001</v>
      </c>
      <c r="N821" s="39">
        <v>1103.2560000000001</v>
      </c>
      <c r="O821" s="39">
        <v>0</v>
      </c>
      <c r="P821" s="39">
        <v>10086.921999999999</v>
      </c>
      <c r="Q821" s="34" t="s">
        <v>410</v>
      </c>
      <c r="R821" s="34" t="s">
        <v>26</v>
      </c>
      <c r="S821" s="11" t="s">
        <v>4120</v>
      </c>
    </row>
    <row r="822" spans="1:19" x14ac:dyDescent="0.2">
      <c r="A822" s="33">
        <v>43647</v>
      </c>
      <c r="B822" s="34">
        <v>131</v>
      </c>
      <c r="C822" s="35" t="s">
        <v>495</v>
      </c>
      <c r="D822" s="34" t="str">
        <f>VLOOKUP(C822,'PUR-PARTY MASTER'!$B$4:$E$2000,2,FALSE)</f>
        <v>27AAACH4211R1ZF</v>
      </c>
      <c r="E822" s="34" t="s">
        <v>22</v>
      </c>
      <c r="F822" s="134">
        <v>5510051662</v>
      </c>
      <c r="G822" s="37">
        <v>43661</v>
      </c>
      <c r="H822" s="34">
        <v>85129000</v>
      </c>
      <c r="I822" s="39">
        <f>VLOOKUP(H822,'PUR-HSN MASTER'!$A$4:$E$5000,5,FALSE)</f>
        <v>18</v>
      </c>
      <c r="J822" s="38">
        <v>2880</v>
      </c>
      <c r="K822" s="40">
        <v>31852.799999999999</v>
      </c>
      <c r="L822" s="39">
        <v>0</v>
      </c>
      <c r="M822" s="39">
        <v>2866.7620000000006</v>
      </c>
      <c r="N822" s="39">
        <v>2866.7620000000006</v>
      </c>
      <c r="O822" s="39">
        <v>0</v>
      </c>
      <c r="P822" s="39">
        <v>37586.324000000001</v>
      </c>
      <c r="Q822" s="34" t="s">
        <v>410</v>
      </c>
      <c r="R822" s="34" t="s">
        <v>26</v>
      </c>
      <c r="S822" s="11" t="s">
        <v>4120</v>
      </c>
    </row>
    <row r="823" spans="1:19" x14ac:dyDescent="0.2">
      <c r="A823" s="33">
        <v>43647</v>
      </c>
      <c r="B823" s="34">
        <v>132</v>
      </c>
      <c r="C823" s="35" t="s">
        <v>495</v>
      </c>
      <c r="D823" s="34" t="str">
        <f>VLOOKUP(C823,'PUR-PARTY MASTER'!$B$4:$E$2000,2,FALSE)</f>
        <v>27AAACH4211R1ZF</v>
      </c>
      <c r="E823" s="34" t="s">
        <v>22</v>
      </c>
      <c r="F823" s="134">
        <v>5510051791</v>
      </c>
      <c r="G823" s="37">
        <v>43661</v>
      </c>
      <c r="H823" s="34">
        <v>85129000</v>
      </c>
      <c r="I823" s="39">
        <f>VLOOKUP(H823,'PUR-HSN MASTER'!$A$4:$E$5000,5,FALSE)</f>
        <v>18</v>
      </c>
      <c r="J823" s="38">
        <v>2400</v>
      </c>
      <c r="K823" s="40">
        <v>26544</v>
      </c>
      <c r="L823" s="39">
        <v>0</v>
      </c>
      <c r="M823" s="39">
        <v>2388.96</v>
      </c>
      <c r="N823" s="39">
        <v>2388.96</v>
      </c>
      <c r="O823" s="39">
        <v>0</v>
      </c>
      <c r="P823" s="39">
        <v>31321.919999999998</v>
      </c>
      <c r="Q823" s="34" t="s">
        <v>410</v>
      </c>
      <c r="R823" s="34" t="s">
        <v>26</v>
      </c>
      <c r="S823" s="11" t="s">
        <v>4120</v>
      </c>
    </row>
    <row r="824" spans="1:19" x14ac:dyDescent="0.2">
      <c r="A824" s="33">
        <v>43647</v>
      </c>
      <c r="B824" s="34">
        <v>133</v>
      </c>
      <c r="C824" s="35" t="s">
        <v>471</v>
      </c>
      <c r="D824" s="34" t="str">
        <f>VLOOKUP(C824,'PUR-PARTY MASTER'!$B$4:$E$2000,2,FALSE)</f>
        <v>27AAECM8871A1ZF</v>
      </c>
      <c r="E824" s="34" t="s">
        <v>22</v>
      </c>
      <c r="F824" s="134">
        <v>192003656</v>
      </c>
      <c r="G824" s="37">
        <v>43662</v>
      </c>
      <c r="H824" s="34">
        <v>87089900</v>
      </c>
      <c r="I824" s="39">
        <f>VLOOKUP(H824,'PUR-HSN MASTER'!$A$4:$E$5000,5,FALSE)</f>
        <v>28</v>
      </c>
      <c r="J824" s="38">
        <v>12</v>
      </c>
      <c r="K824" s="40">
        <v>17483.52</v>
      </c>
      <c r="L824" s="39">
        <v>0</v>
      </c>
      <c r="M824" s="39">
        <v>2447.6928000000003</v>
      </c>
      <c r="N824" s="39">
        <v>2447.6928000000003</v>
      </c>
      <c r="O824" s="39">
        <v>0</v>
      </c>
      <c r="P824" s="39">
        <v>22378.895600000003</v>
      </c>
      <c r="Q824" s="34" t="s">
        <v>410</v>
      </c>
      <c r="R824" s="34" t="s">
        <v>26</v>
      </c>
      <c r="S824" s="11" t="s">
        <v>4120</v>
      </c>
    </row>
    <row r="825" spans="1:19" x14ac:dyDescent="0.2">
      <c r="A825" s="33">
        <v>43647</v>
      </c>
      <c r="B825" s="34">
        <v>134</v>
      </c>
      <c r="C825" s="35" t="s">
        <v>471</v>
      </c>
      <c r="D825" s="34" t="str">
        <f>VLOOKUP(C825,'PUR-PARTY MASTER'!$B$4:$E$2000,2,FALSE)</f>
        <v>27AAECM8871A1ZF</v>
      </c>
      <c r="E825" s="34" t="s">
        <v>22</v>
      </c>
      <c r="F825" s="134">
        <v>192003657</v>
      </c>
      <c r="G825" s="37">
        <v>43662</v>
      </c>
      <c r="H825" s="34">
        <v>87089900</v>
      </c>
      <c r="I825" s="39">
        <f>VLOOKUP(H825,'PUR-HSN MASTER'!$A$4:$E$5000,5,FALSE)</f>
        <v>28</v>
      </c>
      <c r="J825" s="38">
        <v>12</v>
      </c>
      <c r="K825" s="40">
        <v>17483.52</v>
      </c>
      <c r="L825" s="39">
        <v>0</v>
      </c>
      <c r="M825" s="39">
        <v>2447.6928000000003</v>
      </c>
      <c r="N825" s="39">
        <v>2447.6928000000003</v>
      </c>
      <c r="O825" s="39">
        <v>0</v>
      </c>
      <c r="P825" s="39">
        <v>22378.895600000003</v>
      </c>
      <c r="Q825" s="34" t="s">
        <v>410</v>
      </c>
      <c r="R825" s="34" t="s">
        <v>26</v>
      </c>
      <c r="S825" s="11" t="s">
        <v>4120</v>
      </c>
    </row>
    <row r="826" spans="1:19" x14ac:dyDescent="0.2">
      <c r="A826" s="33">
        <v>43647</v>
      </c>
      <c r="B826" s="34">
        <v>135</v>
      </c>
      <c r="C826" s="35" t="s">
        <v>479</v>
      </c>
      <c r="D826" s="34" t="str">
        <f>VLOOKUP(C826,'PUR-PARTY MASTER'!$B$4:$E$2000,2,FALSE)</f>
        <v>27AAMFC2124K1ZG</v>
      </c>
      <c r="E826" s="34" t="s">
        <v>22</v>
      </c>
      <c r="F826" s="134">
        <v>1143</v>
      </c>
      <c r="G826" s="37">
        <v>43662</v>
      </c>
      <c r="H826" s="34">
        <v>76071994</v>
      </c>
      <c r="I826" s="39">
        <f>VLOOKUP(H826,'PUR-HSN MASTER'!$A$4:$E$5000,5,FALSE)</f>
        <v>18</v>
      </c>
      <c r="J826" s="38">
        <v>624</v>
      </c>
      <c r="K826" s="40">
        <v>5919.6</v>
      </c>
      <c r="L826" s="39">
        <v>0</v>
      </c>
      <c r="M826" s="39">
        <v>532.76400000000001</v>
      </c>
      <c r="N826" s="39">
        <v>532.76400000000001</v>
      </c>
      <c r="O826" s="39">
        <v>0</v>
      </c>
      <c r="P826" s="39">
        <v>6985.1280000000006</v>
      </c>
      <c r="Q826" s="34" t="s">
        <v>410</v>
      </c>
      <c r="R826" s="34" t="s">
        <v>26</v>
      </c>
      <c r="S826" s="11" t="s">
        <v>4120</v>
      </c>
    </row>
    <row r="827" spans="1:19" x14ac:dyDescent="0.2">
      <c r="A827" s="33">
        <v>43647</v>
      </c>
      <c r="B827" s="34"/>
      <c r="C827" s="35" t="s">
        <v>479</v>
      </c>
      <c r="D827" s="34" t="str">
        <f>VLOOKUP(C827,'PUR-PARTY MASTER'!$B$4:$E$2000,2,FALSE)</f>
        <v>27AAMFC2124K1ZG</v>
      </c>
      <c r="E827" s="34" t="s">
        <v>22</v>
      </c>
      <c r="F827" s="134">
        <v>1143</v>
      </c>
      <c r="G827" s="37">
        <v>43662</v>
      </c>
      <c r="H827" s="34">
        <v>39199090</v>
      </c>
      <c r="I827" s="39">
        <f>VLOOKUP(H827,'PUR-HSN MASTER'!$A$4:$E$5000,5,FALSE)</f>
        <v>18</v>
      </c>
      <c r="J827" s="38">
        <v>5</v>
      </c>
      <c r="K827" s="40">
        <v>1200</v>
      </c>
      <c r="L827" s="39">
        <v>0</v>
      </c>
      <c r="M827" s="39">
        <v>108</v>
      </c>
      <c r="N827" s="39">
        <v>108</v>
      </c>
      <c r="O827" s="39">
        <v>0</v>
      </c>
      <c r="P827" s="39">
        <v>1416</v>
      </c>
      <c r="Q827" s="34" t="s">
        <v>410</v>
      </c>
      <c r="R827" s="34" t="s">
        <v>26</v>
      </c>
      <c r="S827" s="11" t="s">
        <v>4120</v>
      </c>
    </row>
    <row r="828" spans="1:19" x14ac:dyDescent="0.2">
      <c r="A828" s="33">
        <v>43647</v>
      </c>
      <c r="B828" s="34">
        <v>136</v>
      </c>
      <c r="C828" s="35" t="s">
        <v>499</v>
      </c>
      <c r="D828" s="34" t="str">
        <f>VLOOKUP(C828,'PUR-PARTY MASTER'!$B$4:$E$2000,2,FALSE)</f>
        <v>27AAHFP1154B1ZN</v>
      </c>
      <c r="E828" s="34" t="s">
        <v>22</v>
      </c>
      <c r="F828" s="136" t="s">
        <v>812</v>
      </c>
      <c r="G828" s="37">
        <v>43661</v>
      </c>
      <c r="H828" s="34">
        <v>48114100</v>
      </c>
      <c r="I828" s="39">
        <f>VLOOKUP(H828,'PUR-HSN MASTER'!$A$4:$E$5000,5,FALSE)</f>
        <v>18</v>
      </c>
      <c r="J828" s="38">
        <v>144</v>
      </c>
      <c r="K828" s="40">
        <v>5184</v>
      </c>
      <c r="L828" s="39">
        <v>0</v>
      </c>
      <c r="M828" s="39">
        <v>466.56000000000006</v>
      </c>
      <c r="N828" s="39">
        <v>466.56000000000006</v>
      </c>
      <c r="O828" s="39">
        <v>0</v>
      </c>
      <c r="P828" s="39">
        <v>6117.5000000000009</v>
      </c>
      <c r="Q828" s="34" t="s">
        <v>410</v>
      </c>
      <c r="R828" s="34" t="s">
        <v>26</v>
      </c>
      <c r="S828" s="11" t="s">
        <v>4120</v>
      </c>
    </row>
    <row r="829" spans="1:19" x14ac:dyDescent="0.2">
      <c r="A829" s="33">
        <v>43647</v>
      </c>
      <c r="B829" s="34"/>
      <c r="C829" s="35" t="s">
        <v>499</v>
      </c>
      <c r="D829" s="34" t="str">
        <f>VLOOKUP(C829,'PUR-PARTY MASTER'!$B$4:$E$2000,2,FALSE)</f>
        <v>27AAHFP1154B1ZN</v>
      </c>
      <c r="E829" s="34" t="s">
        <v>22</v>
      </c>
      <c r="F829" s="136" t="s">
        <v>812</v>
      </c>
      <c r="G829" s="37">
        <v>43661</v>
      </c>
      <c r="H829" s="34">
        <v>60060000</v>
      </c>
      <c r="I829" s="39">
        <f>VLOOKUP(H829,'PUR-HSN MASTER'!$A$4:$E$5000,5,FALSE)</f>
        <v>5</v>
      </c>
      <c r="J829" s="38">
        <v>50</v>
      </c>
      <c r="K829" s="40">
        <v>1650</v>
      </c>
      <c r="L829" s="39">
        <v>0</v>
      </c>
      <c r="M829" s="39">
        <v>41.25</v>
      </c>
      <c r="N829" s="39">
        <v>41.25</v>
      </c>
      <c r="O829" s="39">
        <v>0</v>
      </c>
      <c r="P829" s="39">
        <v>1732.5</v>
      </c>
      <c r="Q829" s="34" t="s">
        <v>410</v>
      </c>
      <c r="R829" s="34" t="s">
        <v>26</v>
      </c>
      <c r="S829" s="11" t="s">
        <v>4120</v>
      </c>
    </row>
    <row r="830" spans="1:19" x14ac:dyDescent="0.2">
      <c r="A830" s="33">
        <v>43647</v>
      </c>
      <c r="B830" s="34"/>
      <c r="C830" s="35" t="s">
        <v>499</v>
      </c>
      <c r="D830" s="34" t="str">
        <f>VLOOKUP(C830,'PUR-PARTY MASTER'!$B$4:$E$2000,2,FALSE)</f>
        <v>27AAHFP1154B1ZN</v>
      </c>
      <c r="E830" s="34" t="s">
        <v>22</v>
      </c>
      <c r="F830" s="136" t="s">
        <v>812</v>
      </c>
      <c r="G830" s="37">
        <v>43661</v>
      </c>
      <c r="H830" s="34">
        <v>6116</v>
      </c>
      <c r="I830" s="39">
        <f>VLOOKUP(H830,'PUR-HSN MASTER'!$A$4:$E$5000,5,FALSE)</f>
        <v>5</v>
      </c>
      <c r="J830" s="38">
        <v>100</v>
      </c>
      <c r="K830" s="40">
        <v>1200</v>
      </c>
      <c r="L830" s="39">
        <v>0</v>
      </c>
      <c r="M830" s="39">
        <v>30</v>
      </c>
      <c r="N830" s="39">
        <v>30</v>
      </c>
      <c r="O830" s="39">
        <v>0</v>
      </c>
      <c r="P830" s="39">
        <v>1260</v>
      </c>
      <c r="Q830" s="34" t="s">
        <v>410</v>
      </c>
      <c r="R830" s="34" t="s">
        <v>26</v>
      </c>
      <c r="S830" s="11" t="s">
        <v>4120</v>
      </c>
    </row>
    <row r="831" spans="1:19" x14ac:dyDescent="0.2">
      <c r="A831" s="33">
        <v>43647</v>
      </c>
      <c r="B831" s="34">
        <v>137</v>
      </c>
      <c r="C831" s="35" t="s">
        <v>722</v>
      </c>
      <c r="D831" s="34" t="str">
        <f>VLOOKUP(C831,'PUR-PARTY MASTER'!$B$4:$E$2000,2,FALSE)</f>
        <v>27ANLPS2142M1ZJ</v>
      </c>
      <c r="E831" s="34" t="s">
        <v>22</v>
      </c>
      <c r="F831" s="136" t="s">
        <v>813</v>
      </c>
      <c r="G831" s="37">
        <v>43655</v>
      </c>
      <c r="H831" s="34">
        <v>85051900</v>
      </c>
      <c r="I831" s="39">
        <f>VLOOKUP(H831,'PUR-HSN MASTER'!$A$4:$E$5000,5,FALSE)</f>
        <v>18</v>
      </c>
      <c r="J831" s="38">
        <v>14</v>
      </c>
      <c r="K831" s="40">
        <v>23800</v>
      </c>
      <c r="L831" s="39">
        <v>0</v>
      </c>
      <c r="M831" s="39">
        <v>2142</v>
      </c>
      <c r="N831" s="39">
        <v>2142</v>
      </c>
      <c r="O831" s="39">
        <v>0</v>
      </c>
      <c r="P831" s="39">
        <v>28084</v>
      </c>
      <c r="Q831" s="34" t="s">
        <v>410</v>
      </c>
      <c r="R831" s="34" t="s">
        <v>26</v>
      </c>
      <c r="S831" s="11" t="s">
        <v>4120</v>
      </c>
    </row>
    <row r="832" spans="1:19" x14ac:dyDescent="0.2">
      <c r="A832" s="33">
        <v>43647</v>
      </c>
      <c r="B832" s="34">
        <v>138</v>
      </c>
      <c r="C832" s="35" t="s">
        <v>634</v>
      </c>
      <c r="D832" s="34" t="str">
        <f>VLOOKUP(C832,'PUR-PARTY MASTER'!$B$4:$E$2000,2,FALSE)</f>
        <v>27AVIPS7433C1ZF</v>
      </c>
      <c r="E832" s="34" t="s">
        <v>22</v>
      </c>
      <c r="F832" s="136" t="s">
        <v>814</v>
      </c>
      <c r="G832" s="37">
        <v>43662</v>
      </c>
      <c r="H832" s="34">
        <v>85446090</v>
      </c>
      <c r="I832" s="39">
        <f>VLOOKUP(H832,'PUR-HSN MASTER'!$A$4:$E$5000,5,FALSE)</f>
        <v>18</v>
      </c>
      <c r="J832" s="38">
        <v>100</v>
      </c>
      <c r="K832" s="40">
        <v>6650</v>
      </c>
      <c r="L832" s="39">
        <v>0</v>
      </c>
      <c r="M832" s="39">
        <v>598.5</v>
      </c>
      <c r="N832" s="39">
        <v>598.5</v>
      </c>
      <c r="O832" s="39">
        <v>0</v>
      </c>
      <c r="P832" s="39">
        <v>7847</v>
      </c>
      <c r="Q832" s="34" t="s">
        <v>410</v>
      </c>
      <c r="R832" s="34" t="s">
        <v>26</v>
      </c>
      <c r="S832" s="11" t="s">
        <v>4120</v>
      </c>
    </row>
    <row r="833" spans="1:19" x14ac:dyDescent="0.2">
      <c r="A833" s="33">
        <v>43647</v>
      </c>
      <c r="B833" s="34"/>
      <c r="C833" s="35" t="s">
        <v>634</v>
      </c>
      <c r="D833" s="34" t="str">
        <f>VLOOKUP(C833,'PUR-PARTY MASTER'!$B$4:$E$2000,2,FALSE)</f>
        <v>27AVIPS7433C1ZF</v>
      </c>
      <c r="E833" s="34" t="s">
        <v>22</v>
      </c>
      <c r="F833" s="136" t="s">
        <v>814</v>
      </c>
      <c r="G833" s="37">
        <v>43662</v>
      </c>
      <c r="H833" s="34">
        <v>8546</v>
      </c>
      <c r="I833" s="39">
        <f>VLOOKUP(H833,'PUR-HSN MASTER'!$A$4:$E$5000,5,FALSE)</f>
        <v>18</v>
      </c>
      <c r="J833" s="38">
        <v>6</v>
      </c>
      <c r="K833" s="40">
        <v>60</v>
      </c>
      <c r="L833" s="39">
        <v>0</v>
      </c>
      <c r="M833" s="39">
        <v>5.3999999999999995</v>
      </c>
      <c r="N833" s="39">
        <v>5.3999999999999995</v>
      </c>
      <c r="O833" s="39">
        <v>0</v>
      </c>
      <c r="P833" s="39">
        <v>71.000000000000014</v>
      </c>
      <c r="Q833" s="34" t="s">
        <v>410</v>
      </c>
      <c r="R833" s="34" t="s">
        <v>26</v>
      </c>
      <c r="S833" s="11" t="s">
        <v>4120</v>
      </c>
    </row>
    <row r="834" spans="1:19" x14ac:dyDescent="0.2">
      <c r="A834" s="33">
        <v>43647</v>
      </c>
      <c r="B834" s="34">
        <v>139</v>
      </c>
      <c r="C834" s="35" t="s">
        <v>554</v>
      </c>
      <c r="D834" s="34" t="str">
        <f>VLOOKUP(C834,'PUR-PARTY MASTER'!$B$4:$E$2000,2,FALSE)</f>
        <v>27AACFA1881H1ZL</v>
      </c>
      <c r="E834" s="34" t="s">
        <v>22</v>
      </c>
      <c r="F834" s="134">
        <v>4573</v>
      </c>
      <c r="G834" s="37">
        <v>43663</v>
      </c>
      <c r="H834" s="34">
        <v>87141900</v>
      </c>
      <c r="I834" s="39">
        <f>VLOOKUP(H834,'PUR-HSN MASTER'!$A$4:$E$5000,5,FALSE)</f>
        <v>28</v>
      </c>
      <c r="J834" s="38">
        <v>1400</v>
      </c>
      <c r="K834" s="40">
        <v>3818</v>
      </c>
      <c r="L834" s="39">
        <v>0</v>
      </c>
      <c r="M834" s="39">
        <v>534.52</v>
      </c>
      <c r="N834" s="39">
        <v>534.52</v>
      </c>
      <c r="O834" s="39">
        <v>0</v>
      </c>
      <c r="P834" s="39">
        <v>4887.0400000000009</v>
      </c>
      <c r="Q834" s="34" t="s">
        <v>410</v>
      </c>
      <c r="R834" s="34" t="s">
        <v>26</v>
      </c>
      <c r="S834" s="11" t="s">
        <v>4120</v>
      </c>
    </row>
    <row r="835" spans="1:19" x14ac:dyDescent="0.2">
      <c r="A835" s="33">
        <v>43647</v>
      </c>
      <c r="B835" s="34">
        <v>140</v>
      </c>
      <c r="C835" s="35" t="s">
        <v>554</v>
      </c>
      <c r="D835" s="34" t="str">
        <f>VLOOKUP(C835,'PUR-PARTY MASTER'!$B$4:$E$2000,2,FALSE)</f>
        <v>27AACFA1881H1ZL</v>
      </c>
      <c r="E835" s="34" t="s">
        <v>22</v>
      </c>
      <c r="F835" s="134">
        <v>4597</v>
      </c>
      <c r="G835" s="37">
        <v>43663</v>
      </c>
      <c r="H835" s="34">
        <v>87141900</v>
      </c>
      <c r="I835" s="39">
        <f>VLOOKUP(H835,'PUR-HSN MASTER'!$A$4:$E$5000,5,FALSE)</f>
        <v>28</v>
      </c>
      <c r="J835" s="38">
        <v>2100</v>
      </c>
      <c r="K835" s="40">
        <v>5875</v>
      </c>
      <c r="L835" s="39">
        <v>0</v>
      </c>
      <c r="M835" s="39">
        <v>822.5</v>
      </c>
      <c r="N835" s="39">
        <v>822.5</v>
      </c>
      <c r="O835" s="39">
        <v>0</v>
      </c>
      <c r="P835" s="39">
        <v>7520</v>
      </c>
      <c r="Q835" s="34" t="s">
        <v>410</v>
      </c>
      <c r="R835" s="34" t="s">
        <v>26</v>
      </c>
      <c r="S835" s="11" t="s">
        <v>4120</v>
      </c>
    </row>
    <row r="836" spans="1:19" x14ac:dyDescent="0.2">
      <c r="A836" s="33">
        <v>43647</v>
      </c>
      <c r="B836" s="34">
        <v>141</v>
      </c>
      <c r="C836" s="35" t="s">
        <v>471</v>
      </c>
      <c r="D836" s="34" t="str">
        <f>VLOOKUP(C836,'PUR-PARTY MASTER'!$B$4:$E$2000,2,FALSE)</f>
        <v>27AAECM8871A1ZF</v>
      </c>
      <c r="E836" s="34" t="s">
        <v>22</v>
      </c>
      <c r="F836" s="134">
        <v>192003723</v>
      </c>
      <c r="G836" s="37">
        <v>43663</v>
      </c>
      <c r="H836" s="34">
        <v>87089900</v>
      </c>
      <c r="I836" s="39">
        <f>VLOOKUP(H836,'PUR-HSN MASTER'!$A$4:$E$5000,5,FALSE)</f>
        <v>28</v>
      </c>
      <c r="J836" s="38">
        <v>12</v>
      </c>
      <c r="K836" s="40">
        <v>17483.52</v>
      </c>
      <c r="L836" s="39">
        <v>0</v>
      </c>
      <c r="M836" s="39">
        <v>2447.6928000000003</v>
      </c>
      <c r="N836" s="39">
        <v>2447.6928000000003</v>
      </c>
      <c r="O836" s="39">
        <v>0</v>
      </c>
      <c r="P836" s="39">
        <v>22378.895600000003</v>
      </c>
      <c r="Q836" s="34" t="s">
        <v>410</v>
      </c>
      <c r="R836" s="34" t="s">
        <v>26</v>
      </c>
      <c r="S836" s="11" t="s">
        <v>4120</v>
      </c>
    </row>
    <row r="837" spans="1:19" x14ac:dyDescent="0.2">
      <c r="A837" s="33">
        <v>43647</v>
      </c>
      <c r="B837" s="34">
        <v>142</v>
      </c>
      <c r="C837" s="35" t="s">
        <v>601</v>
      </c>
      <c r="D837" s="34" t="str">
        <f>VLOOKUP(C837,'PUR-PARTY MASTER'!$B$4:$E$2000,2,FALSE)</f>
        <v>27AAZFM6461A1ZY</v>
      </c>
      <c r="E837" s="34" t="s">
        <v>22</v>
      </c>
      <c r="F837" s="134">
        <v>2890</v>
      </c>
      <c r="G837" s="37">
        <v>43663</v>
      </c>
      <c r="H837" s="34">
        <v>87082900</v>
      </c>
      <c r="I837" s="39">
        <f>VLOOKUP(H837,'PUR-HSN MASTER'!$A$4:$E$5000,5,FALSE)</f>
        <v>28</v>
      </c>
      <c r="J837" s="38">
        <v>240</v>
      </c>
      <c r="K837" s="40">
        <v>10216.799999999999</v>
      </c>
      <c r="L837" s="39">
        <v>0</v>
      </c>
      <c r="M837" s="39">
        <v>1430.3519999999999</v>
      </c>
      <c r="N837" s="39">
        <v>1430.3519999999999</v>
      </c>
      <c r="O837" s="39">
        <v>0</v>
      </c>
      <c r="P837" s="39">
        <v>13077.503999999997</v>
      </c>
      <c r="Q837" s="34" t="s">
        <v>410</v>
      </c>
      <c r="R837" s="34" t="s">
        <v>26</v>
      </c>
      <c r="S837" s="11" t="s">
        <v>4120</v>
      </c>
    </row>
    <row r="838" spans="1:19" x14ac:dyDescent="0.2">
      <c r="A838" s="33">
        <v>43647</v>
      </c>
      <c r="B838" s="34">
        <v>143</v>
      </c>
      <c r="C838" s="35" t="s">
        <v>601</v>
      </c>
      <c r="D838" s="34" t="str">
        <f>VLOOKUP(C838,'PUR-PARTY MASTER'!$B$4:$E$2000,2,FALSE)</f>
        <v>27AAZFM6461A1ZY</v>
      </c>
      <c r="E838" s="34" t="s">
        <v>22</v>
      </c>
      <c r="F838" s="134">
        <v>2891</v>
      </c>
      <c r="G838" s="37">
        <v>43663</v>
      </c>
      <c r="H838" s="34">
        <v>87082900</v>
      </c>
      <c r="I838" s="39">
        <f>VLOOKUP(H838,'PUR-HSN MASTER'!$A$4:$E$5000,5,FALSE)</f>
        <v>28</v>
      </c>
      <c r="J838" s="38">
        <v>600</v>
      </c>
      <c r="K838" s="40">
        <v>13392</v>
      </c>
      <c r="L838" s="39">
        <v>0</v>
      </c>
      <c r="M838" s="39">
        <v>1874.8799999999999</v>
      </c>
      <c r="N838" s="39">
        <v>1874.8799999999999</v>
      </c>
      <c r="O838" s="39">
        <v>0</v>
      </c>
      <c r="P838" s="39">
        <v>17141.759999999998</v>
      </c>
      <c r="Q838" s="34" t="s">
        <v>410</v>
      </c>
      <c r="R838" s="34" t="s">
        <v>26</v>
      </c>
      <c r="S838" s="11" t="s">
        <v>4120</v>
      </c>
    </row>
    <row r="839" spans="1:19" x14ac:dyDescent="0.2">
      <c r="A839" s="33">
        <v>43647</v>
      </c>
      <c r="B839" s="34">
        <v>144</v>
      </c>
      <c r="C839" s="35" t="s">
        <v>473</v>
      </c>
      <c r="D839" s="34" t="str">
        <f>VLOOKUP(C839,'PUR-PARTY MASTER'!$B$4:$E$2000,2,FALSE)</f>
        <v>27AAACT1848E1ZH</v>
      </c>
      <c r="E839" s="34" t="s">
        <v>22</v>
      </c>
      <c r="F839" s="136" t="s">
        <v>815</v>
      </c>
      <c r="G839" s="37">
        <v>43663</v>
      </c>
      <c r="H839" s="34">
        <v>87089900</v>
      </c>
      <c r="I839" s="39">
        <f>VLOOKUP(H839,'PUR-HSN MASTER'!$A$4:$E$5000,5,FALSE)</f>
        <v>28</v>
      </c>
      <c r="J839" s="38">
        <v>32</v>
      </c>
      <c r="K839" s="40">
        <v>4894.3999999999996</v>
      </c>
      <c r="L839" s="39">
        <v>0</v>
      </c>
      <c r="M839" s="39">
        <v>685.99599999999987</v>
      </c>
      <c r="N839" s="39">
        <v>685.99599999999987</v>
      </c>
      <c r="O839" s="39">
        <v>0</v>
      </c>
      <c r="P839" s="39">
        <v>6266.402</v>
      </c>
      <c r="Q839" s="34" t="s">
        <v>410</v>
      </c>
      <c r="R839" s="34" t="s">
        <v>26</v>
      </c>
      <c r="S839" s="11" t="s">
        <v>4120</v>
      </c>
    </row>
    <row r="840" spans="1:19" x14ac:dyDescent="0.2">
      <c r="A840" s="33">
        <v>43647</v>
      </c>
      <c r="B840" s="34">
        <v>145</v>
      </c>
      <c r="C840" s="35" t="s">
        <v>591</v>
      </c>
      <c r="D840" s="34" t="str">
        <f>VLOOKUP(C840,'PUR-PARTY MASTER'!$B$4:$E$2000,2,FALSE)</f>
        <v>27AAACI6297A1ZN</v>
      </c>
      <c r="E840" s="34" t="s">
        <v>22</v>
      </c>
      <c r="F840" s="136" t="s">
        <v>816</v>
      </c>
      <c r="G840" s="37">
        <v>43651</v>
      </c>
      <c r="H840" s="34">
        <v>32089029</v>
      </c>
      <c r="I840" s="39">
        <f>VLOOKUP(H840,'PUR-HSN MASTER'!$A$4:$E$5000,5,FALSE)</f>
        <v>18</v>
      </c>
      <c r="J840" s="38">
        <v>54</v>
      </c>
      <c r="K840" s="40">
        <v>40500</v>
      </c>
      <c r="L840" s="39">
        <v>0</v>
      </c>
      <c r="M840" s="39">
        <v>3645</v>
      </c>
      <c r="N840" s="39">
        <v>3645</v>
      </c>
      <c r="O840" s="39">
        <v>0</v>
      </c>
      <c r="P840" s="39">
        <v>47790</v>
      </c>
      <c r="Q840" s="34" t="s">
        <v>410</v>
      </c>
      <c r="R840" s="34" t="s">
        <v>26</v>
      </c>
      <c r="S840" s="11" t="s">
        <v>4120</v>
      </c>
    </row>
    <row r="841" spans="1:19" x14ac:dyDescent="0.2">
      <c r="A841" s="33">
        <v>43647</v>
      </c>
      <c r="B841" s="34">
        <v>146</v>
      </c>
      <c r="C841" s="35" t="s">
        <v>591</v>
      </c>
      <c r="D841" s="34" t="str">
        <f>VLOOKUP(C841,'PUR-PARTY MASTER'!$B$4:$E$2000,2,FALSE)</f>
        <v>27AAACI6297A1ZN</v>
      </c>
      <c r="E841" s="34" t="s">
        <v>22</v>
      </c>
      <c r="F841" s="136" t="s">
        <v>817</v>
      </c>
      <c r="G841" s="37">
        <v>43663</v>
      </c>
      <c r="H841" s="34">
        <v>32089029</v>
      </c>
      <c r="I841" s="39">
        <f>VLOOKUP(H841,'PUR-HSN MASTER'!$A$4:$E$5000,5,FALSE)</f>
        <v>18</v>
      </c>
      <c r="J841" s="38">
        <v>36</v>
      </c>
      <c r="K841" s="40">
        <v>27000</v>
      </c>
      <c r="L841" s="39">
        <v>0</v>
      </c>
      <c r="M841" s="39">
        <v>2430</v>
      </c>
      <c r="N841" s="39">
        <v>2430</v>
      </c>
      <c r="O841" s="39">
        <v>0</v>
      </c>
      <c r="P841" s="39">
        <v>31860</v>
      </c>
      <c r="Q841" s="34" t="s">
        <v>410</v>
      </c>
      <c r="R841" s="34" t="s">
        <v>26</v>
      </c>
      <c r="S841" s="11" t="s">
        <v>4120</v>
      </c>
    </row>
    <row r="842" spans="1:19" x14ac:dyDescent="0.2">
      <c r="A842" s="33">
        <v>43647</v>
      </c>
      <c r="B842" s="34">
        <v>147</v>
      </c>
      <c r="C842" s="35" t="s">
        <v>591</v>
      </c>
      <c r="D842" s="34" t="str">
        <f>VLOOKUP(C842,'PUR-PARTY MASTER'!$B$4:$E$2000,2,FALSE)</f>
        <v>27AAACI6297A1ZN</v>
      </c>
      <c r="E842" s="34" t="s">
        <v>22</v>
      </c>
      <c r="F842" s="136" t="s">
        <v>818</v>
      </c>
      <c r="G842" s="37">
        <v>43663</v>
      </c>
      <c r="H842" s="34">
        <v>38140010</v>
      </c>
      <c r="I842" s="39">
        <f>VLOOKUP(H842,'PUR-HSN MASTER'!$A$4:$E$5000,5,FALSE)</f>
        <v>18</v>
      </c>
      <c r="J842" s="38">
        <v>20</v>
      </c>
      <c r="K842" s="40">
        <v>3960</v>
      </c>
      <c r="L842" s="39">
        <v>0</v>
      </c>
      <c r="M842" s="39">
        <v>356.40000000000003</v>
      </c>
      <c r="N842" s="39">
        <v>356.40000000000003</v>
      </c>
      <c r="O842" s="39">
        <v>0</v>
      </c>
      <c r="P842" s="39">
        <v>4672.9999999999991</v>
      </c>
      <c r="Q842" s="34" t="s">
        <v>410</v>
      </c>
      <c r="R842" s="34" t="s">
        <v>26</v>
      </c>
      <c r="S842" s="11" t="s">
        <v>4120</v>
      </c>
    </row>
    <row r="843" spans="1:19" x14ac:dyDescent="0.2">
      <c r="A843" s="33">
        <v>43647</v>
      </c>
      <c r="B843" s="34"/>
      <c r="C843" s="35" t="s">
        <v>591</v>
      </c>
      <c r="D843" s="34" t="str">
        <f>VLOOKUP(C843,'PUR-PARTY MASTER'!$B$4:$E$2000,2,FALSE)</f>
        <v>27AAACI6297A1ZN</v>
      </c>
      <c r="E843" s="34" t="s">
        <v>22</v>
      </c>
      <c r="F843" s="136" t="s">
        <v>818</v>
      </c>
      <c r="G843" s="37">
        <v>43663</v>
      </c>
      <c r="H843" s="34">
        <v>38249090</v>
      </c>
      <c r="I843" s="39">
        <f>VLOOKUP(H843,'PUR-HSN MASTER'!$A$4:$E$5000,5,FALSE)</f>
        <v>18</v>
      </c>
      <c r="J843" s="38">
        <v>5</v>
      </c>
      <c r="K843" s="40">
        <v>4300</v>
      </c>
      <c r="L843" s="39">
        <v>0</v>
      </c>
      <c r="M843" s="39">
        <v>387</v>
      </c>
      <c r="N843" s="39">
        <v>387</v>
      </c>
      <c r="O843" s="39">
        <v>0</v>
      </c>
      <c r="P843" s="39">
        <v>5074</v>
      </c>
      <c r="Q843" s="34" t="s">
        <v>410</v>
      </c>
      <c r="R843" s="34" t="s">
        <v>26</v>
      </c>
      <c r="S843" s="11" t="s">
        <v>4120</v>
      </c>
    </row>
    <row r="844" spans="1:19" x14ac:dyDescent="0.2">
      <c r="A844" s="33">
        <v>43647</v>
      </c>
      <c r="B844" s="34">
        <v>148</v>
      </c>
      <c r="C844" s="35" t="s">
        <v>554</v>
      </c>
      <c r="D844" s="34" t="str">
        <f>VLOOKUP(C844,'PUR-PARTY MASTER'!$B$4:$E$2000,2,FALSE)</f>
        <v>27AACFA1881H1ZL</v>
      </c>
      <c r="E844" s="34" t="s">
        <v>22</v>
      </c>
      <c r="F844" s="134">
        <v>4613</v>
      </c>
      <c r="G844" s="37">
        <v>43664</v>
      </c>
      <c r="H844" s="34">
        <v>87141900</v>
      </c>
      <c r="I844" s="39">
        <f>VLOOKUP(H844,'PUR-HSN MASTER'!$A$4:$E$5000,5,FALSE)</f>
        <v>28</v>
      </c>
      <c r="J844" s="38">
        <v>1850</v>
      </c>
      <c r="K844" s="40">
        <v>5235.5</v>
      </c>
      <c r="L844" s="39">
        <v>0</v>
      </c>
      <c r="M844" s="39">
        <v>732.96999999999991</v>
      </c>
      <c r="N844" s="39">
        <v>732.96999999999991</v>
      </c>
      <c r="O844" s="39">
        <v>0</v>
      </c>
      <c r="P844" s="39">
        <v>6701.4400000000005</v>
      </c>
      <c r="Q844" s="34" t="s">
        <v>410</v>
      </c>
      <c r="R844" s="34" t="s">
        <v>26</v>
      </c>
      <c r="S844" s="11" t="s">
        <v>4120</v>
      </c>
    </row>
    <row r="845" spans="1:19" x14ac:dyDescent="0.2">
      <c r="A845" s="33">
        <v>43647</v>
      </c>
      <c r="B845" s="34">
        <v>149</v>
      </c>
      <c r="C845" s="35" t="s">
        <v>471</v>
      </c>
      <c r="D845" s="34" t="str">
        <f>VLOOKUP(C845,'PUR-PARTY MASTER'!$B$4:$E$2000,2,FALSE)</f>
        <v>27AAECM8871A1ZF</v>
      </c>
      <c r="E845" s="34" t="s">
        <v>22</v>
      </c>
      <c r="F845" s="134">
        <v>192003724</v>
      </c>
      <c r="G845" s="37">
        <v>43663</v>
      </c>
      <c r="H845" s="34">
        <v>87089900</v>
      </c>
      <c r="I845" s="39">
        <f>VLOOKUP(H845,'PUR-HSN MASTER'!$A$4:$E$5000,5,FALSE)</f>
        <v>28</v>
      </c>
      <c r="J845" s="38">
        <v>12</v>
      </c>
      <c r="K845" s="40">
        <v>17483.52</v>
      </c>
      <c r="L845" s="39">
        <v>0</v>
      </c>
      <c r="M845" s="39">
        <v>2447.6928000000003</v>
      </c>
      <c r="N845" s="39">
        <v>2447.6928000000003</v>
      </c>
      <c r="O845" s="39">
        <v>0</v>
      </c>
      <c r="P845" s="39">
        <v>22378.895600000003</v>
      </c>
      <c r="Q845" s="34" t="s">
        <v>410</v>
      </c>
      <c r="R845" s="34" t="s">
        <v>26</v>
      </c>
      <c r="S845" s="11" t="s">
        <v>4120</v>
      </c>
    </row>
    <row r="846" spans="1:19" x14ac:dyDescent="0.2">
      <c r="A846" s="33">
        <v>43647</v>
      </c>
      <c r="B846" s="34">
        <v>150</v>
      </c>
      <c r="C846" s="35" t="s">
        <v>471</v>
      </c>
      <c r="D846" s="34" t="str">
        <f>VLOOKUP(C846,'PUR-PARTY MASTER'!$B$4:$E$2000,2,FALSE)</f>
        <v>27AAECM8871A1ZF</v>
      </c>
      <c r="E846" s="34" t="s">
        <v>22</v>
      </c>
      <c r="F846" s="134">
        <v>192003731</v>
      </c>
      <c r="G846" s="37">
        <v>43663</v>
      </c>
      <c r="H846" s="34">
        <v>87089900</v>
      </c>
      <c r="I846" s="39">
        <f>VLOOKUP(H846,'PUR-HSN MASTER'!$A$4:$E$5000,5,FALSE)</f>
        <v>28</v>
      </c>
      <c r="J846" s="38">
        <v>9</v>
      </c>
      <c r="K846" s="40">
        <v>13112.64</v>
      </c>
      <c r="L846" s="39">
        <v>0</v>
      </c>
      <c r="M846" s="39">
        <v>1835.7695999999999</v>
      </c>
      <c r="N846" s="39">
        <v>1835.7695999999999</v>
      </c>
      <c r="O846" s="39">
        <v>0</v>
      </c>
      <c r="P846" s="39">
        <v>16784.179199999999</v>
      </c>
      <c r="Q846" s="34" t="s">
        <v>410</v>
      </c>
      <c r="R846" s="34" t="s">
        <v>26</v>
      </c>
      <c r="S846" s="11" t="s">
        <v>4120</v>
      </c>
    </row>
    <row r="847" spans="1:19" x14ac:dyDescent="0.2">
      <c r="A847" s="33">
        <v>43647</v>
      </c>
      <c r="B847" s="34">
        <v>151</v>
      </c>
      <c r="C847" s="35" t="s">
        <v>511</v>
      </c>
      <c r="D847" s="34" t="str">
        <f>VLOOKUP(C847,'PUR-PARTY MASTER'!$B$4:$E$2000,2,FALSE)</f>
        <v>27AABFA1883E1ZQ</v>
      </c>
      <c r="E847" s="34" t="s">
        <v>22</v>
      </c>
      <c r="F847" s="136" t="s">
        <v>819</v>
      </c>
      <c r="G847" s="37">
        <v>43664</v>
      </c>
      <c r="H847" s="34">
        <v>32082090</v>
      </c>
      <c r="I847" s="39">
        <f>VLOOKUP(H847,'PUR-HSN MASTER'!$A$4:$E$5000,5,FALSE)</f>
        <v>18</v>
      </c>
      <c r="J847" s="38">
        <v>150</v>
      </c>
      <c r="K847" s="40">
        <v>26500</v>
      </c>
      <c r="L847" s="39">
        <v>0</v>
      </c>
      <c r="M847" s="39">
        <v>2385</v>
      </c>
      <c r="N847" s="39">
        <v>2385</v>
      </c>
      <c r="O847" s="39">
        <v>0</v>
      </c>
      <c r="P847" s="39">
        <v>31270</v>
      </c>
      <c r="Q847" s="34" t="s">
        <v>410</v>
      </c>
      <c r="R847" s="34" t="s">
        <v>26</v>
      </c>
      <c r="S847" s="11" t="s">
        <v>4120</v>
      </c>
    </row>
    <row r="848" spans="1:19" x14ac:dyDescent="0.2">
      <c r="A848" s="33">
        <v>43647</v>
      </c>
      <c r="B848" s="34">
        <v>152</v>
      </c>
      <c r="C848" s="35" t="s">
        <v>511</v>
      </c>
      <c r="D848" s="34" t="str">
        <f>VLOOKUP(C848,'PUR-PARTY MASTER'!$B$4:$E$2000,2,FALSE)</f>
        <v>27AABFA1883E1ZQ</v>
      </c>
      <c r="E848" s="34" t="s">
        <v>22</v>
      </c>
      <c r="F848" s="136" t="s">
        <v>820</v>
      </c>
      <c r="G848" s="37">
        <v>43664</v>
      </c>
      <c r="H848" s="34">
        <v>32082090</v>
      </c>
      <c r="I848" s="39">
        <f>VLOOKUP(H848,'PUR-HSN MASTER'!$A$4:$E$5000,5,FALSE)</f>
        <v>18</v>
      </c>
      <c r="J848" s="38">
        <v>25</v>
      </c>
      <c r="K848" s="40">
        <v>4500</v>
      </c>
      <c r="L848" s="39">
        <v>0</v>
      </c>
      <c r="M848" s="39">
        <v>405</v>
      </c>
      <c r="N848" s="39">
        <v>405</v>
      </c>
      <c r="O848" s="39">
        <v>0</v>
      </c>
      <c r="P848" s="39">
        <v>5310</v>
      </c>
      <c r="Q848" s="34" t="s">
        <v>410</v>
      </c>
      <c r="R848" s="34" t="s">
        <v>26</v>
      </c>
      <c r="S848" s="11" t="s">
        <v>4120</v>
      </c>
    </row>
    <row r="849" spans="1:19" x14ac:dyDescent="0.2">
      <c r="A849" s="33">
        <v>43647</v>
      </c>
      <c r="B849" s="34">
        <v>153</v>
      </c>
      <c r="C849" s="35" t="s">
        <v>529</v>
      </c>
      <c r="D849" s="34" t="str">
        <f>VLOOKUP(C849,'PUR-PARTY MASTER'!$B$4:$E$2000,2,FALSE)</f>
        <v>27AAACB4599E1ZL</v>
      </c>
      <c r="E849" s="34" t="s">
        <v>22</v>
      </c>
      <c r="F849" s="136" t="s">
        <v>821</v>
      </c>
      <c r="G849" s="37">
        <v>43664</v>
      </c>
      <c r="H849" s="34">
        <v>32089090</v>
      </c>
      <c r="I849" s="39">
        <f>VLOOKUP(H849,'PUR-HSN MASTER'!$A$4:$E$5000,5,FALSE)</f>
        <v>18</v>
      </c>
      <c r="J849" s="38">
        <v>40</v>
      </c>
      <c r="K849" s="40">
        <v>9667.2000000000007</v>
      </c>
      <c r="L849" s="39">
        <v>0</v>
      </c>
      <c r="M849" s="39">
        <v>870.04800000000012</v>
      </c>
      <c r="N849" s="39">
        <v>870.04800000000012</v>
      </c>
      <c r="O849" s="39">
        <v>0</v>
      </c>
      <c r="P849" s="39">
        <v>11406.996000000003</v>
      </c>
      <c r="Q849" s="34" t="s">
        <v>410</v>
      </c>
      <c r="R849" s="34" t="s">
        <v>26</v>
      </c>
      <c r="S849" s="11" t="s">
        <v>4120</v>
      </c>
    </row>
    <row r="850" spans="1:19" x14ac:dyDescent="0.2">
      <c r="A850" s="33">
        <v>43647</v>
      </c>
      <c r="B850" s="34">
        <v>154</v>
      </c>
      <c r="C850" s="35" t="s">
        <v>529</v>
      </c>
      <c r="D850" s="34" t="str">
        <f>VLOOKUP(C850,'PUR-PARTY MASTER'!$B$4:$E$2000,2,FALSE)</f>
        <v>27AAACB4599E1ZL</v>
      </c>
      <c r="E850" s="34" t="s">
        <v>22</v>
      </c>
      <c r="F850" s="136" t="s">
        <v>822</v>
      </c>
      <c r="G850" s="37">
        <v>43664</v>
      </c>
      <c r="H850" s="34">
        <v>38140010</v>
      </c>
      <c r="I850" s="39">
        <f>VLOOKUP(H850,'PUR-HSN MASTER'!$A$4:$E$5000,5,FALSE)</f>
        <v>18</v>
      </c>
      <c r="J850" s="38">
        <v>80</v>
      </c>
      <c r="K850" s="40">
        <v>8080</v>
      </c>
      <c r="L850" s="39">
        <v>0</v>
      </c>
      <c r="M850" s="39">
        <v>727.19999999999993</v>
      </c>
      <c r="N850" s="39">
        <v>727.19999999999993</v>
      </c>
      <c r="O850" s="39">
        <v>0</v>
      </c>
      <c r="P850" s="39">
        <v>9534.0000000000018</v>
      </c>
      <c r="Q850" s="34" t="s">
        <v>410</v>
      </c>
      <c r="R850" s="34" t="s">
        <v>26</v>
      </c>
      <c r="S850" s="11" t="s">
        <v>4120</v>
      </c>
    </row>
    <row r="851" spans="1:19" x14ac:dyDescent="0.2">
      <c r="A851" s="33">
        <v>43647</v>
      </c>
      <c r="B851" s="34">
        <v>155</v>
      </c>
      <c r="C851" s="35" t="s">
        <v>506</v>
      </c>
      <c r="D851" s="34" t="str">
        <f>VLOOKUP(C851,'PUR-PARTY MASTER'!$B$4:$E$2000,2,FALSE)</f>
        <v>27AAACG1376N1ZC</v>
      </c>
      <c r="E851" s="34" t="s">
        <v>22</v>
      </c>
      <c r="F851" s="136" t="s">
        <v>823</v>
      </c>
      <c r="G851" s="37">
        <v>43664</v>
      </c>
      <c r="H851" s="34">
        <v>32082090</v>
      </c>
      <c r="I851" s="39">
        <f>VLOOKUP(H851,'PUR-HSN MASTER'!$A$4:$E$5000,5,FALSE)</f>
        <v>18</v>
      </c>
      <c r="J851" s="38">
        <v>200</v>
      </c>
      <c r="K851" s="40">
        <v>69758</v>
      </c>
      <c r="L851" s="39">
        <v>0</v>
      </c>
      <c r="M851" s="39">
        <v>6278.22</v>
      </c>
      <c r="N851" s="39">
        <v>6278.22</v>
      </c>
      <c r="O851" s="39">
        <v>0</v>
      </c>
      <c r="P851" s="39">
        <v>82314</v>
      </c>
      <c r="Q851" s="34" t="s">
        <v>410</v>
      </c>
      <c r="R851" s="34" t="s">
        <v>26</v>
      </c>
      <c r="S851" s="11" t="s">
        <v>4120</v>
      </c>
    </row>
    <row r="852" spans="1:19" x14ac:dyDescent="0.2">
      <c r="A852" s="33">
        <v>43647</v>
      </c>
      <c r="B852" s="34">
        <v>156</v>
      </c>
      <c r="C852" s="35" t="s">
        <v>506</v>
      </c>
      <c r="D852" s="34" t="str">
        <f>VLOOKUP(C852,'PUR-PARTY MASTER'!$B$4:$E$2000,2,FALSE)</f>
        <v>27AAACG1376N1ZC</v>
      </c>
      <c r="E852" s="34" t="s">
        <v>22</v>
      </c>
      <c r="F852" s="136" t="s">
        <v>824</v>
      </c>
      <c r="G852" s="37">
        <v>43664</v>
      </c>
      <c r="H852" s="34">
        <v>38140010</v>
      </c>
      <c r="I852" s="39">
        <f>VLOOKUP(H852,'PUR-HSN MASTER'!$A$4:$E$5000,5,FALSE)</f>
        <v>18</v>
      </c>
      <c r="J852" s="38">
        <v>40</v>
      </c>
      <c r="K852" s="40">
        <v>3696</v>
      </c>
      <c r="L852" s="39">
        <v>0</v>
      </c>
      <c r="M852" s="39">
        <v>332.64</v>
      </c>
      <c r="N852" s="39">
        <v>332.64</v>
      </c>
      <c r="O852" s="39">
        <v>0</v>
      </c>
      <c r="P852" s="39">
        <v>4361</v>
      </c>
      <c r="Q852" s="34" t="s">
        <v>410</v>
      </c>
      <c r="R852" s="34" t="s">
        <v>26</v>
      </c>
      <c r="S852" s="11" t="s">
        <v>4120</v>
      </c>
    </row>
    <row r="853" spans="1:19" x14ac:dyDescent="0.2">
      <c r="A853" s="33">
        <v>43647</v>
      </c>
      <c r="B853" s="34">
        <v>157</v>
      </c>
      <c r="C853" s="35" t="s">
        <v>506</v>
      </c>
      <c r="D853" s="34" t="str">
        <f>VLOOKUP(C853,'PUR-PARTY MASTER'!$B$4:$E$2000,2,FALSE)</f>
        <v>27AAACG1376N1ZC</v>
      </c>
      <c r="E853" s="34" t="s">
        <v>22</v>
      </c>
      <c r="F853" s="136" t="s">
        <v>825</v>
      </c>
      <c r="G853" s="37">
        <v>43664</v>
      </c>
      <c r="H853" s="34">
        <v>38140010</v>
      </c>
      <c r="I853" s="39">
        <f>VLOOKUP(H853,'PUR-HSN MASTER'!$A$4:$E$5000,5,FALSE)</f>
        <v>18</v>
      </c>
      <c r="J853" s="38">
        <v>160</v>
      </c>
      <c r="K853" s="40">
        <v>14784</v>
      </c>
      <c r="L853" s="39">
        <v>0</v>
      </c>
      <c r="M853" s="39">
        <v>1330.56</v>
      </c>
      <c r="N853" s="39">
        <v>1330.56</v>
      </c>
      <c r="O853" s="39">
        <v>0</v>
      </c>
      <c r="P853" s="39">
        <v>17445</v>
      </c>
      <c r="Q853" s="34" t="s">
        <v>410</v>
      </c>
      <c r="R853" s="34" t="s">
        <v>26</v>
      </c>
      <c r="S853" s="11" t="s">
        <v>4120</v>
      </c>
    </row>
    <row r="854" spans="1:19" x14ac:dyDescent="0.2">
      <c r="A854" s="33">
        <v>43647</v>
      </c>
      <c r="B854" s="34">
        <v>158</v>
      </c>
      <c r="C854" s="35" t="s">
        <v>479</v>
      </c>
      <c r="D854" s="34" t="str">
        <f>VLOOKUP(C854,'PUR-PARTY MASTER'!$B$4:$E$2000,2,FALSE)</f>
        <v>27AAMFC2124K1ZG</v>
      </c>
      <c r="E854" s="34" t="s">
        <v>22</v>
      </c>
      <c r="F854" s="134">
        <v>1148</v>
      </c>
      <c r="G854" s="37">
        <v>43665</v>
      </c>
      <c r="H854" s="34">
        <v>39199090</v>
      </c>
      <c r="I854" s="39">
        <f>VLOOKUP(H854,'PUR-HSN MASTER'!$A$4:$E$5000,5,FALSE)</f>
        <v>18</v>
      </c>
      <c r="J854" s="38">
        <v>15</v>
      </c>
      <c r="K854" s="40">
        <v>3600</v>
      </c>
      <c r="L854" s="39">
        <v>0</v>
      </c>
      <c r="M854" s="39">
        <v>324</v>
      </c>
      <c r="N854" s="39">
        <v>324</v>
      </c>
      <c r="O854" s="39">
        <v>0</v>
      </c>
      <c r="P854" s="39">
        <v>4248</v>
      </c>
      <c r="Q854" s="34" t="s">
        <v>410</v>
      </c>
      <c r="R854" s="34" t="s">
        <v>26</v>
      </c>
      <c r="S854" s="11" t="s">
        <v>4120</v>
      </c>
    </row>
    <row r="855" spans="1:19" x14ac:dyDescent="0.2">
      <c r="A855" s="33">
        <v>43647</v>
      </c>
      <c r="B855" s="34">
        <v>159</v>
      </c>
      <c r="C855" s="35" t="s">
        <v>554</v>
      </c>
      <c r="D855" s="34" t="str">
        <f>VLOOKUP(C855,'PUR-PARTY MASTER'!$B$4:$E$2000,2,FALSE)</f>
        <v>27AACFA1881H1ZL</v>
      </c>
      <c r="E855" s="34" t="s">
        <v>22</v>
      </c>
      <c r="F855" s="134">
        <v>4678</v>
      </c>
      <c r="G855" s="37">
        <v>43665</v>
      </c>
      <c r="H855" s="34">
        <v>87141900</v>
      </c>
      <c r="I855" s="39">
        <f>VLOOKUP(H855,'PUR-HSN MASTER'!$A$4:$E$5000,5,FALSE)</f>
        <v>28</v>
      </c>
      <c r="J855" s="38">
        <v>2800</v>
      </c>
      <c r="K855" s="40">
        <v>7710</v>
      </c>
      <c r="L855" s="39">
        <v>0</v>
      </c>
      <c r="M855" s="39">
        <v>1079.3999999999999</v>
      </c>
      <c r="N855" s="39">
        <v>1079.3999999999999</v>
      </c>
      <c r="O855" s="39">
        <v>0</v>
      </c>
      <c r="P855" s="39">
        <v>9868.7999999999993</v>
      </c>
      <c r="Q855" s="34" t="s">
        <v>410</v>
      </c>
      <c r="R855" s="34" t="s">
        <v>26</v>
      </c>
      <c r="S855" s="11" t="s">
        <v>4120</v>
      </c>
    </row>
    <row r="856" spans="1:19" x14ac:dyDescent="0.2">
      <c r="A856" s="33">
        <v>43647</v>
      </c>
      <c r="B856" s="34">
        <v>160</v>
      </c>
      <c r="C856" s="35" t="s">
        <v>554</v>
      </c>
      <c r="D856" s="34" t="str">
        <f>VLOOKUP(C856,'PUR-PARTY MASTER'!$B$4:$E$2000,2,FALSE)</f>
        <v>27AACFA1881H1ZL</v>
      </c>
      <c r="E856" s="34" t="s">
        <v>22</v>
      </c>
      <c r="F856" s="134">
        <v>4693</v>
      </c>
      <c r="G856" s="37">
        <v>43665</v>
      </c>
      <c r="H856" s="34">
        <v>87141900</v>
      </c>
      <c r="I856" s="39">
        <f>VLOOKUP(H856,'PUR-HSN MASTER'!$A$4:$E$5000,5,FALSE)</f>
        <v>28</v>
      </c>
      <c r="J856" s="38">
        <v>1900</v>
      </c>
      <c r="K856" s="40">
        <v>5319</v>
      </c>
      <c r="L856" s="39">
        <v>0</v>
      </c>
      <c r="M856" s="39">
        <v>744.66</v>
      </c>
      <c r="N856" s="39">
        <v>744.66</v>
      </c>
      <c r="O856" s="39">
        <v>0</v>
      </c>
      <c r="P856" s="39">
        <v>6808.32</v>
      </c>
      <c r="Q856" s="34" t="s">
        <v>410</v>
      </c>
      <c r="R856" s="34" t="s">
        <v>26</v>
      </c>
      <c r="S856" s="11" t="s">
        <v>4120</v>
      </c>
    </row>
    <row r="857" spans="1:19" x14ac:dyDescent="0.2">
      <c r="A857" s="33">
        <v>43647</v>
      </c>
      <c r="B857" s="34">
        <v>161</v>
      </c>
      <c r="C857" s="35" t="s">
        <v>493</v>
      </c>
      <c r="D857" s="34" t="str">
        <f>VLOOKUP(C857,'PUR-PARTY MASTER'!$B$4:$E$2000,2,FALSE)</f>
        <v>27AMMPB3648M1ZO</v>
      </c>
      <c r="E857" s="34" t="s">
        <v>22</v>
      </c>
      <c r="F857" s="134">
        <v>2028</v>
      </c>
      <c r="G857" s="37">
        <v>43665</v>
      </c>
      <c r="H857" s="34">
        <v>85129000</v>
      </c>
      <c r="I857" s="39">
        <f>VLOOKUP(H857,'PUR-HSN MASTER'!$A$4:$E$5000,5,FALSE)</f>
        <v>18</v>
      </c>
      <c r="J857" s="38">
        <v>1735</v>
      </c>
      <c r="K857" s="40">
        <v>39887.65</v>
      </c>
      <c r="L857" s="39">
        <v>0</v>
      </c>
      <c r="M857" s="39">
        <v>3589.8885</v>
      </c>
      <c r="N857" s="39">
        <v>3589.8885</v>
      </c>
      <c r="O857" s="39">
        <v>0</v>
      </c>
      <c r="P857" s="39">
        <v>47066.997000000003</v>
      </c>
      <c r="Q857" s="34" t="s">
        <v>410</v>
      </c>
      <c r="R857" s="34" t="s">
        <v>26</v>
      </c>
      <c r="S857" s="11" t="s">
        <v>4120</v>
      </c>
    </row>
    <row r="858" spans="1:19" x14ac:dyDescent="0.2">
      <c r="A858" s="33">
        <v>43647</v>
      </c>
      <c r="B858" s="34">
        <v>162</v>
      </c>
      <c r="C858" s="35" t="s">
        <v>495</v>
      </c>
      <c r="D858" s="34" t="str">
        <f>VLOOKUP(C858,'PUR-PARTY MASTER'!$B$4:$E$2000,2,FALSE)</f>
        <v>27AAACH4211R1ZF</v>
      </c>
      <c r="E858" s="34" t="s">
        <v>22</v>
      </c>
      <c r="F858" s="134">
        <v>5510052123</v>
      </c>
      <c r="G858" s="37">
        <v>43665</v>
      </c>
      <c r="H858" s="34">
        <v>85129000</v>
      </c>
      <c r="I858" s="39">
        <f>VLOOKUP(H858,'PUR-HSN MASTER'!$A$4:$E$5000,5,FALSE)</f>
        <v>18</v>
      </c>
      <c r="J858" s="38">
        <v>2400</v>
      </c>
      <c r="K858" s="40">
        <v>26544</v>
      </c>
      <c r="L858" s="39">
        <v>0</v>
      </c>
      <c r="M858" s="39">
        <v>2388.96</v>
      </c>
      <c r="N858" s="39">
        <v>2388.96</v>
      </c>
      <c r="O858" s="39">
        <v>0</v>
      </c>
      <c r="P858" s="39">
        <v>31321.919999999998</v>
      </c>
      <c r="Q858" s="34" t="s">
        <v>410</v>
      </c>
      <c r="R858" s="34" t="s">
        <v>26</v>
      </c>
      <c r="S858" s="11" t="s">
        <v>4120</v>
      </c>
    </row>
    <row r="859" spans="1:19" x14ac:dyDescent="0.2">
      <c r="A859" s="33">
        <v>43647</v>
      </c>
      <c r="B859" s="34">
        <v>163</v>
      </c>
      <c r="C859" s="35" t="s">
        <v>473</v>
      </c>
      <c r="D859" s="34" t="str">
        <f>VLOOKUP(C859,'PUR-PARTY MASTER'!$B$4:$E$2000,2,FALSE)</f>
        <v>27AAACT1848E1ZH</v>
      </c>
      <c r="E859" s="34" t="s">
        <v>22</v>
      </c>
      <c r="F859" s="136" t="s">
        <v>826</v>
      </c>
      <c r="G859" s="37">
        <v>43665</v>
      </c>
      <c r="H859" s="34">
        <v>87089900</v>
      </c>
      <c r="I859" s="39">
        <f>VLOOKUP(H859,'PUR-HSN MASTER'!$A$4:$E$5000,5,FALSE)</f>
        <v>28</v>
      </c>
      <c r="J859" s="38">
        <v>32</v>
      </c>
      <c r="K859" s="40">
        <v>8015</v>
      </c>
      <c r="L859" s="39">
        <v>0</v>
      </c>
      <c r="M859" s="39">
        <v>1122.0000000000002</v>
      </c>
      <c r="N859" s="39">
        <v>1122.0000000000002</v>
      </c>
      <c r="O859" s="39">
        <v>0</v>
      </c>
      <c r="P859" s="39">
        <v>10259</v>
      </c>
      <c r="Q859" s="34" t="s">
        <v>410</v>
      </c>
      <c r="R859" s="34" t="s">
        <v>26</v>
      </c>
      <c r="S859" s="11" t="s">
        <v>4120</v>
      </c>
    </row>
    <row r="860" spans="1:19" x14ac:dyDescent="0.2">
      <c r="A860" s="33">
        <v>43647</v>
      </c>
      <c r="B860" s="34">
        <v>164</v>
      </c>
      <c r="C860" s="35" t="s">
        <v>471</v>
      </c>
      <c r="D860" s="34" t="str">
        <f>VLOOKUP(C860,'PUR-PARTY MASTER'!$B$4:$E$2000,2,FALSE)</f>
        <v>27AAECM8871A1ZF</v>
      </c>
      <c r="E860" s="34" t="s">
        <v>22</v>
      </c>
      <c r="F860" s="134">
        <v>192003821</v>
      </c>
      <c r="G860" s="37">
        <v>43666</v>
      </c>
      <c r="H860" s="34">
        <v>87089900</v>
      </c>
      <c r="I860" s="39">
        <f>VLOOKUP(H860,'PUR-HSN MASTER'!$A$4:$E$5000,5,FALSE)</f>
        <v>28</v>
      </c>
      <c r="J860" s="38">
        <v>12</v>
      </c>
      <c r="K860" s="40">
        <v>17483.52</v>
      </c>
      <c r="L860" s="39">
        <v>0</v>
      </c>
      <c r="M860" s="39">
        <v>2447.6928000000003</v>
      </c>
      <c r="N860" s="39">
        <v>2447.6928000000003</v>
      </c>
      <c r="O860" s="39">
        <v>0</v>
      </c>
      <c r="P860" s="39">
        <v>22378.895600000003</v>
      </c>
      <c r="Q860" s="34" t="s">
        <v>410</v>
      </c>
      <c r="R860" s="34" t="s">
        <v>26</v>
      </c>
      <c r="S860" s="11" t="s">
        <v>4120</v>
      </c>
    </row>
    <row r="861" spans="1:19" x14ac:dyDescent="0.2">
      <c r="A861" s="33">
        <v>43647</v>
      </c>
      <c r="B861" s="34">
        <v>165</v>
      </c>
      <c r="C861" s="35" t="s">
        <v>471</v>
      </c>
      <c r="D861" s="34" t="str">
        <f>VLOOKUP(C861,'PUR-PARTY MASTER'!$B$4:$E$2000,2,FALSE)</f>
        <v>27AAECM8871A1ZF</v>
      </c>
      <c r="E861" s="34" t="s">
        <v>22</v>
      </c>
      <c r="F861" s="134">
        <v>192003822</v>
      </c>
      <c r="G861" s="37">
        <v>43666</v>
      </c>
      <c r="H861" s="34">
        <v>87089900</v>
      </c>
      <c r="I861" s="39">
        <f>VLOOKUP(H861,'PUR-HSN MASTER'!$A$4:$E$5000,5,FALSE)</f>
        <v>28</v>
      </c>
      <c r="J861" s="38">
        <v>12</v>
      </c>
      <c r="K861" s="40">
        <v>17483.52</v>
      </c>
      <c r="L861" s="39">
        <v>0</v>
      </c>
      <c r="M861" s="39">
        <v>2447.6928000000003</v>
      </c>
      <c r="N861" s="39">
        <v>2447.6928000000003</v>
      </c>
      <c r="O861" s="39">
        <v>0</v>
      </c>
      <c r="P861" s="39">
        <v>22378.895600000003</v>
      </c>
      <c r="Q861" s="34" t="s">
        <v>410</v>
      </c>
      <c r="R861" s="34" t="s">
        <v>26</v>
      </c>
      <c r="S861" s="11" t="s">
        <v>4120</v>
      </c>
    </row>
    <row r="862" spans="1:19" x14ac:dyDescent="0.2">
      <c r="A862" s="33">
        <v>43647</v>
      </c>
      <c r="B862" s="34">
        <v>166</v>
      </c>
      <c r="C862" s="35" t="s">
        <v>554</v>
      </c>
      <c r="D862" s="34" t="str">
        <f>VLOOKUP(C862,'PUR-PARTY MASTER'!$B$4:$E$2000,2,FALSE)</f>
        <v>27AACFA1881H1ZL</v>
      </c>
      <c r="E862" s="34" t="s">
        <v>22</v>
      </c>
      <c r="F862" s="134">
        <v>4731</v>
      </c>
      <c r="G862" s="37">
        <v>43666</v>
      </c>
      <c r="H862" s="34">
        <v>87141900</v>
      </c>
      <c r="I862" s="39">
        <f>VLOOKUP(H862,'PUR-HSN MASTER'!$A$4:$E$5000,5,FALSE)</f>
        <v>28</v>
      </c>
      <c r="J862" s="38">
        <v>2000</v>
      </c>
      <c r="K862" s="40">
        <v>5560</v>
      </c>
      <c r="L862" s="39">
        <v>0</v>
      </c>
      <c r="M862" s="39">
        <v>778.4</v>
      </c>
      <c r="N862" s="39">
        <v>778.4</v>
      </c>
      <c r="O862" s="39">
        <v>0</v>
      </c>
      <c r="P862" s="39">
        <v>7116.7999999999993</v>
      </c>
      <c r="Q862" s="34" t="s">
        <v>410</v>
      </c>
      <c r="R862" s="34" t="s">
        <v>26</v>
      </c>
      <c r="S862" s="11" t="s">
        <v>4120</v>
      </c>
    </row>
    <row r="863" spans="1:19" x14ac:dyDescent="0.2">
      <c r="A863" s="33">
        <v>43647</v>
      </c>
      <c r="B863" s="34">
        <v>167</v>
      </c>
      <c r="C863" s="35" t="s">
        <v>554</v>
      </c>
      <c r="D863" s="34" t="str">
        <f>VLOOKUP(C863,'PUR-PARTY MASTER'!$B$4:$E$2000,2,FALSE)</f>
        <v>27AACFA1881H1ZL</v>
      </c>
      <c r="E863" s="34" t="s">
        <v>22</v>
      </c>
      <c r="F863" s="134">
        <v>4735</v>
      </c>
      <c r="G863" s="37">
        <v>43666</v>
      </c>
      <c r="H863" s="34">
        <v>87141900</v>
      </c>
      <c r="I863" s="39">
        <f>VLOOKUP(H863,'PUR-HSN MASTER'!$A$4:$E$5000,5,FALSE)</f>
        <v>28</v>
      </c>
      <c r="J863" s="38">
        <v>1000</v>
      </c>
      <c r="K863" s="40">
        <v>2780</v>
      </c>
      <c r="L863" s="39">
        <v>0</v>
      </c>
      <c r="M863" s="39">
        <v>389.2</v>
      </c>
      <c r="N863" s="39">
        <v>389.2</v>
      </c>
      <c r="O863" s="39">
        <v>0</v>
      </c>
      <c r="P863" s="39">
        <v>3558.3999999999996</v>
      </c>
      <c r="Q863" s="34" t="s">
        <v>410</v>
      </c>
      <c r="R863" s="34" t="s">
        <v>26</v>
      </c>
      <c r="S863" s="11" t="s">
        <v>4120</v>
      </c>
    </row>
    <row r="864" spans="1:19" x14ac:dyDescent="0.2">
      <c r="A864" s="33">
        <v>43647</v>
      </c>
      <c r="B864" s="34">
        <v>168</v>
      </c>
      <c r="C864" s="35" t="s">
        <v>479</v>
      </c>
      <c r="D864" s="34" t="str">
        <f>VLOOKUP(C864,'PUR-PARTY MASTER'!$B$4:$E$2000,2,FALSE)</f>
        <v>27AAMFC2124K1ZG</v>
      </c>
      <c r="E864" s="34" t="s">
        <v>22</v>
      </c>
      <c r="F864" s="134">
        <v>1149</v>
      </c>
      <c r="G864" s="37">
        <v>43666</v>
      </c>
      <c r="H864" s="34">
        <v>4811</v>
      </c>
      <c r="I864" s="39">
        <f>VLOOKUP(H864,'PUR-HSN MASTER'!$A$4:$E$5000,5,FALSE)</f>
        <v>18</v>
      </c>
      <c r="J864" s="38">
        <v>2008</v>
      </c>
      <c r="K864" s="40">
        <v>2710.8</v>
      </c>
      <c r="L864" s="39">
        <v>0</v>
      </c>
      <c r="M864" s="39">
        <v>243.97200000000001</v>
      </c>
      <c r="N864" s="39">
        <v>243.97200000000001</v>
      </c>
      <c r="O864" s="39">
        <v>0</v>
      </c>
      <c r="P864" s="39">
        <v>3198.7440000000006</v>
      </c>
      <c r="Q864" s="34" t="s">
        <v>410</v>
      </c>
      <c r="R864" s="34" t="s">
        <v>26</v>
      </c>
      <c r="S864" s="11" t="s">
        <v>4120</v>
      </c>
    </row>
    <row r="865" spans="1:19" x14ac:dyDescent="0.2">
      <c r="A865" s="33">
        <v>43647</v>
      </c>
      <c r="B865" s="34"/>
      <c r="C865" s="35" t="s">
        <v>479</v>
      </c>
      <c r="D865" s="34" t="str">
        <f>VLOOKUP(C865,'PUR-PARTY MASTER'!$B$4:$E$2000,2,FALSE)</f>
        <v>27AAMFC2124K1ZG</v>
      </c>
      <c r="E865" s="34" t="s">
        <v>22</v>
      </c>
      <c r="F865" s="134">
        <v>1149</v>
      </c>
      <c r="G865" s="37">
        <v>43666</v>
      </c>
      <c r="H865" s="34">
        <v>3919</v>
      </c>
      <c r="I865" s="39">
        <f>VLOOKUP(H865,'PUR-HSN MASTER'!$A$4:$E$5000,5,FALSE)</f>
        <v>18</v>
      </c>
      <c r="J865" s="38">
        <v>1</v>
      </c>
      <c r="K865" s="40">
        <v>630</v>
      </c>
      <c r="L865" s="39">
        <v>0</v>
      </c>
      <c r="M865" s="39">
        <v>56.699999999999996</v>
      </c>
      <c r="N865" s="39">
        <v>56.699999999999996</v>
      </c>
      <c r="O865" s="39">
        <v>0</v>
      </c>
      <c r="P865" s="39">
        <v>743.40000000000009</v>
      </c>
      <c r="Q865" s="34" t="s">
        <v>410</v>
      </c>
      <c r="R865" s="34" t="s">
        <v>26</v>
      </c>
      <c r="S865" s="11" t="s">
        <v>4120</v>
      </c>
    </row>
    <row r="866" spans="1:19" x14ac:dyDescent="0.2">
      <c r="A866" s="33">
        <v>43647</v>
      </c>
      <c r="B866" s="34">
        <v>169</v>
      </c>
      <c r="C866" s="35" t="s">
        <v>705</v>
      </c>
      <c r="D866" s="34" t="str">
        <f>VLOOKUP(C866,'PUR-PARTY MASTER'!$B$4:$E$2000,2,FALSE)</f>
        <v>27AABFM8397H1ZT</v>
      </c>
      <c r="E866" s="34" t="s">
        <v>22</v>
      </c>
      <c r="F866" s="136" t="s">
        <v>827</v>
      </c>
      <c r="G866" s="37">
        <v>43666</v>
      </c>
      <c r="H866" s="34">
        <v>87089900</v>
      </c>
      <c r="I866" s="39">
        <f>VLOOKUP(H866,'PUR-HSN MASTER'!$A$4:$E$5000,5,FALSE)</f>
        <v>28</v>
      </c>
      <c r="J866" s="38">
        <v>200</v>
      </c>
      <c r="K866" s="40">
        <v>4300</v>
      </c>
      <c r="L866" s="39">
        <v>0</v>
      </c>
      <c r="M866" s="39">
        <v>602</v>
      </c>
      <c r="N866" s="39">
        <v>602</v>
      </c>
      <c r="O866" s="39">
        <v>0</v>
      </c>
      <c r="P866" s="39">
        <v>5504</v>
      </c>
      <c r="Q866" s="34" t="s">
        <v>410</v>
      </c>
      <c r="R866" s="34" t="s">
        <v>26</v>
      </c>
      <c r="S866" s="11" t="s">
        <v>4120</v>
      </c>
    </row>
    <row r="867" spans="1:19" x14ac:dyDescent="0.2">
      <c r="A867" s="33">
        <v>43647</v>
      </c>
      <c r="B867" s="34">
        <v>170</v>
      </c>
      <c r="C867" s="35" t="s">
        <v>705</v>
      </c>
      <c r="D867" s="34" t="str">
        <f>VLOOKUP(C867,'PUR-PARTY MASTER'!$B$4:$E$2000,2,FALSE)</f>
        <v>27AABFM8397H1ZT</v>
      </c>
      <c r="E867" s="34" t="s">
        <v>22</v>
      </c>
      <c r="F867" s="136" t="s">
        <v>828</v>
      </c>
      <c r="G867" s="37">
        <v>43666</v>
      </c>
      <c r="H867" s="34">
        <v>87089900</v>
      </c>
      <c r="I867" s="39">
        <f>VLOOKUP(H867,'PUR-HSN MASTER'!$A$4:$E$5000,5,FALSE)</f>
        <v>28</v>
      </c>
      <c r="J867" s="38">
        <v>100</v>
      </c>
      <c r="K867" s="40">
        <v>2150</v>
      </c>
      <c r="L867" s="39">
        <v>0</v>
      </c>
      <c r="M867" s="39">
        <v>301</v>
      </c>
      <c r="N867" s="39">
        <v>301</v>
      </c>
      <c r="O867" s="39">
        <v>0</v>
      </c>
      <c r="P867" s="39">
        <v>2752</v>
      </c>
      <c r="Q867" s="34" t="s">
        <v>410</v>
      </c>
      <c r="R867" s="34" t="s">
        <v>26</v>
      </c>
      <c r="S867" s="11" t="s">
        <v>4120</v>
      </c>
    </row>
    <row r="868" spans="1:19" x14ac:dyDescent="0.2">
      <c r="A868" s="33">
        <v>43647</v>
      </c>
      <c r="B868" s="34">
        <v>171</v>
      </c>
      <c r="C868" s="35" t="s">
        <v>554</v>
      </c>
      <c r="D868" s="34" t="str">
        <f>VLOOKUP(C868,'PUR-PARTY MASTER'!$B$4:$E$2000,2,FALSE)</f>
        <v>27AACFA1881H1ZL</v>
      </c>
      <c r="E868" s="34" t="s">
        <v>22</v>
      </c>
      <c r="F868" s="134">
        <v>4762</v>
      </c>
      <c r="G868" s="37">
        <v>43666</v>
      </c>
      <c r="H868" s="34">
        <v>87141900</v>
      </c>
      <c r="I868" s="39">
        <f>VLOOKUP(H868,'PUR-HSN MASTER'!$A$4:$E$5000,5,FALSE)</f>
        <v>28</v>
      </c>
      <c r="J868" s="38">
        <v>1940</v>
      </c>
      <c r="K868" s="40">
        <v>5563.4</v>
      </c>
      <c r="L868" s="39">
        <v>0</v>
      </c>
      <c r="M868" s="39">
        <v>778.87599999999986</v>
      </c>
      <c r="N868" s="39">
        <v>778.87599999999986</v>
      </c>
      <c r="O868" s="39">
        <v>0</v>
      </c>
      <c r="P868" s="39">
        <v>7121.1620000000003</v>
      </c>
      <c r="Q868" s="34" t="s">
        <v>410</v>
      </c>
      <c r="R868" s="34" t="s">
        <v>26</v>
      </c>
      <c r="S868" s="11" t="s">
        <v>4120</v>
      </c>
    </row>
    <row r="869" spans="1:19" x14ac:dyDescent="0.2">
      <c r="A869" s="33">
        <v>43647</v>
      </c>
      <c r="B869" s="34">
        <v>172</v>
      </c>
      <c r="C869" s="35" t="s">
        <v>601</v>
      </c>
      <c r="D869" s="34" t="str">
        <f>VLOOKUP(C869,'PUR-PARTY MASTER'!$B$4:$E$2000,2,FALSE)</f>
        <v>27AAZFM6461A1ZY</v>
      </c>
      <c r="E869" s="34" t="s">
        <v>22</v>
      </c>
      <c r="F869" s="134">
        <v>3004</v>
      </c>
      <c r="G869" s="37">
        <v>43666</v>
      </c>
      <c r="H869" s="34">
        <v>87082900</v>
      </c>
      <c r="I869" s="39">
        <f>VLOOKUP(H869,'PUR-HSN MASTER'!$A$4:$E$5000,5,FALSE)</f>
        <v>28</v>
      </c>
      <c r="J869" s="38">
        <v>2580</v>
      </c>
      <c r="K869" s="40">
        <v>57585.599999999999</v>
      </c>
      <c r="L869" s="39">
        <v>0</v>
      </c>
      <c r="M869" s="39">
        <v>8061.9840000000004</v>
      </c>
      <c r="N869" s="39">
        <v>8061.9840000000004</v>
      </c>
      <c r="O869" s="39">
        <v>0</v>
      </c>
      <c r="P869" s="39">
        <v>73709.558000000005</v>
      </c>
      <c r="Q869" s="34" t="s">
        <v>410</v>
      </c>
      <c r="R869" s="34" t="s">
        <v>26</v>
      </c>
      <c r="S869" s="11" t="s">
        <v>4120</v>
      </c>
    </row>
    <row r="870" spans="1:19" x14ac:dyDescent="0.2">
      <c r="A870" s="33">
        <v>43647</v>
      </c>
      <c r="B870" s="34">
        <v>173</v>
      </c>
      <c r="C870" s="35" t="s">
        <v>479</v>
      </c>
      <c r="D870" s="34" t="str">
        <f>VLOOKUP(C870,'PUR-PARTY MASTER'!$B$4:$E$2000,2,FALSE)</f>
        <v>27AAMFC2124K1ZG</v>
      </c>
      <c r="E870" s="34" t="s">
        <v>22</v>
      </c>
      <c r="F870" s="134">
        <v>1153</v>
      </c>
      <c r="G870" s="37">
        <v>43667</v>
      </c>
      <c r="H870" s="34">
        <v>3919</v>
      </c>
      <c r="I870" s="39">
        <f>VLOOKUP(H870,'PUR-HSN MASTER'!$A$4:$E$5000,5,FALSE)</f>
        <v>18</v>
      </c>
      <c r="J870" s="38">
        <v>11</v>
      </c>
      <c r="K870" s="40">
        <v>3780</v>
      </c>
      <c r="L870" s="39">
        <v>0</v>
      </c>
      <c r="M870" s="39">
        <v>340.2</v>
      </c>
      <c r="N870" s="39">
        <v>340.2</v>
      </c>
      <c r="O870" s="39">
        <v>0</v>
      </c>
      <c r="P870" s="39">
        <v>4460.3999999999996</v>
      </c>
      <c r="Q870" s="34" t="s">
        <v>410</v>
      </c>
      <c r="R870" s="34" t="s">
        <v>26</v>
      </c>
      <c r="S870" s="11" t="s">
        <v>4120</v>
      </c>
    </row>
    <row r="871" spans="1:19" x14ac:dyDescent="0.2">
      <c r="A871" s="33">
        <v>43647</v>
      </c>
      <c r="B871" s="34">
        <v>174</v>
      </c>
      <c r="C871" s="632" t="s">
        <v>829</v>
      </c>
      <c r="D871" s="34" t="str">
        <f>VLOOKUP(C871,'PUR-PARTY MASTER'!$B$4:$E$2000,2,FALSE)</f>
        <v>27AATPC2316A1Z7</v>
      </c>
      <c r="E871" s="34" t="s">
        <v>22</v>
      </c>
      <c r="F871" s="134">
        <v>472</v>
      </c>
      <c r="G871" s="37">
        <v>43667</v>
      </c>
      <c r="H871" s="34">
        <v>3208</v>
      </c>
      <c r="I871" s="39">
        <f>VLOOKUP(H871,'PUR-HSN MASTER'!$A$4:$E$5000,5,FALSE)</f>
        <v>18</v>
      </c>
      <c r="J871" s="38">
        <v>5</v>
      </c>
      <c r="K871" s="40">
        <v>1185</v>
      </c>
      <c r="L871" s="39">
        <v>0</v>
      </c>
      <c r="M871" s="39">
        <v>106.64999999999999</v>
      </c>
      <c r="N871" s="39">
        <v>106.64999999999999</v>
      </c>
      <c r="O871" s="39">
        <v>0</v>
      </c>
      <c r="P871" s="39">
        <v>1398.0000000000002</v>
      </c>
      <c r="Q871" s="34" t="s">
        <v>410</v>
      </c>
      <c r="R871" s="34" t="s">
        <v>26</v>
      </c>
      <c r="S871" s="11" t="s">
        <v>4120</v>
      </c>
    </row>
    <row r="872" spans="1:19" x14ac:dyDescent="0.2">
      <c r="A872" s="33">
        <v>43647</v>
      </c>
      <c r="B872" s="34">
        <v>175</v>
      </c>
      <c r="C872" s="35" t="s">
        <v>554</v>
      </c>
      <c r="D872" s="34" t="str">
        <f>VLOOKUP(C872,'PUR-PARTY MASTER'!$B$4:$E$2000,2,FALSE)</f>
        <v>27AACFA1881H1ZL</v>
      </c>
      <c r="E872" s="34" t="s">
        <v>22</v>
      </c>
      <c r="F872" s="134">
        <v>4812</v>
      </c>
      <c r="G872" s="37">
        <v>43668</v>
      </c>
      <c r="H872" s="34">
        <v>87141900</v>
      </c>
      <c r="I872" s="39">
        <f>VLOOKUP(H872,'PUR-HSN MASTER'!$A$4:$E$5000,5,FALSE)</f>
        <v>28</v>
      </c>
      <c r="J872" s="38">
        <v>2760</v>
      </c>
      <c r="K872" s="40">
        <v>7473</v>
      </c>
      <c r="L872" s="39">
        <v>0</v>
      </c>
      <c r="M872" s="39">
        <v>1046.22</v>
      </c>
      <c r="N872" s="39">
        <v>1046.22</v>
      </c>
      <c r="O872" s="39">
        <v>0</v>
      </c>
      <c r="P872" s="39">
        <v>9565.4399999999987</v>
      </c>
      <c r="Q872" s="34" t="s">
        <v>410</v>
      </c>
      <c r="R872" s="34" t="s">
        <v>26</v>
      </c>
      <c r="S872" s="11" t="s">
        <v>4120</v>
      </c>
    </row>
    <row r="873" spans="1:19" x14ac:dyDescent="0.2">
      <c r="A873" s="33">
        <v>43647</v>
      </c>
      <c r="B873" s="34">
        <v>176</v>
      </c>
      <c r="C873" s="35" t="s">
        <v>551</v>
      </c>
      <c r="D873" s="34" t="str">
        <f>VLOOKUP(C873,'PUR-PARTY MASTER'!$B$4:$E$2000,2,FALSE)</f>
        <v>27AHVPG8951G1ZQ</v>
      </c>
      <c r="E873" s="34" t="s">
        <v>22</v>
      </c>
      <c r="F873" s="136" t="s">
        <v>831</v>
      </c>
      <c r="G873" s="37">
        <v>43668</v>
      </c>
      <c r="H873" s="34">
        <v>37079090</v>
      </c>
      <c r="I873" s="39">
        <f>VLOOKUP(H873,'PUR-HSN MASTER'!$A$4:$E$5000,5,FALSE)</f>
        <v>18</v>
      </c>
      <c r="J873" s="38">
        <v>1</v>
      </c>
      <c r="K873" s="40">
        <v>300</v>
      </c>
      <c r="L873" s="39">
        <v>0</v>
      </c>
      <c r="M873" s="39">
        <v>27</v>
      </c>
      <c r="N873" s="39">
        <v>27</v>
      </c>
      <c r="O873" s="39">
        <v>0</v>
      </c>
      <c r="P873" s="39">
        <v>354</v>
      </c>
      <c r="Q873" s="34" t="s">
        <v>410</v>
      </c>
      <c r="R873" s="34" t="s">
        <v>26</v>
      </c>
      <c r="S873" s="11" t="s">
        <v>4120</v>
      </c>
    </row>
    <row r="874" spans="1:19" x14ac:dyDescent="0.2">
      <c r="A874" s="33">
        <v>43647</v>
      </c>
      <c r="B874" s="34">
        <v>177</v>
      </c>
      <c r="C874" s="35" t="s">
        <v>666</v>
      </c>
      <c r="D874" s="34" t="str">
        <f>VLOOKUP(C874,'PUR-PARTY MASTER'!$B$4:$E$2000,2,FALSE)</f>
        <v>27AAECP8535C1ZF</v>
      </c>
      <c r="E874" s="34" t="s">
        <v>22</v>
      </c>
      <c r="F874" s="136" t="s">
        <v>832</v>
      </c>
      <c r="G874" s="37">
        <v>43668</v>
      </c>
      <c r="H874" s="34">
        <v>8708</v>
      </c>
      <c r="I874" s="39">
        <f>VLOOKUP(H874,'PUR-HSN MASTER'!$A$4:$E$5000,5,FALSE)</f>
        <v>28</v>
      </c>
      <c r="J874" s="38">
        <v>225</v>
      </c>
      <c r="K874" s="40">
        <v>78423.75</v>
      </c>
      <c r="L874" s="39">
        <v>0</v>
      </c>
      <c r="M874" s="39">
        <v>10979.324999999999</v>
      </c>
      <c r="N874" s="39">
        <v>10979.324999999999</v>
      </c>
      <c r="O874" s="39">
        <v>0</v>
      </c>
      <c r="P874" s="39">
        <v>100382.40999999999</v>
      </c>
      <c r="Q874" s="34" t="s">
        <v>410</v>
      </c>
      <c r="R874" s="34" t="s">
        <v>26</v>
      </c>
      <c r="S874" s="11" t="s">
        <v>4120</v>
      </c>
    </row>
    <row r="875" spans="1:19" x14ac:dyDescent="0.2">
      <c r="A875" s="33">
        <v>43647</v>
      </c>
      <c r="B875" s="34">
        <v>178</v>
      </c>
      <c r="C875" s="35" t="s">
        <v>471</v>
      </c>
      <c r="D875" s="34" t="str">
        <f>VLOOKUP(C875,'PUR-PARTY MASTER'!$B$4:$E$2000,2,FALSE)</f>
        <v>27AAECM8871A1ZF</v>
      </c>
      <c r="E875" s="34" t="s">
        <v>22</v>
      </c>
      <c r="F875" s="134">
        <v>192003867</v>
      </c>
      <c r="G875" s="37">
        <v>43668</v>
      </c>
      <c r="H875" s="34">
        <v>87089900</v>
      </c>
      <c r="I875" s="39">
        <f>VLOOKUP(H875,'PUR-HSN MASTER'!$A$4:$E$5000,5,FALSE)</f>
        <v>28</v>
      </c>
      <c r="J875" s="38">
        <v>12</v>
      </c>
      <c r="K875" s="40">
        <v>17483.52</v>
      </c>
      <c r="L875" s="39">
        <v>0</v>
      </c>
      <c r="M875" s="39">
        <v>2447.6928000000003</v>
      </c>
      <c r="N875" s="39">
        <v>2447.6928000000003</v>
      </c>
      <c r="O875" s="39">
        <v>0</v>
      </c>
      <c r="P875" s="39">
        <v>22378.895600000003</v>
      </c>
      <c r="Q875" s="34" t="s">
        <v>410</v>
      </c>
      <c r="R875" s="34" t="s">
        <v>26</v>
      </c>
      <c r="S875" s="11" t="s">
        <v>4120</v>
      </c>
    </row>
    <row r="876" spans="1:19" x14ac:dyDescent="0.2">
      <c r="A876" s="33">
        <v>43647</v>
      </c>
      <c r="B876" s="34">
        <v>179</v>
      </c>
      <c r="C876" s="35" t="s">
        <v>471</v>
      </c>
      <c r="D876" s="34" t="str">
        <f>VLOOKUP(C876,'PUR-PARTY MASTER'!$B$4:$E$2000,2,FALSE)</f>
        <v>27AAECM8871A1ZF</v>
      </c>
      <c r="E876" s="34" t="s">
        <v>22</v>
      </c>
      <c r="F876" s="134">
        <v>192003879</v>
      </c>
      <c r="G876" s="37">
        <v>43668</v>
      </c>
      <c r="H876" s="34">
        <v>87089900</v>
      </c>
      <c r="I876" s="39">
        <f>VLOOKUP(H876,'PUR-HSN MASTER'!$A$4:$E$5000,5,FALSE)</f>
        <v>28</v>
      </c>
      <c r="J876" s="38">
        <v>12</v>
      </c>
      <c r="K876" s="40">
        <v>17483.52</v>
      </c>
      <c r="L876" s="39">
        <v>0</v>
      </c>
      <c r="M876" s="39">
        <v>2447.6928000000003</v>
      </c>
      <c r="N876" s="39">
        <v>2447.6928000000003</v>
      </c>
      <c r="O876" s="39">
        <v>0</v>
      </c>
      <c r="P876" s="39">
        <v>22378.895600000003</v>
      </c>
      <c r="Q876" s="34" t="s">
        <v>410</v>
      </c>
      <c r="R876" s="34" t="s">
        <v>26</v>
      </c>
      <c r="S876" s="11" t="s">
        <v>4120</v>
      </c>
    </row>
    <row r="877" spans="1:19" x14ac:dyDescent="0.2">
      <c r="A877" s="33">
        <v>43647</v>
      </c>
      <c r="B877" s="34">
        <v>180</v>
      </c>
      <c r="C877" s="35" t="s">
        <v>473</v>
      </c>
      <c r="D877" s="34" t="str">
        <f>VLOOKUP(C877,'PUR-PARTY MASTER'!$B$4:$E$2000,2,FALSE)</f>
        <v>27AAACT1848E1ZH</v>
      </c>
      <c r="E877" s="34" t="s">
        <v>22</v>
      </c>
      <c r="F877" s="136" t="s">
        <v>833</v>
      </c>
      <c r="G877" s="37">
        <v>43668</v>
      </c>
      <c r="H877" s="34">
        <v>87089900</v>
      </c>
      <c r="I877" s="39">
        <f>VLOOKUP(H877,'PUR-HSN MASTER'!$A$4:$E$5000,5,FALSE)</f>
        <v>28</v>
      </c>
      <c r="J877" s="38">
        <v>40</v>
      </c>
      <c r="K877" s="40">
        <v>6012.8</v>
      </c>
      <c r="L877" s="39">
        <v>0</v>
      </c>
      <c r="M877" s="39">
        <v>842.00200000000007</v>
      </c>
      <c r="N877" s="39">
        <v>842.00200000000007</v>
      </c>
      <c r="O877" s="39">
        <v>0</v>
      </c>
      <c r="P877" s="39">
        <v>7696.804000000001</v>
      </c>
      <c r="Q877" s="34" t="s">
        <v>410</v>
      </c>
      <c r="R877" s="34" t="s">
        <v>26</v>
      </c>
      <c r="S877" s="11" t="s">
        <v>4120</v>
      </c>
    </row>
    <row r="878" spans="1:19" x14ac:dyDescent="0.2">
      <c r="A878" s="33">
        <v>43647</v>
      </c>
      <c r="B878" s="34">
        <v>181</v>
      </c>
      <c r="C878" s="35" t="s">
        <v>666</v>
      </c>
      <c r="D878" s="34" t="str">
        <f>VLOOKUP(C878,'PUR-PARTY MASTER'!$B$4:$E$2000,2,FALSE)</f>
        <v>27AAECP8535C1ZF</v>
      </c>
      <c r="E878" s="34" t="s">
        <v>22</v>
      </c>
      <c r="F878" s="136" t="s">
        <v>834</v>
      </c>
      <c r="G878" s="37">
        <v>43668</v>
      </c>
      <c r="H878" s="34">
        <v>8708</v>
      </c>
      <c r="I878" s="39">
        <f>VLOOKUP(H878,'PUR-HSN MASTER'!$A$4:$E$5000,5,FALSE)</f>
        <v>28</v>
      </c>
      <c r="J878" s="38">
        <v>400</v>
      </c>
      <c r="K878" s="40">
        <v>32000</v>
      </c>
      <c r="L878" s="39">
        <v>0</v>
      </c>
      <c r="M878" s="39">
        <v>4480</v>
      </c>
      <c r="N878" s="39">
        <v>4480</v>
      </c>
      <c r="O878" s="39">
        <v>0</v>
      </c>
      <c r="P878" s="39">
        <v>40960</v>
      </c>
      <c r="Q878" s="34" t="s">
        <v>410</v>
      </c>
      <c r="R878" s="34" t="s">
        <v>26</v>
      </c>
      <c r="S878" s="11" t="s">
        <v>4120</v>
      </c>
    </row>
    <row r="879" spans="1:19" x14ac:dyDescent="0.2">
      <c r="A879" s="33">
        <v>43647</v>
      </c>
      <c r="B879" s="34">
        <v>182</v>
      </c>
      <c r="C879" s="35" t="s">
        <v>551</v>
      </c>
      <c r="D879" s="34" t="str">
        <f>VLOOKUP(C879,'PUR-PARTY MASTER'!$B$4:$E$2000,2,FALSE)</f>
        <v>27AHVPG8951G1ZQ</v>
      </c>
      <c r="E879" s="34" t="s">
        <v>22</v>
      </c>
      <c r="F879" s="136" t="s">
        <v>835</v>
      </c>
      <c r="G879" s="37">
        <v>43668</v>
      </c>
      <c r="H879" s="34">
        <v>84716060</v>
      </c>
      <c r="I879" s="39">
        <f>VLOOKUP(H879,'PUR-HSN MASTER'!$A$4:$E$5000,5,FALSE)</f>
        <v>18</v>
      </c>
      <c r="J879" s="38">
        <v>2</v>
      </c>
      <c r="K879" s="40">
        <v>800</v>
      </c>
      <c r="L879" s="39">
        <v>0</v>
      </c>
      <c r="M879" s="39">
        <v>72</v>
      </c>
      <c r="N879" s="39">
        <v>72</v>
      </c>
      <c r="O879" s="39">
        <v>0</v>
      </c>
      <c r="P879" s="39">
        <v>944</v>
      </c>
      <c r="Q879" s="34" t="s">
        <v>410</v>
      </c>
      <c r="R879" s="34" t="s">
        <v>26</v>
      </c>
      <c r="S879" s="11" t="s">
        <v>4120</v>
      </c>
    </row>
    <row r="880" spans="1:19" x14ac:dyDescent="0.2">
      <c r="A880" s="33">
        <v>43647</v>
      </c>
      <c r="B880" s="34"/>
      <c r="C880" s="35" t="s">
        <v>551</v>
      </c>
      <c r="D880" s="34" t="str">
        <f>VLOOKUP(C880,'PUR-PARTY MASTER'!$B$4:$E$2000,2,FALSE)</f>
        <v>27AHVPG8951G1ZQ</v>
      </c>
      <c r="E880" s="34" t="s">
        <v>22</v>
      </c>
      <c r="F880" s="136" t="s">
        <v>835</v>
      </c>
      <c r="G880" s="37">
        <v>43668</v>
      </c>
      <c r="H880" s="34">
        <v>84716060</v>
      </c>
      <c r="I880" s="39">
        <f>VLOOKUP(H880,'PUR-HSN MASTER'!$A$4:$E$5000,5,FALSE)</f>
        <v>18</v>
      </c>
      <c r="J880" s="38">
        <v>1</v>
      </c>
      <c r="K880" s="40">
        <v>400</v>
      </c>
      <c r="L880" s="39">
        <v>0</v>
      </c>
      <c r="M880" s="39">
        <v>36</v>
      </c>
      <c r="N880" s="39">
        <v>36</v>
      </c>
      <c r="O880" s="39">
        <v>0</v>
      </c>
      <c r="P880" s="39">
        <v>472</v>
      </c>
      <c r="Q880" s="34" t="s">
        <v>410</v>
      </c>
      <c r="R880" s="34" t="s">
        <v>26</v>
      </c>
      <c r="S880" s="11" t="s">
        <v>4120</v>
      </c>
    </row>
    <row r="881" spans="1:19" x14ac:dyDescent="0.2">
      <c r="A881" s="33">
        <v>43647</v>
      </c>
      <c r="B881" s="34">
        <v>183</v>
      </c>
      <c r="C881" s="35" t="s">
        <v>591</v>
      </c>
      <c r="D881" s="34" t="str">
        <f>VLOOKUP(C881,'PUR-PARTY MASTER'!$B$4:$E$2000,2,FALSE)</f>
        <v>27AAACI6297A1ZN</v>
      </c>
      <c r="E881" s="34" t="s">
        <v>22</v>
      </c>
      <c r="F881" s="136" t="s">
        <v>836</v>
      </c>
      <c r="G881" s="37">
        <v>43668</v>
      </c>
      <c r="H881" s="34">
        <v>38249090</v>
      </c>
      <c r="I881" s="39">
        <f>VLOOKUP(H881,'PUR-HSN MASTER'!$A$4:$E$5000,5,FALSE)</f>
        <v>18</v>
      </c>
      <c r="J881" s="38">
        <v>90</v>
      </c>
      <c r="K881" s="40">
        <v>67500</v>
      </c>
      <c r="L881" s="39">
        <v>0</v>
      </c>
      <c r="M881" s="39">
        <v>6075</v>
      </c>
      <c r="N881" s="39">
        <v>6075</v>
      </c>
      <c r="O881" s="39">
        <v>0</v>
      </c>
      <c r="P881" s="39">
        <v>79650</v>
      </c>
      <c r="Q881" s="34" t="s">
        <v>410</v>
      </c>
      <c r="R881" s="34" t="s">
        <v>26</v>
      </c>
      <c r="S881" s="11" t="s">
        <v>4120</v>
      </c>
    </row>
    <row r="882" spans="1:19" x14ac:dyDescent="0.2">
      <c r="A882" s="33">
        <v>43647</v>
      </c>
      <c r="B882" s="34">
        <v>184</v>
      </c>
      <c r="C882" s="632" t="s">
        <v>837</v>
      </c>
      <c r="D882" s="34" t="str">
        <f>VLOOKUP(C882,'PUR-PARTY MASTER'!$B$4:$E$2000,2,FALSE)</f>
        <v>27ABXPK1220E1ZS</v>
      </c>
      <c r="E882" s="34" t="s">
        <v>22</v>
      </c>
      <c r="F882" s="134">
        <v>20190299</v>
      </c>
      <c r="G882" s="37">
        <v>43669</v>
      </c>
      <c r="H882" s="34">
        <v>38140020</v>
      </c>
      <c r="I882" s="39">
        <f>VLOOKUP(H882,'PUR-HSN MASTER'!$A$4:$E$5000,5,FALSE)</f>
        <v>18</v>
      </c>
      <c r="J882" s="38">
        <v>25</v>
      </c>
      <c r="K882" s="40">
        <v>5900</v>
      </c>
      <c r="L882" s="39">
        <v>0</v>
      </c>
      <c r="M882" s="39">
        <v>531</v>
      </c>
      <c r="N882" s="39">
        <v>531</v>
      </c>
      <c r="O882" s="39">
        <v>0</v>
      </c>
      <c r="P882" s="39">
        <v>6962</v>
      </c>
      <c r="Q882" s="34" t="s">
        <v>410</v>
      </c>
      <c r="R882" s="34" t="s">
        <v>26</v>
      </c>
      <c r="S882" s="11" t="s">
        <v>4120</v>
      </c>
    </row>
    <row r="883" spans="1:19" x14ac:dyDescent="0.2">
      <c r="A883" s="33">
        <v>43647</v>
      </c>
      <c r="B883" s="34">
        <v>185</v>
      </c>
      <c r="C883" s="35" t="s">
        <v>554</v>
      </c>
      <c r="D883" s="34" t="str">
        <f>VLOOKUP(C883,'PUR-PARTY MASTER'!$B$4:$E$2000,2,FALSE)</f>
        <v>27AACFA1881H1ZL</v>
      </c>
      <c r="E883" s="34" t="s">
        <v>22</v>
      </c>
      <c r="F883" s="134">
        <v>4866</v>
      </c>
      <c r="G883" s="37">
        <v>43669</v>
      </c>
      <c r="H883" s="34">
        <v>87141900</v>
      </c>
      <c r="I883" s="39">
        <f>VLOOKUP(H883,'PUR-HSN MASTER'!$A$4:$E$5000,5,FALSE)</f>
        <v>28</v>
      </c>
      <c r="J883" s="38">
        <v>1900</v>
      </c>
      <c r="K883" s="40">
        <v>5467</v>
      </c>
      <c r="L883" s="39">
        <v>0</v>
      </c>
      <c r="M883" s="39">
        <v>765.38</v>
      </c>
      <c r="N883" s="39">
        <v>765.38</v>
      </c>
      <c r="O883" s="39">
        <v>0</v>
      </c>
      <c r="P883" s="39">
        <v>6997.76</v>
      </c>
      <c r="Q883" s="34" t="s">
        <v>410</v>
      </c>
      <c r="R883" s="34" t="s">
        <v>26</v>
      </c>
      <c r="S883" s="11" t="s">
        <v>4120</v>
      </c>
    </row>
    <row r="884" spans="1:19" x14ac:dyDescent="0.2">
      <c r="A884" s="33">
        <v>43647</v>
      </c>
      <c r="B884" s="34">
        <v>186</v>
      </c>
      <c r="C884" s="35" t="s">
        <v>554</v>
      </c>
      <c r="D884" s="34" t="str">
        <f>VLOOKUP(C884,'PUR-PARTY MASTER'!$B$4:$E$2000,2,FALSE)</f>
        <v>27AACFA1881H1ZL</v>
      </c>
      <c r="E884" s="34" t="s">
        <v>22</v>
      </c>
      <c r="F884" s="134">
        <v>4919</v>
      </c>
      <c r="G884" s="37">
        <v>43669</v>
      </c>
      <c r="H884" s="34">
        <v>87141900</v>
      </c>
      <c r="I884" s="39">
        <f>VLOOKUP(H884,'PUR-HSN MASTER'!$A$4:$E$5000,5,FALSE)</f>
        <v>28</v>
      </c>
      <c r="J884" s="38">
        <v>3000</v>
      </c>
      <c r="K884" s="40">
        <v>8562</v>
      </c>
      <c r="L884" s="39">
        <v>0</v>
      </c>
      <c r="M884" s="39">
        <v>1198.68</v>
      </c>
      <c r="N884" s="39">
        <v>1198.68</v>
      </c>
      <c r="O884" s="39">
        <v>0</v>
      </c>
      <c r="P884" s="39">
        <v>10959.36</v>
      </c>
      <c r="Q884" s="34" t="s">
        <v>410</v>
      </c>
      <c r="R884" s="34" t="s">
        <v>26</v>
      </c>
      <c r="S884" s="11" t="s">
        <v>4120</v>
      </c>
    </row>
    <row r="885" spans="1:19" x14ac:dyDescent="0.2">
      <c r="A885" s="33">
        <v>43647</v>
      </c>
      <c r="B885" s="34">
        <v>187</v>
      </c>
      <c r="C885" s="35" t="s">
        <v>471</v>
      </c>
      <c r="D885" s="34" t="str">
        <f>VLOOKUP(C885,'PUR-PARTY MASTER'!$B$4:$E$2000,2,FALSE)</f>
        <v>27AAECM8871A1ZF</v>
      </c>
      <c r="E885" s="34" t="s">
        <v>22</v>
      </c>
      <c r="F885" s="134">
        <v>192003935</v>
      </c>
      <c r="G885" s="37">
        <v>43669</v>
      </c>
      <c r="H885" s="34">
        <v>87089900</v>
      </c>
      <c r="I885" s="39">
        <f>VLOOKUP(H885,'PUR-HSN MASTER'!$A$4:$E$5000,5,FALSE)</f>
        <v>28</v>
      </c>
      <c r="J885" s="38">
        <v>12</v>
      </c>
      <c r="K885" s="40">
        <v>17483.52</v>
      </c>
      <c r="L885" s="39">
        <v>0</v>
      </c>
      <c r="M885" s="39">
        <v>2447.6928000000003</v>
      </c>
      <c r="N885" s="39">
        <v>2447.6928000000003</v>
      </c>
      <c r="O885" s="39">
        <v>0</v>
      </c>
      <c r="P885" s="39">
        <v>22378.895600000003</v>
      </c>
      <c r="Q885" s="34" t="s">
        <v>410</v>
      </c>
      <c r="R885" s="34" t="s">
        <v>26</v>
      </c>
      <c r="S885" s="11" t="s">
        <v>4120</v>
      </c>
    </row>
    <row r="886" spans="1:19" x14ac:dyDescent="0.2">
      <c r="A886" s="33">
        <v>43647</v>
      </c>
      <c r="B886" s="34">
        <v>188</v>
      </c>
      <c r="C886" s="35" t="s">
        <v>473</v>
      </c>
      <c r="D886" s="34" t="str">
        <f>VLOOKUP(C886,'PUR-PARTY MASTER'!$B$4:$E$2000,2,FALSE)</f>
        <v>27AAACT1848E1ZH</v>
      </c>
      <c r="E886" s="34" t="s">
        <v>22</v>
      </c>
      <c r="F886" s="136" t="s">
        <v>839</v>
      </c>
      <c r="G886" s="37">
        <v>43669</v>
      </c>
      <c r="H886" s="34">
        <v>87089900</v>
      </c>
      <c r="I886" s="39">
        <f>VLOOKUP(H886,'PUR-HSN MASTER'!$A$4:$E$5000,5,FALSE)</f>
        <v>28</v>
      </c>
      <c r="J886" s="38">
        <v>40</v>
      </c>
      <c r="K886" s="40">
        <v>6412</v>
      </c>
      <c r="L886" s="39">
        <v>0</v>
      </c>
      <c r="M886" s="39">
        <v>898.00000000000011</v>
      </c>
      <c r="N886" s="39">
        <v>898.00000000000011</v>
      </c>
      <c r="O886" s="39">
        <v>0</v>
      </c>
      <c r="P886" s="39">
        <v>8208</v>
      </c>
      <c r="Q886" s="34" t="s">
        <v>410</v>
      </c>
      <c r="R886" s="34" t="s">
        <v>26</v>
      </c>
      <c r="S886" s="11" t="s">
        <v>4120</v>
      </c>
    </row>
    <row r="887" spans="1:19" x14ac:dyDescent="0.2">
      <c r="A887" s="33">
        <v>43647</v>
      </c>
      <c r="B887" s="34">
        <v>189</v>
      </c>
      <c r="C887" s="35" t="s">
        <v>473</v>
      </c>
      <c r="D887" s="34" t="str">
        <f>VLOOKUP(C887,'PUR-PARTY MASTER'!$B$4:$E$2000,2,FALSE)</f>
        <v>27AAACT1848E1ZH</v>
      </c>
      <c r="E887" s="34" t="s">
        <v>22</v>
      </c>
      <c r="F887" s="136" t="s">
        <v>840</v>
      </c>
      <c r="G887" s="37">
        <v>43669</v>
      </c>
      <c r="H887" s="34">
        <v>87089900</v>
      </c>
      <c r="I887" s="39">
        <f>VLOOKUP(H887,'PUR-HSN MASTER'!$A$4:$E$5000,5,FALSE)</f>
        <v>28</v>
      </c>
      <c r="J887" s="38">
        <v>324</v>
      </c>
      <c r="K887" s="40">
        <v>5511.68</v>
      </c>
      <c r="L887" s="39">
        <v>0</v>
      </c>
      <c r="M887" s="39">
        <v>771.99520000000007</v>
      </c>
      <c r="N887" s="39">
        <v>771.99520000000007</v>
      </c>
      <c r="O887" s="39">
        <v>0</v>
      </c>
      <c r="P887" s="39">
        <v>7055.6804000000011</v>
      </c>
      <c r="Q887" s="34" t="s">
        <v>410</v>
      </c>
      <c r="R887" s="34" t="s">
        <v>26</v>
      </c>
      <c r="S887" s="11" t="s">
        <v>4120</v>
      </c>
    </row>
    <row r="888" spans="1:19" x14ac:dyDescent="0.2">
      <c r="A888" s="33">
        <v>43647</v>
      </c>
      <c r="B888" s="34">
        <v>190</v>
      </c>
      <c r="C888" s="35" t="s">
        <v>495</v>
      </c>
      <c r="D888" s="34" t="str">
        <f>VLOOKUP(C888,'PUR-PARTY MASTER'!$B$4:$E$2000,2,FALSE)</f>
        <v>27AAACH4211R1ZF</v>
      </c>
      <c r="E888" s="34" t="s">
        <v>22</v>
      </c>
      <c r="F888" s="134">
        <v>5510052433</v>
      </c>
      <c r="G888" s="37">
        <v>43669</v>
      </c>
      <c r="H888" s="34">
        <v>85129000</v>
      </c>
      <c r="I888" s="39">
        <f>VLOOKUP(H888,'PUR-HSN MASTER'!$A$4:$E$5000,5,FALSE)</f>
        <v>18</v>
      </c>
      <c r="J888" s="38">
        <v>2880</v>
      </c>
      <c r="K888" s="40">
        <v>31852.799999999999</v>
      </c>
      <c r="L888" s="39">
        <v>0</v>
      </c>
      <c r="M888" s="39">
        <v>2866.7620000000006</v>
      </c>
      <c r="N888" s="39">
        <v>2866.7620000000006</v>
      </c>
      <c r="O888" s="39">
        <v>0</v>
      </c>
      <c r="P888" s="39">
        <v>37586.324000000001</v>
      </c>
      <c r="Q888" s="34" t="s">
        <v>410</v>
      </c>
      <c r="R888" s="34" t="s">
        <v>26</v>
      </c>
      <c r="S888" s="11" t="s">
        <v>4120</v>
      </c>
    </row>
    <row r="889" spans="1:19" x14ac:dyDescent="0.2">
      <c r="A889" s="33">
        <v>43647</v>
      </c>
      <c r="B889" s="34">
        <v>191</v>
      </c>
      <c r="C889" s="35" t="s">
        <v>517</v>
      </c>
      <c r="D889" s="34" t="str">
        <f>VLOOKUP(C889,'PUR-PARTY MASTER'!$B$4:$E$2000,2,FALSE)</f>
        <v>23AAACT6376M1ZZ</v>
      </c>
      <c r="E889" s="34" t="s">
        <v>22</v>
      </c>
      <c r="F889" s="134">
        <v>19612307</v>
      </c>
      <c r="G889" s="37">
        <v>43666</v>
      </c>
      <c r="H889" s="34">
        <v>87081090</v>
      </c>
      <c r="I889" s="39">
        <f>VLOOKUP(H889,'PUR-HSN MASTER'!$A$4:$E$5000,5,FALSE)</f>
        <v>28</v>
      </c>
      <c r="J889" s="38">
        <v>40</v>
      </c>
      <c r="K889" s="40">
        <v>26097.119999999999</v>
      </c>
      <c r="L889" s="39">
        <v>7307.1936000000005</v>
      </c>
      <c r="M889" s="39">
        <v>0</v>
      </c>
      <c r="N889" s="39">
        <v>0</v>
      </c>
      <c r="O889" s="39">
        <v>0</v>
      </c>
      <c r="P889" s="39">
        <v>33404.313600000001</v>
      </c>
      <c r="Q889" s="34" t="s">
        <v>410</v>
      </c>
      <c r="R889" s="34" t="s">
        <v>106</v>
      </c>
      <c r="S889" s="11" t="s">
        <v>4120</v>
      </c>
    </row>
    <row r="890" spans="1:19" x14ac:dyDescent="0.2">
      <c r="A890" s="33">
        <v>43647</v>
      </c>
      <c r="B890" s="34">
        <v>192</v>
      </c>
      <c r="C890" s="35" t="s">
        <v>471</v>
      </c>
      <c r="D890" s="34" t="str">
        <f>VLOOKUP(C890,'PUR-PARTY MASTER'!$B$4:$E$2000,2,FALSE)</f>
        <v>27AAECM8871A1ZF</v>
      </c>
      <c r="E890" s="34" t="s">
        <v>22</v>
      </c>
      <c r="F890" s="134">
        <v>192003936</v>
      </c>
      <c r="G890" s="37">
        <v>43669</v>
      </c>
      <c r="H890" s="34">
        <v>87089900</v>
      </c>
      <c r="I890" s="39">
        <f>VLOOKUP(H890,'PUR-HSN MASTER'!$A$4:$E$5000,5,FALSE)</f>
        <v>28</v>
      </c>
      <c r="J890" s="38">
        <v>12</v>
      </c>
      <c r="K890" s="40">
        <v>17483.52</v>
      </c>
      <c r="L890" s="39">
        <v>0</v>
      </c>
      <c r="M890" s="39">
        <v>2447.6928000000003</v>
      </c>
      <c r="N890" s="39">
        <v>2447.6928000000003</v>
      </c>
      <c r="O890" s="39">
        <v>0</v>
      </c>
      <c r="P890" s="39">
        <v>22378.895600000003</v>
      </c>
      <c r="Q890" s="34" t="s">
        <v>410</v>
      </c>
      <c r="R890" s="34" t="s">
        <v>26</v>
      </c>
      <c r="S890" s="11" t="s">
        <v>4120</v>
      </c>
    </row>
    <row r="891" spans="1:19" x14ac:dyDescent="0.2">
      <c r="A891" s="33">
        <v>43647</v>
      </c>
      <c r="B891" s="34">
        <v>193</v>
      </c>
      <c r="C891" s="35" t="s">
        <v>471</v>
      </c>
      <c r="D891" s="34" t="str">
        <f>VLOOKUP(C891,'PUR-PARTY MASTER'!$B$4:$E$2000,2,FALSE)</f>
        <v>27AAECM8871A1ZF</v>
      </c>
      <c r="E891" s="34" t="s">
        <v>22</v>
      </c>
      <c r="F891" s="134">
        <v>192003945</v>
      </c>
      <c r="G891" s="37">
        <v>43670</v>
      </c>
      <c r="H891" s="34">
        <v>87089900</v>
      </c>
      <c r="I891" s="39">
        <f>VLOOKUP(H891,'PUR-HSN MASTER'!$A$4:$E$5000,5,FALSE)</f>
        <v>28</v>
      </c>
      <c r="J891" s="38">
        <v>12</v>
      </c>
      <c r="K891" s="40">
        <v>17483.52</v>
      </c>
      <c r="L891" s="39">
        <v>0</v>
      </c>
      <c r="M891" s="39">
        <v>2447.6928000000003</v>
      </c>
      <c r="N891" s="39">
        <v>2447.6928000000003</v>
      </c>
      <c r="O891" s="39">
        <v>0</v>
      </c>
      <c r="P891" s="39">
        <v>22378.895600000003</v>
      </c>
      <c r="Q891" s="34" t="s">
        <v>410</v>
      </c>
      <c r="R891" s="34" t="s">
        <v>26</v>
      </c>
      <c r="S891" s="11" t="s">
        <v>4120</v>
      </c>
    </row>
    <row r="892" spans="1:19" x14ac:dyDescent="0.2">
      <c r="A892" s="33">
        <v>43647</v>
      </c>
      <c r="B892" s="34">
        <v>194</v>
      </c>
      <c r="C892" s="35" t="s">
        <v>479</v>
      </c>
      <c r="D892" s="34" t="str">
        <f>VLOOKUP(C892,'PUR-PARTY MASTER'!$B$4:$E$2000,2,FALSE)</f>
        <v>27AAMFC2124K1ZG</v>
      </c>
      <c r="E892" s="34" t="s">
        <v>22</v>
      </c>
      <c r="F892" s="134">
        <v>1163</v>
      </c>
      <c r="G892" s="37">
        <v>43670</v>
      </c>
      <c r="H892" s="34">
        <v>4811</v>
      </c>
      <c r="I892" s="39">
        <f>VLOOKUP(H892,'PUR-HSN MASTER'!$A$4:$E$5000,5,FALSE)</f>
        <v>18</v>
      </c>
      <c r="J892" s="38">
        <v>1008</v>
      </c>
      <c r="K892" s="40">
        <v>1360.8</v>
      </c>
      <c r="L892" s="39">
        <v>0</v>
      </c>
      <c r="M892" s="39">
        <v>122.47199999999999</v>
      </c>
      <c r="N892" s="39">
        <v>122.47199999999999</v>
      </c>
      <c r="O892" s="39">
        <v>0</v>
      </c>
      <c r="P892" s="39">
        <v>1605.7439999999999</v>
      </c>
      <c r="Q892" s="34" t="s">
        <v>410</v>
      </c>
      <c r="R892" s="34" t="s">
        <v>26</v>
      </c>
      <c r="S892" s="11" t="s">
        <v>4120</v>
      </c>
    </row>
    <row r="893" spans="1:19" x14ac:dyDescent="0.2">
      <c r="A893" s="33">
        <v>43647</v>
      </c>
      <c r="B893" s="34">
        <v>195</v>
      </c>
      <c r="C893" s="35" t="s">
        <v>489</v>
      </c>
      <c r="D893" s="34" t="str">
        <f>VLOOKUP(C893,'PUR-PARTY MASTER'!$B$4:$E$2000,2,FALSE)</f>
        <v>27AAECD2713N1ZK</v>
      </c>
      <c r="E893" s="34" t="s">
        <v>22</v>
      </c>
      <c r="F893" s="134">
        <v>7887986510</v>
      </c>
      <c r="G893" s="37">
        <v>43670</v>
      </c>
      <c r="H893" s="34">
        <v>32082090</v>
      </c>
      <c r="I893" s="39">
        <f>VLOOKUP(H893,'PUR-HSN MASTER'!$A$4:$E$5000,5,FALSE)</f>
        <v>18</v>
      </c>
      <c r="J893" s="38">
        <v>18</v>
      </c>
      <c r="K893" s="40">
        <v>7650</v>
      </c>
      <c r="L893" s="39">
        <v>0</v>
      </c>
      <c r="M893" s="39">
        <v>688.5</v>
      </c>
      <c r="N893" s="39">
        <v>688.5</v>
      </c>
      <c r="O893" s="39">
        <v>0</v>
      </c>
      <c r="P893" s="39">
        <v>9027.2000000000007</v>
      </c>
      <c r="Q893" s="34" t="s">
        <v>410</v>
      </c>
      <c r="R893" s="34" t="s">
        <v>26</v>
      </c>
      <c r="S893" s="11" t="s">
        <v>4120</v>
      </c>
    </row>
    <row r="894" spans="1:19" x14ac:dyDescent="0.2">
      <c r="A894" s="33">
        <v>43647</v>
      </c>
      <c r="B894" s="34">
        <v>196</v>
      </c>
      <c r="C894" s="35" t="s">
        <v>489</v>
      </c>
      <c r="D894" s="34" t="str">
        <f>VLOOKUP(C894,'PUR-PARTY MASTER'!$B$4:$E$2000,2,FALSE)</f>
        <v>27AAECD2713N1ZK</v>
      </c>
      <c r="E894" s="34" t="s">
        <v>22</v>
      </c>
      <c r="F894" s="134">
        <v>7887986512</v>
      </c>
      <c r="G894" s="37">
        <v>43670</v>
      </c>
      <c r="H894" s="34">
        <v>32082090</v>
      </c>
      <c r="I894" s="39">
        <f>VLOOKUP(H894,'PUR-HSN MASTER'!$A$4:$E$5000,5,FALSE)</f>
        <v>18</v>
      </c>
      <c r="J894" s="38">
        <v>24</v>
      </c>
      <c r="K894" s="40">
        <v>12780</v>
      </c>
      <c r="L894" s="39">
        <v>0</v>
      </c>
      <c r="M894" s="39">
        <v>1150.2</v>
      </c>
      <c r="N894" s="39">
        <v>1150.2</v>
      </c>
      <c r="O894" s="39">
        <v>0</v>
      </c>
      <c r="P894" s="39">
        <v>15080.400000000001</v>
      </c>
      <c r="Q894" s="34" t="s">
        <v>410</v>
      </c>
      <c r="R894" s="34" t="s">
        <v>26</v>
      </c>
      <c r="S894" s="11" t="s">
        <v>4120</v>
      </c>
    </row>
    <row r="895" spans="1:19" x14ac:dyDescent="0.2">
      <c r="A895" s="33">
        <v>43647</v>
      </c>
      <c r="B895" s="34"/>
      <c r="C895" s="35" t="s">
        <v>489</v>
      </c>
      <c r="D895" s="34" t="str">
        <f>VLOOKUP(C895,'PUR-PARTY MASTER'!$B$4:$E$2000,2,FALSE)</f>
        <v>27AAECD2713N1ZK</v>
      </c>
      <c r="E895" s="34" t="s">
        <v>22</v>
      </c>
      <c r="F895" s="134">
        <v>7887986512</v>
      </c>
      <c r="G895" s="37">
        <v>43670</v>
      </c>
      <c r="H895" s="34">
        <v>38249990</v>
      </c>
      <c r="I895" s="39">
        <f>VLOOKUP(H895,'PUR-HSN MASTER'!$A$4:$E$5000,5,FALSE)</f>
        <v>18</v>
      </c>
      <c r="J895" s="38">
        <v>16</v>
      </c>
      <c r="K895" s="40">
        <v>9888</v>
      </c>
      <c r="L895" s="39">
        <v>0</v>
      </c>
      <c r="M895" s="39">
        <v>889.92</v>
      </c>
      <c r="N895" s="39">
        <v>889.92</v>
      </c>
      <c r="O895" s="39">
        <v>0</v>
      </c>
      <c r="P895" s="39">
        <v>11667.8</v>
      </c>
      <c r="Q895" s="34" t="s">
        <v>410</v>
      </c>
      <c r="R895" s="34" t="s">
        <v>26</v>
      </c>
      <c r="S895" s="11" t="s">
        <v>4120</v>
      </c>
    </row>
    <row r="896" spans="1:19" x14ac:dyDescent="0.2">
      <c r="A896" s="33">
        <v>43647</v>
      </c>
      <c r="B896" s="34"/>
      <c r="C896" s="35" t="s">
        <v>489</v>
      </c>
      <c r="D896" s="34" t="str">
        <f>VLOOKUP(C896,'PUR-PARTY MASTER'!$B$4:$E$2000,2,FALSE)</f>
        <v>27AAECD2713N1ZK</v>
      </c>
      <c r="E896" s="34" t="s">
        <v>22</v>
      </c>
      <c r="F896" s="134">
        <v>7887986512</v>
      </c>
      <c r="G896" s="37">
        <v>43670</v>
      </c>
      <c r="H896" s="34">
        <v>32081090</v>
      </c>
      <c r="I896" s="39">
        <f>VLOOKUP(H896,'PUR-HSN MASTER'!$A$4:$E$5000,5,FALSE)</f>
        <v>18</v>
      </c>
      <c r="J896" s="38">
        <v>16</v>
      </c>
      <c r="K896" s="40">
        <v>8160</v>
      </c>
      <c r="L896" s="39">
        <v>0</v>
      </c>
      <c r="M896" s="39">
        <v>734.4</v>
      </c>
      <c r="N896" s="39">
        <v>734.4</v>
      </c>
      <c r="O896" s="39">
        <v>0</v>
      </c>
      <c r="P896" s="39">
        <v>9628.7999999999993</v>
      </c>
      <c r="Q896" s="34" t="s">
        <v>410</v>
      </c>
      <c r="R896" s="34" t="s">
        <v>26</v>
      </c>
      <c r="S896" s="11" t="s">
        <v>4120</v>
      </c>
    </row>
    <row r="897" spans="1:19" x14ac:dyDescent="0.2">
      <c r="A897" s="33">
        <v>43647</v>
      </c>
      <c r="B897" s="34">
        <v>197</v>
      </c>
      <c r="C897" s="35" t="s">
        <v>489</v>
      </c>
      <c r="D897" s="34" t="str">
        <f>VLOOKUP(C897,'PUR-PARTY MASTER'!$B$4:$E$2000,2,FALSE)</f>
        <v>27AAECD2713N1ZK</v>
      </c>
      <c r="E897" s="34" t="s">
        <v>22</v>
      </c>
      <c r="F897" s="134">
        <v>7887986513</v>
      </c>
      <c r="G897" s="37">
        <v>43670</v>
      </c>
      <c r="H897" s="34">
        <v>32149090</v>
      </c>
      <c r="I897" s="39">
        <f>VLOOKUP(H897,'PUR-HSN MASTER'!$A$4:$E$5000,5,FALSE)</f>
        <v>18</v>
      </c>
      <c r="J897" s="38">
        <v>12</v>
      </c>
      <c r="K897" s="40">
        <v>5760</v>
      </c>
      <c r="L897" s="39">
        <v>0</v>
      </c>
      <c r="M897" s="39">
        <v>518.4</v>
      </c>
      <c r="N897" s="39">
        <v>518.4</v>
      </c>
      <c r="O897" s="39">
        <v>0</v>
      </c>
      <c r="P897" s="39">
        <v>6796.7999999999993</v>
      </c>
      <c r="Q897" s="34" t="s">
        <v>410</v>
      </c>
      <c r="R897" s="34" t="s">
        <v>26</v>
      </c>
      <c r="S897" s="11" t="s">
        <v>4120</v>
      </c>
    </row>
    <row r="898" spans="1:19" x14ac:dyDescent="0.2">
      <c r="A898" s="33">
        <v>43647</v>
      </c>
      <c r="B898" s="34"/>
      <c r="C898" s="35" t="s">
        <v>489</v>
      </c>
      <c r="D898" s="34" t="str">
        <f>VLOOKUP(C898,'PUR-PARTY MASTER'!$B$4:$E$2000,2,FALSE)</f>
        <v>27AAECD2713N1ZK</v>
      </c>
      <c r="E898" s="34" t="s">
        <v>22</v>
      </c>
      <c r="F898" s="134">
        <v>7887986513</v>
      </c>
      <c r="G898" s="37">
        <v>43670</v>
      </c>
      <c r="H898" s="34">
        <v>29163200</v>
      </c>
      <c r="I898" s="39">
        <f>VLOOKUP(H898,'PUR-HSN MASTER'!$A$4:$E$5000,5,FALSE)</f>
        <v>18</v>
      </c>
      <c r="J898" s="38">
        <v>6</v>
      </c>
      <c r="K898" s="40">
        <v>501</v>
      </c>
      <c r="L898" s="39">
        <v>0</v>
      </c>
      <c r="M898" s="39">
        <v>45.089999999999996</v>
      </c>
      <c r="N898" s="39">
        <v>45.089999999999996</v>
      </c>
      <c r="O898" s="39">
        <v>0</v>
      </c>
      <c r="P898" s="39">
        <v>591.20000000000005</v>
      </c>
      <c r="Q898" s="34" t="s">
        <v>410</v>
      </c>
      <c r="R898" s="34" t="s">
        <v>26</v>
      </c>
      <c r="S898" s="11" t="s">
        <v>4120</v>
      </c>
    </row>
    <row r="899" spans="1:19" x14ac:dyDescent="0.2">
      <c r="A899" s="33">
        <v>43647</v>
      </c>
      <c r="B899" s="34"/>
      <c r="C899" s="35" t="s">
        <v>489</v>
      </c>
      <c r="D899" s="34" t="str">
        <f>VLOOKUP(C899,'PUR-PARTY MASTER'!$B$4:$E$2000,2,FALSE)</f>
        <v>27AAECD2713N1ZK</v>
      </c>
      <c r="E899" s="34" t="s">
        <v>22</v>
      </c>
      <c r="F899" s="134">
        <v>7887986513</v>
      </c>
      <c r="G899" s="37">
        <v>43670</v>
      </c>
      <c r="H899" s="34">
        <v>38140010</v>
      </c>
      <c r="I899" s="39">
        <f>VLOOKUP(H899,'PUR-HSN MASTER'!$A$4:$E$5000,5,FALSE)</f>
        <v>18</v>
      </c>
      <c r="J899" s="38">
        <v>100</v>
      </c>
      <c r="K899" s="40">
        <v>14500</v>
      </c>
      <c r="L899" s="39">
        <v>0</v>
      </c>
      <c r="M899" s="39">
        <v>1305</v>
      </c>
      <c r="N899" s="39">
        <v>1305</v>
      </c>
      <c r="O899" s="39">
        <v>0</v>
      </c>
      <c r="P899" s="39">
        <v>17110</v>
      </c>
      <c r="Q899" s="34" t="s">
        <v>410</v>
      </c>
      <c r="R899" s="34" t="s">
        <v>26</v>
      </c>
      <c r="S899" s="11" t="s">
        <v>4120</v>
      </c>
    </row>
    <row r="900" spans="1:19" x14ac:dyDescent="0.2">
      <c r="A900" s="33">
        <v>43647</v>
      </c>
      <c r="B900" s="34"/>
      <c r="C900" s="35" t="s">
        <v>489</v>
      </c>
      <c r="D900" s="34" t="str">
        <f>VLOOKUP(C900,'PUR-PARTY MASTER'!$B$4:$E$2000,2,FALSE)</f>
        <v>27AAECD2713N1ZK</v>
      </c>
      <c r="E900" s="34" t="s">
        <v>22</v>
      </c>
      <c r="F900" s="134">
        <v>7887986513</v>
      </c>
      <c r="G900" s="37">
        <v>43670</v>
      </c>
      <c r="H900" s="34">
        <v>39119090</v>
      </c>
      <c r="I900" s="39">
        <f>VLOOKUP(H900,'PUR-HSN MASTER'!$A$4:$E$5000,5,FALSE)</f>
        <v>18</v>
      </c>
      <c r="J900" s="38">
        <v>36</v>
      </c>
      <c r="K900" s="40">
        <v>20376</v>
      </c>
      <c r="L900" s="39">
        <v>0</v>
      </c>
      <c r="M900" s="39">
        <v>1833.84</v>
      </c>
      <c r="N900" s="39">
        <v>1833.84</v>
      </c>
      <c r="O900" s="39">
        <v>0</v>
      </c>
      <c r="P900" s="39">
        <v>24044</v>
      </c>
      <c r="Q900" s="34" t="s">
        <v>410</v>
      </c>
      <c r="R900" s="34" t="s">
        <v>26</v>
      </c>
      <c r="S900" s="11" t="s">
        <v>4120</v>
      </c>
    </row>
    <row r="901" spans="1:19" x14ac:dyDescent="0.2">
      <c r="A901" s="33">
        <v>43647</v>
      </c>
      <c r="B901" s="34">
        <v>198</v>
      </c>
      <c r="C901" s="35" t="s">
        <v>489</v>
      </c>
      <c r="D901" s="34" t="str">
        <f>VLOOKUP(C901,'PUR-PARTY MASTER'!$B$4:$E$2000,2,FALSE)</f>
        <v>27AAECD2713N1ZK</v>
      </c>
      <c r="E901" s="34" t="s">
        <v>22</v>
      </c>
      <c r="F901" s="134">
        <v>7887986552</v>
      </c>
      <c r="G901" s="37">
        <v>43670</v>
      </c>
      <c r="H901" s="34">
        <v>38140010</v>
      </c>
      <c r="I901" s="39">
        <f>VLOOKUP(H901,'PUR-HSN MASTER'!$A$4:$E$5000,5,FALSE)</f>
        <v>18</v>
      </c>
      <c r="J901" s="38">
        <v>100</v>
      </c>
      <c r="K901" s="40">
        <v>12500</v>
      </c>
      <c r="L901" s="39">
        <v>0</v>
      </c>
      <c r="M901" s="39">
        <v>1125</v>
      </c>
      <c r="N901" s="39">
        <v>1125</v>
      </c>
      <c r="O901" s="39">
        <v>0</v>
      </c>
      <c r="P901" s="39">
        <v>14750.32</v>
      </c>
      <c r="Q901" s="34" t="s">
        <v>410</v>
      </c>
      <c r="R901" s="34" t="s">
        <v>26</v>
      </c>
      <c r="S901" s="11" t="s">
        <v>4120</v>
      </c>
    </row>
    <row r="902" spans="1:19" x14ac:dyDescent="0.2">
      <c r="A902" s="33">
        <v>43647</v>
      </c>
      <c r="B902" s="34">
        <v>199</v>
      </c>
      <c r="C902" s="35" t="s">
        <v>473</v>
      </c>
      <c r="D902" s="34" t="str">
        <f>VLOOKUP(C902,'PUR-PARTY MASTER'!$B$4:$E$2000,2,FALSE)</f>
        <v>27AAACT1848E1ZH</v>
      </c>
      <c r="E902" s="34" t="s">
        <v>22</v>
      </c>
      <c r="F902" s="136" t="s">
        <v>841</v>
      </c>
      <c r="G902" s="37">
        <v>43670</v>
      </c>
      <c r="H902" s="34">
        <v>87089900</v>
      </c>
      <c r="I902" s="39">
        <f>VLOOKUP(H902,'PUR-HSN MASTER'!$A$4:$E$5000,5,FALSE)</f>
        <v>28</v>
      </c>
      <c r="J902" s="38">
        <v>50</v>
      </c>
      <c r="K902" s="40">
        <v>8015</v>
      </c>
      <c r="L902" s="39">
        <v>0</v>
      </c>
      <c r="M902" s="39">
        <v>1122.0000000000002</v>
      </c>
      <c r="N902" s="39">
        <v>1122.0000000000002</v>
      </c>
      <c r="O902" s="39">
        <v>0</v>
      </c>
      <c r="P902" s="39">
        <v>10259</v>
      </c>
      <c r="Q902" s="34" t="s">
        <v>410</v>
      </c>
      <c r="R902" s="34" t="s">
        <v>26</v>
      </c>
      <c r="S902" s="11" t="s">
        <v>4120</v>
      </c>
    </row>
    <row r="903" spans="1:19" x14ac:dyDescent="0.2">
      <c r="A903" s="33">
        <v>43647</v>
      </c>
      <c r="B903" s="34">
        <v>200</v>
      </c>
      <c r="C903" s="35" t="s">
        <v>473</v>
      </c>
      <c r="D903" s="34" t="str">
        <f>VLOOKUP(C903,'PUR-PARTY MASTER'!$B$4:$E$2000,2,FALSE)</f>
        <v>27AAACT1848E1ZH</v>
      </c>
      <c r="E903" s="34" t="s">
        <v>22</v>
      </c>
      <c r="F903" s="136" t="s">
        <v>842</v>
      </c>
      <c r="G903" s="37">
        <v>43670</v>
      </c>
      <c r="H903" s="34">
        <v>87089900</v>
      </c>
      <c r="I903" s="39">
        <f>VLOOKUP(H903,'PUR-HSN MASTER'!$A$4:$E$5000,5,FALSE)</f>
        <v>28</v>
      </c>
      <c r="J903" s="38">
        <v>28</v>
      </c>
      <c r="K903" s="40">
        <v>4208.96</v>
      </c>
      <c r="L903" s="39">
        <v>0</v>
      </c>
      <c r="M903" s="39">
        <v>589.00439999999992</v>
      </c>
      <c r="N903" s="39">
        <v>589.00439999999992</v>
      </c>
      <c r="O903" s="39">
        <v>0</v>
      </c>
      <c r="P903" s="39">
        <v>5386.9587999999994</v>
      </c>
      <c r="Q903" s="34" t="s">
        <v>410</v>
      </c>
      <c r="R903" s="34" t="s">
        <v>26</v>
      </c>
      <c r="S903" s="11" t="s">
        <v>4120</v>
      </c>
    </row>
    <row r="904" spans="1:19" x14ac:dyDescent="0.2">
      <c r="A904" s="33">
        <v>43647</v>
      </c>
      <c r="B904" s="34">
        <v>201</v>
      </c>
      <c r="C904" s="632" t="s">
        <v>741</v>
      </c>
      <c r="D904" s="34" t="str">
        <f>VLOOKUP(C904,'PUR-PARTY MASTER'!$B$4:$E$2000,2,FALSE)</f>
        <v>27AAACV2420J1ZI</v>
      </c>
      <c r="E904" s="34" t="s">
        <v>22</v>
      </c>
      <c r="F904" s="136">
        <v>2240094439</v>
      </c>
      <c r="G904" s="37">
        <v>43670</v>
      </c>
      <c r="H904" s="34">
        <v>87142090</v>
      </c>
      <c r="I904" s="39">
        <f>VLOOKUP(H904,'PUR-HSN MASTER'!$A$4:$E$5000,5,FALSE)</f>
        <v>28</v>
      </c>
      <c r="J904" s="38">
        <v>528</v>
      </c>
      <c r="K904" s="40">
        <v>4514.3999999999996</v>
      </c>
      <c r="L904" s="39">
        <v>0</v>
      </c>
      <c r="M904" s="39">
        <v>632.01599999999996</v>
      </c>
      <c r="N904" s="39">
        <v>632.01599999999996</v>
      </c>
      <c r="O904" s="39">
        <v>0</v>
      </c>
      <c r="P904" s="39">
        <v>5778.4419999999991</v>
      </c>
      <c r="Q904" s="34" t="s">
        <v>410</v>
      </c>
      <c r="R904" s="34" t="s">
        <v>26</v>
      </c>
      <c r="S904" s="11" t="s">
        <v>4120</v>
      </c>
    </row>
    <row r="905" spans="1:19" x14ac:dyDescent="0.2">
      <c r="A905" s="33">
        <v>43647</v>
      </c>
      <c r="B905" s="34">
        <v>202</v>
      </c>
      <c r="C905" s="632" t="s">
        <v>741</v>
      </c>
      <c r="D905" s="34" t="str">
        <f>VLOOKUP(C905,'PUR-PARTY MASTER'!$B$4:$E$2000,2,FALSE)</f>
        <v>27AAACV2420J1ZI</v>
      </c>
      <c r="E905" s="34" t="s">
        <v>22</v>
      </c>
      <c r="F905" s="136">
        <v>2240094440</v>
      </c>
      <c r="G905" s="37">
        <v>43670</v>
      </c>
      <c r="H905" s="34">
        <v>87142090</v>
      </c>
      <c r="I905" s="39">
        <f>VLOOKUP(H905,'PUR-HSN MASTER'!$A$4:$E$5000,5,FALSE)</f>
        <v>28</v>
      </c>
      <c r="J905" s="38">
        <v>1620</v>
      </c>
      <c r="K905" s="40">
        <v>47611.8</v>
      </c>
      <c r="L905" s="39">
        <v>0</v>
      </c>
      <c r="M905" s="39">
        <v>6665.6620000000012</v>
      </c>
      <c r="N905" s="39">
        <v>6665.6620000000012</v>
      </c>
      <c r="O905" s="39">
        <v>0</v>
      </c>
      <c r="P905" s="39">
        <v>60943.124000000011</v>
      </c>
      <c r="Q905" s="34" t="s">
        <v>410</v>
      </c>
      <c r="R905" s="34" t="s">
        <v>26</v>
      </c>
      <c r="S905" s="11" t="s">
        <v>4120</v>
      </c>
    </row>
    <row r="906" spans="1:19" x14ac:dyDescent="0.2">
      <c r="A906" s="33">
        <v>43647</v>
      </c>
      <c r="B906" s="34">
        <v>203</v>
      </c>
      <c r="C906" s="35" t="s">
        <v>554</v>
      </c>
      <c r="D906" s="34" t="str">
        <f>VLOOKUP(C906,'PUR-PARTY MASTER'!$B$4:$E$2000,2,FALSE)</f>
        <v>27AACFA1881H1ZL</v>
      </c>
      <c r="E906" s="34" t="s">
        <v>22</v>
      </c>
      <c r="F906" s="134">
        <v>4961</v>
      </c>
      <c r="G906" s="37">
        <v>43670</v>
      </c>
      <c r="H906" s="34">
        <v>87141900</v>
      </c>
      <c r="I906" s="39">
        <f>VLOOKUP(H906,'PUR-HSN MASTER'!$A$4:$E$5000,5,FALSE)</f>
        <v>28</v>
      </c>
      <c r="J906" s="38">
        <v>2350</v>
      </c>
      <c r="K906" s="40">
        <v>7217.5</v>
      </c>
      <c r="L906" s="39">
        <v>0</v>
      </c>
      <c r="M906" s="39">
        <v>1010.4499999999999</v>
      </c>
      <c r="N906" s="39">
        <v>1010.4499999999999</v>
      </c>
      <c r="O906" s="39">
        <v>0</v>
      </c>
      <c r="P906" s="39">
        <v>9238.4000000000015</v>
      </c>
      <c r="Q906" s="34" t="s">
        <v>410</v>
      </c>
      <c r="R906" s="34" t="s">
        <v>26</v>
      </c>
      <c r="S906" s="11" t="s">
        <v>4120</v>
      </c>
    </row>
    <row r="907" spans="1:19" x14ac:dyDescent="0.2">
      <c r="A907" s="33">
        <v>43647</v>
      </c>
      <c r="B907" s="34">
        <v>204</v>
      </c>
      <c r="C907" s="35" t="s">
        <v>554</v>
      </c>
      <c r="D907" s="34" t="str">
        <f>VLOOKUP(C907,'PUR-PARTY MASTER'!$B$4:$E$2000,2,FALSE)</f>
        <v>27AACFA1881H1ZL</v>
      </c>
      <c r="E907" s="34" t="s">
        <v>22</v>
      </c>
      <c r="F907" s="134">
        <v>4979</v>
      </c>
      <c r="G907" s="37">
        <v>43671</v>
      </c>
      <c r="H907" s="34">
        <v>87141900</v>
      </c>
      <c r="I907" s="39">
        <f>VLOOKUP(H907,'PUR-HSN MASTER'!$A$4:$E$5000,5,FALSE)</f>
        <v>28</v>
      </c>
      <c r="J907" s="38">
        <v>2800</v>
      </c>
      <c r="K907" s="40">
        <v>7488</v>
      </c>
      <c r="L907" s="39">
        <v>0</v>
      </c>
      <c r="M907" s="39">
        <v>1048.32</v>
      </c>
      <c r="N907" s="39">
        <v>1048.32</v>
      </c>
      <c r="O907" s="39">
        <v>0</v>
      </c>
      <c r="P907" s="39">
        <v>9584.64</v>
      </c>
      <c r="Q907" s="34" t="s">
        <v>410</v>
      </c>
      <c r="R907" s="34" t="s">
        <v>26</v>
      </c>
      <c r="S907" s="11" t="s">
        <v>4120</v>
      </c>
    </row>
    <row r="908" spans="1:19" x14ac:dyDescent="0.2">
      <c r="A908" s="33">
        <v>43647</v>
      </c>
      <c r="B908" s="34">
        <v>205</v>
      </c>
      <c r="C908" s="35" t="s">
        <v>479</v>
      </c>
      <c r="D908" s="34" t="str">
        <f>VLOOKUP(C908,'PUR-PARTY MASTER'!$B$4:$E$2000,2,FALSE)</f>
        <v>27AAMFC2124K1ZG</v>
      </c>
      <c r="E908" s="34" t="s">
        <v>22</v>
      </c>
      <c r="F908" s="134">
        <v>1165</v>
      </c>
      <c r="G908" s="37">
        <v>43671</v>
      </c>
      <c r="H908" s="34">
        <v>4811</v>
      </c>
      <c r="I908" s="39">
        <f>VLOOKUP(H908,'PUR-HSN MASTER'!$A$4:$E$5000,5,FALSE)</f>
        <v>18</v>
      </c>
      <c r="J908" s="38">
        <v>1006</v>
      </c>
      <c r="K908" s="40">
        <v>1358.1</v>
      </c>
      <c r="L908" s="39">
        <v>0</v>
      </c>
      <c r="M908" s="39">
        <v>122.229</v>
      </c>
      <c r="N908" s="39">
        <v>122.229</v>
      </c>
      <c r="O908" s="39">
        <v>0</v>
      </c>
      <c r="P908" s="39">
        <v>1602.558</v>
      </c>
      <c r="Q908" s="34" t="s">
        <v>410</v>
      </c>
      <c r="R908" s="34" t="s">
        <v>26</v>
      </c>
      <c r="S908" s="11" t="s">
        <v>4120</v>
      </c>
    </row>
    <row r="909" spans="1:19" x14ac:dyDescent="0.2">
      <c r="A909" s="33">
        <v>43647</v>
      </c>
      <c r="B909" s="34">
        <v>206</v>
      </c>
      <c r="C909" s="35" t="s">
        <v>489</v>
      </c>
      <c r="D909" s="34" t="str">
        <f>VLOOKUP(C909,'PUR-PARTY MASTER'!$B$4:$E$2000,2,FALSE)</f>
        <v>27AAECD2713N1ZK</v>
      </c>
      <c r="E909" s="34" t="s">
        <v>22</v>
      </c>
      <c r="F909" s="134">
        <v>7887986596</v>
      </c>
      <c r="G909" s="37">
        <v>43671</v>
      </c>
      <c r="H909" s="34">
        <v>32082090</v>
      </c>
      <c r="I909" s="39">
        <f>VLOOKUP(H909,'PUR-HSN MASTER'!$A$4:$E$5000,5,FALSE)</f>
        <v>18</v>
      </c>
      <c r="J909" s="38">
        <v>20</v>
      </c>
      <c r="K909" s="40">
        <v>9000</v>
      </c>
      <c r="L909" s="39">
        <v>0</v>
      </c>
      <c r="M909" s="39">
        <v>810</v>
      </c>
      <c r="N909" s="39">
        <v>810</v>
      </c>
      <c r="O909" s="39">
        <v>0</v>
      </c>
      <c r="P909" s="39">
        <v>10620</v>
      </c>
      <c r="Q909" s="34" t="s">
        <v>410</v>
      </c>
      <c r="R909" s="34" t="s">
        <v>26</v>
      </c>
      <c r="S909" s="11" t="s">
        <v>4120</v>
      </c>
    </row>
    <row r="910" spans="1:19" x14ac:dyDescent="0.2">
      <c r="A910" s="33">
        <v>43647</v>
      </c>
      <c r="B910" s="34">
        <v>207</v>
      </c>
      <c r="C910" s="35" t="s">
        <v>471</v>
      </c>
      <c r="D910" s="34" t="str">
        <f>VLOOKUP(C910,'PUR-PARTY MASTER'!$B$4:$E$2000,2,FALSE)</f>
        <v>27AAECM8871A1ZF</v>
      </c>
      <c r="E910" s="34" t="s">
        <v>22</v>
      </c>
      <c r="F910" s="134">
        <v>192003998</v>
      </c>
      <c r="G910" s="37">
        <v>43672</v>
      </c>
      <c r="H910" s="34">
        <v>87089900</v>
      </c>
      <c r="I910" s="39">
        <f>VLOOKUP(H910,'PUR-HSN MASTER'!$A$4:$E$5000,5,FALSE)</f>
        <v>28</v>
      </c>
      <c r="J910" s="38">
        <v>10</v>
      </c>
      <c r="K910" s="40">
        <v>14569.6</v>
      </c>
      <c r="L910" s="39">
        <v>0</v>
      </c>
      <c r="M910" s="39">
        <v>2039.7439999999999</v>
      </c>
      <c r="N910" s="39">
        <v>2039.7439999999999</v>
      </c>
      <c r="O910" s="39">
        <v>0</v>
      </c>
      <c r="P910" s="39">
        <v>18649.078000000001</v>
      </c>
      <c r="Q910" s="34" t="s">
        <v>410</v>
      </c>
      <c r="R910" s="34" t="s">
        <v>26</v>
      </c>
      <c r="S910" s="11" t="s">
        <v>4120</v>
      </c>
    </row>
    <row r="911" spans="1:19" x14ac:dyDescent="0.2">
      <c r="A911" s="33">
        <v>43647</v>
      </c>
      <c r="B911" s="34">
        <v>208</v>
      </c>
      <c r="C911" s="35" t="s">
        <v>471</v>
      </c>
      <c r="D911" s="34" t="str">
        <f>VLOOKUP(C911,'PUR-PARTY MASTER'!$B$4:$E$2000,2,FALSE)</f>
        <v>27AAECM8871A1ZF</v>
      </c>
      <c r="E911" s="34" t="s">
        <v>22</v>
      </c>
      <c r="F911" s="134">
        <v>192004008</v>
      </c>
      <c r="G911" s="37">
        <v>43672</v>
      </c>
      <c r="H911" s="34">
        <v>87089900</v>
      </c>
      <c r="I911" s="39">
        <f>VLOOKUP(H911,'PUR-HSN MASTER'!$A$4:$E$5000,5,FALSE)</f>
        <v>28</v>
      </c>
      <c r="J911" s="38">
        <v>12</v>
      </c>
      <c r="K911" s="40">
        <v>17483.52</v>
      </c>
      <c r="L911" s="39">
        <v>0</v>
      </c>
      <c r="M911" s="39">
        <v>2447.6928000000003</v>
      </c>
      <c r="N911" s="39">
        <v>2447.6928000000003</v>
      </c>
      <c r="O911" s="39">
        <v>0</v>
      </c>
      <c r="P911" s="39">
        <v>22378.895600000003</v>
      </c>
      <c r="Q911" s="34" t="s">
        <v>410</v>
      </c>
      <c r="R911" s="34" t="s">
        <v>26</v>
      </c>
      <c r="S911" s="11" t="s">
        <v>4120</v>
      </c>
    </row>
    <row r="912" spans="1:19" x14ac:dyDescent="0.2">
      <c r="A912" s="33">
        <v>43647</v>
      </c>
      <c r="B912" s="34">
        <v>209</v>
      </c>
      <c r="C912" s="35" t="s">
        <v>471</v>
      </c>
      <c r="D912" s="34" t="str">
        <f>VLOOKUP(C912,'PUR-PARTY MASTER'!$B$4:$E$2000,2,FALSE)</f>
        <v>27AAECM8871A1ZF</v>
      </c>
      <c r="E912" s="34" t="s">
        <v>22</v>
      </c>
      <c r="F912" s="134">
        <v>192004011</v>
      </c>
      <c r="G912" s="37">
        <v>43672</v>
      </c>
      <c r="H912" s="34">
        <v>87089900</v>
      </c>
      <c r="I912" s="39">
        <f>VLOOKUP(H912,'PUR-HSN MASTER'!$A$4:$E$5000,5,FALSE)</f>
        <v>28</v>
      </c>
      <c r="J912" s="38">
        <v>12</v>
      </c>
      <c r="K912" s="40">
        <v>17483.52</v>
      </c>
      <c r="L912" s="39">
        <v>0</v>
      </c>
      <c r="M912" s="39">
        <v>2447.6928000000003</v>
      </c>
      <c r="N912" s="39">
        <v>2447.6928000000003</v>
      </c>
      <c r="O912" s="39">
        <v>0</v>
      </c>
      <c r="P912" s="39">
        <v>22378.895600000003</v>
      </c>
      <c r="Q912" s="34" t="s">
        <v>410</v>
      </c>
      <c r="R912" s="34" t="s">
        <v>26</v>
      </c>
      <c r="S912" s="11" t="s">
        <v>4120</v>
      </c>
    </row>
    <row r="913" spans="1:19" x14ac:dyDescent="0.2">
      <c r="A913" s="33">
        <v>43647</v>
      </c>
      <c r="B913" s="34">
        <v>210</v>
      </c>
      <c r="C913" s="35" t="s">
        <v>506</v>
      </c>
      <c r="D913" s="34" t="str">
        <f>VLOOKUP(C913,'PUR-PARTY MASTER'!$B$4:$E$2000,2,FALSE)</f>
        <v>27AAACG1376N1ZC</v>
      </c>
      <c r="E913" s="34" t="s">
        <v>22</v>
      </c>
      <c r="F913" s="136" t="s">
        <v>843</v>
      </c>
      <c r="G913" s="37">
        <v>43671</v>
      </c>
      <c r="H913" s="34">
        <v>38140010</v>
      </c>
      <c r="I913" s="39">
        <f>VLOOKUP(H913,'PUR-HSN MASTER'!$A$4:$E$5000,5,FALSE)</f>
        <v>18</v>
      </c>
      <c r="J913" s="38">
        <v>200</v>
      </c>
      <c r="K913" s="40">
        <v>18480</v>
      </c>
      <c r="L913" s="39">
        <v>0</v>
      </c>
      <c r="M913" s="39">
        <v>1663.2</v>
      </c>
      <c r="N913" s="39">
        <v>1663.2</v>
      </c>
      <c r="O913" s="39">
        <v>0</v>
      </c>
      <c r="P913" s="39">
        <v>21806</v>
      </c>
      <c r="Q913" s="34" t="s">
        <v>410</v>
      </c>
      <c r="R913" s="34" t="s">
        <v>26</v>
      </c>
      <c r="S913" s="11" t="s">
        <v>4120</v>
      </c>
    </row>
    <row r="914" spans="1:19" x14ac:dyDescent="0.2">
      <c r="A914" s="33">
        <v>43647</v>
      </c>
      <c r="B914" s="34">
        <v>211</v>
      </c>
      <c r="C914" s="35" t="s">
        <v>506</v>
      </c>
      <c r="D914" s="34" t="str">
        <f>VLOOKUP(C914,'PUR-PARTY MASTER'!$B$4:$E$2000,2,FALSE)</f>
        <v>27AAACG1376N1ZC</v>
      </c>
      <c r="E914" s="34" t="s">
        <v>22</v>
      </c>
      <c r="F914" s="136" t="s">
        <v>844</v>
      </c>
      <c r="G914" s="37">
        <v>43671</v>
      </c>
      <c r="H914" s="34">
        <v>32082090</v>
      </c>
      <c r="I914" s="39">
        <f>VLOOKUP(H914,'PUR-HSN MASTER'!$A$4:$E$5000,5,FALSE)</f>
        <v>18</v>
      </c>
      <c r="J914" s="38">
        <v>504</v>
      </c>
      <c r="K914" s="40">
        <v>146664</v>
      </c>
      <c r="L914" s="39">
        <v>0</v>
      </c>
      <c r="M914" s="39">
        <v>13199.76</v>
      </c>
      <c r="N914" s="39">
        <v>13199.76</v>
      </c>
      <c r="O914" s="39">
        <v>0</v>
      </c>
      <c r="P914" s="39">
        <v>173064.00000000003</v>
      </c>
      <c r="Q914" s="34" t="s">
        <v>410</v>
      </c>
      <c r="R914" s="34" t="s">
        <v>26</v>
      </c>
      <c r="S914" s="11" t="s">
        <v>4120</v>
      </c>
    </row>
    <row r="915" spans="1:19" x14ac:dyDescent="0.2">
      <c r="A915" s="33">
        <v>43647</v>
      </c>
      <c r="B915" s="34">
        <v>212</v>
      </c>
      <c r="C915" s="35" t="s">
        <v>601</v>
      </c>
      <c r="D915" s="34" t="str">
        <f>VLOOKUP(C915,'PUR-PARTY MASTER'!$B$4:$E$2000,2,FALSE)</f>
        <v>27AAZFM6461A1ZY</v>
      </c>
      <c r="E915" s="34" t="s">
        <v>22</v>
      </c>
      <c r="F915" s="134">
        <v>3142</v>
      </c>
      <c r="G915" s="37">
        <v>43672</v>
      </c>
      <c r="H915" s="34">
        <v>87082900</v>
      </c>
      <c r="I915" s="39">
        <f>VLOOKUP(H915,'PUR-HSN MASTER'!$A$4:$E$5000,5,FALSE)</f>
        <v>28</v>
      </c>
      <c r="J915" s="38">
        <v>1020</v>
      </c>
      <c r="K915" s="40">
        <v>43421.4</v>
      </c>
      <c r="L915" s="39">
        <v>0</v>
      </c>
      <c r="M915" s="39">
        <v>6078.9960000000001</v>
      </c>
      <c r="N915" s="39">
        <v>6078.9960000000001</v>
      </c>
      <c r="O915" s="39">
        <v>0</v>
      </c>
      <c r="P915" s="39">
        <v>55579.402000000002</v>
      </c>
      <c r="Q915" s="34" t="s">
        <v>410</v>
      </c>
      <c r="R915" s="34" t="s">
        <v>26</v>
      </c>
      <c r="S915" s="11" t="s">
        <v>4120</v>
      </c>
    </row>
    <row r="916" spans="1:19" x14ac:dyDescent="0.2">
      <c r="A916" s="33">
        <v>43647</v>
      </c>
      <c r="B916" s="34">
        <v>213</v>
      </c>
      <c r="C916" s="35" t="s">
        <v>554</v>
      </c>
      <c r="D916" s="34" t="str">
        <f>VLOOKUP(C916,'PUR-PARTY MASTER'!$B$4:$E$2000,2,FALSE)</f>
        <v>27AACFA1881H1ZL</v>
      </c>
      <c r="E916" s="34" t="s">
        <v>22</v>
      </c>
      <c r="F916" s="134">
        <v>5040</v>
      </c>
      <c r="G916" s="37">
        <v>43672</v>
      </c>
      <c r="H916" s="34">
        <v>87141900</v>
      </c>
      <c r="I916" s="39">
        <f>VLOOKUP(H916,'PUR-HSN MASTER'!$A$4:$E$5000,5,FALSE)</f>
        <v>28</v>
      </c>
      <c r="J916" s="38">
        <v>5600</v>
      </c>
      <c r="K916" s="40">
        <v>14088</v>
      </c>
      <c r="L916" s="39">
        <v>0</v>
      </c>
      <c r="M916" s="39">
        <v>1972.32</v>
      </c>
      <c r="N916" s="39">
        <v>1972.32</v>
      </c>
      <c r="O916" s="39">
        <v>0</v>
      </c>
      <c r="P916" s="39">
        <v>18032.64</v>
      </c>
      <c r="Q916" s="34" t="s">
        <v>410</v>
      </c>
      <c r="R916" s="34" t="s">
        <v>26</v>
      </c>
      <c r="S916" s="11" t="s">
        <v>4120</v>
      </c>
    </row>
    <row r="917" spans="1:19" x14ac:dyDescent="0.2">
      <c r="A917" s="33">
        <v>43647</v>
      </c>
      <c r="B917" s="34">
        <v>214</v>
      </c>
      <c r="C917" s="35" t="s">
        <v>554</v>
      </c>
      <c r="D917" s="34" t="str">
        <f>VLOOKUP(C917,'PUR-PARTY MASTER'!$B$4:$E$2000,2,FALSE)</f>
        <v>27AACFA1881H1ZL</v>
      </c>
      <c r="E917" s="34" t="s">
        <v>22</v>
      </c>
      <c r="F917" s="134">
        <v>5070</v>
      </c>
      <c r="G917" s="37">
        <v>43672</v>
      </c>
      <c r="H917" s="34">
        <v>87141900</v>
      </c>
      <c r="I917" s="39">
        <f>VLOOKUP(H917,'PUR-HSN MASTER'!$A$4:$E$5000,5,FALSE)</f>
        <v>28</v>
      </c>
      <c r="J917" s="38">
        <v>3300</v>
      </c>
      <c r="K917" s="40">
        <v>7953</v>
      </c>
      <c r="L917" s="39">
        <v>0</v>
      </c>
      <c r="M917" s="39">
        <v>1113.42</v>
      </c>
      <c r="N917" s="39">
        <v>1113.42</v>
      </c>
      <c r="O917" s="39">
        <v>0</v>
      </c>
      <c r="P917" s="39">
        <v>10179.84</v>
      </c>
      <c r="Q917" s="34" t="s">
        <v>410</v>
      </c>
      <c r="R917" s="34" t="s">
        <v>26</v>
      </c>
      <c r="S917" s="11" t="s">
        <v>4120</v>
      </c>
    </row>
    <row r="918" spans="1:19" x14ac:dyDescent="0.2">
      <c r="A918" s="33">
        <v>43647</v>
      </c>
      <c r="B918" s="34">
        <v>215</v>
      </c>
      <c r="C918" s="35" t="s">
        <v>495</v>
      </c>
      <c r="D918" s="34" t="str">
        <f>VLOOKUP(C918,'PUR-PARTY MASTER'!$B$4:$E$2000,2,FALSE)</f>
        <v>27AAACH4211R1ZF</v>
      </c>
      <c r="E918" s="34" t="s">
        <v>22</v>
      </c>
      <c r="F918" s="134">
        <v>5510052777</v>
      </c>
      <c r="G918" s="37">
        <v>43672</v>
      </c>
      <c r="H918" s="34">
        <v>85129000</v>
      </c>
      <c r="I918" s="39">
        <f>VLOOKUP(H918,'PUR-HSN MASTER'!$A$4:$E$5000,5,FALSE)</f>
        <v>18</v>
      </c>
      <c r="J918" s="38">
        <v>3600</v>
      </c>
      <c r="K918" s="40">
        <v>39816</v>
      </c>
      <c r="L918" s="39">
        <v>0</v>
      </c>
      <c r="M918" s="39">
        <v>3583.44</v>
      </c>
      <c r="N918" s="39">
        <v>3583.44</v>
      </c>
      <c r="O918" s="39">
        <v>0</v>
      </c>
      <c r="P918" s="39">
        <v>46982.880000000005</v>
      </c>
      <c r="Q918" s="34" t="s">
        <v>410</v>
      </c>
      <c r="R918" s="34" t="s">
        <v>26</v>
      </c>
      <c r="S918" s="11" t="s">
        <v>4120</v>
      </c>
    </row>
    <row r="919" spans="1:19" x14ac:dyDescent="0.2">
      <c r="A919" s="33">
        <v>43647</v>
      </c>
      <c r="B919" s="34">
        <v>216</v>
      </c>
      <c r="C919" s="632" t="s">
        <v>845</v>
      </c>
      <c r="D919" s="34" t="str">
        <f>VLOOKUP(C919,'PUR-PARTY MASTER'!$B$4:$E$2000,2,FALSE)</f>
        <v>27AABFR5119A1ZO</v>
      </c>
      <c r="E919" s="34" t="s">
        <v>22</v>
      </c>
      <c r="F919" s="134" t="s">
        <v>847</v>
      </c>
      <c r="G919" s="37">
        <v>43673</v>
      </c>
      <c r="H919" s="34">
        <v>38140010</v>
      </c>
      <c r="I919" s="39">
        <f>VLOOKUP(H919,'PUR-HSN MASTER'!$A$4:$E$5000,5,FALSE)</f>
        <v>18</v>
      </c>
      <c r="J919" s="38">
        <v>10</v>
      </c>
      <c r="K919" s="40">
        <v>898.4</v>
      </c>
      <c r="L919" s="39">
        <v>0</v>
      </c>
      <c r="M919" s="39">
        <v>80.855999999999995</v>
      </c>
      <c r="N919" s="39">
        <v>80.855999999999995</v>
      </c>
      <c r="O919" s="39">
        <v>0</v>
      </c>
      <c r="P919" s="39">
        <v>1060.1220000000001</v>
      </c>
      <c r="Q919" s="34" t="s">
        <v>410</v>
      </c>
      <c r="R919" s="34" t="s">
        <v>26</v>
      </c>
      <c r="S919" s="11" t="s">
        <v>4120</v>
      </c>
    </row>
    <row r="920" spans="1:19" x14ac:dyDescent="0.2">
      <c r="A920" s="33">
        <v>43647</v>
      </c>
      <c r="B920" s="34">
        <v>217</v>
      </c>
      <c r="C920" s="35" t="s">
        <v>471</v>
      </c>
      <c r="D920" s="34" t="str">
        <f>VLOOKUP(C920,'PUR-PARTY MASTER'!$B$4:$E$2000,2,FALSE)</f>
        <v>27AAECM8871A1ZF</v>
      </c>
      <c r="E920" s="34" t="s">
        <v>22</v>
      </c>
      <c r="F920" s="134">
        <v>192004047</v>
      </c>
      <c r="G920" s="37">
        <v>43673</v>
      </c>
      <c r="H920" s="34">
        <v>87089900</v>
      </c>
      <c r="I920" s="39">
        <f>VLOOKUP(H920,'PUR-HSN MASTER'!$A$4:$E$5000,5,FALSE)</f>
        <v>28</v>
      </c>
      <c r="J920" s="38">
        <v>12</v>
      </c>
      <c r="K920" s="40">
        <v>17483.52</v>
      </c>
      <c r="L920" s="39">
        <v>0</v>
      </c>
      <c r="M920" s="39">
        <v>2447.6928000000003</v>
      </c>
      <c r="N920" s="39">
        <v>2447.6928000000003</v>
      </c>
      <c r="O920" s="39">
        <v>0</v>
      </c>
      <c r="P920" s="39">
        <v>22378.895600000003</v>
      </c>
      <c r="Q920" s="34" t="s">
        <v>410</v>
      </c>
      <c r="R920" s="34" t="s">
        <v>26</v>
      </c>
      <c r="S920" s="11" t="s">
        <v>4120</v>
      </c>
    </row>
    <row r="921" spans="1:19" x14ac:dyDescent="0.2">
      <c r="A921" s="33">
        <v>43647</v>
      </c>
      <c r="B921" s="34">
        <v>218</v>
      </c>
      <c r="C921" s="35" t="s">
        <v>471</v>
      </c>
      <c r="D921" s="34" t="str">
        <f>VLOOKUP(C921,'PUR-PARTY MASTER'!$B$4:$E$2000,2,FALSE)</f>
        <v>27AAECM8871A1ZF</v>
      </c>
      <c r="E921" s="34" t="s">
        <v>22</v>
      </c>
      <c r="F921" s="134">
        <v>192004048</v>
      </c>
      <c r="G921" s="37">
        <v>43673</v>
      </c>
      <c r="H921" s="34">
        <v>87089900</v>
      </c>
      <c r="I921" s="39">
        <f>VLOOKUP(H921,'PUR-HSN MASTER'!$A$4:$E$5000,5,FALSE)</f>
        <v>28</v>
      </c>
      <c r="J921" s="38">
        <v>12</v>
      </c>
      <c r="K921" s="40">
        <v>17483.52</v>
      </c>
      <c r="L921" s="39">
        <v>0</v>
      </c>
      <c r="M921" s="39">
        <v>2447.6928000000003</v>
      </c>
      <c r="N921" s="39">
        <v>2447.6928000000003</v>
      </c>
      <c r="O921" s="39">
        <v>0</v>
      </c>
      <c r="P921" s="39">
        <v>22378.895600000003</v>
      </c>
      <c r="Q921" s="34" t="s">
        <v>410</v>
      </c>
      <c r="R921" s="34" t="s">
        <v>26</v>
      </c>
      <c r="S921" s="11" t="s">
        <v>4120</v>
      </c>
    </row>
    <row r="922" spans="1:19" x14ac:dyDescent="0.2">
      <c r="A922" s="33">
        <v>43647</v>
      </c>
      <c r="B922" s="34">
        <v>219</v>
      </c>
      <c r="C922" s="35" t="s">
        <v>473</v>
      </c>
      <c r="D922" s="34" t="str">
        <f>VLOOKUP(C922,'PUR-PARTY MASTER'!$B$4:$E$2000,2,FALSE)</f>
        <v>27AAACT1848E1ZH</v>
      </c>
      <c r="E922" s="34" t="s">
        <v>22</v>
      </c>
      <c r="F922" s="136" t="s">
        <v>848</v>
      </c>
      <c r="G922" s="37">
        <v>43673</v>
      </c>
      <c r="H922" s="34">
        <v>87089900</v>
      </c>
      <c r="I922" s="39">
        <f>VLOOKUP(H922,'PUR-HSN MASTER'!$A$4:$E$5000,5,FALSE)</f>
        <v>28</v>
      </c>
      <c r="J922" s="38">
        <v>32</v>
      </c>
      <c r="K922" s="40">
        <v>5129.6000000000004</v>
      </c>
      <c r="L922" s="39">
        <v>0</v>
      </c>
      <c r="M922" s="39">
        <v>718.00400000000013</v>
      </c>
      <c r="N922" s="39">
        <v>718.00400000000013</v>
      </c>
      <c r="O922" s="39">
        <v>0</v>
      </c>
      <c r="P922" s="39">
        <v>6565.598</v>
      </c>
      <c r="Q922" s="34" t="s">
        <v>410</v>
      </c>
      <c r="R922" s="34" t="s">
        <v>26</v>
      </c>
      <c r="S922" s="11" t="s">
        <v>4120</v>
      </c>
    </row>
    <row r="923" spans="1:19" x14ac:dyDescent="0.2">
      <c r="A923" s="33">
        <v>43647</v>
      </c>
      <c r="B923" s="34">
        <v>220</v>
      </c>
      <c r="C923" s="35" t="s">
        <v>473</v>
      </c>
      <c r="D923" s="34" t="str">
        <f>VLOOKUP(C923,'PUR-PARTY MASTER'!$B$4:$E$2000,2,FALSE)</f>
        <v>27AAACT1848E1ZH</v>
      </c>
      <c r="E923" s="34" t="s">
        <v>22</v>
      </c>
      <c r="F923" s="136" t="s">
        <v>849</v>
      </c>
      <c r="G923" s="37">
        <v>43673</v>
      </c>
      <c r="H923" s="34">
        <v>87089900</v>
      </c>
      <c r="I923" s="39">
        <f>VLOOKUP(H923,'PUR-HSN MASTER'!$A$4:$E$5000,5,FALSE)</f>
        <v>28</v>
      </c>
      <c r="J923" s="38">
        <v>40</v>
      </c>
      <c r="K923" s="40">
        <v>6012.8</v>
      </c>
      <c r="L923" s="39">
        <v>0</v>
      </c>
      <c r="M923" s="39">
        <v>842.00200000000007</v>
      </c>
      <c r="N923" s="39">
        <v>842.00200000000007</v>
      </c>
      <c r="O923" s="39">
        <v>0</v>
      </c>
      <c r="P923" s="39">
        <v>7696.804000000001</v>
      </c>
      <c r="Q923" s="34" t="s">
        <v>410</v>
      </c>
      <c r="R923" s="34" t="s">
        <v>26</v>
      </c>
      <c r="S923" s="11" t="s">
        <v>4120</v>
      </c>
    </row>
    <row r="924" spans="1:19" x14ac:dyDescent="0.2">
      <c r="A924" s="33">
        <v>43647</v>
      </c>
      <c r="B924" s="34">
        <v>221</v>
      </c>
      <c r="C924" s="632" t="s">
        <v>850</v>
      </c>
      <c r="D924" s="34" t="str">
        <f>VLOOKUP(C924,'PUR-PARTY MASTER'!$B$4:$E$2000,2,FALSE)</f>
        <v>27ACOPJ2933M1Z5</v>
      </c>
      <c r="E924" s="34" t="s">
        <v>22</v>
      </c>
      <c r="F924" s="136" t="s">
        <v>852</v>
      </c>
      <c r="G924" s="37">
        <v>43674</v>
      </c>
      <c r="H924" s="34">
        <v>8482</v>
      </c>
      <c r="I924" s="39">
        <f>VLOOKUP(H924,'PUR-HSN MASTER'!$A$4:$E$5000,5,FALSE)</f>
        <v>18</v>
      </c>
      <c r="J924" s="38">
        <v>2</v>
      </c>
      <c r="K924" s="40">
        <v>3000</v>
      </c>
      <c r="L924" s="39">
        <v>0</v>
      </c>
      <c r="M924" s="39">
        <v>270.20999999999998</v>
      </c>
      <c r="N924" s="39">
        <v>270.20999999999998</v>
      </c>
      <c r="O924" s="39">
        <v>0</v>
      </c>
      <c r="P924" s="39">
        <v>3540</v>
      </c>
      <c r="Q924" s="34" t="s">
        <v>410</v>
      </c>
      <c r="R924" s="34" t="s">
        <v>26</v>
      </c>
      <c r="S924" s="11" t="s">
        <v>4120</v>
      </c>
    </row>
    <row r="925" spans="1:19" x14ac:dyDescent="0.2">
      <c r="A925" s="33">
        <v>43647</v>
      </c>
      <c r="B925" s="34"/>
      <c r="C925" s="632" t="s">
        <v>850</v>
      </c>
      <c r="D925" s="34" t="str">
        <f>VLOOKUP(C925,'PUR-PARTY MASTER'!$B$4:$E$2000,2,FALSE)</f>
        <v>27ACOPJ2933M1Z5</v>
      </c>
      <c r="E925" s="34" t="s">
        <v>22</v>
      </c>
      <c r="F925" s="136" t="s">
        <v>852</v>
      </c>
      <c r="G925" s="37">
        <v>43674</v>
      </c>
      <c r="H925" s="34">
        <v>4010</v>
      </c>
      <c r="I925" s="39">
        <f>VLOOKUP(H925,'PUR-HSN MASTER'!$A$4:$E$5000,5,FALSE)</f>
        <v>18</v>
      </c>
      <c r="J925" s="38">
        <v>4</v>
      </c>
      <c r="K925" s="40">
        <v>780</v>
      </c>
      <c r="L925" s="39">
        <v>0</v>
      </c>
      <c r="M925" s="39">
        <v>70.41</v>
      </c>
      <c r="N925" s="39">
        <v>70.41</v>
      </c>
      <c r="O925" s="39">
        <v>0</v>
      </c>
      <c r="P925" s="39">
        <v>919.99999999999989</v>
      </c>
      <c r="Q925" s="34" t="s">
        <v>410</v>
      </c>
      <c r="R925" s="34" t="s">
        <v>26</v>
      </c>
      <c r="S925" s="11" t="s">
        <v>4120</v>
      </c>
    </row>
    <row r="926" spans="1:19" x14ac:dyDescent="0.2">
      <c r="A926" s="33">
        <v>43647</v>
      </c>
      <c r="B926" s="34">
        <v>222</v>
      </c>
      <c r="C926" s="35" t="s">
        <v>471</v>
      </c>
      <c r="D926" s="34" t="str">
        <f>VLOOKUP(C926,'PUR-PARTY MASTER'!$B$4:$E$2000,2,FALSE)</f>
        <v>27AAECM8871A1ZF</v>
      </c>
      <c r="E926" s="34" t="s">
        <v>22</v>
      </c>
      <c r="F926" s="134">
        <v>192004075</v>
      </c>
      <c r="G926" s="37">
        <v>43675</v>
      </c>
      <c r="H926" s="34">
        <v>87089900</v>
      </c>
      <c r="I926" s="39">
        <f>VLOOKUP(H926,'PUR-HSN MASTER'!$A$4:$E$5000,5,FALSE)</f>
        <v>28</v>
      </c>
      <c r="J926" s="38">
        <v>12</v>
      </c>
      <c r="K926" s="40">
        <v>17483.52</v>
      </c>
      <c r="L926" s="39">
        <v>0</v>
      </c>
      <c r="M926" s="39">
        <v>2447.6928000000003</v>
      </c>
      <c r="N926" s="39">
        <v>2447.6928000000003</v>
      </c>
      <c r="O926" s="39">
        <v>0</v>
      </c>
      <c r="P926" s="39">
        <v>22378.895600000003</v>
      </c>
      <c r="Q926" s="34" t="s">
        <v>410</v>
      </c>
      <c r="R926" s="34" t="s">
        <v>26</v>
      </c>
      <c r="S926" s="11" t="s">
        <v>4120</v>
      </c>
    </row>
    <row r="927" spans="1:19" x14ac:dyDescent="0.2">
      <c r="A927" s="33">
        <v>43647</v>
      </c>
      <c r="B927" s="34">
        <v>223</v>
      </c>
      <c r="C927" s="629" t="s">
        <v>853</v>
      </c>
      <c r="D927" s="34" t="str">
        <f>VLOOKUP(C927,'PUR-PARTY MASTER'!$B$4:$E$2000,2,FALSE)</f>
        <v>27AGXPK0223G1ZD</v>
      </c>
      <c r="E927" s="34" t="s">
        <v>22</v>
      </c>
      <c r="F927" s="134">
        <v>1130</v>
      </c>
      <c r="G927" s="37">
        <v>43675</v>
      </c>
      <c r="H927" s="34">
        <v>84671190</v>
      </c>
      <c r="I927" s="39">
        <f>VLOOKUP(H927,'PUR-HSN MASTER'!$A$4:$E$5000,5,FALSE)</f>
        <v>18</v>
      </c>
      <c r="J927" s="38">
        <v>1</v>
      </c>
      <c r="K927" s="40">
        <v>8316.1</v>
      </c>
      <c r="L927" s="39">
        <v>0</v>
      </c>
      <c r="M927" s="39">
        <v>748.44900000000007</v>
      </c>
      <c r="N927" s="39">
        <v>748.44900000000007</v>
      </c>
      <c r="O927" s="39">
        <v>0</v>
      </c>
      <c r="P927" s="39">
        <v>9812.9980000000014</v>
      </c>
      <c r="Q927" s="34" t="s">
        <v>410</v>
      </c>
      <c r="R927" s="34" t="s">
        <v>26</v>
      </c>
      <c r="S927" s="11" t="s">
        <v>4120</v>
      </c>
    </row>
    <row r="928" spans="1:19" x14ac:dyDescent="0.2">
      <c r="A928" s="33">
        <v>43647</v>
      </c>
      <c r="B928" s="34">
        <v>224</v>
      </c>
      <c r="C928" s="35" t="s">
        <v>479</v>
      </c>
      <c r="D928" s="34" t="str">
        <f>VLOOKUP(C928,'PUR-PARTY MASTER'!$B$4:$E$2000,2,FALSE)</f>
        <v>27AAMFC2124K1ZG</v>
      </c>
      <c r="E928" s="34" t="s">
        <v>22</v>
      </c>
      <c r="F928" s="134">
        <v>1157</v>
      </c>
      <c r="G928" s="37">
        <v>43674</v>
      </c>
      <c r="H928" s="34">
        <v>4811</v>
      </c>
      <c r="I928" s="39">
        <f>VLOOKUP(H928,'PUR-HSN MASTER'!$A$4:$E$5000,5,FALSE)</f>
        <v>18</v>
      </c>
      <c r="J928" s="38">
        <v>534</v>
      </c>
      <c r="K928" s="40">
        <v>720.9</v>
      </c>
      <c r="L928" s="39">
        <v>0</v>
      </c>
      <c r="M928" s="39">
        <v>64.881</v>
      </c>
      <c r="N928" s="39">
        <v>64.881</v>
      </c>
      <c r="O928" s="39">
        <v>0</v>
      </c>
      <c r="P928" s="39">
        <v>850.66199999999992</v>
      </c>
      <c r="Q928" s="34" t="s">
        <v>410</v>
      </c>
      <c r="R928" s="34" t="s">
        <v>26</v>
      </c>
      <c r="S928" s="11" t="s">
        <v>4120</v>
      </c>
    </row>
    <row r="929" spans="1:19" x14ac:dyDescent="0.2">
      <c r="A929" s="33">
        <v>43647</v>
      </c>
      <c r="B929" s="34">
        <v>225</v>
      </c>
      <c r="C929" s="35" t="s">
        <v>554</v>
      </c>
      <c r="D929" s="34" t="str">
        <f>VLOOKUP(C929,'PUR-PARTY MASTER'!$B$4:$E$2000,2,FALSE)</f>
        <v>27AACFA1881H1ZL</v>
      </c>
      <c r="E929" s="34" t="s">
        <v>22</v>
      </c>
      <c r="F929" s="134">
        <v>10033</v>
      </c>
      <c r="G929" s="37">
        <v>43675</v>
      </c>
      <c r="H929" s="34">
        <v>87141900</v>
      </c>
      <c r="I929" s="39">
        <f>VLOOKUP(H929,'PUR-HSN MASTER'!$A$4:$E$5000,5,FALSE)</f>
        <v>28</v>
      </c>
      <c r="J929" s="38">
        <v>11100</v>
      </c>
      <c r="K929" s="40">
        <v>27491</v>
      </c>
      <c r="L929" s="39">
        <v>0</v>
      </c>
      <c r="M929" s="39">
        <v>3848.7400000000002</v>
      </c>
      <c r="N929" s="39">
        <v>3848.7400000000002</v>
      </c>
      <c r="O929" s="39">
        <v>0</v>
      </c>
      <c r="P929" s="39">
        <v>35188.480000000003</v>
      </c>
      <c r="Q929" s="34" t="s">
        <v>410</v>
      </c>
      <c r="R929" s="34" t="s">
        <v>26</v>
      </c>
      <c r="S929" s="11" t="s">
        <v>4120</v>
      </c>
    </row>
    <row r="930" spans="1:19" x14ac:dyDescent="0.2">
      <c r="A930" s="33">
        <v>43647</v>
      </c>
      <c r="B930" s="34">
        <v>226</v>
      </c>
      <c r="C930" s="35" t="s">
        <v>471</v>
      </c>
      <c r="D930" s="34" t="str">
        <f>VLOOKUP(C930,'PUR-PARTY MASTER'!$B$4:$E$2000,2,FALSE)</f>
        <v>27AAECM8871A1ZF</v>
      </c>
      <c r="E930" s="34" t="s">
        <v>22</v>
      </c>
      <c r="F930" s="134">
        <v>192004084</v>
      </c>
      <c r="G930" s="37">
        <v>43675</v>
      </c>
      <c r="H930" s="34">
        <v>87089900</v>
      </c>
      <c r="I930" s="39">
        <f>VLOOKUP(H930,'PUR-HSN MASTER'!$A$4:$E$5000,5,FALSE)</f>
        <v>28</v>
      </c>
      <c r="J930" s="38">
        <v>12</v>
      </c>
      <c r="K930" s="40">
        <v>17483.52</v>
      </c>
      <c r="L930" s="39">
        <v>0</v>
      </c>
      <c r="M930" s="39">
        <v>2447.6928000000003</v>
      </c>
      <c r="N930" s="39">
        <v>2447.6928000000003</v>
      </c>
      <c r="O930" s="39">
        <v>0</v>
      </c>
      <c r="P930" s="39">
        <v>22378.895600000003</v>
      </c>
      <c r="Q930" s="34" t="s">
        <v>410</v>
      </c>
      <c r="R930" s="34" t="s">
        <v>26</v>
      </c>
      <c r="S930" s="11" t="s">
        <v>4120</v>
      </c>
    </row>
    <row r="931" spans="1:19" x14ac:dyDescent="0.2">
      <c r="A931" s="33">
        <v>43647</v>
      </c>
      <c r="B931" s="34">
        <v>227</v>
      </c>
      <c r="C931" s="34" t="s">
        <v>747</v>
      </c>
      <c r="D931" s="34" t="str">
        <f>VLOOKUP(C931,'PUR-PARTY MASTER'!$B$4:$E$2000,2,FALSE)</f>
        <v>27ACIPD7822K1ZF</v>
      </c>
      <c r="E931" s="34" t="s">
        <v>22</v>
      </c>
      <c r="F931" s="134" t="s">
        <v>855</v>
      </c>
      <c r="G931" s="37">
        <v>43675</v>
      </c>
      <c r="H931" s="34">
        <v>84778090</v>
      </c>
      <c r="I931" s="39">
        <f>VLOOKUP(H931,'PUR-HSN MASTER'!$A$4:$E$5000,5,FALSE)</f>
        <v>18</v>
      </c>
      <c r="J931" s="38">
        <v>25</v>
      </c>
      <c r="K931" s="40">
        <v>13750</v>
      </c>
      <c r="L931" s="39">
        <v>0</v>
      </c>
      <c r="M931" s="39">
        <v>1237.5</v>
      </c>
      <c r="N931" s="39">
        <v>1237.5</v>
      </c>
      <c r="O931" s="39">
        <v>0</v>
      </c>
      <c r="P931" s="39">
        <v>16225</v>
      </c>
      <c r="Q931" s="34" t="s">
        <v>410</v>
      </c>
      <c r="R931" s="34" t="s">
        <v>26</v>
      </c>
      <c r="S931" s="11" t="s">
        <v>4120</v>
      </c>
    </row>
    <row r="932" spans="1:19" x14ac:dyDescent="0.2">
      <c r="A932" s="33">
        <v>43647</v>
      </c>
      <c r="B932" s="34"/>
      <c r="C932" s="34" t="s">
        <v>747</v>
      </c>
      <c r="D932" s="34" t="str">
        <f>VLOOKUP(C932,'PUR-PARTY MASTER'!$B$4:$E$2000,2,FALSE)</f>
        <v>27ACIPD7822K1ZF</v>
      </c>
      <c r="E932" s="34" t="s">
        <v>22</v>
      </c>
      <c r="F932" s="134" t="s">
        <v>855</v>
      </c>
      <c r="G932" s="37">
        <v>43675</v>
      </c>
      <c r="H932" s="34">
        <v>7318</v>
      </c>
      <c r="I932" s="39">
        <f>VLOOKUP(H932,'PUR-HSN MASTER'!$A$4:$E$5000,5,FALSE)</f>
        <v>18</v>
      </c>
      <c r="J932" s="38">
        <v>60</v>
      </c>
      <c r="K932" s="40">
        <v>39000</v>
      </c>
      <c r="L932" s="39">
        <v>0</v>
      </c>
      <c r="M932" s="39">
        <v>3510</v>
      </c>
      <c r="N932" s="39">
        <v>3510</v>
      </c>
      <c r="O932" s="39">
        <v>0</v>
      </c>
      <c r="P932" s="39">
        <v>46020</v>
      </c>
      <c r="Q932" s="34" t="s">
        <v>410</v>
      </c>
      <c r="R932" s="34" t="s">
        <v>26</v>
      </c>
      <c r="S932" s="11" t="s">
        <v>4120</v>
      </c>
    </row>
    <row r="933" spans="1:19" x14ac:dyDescent="0.2">
      <c r="A933" s="33">
        <v>43647</v>
      </c>
      <c r="B933" s="34">
        <v>228</v>
      </c>
      <c r="C933" s="35" t="s">
        <v>529</v>
      </c>
      <c r="D933" s="34" t="str">
        <f>VLOOKUP(C933,'PUR-PARTY MASTER'!$B$4:$E$2000,2,FALSE)</f>
        <v>27AAACB4599E1ZL</v>
      </c>
      <c r="E933" s="34" t="s">
        <v>22</v>
      </c>
      <c r="F933" s="136" t="s">
        <v>856</v>
      </c>
      <c r="G933" s="37">
        <v>43675</v>
      </c>
      <c r="H933" s="34">
        <v>32089090</v>
      </c>
      <c r="I933" s="39">
        <f>VLOOKUP(H933,'PUR-HSN MASTER'!$A$4:$E$5000,5,FALSE)</f>
        <v>18</v>
      </c>
      <c r="J933" s="38">
        <v>100</v>
      </c>
      <c r="K933" s="40">
        <v>28000</v>
      </c>
      <c r="L933" s="39">
        <v>0</v>
      </c>
      <c r="M933" s="39">
        <v>2520</v>
      </c>
      <c r="N933" s="39">
        <v>2520</v>
      </c>
      <c r="O933" s="39">
        <v>0</v>
      </c>
      <c r="P933" s="39">
        <v>33040</v>
      </c>
      <c r="Q933" s="34" t="s">
        <v>410</v>
      </c>
      <c r="R933" s="34" t="s">
        <v>26</v>
      </c>
      <c r="S933" s="11" t="s">
        <v>4120</v>
      </c>
    </row>
    <row r="934" spans="1:19" x14ac:dyDescent="0.2">
      <c r="A934" s="33">
        <v>43647</v>
      </c>
      <c r="B934" s="34">
        <v>229</v>
      </c>
      <c r="C934" s="35" t="s">
        <v>857</v>
      </c>
      <c r="D934" s="34" t="str">
        <f>VLOOKUP(C934,'PUR-PARTY MASTER'!$B$4:$E$2000,2,FALSE)</f>
        <v>27AECPD3419C1Z5</v>
      </c>
      <c r="E934" s="34" t="s">
        <v>22</v>
      </c>
      <c r="F934" s="136"/>
      <c r="G934" s="37">
        <v>43669</v>
      </c>
      <c r="H934" s="34">
        <v>998311</v>
      </c>
      <c r="I934" s="39">
        <f>VLOOKUP(H934,'PUR-HSN MASTER'!$A$4:$E$5000,5,FALSE)</f>
        <v>18</v>
      </c>
      <c r="J934" s="38">
        <v>0</v>
      </c>
      <c r="K934" s="40">
        <v>10000</v>
      </c>
      <c r="L934" s="39">
        <v>0</v>
      </c>
      <c r="M934" s="39">
        <v>900</v>
      </c>
      <c r="N934" s="39">
        <v>900</v>
      </c>
      <c r="O934" s="39">
        <v>0</v>
      </c>
      <c r="P934" s="39">
        <v>11800</v>
      </c>
      <c r="Q934" s="34" t="s">
        <v>411</v>
      </c>
      <c r="R934" s="34" t="s">
        <v>26</v>
      </c>
      <c r="S934" s="11" t="s">
        <v>4120</v>
      </c>
    </row>
    <row r="935" spans="1:19" x14ac:dyDescent="0.2">
      <c r="A935" s="33">
        <v>43647</v>
      </c>
      <c r="B935" s="34">
        <v>230</v>
      </c>
      <c r="C935" s="35" t="s">
        <v>591</v>
      </c>
      <c r="D935" s="34" t="str">
        <f>VLOOKUP(C935,'PUR-PARTY MASTER'!$B$4:$E$2000,2,FALSE)</f>
        <v>27AAACI6297A1ZN</v>
      </c>
      <c r="E935" s="34" t="s">
        <v>22</v>
      </c>
      <c r="F935" s="136" t="s">
        <v>859</v>
      </c>
      <c r="G935" s="37">
        <v>43673</v>
      </c>
      <c r="H935" s="34">
        <v>32089029</v>
      </c>
      <c r="I935" s="39">
        <f>VLOOKUP(H935,'PUR-HSN MASTER'!$A$4:$E$5000,5,FALSE)</f>
        <v>18</v>
      </c>
      <c r="J935" s="38">
        <v>20</v>
      </c>
      <c r="K935" s="40">
        <v>11300</v>
      </c>
      <c r="L935" s="39">
        <v>0</v>
      </c>
      <c r="M935" s="39">
        <v>1017</v>
      </c>
      <c r="N935" s="39">
        <v>1017</v>
      </c>
      <c r="O935" s="39">
        <v>0</v>
      </c>
      <c r="P935" s="39">
        <v>13334</v>
      </c>
      <c r="Q935" s="34" t="s">
        <v>410</v>
      </c>
      <c r="R935" s="34" t="s">
        <v>26</v>
      </c>
      <c r="S935" s="11" t="s">
        <v>4120</v>
      </c>
    </row>
    <row r="936" spans="1:19" x14ac:dyDescent="0.2">
      <c r="A936" s="33">
        <v>43647</v>
      </c>
      <c r="B936" s="34">
        <v>231</v>
      </c>
      <c r="C936" s="35" t="s">
        <v>556</v>
      </c>
      <c r="D936" s="34" t="str">
        <f>VLOOKUP(C936,'PUR-PARTY MASTER'!$B$4:$E$2000,2,FALSE)</f>
        <v>27AAQCS7977M1Z3</v>
      </c>
      <c r="E936" s="34" t="s">
        <v>22</v>
      </c>
      <c r="F936" s="136" t="s">
        <v>860</v>
      </c>
      <c r="G936" s="37">
        <v>43643</v>
      </c>
      <c r="H936" s="34">
        <v>29141100</v>
      </c>
      <c r="I936" s="39">
        <f>VLOOKUP(H936,'PUR-HSN MASTER'!$A$4:$E$5000,5,FALSE)</f>
        <v>18</v>
      </c>
      <c r="J936" s="38">
        <v>880</v>
      </c>
      <c r="K936" s="40">
        <v>55440</v>
      </c>
      <c r="L936" s="39">
        <v>0</v>
      </c>
      <c r="M936" s="39">
        <v>4989.4999999999991</v>
      </c>
      <c r="N936" s="39">
        <v>4989.4999999999991</v>
      </c>
      <c r="O936" s="39">
        <v>0</v>
      </c>
      <c r="P936" s="39">
        <v>65419</v>
      </c>
      <c r="Q936" s="34" t="s">
        <v>410</v>
      </c>
      <c r="R936" s="34" t="s">
        <v>26</v>
      </c>
      <c r="S936" s="11" t="s">
        <v>4120</v>
      </c>
    </row>
    <row r="937" spans="1:19" x14ac:dyDescent="0.2">
      <c r="A937" s="33">
        <v>43647</v>
      </c>
      <c r="B937" s="34"/>
      <c r="C937" s="35" t="s">
        <v>556</v>
      </c>
      <c r="D937" s="34" t="str">
        <f>VLOOKUP(C937,'PUR-PARTY MASTER'!$B$4:$E$2000,2,FALSE)</f>
        <v>27AAQCS7977M1Z3</v>
      </c>
      <c r="E937" s="34" t="s">
        <v>22</v>
      </c>
      <c r="F937" s="136" t="s">
        <v>860</v>
      </c>
      <c r="G937" s="37">
        <v>43643</v>
      </c>
      <c r="H937" s="34">
        <v>29051220</v>
      </c>
      <c r="I937" s="39">
        <f>VLOOKUP(H937,'PUR-HSN MASTER'!$A$4:$E$5000,5,FALSE)</f>
        <v>18</v>
      </c>
      <c r="J937" s="38">
        <v>440</v>
      </c>
      <c r="K937" s="40">
        <v>26840</v>
      </c>
      <c r="L937" s="39">
        <v>0</v>
      </c>
      <c r="M937" s="39">
        <v>2415.5</v>
      </c>
      <c r="N937" s="39">
        <v>2415.5</v>
      </c>
      <c r="O937" s="39">
        <v>0</v>
      </c>
      <c r="P937" s="39">
        <v>31671</v>
      </c>
      <c r="Q937" s="34" t="s">
        <v>410</v>
      </c>
      <c r="R937" s="34" t="s">
        <v>26</v>
      </c>
      <c r="S937" s="11" t="s">
        <v>4120</v>
      </c>
    </row>
    <row r="938" spans="1:19" x14ac:dyDescent="0.2">
      <c r="A938" s="33">
        <v>43647</v>
      </c>
      <c r="B938" s="34">
        <v>232</v>
      </c>
      <c r="C938" s="35" t="s">
        <v>554</v>
      </c>
      <c r="D938" s="34" t="str">
        <f>VLOOKUP(C938,'PUR-PARTY MASTER'!$B$4:$E$2000,2,FALSE)</f>
        <v>27AACFA1881H1ZL</v>
      </c>
      <c r="E938" s="34" t="s">
        <v>22</v>
      </c>
      <c r="F938" s="134">
        <v>10074</v>
      </c>
      <c r="G938" s="37">
        <v>43676</v>
      </c>
      <c r="H938" s="34">
        <v>87141900</v>
      </c>
      <c r="I938" s="39">
        <f>VLOOKUP(H938,'PUR-HSN MASTER'!$A$4:$E$5000,5,FALSE)</f>
        <v>28</v>
      </c>
      <c r="J938" s="38">
        <v>3610</v>
      </c>
      <c r="K938" s="40">
        <v>10335.5</v>
      </c>
      <c r="L938" s="39">
        <v>0</v>
      </c>
      <c r="M938" s="39">
        <v>1446.97</v>
      </c>
      <c r="N938" s="39">
        <v>1446.97</v>
      </c>
      <c r="O938" s="39">
        <v>0</v>
      </c>
      <c r="P938" s="39">
        <v>13229.439999999999</v>
      </c>
      <c r="Q938" s="34" t="s">
        <v>410</v>
      </c>
      <c r="R938" s="34" t="s">
        <v>26</v>
      </c>
      <c r="S938" s="11" t="s">
        <v>4120</v>
      </c>
    </row>
    <row r="939" spans="1:19" x14ac:dyDescent="0.2">
      <c r="A939" s="33">
        <v>43647</v>
      </c>
      <c r="B939" s="34">
        <v>233</v>
      </c>
      <c r="C939" s="35" t="s">
        <v>495</v>
      </c>
      <c r="D939" s="34" t="str">
        <f>VLOOKUP(C939,'PUR-PARTY MASTER'!$B$4:$E$2000,2,FALSE)</f>
        <v>27AAACH4211R1ZF</v>
      </c>
      <c r="E939" s="34" t="s">
        <v>22</v>
      </c>
      <c r="F939" s="134">
        <v>5510053030</v>
      </c>
      <c r="G939" s="37">
        <v>43676</v>
      </c>
      <c r="H939" s="34">
        <v>85129000</v>
      </c>
      <c r="I939" s="39">
        <f>VLOOKUP(H939,'PUR-HSN MASTER'!$A$4:$E$5000,5,FALSE)</f>
        <v>18</v>
      </c>
      <c r="J939" s="38">
        <v>960</v>
      </c>
      <c r="K939" s="40">
        <v>10617.6</v>
      </c>
      <c r="L939" s="39">
        <v>0</v>
      </c>
      <c r="M939" s="39">
        <v>955.58400000000006</v>
      </c>
      <c r="N939" s="39">
        <v>955.58400000000006</v>
      </c>
      <c r="O939" s="39">
        <v>0</v>
      </c>
      <c r="P939" s="39">
        <v>12528.758000000002</v>
      </c>
      <c r="Q939" s="34" t="s">
        <v>410</v>
      </c>
      <c r="R939" s="34" t="s">
        <v>26</v>
      </c>
      <c r="S939" s="11" t="s">
        <v>4120</v>
      </c>
    </row>
    <row r="940" spans="1:19" x14ac:dyDescent="0.2">
      <c r="A940" s="33">
        <v>43647</v>
      </c>
      <c r="B940" s="34">
        <v>234</v>
      </c>
      <c r="C940" s="35" t="s">
        <v>471</v>
      </c>
      <c r="D940" s="34" t="str">
        <f>VLOOKUP(C940,'PUR-PARTY MASTER'!$B$4:$E$2000,2,FALSE)</f>
        <v>27AAECM8871A1ZF</v>
      </c>
      <c r="E940" s="34" t="s">
        <v>22</v>
      </c>
      <c r="F940" s="134">
        <v>192004130</v>
      </c>
      <c r="G940" s="37">
        <v>43676</v>
      </c>
      <c r="H940" s="34">
        <v>87089900</v>
      </c>
      <c r="I940" s="39">
        <f>VLOOKUP(H940,'PUR-HSN MASTER'!$A$4:$E$5000,5,FALSE)</f>
        <v>28</v>
      </c>
      <c r="J940" s="38">
        <v>12</v>
      </c>
      <c r="K940" s="40">
        <v>17483.52</v>
      </c>
      <c r="L940" s="39">
        <v>0</v>
      </c>
      <c r="M940" s="39">
        <v>2447.6928000000003</v>
      </c>
      <c r="N940" s="39">
        <v>2447.6928000000003</v>
      </c>
      <c r="O940" s="39">
        <v>0</v>
      </c>
      <c r="P940" s="39">
        <v>22378.895600000003</v>
      </c>
      <c r="Q940" s="34" t="s">
        <v>410</v>
      </c>
      <c r="R940" s="34" t="s">
        <v>26</v>
      </c>
      <c r="S940" s="11" t="s">
        <v>4120</v>
      </c>
    </row>
    <row r="941" spans="1:19" x14ac:dyDescent="0.2">
      <c r="A941" s="33">
        <v>43647</v>
      </c>
      <c r="B941" s="34">
        <v>235</v>
      </c>
      <c r="C941" s="35" t="s">
        <v>471</v>
      </c>
      <c r="D941" s="34" t="str">
        <f>VLOOKUP(C941,'PUR-PARTY MASTER'!$B$4:$E$2000,2,FALSE)</f>
        <v>27AAECM8871A1ZF</v>
      </c>
      <c r="E941" s="34" t="s">
        <v>22</v>
      </c>
      <c r="F941" s="134">
        <v>192004133</v>
      </c>
      <c r="G941" s="37">
        <v>43676</v>
      </c>
      <c r="H941" s="34">
        <v>87089900</v>
      </c>
      <c r="I941" s="39">
        <f>VLOOKUP(H941,'PUR-HSN MASTER'!$A$4:$E$5000,5,FALSE)</f>
        <v>28</v>
      </c>
      <c r="J941" s="38">
        <v>12</v>
      </c>
      <c r="K941" s="40">
        <v>17483.52</v>
      </c>
      <c r="L941" s="39">
        <v>0</v>
      </c>
      <c r="M941" s="39">
        <v>2447.6928000000003</v>
      </c>
      <c r="N941" s="39">
        <v>2447.6928000000003</v>
      </c>
      <c r="O941" s="39">
        <v>0</v>
      </c>
      <c r="P941" s="39">
        <v>22378.895600000003</v>
      </c>
      <c r="Q941" s="34" t="s">
        <v>410</v>
      </c>
      <c r="R941" s="34" t="s">
        <v>26</v>
      </c>
      <c r="S941" s="11" t="s">
        <v>4120</v>
      </c>
    </row>
    <row r="942" spans="1:19" x14ac:dyDescent="0.2">
      <c r="A942" s="33">
        <v>43647</v>
      </c>
      <c r="B942" s="34">
        <v>236</v>
      </c>
      <c r="C942" s="35" t="s">
        <v>471</v>
      </c>
      <c r="D942" s="34" t="str">
        <f>VLOOKUP(C942,'PUR-PARTY MASTER'!$B$4:$E$2000,2,FALSE)</f>
        <v>27AAECM8871A1ZF</v>
      </c>
      <c r="E942" s="34" t="s">
        <v>22</v>
      </c>
      <c r="F942" s="134">
        <v>192004135</v>
      </c>
      <c r="G942" s="37">
        <v>43676</v>
      </c>
      <c r="H942" s="34">
        <v>87089900</v>
      </c>
      <c r="I942" s="39">
        <f>VLOOKUP(H942,'PUR-HSN MASTER'!$A$4:$E$5000,5,FALSE)</f>
        <v>28</v>
      </c>
      <c r="J942" s="38">
        <v>7</v>
      </c>
      <c r="K942" s="40">
        <v>10198.719999999999</v>
      </c>
      <c r="L942" s="39">
        <v>0</v>
      </c>
      <c r="M942" s="39">
        <v>1427.8207999999997</v>
      </c>
      <c r="N942" s="39">
        <v>1427.8207999999997</v>
      </c>
      <c r="O942" s="39">
        <v>0</v>
      </c>
      <c r="P942" s="39">
        <v>13054.361599999998</v>
      </c>
      <c r="Q942" s="34" t="s">
        <v>410</v>
      </c>
      <c r="R942" s="34" t="s">
        <v>26</v>
      </c>
      <c r="S942" s="11" t="s">
        <v>4120</v>
      </c>
    </row>
    <row r="943" spans="1:19" x14ac:dyDescent="0.2">
      <c r="A943" s="33">
        <v>43647</v>
      </c>
      <c r="B943" s="34">
        <v>237</v>
      </c>
      <c r="C943" s="35" t="s">
        <v>554</v>
      </c>
      <c r="D943" s="34" t="str">
        <f>VLOOKUP(C943,'PUR-PARTY MASTER'!$B$4:$E$2000,2,FALSE)</f>
        <v>27AACFA1881H1ZL</v>
      </c>
      <c r="E943" s="34" t="s">
        <v>22</v>
      </c>
      <c r="F943" s="134">
        <v>10102</v>
      </c>
      <c r="G943" s="37">
        <v>43676</v>
      </c>
      <c r="H943" s="34">
        <v>87141900</v>
      </c>
      <c r="I943" s="39">
        <f>VLOOKUP(H943,'PUR-HSN MASTER'!$A$4:$E$5000,5,FALSE)</f>
        <v>28</v>
      </c>
      <c r="J943" s="38">
        <v>216</v>
      </c>
      <c r="K943" s="40">
        <v>600.48</v>
      </c>
      <c r="L943" s="39">
        <v>0</v>
      </c>
      <c r="M943" s="39">
        <v>84.0672</v>
      </c>
      <c r="N943" s="39">
        <v>84.0672</v>
      </c>
      <c r="O943" s="39">
        <v>0</v>
      </c>
      <c r="P943" s="39">
        <v>768.62439999999992</v>
      </c>
      <c r="Q943" s="34" t="s">
        <v>410</v>
      </c>
      <c r="R943" s="34" t="s">
        <v>26</v>
      </c>
      <c r="S943" s="11" t="s">
        <v>4120</v>
      </c>
    </row>
    <row r="944" spans="1:19" x14ac:dyDescent="0.2">
      <c r="A944" s="33">
        <v>43647</v>
      </c>
      <c r="B944" s="34">
        <v>238</v>
      </c>
      <c r="C944" s="35" t="s">
        <v>554</v>
      </c>
      <c r="D944" s="34" t="str">
        <f>VLOOKUP(C944,'PUR-PARTY MASTER'!$B$4:$E$2000,2,FALSE)</f>
        <v>27AACFA1881H1ZL</v>
      </c>
      <c r="E944" s="34" t="s">
        <v>22</v>
      </c>
      <c r="F944" s="134">
        <v>10108</v>
      </c>
      <c r="G944" s="37">
        <v>43677</v>
      </c>
      <c r="H944" s="34">
        <v>87141900</v>
      </c>
      <c r="I944" s="39">
        <f>VLOOKUP(H944,'PUR-HSN MASTER'!$A$4:$E$5000,5,FALSE)</f>
        <v>28</v>
      </c>
      <c r="J944" s="38">
        <v>2200</v>
      </c>
      <c r="K944" s="40">
        <v>6930</v>
      </c>
      <c r="L944" s="39">
        <v>0</v>
      </c>
      <c r="M944" s="39">
        <v>970.19999999999993</v>
      </c>
      <c r="N944" s="39">
        <v>970.19999999999993</v>
      </c>
      <c r="O944" s="39">
        <v>0</v>
      </c>
      <c r="P944" s="39">
        <v>8870.4</v>
      </c>
      <c r="Q944" s="34" t="s">
        <v>410</v>
      </c>
      <c r="R944" s="34" t="s">
        <v>26</v>
      </c>
      <c r="S944" s="11" t="s">
        <v>4120</v>
      </c>
    </row>
    <row r="945" spans="1:19" x14ac:dyDescent="0.2">
      <c r="A945" s="33">
        <v>43647</v>
      </c>
      <c r="B945" s="34">
        <v>239</v>
      </c>
      <c r="C945" s="35" t="s">
        <v>495</v>
      </c>
      <c r="D945" s="34" t="str">
        <f>VLOOKUP(C945,'PUR-PARTY MASTER'!$B$4:$E$2000,2,FALSE)</f>
        <v>27AAACH4211R1ZF</v>
      </c>
      <c r="E945" s="34" t="s">
        <v>22</v>
      </c>
      <c r="F945" s="134">
        <v>5510053236</v>
      </c>
      <c r="G945" s="37">
        <v>43677</v>
      </c>
      <c r="H945" s="34">
        <v>85129000</v>
      </c>
      <c r="I945" s="39">
        <f>VLOOKUP(H945,'PUR-HSN MASTER'!$A$4:$E$5000,5,FALSE)</f>
        <v>18</v>
      </c>
      <c r="J945" s="38">
        <v>2400</v>
      </c>
      <c r="K945" s="40">
        <v>26544</v>
      </c>
      <c r="L945" s="39">
        <v>0</v>
      </c>
      <c r="M945" s="39">
        <v>2388.96</v>
      </c>
      <c r="N945" s="39">
        <v>2388.96</v>
      </c>
      <c r="O945" s="39">
        <v>0</v>
      </c>
      <c r="P945" s="39">
        <v>31321.919999999998</v>
      </c>
      <c r="Q945" s="34" t="s">
        <v>410</v>
      </c>
      <c r="R945" s="34" t="s">
        <v>26</v>
      </c>
      <c r="S945" s="11" t="s">
        <v>4120</v>
      </c>
    </row>
    <row r="946" spans="1:19" x14ac:dyDescent="0.2">
      <c r="A946" s="33">
        <v>43647</v>
      </c>
      <c r="B946" s="34">
        <v>240</v>
      </c>
      <c r="C946" s="35" t="s">
        <v>514</v>
      </c>
      <c r="D946" s="34" t="str">
        <f>VLOOKUP(C946,'PUR-PARTY MASTER'!$B$4:$E$2000,2,FALSE)</f>
        <v>27AAACU2414K1ZF</v>
      </c>
      <c r="E946" s="34" t="s">
        <v>22</v>
      </c>
      <c r="F946" s="136" t="s">
        <v>861</v>
      </c>
      <c r="G946" s="37">
        <v>43677</v>
      </c>
      <c r="H946" s="34">
        <v>9971</v>
      </c>
      <c r="I946" s="39">
        <f>VLOOKUP(H946,'PUR-HSN MASTER'!$A$4:$E$5000,5,FALSE)</f>
        <v>18</v>
      </c>
      <c r="J946" s="38">
        <v>0</v>
      </c>
      <c r="K946" s="40">
        <v>15</v>
      </c>
      <c r="L946" s="39">
        <v>0</v>
      </c>
      <c r="M946" s="39">
        <v>1.3499999999999999</v>
      </c>
      <c r="N946" s="39">
        <v>1.3499999999999999</v>
      </c>
      <c r="O946" s="39">
        <v>0</v>
      </c>
      <c r="P946" s="39">
        <v>17.700000000000003</v>
      </c>
      <c r="Q946" s="34" t="s">
        <v>411</v>
      </c>
      <c r="R946" s="34" t="s">
        <v>26</v>
      </c>
      <c r="S946" s="11" t="s">
        <v>4120</v>
      </c>
    </row>
    <row r="947" spans="1:19" x14ac:dyDescent="0.2">
      <c r="A947" s="33">
        <v>43647</v>
      </c>
      <c r="B947" s="34">
        <v>241</v>
      </c>
      <c r="C947" s="35" t="s">
        <v>514</v>
      </c>
      <c r="D947" s="34" t="str">
        <f>VLOOKUP(C947,'PUR-PARTY MASTER'!$B$4:$E$2000,2,FALSE)</f>
        <v>27AAACU2414K1ZF</v>
      </c>
      <c r="E947" s="34" t="s">
        <v>22</v>
      </c>
      <c r="F947" s="136" t="s">
        <v>862</v>
      </c>
      <c r="G947" s="37">
        <v>43675</v>
      </c>
      <c r="H947" s="34">
        <v>9971</v>
      </c>
      <c r="I947" s="39">
        <f>VLOOKUP(H947,'PUR-HSN MASTER'!$A$4:$E$5000,5,FALSE)</f>
        <v>18</v>
      </c>
      <c r="J947" s="38">
        <v>0</v>
      </c>
      <c r="K947" s="40">
        <v>2934.22</v>
      </c>
      <c r="L947" s="39">
        <v>0</v>
      </c>
      <c r="M947" s="39">
        <v>264.07979999999998</v>
      </c>
      <c r="N947" s="39">
        <v>264.07979999999998</v>
      </c>
      <c r="O947" s="39">
        <v>0</v>
      </c>
      <c r="P947" s="39">
        <v>3462.3795999999998</v>
      </c>
      <c r="Q947" s="34" t="s">
        <v>411</v>
      </c>
      <c r="R947" s="34" t="s">
        <v>26</v>
      </c>
      <c r="S947" s="11" t="s">
        <v>4120</v>
      </c>
    </row>
    <row r="948" spans="1:19" x14ac:dyDescent="0.2">
      <c r="A948" s="33">
        <v>43647</v>
      </c>
      <c r="B948" s="34">
        <v>242</v>
      </c>
      <c r="C948" s="35" t="s">
        <v>514</v>
      </c>
      <c r="D948" s="34" t="str">
        <f>VLOOKUP(C948,'PUR-PARTY MASTER'!$B$4:$E$2000,2,FALSE)</f>
        <v>27AAACU2414K1ZF</v>
      </c>
      <c r="E948" s="34" t="s">
        <v>22</v>
      </c>
      <c r="F948" s="136" t="s">
        <v>863</v>
      </c>
      <c r="G948" s="37">
        <v>43675</v>
      </c>
      <c r="H948" s="34">
        <v>9971</v>
      </c>
      <c r="I948" s="39">
        <f>VLOOKUP(H948,'PUR-HSN MASTER'!$A$4:$E$5000,5,FALSE)</f>
        <v>18</v>
      </c>
      <c r="J948" s="38">
        <v>0</v>
      </c>
      <c r="K948" s="40">
        <v>500</v>
      </c>
      <c r="L948" s="39">
        <v>0</v>
      </c>
      <c r="M948" s="39">
        <v>45</v>
      </c>
      <c r="N948" s="39">
        <v>45</v>
      </c>
      <c r="O948" s="39">
        <v>0</v>
      </c>
      <c r="P948" s="39">
        <v>590</v>
      </c>
      <c r="Q948" s="34" t="s">
        <v>411</v>
      </c>
      <c r="R948" s="34" t="s">
        <v>26</v>
      </c>
      <c r="S948" s="11" t="s">
        <v>4120</v>
      </c>
    </row>
    <row r="949" spans="1:19" x14ac:dyDescent="0.2">
      <c r="A949" s="33">
        <v>43647</v>
      </c>
      <c r="B949" s="34">
        <v>243</v>
      </c>
      <c r="C949" s="35" t="s">
        <v>514</v>
      </c>
      <c r="D949" s="34" t="str">
        <f>VLOOKUP(C949,'PUR-PARTY MASTER'!$B$4:$E$2000,2,FALSE)</f>
        <v>27AAACU2414K1ZF</v>
      </c>
      <c r="E949" s="34" t="s">
        <v>22</v>
      </c>
      <c r="F949" s="136" t="s">
        <v>864</v>
      </c>
      <c r="G949" s="37">
        <v>43675</v>
      </c>
      <c r="H949" s="34">
        <v>9971</v>
      </c>
      <c r="I949" s="39">
        <f>VLOOKUP(H949,'PUR-HSN MASTER'!$A$4:$E$5000,5,FALSE)</f>
        <v>18</v>
      </c>
      <c r="J949" s="38">
        <v>0</v>
      </c>
      <c r="K949" s="40">
        <v>1602.83</v>
      </c>
      <c r="L949" s="39">
        <v>0</v>
      </c>
      <c r="M949" s="39">
        <v>144.25469999999999</v>
      </c>
      <c r="N949" s="39">
        <v>144.25469999999999</v>
      </c>
      <c r="O949" s="39">
        <v>0</v>
      </c>
      <c r="P949" s="39">
        <v>1891.3493999999998</v>
      </c>
      <c r="Q949" s="34" t="s">
        <v>411</v>
      </c>
      <c r="R949" s="34" t="s">
        <v>26</v>
      </c>
      <c r="S949" s="11" t="s">
        <v>4120</v>
      </c>
    </row>
    <row r="950" spans="1:19" x14ac:dyDescent="0.2">
      <c r="A950" s="33">
        <v>43647</v>
      </c>
      <c r="B950" s="34">
        <v>244</v>
      </c>
      <c r="C950" s="35" t="s">
        <v>514</v>
      </c>
      <c r="D950" s="34" t="str">
        <f>VLOOKUP(C950,'PUR-PARTY MASTER'!$B$4:$E$2000,2,FALSE)</f>
        <v>27AAACU2414K1ZF</v>
      </c>
      <c r="E950" s="34" t="s">
        <v>22</v>
      </c>
      <c r="F950" s="136" t="s">
        <v>865</v>
      </c>
      <c r="G950" s="37">
        <v>43675</v>
      </c>
      <c r="H950" s="34">
        <v>9971</v>
      </c>
      <c r="I950" s="39">
        <f>VLOOKUP(H950,'PUR-HSN MASTER'!$A$4:$E$5000,5,FALSE)</f>
        <v>18</v>
      </c>
      <c r="J950" s="38">
        <v>0</v>
      </c>
      <c r="K950" s="40">
        <v>2000</v>
      </c>
      <c r="L950" s="39">
        <v>0</v>
      </c>
      <c r="M950" s="39">
        <v>180</v>
      </c>
      <c r="N950" s="39">
        <v>180</v>
      </c>
      <c r="O950" s="39">
        <v>0</v>
      </c>
      <c r="P950" s="39">
        <v>2360</v>
      </c>
      <c r="Q950" s="34" t="s">
        <v>411</v>
      </c>
      <c r="R950" s="34" t="s">
        <v>26</v>
      </c>
      <c r="S950" s="11" t="s">
        <v>4120</v>
      </c>
    </row>
    <row r="951" spans="1:19" x14ac:dyDescent="0.2">
      <c r="A951" s="33">
        <v>43647</v>
      </c>
      <c r="B951" s="34">
        <v>245</v>
      </c>
      <c r="C951" s="35" t="s">
        <v>589</v>
      </c>
      <c r="D951" s="34" t="str">
        <f>VLOOKUP(C951,'PUR-PARTY MASTER'!$B$4:$E$2000,2,FALSE)</f>
        <v>27CVNPK1560R1ZT</v>
      </c>
      <c r="E951" s="34" t="s">
        <v>22</v>
      </c>
      <c r="F951" s="134">
        <v>11</v>
      </c>
      <c r="G951" s="37">
        <v>43677</v>
      </c>
      <c r="H951" s="34">
        <v>73110010</v>
      </c>
      <c r="I951" s="39">
        <f>VLOOKUP(H951,'PUR-HSN MASTER'!$A$4:$E$5000,5,FALSE)</f>
        <v>18</v>
      </c>
      <c r="J951" s="38">
        <v>30</v>
      </c>
      <c r="K951" s="40">
        <v>65474.400000000001</v>
      </c>
      <c r="L951" s="39">
        <v>0</v>
      </c>
      <c r="M951" s="39">
        <v>5892.6959999999999</v>
      </c>
      <c r="N951" s="39">
        <v>5892.6959999999999</v>
      </c>
      <c r="O951" s="39">
        <v>0</v>
      </c>
      <c r="P951" s="39">
        <v>77260.002000000008</v>
      </c>
      <c r="Q951" s="34" t="s">
        <v>410</v>
      </c>
      <c r="R951" s="34" t="s">
        <v>26</v>
      </c>
      <c r="S951" s="11" t="s">
        <v>4120</v>
      </c>
    </row>
    <row r="952" spans="1:19" x14ac:dyDescent="0.2">
      <c r="A952" s="33">
        <v>43647</v>
      </c>
      <c r="B952" s="34">
        <v>246</v>
      </c>
      <c r="C952" s="632" t="s">
        <v>866</v>
      </c>
      <c r="D952" s="34" t="str">
        <f>VLOOKUP(C952,'PUR-PARTY MASTER'!$B$4:$E$2000,2,FALSE)</f>
        <v>27AAACU5552C1ZJ</v>
      </c>
      <c r="E952" s="34" t="s">
        <v>22</v>
      </c>
      <c r="F952" s="134" t="s">
        <v>868</v>
      </c>
      <c r="G952" s="37">
        <v>43668</v>
      </c>
      <c r="H952" s="34">
        <v>9971</v>
      </c>
      <c r="I952" s="39">
        <f>VLOOKUP(H952,'PUR-HSN MASTER'!$A$4:$E$5000,5,FALSE)</f>
        <v>18</v>
      </c>
      <c r="J952" s="38">
        <v>30</v>
      </c>
      <c r="K952" s="40">
        <v>35300</v>
      </c>
      <c r="L952" s="39">
        <v>0</v>
      </c>
      <c r="M952" s="39">
        <v>3177</v>
      </c>
      <c r="N952" s="39">
        <v>3177</v>
      </c>
      <c r="O952" s="39">
        <v>0</v>
      </c>
      <c r="P952" s="39">
        <v>41654</v>
      </c>
      <c r="Q952" s="34" t="s">
        <v>411</v>
      </c>
      <c r="R952" s="34" t="s">
        <v>26</v>
      </c>
      <c r="S952" s="11" t="s">
        <v>4120</v>
      </c>
    </row>
    <row r="953" spans="1:19" x14ac:dyDescent="0.2">
      <c r="A953" s="33">
        <v>43647</v>
      </c>
      <c r="B953" s="34">
        <v>9</v>
      </c>
      <c r="C953" s="35" t="s">
        <v>600</v>
      </c>
      <c r="D953" s="34">
        <f>VLOOKUP(C953,'PUR-PARTY MASTER'!$B$4:$E$2000,2,FALSE)</f>
        <v>2</v>
      </c>
      <c r="E953" s="34" t="s">
        <v>392</v>
      </c>
      <c r="F953" s="627">
        <v>402</v>
      </c>
      <c r="G953" s="37">
        <v>43659</v>
      </c>
      <c r="H953" s="34"/>
      <c r="I953" s="39" t="e">
        <f>VLOOKUP(H953,'PUR-HSN MASTER'!$A$4:$E$5000,5,FALSE)</f>
        <v>#N/A</v>
      </c>
      <c r="J953" s="34"/>
      <c r="K953" s="41"/>
      <c r="L953" s="39">
        <v>0</v>
      </c>
      <c r="M953" s="39">
        <v>0</v>
      </c>
      <c r="N953" s="39">
        <v>0</v>
      </c>
      <c r="O953" s="39">
        <v>0</v>
      </c>
      <c r="P953" s="39">
        <v>23800</v>
      </c>
      <c r="Q953" s="34" t="s">
        <v>413</v>
      </c>
      <c r="R953" s="34" t="e">
        <v>#N/A</v>
      </c>
      <c r="S953" s="11" t="s">
        <v>4120</v>
      </c>
    </row>
    <row r="954" spans="1:19" x14ac:dyDescent="0.2">
      <c r="A954" s="33">
        <v>43647</v>
      </c>
      <c r="B954" s="34">
        <v>10</v>
      </c>
      <c r="C954" s="35" t="s">
        <v>686</v>
      </c>
      <c r="D954" s="34" t="str">
        <f>VLOOKUP(C954,'PUR-PARTY MASTER'!$B$4:$E$2000,2,FALSE)</f>
        <v>23AAFFO4378L1ZX</v>
      </c>
      <c r="E954" s="34" t="s">
        <v>392</v>
      </c>
      <c r="F954" s="627">
        <v>1513</v>
      </c>
      <c r="G954" s="37">
        <v>43664</v>
      </c>
      <c r="H954" s="34"/>
      <c r="I954" s="39" t="e">
        <f>VLOOKUP(H954,'PUR-HSN MASTER'!$A$4:$E$5000,5,FALSE)</f>
        <v>#N/A</v>
      </c>
      <c r="J954" s="34"/>
      <c r="K954" s="41"/>
      <c r="L954" s="39">
        <v>0</v>
      </c>
      <c r="M954" s="39">
        <v>0</v>
      </c>
      <c r="N954" s="39">
        <v>0</v>
      </c>
      <c r="O954" s="39">
        <v>0</v>
      </c>
      <c r="P954" s="39">
        <v>5350</v>
      </c>
      <c r="Q954" s="34" t="s">
        <v>413</v>
      </c>
      <c r="R954" s="34" t="s">
        <v>106</v>
      </c>
      <c r="S954" s="11" t="s">
        <v>4120</v>
      </c>
    </row>
    <row r="955" spans="1:19" x14ac:dyDescent="0.2">
      <c r="A955" s="33">
        <v>43647</v>
      </c>
      <c r="B955" s="34">
        <v>11</v>
      </c>
      <c r="C955" s="35" t="s">
        <v>686</v>
      </c>
      <c r="D955" s="34" t="str">
        <f>VLOOKUP(C955,'PUR-PARTY MASTER'!$B$4:$E$2000,2,FALSE)</f>
        <v>23AAFFO4378L1ZX</v>
      </c>
      <c r="E955" s="34" t="s">
        <v>392</v>
      </c>
      <c r="F955" s="627">
        <v>1518</v>
      </c>
      <c r="G955" s="37">
        <v>43665</v>
      </c>
      <c r="H955" s="34"/>
      <c r="I955" s="39" t="e">
        <f>VLOOKUP(H955,'PUR-HSN MASTER'!$A$4:$E$5000,5,FALSE)</f>
        <v>#N/A</v>
      </c>
      <c r="J955" s="34"/>
      <c r="K955" s="41"/>
      <c r="L955" s="39">
        <v>0</v>
      </c>
      <c r="M955" s="39">
        <v>0</v>
      </c>
      <c r="N955" s="39">
        <v>0</v>
      </c>
      <c r="O955" s="39">
        <v>0</v>
      </c>
      <c r="P955" s="39">
        <v>2100</v>
      </c>
      <c r="Q955" s="34" t="s">
        <v>413</v>
      </c>
      <c r="R955" s="34" t="s">
        <v>106</v>
      </c>
      <c r="S955" s="11" t="s">
        <v>4120</v>
      </c>
    </row>
    <row r="956" spans="1:19" x14ac:dyDescent="0.2">
      <c r="A956" s="34"/>
      <c r="B956" s="34"/>
      <c r="C956" s="34"/>
      <c r="D956" s="34" t="e">
        <f>VLOOKUP(C956,'PUR-PARTY MASTER'!$B$4:$E$2000,2,FALSE)</f>
        <v>#N/A</v>
      </c>
      <c r="E956" s="34"/>
      <c r="F956" s="34"/>
      <c r="G956" s="34"/>
      <c r="H956" s="34"/>
      <c r="I956" s="39" t="e">
        <f>VLOOKUP(H956,'PUR-HSN MASTER'!$A$4:$E$5000,5,FALSE)</f>
        <v>#N/A</v>
      </c>
      <c r="J956" s="34"/>
      <c r="K956" s="39"/>
      <c r="L956" s="39"/>
      <c r="M956" s="39"/>
      <c r="N956" s="39"/>
      <c r="O956" s="39"/>
      <c r="P956" s="39"/>
      <c r="Q956" s="34"/>
      <c r="R956" s="34" t="e">
        <v>#N/A</v>
      </c>
      <c r="S956" s="11" t="s">
        <v>4120</v>
      </c>
    </row>
    <row r="957" spans="1:19" x14ac:dyDescent="0.2">
      <c r="A957" s="34"/>
      <c r="B957" s="34"/>
      <c r="C957" s="34"/>
      <c r="D957" s="34" t="e">
        <f>VLOOKUP(C957,'PUR-PARTY MASTER'!$B$4:$E$2000,2,FALSE)</f>
        <v>#N/A</v>
      </c>
      <c r="E957" s="34"/>
      <c r="F957" s="34"/>
      <c r="G957" s="34"/>
      <c r="H957" s="34"/>
      <c r="I957" s="39" t="e">
        <f>VLOOKUP(H957,'PUR-HSN MASTER'!$A$4:$E$5000,5,FALSE)</f>
        <v>#N/A</v>
      </c>
      <c r="J957" s="34"/>
      <c r="K957" s="39"/>
      <c r="L957" s="39"/>
      <c r="M957" s="39"/>
      <c r="N957" s="39"/>
      <c r="O957" s="39"/>
      <c r="P957" s="39"/>
      <c r="Q957" s="34"/>
      <c r="R957" s="34" t="e">
        <v>#N/A</v>
      </c>
      <c r="S957" s="11" t="s">
        <v>4120</v>
      </c>
    </row>
    <row r="958" spans="1:19" x14ac:dyDescent="0.2">
      <c r="A958" s="33">
        <v>43678</v>
      </c>
      <c r="B958" s="34">
        <v>1</v>
      </c>
      <c r="C958" s="35" t="s">
        <v>554</v>
      </c>
      <c r="D958" s="34" t="str">
        <f>VLOOKUP(C958,'PUR-PARTY MASTER'!$B$4:$E$2000,2,FALSE)</f>
        <v>27AACFA1881H1ZL</v>
      </c>
      <c r="E958" s="34" t="s">
        <v>22</v>
      </c>
      <c r="F958" s="134">
        <v>10152</v>
      </c>
      <c r="G958" s="37">
        <v>43678</v>
      </c>
      <c r="H958" s="34">
        <v>87141900</v>
      </c>
      <c r="I958" s="39">
        <f>VLOOKUP(H958,'PUR-HSN MASTER'!$A$4:$E$5000,5,FALSE)</f>
        <v>28</v>
      </c>
      <c r="J958" s="34"/>
      <c r="K958" s="126">
        <v>10552.5</v>
      </c>
      <c r="L958" s="39">
        <v>0</v>
      </c>
      <c r="M958" s="39">
        <v>1477.3500000000001</v>
      </c>
      <c r="N958" s="39">
        <v>1477.3500000000001</v>
      </c>
      <c r="O958" s="39">
        <v>0</v>
      </c>
      <c r="P958" s="39">
        <v>13507.2</v>
      </c>
      <c r="Q958" s="34" t="s">
        <v>410</v>
      </c>
      <c r="R958" s="34" t="s">
        <v>26</v>
      </c>
      <c r="S958" s="11" t="s">
        <v>4120</v>
      </c>
    </row>
    <row r="959" spans="1:19" x14ac:dyDescent="0.2">
      <c r="A959" s="33">
        <v>43678</v>
      </c>
      <c r="B959" s="34">
        <v>2</v>
      </c>
      <c r="C959" s="35" t="s">
        <v>473</v>
      </c>
      <c r="D959" s="34" t="str">
        <f>VLOOKUP(C959,'PUR-PARTY MASTER'!$B$4:$E$2000,2,FALSE)</f>
        <v>27AAACT1848E1ZH</v>
      </c>
      <c r="E959" s="34" t="s">
        <v>22</v>
      </c>
      <c r="F959" s="136" t="s">
        <v>869</v>
      </c>
      <c r="G959" s="37">
        <v>43678</v>
      </c>
      <c r="H959" s="34">
        <v>87082900</v>
      </c>
      <c r="I959" s="39">
        <f>VLOOKUP(H959,'PUR-HSN MASTER'!$A$4:$E$5000,5,FALSE)</f>
        <v>28</v>
      </c>
      <c r="J959" s="34"/>
      <c r="K959" s="126">
        <v>9618</v>
      </c>
      <c r="L959" s="39">
        <v>0</v>
      </c>
      <c r="M959" s="39">
        <v>1346.52</v>
      </c>
      <c r="N959" s="39">
        <v>1346.52</v>
      </c>
      <c r="O959" s="39">
        <v>0</v>
      </c>
      <c r="P959" s="39">
        <v>12311.04</v>
      </c>
      <c r="Q959" s="34" t="s">
        <v>410</v>
      </c>
      <c r="R959" s="34" t="s">
        <v>26</v>
      </c>
      <c r="S959" s="11" t="s">
        <v>4120</v>
      </c>
    </row>
    <row r="960" spans="1:19" x14ac:dyDescent="0.2">
      <c r="A960" s="33">
        <v>43678</v>
      </c>
      <c r="B960" s="34">
        <v>3</v>
      </c>
      <c r="C960" s="35" t="s">
        <v>473</v>
      </c>
      <c r="D960" s="34" t="str">
        <f>VLOOKUP(C960,'PUR-PARTY MASTER'!$B$4:$E$2000,2,FALSE)</f>
        <v>27AAACT1848E1ZH</v>
      </c>
      <c r="E960" s="34" t="s">
        <v>22</v>
      </c>
      <c r="F960" s="136" t="s">
        <v>870</v>
      </c>
      <c r="G960" s="37">
        <v>43678</v>
      </c>
      <c r="H960" s="34">
        <v>87089900</v>
      </c>
      <c r="I960" s="39">
        <f>VLOOKUP(H960,'PUR-HSN MASTER'!$A$4:$E$5000,5,FALSE)</f>
        <v>28</v>
      </c>
      <c r="J960" s="34"/>
      <c r="K960" s="126">
        <v>2295.09</v>
      </c>
      <c r="L960" s="39">
        <v>0</v>
      </c>
      <c r="M960" s="39">
        <v>321.31260000000003</v>
      </c>
      <c r="N960" s="39">
        <v>321.31260000000003</v>
      </c>
      <c r="O960" s="39">
        <v>0</v>
      </c>
      <c r="P960" s="39">
        <v>2937.7152000000001</v>
      </c>
      <c r="Q960" s="34" t="s">
        <v>410</v>
      </c>
      <c r="R960" s="34" t="s">
        <v>26</v>
      </c>
      <c r="S960" s="11" t="s">
        <v>4120</v>
      </c>
    </row>
    <row r="961" spans="1:19" x14ac:dyDescent="0.2">
      <c r="A961" s="33">
        <v>43678</v>
      </c>
      <c r="B961" s="34">
        <v>4</v>
      </c>
      <c r="C961" s="35" t="s">
        <v>554</v>
      </c>
      <c r="D961" s="34" t="str">
        <f>VLOOKUP(C961,'PUR-PARTY MASTER'!$B$4:$E$2000,2,FALSE)</f>
        <v>27AACFA1881H1ZL</v>
      </c>
      <c r="E961" s="34" t="s">
        <v>22</v>
      </c>
      <c r="F961" s="134">
        <v>10193</v>
      </c>
      <c r="G961" s="37">
        <v>43679</v>
      </c>
      <c r="H961" s="34">
        <v>87141900</v>
      </c>
      <c r="I961" s="39">
        <f>VLOOKUP(H961,'PUR-HSN MASTER'!$A$4:$E$5000,5,FALSE)</f>
        <v>28</v>
      </c>
      <c r="J961" s="34"/>
      <c r="K961" s="126">
        <v>10606.94</v>
      </c>
      <c r="L961" s="39">
        <v>0</v>
      </c>
      <c r="M961" s="39">
        <v>1484.9716000000001</v>
      </c>
      <c r="N961" s="39">
        <v>1484.9716000000001</v>
      </c>
      <c r="O961" s="39">
        <v>0</v>
      </c>
      <c r="P961" s="39">
        <v>13576.8832</v>
      </c>
      <c r="Q961" s="34" t="s">
        <v>410</v>
      </c>
      <c r="R961" s="34" t="s">
        <v>26</v>
      </c>
      <c r="S961" s="11" t="s">
        <v>4120</v>
      </c>
    </row>
    <row r="962" spans="1:19" x14ac:dyDescent="0.2">
      <c r="A962" s="33">
        <v>43678</v>
      </c>
      <c r="B962" s="34">
        <v>5</v>
      </c>
      <c r="C962" s="35" t="s">
        <v>495</v>
      </c>
      <c r="D962" s="34" t="str">
        <f>VLOOKUP(C962,'PUR-PARTY MASTER'!$B$4:$E$2000,2,FALSE)</f>
        <v>27AAACH4211R1ZF</v>
      </c>
      <c r="E962" s="34" t="s">
        <v>22</v>
      </c>
      <c r="F962" s="134">
        <v>5510053426</v>
      </c>
      <c r="G962" s="37">
        <v>43679</v>
      </c>
      <c r="H962" s="34">
        <v>85129000</v>
      </c>
      <c r="I962" s="39">
        <f>VLOOKUP(H962,'PUR-HSN MASTER'!$A$4:$E$5000,5,FALSE)</f>
        <v>18</v>
      </c>
      <c r="J962" s="34"/>
      <c r="K962" s="126">
        <v>39816</v>
      </c>
      <c r="L962" s="39">
        <v>0</v>
      </c>
      <c r="M962" s="39">
        <v>3583.44</v>
      </c>
      <c r="N962" s="39">
        <v>3583.44</v>
      </c>
      <c r="O962" s="39">
        <v>0</v>
      </c>
      <c r="P962" s="39">
        <v>46982.879999999997</v>
      </c>
      <c r="Q962" s="34" t="s">
        <v>410</v>
      </c>
      <c r="R962" s="34" t="s">
        <v>26</v>
      </c>
      <c r="S962" s="11" t="s">
        <v>4120</v>
      </c>
    </row>
    <row r="963" spans="1:19" x14ac:dyDescent="0.2">
      <c r="A963" s="33">
        <v>43678</v>
      </c>
      <c r="B963" s="34">
        <v>6</v>
      </c>
      <c r="C963" s="35" t="s">
        <v>489</v>
      </c>
      <c r="D963" s="34" t="str">
        <f>VLOOKUP(C963,'PUR-PARTY MASTER'!$B$4:$E$2000,2,FALSE)</f>
        <v>27AAECD2713N1ZK</v>
      </c>
      <c r="E963" s="34" t="s">
        <v>22</v>
      </c>
      <c r="F963" s="134">
        <v>7887986921</v>
      </c>
      <c r="G963" s="37">
        <v>43679</v>
      </c>
      <c r="H963" s="34">
        <v>32082090</v>
      </c>
      <c r="I963" s="39">
        <f>VLOOKUP(H963,'PUR-HSN MASTER'!$A$4:$E$5000,5,FALSE)</f>
        <v>18</v>
      </c>
      <c r="J963" s="34"/>
      <c r="K963" s="126">
        <v>61872</v>
      </c>
      <c r="L963" s="39">
        <v>0</v>
      </c>
      <c r="M963" s="39">
        <v>5568.4800000000005</v>
      </c>
      <c r="N963" s="39">
        <v>5568.4800000000005</v>
      </c>
      <c r="O963" s="39">
        <v>0</v>
      </c>
      <c r="P963" s="39">
        <v>73008.960000000006</v>
      </c>
      <c r="Q963" s="34" t="s">
        <v>410</v>
      </c>
      <c r="R963" s="34" t="s">
        <v>26</v>
      </c>
      <c r="S963" s="11" t="s">
        <v>4120</v>
      </c>
    </row>
    <row r="964" spans="1:19" x14ac:dyDescent="0.2">
      <c r="A964" s="33">
        <v>43678</v>
      </c>
      <c r="B964" s="34"/>
      <c r="C964" s="35" t="s">
        <v>489</v>
      </c>
      <c r="D964" s="34" t="str">
        <f>VLOOKUP(C964,'PUR-PARTY MASTER'!$B$4:$E$2000,2,FALSE)</f>
        <v>27AAECD2713N1ZK</v>
      </c>
      <c r="E964" s="34" t="s">
        <v>22</v>
      </c>
      <c r="F964" s="134">
        <v>7887986921</v>
      </c>
      <c r="G964" s="37">
        <v>43679</v>
      </c>
      <c r="H964" s="34">
        <v>32089090</v>
      </c>
      <c r="I964" s="39">
        <f>VLOOKUP(H964,'PUR-HSN MASTER'!$A$4:$E$5000,5,FALSE)</f>
        <v>18</v>
      </c>
      <c r="J964" s="34"/>
      <c r="K964" s="126">
        <v>40960</v>
      </c>
      <c r="L964" s="39">
        <v>0</v>
      </c>
      <c r="M964" s="39">
        <v>3686.4</v>
      </c>
      <c r="N964" s="39">
        <v>3686.4</v>
      </c>
      <c r="O964" s="39">
        <v>0</v>
      </c>
      <c r="P964" s="39">
        <v>48332.800000000003</v>
      </c>
      <c r="Q964" s="34" t="s">
        <v>410</v>
      </c>
      <c r="R964" s="34" t="s">
        <v>26</v>
      </c>
      <c r="S964" s="11" t="s">
        <v>4120</v>
      </c>
    </row>
    <row r="965" spans="1:19" x14ac:dyDescent="0.2">
      <c r="A965" s="33">
        <v>43678</v>
      </c>
      <c r="B965" s="34"/>
      <c r="C965" s="35" t="s">
        <v>489</v>
      </c>
      <c r="D965" s="34" t="str">
        <f>VLOOKUP(C965,'PUR-PARTY MASTER'!$B$4:$E$2000,2,FALSE)</f>
        <v>27AAECD2713N1ZK</v>
      </c>
      <c r="E965" s="34" t="s">
        <v>22</v>
      </c>
      <c r="F965" s="134">
        <v>7887986921</v>
      </c>
      <c r="G965" s="37">
        <v>43679</v>
      </c>
      <c r="H965" s="34">
        <v>39119090</v>
      </c>
      <c r="I965" s="39">
        <f>VLOOKUP(H965,'PUR-HSN MASTER'!$A$4:$E$5000,5,FALSE)</f>
        <v>18</v>
      </c>
      <c r="J965" s="34"/>
      <c r="K965" s="126">
        <v>16560</v>
      </c>
      <c r="L965" s="39">
        <v>0</v>
      </c>
      <c r="M965" s="39">
        <v>1490.3999999999999</v>
      </c>
      <c r="N965" s="39">
        <v>1490.3999999999999</v>
      </c>
      <c r="O965" s="39">
        <v>0</v>
      </c>
      <c r="P965" s="39">
        <v>19540.8</v>
      </c>
      <c r="Q965" s="34" t="s">
        <v>410</v>
      </c>
      <c r="R965" s="34" t="s">
        <v>26</v>
      </c>
      <c r="S965" s="11" t="s">
        <v>4120</v>
      </c>
    </row>
    <row r="966" spans="1:19" x14ac:dyDescent="0.2">
      <c r="A966" s="33">
        <v>43678</v>
      </c>
      <c r="B966" s="34">
        <v>7</v>
      </c>
      <c r="C966" s="35" t="s">
        <v>489</v>
      </c>
      <c r="D966" s="34" t="str">
        <f>VLOOKUP(C966,'PUR-PARTY MASTER'!$B$4:$E$2000,2,FALSE)</f>
        <v>27AAECD2713N1ZK</v>
      </c>
      <c r="E966" s="34" t="s">
        <v>22</v>
      </c>
      <c r="F966" s="134">
        <v>7887986922</v>
      </c>
      <c r="G966" s="37">
        <v>43679</v>
      </c>
      <c r="H966" s="34">
        <v>38140010</v>
      </c>
      <c r="I966" s="39">
        <f>VLOOKUP(H966,'PUR-HSN MASTER'!$A$4:$E$5000,5,FALSE)</f>
        <v>18</v>
      </c>
      <c r="J966" s="34"/>
      <c r="K966" s="126">
        <v>14500</v>
      </c>
      <c r="L966" s="39">
        <v>0</v>
      </c>
      <c r="M966" s="39">
        <v>1305</v>
      </c>
      <c r="N966" s="39">
        <v>1305</v>
      </c>
      <c r="O966" s="39">
        <v>0</v>
      </c>
      <c r="P966" s="39">
        <v>17110</v>
      </c>
      <c r="Q966" s="34" t="s">
        <v>410</v>
      </c>
      <c r="R966" s="34" t="s">
        <v>26</v>
      </c>
      <c r="S966" s="11" t="s">
        <v>4120</v>
      </c>
    </row>
    <row r="967" spans="1:19" x14ac:dyDescent="0.2">
      <c r="A967" s="33">
        <v>43678</v>
      </c>
      <c r="B967" s="34"/>
      <c r="C967" s="35" t="s">
        <v>489</v>
      </c>
      <c r="D967" s="34" t="str">
        <f>VLOOKUP(C967,'PUR-PARTY MASTER'!$B$4:$E$2000,2,FALSE)</f>
        <v>27AAECD2713N1ZK</v>
      </c>
      <c r="E967" s="34" t="s">
        <v>22</v>
      </c>
      <c r="F967" s="134">
        <v>7887986922</v>
      </c>
      <c r="G967" s="37">
        <v>43679</v>
      </c>
      <c r="H967" s="34">
        <v>38249990</v>
      </c>
      <c r="I967" s="39">
        <f>VLOOKUP(H967,'PUR-HSN MASTER'!$A$4:$E$5000,5,FALSE)</f>
        <v>18</v>
      </c>
      <c r="J967" s="34"/>
      <c r="K967" s="126">
        <v>7800</v>
      </c>
      <c r="L967" s="39">
        <v>0</v>
      </c>
      <c r="M967" s="39">
        <v>702</v>
      </c>
      <c r="N967" s="39">
        <v>702</v>
      </c>
      <c r="O967" s="39">
        <v>0</v>
      </c>
      <c r="P967" s="39">
        <v>9204</v>
      </c>
      <c r="Q967" s="34" t="s">
        <v>410</v>
      </c>
      <c r="R967" s="34" t="s">
        <v>26</v>
      </c>
      <c r="S967" s="11" t="s">
        <v>4120</v>
      </c>
    </row>
    <row r="968" spans="1:19" x14ac:dyDescent="0.2">
      <c r="A968" s="33">
        <v>43678</v>
      </c>
      <c r="B968" s="34"/>
      <c r="C968" s="35" t="s">
        <v>489</v>
      </c>
      <c r="D968" s="34" t="str">
        <f>VLOOKUP(C968,'PUR-PARTY MASTER'!$B$4:$E$2000,2,FALSE)</f>
        <v>27AAECD2713N1ZK</v>
      </c>
      <c r="E968" s="34" t="s">
        <v>22</v>
      </c>
      <c r="F968" s="134">
        <v>7887986922</v>
      </c>
      <c r="G968" s="37">
        <v>43679</v>
      </c>
      <c r="H968" s="34">
        <v>32082090</v>
      </c>
      <c r="I968" s="39">
        <f>VLOOKUP(H968,'PUR-HSN MASTER'!$A$4:$E$5000,5,FALSE)</f>
        <v>18</v>
      </c>
      <c r="J968" s="34"/>
      <c r="K968" s="126">
        <v>12750</v>
      </c>
      <c r="L968" s="39">
        <v>0</v>
      </c>
      <c r="M968" s="39">
        <v>1147.5</v>
      </c>
      <c r="N968" s="39">
        <v>1147.5</v>
      </c>
      <c r="O968" s="39">
        <v>0</v>
      </c>
      <c r="P968" s="39">
        <v>15045</v>
      </c>
      <c r="Q968" s="34" t="s">
        <v>410</v>
      </c>
      <c r="R968" s="34" t="s">
        <v>26</v>
      </c>
      <c r="S968" s="11" t="s">
        <v>4120</v>
      </c>
    </row>
    <row r="969" spans="1:19" x14ac:dyDescent="0.2">
      <c r="A969" s="33">
        <v>43678</v>
      </c>
      <c r="B969" s="34"/>
      <c r="C969" s="35" t="s">
        <v>489</v>
      </c>
      <c r="D969" s="34" t="str">
        <f>VLOOKUP(C969,'PUR-PARTY MASTER'!$B$4:$E$2000,2,FALSE)</f>
        <v>27AAECD2713N1ZK</v>
      </c>
      <c r="E969" s="34" t="s">
        <v>22</v>
      </c>
      <c r="F969" s="134">
        <v>7887986922</v>
      </c>
      <c r="G969" s="37">
        <v>43679</v>
      </c>
      <c r="H969" s="34">
        <v>32081090</v>
      </c>
      <c r="I969" s="39">
        <f>VLOOKUP(H969,'PUR-HSN MASTER'!$A$4:$E$5000,5,FALSE)</f>
        <v>18</v>
      </c>
      <c r="J969" s="34"/>
      <c r="K969" s="126">
        <v>16320</v>
      </c>
      <c r="L969" s="39">
        <v>0</v>
      </c>
      <c r="M969" s="39">
        <v>1468.8</v>
      </c>
      <c r="N969" s="39">
        <v>1468.8</v>
      </c>
      <c r="O969" s="39">
        <v>0</v>
      </c>
      <c r="P969" s="39">
        <v>19257.599999999999</v>
      </c>
      <c r="Q969" s="34" t="s">
        <v>410</v>
      </c>
      <c r="R969" s="34" t="s">
        <v>26</v>
      </c>
      <c r="S969" s="11" t="s">
        <v>4120</v>
      </c>
    </row>
    <row r="970" spans="1:19" x14ac:dyDescent="0.2">
      <c r="A970" s="33">
        <v>43678</v>
      </c>
      <c r="B970" s="34"/>
      <c r="C970" s="35" t="s">
        <v>489</v>
      </c>
      <c r="D970" s="34" t="str">
        <f>VLOOKUP(C970,'PUR-PARTY MASTER'!$B$4:$E$2000,2,FALSE)</f>
        <v>27AAECD2713N1ZK</v>
      </c>
      <c r="E970" s="34" t="s">
        <v>22</v>
      </c>
      <c r="F970" s="134">
        <v>7887986922</v>
      </c>
      <c r="G970" s="37">
        <v>43679</v>
      </c>
      <c r="H970" s="34">
        <v>38249990</v>
      </c>
      <c r="I970" s="39">
        <f>VLOOKUP(H970,'PUR-HSN MASTER'!$A$4:$E$5000,5,FALSE)</f>
        <v>18</v>
      </c>
      <c r="J970" s="34"/>
      <c r="K970" s="126">
        <v>7416</v>
      </c>
      <c r="L970" s="39">
        <v>0</v>
      </c>
      <c r="M970" s="39">
        <v>667.43999999999994</v>
      </c>
      <c r="N970" s="39">
        <v>667.43999999999994</v>
      </c>
      <c r="O970" s="39">
        <v>0</v>
      </c>
      <c r="P970" s="39">
        <v>8750.8799999999992</v>
      </c>
      <c r="Q970" s="34" t="s">
        <v>410</v>
      </c>
      <c r="R970" s="34" t="s">
        <v>26</v>
      </c>
      <c r="S970" s="11" t="s">
        <v>4120</v>
      </c>
    </row>
    <row r="971" spans="1:19" x14ac:dyDescent="0.2">
      <c r="A971" s="33">
        <v>43678</v>
      </c>
      <c r="B971" s="34">
        <v>8</v>
      </c>
      <c r="C971" s="35" t="s">
        <v>499</v>
      </c>
      <c r="D971" s="34" t="str">
        <f>VLOOKUP(C971,'PUR-PARTY MASTER'!$B$4:$E$2000,2,FALSE)</f>
        <v>27AAHFP1154B1ZN</v>
      </c>
      <c r="E971" s="34" t="s">
        <v>22</v>
      </c>
      <c r="F971" s="136" t="s">
        <v>871</v>
      </c>
      <c r="G971" s="37">
        <v>43679</v>
      </c>
      <c r="H971" s="34">
        <v>60060000</v>
      </c>
      <c r="I971" s="39">
        <f>VLOOKUP(H971,'PUR-HSN MASTER'!$A$4:$E$5000,5,FALSE)</f>
        <v>5</v>
      </c>
      <c r="J971" s="34"/>
      <c r="K971" s="126">
        <v>2970</v>
      </c>
      <c r="L971" s="39">
        <v>0</v>
      </c>
      <c r="M971" s="39">
        <v>74.25</v>
      </c>
      <c r="N971" s="39">
        <v>74.25</v>
      </c>
      <c r="O971" s="39">
        <v>0</v>
      </c>
      <c r="P971" s="39">
        <v>3118.5</v>
      </c>
      <c r="Q971" s="34" t="s">
        <v>410</v>
      </c>
      <c r="R971" s="34" t="s">
        <v>26</v>
      </c>
      <c r="S971" s="11" t="s">
        <v>4120</v>
      </c>
    </row>
    <row r="972" spans="1:19" x14ac:dyDescent="0.2">
      <c r="A972" s="33">
        <v>43678</v>
      </c>
      <c r="B972" s="34"/>
      <c r="C972" s="35" t="s">
        <v>499</v>
      </c>
      <c r="D972" s="34" t="str">
        <f>VLOOKUP(C972,'PUR-PARTY MASTER'!$B$4:$E$2000,2,FALSE)</f>
        <v>27AAHFP1154B1ZN</v>
      </c>
      <c r="E972" s="34" t="s">
        <v>22</v>
      </c>
      <c r="F972" s="136" t="s">
        <v>871</v>
      </c>
      <c r="G972" s="37">
        <v>43679</v>
      </c>
      <c r="H972" s="34">
        <v>5407</v>
      </c>
      <c r="I972" s="39">
        <f>VLOOKUP(H972,'PUR-HSN MASTER'!$A$4:$E$5000,5,FALSE)</f>
        <v>5</v>
      </c>
      <c r="J972" s="34"/>
      <c r="K972" s="126">
        <v>13949</v>
      </c>
      <c r="L972" s="39">
        <v>0</v>
      </c>
      <c r="M972" s="39">
        <v>348.72500000000002</v>
      </c>
      <c r="N972" s="39">
        <v>348.72500000000002</v>
      </c>
      <c r="O972" s="39">
        <v>0</v>
      </c>
      <c r="P972" s="39">
        <v>14646.45</v>
      </c>
      <c r="Q972" s="34" t="s">
        <v>410</v>
      </c>
      <c r="R972" s="34" t="s">
        <v>26</v>
      </c>
      <c r="S972" s="11" t="s">
        <v>4120</v>
      </c>
    </row>
    <row r="973" spans="1:19" x14ac:dyDescent="0.2">
      <c r="A973" s="33">
        <v>43678</v>
      </c>
      <c r="B973" s="34"/>
      <c r="C973" s="35" t="s">
        <v>499</v>
      </c>
      <c r="D973" s="34" t="str">
        <f>VLOOKUP(C973,'PUR-PARTY MASTER'!$B$4:$E$2000,2,FALSE)</f>
        <v>27AAHFP1154B1ZN</v>
      </c>
      <c r="E973" s="34" t="s">
        <v>22</v>
      </c>
      <c r="F973" s="136" t="s">
        <v>871</v>
      </c>
      <c r="G973" s="37">
        <v>43679</v>
      </c>
      <c r="H973" s="34">
        <v>63079090</v>
      </c>
      <c r="I973" s="39">
        <f>VLOOKUP(H973,'PUR-HSN MASTER'!$A$4:$E$5000,5,FALSE)</f>
        <v>5</v>
      </c>
      <c r="J973" s="34"/>
      <c r="K973" s="126">
        <v>1550</v>
      </c>
      <c r="L973" s="39">
        <v>0</v>
      </c>
      <c r="M973" s="39">
        <v>38.75</v>
      </c>
      <c r="N973" s="39">
        <v>38.75</v>
      </c>
      <c r="O973" s="39">
        <v>0</v>
      </c>
      <c r="P973" s="39">
        <v>1627.5</v>
      </c>
      <c r="Q973" s="34" t="s">
        <v>410</v>
      </c>
      <c r="R973" s="34" t="s">
        <v>26</v>
      </c>
      <c r="S973" s="11" t="s">
        <v>4120</v>
      </c>
    </row>
    <row r="974" spans="1:19" x14ac:dyDescent="0.2">
      <c r="A974" s="33">
        <v>43678</v>
      </c>
      <c r="B974" s="34">
        <v>9</v>
      </c>
      <c r="C974" s="35" t="s">
        <v>499</v>
      </c>
      <c r="D974" s="34" t="str">
        <f>VLOOKUP(C974,'PUR-PARTY MASTER'!$B$4:$E$2000,2,FALSE)</f>
        <v>27AAHFP1154B1ZN</v>
      </c>
      <c r="E974" s="34" t="s">
        <v>22</v>
      </c>
      <c r="F974" s="136" t="s">
        <v>872</v>
      </c>
      <c r="G974" s="37">
        <v>43679</v>
      </c>
      <c r="H974" s="34">
        <v>96039090</v>
      </c>
      <c r="I974" s="39">
        <f>VLOOKUP(H974,'PUR-HSN MASTER'!$A$4:$E$5000,5,FALSE)</f>
        <v>18</v>
      </c>
      <c r="J974" s="34"/>
      <c r="K974" s="126">
        <v>672</v>
      </c>
      <c r="L974" s="39">
        <v>0</v>
      </c>
      <c r="M974" s="39">
        <v>60.48</v>
      </c>
      <c r="N974" s="39">
        <v>60.48</v>
      </c>
      <c r="O974" s="39">
        <v>0</v>
      </c>
      <c r="P974" s="39">
        <v>792.96</v>
      </c>
      <c r="Q974" s="34" t="s">
        <v>410</v>
      </c>
      <c r="R974" s="34" t="s">
        <v>26</v>
      </c>
      <c r="S974" s="11" t="s">
        <v>4120</v>
      </c>
    </row>
    <row r="975" spans="1:19" x14ac:dyDescent="0.2">
      <c r="A975" s="33">
        <v>43678</v>
      </c>
      <c r="B975" s="34"/>
      <c r="C975" s="35" t="s">
        <v>499</v>
      </c>
      <c r="D975" s="34" t="str">
        <f>VLOOKUP(C975,'PUR-PARTY MASTER'!$B$4:$E$2000,2,FALSE)</f>
        <v>27AAHFP1154B1ZN</v>
      </c>
      <c r="E975" s="34" t="s">
        <v>22</v>
      </c>
      <c r="F975" s="136" t="s">
        <v>872</v>
      </c>
      <c r="G975" s="37">
        <v>43679</v>
      </c>
      <c r="H975" s="34">
        <v>34022090</v>
      </c>
      <c r="I975" s="39">
        <f>VLOOKUP(H975,'PUR-HSN MASTER'!$A$4:$E$5000,5,FALSE)</f>
        <v>18</v>
      </c>
      <c r="J975" s="34"/>
      <c r="K975" s="126">
        <v>804</v>
      </c>
      <c r="L975" s="39">
        <v>0</v>
      </c>
      <c r="M975" s="39">
        <v>72.359999999999985</v>
      </c>
      <c r="N975" s="39">
        <v>72.359999999999985</v>
      </c>
      <c r="O975" s="39">
        <v>0</v>
      </c>
      <c r="P975" s="39">
        <v>948.72</v>
      </c>
      <c r="Q975" s="34" t="s">
        <v>410</v>
      </c>
      <c r="R975" s="34" t="s">
        <v>26</v>
      </c>
      <c r="S975" s="11" t="s">
        <v>4120</v>
      </c>
    </row>
    <row r="976" spans="1:19" x14ac:dyDescent="0.2">
      <c r="A976" s="33">
        <v>43678</v>
      </c>
      <c r="B976" s="34"/>
      <c r="C976" s="35" t="s">
        <v>499</v>
      </c>
      <c r="D976" s="34" t="str">
        <f>VLOOKUP(C976,'PUR-PARTY MASTER'!$B$4:$E$2000,2,FALSE)</f>
        <v>27AAHFP1154B1ZN</v>
      </c>
      <c r="E976" s="34" t="s">
        <v>22</v>
      </c>
      <c r="F976" s="136" t="s">
        <v>872</v>
      </c>
      <c r="G976" s="37">
        <v>43679</v>
      </c>
      <c r="H976" s="34">
        <v>84701000</v>
      </c>
      <c r="I976" s="39">
        <f>VLOOKUP(H976,'PUR-HSN MASTER'!$A$4:$E$5000,5,FALSE)</f>
        <v>18</v>
      </c>
      <c r="J976" s="34"/>
      <c r="K976" s="126">
        <v>320</v>
      </c>
      <c r="L976" s="39">
        <v>0</v>
      </c>
      <c r="M976" s="39">
        <v>28.8</v>
      </c>
      <c r="N976" s="39">
        <v>28.8</v>
      </c>
      <c r="O976" s="39">
        <v>0</v>
      </c>
      <c r="P976" s="39">
        <v>377.6</v>
      </c>
      <c r="Q976" s="34" t="s">
        <v>410</v>
      </c>
      <c r="R976" s="34" t="s">
        <v>26</v>
      </c>
      <c r="S976" s="11" t="s">
        <v>4120</v>
      </c>
    </row>
    <row r="977" spans="1:19" x14ac:dyDescent="0.2">
      <c r="A977" s="33">
        <v>43678</v>
      </c>
      <c r="B977" s="34"/>
      <c r="C977" s="35" t="s">
        <v>499</v>
      </c>
      <c r="D977" s="34" t="str">
        <f>VLOOKUP(C977,'PUR-PARTY MASTER'!$B$4:$E$2000,2,FALSE)</f>
        <v>27AAHFP1154B1ZN</v>
      </c>
      <c r="E977" s="34" t="s">
        <v>22</v>
      </c>
      <c r="F977" s="136" t="s">
        <v>872</v>
      </c>
      <c r="G977" s="37">
        <v>43679</v>
      </c>
      <c r="H977" s="34">
        <v>96081019</v>
      </c>
      <c r="I977" s="39">
        <f>VLOOKUP(H977,'PUR-HSN MASTER'!$A$4:$E$5000,5,FALSE)</f>
        <v>12</v>
      </c>
      <c r="J977" s="34"/>
      <c r="K977" s="126">
        <v>53.2</v>
      </c>
      <c r="L977" s="39">
        <v>0</v>
      </c>
      <c r="M977" s="39">
        <v>3.1920000000000002</v>
      </c>
      <c r="N977" s="39">
        <v>3.1920000000000002</v>
      </c>
      <c r="O977" s="39">
        <v>0</v>
      </c>
      <c r="P977" s="39">
        <v>59.584000000000003</v>
      </c>
      <c r="Q977" s="34" t="s">
        <v>410</v>
      </c>
      <c r="R977" s="34" t="s">
        <v>26</v>
      </c>
      <c r="S977" s="11" t="s">
        <v>4120</v>
      </c>
    </row>
    <row r="978" spans="1:19" x14ac:dyDescent="0.2">
      <c r="A978" s="33">
        <v>43678</v>
      </c>
      <c r="B978" s="34">
        <v>10</v>
      </c>
      <c r="C978" s="35" t="s">
        <v>499</v>
      </c>
      <c r="D978" s="34" t="str">
        <f>VLOOKUP(C978,'PUR-PARTY MASTER'!$B$4:$E$2000,2,FALSE)</f>
        <v>27AAHFP1154B1ZN</v>
      </c>
      <c r="E978" s="34" t="s">
        <v>22</v>
      </c>
      <c r="F978" s="136" t="s">
        <v>873</v>
      </c>
      <c r="G978" s="37">
        <v>43679</v>
      </c>
      <c r="H978" s="34">
        <v>39199090</v>
      </c>
      <c r="I978" s="39">
        <f>VLOOKUP(H978,'PUR-HSN MASTER'!$A$4:$E$5000,5,FALSE)</f>
        <v>18</v>
      </c>
      <c r="J978" s="34"/>
      <c r="K978" s="126">
        <v>4488</v>
      </c>
      <c r="L978" s="39">
        <v>0</v>
      </c>
      <c r="M978" s="39">
        <v>403.92</v>
      </c>
      <c r="N978" s="39">
        <v>403.92</v>
      </c>
      <c r="O978" s="39">
        <v>0</v>
      </c>
      <c r="P978" s="39">
        <v>5295.84</v>
      </c>
      <c r="Q978" s="34" t="s">
        <v>410</v>
      </c>
      <c r="R978" s="34" t="s">
        <v>26</v>
      </c>
      <c r="S978" s="11" t="s">
        <v>4120</v>
      </c>
    </row>
    <row r="979" spans="1:19" x14ac:dyDescent="0.2">
      <c r="A979" s="33">
        <v>43678</v>
      </c>
      <c r="B979" s="34"/>
      <c r="C979" s="35" t="s">
        <v>499</v>
      </c>
      <c r="D979" s="34" t="str">
        <f>VLOOKUP(C979,'PUR-PARTY MASTER'!$B$4:$E$2000,2,FALSE)</f>
        <v>27AAHFP1154B1ZN</v>
      </c>
      <c r="E979" s="34" t="s">
        <v>22</v>
      </c>
      <c r="F979" s="136" t="s">
        <v>873</v>
      </c>
      <c r="G979" s="37">
        <v>43679</v>
      </c>
      <c r="H979" s="34">
        <v>21069030</v>
      </c>
      <c r="I979" s="39">
        <f>VLOOKUP(H979,'PUR-HSN MASTER'!$A$4:$E$5000,5,FALSE)</f>
        <v>18</v>
      </c>
      <c r="J979" s="34"/>
      <c r="K979" s="126">
        <v>180</v>
      </c>
      <c r="L979" s="39">
        <v>0</v>
      </c>
      <c r="M979" s="39">
        <v>16.2</v>
      </c>
      <c r="N979" s="39">
        <v>16.2</v>
      </c>
      <c r="O979" s="39">
        <v>0</v>
      </c>
      <c r="P979" s="39">
        <v>212.4</v>
      </c>
      <c r="Q979" s="34" t="s">
        <v>410</v>
      </c>
      <c r="R979" s="34" t="s">
        <v>26</v>
      </c>
      <c r="S979" s="11" t="s">
        <v>4120</v>
      </c>
    </row>
    <row r="980" spans="1:19" x14ac:dyDescent="0.2">
      <c r="A980" s="33">
        <v>43678</v>
      </c>
      <c r="B980" s="34"/>
      <c r="C980" s="35" t="s">
        <v>499</v>
      </c>
      <c r="D980" s="34" t="str">
        <f>VLOOKUP(C980,'PUR-PARTY MASTER'!$B$4:$E$2000,2,FALSE)</f>
        <v>27AAHFP1154B1ZN</v>
      </c>
      <c r="E980" s="34" t="s">
        <v>22</v>
      </c>
      <c r="F980" s="136" t="s">
        <v>873</v>
      </c>
      <c r="G980" s="37">
        <v>43679</v>
      </c>
      <c r="H980" s="34">
        <v>40159030</v>
      </c>
      <c r="I980" s="39">
        <f>VLOOKUP(H980,'PUR-HSN MASTER'!$A$4:$E$5000,5,FALSE)</f>
        <v>18</v>
      </c>
      <c r="J980" s="34"/>
      <c r="K980" s="126">
        <v>576</v>
      </c>
      <c r="L980" s="39">
        <v>0</v>
      </c>
      <c r="M980" s="39">
        <v>51.839999999999996</v>
      </c>
      <c r="N980" s="39">
        <v>51.839999999999996</v>
      </c>
      <c r="O980" s="39">
        <v>0</v>
      </c>
      <c r="P980" s="39">
        <v>679.68</v>
      </c>
      <c r="Q980" s="34" t="s">
        <v>410</v>
      </c>
      <c r="R980" s="34" t="s">
        <v>26</v>
      </c>
      <c r="S980" s="11" t="s">
        <v>4120</v>
      </c>
    </row>
    <row r="981" spans="1:19" x14ac:dyDescent="0.2">
      <c r="A981" s="33">
        <v>43678</v>
      </c>
      <c r="B981" s="34"/>
      <c r="C981" s="35" t="s">
        <v>499</v>
      </c>
      <c r="D981" s="34" t="str">
        <f>VLOOKUP(C981,'PUR-PARTY MASTER'!$B$4:$E$2000,2,FALSE)</f>
        <v>27AAHFP1154B1ZN</v>
      </c>
      <c r="E981" s="34" t="s">
        <v>22</v>
      </c>
      <c r="F981" s="136" t="s">
        <v>873</v>
      </c>
      <c r="G981" s="37">
        <v>43679</v>
      </c>
      <c r="H981" s="34">
        <v>63071090</v>
      </c>
      <c r="I981" s="39">
        <f>VLOOKUP(H981,'PUR-HSN MASTER'!$A$4:$E$5000,5,FALSE)</f>
        <v>18</v>
      </c>
      <c r="J981" s="34"/>
      <c r="K981" s="126">
        <v>144</v>
      </c>
      <c r="L981" s="39">
        <v>0</v>
      </c>
      <c r="M981" s="39">
        <v>12.959999999999999</v>
      </c>
      <c r="N981" s="39">
        <v>12.959999999999999</v>
      </c>
      <c r="O981" s="39">
        <v>0</v>
      </c>
      <c r="P981" s="39">
        <v>169.92</v>
      </c>
      <c r="Q981" s="34" t="s">
        <v>410</v>
      </c>
      <c r="R981" s="34" t="s">
        <v>26</v>
      </c>
      <c r="S981" s="11" t="s">
        <v>4120</v>
      </c>
    </row>
    <row r="982" spans="1:19" x14ac:dyDescent="0.2">
      <c r="A982" s="33">
        <v>43678</v>
      </c>
      <c r="B982" s="34"/>
      <c r="C982" s="35" t="s">
        <v>499</v>
      </c>
      <c r="D982" s="34" t="str">
        <f>VLOOKUP(C982,'PUR-PARTY MASTER'!$B$4:$E$2000,2,FALSE)</f>
        <v>27AAHFP1154B1ZN</v>
      </c>
      <c r="E982" s="34" t="s">
        <v>22</v>
      </c>
      <c r="F982" s="136" t="s">
        <v>873</v>
      </c>
      <c r="G982" s="37">
        <v>43679</v>
      </c>
      <c r="H982" s="34">
        <v>48114100</v>
      </c>
      <c r="I982" s="39">
        <f>VLOOKUP(H982,'PUR-HSN MASTER'!$A$4:$E$5000,5,FALSE)</f>
        <v>18</v>
      </c>
      <c r="J982" s="34"/>
      <c r="K982" s="126">
        <v>5184</v>
      </c>
      <c r="L982" s="39">
        <v>0</v>
      </c>
      <c r="M982" s="39">
        <v>466.56000000000006</v>
      </c>
      <c r="N982" s="39">
        <v>466.56000000000006</v>
      </c>
      <c r="O982" s="39">
        <v>0</v>
      </c>
      <c r="P982" s="39">
        <v>6117.12</v>
      </c>
      <c r="Q982" s="34" t="s">
        <v>410</v>
      </c>
      <c r="R982" s="34" t="s">
        <v>26</v>
      </c>
      <c r="S982" s="11" t="s">
        <v>4120</v>
      </c>
    </row>
    <row r="983" spans="1:19" x14ac:dyDescent="0.2">
      <c r="A983" s="33">
        <v>43678</v>
      </c>
      <c r="B983" s="34">
        <v>11</v>
      </c>
      <c r="C983" s="35" t="s">
        <v>506</v>
      </c>
      <c r="D983" s="34" t="str">
        <f>VLOOKUP(C983,'PUR-PARTY MASTER'!$B$4:$E$2000,2,FALSE)</f>
        <v>27AAACG1376N1ZC</v>
      </c>
      <c r="E983" s="34" t="s">
        <v>22</v>
      </c>
      <c r="F983" s="136" t="s">
        <v>874</v>
      </c>
      <c r="G983" s="37">
        <v>43679</v>
      </c>
      <c r="H983" s="34">
        <v>32081090</v>
      </c>
      <c r="I983" s="39">
        <f>VLOOKUP(H983,'PUR-HSN MASTER'!$A$4:$E$5000,5,FALSE)</f>
        <v>18</v>
      </c>
      <c r="J983" s="34"/>
      <c r="K983" s="126">
        <v>17400</v>
      </c>
      <c r="L983" s="39">
        <v>0</v>
      </c>
      <c r="M983" s="39">
        <v>1566</v>
      </c>
      <c r="N983" s="39">
        <v>1566</v>
      </c>
      <c r="O983" s="39">
        <v>0</v>
      </c>
      <c r="P983" s="39">
        <v>20532</v>
      </c>
      <c r="Q983" s="34" t="s">
        <v>410</v>
      </c>
      <c r="R983" s="34" t="s">
        <v>26</v>
      </c>
      <c r="S983" s="11" t="s">
        <v>4120</v>
      </c>
    </row>
    <row r="984" spans="1:19" x14ac:dyDescent="0.2">
      <c r="A984" s="33">
        <v>43678</v>
      </c>
      <c r="B984" s="34">
        <v>12</v>
      </c>
      <c r="C984" s="35" t="s">
        <v>506</v>
      </c>
      <c r="D984" s="34" t="str">
        <f>VLOOKUP(C984,'PUR-PARTY MASTER'!$B$4:$E$2000,2,FALSE)</f>
        <v>27AAACG1376N1ZC</v>
      </c>
      <c r="E984" s="34" t="s">
        <v>22</v>
      </c>
      <c r="F984" s="136" t="s">
        <v>875</v>
      </c>
      <c r="G984" s="37">
        <v>43679</v>
      </c>
      <c r="H984" s="34">
        <v>32081090</v>
      </c>
      <c r="I984" s="39">
        <f>VLOOKUP(H984,'PUR-HSN MASTER'!$A$4:$E$5000,5,FALSE)</f>
        <v>18</v>
      </c>
      <c r="J984" s="34"/>
      <c r="K984" s="126">
        <v>7920</v>
      </c>
      <c r="L984" s="39">
        <v>0</v>
      </c>
      <c r="M984" s="39">
        <v>712.80000000000007</v>
      </c>
      <c r="N984" s="39">
        <v>712.80000000000007</v>
      </c>
      <c r="O984" s="39">
        <v>0</v>
      </c>
      <c r="P984" s="39">
        <v>9345.6</v>
      </c>
      <c r="Q984" s="34" t="s">
        <v>410</v>
      </c>
      <c r="R984" s="34" t="s">
        <v>26</v>
      </c>
      <c r="S984" s="11" t="s">
        <v>4120</v>
      </c>
    </row>
    <row r="985" spans="1:19" x14ac:dyDescent="0.2">
      <c r="A985" s="33">
        <v>43678</v>
      </c>
      <c r="B985" s="34">
        <v>13</v>
      </c>
      <c r="C985" s="35" t="s">
        <v>506</v>
      </c>
      <c r="D985" s="34" t="str">
        <f>VLOOKUP(C985,'PUR-PARTY MASTER'!$B$4:$E$2000,2,FALSE)</f>
        <v>27AAACG1376N1ZC</v>
      </c>
      <c r="E985" s="34" t="s">
        <v>22</v>
      </c>
      <c r="F985" s="136" t="s">
        <v>876</v>
      </c>
      <c r="G985" s="37">
        <v>43679</v>
      </c>
      <c r="H985" s="34">
        <v>38140010</v>
      </c>
      <c r="I985" s="39">
        <f>VLOOKUP(H985,'PUR-HSN MASTER'!$A$4:$E$5000,5,FALSE)</f>
        <v>18</v>
      </c>
      <c r="J985" s="34"/>
      <c r="K985" s="126">
        <v>4800</v>
      </c>
      <c r="L985" s="39">
        <v>0</v>
      </c>
      <c r="M985" s="39">
        <v>432</v>
      </c>
      <c r="N985" s="39">
        <v>432</v>
      </c>
      <c r="O985" s="39">
        <v>0</v>
      </c>
      <c r="P985" s="39">
        <v>5664</v>
      </c>
      <c r="Q985" s="34" t="s">
        <v>410</v>
      </c>
      <c r="R985" s="34" t="s">
        <v>26</v>
      </c>
      <c r="S985" s="11" t="s">
        <v>4120</v>
      </c>
    </row>
    <row r="986" spans="1:19" x14ac:dyDescent="0.2">
      <c r="A986" s="33">
        <v>43678</v>
      </c>
      <c r="B986" s="34">
        <v>14</v>
      </c>
      <c r="C986" s="35" t="s">
        <v>554</v>
      </c>
      <c r="D986" s="34" t="str">
        <f>VLOOKUP(C986,'PUR-PARTY MASTER'!$B$4:$E$2000,2,FALSE)</f>
        <v>27AACFA1881H1ZL</v>
      </c>
      <c r="E986" s="34" t="s">
        <v>22</v>
      </c>
      <c r="F986" s="134">
        <v>10254</v>
      </c>
      <c r="G986" s="37">
        <v>43680</v>
      </c>
      <c r="H986" s="34">
        <v>87141900</v>
      </c>
      <c r="I986" s="39">
        <f>VLOOKUP(H986,'PUR-HSN MASTER'!$A$4:$E$5000,5,FALSE)</f>
        <v>28</v>
      </c>
      <c r="J986" s="34"/>
      <c r="K986" s="126">
        <v>9922.5</v>
      </c>
      <c r="L986" s="39">
        <v>0</v>
      </c>
      <c r="M986" s="39">
        <v>1389.1499999999999</v>
      </c>
      <c r="N986" s="39">
        <v>1389.1499999999999</v>
      </c>
      <c r="O986" s="39">
        <v>0</v>
      </c>
      <c r="P986" s="39">
        <v>12700.8</v>
      </c>
      <c r="Q986" s="34" t="s">
        <v>410</v>
      </c>
      <c r="R986" s="34" t="s">
        <v>26</v>
      </c>
      <c r="S986" s="11" t="s">
        <v>4120</v>
      </c>
    </row>
    <row r="987" spans="1:19" x14ac:dyDescent="0.2">
      <c r="A987" s="33">
        <v>43678</v>
      </c>
      <c r="B987" s="34">
        <v>15</v>
      </c>
      <c r="C987" s="35" t="s">
        <v>554</v>
      </c>
      <c r="D987" s="34" t="str">
        <f>VLOOKUP(C987,'PUR-PARTY MASTER'!$B$4:$E$2000,2,FALSE)</f>
        <v>27AACFA1881H1ZL</v>
      </c>
      <c r="E987" s="34" t="s">
        <v>22</v>
      </c>
      <c r="F987" s="134">
        <v>10270</v>
      </c>
      <c r="G987" s="37">
        <v>43680</v>
      </c>
      <c r="H987" s="34">
        <v>87141900</v>
      </c>
      <c r="I987" s="39">
        <f>VLOOKUP(H987,'PUR-HSN MASTER'!$A$4:$E$5000,5,FALSE)</f>
        <v>28</v>
      </c>
      <c r="J987" s="34"/>
      <c r="K987" s="126">
        <v>3150</v>
      </c>
      <c r="L987" s="39">
        <v>0</v>
      </c>
      <c r="M987" s="39">
        <v>441</v>
      </c>
      <c r="N987" s="39">
        <v>441</v>
      </c>
      <c r="O987" s="39">
        <v>0</v>
      </c>
      <c r="P987" s="39">
        <v>4032</v>
      </c>
      <c r="Q987" s="34" t="s">
        <v>410</v>
      </c>
      <c r="R987" s="34" t="s">
        <v>26</v>
      </c>
      <c r="S987" s="11" t="s">
        <v>4120</v>
      </c>
    </row>
    <row r="988" spans="1:19" x14ac:dyDescent="0.2">
      <c r="A988" s="33">
        <v>43678</v>
      </c>
      <c r="B988" s="34">
        <v>16</v>
      </c>
      <c r="C988" s="35" t="s">
        <v>471</v>
      </c>
      <c r="D988" s="34" t="str">
        <f>VLOOKUP(C988,'PUR-PARTY MASTER'!$B$4:$E$2000,2,FALSE)</f>
        <v>27AAECM8871A1ZF</v>
      </c>
      <c r="E988" s="34" t="s">
        <v>22</v>
      </c>
      <c r="F988" s="134">
        <v>192004303</v>
      </c>
      <c r="G988" s="37">
        <v>43680</v>
      </c>
      <c r="H988" s="34">
        <v>87089900</v>
      </c>
      <c r="I988" s="39">
        <f>VLOOKUP(H988,'PUR-HSN MASTER'!$A$4:$E$5000,5,FALSE)</f>
        <v>28</v>
      </c>
      <c r="J988" s="34"/>
      <c r="K988" s="126">
        <v>17483.52</v>
      </c>
      <c r="L988" s="39">
        <v>0</v>
      </c>
      <c r="M988" s="39">
        <v>2447.6928000000003</v>
      </c>
      <c r="N988" s="39">
        <v>2447.6928000000003</v>
      </c>
      <c r="O988" s="39">
        <v>0</v>
      </c>
      <c r="P988" s="39">
        <v>22378.905600000002</v>
      </c>
      <c r="Q988" s="34" t="s">
        <v>410</v>
      </c>
      <c r="R988" s="34" t="s">
        <v>26</v>
      </c>
      <c r="S988" s="11" t="s">
        <v>4120</v>
      </c>
    </row>
    <row r="989" spans="1:19" x14ac:dyDescent="0.2">
      <c r="A989" s="33">
        <v>43678</v>
      </c>
      <c r="B989" s="34">
        <v>17</v>
      </c>
      <c r="C989" s="35" t="s">
        <v>471</v>
      </c>
      <c r="D989" s="34" t="str">
        <f>VLOOKUP(C989,'PUR-PARTY MASTER'!$B$4:$E$2000,2,FALSE)</f>
        <v>27AAECM8871A1ZF</v>
      </c>
      <c r="E989" s="34" t="s">
        <v>22</v>
      </c>
      <c r="F989" s="134">
        <v>192004302</v>
      </c>
      <c r="G989" s="37">
        <v>43680</v>
      </c>
      <c r="H989" s="34">
        <v>87089900</v>
      </c>
      <c r="I989" s="39">
        <f>VLOOKUP(H989,'PUR-HSN MASTER'!$A$4:$E$5000,5,FALSE)</f>
        <v>28</v>
      </c>
      <c r="J989" s="34"/>
      <c r="K989" s="126">
        <v>17483.52</v>
      </c>
      <c r="L989" s="39">
        <v>0</v>
      </c>
      <c r="M989" s="39">
        <v>2447.6928000000003</v>
      </c>
      <c r="N989" s="39">
        <v>2447.6928000000003</v>
      </c>
      <c r="O989" s="39">
        <v>0</v>
      </c>
      <c r="P989" s="39">
        <v>22378.905600000002</v>
      </c>
      <c r="Q989" s="34" t="s">
        <v>410</v>
      </c>
      <c r="R989" s="34" t="s">
        <v>26</v>
      </c>
      <c r="S989" s="11" t="s">
        <v>4120</v>
      </c>
    </row>
    <row r="990" spans="1:19" x14ac:dyDescent="0.2">
      <c r="A990" s="33">
        <v>43678</v>
      </c>
      <c r="B990" s="34">
        <v>18</v>
      </c>
      <c r="C990" s="35" t="s">
        <v>471</v>
      </c>
      <c r="D990" s="34" t="str">
        <f>VLOOKUP(C990,'PUR-PARTY MASTER'!$B$4:$E$2000,2,FALSE)</f>
        <v>27AAECM8871A1ZF</v>
      </c>
      <c r="E990" s="34" t="s">
        <v>22</v>
      </c>
      <c r="F990" s="134">
        <v>192004304</v>
      </c>
      <c r="G990" s="37">
        <v>43680</v>
      </c>
      <c r="H990" s="34">
        <v>87089900</v>
      </c>
      <c r="I990" s="39">
        <f>VLOOKUP(H990,'PUR-HSN MASTER'!$A$4:$E$5000,5,FALSE)</f>
        <v>28</v>
      </c>
      <c r="J990" s="34"/>
      <c r="K990" s="126">
        <v>8741.76</v>
      </c>
      <c r="L990" s="39">
        <v>0</v>
      </c>
      <c r="M990" s="39">
        <v>1223.8464000000001</v>
      </c>
      <c r="N990" s="39">
        <v>1223.8464000000001</v>
      </c>
      <c r="O990" s="39">
        <v>0</v>
      </c>
      <c r="P990" s="39">
        <v>11189.452800000001</v>
      </c>
      <c r="Q990" s="34" t="s">
        <v>410</v>
      </c>
      <c r="R990" s="34" t="s">
        <v>26</v>
      </c>
      <c r="S990" s="11" t="s">
        <v>4120</v>
      </c>
    </row>
    <row r="991" spans="1:19" x14ac:dyDescent="0.2">
      <c r="A991" s="33">
        <v>43678</v>
      </c>
      <c r="B991" s="34">
        <v>19</v>
      </c>
      <c r="C991" s="35" t="s">
        <v>471</v>
      </c>
      <c r="D991" s="34" t="str">
        <f>VLOOKUP(C991,'PUR-PARTY MASTER'!$B$4:$E$2000,2,FALSE)</f>
        <v>27AAECM8871A1ZF</v>
      </c>
      <c r="E991" s="34" t="s">
        <v>22</v>
      </c>
      <c r="F991" s="134">
        <v>192004305</v>
      </c>
      <c r="G991" s="37">
        <v>43680</v>
      </c>
      <c r="H991" s="34">
        <v>87089900</v>
      </c>
      <c r="I991" s="39">
        <f>VLOOKUP(H991,'PUR-HSN MASTER'!$A$4:$E$5000,5,FALSE)</f>
        <v>28</v>
      </c>
      <c r="J991" s="34"/>
      <c r="K991" s="126">
        <v>8741.76</v>
      </c>
      <c r="L991" s="39">
        <v>0</v>
      </c>
      <c r="M991" s="39">
        <v>1223.8464000000001</v>
      </c>
      <c r="N991" s="39">
        <v>1223.8464000000001</v>
      </c>
      <c r="O991" s="39">
        <v>0</v>
      </c>
      <c r="P991" s="39">
        <v>11189.452800000001</v>
      </c>
      <c r="Q991" s="34" t="s">
        <v>410</v>
      </c>
      <c r="R991" s="34" t="s">
        <v>26</v>
      </c>
      <c r="S991" s="11" t="s">
        <v>4120</v>
      </c>
    </row>
    <row r="992" spans="1:19" x14ac:dyDescent="0.2">
      <c r="A992" s="33">
        <v>43678</v>
      </c>
      <c r="B992" s="34">
        <v>20</v>
      </c>
      <c r="C992" s="35" t="s">
        <v>495</v>
      </c>
      <c r="D992" s="34" t="str">
        <f>VLOOKUP(C992,'PUR-PARTY MASTER'!$B$4:$E$2000,2,FALSE)</f>
        <v>27AAACH4211R1ZF</v>
      </c>
      <c r="E992" s="34" t="s">
        <v>22</v>
      </c>
      <c r="F992" s="134">
        <v>5510053571</v>
      </c>
      <c r="G992" s="37">
        <v>43680</v>
      </c>
      <c r="H992" s="34">
        <v>85129000</v>
      </c>
      <c r="I992" s="39">
        <f>VLOOKUP(H992,'PUR-HSN MASTER'!$A$4:$E$5000,5,FALSE)</f>
        <v>18</v>
      </c>
      <c r="J992" s="34"/>
      <c r="K992" s="126">
        <v>39816</v>
      </c>
      <c r="L992" s="39">
        <v>0</v>
      </c>
      <c r="M992" s="39">
        <v>3583.44</v>
      </c>
      <c r="N992" s="39">
        <v>3583.44</v>
      </c>
      <c r="O992" s="39">
        <v>0</v>
      </c>
      <c r="P992" s="39">
        <v>46982.879999999997</v>
      </c>
      <c r="Q992" s="34" t="s">
        <v>410</v>
      </c>
      <c r="R992" s="34" t="s">
        <v>26</v>
      </c>
      <c r="S992" s="11" t="s">
        <v>4120</v>
      </c>
    </row>
    <row r="993" spans="1:19" x14ac:dyDescent="0.2">
      <c r="A993" s="33">
        <v>43678</v>
      </c>
      <c r="B993" s="34">
        <v>21</v>
      </c>
      <c r="C993" s="35" t="s">
        <v>479</v>
      </c>
      <c r="D993" s="34" t="str">
        <f>VLOOKUP(C993,'PUR-PARTY MASTER'!$B$4:$E$2000,2,FALSE)</f>
        <v>27AAMFC2124K1ZG</v>
      </c>
      <c r="E993" s="34" t="s">
        <v>22</v>
      </c>
      <c r="F993" s="134">
        <v>1188</v>
      </c>
      <c r="G993" s="37">
        <v>43682</v>
      </c>
      <c r="H993" s="34">
        <v>3919</v>
      </c>
      <c r="I993" s="39">
        <f>VLOOKUP(H993,'PUR-HSN MASTER'!$A$4:$E$5000,5,FALSE)</f>
        <v>18</v>
      </c>
      <c r="J993" s="34"/>
      <c r="K993" s="126">
        <v>2000</v>
      </c>
      <c r="L993" s="39">
        <v>0</v>
      </c>
      <c r="M993" s="39">
        <v>180</v>
      </c>
      <c r="N993" s="39">
        <v>180</v>
      </c>
      <c r="O993" s="39">
        <v>0</v>
      </c>
      <c r="P993" s="39">
        <v>2360</v>
      </c>
      <c r="Q993" s="34" t="s">
        <v>410</v>
      </c>
      <c r="R993" s="34" t="s">
        <v>26</v>
      </c>
      <c r="S993" s="11" t="s">
        <v>4120</v>
      </c>
    </row>
    <row r="994" spans="1:19" x14ac:dyDescent="0.2">
      <c r="A994" s="33">
        <v>43678</v>
      </c>
      <c r="B994" s="34">
        <v>22</v>
      </c>
      <c r="C994" s="35" t="s">
        <v>479</v>
      </c>
      <c r="D994" s="34" t="str">
        <f>VLOOKUP(C994,'PUR-PARTY MASTER'!$B$4:$E$2000,2,FALSE)</f>
        <v>27AAMFC2124K1ZG</v>
      </c>
      <c r="E994" s="34" t="s">
        <v>22</v>
      </c>
      <c r="F994" s="134">
        <v>1191</v>
      </c>
      <c r="G994" s="37">
        <v>43682</v>
      </c>
      <c r="H994" s="34">
        <v>3919</v>
      </c>
      <c r="I994" s="39">
        <f>VLOOKUP(H994,'PUR-HSN MASTER'!$A$4:$E$5000,5,FALSE)</f>
        <v>18</v>
      </c>
      <c r="J994" s="34"/>
      <c r="K994" s="126">
        <v>2000</v>
      </c>
      <c r="L994" s="39">
        <v>0</v>
      </c>
      <c r="M994" s="39">
        <v>180</v>
      </c>
      <c r="N994" s="39">
        <v>180</v>
      </c>
      <c r="O994" s="39">
        <v>0</v>
      </c>
      <c r="P994" s="39">
        <v>2360</v>
      </c>
      <c r="Q994" s="34" t="s">
        <v>410</v>
      </c>
      <c r="R994" s="34" t="s">
        <v>26</v>
      </c>
      <c r="S994" s="11" t="s">
        <v>4120</v>
      </c>
    </row>
    <row r="995" spans="1:19" x14ac:dyDescent="0.2">
      <c r="A995" s="33">
        <v>43678</v>
      </c>
      <c r="B995" s="34">
        <v>23</v>
      </c>
      <c r="C995" s="35" t="s">
        <v>489</v>
      </c>
      <c r="D995" s="34" t="str">
        <f>VLOOKUP(C995,'PUR-PARTY MASTER'!$B$4:$E$2000,2,FALSE)</f>
        <v>27AAECD2713N1ZK</v>
      </c>
      <c r="E995" s="34" t="s">
        <v>22</v>
      </c>
      <c r="F995" s="134">
        <v>7887987024</v>
      </c>
      <c r="G995" s="37">
        <v>43682</v>
      </c>
      <c r="H995" s="34">
        <v>32082090</v>
      </c>
      <c r="I995" s="39">
        <f>VLOOKUP(H995,'PUR-HSN MASTER'!$A$4:$E$5000,5,FALSE)</f>
        <v>18</v>
      </c>
      <c r="J995" s="34"/>
      <c r="K995" s="126">
        <v>69888</v>
      </c>
      <c r="L995" s="39">
        <v>0</v>
      </c>
      <c r="M995" s="39">
        <v>6289.92</v>
      </c>
      <c r="N995" s="39">
        <v>6289.92</v>
      </c>
      <c r="O995" s="39">
        <v>0</v>
      </c>
      <c r="P995" s="39">
        <v>82467.839999999997</v>
      </c>
      <c r="Q995" s="34" t="s">
        <v>410</v>
      </c>
      <c r="R995" s="34" t="s">
        <v>26</v>
      </c>
      <c r="S995" s="11" t="s">
        <v>4120</v>
      </c>
    </row>
    <row r="996" spans="1:19" x14ac:dyDescent="0.2">
      <c r="A996" s="33">
        <v>43678</v>
      </c>
      <c r="B996" s="34">
        <v>24</v>
      </c>
      <c r="C996" s="35" t="s">
        <v>601</v>
      </c>
      <c r="D996" s="34" t="str">
        <f>VLOOKUP(C996,'PUR-PARTY MASTER'!$B$4:$E$2000,2,FALSE)</f>
        <v>27AAZFM6461A1ZY</v>
      </c>
      <c r="E996" s="34" t="s">
        <v>22</v>
      </c>
      <c r="F996" s="134">
        <v>3378</v>
      </c>
      <c r="G996" s="37">
        <v>43682</v>
      </c>
      <c r="H996" s="34">
        <v>87082900</v>
      </c>
      <c r="I996" s="39">
        <f>VLOOKUP(H996,'PUR-HSN MASTER'!$A$4:$E$5000,5,FALSE)</f>
        <v>28</v>
      </c>
      <c r="J996" s="34"/>
      <c r="K996" s="126">
        <v>21285</v>
      </c>
      <c r="L996" s="39">
        <v>0</v>
      </c>
      <c r="M996" s="39">
        <v>2979.9</v>
      </c>
      <c r="N996" s="39">
        <v>2979.9</v>
      </c>
      <c r="O996" s="39">
        <v>0</v>
      </c>
      <c r="P996" s="39">
        <v>27244.799999999999</v>
      </c>
      <c r="Q996" s="34" t="s">
        <v>410</v>
      </c>
      <c r="R996" s="34" t="s">
        <v>26</v>
      </c>
      <c r="S996" s="11" t="s">
        <v>4120</v>
      </c>
    </row>
    <row r="997" spans="1:19" x14ac:dyDescent="0.2">
      <c r="A997" s="33">
        <v>43678</v>
      </c>
      <c r="B997" s="34">
        <v>25</v>
      </c>
      <c r="C997" s="35" t="s">
        <v>601</v>
      </c>
      <c r="D997" s="34" t="str">
        <f>VLOOKUP(C997,'PUR-PARTY MASTER'!$B$4:$E$2000,2,FALSE)</f>
        <v>27AAZFM6461A1ZY</v>
      </c>
      <c r="E997" s="34" t="s">
        <v>22</v>
      </c>
      <c r="F997" s="134">
        <v>3379</v>
      </c>
      <c r="G997" s="37">
        <v>43682</v>
      </c>
      <c r="H997" s="34">
        <v>87082900</v>
      </c>
      <c r="I997" s="39">
        <f>VLOOKUP(H997,'PUR-HSN MASTER'!$A$4:$E$5000,5,FALSE)</f>
        <v>28</v>
      </c>
      <c r="J997" s="34"/>
      <c r="K997" s="126">
        <v>36158.400000000001</v>
      </c>
      <c r="L997" s="39">
        <v>0</v>
      </c>
      <c r="M997" s="39">
        <v>5062.1760000000004</v>
      </c>
      <c r="N997" s="39">
        <v>5062.1760000000004</v>
      </c>
      <c r="O997" s="39">
        <v>0</v>
      </c>
      <c r="P997" s="39">
        <v>46282.752</v>
      </c>
      <c r="Q997" s="34" t="s">
        <v>410</v>
      </c>
      <c r="R997" s="34" t="s">
        <v>26</v>
      </c>
      <c r="S997" s="11" t="s">
        <v>4120</v>
      </c>
    </row>
    <row r="998" spans="1:19" x14ac:dyDescent="0.2">
      <c r="A998" s="33">
        <v>43678</v>
      </c>
      <c r="B998" s="34">
        <v>26</v>
      </c>
      <c r="C998" s="35" t="s">
        <v>471</v>
      </c>
      <c r="D998" s="34" t="str">
        <f>VLOOKUP(C998,'PUR-PARTY MASTER'!$B$4:$E$2000,2,FALSE)</f>
        <v>27AAECM8871A1ZF</v>
      </c>
      <c r="E998" s="34" t="s">
        <v>22</v>
      </c>
      <c r="F998" s="134">
        <v>192004325</v>
      </c>
      <c r="G998" s="37">
        <v>43682</v>
      </c>
      <c r="H998" s="34">
        <v>87089900</v>
      </c>
      <c r="I998" s="39">
        <f>VLOOKUP(H998,'PUR-HSN MASTER'!$A$4:$E$5000,5,FALSE)</f>
        <v>28</v>
      </c>
      <c r="J998" s="34"/>
      <c r="K998" s="126">
        <v>17483.52</v>
      </c>
      <c r="L998" s="39">
        <v>0</v>
      </c>
      <c r="M998" s="39">
        <v>2447.6928000000003</v>
      </c>
      <c r="N998" s="39">
        <v>2447.6928000000003</v>
      </c>
      <c r="O998" s="39">
        <v>0</v>
      </c>
      <c r="P998" s="39">
        <v>22378.905600000002</v>
      </c>
      <c r="Q998" s="34" t="s">
        <v>410</v>
      </c>
      <c r="R998" s="34" t="s">
        <v>26</v>
      </c>
      <c r="S998" s="11" t="s">
        <v>4120</v>
      </c>
    </row>
    <row r="999" spans="1:19" x14ac:dyDescent="0.2">
      <c r="A999" s="33">
        <v>43678</v>
      </c>
      <c r="B999" s="34">
        <v>27</v>
      </c>
      <c r="C999" s="35" t="s">
        <v>471</v>
      </c>
      <c r="D999" s="34" t="str">
        <f>VLOOKUP(C999,'PUR-PARTY MASTER'!$B$4:$E$2000,2,FALSE)</f>
        <v>27AAECM8871A1ZF</v>
      </c>
      <c r="E999" s="34" t="s">
        <v>22</v>
      </c>
      <c r="F999" s="134">
        <v>192004326</v>
      </c>
      <c r="G999" s="37">
        <v>43682</v>
      </c>
      <c r="H999" s="34">
        <v>87089900</v>
      </c>
      <c r="I999" s="39">
        <f>VLOOKUP(H999,'PUR-HSN MASTER'!$A$4:$E$5000,5,FALSE)</f>
        <v>28</v>
      </c>
      <c r="J999" s="34"/>
      <c r="K999" s="126">
        <v>17483.52</v>
      </c>
      <c r="L999" s="39">
        <v>0</v>
      </c>
      <c r="M999" s="39">
        <v>2447.6928000000003</v>
      </c>
      <c r="N999" s="39">
        <v>2447.6928000000003</v>
      </c>
      <c r="O999" s="39">
        <v>0</v>
      </c>
      <c r="P999" s="39">
        <v>22378.905600000002</v>
      </c>
      <c r="Q999" s="34" t="s">
        <v>410</v>
      </c>
      <c r="R999" s="34" t="s">
        <v>26</v>
      </c>
      <c r="S999" s="11" t="s">
        <v>4120</v>
      </c>
    </row>
    <row r="1000" spans="1:19" x14ac:dyDescent="0.2">
      <c r="A1000" s="33">
        <v>43678</v>
      </c>
      <c r="B1000" s="34">
        <v>28</v>
      </c>
      <c r="C1000" s="35" t="s">
        <v>609</v>
      </c>
      <c r="D1000" s="34" t="str">
        <f>VLOOKUP(C1000,'PUR-PARTY MASTER'!$B$4:$E$2000,2,FALSE)</f>
        <v>27AASCS9231J1ZO</v>
      </c>
      <c r="E1000" s="34" t="s">
        <v>22</v>
      </c>
      <c r="F1000" s="136" t="s">
        <v>877</v>
      </c>
      <c r="G1000" s="37">
        <v>43678</v>
      </c>
      <c r="H1000" s="34">
        <v>998519</v>
      </c>
      <c r="I1000" s="39">
        <f>VLOOKUP(H1000,'PUR-HSN MASTER'!$A$4:$E$5000,5,FALSE)</f>
        <v>18</v>
      </c>
      <c r="J1000" s="34"/>
      <c r="K1000" s="126">
        <v>23936</v>
      </c>
      <c r="L1000" s="39">
        <v>0</v>
      </c>
      <c r="M1000" s="39">
        <v>2154.2400000000002</v>
      </c>
      <c r="N1000" s="39">
        <v>2154.2400000000002</v>
      </c>
      <c r="O1000" s="39">
        <v>0</v>
      </c>
      <c r="P1000" s="39">
        <v>28244.48</v>
      </c>
      <c r="Q1000" s="34" t="s">
        <v>411</v>
      </c>
      <c r="R1000" s="34" t="s">
        <v>26</v>
      </c>
      <c r="S1000" s="11" t="s">
        <v>4120</v>
      </c>
    </row>
    <row r="1001" spans="1:19" x14ac:dyDescent="0.2">
      <c r="A1001" s="33">
        <v>43678</v>
      </c>
      <c r="B1001" s="34">
        <v>29</v>
      </c>
      <c r="C1001" s="35" t="s">
        <v>609</v>
      </c>
      <c r="D1001" s="34" t="str">
        <f>VLOOKUP(C1001,'PUR-PARTY MASTER'!$B$4:$E$2000,2,FALSE)</f>
        <v>27AASCS9231J1ZO</v>
      </c>
      <c r="E1001" s="34" t="s">
        <v>22</v>
      </c>
      <c r="F1001" s="136" t="s">
        <v>878</v>
      </c>
      <c r="G1001" s="37">
        <v>43678</v>
      </c>
      <c r="H1001" s="34">
        <v>998519</v>
      </c>
      <c r="I1001" s="39">
        <f>VLOOKUP(H1001,'PUR-HSN MASTER'!$A$4:$E$5000,5,FALSE)</f>
        <v>18</v>
      </c>
      <c r="J1001" s="34"/>
      <c r="K1001" s="126">
        <v>920176</v>
      </c>
      <c r="L1001" s="39">
        <v>0</v>
      </c>
      <c r="M1001" s="39">
        <v>82815.839999999997</v>
      </c>
      <c r="N1001" s="39">
        <v>82815.839999999997</v>
      </c>
      <c r="O1001" s="39">
        <v>0</v>
      </c>
      <c r="P1001" s="39">
        <v>1085807.68</v>
      </c>
      <c r="Q1001" s="34" t="s">
        <v>411</v>
      </c>
      <c r="R1001" s="34" t="s">
        <v>26</v>
      </c>
      <c r="S1001" s="11" t="s">
        <v>4120</v>
      </c>
    </row>
    <row r="1002" spans="1:19" x14ac:dyDescent="0.2">
      <c r="A1002" s="33">
        <v>43678</v>
      </c>
      <c r="B1002" s="34">
        <v>30</v>
      </c>
      <c r="C1002" s="35" t="s">
        <v>554</v>
      </c>
      <c r="D1002" s="34" t="str">
        <f>VLOOKUP(C1002,'PUR-PARTY MASTER'!$B$4:$E$2000,2,FALSE)</f>
        <v>27AACFA1881H1ZL</v>
      </c>
      <c r="E1002" s="34" t="s">
        <v>22</v>
      </c>
      <c r="F1002" s="134">
        <v>10383</v>
      </c>
      <c r="G1002" s="37">
        <v>43683</v>
      </c>
      <c r="H1002" s="34">
        <v>87141900</v>
      </c>
      <c r="I1002" s="39">
        <f>VLOOKUP(H1002,'PUR-HSN MASTER'!$A$4:$E$5000,5,FALSE)</f>
        <v>28</v>
      </c>
      <c r="J1002" s="34"/>
      <c r="K1002" s="126">
        <v>11845</v>
      </c>
      <c r="L1002" s="39">
        <v>0</v>
      </c>
      <c r="M1002" s="39">
        <v>1658.3</v>
      </c>
      <c r="N1002" s="39">
        <v>1658.3</v>
      </c>
      <c r="O1002" s="39">
        <v>0</v>
      </c>
      <c r="P1002" s="39">
        <v>15161.6</v>
      </c>
      <c r="Q1002" s="34" t="s">
        <v>410</v>
      </c>
      <c r="R1002" s="34" t="s">
        <v>26</v>
      </c>
      <c r="S1002" s="11" t="s">
        <v>4120</v>
      </c>
    </row>
    <row r="1003" spans="1:19" x14ac:dyDescent="0.2">
      <c r="A1003" s="33">
        <v>43678</v>
      </c>
      <c r="B1003" s="34">
        <v>31</v>
      </c>
      <c r="C1003" s="35" t="s">
        <v>471</v>
      </c>
      <c r="D1003" s="34" t="str">
        <f>VLOOKUP(C1003,'PUR-PARTY MASTER'!$B$4:$E$2000,2,FALSE)</f>
        <v>27AAECM8871A1ZF</v>
      </c>
      <c r="E1003" s="34" t="s">
        <v>22</v>
      </c>
      <c r="F1003" s="134">
        <v>192004348</v>
      </c>
      <c r="G1003" s="37">
        <v>43683</v>
      </c>
      <c r="H1003" s="34">
        <v>87089900</v>
      </c>
      <c r="I1003" s="39">
        <f>VLOOKUP(H1003,'PUR-HSN MASTER'!$A$4:$E$5000,5,FALSE)</f>
        <v>28</v>
      </c>
      <c r="J1003" s="34"/>
      <c r="K1003" s="126">
        <v>17483.52</v>
      </c>
      <c r="L1003" s="39">
        <v>0</v>
      </c>
      <c r="M1003" s="39">
        <v>2447.6928000000003</v>
      </c>
      <c r="N1003" s="39">
        <v>2447.6928000000003</v>
      </c>
      <c r="O1003" s="39">
        <v>0</v>
      </c>
      <c r="P1003" s="39">
        <v>22378.905600000002</v>
      </c>
      <c r="Q1003" s="34" t="s">
        <v>410</v>
      </c>
      <c r="R1003" s="34" t="s">
        <v>26</v>
      </c>
      <c r="S1003" s="11" t="s">
        <v>4120</v>
      </c>
    </row>
    <row r="1004" spans="1:19" x14ac:dyDescent="0.2">
      <c r="A1004" s="33">
        <v>43678</v>
      </c>
      <c r="B1004" s="34">
        <v>32</v>
      </c>
      <c r="C1004" s="35" t="s">
        <v>473</v>
      </c>
      <c r="D1004" s="34" t="str">
        <f>VLOOKUP(C1004,'PUR-PARTY MASTER'!$B$4:$E$2000,2,FALSE)</f>
        <v>27AAACT1848E1ZH</v>
      </c>
      <c r="E1004" s="34" t="s">
        <v>22</v>
      </c>
      <c r="F1004" s="136" t="s">
        <v>879</v>
      </c>
      <c r="G1004" s="37">
        <v>43683</v>
      </c>
      <c r="H1004" s="34">
        <v>87082900</v>
      </c>
      <c r="I1004" s="39">
        <f>VLOOKUP(H1004,'PUR-HSN MASTER'!$A$4:$E$5000,5,FALSE)</f>
        <v>28</v>
      </c>
      <c r="J1004" s="34"/>
      <c r="K1004" s="126">
        <v>8976.7999999999993</v>
      </c>
      <c r="L1004" s="39">
        <v>0</v>
      </c>
      <c r="M1004" s="39">
        <v>1256.7519999999997</v>
      </c>
      <c r="N1004" s="39">
        <v>1256.7519999999997</v>
      </c>
      <c r="O1004" s="39">
        <v>0</v>
      </c>
      <c r="P1004" s="39">
        <v>11490.303999999998</v>
      </c>
      <c r="Q1004" s="34" t="s">
        <v>410</v>
      </c>
      <c r="R1004" s="34" t="s">
        <v>26</v>
      </c>
      <c r="S1004" s="11" t="s">
        <v>4120</v>
      </c>
    </row>
    <row r="1005" spans="1:19" x14ac:dyDescent="0.2">
      <c r="A1005" s="33">
        <v>43678</v>
      </c>
      <c r="B1005" s="34">
        <v>33</v>
      </c>
      <c r="C1005" s="35" t="s">
        <v>473</v>
      </c>
      <c r="D1005" s="34" t="str">
        <f>VLOOKUP(C1005,'PUR-PARTY MASTER'!$B$4:$E$2000,2,FALSE)</f>
        <v>27AAACT1848E1ZH</v>
      </c>
      <c r="E1005" s="34" t="s">
        <v>22</v>
      </c>
      <c r="F1005" s="136" t="s">
        <v>880</v>
      </c>
      <c r="G1005" s="37">
        <v>43683</v>
      </c>
      <c r="H1005" s="34">
        <v>87089900</v>
      </c>
      <c r="I1005" s="39">
        <f>VLOOKUP(H1005,'PUR-HSN MASTER'!$A$4:$E$5000,5,FALSE)</f>
        <v>28</v>
      </c>
      <c r="J1005" s="34"/>
      <c r="K1005" s="126">
        <v>6012.8</v>
      </c>
      <c r="L1005" s="39">
        <v>0</v>
      </c>
      <c r="M1005" s="39">
        <v>841.79200000000003</v>
      </c>
      <c r="N1005" s="39">
        <v>841.79200000000003</v>
      </c>
      <c r="O1005" s="39">
        <v>0</v>
      </c>
      <c r="P1005" s="39">
        <v>7696.384</v>
      </c>
      <c r="Q1005" s="34" t="s">
        <v>410</v>
      </c>
      <c r="R1005" s="34" t="s">
        <v>26</v>
      </c>
      <c r="S1005" s="11" t="s">
        <v>4120</v>
      </c>
    </row>
    <row r="1006" spans="1:19" x14ac:dyDescent="0.2">
      <c r="A1006" s="33">
        <v>43678</v>
      </c>
      <c r="B1006" s="34">
        <v>34</v>
      </c>
      <c r="C1006" s="35" t="s">
        <v>471</v>
      </c>
      <c r="D1006" s="34" t="str">
        <f>VLOOKUP(C1006,'PUR-PARTY MASTER'!$B$4:$E$2000,2,FALSE)</f>
        <v>27AAECM8871A1ZF</v>
      </c>
      <c r="E1006" s="34" t="s">
        <v>22</v>
      </c>
      <c r="F1006" s="134">
        <v>192004349</v>
      </c>
      <c r="G1006" s="37">
        <v>43683</v>
      </c>
      <c r="H1006" s="34">
        <v>87089900</v>
      </c>
      <c r="I1006" s="39">
        <f>VLOOKUP(H1006,'PUR-HSN MASTER'!$A$4:$E$5000,5,FALSE)</f>
        <v>28</v>
      </c>
      <c r="J1006" s="34"/>
      <c r="K1006" s="126">
        <v>17483.52</v>
      </c>
      <c r="L1006" s="39">
        <v>0</v>
      </c>
      <c r="M1006" s="39">
        <v>2447.6928000000003</v>
      </c>
      <c r="N1006" s="39">
        <v>2447.6928000000003</v>
      </c>
      <c r="O1006" s="39">
        <v>0</v>
      </c>
      <c r="P1006" s="39">
        <v>22378.905600000002</v>
      </c>
      <c r="Q1006" s="34" t="s">
        <v>410</v>
      </c>
      <c r="R1006" s="34" t="s">
        <v>26</v>
      </c>
      <c r="S1006" s="11" t="s">
        <v>4120</v>
      </c>
    </row>
    <row r="1007" spans="1:19" x14ac:dyDescent="0.2">
      <c r="A1007" s="33">
        <v>43678</v>
      </c>
      <c r="B1007" s="34">
        <v>35</v>
      </c>
      <c r="C1007" s="35" t="s">
        <v>601</v>
      </c>
      <c r="D1007" s="34" t="str">
        <f>VLOOKUP(C1007,'PUR-PARTY MASTER'!$B$4:$E$2000,2,FALSE)</f>
        <v>27AAZFM6461A1ZY</v>
      </c>
      <c r="E1007" s="34" t="s">
        <v>22</v>
      </c>
      <c r="F1007" s="134">
        <v>3403</v>
      </c>
      <c r="G1007" s="37">
        <v>43683</v>
      </c>
      <c r="H1007" s="34">
        <v>87082900</v>
      </c>
      <c r="I1007" s="39">
        <f>VLOOKUP(H1007,'PUR-HSN MASTER'!$A$4:$E$5000,5,FALSE)</f>
        <v>28</v>
      </c>
      <c r="J1007" s="34"/>
      <c r="K1007" s="126">
        <v>44272.800000000003</v>
      </c>
      <c r="L1007" s="39">
        <v>0</v>
      </c>
      <c r="M1007" s="39">
        <v>6198.192</v>
      </c>
      <c r="N1007" s="39">
        <v>6198.192</v>
      </c>
      <c r="O1007" s="39">
        <v>0</v>
      </c>
      <c r="P1007" s="39">
        <v>56669.184000000001</v>
      </c>
      <c r="Q1007" s="34" t="s">
        <v>410</v>
      </c>
      <c r="R1007" s="34" t="s">
        <v>26</v>
      </c>
      <c r="S1007" s="11" t="s">
        <v>4120</v>
      </c>
    </row>
    <row r="1008" spans="1:19" x14ac:dyDescent="0.2">
      <c r="A1008" s="33">
        <v>43678</v>
      </c>
      <c r="B1008" s="34">
        <v>36</v>
      </c>
      <c r="C1008" s="35" t="s">
        <v>479</v>
      </c>
      <c r="D1008" s="34" t="str">
        <f>VLOOKUP(C1008,'PUR-PARTY MASTER'!$B$4:$E$2000,2,FALSE)</f>
        <v>27AAMFC2124K1ZG</v>
      </c>
      <c r="E1008" s="34" t="s">
        <v>22</v>
      </c>
      <c r="F1008" s="134">
        <v>1196</v>
      </c>
      <c r="G1008" s="37">
        <v>43684</v>
      </c>
      <c r="H1008" s="34">
        <v>3919</v>
      </c>
      <c r="I1008" s="39">
        <f>VLOOKUP(H1008,'PUR-HSN MASTER'!$A$4:$E$5000,5,FALSE)</f>
        <v>18</v>
      </c>
      <c r="J1008" s="34"/>
      <c r="K1008" s="126">
        <v>2000</v>
      </c>
      <c r="L1008" s="39">
        <v>0</v>
      </c>
      <c r="M1008" s="39">
        <v>180</v>
      </c>
      <c r="N1008" s="39">
        <v>180</v>
      </c>
      <c r="O1008" s="39">
        <v>0</v>
      </c>
      <c r="P1008" s="39">
        <v>2360</v>
      </c>
      <c r="Q1008" s="34" t="s">
        <v>410</v>
      </c>
      <c r="R1008" s="34" t="s">
        <v>26</v>
      </c>
      <c r="S1008" s="11" t="s">
        <v>4120</v>
      </c>
    </row>
    <row r="1009" spans="1:19" x14ac:dyDescent="0.2">
      <c r="A1009" s="33">
        <v>43678</v>
      </c>
      <c r="B1009" s="34">
        <v>37</v>
      </c>
      <c r="C1009" s="35" t="s">
        <v>471</v>
      </c>
      <c r="D1009" s="34" t="str">
        <f>VLOOKUP(C1009,'PUR-PARTY MASTER'!$B$4:$E$2000,2,FALSE)</f>
        <v>27AAECM8871A1ZF</v>
      </c>
      <c r="E1009" s="34" t="s">
        <v>22</v>
      </c>
      <c r="F1009" s="134">
        <v>192004372</v>
      </c>
      <c r="G1009" s="37">
        <v>43684</v>
      </c>
      <c r="H1009" s="34">
        <v>87089900</v>
      </c>
      <c r="I1009" s="39">
        <f>VLOOKUP(H1009,'PUR-HSN MASTER'!$A$4:$E$5000,5,FALSE)</f>
        <v>28</v>
      </c>
      <c r="J1009" s="34"/>
      <c r="K1009" s="126">
        <v>17483.52</v>
      </c>
      <c r="L1009" s="39">
        <v>0</v>
      </c>
      <c r="M1009" s="39">
        <v>2447.6928000000003</v>
      </c>
      <c r="N1009" s="39">
        <v>2447.6928000000003</v>
      </c>
      <c r="O1009" s="39">
        <v>0</v>
      </c>
      <c r="P1009" s="39">
        <v>22378.905600000002</v>
      </c>
      <c r="Q1009" s="34" t="s">
        <v>410</v>
      </c>
      <c r="R1009" s="34" t="s">
        <v>26</v>
      </c>
      <c r="S1009" s="11" t="s">
        <v>4120</v>
      </c>
    </row>
    <row r="1010" spans="1:19" x14ac:dyDescent="0.2">
      <c r="A1010" s="33">
        <v>43678</v>
      </c>
      <c r="B1010" s="34">
        <v>38</v>
      </c>
      <c r="C1010" s="35" t="s">
        <v>471</v>
      </c>
      <c r="D1010" s="34" t="str">
        <f>VLOOKUP(C1010,'PUR-PARTY MASTER'!$B$4:$E$2000,2,FALSE)</f>
        <v>27AAECM8871A1ZF</v>
      </c>
      <c r="E1010" s="34" t="s">
        <v>22</v>
      </c>
      <c r="F1010" s="134">
        <v>192004373</v>
      </c>
      <c r="G1010" s="37">
        <v>43684</v>
      </c>
      <c r="H1010" s="34">
        <v>87089900</v>
      </c>
      <c r="I1010" s="39">
        <f>VLOOKUP(H1010,'PUR-HSN MASTER'!$A$4:$E$5000,5,FALSE)</f>
        <v>28</v>
      </c>
      <c r="J1010" s="34"/>
      <c r="K1010" s="126">
        <v>17483.52</v>
      </c>
      <c r="L1010" s="39">
        <v>0</v>
      </c>
      <c r="M1010" s="39">
        <v>2447.6928000000003</v>
      </c>
      <c r="N1010" s="39">
        <v>2447.6928000000003</v>
      </c>
      <c r="O1010" s="39">
        <v>0</v>
      </c>
      <c r="P1010" s="39">
        <v>22378.905600000002</v>
      </c>
      <c r="Q1010" s="34" t="s">
        <v>410</v>
      </c>
      <c r="R1010" s="34" t="s">
        <v>26</v>
      </c>
      <c r="S1010" s="11" t="s">
        <v>4120</v>
      </c>
    </row>
    <row r="1011" spans="1:19" x14ac:dyDescent="0.2">
      <c r="A1011" s="33">
        <v>43678</v>
      </c>
      <c r="B1011" s="34">
        <v>39</v>
      </c>
      <c r="C1011" s="633" t="s">
        <v>881</v>
      </c>
      <c r="D1011" s="34" t="str">
        <f>VLOOKUP(C1011,'PUR-PARTY MASTER'!$B$4:$E$2000,2,FALSE)</f>
        <v>27AJIPP2958D1Z0</v>
      </c>
      <c r="E1011" s="34" t="s">
        <v>22</v>
      </c>
      <c r="F1011" s="134" t="s">
        <v>883</v>
      </c>
      <c r="G1011" s="37">
        <v>43678</v>
      </c>
      <c r="H1011" s="34">
        <v>998311</v>
      </c>
      <c r="I1011" s="39">
        <f>VLOOKUP(H1011,'PUR-HSN MASTER'!$A$4:$E$5000,5,FALSE)</f>
        <v>18</v>
      </c>
      <c r="J1011" s="34"/>
      <c r="K1011" s="126">
        <v>15000</v>
      </c>
      <c r="L1011" s="39">
        <v>0</v>
      </c>
      <c r="M1011" s="39">
        <v>1350</v>
      </c>
      <c r="N1011" s="39">
        <v>1350</v>
      </c>
      <c r="O1011" s="39">
        <v>0</v>
      </c>
      <c r="P1011" s="39">
        <v>17700</v>
      </c>
      <c r="Q1011" s="34" t="s">
        <v>411</v>
      </c>
      <c r="R1011" s="34" t="s">
        <v>26</v>
      </c>
      <c r="S1011" s="11" t="s">
        <v>4120</v>
      </c>
    </row>
    <row r="1012" spans="1:19" x14ac:dyDescent="0.2">
      <c r="A1012" s="33">
        <v>43678</v>
      </c>
      <c r="B1012" s="34">
        <v>40</v>
      </c>
      <c r="C1012" s="35" t="s">
        <v>705</v>
      </c>
      <c r="D1012" s="34" t="str">
        <f>VLOOKUP(C1012,'PUR-PARTY MASTER'!$B$4:$E$2000,2,FALSE)</f>
        <v>27AABFM8397H1ZT</v>
      </c>
      <c r="E1012" s="34" t="s">
        <v>22</v>
      </c>
      <c r="F1012" s="136" t="s">
        <v>884</v>
      </c>
      <c r="G1012" s="37">
        <v>43684</v>
      </c>
      <c r="H1012" s="34">
        <v>87089900</v>
      </c>
      <c r="I1012" s="39">
        <f>VLOOKUP(H1012,'PUR-HSN MASTER'!$A$4:$E$5000,5,FALSE)</f>
        <v>28</v>
      </c>
      <c r="J1012" s="34"/>
      <c r="K1012" s="126">
        <v>2924</v>
      </c>
      <c r="L1012" s="39">
        <v>0</v>
      </c>
      <c r="M1012" s="39">
        <v>409.35999999999996</v>
      </c>
      <c r="N1012" s="39">
        <v>409.35999999999996</v>
      </c>
      <c r="O1012" s="39">
        <v>0</v>
      </c>
      <c r="P1012" s="39">
        <v>3742.72</v>
      </c>
      <c r="Q1012" s="34" t="s">
        <v>410</v>
      </c>
      <c r="R1012" s="34" t="s">
        <v>26</v>
      </c>
      <c r="S1012" s="11" t="s">
        <v>4120</v>
      </c>
    </row>
    <row r="1013" spans="1:19" x14ac:dyDescent="0.2">
      <c r="A1013" s="33">
        <v>43678</v>
      </c>
      <c r="B1013" s="34">
        <v>41</v>
      </c>
      <c r="C1013" s="35" t="s">
        <v>495</v>
      </c>
      <c r="D1013" s="34" t="str">
        <f>VLOOKUP(C1013,'PUR-PARTY MASTER'!$B$4:$E$2000,2,FALSE)</f>
        <v>27AAACH4211R1ZF</v>
      </c>
      <c r="E1013" s="34" t="s">
        <v>22</v>
      </c>
      <c r="F1013" s="134">
        <v>5510053896</v>
      </c>
      <c r="G1013" s="37">
        <v>43684</v>
      </c>
      <c r="H1013" s="34">
        <v>85129000</v>
      </c>
      <c r="I1013" s="39">
        <f>VLOOKUP(H1013,'PUR-HSN MASTER'!$A$4:$E$5000,5,FALSE)</f>
        <v>18</v>
      </c>
      <c r="J1013" s="34"/>
      <c r="K1013" s="126">
        <v>39816</v>
      </c>
      <c r="L1013" s="39">
        <v>0</v>
      </c>
      <c r="M1013" s="39">
        <v>3583.44</v>
      </c>
      <c r="N1013" s="39">
        <v>3583.44</v>
      </c>
      <c r="O1013" s="39">
        <v>0</v>
      </c>
      <c r="P1013" s="39">
        <v>46982.879999999997</v>
      </c>
      <c r="Q1013" s="34" t="s">
        <v>410</v>
      </c>
      <c r="R1013" s="34" t="s">
        <v>26</v>
      </c>
      <c r="S1013" s="11" t="s">
        <v>4120</v>
      </c>
    </row>
    <row r="1014" spans="1:19" x14ac:dyDescent="0.2">
      <c r="A1014" s="33">
        <v>43678</v>
      </c>
      <c r="B1014" s="34">
        <v>42</v>
      </c>
      <c r="C1014" s="35" t="s">
        <v>554</v>
      </c>
      <c r="D1014" s="34" t="str">
        <f>VLOOKUP(C1014,'PUR-PARTY MASTER'!$B$4:$E$2000,2,FALSE)</f>
        <v>27AACFA1881H1ZL</v>
      </c>
      <c r="E1014" s="34" t="s">
        <v>22</v>
      </c>
      <c r="F1014" s="134">
        <v>10451</v>
      </c>
      <c r="G1014" s="37">
        <v>43684</v>
      </c>
      <c r="H1014" s="34">
        <v>87141900</v>
      </c>
      <c r="I1014" s="39">
        <f>VLOOKUP(H1014,'PUR-HSN MASTER'!$A$4:$E$5000,5,FALSE)</f>
        <v>28</v>
      </c>
      <c r="J1014" s="34"/>
      <c r="K1014" s="126">
        <v>189</v>
      </c>
      <c r="L1014" s="39">
        <v>0</v>
      </c>
      <c r="M1014" s="39">
        <v>26.459999999999997</v>
      </c>
      <c r="N1014" s="39">
        <v>26.459999999999997</v>
      </c>
      <c r="O1014" s="39">
        <v>0</v>
      </c>
      <c r="P1014" s="39">
        <v>241.92</v>
      </c>
      <c r="Q1014" s="34" t="s">
        <v>410</v>
      </c>
      <c r="R1014" s="34" t="s">
        <v>26</v>
      </c>
      <c r="S1014" s="11" t="s">
        <v>4120</v>
      </c>
    </row>
    <row r="1015" spans="1:19" x14ac:dyDescent="0.2">
      <c r="A1015" s="33">
        <v>43678</v>
      </c>
      <c r="B1015" s="34">
        <v>43</v>
      </c>
      <c r="C1015" s="35" t="s">
        <v>476</v>
      </c>
      <c r="D1015" s="34" t="str">
        <f>VLOOKUP(C1015,'PUR-PARTY MASTER'!$B$4:$E$2000,2,FALSE)</f>
        <v>27AABCO8467D1ZA</v>
      </c>
      <c r="E1015" s="34" t="s">
        <v>22</v>
      </c>
      <c r="F1015" s="136" t="s">
        <v>885</v>
      </c>
      <c r="G1015" s="37">
        <v>43678</v>
      </c>
      <c r="H1015" s="34" t="s">
        <v>703</v>
      </c>
      <c r="I1015" s="39">
        <f>VLOOKUP(H1015,'PUR-HSN MASTER'!$A$4:$E$5000,5,FALSE)</f>
        <v>28</v>
      </c>
      <c r="J1015" s="34"/>
      <c r="K1015" s="126">
        <v>376945</v>
      </c>
      <c r="L1015" s="39">
        <v>0</v>
      </c>
      <c r="M1015" s="39">
        <v>52772.299999999996</v>
      </c>
      <c r="N1015" s="39">
        <v>52772.299999999996</v>
      </c>
      <c r="O1015" s="39">
        <v>0</v>
      </c>
      <c r="P1015" s="39">
        <v>482489.59999999998</v>
      </c>
      <c r="Q1015" s="34" t="s">
        <v>410</v>
      </c>
      <c r="R1015" s="34" t="s">
        <v>26</v>
      </c>
      <c r="S1015" s="11" t="s">
        <v>4120</v>
      </c>
    </row>
    <row r="1016" spans="1:19" x14ac:dyDescent="0.2">
      <c r="A1016" s="33">
        <v>43678</v>
      </c>
      <c r="B1016" s="34">
        <v>44</v>
      </c>
      <c r="C1016" s="35" t="s">
        <v>489</v>
      </c>
      <c r="D1016" s="34" t="str">
        <f>VLOOKUP(C1016,'PUR-PARTY MASTER'!$B$4:$E$2000,2,FALSE)</f>
        <v>27AAECD2713N1ZK</v>
      </c>
      <c r="E1016" s="34" t="s">
        <v>22</v>
      </c>
      <c r="F1016" s="134">
        <v>7887987202</v>
      </c>
      <c r="G1016" s="37">
        <v>43685</v>
      </c>
      <c r="H1016" s="34">
        <v>32081090</v>
      </c>
      <c r="I1016" s="39">
        <f>VLOOKUP(H1016,'PUR-HSN MASTER'!$A$4:$E$5000,5,FALSE)</f>
        <v>18</v>
      </c>
      <c r="J1016" s="34"/>
      <c r="K1016" s="126">
        <v>13160</v>
      </c>
      <c r="L1016" s="39">
        <v>0</v>
      </c>
      <c r="M1016" s="39">
        <v>1184.3999999999999</v>
      </c>
      <c r="N1016" s="39">
        <v>1184.3999999999999</v>
      </c>
      <c r="O1016" s="39">
        <v>0</v>
      </c>
      <c r="P1016" s="39">
        <v>15528.8</v>
      </c>
      <c r="Q1016" s="34" t="s">
        <v>410</v>
      </c>
      <c r="R1016" s="34" t="s">
        <v>26</v>
      </c>
      <c r="S1016" s="11" t="s">
        <v>4120</v>
      </c>
    </row>
    <row r="1017" spans="1:19" x14ac:dyDescent="0.2">
      <c r="A1017" s="33">
        <v>43678</v>
      </c>
      <c r="B1017" s="34">
        <v>45</v>
      </c>
      <c r="C1017" s="35" t="s">
        <v>489</v>
      </c>
      <c r="D1017" s="34" t="str">
        <f>VLOOKUP(C1017,'PUR-PARTY MASTER'!$B$4:$E$2000,2,FALSE)</f>
        <v>27AAECD2713N1ZK</v>
      </c>
      <c r="E1017" s="34" t="s">
        <v>22</v>
      </c>
      <c r="F1017" s="134">
        <v>7887987203</v>
      </c>
      <c r="G1017" s="37">
        <v>43685</v>
      </c>
      <c r="H1017" s="34">
        <v>32082090</v>
      </c>
      <c r="I1017" s="39">
        <f>VLOOKUP(H1017,'PUR-HSN MASTER'!$A$4:$E$5000,5,FALSE)</f>
        <v>18</v>
      </c>
      <c r="J1017" s="34"/>
      <c r="K1017" s="126">
        <v>7960</v>
      </c>
      <c r="L1017" s="39">
        <v>0</v>
      </c>
      <c r="M1017" s="39">
        <v>716.4</v>
      </c>
      <c r="N1017" s="39">
        <v>716.4</v>
      </c>
      <c r="O1017" s="39">
        <v>0</v>
      </c>
      <c r="P1017" s="39">
        <v>9392.7999999999993</v>
      </c>
      <c r="Q1017" s="34" t="s">
        <v>410</v>
      </c>
      <c r="R1017" s="34" t="s">
        <v>26</v>
      </c>
      <c r="S1017" s="11" t="s">
        <v>4120</v>
      </c>
    </row>
    <row r="1018" spans="1:19" x14ac:dyDescent="0.2">
      <c r="A1018" s="33">
        <v>43678</v>
      </c>
      <c r="B1018" s="34">
        <v>46</v>
      </c>
      <c r="C1018" s="35" t="s">
        <v>471</v>
      </c>
      <c r="D1018" s="34" t="str">
        <f>VLOOKUP(C1018,'PUR-PARTY MASTER'!$B$4:$E$2000,2,FALSE)</f>
        <v>27AAECM8871A1ZF</v>
      </c>
      <c r="E1018" s="34" t="s">
        <v>22</v>
      </c>
      <c r="F1018" s="134">
        <v>192004424</v>
      </c>
      <c r="G1018" s="37">
        <v>43685</v>
      </c>
      <c r="H1018" s="34">
        <v>87089900</v>
      </c>
      <c r="I1018" s="39">
        <f>VLOOKUP(H1018,'PUR-HSN MASTER'!$A$4:$E$5000,5,FALSE)</f>
        <v>28</v>
      </c>
      <c r="J1018" s="34"/>
      <c r="K1018" s="126">
        <v>17483.52</v>
      </c>
      <c r="L1018" s="39">
        <v>0</v>
      </c>
      <c r="M1018" s="39">
        <v>2447.6928000000003</v>
      </c>
      <c r="N1018" s="39">
        <v>2447.6928000000003</v>
      </c>
      <c r="O1018" s="39">
        <v>0</v>
      </c>
      <c r="P1018" s="39">
        <v>22378.905600000002</v>
      </c>
      <c r="Q1018" s="34" t="s">
        <v>410</v>
      </c>
      <c r="R1018" s="34" t="s">
        <v>26</v>
      </c>
      <c r="S1018" s="11" t="s">
        <v>4120</v>
      </c>
    </row>
    <row r="1019" spans="1:19" x14ac:dyDescent="0.2">
      <c r="A1019" s="33">
        <v>43678</v>
      </c>
      <c r="B1019" s="34">
        <v>47</v>
      </c>
      <c r="C1019" s="35" t="s">
        <v>471</v>
      </c>
      <c r="D1019" s="34" t="str">
        <f>VLOOKUP(C1019,'PUR-PARTY MASTER'!$B$4:$E$2000,2,FALSE)</f>
        <v>27AAECM8871A1ZF</v>
      </c>
      <c r="E1019" s="34" t="s">
        <v>22</v>
      </c>
      <c r="F1019" s="134">
        <v>192004425</v>
      </c>
      <c r="G1019" s="37">
        <v>43685</v>
      </c>
      <c r="H1019" s="34">
        <v>87089900</v>
      </c>
      <c r="I1019" s="39">
        <f>VLOOKUP(H1019,'PUR-HSN MASTER'!$A$4:$E$5000,5,FALSE)</f>
        <v>28</v>
      </c>
      <c r="J1019" s="34"/>
      <c r="K1019" s="126">
        <v>17483.52</v>
      </c>
      <c r="L1019" s="39">
        <v>0</v>
      </c>
      <c r="M1019" s="39">
        <v>2447.6928000000003</v>
      </c>
      <c r="N1019" s="39">
        <v>2447.6928000000003</v>
      </c>
      <c r="O1019" s="39">
        <v>0</v>
      </c>
      <c r="P1019" s="39">
        <v>22378.905600000002</v>
      </c>
      <c r="Q1019" s="34" t="s">
        <v>410</v>
      </c>
      <c r="R1019" s="34" t="s">
        <v>26</v>
      </c>
      <c r="S1019" s="11" t="s">
        <v>4120</v>
      </c>
    </row>
    <row r="1020" spans="1:19" x14ac:dyDescent="0.2">
      <c r="A1020" s="33">
        <v>43678</v>
      </c>
      <c r="B1020" s="34">
        <v>48</v>
      </c>
      <c r="C1020" s="35" t="s">
        <v>554</v>
      </c>
      <c r="D1020" s="34" t="str">
        <f>VLOOKUP(C1020,'PUR-PARTY MASTER'!$B$4:$E$2000,2,FALSE)</f>
        <v>27AACFA1881H1ZL</v>
      </c>
      <c r="E1020" s="34" t="s">
        <v>22</v>
      </c>
      <c r="F1020" s="134">
        <v>10541</v>
      </c>
      <c r="G1020" s="37">
        <v>43685</v>
      </c>
      <c r="H1020" s="34">
        <v>87141900</v>
      </c>
      <c r="I1020" s="39">
        <f>VLOOKUP(H1020,'PUR-HSN MASTER'!$A$4:$E$5000,5,FALSE)</f>
        <v>28</v>
      </c>
      <c r="J1020" s="34"/>
      <c r="K1020" s="126">
        <v>15646</v>
      </c>
      <c r="L1020" s="39">
        <v>0</v>
      </c>
      <c r="M1020" s="39">
        <v>2190.44</v>
      </c>
      <c r="N1020" s="39">
        <v>2190.44</v>
      </c>
      <c r="O1020" s="39">
        <v>0</v>
      </c>
      <c r="P1020" s="39">
        <v>20026.88</v>
      </c>
      <c r="Q1020" s="34" t="s">
        <v>410</v>
      </c>
      <c r="R1020" s="34" t="s">
        <v>26</v>
      </c>
      <c r="S1020" s="11" t="s">
        <v>4120</v>
      </c>
    </row>
    <row r="1021" spans="1:19" x14ac:dyDescent="0.2">
      <c r="A1021" s="33">
        <v>43678</v>
      </c>
      <c r="B1021" s="34">
        <v>49</v>
      </c>
      <c r="C1021" s="35" t="s">
        <v>493</v>
      </c>
      <c r="D1021" s="34" t="str">
        <f>VLOOKUP(C1021,'PUR-PARTY MASTER'!$B$4:$E$2000,2,FALSE)</f>
        <v>27AMMPB3648M1ZO</v>
      </c>
      <c r="E1021" s="34" t="s">
        <v>22</v>
      </c>
      <c r="F1021" s="134">
        <v>2345</v>
      </c>
      <c r="G1021" s="37">
        <v>43685</v>
      </c>
      <c r="H1021" s="34">
        <v>85129000</v>
      </c>
      <c r="I1021" s="39">
        <f>VLOOKUP(H1021,'PUR-HSN MASTER'!$A$4:$E$5000,5,FALSE)</f>
        <v>18</v>
      </c>
      <c r="J1021" s="34"/>
      <c r="K1021" s="126">
        <v>38623.199999999997</v>
      </c>
      <c r="L1021" s="39">
        <v>0</v>
      </c>
      <c r="M1021" s="39">
        <v>3476.0879999999997</v>
      </c>
      <c r="N1021" s="39">
        <v>3476.0879999999997</v>
      </c>
      <c r="O1021" s="39">
        <v>0</v>
      </c>
      <c r="P1021" s="39">
        <v>45575.375999999997</v>
      </c>
      <c r="Q1021" s="34" t="s">
        <v>410</v>
      </c>
      <c r="R1021" s="34" t="s">
        <v>26</v>
      </c>
      <c r="S1021" s="11" t="s">
        <v>4120</v>
      </c>
    </row>
    <row r="1022" spans="1:19" x14ac:dyDescent="0.2">
      <c r="A1022" s="33">
        <v>43678</v>
      </c>
      <c r="B1022" s="34">
        <v>50</v>
      </c>
      <c r="C1022" s="35" t="s">
        <v>541</v>
      </c>
      <c r="D1022" s="34" t="str">
        <f>VLOOKUP(C1022,'PUR-PARTY MASTER'!$B$4:$E$2000,2,FALSE)</f>
        <v>27AYCPB9228K1ZA</v>
      </c>
      <c r="E1022" s="34" t="s">
        <v>22</v>
      </c>
      <c r="F1022" s="136" t="s">
        <v>886</v>
      </c>
      <c r="G1022" s="37">
        <v>43678</v>
      </c>
      <c r="H1022" s="34">
        <v>998422</v>
      </c>
      <c r="I1022" s="39">
        <f>VLOOKUP(H1022,'PUR-HSN MASTER'!$A$4:$E$5000,5,FALSE)</f>
        <v>18</v>
      </c>
      <c r="J1022" s="34"/>
      <c r="K1022" s="126">
        <v>3500</v>
      </c>
      <c r="L1022" s="39">
        <v>0</v>
      </c>
      <c r="M1022" s="39">
        <v>315</v>
      </c>
      <c r="N1022" s="39">
        <v>315</v>
      </c>
      <c r="O1022" s="39">
        <v>0</v>
      </c>
      <c r="P1022" s="39">
        <v>4130</v>
      </c>
      <c r="Q1022" s="34" t="s">
        <v>411</v>
      </c>
      <c r="R1022" s="34" t="s">
        <v>26</v>
      </c>
      <c r="S1022" s="11" t="s">
        <v>4120</v>
      </c>
    </row>
    <row r="1023" spans="1:19" x14ac:dyDescent="0.2">
      <c r="A1023" s="33">
        <v>43678</v>
      </c>
      <c r="B1023" s="34">
        <v>51</v>
      </c>
      <c r="C1023" s="35" t="s">
        <v>479</v>
      </c>
      <c r="D1023" s="34" t="str">
        <f>VLOOKUP(C1023,'PUR-PARTY MASTER'!$B$4:$E$2000,2,FALSE)</f>
        <v>27AAMFC2124K1ZG</v>
      </c>
      <c r="E1023" s="34" t="s">
        <v>22</v>
      </c>
      <c r="F1023" s="134">
        <v>1197</v>
      </c>
      <c r="G1023" s="37">
        <v>43684</v>
      </c>
      <c r="H1023" s="34">
        <v>3919</v>
      </c>
      <c r="I1023" s="39">
        <f>VLOOKUP(H1023,'PUR-HSN MASTER'!$A$4:$E$5000,5,FALSE)</f>
        <v>18</v>
      </c>
      <c r="J1023" s="34"/>
      <c r="K1023" s="126">
        <v>2900</v>
      </c>
      <c r="L1023" s="39">
        <v>0</v>
      </c>
      <c r="M1023" s="39">
        <v>261</v>
      </c>
      <c r="N1023" s="39">
        <v>261</v>
      </c>
      <c r="O1023" s="39">
        <v>0</v>
      </c>
      <c r="P1023" s="39">
        <v>3422</v>
      </c>
      <c r="Q1023" s="34" t="s">
        <v>410</v>
      </c>
      <c r="R1023" s="34" t="s">
        <v>26</v>
      </c>
      <c r="S1023" s="11" t="s">
        <v>4120</v>
      </c>
    </row>
    <row r="1024" spans="1:19" x14ac:dyDescent="0.2">
      <c r="A1024" s="33">
        <v>43678</v>
      </c>
      <c r="B1024" s="34">
        <v>52</v>
      </c>
      <c r="C1024" s="35" t="s">
        <v>554</v>
      </c>
      <c r="D1024" s="34" t="str">
        <f>VLOOKUP(C1024,'PUR-PARTY MASTER'!$B$4:$E$2000,2,FALSE)</f>
        <v>27AACFA1881H1ZL</v>
      </c>
      <c r="E1024" s="34" t="s">
        <v>22</v>
      </c>
      <c r="F1024" s="134">
        <v>10565</v>
      </c>
      <c r="G1024" s="37">
        <v>43686</v>
      </c>
      <c r="H1024" s="34">
        <v>87141900</v>
      </c>
      <c r="I1024" s="39">
        <f>VLOOKUP(H1024,'PUR-HSN MASTER'!$A$4:$E$5000,5,FALSE)</f>
        <v>28</v>
      </c>
      <c r="J1024" s="34"/>
      <c r="K1024" s="126">
        <v>11148.5</v>
      </c>
      <c r="L1024" s="39">
        <v>0</v>
      </c>
      <c r="M1024" s="39">
        <v>1560.79</v>
      </c>
      <c r="N1024" s="39">
        <v>1560.79</v>
      </c>
      <c r="O1024" s="39">
        <v>0</v>
      </c>
      <c r="P1024" s="39">
        <v>14270.08</v>
      </c>
      <c r="Q1024" s="34" t="s">
        <v>410</v>
      </c>
      <c r="R1024" s="34" t="s">
        <v>26</v>
      </c>
      <c r="S1024" s="11" t="s">
        <v>4120</v>
      </c>
    </row>
    <row r="1025" spans="1:19" x14ac:dyDescent="0.2">
      <c r="A1025" s="33">
        <v>43678</v>
      </c>
      <c r="B1025" s="34">
        <v>53</v>
      </c>
      <c r="C1025" s="35" t="s">
        <v>489</v>
      </c>
      <c r="D1025" s="34" t="str">
        <f>VLOOKUP(C1025,'PUR-PARTY MASTER'!$B$4:$E$2000,2,FALSE)</f>
        <v>27AAECD2713N1ZK</v>
      </c>
      <c r="E1025" s="34" t="s">
        <v>22</v>
      </c>
      <c r="F1025" s="134">
        <v>7887987194</v>
      </c>
      <c r="G1025" s="37">
        <v>43685</v>
      </c>
      <c r="H1025" s="34">
        <v>32082090</v>
      </c>
      <c r="I1025" s="39">
        <f>VLOOKUP(H1025,'PUR-HSN MASTER'!$A$4:$E$5000,5,FALSE)</f>
        <v>18</v>
      </c>
      <c r="J1025" s="34"/>
      <c r="K1025" s="126">
        <v>45000</v>
      </c>
      <c r="L1025" s="39">
        <v>0</v>
      </c>
      <c r="M1025" s="39">
        <v>4050</v>
      </c>
      <c r="N1025" s="39">
        <v>4050</v>
      </c>
      <c r="O1025" s="39">
        <v>0</v>
      </c>
      <c r="P1025" s="39">
        <v>53100</v>
      </c>
      <c r="Q1025" s="34" t="s">
        <v>410</v>
      </c>
      <c r="R1025" s="34" t="s">
        <v>26</v>
      </c>
      <c r="S1025" s="11" t="s">
        <v>4120</v>
      </c>
    </row>
    <row r="1026" spans="1:19" x14ac:dyDescent="0.2">
      <c r="A1026" s="33">
        <v>43678</v>
      </c>
      <c r="B1026" s="34">
        <v>54</v>
      </c>
      <c r="C1026" s="35" t="s">
        <v>499</v>
      </c>
      <c r="D1026" s="34" t="str">
        <f>VLOOKUP(C1026,'PUR-PARTY MASTER'!$B$4:$E$2000,2,FALSE)</f>
        <v>27AAHFP1154B1ZN</v>
      </c>
      <c r="E1026" s="34" t="s">
        <v>22</v>
      </c>
      <c r="F1026" s="136" t="s">
        <v>887</v>
      </c>
      <c r="G1026" s="37">
        <v>43679</v>
      </c>
      <c r="H1026" s="34">
        <v>34012000</v>
      </c>
      <c r="I1026" s="39">
        <f>VLOOKUP(H1026,'PUR-HSN MASTER'!$A$4:$E$5000,5,FALSE)</f>
        <v>18</v>
      </c>
      <c r="J1026" s="34"/>
      <c r="K1026" s="126">
        <v>675</v>
      </c>
      <c r="L1026" s="39">
        <v>0</v>
      </c>
      <c r="M1026" s="39">
        <v>60.75</v>
      </c>
      <c r="N1026" s="39">
        <v>60.75</v>
      </c>
      <c r="O1026" s="39">
        <v>0</v>
      </c>
      <c r="P1026" s="39">
        <v>796.5</v>
      </c>
      <c r="Q1026" s="34" t="s">
        <v>410</v>
      </c>
      <c r="R1026" s="34" t="s">
        <v>26</v>
      </c>
      <c r="S1026" s="11" t="s">
        <v>4120</v>
      </c>
    </row>
    <row r="1027" spans="1:19" x14ac:dyDescent="0.2">
      <c r="A1027" s="33">
        <v>43678</v>
      </c>
      <c r="B1027" s="34">
        <v>55</v>
      </c>
      <c r="C1027" s="35" t="s">
        <v>499</v>
      </c>
      <c r="D1027" s="34" t="str">
        <f>VLOOKUP(C1027,'PUR-PARTY MASTER'!$B$4:$E$2000,2,FALSE)</f>
        <v>27AAHFP1154B1ZN</v>
      </c>
      <c r="E1027" s="34" t="s">
        <v>22</v>
      </c>
      <c r="F1027" s="136" t="s">
        <v>888</v>
      </c>
      <c r="G1027" s="37">
        <v>43685</v>
      </c>
      <c r="H1027" s="34">
        <v>85131090</v>
      </c>
      <c r="I1027" s="39">
        <f>VLOOKUP(H1027,'PUR-HSN MASTER'!$A$4:$E$5000,5,FALSE)</f>
        <v>18</v>
      </c>
      <c r="J1027" s="34"/>
      <c r="K1027" s="126">
        <v>1780</v>
      </c>
      <c r="L1027" s="39">
        <v>0</v>
      </c>
      <c r="M1027" s="39">
        <v>160.20000000000002</v>
      </c>
      <c r="N1027" s="39">
        <v>160.20000000000002</v>
      </c>
      <c r="O1027" s="39">
        <v>0</v>
      </c>
      <c r="P1027" s="39">
        <v>2100.4</v>
      </c>
      <c r="Q1027" s="34" t="s">
        <v>410</v>
      </c>
      <c r="R1027" s="34" t="s">
        <v>26</v>
      </c>
      <c r="S1027" s="11" t="s">
        <v>4120</v>
      </c>
    </row>
    <row r="1028" spans="1:19" x14ac:dyDescent="0.2">
      <c r="A1028" s="33">
        <v>43678</v>
      </c>
      <c r="B1028" s="34">
        <v>56</v>
      </c>
      <c r="C1028" s="35" t="s">
        <v>499</v>
      </c>
      <c r="D1028" s="34" t="str">
        <f>VLOOKUP(C1028,'PUR-PARTY MASTER'!$B$4:$E$2000,2,FALSE)</f>
        <v>27AAHFP1154B1ZN</v>
      </c>
      <c r="E1028" s="34" t="s">
        <v>22</v>
      </c>
      <c r="F1028" s="136" t="s">
        <v>889</v>
      </c>
      <c r="G1028" s="37">
        <v>43685</v>
      </c>
      <c r="H1028" s="34">
        <v>3808</v>
      </c>
      <c r="I1028" s="39">
        <f>VLOOKUP(H1028,'PUR-HSN MASTER'!$A$4:$E$5000,5,FALSE)</f>
        <v>18</v>
      </c>
      <c r="J1028" s="34"/>
      <c r="K1028" s="126">
        <v>648</v>
      </c>
      <c r="L1028" s="39">
        <v>0</v>
      </c>
      <c r="M1028" s="39">
        <v>58.320000000000007</v>
      </c>
      <c r="N1028" s="39">
        <v>58.320000000000007</v>
      </c>
      <c r="O1028" s="39">
        <v>0</v>
      </c>
      <c r="P1028" s="39">
        <v>764.64</v>
      </c>
      <c r="Q1028" s="34" t="s">
        <v>410</v>
      </c>
      <c r="R1028" s="34" t="s">
        <v>26</v>
      </c>
      <c r="S1028" s="11" t="s">
        <v>4120</v>
      </c>
    </row>
    <row r="1029" spans="1:19" x14ac:dyDescent="0.2">
      <c r="A1029" s="33">
        <v>43678</v>
      </c>
      <c r="B1029" s="34"/>
      <c r="C1029" s="35" t="s">
        <v>499</v>
      </c>
      <c r="D1029" s="34" t="str">
        <f>VLOOKUP(C1029,'PUR-PARTY MASTER'!$B$4:$E$2000,2,FALSE)</f>
        <v>27AAHFP1154B1ZN</v>
      </c>
      <c r="E1029" s="34" t="s">
        <v>22</v>
      </c>
      <c r="F1029" s="136" t="s">
        <v>889</v>
      </c>
      <c r="G1029" s="37">
        <v>43686</v>
      </c>
      <c r="H1029" s="34">
        <v>60060000</v>
      </c>
      <c r="I1029" s="39">
        <f>VLOOKUP(H1029,'PUR-HSN MASTER'!$A$4:$E$5000,5,FALSE)</f>
        <v>5</v>
      </c>
      <c r="J1029" s="34"/>
      <c r="K1029" s="126">
        <v>3300</v>
      </c>
      <c r="L1029" s="39">
        <v>0</v>
      </c>
      <c r="M1029" s="39">
        <v>82.5</v>
      </c>
      <c r="N1029" s="39">
        <v>82.5</v>
      </c>
      <c r="O1029" s="39">
        <v>0</v>
      </c>
      <c r="P1029" s="39">
        <v>3465</v>
      </c>
      <c r="Q1029" s="34" t="s">
        <v>410</v>
      </c>
      <c r="R1029" s="34" t="s">
        <v>26</v>
      </c>
      <c r="S1029" s="11" t="s">
        <v>4120</v>
      </c>
    </row>
    <row r="1030" spans="1:19" x14ac:dyDescent="0.2">
      <c r="A1030" s="33">
        <v>43678</v>
      </c>
      <c r="B1030" s="34">
        <v>57</v>
      </c>
      <c r="C1030" s="35" t="s">
        <v>499</v>
      </c>
      <c r="D1030" s="34" t="str">
        <f>VLOOKUP(C1030,'PUR-PARTY MASTER'!$B$4:$E$2000,2,FALSE)</f>
        <v>27AAHFP1154B1ZN</v>
      </c>
      <c r="E1030" s="34" t="s">
        <v>22</v>
      </c>
      <c r="F1030" s="136" t="s">
        <v>890</v>
      </c>
      <c r="G1030" s="37">
        <v>43686</v>
      </c>
      <c r="H1030" s="34">
        <v>27076000</v>
      </c>
      <c r="I1030" s="39">
        <f>VLOOKUP(H1030,'PUR-HSN MASTER'!$A$4:$E$5000,5,FALSE)</f>
        <v>18</v>
      </c>
      <c r="J1030" s="34"/>
      <c r="K1030" s="126">
        <v>109</v>
      </c>
      <c r="L1030" s="39">
        <v>0</v>
      </c>
      <c r="M1030" s="39">
        <v>9.81</v>
      </c>
      <c r="N1030" s="39">
        <v>9.81</v>
      </c>
      <c r="O1030" s="39">
        <v>0</v>
      </c>
      <c r="P1030" s="39">
        <v>128.62</v>
      </c>
      <c r="Q1030" s="34" t="s">
        <v>410</v>
      </c>
      <c r="R1030" s="34" t="s">
        <v>26</v>
      </c>
      <c r="S1030" s="11" t="s">
        <v>4120</v>
      </c>
    </row>
    <row r="1031" spans="1:19" x14ac:dyDescent="0.2">
      <c r="A1031" s="33">
        <v>43678</v>
      </c>
      <c r="B1031" s="34"/>
      <c r="C1031" s="35" t="s">
        <v>499</v>
      </c>
      <c r="D1031" s="34" t="str">
        <f>VLOOKUP(C1031,'PUR-PARTY MASTER'!$B$4:$E$2000,2,FALSE)</f>
        <v>27AAHFP1154B1ZN</v>
      </c>
      <c r="E1031" s="34" t="s">
        <v>22</v>
      </c>
      <c r="F1031" s="136" t="s">
        <v>890</v>
      </c>
      <c r="G1031" s="37">
        <v>43686</v>
      </c>
      <c r="H1031" s="34">
        <v>34011190</v>
      </c>
      <c r="I1031" s="39">
        <f>VLOOKUP(H1031,'PUR-HSN MASTER'!$A$4:$E$5000,5,FALSE)</f>
        <v>18</v>
      </c>
      <c r="J1031" s="34"/>
      <c r="K1031" s="126">
        <v>432</v>
      </c>
      <c r="L1031" s="39">
        <v>0</v>
      </c>
      <c r="M1031" s="39">
        <v>38.880000000000003</v>
      </c>
      <c r="N1031" s="39">
        <v>38.880000000000003</v>
      </c>
      <c r="O1031" s="39">
        <v>0</v>
      </c>
      <c r="P1031" s="39">
        <v>509.76</v>
      </c>
      <c r="Q1031" s="34" t="s">
        <v>410</v>
      </c>
      <c r="R1031" s="34" t="s">
        <v>26</v>
      </c>
      <c r="S1031" s="11" t="s">
        <v>4120</v>
      </c>
    </row>
    <row r="1032" spans="1:19" x14ac:dyDescent="0.2">
      <c r="A1032" s="33">
        <v>43678</v>
      </c>
      <c r="B1032" s="34"/>
      <c r="C1032" s="35" t="s">
        <v>499</v>
      </c>
      <c r="D1032" s="34" t="str">
        <f>VLOOKUP(C1032,'PUR-PARTY MASTER'!$B$4:$E$2000,2,FALSE)</f>
        <v>27AAHFP1154B1ZN</v>
      </c>
      <c r="E1032" s="34" t="s">
        <v>22</v>
      </c>
      <c r="F1032" s="136" t="s">
        <v>890</v>
      </c>
      <c r="G1032" s="37">
        <v>43686</v>
      </c>
      <c r="H1032" s="34">
        <v>33074900</v>
      </c>
      <c r="I1032" s="39">
        <f>VLOOKUP(H1032,'PUR-HSN MASTER'!$A$4:$E$5000,5,FALSE)</f>
        <v>18</v>
      </c>
      <c r="J1032" s="34"/>
      <c r="K1032" s="126">
        <v>354</v>
      </c>
      <c r="L1032" s="39">
        <v>0</v>
      </c>
      <c r="M1032" s="39">
        <v>31.86</v>
      </c>
      <c r="N1032" s="39">
        <v>31.86</v>
      </c>
      <c r="O1032" s="39">
        <v>0</v>
      </c>
      <c r="P1032" s="39">
        <v>417.72</v>
      </c>
      <c r="Q1032" s="34" t="s">
        <v>410</v>
      </c>
      <c r="R1032" s="34" t="s">
        <v>26</v>
      </c>
      <c r="S1032" s="11" t="s">
        <v>4120</v>
      </c>
    </row>
    <row r="1033" spans="1:19" x14ac:dyDescent="0.2">
      <c r="A1033" s="33">
        <v>43678</v>
      </c>
      <c r="B1033" s="34"/>
      <c r="C1033" s="35" t="s">
        <v>499</v>
      </c>
      <c r="D1033" s="34" t="str">
        <f>VLOOKUP(C1033,'PUR-PARTY MASTER'!$B$4:$E$2000,2,FALSE)</f>
        <v>27AAHFP1154B1ZN</v>
      </c>
      <c r="E1033" s="34" t="s">
        <v>22</v>
      </c>
      <c r="F1033" s="136" t="s">
        <v>890</v>
      </c>
      <c r="G1033" s="37">
        <v>43686</v>
      </c>
      <c r="H1033" s="34">
        <v>40151100</v>
      </c>
      <c r="I1033" s="39">
        <f>VLOOKUP(H1033,'PUR-HSN MASTER'!$A$4:$E$5000,5,FALSE)</f>
        <v>12</v>
      </c>
      <c r="J1033" s="34"/>
      <c r="K1033" s="126">
        <v>6240</v>
      </c>
      <c r="L1033" s="39">
        <v>0</v>
      </c>
      <c r="M1033" s="39">
        <v>374.4</v>
      </c>
      <c r="N1033" s="39">
        <v>374.4</v>
      </c>
      <c r="O1033" s="39">
        <v>0</v>
      </c>
      <c r="P1033" s="39">
        <v>6988.8</v>
      </c>
      <c r="Q1033" s="34" t="s">
        <v>410</v>
      </c>
      <c r="R1033" s="34" t="s">
        <v>26</v>
      </c>
      <c r="S1033" s="11" t="s">
        <v>4120</v>
      </c>
    </row>
    <row r="1034" spans="1:19" x14ac:dyDescent="0.2">
      <c r="A1034" s="33">
        <v>43678</v>
      </c>
      <c r="B1034" s="34">
        <v>58</v>
      </c>
      <c r="C1034" s="35" t="s">
        <v>499</v>
      </c>
      <c r="D1034" s="34" t="str">
        <f>VLOOKUP(C1034,'PUR-PARTY MASTER'!$B$4:$E$2000,2,FALSE)</f>
        <v>27AAHFP1154B1ZN</v>
      </c>
      <c r="E1034" s="34" t="s">
        <v>22</v>
      </c>
      <c r="F1034" s="136" t="s">
        <v>891</v>
      </c>
      <c r="G1034" s="37">
        <v>43686</v>
      </c>
      <c r="H1034" s="34">
        <v>96031000</v>
      </c>
      <c r="I1034" s="39">
        <f>VLOOKUP(H1034,'PUR-HSN MASTER'!$A$4:$E$5000,5,FALSE)</f>
        <v>0</v>
      </c>
      <c r="J1034" s="34"/>
      <c r="K1034" s="126">
        <v>50</v>
      </c>
      <c r="L1034" s="39">
        <v>0</v>
      </c>
      <c r="M1034" s="39">
        <v>0</v>
      </c>
      <c r="N1034" s="39">
        <v>0</v>
      </c>
      <c r="O1034" s="39">
        <v>0</v>
      </c>
      <c r="P1034" s="39">
        <v>50</v>
      </c>
      <c r="Q1034" s="34" t="s">
        <v>377</v>
      </c>
      <c r="R1034" s="34" t="s">
        <v>26</v>
      </c>
      <c r="S1034" s="11" t="s">
        <v>4120</v>
      </c>
    </row>
    <row r="1035" spans="1:19" x14ac:dyDescent="0.2">
      <c r="A1035" s="33">
        <v>43678</v>
      </c>
      <c r="B1035" s="34"/>
      <c r="C1035" s="35" t="s">
        <v>499</v>
      </c>
      <c r="D1035" s="34" t="str">
        <f>VLOOKUP(C1035,'PUR-PARTY MASTER'!$B$4:$E$2000,2,FALSE)</f>
        <v>27AAHFP1154B1ZN</v>
      </c>
      <c r="E1035" s="34" t="s">
        <v>22</v>
      </c>
      <c r="F1035" s="136" t="s">
        <v>891</v>
      </c>
      <c r="G1035" s="37">
        <v>43686</v>
      </c>
      <c r="H1035" s="34">
        <v>29041030</v>
      </c>
      <c r="I1035" s="39">
        <f>VLOOKUP(H1035,'PUR-HSN MASTER'!$A$4:$E$5000,5,FALSE)</f>
        <v>18</v>
      </c>
      <c r="J1035" s="34"/>
      <c r="K1035" s="126">
        <v>390</v>
      </c>
      <c r="L1035" s="39">
        <v>0</v>
      </c>
      <c r="M1035" s="39">
        <v>35.1</v>
      </c>
      <c r="N1035" s="39">
        <v>35.1</v>
      </c>
      <c r="O1035" s="39">
        <v>0</v>
      </c>
      <c r="P1035" s="39">
        <v>460.2</v>
      </c>
      <c r="Q1035" s="34" t="s">
        <v>410</v>
      </c>
      <c r="R1035" s="34" t="s">
        <v>26</v>
      </c>
      <c r="S1035" s="11" t="s">
        <v>4120</v>
      </c>
    </row>
    <row r="1036" spans="1:19" x14ac:dyDescent="0.2">
      <c r="A1036" s="33">
        <v>43678</v>
      </c>
      <c r="B1036" s="34">
        <v>59</v>
      </c>
      <c r="C1036" s="35" t="s">
        <v>479</v>
      </c>
      <c r="D1036" s="34" t="str">
        <f>VLOOKUP(C1036,'PUR-PARTY MASTER'!$B$4:$E$2000,2,FALSE)</f>
        <v>27AAMFC2124K1ZG</v>
      </c>
      <c r="E1036" s="34" t="s">
        <v>22</v>
      </c>
      <c r="F1036" s="134">
        <v>1200</v>
      </c>
      <c r="G1036" s="37">
        <v>43686</v>
      </c>
      <c r="H1036" s="34">
        <v>3919</v>
      </c>
      <c r="I1036" s="39">
        <f>VLOOKUP(H1036,'PUR-HSN MASTER'!$A$4:$E$5000,5,FALSE)</f>
        <v>18</v>
      </c>
      <c r="J1036" s="34"/>
      <c r="K1036" s="126">
        <v>4000</v>
      </c>
      <c r="L1036" s="39">
        <v>0</v>
      </c>
      <c r="M1036" s="39">
        <v>360</v>
      </c>
      <c r="N1036" s="39">
        <v>360</v>
      </c>
      <c r="O1036" s="39">
        <v>0</v>
      </c>
      <c r="P1036" s="39">
        <v>4720</v>
      </c>
      <c r="Q1036" s="34" t="s">
        <v>410</v>
      </c>
      <c r="R1036" s="34" t="s">
        <v>26</v>
      </c>
      <c r="S1036" s="11" t="s">
        <v>4120</v>
      </c>
    </row>
    <row r="1037" spans="1:19" x14ac:dyDescent="0.2">
      <c r="A1037" s="33">
        <v>43678</v>
      </c>
      <c r="B1037" s="34">
        <v>60</v>
      </c>
      <c r="C1037" s="632" t="s">
        <v>892</v>
      </c>
      <c r="D1037" s="34" t="str">
        <f>VLOOKUP(C1037,'PUR-PARTY MASTER'!$B$4:$E$2000,2,FALSE)</f>
        <v>27ADTPJ2325F1ZJ</v>
      </c>
      <c r="E1037" s="34" t="s">
        <v>22</v>
      </c>
      <c r="F1037" s="134" t="s">
        <v>894</v>
      </c>
      <c r="G1037" s="37">
        <v>43686</v>
      </c>
      <c r="H1037" s="34">
        <v>3919</v>
      </c>
      <c r="I1037" s="39">
        <f>VLOOKUP(H1037,'PUR-HSN MASTER'!$A$4:$E$5000,5,FALSE)</f>
        <v>18</v>
      </c>
      <c r="J1037" s="34"/>
      <c r="K1037" s="126">
        <v>10000</v>
      </c>
      <c r="L1037" s="39">
        <v>0</v>
      </c>
      <c r="M1037" s="39">
        <v>900</v>
      </c>
      <c r="N1037" s="39">
        <v>900</v>
      </c>
      <c r="O1037" s="39">
        <v>0</v>
      </c>
      <c r="P1037" s="39">
        <v>11800</v>
      </c>
      <c r="Q1037" s="34" t="s">
        <v>410</v>
      </c>
      <c r="R1037" s="34" t="s">
        <v>26</v>
      </c>
      <c r="S1037" s="11" t="s">
        <v>4120</v>
      </c>
    </row>
    <row r="1038" spans="1:19" x14ac:dyDescent="0.2">
      <c r="A1038" s="33">
        <v>43678</v>
      </c>
      <c r="B1038" s="34">
        <v>61</v>
      </c>
      <c r="C1038" s="35" t="s">
        <v>495</v>
      </c>
      <c r="D1038" s="34" t="str">
        <f>VLOOKUP(C1038,'PUR-PARTY MASTER'!$B$4:$E$2000,2,FALSE)</f>
        <v>27AAACH4211R1ZF</v>
      </c>
      <c r="E1038" s="34" t="s">
        <v>22</v>
      </c>
      <c r="F1038" s="134">
        <v>5510054124</v>
      </c>
      <c r="G1038" s="37">
        <v>43686</v>
      </c>
      <c r="H1038" s="34">
        <v>85129000</v>
      </c>
      <c r="I1038" s="39">
        <f>VLOOKUP(H1038,'PUR-HSN MASTER'!$A$4:$E$5000,5,FALSE)</f>
        <v>18</v>
      </c>
      <c r="J1038" s="34"/>
      <c r="K1038" s="126">
        <v>47779.199999999997</v>
      </c>
      <c r="L1038" s="39">
        <v>0</v>
      </c>
      <c r="M1038" s="39">
        <v>4300.1279999999997</v>
      </c>
      <c r="N1038" s="39">
        <v>4300.1279999999997</v>
      </c>
      <c r="O1038" s="39">
        <v>0</v>
      </c>
      <c r="P1038" s="39">
        <v>56379.455999999998</v>
      </c>
      <c r="Q1038" s="34" t="s">
        <v>410</v>
      </c>
      <c r="R1038" s="34" t="s">
        <v>26</v>
      </c>
      <c r="S1038" s="11" t="s">
        <v>4120</v>
      </c>
    </row>
    <row r="1039" spans="1:19" x14ac:dyDescent="0.2">
      <c r="A1039" s="33">
        <v>43678</v>
      </c>
      <c r="B1039" s="34">
        <v>62</v>
      </c>
      <c r="C1039" s="35" t="s">
        <v>747</v>
      </c>
      <c r="D1039" s="34" t="str">
        <f>VLOOKUP(C1039,'PUR-PARTY MASTER'!$B$4:$E$2000,2,FALSE)</f>
        <v>27ACIPD7822K1ZF</v>
      </c>
      <c r="E1039" s="34" t="s">
        <v>22</v>
      </c>
      <c r="F1039" s="136" t="s">
        <v>895</v>
      </c>
      <c r="G1039" s="37">
        <v>43686</v>
      </c>
      <c r="H1039" s="34">
        <v>7318</v>
      </c>
      <c r="I1039" s="39">
        <f>VLOOKUP(H1039,'PUR-HSN MASTER'!$A$4:$E$5000,5,FALSE)</f>
        <v>18</v>
      </c>
      <c r="J1039" s="34"/>
      <c r="K1039" s="126">
        <v>650</v>
      </c>
      <c r="L1039" s="39">
        <v>0</v>
      </c>
      <c r="M1039" s="39">
        <v>58.5</v>
      </c>
      <c r="N1039" s="39">
        <v>58.5</v>
      </c>
      <c r="O1039" s="39">
        <v>0</v>
      </c>
      <c r="P1039" s="39">
        <v>767</v>
      </c>
      <c r="Q1039" s="34" t="s">
        <v>410</v>
      </c>
      <c r="R1039" s="34" t="s">
        <v>26</v>
      </c>
      <c r="S1039" s="11" t="s">
        <v>4120</v>
      </c>
    </row>
    <row r="1040" spans="1:19" x14ac:dyDescent="0.2">
      <c r="A1040" s="33">
        <v>43678</v>
      </c>
      <c r="B1040" s="34">
        <v>63</v>
      </c>
      <c r="C1040" s="35" t="s">
        <v>554</v>
      </c>
      <c r="D1040" s="34" t="str">
        <f>VLOOKUP(C1040,'PUR-PARTY MASTER'!$B$4:$E$2000,2,FALSE)</f>
        <v>27AACFA1881H1ZL</v>
      </c>
      <c r="E1040" s="34" t="s">
        <v>22</v>
      </c>
      <c r="F1040" s="134">
        <v>10608</v>
      </c>
      <c r="G1040" s="37">
        <v>43687</v>
      </c>
      <c r="H1040" s="34">
        <v>87141900</v>
      </c>
      <c r="I1040" s="39">
        <f>VLOOKUP(H1040,'PUR-HSN MASTER'!$A$4:$E$5000,5,FALSE)</f>
        <v>28</v>
      </c>
      <c r="J1040" s="34"/>
      <c r="K1040" s="126">
        <v>4725</v>
      </c>
      <c r="L1040" s="39">
        <v>0</v>
      </c>
      <c r="M1040" s="39">
        <v>661.5</v>
      </c>
      <c r="N1040" s="39">
        <v>661.5</v>
      </c>
      <c r="O1040" s="39">
        <v>0</v>
      </c>
      <c r="P1040" s="39">
        <v>6048</v>
      </c>
      <c r="Q1040" s="34" t="s">
        <v>410</v>
      </c>
      <c r="R1040" s="34" t="s">
        <v>26</v>
      </c>
      <c r="S1040" s="11" t="s">
        <v>4120</v>
      </c>
    </row>
    <row r="1041" spans="1:19" x14ac:dyDescent="0.2">
      <c r="A1041" s="33">
        <v>43678</v>
      </c>
      <c r="B1041" s="34">
        <v>64</v>
      </c>
      <c r="C1041" s="35" t="s">
        <v>489</v>
      </c>
      <c r="D1041" s="34" t="str">
        <f>VLOOKUP(C1041,'PUR-PARTY MASTER'!$B$4:$E$2000,2,FALSE)</f>
        <v>27AAECD2713N1ZK</v>
      </c>
      <c r="E1041" s="34" t="s">
        <v>22</v>
      </c>
      <c r="F1041" s="134">
        <v>7887987272</v>
      </c>
      <c r="G1041" s="37">
        <v>43687</v>
      </c>
      <c r="H1041" s="34">
        <v>39119090</v>
      </c>
      <c r="I1041" s="39">
        <f>VLOOKUP(H1041,'PUR-HSN MASTER'!$A$4:$E$5000,5,FALSE)</f>
        <v>18</v>
      </c>
      <c r="J1041" s="34"/>
      <c r="K1041" s="126">
        <v>22896</v>
      </c>
      <c r="L1041" s="39">
        <v>0</v>
      </c>
      <c r="M1041" s="39">
        <v>2060.64</v>
      </c>
      <c r="N1041" s="39">
        <v>2060.64</v>
      </c>
      <c r="O1041" s="39">
        <v>0</v>
      </c>
      <c r="P1041" s="39">
        <v>27017.279999999999</v>
      </c>
      <c r="Q1041" s="34" t="s">
        <v>410</v>
      </c>
      <c r="R1041" s="34" t="s">
        <v>26</v>
      </c>
      <c r="S1041" s="11" t="s">
        <v>4120</v>
      </c>
    </row>
    <row r="1042" spans="1:19" x14ac:dyDescent="0.2">
      <c r="A1042" s="33">
        <v>43678</v>
      </c>
      <c r="B1042" s="34"/>
      <c r="C1042" s="35" t="s">
        <v>489</v>
      </c>
      <c r="D1042" s="34" t="str">
        <f>VLOOKUP(C1042,'PUR-PARTY MASTER'!$B$4:$E$2000,2,FALSE)</f>
        <v>27AAECD2713N1ZK</v>
      </c>
      <c r="E1042" s="34" t="s">
        <v>22</v>
      </c>
      <c r="F1042" s="134">
        <v>7887987272</v>
      </c>
      <c r="G1042" s="37">
        <v>43687</v>
      </c>
      <c r="H1042" s="34">
        <v>38140010</v>
      </c>
      <c r="I1042" s="39">
        <f>VLOOKUP(H1042,'PUR-HSN MASTER'!$A$4:$E$5000,5,FALSE)</f>
        <v>18</v>
      </c>
      <c r="J1042" s="34"/>
      <c r="K1042" s="126">
        <v>12500</v>
      </c>
      <c r="L1042" s="39">
        <v>0</v>
      </c>
      <c r="M1042" s="39">
        <v>1125</v>
      </c>
      <c r="N1042" s="39">
        <v>1125</v>
      </c>
      <c r="O1042" s="39">
        <v>0</v>
      </c>
      <c r="P1042" s="39">
        <v>14750</v>
      </c>
      <c r="Q1042" s="34" t="s">
        <v>410</v>
      </c>
      <c r="R1042" s="34" t="s">
        <v>26</v>
      </c>
      <c r="S1042" s="11" t="s">
        <v>4120</v>
      </c>
    </row>
    <row r="1043" spans="1:19" x14ac:dyDescent="0.2">
      <c r="A1043" s="33">
        <v>43678</v>
      </c>
      <c r="B1043" s="34">
        <v>65</v>
      </c>
      <c r="C1043" s="35" t="s">
        <v>489</v>
      </c>
      <c r="D1043" s="34" t="str">
        <f>VLOOKUP(C1043,'PUR-PARTY MASTER'!$B$4:$E$2000,2,FALSE)</f>
        <v>27AAECD2713N1ZK</v>
      </c>
      <c r="E1043" s="34" t="s">
        <v>22</v>
      </c>
      <c r="F1043" s="134">
        <v>7887987274</v>
      </c>
      <c r="G1043" s="37">
        <v>43687</v>
      </c>
      <c r="H1043" s="34">
        <v>32082090</v>
      </c>
      <c r="I1043" s="39">
        <f>VLOOKUP(H1043,'PUR-HSN MASTER'!$A$4:$E$5000,5,FALSE)</f>
        <v>18</v>
      </c>
      <c r="J1043" s="34"/>
      <c r="K1043" s="126">
        <v>7960</v>
      </c>
      <c r="L1043" s="39">
        <v>0</v>
      </c>
      <c r="M1043" s="39">
        <v>716.4</v>
      </c>
      <c r="N1043" s="39">
        <v>716.4</v>
      </c>
      <c r="O1043" s="39">
        <v>0</v>
      </c>
      <c r="P1043" s="39">
        <v>9392.7999999999993</v>
      </c>
      <c r="Q1043" s="34" t="s">
        <v>410</v>
      </c>
      <c r="R1043" s="34" t="s">
        <v>26</v>
      </c>
      <c r="S1043" s="11" t="s">
        <v>4120</v>
      </c>
    </row>
    <row r="1044" spans="1:19" x14ac:dyDescent="0.2">
      <c r="A1044" s="33">
        <v>43678</v>
      </c>
      <c r="B1044" s="34">
        <v>66</v>
      </c>
      <c r="C1044" s="35" t="s">
        <v>479</v>
      </c>
      <c r="D1044" s="34" t="str">
        <f>VLOOKUP(C1044,'PUR-PARTY MASTER'!$B$4:$E$2000,2,FALSE)</f>
        <v>27AAMFC2124K1ZG</v>
      </c>
      <c r="E1044" s="34" t="s">
        <v>22</v>
      </c>
      <c r="F1044" s="134">
        <v>1204</v>
      </c>
      <c r="G1044" s="37">
        <v>43687</v>
      </c>
      <c r="H1044" s="34">
        <v>3919</v>
      </c>
      <c r="I1044" s="39">
        <f>VLOOKUP(H1044,'PUR-HSN MASTER'!$A$4:$E$5000,5,FALSE)</f>
        <v>18</v>
      </c>
      <c r="J1044" s="34"/>
      <c r="K1044" s="126">
        <v>8000</v>
      </c>
      <c r="L1044" s="39">
        <v>0</v>
      </c>
      <c r="M1044" s="39">
        <v>720</v>
      </c>
      <c r="N1044" s="39">
        <v>720</v>
      </c>
      <c r="O1044" s="39">
        <v>0</v>
      </c>
      <c r="P1044" s="39">
        <v>9440</v>
      </c>
      <c r="Q1044" s="34" t="s">
        <v>410</v>
      </c>
      <c r="R1044" s="34" t="s">
        <v>26</v>
      </c>
      <c r="S1044" s="11" t="s">
        <v>4120</v>
      </c>
    </row>
    <row r="1045" spans="1:19" x14ac:dyDescent="0.2">
      <c r="A1045" s="33">
        <v>43678</v>
      </c>
      <c r="B1045" s="34">
        <v>67</v>
      </c>
      <c r="C1045" s="35" t="s">
        <v>517</v>
      </c>
      <c r="D1045" s="34" t="str">
        <f>VLOOKUP(C1045,'PUR-PARTY MASTER'!$B$4:$E$2000,2,FALSE)</f>
        <v>23AAACT6376M1ZZ</v>
      </c>
      <c r="E1045" s="34" t="s">
        <v>22</v>
      </c>
      <c r="F1045" s="134">
        <v>19614537</v>
      </c>
      <c r="G1045" s="37">
        <v>43687</v>
      </c>
      <c r="H1045" s="34">
        <v>87081090</v>
      </c>
      <c r="I1045" s="39">
        <f>VLOOKUP(H1045,'PUR-HSN MASTER'!$A$4:$E$5000,5,FALSE)</f>
        <v>28</v>
      </c>
      <c r="J1045" s="34"/>
      <c r="K1045" s="126">
        <v>738.89</v>
      </c>
      <c r="L1045" s="39">
        <v>206.88919999999999</v>
      </c>
      <c r="M1045" s="39">
        <v>0</v>
      </c>
      <c r="N1045" s="39">
        <v>0</v>
      </c>
      <c r="O1045" s="39">
        <v>0</v>
      </c>
      <c r="P1045" s="39">
        <v>945.77919999999995</v>
      </c>
      <c r="Q1045" s="34" t="s">
        <v>410</v>
      </c>
      <c r="R1045" s="34" t="s">
        <v>106</v>
      </c>
      <c r="S1045" s="11" t="s">
        <v>4120</v>
      </c>
    </row>
    <row r="1046" spans="1:19" x14ac:dyDescent="0.2">
      <c r="A1046" s="33">
        <v>43678</v>
      </c>
      <c r="B1046" s="34">
        <v>68</v>
      </c>
      <c r="C1046" s="35" t="s">
        <v>554</v>
      </c>
      <c r="D1046" s="34" t="str">
        <f>VLOOKUP(C1046,'PUR-PARTY MASTER'!$B$4:$E$2000,2,FALSE)</f>
        <v>27AACFA1881H1ZL</v>
      </c>
      <c r="E1046" s="34" t="s">
        <v>22</v>
      </c>
      <c r="F1046" s="134">
        <v>10652</v>
      </c>
      <c r="G1046" s="37">
        <v>43689</v>
      </c>
      <c r="H1046" s="34">
        <v>87141900</v>
      </c>
      <c r="I1046" s="39">
        <f>VLOOKUP(H1046,'PUR-HSN MASTER'!$A$4:$E$5000,5,FALSE)</f>
        <v>28</v>
      </c>
      <c r="J1046" s="34"/>
      <c r="K1046" s="126">
        <v>9450</v>
      </c>
      <c r="L1046" s="39">
        <v>0</v>
      </c>
      <c r="M1046" s="39">
        <v>1323</v>
      </c>
      <c r="N1046" s="39">
        <v>1323</v>
      </c>
      <c r="O1046" s="39">
        <v>0</v>
      </c>
      <c r="P1046" s="39">
        <v>12096</v>
      </c>
      <c r="Q1046" s="34" t="s">
        <v>410</v>
      </c>
      <c r="R1046" s="34" t="s">
        <v>26</v>
      </c>
      <c r="S1046" s="11" t="s">
        <v>4120</v>
      </c>
    </row>
    <row r="1047" spans="1:19" x14ac:dyDescent="0.2">
      <c r="A1047" s="33">
        <v>43678</v>
      </c>
      <c r="B1047" s="34">
        <v>69</v>
      </c>
      <c r="C1047" s="35" t="s">
        <v>471</v>
      </c>
      <c r="D1047" s="34" t="str">
        <f>VLOOKUP(C1047,'PUR-PARTY MASTER'!$B$4:$E$2000,2,FALSE)</f>
        <v>27AAECM8871A1ZF</v>
      </c>
      <c r="E1047" s="34" t="s">
        <v>22</v>
      </c>
      <c r="F1047" s="134">
        <v>192004478</v>
      </c>
      <c r="G1047" s="37">
        <v>43689</v>
      </c>
      <c r="H1047" s="34">
        <v>87089900</v>
      </c>
      <c r="I1047" s="39">
        <f>VLOOKUP(H1047,'PUR-HSN MASTER'!$A$4:$E$5000,5,FALSE)</f>
        <v>28</v>
      </c>
      <c r="J1047" s="34"/>
      <c r="K1047" s="126">
        <v>17483.52</v>
      </c>
      <c r="L1047" s="39">
        <v>0</v>
      </c>
      <c r="M1047" s="39">
        <v>2447.6928000000003</v>
      </c>
      <c r="N1047" s="39">
        <v>2447.6928000000003</v>
      </c>
      <c r="O1047" s="39">
        <v>0</v>
      </c>
      <c r="P1047" s="39">
        <v>22378.905600000002</v>
      </c>
      <c r="Q1047" s="34" t="s">
        <v>410</v>
      </c>
      <c r="R1047" s="34" t="s">
        <v>26</v>
      </c>
      <c r="S1047" s="11" t="s">
        <v>4120</v>
      </c>
    </row>
    <row r="1048" spans="1:19" x14ac:dyDescent="0.2">
      <c r="A1048" s="33">
        <v>43678</v>
      </c>
      <c r="B1048" s="34">
        <v>70</v>
      </c>
      <c r="C1048" s="35" t="s">
        <v>601</v>
      </c>
      <c r="D1048" s="34" t="str">
        <f>VLOOKUP(C1048,'PUR-PARTY MASTER'!$B$4:$E$2000,2,FALSE)</f>
        <v>27AAZFM6461A1ZY</v>
      </c>
      <c r="E1048" s="34" t="s">
        <v>22</v>
      </c>
      <c r="F1048" s="134">
        <v>3534</v>
      </c>
      <c r="G1048" s="37">
        <v>43689</v>
      </c>
      <c r="H1048" s="34">
        <v>87082900</v>
      </c>
      <c r="I1048" s="39">
        <f>VLOOKUP(H1048,'PUR-HSN MASTER'!$A$4:$E$5000,5,FALSE)</f>
        <v>28</v>
      </c>
      <c r="J1048" s="34"/>
      <c r="K1048" s="126">
        <v>35758.800000000003</v>
      </c>
      <c r="L1048" s="39">
        <v>0</v>
      </c>
      <c r="M1048" s="39">
        <v>5006.232</v>
      </c>
      <c r="N1048" s="39">
        <v>5006.232</v>
      </c>
      <c r="O1048" s="39">
        <v>0</v>
      </c>
      <c r="P1048" s="39">
        <v>45771.264000000003</v>
      </c>
      <c r="Q1048" s="34" t="s">
        <v>410</v>
      </c>
      <c r="R1048" s="34" t="s">
        <v>26</v>
      </c>
      <c r="S1048" s="11" t="s">
        <v>4120</v>
      </c>
    </row>
    <row r="1049" spans="1:19" x14ac:dyDescent="0.2">
      <c r="A1049" s="33">
        <v>43678</v>
      </c>
      <c r="B1049" s="34">
        <v>71</v>
      </c>
      <c r="C1049" s="35" t="s">
        <v>601</v>
      </c>
      <c r="D1049" s="34" t="str">
        <f>VLOOKUP(C1049,'PUR-PARTY MASTER'!$B$4:$E$2000,2,FALSE)</f>
        <v>27AAZFM6461A1ZY</v>
      </c>
      <c r="E1049" s="34" t="s">
        <v>22</v>
      </c>
      <c r="F1049" s="134">
        <v>3535</v>
      </c>
      <c r="G1049" s="37">
        <v>43689</v>
      </c>
      <c r="H1049" s="34">
        <v>87082900</v>
      </c>
      <c r="I1049" s="39">
        <f>VLOOKUP(H1049,'PUR-HSN MASTER'!$A$4:$E$5000,5,FALSE)</f>
        <v>28</v>
      </c>
      <c r="J1049" s="34"/>
      <c r="K1049" s="126">
        <v>10713.6</v>
      </c>
      <c r="L1049" s="39">
        <v>0</v>
      </c>
      <c r="M1049" s="39">
        <v>1499.9040000000002</v>
      </c>
      <c r="N1049" s="39">
        <v>1499.9040000000002</v>
      </c>
      <c r="O1049" s="39">
        <v>0</v>
      </c>
      <c r="P1049" s="39">
        <v>13713.408000000001</v>
      </c>
      <c r="Q1049" s="34" t="s">
        <v>410</v>
      </c>
      <c r="R1049" s="34" t="s">
        <v>26</v>
      </c>
      <c r="S1049" s="11" t="s">
        <v>4120</v>
      </c>
    </row>
    <row r="1050" spans="1:19" x14ac:dyDescent="0.2">
      <c r="A1050" s="33">
        <v>43678</v>
      </c>
      <c r="B1050" s="34">
        <v>72</v>
      </c>
      <c r="C1050" s="35" t="s">
        <v>857</v>
      </c>
      <c r="D1050" s="34" t="str">
        <f>VLOOKUP(C1050,'PUR-PARTY MASTER'!$B$4:$E$2000,2,FALSE)</f>
        <v>27AECPD3419C1Z5</v>
      </c>
      <c r="E1050" s="34" t="s">
        <v>22</v>
      </c>
      <c r="F1050" s="134" t="s">
        <v>896</v>
      </c>
      <c r="G1050" s="37">
        <v>43689</v>
      </c>
      <c r="H1050" s="34">
        <v>998311</v>
      </c>
      <c r="I1050" s="39">
        <f>VLOOKUP(H1050,'PUR-HSN MASTER'!$A$4:$E$5000,5,FALSE)</f>
        <v>18</v>
      </c>
      <c r="J1050" s="34"/>
      <c r="K1050" s="126">
        <v>10000</v>
      </c>
      <c r="L1050" s="39">
        <v>0</v>
      </c>
      <c r="M1050" s="39">
        <v>900</v>
      </c>
      <c r="N1050" s="39">
        <v>900</v>
      </c>
      <c r="O1050" s="39">
        <v>0</v>
      </c>
      <c r="P1050" s="39">
        <v>11800</v>
      </c>
      <c r="Q1050" s="24" t="s">
        <v>411</v>
      </c>
      <c r="R1050" s="34" t="s">
        <v>26</v>
      </c>
      <c r="S1050" s="11" t="s">
        <v>4120</v>
      </c>
    </row>
    <row r="1051" spans="1:19" x14ac:dyDescent="0.2">
      <c r="A1051" s="33">
        <v>43678</v>
      </c>
      <c r="B1051" s="34">
        <v>73</v>
      </c>
      <c r="C1051" s="35" t="s">
        <v>554</v>
      </c>
      <c r="D1051" s="34" t="str">
        <f>VLOOKUP(C1051,'PUR-PARTY MASTER'!$B$4:$E$2000,2,FALSE)</f>
        <v>27AACFA1881H1ZL</v>
      </c>
      <c r="E1051" s="34" t="s">
        <v>22</v>
      </c>
      <c r="F1051" s="134">
        <v>10709</v>
      </c>
      <c r="G1051" s="37">
        <v>43689</v>
      </c>
      <c r="H1051" s="34">
        <v>87141900</v>
      </c>
      <c r="I1051" s="39">
        <f>VLOOKUP(H1051,'PUR-HSN MASTER'!$A$4:$E$5000,5,FALSE)</f>
        <v>28</v>
      </c>
      <c r="J1051" s="34"/>
      <c r="K1051" s="126">
        <v>13683.4</v>
      </c>
      <c r="L1051" s="39">
        <v>0</v>
      </c>
      <c r="M1051" s="39">
        <v>1915.6759999999999</v>
      </c>
      <c r="N1051" s="39">
        <v>1915.6759999999999</v>
      </c>
      <c r="O1051" s="39">
        <v>0</v>
      </c>
      <c r="P1051" s="39">
        <v>17514.752</v>
      </c>
      <c r="Q1051" s="34" t="s">
        <v>410</v>
      </c>
      <c r="R1051" s="34" t="s">
        <v>26</v>
      </c>
      <c r="S1051" s="11" t="s">
        <v>4120</v>
      </c>
    </row>
    <row r="1052" spans="1:19" x14ac:dyDescent="0.2">
      <c r="A1052" s="33">
        <v>43678</v>
      </c>
      <c r="B1052" s="34">
        <v>74</v>
      </c>
      <c r="C1052" s="35" t="s">
        <v>471</v>
      </c>
      <c r="D1052" s="34" t="str">
        <f>VLOOKUP(C1052,'PUR-PARTY MASTER'!$B$4:$E$2000,2,FALSE)</f>
        <v>27AAECM8871A1ZF</v>
      </c>
      <c r="E1052" s="34" t="s">
        <v>22</v>
      </c>
      <c r="F1052" s="134">
        <v>192004510</v>
      </c>
      <c r="G1052" s="37">
        <v>43690</v>
      </c>
      <c r="H1052" s="34">
        <v>87089900</v>
      </c>
      <c r="I1052" s="39">
        <f>VLOOKUP(H1052,'PUR-HSN MASTER'!$A$4:$E$5000,5,FALSE)</f>
        <v>28</v>
      </c>
      <c r="J1052" s="34"/>
      <c r="K1052" s="126">
        <v>14569.6</v>
      </c>
      <c r="L1052" s="39">
        <v>0</v>
      </c>
      <c r="M1052" s="39">
        <v>2039.7439999999999</v>
      </c>
      <c r="N1052" s="39">
        <v>2039.7439999999999</v>
      </c>
      <c r="O1052" s="39">
        <v>0</v>
      </c>
      <c r="P1052" s="39">
        <v>18649.088</v>
      </c>
      <c r="Q1052" s="34" t="s">
        <v>410</v>
      </c>
      <c r="R1052" s="34" t="s">
        <v>26</v>
      </c>
      <c r="S1052" s="11" t="s">
        <v>4120</v>
      </c>
    </row>
    <row r="1053" spans="1:19" x14ac:dyDescent="0.2">
      <c r="A1053" s="33">
        <v>43678</v>
      </c>
      <c r="B1053" s="34">
        <v>75</v>
      </c>
      <c r="C1053" s="35" t="s">
        <v>495</v>
      </c>
      <c r="D1053" s="34" t="str">
        <f>VLOOKUP(C1053,'PUR-PARTY MASTER'!$B$4:$E$2000,2,FALSE)</f>
        <v>27AAACH4211R1ZF</v>
      </c>
      <c r="E1053" s="34" t="s">
        <v>22</v>
      </c>
      <c r="F1053" s="134">
        <v>5510054414</v>
      </c>
      <c r="G1053" s="37">
        <v>43690</v>
      </c>
      <c r="H1053" s="34">
        <v>85129000</v>
      </c>
      <c r="I1053" s="39">
        <f>VLOOKUP(H1053,'PUR-HSN MASTER'!$A$4:$E$5000,5,FALSE)</f>
        <v>18</v>
      </c>
      <c r="J1053" s="34"/>
      <c r="K1053" s="126">
        <v>31852.799999999999</v>
      </c>
      <c r="L1053" s="39">
        <v>0</v>
      </c>
      <c r="M1053" s="39">
        <v>2866.7520000000004</v>
      </c>
      <c r="N1053" s="39">
        <v>2866.7520000000004</v>
      </c>
      <c r="O1053" s="39">
        <v>0</v>
      </c>
      <c r="P1053" s="39">
        <v>37586.304000000004</v>
      </c>
      <c r="Q1053" s="34" t="s">
        <v>410</v>
      </c>
      <c r="R1053" s="34" t="s">
        <v>26</v>
      </c>
      <c r="S1053" s="11" t="s">
        <v>4120</v>
      </c>
    </row>
    <row r="1054" spans="1:19" x14ac:dyDescent="0.2">
      <c r="A1054" s="33">
        <v>43678</v>
      </c>
      <c r="B1054" s="34">
        <v>76</v>
      </c>
      <c r="C1054" s="35" t="s">
        <v>473</v>
      </c>
      <c r="D1054" s="34" t="str">
        <f>VLOOKUP(C1054,'PUR-PARTY MASTER'!$B$4:$E$2000,2,FALSE)</f>
        <v>27AAACT1848E1ZH</v>
      </c>
      <c r="E1054" s="34" t="s">
        <v>22</v>
      </c>
      <c r="F1054" s="136" t="s">
        <v>897</v>
      </c>
      <c r="G1054" s="37">
        <v>43690</v>
      </c>
      <c r="H1054" s="34">
        <v>87082900</v>
      </c>
      <c r="I1054" s="39">
        <f>VLOOKUP(H1054,'PUR-HSN MASTER'!$A$4:$E$5000,5,FALSE)</f>
        <v>28</v>
      </c>
      <c r="J1054" s="34"/>
      <c r="K1054" s="126">
        <v>8015</v>
      </c>
      <c r="L1054" s="39">
        <v>0</v>
      </c>
      <c r="M1054" s="39">
        <v>1122.1000000000001</v>
      </c>
      <c r="N1054" s="39">
        <v>1122.1000000000001</v>
      </c>
      <c r="O1054" s="39">
        <v>0</v>
      </c>
      <c r="P1054" s="39">
        <v>10259.200000000001</v>
      </c>
      <c r="Q1054" s="34" t="s">
        <v>410</v>
      </c>
      <c r="R1054" s="34" t="s">
        <v>26</v>
      </c>
      <c r="S1054" s="11" t="s">
        <v>4120</v>
      </c>
    </row>
    <row r="1055" spans="1:19" x14ac:dyDescent="0.2">
      <c r="A1055" s="33">
        <v>43678</v>
      </c>
      <c r="B1055" s="34">
        <v>77</v>
      </c>
      <c r="C1055" s="35" t="s">
        <v>473</v>
      </c>
      <c r="D1055" s="34" t="str">
        <f>VLOOKUP(C1055,'PUR-PARTY MASTER'!$B$4:$E$2000,2,FALSE)</f>
        <v>27AAACT1848E1ZH</v>
      </c>
      <c r="E1055" s="34" t="s">
        <v>22</v>
      </c>
      <c r="F1055" s="136" t="s">
        <v>898</v>
      </c>
      <c r="G1055" s="37">
        <v>43690</v>
      </c>
      <c r="H1055" s="34">
        <v>87089900</v>
      </c>
      <c r="I1055" s="39">
        <f>VLOOKUP(H1055,'PUR-HSN MASTER'!$A$4:$E$5000,5,FALSE)</f>
        <v>28</v>
      </c>
      <c r="J1055" s="34"/>
      <c r="K1055" s="126">
        <v>1217.45</v>
      </c>
      <c r="L1055" s="39">
        <v>0</v>
      </c>
      <c r="M1055" s="39">
        <v>170.44300000000001</v>
      </c>
      <c r="N1055" s="39">
        <v>170.44300000000001</v>
      </c>
      <c r="O1055" s="39">
        <v>0</v>
      </c>
      <c r="P1055" s="39">
        <v>1558.336</v>
      </c>
      <c r="Q1055" s="34" t="s">
        <v>410</v>
      </c>
      <c r="R1055" s="34" t="s">
        <v>26</v>
      </c>
      <c r="S1055" s="11" t="s">
        <v>4120</v>
      </c>
    </row>
    <row r="1056" spans="1:19" x14ac:dyDescent="0.2">
      <c r="A1056" s="33">
        <v>43678</v>
      </c>
      <c r="B1056" s="34">
        <v>78</v>
      </c>
      <c r="C1056" s="35" t="s">
        <v>747</v>
      </c>
      <c r="D1056" s="34" t="str">
        <f>VLOOKUP(C1056,'PUR-PARTY MASTER'!$B$4:$E$2000,2,FALSE)</f>
        <v>27ACIPD7822K1ZF</v>
      </c>
      <c r="E1056" s="34" t="s">
        <v>22</v>
      </c>
      <c r="F1056" s="136" t="s">
        <v>899</v>
      </c>
      <c r="G1056" s="37">
        <v>43690</v>
      </c>
      <c r="H1056" s="34">
        <v>84778090</v>
      </c>
      <c r="I1056" s="39">
        <f>VLOOKUP(H1056,'PUR-HSN MASTER'!$A$4:$E$5000,5,FALSE)</f>
        <v>18</v>
      </c>
      <c r="J1056" s="34"/>
      <c r="K1056" s="126">
        <v>11250</v>
      </c>
      <c r="L1056" s="39">
        <v>0</v>
      </c>
      <c r="M1056" s="39">
        <v>1012.5</v>
      </c>
      <c r="N1056" s="39">
        <v>1012.5</v>
      </c>
      <c r="O1056" s="39">
        <v>0</v>
      </c>
      <c r="P1056" s="39">
        <v>13275</v>
      </c>
      <c r="Q1056" s="34" t="s">
        <v>410</v>
      </c>
      <c r="R1056" s="34" t="s">
        <v>26</v>
      </c>
      <c r="S1056" s="11" t="s">
        <v>4120</v>
      </c>
    </row>
    <row r="1057" spans="1:19" x14ac:dyDescent="0.2">
      <c r="A1057" s="33">
        <v>43678</v>
      </c>
      <c r="B1057" s="34">
        <v>79</v>
      </c>
      <c r="C1057" s="632" t="s">
        <v>900</v>
      </c>
      <c r="D1057" s="34" t="str">
        <f>VLOOKUP(C1057,'PUR-PARTY MASTER'!$B$4:$E$2000,2,FALSE)</f>
        <v>27AIWPB0333K1Z6</v>
      </c>
      <c r="E1057" s="34" t="s">
        <v>22</v>
      </c>
      <c r="F1057" s="136" t="s">
        <v>902</v>
      </c>
      <c r="G1057" s="37">
        <v>43690</v>
      </c>
      <c r="H1057" s="34">
        <v>84778090</v>
      </c>
      <c r="I1057" s="39">
        <f>VLOOKUP(H1057,'PUR-HSN MASTER'!$A$4:$E$5000,5,FALSE)</f>
        <v>18</v>
      </c>
      <c r="J1057" s="34"/>
      <c r="K1057" s="126">
        <v>20175</v>
      </c>
      <c r="L1057" s="39">
        <v>0</v>
      </c>
      <c r="M1057" s="39">
        <v>1815.75</v>
      </c>
      <c r="N1057" s="39">
        <v>1815.75</v>
      </c>
      <c r="O1057" s="39">
        <v>0</v>
      </c>
      <c r="P1057" s="39">
        <v>23806.5</v>
      </c>
      <c r="Q1057" s="34" t="s">
        <v>410</v>
      </c>
      <c r="R1057" s="34" t="s">
        <v>26</v>
      </c>
      <c r="S1057" s="11" t="s">
        <v>4120</v>
      </c>
    </row>
    <row r="1058" spans="1:19" x14ac:dyDescent="0.2">
      <c r="A1058" s="33">
        <v>43678</v>
      </c>
      <c r="B1058" s="34">
        <v>80</v>
      </c>
      <c r="C1058" s="35" t="s">
        <v>554</v>
      </c>
      <c r="D1058" s="34" t="str">
        <f>VLOOKUP(C1058,'PUR-PARTY MASTER'!$B$4:$E$2000,2,FALSE)</f>
        <v>27AACFA1881H1ZL</v>
      </c>
      <c r="E1058" s="34" t="s">
        <v>22</v>
      </c>
      <c r="F1058" s="134">
        <v>10752</v>
      </c>
      <c r="G1058" s="37">
        <v>43691</v>
      </c>
      <c r="H1058" s="34">
        <v>87141900</v>
      </c>
      <c r="I1058" s="39">
        <f>VLOOKUP(H1058,'PUR-HSN MASTER'!$A$4:$E$5000,5,FALSE)</f>
        <v>28</v>
      </c>
      <c r="J1058" s="34"/>
      <c r="K1058" s="126">
        <v>9091.0499999999993</v>
      </c>
      <c r="L1058" s="39">
        <v>0</v>
      </c>
      <c r="M1058" s="39">
        <v>1272.7470000000001</v>
      </c>
      <c r="N1058" s="39">
        <v>1272.7470000000001</v>
      </c>
      <c r="O1058" s="39">
        <v>0</v>
      </c>
      <c r="P1058" s="39">
        <v>11636.544</v>
      </c>
      <c r="Q1058" s="34" t="s">
        <v>410</v>
      </c>
      <c r="R1058" s="34" t="s">
        <v>26</v>
      </c>
      <c r="S1058" s="11" t="s">
        <v>4120</v>
      </c>
    </row>
    <row r="1059" spans="1:19" x14ac:dyDescent="0.2">
      <c r="A1059" s="33">
        <v>43678</v>
      </c>
      <c r="B1059" s="34">
        <v>81</v>
      </c>
      <c r="C1059" s="35" t="s">
        <v>493</v>
      </c>
      <c r="D1059" s="34" t="str">
        <f>VLOOKUP(C1059,'PUR-PARTY MASTER'!$B$4:$E$2000,2,FALSE)</f>
        <v>27AMMPB3648M1ZO</v>
      </c>
      <c r="E1059" s="34" t="s">
        <v>22</v>
      </c>
      <c r="F1059" s="134">
        <v>2432</v>
      </c>
      <c r="G1059" s="37">
        <v>43691</v>
      </c>
      <c r="H1059" s="34">
        <v>85129000</v>
      </c>
      <c r="I1059" s="39">
        <f>VLOOKUP(H1059,'PUR-HSN MASTER'!$A$4:$E$5000,5,FALSE)</f>
        <v>18</v>
      </c>
      <c r="J1059" s="34"/>
      <c r="K1059" s="126">
        <v>24093.52</v>
      </c>
      <c r="L1059" s="39">
        <v>0</v>
      </c>
      <c r="M1059" s="39">
        <v>2168.4168</v>
      </c>
      <c r="N1059" s="39">
        <v>2168.4168</v>
      </c>
      <c r="O1059" s="39">
        <v>0</v>
      </c>
      <c r="P1059" s="39">
        <v>28430.353600000002</v>
      </c>
      <c r="Q1059" s="34" t="s">
        <v>410</v>
      </c>
      <c r="R1059" s="34" t="s">
        <v>26</v>
      </c>
      <c r="S1059" s="11" t="s">
        <v>4120</v>
      </c>
    </row>
    <row r="1060" spans="1:19" x14ac:dyDescent="0.2">
      <c r="A1060" s="33">
        <v>43678</v>
      </c>
      <c r="B1060" s="34">
        <v>82</v>
      </c>
      <c r="C1060" s="35" t="s">
        <v>476</v>
      </c>
      <c r="D1060" s="34" t="str">
        <f>VLOOKUP(C1060,'PUR-PARTY MASTER'!$B$4:$E$2000,2,FALSE)</f>
        <v>27AABCO8467D1ZA</v>
      </c>
      <c r="E1060" s="34" t="s">
        <v>22</v>
      </c>
      <c r="F1060" s="136" t="s">
        <v>903</v>
      </c>
      <c r="G1060" s="37">
        <v>43691</v>
      </c>
      <c r="H1060" s="34" t="s">
        <v>732</v>
      </c>
      <c r="I1060" s="39">
        <f>VLOOKUP(H1060,'PUR-HSN MASTER'!$A$4:$E$5000,5,FALSE)</f>
        <v>18</v>
      </c>
      <c r="J1060" s="34"/>
      <c r="K1060" s="126">
        <v>40650</v>
      </c>
      <c r="L1060" s="39">
        <v>0</v>
      </c>
      <c r="M1060" s="39">
        <v>3658.5</v>
      </c>
      <c r="N1060" s="39">
        <v>3658.5</v>
      </c>
      <c r="O1060" s="39">
        <v>0</v>
      </c>
      <c r="P1060" s="39">
        <v>47967</v>
      </c>
      <c r="Q1060" s="34" t="s">
        <v>410</v>
      </c>
      <c r="R1060" s="34" t="s">
        <v>26</v>
      </c>
      <c r="S1060" s="11" t="s">
        <v>4120</v>
      </c>
    </row>
    <row r="1061" spans="1:19" x14ac:dyDescent="0.2">
      <c r="A1061" s="33">
        <v>43678</v>
      </c>
      <c r="B1061" s="34">
        <v>83</v>
      </c>
      <c r="C1061" s="35" t="s">
        <v>554</v>
      </c>
      <c r="D1061" s="34" t="str">
        <f>VLOOKUP(C1061,'PUR-PARTY MASTER'!$B$4:$E$2000,2,FALSE)</f>
        <v>27AACFA1881H1ZL</v>
      </c>
      <c r="E1061" s="34" t="s">
        <v>22</v>
      </c>
      <c r="F1061" s="134">
        <v>10795</v>
      </c>
      <c r="G1061" s="37">
        <v>43691</v>
      </c>
      <c r="H1061" s="34">
        <v>87141900</v>
      </c>
      <c r="I1061" s="39">
        <f>VLOOKUP(H1061,'PUR-HSN MASTER'!$A$4:$E$5000,5,FALSE)</f>
        <v>28</v>
      </c>
      <c r="J1061" s="34"/>
      <c r="K1061" s="126">
        <v>4725</v>
      </c>
      <c r="L1061" s="39">
        <v>0</v>
      </c>
      <c r="M1061" s="39">
        <v>661.5</v>
      </c>
      <c r="N1061" s="39">
        <v>661.5</v>
      </c>
      <c r="O1061" s="39">
        <v>0</v>
      </c>
      <c r="P1061" s="39">
        <v>6048</v>
      </c>
      <c r="Q1061" s="34" t="s">
        <v>410</v>
      </c>
      <c r="R1061" s="34" t="s">
        <v>26</v>
      </c>
      <c r="S1061" s="11" t="s">
        <v>4120</v>
      </c>
    </row>
    <row r="1062" spans="1:19" x14ac:dyDescent="0.2">
      <c r="A1062" s="33">
        <v>43678</v>
      </c>
      <c r="B1062" s="34">
        <v>84</v>
      </c>
      <c r="C1062" s="35" t="s">
        <v>495</v>
      </c>
      <c r="D1062" s="34" t="str">
        <f>VLOOKUP(C1062,'PUR-PARTY MASTER'!$B$4:$E$2000,2,FALSE)</f>
        <v>27AAACH4211R1ZF</v>
      </c>
      <c r="E1062" s="34" t="s">
        <v>22</v>
      </c>
      <c r="F1062" s="134">
        <v>5510054545</v>
      </c>
      <c r="G1062" s="37">
        <v>43693</v>
      </c>
      <c r="H1062" s="34">
        <v>85129000</v>
      </c>
      <c r="I1062" s="39">
        <f>VLOOKUP(H1062,'PUR-HSN MASTER'!$A$4:$E$5000,5,FALSE)</f>
        <v>18</v>
      </c>
      <c r="J1062" s="34"/>
      <c r="K1062" s="126">
        <v>21235.200000000001</v>
      </c>
      <c r="L1062" s="39">
        <v>0</v>
      </c>
      <c r="M1062" s="39">
        <v>1911.1680000000001</v>
      </c>
      <c r="N1062" s="39">
        <v>1911.1680000000001</v>
      </c>
      <c r="O1062" s="39">
        <v>0</v>
      </c>
      <c r="P1062" s="39">
        <v>25057.536</v>
      </c>
      <c r="Q1062" s="34" t="s">
        <v>410</v>
      </c>
      <c r="R1062" s="34" t="s">
        <v>26</v>
      </c>
      <c r="S1062" s="11" t="s">
        <v>4120</v>
      </c>
    </row>
    <row r="1063" spans="1:19" x14ac:dyDescent="0.2">
      <c r="A1063" s="33">
        <v>43678</v>
      </c>
      <c r="B1063" s="34">
        <v>85</v>
      </c>
      <c r="C1063" s="35" t="s">
        <v>471</v>
      </c>
      <c r="D1063" s="34" t="str">
        <f>VLOOKUP(C1063,'PUR-PARTY MASTER'!$B$4:$E$2000,2,FALSE)</f>
        <v>27AAECM8871A1ZF</v>
      </c>
      <c r="E1063" s="34" t="s">
        <v>22</v>
      </c>
      <c r="F1063" s="134">
        <v>192004568</v>
      </c>
      <c r="G1063" s="37">
        <v>43693</v>
      </c>
      <c r="H1063" s="34">
        <v>87089900</v>
      </c>
      <c r="I1063" s="39">
        <f>VLOOKUP(H1063,'PUR-HSN MASTER'!$A$4:$E$5000,5,FALSE)</f>
        <v>28</v>
      </c>
      <c r="J1063" s="34"/>
      <c r="K1063" s="126">
        <v>17483.52</v>
      </c>
      <c r="L1063" s="39">
        <v>0</v>
      </c>
      <c r="M1063" s="39">
        <v>2447.6928000000003</v>
      </c>
      <c r="N1063" s="39">
        <v>2447.6928000000003</v>
      </c>
      <c r="O1063" s="39">
        <v>0</v>
      </c>
      <c r="P1063" s="39">
        <v>22378.905600000002</v>
      </c>
      <c r="Q1063" s="34" t="s">
        <v>410</v>
      </c>
      <c r="R1063" s="34" t="s">
        <v>26</v>
      </c>
      <c r="S1063" s="11" t="s">
        <v>4120</v>
      </c>
    </row>
    <row r="1064" spans="1:19" x14ac:dyDescent="0.2">
      <c r="A1064" s="33">
        <v>43678</v>
      </c>
      <c r="B1064" s="34">
        <v>86</v>
      </c>
      <c r="C1064" s="35" t="s">
        <v>471</v>
      </c>
      <c r="D1064" s="34" t="str">
        <f>VLOOKUP(C1064,'PUR-PARTY MASTER'!$B$4:$E$2000,2,FALSE)</f>
        <v>27AAECM8871A1ZF</v>
      </c>
      <c r="E1064" s="34" t="s">
        <v>22</v>
      </c>
      <c r="F1064" s="134">
        <v>192004569</v>
      </c>
      <c r="G1064" s="37">
        <v>43693</v>
      </c>
      <c r="H1064" s="34">
        <v>87089900</v>
      </c>
      <c r="I1064" s="39">
        <f>VLOOKUP(H1064,'PUR-HSN MASTER'!$A$4:$E$5000,5,FALSE)</f>
        <v>28</v>
      </c>
      <c r="J1064" s="34"/>
      <c r="K1064" s="126">
        <v>17483.52</v>
      </c>
      <c r="L1064" s="39">
        <v>0</v>
      </c>
      <c r="M1064" s="39">
        <v>2447.6928000000003</v>
      </c>
      <c r="N1064" s="39">
        <v>2447.6928000000003</v>
      </c>
      <c r="O1064" s="39">
        <v>0</v>
      </c>
      <c r="P1064" s="39">
        <v>22378.905600000002</v>
      </c>
      <c r="Q1064" s="34" t="s">
        <v>410</v>
      </c>
      <c r="R1064" s="34" t="s">
        <v>26</v>
      </c>
      <c r="S1064" s="11" t="s">
        <v>4120</v>
      </c>
    </row>
    <row r="1065" spans="1:19" x14ac:dyDescent="0.2">
      <c r="A1065" s="33">
        <v>43678</v>
      </c>
      <c r="B1065" s="34">
        <v>87</v>
      </c>
      <c r="C1065" s="35" t="s">
        <v>601</v>
      </c>
      <c r="D1065" s="34" t="str">
        <f>VLOOKUP(C1065,'PUR-PARTY MASTER'!$B$4:$E$2000,2,FALSE)</f>
        <v>27AAZFM6461A1ZY</v>
      </c>
      <c r="E1065" s="34" t="s">
        <v>22</v>
      </c>
      <c r="F1065" s="134">
        <v>3630</v>
      </c>
      <c r="G1065" s="37">
        <v>43693</v>
      </c>
      <c r="H1065" s="34">
        <v>87082900</v>
      </c>
      <c r="I1065" s="39">
        <f>VLOOKUP(H1065,'PUR-HSN MASTER'!$A$4:$E$5000,5,FALSE)</f>
        <v>28</v>
      </c>
      <c r="J1065" s="34"/>
      <c r="K1065" s="126">
        <v>56246.400000000001</v>
      </c>
      <c r="L1065" s="39">
        <v>0</v>
      </c>
      <c r="M1065" s="39">
        <v>7874.496000000001</v>
      </c>
      <c r="N1065" s="39">
        <v>7874.496000000001</v>
      </c>
      <c r="O1065" s="39">
        <v>0</v>
      </c>
      <c r="P1065" s="39">
        <v>71995.392000000007</v>
      </c>
      <c r="Q1065" s="34" t="s">
        <v>410</v>
      </c>
      <c r="R1065" s="34" t="s">
        <v>26</v>
      </c>
      <c r="S1065" s="11" t="s">
        <v>4120</v>
      </c>
    </row>
    <row r="1066" spans="1:19" x14ac:dyDescent="0.2">
      <c r="A1066" s="33">
        <v>43678</v>
      </c>
      <c r="B1066" s="34">
        <v>88</v>
      </c>
      <c r="C1066" s="35" t="s">
        <v>554</v>
      </c>
      <c r="D1066" s="34" t="str">
        <f>VLOOKUP(C1066,'PUR-PARTY MASTER'!$B$4:$E$2000,2,FALSE)</f>
        <v>27AACFA1881H1ZL</v>
      </c>
      <c r="E1066" s="34" t="s">
        <v>22</v>
      </c>
      <c r="F1066" s="134">
        <v>10844</v>
      </c>
      <c r="G1066" s="37">
        <v>43694</v>
      </c>
      <c r="H1066" s="34">
        <v>87141900</v>
      </c>
      <c r="I1066" s="39">
        <f>VLOOKUP(H1066,'PUR-HSN MASTER'!$A$4:$E$5000,5,FALSE)</f>
        <v>28</v>
      </c>
      <c r="J1066" s="34"/>
      <c r="K1066" s="126">
        <v>6300</v>
      </c>
      <c r="L1066" s="39">
        <v>0</v>
      </c>
      <c r="M1066" s="39">
        <v>882</v>
      </c>
      <c r="N1066" s="39">
        <v>882</v>
      </c>
      <c r="O1066" s="39">
        <v>0</v>
      </c>
      <c r="P1066" s="39">
        <v>8064</v>
      </c>
      <c r="Q1066" s="34" t="s">
        <v>410</v>
      </c>
      <c r="R1066" s="34" t="s">
        <v>26</v>
      </c>
      <c r="S1066" s="11" t="s">
        <v>4120</v>
      </c>
    </row>
    <row r="1067" spans="1:19" x14ac:dyDescent="0.2">
      <c r="A1067" s="33">
        <v>43678</v>
      </c>
      <c r="B1067" s="34">
        <v>89</v>
      </c>
      <c r="C1067" s="35" t="s">
        <v>554</v>
      </c>
      <c r="D1067" s="34" t="str">
        <f>VLOOKUP(C1067,'PUR-PARTY MASTER'!$B$4:$E$2000,2,FALSE)</f>
        <v>27AACFA1881H1ZL</v>
      </c>
      <c r="E1067" s="34" t="s">
        <v>22</v>
      </c>
      <c r="F1067" s="134">
        <v>10847</v>
      </c>
      <c r="G1067" s="37">
        <v>43694</v>
      </c>
      <c r="H1067" s="34">
        <v>87141900</v>
      </c>
      <c r="I1067" s="39">
        <f>VLOOKUP(H1067,'PUR-HSN MASTER'!$A$4:$E$5000,5,FALSE)</f>
        <v>28</v>
      </c>
      <c r="J1067" s="34"/>
      <c r="K1067" s="126">
        <v>1205</v>
      </c>
      <c r="L1067" s="39">
        <v>0</v>
      </c>
      <c r="M1067" s="39">
        <v>168.70000000000002</v>
      </c>
      <c r="N1067" s="39">
        <v>168.70000000000002</v>
      </c>
      <c r="O1067" s="39">
        <v>0</v>
      </c>
      <c r="P1067" s="39">
        <v>1542.4</v>
      </c>
      <c r="Q1067" s="34" t="s">
        <v>410</v>
      </c>
      <c r="R1067" s="34" t="s">
        <v>26</v>
      </c>
      <c r="S1067" s="11" t="s">
        <v>4120</v>
      </c>
    </row>
    <row r="1068" spans="1:19" x14ac:dyDescent="0.2">
      <c r="A1068" s="33">
        <v>43678</v>
      </c>
      <c r="B1068" s="34">
        <v>90</v>
      </c>
      <c r="C1068" s="35" t="s">
        <v>533</v>
      </c>
      <c r="D1068" s="34" t="str">
        <f>VLOOKUP(C1068,'PUR-PARTY MASTER'!$B$4:$E$2000,2,FALSE)</f>
        <v>27AJAPG7696K1ZP</v>
      </c>
      <c r="E1068" s="34" t="s">
        <v>22</v>
      </c>
      <c r="F1068" s="136" t="s">
        <v>904</v>
      </c>
      <c r="G1068" s="37">
        <v>43694</v>
      </c>
      <c r="H1068" s="34">
        <v>48211090</v>
      </c>
      <c r="I1068" s="39">
        <f>VLOOKUP(H1068,'PUR-HSN MASTER'!$A$4:$E$5000,5,FALSE)</f>
        <v>18</v>
      </c>
      <c r="J1068" s="34"/>
      <c r="K1068" s="126">
        <v>3100.5</v>
      </c>
      <c r="L1068" s="39">
        <v>0</v>
      </c>
      <c r="M1068" s="39">
        <v>279.04500000000002</v>
      </c>
      <c r="N1068" s="39">
        <v>279.04500000000002</v>
      </c>
      <c r="O1068" s="39">
        <v>0</v>
      </c>
      <c r="P1068" s="39">
        <v>3658.59</v>
      </c>
      <c r="Q1068" s="34" t="s">
        <v>410</v>
      </c>
      <c r="R1068" s="34" t="s">
        <v>26</v>
      </c>
      <c r="S1068" s="11" t="s">
        <v>4120</v>
      </c>
    </row>
    <row r="1069" spans="1:19" x14ac:dyDescent="0.2">
      <c r="A1069" s="33">
        <v>43678</v>
      </c>
      <c r="B1069" s="34">
        <v>91</v>
      </c>
      <c r="C1069" s="35" t="s">
        <v>606</v>
      </c>
      <c r="D1069" s="34" t="str">
        <f>VLOOKUP(C1069,'PUR-PARTY MASTER'!$B$4:$E$2000,2,FALSE)</f>
        <v>27AJZPM2520M1ZL</v>
      </c>
      <c r="E1069" s="34" t="s">
        <v>22</v>
      </c>
      <c r="F1069" s="136" t="s">
        <v>905</v>
      </c>
      <c r="G1069" s="37">
        <v>43686</v>
      </c>
      <c r="H1069" s="34">
        <v>68052090</v>
      </c>
      <c r="I1069" s="39">
        <f>VLOOKUP(H1069,'PUR-HSN MASTER'!$A$4:$E$5000,5,FALSE)</f>
        <v>18</v>
      </c>
      <c r="J1069" s="34"/>
      <c r="K1069" s="126">
        <v>8200</v>
      </c>
      <c r="L1069" s="39">
        <v>0</v>
      </c>
      <c r="M1069" s="39">
        <v>738</v>
      </c>
      <c r="N1069" s="39">
        <v>738</v>
      </c>
      <c r="O1069" s="39">
        <v>0</v>
      </c>
      <c r="P1069" s="39">
        <v>9676</v>
      </c>
      <c r="Q1069" s="34" t="s">
        <v>410</v>
      </c>
      <c r="R1069" s="34" t="s">
        <v>26</v>
      </c>
      <c r="S1069" s="11" t="s">
        <v>4120</v>
      </c>
    </row>
    <row r="1070" spans="1:19" x14ac:dyDescent="0.2">
      <c r="A1070" s="33">
        <v>43678</v>
      </c>
      <c r="B1070" s="34"/>
      <c r="C1070" s="35" t="s">
        <v>606</v>
      </c>
      <c r="D1070" s="34" t="str">
        <f>VLOOKUP(C1070,'PUR-PARTY MASTER'!$B$4:$E$2000,2,FALSE)</f>
        <v>27AJZPM2520M1ZL</v>
      </c>
      <c r="E1070" s="34" t="s">
        <v>22</v>
      </c>
      <c r="F1070" s="136" t="s">
        <v>905</v>
      </c>
      <c r="G1070" s="37">
        <v>43686</v>
      </c>
      <c r="H1070" s="34">
        <v>9985</v>
      </c>
      <c r="I1070" s="39">
        <f>VLOOKUP(H1070,'PUR-HSN MASTER'!$A$4:$E$5000,5,FALSE)</f>
        <v>18</v>
      </c>
      <c r="J1070" s="34"/>
      <c r="K1070" s="126">
        <v>2652</v>
      </c>
      <c r="L1070" s="39">
        <v>0</v>
      </c>
      <c r="M1070" s="39">
        <v>238.68</v>
      </c>
      <c r="N1070" s="39">
        <v>238.68</v>
      </c>
      <c r="O1070" s="39">
        <v>0</v>
      </c>
      <c r="P1070" s="39">
        <v>3129.36</v>
      </c>
      <c r="Q1070" s="34" t="s">
        <v>410</v>
      </c>
      <c r="R1070" s="34" t="s">
        <v>26</v>
      </c>
      <c r="S1070" s="11" t="s">
        <v>4120</v>
      </c>
    </row>
    <row r="1071" spans="1:19" x14ac:dyDescent="0.2">
      <c r="A1071" s="33">
        <v>43678</v>
      </c>
      <c r="B1071" s="34">
        <v>92</v>
      </c>
      <c r="C1071" s="35" t="s">
        <v>518</v>
      </c>
      <c r="D1071" s="34" t="str">
        <f>VLOOKUP(C1071,'PUR-PARTY MASTER'!$B$4:$E$2000,2,FALSE)</f>
        <v>27AAACB2894G1ZN</v>
      </c>
      <c r="E1071" s="34" t="s">
        <v>22</v>
      </c>
      <c r="F1071" s="136" t="s">
        <v>906</v>
      </c>
      <c r="G1071" s="37">
        <v>43689</v>
      </c>
      <c r="H1071" s="34">
        <v>9984</v>
      </c>
      <c r="I1071" s="39">
        <f>VLOOKUP(H1071,'PUR-HSN MASTER'!$A$4:$E$5000,5,FALSE)</f>
        <v>18</v>
      </c>
      <c r="J1071" s="34"/>
      <c r="K1071" s="126">
        <v>4822</v>
      </c>
      <c r="L1071" s="39">
        <v>0</v>
      </c>
      <c r="M1071" s="39">
        <v>433.98</v>
      </c>
      <c r="N1071" s="39">
        <v>433.98</v>
      </c>
      <c r="O1071" s="39">
        <v>0</v>
      </c>
      <c r="P1071" s="39">
        <v>5689.96</v>
      </c>
      <c r="Q1071" s="34" t="s">
        <v>410</v>
      </c>
      <c r="R1071" s="34" t="s">
        <v>26</v>
      </c>
      <c r="S1071" s="11" t="s">
        <v>4120</v>
      </c>
    </row>
    <row r="1072" spans="1:19" x14ac:dyDescent="0.2">
      <c r="A1072" s="33">
        <v>43678</v>
      </c>
      <c r="B1072" s="34">
        <v>93</v>
      </c>
      <c r="C1072" s="35" t="s">
        <v>471</v>
      </c>
      <c r="D1072" s="34" t="str">
        <f>VLOOKUP(C1072,'PUR-PARTY MASTER'!$B$4:$E$2000,2,FALSE)</f>
        <v>27AAECM8871A1ZF</v>
      </c>
      <c r="E1072" s="34" t="s">
        <v>22</v>
      </c>
      <c r="F1072" s="134">
        <v>192004584</v>
      </c>
      <c r="G1072" s="37">
        <v>43694</v>
      </c>
      <c r="H1072" s="34">
        <v>87089900</v>
      </c>
      <c r="I1072" s="39">
        <f>VLOOKUP(H1072,'PUR-HSN MASTER'!$A$4:$E$5000,5,FALSE)</f>
        <v>28</v>
      </c>
      <c r="J1072" s="34"/>
      <c r="K1072" s="126">
        <v>17483.52</v>
      </c>
      <c r="L1072" s="39">
        <v>0</v>
      </c>
      <c r="M1072" s="39">
        <v>2447.6928000000003</v>
      </c>
      <c r="N1072" s="39">
        <v>2447.6928000000003</v>
      </c>
      <c r="O1072" s="39">
        <v>0</v>
      </c>
      <c r="P1072" s="39">
        <v>22378.905600000002</v>
      </c>
      <c r="Q1072" s="34" t="s">
        <v>410</v>
      </c>
      <c r="R1072" s="34" t="s">
        <v>26</v>
      </c>
      <c r="S1072" s="11" t="s">
        <v>4120</v>
      </c>
    </row>
    <row r="1073" spans="1:19" x14ac:dyDescent="0.2">
      <c r="A1073" s="33">
        <v>43678</v>
      </c>
      <c r="B1073" s="34">
        <v>94</v>
      </c>
      <c r="C1073" s="35" t="s">
        <v>471</v>
      </c>
      <c r="D1073" s="34" t="str">
        <f>VLOOKUP(C1073,'PUR-PARTY MASTER'!$B$4:$E$2000,2,FALSE)</f>
        <v>27AAECM8871A1ZF</v>
      </c>
      <c r="E1073" s="34" t="s">
        <v>22</v>
      </c>
      <c r="F1073" s="134">
        <v>192004598</v>
      </c>
      <c r="G1073" s="37">
        <v>43694</v>
      </c>
      <c r="H1073" s="34">
        <v>87089900</v>
      </c>
      <c r="I1073" s="39">
        <f>VLOOKUP(H1073,'PUR-HSN MASTER'!$A$4:$E$5000,5,FALSE)</f>
        <v>28</v>
      </c>
      <c r="J1073" s="34"/>
      <c r="K1073" s="126">
        <v>17483.52</v>
      </c>
      <c r="L1073" s="39">
        <v>0</v>
      </c>
      <c r="M1073" s="39">
        <v>2447.6928000000003</v>
      </c>
      <c r="N1073" s="39">
        <v>2447.6928000000003</v>
      </c>
      <c r="O1073" s="39">
        <v>0</v>
      </c>
      <c r="P1073" s="39">
        <v>22378.905600000002</v>
      </c>
      <c r="Q1073" s="34" t="s">
        <v>410</v>
      </c>
      <c r="R1073" s="34" t="s">
        <v>26</v>
      </c>
      <c r="S1073" s="11" t="s">
        <v>4120</v>
      </c>
    </row>
    <row r="1074" spans="1:19" x14ac:dyDescent="0.2">
      <c r="A1074" s="33">
        <v>43678</v>
      </c>
      <c r="B1074" s="34">
        <v>95</v>
      </c>
      <c r="C1074" s="35" t="s">
        <v>479</v>
      </c>
      <c r="D1074" s="34" t="str">
        <f>VLOOKUP(C1074,'PUR-PARTY MASTER'!$B$4:$E$2000,2,FALSE)</f>
        <v>27AAMFC2124K1ZG</v>
      </c>
      <c r="E1074" s="34" t="s">
        <v>22</v>
      </c>
      <c r="F1074" s="134">
        <v>1219</v>
      </c>
      <c r="G1074" s="37">
        <v>43695</v>
      </c>
      <c r="H1074" s="34">
        <v>3919</v>
      </c>
      <c r="I1074" s="39">
        <f>VLOOKUP(H1074,'PUR-HSN MASTER'!$A$4:$E$5000,5,FALSE)</f>
        <v>18</v>
      </c>
      <c r="J1074" s="34"/>
      <c r="K1074" s="126">
        <v>8000</v>
      </c>
      <c r="L1074" s="39">
        <v>0</v>
      </c>
      <c r="M1074" s="39">
        <v>720</v>
      </c>
      <c r="N1074" s="39">
        <v>720</v>
      </c>
      <c r="O1074" s="39">
        <v>0</v>
      </c>
      <c r="P1074" s="39">
        <v>9440</v>
      </c>
      <c r="Q1074" s="34" t="s">
        <v>410</v>
      </c>
      <c r="R1074" s="34" t="s">
        <v>26</v>
      </c>
      <c r="S1074" s="11" t="s">
        <v>4120</v>
      </c>
    </row>
    <row r="1075" spans="1:19" x14ac:dyDescent="0.2">
      <c r="A1075" s="33">
        <v>43678</v>
      </c>
      <c r="B1075" s="34">
        <v>96</v>
      </c>
      <c r="C1075" s="35" t="s">
        <v>554</v>
      </c>
      <c r="D1075" s="34" t="str">
        <f>VLOOKUP(C1075,'PUR-PARTY MASTER'!$B$4:$E$2000,2,FALSE)</f>
        <v>27AACFA1881H1ZL</v>
      </c>
      <c r="E1075" s="34" t="s">
        <v>22</v>
      </c>
      <c r="F1075" s="134">
        <v>10896</v>
      </c>
      <c r="G1075" s="37">
        <v>43695</v>
      </c>
      <c r="H1075" s="34">
        <v>87141900</v>
      </c>
      <c r="I1075" s="39">
        <f>VLOOKUP(H1075,'PUR-HSN MASTER'!$A$4:$E$5000,5,FALSE)</f>
        <v>28</v>
      </c>
      <c r="J1075" s="34"/>
      <c r="K1075" s="126">
        <v>6025</v>
      </c>
      <c r="L1075" s="39">
        <v>0</v>
      </c>
      <c r="M1075" s="39">
        <v>843.5</v>
      </c>
      <c r="N1075" s="39">
        <v>843.5</v>
      </c>
      <c r="O1075" s="39">
        <v>0</v>
      </c>
      <c r="P1075" s="39">
        <v>7712</v>
      </c>
      <c r="Q1075" s="34" t="s">
        <v>410</v>
      </c>
      <c r="R1075" s="34" t="s">
        <v>26</v>
      </c>
      <c r="S1075" s="11" t="s">
        <v>4120</v>
      </c>
    </row>
    <row r="1076" spans="1:19" x14ac:dyDescent="0.2">
      <c r="A1076" s="33">
        <v>43678</v>
      </c>
      <c r="B1076" s="34">
        <v>97</v>
      </c>
      <c r="C1076" s="35" t="s">
        <v>514</v>
      </c>
      <c r="D1076" s="34" t="str">
        <f>VLOOKUP(C1076,'PUR-PARTY MASTER'!$B$4:$E$2000,2,FALSE)</f>
        <v>27AAACU2414K1ZF</v>
      </c>
      <c r="E1076" s="34" t="s">
        <v>22</v>
      </c>
      <c r="F1076" s="136" t="s">
        <v>907</v>
      </c>
      <c r="G1076" s="37">
        <v>43687</v>
      </c>
      <c r="H1076" s="34">
        <v>9971</v>
      </c>
      <c r="I1076" s="39">
        <f>VLOOKUP(H1076,'PUR-HSN MASTER'!$A$4:$E$5000,5,FALSE)</f>
        <v>18</v>
      </c>
      <c r="J1076" s="38">
        <v>0</v>
      </c>
      <c r="K1076" s="40">
        <v>50</v>
      </c>
      <c r="L1076" s="39">
        <v>0</v>
      </c>
      <c r="M1076" s="39">
        <v>4.5</v>
      </c>
      <c r="N1076" s="39">
        <v>4.5</v>
      </c>
      <c r="O1076" s="39">
        <v>0</v>
      </c>
      <c r="P1076" s="39">
        <v>59</v>
      </c>
      <c r="Q1076" s="34" t="s">
        <v>411</v>
      </c>
      <c r="R1076" s="34" t="s">
        <v>26</v>
      </c>
      <c r="S1076" s="11" t="s">
        <v>4120</v>
      </c>
    </row>
    <row r="1077" spans="1:19" x14ac:dyDescent="0.2">
      <c r="A1077" s="33">
        <v>43678</v>
      </c>
      <c r="B1077" s="34">
        <v>98</v>
      </c>
      <c r="C1077" s="35" t="s">
        <v>634</v>
      </c>
      <c r="D1077" s="34" t="str">
        <f>VLOOKUP(C1077,'PUR-PARTY MASTER'!$B$4:$E$2000,2,FALSE)</f>
        <v>27AVIPS7433C1ZF</v>
      </c>
      <c r="E1077" s="34" t="s">
        <v>22</v>
      </c>
      <c r="F1077" s="136" t="s">
        <v>908</v>
      </c>
      <c r="G1077" s="37">
        <v>43695</v>
      </c>
      <c r="H1077" s="34">
        <v>85015210</v>
      </c>
      <c r="I1077" s="39">
        <f>VLOOKUP(H1077,'PUR-HSN MASTER'!$A$4:$E$5000,5,FALSE)</f>
        <v>18</v>
      </c>
      <c r="J1077" s="38">
        <v>1</v>
      </c>
      <c r="K1077" s="40">
        <v>34430</v>
      </c>
      <c r="L1077" s="39">
        <v>0</v>
      </c>
      <c r="M1077" s="39">
        <v>3098.7000000000003</v>
      </c>
      <c r="N1077" s="39">
        <v>3098.7000000000003</v>
      </c>
      <c r="O1077" s="39">
        <v>0</v>
      </c>
      <c r="P1077" s="39">
        <v>40627</v>
      </c>
      <c r="Q1077" s="34" t="s">
        <v>410</v>
      </c>
      <c r="R1077" s="34" t="s">
        <v>26</v>
      </c>
      <c r="S1077" s="11" t="s">
        <v>4120</v>
      </c>
    </row>
    <row r="1078" spans="1:19" x14ac:dyDescent="0.2">
      <c r="A1078" s="33">
        <v>43678</v>
      </c>
      <c r="B1078" s="34">
        <v>99</v>
      </c>
      <c r="C1078" s="35" t="s">
        <v>514</v>
      </c>
      <c r="D1078" s="34" t="str">
        <f>VLOOKUP(C1078,'PUR-PARTY MASTER'!$B$4:$E$2000,2,FALSE)</f>
        <v>27AAACU2414K1ZF</v>
      </c>
      <c r="E1078" s="34" t="s">
        <v>22</v>
      </c>
      <c r="F1078" s="136"/>
      <c r="G1078" s="37">
        <v>43695</v>
      </c>
      <c r="H1078" s="34">
        <v>9971</v>
      </c>
      <c r="I1078" s="39">
        <f>VLOOKUP(H1078,'PUR-HSN MASTER'!$A$4:$E$5000,5,FALSE)</f>
        <v>18</v>
      </c>
      <c r="J1078" s="38">
        <v>0</v>
      </c>
      <c r="K1078" s="40">
        <v>37</v>
      </c>
      <c r="L1078" s="39">
        <v>0</v>
      </c>
      <c r="M1078" s="39">
        <v>3.33</v>
      </c>
      <c r="N1078" s="39">
        <v>3.33</v>
      </c>
      <c r="O1078" s="39">
        <v>0</v>
      </c>
      <c r="P1078" s="39">
        <v>43.66</v>
      </c>
      <c r="Q1078" s="34" t="s">
        <v>411</v>
      </c>
      <c r="R1078" s="34" t="s">
        <v>26</v>
      </c>
      <c r="S1078" s="11" t="s">
        <v>4120</v>
      </c>
    </row>
    <row r="1079" spans="1:19" x14ac:dyDescent="0.2">
      <c r="A1079" s="33">
        <v>43678</v>
      </c>
      <c r="B1079" s="34">
        <v>100</v>
      </c>
      <c r="C1079" s="35" t="s">
        <v>506</v>
      </c>
      <c r="D1079" s="34" t="str">
        <f>VLOOKUP(C1079,'PUR-PARTY MASTER'!$B$4:$E$2000,2,FALSE)</f>
        <v>27AAACG1376N1ZC</v>
      </c>
      <c r="E1079" s="34" t="s">
        <v>22</v>
      </c>
      <c r="F1079" s="136" t="s">
        <v>909</v>
      </c>
      <c r="G1079" s="37">
        <v>43696</v>
      </c>
      <c r="H1079" s="34">
        <v>32082090</v>
      </c>
      <c r="I1079" s="39">
        <f>VLOOKUP(H1079,'PUR-HSN MASTER'!$A$4:$E$5000,5,FALSE)</f>
        <v>18</v>
      </c>
      <c r="J1079" s="38">
        <v>4</v>
      </c>
      <c r="K1079" s="40">
        <v>1400</v>
      </c>
      <c r="L1079" s="39">
        <v>0</v>
      </c>
      <c r="M1079" s="39">
        <v>126</v>
      </c>
      <c r="N1079" s="39">
        <v>126</v>
      </c>
      <c r="O1079" s="39">
        <v>0</v>
      </c>
      <c r="P1079" s="39">
        <v>1652</v>
      </c>
      <c r="Q1079" s="34" t="s">
        <v>410</v>
      </c>
      <c r="R1079" s="34" t="s">
        <v>26</v>
      </c>
      <c r="S1079" s="11" t="s">
        <v>4120</v>
      </c>
    </row>
    <row r="1080" spans="1:19" x14ac:dyDescent="0.2">
      <c r="A1080" s="33">
        <v>43678</v>
      </c>
      <c r="B1080" s="34">
        <v>101</v>
      </c>
      <c r="C1080" s="35" t="s">
        <v>479</v>
      </c>
      <c r="D1080" s="34" t="str">
        <f>VLOOKUP(C1080,'PUR-PARTY MASTER'!$B$4:$E$2000,2,FALSE)</f>
        <v>27AAMFC2124K1ZG</v>
      </c>
      <c r="E1080" s="34" t="s">
        <v>22</v>
      </c>
      <c r="F1080" s="134">
        <v>1227</v>
      </c>
      <c r="G1080" s="37">
        <v>43696</v>
      </c>
      <c r="H1080" s="34">
        <v>3919</v>
      </c>
      <c r="I1080" s="39">
        <f>VLOOKUP(H1080,'PUR-HSN MASTER'!$A$4:$E$5000,5,FALSE)</f>
        <v>18</v>
      </c>
      <c r="J1080" s="34">
        <v>10</v>
      </c>
      <c r="K1080" s="126">
        <v>9000</v>
      </c>
      <c r="L1080" s="39">
        <v>0</v>
      </c>
      <c r="M1080" s="39">
        <v>810</v>
      </c>
      <c r="N1080" s="39">
        <v>810</v>
      </c>
      <c r="O1080" s="39">
        <v>0</v>
      </c>
      <c r="P1080" s="39">
        <v>10620</v>
      </c>
      <c r="Q1080" s="34" t="s">
        <v>410</v>
      </c>
      <c r="R1080" s="34" t="s">
        <v>26</v>
      </c>
      <c r="S1080" s="11" t="s">
        <v>4120</v>
      </c>
    </row>
    <row r="1081" spans="1:19" x14ac:dyDescent="0.2">
      <c r="A1081" s="33">
        <v>43678</v>
      </c>
      <c r="B1081" s="34">
        <v>102</v>
      </c>
      <c r="C1081" s="35" t="s">
        <v>514</v>
      </c>
      <c r="D1081" s="34" t="str">
        <f>VLOOKUP(C1081,'PUR-PARTY MASTER'!$B$4:$E$2000,2,FALSE)</f>
        <v>27AAACU2414K1ZF</v>
      </c>
      <c r="E1081" s="34" t="s">
        <v>22</v>
      </c>
      <c r="F1081" s="136" t="s">
        <v>910</v>
      </c>
      <c r="G1081" s="37">
        <v>43690</v>
      </c>
      <c r="H1081" s="34">
        <v>9971</v>
      </c>
      <c r="I1081" s="39">
        <f>VLOOKUP(H1081,'PUR-HSN MASTER'!$A$4:$E$5000,5,FALSE)</f>
        <v>18</v>
      </c>
      <c r="J1081" s="38">
        <v>0</v>
      </c>
      <c r="K1081" s="40">
        <v>15</v>
      </c>
      <c r="L1081" s="39">
        <v>0</v>
      </c>
      <c r="M1081" s="39">
        <v>1.3499999999999999</v>
      </c>
      <c r="N1081" s="39">
        <v>1.3499999999999999</v>
      </c>
      <c r="O1081" s="39">
        <v>0</v>
      </c>
      <c r="P1081" s="39">
        <v>17.7</v>
      </c>
      <c r="Q1081" s="34" t="s">
        <v>411</v>
      </c>
      <c r="R1081" s="34" t="s">
        <v>26</v>
      </c>
      <c r="S1081" s="11" t="s">
        <v>4120</v>
      </c>
    </row>
    <row r="1082" spans="1:19" x14ac:dyDescent="0.2">
      <c r="A1082" s="33">
        <v>43678</v>
      </c>
      <c r="B1082" s="34">
        <v>103</v>
      </c>
      <c r="C1082" s="35" t="s">
        <v>747</v>
      </c>
      <c r="D1082" s="34" t="str">
        <f>VLOOKUP(C1082,'PUR-PARTY MASTER'!$B$4:$E$2000,2,FALSE)</f>
        <v>27ACIPD7822K1ZF</v>
      </c>
      <c r="E1082" s="34" t="s">
        <v>22</v>
      </c>
      <c r="F1082" s="136" t="s">
        <v>911</v>
      </c>
      <c r="G1082" s="37">
        <v>43696</v>
      </c>
      <c r="H1082" s="34">
        <v>84778090</v>
      </c>
      <c r="I1082" s="39">
        <f>VLOOKUP(H1082,'PUR-HSN MASTER'!$A$4:$E$5000,5,FALSE)</f>
        <v>18</v>
      </c>
      <c r="J1082" s="34">
        <v>25</v>
      </c>
      <c r="K1082" s="126">
        <v>13750</v>
      </c>
      <c r="L1082" s="39">
        <v>0</v>
      </c>
      <c r="M1082" s="39">
        <v>1237.5</v>
      </c>
      <c r="N1082" s="39">
        <v>1237.5</v>
      </c>
      <c r="O1082" s="39">
        <v>0</v>
      </c>
      <c r="P1082" s="39">
        <v>16225</v>
      </c>
      <c r="Q1082" s="34" t="s">
        <v>410</v>
      </c>
      <c r="R1082" s="34" t="s">
        <v>26</v>
      </c>
      <c r="S1082" s="11" t="s">
        <v>4120</v>
      </c>
    </row>
    <row r="1083" spans="1:19" x14ac:dyDescent="0.2">
      <c r="A1083" s="33">
        <v>43678</v>
      </c>
      <c r="B1083" s="34">
        <v>104</v>
      </c>
      <c r="C1083" s="35" t="s">
        <v>747</v>
      </c>
      <c r="D1083" s="34" t="str">
        <f>VLOOKUP(C1083,'PUR-PARTY MASTER'!$B$4:$E$2000,2,FALSE)</f>
        <v>27ACIPD7822K1ZF</v>
      </c>
      <c r="E1083" s="34" t="s">
        <v>22</v>
      </c>
      <c r="F1083" s="136" t="s">
        <v>912</v>
      </c>
      <c r="G1083" s="37">
        <v>43693</v>
      </c>
      <c r="H1083" s="34">
        <v>84778090</v>
      </c>
      <c r="I1083" s="39">
        <f>VLOOKUP(H1083,'PUR-HSN MASTER'!$A$4:$E$5000,5,FALSE)</f>
        <v>18</v>
      </c>
      <c r="J1083" s="34">
        <v>1</v>
      </c>
      <c r="K1083" s="126">
        <v>27320</v>
      </c>
      <c r="L1083" s="39">
        <v>0</v>
      </c>
      <c r="M1083" s="39">
        <v>2458.7999999999997</v>
      </c>
      <c r="N1083" s="39">
        <v>2458.7999999999997</v>
      </c>
      <c r="O1083" s="39">
        <v>0</v>
      </c>
      <c r="P1083" s="39">
        <v>32237.599999999999</v>
      </c>
      <c r="Q1083" s="34" t="s">
        <v>410</v>
      </c>
      <c r="R1083" s="34" t="s">
        <v>26</v>
      </c>
      <c r="S1083" s="11" t="s">
        <v>4120</v>
      </c>
    </row>
    <row r="1084" spans="1:19" x14ac:dyDescent="0.2">
      <c r="A1084" s="33">
        <v>43678</v>
      </c>
      <c r="B1084" s="34">
        <v>105</v>
      </c>
      <c r="C1084" s="35" t="s">
        <v>554</v>
      </c>
      <c r="D1084" s="34" t="str">
        <f>VLOOKUP(C1084,'PUR-PARTY MASTER'!$B$4:$E$2000,2,FALSE)</f>
        <v>27AACFA1881H1ZL</v>
      </c>
      <c r="E1084" s="34" t="s">
        <v>22</v>
      </c>
      <c r="F1084" s="134">
        <v>10944</v>
      </c>
      <c r="G1084" s="37">
        <v>43696</v>
      </c>
      <c r="H1084" s="34">
        <v>87141900</v>
      </c>
      <c r="I1084" s="39">
        <f>VLOOKUP(H1084,'PUR-HSN MASTER'!$A$4:$E$5000,5,FALSE)</f>
        <v>28</v>
      </c>
      <c r="J1084" s="34">
        <v>1400</v>
      </c>
      <c r="K1084" s="126">
        <v>3374</v>
      </c>
      <c r="L1084" s="39">
        <v>0</v>
      </c>
      <c r="M1084" s="39">
        <v>472.36</v>
      </c>
      <c r="N1084" s="39">
        <v>472.36</v>
      </c>
      <c r="O1084" s="39">
        <v>0</v>
      </c>
      <c r="P1084" s="39">
        <v>4318.72</v>
      </c>
      <c r="Q1084" s="34" t="s">
        <v>410</v>
      </c>
      <c r="R1084" s="34" t="s">
        <v>26</v>
      </c>
      <c r="S1084" s="11" t="s">
        <v>4120</v>
      </c>
    </row>
    <row r="1085" spans="1:19" x14ac:dyDescent="0.2">
      <c r="A1085" s="33">
        <v>43678</v>
      </c>
      <c r="B1085" s="34">
        <v>106</v>
      </c>
      <c r="C1085" s="35" t="s">
        <v>493</v>
      </c>
      <c r="D1085" s="34" t="str">
        <f>VLOOKUP(C1085,'PUR-PARTY MASTER'!$B$4:$E$2000,2,FALSE)</f>
        <v>27AMMPB3648M1ZO</v>
      </c>
      <c r="E1085" s="34" t="s">
        <v>22</v>
      </c>
      <c r="F1085" s="134">
        <v>2481</v>
      </c>
      <c r="G1085" s="37">
        <v>43696</v>
      </c>
      <c r="H1085" s="34">
        <v>85129000</v>
      </c>
      <c r="I1085" s="39">
        <f>VLOOKUP(H1085,'PUR-HSN MASTER'!$A$4:$E$5000,5,FALSE)</f>
        <v>18</v>
      </c>
      <c r="J1085" s="34">
        <v>904</v>
      </c>
      <c r="K1085" s="126">
        <v>29524.639999999999</v>
      </c>
      <c r="L1085" s="39">
        <v>0</v>
      </c>
      <c r="M1085" s="39">
        <v>2657.2175999999999</v>
      </c>
      <c r="N1085" s="39">
        <v>2657.2175999999999</v>
      </c>
      <c r="O1085" s="39">
        <v>0</v>
      </c>
      <c r="P1085" s="39">
        <v>34838.995199999998</v>
      </c>
      <c r="Q1085" s="34" t="s">
        <v>410</v>
      </c>
      <c r="R1085" s="34" t="s">
        <v>26</v>
      </c>
      <c r="S1085" s="11" t="s">
        <v>4120</v>
      </c>
    </row>
    <row r="1086" spans="1:19" x14ac:dyDescent="0.2">
      <c r="A1086" s="33">
        <v>43678</v>
      </c>
      <c r="B1086" s="34">
        <v>107</v>
      </c>
      <c r="C1086" s="35" t="s">
        <v>493</v>
      </c>
      <c r="D1086" s="34" t="str">
        <f>VLOOKUP(C1086,'PUR-PARTY MASTER'!$B$4:$E$2000,2,FALSE)</f>
        <v>27AMMPB3648M1ZO</v>
      </c>
      <c r="E1086" s="34" t="s">
        <v>22</v>
      </c>
      <c r="F1086" s="134">
        <v>2482</v>
      </c>
      <c r="G1086" s="37">
        <v>43696</v>
      </c>
      <c r="H1086" s="34">
        <v>85129000</v>
      </c>
      <c r="I1086" s="39">
        <f>VLOOKUP(H1086,'PUR-HSN MASTER'!$A$4:$E$5000,5,FALSE)</f>
        <v>18</v>
      </c>
      <c r="J1086" s="34">
        <v>1800</v>
      </c>
      <c r="K1086" s="126">
        <v>41382</v>
      </c>
      <c r="L1086" s="39">
        <v>0</v>
      </c>
      <c r="M1086" s="39">
        <v>3724.38</v>
      </c>
      <c r="N1086" s="39">
        <v>3724.38</v>
      </c>
      <c r="O1086" s="39">
        <v>0</v>
      </c>
      <c r="P1086" s="39">
        <v>48831</v>
      </c>
      <c r="Q1086" s="34" t="s">
        <v>410</v>
      </c>
      <c r="R1086" s="34" t="s">
        <v>26</v>
      </c>
      <c r="S1086" s="11" t="s">
        <v>4120</v>
      </c>
    </row>
    <row r="1087" spans="1:19" x14ac:dyDescent="0.2">
      <c r="A1087" s="33">
        <v>43678</v>
      </c>
      <c r="B1087" s="34">
        <v>108</v>
      </c>
      <c r="C1087" s="35" t="s">
        <v>479</v>
      </c>
      <c r="D1087" s="34" t="str">
        <f>VLOOKUP(C1087,'PUR-PARTY MASTER'!$B$4:$E$2000,2,FALSE)</f>
        <v>27AAMFC2124K1ZG</v>
      </c>
      <c r="E1087" s="34" t="s">
        <v>22</v>
      </c>
      <c r="F1087" s="134">
        <v>1229</v>
      </c>
      <c r="G1087" s="37">
        <v>43696</v>
      </c>
      <c r="H1087" s="34">
        <v>3919</v>
      </c>
      <c r="I1087" s="39">
        <f>VLOOKUP(H1087,'PUR-HSN MASTER'!$A$4:$E$5000,5,FALSE)</f>
        <v>18</v>
      </c>
      <c r="J1087" s="34">
        <v>10</v>
      </c>
      <c r="K1087" s="126">
        <v>9000</v>
      </c>
      <c r="L1087" s="39">
        <v>0</v>
      </c>
      <c r="M1087" s="39">
        <v>810</v>
      </c>
      <c r="N1087" s="39">
        <v>810</v>
      </c>
      <c r="O1087" s="39">
        <v>0</v>
      </c>
      <c r="P1087" s="39">
        <v>10620</v>
      </c>
      <c r="Q1087" s="34" t="s">
        <v>410</v>
      </c>
      <c r="R1087" s="34" t="s">
        <v>26</v>
      </c>
      <c r="S1087" s="11" t="s">
        <v>4120</v>
      </c>
    </row>
    <row r="1088" spans="1:19" x14ac:dyDescent="0.2">
      <c r="A1088" s="33">
        <v>43678</v>
      </c>
      <c r="B1088" s="34">
        <v>109</v>
      </c>
      <c r="C1088" s="35" t="s">
        <v>554</v>
      </c>
      <c r="D1088" s="34" t="str">
        <f>VLOOKUP(C1088,'PUR-PARTY MASTER'!$B$4:$E$2000,2,FALSE)</f>
        <v>27AACFA1881H1ZL</v>
      </c>
      <c r="E1088" s="34" t="s">
        <v>22</v>
      </c>
      <c r="F1088" s="134">
        <v>10970</v>
      </c>
      <c r="G1088" s="37">
        <v>43697</v>
      </c>
      <c r="H1088" s="34">
        <v>87141900</v>
      </c>
      <c r="I1088" s="39">
        <f>VLOOKUP(H1088,'PUR-HSN MASTER'!$A$4:$E$5000,5,FALSE)</f>
        <v>28</v>
      </c>
      <c r="J1088" s="34">
        <v>2400</v>
      </c>
      <c r="K1088" s="126">
        <v>6228</v>
      </c>
      <c r="L1088" s="39">
        <v>0</v>
      </c>
      <c r="M1088" s="39">
        <v>871.92000000000007</v>
      </c>
      <c r="N1088" s="39">
        <v>871.92000000000007</v>
      </c>
      <c r="O1088" s="39">
        <v>0</v>
      </c>
      <c r="P1088" s="39">
        <v>7971.84</v>
      </c>
      <c r="Q1088" s="34" t="s">
        <v>410</v>
      </c>
      <c r="R1088" s="34" t="s">
        <v>26</v>
      </c>
      <c r="S1088" s="11" t="s">
        <v>4120</v>
      </c>
    </row>
    <row r="1089" spans="1:19" x14ac:dyDescent="0.2">
      <c r="A1089" s="33">
        <v>43678</v>
      </c>
      <c r="B1089" s="34">
        <v>110</v>
      </c>
      <c r="C1089" s="35" t="s">
        <v>556</v>
      </c>
      <c r="D1089" s="34" t="str">
        <f>VLOOKUP(C1089,'PUR-PARTY MASTER'!$B$4:$E$2000,2,FALSE)</f>
        <v>27AAQCS7977M1Z3</v>
      </c>
      <c r="E1089" s="34" t="s">
        <v>22</v>
      </c>
      <c r="F1089" s="136" t="s">
        <v>913</v>
      </c>
      <c r="G1089" s="37">
        <v>43693</v>
      </c>
      <c r="H1089" s="34">
        <v>29023000</v>
      </c>
      <c r="I1089" s="39">
        <f>VLOOKUP(H1089,'PUR-HSN MASTER'!$A$4:$E$5000,5,FALSE)</f>
        <v>18</v>
      </c>
      <c r="J1089" s="34">
        <v>2400</v>
      </c>
      <c r="K1089" s="40">
        <v>2450</v>
      </c>
      <c r="L1089" s="39">
        <v>0</v>
      </c>
      <c r="M1089" s="39">
        <v>221</v>
      </c>
      <c r="N1089" s="39">
        <v>221</v>
      </c>
      <c r="O1089" s="39">
        <v>0</v>
      </c>
      <c r="P1089" s="39">
        <v>2892</v>
      </c>
      <c r="Q1089" s="34" t="s">
        <v>410</v>
      </c>
      <c r="R1089" s="34" t="s">
        <v>26</v>
      </c>
      <c r="S1089" s="11" t="s">
        <v>4120</v>
      </c>
    </row>
    <row r="1090" spans="1:19" x14ac:dyDescent="0.2">
      <c r="A1090" s="33">
        <v>43678</v>
      </c>
      <c r="B1090" s="34">
        <v>111</v>
      </c>
      <c r="C1090" s="632" t="s">
        <v>914</v>
      </c>
      <c r="D1090" s="34" t="str">
        <f>VLOOKUP(C1090,'PUR-PARTY MASTER'!$B$4:$E$2000,2,FALSE)</f>
        <v>27CMDPM6271L1ZL</v>
      </c>
      <c r="E1090" s="34" t="s">
        <v>22</v>
      </c>
      <c r="F1090" s="136">
        <v>235</v>
      </c>
      <c r="G1090" s="37">
        <v>43697</v>
      </c>
      <c r="H1090" s="34">
        <v>998717</v>
      </c>
      <c r="I1090" s="39">
        <f>VLOOKUP(H1090,'PUR-HSN MASTER'!$A$4:$E$5000,5,FALSE)</f>
        <v>18</v>
      </c>
      <c r="J1090" s="34">
        <v>1</v>
      </c>
      <c r="K1090" s="40">
        <v>3000</v>
      </c>
      <c r="L1090" s="39">
        <v>0</v>
      </c>
      <c r="M1090" s="39">
        <v>270</v>
      </c>
      <c r="N1090" s="39">
        <v>270</v>
      </c>
      <c r="O1090" s="39">
        <v>0</v>
      </c>
      <c r="P1090" s="39">
        <v>3540</v>
      </c>
      <c r="Q1090" s="34" t="s">
        <v>411</v>
      </c>
      <c r="R1090" s="34" t="s">
        <v>26</v>
      </c>
      <c r="S1090" s="11" t="s">
        <v>4120</v>
      </c>
    </row>
    <row r="1091" spans="1:19" x14ac:dyDescent="0.2">
      <c r="A1091" s="33">
        <v>43678</v>
      </c>
      <c r="B1091" s="34">
        <v>112</v>
      </c>
      <c r="C1091" s="35" t="s">
        <v>471</v>
      </c>
      <c r="D1091" s="34" t="str">
        <f>VLOOKUP(C1091,'PUR-PARTY MASTER'!$B$4:$E$2000,2,FALSE)</f>
        <v>27AAECM8871A1ZF</v>
      </c>
      <c r="E1091" s="34" t="s">
        <v>22</v>
      </c>
      <c r="F1091" s="134">
        <v>192004694</v>
      </c>
      <c r="G1091" s="37">
        <v>43697</v>
      </c>
      <c r="H1091" s="34">
        <v>87089900</v>
      </c>
      <c r="I1091" s="39">
        <f>VLOOKUP(H1091,'PUR-HSN MASTER'!$A$4:$E$5000,5,FALSE)</f>
        <v>28</v>
      </c>
      <c r="J1091" s="34">
        <v>12</v>
      </c>
      <c r="K1091" s="126">
        <v>17483.52</v>
      </c>
      <c r="L1091" s="39">
        <v>0</v>
      </c>
      <c r="M1091" s="39">
        <v>2447.6928000000003</v>
      </c>
      <c r="N1091" s="39">
        <v>2447.6928000000003</v>
      </c>
      <c r="O1091" s="39">
        <v>0</v>
      </c>
      <c r="P1091" s="39">
        <v>22378.905600000002</v>
      </c>
      <c r="Q1091" s="34" t="s">
        <v>410</v>
      </c>
      <c r="R1091" s="34" t="s">
        <v>26</v>
      </c>
      <c r="S1091" s="11" t="s">
        <v>4120</v>
      </c>
    </row>
    <row r="1092" spans="1:19" x14ac:dyDescent="0.2">
      <c r="A1092" s="33">
        <v>43678</v>
      </c>
      <c r="B1092" s="34">
        <v>113</v>
      </c>
      <c r="C1092" s="35" t="s">
        <v>634</v>
      </c>
      <c r="D1092" s="34" t="str">
        <f>VLOOKUP(C1092,'PUR-PARTY MASTER'!$B$4:$E$2000,2,FALSE)</f>
        <v>27AVIPS7433C1ZF</v>
      </c>
      <c r="E1092" s="34" t="s">
        <v>22</v>
      </c>
      <c r="F1092" s="136" t="s">
        <v>916</v>
      </c>
      <c r="G1092" s="37">
        <v>43697</v>
      </c>
      <c r="H1092" s="34">
        <v>85015210</v>
      </c>
      <c r="I1092" s="39">
        <f>VLOOKUP(H1092,'PUR-HSN MASTER'!$A$4:$E$5000,5,FALSE)</f>
        <v>18</v>
      </c>
      <c r="J1092" s="38">
        <v>1</v>
      </c>
      <c r="K1092" s="40">
        <v>3195</v>
      </c>
      <c r="L1092" s="39">
        <v>0</v>
      </c>
      <c r="M1092" s="39">
        <v>287.55</v>
      </c>
      <c r="N1092" s="39">
        <v>287.55</v>
      </c>
      <c r="O1092" s="39">
        <v>0</v>
      </c>
      <c r="P1092" s="39">
        <v>3770</v>
      </c>
      <c r="Q1092" s="34" t="s">
        <v>410</v>
      </c>
      <c r="R1092" s="34" t="s">
        <v>26</v>
      </c>
      <c r="S1092" s="11" t="s">
        <v>4120</v>
      </c>
    </row>
    <row r="1093" spans="1:19" x14ac:dyDescent="0.2">
      <c r="A1093" s="33">
        <v>43678</v>
      </c>
      <c r="B1093" s="34">
        <v>114</v>
      </c>
      <c r="C1093" s="34" t="s">
        <v>688</v>
      </c>
      <c r="D1093" s="34">
        <f>VLOOKUP(C1093,'PUR-PARTY MASTER'!$B$4:$E$2000,2,FALSE)</f>
        <v>1</v>
      </c>
      <c r="E1093" s="34" t="s">
        <v>22</v>
      </c>
      <c r="F1093" s="626">
        <v>4460174</v>
      </c>
      <c r="G1093" s="37">
        <v>43689</v>
      </c>
      <c r="H1093" s="34">
        <v>39206290</v>
      </c>
      <c r="I1093" s="39">
        <f>VLOOKUP(H1093,'PUR-HSN MASTER'!$A$4:$E$5000,5,FALSE)</f>
        <v>18</v>
      </c>
      <c r="J1093" s="122">
        <v>5000</v>
      </c>
      <c r="K1093" s="39">
        <v>570047</v>
      </c>
      <c r="L1093" s="39">
        <v>0</v>
      </c>
      <c r="M1093" s="39">
        <v>0</v>
      </c>
      <c r="N1093" s="39">
        <v>0</v>
      </c>
      <c r="O1093" s="39">
        <v>0</v>
      </c>
      <c r="P1093" s="39">
        <v>672655</v>
      </c>
      <c r="Q1093" s="34" t="s">
        <v>407</v>
      </c>
      <c r="R1093" s="34" t="e">
        <v>#N/A</v>
      </c>
      <c r="S1093" s="11" t="s">
        <v>4120</v>
      </c>
    </row>
    <row r="1094" spans="1:19" x14ac:dyDescent="0.2">
      <c r="A1094" s="33">
        <v>43678</v>
      </c>
      <c r="B1094" s="34">
        <v>115</v>
      </c>
      <c r="C1094" s="35" t="s">
        <v>554</v>
      </c>
      <c r="D1094" s="34" t="str">
        <f>VLOOKUP(C1094,'PUR-PARTY MASTER'!$B$4:$E$2000,2,FALSE)</f>
        <v>27AACFA1881H1ZL</v>
      </c>
      <c r="E1094" s="34" t="s">
        <v>22</v>
      </c>
      <c r="F1094" s="134">
        <v>11017</v>
      </c>
      <c r="G1094" s="37">
        <v>43698</v>
      </c>
      <c r="H1094" s="34">
        <v>87141900</v>
      </c>
      <c r="I1094" s="39">
        <f>VLOOKUP(H1094,'PUR-HSN MASTER'!$A$4:$E$5000,5,FALSE)</f>
        <v>28</v>
      </c>
      <c r="J1094" s="34">
        <v>2800</v>
      </c>
      <c r="K1094" s="126">
        <v>7784</v>
      </c>
      <c r="L1094" s="39">
        <v>0</v>
      </c>
      <c r="M1094" s="39">
        <v>1089.76</v>
      </c>
      <c r="N1094" s="39">
        <v>1089.76</v>
      </c>
      <c r="O1094" s="39">
        <v>0</v>
      </c>
      <c r="P1094" s="39">
        <v>9963.52</v>
      </c>
      <c r="Q1094" s="34" t="s">
        <v>410</v>
      </c>
      <c r="R1094" s="34" t="s">
        <v>26</v>
      </c>
      <c r="S1094" s="11" t="s">
        <v>4120</v>
      </c>
    </row>
    <row r="1095" spans="1:19" x14ac:dyDescent="0.2">
      <c r="A1095" s="33">
        <v>43678</v>
      </c>
      <c r="B1095" s="34">
        <v>116</v>
      </c>
      <c r="C1095" s="35" t="s">
        <v>479</v>
      </c>
      <c r="D1095" s="34" t="str">
        <f>VLOOKUP(C1095,'PUR-PARTY MASTER'!$B$4:$E$2000,2,FALSE)</f>
        <v>27AAMFC2124K1ZG</v>
      </c>
      <c r="E1095" s="34" t="s">
        <v>22</v>
      </c>
      <c r="F1095" s="134">
        <v>1235</v>
      </c>
      <c r="G1095" s="37">
        <v>43698</v>
      </c>
      <c r="H1095" s="34">
        <v>3919</v>
      </c>
      <c r="I1095" s="39">
        <f>VLOOKUP(H1095,'PUR-HSN MASTER'!$A$4:$E$5000,5,FALSE)</f>
        <v>18</v>
      </c>
      <c r="J1095" s="34">
        <v>5</v>
      </c>
      <c r="K1095" s="126">
        <v>2000</v>
      </c>
      <c r="L1095" s="39">
        <v>0</v>
      </c>
      <c r="M1095" s="39">
        <v>180</v>
      </c>
      <c r="N1095" s="39">
        <v>180</v>
      </c>
      <c r="O1095" s="39">
        <v>0</v>
      </c>
      <c r="P1095" s="39">
        <v>2360</v>
      </c>
      <c r="Q1095" s="34" t="s">
        <v>410</v>
      </c>
      <c r="R1095" s="34" t="s">
        <v>26</v>
      </c>
      <c r="S1095" s="11" t="s">
        <v>4120</v>
      </c>
    </row>
    <row r="1096" spans="1:19" x14ac:dyDescent="0.2">
      <c r="A1096" s="33">
        <v>43678</v>
      </c>
      <c r="B1096" s="34">
        <v>117</v>
      </c>
      <c r="C1096" s="35" t="s">
        <v>471</v>
      </c>
      <c r="D1096" s="34" t="str">
        <f>VLOOKUP(C1096,'PUR-PARTY MASTER'!$B$4:$E$2000,2,FALSE)</f>
        <v>27AAECM8871A1ZF</v>
      </c>
      <c r="E1096" s="34" t="s">
        <v>22</v>
      </c>
      <c r="F1096" s="134">
        <v>192004710</v>
      </c>
      <c r="G1096" s="37">
        <v>43697</v>
      </c>
      <c r="H1096" s="34">
        <v>87089900</v>
      </c>
      <c r="I1096" s="39">
        <f>VLOOKUP(H1096,'PUR-HSN MASTER'!$A$4:$E$5000,5,FALSE)</f>
        <v>28</v>
      </c>
      <c r="J1096" s="34">
        <v>12</v>
      </c>
      <c r="K1096" s="126">
        <v>17483.52</v>
      </c>
      <c r="L1096" s="39">
        <v>0</v>
      </c>
      <c r="M1096" s="39">
        <v>2447.6928000000003</v>
      </c>
      <c r="N1096" s="39">
        <v>2447.6928000000003</v>
      </c>
      <c r="O1096" s="39">
        <v>0</v>
      </c>
      <c r="P1096" s="39">
        <v>22378.905600000002</v>
      </c>
      <c r="Q1096" s="34" t="s">
        <v>410</v>
      </c>
      <c r="R1096" s="34" t="s">
        <v>26</v>
      </c>
      <c r="S1096" s="11" t="s">
        <v>4120</v>
      </c>
    </row>
    <row r="1097" spans="1:19" x14ac:dyDescent="0.2">
      <c r="A1097" s="33">
        <v>43678</v>
      </c>
      <c r="B1097" s="34">
        <v>118</v>
      </c>
      <c r="C1097" s="35" t="s">
        <v>473</v>
      </c>
      <c r="D1097" s="34" t="str">
        <f>VLOOKUP(C1097,'PUR-PARTY MASTER'!$B$4:$E$2000,2,FALSE)</f>
        <v>27AAACT1848E1ZH</v>
      </c>
      <c r="E1097" s="34" t="s">
        <v>22</v>
      </c>
      <c r="F1097" s="136" t="s">
        <v>917</v>
      </c>
      <c r="G1097" s="37">
        <v>43698</v>
      </c>
      <c r="H1097" s="34">
        <v>87089900</v>
      </c>
      <c r="I1097" s="39">
        <f>VLOOKUP(H1097,'PUR-HSN MASTER'!$A$4:$E$5000,5,FALSE)</f>
        <v>28</v>
      </c>
      <c r="J1097" s="34">
        <f>44+19</f>
        <v>63</v>
      </c>
      <c r="K1097" s="126">
        <v>9517.8700000000008</v>
      </c>
      <c r="L1097" s="39">
        <v>0</v>
      </c>
      <c r="M1097" s="39">
        <v>1332.0018</v>
      </c>
      <c r="N1097" s="39">
        <v>1332.0018</v>
      </c>
      <c r="O1097" s="39">
        <v>0</v>
      </c>
      <c r="P1097" s="39">
        <v>12181.873600000001</v>
      </c>
      <c r="Q1097" s="34" t="s">
        <v>410</v>
      </c>
      <c r="R1097" s="34" t="s">
        <v>26</v>
      </c>
      <c r="S1097" s="11" t="s">
        <v>4120</v>
      </c>
    </row>
    <row r="1098" spans="1:19" x14ac:dyDescent="0.2">
      <c r="A1098" s="33">
        <v>43678</v>
      </c>
      <c r="B1098" s="34">
        <v>119</v>
      </c>
      <c r="C1098" s="35" t="s">
        <v>747</v>
      </c>
      <c r="D1098" s="34" t="str">
        <f>VLOOKUP(C1098,'PUR-PARTY MASTER'!$B$4:$E$2000,2,FALSE)</f>
        <v>27ACIPD7822K1ZF</v>
      </c>
      <c r="E1098" s="34" t="s">
        <v>22</v>
      </c>
      <c r="F1098" s="136" t="s">
        <v>918</v>
      </c>
      <c r="G1098" s="37">
        <v>43698</v>
      </c>
      <c r="H1098" s="34">
        <v>84778090</v>
      </c>
      <c r="I1098" s="39">
        <f>VLOOKUP(H1098,'PUR-HSN MASTER'!$A$4:$E$5000,5,FALSE)</f>
        <v>18</v>
      </c>
      <c r="J1098" s="34">
        <v>25</v>
      </c>
      <c r="K1098" s="126">
        <v>13750</v>
      </c>
      <c r="L1098" s="39">
        <v>0</v>
      </c>
      <c r="M1098" s="39">
        <v>1237.5</v>
      </c>
      <c r="N1098" s="39">
        <v>1237.5</v>
      </c>
      <c r="O1098" s="39">
        <v>0</v>
      </c>
      <c r="P1098" s="39">
        <v>16225</v>
      </c>
      <c r="Q1098" s="34" t="s">
        <v>410</v>
      </c>
      <c r="R1098" s="34" t="s">
        <v>26</v>
      </c>
      <c r="S1098" s="11" t="s">
        <v>4120</v>
      </c>
    </row>
    <row r="1099" spans="1:19" x14ac:dyDescent="0.2">
      <c r="A1099" s="33">
        <v>43678</v>
      </c>
      <c r="B1099" s="34">
        <v>120</v>
      </c>
      <c r="C1099" s="35" t="s">
        <v>554</v>
      </c>
      <c r="D1099" s="34" t="str">
        <f>VLOOKUP(C1099,'PUR-PARTY MASTER'!$B$4:$E$2000,2,FALSE)</f>
        <v>27AACFA1881H1ZL</v>
      </c>
      <c r="E1099" s="34" t="s">
        <v>22</v>
      </c>
      <c r="F1099" s="134">
        <v>11071</v>
      </c>
      <c r="G1099" s="37">
        <v>43699</v>
      </c>
      <c r="H1099" s="34">
        <v>87141900</v>
      </c>
      <c r="I1099" s="39">
        <f>VLOOKUP(H1099,'PUR-HSN MASTER'!$A$4:$E$5000,5,FALSE)</f>
        <v>28</v>
      </c>
      <c r="J1099" s="34">
        <v>2650</v>
      </c>
      <c r="K1099" s="126">
        <v>7237.5</v>
      </c>
      <c r="L1099" s="39">
        <v>0</v>
      </c>
      <c r="M1099" s="39">
        <v>1013.25</v>
      </c>
      <c r="N1099" s="39">
        <v>1013.25</v>
      </c>
      <c r="O1099" s="39">
        <v>0</v>
      </c>
      <c r="P1099" s="39">
        <v>9264</v>
      </c>
      <c r="Q1099" s="34" t="s">
        <v>410</v>
      </c>
      <c r="R1099" s="34" t="s">
        <v>26</v>
      </c>
      <c r="S1099" s="11" t="s">
        <v>4120</v>
      </c>
    </row>
    <row r="1100" spans="1:19" x14ac:dyDescent="0.2">
      <c r="A1100" s="33">
        <v>43678</v>
      </c>
      <c r="B1100" s="34">
        <v>121</v>
      </c>
      <c r="C1100" s="35" t="s">
        <v>554</v>
      </c>
      <c r="D1100" s="34" t="str">
        <f>VLOOKUP(C1100,'PUR-PARTY MASTER'!$B$4:$E$2000,2,FALSE)</f>
        <v>27AACFA1881H1ZL</v>
      </c>
      <c r="E1100" s="34" t="s">
        <v>22</v>
      </c>
      <c r="F1100" s="134">
        <v>11116</v>
      </c>
      <c r="G1100" s="37">
        <v>43699</v>
      </c>
      <c r="H1100" s="34">
        <v>87141900</v>
      </c>
      <c r="I1100" s="39">
        <f>VLOOKUP(H1100,'PUR-HSN MASTER'!$A$4:$E$5000,5,FALSE)</f>
        <v>28</v>
      </c>
      <c r="J1100" s="34">
        <v>2800</v>
      </c>
      <c r="K1100" s="126">
        <v>7710</v>
      </c>
      <c r="L1100" s="39">
        <v>0</v>
      </c>
      <c r="M1100" s="39">
        <v>1079.3999999999999</v>
      </c>
      <c r="N1100" s="39">
        <v>1079.3999999999999</v>
      </c>
      <c r="O1100" s="39">
        <v>0</v>
      </c>
      <c r="P1100" s="39">
        <v>9868.7999999999993</v>
      </c>
      <c r="Q1100" s="34" t="s">
        <v>410</v>
      </c>
      <c r="R1100" s="34" t="s">
        <v>26</v>
      </c>
      <c r="S1100" s="11" t="s">
        <v>4120</v>
      </c>
    </row>
    <row r="1101" spans="1:19" x14ac:dyDescent="0.2">
      <c r="A1101" s="33">
        <v>43678</v>
      </c>
      <c r="B1101" s="34">
        <v>122</v>
      </c>
      <c r="C1101" s="35" t="s">
        <v>471</v>
      </c>
      <c r="D1101" s="34" t="str">
        <f>VLOOKUP(C1101,'PUR-PARTY MASTER'!$B$4:$E$2000,2,FALSE)</f>
        <v>27AAECM8871A1ZF</v>
      </c>
      <c r="E1101" s="34" t="s">
        <v>22</v>
      </c>
      <c r="F1101" s="134">
        <v>192004763</v>
      </c>
      <c r="G1101" s="37">
        <v>43699</v>
      </c>
      <c r="H1101" s="34">
        <v>87089900</v>
      </c>
      <c r="I1101" s="39">
        <f>VLOOKUP(H1101,'PUR-HSN MASTER'!$A$4:$E$5000,5,FALSE)</f>
        <v>28</v>
      </c>
      <c r="J1101" s="34">
        <v>12</v>
      </c>
      <c r="K1101" s="126">
        <v>17483.52</v>
      </c>
      <c r="L1101" s="39">
        <v>0</v>
      </c>
      <c r="M1101" s="39">
        <v>2447.6928000000003</v>
      </c>
      <c r="N1101" s="39">
        <v>2447.6928000000003</v>
      </c>
      <c r="O1101" s="39">
        <v>0</v>
      </c>
      <c r="P1101" s="39">
        <v>22378.905600000002</v>
      </c>
      <c r="Q1101" s="34" t="s">
        <v>410</v>
      </c>
      <c r="R1101" s="34" t="s">
        <v>26</v>
      </c>
      <c r="S1101" s="11" t="s">
        <v>4120</v>
      </c>
    </row>
    <row r="1102" spans="1:19" x14ac:dyDescent="0.2">
      <c r="A1102" s="33">
        <v>43678</v>
      </c>
      <c r="B1102" s="34">
        <v>123</v>
      </c>
      <c r="C1102" s="35" t="s">
        <v>471</v>
      </c>
      <c r="D1102" s="34" t="str">
        <f>VLOOKUP(C1102,'PUR-PARTY MASTER'!$B$4:$E$2000,2,FALSE)</f>
        <v>27AAECM8871A1ZF</v>
      </c>
      <c r="E1102" s="34" t="s">
        <v>22</v>
      </c>
      <c r="F1102" s="134">
        <v>192004764</v>
      </c>
      <c r="G1102" s="37">
        <v>43699</v>
      </c>
      <c r="H1102" s="34">
        <v>87089900</v>
      </c>
      <c r="I1102" s="39">
        <f>VLOOKUP(H1102,'PUR-HSN MASTER'!$A$4:$E$5000,5,FALSE)</f>
        <v>28</v>
      </c>
      <c r="J1102" s="34">
        <v>12</v>
      </c>
      <c r="K1102" s="126">
        <v>17483.52</v>
      </c>
      <c r="L1102" s="39">
        <v>0</v>
      </c>
      <c r="M1102" s="39">
        <v>2447.6928000000003</v>
      </c>
      <c r="N1102" s="39">
        <v>2447.6928000000003</v>
      </c>
      <c r="O1102" s="39">
        <v>0</v>
      </c>
      <c r="P1102" s="39">
        <v>22378.905600000002</v>
      </c>
      <c r="Q1102" s="34" t="s">
        <v>410</v>
      </c>
      <c r="R1102" s="34" t="s">
        <v>26</v>
      </c>
      <c r="S1102" s="11" t="s">
        <v>4120</v>
      </c>
    </row>
    <row r="1103" spans="1:19" x14ac:dyDescent="0.2">
      <c r="A1103" s="33">
        <v>43678</v>
      </c>
      <c r="B1103" s="34">
        <v>124</v>
      </c>
      <c r="C1103" s="35" t="s">
        <v>479</v>
      </c>
      <c r="D1103" s="34" t="str">
        <f>VLOOKUP(C1103,'PUR-PARTY MASTER'!$B$4:$E$2000,2,FALSE)</f>
        <v>27AAMFC2124K1ZG</v>
      </c>
      <c r="E1103" s="34" t="s">
        <v>22</v>
      </c>
      <c r="F1103" s="134">
        <v>1239</v>
      </c>
      <c r="G1103" s="37">
        <v>43700</v>
      </c>
      <c r="H1103" s="34">
        <v>3919</v>
      </c>
      <c r="I1103" s="39">
        <f>VLOOKUP(H1103,'PUR-HSN MASTER'!$A$4:$E$5000,5,FALSE)</f>
        <v>18</v>
      </c>
      <c r="J1103" s="34">
        <v>4</v>
      </c>
      <c r="K1103" s="126">
        <v>2000</v>
      </c>
      <c r="L1103" s="39">
        <v>0</v>
      </c>
      <c r="M1103" s="39">
        <v>180</v>
      </c>
      <c r="N1103" s="39">
        <v>180</v>
      </c>
      <c r="O1103" s="39">
        <v>0</v>
      </c>
      <c r="P1103" s="39">
        <v>2360</v>
      </c>
      <c r="Q1103" s="34" t="s">
        <v>410</v>
      </c>
      <c r="R1103" s="34" t="s">
        <v>26</v>
      </c>
      <c r="S1103" s="11" t="s">
        <v>4120</v>
      </c>
    </row>
    <row r="1104" spans="1:19" x14ac:dyDescent="0.2">
      <c r="A1104" s="33">
        <v>43678</v>
      </c>
      <c r="B1104" s="34">
        <v>125</v>
      </c>
      <c r="C1104" s="35" t="s">
        <v>554</v>
      </c>
      <c r="D1104" s="34" t="str">
        <f>VLOOKUP(C1104,'PUR-PARTY MASTER'!$B$4:$E$2000,2,FALSE)</f>
        <v>27AACFA1881H1ZL</v>
      </c>
      <c r="E1104" s="34" t="s">
        <v>22</v>
      </c>
      <c r="F1104" s="134">
        <v>11130</v>
      </c>
      <c r="G1104" s="37">
        <v>43700</v>
      </c>
      <c r="H1104" s="34">
        <v>87141900</v>
      </c>
      <c r="I1104" s="39">
        <f>VLOOKUP(H1104,'PUR-HSN MASTER'!$A$4:$E$5000,5,FALSE)</f>
        <v>28</v>
      </c>
      <c r="J1104" s="34">
        <v>2600</v>
      </c>
      <c r="K1104" s="126">
        <v>7302</v>
      </c>
      <c r="L1104" s="39">
        <v>0</v>
      </c>
      <c r="M1104" s="39">
        <v>1022.28</v>
      </c>
      <c r="N1104" s="39">
        <v>1022.28</v>
      </c>
      <c r="O1104" s="39">
        <v>0</v>
      </c>
      <c r="P1104" s="39">
        <v>9346.56</v>
      </c>
      <c r="Q1104" s="34" t="s">
        <v>410</v>
      </c>
      <c r="R1104" s="34" t="s">
        <v>26</v>
      </c>
      <c r="S1104" s="11" t="s">
        <v>4120</v>
      </c>
    </row>
    <row r="1105" spans="1:19" x14ac:dyDescent="0.2">
      <c r="A1105" s="33">
        <v>43678</v>
      </c>
      <c r="B1105" s="34">
        <v>126</v>
      </c>
      <c r="C1105" s="35" t="s">
        <v>554</v>
      </c>
      <c r="D1105" s="34" t="str">
        <f>VLOOKUP(C1105,'PUR-PARTY MASTER'!$B$4:$E$2000,2,FALSE)</f>
        <v>27AACFA1881H1ZL</v>
      </c>
      <c r="E1105" s="34" t="s">
        <v>22</v>
      </c>
      <c r="F1105" s="134">
        <v>11170</v>
      </c>
      <c r="G1105" s="37">
        <v>43701</v>
      </c>
      <c r="H1105" s="34">
        <v>87141900</v>
      </c>
      <c r="I1105" s="39">
        <f>VLOOKUP(H1105,'PUR-HSN MASTER'!$A$4:$E$5000,5,FALSE)</f>
        <v>28</v>
      </c>
      <c r="J1105" s="34">
        <v>1825</v>
      </c>
      <c r="K1105" s="126">
        <v>5156.75</v>
      </c>
      <c r="L1105" s="39">
        <v>0</v>
      </c>
      <c r="M1105" s="39">
        <v>721.94500000000005</v>
      </c>
      <c r="N1105" s="39">
        <v>721.94500000000005</v>
      </c>
      <c r="O1105" s="39">
        <v>0</v>
      </c>
      <c r="P1105" s="39">
        <v>6600.64</v>
      </c>
      <c r="Q1105" s="34" t="s">
        <v>410</v>
      </c>
      <c r="R1105" s="34" t="s">
        <v>26</v>
      </c>
      <c r="S1105" s="11" t="s">
        <v>4120</v>
      </c>
    </row>
    <row r="1106" spans="1:19" x14ac:dyDescent="0.2">
      <c r="A1106" s="33">
        <v>43678</v>
      </c>
      <c r="B1106" s="34">
        <v>127</v>
      </c>
      <c r="C1106" s="35" t="s">
        <v>479</v>
      </c>
      <c r="D1106" s="34" t="str">
        <f>VLOOKUP(C1106,'PUR-PARTY MASTER'!$B$4:$E$2000,2,FALSE)</f>
        <v>27AAMFC2124K1ZG</v>
      </c>
      <c r="E1106" s="34" t="s">
        <v>22</v>
      </c>
      <c r="F1106" s="134">
        <v>1240</v>
      </c>
      <c r="G1106" s="37">
        <v>43701</v>
      </c>
      <c r="H1106" s="34">
        <v>3919</v>
      </c>
      <c r="I1106" s="39">
        <f>VLOOKUP(H1106,'PUR-HSN MASTER'!$A$4:$E$5000,5,FALSE)</f>
        <v>18</v>
      </c>
      <c r="J1106" s="34">
        <v>9</v>
      </c>
      <c r="K1106" s="126">
        <v>3600</v>
      </c>
      <c r="L1106" s="39">
        <v>0</v>
      </c>
      <c r="M1106" s="39">
        <v>324</v>
      </c>
      <c r="N1106" s="39">
        <v>324</v>
      </c>
      <c r="O1106" s="39">
        <v>0</v>
      </c>
      <c r="P1106" s="39">
        <v>4248</v>
      </c>
      <c r="Q1106" s="34" t="s">
        <v>410</v>
      </c>
      <c r="R1106" s="34" t="s">
        <v>26</v>
      </c>
      <c r="S1106" s="11" t="s">
        <v>4120</v>
      </c>
    </row>
    <row r="1107" spans="1:19" x14ac:dyDescent="0.2">
      <c r="A1107" s="33">
        <v>43678</v>
      </c>
      <c r="B1107" s="34">
        <v>128</v>
      </c>
      <c r="C1107" s="35" t="s">
        <v>471</v>
      </c>
      <c r="D1107" s="34" t="str">
        <f>VLOOKUP(C1107,'PUR-PARTY MASTER'!$B$4:$E$2000,2,FALSE)</f>
        <v>27AAECM8871A1ZF</v>
      </c>
      <c r="E1107" s="34" t="s">
        <v>22</v>
      </c>
      <c r="F1107" s="134">
        <v>192004831</v>
      </c>
      <c r="G1107" s="37">
        <v>43701</v>
      </c>
      <c r="H1107" s="34">
        <v>87089900</v>
      </c>
      <c r="I1107" s="39">
        <f>VLOOKUP(H1107,'PUR-HSN MASTER'!$A$4:$E$5000,5,FALSE)</f>
        <v>28</v>
      </c>
      <c r="J1107" s="34">
        <v>17</v>
      </c>
      <c r="K1107" s="126">
        <v>24768.32</v>
      </c>
      <c r="L1107" s="39">
        <v>0</v>
      </c>
      <c r="M1107" s="39">
        <v>3467.5648000000001</v>
      </c>
      <c r="N1107" s="39">
        <v>3467.5648000000001</v>
      </c>
      <c r="O1107" s="39">
        <v>0</v>
      </c>
      <c r="P1107" s="39">
        <v>31703.439600000002</v>
      </c>
      <c r="Q1107" s="34" t="s">
        <v>410</v>
      </c>
      <c r="R1107" s="34" t="s">
        <v>26</v>
      </c>
      <c r="S1107" s="11" t="s">
        <v>4120</v>
      </c>
    </row>
    <row r="1108" spans="1:19" x14ac:dyDescent="0.2">
      <c r="A1108" s="33">
        <v>43678</v>
      </c>
      <c r="B1108" s="34">
        <v>129</v>
      </c>
      <c r="C1108" s="35" t="s">
        <v>554</v>
      </c>
      <c r="D1108" s="34" t="str">
        <f>VLOOKUP(C1108,'PUR-PARTY MASTER'!$B$4:$E$2000,2,FALSE)</f>
        <v>27AACFA1881H1ZL</v>
      </c>
      <c r="E1108" s="34" t="s">
        <v>22</v>
      </c>
      <c r="F1108" s="134">
        <v>11211</v>
      </c>
      <c r="G1108" s="37">
        <v>43701</v>
      </c>
      <c r="H1108" s="34">
        <v>87141900</v>
      </c>
      <c r="I1108" s="39">
        <f>VLOOKUP(H1108,'PUR-HSN MASTER'!$A$4:$E$5000,5,FALSE)</f>
        <v>28</v>
      </c>
      <c r="J1108" s="34">
        <v>1825</v>
      </c>
      <c r="K1108" s="126">
        <v>4958.5</v>
      </c>
      <c r="L1108" s="39">
        <v>0</v>
      </c>
      <c r="M1108" s="39">
        <v>694.19</v>
      </c>
      <c r="N1108" s="39">
        <v>694.19</v>
      </c>
      <c r="O1108" s="39">
        <v>0</v>
      </c>
      <c r="P1108" s="39">
        <v>6346.88</v>
      </c>
      <c r="Q1108" s="34" t="s">
        <v>410</v>
      </c>
      <c r="R1108" s="34" t="s">
        <v>26</v>
      </c>
      <c r="S1108" s="11" t="s">
        <v>4120</v>
      </c>
    </row>
    <row r="1109" spans="1:19" x14ac:dyDescent="0.2">
      <c r="A1109" s="33">
        <v>43678</v>
      </c>
      <c r="B1109" s="34">
        <v>130</v>
      </c>
      <c r="C1109" s="632" t="s">
        <v>919</v>
      </c>
      <c r="D1109" s="34" t="str">
        <f>VLOOKUP(C1109,'PUR-PARTY MASTER'!$B$4:$E$2000,2,FALSE)</f>
        <v>27AAOPJ7179F1Z8</v>
      </c>
      <c r="E1109" s="34" t="s">
        <v>22</v>
      </c>
      <c r="F1109" s="134" t="s">
        <v>921</v>
      </c>
      <c r="G1109" s="37">
        <v>43700</v>
      </c>
      <c r="H1109" s="34">
        <v>3917</v>
      </c>
      <c r="I1109" s="39">
        <f>VLOOKUP(H1109,'PUR-HSN MASTER'!$A$4:$E$5000,5,FALSE)</f>
        <v>18</v>
      </c>
      <c r="J1109" s="34">
        <v>1825</v>
      </c>
      <c r="K1109" s="126">
        <v>1080</v>
      </c>
      <c r="L1109" s="39">
        <v>0</v>
      </c>
      <c r="M1109" s="39">
        <v>97.2</v>
      </c>
      <c r="N1109" s="39">
        <v>97.2</v>
      </c>
      <c r="O1109" s="39">
        <v>0</v>
      </c>
      <c r="P1109" s="39">
        <v>1274.5</v>
      </c>
      <c r="Q1109" s="34" t="s">
        <v>410</v>
      </c>
      <c r="R1109" s="34" t="s">
        <v>26</v>
      </c>
      <c r="S1109" s="11" t="s">
        <v>4120</v>
      </c>
    </row>
    <row r="1110" spans="1:19" x14ac:dyDescent="0.2">
      <c r="A1110" s="34"/>
      <c r="B1110" s="34"/>
      <c r="C1110" s="632" t="s">
        <v>919</v>
      </c>
      <c r="D1110" s="34" t="str">
        <f>VLOOKUP(C1110,'PUR-PARTY MASTER'!$B$4:$E$2000,2,FALSE)</f>
        <v>27AAOPJ7179F1Z8</v>
      </c>
      <c r="E1110" s="34" t="s">
        <v>22</v>
      </c>
      <c r="F1110" s="134" t="s">
        <v>921</v>
      </c>
      <c r="G1110" s="37">
        <v>43700</v>
      </c>
      <c r="H1110" s="34">
        <v>3917</v>
      </c>
      <c r="I1110" s="39">
        <f>VLOOKUP(H1110,'PUR-HSN MASTER'!$A$4:$E$5000,5,FALSE)</f>
        <v>18</v>
      </c>
      <c r="J1110" s="34">
        <v>1825</v>
      </c>
      <c r="K1110" s="126">
        <f>300+180</f>
        <v>480</v>
      </c>
      <c r="L1110" s="39">
        <v>0</v>
      </c>
      <c r="M1110" s="39">
        <v>43.199999999999996</v>
      </c>
      <c r="N1110" s="39">
        <v>43.199999999999996</v>
      </c>
      <c r="O1110" s="39">
        <v>0</v>
      </c>
      <c r="P1110" s="39">
        <v>566.5</v>
      </c>
      <c r="Q1110" s="34" t="s">
        <v>410</v>
      </c>
      <c r="R1110" s="34" t="s">
        <v>26</v>
      </c>
      <c r="S1110" s="11" t="s">
        <v>4120</v>
      </c>
    </row>
    <row r="1111" spans="1:19" x14ac:dyDescent="0.2">
      <c r="A1111" s="33">
        <v>43678</v>
      </c>
      <c r="B1111" s="34">
        <v>131</v>
      </c>
      <c r="C1111" s="35" t="s">
        <v>479</v>
      </c>
      <c r="D1111" s="34" t="str">
        <f>VLOOKUP(C1111,'PUR-PARTY MASTER'!$B$4:$E$2000,2,FALSE)</f>
        <v>27AAMFC2124K1ZG</v>
      </c>
      <c r="E1111" s="34" t="s">
        <v>22</v>
      </c>
      <c r="F1111" s="134">
        <v>1242</v>
      </c>
      <c r="G1111" s="37">
        <v>43701</v>
      </c>
      <c r="H1111" s="34">
        <v>4811</v>
      </c>
      <c r="I1111" s="39">
        <f>VLOOKUP(H1111,'PUR-HSN MASTER'!$A$4:$E$5000,5,FALSE)</f>
        <v>18</v>
      </c>
      <c r="J1111" s="34">
        <v>1006</v>
      </c>
      <c r="K1111" s="126">
        <v>1358.1</v>
      </c>
      <c r="L1111" s="39">
        <v>0</v>
      </c>
      <c r="M1111" s="39">
        <v>122.229</v>
      </c>
      <c r="N1111" s="39">
        <v>122.229</v>
      </c>
      <c r="O1111" s="39">
        <v>0</v>
      </c>
      <c r="P1111" s="39">
        <v>1602.558</v>
      </c>
      <c r="Q1111" s="34" t="s">
        <v>410</v>
      </c>
      <c r="R1111" s="34" t="s">
        <v>26</v>
      </c>
      <c r="S1111" s="11" t="s">
        <v>4120</v>
      </c>
    </row>
    <row r="1112" spans="1:19" x14ac:dyDescent="0.2">
      <c r="A1112" s="33">
        <v>43678</v>
      </c>
      <c r="B1112" s="34">
        <v>132</v>
      </c>
      <c r="C1112" s="35" t="s">
        <v>554</v>
      </c>
      <c r="D1112" s="34" t="str">
        <f>VLOOKUP(C1112,'PUR-PARTY MASTER'!$B$4:$E$2000,2,FALSE)</f>
        <v>27AACFA1881H1ZL</v>
      </c>
      <c r="E1112" s="34" t="s">
        <v>22</v>
      </c>
      <c r="F1112" s="134">
        <v>11229</v>
      </c>
      <c r="G1112" s="37">
        <v>43703</v>
      </c>
      <c r="H1112" s="34">
        <v>87141900</v>
      </c>
      <c r="I1112" s="39">
        <f>VLOOKUP(H1112,'PUR-HSN MASTER'!$A$4:$E$5000,5,FALSE)</f>
        <v>28</v>
      </c>
      <c r="J1112" s="34">
        <f>1680+800</f>
        <v>2480</v>
      </c>
      <c r="K1112" s="126">
        <v>6568.8</v>
      </c>
      <c r="L1112" s="39">
        <v>0</v>
      </c>
      <c r="M1112" s="39">
        <v>919.63200000000006</v>
      </c>
      <c r="N1112" s="39">
        <v>919.63200000000006</v>
      </c>
      <c r="O1112" s="39">
        <v>0</v>
      </c>
      <c r="P1112" s="39">
        <v>8408.0640000000003</v>
      </c>
      <c r="Q1112" s="34" t="s">
        <v>410</v>
      </c>
      <c r="R1112" s="34" t="s">
        <v>26</v>
      </c>
      <c r="S1112" s="11" t="s">
        <v>4120</v>
      </c>
    </row>
    <row r="1113" spans="1:19" x14ac:dyDescent="0.2">
      <c r="A1113" s="33">
        <v>43678</v>
      </c>
      <c r="B1113" s="34">
        <v>133</v>
      </c>
      <c r="C1113" s="35" t="s">
        <v>479</v>
      </c>
      <c r="D1113" s="34" t="str">
        <f>VLOOKUP(C1113,'PUR-PARTY MASTER'!$B$4:$E$2000,2,FALSE)</f>
        <v>27AAMFC2124K1ZG</v>
      </c>
      <c r="E1113" s="34" t="s">
        <v>22</v>
      </c>
      <c r="F1113" s="134">
        <v>1245</v>
      </c>
      <c r="G1113" s="37">
        <v>43703</v>
      </c>
      <c r="H1113" s="34">
        <v>3919</v>
      </c>
      <c r="I1113" s="39">
        <f>VLOOKUP(H1113,'PUR-HSN MASTER'!$A$4:$E$5000,5,FALSE)</f>
        <v>18</v>
      </c>
      <c r="J1113" s="34">
        <v>39</v>
      </c>
      <c r="K1113" s="126">
        <v>15600</v>
      </c>
      <c r="L1113" s="39">
        <v>0</v>
      </c>
      <c r="M1113" s="39">
        <v>1404</v>
      </c>
      <c r="N1113" s="39">
        <v>1404</v>
      </c>
      <c r="O1113" s="39">
        <v>0</v>
      </c>
      <c r="P1113" s="39">
        <v>18408</v>
      </c>
      <c r="Q1113" s="34" t="s">
        <v>410</v>
      </c>
      <c r="R1113" s="34" t="s">
        <v>26</v>
      </c>
      <c r="S1113" s="11" t="s">
        <v>4120</v>
      </c>
    </row>
    <row r="1114" spans="1:19" x14ac:dyDescent="0.2">
      <c r="A1114" s="33">
        <v>43678</v>
      </c>
      <c r="B1114" s="34">
        <v>134</v>
      </c>
      <c r="C1114" s="35" t="s">
        <v>473</v>
      </c>
      <c r="D1114" s="34" t="str">
        <f>VLOOKUP(C1114,'PUR-PARTY MASTER'!$B$4:$E$2000,2,FALSE)</f>
        <v>27AAACT1848E1ZH</v>
      </c>
      <c r="E1114" s="34" t="s">
        <v>22</v>
      </c>
      <c r="F1114" s="136" t="s">
        <v>922</v>
      </c>
      <c r="G1114" s="37">
        <v>43703</v>
      </c>
      <c r="H1114" s="34">
        <v>87089900</v>
      </c>
      <c r="I1114" s="39">
        <f>VLOOKUP(H1114,'PUR-HSN MASTER'!$A$4:$E$5000,5,FALSE)</f>
        <v>28</v>
      </c>
      <c r="J1114" s="34">
        <v>48</v>
      </c>
      <c r="K1114" s="126">
        <v>7215.36</v>
      </c>
      <c r="L1114" s="39">
        <v>0</v>
      </c>
      <c r="M1114" s="39">
        <v>1010.0004</v>
      </c>
      <c r="N1114" s="39">
        <v>1010.0004</v>
      </c>
      <c r="O1114" s="39">
        <v>0</v>
      </c>
      <c r="P1114" s="39">
        <v>9235.3608000000004</v>
      </c>
      <c r="Q1114" s="34" t="s">
        <v>410</v>
      </c>
      <c r="R1114" s="34" t="s">
        <v>26</v>
      </c>
      <c r="S1114" s="11" t="s">
        <v>4120</v>
      </c>
    </row>
    <row r="1115" spans="1:19" x14ac:dyDescent="0.2">
      <c r="A1115" s="33">
        <v>43678</v>
      </c>
      <c r="B1115" s="34">
        <v>135</v>
      </c>
      <c r="C1115" s="35" t="s">
        <v>473</v>
      </c>
      <c r="D1115" s="34" t="str">
        <f>VLOOKUP(C1115,'PUR-PARTY MASTER'!$B$4:$E$2000,2,FALSE)</f>
        <v>27AAACT1848E1ZH</v>
      </c>
      <c r="E1115" s="34" t="s">
        <v>22</v>
      </c>
      <c r="F1115" s="136" t="s">
        <v>923</v>
      </c>
      <c r="G1115" s="37">
        <v>43703</v>
      </c>
      <c r="H1115" s="34">
        <v>87089900</v>
      </c>
      <c r="I1115" s="39">
        <f>VLOOKUP(H1115,'PUR-HSN MASTER'!$A$4:$E$5000,5,FALSE)</f>
        <v>28</v>
      </c>
      <c r="J1115" s="34">
        <v>48</v>
      </c>
      <c r="K1115" s="126">
        <v>1249</v>
      </c>
      <c r="L1115" s="39">
        <v>0</v>
      </c>
      <c r="M1115" s="39">
        <v>175</v>
      </c>
      <c r="N1115" s="39">
        <v>175</v>
      </c>
      <c r="O1115" s="39">
        <v>0</v>
      </c>
      <c r="P1115" s="39">
        <v>1599</v>
      </c>
      <c r="Q1115" s="34" t="s">
        <v>410</v>
      </c>
      <c r="R1115" s="34" t="s">
        <v>26</v>
      </c>
      <c r="S1115" s="11" t="s">
        <v>4120</v>
      </c>
    </row>
    <row r="1116" spans="1:19" x14ac:dyDescent="0.2">
      <c r="A1116" s="33">
        <v>43678</v>
      </c>
      <c r="B1116" s="34">
        <v>136</v>
      </c>
      <c r="C1116" s="35" t="s">
        <v>554</v>
      </c>
      <c r="D1116" s="34" t="str">
        <f>VLOOKUP(C1116,'PUR-PARTY MASTER'!$B$4:$E$2000,2,FALSE)</f>
        <v>27AACFA1881H1ZL</v>
      </c>
      <c r="E1116" s="34" t="s">
        <v>22</v>
      </c>
      <c r="F1116" s="134">
        <v>11274</v>
      </c>
      <c r="G1116" s="37">
        <v>43704</v>
      </c>
      <c r="H1116" s="34">
        <v>87141900</v>
      </c>
      <c r="I1116" s="39">
        <f>VLOOKUP(H1116,'PUR-HSN MASTER'!$A$4:$E$5000,5,FALSE)</f>
        <v>28</v>
      </c>
      <c r="J1116" s="34">
        <v>3800</v>
      </c>
      <c r="K1116" s="126">
        <v>11970</v>
      </c>
      <c r="L1116" s="39">
        <v>0</v>
      </c>
      <c r="M1116" s="39">
        <v>1675.8</v>
      </c>
      <c r="N1116" s="39">
        <v>1675.8</v>
      </c>
      <c r="O1116" s="39">
        <v>0</v>
      </c>
      <c r="P1116" s="39">
        <v>15321.6</v>
      </c>
      <c r="Q1116" s="34" t="s">
        <v>410</v>
      </c>
      <c r="R1116" s="34" t="s">
        <v>26</v>
      </c>
      <c r="S1116" s="11" t="s">
        <v>4120</v>
      </c>
    </row>
    <row r="1117" spans="1:19" x14ac:dyDescent="0.2">
      <c r="A1117" s="33">
        <v>43678</v>
      </c>
      <c r="B1117" s="34">
        <v>137</v>
      </c>
      <c r="C1117" s="35" t="s">
        <v>473</v>
      </c>
      <c r="D1117" s="34" t="str">
        <f>VLOOKUP(C1117,'PUR-PARTY MASTER'!$B$4:$E$2000,2,FALSE)</f>
        <v>27AAACT1848E1ZH</v>
      </c>
      <c r="E1117" s="34" t="s">
        <v>22</v>
      </c>
      <c r="F1117" s="136" t="s">
        <v>924</v>
      </c>
      <c r="G1117" s="37">
        <v>43704</v>
      </c>
      <c r="H1117" s="34">
        <v>87089900</v>
      </c>
      <c r="I1117" s="39">
        <f>VLOOKUP(H1117,'PUR-HSN MASTER'!$A$4:$E$5000,5,FALSE)</f>
        <v>28</v>
      </c>
      <c r="J1117" s="34">
        <v>80</v>
      </c>
      <c r="K1117" s="126">
        <v>11252</v>
      </c>
      <c r="L1117" s="39">
        <v>0</v>
      </c>
      <c r="M1117" s="39">
        <v>1575</v>
      </c>
      <c r="N1117" s="39">
        <v>1575</v>
      </c>
      <c r="O1117" s="39">
        <v>0</v>
      </c>
      <c r="P1117" s="39">
        <v>14402</v>
      </c>
      <c r="Q1117" s="34" t="s">
        <v>410</v>
      </c>
      <c r="R1117" s="34" t="s">
        <v>26</v>
      </c>
      <c r="S1117" s="11" t="s">
        <v>4120</v>
      </c>
    </row>
    <row r="1118" spans="1:19" x14ac:dyDescent="0.2">
      <c r="A1118" s="33">
        <v>43678</v>
      </c>
      <c r="B1118" s="34">
        <v>138</v>
      </c>
      <c r="C1118" s="35" t="s">
        <v>554</v>
      </c>
      <c r="D1118" s="34" t="str">
        <f>VLOOKUP(C1118,'PUR-PARTY MASTER'!$B$4:$E$2000,2,FALSE)</f>
        <v>27AACFA1881H1ZL</v>
      </c>
      <c r="E1118" s="34" t="s">
        <v>22</v>
      </c>
      <c r="F1118" s="134">
        <v>11318</v>
      </c>
      <c r="G1118" s="37">
        <v>43705</v>
      </c>
      <c r="H1118" s="34">
        <v>87141900</v>
      </c>
      <c r="I1118" s="39">
        <f>VLOOKUP(H1118,'PUR-HSN MASTER'!$A$4:$E$5000,5,FALSE)</f>
        <v>28</v>
      </c>
      <c r="J1118" s="34">
        <v>3300</v>
      </c>
      <c r="K1118" s="126">
        <v>10395</v>
      </c>
      <c r="L1118" s="39">
        <v>0</v>
      </c>
      <c r="M1118" s="39">
        <v>1455.3</v>
      </c>
      <c r="N1118" s="39">
        <v>1455.3</v>
      </c>
      <c r="O1118" s="39">
        <v>0</v>
      </c>
      <c r="P1118" s="39">
        <v>13305.6</v>
      </c>
      <c r="Q1118" s="34" t="s">
        <v>410</v>
      </c>
      <c r="R1118" s="34" t="s">
        <v>26</v>
      </c>
      <c r="S1118" s="11" t="s">
        <v>4120</v>
      </c>
    </row>
    <row r="1119" spans="1:19" x14ac:dyDescent="0.2">
      <c r="A1119" s="33">
        <v>43678</v>
      </c>
      <c r="B1119" s="34">
        <v>139</v>
      </c>
      <c r="C1119" s="35" t="s">
        <v>747</v>
      </c>
      <c r="D1119" s="34" t="str">
        <f>VLOOKUP(C1119,'PUR-PARTY MASTER'!$B$4:$E$2000,2,FALSE)</f>
        <v>27ACIPD7822K1ZF</v>
      </c>
      <c r="E1119" s="34" t="s">
        <v>22</v>
      </c>
      <c r="F1119" s="136" t="s">
        <v>925</v>
      </c>
      <c r="G1119" s="37">
        <v>43703</v>
      </c>
      <c r="H1119" s="34">
        <v>84778090</v>
      </c>
      <c r="I1119" s="39">
        <f>VLOOKUP(H1119,'PUR-HSN MASTER'!$A$4:$E$5000,5,FALSE)</f>
        <v>18</v>
      </c>
      <c r="J1119" s="34">
        <v>50</v>
      </c>
      <c r="K1119" s="126">
        <v>27500</v>
      </c>
      <c r="L1119" s="39">
        <v>0</v>
      </c>
      <c r="M1119" s="39">
        <v>2475</v>
      </c>
      <c r="N1119" s="39">
        <v>2475</v>
      </c>
      <c r="O1119" s="39">
        <v>0</v>
      </c>
      <c r="P1119" s="39">
        <v>32450</v>
      </c>
      <c r="Q1119" s="34" t="s">
        <v>410</v>
      </c>
      <c r="R1119" s="34" t="s">
        <v>26</v>
      </c>
      <c r="S1119" s="11" t="s">
        <v>4120</v>
      </c>
    </row>
    <row r="1120" spans="1:19" x14ac:dyDescent="0.2">
      <c r="A1120" s="33">
        <v>43678</v>
      </c>
      <c r="B1120" s="34">
        <v>140</v>
      </c>
      <c r="C1120" s="35" t="s">
        <v>747</v>
      </c>
      <c r="D1120" s="34" t="str">
        <f>VLOOKUP(C1120,'PUR-PARTY MASTER'!$B$4:$E$2000,2,FALSE)</f>
        <v>27ACIPD7822K1ZF</v>
      </c>
      <c r="E1120" s="34" t="s">
        <v>22</v>
      </c>
      <c r="F1120" s="136" t="s">
        <v>926</v>
      </c>
      <c r="G1120" s="37">
        <v>43703</v>
      </c>
      <c r="H1120" s="34">
        <v>84778090</v>
      </c>
      <c r="I1120" s="39">
        <f>VLOOKUP(H1120,'PUR-HSN MASTER'!$A$4:$E$5000,5,FALSE)</f>
        <v>18</v>
      </c>
      <c r="J1120" s="34">
        <v>25</v>
      </c>
      <c r="K1120" s="126">
        <v>2500</v>
      </c>
      <c r="L1120" s="39">
        <v>0</v>
      </c>
      <c r="M1120" s="39">
        <v>225</v>
      </c>
      <c r="N1120" s="39">
        <v>225</v>
      </c>
      <c r="O1120" s="39">
        <v>0</v>
      </c>
      <c r="P1120" s="39">
        <v>2950</v>
      </c>
      <c r="Q1120" s="34" t="s">
        <v>410</v>
      </c>
      <c r="R1120" s="34" t="s">
        <v>26</v>
      </c>
      <c r="S1120" s="11" t="s">
        <v>4120</v>
      </c>
    </row>
    <row r="1121" spans="1:19" x14ac:dyDescent="0.2">
      <c r="A1121" s="33">
        <v>43678</v>
      </c>
      <c r="B1121" s="34">
        <v>141</v>
      </c>
      <c r="C1121" s="35" t="s">
        <v>747</v>
      </c>
      <c r="D1121" s="34" t="str">
        <f>VLOOKUP(C1121,'PUR-PARTY MASTER'!$B$4:$E$2000,2,FALSE)</f>
        <v>27ACIPD7822K1ZF</v>
      </c>
      <c r="E1121" s="34" t="s">
        <v>22</v>
      </c>
      <c r="F1121" s="136" t="s">
        <v>927</v>
      </c>
      <c r="G1121" s="37">
        <v>43703</v>
      </c>
      <c r="H1121" s="34">
        <v>7318</v>
      </c>
      <c r="I1121" s="39">
        <f>VLOOKUP(H1121,'PUR-HSN MASTER'!$A$4:$E$5000,5,FALSE)</f>
        <v>18</v>
      </c>
      <c r="J1121" s="34">
        <v>30</v>
      </c>
      <c r="K1121" s="126">
        <v>19500</v>
      </c>
      <c r="L1121" s="39">
        <v>0</v>
      </c>
      <c r="M1121" s="39">
        <v>1755</v>
      </c>
      <c r="N1121" s="39">
        <v>1755</v>
      </c>
      <c r="O1121" s="39">
        <v>0</v>
      </c>
      <c r="P1121" s="39">
        <v>23010</v>
      </c>
      <c r="Q1121" s="34" t="s">
        <v>410</v>
      </c>
      <c r="R1121" s="34" t="s">
        <v>26</v>
      </c>
      <c r="S1121" s="11" t="s">
        <v>4120</v>
      </c>
    </row>
    <row r="1122" spans="1:19" x14ac:dyDescent="0.2">
      <c r="A1122" s="33">
        <v>43678</v>
      </c>
      <c r="B1122" s="34">
        <v>142</v>
      </c>
      <c r="C1122" s="34" t="s">
        <v>928</v>
      </c>
      <c r="D1122" s="34" t="str">
        <f>VLOOKUP(C1122,'PUR-PARTY MASTER'!$B$4:$E$2000,2,FALSE)</f>
        <v>29ABWPL1735E1ZC</v>
      </c>
      <c r="E1122" s="34" t="s">
        <v>22</v>
      </c>
      <c r="F1122" s="136" t="s">
        <v>930</v>
      </c>
      <c r="G1122" s="37">
        <v>43694</v>
      </c>
      <c r="H1122" s="34">
        <v>84248910</v>
      </c>
      <c r="I1122" s="39">
        <f>VLOOKUP(H1122,'PUR-HSN MASTER'!$A$4:$E$5000,5,FALSE)</f>
        <v>18</v>
      </c>
      <c r="J1122" s="34">
        <v>30</v>
      </c>
      <c r="K1122" s="126">
        <v>7250</v>
      </c>
      <c r="L1122" s="39">
        <v>1305</v>
      </c>
      <c r="M1122" s="39">
        <v>0</v>
      </c>
      <c r="N1122" s="39">
        <v>0</v>
      </c>
      <c r="O1122" s="39">
        <v>0</v>
      </c>
      <c r="P1122" s="39">
        <v>8555</v>
      </c>
      <c r="Q1122" s="34" t="s">
        <v>410</v>
      </c>
      <c r="R1122" s="34" t="s">
        <v>106</v>
      </c>
      <c r="S1122" s="11" t="s">
        <v>4120</v>
      </c>
    </row>
    <row r="1123" spans="1:19" x14ac:dyDescent="0.2">
      <c r="A1123" s="33">
        <v>43678</v>
      </c>
      <c r="B1123" s="34">
        <v>143</v>
      </c>
      <c r="C1123" s="35" t="s">
        <v>556</v>
      </c>
      <c r="D1123" s="34" t="str">
        <f>VLOOKUP(C1123,'PUR-PARTY MASTER'!$B$4:$E$2000,2,FALSE)</f>
        <v>27AAQCS7977M1Z3</v>
      </c>
      <c r="E1123" s="34" t="s">
        <v>22</v>
      </c>
      <c r="F1123" s="136" t="s">
        <v>931</v>
      </c>
      <c r="G1123" s="37">
        <v>43703</v>
      </c>
      <c r="H1123" s="34">
        <v>29141100</v>
      </c>
      <c r="I1123" s="39">
        <f>VLOOKUP(H1123,'PUR-HSN MASTER'!$A$4:$E$5000,5,FALSE)</f>
        <v>18</v>
      </c>
      <c r="J1123" s="34">
        <v>1100</v>
      </c>
      <c r="K1123" s="40">
        <v>69300</v>
      </c>
      <c r="L1123" s="39">
        <v>0</v>
      </c>
      <c r="M1123" s="39">
        <v>6237</v>
      </c>
      <c r="N1123" s="39">
        <v>6237</v>
      </c>
      <c r="O1123" s="39">
        <v>0</v>
      </c>
      <c r="P1123" s="39">
        <v>81774</v>
      </c>
      <c r="Q1123" s="34" t="s">
        <v>410</v>
      </c>
      <c r="R1123" s="34" t="s">
        <v>26</v>
      </c>
      <c r="S1123" s="11" t="s">
        <v>4120</v>
      </c>
    </row>
    <row r="1124" spans="1:19" x14ac:dyDescent="0.2">
      <c r="A1124" s="33">
        <v>43678</v>
      </c>
      <c r="B1124" s="34">
        <v>144</v>
      </c>
      <c r="C1124" s="35" t="s">
        <v>489</v>
      </c>
      <c r="D1124" s="34" t="str">
        <f>VLOOKUP(C1124,'PUR-PARTY MASTER'!$B$4:$E$2000,2,FALSE)</f>
        <v>27AAECD2713N1ZK</v>
      </c>
      <c r="E1124" s="34" t="s">
        <v>22</v>
      </c>
      <c r="F1124" s="134">
        <v>7887987825</v>
      </c>
      <c r="G1124" s="37">
        <v>43705</v>
      </c>
      <c r="H1124" s="34">
        <v>32089090</v>
      </c>
      <c r="I1124" s="39">
        <f>VLOOKUP(H1124,'PUR-HSN MASTER'!$A$4:$E$5000,5,FALSE)</f>
        <v>18</v>
      </c>
      <c r="J1124" s="34">
        <v>16</v>
      </c>
      <c r="K1124" s="126">
        <v>10240</v>
      </c>
      <c r="L1124" s="39">
        <v>0</v>
      </c>
      <c r="M1124" s="39">
        <v>921.6</v>
      </c>
      <c r="N1124" s="39">
        <v>921.6</v>
      </c>
      <c r="O1124" s="39">
        <v>0</v>
      </c>
      <c r="P1124" s="39">
        <v>12083</v>
      </c>
      <c r="Q1124" s="34" t="s">
        <v>410</v>
      </c>
      <c r="R1124" s="34" t="s">
        <v>26</v>
      </c>
      <c r="S1124" s="11" t="s">
        <v>4120</v>
      </c>
    </row>
    <row r="1125" spans="1:19" x14ac:dyDescent="0.2">
      <c r="A1125" s="33">
        <v>43678</v>
      </c>
      <c r="B1125" s="34">
        <v>145</v>
      </c>
      <c r="C1125" s="35" t="s">
        <v>473</v>
      </c>
      <c r="D1125" s="34" t="str">
        <f>VLOOKUP(C1125,'PUR-PARTY MASTER'!$B$4:$E$2000,2,FALSE)</f>
        <v>27AAACT1848E1ZH</v>
      </c>
      <c r="E1125" s="34" t="s">
        <v>22</v>
      </c>
      <c r="F1125" s="136" t="s">
        <v>932</v>
      </c>
      <c r="G1125" s="37">
        <v>43705</v>
      </c>
      <c r="H1125" s="34">
        <v>87089900</v>
      </c>
      <c r="I1125" s="39">
        <f>VLOOKUP(H1125,'PUR-HSN MASTER'!$A$4:$E$5000,5,FALSE)</f>
        <v>28</v>
      </c>
      <c r="J1125" s="34">
        <v>40</v>
      </c>
      <c r="K1125" s="126">
        <v>6412</v>
      </c>
      <c r="L1125" s="39">
        <v>0</v>
      </c>
      <c r="M1125" s="39">
        <v>898.00000000000011</v>
      </c>
      <c r="N1125" s="39">
        <v>898.00000000000011</v>
      </c>
      <c r="O1125" s="39">
        <v>0</v>
      </c>
      <c r="P1125" s="39">
        <v>8208</v>
      </c>
      <c r="Q1125" s="34" t="s">
        <v>410</v>
      </c>
      <c r="R1125" s="34" t="s">
        <v>26</v>
      </c>
      <c r="S1125" s="11" t="s">
        <v>4120</v>
      </c>
    </row>
    <row r="1126" spans="1:19" x14ac:dyDescent="0.2">
      <c r="A1126" s="33">
        <v>43678</v>
      </c>
      <c r="B1126" s="34">
        <v>146</v>
      </c>
      <c r="C1126" s="35" t="s">
        <v>471</v>
      </c>
      <c r="D1126" s="34" t="str">
        <f>VLOOKUP(C1126,'PUR-PARTY MASTER'!$B$4:$E$2000,2,FALSE)</f>
        <v>27AAECM8871A1ZF</v>
      </c>
      <c r="E1126" s="34" t="s">
        <v>22</v>
      </c>
      <c r="F1126" s="134">
        <v>192004897</v>
      </c>
      <c r="G1126" s="37">
        <v>43705</v>
      </c>
      <c r="H1126" s="34">
        <v>87089900</v>
      </c>
      <c r="I1126" s="39">
        <f>VLOOKUP(H1126,'PUR-HSN MASTER'!$A$4:$E$5000,5,FALSE)</f>
        <v>28</v>
      </c>
      <c r="J1126" s="34">
        <v>12</v>
      </c>
      <c r="K1126" s="126">
        <v>17483.52</v>
      </c>
      <c r="L1126" s="39">
        <v>0</v>
      </c>
      <c r="M1126" s="39">
        <v>2447.6928000000003</v>
      </c>
      <c r="N1126" s="39">
        <v>2447.6928000000003</v>
      </c>
      <c r="O1126" s="39">
        <v>0</v>
      </c>
      <c r="P1126" s="39">
        <v>22378.895600000003</v>
      </c>
      <c r="Q1126" s="34" t="s">
        <v>410</v>
      </c>
      <c r="R1126" s="34" t="s">
        <v>26</v>
      </c>
      <c r="S1126" s="11" t="s">
        <v>4120</v>
      </c>
    </row>
    <row r="1127" spans="1:19" x14ac:dyDescent="0.2">
      <c r="A1127" s="33">
        <v>43678</v>
      </c>
      <c r="B1127" s="34">
        <v>147</v>
      </c>
      <c r="C1127" s="35" t="s">
        <v>471</v>
      </c>
      <c r="D1127" s="34" t="str">
        <f>VLOOKUP(C1127,'PUR-PARTY MASTER'!$B$4:$E$2000,2,FALSE)</f>
        <v>27AAECM8871A1ZF</v>
      </c>
      <c r="E1127" s="34" t="s">
        <v>22</v>
      </c>
      <c r="F1127" s="134">
        <v>192004896</v>
      </c>
      <c r="G1127" s="37">
        <v>43705</v>
      </c>
      <c r="H1127" s="34">
        <v>87089900</v>
      </c>
      <c r="I1127" s="39">
        <f>VLOOKUP(H1127,'PUR-HSN MASTER'!$A$4:$E$5000,5,FALSE)</f>
        <v>28</v>
      </c>
      <c r="J1127" s="34">
        <v>12</v>
      </c>
      <c r="K1127" s="126">
        <v>17483.52</v>
      </c>
      <c r="L1127" s="39">
        <v>0</v>
      </c>
      <c r="M1127" s="39">
        <v>2447.6928000000003</v>
      </c>
      <c r="N1127" s="39">
        <v>2447.6928000000003</v>
      </c>
      <c r="O1127" s="39">
        <v>0</v>
      </c>
      <c r="P1127" s="39">
        <v>22378.895600000003</v>
      </c>
      <c r="Q1127" s="34" t="s">
        <v>410</v>
      </c>
      <c r="R1127" s="34" t="s">
        <v>26</v>
      </c>
      <c r="S1127" s="11" t="s">
        <v>4120</v>
      </c>
    </row>
    <row r="1128" spans="1:19" x14ac:dyDescent="0.2">
      <c r="A1128" s="33">
        <v>43678</v>
      </c>
      <c r="B1128" s="34">
        <v>148</v>
      </c>
      <c r="C1128" s="35" t="s">
        <v>554</v>
      </c>
      <c r="D1128" s="34" t="str">
        <f>VLOOKUP(C1128,'PUR-PARTY MASTER'!$B$4:$E$2000,2,FALSE)</f>
        <v>27AACFA1881H1ZL</v>
      </c>
      <c r="E1128" s="34" t="s">
        <v>22</v>
      </c>
      <c r="F1128" s="134">
        <v>11334</v>
      </c>
      <c r="G1128" s="37">
        <v>43705</v>
      </c>
      <c r="H1128" s="34">
        <v>87141900</v>
      </c>
      <c r="I1128" s="39">
        <f>VLOOKUP(H1128,'PUR-HSN MASTER'!$A$4:$E$5000,5,FALSE)</f>
        <v>28</v>
      </c>
      <c r="J1128" s="34">
        <v>3300</v>
      </c>
      <c r="K1128" s="126">
        <v>9135</v>
      </c>
      <c r="L1128" s="39">
        <v>0</v>
      </c>
      <c r="M1128" s="39">
        <v>1278.8999999999999</v>
      </c>
      <c r="N1128" s="39">
        <v>1278.8999999999999</v>
      </c>
      <c r="O1128" s="39">
        <v>0</v>
      </c>
      <c r="P1128" s="39">
        <v>11692.8</v>
      </c>
      <c r="Q1128" s="34" t="s">
        <v>410</v>
      </c>
      <c r="R1128" s="34" t="s">
        <v>26</v>
      </c>
      <c r="S1128" s="11" t="s">
        <v>4120</v>
      </c>
    </row>
    <row r="1129" spans="1:19" x14ac:dyDescent="0.2">
      <c r="A1129" s="33">
        <v>43678</v>
      </c>
      <c r="B1129" s="34">
        <v>149</v>
      </c>
      <c r="C1129" s="35" t="s">
        <v>634</v>
      </c>
      <c r="D1129" s="34" t="str">
        <f>VLOOKUP(C1129,'PUR-PARTY MASTER'!$B$4:$E$2000,2,FALSE)</f>
        <v>27AVIPS7433C1ZF</v>
      </c>
      <c r="E1129" s="34" t="s">
        <v>22</v>
      </c>
      <c r="F1129" s="136" t="s">
        <v>933</v>
      </c>
      <c r="G1129" s="37">
        <v>43705</v>
      </c>
      <c r="H1129" s="34">
        <v>8414</v>
      </c>
      <c r="I1129" s="39">
        <f>VLOOKUP(H1129,'PUR-HSN MASTER'!$A$4:$E$5000,5,FALSE)</f>
        <v>18</v>
      </c>
      <c r="J1129" s="38">
        <v>1</v>
      </c>
      <c r="K1129" s="40">
        <v>7300</v>
      </c>
      <c r="L1129" s="39">
        <v>0</v>
      </c>
      <c r="M1129" s="39">
        <v>657</v>
      </c>
      <c r="N1129" s="39">
        <v>657</v>
      </c>
      <c r="O1129" s="39">
        <v>0</v>
      </c>
      <c r="P1129" s="39">
        <v>8614</v>
      </c>
      <c r="Q1129" s="34" t="s">
        <v>410</v>
      </c>
      <c r="R1129" s="34" t="s">
        <v>26</v>
      </c>
      <c r="S1129" s="11" t="s">
        <v>4120</v>
      </c>
    </row>
    <row r="1130" spans="1:19" x14ac:dyDescent="0.2">
      <c r="A1130" s="34"/>
      <c r="B1130" s="34"/>
      <c r="C1130" s="35" t="s">
        <v>634</v>
      </c>
      <c r="D1130" s="34" t="str">
        <f>VLOOKUP(C1130,'PUR-PARTY MASTER'!$B$4:$E$2000,2,FALSE)</f>
        <v>27AVIPS7433C1ZF</v>
      </c>
      <c r="E1130" s="34" t="s">
        <v>22</v>
      </c>
      <c r="F1130" s="136" t="s">
        <v>933</v>
      </c>
      <c r="G1130" s="37">
        <v>43705</v>
      </c>
      <c r="H1130" s="34">
        <v>8544</v>
      </c>
      <c r="I1130" s="39">
        <f>VLOOKUP(H1130,'PUR-HSN MASTER'!$A$4:$E$5000,5,FALSE)</f>
        <v>18</v>
      </c>
      <c r="J1130" s="38">
        <v>100</v>
      </c>
      <c r="K1130" s="40">
        <v>1990</v>
      </c>
      <c r="L1130" s="39">
        <v>0</v>
      </c>
      <c r="M1130" s="39">
        <v>179.1</v>
      </c>
      <c r="N1130" s="39">
        <v>179.1</v>
      </c>
      <c r="O1130" s="39">
        <v>0</v>
      </c>
      <c r="P1130" s="39">
        <v>2348.52</v>
      </c>
      <c r="Q1130" s="34" t="s">
        <v>410</v>
      </c>
      <c r="R1130" s="34" t="s">
        <v>26</v>
      </c>
      <c r="S1130" s="11" t="s">
        <v>4120</v>
      </c>
    </row>
    <row r="1131" spans="1:19" x14ac:dyDescent="0.2">
      <c r="A1131" s="34"/>
      <c r="B1131" s="34"/>
      <c r="C1131" s="35" t="s">
        <v>634</v>
      </c>
      <c r="D1131" s="34" t="str">
        <f>VLOOKUP(C1131,'PUR-PARTY MASTER'!$B$4:$E$2000,2,FALSE)</f>
        <v>27AVIPS7433C1ZF</v>
      </c>
      <c r="E1131" s="34" t="s">
        <v>22</v>
      </c>
      <c r="F1131" s="136" t="s">
        <v>933</v>
      </c>
      <c r="G1131" s="37">
        <v>43705</v>
      </c>
      <c r="H1131" s="34">
        <v>3917</v>
      </c>
      <c r="I1131" s="39">
        <f>VLOOKUP(H1131,'PUR-HSN MASTER'!$A$4:$E$5000,5,FALSE)</f>
        <v>18</v>
      </c>
      <c r="J1131" s="38">
        <v>32</v>
      </c>
      <c r="K1131" s="40">
        <f>384+360</f>
        <v>744</v>
      </c>
      <c r="L1131" s="39">
        <v>0</v>
      </c>
      <c r="M1131" s="39">
        <v>66.960000000000008</v>
      </c>
      <c r="N1131" s="39">
        <v>66.960000000000008</v>
      </c>
      <c r="O1131" s="39">
        <v>0</v>
      </c>
      <c r="P1131" s="39">
        <v>878.00000000000011</v>
      </c>
      <c r="Q1131" s="34" t="s">
        <v>410</v>
      </c>
      <c r="R1131" s="34" t="s">
        <v>26</v>
      </c>
      <c r="S1131" s="11" t="s">
        <v>4120</v>
      </c>
    </row>
    <row r="1132" spans="1:19" x14ac:dyDescent="0.2">
      <c r="A1132" s="34"/>
      <c r="B1132" s="34"/>
      <c r="C1132" s="35" t="s">
        <v>634</v>
      </c>
      <c r="D1132" s="34" t="str">
        <f>VLOOKUP(C1132,'PUR-PARTY MASTER'!$B$4:$E$2000,2,FALSE)</f>
        <v>27AVIPS7433C1ZF</v>
      </c>
      <c r="E1132" s="34" t="s">
        <v>22</v>
      </c>
      <c r="F1132" s="136" t="s">
        <v>933</v>
      </c>
      <c r="G1132" s="37">
        <v>43705</v>
      </c>
      <c r="H1132" s="34">
        <v>3923</v>
      </c>
      <c r="I1132" s="39">
        <f>VLOOKUP(H1132,'PUR-HSN MASTER'!$A$4:$E$5000,5,FALSE)</f>
        <v>18</v>
      </c>
      <c r="J1132" s="38">
        <v>1</v>
      </c>
      <c r="K1132" s="40">
        <v>380</v>
      </c>
      <c r="L1132" s="39">
        <v>0</v>
      </c>
      <c r="M1132" s="39">
        <v>34.199999999999996</v>
      </c>
      <c r="N1132" s="39">
        <v>34.199999999999996</v>
      </c>
      <c r="O1132" s="39">
        <v>0</v>
      </c>
      <c r="P1132" s="39">
        <v>448.47999999999996</v>
      </c>
      <c r="Q1132" s="34" t="s">
        <v>410</v>
      </c>
      <c r="R1132" s="34" t="s">
        <v>26</v>
      </c>
      <c r="S1132" s="11" t="s">
        <v>4120</v>
      </c>
    </row>
    <row r="1133" spans="1:19" x14ac:dyDescent="0.2">
      <c r="A1133" s="33">
        <v>43678</v>
      </c>
      <c r="B1133" s="34">
        <v>150</v>
      </c>
      <c r="C1133" s="35" t="s">
        <v>517</v>
      </c>
      <c r="D1133" s="34" t="str">
        <f>VLOOKUP(C1133,'PUR-PARTY MASTER'!$B$4:$E$2000,2,FALSE)</f>
        <v>23AAACT6376M1ZZ</v>
      </c>
      <c r="E1133" s="34" t="s">
        <v>22</v>
      </c>
      <c r="F1133" s="134">
        <v>19615596</v>
      </c>
      <c r="G1133" s="37">
        <v>43705</v>
      </c>
      <c r="H1133" s="34">
        <v>87081090</v>
      </c>
      <c r="I1133" s="39">
        <f>VLOOKUP(H1133,'PUR-HSN MASTER'!$A$4:$E$5000,5,FALSE)</f>
        <v>28</v>
      </c>
      <c r="J1133" s="34">
        <v>20</v>
      </c>
      <c r="K1133" s="126">
        <v>12571</v>
      </c>
      <c r="L1133" s="39">
        <v>3519.8799999999997</v>
      </c>
      <c r="M1133" s="39">
        <v>0</v>
      </c>
      <c r="N1133" s="39">
        <v>0</v>
      </c>
      <c r="O1133" s="39">
        <v>0</v>
      </c>
      <c r="P1133" s="39">
        <v>16090.88</v>
      </c>
      <c r="Q1133" s="34" t="s">
        <v>410</v>
      </c>
      <c r="R1133" s="34" t="s">
        <v>106</v>
      </c>
      <c r="S1133" s="11" t="s">
        <v>4120</v>
      </c>
    </row>
    <row r="1134" spans="1:19" x14ac:dyDescent="0.2">
      <c r="A1134" s="33">
        <v>43678</v>
      </c>
      <c r="B1134" s="34">
        <v>151</v>
      </c>
      <c r="C1134" s="35" t="s">
        <v>517</v>
      </c>
      <c r="D1134" s="34" t="str">
        <f>VLOOKUP(C1134,'PUR-PARTY MASTER'!$B$4:$E$2000,2,FALSE)</f>
        <v>23AAACT6376M1ZZ</v>
      </c>
      <c r="E1134" s="34" t="s">
        <v>22</v>
      </c>
      <c r="F1134" s="134">
        <v>19615597</v>
      </c>
      <c r="G1134" s="37">
        <v>43705</v>
      </c>
      <c r="H1134" s="34">
        <v>87081090</v>
      </c>
      <c r="I1134" s="39">
        <f>VLOOKUP(H1134,'PUR-HSN MASTER'!$A$4:$E$5000,5,FALSE)</f>
        <v>28</v>
      </c>
      <c r="J1134" s="34">
        <v>4</v>
      </c>
      <c r="K1134" s="126">
        <v>2377.2600000000002</v>
      </c>
      <c r="L1134" s="39">
        <v>665.63279999999997</v>
      </c>
      <c r="M1134" s="39">
        <v>0</v>
      </c>
      <c r="N1134" s="39">
        <v>0</v>
      </c>
      <c r="O1134" s="39">
        <v>0</v>
      </c>
      <c r="P1134" s="39">
        <v>3042.8928000000001</v>
      </c>
      <c r="Q1134" s="34" t="s">
        <v>410</v>
      </c>
      <c r="R1134" s="34" t="s">
        <v>106</v>
      </c>
      <c r="S1134" s="11" t="s">
        <v>4120</v>
      </c>
    </row>
    <row r="1135" spans="1:19" x14ac:dyDescent="0.2">
      <c r="A1135" s="33">
        <v>43678</v>
      </c>
      <c r="B1135" s="34">
        <v>152</v>
      </c>
      <c r="C1135" s="35" t="s">
        <v>495</v>
      </c>
      <c r="D1135" s="34" t="str">
        <f>VLOOKUP(C1135,'PUR-PARTY MASTER'!$B$4:$E$2000,2,FALSE)</f>
        <v>27AAACH4211R1ZF</v>
      </c>
      <c r="E1135" s="34" t="s">
        <v>22</v>
      </c>
      <c r="F1135" s="134">
        <v>5510055946</v>
      </c>
      <c r="G1135" s="37">
        <v>43706</v>
      </c>
      <c r="H1135" s="34">
        <v>85129000</v>
      </c>
      <c r="I1135" s="39">
        <f>VLOOKUP(H1135,'PUR-HSN MASTER'!$A$4:$E$5000,5,FALSE)</f>
        <v>18</v>
      </c>
      <c r="J1135" s="34">
        <v>2400</v>
      </c>
      <c r="K1135" s="126">
        <v>26544</v>
      </c>
      <c r="L1135" s="39">
        <v>0</v>
      </c>
      <c r="M1135" s="39">
        <v>2388.96</v>
      </c>
      <c r="N1135" s="39">
        <v>2388.96</v>
      </c>
      <c r="O1135" s="39">
        <v>0</v>
      </c>
      <c r="P1135" s="39">
        <v>31321.919999999998</v>
      </c>
      <c r="Q1135" s="34" t="s">
        <v>410</v>
      </c>
      <c r="R1135" s="34" t="s">
        <v>26</v>
      </c>
      <c r="S1135" s="11" t="s">
        <v>4120</v>
      </c>
    </row>
    <row r="1136" spans="1:19" x14ac:dyDescent="0.2">
      <c r="A1136" s="33">
        <v>43678</v>
      </c>
      <c r="B1136" s="34">
        <v>153</v>
      </c>
      <c r="C1136" s="35" t="s">
        <v>471</v>
      </c>
      <c r="D1136" s="34" t="str">
        <f>VLOOKUP(C1136,'PUR-PARTY MASTER'!$B$4:$E$2000,2,FALSE)</f>
        <v>27AAECM8871A1ZF</v>
      </c>
      <c r="E1136" s="34" t="s">
        <v>22</v>
      </c>
      <c r="F1136" s="134">
        <v>192004925</v>
      </c>
      <c r="G1136" s="37">
        <v>43706</v>
      </c>
      <c r="H1136" s="34">
        <v>87089900</v>
      </c>
      <c r="I1136" s="39">
        <f>VLOOKUP(H1136,'PUR-HSN MASTER'!$A$4:$E$5000,5,FALSE)</f>
        <v>28</v>
      </c>
      <c r="J1136" s="34">
        <v>12</v>
      </c>
      <c r="K1136" s="126">
        <v>17483.52</v>
      </c>
      <c r="L1136" s="39">
        <v>0</v>
      </c>
      <c r="M1136" s="39">
        <v>2447.6928000000003</v>
      </c>
      <c r="N1136" s="39">
        <v>2447.6928000000003</v>
      </c>
      <c r="O1136" s="39">
        <v>0</v>
      </c>
      <c r="P1136" s="39">
        <v>22378.895600000003</v>
      </c>
      <c r="Q1136" s="34" t="s">
        <v>410</v>
      </c>
      <c r="R1136" s="34" t="s">
        <v>26</v>
      </c>
      <c r="S1136" s="11" t="s">
        <v>4120</v>
      </c>
    </row>
    <row r="1137" spans="1:19" x14ac:dyDescent="0.2">
      <c r="A1137" s="33">
        <v>43678</v>
      </c>
      <c r="B1137" s="34">
        <v>154</v>
      </c>
      <c r="C1137" s="35" t="s">
        <v>554</v>
      </c>
      <c r="D1137" s="34" t="str">
        <f>VLOOKUP(C1137,'PUR-PARTY MASTER'!$B$4:$E$2000,2,FALSE)</f>
        <v>27AACFA1881H1ZL</v>
      </c>
      <c r="E1137" s="34" t="s">
        <v>22</v>
      </c>
      <c r="F1137" s="134">
        <v>11413</v>
      </c>
      <c r="G1137" s="37">
        <v>43707</v>
      </c>
      <c r="H1137" s="34">
        <v>87141900</v>
      </c>
      <c r="I1137" s="39">
        <f>VLOOKUP(H1137,'PUR-HSN MASTER'!$A$4:$E$5000,5,FALSE)</f>
        <v>28</v>
      </c>
      <c r="J1137" s="34">
        <v>2000</v>
      </c>
      <c r="K1137" s="126">
        <v>6300</v>
      </c>
      <c r="L1137" s="39">
        <v>0</v>
      </c>
      <c r="M1137" s="39">
        <v>882</v>
      </c>
      <c r="N1137" s="39">
        <v>882</v>
      </c>
      <c r="O1137" s="39">
        <v>0</v>
      </c>
      <c r="P1137" s="39">
        <v>8064</v>
      </c>
      <c r="Q1137" s="34" t="s">
        <v>410</v>
      </c>
      <c r="R1137" s="34" t="s">
        <v>26</v>
      </c>
      <c r="S1137" s="11" t="s">
        <v>4120</v>
      </c>
    </row>
    <row r="1138" spans="1:19" x14ac:dyDescent="0.2">
      <c r="A1138" s="33">
        <v>43678</v>
      </c>
      <c r="B1138" s="34">
        <v>155</v>
      </c>
      <c r="C1138" s="35" t="s">
        <v>479</v>
      </c>
      <c r="D1138" s="34" t="str">
        <f>VLOOKUP(C1138,'PUR-PARTY MASTER'!$B$4:$E$2000,2,FALSE)</f>
        <v>27AAMFC2124K1ZG</v>
      </c>
      <c r="E1138" s="34" t="s">
        <v>22</v>
      </c>
      <c r="F1138" s="134">
        <v>1246</v>
      </c>
      <c r="G1138" s="37">
        <v>43703</v>
      </c>
      <c r="H1138" s="34">
        <v>3919</v>
      </c>
      <c r="I1138" s="39">
        <f>VLOOKUP(H1138,'PUR-HSN MASTER'!$A$4:$E$5000,5,FALSE)</f>
        <v>18</v>
      </c>
      <c r="J1138" s="34">
        <v>6000</v>
      </c>
      <c r="K1138" s="126">
        <v>12000</v>
      </c>
      <c r="L1138" s="39">
        <v>0</v>
      </c>
      <c r="M1138" s="39">
        <v>1080</v>
      </c>
      <c r="N1138" s="39">
        <v>1080</v>
      </c>
      <c r="O1138" s="39">
        <v>0</v>
      </c>
      <c r="P1138" s="39">
        <v>14160</v>
      </c>
      <c r="Q1138" s="34" t="s">
        <v>410</v>
      </c>
      <c r="R1138" s="34" t="s">
        <v>26</v>
      </c>
      <c r="S1138" s="11" t="s">
        <v>4120</v>
      </c>
    </row>
    <row r="1139" spans="1:19" x14ac:dyDescent="0.2">
      <c r="A1139" s="33">
        <v>43678</v>
      </c>
      <c r="B1139" s="34">
        <v>156</v>
      </c>
      <c r="C1139" s="35" t="s">
        <v>471</v>
      </c>
      <c r="D1139" s="34" t="str">
        <f>VLOOKUP(C1139,'PUR-PARTY MASTER'!$B$4:$E$2000,2,FALSE)</f>
        <v>27AAECM8871A1ZF</v>
      </c>
      <c r="E1139" s="34" t="s">
        <v>22</v>
      </c>
      <c r="F1139" s="134">
        <v>192004944</v>
      </c>
      <c r="G1139" s="37">
        <v>43707</v>
      </c>
      <c r="H1139" s="34">
        <v>87089900</v>
      </c>
      <c r="I1139" s="39">
        <f>VLOOKUP(H1139,'PUR-HSN MASTER'!$A$4:$E$5000,5,FALSE)</f>
        <v>28</v>
      </c>
      <c r="J1139" s="34">
        <v>12</v>
      </c>
      <c r="K1139" s="126">
        <v>17483.52</v>
      </c>
      <c r="L1139" s="39">
        <v>0</v>
      </c>
      <c r="M1139" s="39">
        <v>2447.6928000000003</v>
      </c>
      <c r="N1139" s="39">
        <v>2447.6928000000003</v>
      </c>
      <c r="O1139" s="39">
        <v>0</v>
      </c>
      <c r="P1139" s="39">
        <v>22378.895600000003</v>
      </c>
      <c r="Q1139" s="34" t="s">
        <v>410</v>
      </c>
      <c r="R1139" s="34" t="s">
        <v>26</v>
      </c>
      <c r="S1139" s="11" t="s">
        <v>4120</v>
      </c>
    </row>
    <row r="1140" spans="1:19" x14ac:dyDescent="0.2">
      <c r="A1140" s="33">
        <v>43678</v>
      </c>
      <c r="B1140" s="34">
        <v>157</v>
      </c>
      <c r="C1140" s="35" t="s">
        <v>473</v>
      </c>
      <c r="D1140" s="34" t="str">
        <f>VLOOKUP(C1140,'PUR-PARTY MASTER'!$B$4:$E$2000,2,FALSE)</f>
        <v>27AAACT1848E1ZH</v>
      </c>
      <c r="E1140" s="34" t="s">
        <v>22</v>
      </c>
      <c r="F1140" s="136" t="s">
        <v>934</v>
      </c>
      <c r="G1140" s="37">
        <v>43707</v>
      </c>
      <c r="H1140" s="34">
        <v>87089900</v>
      </c>
      <c r="I1140" s="39">
        <f>VLOOKUP(H1140,'PUR-HSN MASTER'!$A$4:$E$5000,5,FALSE)</f>
        <v>28</v>
      </c>
      <c r="J1140" s="34">
        <v>95</v>
      </c>
      <c r="K1140" s="126">
        <v>6478.25</v>
      </c>
      <c r="L1140" s="39">
        <v>0</v>
      </c>
      <c r="M1140" s="39">
        <v>906.99499999999989</v>
      </c>
      <c r="N1140" s="39">
        <v>906.99499999999989</v>
      </c>
      <c r="O1140" s="39">
        <v>0</v>
      </c>
      <c r="P1140" s="39">
        <v>8292.24</v>
      </c>
      <c r="Q1140" s="34" t="s">
        <v>410</v>
      </c>
      <c r="R1140" s="34" t="s">
        <v>26</v>
      </c>
      <c r="S1140" s="11" t="s">
        <v>4120</v>
      </c>
    </row>
    <row r="1141" spans="1:19" x14ac:dyDescent="0.2">
      <c r="A1141" s="33">
        <v>43678</v>
      </c>
      <c r="B1141" s="34">
        <v>158</v>
      </c>
      <c r="C1141" s="35" t="s">
        <v>554</v>
      </c>
      <c r="D1141" s="34" t="str">
        <f>VLOOKUP(C1141,'PUR-PARTY MASTER'!$B$4:$E$2000,2,FALSE)</f>
        <v>27AACFA1881H1ZL</v>
      </c>
      <c r="E1141" s="34" t="s">
        <v>22</v>
      </c>
      <c r="F1141" s="134">
        <v>11470</v>
      </c>
      <c r="G1141" s="37">
        <v>43708</v>
      </c>
      <c r="H1141" s="34">
        <v>87141900</v>
      </c>
      <c r="I1141" s="39">
        <f>VLOOKUP(H1141,'PUR-HSN MASTER'!$A$4:$E$5000,5,FALSE)</f>
        <v>28</v>
      </c>
      <c r="J1141" s="34">
        <v>2000</v>
      </c>
      <c r="K1141" s="126">
        <v>6300</v>
      </c>
      <c r="L1141" s="39">
        <v>0</v>
      </c>
      <c r="M1141" s="39">
        <v>882</v>
      </c>
      <c r="N1141" s="39">
        <v>882</v>
      </c>
      <c r="O1141" s="39">
        <v>0</v>
      </c>
      <c r="P1141" s="39">
        <v>8064</v>
      </c>
      <c r="Q1141" s="34" t="s">
        <v>410</v>
      </c>
      <c r="R1141" s="34" t="s">
        <v>26</v>
      </c>
      <c r="S1141" s="11" t="s">
        <v>4120</v>
      </c>
    </row>
    <row r="1142" spans="1:19" x14ac:dyDescent="0.2">
      <c r="A1142" s="33">
        <v>43678</v>
      </c>
      <c r="B1142" s="34">
        <v>159</v>
      </c>
      <c r="C1142" s="35" t="s">
        <v>471</v>
      </c>
      <c r="D1142" s="34" t="str">
        <f>VLOOKUP(C1142,'PUR-PARTY MASTER'!$B$4:$E$2000,2,FALSE)</f>
        <v>27AAECM8871A1ZF</v>
      </c>
      <c r="E1142" s="34" t="s">
        <v>22</v>
      </c>
      <c r="F1142" s="134">
        <v>192004977</v>
      </c>
      <c r="G1142" s="37">
        <v>43708</v>
      </c>
      <c r="H1142" s="34">
        <v>87089900</v>
      </c>
      <c r="I1142" s="39">
        <f>VLOOKUP(H1142,'PUR-HSN MASTER'!$A$4:$E$5000,5,FALSE)</f>
        <v>28</v>
      </c>
      <c r="J1142" s="34">
        <v>12</v>
      </c>
      <c r="K1142" s="126">
        <v>17483.52</v>
      </c>
      <c r="L1142" s="39">
        <v>0</v>
      </c>
      <c r="M1142" s="39">
        <v>2447.6928000000003</v>
      </c>
      <c r="N1142" s="39">
        <v>2447.6928000000003</v>
      </c>
      <c r="O1142" s="39">
        <v>0</v>
      </c>
      <c r="P1142" s="39">
        <v>22378.895600000003</v>
      </c>
      <c r="Q1142" s="34" t="s">
        <v>410</v>
      </c>
      <c r="R1142" s="34" t="s">
        <v>26</v>
      </c>
      <c r="S1142" s="11" t="s">
        <v>4120</v>
      </c>
    </row>
    <row r="1143" spans="1:19" x14ac:dyDescent="0.2">
      <c r="A1143" s="33">
        <v>43678</v>
      </c>
      <c r="B1143" s="34">
        <v>160</v>
      </c>
      <c r="C1143" s="35" t="s">
        <v>471</v>
      </c>
      <c r="D1143" s="34" t="str">
        <f>VLOOKUP(C1143,'PUR-PARTY MASTER'!$B$4:$E$2000,2,FALSE)</f>
        <v>27AAECM8871A1ZF</v>
      </c>
      <c r="E1143" s="34" t="s">
        <v>22</v>
      </c>
      <c r="F1143" s="134">
        <v>192004980</v>
      </c>
      <c r="G1143" s="37">
        <v>43708</v>
      </c>
      <c r="H1143" s="34">
        <v>87089900</v>
      </c>
      <c r="I1143" s="39">
        <f>VLOOKUP(H1143,'PUR-HSN MASTER'!$A$4:$E$5000,5,FALSE)</f>
        <v>28</v>
      </c>
      <c r="J1143" s="34">
        <v>12</v>
      </c>
      <c r="K1143" s="126">
        <v>17483.52</v>
      </c>
      <c r="L1143" s="39">
        <v>0</v>
      </c>
      <c r="M1143" s="39">
        <v>2447.6928000000003</v>
      </c>
      <c r="N1143" s="39">
        <v>2447.6928000000003</v>
      </c>
      <c r="O1143" s="39">
        <v>0</v>
      </c>
      <c r="P1143" s="39">
        <v>22378.895600000003</v>
      </c>
      <c r="Q1143" s="34" t="s">
        <v>410</v>
      </c>
      <c r="R1143" s="34" t="s">
        <v>26</v>
      </c>
      <c r="S1143" s="11" t="s">
        <v>4120</v>
      </c>
    </row>
    <row r="1144" spans="1:19" x14ac:dyDescent="0.2">
      <c r="A1144" s="33">
        <v>43678</v>
      </c>
      <c r="B1144" s="34">
        <v>161</v>
      </c>
      <c r="C1144" s="35" t="s">
        <v>556</v>
      </c>
      <c r="D1144" s="34" t="str">
        <f>VLOOKUP(C1144,'PUR-PARTY MASTER'!$B$4:$E$2000,2,FALSE)</f>
        <v>27AAQCS7977M1Z3</v>
      </c>
      <c r="E1144" s="34" t="s">
        <v>22</v>
      </c>
      <c r="F1144" s="136" t="s">
        <v>935</v>
      </c>
      <c r="G1144" s="37">
        <v>43705</v>
      </c>
      <c r="H1144" s="34">
        <v>29141100</v>
      </c>
      <c r="I1144" s="39">
        <f>VLOOKUP(H1144,'PUR-HSN MASTER'!$A$4:$E$5000,5,FALSE)</f>
        <v>18</v>
      </c>
      <c r="J1144" s="34">
        <v>400</v>
      </c>
      <c r="K1144" s="40">
        <v>24400</v>
      </c>
      <c r="L1144" s="39">
        <v>0</v>
      </c>
      <c r="M1144" s="39">
        <v>2196</v>
      </c>
      <c r="N1144" s="39">
        <v>2196</v>
      </c>
      <c r="O1144" s="39">
        <v>0</v>
      </c>
      <c r="P1144" s="39">
        <v>28792</v>
      </c>
      <c r="Q1144" s="34" t="s">
        <v>410</v>
      </c>
      <c r="R1144" s="34" t="s">
        <v>26</v>
      </c>
      <c r="S1144" s="11" t="s">
        <v>4120</v>
      </c>
    </row>
    <row r="1145" spans="1:19" x14ac:dyDescent="0.2">
      <c r="A1145" s="33">
        <v>43678</v>
      </c>
      <c r="B1145" s="34">
        <v>162</v>
      </c>
      <c r="C1145" s="35" t="s">
        <v>589</v>
      </c>
      <c r="D1145" s="34" t="str">
        <f>VLOOKUP(C1145,'PUR-PARTY MASTER'!$B$4:$E$2000,2,FALSE)</f>
        <v>27CVNPK1560R1ZT</v>
      </c>
      <c r="E1145" s="34" t="s">
        <v>22</v>
      </c>
      <c r="F1145" s="134">
        <v>12</v>
      </c>
      <c r="G1145" s="37">
        <v>43708</v>
      </c>
      <c r="H1145" s="34">
        <v>73110010</v>
      </c>
      <c r="I1145" s="39">
        <f>VLOOKUP(H1145,'PUR-HSN MASTER'!$A$4:$E$5000,5,FALSE)</f>
        <v>18</v>
      </c>
      <c r="J1145" s="34">
        <v>50</v>
      </c>
      <c r="K1145" s="40">
        <v>98326.2</v>
      </c>
      <c r="L1145" s="39">
        <v>0</v>
      </c>
      <c r="M1145" s="39">
        <v>8849.3580000000002</v>
      </c>
      <c r="N1145" s="39">
        <v>8849.3580000000002</v>
      </c>
      <c r="O1145" s="39">
        <v>0</v>
      </c>
      <c r="P1145" s="39">
        <v>116025.516</v>
      </c>
      <c r="Q1145" s="34" t="s">
        <v>410</v>
      </c>
      <c r="R1145" s="34" t="s">
        <v>26</v>
      </c>
      <c r="S1145" s="11" t="s">
        <v>4120</v>
      </c>
    </row>
    <row r="1146" spans="1:19" x14ac:dyDescent="0.2">
      <c r="A1146" s="33">
        <v>43678</v>
      </c>
      <c r="B1146" s="34">
        <v>163</v>
      </c>
      <c r="C1146" s="35" t="s">
        <v>506</v>
      </c>
      <c r="D1146" s="34" t="str">
        <f>VLOOKUP(C1146,'PUR-PARTY MASTER'!$B$4:$E$2000,2,FALSE)</f>
        <v>27AAACG1376N1ZC</v>
      </c>
      <c r="E1146" s="34" t="s">
        <v>22</v>
      </c>
      <c r="F1146" s="136" t="s">
        <v>936</v>
      </c>
      <c r="G1146" s="37">
        <v>43708</v>
      </c>
      <c r="H1146" s="34">
        <v>32081090</v>
      </c>
      <c r="I1146" s="39">
        <f>VLOOKUP(H1146,'PUR-HSN MASTER'!$A$4:$E$5000,5,FALSE)</f>
        <v>18</v>
      </c>
      <c r="J1146" s="34">
        <v>20</v>
      </c>
      <c r="K1146" s="126">
        <v>7300</v>
      </c>
      <c r="L1146" s="39">
        <v>0</v>
      </c>
      <c r="M1146" s="39">
        <v>657</v>
      </c>
      <c r="N1146" s="39">
        <v>657</v>
      </c>
      <c r="O1146" s="39">
        <v>0</v>
      </c>
      <c r="P1146" s="39">
        <v>8614</v>
      </c>
      <c r="Q1146" s="34" t="s">
        <v>410</v>
      </c>
      <c r="R1146" s="34" t="s">
        <v>26</v>
      </c>
      <c r="S1146" s="11" t="s">
        <v>4120</v>
      </c>
    </row>
    <row r="1147" spans="1:19" x14ac:dyDescent="0.2">
      <c r="A1147" s="33">
        <v>43678</v>
      </c>
      <c r="B1147" s="34">
        <v>164</v>
      </c>
      <c r="C1147" s="35" t="s">
        <v>506</v>
      </c>
      <c r="D1147" s="34" t="str">
        <f>VLOOKUP(C1147,'PUR-PARTY MASTER'!$B$4:$E$2000,2,FALSE)</f>
        <v>27AAACG1376N1ZC</v>
      </c>
      <c r="E1147" s="34" t="s">
        <v>22</v>
      </c>
      <c r="F1147" s="136" t="s">
        <v>937</v>
      </c>
      <c r="G1147" s="37">
        <v>43708</v>
      </c>
      <c r="H1147" s="34">
        <v>32081090</v>
      </c>
      <c r="I1147" s="39">
        <f>VLOOKUP(H1147,'PUR-HSN MASTER'!$A$4:$E$5000,5,FALSE)</f>
        <v>18</v>
      </c>
      <c r="J1147" s="34">
        <v>10</v>
      </c>
      <c r="K1147" s="126">
        <v>3500</v>
      </c>
      <c r="L1147" s="39">
        <v>0</v>
      </c>
      <c r="M1147" s="39">
        <v>315</v>
      </c>
      <c r="N1147" s="39">
        <v>315</v>
      </c>
      <c r="O1147" s="39">
        <v>0</v>
      </c>
      <c r="P1147" s="39">
        <v>4130</v>
      </c>
      <c r="Q1147" s="34" t="s">
        <v>410</v>
      </c>
      <c r="R1147" s="34" t="s">
        <v>26</v>
      </c>
      <c r="S1147" s="11" t="s">
        <v>4120</v>
      </c>
    </row>
    <row r="1148" spans="1:19" x14ac:dyDescent="0.2">
      <c r="A1148" s="33">
        <v>43678</v>
      </c>
      <c r="B1148" s="34">
        <v>165</v>
      </c>
      <c r="C1148" s="35" t="s">
        <v>561</v>
      </c>
      <c r="D1148" s="34" t="str">
        <f>VLOOKUP(C1148,'PUR-PARTY MASTER'!$B$4:$E$2000,2,FALSE)</f>
        <v>27BUQPM7574N1ZH</v>
      </c>
      <c r="E1148" s="34" t="s">
        <v>22</v>
      </c>
      <c r="F1148" s="136" t="s">
        <v>938</v>
      </c>
      <c r="G1148" s="37">
        <v>43704</v>
      </c>
      <c r="H1148" s="34">
        <v>998346</v>
      </c>
      <c r="I1148" s="39">
        <f>VLOOKUP(H1148,'PUR-HSN MASTER'!$A$4:$E$5000,5,FALSE)</f>
        <v>18</v>
      </c>
      <c r="J1148" s="38">
        <v>2</v>
      </c>
      <c r="K1148" s="40">
        <v>9425</v>
      </c>
      <c r="L1148" s="39">
        <v>0</v>
      </c>
      <c r="M1148" s="39">
        <v>848.25</v>
      </c>
      <c r="N1148" s="39">
        <v>848.25</v>
      </c>
      <c r="O1148" s="39">
        <v>0</v>
      </c>
      <c r="P1148" s="39">
        <v>11122</v>
      </c>
      <c r="Q1148" s="34" t="s">
        <v>410</v>
      </c>
      <c r="R1148" s="34" t="s">
        <v>26</v>
      </c>
      <c r="S1148" s="11" t="s">
        <v>4120</v>
      </c>
    </row>
    <row r="1149" spans="1:19" x14ac:dyDescent="0.2">
      <c r="A1149" s="33">
        <v>43678</v>
      </c>
      <c r="B1149" s="34">
        <v>166</v>
      </c>
      <c r="C1149" s="35" t="s">
        <v>102</v>
      </c>
      <c r="D1149" s="34" t="str">
        <f>VLOOKUP(C1149,'PUR-PARTY MASTER'!$B$4:$E$2000,2,FALSE)</f>
        <v>23AABCE9378F1ZK</v>
      </c>
      <c r="E1149" s="34" t="s">
        <v>22</v>
      </c>
      <c r="F1149" s="634" t="s">
        <v>939</v>
      </c>
      <c r="G1149" s="37">
        <v>43686</v>
      </c>
      <c r="H1149" s="34">
        <v>87081090</v>
      </c>
      <c r="I1149" s="39">
        <f>VLOOKUP(H1149,'PUR-HSN MASTER'!$A$4:$E$5000,5,FALSE)</f>
        <v>28</v>
      </c>
      <c r="J1149" s="34">
        <v>1</v>
      </c>
      <c r="K1149" s="40">
        <v>2030.87</v>
      </c>
      <c r="L1149" s="39">
        <v>568.64359999999999</v>
      </c>
      <c r="M1149" s="39">
        <v>0</v>
      </c>
      <c r="N1149" s="39">
        <v>0</v>
      </c>
      <c r="O1149" s="39">
        <v>0</v>
      </c>
      <c r="P1149" s="39">
        <v>2599.5135999999998</v>
      </c>
      <c r="Q1149" s="34" t="s">
        <v>410</v>
      </c>
      <c r="R1149" s="34" t="s">
        <v>106</v>
      </c>
      <c r="S1149" s="11" t="s">
        <v>4120</v>
      </c>
    </row>
    <row r="1150" spans="1:19" x14ac:dyDescent="0.2">
      <c r="A1150" s="33">
        <v>43678</v>
      </c>
      <c r="B1150" s="34">
        <v>167</v>
      </c>
      <c r="C1150" s="35" t="s">
        <v>102</v>
      </c>
      <c r="D1150" s="34" t="str">
        <f>VLOOKUP(C1150,'PUR-PARTY MASTER'!$B$4:$E$2000,2,FALSE)</f>
        <v>23AABCE9378F1ZK</v>
      </c>
      <c r="E1150" s="34" t="s">
        <v>22</v>
      </c>
      <c r="F1150" s="634" t="s">
        <v>940</v>
      </c>
      <c r="G1150" s="37">
        <v>43686</v>
      </c>
      <c r="H1150" s="34">
        <v>87081090</v>
      </c>
      <c r="I1150" s="39">
        <f>VLOOKUP(H1150,'PUR-HSN MASTER'!$A$4:$E$5000,5,FALSE)</f>
        <v>28</v>
      </c>
      <c r="J1150" s="34">
        <v>13</v>
      </c>
      <c r="K1150" s="40">
        <v>12204.66</v>
      </c>
      <c r="L1150" s="39">
        <v>3417.3047999999999</v>
      </c>
      <c r="M1150" s="39">
        <v>0</v>
      </c>
      <c r="N1150" s="39">
        <v>0</v>
      </c>
      <c r="O1150" s="39">
        <v>0</v>
      </c>
      <c r="P1150" s="39">
        <v>15621.9648</v>
      </c>
      <c r="Q1150" s="34" t="s">
        <v>410</v>
      </c>
      <c r="R1150" s="34" t="s">
        <v>106</v>
      </c>
      <c r="S1150" s="11" t="s">
        <v>4120</v>
      </c>
    </row>
    <row r="1151" spans="1:19" x14ac:dyDescent="0.2">
      <c r="A1151" s="33">
        <v>43678</v>
      </c>
      <c r="B1151" s="34">
        <v>168</v>
      </c>
      <c r="C1151" s="35" t="s">
        <v>102</v>
      </c>
      <c r="D1151" s="34" t="str">
        <f>VLOOKUP(C1151,'PUR-PARTY MASTER'!$B$4:$E$2000,2,FALSE)</f>
        <v>23AABCE9378F1ZK</v>
      </c>
      <c r="E1151" s="34" t="s">
        <v>22</v>
      </c>
      <c r="F1151" s="36" t="s">
        <v>941</v>
      </c>
      <c r="G1151" s="37">
        <v>43695</v>
      </c>
      <c r="H1151" s="34">
        <v>87081090</v>
      </c>
      <c r="I1151" s="39">
        <f>VLOOKUP(H1151,'PUR-HSN MASTER'!$A$4:$E$5000,5,FALSE)</f>
        <v>28</v>
      </c>
      <c r="J1151" s="34">
        <v>1</v>
      </c>
      <c r="K1151" s="40">
        <v>325.70999999999998</v>
      </c>
      <c r="L1151" s="39">
        <v>91.198799999999991</v>
      </c>
      <c r="M1151" s="39">
        <v>0</v>
      </c>
      <c r="N1151" s="39">
        <v>0</v>
      </c>
      <c r="O1151" s="39">
        <v>0</v>
      </c>
      <c r="P1151" s="39">
        <v>416.90879999999999</v>
      </c>
      <c r="Q1151" s="34" t="s">
        <v>410</v>
      </c>
      <c r="R1151" s="34" t="s">
        <v>106</v>
      </c>
      <c r="S1151" s="11" t="s">
        <v>4120</v>
      </c>
    </row>
    <row r="1152" spans="1:19" x14ac:dyDescent="0.2">
      <c r="A1152" s="33">
        <v>43678</v>
      </c>
      <c r="B1152" s="34">
        <v>169</v>
      </c>
      <c r="C1152" s="35" t="s">
        <v>102</v>
      </c>
      <c r="D1152" s="34" t="str">
        <f>VLOOKUP(C1152,'PUR-PARTY MASTER'!$B$4:$E$2000,2,FALSE)</f>
        <v>23AABCE9378F1ZK</v>
      </c>
      <c r="E1152" s="34" t="s">
        <v>22</v>
      </c>
      <c r="F1152" s="36" t="s">
        <v>942</v>
      </c>
      <c r="G1152" s="37">
        <v>43695</v>
      </c>
      <c r="H1152" s="34">
        <v>87081090</v>
      </c>
      <c r="I1152" s="39">
        <f>VLOOKUP(H1152,'PUR-HSN MASTER'!$A$4:$E$5000,5,FALSE)</f>
        <v>28</v>
      </c>
      <c r="J1152" s="34">
        <v>2</v>
      </c>
      <c r="K1152" s="40">
        <v>4297.6000000000004</v>
      </c>
      <c r="L1152" s="39">
        <v>1203.3280000000002</v>
      </c>
      <c r="M1152" s="39">
        <v>0</v>
      </c>
      <c r="N1152" s="39">
        <v>0</v>
      </c>
      <c r="O1152" s="39">
        <v>0</v>
      </c>
      <c r="P1152" s="39">
        <v>5500.9280000000008</v>
      </c>
      <c r="Q1152" s="34" t="s">
        <v>410</v>
      </c>
      <c r="R1152" s="34" t="s">
        <v>106</v>
      </c>
      <c r="S1152" s="11" t="s">
        <v>4120</v>
      </c>
    </row>
    <row r="1153" spans="1:19" x14ac:dyDescent="0.2">
      <c r="A1153" s="33">
        <v>43678</v>
      </c>
      <c r="B1153" s="34">
        <v>9</v>
      </c>
      <c r="C1153" s="35" t="s">
        <v>473</v>
      </c>
      <c r="D1153" s="34" t="str">
        <f>VLOOKUP(C1153,'PUR-PARTY MASTER'!$B$4:$E$2000,2,FALSE)</f>
        <v>27AAACT1848E1ZH</v>
      </c>
      <c r="E1153" s="34" t="s">
        <v>228</v>
      </c>
      <c r="F1153" s="136">
        <v>9</v>
      </c>
      <c r="G1153" s="37">
        <v>43705</v>
      </c>
      <c r="H1153" s="34">
        <v>87089900</v>
      </c>
      <c r="I1153" s="39">
        <f>VLOOKUP(H1153,'PUR-HSN MASTER'!$A$4:$E$5000,5,FALSE)</f>
        <v>28</v>
      </c>
      <c r="J1153" s="34">
        <v>16</v>
      </c>
      <c r="K1153" s="126">
        <v>-2250.4</v>
      </c>
      <c r="L1153" s="39">
        <v>0</v>
      </c>
      <c r="M1153" s="39">
        <v>-315.05600000000004</v>
      </c>
      <c r="N1153" s="39">
        <v>-315.05600000000004</v>
      </c>
      <c r="O1153" s="39">
        <v>0</v>
      </c>
      <c r="P1153" s="39">
        <v>-2880.5120000000002</v>
      </c>
      <c r="Q1153" s="34" t="s">
        <v>410</v>
      </c>
      <c r="R1153" s="34" t="s">
        <v>26</v>
      </c>
      <c r="S1153" s="11" t="s">
        <v>4120</v>
      </c>
    </row>
    <row r="1154" spans="1:19" x14ac:dyDescent="0.2">
      <c r="A1154" s="33">
        <v>43678</v>
      </c>
      <c r="B1154" s="34">
        <v>12</v>
      </c>
      <c r="C1154" s="35" t="s">
        <v>600</v>
      </c>
      <c r="D1154" s="34">
        <f>VLOOKUP(C1154,'PUR-PARTY MASTER'!$B$4:$E$2000,2,FALSE)</f>
        <v>2</v>
      </c>
      <c r="E1154" s="34" t="s">
        <v>392</v>
      </c>
      <c r="F1154" s="627">
        <v>26</v>
      </c>
      <c r="G1154" s="37">
        <v>43682</v>
      </c>
      <c r="H1154" s="34"/>
      <c r="I1154" s="39" t="e">
        <f>VLOOKUP(H1154,'PUR-HSN MASTER'!$A$4:$E$5000,5,FALSE)</f>
        <v>#N/A</v>
      </c>
      <c r="J1154" s="34"/>
      <c r="K1154" s="41"/>
      <c r="L1154" s="39">
        <v>0</v>
      </c>
      <c r="M1154" s="39">
        <v>0</v>
      </c>
      <c r="N1154" s="39">
        <v>0</v>
      </c>
      <c r="O1154" s="39">
        <v>0</v>
      </c>
      <c r="P1154" s="39">
        <v>33600</v>
      </c>
      <c r="Q1154" s="34" t="s">
        <v>413</v>
      </c>
      <c r="R1154" s="34" t="e">
        <v>#N/A</v>
      </c>
      <c r="S1154" s="11" t="s">
        <v>4120</v>
      </c>
    </row>
    <row r="1155" spans="1:19" x14ac:dyDescent="0.2">
      <c r="A1155" s="33">
        <v>43678</v>
      </c>
      <c r="B1155" s="34">
        <v>13</v>
      </c>
      <c r="C1155" s="35" t="s">
        <v>686</v>
      </c>
      <c r="D1155" s="34" t="str">
        <f>VLOOKUP(C1155,'PUR-PARTY MASTER'!$B$4:$E$2000,2,FALSE)</f>
        <v>23AAFFO4378L1ZX</v>
      </c>
      <c r="E1155" s="34" t="s">
        <v>392</v>
      </c>
      <c r="F1155" s="627">
        <v>1559</v>
      </c>
      <c r="G1155" s="37">
        <v>43690</v>
      </c>
      <c r="H1155" s="34"/>
      <c r="I1155" s="39" t="e">
        <f>VLOOKUP(H1155,'PUR-HSN MASTER'!$A$4:$E$5000,5,FALSE)</f>
        <v>#N/A</v>
      </c>
      <c r="J1155" s="34"/>
      <c r="K1155" s="41"/>
      <c r="L1155" s="39">
        <v>0</v>
      </c>
      <c r="M1155" s="39">
        <v>0</v>
      </c>
      <c r="N1155" s="39">
        <v>0</v>
      </c>
      <c r="O1155" s="39">
        <v>0</v>
      </c>
      <c r="P1155" s="39">
        <v>2300</v>
      </c>
      <c r="Q1155" s="34" t="s">
        <v>413</v>
      </c>
      <c r="R1155" s="34" t="s">
        <v>106</v>
      </c>
      <c r="S1155" s="11" t="s">
        <v>4120</v>
      </c>
    </row>
    <row r="1156" spans="1:19" x14ac:dyDescent="0.2">
      <c r="A1156" s="34"/>
      <c r="B1156" s="34"/>
      <c r="C1156" s="34"/>
      <c r="D1156" s="34" t="e">
        <f>VLOOKUP(C1156,'PUR-PARTY MASTER'!$B$4:$E$2000,2,FALSE)</f>
        <v>#N/A</v>
      </c>
      <c r="E1156" s="34"/>
      <c r="F1156" s="34"/>
      <c r="G1156" s="34"/>
      <c r="H1156" s="34"/>
      <c r="I1156" s="39" t="e">
        <f>VLOOKUP(H1156,'PUR-HSN MASTER'!$A$4:$E$5000,5,FALSE)</f>
        <v>#N/A</v>
      </c>
      <c r="J1156" s="34"/>
      <c r="K1156" s="39"/>
      <c r="L1156" s="39"/>
      <c r="M1156" s="39"/>
      <c r="N1156" s="39"/>
      <c r="O1156" s="39"/>
      <c r="P1156" s="39"/>
      <c r="Q1156" s="34"/>
      <c r="R1156" s="34" t="e">
        <v>#N/A</v>
      </c>
      <c r="S1156" s="11" t="s">
        <v>4120</v>
      </c>
    </row>
    <row r="1157" spans="1:19" x14ac:dyDescent="0.2">
      <c r="A1157" s="51">
        <v>43709</v>
      </c>
      <c r="B1157" s="34">
        <v>1</v>
      </c>
      <c r="C1157" s="35" t="s">
        <v>499</v>
      </c>
      <c r="D1157" s="34" t="str">
        <f>VLOOKUP(C1157,'PUR-PARTY MASTER'!$B$4:$E$2000,2,FALSE)</f>
        <v>27AAHFP1154B1ZN</v>
      </c>
      <c r="E1157" s="34" t="s">
        <v>22</v>
      </c>
      <c r="F1157" s="136" t="s">
        <v>943</v>
      </c>
      <c r="G1157" s="37">
        <v>43711</v>
      </c>
      <c r="H1157" s="34">
        <v>48196000</v>
      </c>
      <c r="I1157" s="39">
        <f>VLOOKUP(H1157,'PUR-HSN MASTER'!$A$4:$E$5000,5,FALSE)</f>
        <v>18</v>
      </c>
      <c r="J1157" s="34"/>
      <c r="K1157" s="126">
        <v>500</v>
      </c>
      <c r="L1157" s="39">
        <v>0</v>
      </c>
      <c r="M1157" s="39">
        <v>45</v>
      </c>
      <c r="N1157" s="39">
        <v>45</v>
      </c>
      <c r="O1157" s="39">
        <v>0</v>
      </c>
      <c r="P1157" s="39">
        <v>590</v>
      </c>
      <c r="Q1157" s="34" t="s">
        <v>410</v>
      </c>
      <c r="R1157" s="34" t="s">
        <v>26</v>
      </c>
      <c r="S1157" s="11" t="s">
        <v>4120</v>
      </c>
    </row>
    <row r="1158" spans="1:19" x14ac:dyDescent="0.2">
      <c r="A1158" s="51">
        <v>43709</v>
      </c>
      <c r="B1158" s="34"/>
      <c r="C1158" s="35" t="s">
        <v>499</v>
      </c>
      <c r="D1158" s="34" t="str">
        <f>VLOOKUP(C1158,'PUR-PARTY MASTER'!$B$4:$E$2000,2,FALSE)</f>
        <v>27AAHFP1154B1ZN</v>
      </c>
      <c r="E1158" s="34" t="s">
        <v>22</v>
      </c>
      <c r="F1158" s="136" t="s">
        <v>943</v>
      </c>
      <c r="G1158" s="37">
        <v>43711</v>
      </c>
      <c r="H1158" s="34">
        <v>27076000</v>
      </c>
      <c r="I1158" s="39">
        <f>VLOOKUP(H1158,'PUR-HSN MASTER'!$A$4:$E$5000,5,FALSE)</f>
        <v>18</v>
      </c>
      <c r="J1158" s="34"/>
      <c r="K1158" s="126">
        <v>85</v>
      </c>
      <c r="L1158" s="39">
        <v>0</v>
      </c>
      <c r="M1158" s="39">
        <v>7.6499999999999995</v>
      </c>
      <c r="N1158" s="39">
        <v>7.6499999999999995</v>
      </c>
      <c r="O1158" s="39">
        <v>0</v>
      </c>
      <c r="P1158" s="39">
        <v>100</v>
      </c>
      <c r="Q1158" s="34" t="s">
        <v>410</v>
      </c>
      <c r="R1158" s="34" t="s">
        <v>26</v>
      </c>
      <c r="S1158" s="11" t="s">
        <v>4120</v>
      </c>
    </row>
    <row r="1159" spans="1:19" x14ac:dyDescent="0.2">
      <c r="A1159" s="51">
        <v>43709</v>
      </c>
      <c r="B1159" s="34"/>
      <c r="C1159" s="35" t="s">
        <v>499</v>
      </c>
      <c r="D1159" s="34" t="str">
        <f>VLOOKUP(C1159,'PUR-PARTY MASTER'!$B$4:$E$2000,2,FALSE)</f>
        <v>27AAHFP1154B1ZN</v>
      </c>
      <c r="E1159" s="34" t="s">
        <v>22</v>
      </c>
      <c r="F1159" s="136" t="s">
        <v>943</v>
      </c>
      <c r="G1159" s="37">
        <v>43711</v>
      </c>
      <c r="H1159" s="34">
        <v>4820</v>
      </c>
      <c r="I1159" s="39">
        <f>VLOOKUP(H1159,'PUR-HSN MASTER'!$A$4:$E$5000,5,FALSE)</f>
        <v>18</v>
      </c>
      <c r="J1159" s="34"/>
      <c r="K1159" s="126">
        <v>300</v>
      </c>
      <c r="L1159" s="39">
        <v>0</v>
      </c>
      <c r="M1159" s="39">
        <v>27</v>
      </c>
      <c r="N1159" s="39">
        <v>27</v>
      </c>
      <c r="O1159" s="39">
        <v>0</v>
      </c>
      <c r="P1159" s="39">
        <v>354</v>
      </c>
      <c r="Q1159" s="34" t="s">
        <v>410</v>
      </c>
      <c r="R1159" s="34" t="s">
        <v>26</v>
      </c>
      <c r="S1159" s="11" t="s">
        <v>4120</v>
      </c>
    </row>
    <row r="1160" spans="1:19" x14ac:dyDescent="0.2">
      <c r="A1160" s="51">
        <v>43709</v>
      </c>
      <c r="B1160" s="34"/>
      <c r="C1160" s="35" t="s">
        <v>499</v>
      </c>
      <c r="D1160" s="34" t="str">
        <f>VLOOKUP(C1160,'PUR-PARTY MASTER'!$B$4:$E$2000,2,FALSE)</f>
        <v>27AAHFP1154B1ZN</v>
      </c>
      <c r="E1160" s="34" t="s">
        <v>22</v>
      </c>
      <c r="F1160" s="136" t="s">
        <v>943</v>
      </c>
      <c r="G1160" s="37">
        <v>43711</v>
      </c>
      <c r="H1160" s="34">
        <v>96031000</v>
      </c>
      <c r="I1160" s="39">
        <f>VLOOKUP(H1160,'PUR-HSN MASTER'!$A$4:$E$5000,5,FALSE)</f>
        <v>0</v>
      </c>
      <c r="J1160" s="34"/>
      <c r="K1160" s="126">
        <v>180</v>
      </c>
      <c r="L1160" s="39">
        <v>0</v>
      </c>
      <c r="M1160" s="39">
        <v>0</v>
      </c>
      <c r="N1160" s="39">
        <v>0</v>
      </c>
      <c r="O1160" s="39">
        <v>0</v>
      </c>
      <c r="P1160" s="39">
        <v>180</v>
      </c>
      <c r="Q1160" s="34" t="s">
        <v>377</v>
      </c>
      <c r="R1160" s="34" t="s">
        <v>26</v>
      </c>
      <c r="S1160" s="11" t="s">
        <v>4120</v>
      </c>
    </row>
    <row r="1161" spans="1:19" x14ac:dyDescent="0.2">
      <c r="A1161" s="51">
        <v>43709</v>
      </c>
      <c r="B1161" s="34"/>
      <c r="C1161" s="35" t="s">
        <v>499</v>
      </c>
      <c r="D1161" s="34" t="str">
        <f>VLOOKUP(C1161,'PUR-PARTY MASTER'!$B$4:$E$2000,2,FALSE)</f>
        <v>27AAHFP1154B1ZN</v>
      </c>
      <c r="E1161" s="34" t="s">
        <v>22</v>
      </c>
      <c r="F1161" s="136" t="s">
        <v>943</v>
      </c>
      <c r="G1161" s="37">
        <v>43711</v>
      </c>
      <c r="H1161" s="34">
        <v>59111000</v>
      </c>
      <c r="I1161" s="39">
        <f>VLOOKUP(H1161,'PUR-HSN MASTER'!$A$4:$E$5000,5,FALSE)</f>
        <v>12</v>
      </c>
      <c r="J1161" s="34"/>
      <c r="K1161" s="126">
        <v>1300</v>
      </c>
      <c r="L1161" s="39">
        <v>0</v>
      </c>
      <c r="M1161" s="39">
        <v>78</v>
      </c>
      <c r="N1161" s="39">
        <v>78</v>
      </c>
      <c r="O1161" s="39">
        <v>0</v>
      </c>
      <c r="P1161" s="39">
        <v>1456</v>
      </c>
      <c r="Q1161" s="34" t="s">
        <v>410</v>
      </c>
      <c r="R1161" s="34" t="s">
        <v>26</v>
      </c>
      <c r="S1161" s="11" t="s">
        <v>4120</v>
      </c>
    </row>
    <row r="1162" spans="1:19" x14ac:dyDescent="0.2">
      <c r="A1162" s="51">
        <v>43709</v>
      </c>
      <c r="B1162" s="34">
        <v>2</v>
      </c>
      <c r="C1162" s="35" t="s">
        <v>499</v>
      </c>
      <c r="D1162" s="34" t="str">
        <f>VLOOKUP(C1162,'PUR-PARTY MASTER'!$B$4:$E$2000,2,FALSE)</f>
        <v>27AAHFP1154B1ZN</v>
      </c>
      <c r="E1162" s="34" t="s">
        <v>22</v>
      </c>
      <c r="F1162" s="136" t="s">
        <v>944</v>
      </c>
      <c r="G1162" s="37">
        <v>43711</v>
      </c>
      <c r="H1162" s="34">
        <v>42034010</v>
      </c>
      <c r="I1162" s="39">
        <f>VLOOKUP(H1162,'PUR-HSN MASTER'!$A$4:$E$5000,5,FALSE)</f>
        <v>5</v>
      </c>
      <c r="J1162" s="34"/>
      <c r="K1162" s="126">
        <v>3859</v>
      </c>
      <c r="L1162" s="39">
        <v>0</v>
      </c>
      <c r="M1162" s="39">
        <v>96.475000000000009</v>
      </c>
      <c r="N1162" s="39">
        <v>96.475000000000009</v>
      </c>
      <c r="O1162" s="39">
        <v>0</v>
      </c>
      <c r="P1162" s="39">
        <v>4052</v>
      </c>
      <c r="Q1162" s="34" t="s">
        <v>410</v>
      </c>
      <c r="R1162" s="34" t="s">
        <v>26</v>
      </c>
      <c r="S1162" s="11" t="s">
        <v>4120</v>
      </c>
    </row>
    <row r="1163" spans="1:19" x14ac:dyDescent="0.2">
      <c r="A1163" s="51">
        <v>43709</v>
      </c>
      <c r="B1163" s="34">
        <v>3</v>
      </c>
      <c r="C1163" s="35" t="s">
        <v>659</v>
      </c>
      <c r="D1163" s="34" t="str">
        <f>VLOOKUP(C1163,'PUR-PARTY MASTER'!$B$4:$E$2000,2,FALSE)</f>
        <v>27AAZPJ4136D1ZI</v>
      </c>
      <c r="E1163" s="34" t="s">
        <v>22</v>
      </c>
      <c r="F1163" s="136" t="s">
        <v>945</v>
      </c>
      <c r="G1163" s="37">
        <v>43711</v>
      </c>
      <c r="H1163" s="34">
        <v>2710</v>
      </c>
      <c r="I1163" s="39">
        <f>VLOOKUP(H1163,'PUR-HSN MASTER'!$A$4:$E$5000,5,FALSE)</f>
        <v>18</v>
      </c>
      <c r="J1163" s="38">
        <v>240</v>
      </c>
      <c r="K1163" s="40">
        <v>16320</v>
      </c>
      <c r="L1163" s="39">
        <v>0</v>
      </c>
      <c r="M1163" s="39">
        <v>1468.8</v>
      </c>
      <c r="N1163" s="39">
        <v>1468.8</v>
      </c>
      <c r="O1163" s="39">
        <v>0</v>
      </c>
      <c r="P1163" s="39">
        <v>19258</v>
      </c>
      <c r="Q1163" s="34" t="s">
        <v>410</v>
      </c>
      <c r="R1163" s="34" t="s">
        <v>26</v>
      </c>
      <c r="S1163" s="11" t="s">
        <v>4120</v>
      </c>
    </row>
    <row r="1164" spans="1:19" x14ac:dyDescent="0.2">
      <c r="A1164" s="51">
        <v>43709</v>
      </c>
      <c r="B1164" s="34">
        <v>4</v>
      </c>
      <c r="C1164" s="35" t="s">
        <v>565</v>
      </c>
      <c r="D1164" s="34" t="str">
        <f>VLOOKUP(C1164,'PUR-PARTY MASTER'!$B$4:$E$2000,2,FALSE)</f>
        <v>27ADOPJ4418Q1ZV</v>
      </c>
      <c r="E1164" s="34" t="s">
        <v>22</v>
      </c>
      <c r="F1164" s="134">
        <v>4922</v>
      </c>
      <c r="G1164" s="37">
        <v>43679</v>
      </c>
      <c r="H1164" s="34">
        <v>7314</v>
      </c>
      <c r="I1164" s="39">
        <f>VLOOKUP(H1164,'PUR-HSN MASTER'!$A$4:$E$5000,5,FALSE)</f>
        <v>18</v>
      </c>
      <c r="J1164" s="38">
        <v>2</v>
      </c>
      <c r="K1164" s="40">
        <v>3480</v>
      </c>
      <c r="L1164" s="39">
        <v>0</v>
      </c>
      <c r="M1164" s="39">
        <v>313.2</v>
      </c>
      <c r="N1164" s="39">
        <v>313.2</v>
      </c>
      <c r="O1164" s="39">
        <v>0</v>
      </c>
      <c r="P1164" s="39">
        <v>4106.3999999999996</v>
      </c>
      <c r="Q1164" s="34" t="s">
        <v>410</v>
      </c>
      <c r="R1164" s="34" t="s">
        <v>26</v>
      </c>
      <c r="S1164" s="11" t="s">
        <v>4120</v>
      </c>
    </row>
    <row r="1165" spans="1:19" x14ac:dyDescent="0.2">
      <c r="A1165" s="51">
        <v>43709</v>
      </c>
      <c r="B1165" s="34"/>
      <c r="C1165" s="35" t="s">
        <v>565</v>
      </c>
      <c r="D1165" s="34" t="str">
        <f>VLOOKUP(C1165,'PUR-PARTY MASTER'!$B$4:$E$2000,2,FALSE)</f>
        <v>27ADOPJ4418Q1ZV</v>
      </c>
      <c r="E1165" s="34" t="s">
        <v>22</v>
      </c>
      <c r="F1165" s="134">
        <v>4922</v>
      </c>
      <c r="G1165" s="37">
        <v>43679</v>
      </c>
      <c r="H1165" s="34">
        <v>3208</v>
      </c>
      <c r="I1165" s="39">
        <f>VLOOKUP(H1165,'PUR-HSN MASTER'!$A$4:$E$5000,5,FALSE)</f>
        <v>18</v>
      </c>
      <c r="J1165" s="38">
        <v>9</v>
      </c>
      <c r="K1165" s="40">
        <v>14522.78</v>
      </c>
      <c r="L1165" s="39">
        <v>0</v>
      </c>
      <c r="M1165" s="39">
        <v>1307.0702000000001</v>
      </c>
      <c r="N1165" s="39">
        <v>1307.0702000000001</v>
      </c>
      <c r="O1165" s="39">
        <v>0</v>
      </c>
      <c r="P1165" s="39">
        <v>17137.000400000004</v>
      </c>
      <c r="Q1165" s="34" t="s">
        <v>410</v>
      </c>
      <c r="R1165" s="34" t="s">
        <v>26</v>
      </c>
      <c r="S1165" s="11" t="s">
        <v>4120</v>
      </c>
    </row>
    <row r="1166" spans="1:19" x14ac:dyDescent="0.2">
      <c r="A1166" s="51">
        <v>43709</v>
      </c>
      <c r="B1166" s="34"/>
      <c r="C1166" s="35" t="s">
        <v>565</v>
      </c>
      <c r="D1166" s="34" t="str">
        <f>VLOOKUP(C1166,'PUR-PARTY MASTER'!$B$4:$E$2000,2,FALSE)</f>
        <v>27ADOPJ4418Q1ZV</v>
      </c>
      <c r="E1166" s="34" t="s">
        <v>22</v>
      </c>
      <c r="F1166" s="134">
        <v>4922</v>
      </c>
      <c r="G1166" s="37">
        <v>43679</v>
      </c>
      <c r="H1166" s="34" t="s">
        <v>569</v>
      </c>
      <c r="I1166" s="39">
        <f>VLOOKUP(H1166,'PUR-HSN MASTER'!$A$4:$E$5000,5,FALSE)</f>
        <v>18</v>
      </c>
      <c r="J1166" s="38">
        <v>2</v>
      </c>
      <c r="K1166" s="40">
        <v>368.62</v>
      </c>
      <c r="L1166" s="39">
        <v>0</v>
      </c>
      <c r="M1166" s="39">
        <v>33.175800000000002</v>
      </c>
      <c r="N1166" s="39">
        <v>33.175800000000002</v>
      </c>
      <c r="O1166" s="39">
        <v>0</v>
      </c>
      <c r="P1166" s="39">
        <v>435.0016</v>
      </c>
      <c r="Q1166" s="34" t="s">
        <v>410</v>
      </c>
      <c r="R1166" s="34" t="s">
        <v>26</v>
      </c>
      <c r="S1166" s="11" t="s">
        <v>4120</v>
      </c>
    </row>
    <row r="1167" spans="1:19" x14ac:dyDescent="0.2">
      <c r="A1167" s="51">
        <v>43709</v>
      </c>
      <c r="B1167" s="34"/>
      <c r="C1167" s="35" t="s">
        <v>565</v>
      </c>
      <c r="D1167" s="34" t="str">
        <f>VLOOKUP(C1167,'PUR-PARTY MASTER'!$B$4:$E$2000,2,FALSE)</f>
        <v>27ADOPJ4418Q1ZV</v>
      </c>
      <c r="E1167" s="34" t="s">
        <v>22</v>
      </c>
      <c r="F1167" s="134">
        <v>4922</v>
      </c>
      <c r="G1167" s="37">
        <v>43679</v>
      </c>
      <c r="H1167" s="34">
        <v>8481</v>
      </c>
      <c r="I1167" s="39">
        <f>VLOOKUP(H1167,'PUR-HSN MASTER'!$A$4:$E$5000,5,FALSE)</f>
        <v>18</v>
      </c>
      <c r="J1167" s="38">
        <v>2</v>
      </c>
      <c r="K1167" s="40">
        <v>320</v>
      </c>
      <c r="L1167" s="39">
        <v>0</v>
      </c>
      <c r="M1167" s="39">
        <v>28.8</v>
      </c>
      <c r="N1167" s="39">
        <v>28.8</v>
      </c>
      <c r="O1167" s="39">
        <v>0</v>
      </c>
      <c r="P1167" s="39">
        <v>377.6</v>
      </c>
      <c r="Q1167" s="34" t="s">
        <v>410</v>
      </c>
      <c r="R1167" s="34" t="s">
        <v>26</v>
      </c>
      <c r="S1167" s="11" t="s">
        <v>4120</v>
      </c>
    </row>
    <row r="1168" spans="1:19" x14ac:dyDescent="0.2">
      <c r="A1168" s="51">
        <v>43709</v>
      </c>
      <c r="B1168" s="34"/>
      <c r="C1168" s="35" t="s">
        <v>565</v>
      </c>
      <c r="D1168" s="34" t="str">
        <f>VLOOKUP(C1168,'PUR-PARTY MASTER'!$B$4:$E$2000,2,FALSE)</f>
        <v>27ADOPJ4418Q1ZV</v>
      </c>
      <c r="E1168" s="34" t="s">
        <v>22</v>
      </c>
      <c r="F1168" s="134">
        <v>4922</v>
      </c>
      <c r="G1168" s="37">
        <v>43679</v>
      </c>
      <c r="H1168" s="34">
        <v>8205</v>
      </c>
      <c r="I1168" s="39">
        <f>VLOOKUP(H1168,'PUR-HSN MASTER'!$A$4:$E$5000,5,FALSE)</f>
        <v>18</v>
      </c>
      <c r="J1168" s="38">
        <v>4</v>
      </c>
      <c r="K1168" s="40">
        <v>90</v>
      </c>
      <c r="L1168" s="39">
        <v>0</v>
      </c>
      <c r="M1168" s="39">
        <v>8.1</v>
      </c>
      <c r="N1168" s="39">
        <v>8.1</v>
      </c>
      <c r="O1168" s="39">
        <v>0</v>
      </c>
      <c r="P1168" s="39">
        <v>106.2</v>
      </c>
      <c r="Q1168" s="34" t="s">
        <v>410</v>
      </c>
      <c r="R1168" s="34" t="s">
        <v>26</v>
      </c>
      <c r="S1168" s="11" t="s">
        <v>4120</v>
      </c>
    </row>
    <row r="1169" spans="1:19" x14ac:dyDescent="0.2">
      <c r="A1169" s="51">
        <v>43709</v>
      </c>
      <c r="B1169" s="34"/>
      <c r="C1169" s="35" t="s">
        <v>565</v>
      </c>
      <c r="D1169" s="34" t="str">
        <f>VLOOKUP(C1169,'PUR-PARTY MASTER'!$B$4:$E$2000,2,FALSE)</f>
        <v>27ADOPJ4418Q1ZV</v>
      </c>
      <c r="E1169" s="34" t="s">
        <v>22</v>
      </c>
      <c r="F1169" s="134">
        <v>4922</v>
      </c>
      <c r="G1169" s="37">
        <v>43679</v>
      </c>
      <c r="H1169" s="34">
        <v>8204</v>
      </c>
      <c r="I1169" s="39">
        <f>VLOOKUP(H1169,'PUR-HSN MASTER'!$A$4:$E$5000,5,FALSE)</f>
        <v>18</v>
      </c>
      <c r="J1169" s="38">
        <v>4</v>
      </c>
      <c r="K1169" s="40">
        <v>429.3</v>
      </c>
      <c r="L1169" s="39">
        <v>0</v>
      </c>
      <c r="M1169" s="39">
        <v>38.637</v>
      </c>
      <c r="N1169" s="39">
        <v>38.637</v>
      </c>
      <c r="O1169" s="39">
        <v>0</v>
      </c>
      <c r="P1169" s="39">
        <v>506.57400000000001</v>
      </c>
      <c r="Q1169" s="34" t="s">
        <v>410</v>
      </c>
      <c r="R1169" s="34" t="s">
        <v>26</v>
      </c>
      <c r="S1169" s="11" t="s">
        <v>4120</v>
      </c>
    </row>
    <row r="1170" spans="1:19" x14ac:dyDescent="0.2">
      <c r="A1170" s="51">
        <v>43709</v>
      </c>
      <c r="B1170" s="34"/>
      <c r="C1170" s="35" t="s">
        <v>565</v>
      </c>
      <c r="D1170" s="34" t="str">
        <f>VLOOKUP(C1170,'PUR-PARTY MASTER'!$B$4:$E$2000,2,FALSE)</f>
        <v>27ADOPJ4418Q1ZV</v>
      </c>
      <c r="E1170" s="34" t="s">
        <v>22</v>
      </c>
      <c r="F1170" s="134">
        <v>4922</v>
      </c>
      <c r="G1170" s="37">
        <v>43679</v>
      </c>
      <c r="H1170" s="34">
        <v>6805</v>
      </c>
      <c r="I1170" s="39">
        <f>VLOOKUP(H1170,'PUR-HSN MASTER'!$A$4:$E$5000,5,FALSE)</f>
        <v>18</v>
      </c>
      <c r="J1170" s="38">
        <v>2</v>
      </c>
      <c r="K1170" s="40">
        <v>490</v>
      </c>
      <c r="L1170" s="39">
        <v>0</v>
      </c>
      <c r="M1170" s="39">
        <v>44.1</v>
      </c>
      <c r="N1170" s="39">
        <v>44.1</v>
      </c>
      <c r="O1170" s="39">
        <v>0</v>
      </c>
      <c r="P1170" s="39">
        <v>578.20000000000005</v>
      </c>
      <c r="Q1170" s="34" t="s">
        <v>410</v>
      </c>
      <c r="R1170" s="34" t="s">
        <v>26</v>
      </c>
      <c r="S1170" s="11" t="s">
        <v>4120</v>
      </c>
    </row>
    <row r="1171" spans="1:19" x14ac:dyDescent="0.2">
      <c r="A1171" s="51">
        <v>43709</v>
      </c>
      <c r="B1171" s="34"/>
      <c r="C1171" s="35" t="s">
        <v>565</v>
      </c>
      <c r="D1171" s="34" t="str">
        <f>VLOOKUP(C1171,'PUR-PARTY MASTER'!$B$4:$E$2000,2,FALSE)</f>
        <v>27ADOPJ4418Q1ZV</v>
      </c>
      <c r="E1171" s="34" t="s">
        <v>22</v>
      </c>
      <c r="F1171" s="134">
        <v>4922</v>
      </c>
      <c r="G1171" s="37">
        <v>43679</v>
      </c>
      <c r="H1171" s="34">
        <v>3405</v>
      </c>
      <c r="I1171" s="39">
        <f>VLOOKUP(H1171,'PUR-HSN MASTER'!$A$4:$E$5000,5,FALSE)</f>
        <v>18</v>
      </c>
      <c r="J1171" s="38">
        <v>2</v>
      </c>
      <c r="K1171" s="40">
        <v>355.91</v>
      </c>
      <c r="L1171" s="39">
        <v>0</v>
      </c>
      <c r="M1171" s="39">
        <v>32.0319</v>
      </c>
      <c r="N1171" s="39">
        <v>32.0319</v>
      </c>
      <c r="O1171" s="39">
        <v>0</v>
      </c>
      <c r="P1171" s="39">
        <v>420.00380000000001</v>
      </c>
      <c r="Q1171" s="34" t="s">
        <v>410</v>
      </c>
      <c r="R1171" s="34" t="s">
        <v>26</v>
      </c>
      <c r="S1171" s="11" t="s">
        <v>4120</v>
      </c>
    </row>
    <row r="1172" spans="1:19" x14ac:dyDescent="0.2">
      <c r="A1172" s="51">
        <v>43709</v>
      </c>
      <c r="B1172" s="34"/>
      <c r="C1172" s="35" t="s">
        <v>565</v>
      </c>
      <c r="D1172" s="34" t="str">
        <f>VLOOKUP(C1172,'PUR-PARTY MASTER'!$B$4:$E$2000,2,FALSE)</f>
        <v>27ADOPJ4418Q1ZV</v>
      </c>
      <c r="E1172" s="34" t="s">
        <v>22</v>
      </c>
      <c r="F1172" s="134">
        <v>4922</v>
      </c>
      <c r="G1172" s="37">
        <v>43679</v>
      </c>
      <c r="H1172" s="34">
        <v>9405</v>
      </c>
      <c r="I1172" s="39">
        <f>VLOOKUP(H1172,'PUR-HSN MASTER'!$A$4:$E$5000,5,FALSE)</f>
        <v>12</v>
      </c>
      <c r="J1172" s="38">
        <v>1</v>
      </c>
      <c r="K1172" s="40">
        <v>180</v>
      </c>
      <c r="L1172" s="39">
        <v>0</v>
      </c>
      <c r="M1172" s="39">
        <v>10.8</v>
      </c>
      <c r="N1172" s="39">
        <v>10.8</v>
      </c>
      <c r="O1172" s="39">
        <v>0</v>
      </c>
      <c r="P1172" s="39">
        <v>201.6</v>
      </c>
      <c r="Q1172" s="34" t="s">
        <v>410</v>
      </c>
      <c r="R1172" s="34" t="s">
        <v>26</v>
      </c>
      <c r="S1172" s="11" t="s">
        <v>4120</v>
      </c>
    </row>
    <row r="1173" spans="1:19" x14ac:dyDescent="0.2">
      <c r="A1173" s="51">
        <v>43709</v>
      </c>
      <c r="B1173" s="34"/>
      <c r="C1173" s="35" t="s">
        <v>565</v>
      </c>
      <c r="D1173" s="34" t="str">
        <f>VLOOKUP(C1173,'PUR-PARTY MASTER'!$B$4:$E$2000,2,FALSE)</f>
        <v>27ADOPJ4418Q1ZV</v>
      </c>
      <c r="E1173" s="34" t="s">
        <v>22</v>
      </c>
      <c r="F1173" s="134">
        <v>4922</v>
      </c>
      <c r="G1173" s="37">
        <v>43679</v>
      </c>
      <c r="H1173" s="34" t="s">
        <v>637</v>
      </c>
      <c r="I1173" s="39">
        <f>VLOOKUP(H1173,'PUR-HSN MASTER'!$A$4:$E$5000,5,FALSE)</f>
        <v>18</v>
      </c>
      <c r="J1173" s="38">
        <v>1</v>
      </c>
      <c r="K1173" s="40">
        <v>2576.1</v>
      </c>
      <c r="L1173" s="39">
        <v>0</v>
      </c>
      <c r="M1173" s="39">
        <v>231.84899999999999</v>
      </c>
      <c r="N1173" s="39">
        <v>231.84899999999999</v>
      </c>
      <c r="O1173" s="39">
        <v>0</v>
      </c>
      <c r="P1173" s="39">
        <v>3039.7979999999998</v>
      </c>
      <c r="Q1173" s="34" t="s">
        <v>410</v>
      </c>
      <c r="R1173" s="34" t="s">
        <v>26</v>
      </c>
      <c r="S1173" s="11" t="s">
        <v>4120</v>
      </c>
    </row>
    <row r="1174" spans="1:19" x14ac:dyDescent="0.2">
      <c r="A1174" s="51">
        <v>43709</v>
      </c>
      <c r="B1174" s="34"/>
      <c r="C1174" s="35" t="s">
        <v>565</v>
      </c>
      <c r="D1174" s="34" t="str">
        <f>VLOOKUP(C1174,'PUR-PARTY MASTER'!$B$4:$E$2000,2,FALSE)</f>
        <v>27ADOPJ4418Q1ZV</v>
      </c>
      <c r="E1174" s="34" t="s">
        <v>22</v>
      </c>
      <c r="F1174" s="134">
        <v>4922</v>
      </c>
      <c r="G1174" s="37">
        <v>43679</v>
      </c>
      <c r="H1174" s="34">
        <v>7318</v>
      </c>
      <c r="I1174" s="39">
        <f>VLOOKUP(H1174,'PUR-HSN MASTER'!$A$4:$E$5000,5,FALSE)</f>
        <v>18</v>
      </c>
      <c r="J1174" s="38">
        <v>1</v>
      </c>
      <c r="K1174" s="40">
        <v>24</v>
      </c>
      <c r="L1174" s="39">
        <v>0</v>
      </c>
      <c r="M1174" s="39">
        <v>2.16</v>
      </c>
      <c r="N1174" s="39">
        <v>2.16</v>
      </c>
      <c r="O1174" s="39">
        <v>0</v>
      </c>
      <c r="P1174" s="39">
        <v>28.32</v>
      </c>
      <c r="Q1174" s="34" t="s">
        <v>410</v>
      </c>
      <c r="R1174" s="34" t="s">
        <v>26</v>
      </c>
      <c r="S1174" s="11" t="s">
        <v>4120</v>
      </c>
    </row>
    <row r="1175" spans="1:19" x14ac:dyDescent="0.2">
      <c r="A1175" s="51">
        <v>43709</v>
      </c>
      <c r="B1175" s="34"/>
      <c r="C1175" s="35" t="s">
        <v>565</v>
      </c>
      <c r="D1175" s="34" t="str">
        <f>VLOOKUP(C1175,'PUR-PARTY MASTER'!$B$4:$E$2000,2,FALSE)</f>
        <v>27ADOPJ4418Q1ZV</v>
      </c>
      <c r="E1175" s="34" t="s">
        <v>22</v>
      </c>
      <c r="F1175" s="134">
        <v>4922</v>
      </c>
      <c r="G1175" s="37">
        <v>43679</v>
      </c>
      <c r="H1175" s="34" t="s">
        <v>567</v>
      </c>
      <c r="I1175" s="39">
        <f>VLOOKUP(H1175,'PUR-HSN MASTER'!$A$4:$E$5000,5,FALSE)</f>
        <v>18</v>
      </c>
      <c r="J1175" s="38">
        <v>1</v>
      </c>
      <c r="K1175" s="40">
        <v>240</v>
      </c>
      <c r="L1175" s="39">
        <v>0</v>
      </c>
      <c r="M1175" s="39">
        <v>21.599999999999998</v>
      </c>
      <c r="N1175" s="39">
        <v>21.599999999999998</v>
      </c>
      <c r="O1175" s="39">
        <v>0</v>
      </c>
      <c r="P1175" s="39">
        <v>283.2</v>
      </c>
      <c r="Q1175" s="34" t="s">
        <v>410</v>
      </c>
      <c r="R1175" s="34" t="s">
        <v>26</v>
      </c>
      <c r="S1175" s="11" t="s">
        <v>4120</v>
      </c>
    </row>
    <row r="1176" spans="1:19" x14ac:dyDescent="0.2">
      <c r="A1176" s="51">
        <v>43709</v>
      </c>
      <c r="B1176" s="34"/>
      <c r="C1176" s="35" t="s">
        <v>565</v>
      </c>
      <c r="D1176" s="34" t="str">
        <f>VLOOKUP(C1176,'PUR-PARTY MASTER'!$B$4:$E$2000,2,FALSE)</f>
        <v>27ADOPJ4418Q1ZV</v>
      </c>
      <c r="E1176" s="34" t="s">
        <v>22</v>
      </c>
      <c r="F1176" s="134">
        <v>4922</v>
      </c>
      <c r="G1176" s="37">
        <v>43679</v>
      </c>
      <c r="H1176" s="34">
        <v>3209</v>
      </c>
      <c r="I1176" s="39">
        <f>VLOOKUP(H1176,'PUR-HSN MASTER'!$A$4:$E$5000,5,FALSE)</f>
        <v>18</v>
      </c>
      <c r="J1176" s="38">
        <v>1</v>
      </c>
      <c r="K1176" s="40">
        <v>90</v>
      </c>
      <c r="L1176" s="39">
        <v>0</v>
      </c>
      <c r="M1176" s="39">
        <v>8.1</v>
      </c>
      <c r="N1176" s="39">
        <v>8.1</v>
      </c>
      <c r="O1176" s="39">
        <v>0</v>
      </c>
      <c r="P1176" s="39">
        <v>106.2</v>
      </c>
      <c r="Q1176" s="34" t="s">
        <v>410</v>
      </c>
      <c r="R1176" s="34" t="s">
        <v>26</v>
      </c>
      <c r="S1176" s="11" t="s">
        <v>4120</v>
      </c>
    </row>
    <row r="1177" spans="1:19" x14ac:dyDescent="0.2">
      <c r="A1177" s="51">
        <v>43709</v>
      </c>
      <c r="B1177" s="34"/>
      <c r="C1177" s="35" t="s">
        <v>565</v>
      </c>
      <c r="D1177" s="34" t="str">
        <f>VLOOKUP(C1177,'PUR-PARTY MASTER'!$B$4:$E$2000,2,FALSE)</f>
        <v>27ADOPJ4418Q1ZV</v>
      </c>
      <c r="E1177" s="34" t="s">
        <v>22</v>
      </c>
      <c r="F1177" s="134">
        <v>4922</v>
      </c>
      <c r="G1177" s="37">
        <v>43679</v>
      </c>
      <c r="H1177" s="34">
        <v>3213</v>
      </c>
      <c r="I1177" s="39">
        <f>VLOOKUP(H1177,'PUR-HSN MASTER'!$A$4:$E$5000,5,FALSE)</f>
        <v>18</v>
      </c>
      <c r="J1177" s="38">
        <v>1</v>
      </c>
      <c r="K1177" s="40">
        <v>33.9</v>
      </c>
      <c r="L1177" s="39">
        <v>0</v>
      </c>
      <c r="M1177" s="39">
        <v>3.0509999999999997</v>
      </c>
      <c r="N1177" s="39">
        <v>3.0509999999999997</v>
      </c>
      <c r="O1177" s="39">
        <v>0</v>
      </c>
      <c r="P1177" s="39">
        <v>40.001999999999995</v>
      </c>
      <c r="Q1177" s="34" t="s">
        <v>410</v>
      </c>
      <c r="R1177" s="34" t="s">
        <v>26</v>
      </c>
      <c r="S1177" s="11" t="s">
        <v>4120</v>
      </c>
    </row>
    <row r="1178" spans="1:19" x14ac:dyDescent="0.2">
      <c r="A1178" s="51">
        <v>43709</v>
      </c>
      <c r="B1178" s="34"/>
      <c r="C1178" s="35" t="s">
        <v>565</v>
      </c>
      <c r="D1178" s="34" t="str">
        <f>VLOOKUP(C1178,'PUR-PARTY MASTER'!$B$4:$E$2000,2,FALSE)</f>
        <v>27ADOPJ4418Q1ZV</v>
      </c>
      <c r="E1178" s="34" t="s">
        <v>22</v>
      </c>
      <c r="F1178" s="134">
        <v>4922</v>
      </c>
      <c r="G1178" s="37">
        <v>43679</v>
      </c>
      <c r="H1178" s="34">
        <v>3923</v>
      </c>
      <c r="I1178" s="39">
        <f>VLOOKUP(H1178,'PUR-HSN MASTER'!$A$4:$E$5000,5,FALSE)</f>
        <v>18</v>
      </c>
      <c r="J1178" s="38">
        <v>1</v>
      </c>
      <c r="K1178" s="40">
        <v>240</v>
      </c>
      <c r="L1178" s="39">
        <v>0</v>
      </c>
      <c r="M1178" s="39">
        <v>21.599999999999998</v>
      </c>
      <c r="N1178" s="39">
        <v>21.599999999999998</v>
      </c>
      <c r="O1178" s="39">
        <v>0</v>
      </c>
      <c r="P1178" s="39">
        <v>283.2</v>
      </c>
      <c r="Q1178" s="34" t="s">
        <v>410</v>
      </c>
      <c r="R1178" s="34" t="s">
        <v>26</v>
      </c>
      <c r="S1178" s="11" t="s">
        <v>4120</v>
      </c>
    </row>
    <row r="1179" spans="1:19" x14ac:dyDescent="0.2">
      <c r="A1179" s="51">
        <v>43709</v>
      </c>
      <c r="B1179" s="34"/>
      <c r="C1179" s="35" t="s">
        <v>565</v>
      </c>
      <c r="D1179" s="34" t="str">
        <f>VLOOKUP(C1179,'PUR-PARTY MASTER'!$B$4:$E$2000,2,FALSE)</f>
        <v>27ADOPJ4418Q1ZV</v>
      </c>
      <c r="E1179" s="34" t="s">
        <v>22</v>
      </c>
      <c r="F1179" s="134">
        <v>4922</v>
      </c>
      <c r="G1179" s="37">
        <v>43679</v>
      </c>
      <c r="H1179" s="34">
        <v>8467</v>
      </c>
      <c r="I1179" s="39">
        <f>VLOOKUP(H1179,'PUR-HSN MASTER'!$A$4:$E$5000,5,FALSE)</f>
        <v>18</v>
      </c>
      <c r="J1179" s="38">
        <v>1</v>
      </c>
      <c r="K1179" s="40">
        <v>2650</v>
      </c>
      <c r="L1179" s="39">
        <v>0</v>
      </c>
      <c r="M1179" s="39">
        <v>238.5</v>
      </c>
      <c r="N1179" s="39">
        <v>238.5</v>
      </c>
      <c r="O1179" s="39">
        <v>0</v>
      </c>
      <c r="P1179" s="39">
        <v>3127</v>
      </c>
      <c r="Q1179" s="34" t="s">
        <v>410</v>
      </c>
      <c r="R1179" s="34" t="s">
        <v>26</v>
      </c>
      <c r="S1179" s="11" t="s">
        <v>4120</v>
      </c>
    </row>
    <row r="1180" spans="1:19" x14ac:dyDescent="0.2">
      <c r="A1180" s="51">
        <v>43709</v>
      </c>
      <c r="B1180" s="34"/>
      <c r="C1180" s="35" t="s">
        <v>565</v>
      </c>
      <c r="D1180" s="34" t="str">
        <f>VLOOKUP(C1180,'PUR-PARTY MASTER'!$B$4:$E$2000,2,FALSE)</f>
        <v>27ADOPJ4418Q1ZV</v>
      </c>
      <c r="E1180" s="34" t="s">
        <v>22</v>
      </c>
      <c r="F1180" s="134">
        <v>4922</v>
      </c>
      <c r="G1180" s="37">
        <v>43679</v>
      </c>
      <c r="H1180" s="34">
        <v>6804</v>
      </c>
      <c r="I1180" s="39">
        <f>VLOOKUP(H1180,'PUR-HSN MASTER'!$A$4:$E$5000,5,FALSE)</f>
        <v>18</v>
      </c>
      <c r="J1180" s="38">
        <v>1</v>
      </c>
      <c r="K1180" s="40">
        <v>120</v>
      </c>
      <c r="L1180" s="39">
        <v>0</v>
      </c>
      <c r="M1180" s="39">
        <v>10.809999999999999</v>
      </c>
      <c r="N1180" s="39">
        <v>10.809999999999999</v>
      </c>
      <c r="O1180" s="39">
        <v>0</v>
      </c>
      <c r="P1180" s="39">
        <v>141.70000000000002</v>
      </c>
      <c r="Q1180" s="34" t="s">
        <v>410</v>
      </c>
      <c r="R1180" s="34" t="s">
        <v>26</v>
      </c>
      <c r="S1180" s="11" t="s">
        <v>4120</v>
      </c>
    </row>
    <row r="1181" spans="1:19" x14ac:dyDescent="0.2">
      <c r="A1181" s="51">
        <v>43709</v>
      </c>
      <c r="B1181" s="34">
        <v>5</v>
      </c>
      <c r="C1181" s="35" t="s">
        <v>554</v>
      </c>
      <c r="D1181" s="34" t="str">
        <f>VLOOKUP(C1181,'PUR-PARTY MASTER'!$B$4:$E$2000,2,FALSE)</f>
        <v>27AACFA1881H1ZL</v>
      </c>
      <c r="E1181" s="34" t="s">
        <v>22</v>
      </c>
      <c r="F1181" s="134">
        <v>11531</v>
      </c>
      <c r="G1181" s="37">
        <v>43711</v>
      </c>
      <c r="H1181" s="34">
        <v>87141900</v>
      </c>
      <c r="I1181" s="39">
        <f>VLOOKUP(H1181,'PUR-HSN MASTER'!$A$4:$E$5000,5,FALSE)</f>
        <v>28</v>
      </c>
      <c r="J1181" s="34">
        <v>6300</v>
      </c>
      <c r="K1181" s="126">
        <v>15849</v>
      </c>
      <c r="L1181" s="39">
        <v>0</v>
      </c>
      <c r="M1181" s="39">
        <v>2218.86</v>
      </c>
      <c r="N1181" s="39">
        <v>2218.86</v>
      </c>
      <c r="O1181" s="39">
        <v>0</v>
      </c>
      <c r="P1181" s="39">
        <v>20286.72</v>
      </c>
      <c r="Q1181" s="34" t="s">
        <v>410</v>
      </c>
      <c r="R1181" s="34" t="s">
        <v>26</v>
      </c>
      <c r="S1181" s="11" t="s">
        <v>4120</v>
      </c>
    </row>
    <row r="1182" spans="1:19" x14ac:dyDescent="0.2">
      <c r="A1182" s="51">
        <v>43709</v>
      </c>
      <c r="B1182" s="34">
        <v>6</v>
      </c>
      <c r="C1182" s="35" t="s">
        <v>601</v>
      </c>
      <c r="D1182" s="34" t="str">
        <f>VLOOKUP(C1182,'PUR-PARTY MASTER'!$B$4:$E$2000,2,FALSE)</f>
        <v>27AAZFM6461A1ZY</v>
      </c>
      <c r="E1182" s="34" t="s">
        <v>22</v>
      </c>
      <c r="F1182" s="134">
        <v>3933</v>
      </c>
      <c r="G1182" s="37">
        <v>43711</v>
      </c>
      <c r="H1182" s="34">
        <v>87082900</v>
      </c>
      <c r="I1182" s="39">
        <f>VLOOKUP(H1182,'PUR-HSN MASTER'!$A$4:$E$5000,5,FALSE)</f>
        <v>28</v>
      </c>
      <c r="J1182" s="34">
        <v>1100</v>
      </c>
      <c r="K1182" s="126">
        <v>46827</v>
      </c>
      <c r="L1182" s="39">
        <v>0</v>
      </c>
      <c r="M1182" s="39">
        <v>6555.78</v>
      </c>
      <c r="N1182" s="39">
        <v>6555.78</v>
      </c>
      <c r="O1182" s="39">
        <v>0</v>
      </c>
      <c r="P1182" s="39">
        <v>59938.559999999998</v>
      </c>
      <c r="Q1182" s="34" t="s">
        <v>410</v>
      </c>
      <c r="R1182" s="34" t="s">
        <v>26</v>
      </c>
      <c r="S1182" s="11" t="s">
        <v>4120</v>
      </c>
    </row>
    <row r="1183" spans="1:19" x14ac:dyDescent="0.2">
      <c r="A1183" s="51">
        <v>43709</v>
      </c>
      <c r="B1183" s="34">
        <v>7</v>
      </c>
      <c r="C1183" s="35" t="s">
        <v>747</v>
      </c>
      <c r="D1183" s="34" t="str">
        <f>VLOOKUP(C1183,'PUR-PARTY MASTER'!$B$4:$E$2000,2,FALSE)</f>
        <v>27ACIPD7822K1ZF</v>
      </c>
      <c r="E1183" s="34" t="s">
        <v>22</v>
      </c>
      <c r="F1183" s="136" t="s">
        <v>946</v>
      </c>
      <c r="G1183" s="37">
        <v>43711</v>
      </c>
      <c r="H1183" s="34">
        <v>84778090</v>
      </c>
      <c r="I1183" s="39">
        <f>VLOOKUP(H1183,'PUR-HSN MASTER'!$A$4:$E$5000,5,FALSE)</f>
        <v>18</v>
      </c>
      <c r="J1183" s="34">
        <v>30</v>
      </c>
      <c r="K1183" s="126">
        <v>41250</v>
      </c>
      <c r="L1183" s="39">
        <v>0</v>
      </c>
      <c r="M1183" s="39">
        <v>3712.5</v>
      </c>
      <c r="N1183" s="39">
        <v>3712.5</v>
      </c>
      <c r="O1183" s="39">
        <v>0</v>
      </c>
      <c r="P1183" s="39">
        <v>48675</v>
      </c>
      <c r="Q1183" s="34" t="s">
        <v>410</v>
      </c>
      <c r="R1183" s="34" t="s">
        <v>26</v>
      </c>
      <c r="S1183" s="11" t="s">
        <v>4120</v>
      </c>
    </row>
    <row r="1184" spans="1:19" x14ac:dyDescent="0.2">
      <c r="A1184" s="51">
        <v>43709</v>
      </c>
      <c r="B1184" s="34">
        <v>8</v>
      </c>
      <c r="C1184" s="35" t="s">
        <v>489</v>
      </c>
      <c r="D1184" s="34" t="str">
        <f>VLOOKUP(C1184,'PUR-PARTY MASTER'!$B$4:$E$2000,2,FALSE)</f>
        <v>27AAECD2713N1ZK</v>
      </c>
      <c r="E1184" s="34" t="s">
        <v>22</v>
      </c>
      <c r="F1184" s="134">
        <v>7887988066</v>
      </c>
      <c r="G1184" s="37">
        <v>43711</v>
      </c>
      <c r="H1184" s="34">
        <v>39119090</v>
      </c>
      <c r="I1184" s="39">
        <f>VLOOKUP(H1184,'PUR-HSN MASTER'!$A$4:$E$5000,5,FALSE)</f>
        <v>18</v>
      </c>
      <c r="J1184" s="34">
        <v>12</v>
      </c>
      <c r="K1184" s="126">
        <v>8280</v>
      </c>
      <c r="L1184" s="39">
        <v>0</v>
      </c>
      <c r="M1184" s="39">
        <v>745.19999999999993</v>
      </c>
      <c r="N1184" s="39">
        <v>745.19999999999993</v>
      </c>
      <c r="O1184" s="39">
        <v>0</v>
      </c>
      <c r="P1184" s="39">
        <v>9770.4</v>
      </c>
      <c r="Q1184" s="34" t="s">
        <v>410</v>
      </c>
      <c r="R1184" s="34" t="s">
        <v>26</v>
      </c>
      <c r="S1184" s="11" t="s">
        <v>4120</v>
      </c>
    </row>
    <row r="1185" spans="1:19" x14ac:dyDescent="0.2">
      <c r="A1185" s="51">
        <v>43709</v>
      </c>
      <c r="B1185" s="34"/>
      <c r="C1185" s="35" t="s">
        <v>489</v>
      </c>
      <c r="D1185" s="34" t="str">
        <f>VLOOKUP(C1185,'PUR-PARTY MASTER'!$B$4:$E$2000,2,FALSE)</f>
        <v>27AAECD2713N1ZK</v>
      </c>
      <c r="E1185" s="34" t="s">
        <v>22</v>
      </c>
      <c r="F1185" s="134">
        <v>7887988066</v>
      </c>
      <c r="G1185" s="37">
        <v>43711</v>
      </c>
      <c r="H1185" s="34">
        <v>32082090</v>
      </c>
      <c r="I1185" s="39">
        <f>VLOOKUP(H1185,'PUR-HSN MASTER'!$A$4:$E$5000,5,FALSE)</f>
        <v>18</v>
      </c>
      <c r="J1185" s="34">
        <v>120</v>
      </c>
      <c r="K1185" s="126">
        <f>43680+14540+25600+12800</f>
        <v>96620</v>
      </c>
      <c r="L1185" s="39">
        <v>0</v>
      </c>
      <c r="M1185" s="39">
        <v>8695.8000000000011</v>
      </c>
      <c r="N1185" s="39">
        <v>8695.8000000000011</v>
      </c>
      <c r="O1185" s="39">
        <v>0</v>
      </c>
      <c r="P1185" s="39">
        <v>114011.6</v>
      </c>
      <c r="Q1185" s="34" t="s">
        <v>410</v>
      </c>
      <c r="R1185" s="34" t="s">
        <v>26</v>
      </c>
      <c r="S1185" s="11" t="s">
        <v>4120</v>
      </c>
    </row>
    <row r="1186" spans="1:19" x14ac:dyDescent="0.2">
      <c r="A1186" s="51">
        <v>43709</v>
      </c>
      <c r="B1186" s="34">
        <v>9</v>
      </c>
      <c r="C1186" s="35" t="s">
        <v>489</v>
      </c>
      <c r="D1186" s="34" t="str">
        <f>VLOOKUP(C1186,'PUR-PARTY MASTER'!$B$4:$E$2000,2,FALSE)</f>
        <v>27AAECD2713N1ZK</v>
      </c>
      <c r="E1186" s="34" t="s">
        <v>22</v>
      </c>
      <c r="F1186" s="134">
        <v>7887988068</v>
      </c>
      <c r="G1186" s="37">
        <v>43711</v>
      </c>
      <c r="H1186" s="34">
        <v>39119090</v>
      </c>
      <c r="I1186" s="39">
        <f>VLOOKUP(H1186,'PUR-HSN MASTER'!$A$4:$E$5000,5,FALSE)</f>
        <v>18</v>
      </c>
      <c r="J1186" s="34">
        <v>18</v>
      </c>
      <c r="K1186" s="126">
        <f>3570+9528</f>
        <v>13098</v>
      </c>
      <c r="L1186" s="39">
        <v>0</v>
      </c>
      <c r="M1186" s="39">
        <v>1178.82</v>
      </c>
      <c r="N1186" s="39">
        <v>1178.82</v>
      </c>
      <c r="O1186" s="39">
        <v>0</v>
      </c>
      <c r="P1186" s="39">
        <v>15456</v>
      </c>
      <c r="Q1186" s="34" t="s">
        <v>410</v>
      </c>
      <c r="R1186" s="34" t="s">
        <v>26</v>
      </c>
      <c r="S1186" s="11" t="s">
        <v>4120</v>
      </c>
    </row>
    <row r="1187" spans="1:19" x14ac:dyDescent="0.2">
      <c r="A1187" s="51">
        <v>43709</v>
      </c>
      <c r="B1187" s="34"/>
      <c r="C1187" s="35" t="s">
        <v>489</v>
      </c>
      <c r="D1187" s="34" t="str">
        <f>VLOOKUP(C1187,'PUR-PARTY MASTER'!$B$4:$E$2000,2,FALSE)</f>
        <v>27AAECD2713N1ZK</v>
      </c>
      <c r="E1187" s="34" t="s">
        <v>22</v>
      </c>
      <c r="F1187" s="134">
        <v>7887988068</v>
      </c>
      <c r="G1187" s="37">
        <v>43711</v>
      </c>
      <c r="H1187" s="34">
        <v>32082090</v>
      </c>
      <c r="I1187" s="39">
        <f>VLOOKUP(H1187,'PUR-HSN MASTER'!$A$4:$E$5000,5,FALSE)</f>
        <v>18</v>
      </c>
      <c r="J1187" s="34">
        <v>40</v>
      </c>
      <c r="K1187" s="126">
        <f>9400+8500</f>
        <v>17900</v>
      </c>
      <c r="L1187" s="39">
        <v>0</v>
      </c>
      <c r="M1187" s="39">
        <v>1611</v>
      </c>
      <c r="N1187" s="39">
        <v>1611</v>
      </c>
      <c r="O1187" s="39">
        <v>0</v>
      </c>
      <c r="P1187" s="39">
        <v>21122</v>
      </c>
      <c r="Q1187" s="34" t="s">
        <v>410</v>
      </c>
      <c r="R1187" s="34" t="s">
        <v>26</v>
      </c>
      <c r="S1187" s="11" t="s">
        <v>4120</v>
      </c>
    </row>
    <row r="1188" spans="1:19" x14ac:dyDescent="0.2">
      <c r="A1188" s="51">
        <v>43709</v>
      </c>
      <c r="B1188" s="34"/>
      <c r="C1188" s="35" t="s">
        <v>489</v>
      </c>
      <c r="D1188" s="34" t="str">
        <f>VLOOKUP(C1188,'PUR-PARTY MASTER'!$B$4:$E$2000,2,FALSE)</f>
        <v>27AAECD2713N1ZK</v>
      </c>
      <c r="E1188" s="34" t="s">
        <v>22</v>
      </c>
      <c r="F1188" s="134">
        <v>7887988068</v>
      </c>
      <c r="G1188" s="37">
        <v>43711</v>
      </c>
      <c r="H1188" s="34">
        <v>38140010</v>
      </c>
      <c r="I1188" s="39">
        <f>VLOOKUP(H1188,'PUR-HSN MASTER'!$A$4:$E$5000,5,FALSE)</f>
        <v>18</v>
      </c>
      <c r="J1188" s="34">
        <v>100</v>
      </c>
      <c r="K1188" s="126">
        <v>14500</v>
      </c>
      <c r="L1188" s="39">
        <v>0</v>
      </c>
      <c r="M1188" s="39">
        <v>1305</v>
      </c>
      <c r="N1188" s="39">
        <v>1305</v>
      </c>
      <c r="O1188" s="39">
        <v>0</v>
      </c>
      <c r="P1188" s="39">
        <v>17110</v>
      </c>
      <c r="Q1188" s="34" t="s">
        <v>410</v>
      </c>
      <c r="R1188" s="34" t="s">
        <v>26</v>
      </c>
      <c r="S1188" s="11" t="s">
        <v>4120</v>
      </c>
    </row>
    <row r="1189" spans="1:19" x14ac:dyDescent="0.2">
      <c r="A1189" s="51">
        <v>43709</v>
      </c>
      <c r="B1189" s="34">
        <v>10</v>
      </c>
      <c r="C1189" s="35" t="s">
        <v>489</v>
      </c>
      <c r="D1189" s="34" t="str">
        <f>VLOOKUP(C1189,'PUR-PARTY MASTER'!$B$4:$E$2000,2,FALSE)</f>
        <v>27AAECD2713N1ZK</v>
      </c>
      <c r="E1189" s="34" t="s">
        <v>22</v>
      </c>
      <c r="F1189" s="134">
        <v>7887988077</v>
      </c>
      <c r="G1189" s="37">
        <v>43711</v>
      </c>
      <c r="H1189" s="34">
        <v>39119090</v>
      </c>
      <c r="I1189" s="39">
        <f>VLOOKUP(H1189,'PUR-HSN MASTER'!$A$4:$E$5000,5,FALSE)</f>
        <v>18</v>
      </c>
      <c r="J1189" s="34">
        <v>48</v>
      </c>
      <c r="K1189" s="126">
        <v>20352</v>
      </c>
      <c r="L1189" s="39">
        <v>0</v>
      </c>
      <c r="M1189" s="39">
        <v>1831.68</v>
      </c>
      <c r="N1189" s="39">
        <v>1831.68</v>
      </c>
      <c r="O1189" s="39">
        <v>0</v>
      </c>
      <c r="P1189" s="39">
        <v>24015</v>
      </c>
      <c r="Q1189" s="34" t="s">
        <v>410</v>
      </c>
      <c r="R1189" s="34" t="s">
        <v>26</v>
      </c>
      <c r="S1189" s="11" t="s">
        <v>4120</v>
      </c>
    </row>
    <row r="1190" spans="1:19" x14ac:dyDescent="0.2">
      <c r="A1190" s="51">
        <v>43709</v>
      </c>
      <c r="B1190" s="34"/>
      <c r="C1190" s="35" t="s">
        <v>489</v>
      </c>
      <c r="D1190" s="34" t="str">
        <f>VLOOKUP(C1190,'PUR-PARTY MASTER'!$B$4:$E$2000,2,FALSE)</f>
        <v>27AAECD2713N1ZK</v>
      </c>
      <c r="E1190" s="34" t="s">
        <v>22</v>
      </c>
      <c r="F1190" s="134">
        <v>7887988077</v>
      </c>
      <c r="G1190" s="37">
        <v>43711</v>
      </c>
      <c r="H1190" s="34">
        <v>38140010</v>
      </c>
      <c r="I1190" s="39">
        <f>VLOOKUP(H1190,'PUR-HSN MASTER'!$A$4:$E$5000,5,FALSE)</f>
        <v>18</v>
      </c>
      <c r="J1190" s="34">
        <v>100</v>
      </c>
      <c r="K1190" s="126">
        <v>12500</v>
      </c>
      <c r="L1190" s="39">
        <v>0</v>
      </c>
      <c r="M1190" s="39">
        <v>1125</v>
      </c>
      <c r="N1190" s="39">
        <v>1125</v>
      </c>
      <c r="O1190" s="39">
        <v>0</v>
      </c>
      <c r="P1190" s="39">
        <v>14750</v>
      </c>
      <c r="Q1190" s="34" t="s">
        <v>410</v>
      </c>
      <c r="R1190" s="34" t="s">
        <v>26</v>
      </c>
      <c r="S1190" s="11" t="s">
        <v>4120</v>
      </c>
    </row>
    <row r="1191" spans="1:19" x14ac:dyDescent="0.2">
      <c r="A1191" s="51">
        <v>43709</v>
      </c>
      <c r="B1191" s="34">
        <v>11</v>
      </c>
      <c r="C1191" s="35" t="s">
        <v>479</v>
      </c>
      <c r="D1191" s="34" t="str">
        <f>VLOOKUP(C1191,'PUR-PARTY MASTER'!$B$4:$E$2000,2,FALSE)</f>
        <v>27AAMFC2124K1ZG</v>
      </c>
      <c r="E1191" s="34" t="s">
        <v>22</v>
      </c>
      <c r="F1191" s="134">
        <v>1254</v>
      </c>
      <c r="G1191" s="37">
        <v>43712</v>
      </c>
      <c r="H1191" s="34">
        <v>76071994</v>
      </c>
      <c r="I1191" s="39">
        <f>VLOOKUP(H1191,'PUR-HSN MASTER'!$A$4:$E$5000,5,FALSE)</f>
        <v>18</v>
      </c>
      <c r="J1191" s="34">
        <v>1008</v>
      </c>
      <c r="K1191" s="126">
        <f>3225.6+5266.8</f>
        <v>8492.4</v>
      </c>
      <c r="L1191" s="39">
        <v>0</v>
      </c>
      <c r="M1191" s="39">
        <v>764.31599999999992</v>
      </c>
      <c r="N1191" s="39">
        <v>764.31599999999992</v>
      </c>
      <c r="O1191" s="39">
        <v>0</v>
      </c>
      <c r="P1191" s="39">
        <v>10021.031999999999</v>
      </c>
      <c r="Q1191" s="34" t="s">
        <v>410</v>
      </c>
      <c r="R1191" s="34" t="s">
        <v>26</v>
      </c>
      <c r="S1191" s="11" t="s">
        <v>4120</v>
      </c>
    </row>
    <row r="1192" spans="1:19" x14ac:dyDescent="0.2">
      <c r="A1192" s="51">
        <v>43709</v>
      </c>
      <c r="B1192" s="34"/>
      <c r="C1192" s="35" t="s">
        <v>479</v>
      </c>
      <c r="D1192" s="34" t="str">
        <f>VLOOKUP(C1192,'PUR-PARTY MASTER'!$B$4:$E$2000,2,FALSE)</f>
        <v>27AAMFC2124K1ZG</v>
      </c>
      <c r="E1192" s="34" t="s">
        <v>22</v>
      </c>
      <c r="F1192" s="134">
        <v>1254</v>
      </c>
      <c r="G1192" s="37">
        <v>43712</v>
      </c>
      <c r="H1192" s="34">
        <v>3919</v>
      </c>
      <c r="I1192" s="39">
        <f>VLOOKUP(H1192,'PUR-HSN MASTER'!$A$4:$E$5000,5,FALSE)</f>
        <v>18</v>
      </c>
      <c r="J1192" s="34">
        <v>30</v>
      </c>
      <c r="K1192" s="126">
        <v>12000</v>
      </c>
      <c r="L1192" s="39">
        <v>0</v>
      </c>
      <c r="M1192" s="39">
        <v>1080</v>
      </c>
      <c r="N1192" s="39">
        <v>1080</v>
      </c>
      <c r="O1192" s="39">
        <v>0</v>
      </c>
      <c r="P1192" s="39">
        <v>14160</v>
      </c>
      <c r="Q1192" s="34" t="s">
        <v>410</v>
      </c>
      <c r="R1192" s="34" t="s">
        <v>26</v>
      </c>
      <c r="S1192" s="11" t="s">
        <v>4120</v>
      </c>
    </row>
    <row r="1193" spans="1:19" x14ac:dyDescent="0.2">
      <c r="A1193" s="51">
        <v>43709</v>
      </c>
      <c r="B1193" s="34">
        <v>12</v>
      </c>
      <c r="C1193" s="35" t="s">
        <v>506</v>
      </c>
      <c r="D1193" s="34" t="str">
        <f>VLOOKUP(C1193,'PUR-PARTY MASTER'!$B$4:$E$2000,2,FALSE)</f>
        <v>27AAACG1376N1ZC</v>
      </c>
      <c r="E1193" s="34" t="s">
        <v>22</v>
      </c>
      <c r="F1193" s="136" t="s">
        <v>947</v>
      </c>
      <c r="G1193" s="37">
        <v>43712</v>
      </c>
      <c r="H1193" s="34">
        <v>38140010</v>
      </c>
      <c r="I1193" s="39">
        <f>VLOOKUP(H1193,'PUR-HSN MASTER'!$A$4:$E$5000,5,FALSE)</f>
        <v>18</v>
      </c>
      <c r="J1193" s="34">
        <v>200</v>
      </c>
      <c r="K1193" s="126">
        <v>18480</v>
      </c>
      <c r="L1193" s="39">
        <v>0</v>
      </c>
      <c r="M1193" s="39">
        <v>1663.2</v>
      </c>
      <c r="N1193" s="39">
        <v>1663.2</v>
      </c>
      <c r="O1193" s="39">
        <v>0</v>
      </c>
      <c r="P1193" s="39">
        <v>21806</v>
      </c>
      <c r="Q1193" s="34" t="s">
        <v>410</v>
      </c>
      <c r="R1193" s="34" t="s">
        <v>26</v>
      </c>
      <c r="S1193" s="11" t="s">
        <v>4120</v>
      </c>
    </row>
    <row r="1194" spans="1:19" x14ac:dyDescent="0.2">
      <c r="A1194" s="51">
        <v>43709</v>
      </c>
      <c r="B1194" s="34">
        <v>13</v>
      </c>
      <c r="C1194" s="35" t="s">
        <v>506</v>
      </c>
      <c r="D1194" s="34" t="str">
        <f>VLOOKUP(C1194,'PUR-PARTY MASTER'!$B$4:$E$2000,2,FALSE)</f>
        <v>27AAACG1376N1ZC</v>
      </c>
      <c r="E1194" s="34" t="s">
        <v>22</v>
      </c>
      <c r="F1194" s="136" t="s">
        <v>948</v>
      </c>
      <c r="G1194" s="37">
        <v>43712</v>
      </c>
      <c r="H1194" s="34">
        <v>32081090</v>
      </c>
      <c r="I1194" s="39">
        <f>VLOOKUP(H1194,'PUR-HSN MASTER'!$A$4:$E$5000,5,FALSE)</f>
        <v>18</v>
      </c>
      <c r="J1194" s="34">
        <v>40</v>
      </c>
      <c r="K1194" s="126">
        <v>9280</v>
      </c>
      <c r="L1194" s="39">
        <v>0</v>
      </c>
      <c r="M1194" s="39">
        <v>835.19999999999993</v>
      </c>
      <c r="N1194" s="39">
        <v>835.19999999999993</v>
      </c>
      <c r="O1194" s="39">
        <v>0</v>
      </c>
      <c r="P1194" s="39">
        <v>10950</v>
      </c>
      <c r="Q1194" s="34" t="s">
        <v>410</v>
      </c>
      <c r="R1194" s="34" t="s">
        <v>26</v>
      </c>
      <c r="S1194" s="11" t="s">
        <v>4120</v>
      </c>
    </row>
    <row r="1195" spans="1:19" x14ac:dyDescent="0.2">
      <c r="A1195" s="51">
        <v>43709</v>
      </c>
      <c r="B1195" s="34">
        <v>14</v>
      </c>
      <c r="C1195" s="35" t="s">
        <v>506</v>
      </c>
      <c r="D1195" s="34" t="str">
        <f>VLOOKUP(C1195,'PUR-PARTY MASTER'!$B$4:$E$2000,2,FALSE)</f>
        <v>27AAACG1376N1ZC</v>
      </c>
      <c r="E1195" s="34" t="s">
        <v>22</v>
      </c>
      <c r="F1195" s="136" t="s">
        <v>3376</v>
      </c>
      <c r="G1195" s="37">
        <v>43712</v>
      </c>
      <c r="H1195" s="34">
        <v>32082020</v>
      </c>
      <c r="I1195" s="39">
        <f>VLOOKUP(H1195,'PUR-HSN MASTER'!$A$4:$E$5000,5,FALSE)</f>
        <v>18</v>
      </c>
      <c r="J1195" s="34">
        <v>40</v>
      </c>
      <c r="K1195" s="126">
        <v>14000</v>
      </c>
      <c r="L1195" s="39">
        <v>0</v>
      </c>
      <c r="M1195" s="39">
        <v>1260</v>
      </c>
      <c r="N1195" s="39">
        <v>1260</v>
      </c>
      <c r="O1195" s="39">
        <v>0</v>
      </c>
      <c r="P1195" s="39">
        <v>16520</v>
      </c>
      <c r="Q1195" s="34" t="s">
        <v>410</v>
      </c>
      <c r="R1195" s="34" t="s">
        <v>26</v>
      </c>
      <c r="S1195" s="11" t="s">
        <v>4120</v>
      </c>
    </row>
    <row r="1196" spans="1:19" x14ac:dyDescent="0.2">
      <c r="A1196" s="51">
        <v>43709</v>
      </c>
      <c r="B1196" s="34">
        <v>15</v>
      </c>
      <c r="C1196" s="35" t="s">
        <v>506</v>
      </c>
      <c r="D1196" s="34" t="str">
        <f>VLOOKUP(C1196,'PUR-PARTY MASTER'!$B$4:$E$2000,2,FALSE)</f>
        <v>27AAACG1376N1ZC</v>
      </c>
      <c r="E1196" s="34" t="s">
        <v>22</v>
      </c>
      <c r="F1196" s="136" t="s">
        <v>3377</v>
      </c>
      <c r="G1196" s="37">
        <v>43712</v>
      </c>
      <c r="H1196" s="34">
        <v>32089029</v>
      </c>
      <c r="I1196" s="39">
        <f>VLOOKUP(H1196,'PUR-HSN MASTER'!$A$4:$E$5000,5,FALSE)</f>
        <v>18</v>
      </c>
      <c r="J1196" s="34">
        <v>40</v>
      </c>
      <c r="K1196" s="126">
        <v>14600</v>
      </c>
      <c r="L1196" s="39">
        <v>0</v>
      </c>
      <c r="M1196" s="39">
        <v>1314</v>
      </c>
      <c r="N1196" s="39">
        <v>1314</v>
      </c>
      <c r="O1196" s="39">
        <v>0</v>
      </c>
      <c r="P1196" s="39">
        <v>17228</v>
      </c>
      <c r="Q1196" s="34" t="s">
        <v>410</v>
      </c>
      <c r="R1196" s="34" t="s">
        <v>26</v>
      </c>
      <c r="S1196" s="11" t="s">
        <v>4120</v>
      </c>
    </row>
    <row r="1197" spans="1:19" x14ac:dyDescent="0.2">
      <c r="A1197" s="51">
        <v>43709</v>
      </c>
      <c r="B1197" s="34">
        <v>16</v>
      </c>
      <c r="C1197" s="35" t="s">
        <v>541</v>
      </c>
      <c r="D1197" s="34" t="str">
        <f>VLOOKUP(C1197,'PUR-PARTY MASTER'!$B$4:$E$2000,2,FALSE)</f>
        <v>27AYCPB9228K1ZA</v>
      </c>
      <c r="E1197" s="34" t="s">
        <v>22</v>
      </c>
      <c r="F1197" s="136" t="s">
        <v>949</v>
      </c>
      <c r="G1197" s="37">
        <v>43709</v>
      </c>
      <c r="H1197" s="34">
        <v>998422</v>
      </c>
      <c r="I1197" s="39">
        <f>VLOOKUP(H1197,'PUR-HSN MASTER'!$A$4:$E$5000,5,FALSE)</f>
        <v>18</v>
      </c>
      <c r="J1197" s="34"/>
      <c r="K1197" s="126">
        <v>3500</v>
      </c>
      <c r="L1197" s="39">
        <v>0</v>
      </c>
      <c r="M1197" s="39">
        <v>315</v>
      </c>
      <c r="N1197" s="39">
        <v>315</v>
      </c>
      <c r="O1197" s="39">
        <v>0</v>
      </c>
      <c r="P1197" s="39">
        <v>4130</v>
      </c>
      <c r="Q1197" s="34" t="s">
        <v>411</v>
      </c>
      <c r="R1197" s="34" t="s">
        <v>26</v>
      </c>
      <c r="S1197" s="11" t="s">
        <v>4120</v>
      </c>
    </row>
    <row r="1198" spans="1:19" x14ac:dyDescent="0.2">
      <c r="A1198" s="51">
        <v>43709</v>
      </c>
      <c r="B1198" s="34">
        <v>17</v>
      </c>
      <c r="C1198" s="35" t="s">
        <v>471</v>
      </c>
      <c r="D1198" s="34" t="str">
        <f>VLOOKUP(C1198,'PUR-PARTY MASTER'!$B$4:$E$2000,2,FALSE)</f>
        <v>27AAECM8871A1ZF</v>
      </c>
      <c r="E1198" s="34" t="s">
        <v>22</v>
      </c>
      <c r="F1198" s="134">
        <v>192005039</v>
      </c>
      <c r="G1198" s="37">
        <v>43712</v>
      </c>
      <c r="H1198" s="34">
        <v>87089900</v>
      </c>
      <c r="I1198" s="39">
        <f>VLOOKUP(H1198,'PUR-HSN MASTER'!$A$4:$E$5000,5,FALSE)</f>
        <v>28</v>
      </c>
      <c r="J1198" s="34">
        <v>12</v>
      </c>
      <c r="K1198" s="126">
        <v>17483.52</v>
      </c>
      <c r="L1198" s="39">
        <v>0</v>
      </c>
      <c r="M1198" s="39">
        <v>2447.6928000000003</v>
      </c>
      <c r="N1198" s="39">
        <v>2447.6928000000003</v>
      </c>
      <c r="O1198" s="39">
        <v>0</v>
      </c>
      <c r="P1198" s="39">
        <v>22378.895600000003</v>
      </c>
      <c r="Q1198" s="34" t="s">
        <v>410</v>
      </c>
      <c r="R1198" s="34" t="s">
        <v>26</v>
      </c>
      <c r="S1198" s="11" t="s">
        <v>4120</v>
      </c>
    </row>
    <row r="1199" spans="1:19" x14ac:dyDescent="0.2">
      <c r="A1199" s="51">
        <v>43709</v>
      </c>
      <c r="B1199" s="34">
        <v>18</v>
      </c>
      <c r="C1199" s="35" t="s">
        <v>471</v>
      </c>
      <c r="D1199" s="34" t="str">
        <f>VLOOKUP(C1199,'PUR-PARTY MASTER'!$B$4:$E$2000,2,FALSE)</f>
        <v>27AAECM8871A1ZF</v>
      </c>
      <c r="E1199" s="34" t="s">
        <v>22</v>
      </c>
      <c r="F1199" s="134">
        <v>192005044</v>
      </c>
      <c r="G1199" s="37">
        <v>43712</v>
      </c>
      <c r="H1199" s="34">
        <v>87089900</v>
      </c>
      <c r="I1199" s="39">
        <f>VLOOKUP(H1199,'PUR-HSN MASTER'!$A$4:$E$5000,5,FALSE)</f>
        <v>28</v>
      </c>
      <c r="J1199" s="34">
        <v>12</v>
      </c>
      <c r="K1199" s="126">
        <v>17483.52</v>
      </c>
      <c r="L1199" s="39">
        <v>0</v>
      </c>
      <c r="M1199" s="39">
        <v>2447.6928000000003</v>
      </c>
      <c r="N1199" s="39">
        <v>2447.6928000000003</v>
      </c>
      <c r="O1199" s="39">
        <v>0</v>
      </c>
      <c r="P1199" s="39">
        <v>22378.895600000003</v>
      </c>
      <c r="Q1199" s="34" t="s">
        <v>410</v>
      </c>
      <c r="R1199" s="34" t="s">
        <v>26</v>
      </c>
      <c r="S1199" s="11" t="s">
        <v>4120</v>
      </c>
    </row>
    <row r="1200" spans="1:19" x14ac:dyDescent="0.2">
      <c r="A1200" s="51">
        <v>43709</v>
      </c>
      <c r="B1200" s="34">
        <v>19</v>
      </c>
      <c r="C1200" s="35" t="s">
        <v>601</v>
      </c>
      <c r="D1200" s="34" t="str">
        <f>VLOOKUP(C1200,'PUR-PARTY MASTER'!$B$4:$E$2000,2,FALSE)</f>
        <v>27AAZFM6461A1ZY</v>
      </c>
      <c r="E1200" s="34" t="s">
        <v>22</v>
      </c>
      <c r="F1200" s="134">
        <v>3946</v>
      </c>
      <c r="G1200" s="37">
        <v>43711</v>
      </c>
      <c r="H1200" s="34">
        <v>87082900</v>
      </c>
      <c r="I1200" s="39">
        <f>VLOOKUP(H1200,'PUR-HSN MASTER'!$A$4:$E$5000,5,FALSE)</f>
        <v>28</v>
      </c>
      <c r="J1200" s="34">
        <v>640</v>
      </c>
      <c r="K1200" s="126">
        <v>27244.799999999999</v>
      </c>
      <c r="L1200" s="39">
        <v>0</v>
      </c>
      <c r="M1200" s="39">
        <v>3814.2719999999999</v>
      </c>
      <c r="N1200" s="39">
        <v>3814.2719999999999</v>
      </c>
      <c r="O1200" s="39">
        <v>0</v>
      </c>
      <c r="P1200" s="39">
        <v>34873.343999999997</v>
      </c>
      <c r="Q1200" s="34" t="s">
        <v>410</v>
      </c>
      <c r="R1200" s="34" t="s">
        <v>26</v>
      </c>
      <c r="S1200" s="11" t="s">
        <v>4120</v>
      </c>
    </row>
    <row r="1201" spans="1:19" x14ac:dyDescent="0.2">
      <c r="A1201" s="51">
        <v>43709</v>
      </c>
      <c r="B1201" s="34">
        <v>20</v>
      </c>
      <c r="C1201" s="35" t="s">
        <v>601</v>
      </c>
      <c r="D1201" s="34" t="str">
        <f>VLOOKUP(C1201,'PUR-PARTY MASTER'!$B$4:$E$2000,2,FALSE)</f>
        <v>27AAZFM6461A1ZY</v>
      </c>
      <c r="E1201" s="34" t="s">
        <v>22</v>
      </c>
      <c r="F1201" s="134">
        <v>3947</v>
      </c>
      <c r="G1201" s="37">
        <v>43712</v>
      </c>
      <c r="H1201" s="34">
        <v>87082900</v>
      </c>
      <c r="I1201" s="39">
        <f>VLOOKUP(H1201,'PUR-HSN MASTER'!$A$4:$E$5000,5,FALSE)</f>
        <v>28</v>
      </c>
      <c r="J1201" s="34">
        <v>1140</v>
      </c>
      <c r="K1201" s="126">
        <v>25444.799999999999</v>
      </c>
      <c r="L1201" s="39">
        <v>0</v>
      </c>
      <c r="M1201" s="39">
        <v>3562.2719999999999</v>
      </c>
      <c r="N1201" s="39">
        <v>3562.2719999999999</v>
      </c>
      <c r="O1201" s="39">
        <v>0</v>
      </c>
      <c r="P1201" s="39">
        <v>32569.343999999997</v>
      </c>
      <c r="Q1201" s="34" t="s">
        <v>410</v>
      </c>
      <c r="R1201" s="34" t="s">
        <v>26</v>
      </c>
      <c r="S1201" s="11" t="s">
        <v>4120</v>
      </c>
    </row>
    <row r="1202" spans="1:19" x14ac:dyDescent="0.2">
      <c r="A1202" s="51">
        <v>43709</v>
      </c>
      <c r="B1202" s="34">
        <v>21</v>
      </c>
      <c r="C1202" s="35" t="s">
        <v>517</v>
      </c>
      <c r="D1202" s="34" t="str">
        <f>VLOOKUP(C1202,'PUR-PARTY MASTER'!$B$4:$E$2000,2,FALSE)</f>
        <v>23AAACT6376M1ZZ</v>
      </c>
      <c r="E1202" s="34" t="s">
        <v>22</v>
      </c>
      <c r="F1202" s="134">
        <v>19616017</v>
      </c>
      <c r="G1202" s="37">
        <v>43711</v>
      </c>
      <c r="H1202" s="34">
        <v>87081090</v>
      </c>
      <c r="I1202" s="39">
        <f>VLOOKUP(H1202,'PUR-HSN MASTER'!$A$4:$E$5000,5,FALSE)</f>
        <v>28</v>
      </c>
      <c r="J1202" s="34">
        <v>28</v>
      </c>
      <c r="K1202" s="126">
        <v>18791.759999999998</v>
      </c>
      <c r="L1202" s="39">
        <v>5261.7028</v>
      </c>
      <c r="M1202" s="39">
        <v>0</v>
      </c>
      <c r="N1202" s="39">
        <v>0</v>
      </c>
      <c r="O1202" s="39">
        <v>0</v>
      </c>
      <c r="P1202" s="39">
        <v>24053.462799999998</v>
      </c>
      <c r="Q1202" s="34" t="s">
        <v>410</v>
      </c>
      <c r="R1202" s="34" t="s">
        <v>106</v>
      </c>
      <c r="S1202" s="11" t="s">
        <v>4120</v>
      </c>
    </row>
    <row r="1203" spans="1:19" x14ac:dyDescent="0.2">
      <c r="A1203" s="51">
        <v>43709</v>
      </c>
      <c r="B1203" s="34">
        <v>22</v>
      </c>
      <c r="C1203" s="35" t="s">
        <v>493</v>
      </c>
      <c r="D1203" s="34" t="str">
        <f>VLOOKUP(C1203,'PUR-PARTY MASTER'!$B$4:$E$2000,2,FALSE)</f>
        <v>27AMMPB3648M1ZO</v>
      </c>
      <c r="E1203" s="34" t="s">
        <v>22</v>
      </c>
      <c r="F1203" s="134">
        <v>2728</v>
      </c>
      <c r="G1203" s="37">
        <v>43713</v>
      </c>
      <c r="H1203" s="34">
        <v>85129000</v>
      </c>
      <c r="I1203" s="39">
        <f>VLOOKUP(H1203,'PUR-HSN MASTER'!$A$4:$E$5000,5,FALSE)</f>
        <v>18</v>
      </c>
      <c r="J1203" s="34">
        <v>500</v>
      </c>
      <c r="K1203" s="126">
        <v>11495</v>
      </c>
      <c r="L1203" s="39">
        <v>0</v>
      </c>
      <c r="M1203" s="39">
        <v>1034.55</v>
      </c>
      <c r="N1203" s="39">
        <v>1034.55</v>
      </c>
      <c r="O1203" s="39">
        <v>0</v>
      </c>
      <c r="P1203" s="39">
        <v>13564</v>
      </c>
      <c r="Q1203" s="34" t="s">
        <v>410</v>
      </c>
      <c r="R1203" s="34" t="s">
        <v>26</v>
      </c>
      <c r="S1203" s="11" t="s">
        <v>4120</v>
      </c>
    </row>
    <row r="1204" spans="1:19" x14ac:dyDescent="0.2">
      <c r="A1204" s="51">
        <v>43709</v>
      </c>
      <c r="B1204" s="34">
        <v>23</v>
      </c>
      <c r="C1204" s="35" t="s">
        <v>479</v>
      </c>
      <c r="D1204" s="34" t="str">
        <f>VLOOKUP(C1204,'PUR-PARTY MASTER'!$B$4:$E$2000,2,FALSE)</f>
        <v>27AAMFC2124K1ZG</v>
      </c>
      <c r="E1204" s="34" t="s">
        <v>22</v>
      </c>
      <c r="F1204" s="134">
        <v>1258</v>
      </c>
      <c r="G1204" s="37">
        <v>43714</v>
      </c>
      <c r="H1204" s="34">
        <v>3919</v>
      </c>
      <c r="I1204" s="39">
        <f>VLOOKUP(H1204,'PUR-HSN MASTER'!$A$4:$E$5000,5,FALSE)</f>
        <v>18</v>
      </c>
      <c r="J1204" s="34">
        <v>2048</v>
      </c>
      <c r="K1204" s="126">
        <v>2764.8</v>
      </c>
      <c r="L1204" s="39">
        <v>0</v>
      </c>
      <c r="M1204" s="39">
        <v>248.83200000000002</v>
      </c>
      <c r="N1204" s="39">
        <v>248.83200000000002</v>
      </c>
      <c r="O1204" s="39">
        <v>0</v>
      </c>
      <c r="P1204" s="39">
        <v>3262.4640000000004</v>
      </c>
      <c r="Q1204" s="34" t="s">
        <v>410</v>
      </c>
      <c r="R1204" s="34" t="s">
        <v>26</v>
      </c>
      <c r="S1204" s="11" t="s">
        <v>4120</v>
      </c>
    </row>
    <row r="1205" spans="1:19" x14ac:dyDescent="0.2">
      <c r="A1205" s="51">
        <v>43709</v>
      </c>
      <c r="B1205" s="34">
        <v>24</v>
      </c>
      <c r="C1205" s="35" t="s">
        <v>479</v>
      </c>
      <c r="D1205" s="34" t="str">
        <f>VLOOKUP(C1205,'PUR-PARTY MASTER'!$B$4:$E$2000,2,FALSE)</f>
        <v>27AAMFC2124K1ZG</v>
      </c>
      <c r="E1205" s="34" t="s">
        <v>22</v>
      </c>
      <c r="F1205" s="134">
        <v>1257</v>
      </c>
      <c r="G1205" s="37">
        <v>43714</v>
      </c>
      <c r="H1205" s="34">
        <v>76071994</v>
      </c>
      <c r="I1205" s="39">
        <f>VLOOKUP(H1205,'PUR-HSN MASTER'!$A$4:$E$5000,5,FALSE)</f>
        <v>18</v>
      </c>
      <c r="J1205" s="34">
        <v>500</v>
      </c>
      <c r="K1205" s="126">
        <v>6410</v>
      </c>
      <c r="L1205" s="39">
        <v>0</v>
      </c>
      <c r="M1205" s="39">
        <v>576.9</v>
      </c>
      <c r="N1205" s="39">
        <v>576.9</v>
      </c>
      <c r="O1205" s="39">
        <v>0</v>
      </c>
      <c r="P1205" s="39">
        <v>7563.8</v>
      </c>
      <c r="Q1205" s="34" t="s">
        <v>410</v>
      </c>
      <c r="R1205" s="34" t="s">
        <v>26</v>
      </c>
      <c r="S1205" s="11" t="s">
        <v>4120</v>
      </c>
    </row>
    <row r="1206" spans="1:19" x14ac:dyDescent="0.2">
      <c r="A1206" s="51">
        <v>43709</v>
      </c>
      <c r="B1206" s="34">
        <v>25</v>
      </c>
      <c r="C1206" s="35" t="s">
        <v>511</v>
      </c>
      <c r="D1206" s="34" t="str">
        <f>VLOOKUP(C1206,'PUR-PARTY MASTER'!$B$4:$E$2000,2,FALSE)</f>
        <v>27AABFA1883E1ZQ</v>
      </c>
      <c r="E1206" s="34" t="s">
        <v>22</v>
      </c>
      <c r="F1206" s="136" t="s">
        <v>950</v>
      </c>
      <c r="G1206" s="37">
        <v>43712</v>
      </c>
      <c r="H1206" s="34">
        <v>32082090</v>
      </c>
      <c r="I1206" s="39">
        <f>VLOOKUP(H1206,'PUR-HSN MASTER'!$A$4:$E$5000,5,FALSE)</f>
        <v>18</v>
      </c>
      <c r="J1206" s="34">
        <v>24</v>
      </c>
      <c r="K1206" s="40">
        <v>4320</v>
      </c>
      <c r="L1206" s="39">
        <v>0</v>
      </c>
      <c r="M1206" s="39">
        <v>388.8</v>
      </c>
      <c r="N1206" s="39">
        <v>388.8</v>
      </c>
      <c r="O1206" s="39">
        <v>0</v>
      </c>
      <c r="P1206" s="39">
        <v>5097.6000000000004</v>
      </c>
      <c r="Q1206" s="34" t="s">
        <v>410</v>
      </c>
      <c r="R1206" s="34" t="s">
        <v>26</v>
      </c>
      <c r="S1206" s="11" t="s">
        <v>4120</v>
      </c>
    </row>
    <row r="1207" spans="1:19" x14ac:dyDescent="0.2">
      <c r="A1207" s="51">
        <v>43709</v>
      </c>
      <c r="B1207" s="34">
        <v>26</v>
      </c>
      <c r="C1207" s="35" t="s">
        <v>554</v>
      </c>
      <c r="D1207" s="34" t="str">
        <f>VLOOKUP(C1207,'PUR-PARTY MASTER'!$B$4:$E$2000,2,FALSE)</f>
        <v>27AACFA1881H1ZL</v>
      </c>
      <c r="E1207" s="34" t="s">
        <v>22</v>
      </c>
      <c r="F1207" s="134">
        <v>11716</v>
      </c>
      <c r="G1207" s="37">
        <v>43714</v>
      </c>
      <c r="H1207" s="34">
        <v>87141900</v>
      </c>
      <c r="I1207" s="39">
        <f>VLOOKUP(H1207,'PUR-HSN MASTER'!$A$4:$E$5000,5,FALSE)</f>
        <v>28</v>
      </c>
      <c r="J1207" s="34">
        <v>500</v>
      </c>
      <c r="K1207" s="126">
        <v>1575</v>
      </c>
      <c r="L1207" s="39">
        <v>0</v>
      </c>
      <c r="M1207" s="39">
        <v>220.5</v>
      </c>
      <c r="N1207" s="39">
        <v>220.5</v>
      </c>
      <c r="O1207" s="39">
        <v>0</v>
      </c>
      <c r="P1207" s="39">
        <v>2016</v>
      </c>
      <c r="Q1207" s="34" t="s">
        <v>410</v>
      </c>
      <c r="R1207" s="34" t="s">
        <v>26</v>
      </c>
      <c r="S1207" s="11" t="s">
        <v>4120</v>
      </c>
    </row>
    <row r="1208" spans="1:19" x14ac:dyDescent="0.2">
      <c r="A1208" s="51">
        <v>43709</v>
      </c>
      <c r="B1208" s="34">
        <v>27</v>
      </c>
      <c r="C1208" s="35" t="s">
        <v>609</v>
      </c>
      <c r="D1208" s="34" t="str">
        <f>VLOOKUP(C1208,'PUR-PARTY MASTER'!$B$4:$E$2000,2,FALSE)</f>
        <v>27AASCS9231J1ZO</v>
      </c>
      <c r="E1208" s="34" t="s">
        <v>22</v>
      </c>
      <c r="F1208" s="136" t="s">
        <v>951</v>
      </c>
      <c r="G1208" s="37">
        <v>43709</v>
      </c>
      <c r="H1208" s="34">
        <v>998519</v>
      </c>
      <c r="I1208" s="39">
        <f>VLOOKUP(H1208,'PUR-HSN MASTER'!$A$4:$E$5000,5,FALSE)</f>
        <v>18</v>
      </c>
      <c r="J1208" s="34"/>
      <c r="K1208" s="126">
        <v>24626</v>
      </c>
      <c r="L1208" s="39">
        <v>0</v>
      </c>
      <c r="M1208" s="39">
        <v>2216.34</v>
      </c>
      <c r="N1208" s="39">
        <v>2216.34</v>
      </c>
      <c r="O1208" s="39">
        <v>0</v>
      </c>
      <c r="P1208" s="39">
        <v>29058</v>
      </c>
      <c r="Q1208" s="34" t="s">
        <v>411</v>
      </c>
      <c r="R1208" s="34" t="s">
        <v>26</v>
      </c>
      <c r="S1208" s="11" t="s">
        <v>4120</v>
      </c>
    </row>
    <row r="1209" spans="1:19" x14ac:dyDescent="0.2">
      <c r="A1209" s="51">
        <v>43709</v>
      </c>
      <c r="B1209" s="34">
        <v>28</v>
      </c>
      <c r="C1209" s="35" t="s">
        <v>609</v>
      </c>
      <c r="D1209" s="34" t="str">
        <f>VLOOKUP(C1209,'PUR-PARTY MASTER'!$B$4:$E$2000,2,FALSE)</f>
        <v>27AASCS9231J1ZO</v>
      </c>
      <c r="E1209" s="34" t="s">
        <v>22</v>
      </c>
      <c r="F1209" s="136" t="s">
        <v>952</v>
      </c>
      <c r="G1209" s="37">
        <v>43709</v>
      </c>
      <c r="H1209" s="34">
        <v>998519</v>
      </c>
      <c r="I1209" s="39">
        <f>VLOOKUP(H1209,'PUR-HSN MASTER'!$A$4:$E$5000,5,FALSE)</f>
        <v>18</v>
      </c>
      <c r="J1209" s="34"/>
      <c r="K1209" s="126">
        <v>826838</v>
      </c>
      <c r="L1209" s="39">
        <v>0</v>
      </c>
      <c r="M1209" s="39">
        <v>74415.42</v>
      </c>
      <c r="N1209" s="39">
        <v>74415.42</v>
      </c>
      <c r="O1209" s="39">
        <v>0</v>
      </c>
      <c r="P1209" s="39">
        <v>975669</v>
      </c>
      <c r="Q1209" s="34" t="s">
        <v>411</v>
      </c>
      <c r="R1209" s="34" t="s">
        <v>26</v>
      </c>
      <c r="S1209" s="11" t="s">
        <v>4120</v>
      </c>
    </row>
    <row r="1210" spans="1:19" x14ac:dyDescent="0.2">
      <c r="A1210" s="51">
        <v>43709</v>
      </c>
      <c r="B1210" s="34">
        <v>29</v>
      </c>
      <c r="C1210" s="35" t="s">
        <v>554</v>
      </c>
      <c r="D1210" s="34" t="str">
        <f>VLOOKUP(C1210,'PUR-PARTY MASTER'!$B$4:$E$2000,2,FALSE)</f>
        <v>27AACFA1881H1ZL</v>
      </c>
      <c r="E1210" s="34" t="s">
        <v>22</v>
      </c>
      <c r="F1210" s="134">
        <v>11758</v>
      </c>
      <c r="G1210" s="37">
        <v>43715</v>
      </c>
      <c r="H1210" s="34">
        <v>87141900</v>
      </c>
      <c r="I1210" s="39">
        <f>VLOOKUP(H1210,'PUR-HSN MASTER'!$A$4:$E$5000,5,FALSE)</f>
        <v>28</v>
      </c>
      <c r="J1210" s="34">
        <v>2250</v>
      </c>
      <c r="K1210" s="126">
        <v>7087.5</v>
      </c>
      <c r="L1210" s="39">
        <v>0</v>
      </c>
      <c r="M1210" s="39">
        <v>992.25</v>
      </c>
      <c r="N1210" s="39">
        <v>992.25</v>
      </c>
      <c r="O1210" s="39">
        <v>0</v>
      </c>
      <c r="P1210" s="39">
        <v>9072</v>
      </c>
      <c r="Q1210" s="34" t="s">
        <v>410</v>
      </c>
      <c r="R1210" s="34" t="s">
        <v>26</v>
      </c>
      <c r="S1210" s="11" t="s">
        <v>4120</v>
      </c>
    </row>
    <row r="1211" spans="1:19" x14ac:dyDescent="0.2">
      <c r="A1211" s="51">
        <v>43709</v>
      </c>
      <c r="B1211" s="34">
        <v>30</v>
      </c>
      <c r="C1211" s="632" t="s">
        <v>741</v>
      </c>
      <c r="D1211" s="34" t="str">
        <f>VLOOKUP(C1211,'PUR-PARTY MASTER'!$B$4:$E$2000,2,FALSE)</f>
        <v>27AAACV2420J1ZI</v>
      </c>
      <c r="E1211" s="34" t="s">
        <v>22</v>
      </c>
      <c r="F1211" s="136">
        <v>2240102681</v>
      </c>
      <c r="G1211" s="37">
        <v>43715</v>
      </c>
      <c r="H1211" s="34">
        <v>87142090</v>
      </c>
      <c r="I1211" s="39">
        <f>VLOOKUP(H1211,'PUR-HSN MASTER'!$A$4:$E$5000,5,FALSE)</f>
        <v>28</v>
      </c>
      <c r="J1211" s="34">
        <v>1080</v>
      </c>
      <c r="K1211" s="40">
        <v>9234</v>
      </c>
      <c r="L1211" s="39">
        <v>0</v>
      </c>
      <c r="M1211" s="39">
        <v>1292.76</v>
      </c>
      <c r="N1211" s="39">
        <v>1292.76</v>
      </c>
      <c r="O1211" s="39">
        <v>0</v>
      </c>
      <c r="P1211" s="39">
        <v>11819.52</v>
      </c>
      <c r="Q1211" s="34" t="s">
        <v>410</v>
      </c>
      <c r="R1211" s="34" t="s">
        <v>26</v>
      </c>
      <c r="S1211" s="11" t="s">
        <v>4120</v>
      </c>
    </row>
    <row r="1212" spans="1:19" x14ac:dyDescent="0.2">
      <c r="A1212" s="51">
        <v>43709</v>
      </c>
      <c r="B1212" s="34">
        <v>31</v>
      </c>
      <c r="C1212" s="632" t="s">
        <v>741</v>
      </c>
      <c r="D1212" s="34" t="str">
        <f>VLOOKUP(C1212,'PUR-PARTY MASTER'!$B$4:$E$2000,2,FALSE)</f>
        <v>27AAACV2420J1ZI</v>
      </c>
      <c r="E1212" s="34" t="s">
        <v>22</v>
      </c>
      <c r="F1212" s="136">
        <v>2240102682</v>
      </c>
      <c r="G1212" s="37">
        <v>43715</v>
      </c>
      <c r="H1212" s="34">
        <v>87142090</v>
      </c>
      <c r="I1212" s="39">
        <f>VLOOKUP(H1212,'PUR-HSN MASTER'!$A$4:$E$5000,5,FALSE)</f>
        <v>28</v>
      </c>
      <c r="J1212" s="34">
        <v>1080</v>
      </c>
      <c r="K1212" s="40">
        <v>31741.200000000001</v>
      </c>
      <c r="L1212" s="39">
        <v>0</v>
      </c>
      <c r="M1212" s="39">
        <v>4443.768</v>
      </c>
      <c r="N1212" s="39">
        <v>4443.768</v>
      </c>
      <c r="O1212" s="39">
        <v>0</v>
      </c>
      <c r="P1212" s="39">
        <v>40628.736000000004</v>
      </c>
      <c r="Q1212" s="34" t="s">
        <v>410</v>
      </c>
      <c r="R1212" s="34" t="s">
        <v>26</v>
      </c>
      <c r="S1212" s="11" t="s">
        <v>4120</v>
      </c>
    </row>
    <row r="1213" spans="1:19" x14ac:dyDescent="0.2">
      <c r="A1213" s="51">
        <v>43709</v>
      </c>
      <c r="B1213" s="34">
        <v>32</v>
      </c>
      <c r="C1213" s="35" t="s">
        <v>479</v>
      </c>
      <c r="D1213" s="34" t="str">
        <f>VLOOKUP(C1213,'PUR-PARTY MASTER'!$B$4:$E$2000,2,FALSE)</f>
        <v>27AAMFC2124K1ZG</v>
      </c>
      <c r="E1213" s="34" t="s">
        <v>22</v>
      </c>
      <c r="F1213" s="134">
        <v>1261</v>
      </c>
      <c r="G1213" s="37">
        <v>43715</v>
      </c>
      <c r="H1213" s="34">
        <v>3919</v>
      </c>
      <c r="I1213" s="39">
        <f>VLOOKUP(H1213,'PUR-HSN MASTER'!$A$4:$E$5000,5,FALSE)</f>
        <v>18</v>
      </c>
      <c r="J1213" s="34">
        <v>40</v>
      </c>
      <c r="K1213" s="126">
        <v>16000</v>
      </c>
      <c r="L1213" s="39">
        <v>0</v>
      </c>
      <c r="M1213" s="39">
        <v>1440</v>
      </c>
      <c r="N1213" s="39">
        <v>1440</v>
      </c>
      <c r="O1213" s="39">
        <v>0</v>
      </c>
      <c r="P1213" s="39">
        <v>18880</v>
      </c>
      <c r="Q1213" s="34" t="s">
        <v>410</v>
      </c>
      <c r="R1213" s="34" t="s">
        <v>26</v>
      </c>
      <c r="S1213" s="11" t="s">
        <v>4120</v>
      </c>
    </row>
    <row r="1214" spans="1:19" x14ac:dyDescent="0.2">
      <c r="A1214" s="51">
        <v>43709</v>
      </c>
      <c r="B1214" s="34">
        <v>33</v>
      </c>
      <c r="C1214" s="35" t="s">
        <v>493</v>
      </c>
      <c r="D1214" s="34" t="str">
        <f>VLOOKUP(C1214,'PUR-PARTY MASTER'!$B$4:$E$2000,2,FALSE)</f>
        <v>27AMMPB3648M1ZO</v>
      </c>
      <c r="E1214" s="34" t="s">
        <v>22</v>
      </c>
      <c r="F1214" s="134">
        <v>2805</v>
      </c>
      <c r="G1214" s="37">
        <v>43717</v>
      </c>
      <c r="H1214" s="34">
        <v>85129000</v>
      </c>
      <c r="I1214" s="39">
        <f>VLOOKUP(H1214,'PUR-HSN MASTER'!$A$4:$E$5000,5,FALSE)</f>
        <v>18</v>
      </c>
      <c r="J1214" s="34">
        <v>1300</v>
      </c>
      <c r="K1214" s="126">
        <v>29887</v>
      </c>
      <c r="L1214" s="39">
        <v>0</v>
      </c>
      <c r="M1214" s="39">
        <v>2689.83</v>
      </c>
      <c r="N1214" s="39">
        <v>2689.83</v>
      </c>
      <c r="O1214" s="39">
        <v>0</v>
      </c>
      <c r="P1214" s="39">
        <v>35267</v>
      </c>
      <c r="Q1214" s="34" t="s">
        <v>410</v>
      </c>
      <c r="R1214" s="34" t="s">
        <v>26</v>
      </c>
      <c r="S1214" s="11" t="s">
        <v>4120</v>
      </c>
    </row>
    <row r="1215" spans="1:19" x14ac:dyDescent="0.2">
      <c r="A1215" s="51">
        <v>43709</v>
      </c>
      <c r="B1215" s="34">
        <v>34</v>
      </c>
      <c r="C1215" s="35" t="s">
        <v>499</v>
      </c>
      <c r="D1215" s="34" t="str">
        <f>VLOOKUP(C1215,'PUR-PARTY MASTER'!$B$4:$E$2000,2,FALSE)</f>
        <v>27AAHFP1154B1ZN</v>
      </c>
      <c r="E1215" s="34" t="s">
        <v>22</v>
      </c>
      <c r="F1215" s="136" t="s">
        <v>953</v>
      </c>
      <c r="G1215" s="37">
        <v>43713</v>
      </c>
      <c r="H1215" s="34">
        <v>84411090</v>
      </c>
      <c r="I1215" s="39">
        <f>VLOOKUP(H1215,'PUR-HSN MASTER'!$A$4:$E$5000,5,FALSE)</f>
        <v>18</v>
      </c>
      <c r="J1215" s="34">
        <v>576</v>
      </c>
      <c r="K1215" s="126">
        <v>1584</v>
      </c>
      <c r="L1215" s="39">
        <v>0</v>
      </c>
      <c r="M1215" s="39">
        <v>142.56</v>
      </c>
      <c r="N1215" s="39">
        <v>142.56</v>
      </c>
      <c r="O1215" s="39">
        <v>0</v>
      </c>
      <c r="P1215" s="39">
        <v>1869</v>
      </c>
      <c r="Q1215" s="34" t="s">
        <v>410</v>
      </c>
      <c r="R1215" s="34" t="s">
        <v>26</v>
      </c>
      <c r="S1215" s="11" t="s">
        <v>4120</v>
      </c>
    </row>
    <row r="1216" spans="1:19" x14ac:dyDescent="0.2">
      <c r="A1216" s="51">
        <v>43709</v>
      </c>
      <c r="B1216" s="34">
        <v>35</v>
      </c>
      <c r="C1216" s="35" t="s">
        <v>499</v>
      </c>
      <c r="D1216" s="34" t="str">
        <f>VLOOKUP(C1216,'PUR-PARTY MASTER'!$B$4:$E$2000,2,FALSE)</f>
        <v>27AAHFP1154B1ZN</v>
      </c>
      <c r="E1216" s="34" t="s">
        <v>22</v>
      </c>
      <c r="F1216" s="136" t="s">
        <v>954</v>
      </c>
      <c r="G1216" s="37">
        <v>43715</v>
      </c>
      <c r="H1216" s="34">
        <v>5407</v>
      </c>
      <c r="I1216" s="39">
        <f>VLOOKUP(H1216,'PUR-HSN MASTER'!$A$4:$E$5000,5,FALSE)</f>
        <v>5</v>
      </c>
      <c r="J1216" s="34">
        <v>65</v>
      </c>
      <c r="K1216" s="126">
        <v>17550</v>
      </c>
      <c r="L1216" s="39">
        <v>0</v>
      </c>
      <c r="M1216" s="39">
        <v>438.75</v>
      </c>
      <c r="N1216" s="39">
        <v>438.75</v>
      </c>
      <c r="O1216" s="39">
        <v>0</v>
      </c>
      <c r="P1216" s="39">
        <v>18428</v>
      </c>
      <c r="Q1216" s="34" t="s">
        <v>410</v>
      </c>
      <c r="R1216" s="34" t="s">
        <v>26</v>
      </c>
      <c r="S1216" s="11" t="s">
        <v>4120</v>
      </c>
    </row>
    <row r="1217" spans="1:19" x14ac:dyDescent="0.2">
      <c r="A1217" s="51">
        <v>43709</v>
      </c>
      <c r="B1217" s="34"/>
      <c r="C1217" s="35" t="s">
        <v>499</v>
      </c>
      <c r="D1217" s="34" t="str">
        <f>VLOOKUP(C1217,'PUR-PARTY MASTER'!$B$4:$E$2000,2,FALSE)</f>
        <v>27AAHFP1154B1ZN</v>
      </c>
      <c r="E1217" s="34" t="s">
        <v>22</v>
      </c>
      <c r="F1217" s="136" t="s">
        <v>954</v>
      </c>
      <c r="G1217" s="37">
        <v>43715</v>
      </c>
      <c r="H1217" s="34">
        <v>6116</v>
      </c>
      <c r="I1217" s="39">
        <f>VLOOKUP(H1217,'PUR-HSN MASTER'!$A$4:$E$5000,5,FALSE)</f>
        <v>5</v>
      </c>
      <c r="J1217" s="34">
        <v>180</v>
      </c>
      <c r="K1217" s="126">
        <v>2160</v>
      </c>
      <c r="L1217" s="39">
        <v>0</v>
      </c>
      <c r="M1217" s="39">
        <v>54</v>
      </c>
      <c r="N1217" s="39">
        <v>54</v>
      </c>
      <c r="O1217" s="39">
        <v>0</v>
      </c>
      <c r="P1217" s="39">
        <v>2268</v>
      </c>
      <c r="Q1217" s="34" t="s">
        <v>410</v>
      </c>
      <c r="R1217" s="34" t="s">
        <v>26</v>
      </c>
      <c r="S1217" s="11" t="s">
        <v>4120</v>
      </c>
    </row>
    <row r="1218" spans="1:19" x14ac:dyDescent="0.2">
      <c r="A1218" s="51">
        <v>43709</v>
      </c>
      <c r="B1218" s="34">
        <v>36</v>
      </c>
      <c r="C1218" s="35" t="s">
        <v>499</v>
      </c>
      <c r="D1218" s="34" t="str">
        <f>VLOOKUP(C1218,'PUR-PARTY MASTER'!$B$4:$E$2000,2,FALSE)</f>
        <v>27AAHFP1154B1ZN</v>
      </c>
      <c r="E1218" s="34" t="s">
        <v>22</v>
      </c>
      <c r="F1218" s="136" t="s">
        <v>955</v>
      </c>
      <c r="G1218" s="37">
        <v>43717</v>
      </c>
      <c r="H1218" s="34" t="s">
        <v>567</v>
      </c>
      <c r="I1218" s="39">
        <f>VLOOKUP(H1218,'PUR-HSN MASTER'!$A$4:$E$5000,5,FALSE)</f>
        <v>18</v>
      </c>
      <c r="J1218" s="34">
        <v>1</v>
      </c>
      <c r="K1218" s="126">
        <v>210</v>
      </c>
      <c r="L1218" s="39">
        <v>0</v>
      </c>
      <c r="M1218" s="39">
        <v>18.900000000000002</v>
      </c>
      <c r="N1218" s="39">
        <v>18.900000000000002</v>
      </c>
      <c r="O1218" s="39">
        <v>0</v>
      </c>
      <c r="P1218" s="39">
        <v>248</v>
      </c>
      <c r="Q1218" s="34" t="s">
        <v>410</v>
      </c>
      <c r="R1218" s="34" t="s">
        <v>26</v>
      </c>
      <c r="S1218" s="11" t="s">
        <v>4120</v>
      </c>
    </row>
    <row r="1219" spans="1:19" x14ac:dyDescent="0.2">
      <c r="A1219" s="51">
        <v>43709</v>
      </c>
      <c r="B1219" s="34">
        <v>37</v>
      </c>
      <c r="C1219" s="35" t="s">
        <v>554</v>
      </c>
      <c r="D1219" s="34" t="str">
        <f>VLOOKUP(C1219,'PUR-PARTY MASTER'!$B$4:$E$2000,2,FALSE)</f>
        <v>27AACFA1881H1ZL</v>
      </c>
      <c r="E1219" s="34" t="s">
        <v>22</v>
      </c>
      <c r="F1219" s="134">
        <v>11811</v>
      </c>
      <c r="G1219" s="37">
        <v>43717</v>
      </c>
      <c r="H1219" s="34">
        <v>87141900</v>
      </c>
      <c r="I1219" s="39">
        <f>VLOOKUP(H1219,'PUR-HSN MASTER'!$A$4:$E$5000,5,FALSE)</f>
        <v>28</v>
      </c>
      <c r="J1219" s="34">
        <v>2480</v>
      </c>
      <c r="K1219" s="126">
        <v>5976.8</v>
      </c>
      <c r="L1219" s="39">
        <v>0</v>
      </c>
      <c r="M1219" s="39">
        <v>836.75199999999995</v>
      </c>
      <c r="N1219" s="39">
        <v>836.75199999999995</v>
      </c>
      <c r="O1219" s="39">
        <v>0</v>
      </c>
      <c r="P1219" s="39">
        <v>7650.3040000000001</v>
      </c>
      <c r="Q1219" s="34" t="s">
        <v>410</v>
      </c>
      <c r="R1219" s="34" t="s">
        <v>26</v>
      </c>
      <c r="S1219" s="11" t="s">
        <v>4120</v>
      </c>
    </row>
    <row r="1220" spans="1:19" x14ac:dyDescent="0.2">
      <c r="A1220" s="51">
        <v>43709</v>
      </c>
      <c r="B1220" s="34">
        <v>38</v>
      </c>
      <c r="C1220" s="35" t="s">
        <v>554</v>
      </c>
      <c r="D1220" s="34" t="str">
        <f>VLOOKUP(C1220,'PUR-PARTY MASTER'!$B$4:$E$2000,2,FALSE)</f>
        <v>27AACFA1881H1ZL</v>
      </c>
      <c r="E1220" s="34" t="s">
        <v>22</v>
      </c>
      <c r="F1220" s="134">
        <v>11815</v>
      </c>
      <c r="G1220" s="37">
        <v>43717</v>
      </c>
      <c r="H1220" s="34">
        <v>87141900</v>
      </c>
      <c r="I1220" s="39">
        <f>VLOOKUP(H1220,'PUR-HSN MASTER'!$A$4:$E$5000,5,FALSE)</f>
        <v>28</v>
      </c>
      <c r="J1220" s="34">
        <v>1800</v>
      </c>
      <c r="K1220" s="126">
        <v>5670</v>
      </c>
      <c r="L1220" s="39">
        <v>0</v>
      </c>
      <c r="M1220" s="39">
        <v>793.80000000000007</v>
      </c>
      <c r="N1220" s="39">
        <v>793.80000000000007</v>
      </c>
      <c r="O1220" s="39">
        <v>0</v>
      </c>
      <c r="P1220" s="39">
        <v>7257.6</v>
      </c>
      <c r="Q1220" s="34" t="s">
        <v>410</v>
      </c>
      <c r="R1220" s="34" t="s">
        <v>26</v>
      </c>
      <c r="S1220" s="11" t="s">
        <v>4120</v>
      </c>
    </row>
    <row r="1221" spans="1:19" x14ac:dyDescent="0.2">
      <c r="A1221" s="51">
        <v>43709</v>
      </c>
      <c r="B1221" s="34">
        <v>39</v>
      </c>
      <c r="C1221" s="35" t="s">
        <v>601</v>
      </c>
      <c r="D1221" s="34" t="str">
        <f>VLOOKUP(C1221,'PUR-PARTY MASTER'!$B$4:$E$2000,2,FALSE)</f>
        <v>27AAZFM6461A1ZY</v>
      </c>
      <c r="E1221" s="34" t="s">
        <v>22</v>
      </c>
      <c r="F1221" s="134">
        <v>4037</v>
      </c>
      <c r="G1221" s="37">
        <v>43717</v>
      </c>
      <c r="H1221" s="34">
        <v>87082900</v>
      </c>
      <c r="I1221" s="39">
        <f>VLOOKUP(H1221,'PUR-HSN MASTER'!$A$4:$E$5000,5,FALSE)</f>
        <v>28</v>
      </c>
      <c r="J1221" s="34">
        <v>320</v>
      </c>
      <c r="K1221" s="126">
        <v>13622.4</v>
      </c>
      <c r="L1221" s="39">
        <v>0</v>
      </c>
      <c r="M1221" s="39">
        <v>1907.136</v>
      </c>
      <c r="N1221" s="39">
        <v>1907.136</v>
      </c>
      <c r="O1221" s="39">
        <v>0</v>
      </c>
      <c r="P1221" s="39">
        <v>17436.681999999997</v>
      </c>
      <c r="Q1221" s="34" t="s">
        <v>410</v>
      </c>
      <c r="R1221" s="34" t="s">
        <v>26</v>
      </c>
      <c r="S1221" s="11" t="s">
        <v>4120</v>
      </c>
    </row>
    <row r="1222" spans="1:19" x14ac:dyDescent="0.2">
      <c r="A1222" s="51">
        <v>43709</v>
      </c>
      <c r="B1222" s="34">
        <v>40</v>
      </c>
      <c r="C1222" s="35" t="s">
        <v>601</v>
      </c>
      <c r="D1222" s="34" t="str">
        <f>VLOOKUP(C1222,'PUR-PARTY MASTER'!$B$4:$E$2000,2,FALSE)</f>
        <v>27AAZFM6461A1ZY</v>
      </c>
      <c r="E1222" s="34" t="s">
        <v>22</v>
      </c>
      <c r="F1222" s="134">
        <v>4038</v>
      </c>
      <c r="G1222" s="37">
        <v>43717</v>
      </c>
      <c r="H1222" s="34">
        <v>87082900</v>
      </c>
      <c r="I1222" s="39">
        <f>VLOOKUP(H1222,'PUR-HSN MASTER'!$A$4:$E$5000,5,FALSE)</f>
        <v>28</v>
      </c>
      <c r="J1222" s="34">
        <v>1200</v>
      </c>
      <c r="K1222" s="126">
        <v>26784</v>
      </c>
      <c r="L1222" s="39">
        <v>0</v>
      </c>
      <c r="M1222" s="39">
        <v>3749.7599999999998</v>
      </c>
      <c r="N1222" s="39">
        <v>3749.7599999999998</v>
      </c>
      <c r="O1222" s="39">
        <v>0</v>
      </c>
      <c r="P1222" s="39">
        <v>34283.519999999997</v>
      </c>
      <c r="Q1222" s="34" t="s">
        <v>410</v>
      </c>
      <c r="R1222" s="34" t="s">
        <v>26</v>
      </c>
      <c r="S1222" s="11" t="s">
        <v>4120</v>
      </c>
    </row>
    <row r="1223" spans="1:19" x14ac:dyDescent="0.2">
      <c r="A1223" s="51">
        <v>43709</v>
      </c>
      <c r="B1223" s="34">
        <v>41</v>
      </c>
      <c r="C1223" s="35" t="s">
        <v>473</v>
      </c>
      <c r="D1223" s="34" t="str">
        <f>VLOOKUP(C1223,'PUR-PARTY MASTER'!$B$4:$E$2000,2,FALSE)</f>
        <v>27AAACT1848E1ZH</v>
      </c>
      <c r="E1223" s="34" t="s">
        <v>22</v>
      </c>
      <c r="F1223" s="136" t="s">
        <v>956</v>
      </c>
      <c r="G1223" s="37">
        <v>43717</v>
      </c>
      <c r="H1223" s="34">
        <v>87089900</v>
      </c>
      <c r="I1223" s="39">
        <f>VLOOKUP(H1223,'PUR-HSN MASTER'!$A$4:$E$5000,5,FALSE)</f>
        <v>28</v>
      </c>
      <c r="J1223" s="34">
        <v>50</v>
      </c>
      <c r="K1223" s="126">
        <v>8015</v>
      </c>
      <c r="L1223" s="39">
        <v>0</v>
      </c>
      <c r="M1223" s="39">
        <v>1122.0000000000002</v>
      </c>
      <c r="N1223" s="39">
        <v>1122.0000000000002</v>
      </c>
      <c r="O1223" s="39">
        <v>0</v>
      </c>
      <c r="P1223" s="39">
        <v>10259</v>
      </c>
      <c r="Q1223" s="34" t="s">
        <v>410</v>
      </c>
      <c r="R1223" s="34" t="s">
        <v>26</v>
      </c>
      <c r="S1223" s="11" t="s">
        <v>4120</v>
      </c>
    </row>
    <row r="1224" spans="1:19" x14ac:dyDescent="0.2">
      <c r="A1224" s="51">
        <v>43709</v>
      </c>
      <c r="B1224" s="34">
        <v>42</v>
      </c>
      <c r="C1224" s="35" t="s">
        <v>473</v>
      </c>
      <c r="D1224" s="34" t="str">
        <f>VLOOKUP(C1224,'PUR-PARTY MASTER'!$B$4:$E$2000,2,FALSE)</f>
        <v>27AAACT1848E1ZH</v>
      </c>
      <c r="E1224" s="34" t="s">
        <v>22</v>
      </c>
      <c r="F1224" s="136" t="s">
        <v>957</v>
      </c>
      <c r="G1224" s="37">
        <v>43717</v>
      </c>
      <c r="H1224" s="34">
        <v>87089900</v>
      </c>
      <c r="I1224" s="39">
        <f>VLOOKUP(H1224,'PUR-HSN MASTER'!$A$4:$E$5000,5,FALSE)</f>
        <v>28</v>
      </c>
      <c r="J1224" s="34">
        <v>60</v>
      </c>
      <c r="K1224" s="126">
        <v>9124.4</v>
      </c>
      <c r="L1224" s="39">
        <v>0</v>
      </c>
      <c r="M1224" s="39">
        <v>1277.9959999999999</v>
      </c>
      <c r="N1224" s="39">
        <v>1277.9959999999999</v>
      </c>
      <c r="O1224" s="39">
        <v>0</v>
      </c>
      <c r="P1224" s="39">
        <v>11680.392</v>
      </c>
      <c r="Q1224" s="34" t="s">
        <v>410</v>
      </c>
      <c r="R1224" s="34" t="s">
        <v>26</v>
      </c>
      <c r="S1224" s="11" t="s">
        <v>4120</v>
      </c>
    </row>
    <row r="1225" spans="1:19" x14ac:dyDescent="0.2">
      <c r="A1225" s="51">
        <v>43709</v>
      </c>
      <c r="B1225" s="34">
        <v>43</v>
      </c>
      <c r="C1225" s="35" t="s">
        <v>517</v>
      </c>
      <c r="D1225" s="34" t="str">
        <f>VLOOKUP(C1225,'PUR-PARTY MASTER'!$B$4:$E$2000,2,FALSE)</f>
        <v>23AAACT6376M1ZZ</v>
      </c>
      <c r="E1225" s="34" t="s">
        <v>22</v>
      </c>
      <c r="F1225" s="134">
        <v>19616379</v>
      </c>
      <c r="G1225" s="37">
        <v>43715</v>
      </c>
      <c r="H1225" s="34">
        <v>87081090</v>
      </c>
      <c r="I1225" s="39">
        <f>VLOOKUP(H1225,'PUR-HSN MASTER'!$A$4:$E$5000,5,FALSE)</f>
        <v>28</v>
      </c>
      <c r="J1225" s="34">
        <v>20</v>
      </c>
      <c r="K1225" s="126">
        <v>13050.2</v>
      </c>
      <c r="L1225" s="39">
        <v>3654.0560000000005</v>
      </c>
      <c r="M1225" s="39">
        <v>0</v>
      </c>
      <c r="N1225" s="39">
        <v>0</v>
      </c>
      <c r="O1225" s="39">
        <v>0</v>
      </c>
      <c r="P1225" s="39">
        <v>16704.256000000001</v>
      </c>
      <c r="Q1225" s="34" t="s">
        <v>410</v>
      </c>
      <c r="R1225" s="34" t="s">
        <v>106</v>
      </c>
      <c r="S1225" s="11" t="s">
        <v>4120</v>
      </c>
    </row>
    <row r="1226" spans="1:19" x14ac:dyDescent="0.2">
      <c r="A1226" s="51">
        <v>43709</v>
      </c>
      <c r="B1226" s="34">
        <v>44</v>
      </c>
      <c r="C1226" s="35" t="s">
        <v>517</v>
      </c>
      <c r="D1226" s="34" t="str">
        <f>VLOOKUP(C1226,'PUR-PARTY MASTER'!$B$4:$E$2000,2,FALSE)</f>
        <v>23AAACT6376M1ZZ</v>
      </c>
      <c r="E1226" s="34" t="s">
        <v>22</v>
      </c>
      <c r="F1226" s="134">
        <v>19616380</v>
      </c>
      <c r="G1226" s="37">
        <v>43715</v>
      </c>
      <c r="H1226" s="34">
        <v>87081090</v>
      </c>
      <c r="I1226" s="39">
        <f>VLOOKUP(H1226,'PUR-HSN MASTER'!$A$4:$E$5000,5,FALSE)</f>
        <v>28</v>
      </c>
      <c r="J1226" s="34">
        <v>1</v>
      </c>
      <c r="K1226" s="126">
        <v>3693.1</v>
      </c>
      <c r="L1226" s="39">
        <v>1034.068</v>
      </c>
      <c r="M1226" s="39">
        <v>0</v>
      </c>
      <c r="N1226" s="39">
        <v>0</v>
      </c>
      <c r="O1226" s="39">
        <v>0</v>
      </c>
      <c r="P1226" s="39">
        <v>4727.1679999999997</v>
      </c>
      <c r="Q1226" s="34" t="s">
        <v>410</v>
      </c>
      <c r="R1226" s="34" t="s">
        <v>106</v>
      </c>
      <c r="S1226" s="11" t="s">
        <v>4120</v>
      </c>
    </row>
    <row r="1227" spans="1:19" x14ac:dyDescent="0.2">
      <c r="A1227" s="51">
        <v>43709</v>
      </c>
      <c r="B1227" s="34">
        <v>45</v>
      </c>
      <c r="C1227" s="35" t="s">
        <v>489</v>
      </c>
      <c r="D1227" s="34" t="str">
        <f>VLOOKUP(C1227,'PUR-PARTY MASTER'!$B$4:$E$2000,2,FALSE)</f>
        <v>27AAECD2713N1ZK</v>
      </c>
      <c r="E1227" s="34" t="s">
        <v>22</v>
      </c>
      <c r="F1227" s="134">
        <v>7887988253</v>
      </c>
      <c r="G1227" s="37">
        <v>43717</v>
      </c>
      <c r="H1227" s="34">
        <v>32082090</v>
      </c>
      <c r="I1227" s="39">
        <f>VLOOKUP(H1227,'PUR-HSN MASTER'!$A$4:$E$5000,5,FALSE)</f>
        <v>18</v>
      </c>
      <c r="J1227" s="34">
        <v>4</v>
      </c>
      <c r="K1227" s="126">
        <v>1944</v>
      </c>
      <c r="L1227" s="39">
        <v>0</v>
      </c>
      <c r="M1227" s="39">
        <v>174.96</v>
      </c>
      <c r="N1227" s="39">
        <v>174.96</v>
      </c>
      <c r="O1227" s="39">
        <v>0</v>
      </c>
      <c r="P1227" s="39">
        <v>2294</v>
      </c>
      <c r="Q1227" s="34" t="s">
        <v>410</v>
      </c>
      <c r="R1227" s="34" t="s">
        <v>26</v>
      </c>
      <c r="S1227" s="11" t="s">
        <v>4120</v>
      </c>
    </row>
    <row r="1228" spans="1:19" x14ac:dyDescent="0.2">
      <c r="A1228" s="51">
        <v>43709</v>
      </c>
      <c r="B1228" s="34">
        <v>46</v>
      </c>
      <c r="C1228" s="35" t="s">
        <v>476</v>
      </c>
      <c r="D1228" s="34" t="str">
        <f>VLOOKUP(C1228,'PUR-PARTY MASTER'!$B$4:$E$2000,2,FALSE)</f>
        <v>27AABCO8467D1ZA</v>
      </c>
      <c r="E1228" s="34" t="s">
        <v>22</v>
      </c>
      <c r="F1228" s="136" t="s">
        <v>958</v>
      </c>
      <c r="G1228" s="37">
        <v>43709</v>
      </c>
      <c r="H1228" s="34" t="s">
        <v>703</v>
      </c>
      <c r="I1228" s="39">
        <f>VLOOKUP(H1228,'PUR-HSN MASTER'!$A$4:$E$5000,5,FALSE)</f>
        <v>28</v>
      </c>
      <c r="J1228" s="34"/>
      <c r="K1228" s="126">
        <v>376945</v>
      </c>
      <c r="L1228" s="39">
        <v>0</v>
      </c>
      <c r="M1228" s="39">
        <v>52772.299999999996</v>
      </c>
      <c r="N1228" s="39">
        <v>52772.299999999996</v>
      </c>
      <c r="O1228" s="39">
        <v>0</v>
      </c>
      <c r="P1228" s="39">
        <v>482489.59999999998</v>
      </c>
      <c r="Q1228" s="34" t="s">
        <v>410</v>
      </c>
      <c r="R1228" s="34" t="s">
        <v>26</v>
      </c>
      <c r="S1228" s="11" t="s">
        <v>4120</v>
      </c>
    </row>
    <row r="1229" spans="1:19" x14ac:dyDescent="0.2">
      <c r="A1229" s="51">
        <v>43709</v>
      </c>
      <c r="B1229" s="34">
        <v>47</v>
      </c>
      <c r="C1229" s="35" t="s">
        <v>551</v>
      </c>
      <c r="D1229" s="34" t="str">
        <f>VLOOKUP(C1229,'PUR-PARTY MASTER'!$B$4:$E$2000,2,FALSE)</f>
        <v>27AHVPG8951G1ZQ</v>
      </c>
      <c r="E1229" s="34" t="s">
        <v>22</v>
      </c>
      <c r="F1229" s="136" t="s">
        <v>959</v>
      </c>
      <c r="G1229" s="37">
        <v>43717</v>
      </c>
      <c r="H1229" s="34">
        <v>998519</v>
      </c>
      <c r="I1229" s="39">
        <f>VLOOKUP(H1229,'PUR-HSN MASTER'!$A$4:$E$5000,5,FALSE)</f>
        <v>18</v>
      </c>
      <c r="J1229" s="38">
        <v>0</v>
      </c>
      <c r="K1229" s="40">
        <v>18000</v>
      </c>
      <c r="L1229" s="39">
        <v>0</v>
      </c>
      <c r="M1229" s="39">
        <v>1620</v>
      </c>
      <c r="N1229" s="39">
        <v>1620</v>
      </c>
      <c r="O1229" s="39">
        <v>0</v>
      </c>
      <c r="P1229" s="39">
        <v>21240</v>
      </c>
      <c r="Q1229" s="34" t="s">
        <v>411</v>
      </c>
      <c r="R1229" s="34" t="s">
        <v>26</v>
      </c>
      <c r="S1229" s="11" t="s">
        <v>4120</v>
      </c>
    </row>
    <row r="1230" spans="1:19" x14ac:dyDescent="0.2">
      <c r="A1230" s="51">
        <v>43709</v>
      </c>
      <c r="B1230" s="34">
        <v>48</v>
      </c>
      <c r="C1230" s="35" t="s">
        <v>554</v>
      </c>
      <c r="D1230" s="34" t="str">
        <f>VLOOKUP(C1230,'PUR-PARTY MASTER'!$B$4:$E$2000,2,FALSE)</f>
        <v>27AACFA1881H1ZL</v>
      </c>
      <c r="E1230" s="34" t="s">
        <v>22</v>
      </c>
      <c r="F1230" s="134">
        <v>11861</v>
      </c>
      <c r="G1230" s="37">
        <v>43718</v>
      </c>
      <c r="H1230" s="34">
        <v>87141900</v>
      </c>
      <c r="I1230" s="39">
        <f>VLOOKUP(H1230,'PUR-HSN MASTER'!$A$4:$E$5000,5,FALSE)</f>
        <v>28</v>
      </c>
      <c r="J1230" s="34">
        <v>3650</v>
      </c>
      <c r="K1230" s="126">
        <v>11201.5</v>
      </c>
      <c r="L1230" s="39">
        <v>0</v>
      </c>
      <c r="M1230" s="39">
        <v>1568.21</v>
      </c>
      <c r="N1230" s="39">
        <v>1568.21</v>
      </c>
      <c r="O1230" s="39">
        <v>0</v>
      </c>
      <c r="P1230" s="39">
        <v>14337.92</v>
      </c>
      <c r="Q1230" s="34" t="s">
        <v>410</v>
      </c>
      <c r="R1230" s="34" t="s">
        <v>26</v>
      </c>
      <c r="S1230" s="11" t="s">
        <v>4120</v>
      </c>
    </row>
    <row r="1231" spans="1:19" x14ac:dyDescent="0.2">
      <c r="A1231" s="51">
        <v>43709</v>
      </c>
      <c r="B1231" s="34">
        <v>49</v>
      </c>
      <c r="C1231" s="35" t="s">
        <v>493</v>
      </c>
      <c r="D1231" s="34" t="str">
        <f>VLOOKUP(C1231,'PUR-PARTY MASTER'!$B$4:$E$2000,2,FALSE)</f>
        <v>27AMMPB3648M1ZO</v>
      </c>
      <c r="E1231" s="34" t="s">
        <v>22</v>
      </c>
      <c r="F1231" s="134">
        <v>2811</v>
      </c>
      <c r="G1231" s="37">
        <v>43718</v>
      </c>
      <c r="H1231" s="34">
        <v>85129000</v>
      </c>
      <c r="I1231" s="39">
        <f>VLOOKUP(H1231,'PUR-HSN MASTER'!$A$4:$E$5000,5,FALSE)</f>
        <v>18</v>
      </c>
      <c r="J1231" s="34">
        <v>735</v>
      </c>
      <c r="K1231" s="126">
        <v>16897.650000000001</v>
      </c>
      <c r="L1231" s="39">
        <v>0</v>
      </c>
      <c r="M1231" s="39">
        <v>1520.7885000000001</v>
      </c>
      <c r="N1231" s="39">
        <v>1520.7885000000001</v>
      </c>
      <c r="O1231" s="39">
        <v>0</v>
      </c>
      <c r="P1231" s="39">
        <v>19938.997000000003</v>
      </c>
      <c r="Q1231" s="34" t="s">
        <v>410</v>
      </c>
      <c r="R1231" s="34" t="s">
        <v>26</v>
      </c>
      <c r="S1231" s="11" t="s">
        <v>4120</v>
      </c>
    </row>
    <row r="1232" spans="1:19" x14ac:dyDescent="0.2">
      <c r="A1232" s="51">
        <v>43709</v>
      </c>
      <c r="B1232" s="34">
        <v>50</v>
      </c>
      <c r="C1232" s="35" t="s">
        <v>601</v>
      </c>
      <c r="D1232" s="34" t="str">
        <f>VLOOKUP(C1232,'PUR-PARTY MASTER'!$B$4:$E$2000,2,FALSE)</f>
        <v>27AAZFM6461A1ZY</v>
      </c>
      <c r="E1232" s="34" t="s">
        <v>22</v>
      </c>
      <c r="F1232" s="134">
        <v>4080</v>
      </c>
      <c r="G1232" s="37">
        <v>43718</v>
      </c>
      <c r="H1232" s="34">
        <v>87082900</v>
      </c>
      <c r="I1232" s="39">
        <f>VLOOKUP(H1232,'PUR-HSN MASTER'!$A$4:$E$5000,5,FALSE)</f>
        <v>28</v>
      </c>
      <c r="J1232" s="34">
        <v>1560</v>
      </c>
      <c r="K1232" s="126">
        <v>34819.199999999997</v>
      </c>
      <c r="L1232" s="39">
        <v>0</v>
      </c>
      <c r="M1232" s="39">
        <v>4874.6879999999992</v>
      </c>
      <c r="N1232" s="39">
        <v>4874.6879999999992</v>
      </c>
      <c r="O1232" s="39">
        <v>0</v>
      </c>
      <c r="P1232" s="39">
        <v>44568.585999999996</v>
      </c>
      <c r="Q1232" s="34" t="s">
        <v>410</v>
      </c>
      <c r="R1232" s="34" t="s">
        <v>26</v>
      </c>
      <c r="S1232" s="11" t="s">
        <v>4120</v>
      </c>
    </row>
    <row r="1233" spans="1:19" x14ac:dyDescent="0.2">
      <c r="A1233" s="51">
        <v>43709</v>
      </c>
      <c r="B1233" s="34">
        <v>51</v>
      </c>
      <c r="C1233" s="35" t="s">
        <v>601</v>
      </c>
      <c r="D1233" s="34" t="str">
        <f>VLOOKUP(C1233,'PUR-PARTY MASTER'!$B$4:$E$2000,2,FALSE)</f>
        <v>27AAZFM6461A1ZY</v>
      </c>
      <c r="E1233" s="34" t="s">
        <v>22</v>
      </c>
      <c r="F1233" s="134">
        <v>4081</v>
      </c>
      <c r="G1233" s="37">
        <v>43718</v>
      </c>
      <c r="H1233" s="34">
        <v>87082900</v>
      </c>
      <c r="I1233" s="39">
        <f>VLOOKUP(H1233,'PUR-HSN MASTER'!$A$4:$E$5000,5,FALSE)</f>
        <v>28</v>
      </c>
      <c r="J1233" s="34">
        <v>400</v>
      </c>
      <c r="K1233" s="126">
        <v>17028</v>
      </c>
      <c r="L1233" s="39">
        <v>0</v>
      </c>
      <c r="M1233" s="39">
        <v>2383.92</v>
      </c>
      <c r="N1233" s="39">
        <v>2383.92</v>
      </c>
      <c r="O1233" s="39">
        <v>0</v>
      </c>
      <c r="P1233" s="39">
        <v>21795.84</v>
      </c>
      <c r="Q1233" s="34" t="s">
        <v>410</v>
      </c>
      <c r="R1233" s="34" t="s">
        <v>26</v>
      </c>
      <c r="S1233" s="11" t="s">
        <v>4120</v>
      </c>
    </row>
    <row r="1234" spans="1:19" x14ac:dyDescent="0.2">
      <c r="A1234" s="51">
        <v>43709</v>
      </c>
      <c r="B1234" s="34">
        <v>52</v>
      </c>
      <c r="C1234" s="35" t="s">
        <v>489</v>
      </c>
      <c r="D1234" s="34" t="str">
        <f>VLOOKUP(C1234,'PUR-PARTY MASTER'!$B$4:$E$2000,2,FALSE)</f>
        <v>27AAECD2713N1ZK</v>
      </c>
      <c r="E1234" s="34" t="s">
        <v>22</v>
      </c>
      <c r="F1234" s="134">
        <v>7887988327</v>
      </c>
      <c r="G1234" s="37">
        <v>43718</v>
      </c>
      <c r="H1234" s="34">
        <v>32089090</v>
      </c>
      <c r="I1234" s="39">
        <f>VLOOKUP(H1234,'PUR-HSN MASTER'!$A$4:$E$5000,5,FALSE)</f>
        <v>18</v>
      </c>
      <c r="J1234" s="34">
        <v>6</v>
      </c>
      <c r="K1234" s="126">
        <v>3990</v>
      </c>
      <c r="L1234" s="39">
        <v>0</v>
      </c>
      <c r="M1234" s="39">
        <v>359.09999999999997</v>
      </c>
      <c r="N1234" s="39">
        <v>359.09999999999997</v>
      </c>
      <c r="O1234" s="39">
        <v>0</v>
      </c>
      <c r="P1234" s="39">
        <v>4708</v>
      </c>
      <c r="Q1234" s="34" t="s">
        <v>410</v>
      </c>
      <c r="R1234" s="34" t="s">
        <v>26</v>
      </c>
      <c r="S1234" s="11" t="s">
        <v>4120</v>
      </c>
    </row>
    <row r="1235" spans="1:19" x14ac:dyDescent="0.2">
      <c r="A1235" s="51">
        <v>43709</v>
      </c>
      <c r="B1235" s="34">
        <v>53</v>
      </c>
      <c r="C1235" s="35" t="s">
        <v>591</v>
      </c>
      <c r="D1235" s="34" t="str">
        <f>VLOOKUP(C1235,'PUR-PARTY MASTER'!$B$4:$E$2000,2,FALSE)</f>
        <v>27AAACI6297A1ZN</v>
      </c>
      <c r="E1235" s="34" t="s">
        <v>22</v>
      </c>
      <c r="F1235" s="136" t="s">
        <v>960</v>
      </c>
      <c r="G1235" s="37">
        <v>43718</v>
      </c>
      <c r="H1235" s="34">
        <v>39073090</v>
      </c>
      <c r="I1235" s="39">
        <f>VLOOKUP(H1235,'PUR-HSN MASTER'!$A$4:$E$5000,5,FALSE)</f>
        <v>18</v>
      </c>
      <c r="J1235" s="34">
        <v>108</v>
      </c>
      <c r="K1235" s="40">
        <v>81000</v>
      </c>
      <c r="L1235" s="39">
        <v>0</v>
      </c>
      <c r="M1235" s="39">
        <v>7290</v>
      </c>
      <c r="N1235" s="39">
        <v>7290</v>
      </c>
      <c r="O1235" s="39">
        <v>0</v>
      </c>
      <c r="P1235" s="39">
        <v>95580</v>
      </c>
      <c r="Q1235" s="34" t="s">
        <v>410</v>
      </c>
      <c r="R1235" s="34" t="s">
        <v>26</v>
      </c>
      <c r="S1235" s="11" t="s">
        <v>4120</v>
      </c>
    </row>
    <row r="1236" spans="1:19" x14ac:dyDescent="0.2">
      <c r="A1236" s="34"/>
      <c r="B1236" s="34"/>
      <c r="C1236" s="35" t="s">
        <v>591</v>
      </c>
      <c r="D1236" s="34" t="str">
        <f>VLOOKUP(C1236,'PUR-PARTY MASTER'!$B$4:$E$2000,2,FALSE)</f>
        <v>27AAACI6297A1ZN</v>
      </c>
      <c r="E1236" s="34" t="s">
        <v>22</v>
      </c>
      <c r="F1236" s="136" t="s">
        <v>960</v>
      </c>
      <c r="G1236" s="37">
        <v>43718</v>
      </c>
      <c r="H1236" s="34">
        <v>38249090</v>
      </c>
      <c r="I1236" s="39">
        <f>VLOOKUP(H1236,'PUR-HSN MASTER'!$A$4:$E$5000,5,FALSE)</f>
        <v>18</v>
      </c>
      <c r="J1236" s="34">
        <v>10</v>
      </c>
      <c r="K1236" s="40">
        <v>7200</v>
      </c>
      <c r="L1236" s="39">
        <v>0</v>
      </c>
      <c r="M1236" s="39">
        <v>648</v>
      </c>
      <c r="N1236" s="39">
        <v>648</v>
      </c>
      <c r="O1236" s="39">
        <v>0</v>
      </c>
      <c r="P1236" s="39">
        <v>8496</v>
      </c>
      <c r="Q1236" s="34" t="s">
        <v>410</v>
      </c>
      <c r="R1236" s="34" t="s">
        <v>26</v>
      </c>
      <c r="S1236" s="11" t="s">
        <v>4120</v>
      </c>
    </row>
    <row r="1237" spans="1:19" x14ac:dyDescent="0.2">
      <c r="A1237" s="34"/>
      <c r="B1237" s="34"/>
      <c r="C1237" s="35" t="s">
        <v>591</v>
      </c>
      <c r="D1237" s="34" t="str">
        <f>VLOOKUP(C1237,'PUR-PARTY MASTER'!$B$4:$E$2000,2,FALSE)</f>
        <v>27AAACI6297A1ZN</v>
      </c>
      <c r="E1237" s="34" t="s">
        <v>22</v>
      </c>
      <c r="F1237" s="136" t="s">
        <v>960</v>
      </c>
      <c r="G1237" s="37">
        <v>43718</v>
      </c>
      <c r="H1237" s="34">
        <v>38140010</v>
      </c>
      <c r="I1237" s="39">
        <f>VLOOKUP(H1237,'PUR-HSN MASTER'!$A$4:$E$5000,5,FALSE)</f>
        <v>18</v>
      </c>
      <c r="J1237" s="34">
        <v>54</v>
      </c>
      <c r="K1237" s="40">
        <v>42390</v>
      </c>
      <c r="L1237" s="39">
        <v>0</v>
      </c>
      <c r="M1237" s="39">
        <v>3815.1</v>
      </c>
      <c r="N1237" s="39">
        <v>3815.1</v>
      </c>
      <c r="O1237" s="39">
        <v>0</v>
      </c>
      <c r="P1237" s="39">
        <v>50020</v>
      </c>
      <c r="Q1237" s="34" t="s">
        <v>410</v>
      </c>
      <c r="R1237" s="34" t="s">
        <v>26</v>
      </c>
      <c r="S1237" s="11" t="s">
        <v>4120</v>
      </c>
    </row>
    <row r="1238" spans="1:19" x14ac:dyDescent="0.2">
      <c r="A1238" s="51">
        <v>43709</v>
      </c>
      <c r="B1238" s="34">
        <v>54</v>
      </c>
      <c r="C1238" s="35" t="s">
        <v>479</v>
      </c>
      <c r="D1238" s="34" t="str">
        <f>VLOOKUP(C1238,'PUR-PARTY MASTER'!$B$4:$E$2000,2,FALSE)</f>
        <v>27AAMFC2124K1ZG</v>
      </c>
      <c r="E1238" s="34" t="s">
        <v>22</v>
      </c>
      <c r="F1238" s="134">
        <v>1269</v>
      </c>
      <c r="G1238" s="37">
        <v>43719</v>
      </c>
      <c r="H1238" s="34">
        <v>3919</v>
      </c>
      <c r="I1238" s="39">
        <f>VLOOKUP(H1238,'PUR-HSN MASTER'!$A$4:$E$5000,5,FALSE)</f>
        <v>18</v>
      </c>
      <c r="J1238" s="34">
        <v>12</v>
      </c>
      <c r="K1238" s="126">
        <v>9000</v>
      </c>
      <c r="L1238" s="39">
        <v>0</v>
      </c>
      <c r="M1238" s="39">
        <v>810</v>
      </c>
      <c r="N1238" s="39">
        <v>810</v>
      </c>
      <c r="O1238" s="39">
        <v>0</v>
      </c>
      <c r="P1238" s="39">
        <v>10620</v>
      </c>
      <c r="Q1238" s="34" t="s">
        <v>410</v>
      </c>
      <c r="R1238" s="34" t="s">
        <v>26</v>
      </c>
      <c r="S1238" s="11" t="s">
        <v>4120</v>
      </c>
    </row>
    <row r="1239" spans="1:19" x14ac:dyDescent="0.2">
      <c r="A1239" s="51">
        <v>43709</v>
      </c>
      <c r="B1239" s="34">
        <v>55</v>
      </c>
      <c r="C1239" s="35" t="s">
        <v>747</v>
      </c>
      <c r="D1239" s="34" t="str">
        <f>VLOOKUP(C1239,'PUR-PARTY MASTER'!$B$4:$E$2000,2,FALSE)</f>
        <v>27ACIPD7822K1ZF</v>
      </c>
      <c r="E1239" s="34" t="s">
        <v>22</v>
      </c>
      <c r="F1239" s="136" t="s">
        <v>961</v>
      </c>
      <c r="G1239" s="37">
        <v>43719</v>
      </c>
      <c r="H1239" s="34">
        <v>84778090</v>
      </c>
      <c r="I1239" s="39">
        <f>VLOOKUP(H1239,'PUR-HSN MASTER'!$A$4:$E$5000,5,FALSE)</f>
        <v>18</v>
      </c>
      <c r="J1239" s="34">
        <v>25</v>
      </c>
      <c r="K1239" s="126">
        <v>5125</v>
      </c>
      <c r="L1239" s="39">
        <v>0</v>
      </c>
      <c r="M1239" s="39">
        <v>461.25</v>
      </c>
      <c r="N1239" s="39">
        <v>461.25</v>
      </c>
      <c r="O1239" s="39">
        <v>0</v>
      </c>
      <c r="P1239" s="39">
        <v>6047.5</v>
      </c>
      <c r="Q1239" s="34" t="s">
        <v>410</v>
      </c>
      <c r="R1239" s="34" t="s">
        <v>26</v>
      </c>
      <c r="S1239" s="11" t="s">
        <v>4120</v>
      </c>
    </row>
    <row r="1240" spans="1:19" x14ac:dyDescent="0.2">
      <c r="A1240" s="51">
        <v>43709</v>
      </c>
      <c r="B1240" s="34">
        <v>56</v>
      </c>
      <c r="C1240" s="35" t="s">
        <v>473</v>
      </c>
      <c r="D1240" s="34" t="str">
        <f>VLOOKUP(C1240,'PUR-PARTY MASTER'!$B$4:$E$2000,2,FALSE)</f>
        <v>27AAACT1848E1ZH</v>
      </c>
      <c r="E1240" s="34" t="s">
        <v>22</v>
      </c>
      <c r="F1240" s="136" t="s">
        <v>962</v>
      </c>
      <c r="G1240" s="37">
        <v>43719</v>
      </c>
      <c r="H1240" s="34">
        <v>87089900</v>
      </c>
      <c r="I1240" s="39">
        <f>VLOOKUP(H1240,'PUR-HSN MASTER'!$A$4:$E$5000,5,FALSE)</f>
        <v>28</v>
      </c>
      <c r="J1240" s="34">
        <v>138</v>
      </c>
      <c r="K1240" s="126">
        <v>5667.69</v>
      </c>
      <c r="L1240" s="39">
        <v>0</v>
      </c>
      <c r="M1240" s="39">
        <v>793.99659999999994</v>
      </c>
      <c r="N1240" s="39">
        <v>793.99659999999994</v>
      </c>
      <c r="O1240" s="39">
        <v>0</v>
      </c>
      <c r="P1240" s="39">
        <v>7255.6931999999997</v>
      </c>
      <c r="Q1240" s="34" t="s">
        <v>410</v>
      </c>
      <c r="R1240" s="34" t="s">
        <v>26</v>
      </c>
      <c r="S1240" s="11" t="s">
        <v>4120</v>
      </c>
    </row>
    <row r="1241" spans="1:19" x14ac:dyDescent="0.2">
      <c r="A1241" s="51">
        <v>43709</v>
      </c>
      <c r="B1241" s="34">
        <v>57</v>
      </c>
      <c r="C1241" s="35" t="s">
        <v>963</v>
      </c>
      <c r="D1241" s="34" t="str">
        <f>VLOOKUP(C1241,'PUR-PARTY MASTER'!$B$4:$E$2000,2,FALSE)</f>
        <v>27AAKFV5974C1ZS</v>
      </c>
      <c r="E1241" s="34" t="s">
        <v>22</v>
      </c>
      <c r="F1241" s="136" t="s">
        <v>965</v>
      </c>
      <c r="G1241" s="37">
        <v>43714</v>
      </c>
      <c r="H1241" s="34">
        <v>998519</v>
      </c>
      <c r="I1241" s="39">
        <f>VLOOKUP(H1241,'PUR-HSN MASTER'!$A$4:$E$5000,5,FALSE)</f>
        <v>18</v>
      </c>
      <c r="J1241" s="34">
        <v>0</v>
      </c>
      <c r="K1241" s="126">
        <v>1500</v>
      </c>
      <c r="L1241" s="39">
        <v>0</v>
      </c>
      <c r="M1241" s="39">
        <v>135</v>
      </c>
      <c r="N1241" s="39">
        <v>135</v>
      </c>
      <c r="O1241" s="39">
        <v>0</v>
      </c>
      <c r="P1241" s="39">
        <v>1770</v>
      </c>
      <c r="Q1241" s="34" t="s">
        <v>410</v>
      </c>
      <c r="R1241" s="34" t="s">
        <v>26</v>
      </c>
      <c r="S1241" s="11" t="s">
        <v>4120</v>
      </c>
    </row>
    <row r="1242" spans="1:19" x14ac:dyDescent="0.2">
      <c r="A1242" s="51">
        <v>43709</v>
      </c>
      <c r="B1242" s="34">
        <v>58</v>
      </c>
      <c r="C1242" s="35" t="s">
        <v>518</v>
      </c>
      <c r="D1242" s="34" t="str">
        <f>VLOOKUP(C1242,'PUR-PARTY MASTER'!$B$4:$E$2000,2,FALSE)</f>
        <v>27AAACB2894G1ZN</v>
      </c>
      <c r="E1242" s="34" t="s">
        <v>22</v>
      </c>
      <c r="F1242" s="136" t="s">
        <v>966</v>
      </c>
      <c r="G1242" s="37">
        <v>43720</v>
      </c>
      <c r="H1242" s="34">
        <v>9984</v>
      </c>
      <c r="I1242" s="39">
        <f>VLOOKUP(H1242,'PUR-HSN MASTER'!$A$4:$E$5000,5,FALSE)</f>
        <v>18</v>
      </c>
      <c r="J1242" s="34"/>
      <c r="K1242" s="126">
        <v>4796</v>
      </c>
      <c r="L1242" s="39">
        <v>0</v>
      </c>
      <c r="M1242" s="39">
        <v>431.64</v>
      </c>
      <c r="N1242" s="39">
        <v>431.64</v>
      </c>
      <c r="O1242" s="39">
        <v>0</v>
      </c>
      <c r="P1242" s="39">
        <v>5659.28</v>
      </c>
      <c r="Q1242" s="34" t="s">
        <v>410</v>
      </c>
      <c r="R1242" s="34" t="s">
        <v>26</v>
      </c>
      <c r="S1242" s="11" t="s">
        <v>4120</v>
      </c>
    </row>
    <row r="1243" spans="1:19" x14ac:dyDescent="0.2">
      <c r="A1243" s="51">
        <v>43709</v>
      </c>
      <c r="B1243" s="34">
        <v>59</v>
      </c>
      <c r="C1243" s="35" t="s">
        <v>551</v>
      </c>
      <c r="D1243" s="34" t="str">
        <f>VLOOKUP(C1243,'PUR-PARTY MASTER'!$B$4:$E$2000,2,FALSE)</f>
        <v>27AHVPG8951G1ZQ</v>
      </c>
      <c r="E1243" s="34" t="s">
        <v>22</v>
      </c>
      <c r="F1243" s="136" t="s">
        <v>967</v>
      </c>
      <c r="G1243" s="37">
        <v>43720</v>
      </c>
      <c r="H1243" s="34">
        <v>8443</v>
      </c>
      <c r="I1243" s="39">
        <f>VLOOKUP(H1243,'PUR-HSN MASTER'!$A$4:$E$5000,5,FALSE)</f>
        <v>18</v>
      </c>
      <c r="J1243" s="38">
        <v>1</v>
      </c>
      <c r="K1243" s="40">
        <v>1000</v>
      </c>
      <c r="L1243" s="39">
        <v>0</v>
      </c>
      <c r="M1243" s="39">
        <v>90</v>
      </c>
      <c r="N1243" s="39">
        <v>90</v>
      </c>
      <c r="O1243" s="39">
        <v>0</v>
      </c>
      <c r="P1243" s="39">
        <v>1180</v>
      </c>
      <c r="Q1243" s="34" t="s">
        <v>411</v>
      </c>
      <c r="R1243" s="34" t="s">
        <v>26</v>
      </c>
      <c r="S1243" s="11" t="s">
        <v>4120</v>
      </c>
    </row>
    <row r="1244" spans="1:19" x14ac:dyDescent="0.2">
      <c r="A1244" s="34"/>
      <c r="B1244" s="34"/>
      <c r="C1244" s="35" t="s">
        <v>551</v>
      </c>
      <c r="D1244" s="34" t="str">
        <f>VLOOKUP(C1244,'PUR-PARTY MASTER'!$B$4:$E$2000,2,FALSE)</f>
        <v>27AHVPG8951G1ZQ</v>
      </c>
      <c r="E1244" s="34" t="s">
        <v>22</v>
      </c>
      <c r="F1244" s="136" t="s">
        <v>967</v>
      </c>
      <c r="G1244" s="37">
        <v>43720</v>
      </c>
      <c r="H1244" s="34">
        <v>37079090</v>
      </c>
      <c r="I1244" s="39">
        <f>VLOOKUP(H1244,'PUR-HSN MASTER'!$A$4:$E$5000,5,FALSE)</f>
        <v>18</v>
      </c>
      <c r="J1244" s="38">
        <v>1</v>
      </c>
      <c r="K1244" s="40">
        <v>300</v>
      </c>
      <c r="L1244" s="39">
        <v>0</v>
      </c>
      <c r="M1244" s="39">
        <v>27</v>
      </c>
      <c r="N1244" s="39">
        <v>27</v>
      </c>
      <c r="O1244" s="39">
        <v>0</v>
      </c>
      <c r="P1244" s="39">
        <v>354</v>
      </c>
      <c r="Q1244" s="34" t="s">
        <v>411</v>
      </c>
      <c r="R1244" s="34" t="s">
        <v>26</v>
      </c>
      <c r="S1244" s="11" t="s">
        <v>4120</v>
      </c>
    </row>
    <row r="1245" spans="1:19" x14ac:dyDescent="0.2">
      <c r="A1245" s="51">
        <v>43709</v>
      </c>
      <c r="B1245" s="34">
        <v>60</v>
      </c>
      <c r="C1245" s="35" t="s">
        <v>514</v>
      </c>
      <c r="D1245" s="34" t="str">
        <f>VLOOKUP(C1245,'PUR-PARTY MASTER'!$B$4:$E$2000,2,FALSE)</f>
        <v>27AAACU2414K1ZF</v>
      </c>
      <c r="E1245" s="34" t="s">
        <v>22</v>
      </c>
      <c r="F1245" s="136" t="s">
        <v>968</v>
      </c>
      <c r="G1245" s="37">
        <v>43719</v>
      </c>
      <c r="H1245" s="34">
        <v>9971</v>
      </c>
      <c r="I1245" s="39">
        <f>VLOOKUP(H1245,'PUR-HSN MASTER'!$A$4:$E$5000,5,FALSE)</f>
        <v>18</v>
      </c>
      <c r="J1245" s="34">
        <v>4800</v>
      </c>
      <c r="K1245" s="40">
        <v>15</v>
      </c>
      <c r="L1245" s="39">
        <v>0</v>
      </c>
      <c r="M1245" s="39">
        <v>1.3499999999999999</v>
      </c>
      <c r="N1245" s="39">
        <v>1.3499999999999999</v>
      </c>
      <c r="O1245" s="39">
        <v>0</v>
      </c>
      <c r="P1245" s="39">
        <v>17.7</v>
      </c>
      <c r="Q1245" s="34" t="s">
        <v>411</v>
      </c>
      <c r="R1245" s="34" t="s">
        <v>26</v>
      </c>
      <c r="S1245" s="11" t="s">
        <v>4120</v>
      </c>
    </row>
    <row r="1246" spans="1:19" x14ac:dyDescent="0.2">
      <c r="A1246" s="51">
        <v>43709</v>
      </c>
      <c r="B1246" s="34">
        <v>61</v>
      </c>
      <c r="C1246" s="35" t="s">
        <v>514</v>
      </c>
      <c r="D1246" s="34" t="str">
        <f>VLOOKUP(C1246,'PUR-PARTY MASTER'!$B$4:$E$2000,2,FALSE)</f>
        <v>27AAACU2414K1ZF</v>
      </c>
      <c r="E1246" s="34" t="s">
        <v>22</v>
      </c>
      <c r="F1246" s="136" t="s">
        <v>969</v>
      </c>
      <c r="G1246" s="37">
        <v>43719</v>
      </c>
      <c r="H1246" s="34">
        <v>9971</v>
      </c>
      <c r="I1246" s="39">
        <f>VLOOKUP(H1246,'PUR-HSN MASTER'!$A$4:$E$5000,5,FALSE)</f>
        <v>18</v>
      </c>
      <c r="J1246" s="34">
        <v>4800</v>
      </c>
      <c r="K1246" s="40">
        <v>15</v>
      </c>
      <c r="L1246" s="39">
        <v>0</v>
      </c>
      <c r="M1246" s="39">
        <v>1.3499999999999999</v>
      </c>
      <c r="N1246" s="39">
        <v>1.3499999999999999</v>
      </c>
      <c r="O1246" s="39">
        <v>0</v>
      </c>
      <c r="P1246" s="39">
        <v>17.7</v>
      </c>
      <c r="Q1246" s="34" t="s">
        <v>411</v>
      </c>
      <c r="R1246" s="34" t="s">
        <v>26</v>
      </c>
      <c r="S1246" s="11" t="s">
        <v>4120</v>
      </c>
    </row>
    <row r="1247" spans="1:19" x14ac:dyDescent="0.2">
      <c r="A1247" s="51">
        <v>43709</v>
      </c>
      <c r="B1247" s="34">
        <v>62</v>
      </c>
      <c r="C1247" s="35" t="s">
        <v>514</v>
      </c>
      <c r="D1247" s="34" t="str">
        <f>VLOOKUP(C1247,'PUR-PARTY MASTER'!$B$4:$E$2000,2,FALSE)</f>
        <v>27AAACU2414K1ZF</v>
      </c>
      <c r="E1247" s="34" t="s">
        <v>22</v>
      </c>
      <c r="F1247" s="136" t="s">
        <v>970</v>
      </c>
      <c r="G1247" s="37">
        <v>43719</v>
      </c>
      <c r="H1247" s="34">
        <v>9971</v>
      </c>
      <c r="I1247" s="39">
        <f>VLOOKUP(H1247,'PUR-HSN MASTER'!$A$4:$E$5000,5,FALSE)</f>
        <v>18</v>
      </c>
      <c r="J1247" s="34">
        <v>4800</v>
      </c>
      <c r="K1247" s="40">
        <v>15</v>
      </c>
      <c r="L1247" s="39">
        <v>0</v>
      </c>
      <c r="M1247" s="39">
        <v>1.3499999999999999</v>
      </c>
      <c r="N1247" s="39">
        <v>1.3499999999999999</v>
      </c>
      <c r="O1247" s="39">
        <v>0</v>
      </c>
      <c r="P1247" s="39">
        <v>17.7</v>
      </c>
      <c r="Q1247" s="34" t="s">
        <v>411</v>
      </c>
      <c r="R1247" s="34" t="s">
        <v>26</v>
      </c>
      <c r="S1247" s="11" t="s">
        <v>4120</v>
      </c>
    </row>
    <row r="1248" spans="1:19" x14ac:dyDescent="0.2">
      <c r="A1248" s="51">
        <v>43709</v>
      </c>
      <c r="B1248" s="34">
        <v>63</v>
      </c>
      <c r="C1248" s="35" t="s">
        <v>514</v>
      </c>
      <c r="D1248" s="34" t="str">
        <f>VLOOKUP(C1248,'PUR-PARTY MASTER'!$B$4:$E$2000,2,FALSE)</f>
        <v>27AAACU2414K1ZF</v>
      </c>
      <c r="E1248" s="34" t="s">
        <v>22</v>
      </c>
      <c r="F1248" s="136" t="s">
        <v>971</v>
      </c>
      <c r="G1248" s="37">
        <v>43719</v>
      </c>
      <c r="H1248" s="34">
        <v>9971</v>
      </c>
      <c r="I1248" s="39">
        <f>VLOOKUP(H1248,'PUR-HSN MASTER'!$A$4:$E$5000,5,FALSE)</f>
        <v>18</v>
      </c>
      <c r="J1248" s="34">
        <v>4800</v>
      </c>
      <c r="K1248" s="40">
        <v>15</v>
      </c>
      <c r="L1248" s="39">
        <v>0</v>
      </c>
      <c r="M1248" s="39">
        <v>1.3499999999999999</v>
      </c>
      <c r="N1248" s="39">
        <v>1.3499999999999999</v>
      </c>
      <c r="O1248" s="39">
        <v>0</v>
      </c>
      <c r="P1248" s="39">
        <v>17.7</v>
      </c>
      <c r="Q1248" s="34" t="s">
        <v>411</v>
      </c>
      <c r="R1248" s="34" t="s">
        <v>26</v>
      </c>
      <c r="S1248" s="11" t="s">
        <v>4120</v>
      </c>
    </row>
    <row r="1249" spans="1:19" x14ac:dyDescent="0.2">
      <c r="A1249" s="51">
        <v>43709</v>
      </c>
      <c r="B1249" s="34">
        <v>64</v>
      </c>
      <c r="C1249" s="35" t="s">
        <v>514</v>
      </c>
      <c r="D1249" s="34" t="str">
        <f>VLOOKUP(C1249,'PUR-PARTY MASTER'!$B$4:$E$2000,2,FALSE)</f>
        <v>27AAACU2414K1ZF</v>
      </c>
      <c r="E1249" s="34" t="s">
        <v>22</v>
      </c>
      <c r="F1249" s="136" t="s">
        <v>972</v>
      </c>
      <c r="G1249" s="37">
        <v>43719</v>
      </c>
      <c r="H1249" s="34">
        <v>9971</v>
      </c>
      <c r="I1249" s="39">
        <f>VLOOKUP(H1249,'PUR-HSN MASTER'!$A$4:$E$5000,5,FALSE)</f>
        <v>18</v>
      </c>
      <c r="J1249" s="34">
        <v>4800</v>
      </c>
      <c r="K1249" s="40">
        <v>15</v>
      </c>
      <c r="L1249" s="39">
        <v>0</v>
      </c>
      <c r="M1249" s="39">
        <v>1.3499999999999999</v>
      </c>
      <c r="N1249" s="39">
        <v>1.3499999999999999</v>
      </c>
      <c r="O1249" s="39">
        <v>0</v>
      </c>
      <c r="P1249" s="39">
        <v>17.7</v>
      </c>
      <c r="Q1249" s="34" t="s">
        <v>411</v>
      </c>
      <c r="R1249" s="34" t="s">
        <v>26</v>
      </c>
      <c r="S1249" s="11" t="s">
        <v>4120</v>
      </c>
    </row>
    <row r="1250" spans="1:19" x14ac:dyDescent="0.2">
      <c r="A1250" s="51">
        <v>43709</v>
      </c>
      <c r="B1250" s="34">
        <v>65</v>
      </c>
      <c r="C1250" s="35" t="s">
        <v>514</v>
      </c>
      <c r="D1250" s="34" t="str">
        <f>VLOOKUP(C1250,'PUR-PARTY MASTER'!$B$4:$E$2000,2,FALSE)</f>
        <v>27AAACU2414K1ZF</v>
      </c>
      <c r="E1250" s="34" t="s">
        <v>22</v>
      </c>
      <c r="F1250" s="136" t="s">
        <v>973</v>
      </c>
      <c r="G1250" s="37">
        <v>43719</v>
      </c>
      <c r="H1250" s="34">
        <v>9971</v>
      </c>
      <c r="I1250" s="39">
        <f>VLOOKUP(H1250,'PUR-HSN MASTER'!$A$4:$E$5000,5,FALSE)</f>
        <v>18</v>
      </c>
      <c r="J1250" s="34">
        <v>4800</v>
      </c>
      <c r="K1250" s="40">
        <v>15</v>
      </c>
      <c r="L1250" s="39">
        <v>0</v>
      </c>
      <c r="M1250" s="39">
        <v>1.3499999999999999</v>
      </c>
      <c r="N1250" s="39">
        <v>1.3499999999999999</v>
      </c>
      <c r="O1250" s="39">
        <v>0</v>
      </c>
      <c r="P1250" s="39">
        <v>17.7</v>
      </c>
      <c r="Q1250" s="34" t="s">
        <v>411</v>
      </c>
      <c r="R1250" s="34" t="s">
        <v>26</v>
      </c>
      <c r="S1250" s="11" t="s">
        <v>4120</v>
      </c>
    </row>
    <row r="1251" spans="1:19" x14ac:dyDescent="0.2">
      <c r="A1251" s="51">
        <v>43709</v>
      </c>
      <c r="B1251" s="34">
        <v>66</v>
      </c>
      <c r="C1251" s="35" t="s">
        <v>471</v>
      </c>
      <c r="D1251" s="34" t="str">
        <f>VLOOKUP(C1251,'PUR-PARTY MASTER'!$B$4:$E$2000,2,FALSE)</f>
        <v>27AAECM8871A1ZF</v>
      </c>
      <c r="E1251" s="34" t="s">
        <v>22</v>
      </c>
      <c r="F1251" s="134">
        <v>192005218</v>
      </c>
      <c r="G1251" s="37">
        <v>43720</v>
      </c>
      <c r="H1251" s="34">
        <v>87089900</v>
      </c>
      <c r="I1251" s="39">
        <f>VLOOKUP(H1251,'PUR-HSN MASTER'!$A$4:$E$5000,5,FALSE)</f>
        <v>28</v>
      </c>
      <c r="J1251" s="34">
        <v>12</v>
      </c>
      <c r="K1251" s="126">
        <v>17483.52</v>
      </c>
      <c r="L1251" s="39">
        <v>0</v>
      </c>
      <c r="M1251" s="39">
        <v>2447.6928000000003</v>
      </c>
      <c r="N1251" s="39">
        <v>2447.6928000000003</v>
      </c>
      <c r="O1251" s="39">
        <v>0</v>
      </c>
      <c r="P1251" s="39">
        <v>22378.895600000003</v>
      </c>
      <c r="Q1251" s="34" t="s">
        <v>410</v>
      </c>
      <c r="R1251" s="34" t="s">
        <v>26</v>
      </c>
      <c r="S1251" s="11" t="s">
        <v>4120</v>
      </c>
    </row>
    <row r="1252" spans="1:19" x14ac:dyDescent="0.2">
      <c r="A1252" s="51">
        <v>43709</v>
      </c>
      <c r="B1252" s="34">
        <v>67</v>
      </c>
      <c r="C1252" s="35" t="s">
        <v>471</v>
      </c>
      <c r="D1252" s="34" t="str">
        <f>VLOOKUP(C1252,'PUR-PARTY MASTER'!$B$4:$E$2000,2,FALSE)</f>
        <v>27AAECM8871A1ZF</v>
      </c>
      <c r="E1252" s="34" t="s">
        <v>22</v>
      </c>
      <c r="F1252" s="134">
        <v>192005223</v>
      </c>
      <c r="G1252" s="37">
        <v>43720</v>
      </c>
      <c r="H1252" s="34">
        <v>87089900</v>
      </c>
      <c r="I1252" s="39">
        <f>VLOOKUP(H1252,'PUR-HSN MASTER'!$A$4:$E$5000,5,FALSE)</f>
        <v>28</v>
      </c>
      <c r="J1252" s="34">
        <v>12</v>
      </c>
      <c r="K1252" s="126">
        <v>17483.52</v>
      </c>
      <c r="L1252" s="39">
        <v>0</v>
      </c>
      <c r="M1252" s="39">
        <v>2447.6928000000003</v>
      </c>
      <c r="N1252" s="39">
        <v>2447.6928000000003</v>
      </c>
      <c r="O1252" s="39">
        <v>0</v>
      </c>
      <c r="P1252" s="39">
        <v>22378.895600000003</v>
      </c>
      <c r="Q1252" s="34" t="s">
        <v>410</v>
      </c>
      <c r="R1252" s="34" t="s">
        <v>26</v>
      </c>
      <c r="S1252" s="11" t="s">
        <v>4120</v>
      </c>
    </row>
    <row r="1253" spans="1:19" x14ac:dyDescent="0.2">
      <c r="A1253" s="51">
        <v>43709</v>
      </c>
      <c r="B1253" s="34">
        <v>68</v>
      </c>
      <c r="C1253" s="35" t="s">
        <v>554</v>
      </c>
      <c r="D1253" s="34" t="str">
        <f>VLOOKUP(C1253,'PUR-PARTY MASTER'!$B$4:$E$2000,2,FALSE)</f>
        <v>27AACFA1881H1ZL</v>
      </c>
      <c r="E1253" s="34" t="s">
        <v>22</v>
      </c>
      <c r="F1253" s="134">
        <v>11971</v>
      </c>
      <c r="G1253" s="37">
        <v>43720</v>
      </c>
      <c r="H1253" s="34">
        <v>87141900</v>
      </c>
      <c r="I1253" s="39">
        <f>VLOOKUP(H1253,'PUR-HSN MASTER'!$A$4:$E$5000,5,FALSE)</f>
        <v>28</v>
      </c>
      <c r="J1253" s="34">
        <f>4300+2500</f>
        <v>6800</v>
      </c>
      <c r="K1253" s="126">
        <v>18238</v>
      </c>
      <c r="L1253" s="39">
        <v>0</v>
      </c>
      <c r="M1253" s="39">
        <v>2553.3199999999997</v>
      </c>
      <c r="N1253" s="39">
        <v>2553.3199999999997</v>
      </c>
      <c r="O1253" s="39">
        <v>0</v>
      </c>
      <c r="P1253" s="39">
        <v>23344.639999999999</v>
      </c>
      <c r="Q1253" s="34" t="s">
        <v>410</v>
      </c>
      <c r="R1253" s="34" t="s">
        <v>26</v>
      </c>
      <c r="S1253" s="11" t="s">
        <v>4120</v>
      </c>
    </row>
    <row r="1254" spans="1:19" x14ac:dyDescent="0.2">
      <c r="A1254" s="51">
        <v>43709</v>
      </c>
      <c r="B1254" s="34">
        <v>69</v>
      </c>
      <c r="C1254" s="35" t="s">
        <v>601</v>
      </c>
      <c r="D1254" s="34" t="str">
        <f>VLOOKUP(C1254,'PUR-PARTY MASTER'!$B$4:$E$2000,2,FALSE)</f>
        <v>27AAZFM6461A1ZY</v>
      </c>
      <c r="E1254" s="34" t="s">
        <v>22</v>
      </c>
      <c r="F1254" s="134">
        <v>4110</v>
      </c>
      <c r="G1254" s="37">
        <v>43720</v>
      </c>
      <c r="H1254" s="34">
        <v>87082900</v>
      </c>
      <c r="I1254" s="39">
        <f>VLOOKUP(H1254,'PUR-HSN MASTER'!$A$4:$E$5000,5,FALSE)</f>
        <v>28</v>
      </c>
      <c r="J1254" s="34">
        <v>1000</v>
      </c>
      <c r="K1254" s="126">
        <v>42570</v>
      </c>
      <c r="L1254" s="39">
        <v>0</v>
      </c>
      <c r="M1254" s="39">
        <v>5959.8</v>
      </c>
      <c r="N1254" s="39">
        <v>5959.8</v>
      </c>
      <c r="O1254" s="39">
        <v>0</v>
      </c>
      <c r="P1254" s="39">
        <v>54489.599999999999</v>
      </c>
      <c r="Q1254" s="34" t="s">
        <v>410</v>
      </c>
      <c r="R1254" s="34" t="s">
        <v>26</v>
      </c>
      <c r="S1254" s="11" t="s">
        <v>4120</v>
      </c>
    </row>
    <row r="1255" spans="1:19" x14ac:dyDescent="0.2">
      <c r="A1255" s="51">
        <v>43709</v>
      </c>
      <c r="B1255" s="34">
        <v>70</v>
      </c>
      <c r="C1255" s="35" t="s">
        <v>473</v>
      </c>
      <c r="D1255" s="34" t="str">
        <f>VLOOKUP(C1255,'PUR-PARTY MASTER'!$B$4:$E$2000,2,FALSE)</f>
        <v>27AAACT1848E1ZH</v>
      </c>
      <c r="E1255" s="34" t="s">
        <v>22</v>
      </c>
      <c r="F1255" s="136" t="s">
        <v>974</v>
      </c>
      <c r="G1255" s="37">
        <v>43721</v>
      </c>
      <c r="H1255" s="34">
        <v>87089900</v>
      </c>
      <c r="I1255" s="39">
        <f>VLOOKUP(H1255,'PUR-HSN MASTER'!$A$4:$E$5000,5,FALSE)</f>
        <v>28</v>
      </c>
      <c r="J1255" s="34">
        <v>57</v>
      </c>
      <c r="K1255" s="126">
        <v>8315.65</v>
      </c>
      <c r="L1255" s="39">
        <v>0</v>
      </c>
      <c r="M1255" s="39">
        <v>1165.0009999999997</v>
      </c>
      <c r="N1255" s="39">
        <v>1165.0009999999997</v>
      </c>
      <c r="O1255" s="39">
        <v>0</v>
      </c>
      <c r="P1255" s="39">
        <v>10645.651999999998</v>
      </c>
      <c r="Q1255" s="34" t="s">
        <v>410</v>
      </c>
      <c r="R1255" s="34" t="s">
        <v>26</v>
      </c>
      <c r="S1255" s="11" t="s">
        <v>4120</v>
      </c>
    </row>
    <row r="1256" spans="1:19" x14ac:dyDescent="0.2">
      <c r="A1256" s="51">
        <v>43709</v>
      </c>
      <c r="B1256" s="34">
        <v>71</v>
      </c>
      <c r="C1256" s="35" t="s">
        <v>495</v>
      </c>
      <c r="D1256" s="34" t="str">
        <f>VLOOKUP(C1256,'PUR-PARTY MASTER'!$B$4:$E$2000,2,FALSE)</f>
        <v>27AAACH4211R1ZF</v>
      </c>
      <c r="E1256" s="34" t="s">
        <v>22</v>
      </c>
      <c r="F1256" s="134">
        <v>5510057272</v>
      </c>
      <c r="G1256" s="37">
        <v>43721</v>
      </c>
      <c r="H1256" s="34">
        <v>85129000</v>
      </c>
      <c r="I1256" s="39">
        <f>VLOOKUP(H1256,'PUR-HSN MASTER'!$A$4:$E$5000,5,FALSE)</f>
        <v>18</v>
      </c>
      <c r="J1256" s="34">
        <v>4800</v>
      </c>
      <c r="K1256" s="126">
        <v>53088</v>
      </c>
      <c r="L1256" s="39">
        <v>0</v>
      </c>
      <c r="M1256" s="39">
        <v>4777.92</v>
      </c>
      <c r="N1256" s="39">
        <v>4777.92</v>
      </c>
      <c r="O1256" s="39">
        <v>0</v>
      </c>
      <c r="P1256" s="39">
        <v>62643.839999999997</v>
      </c>
      <c r="Q1256" s="34" t="s">
        <v>410</v>
      </c>
      <c r="R1256" s="34" t="s">
        <v>26</v>
      </c>
      <c r="S1256" s="11" t="s">
        <v>4120</v>
      </c>
    </row>
    <row r="1257" spans="1:19" x14ac:dyDescent="0.2">
      <c r="A1257" s="51">
        <v>43709</v>
      </c>
      <c r="B1257" s="34">
        <v>72</v>
      </c>
      <c r="C1257" s="35" t="s">
        <v>495</v>
      </c>
      <c r="D1257" s="34" t="str">
        <f>VLOOKUP(C1257,'PUR-PARTY MASTER'!$B$4:$E$2000,2,FALSE)</f>
        <v>27AAACH4211R1ZF</v>
      </c>
      <c r="E1257" s="34" t="s">
        <v>22</v>
      </c>
      <c r="F1257" s="134">
        <v>5510057326</v>
      </c>
      <c r="G1257" s="37">
        <v>43721</v>
      </c>
      <c r="H1257" s="34">
        <v>85129000</v>
      </c>
      <c r="I1257" s="39">
        <f>VLOOKUP(H1257,'PUR-HSN MASTER'!$A$4:$E$5000,5,FALSE)</f>
        <v>18</v>
      </c>
      <c r="J1257" s="34">
        <v>4800</v>
      </c>
      <c r="K1257" s="126">
        <v>53088</v>
      </c>
      <c r="L1257" s="39">
        <v>0</v>
      </c>
      <c r="M1257" s="39">
        <v>4777.92</v>
      </c>
      <c r="N1257" s="39">
        <v>4777.92</v>
      </c>
      <c r="O1257" s="39">
        <v>0</v>
      </c>
      <c r="P1257" s="39">
        <v>62643.839999999997</v>
      </c>
      <c r="Q1257" s="34" t="s">
        <v>410</v>
      </c>
      <c r="R1257" s="34" t="s">
        <v>26</v>
      </c>
      <c r="S1257" s="11" t="s">
        <v>4120</v>
      </c>
    </row>
    <row r="1258" spans="1:19" x14ac:dyDescent="0.2">
      <c r="A1258" s="51">
        <v>43709</v>
      </c>
      <c r="B1258" s="34">
        <v>73</v>
      </c>
      <c r="C1258" s="35" t="s">
        <v>489</v>
      </c>
      <c r="D1258" s="34" t="str">
        <f>VLOOKUP(C1258,'PUR-PARTY MASTER'!$B$4:$E$2000,2,FALSE)</f>
        <v>27AAECD2713N1ZK</v>
      </c>
      <c r="E1258" s="34" t="s">
        <v>22</v>
      </c>
      <c r="F1258" s="134">
        <v>7887988435</v>
      </c>
      <c r="G1258" s="37">
        <v>43721</v>
      </c>
      <c r="H1258" s="34">
        <v>39119090</v>
      </c>
      <c r="I1258" s="39">
        <f>VLOOKUP(H1258,'PUR-HSN MASTER'!$A$4:$E$5000,5,FALSE)</f>
        <v>18</v>
      </c>
      <c r="J1258" s="34">
        <v>24</v>
      </c>
      <c r="K1258" s="126">
        <v>10176</v>
      </c>
      <c r="L1258" s="39">
        <v>0</v>
      </c>
      <c r="M1258" s="39">
        <v>915.84</v>
      </c>
      <c r="N1258" s="39">
        <v>915.84</v>
      </c>
      <c r="O1258" s="39">
        <v>0</v>
      </c>
      <c r="P1258" s="39">
        <v>12008</v>
      </c>
      <c r="Q1258" s="34" t="s">
        <v>410</v>
      </c>
      <c r="R1258" s="34" t="s">
        <v>26</v>
      </c>
      <c r="S1258" s="11" t="s">
        <v>4120</v>
      </c>
    </row>
    <row r="1259" spans="1:19" x14ac:dyDescent="0.2">
      <c r="A1259" s="34"/>
      <c r="B1259" s="34"/>
      <c r="C1259" s="35" t="s">
        <v>489</v>
      </c>
      <c r="D1259" s="34" t="str">
        <f>VLOOKUP(C1259,'PUR-PARTY MASTER'!$B$4:$E$2000,2,FALSE)</f>
        <v>27AAECD2713N1ZK</v>
      </c>
      <c r="E1259" s="34" t="s">
        <v>22</v>
      </c>
      <c r="F1259" s="134">
        <v>7887988435</v>
      </c>
      <c r="G1259" s="37">
        <v>43721</v>
      </c>
      <c r="H1259" s="34">
        <v>38140010</v>
      </c>
      <c r="I1259" s="39">
        <f>VLOOKUP(H1259,'PUR-HSN MASTER'!$A$4:$E$5000,5,FALSE)</f>
        <v>18</v>
      </c>
      <c r="J1259" s="34">
        <v>80</v>
      </c>
      <c r="K1259" s="126">
        <v>10000</v>
      </c>
      <c r="L1259" s="39">
        <v>0</v>
      </c>
      <c r="M1259" s="39">
        <v>900</v>
      </c>
      <c r="N1259" s="39">
        <v>900</v>
      </c>
      <c r="O1259" s="39">
        <v>0</v>
      </c>
      <c r="P1259" s="39">
        <v>11800</v>
      </c>
      <c r="Q1259" s="34" t="s">
        <v>410</v>
      </c>
      <c r="R1259" s="34" t="s">
        <v>26</v>
      </c>
      <c r="S1259" s="11" t="s">
        <v>4120</v>
      </c>
    </row>
    <row r="1260" spans="1:19" x14ac:dyDescent="0.2">
      <c r="A1260" s="51">
        <v>43709</v>
      </c>
      <c r="B1260" s="34">
        <v>74</v>
      </c>
      <c r="C1260" s="35" t="s">
        <v>489</v>
      </c>
      <c r="D1260" s="34" t="str">
        <f>VLOOKUP(C1260,'PUR-PARTY MASTER'!$B$4:$E$2000,2,FALSE)</f>
        <v>27AAECD2713N1ZK</v>
      </c>
      <c r="E1260" s="34" t="s">
        <v>22</v>
      </c>
      <c r="F1260" s="134">
        <v>7887988420</v>
      </c>
      <c r="G1260" s="37">
        <v>43721</v>
      </c>
      <c r="H1260" s="34">
        <v>39119090</v>
      </c>
      <c r="I1260" s="39">
        <f>VLOOKUP(H1260,'PUR-HSN MASTER'!$A$4:$E$5000,5,FALSE)</f>
        <v>18</v>
      </c>
      <c r="J1260" s="34">
        <v>12</v>
      </c>
      <c r="K1260" s="126">
        <v>8280</v>
      </c>
      <c r="L1260" s="39">
        <v>0</v>
      </c>
      <c r="M1260" s="39">
        <v>745.19999999999993</v>
      </c>
      <c r="N1260" s="39">
        <v>745.19999999999993</v>
      </c>
      <c r="O1260" s="39">
        <v>0</v>
      </c>
      <c r="P1260" s="39">
        <v>9770.4</v>
      </c>
      <c r="Q1260" s="34" t="s">
        <v>410</v>
      </c>
      <c r="R1260" s="34" t="s">
        <v>26</v>
      </c>
      <c r="S1260" s="11" t="s">
        <v>4120</v>
      </c>
    </row>
    <row r="1261" spans="1:19" x14ac:dyDescent="0.2">
      <c r="A1261" s="34"/>
      <c r="B1261" s="34"/>
      <c r="C1261" s="35" t="s">
        <v>489</v>
      </c>
      <c r="D1261" s="34" t="str">
        <f>VLOOKUP(C1261,'PUR-PARTY MASTER'!$B$4:$E$2000,2,FALSE)</f>
        <v>27AAECD2713N1ZK</v>
      </c>
      <c r="E1261" s="34" t="s">
        <v>22</v>
      </c>
      <c r="F1261" s="134">
        <v>7887988420</v>
      </c>
      <c r="G1261" s="37">
        <v>43721</v>
      </c>
      <c r="H1261" s="34">
        <v>32082090</v>
      </c>
      <c r="I1261" s="39">
        <f>VLOOKUP(H1261,'PUR-HSN MASTER'!$A$4:$E$5000,5,FALSE)</f>
        <v>18</v>
      </c>
      <c r="J1261" s="34">
        <v>100</v>
      </c>
      <c r="K1261" s="126">
        <f>65520+18800</f>
        <v>84320</v>
      </c>
      <c r="L1261" s="39">
        <v>0</v>
      </c>
      <c r="M1261" s="39">
        <v>7588.8</v>
      </c>
      <c r="N1261" s="39">
        <v>7588.8</v>
      </c>
      <c r="O1261" s="39">
        <v>0</v>
      </c>
      <c r="P1261" s="39">
        <v>99497.600000000006</v>
      </c>
      <c r="Q1261" s="34" t="s">
        <v>410</v>
      </c>
      <c r="R1261" s="34" t="s">
        <v>26</v>
      </c>
      <c r="S1261" s="11" t="s">
        <v>4120</v>
      </c>
    </row>
    <row r="1262" spans="1:19" x14ac:dyDescent="0.2">
      <c r="A1262" s="34"/>
      <c r="B1262" s="34"/>
      <c r="C1262" s="35" t="s">
        <v>489</v>
      </c>
      <c r="D1262" s="34" t="str">
        <f>VLOOKUP(C1262,'PUR-PARTY MASTER'!$B$4:$E$2000,2,FALSE)</f>
        <v>27AAECD2713N1ZK</v>
      </c>
      <c r="E1262" s="34" t="s">
        <v>22</v>
      </c>
      <c r="F1262" s="134">
        <v>7887988420</v>
      </c>
      <c r="G1262" s="37">
        <v>43721</v>
      </c>
      <c r="H1262" s="34">
        <v>32089090</v>
      </c>
      <c r="I1262" s="39">
        <f>VLOOKUP(H1262,'PUR-HSN MASTER'!$A$4:$E$5000,5,FALSE)</f>
        <v>18</v>
      </c>
      <c r="J1262" s="34">
        <v>60</v>
      </c>
      <c r="K1262" s="126">
        <v>38400</v>
      </c>
      <c r="L1262" s="39">
        <v>0</v>
      </c>
      <c r="M1262" s="39">
        <v>3456</v>
      </c>
      <c r="N1262" s="39">
        <v>3456</v>
      </c>
      <c r="O1262" s="39">
        <v>0</v>
      </c>
      <c r="P1262" s="39">
        <v>45312</v>
      </c>
      <c r="Q1262" s="34" t="s">
        <v>410</v>
      </c>
      <c r="R1262" s="34" t="s">
        <v>26</v>
      </c>
      <c r="S1262" s="11" t="s">
        <v>4120</v>
      </c>
    </row>
    <row r="1263" spans="1:19" x14ac:dyDescent="0.2">
      <c r="A1263" s="51">
        <v>43709</v>
      </c>
      <c r="B1263" s="34">
        <v>75</v>
      </c>
      <c r="C1263" s="632" t="s">
        <v>975</v>
      </c>
      <c r="D1263" s="34" t="str">
        <f>VLOOKUP(C1263,'PUR-PARTY MASTER'!$B$4:$E$2000,2,FALSE)</f>
        <v>27AAEFS2599G1ZU</v>
      </c>
      <c r="E1263" s="34" t="s">
        <v>22</v>
      </c>
      <c r="F1263" s="134">
        <v>186</v>
      </c>
      <c r="G1263" s="37">
        <v>43722</v>
      </c>
      <c r="H1263" s="34">
        <v>84213920</v>
      </c>
      <c r="I1263" s="39">
        <f>VLOOKUP(H1263,'PUR-HSN MASTER'!$A$4:$E$5000,5,FALSE)</f>
        <v>18</v>
      </c>
      <c r="J1263" s="34">
        <v>32</v>
      </c>
      <c r="K1263" s="126">
        <v>37600</v>
      </c>
      <c r="L1263" s="39">
        <v>0</v>
      </c>
      <c r="M1263" s="39">
        <v>3384</v>
      </c>
      <c r="N1263" s="39">
        <v>3384</v>
      </c>
      <c r="O1263" s="39">
        <v>0</v>
      </c>
      <c r="P1263" s="39">
        <v>44368</v>
      </c>
      <c r="Q1263" s="34" t="s">
        <v>410</v>
      </c>
      <c r="R1263" s="34" t="s">
        <v>26</v>
      </c>
      <c r="S1263" s="11" t="s">
        <v>4120</v>
      </c>
    </row>
    <row r="1264" spans="1:19" x14ac:dyDescent="0.2">
      <c r="A1264" s="51"/>
      <c r="B1264" s="34"/>
      <c r="C1264" s="632" t="s">
        <v>975</v>
      </c>
      <c r="D1264" s="34" t="str">
        <f>VLOOKUP(C1264,'PUR-PARTY MASTER'!$B$4:$E$2000,2,FALSE)</f>
        <v>27AAEFS2599G1ZU</v>
      </c>
      <c r="E1264" s="34" t="s">
        <v>22</v>
      </c>
      <c r="F1264" s="134">
        <v>186</v>
      </c>
      <c r="G1264" s="37">
        <v>43722</v>
      </c>
      <c r="H1264" s="34">
        <v>998873</v>
      </c>
      <c r="I1264" s="39">
        <f>VLOOKUP(H1264,'PUR-HSN MASTER'!$A$4:$E$5000,5,FALSE)</f>
        <v>18</v>
      </c>
      <c r="J1264" s="34">
        <v>1</v>
      </c>
      <c r="K1264" s="126">
        <v>1000</v>
      </c>
      <c r="L1264" s="39">
        <v>0</v>
      </c>
      <c r="M1264" s="39">
        <v>90</v>
      </c>
      <c r="N1264" s="39">
        <v>90</v>
      </c>
      <c r="O1264" s="39">
        <v>0</v>
      </c>
      <c r="P1264" s="39">
        <v>1180</v>
      </c>
      <c r="Q1264" s="34" t="s">
        <v>410</v>
      </c>
      <c r="R1264" s="34" t="s">
        <v>26</v>
      </c>
      <c r="S1264" s="11" t="s">
        <v>4120</v>
      </c>
    </row>
    <row r="1265" spans="1:19" x14ac:dyDescent="0.2">
      <c r="A1265" s="51">
        <v>43709</v>
      </c>
      <c r="B1265" s="34">
        <v>76</v>
      </c>
      <c r="C1265" s="35" t="s">
        <v>499</v>
      </c>
      <c r="D1265" s="34" t="str">
        <f>VLOOKUP(C1265,'PUR-PARTY MASTER'!$B$4:$E$2000,2,FALSE)</f>
        <v>27AAHFP1154B1ZN</v>
      </c>
      <c r="E1265" s="34" t="s">
        <v>22</v>
      </c>
      <c r="F1265" s="136" t="s">
        <v>977</v>
      </c>
      <c r="G1265" s="37">
        <v>43720</v>
      </c>
      <c r="H1265" s="34">
        <v>3926</v>
      </c>
      <c r="I1265" s="39">
        <f>VLOOKUP(H1265,'PUR-HSN MASTER'!$A$4:$E$5000,5,FALSE)</f>
        <v>18</v>
      </c>
      <c r="J1265" s="34">
        <v>65</v>
      </c>
      <c r="K1265" s="126">
        <v>1197</v>
      </c>
      <c r="L1265" s="39">
        <v>0</v>
      </c>
      <c r="M1265" s="39">
        <v>107.73</v>
      </c>
      <c r="N1265" s="39">
        <v>107.73</v>
      </c>
      <c r="O1265" s="39">
        <v>0</v>
      </c>
      <c r="P1265" s="39">
        <v>1411.96</v>
      </c>
      <c r="Q1265" s="34" t="s">
        <v>410</v>
      </c>
      <c r="R1265" s="34" t="s">
        <v>26</v>
      </c>
      <c r="S1265" s="11" t="s">
        <v>4120</v>
      </c>
    </row>
    <row r="1266" spans="1:19" x14ac:dyDescent="0.2">
      <c r="A1266" s="51">
        <v>43709</v>
      </c>
      <c r="B1266" s="34">
        <v>77</v>
      </c>
      <c r="C1266" s="35" t="s">
        <v>499</v>
      </c>
      <c r="D1266" s="34" t="str">
        <f>VLOOKUP(C1266,'PUR-PARTY MASTER'!$B$4:$E$2000,2,FALSE)</f>
        <v>27AAHFP1154B1ZN</v>
      </c>
      <c r="E1266" s="34" t="s">
        <v>22</v>
      </c>
      <c r="F1266" s="136" t="s">
        <v>978</v>
      </c>
      <c r="G1266" s="37">
        <v>43721</v>
      </c>
      <c r="H1266" s="34">
        <v>63071030</v>
      </c>
      <c r="I1266" s="39">
        <f>VLOOKUP(H1266,'PUR-HSN MASTER'!$A$4:$E$5000,5,FALSE)</f>
        <v>5</v>
      </c>
      <c r="J1266" s="34">
        <v>65</v>
      </c>
      <c r="K1266" s="126">
        <v>3500</v>
      </c>
      <c r="L1266" s="39">
        <v>0</v>
      </c>
      <c r="M1266" s="39">
        <v>87.5</v>
      </c>
      <c r="N1266" s="39">
        <v>87.5</v>
      </c>
      <c r="O1266" s="39">
        <v>0</v>
      </c>
      <c r="P1266" s="39">
        <v>3675</v>
      </c>
      <c r="Q1266" s="34" t="s">
        <v>410</v>
      </c>
      <c r="R1266" s="34" t="s">
        <v>26</v>
      </c>
      <c r="S1266" s="11" t="s">
        <v>4120</v>
      </c>
    </row>
    <row r="1267" spans="1:19" x14ac:dyDescent="0.2">
      <c r="A1267" s="51">
        <v>43709</v>
      </c>
      <c r="B1267" s="34">
        <v>78</v>
      </c>
      <c r="C1267" s="35" t="s">
        <v>517</v>
      </c>
      <c r="D1267" s="34" t="str">
        <f>VLOOKUP(C1267,'PUR-PARTY MASTER'!$B$4:$E$2000,2,FALSE)</f>
        <v>23AAACT6376M1ZZ</v>
      </c>
      <c r="E1267" s="34" t="s">
        <v>22</v>
      </c>
      <c r="F1267" s="134">
        <v>19616829</v>
      </c>
      <c r="G1267" s="37">
        <v>43721</v>
      </c>
      <c r="H1267" s="34">
        <v>87081090</v>
      </c>
      <c r="I1267" s="39">
        <f>VLOOKUP(H1267,'PUR-HSN MASTER'!$A$4:$E$5000,5,FALSE)</f>
        <v>28</v>
      </c>
      <c r="J1267" s="34">
        <v>5</v>
      </c>
      <c r="K1267" s="126">
        <v>3766.4</v>
      </c>
      <c r="L1267" s="39">
        <v>1054.5920000000001</v>
      </c>
      <c r="M1267" s="39">
        <v>0</v>
      </c>
      <c r="N1267" s="39">
        <v>0</v>
      </c>
      <c r="O1267" s="39">
        <v>0</v>
      </c>
      <c r="P1267" s="39">
        <v>4820.9920000000002</v>
      </c>
      <c r="Q1267" s="34" t="s">
        <v>410</v>
      </c>
      <c r="R1267" s="34" t="s">
        <v>106</v>
      </c>
      <c r="S1267" s="11" t="s">
        <v>4120</v>
      </c>
    </row>
    <row r="1268" spans="1:19" x14ac:dyDescent="0.2">
      <c r="A1268" s="51">
        <v>43709</v>
      </c>
      <c r="B1268" s="34">
        <v>79</v>
      </c>
      <c r="C1268" s="35" t="s">
        <v>495</v>
      </c>
      <c r="D1268" s="34" t="str">
        <f>VLOOKUP(C1268,'PUR-PARTY MASTER'!$B$4:$E$2000,2,FALSE)</f>
        <v>27AAACH4211R1ZF</v>
      </c>
      <c r="E1268" s="34" t="s">
        <v>22</v>
      </c>
      <c r="F1268" s="134">
        <v>5510057379</v>
      </c>
      <c r="G1268" s="37">
        <v>43722</v>
      </c>
      <c r="H1268" s="34">
        <v>85129000</v>
      </c>
      <c r="I1268" s="39">
        <f>VLOOKUP(H1268,'PUR-HSN MASTER'!$A$4:$E$5000,5,FALSE)</f>
        <v>18</v>
      </c>
      <c r="J1268" s="34">
        <v>4800</v>
      </c>
      <c r="K1268" s="126">
        <v>53088</v>
      </c>
      <c r="L1268" s="39">
        <v>0</v>
      </c>
      <c r="M1268" s="39">
        <v>4777.92</v>
      </c>
      <c r="N1268" s="39">
        <v>4777.92</v>
      </c>
      <c r="O1268" s="39">
        <v>0</v>
      </c>
      <c r="P1268" s="39">
        <v>62643.839999999997</v>
      </c>
      <c r="Q1268" s="34" t="s">
        <v>410</v>
      </c>
      <c r="R1268" s="34" t="s">
        <v>26</v>
      </c>
      <c r="S1268" s="11" t="s">
        <v>4120</v>
      </c>
    </row>
    <row r="1269" spans="1:19" x14ac:dyDescent="0.2">
      <c r="A1269" s="51">
        <v>43709</v>
      </c>
      <c r="B1269" s="34">
        <v>80</v>
      </c>
      <c r="C1269" s="35" t="s">
        <v>476</v>
      </c>
      <c r="D1269" s="34" t="str">
        <f>VLOOKUP(C1269,'PUR-PARTY MASTER'!$B$4:$E$2000,2,FALSE)</f>
        <v>27AABCO8467D1ZA</v>
      </c>
      <c r="E1269" s="34" t="s">
        <v>22</v>
      </c>
      <c r="F1269" s="136" t="s">
        <v>979</v>
      </c>
      <c r="G1269" s="37">
        <v>43723</v>
      </c>
      <c r="H1269" s="34" t="s">
        <v>732</v>
      </c>
      <c r="I1269" s="39">
        <f>VLOOKUP(H1269,'PUR-HSN MASTER'!$A$4:$E$5000,5,FALSE)</f>
        <v>18</v>
      </c>
      <c r="J1269" s="38">
        <v>0</v>
      </c>
      <c r="K1269" s="40">
        <v>40650</v>
      </c>
      <c r="L1269" s="39">
        <v>0</v>
      </c>
      <c r="M1269" s="39">
        <v>3658.5</v>
      </c>
      <c r="N1269" s="39">
        <v>3658.5</v>
      </c>
      <c r="O1269" s="39">
        <v>0</v>
      </c>
      <c r="P1269" s="39">
        <v>47967</v>
      </c>
      <c r="Q1269" s="34" t="s">
        <v>410</v>
      </c>
      <c r="R1269" s="34" t="s">
        <v>26</v>
      </c>
      <c r="S1269" s="11" t="s">
        <v>4120</v>
      </c>
    </row>
    <row r="1270" spans="1:19" x14ac:dyDescent="0.2">
      <c r="A1270" s="51">
        <v>43709</v>
      </c>
      <c r="B1270" s="34">
        <v>81</v>
      </c>
      <c r="C1270" s="35" t="s">
        <v>479</v>
      </c>
      <c r="D1270" s="34" t="str">
        <f>VLOOKUP(C1270,'PUR-PARTY MASTER'!$B$4:$E$2000,2,FALSE)</f>
        <v>27AAMFC2124K1ZG</v>
      </c>
      <c r="E1270" s="34" t="s">
        <v>22</v>
      </c>
      <c r="F1270" s="134">
        <v>1278</v>
      </c>
      <c r="G1270" s="37">
        <v>43724</v>
      </c>
      <c r="H1270" s="34">
        <v>3919</v>
      </c>
      <c r="I1270" s="39">
        <f>VLOOKUP(H1270,'PUR-HSN MASTER'!$A$4:$E$5000,5,FALSE)</f>
        <v>18</v>
      </c>
      <c r="J1270" s="34">
        <v>2012</v>
      </c>
      <c r="K1270" s="126">
        <v>2716.2</v>
      </c>
      <c r="L1270" s="39">
        <v>0</v>
      </c>
      <c r="M1270" s="39">
        <v>244.458</v>
      </c>
      <c r="N1270" s="39">
        <v>244.458</v>
      </c>
      <c r="O1270" s="39">
        <v>0</v>
      </c>
      <c r="P1270" s="39">
        <v>3205.116</v>
      </c>
      <c r="Q1270" s="34" t="s">
        <v>410</v>
      </c>
      <c r="R1270" s="34" t="s">
        <v>26</v>
      </c>
      <c r="S1270" s="11" t="s">
        <v>4120</v>
      </c>
    </row>
    <row r="1271" spans="1:19" x14ac:dyDescent="0.2">
      <c r="A1271" s="51">
        <v>43709</v>
      </c>
      <c r="B1271" s="34">
        <v>82</v>
      </c>
      <c r="C1271" s="35" t="s">
        <v>514</v>
      </c>
      <c r="D1271" s="34" t="str">
        <f>VLOOKUP(C1271,'PUR-PARTY MASTER'!$B$4:$E$2000,2,FALSE)</f>
        <v>27AAACU2414K1ZF</v>
      </c>
      <c r="E1271" s="34" t="s">
        <v>22</v>
      </c>
      <c r="F1271" s="136" t="s">
        <v>980</v>
      </c>
      <c r="G1271" s="37">
        <v>43722</v>
      </c>
      <c r="H1271" s="34">
        <v>9971</v>
      </c>
      <c r="I1271" s="39">
        <f>VLOOKUP(H1271,'PUR-HSN MASTER'!$A$4:$E$5000,5,FALSE)</f>
        <v>18</v>
      </c>
      <c r="J1271" s="34">
        <v>0</v>
      </c>
      <c r="K1271" s="40">
        <v>50</v>
      </c>
      <c r="L1271" s="39">
        <v>0</v>
      </c>
      <c r="M1271" s="39">
        <v>4.5</v>
      </c>
      <c r="N1271" s="39">
        <v>4.5</v>
      </c>
      <c r="O1271" s="39">
        <v>0</v>
      </c>
      <c r="P1271" s="39">
        <v>59</v>
      </c>
      <c r="Q1271" s="34" t="s">
        <v>411</v>
      </c>
      <c r="R1271" s="34" t="s">
        <v>26</v>
      </c>
      <c r="S1271" s="11" t="s">
        <v>4120</v>
      </c>
    </row>
    <row r="1272" spans="1:19" x14ac:dyDescent="0.2">
      <c r="A1272" s="51">
        <v>43709</v>
      </c>
      <c r="B1272" s="34">
        <v>83</v>
      </c>
      <c r="C1272" s="35" t="s">
        <v>747</v>
      </c>
      <c r="D1272" s="34" t="str">
        <f>VLOOKUP(C1272,'PUR-PARTY MASTER'!$B$4:$E$2000,2,FALSE)</f>
        <v>27ACIPD7822K1ZF</v>
      </c>
      <c r="E1272" s="34" t="s">
        <v>22</v>
      </c>
      <c r="F1272" s="136" t="s">
        <v>981</v>
      </c>
      <c r="G1272" s="37">
        <v>43724</v>
      </c>
      <c r="H1272" s="34">
        <v>84778090</v>
      </c>
      <c r="I1272" s="39">
        <f>VLOOKUP(H1272,'PUR-HSN MASTER'!$A$4:$E$5000,5,FALSE)</f>
        <v>18</v>
      </c>
      <c r="J1272" s="34">
        <v>25</v>
      </c>
      <c r="K1272" s="126">
        <v>18750</v>
      </c>
      <c r="L1272" s="39">
        <v>0</v>
      </c>
      <c r="M1272" s="39">
        <v>1687.5</v>
      </c>
      <c r="N1272" s="39">
        <v>1687.5</v>
      </c>
      <c r="O1272" s="39">
        <v>0</v>
      </c>
      <c r="P1272" s="39">
        <v>22125</v>
      </c>
      <c r="Q1272" s="34" t="s">
        <v>410</v>
      </c>
      <c r="R1272" s="34" t="s">
        <v>26</v>
      </c>
      <c r="S1272" s="11" t="s">
        <v>4120</v>
      </c>
    </row>
    <row r="1273" spans="1:19" x14ac:dyDescent="0.2">
      <c r="A1273" s="51">
        <v>43709</v>
      </c>
      <c r="B1273" s="34">
        <v>84</v>
      </c>
      <c r="C1273" s="35" t="s">
        <v>506</v>
      </c>
      <c r="D1273" s="34" t="str">
        <f>VLOOKUP(C1273,'PUR-PARTY MASTER'!$B$4:$E$2000,2,FALSE)</f>
        <v>27AAACG1376N1ZC</v>
      </c>
      <c r="E1273" s="34" t="s">
        <v>22</v>
      </c>
      <c r="F1273" s="136" t="s">
        <v>982</v>
      </c>
      <c r="G1273" s="37">
        <v>43724</v>
      </c>
      <c r="H1273" s="34">
        <v>38140010</v>
      </c>
      <c r="I1273" s="39">
        <f>VLOOKUP(H1273,'PUR-HSN MASTER'!$A$4:$E$5000,5,FALSE)</f>
        <v>18</v>
      </c>
      <c r="J1273" s="34">
        <v>40</v>
      </c>
      <c r="K1273" s="126">
        <v>18480</v>
      </c>
      <c r="L1273" s="39">
        <v>0</v>
      </c>
      <c r="M1273" s="39">
        <v>1663.2</v>
      </c>
      <c r="N1273" s="39">
        <v>1663.2</v>
      </c>
      <c r="O1273" s="39">
        <v>0</v>
      </c>
      <c r="P1273" s="39">
        <v>21806</v>
      </c>
      <c r="Q1273" s="34" t="s">
        <v>410</v>
      </c>
      <c r="R1273" s="34" t="s">
        <v>26</v>
      </c>
      <c r="S1273" s="11" t="s">
        <v>4120</v>
      </c>
    </row>
    <row r="1274" spans="1:19" x14ac:dyDescent="0.2">
      <c r="A1274" s="51">
        <v>43709</v>
      </c>
      <c r="B1274" s="34">
        <v>85</v>
      </c>
      <c r="C1274" s="35" t="s">
        <v>489</v>
      </c>
      <c r="D1274" s="34" t="str">
        <f>VLOOKUP(C1274,'PUR-PARTY MASTER'!$B$4:$E$2000,2,FALSE)</f>
        <v>27AAECD2713N1ZK</v>
      </c>
      <c r="E1274" s="34" t="s">
        <v>22</v>
      </c>
      <c r="F1274" s="134">
        <v>7887988608</v>
      </c>
      <c r="G1274" s="37">
        <v>43725</v>
      </c>
      <c r="H1274" s="34">
        <v>32082090</v>
      </c>
      <c r="I1274" s="39">
        <f>VLOOKUP(H1274,'PUR-HSN MASTER'!$A$4:$E$5000,5,FALSE)</f>
        <v>18</v>
      </c>
      <c r="J1274" s="34">
        <v>16</v>
      </c>
      <c r="K1274" s="126">
        <v>7040</v>
      </c>
      <c r="L1274" s="39">
        <v>0</v>
      </c>
      <c r="M1274" s="39">
        <v>633.6</v>
      </c>
      <c r="N1274" s="39">
        <v>633.6</v>
      </c>
      <c r="O1274" s="39">
        <v>0</v>
      </c>
      <c r="P1274" s="39">
        <v>8307</v>
      </c>
      <c r="Q1274" s="34" t="s">
        <v>410</v>
      </c>
      <c r="R1274" s="34" t="s">
        <v>26</v>
      </c>
      <c r="S1274" s="11" t="s">
        <v>4120</v>
      </c>
    </row>
    <row r="1275" spans="1:19" x14ac:dyDescent="0.2">
      <c r="A1275" s="51">
        <v>43709</v>
      </c>
      <c r="B1275" s="34">
        <v>86</v>
      </c>
      <c r="C1275" s="35" t="s">
        <v>471</v>
      </c>
      <c r="D1275" s="34" t="str">
        <f>VLOOKUP(C1275,'PUR-PARTY MASTER'!$B$4:$E$2000,2,FALSE)</f>
        <v>27AAECM8871A1ZF</v>
      </c>
      <c r="E1275" s="34" t="s">
        <v>22</v>
      </c>
      <c r="F1275" s="134">
        <v>192005357</v>
      </c>
      <c r="G1275" s="37">
        <v>43725</v>
      </c>
      <c r="H1275" s="34">
        <v>87089900</v>
      </c>
      <c r="I1275" s="39">
        <f>VLOOKUP(H1275,'PUR-HSN MASTER'!$A$4:$E$5000,5,FALSE)</f>
        <v>28</v>
      </c>
      <c r="J1275" s="34">
        <v>12</v>
      </c>
      <c r="K1275" s="126">
        <v>17483.52</v>
      </c>
      <c r="L1275" s="39">
        <v>0</v>
      </c>
      <c r="M1275" s="39">
        <v>2447.6928000000003</v>
      </c>
      <c r="N1275" s="39">
        <v>2447.6928000000003</v>
      </c>
      <c r="O1275" s="39">
        <v>0</v>
      </c>
      <c r="P1275" s="39">
        <v>22378.895600000003</v>
      </c>
      <c r="Q1275" s="34" t="s">
        <v>410</v>
      </c>
      <c r="R1275" s="34" t="s">
        <v>26</v>
      </c>
      <c r="S1275" s="11" t="s">
        <v>4120</v>
      </c>
    </row>
    <row r="1276" spans="1:19" x14ac:dyDescent="0.2">
      <c r="A1276" s="51">
        <v>43709</v>
      </c>
      <c r="B1276" s="34">
        <v>87</v>
      </c>
      <c r="C1276" s="35" t="s">
        <v>471</v>
      </c>
      <c r="D1276" s="34" t="str">
        <f>VLOOKUP(C1276,'PUR-PARTY MASTER'!$B$4:$E$2000,2,FALSE)</f>
        <v>27AAECM8871A1ZF</v>
      </c>
      <c r="E1276" s="34" t="s">
        <v>22</v>
      </c>
      <c r="F1276" s="134">
        <v>192005358</v>
      </c>
      <c r="G1276" s="37">
        <v>43725</v>
      </c>
      <c r="H1276" s="34">
        <v>87089900</v>
      </c>
      <c r="I1276" s="39">
        <f>VLOOKUP(H1276,'PUR-HSN MASTER'!$A$4:$E$5000,5,FALSE)</f>
        <v>28</v>
      </c>
      <c r="J1276" s="34">
        <v>12</v>
      </c>
      <c r="K1276" s="126">
        <v>17483.52</v>
      </c>
      <c r="L1276" s="39">
        <v>0</v>
      </c>
      <c r="M1276" s="39">
        <v>2447.6928000000003</v>
      </c>
      <c r="N1276" s="39">
        <v>2447.6928000000003</v>
      </c>
      <c r="O1276" s="39">
        <v>0</v>
      </c>
      <c r="P1276" s="39">
        <v>22378.895600000003</v>
      </c>
      <c r="Q1276" s="34" t="s">
        <v>410</v>
      </c>
      <c r="R1276" s="34" t="s">
        <v>26</v>
      </c>
      <c r="S1276" s="11" t="s">
        <v>4120</v>
      </c>
    </row>
    <row r="1277" spans="1:19" x14ac:dyDescent="0.2">
      <c r="A1277" s="51">
        <v>43709</v>
      </c>
      <c r="B1277" s="34">
        <v>88</v>
      </c>
      <c r="C1277" s="35" t="s">
        <v>517</v>
      </c>
      <c r="D1277" s="34" t="str">
        <f>VLOOKUP(C1277,'PUR-PARTY MASTER'!$B$4:$E$2000,2,FALSE)</f>
        <v>23AAACT6376M1ZZ</v>
      </c>
      <c r="E1277" s="34" t="s">
        <v>22</v>
      </c>
      <c r="F1277" s="134">
        <v>19616987</v>
      </c>
      <c r="G1277" s="37">
        <v>43724</v>
      </c>
      <c r="H1277" s="34">
        <v>87081090</v>
      </c>
      <c r="I1277" s="39">
        <f>VLOOKUP(H1277,'PUR-HSN MASTER'!$A$4:$E$5000,5,FALSE)</f>
        <v>28</v>
      </c>
      <c r="J1277" s="34">
        <v>20</v>
      </c>
      <c r="K1277" s="126">
        <v>12571</v>
      </c>
      <c r="L1277" s="39">
        <v>3519.8799999999997</v>
      </c>
      <c r="M1277" s="39">
        <v>0</v>
      </c>
      <c r="N1277" s="39">
        <v>0</v>
      </c>
      <c r="O1277" s="39">
        <v>0</v>
      </c>
      <c r="P1277" s="39">
        <v>16090.88</v>
      </c>
      <c r="Q1277" s="34" t="s">
        <v>410</v>
      </c>
      <c r="R1277" s="34" t="s">
        <v>106</v>
      </c>
      <c r="S1277" s="11" t="s">
        <v>4120</v>
      </c>
    </row>
    <row r="1278" spans="1:19" x14ac:dyDescent="0.2">
      <c r="A1278" s="51">
        <v>43709</v>
      </c>
      <c r="B1278" s="34">
        <v>89</v>
      </c>
      <c r="C1278" s="35" t="s">
        <v>554</v>
      </c>
      <c r="D1278" s="34" t="str">
        <f>VLOOKUP(C1278,'PUR-PARTY MASTER'!$B$4:$E$2000,2,FALSE)</f>
        <v>27AACFA1881H1ZL</v>
      </c>
      <c r="E1278" s="34" t="s">
        <v>22</v>
      </c>
      <c r="F1278" s="134">
        <v>12213</v>
      </c>
      <c r="G1278" s="37">
        <v>43726</v>
      </c>
      <c r="H1278" s="34">
        <v>87141900</v>
      </c>
      <c r="I1278" s="39">
        <f>VLOOKUP(H1278,'PUR-HSN MASTER'!$A$4:$E$5000,5,FALSE)</f>
        <v>28</v>
      </c>
      <c r="J1278" s="34">
        <f>3500+4360</f>
        <v>7860</v>
      </c>
      <c r="K1278" s="126">
        <v>22169</v>
      </c>
      <c r="L1278" s="39">
        <v>0</v>
      </c>
      <c r="M1278" s="39">
        <v>3103.66</v>
      </c>
      <c r="N1278" s="39">
        <v>3103.66</v>
      </c>
      <c r="O1278" s="39">
        <v>0</v>
      </c>
      <c r="P1278" s="39">
        <v>28376.32</v>
      </c>
      <c r="Q1278" s="34" t="s">
        <v>410</v>
      </c>
      <c r="R1278" s="34" t="s">
        <v>26</v>
      </c>
      <c r="S1278" s="11" t="s">
        <v>4120</v>
      </c>
    </row>
    <row r="1279" spans="1:19" x14ac:dyDescent="0.2">
      <c r="A1279" s="51">
        <v>43709</v>
      </c>
      <c r="B1279" s="34">
        <v>90</v>
      </c>
      <c r="C1279" s="35" t="s">
        <v>479</v>
      </c>
      <c r="D1279" s="34" t="str">
        <f>VLOOKUP(C1279,'PUR-PARTY MASTER'!$B$4:$E$2000,2,FALSE)</f>
        <v>27AAMFC2124K1ZG</v>
      </c>
      <c r="E1279" s="34" t="s">
        <v>22</v>
      </c>
      <c r="F1279" s="134">
        <v>1282</v>
      </c>
      <c r="G1279" s="37">
        <v>43726</v>
      </c>
      <c r="H1279" s="34">
        <v>3919</v>
      </c>
      <c r="I1279" s="39">
        <f>VLOOKUP(H1279,'PUR-HSN MASTER'!$A$4:$E$5000,5,FALSE)</f>
        <v>18</v>
      </c>
      <c r="J1279" s="34">
        <v>750</v>
      </c>
      <c r="K1279" s="126">
        <v>9000</v>
      </c>
      <c r="L1279" s="39">
        <v>0</v>
      </c>
      <c r="M1279" s="39">
        <v>810</v>
      </c>
      <c r="N1279" s="39">
        <v>810</v>
      </c>
      <c r="O1279" s="39">
        <v>0</v>
      </c>
      <c r="P1279" s="39">
        <v>10620</v>
      </c>
      <c r="Q1279" s="34" t="s">
        <v>410</v>
      </c>
      <c r="R1279" s="34" t="s">
        <v>26</v>
      </c>
      <c r="S1279" s="11" t="s">
        <v>4120</v>
      </c>
    </row>
    <row r="1280" spans="1:19" x14ac:dyDescent="0.2">
      <c r="A1280" s="51">
        <v>43709</v>
      </c>
      <c r="B1280" s="34">
        <v>91</v>
      </c>
      <c r="C1280" s="35" t="s">
        <v>479</v>
      </c>
      <c r="D1280" s="34" t="str">
        <f>VLOOKUP(C1280,'PUR-PARTY MASTER'!$B$4:$E$2000,2,FALSE)</f>
        <v>27AAMFC2124K1ZG</v>
      </c>
      <c r="E1280" s="34" t="s">
        <v>22</v>
      </c>
      <c r="F1280" s="134">
        <v>1283</v>
      </c>
      <c r="G1280" s="37">
        <v>43726</v>
      </c>
      <c r="H1280" s="34">
        <v>3919</v>
      </c>
      <c r="I1280" s="39">
        <f>VLOOKUP(H1280,'PUR-HSN MASTER'!$A$4:$E$5000,5,FALSE)</f>
        <v>18</v>
      </c>
      <c r="J1280" s="34">
        <v>40</v>
      </c>
      <c r="K1280" s="126">
        <v>16000</v>
      </c>
      <c r="L1280" s="39">
        <v>0</v>
      </c>
      <c r="M1280" s="39">
        <v>1440</v>
      </c>
      <c r="N1280" s="39">
        <v>1440</v>
      </c>
      <c r="O1280" s="39">
        <v>0</v>
      </c>
      <c r="P1280" s="39">
        <v>18880</v>
      </c>
      <c r="Q1280" s="34" t="s">
        <v>410</v>
      </c>
      <c r="R1280" s="34" t="s">
        <v>26</v>
      </c>
      <c r="S1280" s="11" t="s">
        <v>4120</v>
      </c>
    </row>
    <row r="1281" spans="1:19" x14ac:dyDescent="0.2">
      <c r="A1281" s="51">
        <v>43709</v>
      </c>
      <c r="B1281" s="34">
        <v>92</v>
      </c>
      <c r="C1281" s="35" t="s">
        <v>747</v>
      </c>
      <c r="D1281" s="34" t="str">
        <f>VLOOKUP(C1281,'PUR-PARTY MASTER'!$B$4:$E$2000,2,FALSE)</f>
        <v>27ACIPD7822K1ZF</v>
      </c>
      <c r="E1281" s="34" t="s">
        <v>22</v>
      </c>
      <c r="F1281" s="136" t="s">
        <v>983</v>
      </c>
      <c r="G1281" s="37">
        <v>43726</v>
      </c>
      <c r="H1281" s="34">
        <v>84778090</v>
      </c>
      <c r="I1281" s="39">
        <f>VLOOKUP(H1281,'PUR-HSN MASTER'!$A$4:$E$5000,5,FALSE)</f>
        <v>18</v>
      </c>
      <c r="J1281" s="34">
        <v>132</v>
      </c>
      <c r="K1281" s="126">
        <v>9900</v>
      </c>
      <c r="L1281" s="39">
        <v>0</v>
      </c>
      <c r="M1281" s="39">
        <v>891</v>
      </c>
      <c r="N1281" s="39">
        <v>891</v>
      </c>
      <c r="O1281" s="39">
        <v>0</v>
      </c>
      <c r="P1281" s="39">
        <v>11682</v>
      </c>
      <c r="Q1281" s="34" t="s">
        <v>410</v>
      </c>
      <c r="R1281" s="34" t="s">
        <v>26</v>
      </c>
      <c r="S1281" s="11" t="s">
        <v>4120</v>
      </c>
    </row>
    <row r="1282" spans="1:19" x14ac:dyDescent="0.2">
      <c r="A1282" s="34"/>
      <c r="B1282" s="34"/>
      <c r="C1282" s="35" t="s">
        <v>747</v>
      </c>
      <c r="D1282" s="34" t="str">
        <f>VLOOKUP(C1282,'PUR-PARTY MASTER'!$B$4:$E$2000,2,FALSE)</f>
        <v>27ACIPD7822K1ZF</v>
      </c>
      <c r="E1282" s="34" t="s">
        <v>22</v>
      </c>
      <c r="F1282" s="136" t="s">
        <v>983</v>
      </c>
      <c r="G1282" s="37">
        <v>43726</v>
      </c>
      <c r="H1282" s="34">
        <v>998873</v>
      </c>
      <c r="I1282" s="39">
        <f>VLOOKUP(H1282,'PUR-HSN MASTER'!$A$4:$E$5000,5,FALSE)</f>
        <v>18</v>
      </c>
      <c r="J1282" s="34">
        <v>1</v>
      </c>
      <c r="K1282" s="126">
        <v>500</v>
      </c>
      <c r="L1282" s="39">
        <v>0</v>
      </c>
      <c r="M1282" s="39">
        <v>45</v>
      </c>
      <c r="N1282" s="39">
        <v>45</v>
      </c>
      <c r="O1282" s="39">
        <v>0</v>
      </c>
      <c r="P1282" s="39">
        <v>590</v>
      </c>
      <c r="Q1282" s="34" t="s">
        <v>411</v>
      </c>
      <c r="R1282" s="34" t="s">
        <v>26</v>
      </c>
      <c r="S1282" s="11" t="s">
        <v>4120</v>
      </c>
    </row>
    <row r="1283" spans="1:19" x14ac:dyDescent="0.2">
      <c r="A1283" s="51">
        <v>43709</v>
      </c>
      <c r="B1283" s="34">
        <v>93</v>
      </c>
      <c r="C1283" s="35" t="s">
        <v>601</v>
      </c>
      <c r="D1283" s="34" t="str">
        <f>VLOOKUP(C1283,'PUR-PARTY MASTER'!$B$4:$E$2000,2,FALSE)</f>
        <v>27AAZFM6461A1ZY</v>
      </c>
      <c r="E1283" s="34" t="s">
        <v>22</v>
      </c>
      <c r="F1283" s="134">
        <v>4211</v>
      </c>
      <c r="G1283" s="37">
        <v>43726</v>
      </c>
      <c r="H1283" s="34">
        <v>87082900</v>
      </c>
      <c r="I1283" s="39">
        <f>VLOOKUP(H1283,'PUR-HSN MASTER'!$A$4:$E$5000,5,FALSE)</f>
        <v>28</v>
      </c>
      <c r="J1283" s="34">
        <v>1100</v>
      </c>
      <c r="K1283" s="126">
        <v>46827</v>
      </c>
      <c r="L1283" s="39">
        <v>0</v>
      </c>
      <c r="M1283" s="39">
        <v>6555.78</v>
      </c>
      <c r="N1283" s="39">
        <v>6555.78</v>
      </c>
      <c r="O1283" s="39">
        <v>0</v>
      </c>
      <c r="P1283" s="39">
        <v>59938.559999999998</v>
      </c>
      <c r="Q1283" s="34" t="s">
        <v>410</v>
      </c>
      <c r="R1283" s="34" t="s">
        <v>26</v>
      </c>
      <c r="S1283" s="11" t="s">
        <v>4120</v>
      </c>
    </row>
    <row r="1284" spans="1:19" x14ac:dyDescent="0.2">
      <c r="A1284" s="51">
        <v>43709</v>
      </c>
      <c r="B1284" s="34">
        <v>94</v>
      </c>
      <c r="C1284" s="35" t="s">
        <v>556</v>
      </c>
      <c r="D1284" s="34" t="str">
        <f>VLOOKUP(C1284,'PUR-PARTY MASTER'!$B$4:$E$2000,2,FALSE)</f>
        <v>27AAQCS7977M1Z3</v>
      </c>
      <c r="E1284" s="34" t="s">
        <v>22</v>
      </c>
      <c r="F1284" s="136" t="s">
        <v>984</v>
      </c>
      <c r="G1284" s="37">
        <v>43724</v>
      </c>
      <c r="H1284" s="34">
        <v>29023000</v>
      </c>
      <c r="I1284" s="39">
        <f>VLOOKUP(H1284,'PUR-HSN MASTER'!$A$4:$E$5000,5,FALSE)</f>
        <v>18</v>
      </c>
      <c r="J1284" s="34">
        <v>70</v>
      </c>
      <c r="K1284" s="40">
        <v>4900</v>
      </c>
      <c r="L1284" s="39">
        <v>0</v>
      </c>
      <c r="M1284" s="39">
        <v>441</v>
      </c>
      <c r="N1284" s="39">
        <v>441</v>
      </c>
      <c r="O1284" s="39">
        <v>0</v>
      </c>
      <c r="P1284" s="39">
        <v>5782</v>
      </c>
      <c r="Q1284" s="34" t="s">
        <v>410</v>
      </c>
      <c r="R1284" s="34" t="s">
        <v>26</v>
      </c>
      <c r="S1284" s="11" t="s">
        <v>4120</v>
      </c>
    </row>
    <row r="1285" spans="1:19" x14ac:dyDescent="0.2">
      <c r="A1285" s="51">
        <v>43709</v>
      </c>
      <c r="B1285" s="34">
        <v>95</v>
      </c>
      <c r="C1285" s="35" t="s">
        <v>473</v>
      </c>
      <c r="D1285" s="34" t="str">
        <f>VLOOKUP(C1285,'PUR-PARTY MASTER'!$B$4:$E$2000,2,FALSE)</f>
        <v>27AAACT1848E1ZH</v>
      </c>
      <c r="E1285" s="34" t="s">
        <v>22</v>
      </c>
      <c r="F1285" s="136" t="s">
        <v>985</v>
      </c>
      <c r="G1285" s="37">
        <v>43727</v>
      </c>
      <c r="H1285" s="34">
        <v>87089900</v>
      </c>
      <c r="I1285" s="39">
        <f>VLOOKUP(H1285,'PUR-HSN MASTER'!$A$4:$E$5000,5,FALSE)</f>
        <v>28</v>
      </c>
      <c r="J1285" s="34">
        <v>56</v>
      </c>
      <c r="K1285" s="126">
        <v>8976.7999999999993</v>
      </c>
      <c r="L1285" s="39">
        <v>0</v>
      </c>
      <c r="M1285" s="39">
        <v>1257.0019999999997</v>
      </c>
      <c r="N1285" s="39">
        <v>1257.0019999999997</v>
      </c>
      <c r="O1285" s="39">
        <v>0</v>
      </c>
      <c r="P1285" s="39">
        <v>11490.803999999998</v>
      </c>
      <c r="Q1285" s="34" t="s">
        <v>410</v>
      </c>
      <c r="R1285" s="34" t="s">
        <v>26</v>
      </c>
      <c r="S1285" s="11" t="s">
        <v>4120</v>
      </c>
    </row>
    <row r="1286" spans="1:19" x14ac:dyDescent="0.2">
      <c r="A1286" s="51">
        <v>43709</v>
      </c>
      <c r="B1286" s="34">
        <v>96</v>
      </c>
      <c r="C1286" s="35" t="s">
        <v>473</v>
      </c>
      <c r="D1286" s="34" t="str">
        <f>VLOOKUP(C1286,'PUR-PARTY MASTER'!$B$4:$E$2000,2,FALSE)</f>
        <v>27AAACT1848E1ZH</v>
      </c>
      <c r="E1286" s="34" t="s">
        <v>22</v>
      </c>
      <c r="F1286" s="136" t="s">
        <v>986</v>
      </c>
      <c r="G1286" s="37">
        <v>43727</v>
      </c>
      <c r="H1286" s="34">
        <v>87089900</v>
      </c>
      <c r="I1286" s="39">
        <f>VLOOKUP(H1286,'PUR-HSN MASTER'!$A$4:$E$5000,5,FALSE)</f>
        <v>28</v>
      </c>
      <c r="J1286" s="34">
        <f>28+85+85</f>
        <v>198</v>
      </c>
      <c r="K1286" s="126">
        <v>5270.61</v>
      </c>
      <c r="L1286" s="39">
        <v>0</v>
      </c>
      <c r="M1286" s="39">
        <v>737.99540000000002</v>
      </c>
      <c r="N1286" s="39">
        <v>737.99540000000002</v>
      </c>
      <c r="O1286" s="39">
        <v>0</v>
      </c>
      <c r="P1286" s="39">
        <v>6746.6008000000002</v>
      </c>
      <c r="Q1286" s="34" t="s">
        <v>410</v>
      </c>
      <c r="R1286" s="34" t="s">
        <v>26</v>
      </c>
      <c r="S1286" s="11" t="s">
        <v>4120</v>
      </c>
    </row>
    <row r="1287" spans="1:19" x14ac:dyDescent="0.2">
      <c r="A1287" s="51">
        <v>43709</v>
      </c>
      <c r="B1287" s="34">
        <v>97</v>
      </c>
      <c r="C1287" s="35" t="s">
        <v>554</v>
      </c>
      <c r="D1287" s="34" t="str">
        <f>VLOOKUP(C1287,'PUR-PARTY MASTER'!$B$4:$E$2000,2,FALSE)</f>
        <v>27AACFA1881H1ZL</v>
      </c>
      <c r="E1287" s="34" t="s">
        <v>22</v>
      </c>
      <c r="F1287" s="134">
        <v>12236</v>
      </c>
      <c r="G1287" s="37">
        <v>43727</v>
      </c>
      <c r="H1287" s="34">
        <v>87141900</v>
      </c>
      <c r="I1287" s="39">
        <f>VLOOKUP(H1287,'PUR-HSN MASTER'!$A$4:$E$5000,5,FALSE)</f>
        <v>28</v>
      </c>
      <c r="J1287" s="34">
        <f>3900+2670</f>
        <v>6570</v>
      </c>
      <c r="K1287" s="126">
        <v>18719.7</v>
      </c>
      <c r="L1287" s="39">
        <v>0</v>
      </c>
      <c r="M1287" s="39">
        <v>2620.7579999999998</v>
      </c>
      <c r="N1287" s="39">
        <v>2620.7579999999998</v>
      </c>
      <c r="O1287" s="39">
        <v>0</v>
      </c>
      <c r="P1287" s="39">
        <v>23961.216</v>
      </c>
      <c r="Q1287" s="34" t="s">
        <v>410</v>
      </c>
      <c r="R1287" s="34" t="s">
        <v>26</v>
      </c>
      <c r="S1287" s="11" t="s">
        <v>4120</v>
      </c>
    </row>
    <row r="1288" spans="1:19" x14ac:dyDescent="0.2">
      <c r="A1288" s="51">
        <v>43709</v>
      </c>
      <c r="B1288" s="34">
        <v>98</v>
      </c>
      <c r="C1288" s="35" t="s">
        <v>493</v>
      </c>
      <c r="D1288" s="34" t="str">
        <f>VLOOKUP(C1288,'PUR-PARTY MASTER'!$B$4:$E$2000,2,FALSE)</f>
        <v>27AMMPB3648M1ZO</v>
      </c>
      <c r="E1288" s="34" t="s">
        <v>22</v>
      </c>
      <c r="F1288" s="134">
        <v>2950</v>
      </c>
      <c r="G1288" s="37">
        <v>43727</v>
      </c>
      <c r="H1288" s="34">
        <v>85129000</v>
      </c>
      <c r="I1288" s="39">
        <f>VLOOKUP(H1288,'PUR-HSN MASTER'!$A$4:$E$5000,5,FALSE)</f>
        <v>18</v>
      </c>
      <c r="J1288" s="34">
        <v>900</v>
      </c>
      <c r="K1288" s="126">
        <v>20691</v>
      </c>
      <c r="L1288" s="39">
        <v>0</v>
      </c>
      <c r="M1288" s="39">
        <v>1862.19</v>
      </c>
      <c r="N1288" s="39">
        <v>1862.19</v>
      </c>
      <c r="O1288" s="39">
        <v>0</v>
      </c>
      <c r="P1288" s="39">
        <v>24415</v>
      </c>
      <c r="Q1288" s="34" t="s">
        <v>410</v>
      </c>
      <c r="R1288" s="34" t="s">
        <v>26</v>
      </c>
      <c r="S1288" s="11" t="s">
        <v>4120</v>
      </c>
    </row>
    <row r="1289" spans="1:19" x14ac:dyDescent="0.2">
      <c r="A1289" s="51">
        <v>43709</v>
      </c>
      <c r="B1289" s="34">
        <v>99</v>
      </c>
      <c r="C1289" s="35" t="s">
        <v>489</v>
      </c>
      <c r="D1289" s="34" t="str">
        <f>VLOOKUP(C1289,'PUR-PARTY MASTER'!$B$4:$E$2000,2,FALSE)</f>
        <v>27AAECD2713N1ZK</v>
      </c>
      <c r="E1289" s="34" t="s">
        <v>22</v>
      </c>
      <c r="F1289" s="134">
        <v>7887988665</v>
      </c>
      <c r="G1289" s="37">
        <v>43727</v>
      </c>
      <c r="H1289" s="34">
        <v>32082090</v>
      </c>
      <c r="I1289" s="39">
        <f>VLOOKUP(H1289,'PUR-HSN MASTER'!$A$4:$E$5000,5,FALSE)</f>
        <v>18</v>
      </c>
      <c r="J1289" s="34">
        <v>20</v>
      </c>
      <c r="K1289" s="126">
        <v>8800</v>
      </c>
      <c r="L1289" s="39">
        <v>0</v>
      </c>
      <c r="M1289" s="39">
        <v>792</v>
      </c>
      <c r="N1289" s="39">
        <v>792</v>
      </c>
      <c r="O1289" s="39">
        <v>0</v>
      </c>
      <c r="P1289" s="39">
        <v>10383.799999999999</v>
      </c>
      <c r="Q1289" s="34" t="s">
        <v>410</v>
      </c>
      <c r="R1289" s="34" t="s">
        <v>26</v>
      </c>
      <c r="S1289" s="11" t="s">
        <v>4120</v>
      </c>
    </row>
    <row r="1290" spans="1:19" x14ac:dyDescent="0.2">
      <c r="A1290" s="51">
        <v>43709</v>
      </c>
      <c r="B1290" s="34">
        <v>100</v>
      </c>
      <c r="C1290" s="35" t="s">
        <v>495</v>
      </c>
      <c r="D1290" s="34" t="str">
        <f>VLOOKUP(C1290,'PUR-PARTY MASTER'!$B$4:$E$2000,2,FALSE)</f>
        <v>27AAACH4211R1ZF</v>
      </c>
      <c r="E1290" s="34" t="s">
        <v>22</v>
      </c>
      <c r="F1290" s="134">
        <v>5510058092</v>
      </c>
      <c r="G1290" s="37">
        <v>43728</v>
      </c>
      <c r="H1290" s="34">
        <v>85129000</v>
      </c>
      <c r="I1290" s="39">
        <f>VLOOKUP(H1290,'PUR-HSN MASTER'!$A$4:$E$5000,5,FALSE)</f>
        <v>18</v>
      </c>
      <c r="J1290" s="34">
        <v>160</v>
      </c>
      <c r="K1290" s="126">
        <v>667.2</v>
      </c>
      <c r="L1290" s="39">
        <v>0</v>
      </c>
      <c r="M1290" s="39">
        <v>60.038000000000004</v>
      </c>
      <c r="N1290" s="39">
        <v>60.038000000000004</v>
      </c>
      <c r="O1290" s="39">
        <v>0</v>
      </c>
      <c r="P1290" s="39">
        <v>787.27600000000007</v>
      </c>
      <c r="Q1290" s="34" t="s">
        <v>410</v>
      </c>
      <c r="R1290" s="34" t="s">
        <v>26</v>
      </c>
      <c r="S1290" s="11" t="s">
        <v>4120</v>
      </c>
    </row>
    <row r="1291" spans="1:19" x14ac:dyDescent="0.2">
      <c r="A1291" s="51">
        <v>43709</v>
      </c>
      <c r="B1291" s="34">
        <v>101</v>
      </c>
      <c r="C1291" s="35" t="s">
        <v>489</v>
      </c>
      <c r="D1291" s="34" t="str">
        <f>VLOOKUP(C1291,'PUR-PARTY MASTER'!$B$4:$E$2000,2,FALSE)</f>
        <v>27AAECD2713N1ZK</v>
      </c>
      <c r="E1291" s="34" t="s">
        <v>22</v>
      </c>
      <c r="F1291" s="134">
        <v>7887988738</v>
      </c>
      <c r="G1291" s="37">
        <v>43728</v>
      </c>
      <c r="H1291" s="34">
        <v>39119090</v>
      </c>
      <c r="I1291" s="39">
        <f>VLOOKUP(H1291,'PUR-HSN MASTER'!$A$4:$E$5000,5,FALSE)</f>
        <v>18</v>
      </c>
      <c r="J1291" s="34">
        <v>30</v>
      </c>
      <c r="K1291" s="126">
        <v>12720</v>
      </c>
      <c r="L1291" s="39">
        <v>0</v>
      </c>
      <c r="M1291" s="39">
        <v>1144.8</v>
      </c>
      <c r="N1291" s="39">
        <v>1144.8</v>
      </c>
      <c r="O1291" s="39">
        <v>0</v>
      </c>
      <c r="P1291" s="39">
        <v>15010</v>
      </c>
      <c r="Q1291" s="34" t="s">
        <v>410</v>
      </c>
      <c r="R1291" s="34" t="s">
        <v>26</v>
      </c>
      <c r="S1291" s="11" t="s">
        <v>4120</v>
      </c>
    </row>
    <row r="1292" spans="1:19" x14ac:dyDescent="0.2">
      <c r="A1292" s="34"/>
      <c r="B1292" s="34"/>
      <c r="C1292" s="35" t="s">
        <v>489</v>
      </c>
      <c r="D1292" s="34" t="str">
        <f>VLOOKUP(C1292,'PUR-PARTY MASTER'!$B$4:$E$2000,2,FALSE)</f>
        <v>27AAECD2713N1ZK</v>
      </c>
      <c r="E1292" s="34" t="s">
        <v>22</v>
      </c>
      <c r="F1292" s="134">
        <v>7887988738</v>
      </c>
      <c r="G1292" s="37">
        <v>43728</v>
      </c>
      <c r="H1292" s="34">
        <v>39119090</v>
      </c>
      <c r="I1292" s="39">
        <f>VLOOKUP(H1292,'PUR-HSN MASTER'!$A$4:$E$5000,5,FALSE)</f>
        <v>18</v>
      </c>
      <c r="J1292" s="34">
        <v>40</v>
      </c>
      <c r="K1292" s="126">
        <v>5000</v>
      </c>
      <c r="L1292" s="39">
        <v>0</v>
      </c>
      <c r="M1292" s="39">
        <v>450</v>
      </c>
      <c r="N1292" s="39">
        <v>450</v>
      </c>
      <c r="O1292" s="39">
        <v>0</v>
      </c>
      <c r="P1292" s="39">
        <v>5900</v>
      </c>
      <c r="Q1292" s="34" t="s">
        <v>410</v>
      </c>
      <c r="R1292" s="34" t="s">
        <v>26</v>
      </c>
      <c r="S1292" s="11" t="s">
        <v>4120</v>
      </c>
    </row>
    <row r="1293" spans="1:19" x14ac:dyDescent="0.2">
      <c r="A1293" s="34"/>
      <c r="B1293" s="34"/>
      <c r="C1293" s="35" t="s">
        <v>489</v>
      </c>
      <c r="D1293" s="34" t="str">
        <f>VLOOKUP(C1293,'PUR-PARTY MASTER'!$B$4:$E$2000,2,FALSE)</f>
        <v>27AAECD2713N1ZK</v>
      </c>
      <c r="E1293" s="34" t="s">
        <v>22</v>
      </c>
      <c r="F1293" s="134">
        <v>7887988738</v>
      </c>
      <c r="G1293" s="37">
        <v>43728</v>
      </c>
      <c r="H1293" s="34">
        <v>39119090</v>
      </c>
      <c r="I1293" s="39">
        <f>VLOOKUP(H1293,'PUR-HSN MASTER'!$A$4:$E$5000,5,FALSE)</f>
        <v>18</v>
      </c>
      <c r="J1293" s="34">
        <v>60</v>
      </c>
      <c r="K1293" s="126">
        <v>7500</v>
      </c>
      <c r="L1293" s="39">
        <v>0</v>
      </c>
      <c r="M1293" s="39">
        <v>675</v>
      </c>
      <c r="N1293" s="39">
        <v>675</v>
      </c>
      <c r="O1293" s="39">
        <v>0</v>
      </c>
      <c r="P1293" s="39">
        <v>8850</v>
      </c>
      <c r="Q1293" s="34" t="s">
        <v>410</v>
      </c>
      <c r="R1293" s="34" t="s">
        <v>26</v>
      </c>
      <c r="S1293" s="11" t="s">
        <v>4120</v>
      </c>
    </row>
    <row r="1294" spans="1:19" x14ac:dyDescent="0.2">
      <c r="A1294" s="51">
        <v>43709</v>
      </c>
      <c r="B1294" s="34">
        <v>102</v>
      </c>
      <c r="C1294" s="35" t="s">
        <v>493</v>
      </c>
      <c r="D1294" s="34" t="str">
        <f>VLOOKUP(C1294,'PUR-PARTY MASTER'!$B$4:$E$2000,2,FALSE)</f>
        <v>27AMMPB3648M1ZO</v>
      </c>
      <c r="E1294" s="34" t="s">
        <v>22</v>
      </c>
      <c r="F1294" s="134">
        <v>2953</v>
      </c>
      <c r="G1294" s="37">
        <v>43728</v>
      </c>
      <c r="H1294" s="34">
        <v>85129000</v>
      </c>
      <c r="I1294" s="39">
        <f>VLOOKUP(H1294,'PUR-HSN MASTER'!$A$4:$E$5000,5,FALSE)</f>
        <v>18</v>
      </c>
      <c r="J1294" s="34">
        <v>1520</v>
      </c>
      <c r="K1294" s="126">
        <v>34944.800000000003</v>
      </c>
      <c r="L1294" s="39">
        <v>0</v>
      </c>
      <c r="M1294" s="39">
        <v>3145.0320000000002</v>
      </c>
      <c r="N1294" s="39">
        <v>3145.0320000000002</v>
      </c>
      <c r="O1294" s="39">
        <v>0</v>
      </c>
      <c r="P1294" s="39">
        <v>41235.004000000001</v>
      </c>
      <c r="Q1294" s="34" t="s">
        <v>410</v>
      </c>
      <c r="R1294" s="34" t="s">
        <v>26</v>
      </c>
      <c r="S1294" s="11" t="s">
        <v>4120</v>
      </c>
    </row>
    <row r="1295" spans="1:19" x14ac:dyDescent="0.2">
      <c r="A1295" s="51">
        <v>43709</v>
      </c>
      <c r="B1295" s="34">
        <v>103</v>
      </c>
      <c r="C1295" s="35" t="s">
        <v>517</v>
      </c>
      <c r="D1295" s="34" t="str">
        <f>VLOOKUP(C1295,'PUR-PARTY MASTER'!$B$4:$E$2000,2,FALSE)</f>
        <v>23AAACT6376M1ZZ</v>
      </c>
      <c r="E1295" s="34" t="s">
        <v>22</v>
      </c>
      <c r="F1295" s="134">
        <v>19617131</v>
      </c>
      <c r="G1295" s="37">
        <v>43727</v>
      </c>
      <c r="H1295" s="34">
        <v>87081090</v>
      </c>
      <c r="I1295" s="39">
        <f>VLOOKUP(H1295,'PUR-HSN MASTER'!$A$4:$E$5000,5,FALSE)</f>
        <v>28</v>
      </c>
      <c r="J1295" s="34">
        <v>5</v>
      </c>
      <c r="K1295" s="126">
        <v>3766.4</v>
      </c>
      <c r="L1295" s="39">
        <v>1054.5920000000001</v>
      </c>
      <c r="M1295" s="39">
        <v>0</v>
      </c>
      <c r="N1295" s="39">
        <v>0</v>
      </c>
      <c r="O1295" s="39">
        <v>0</v>
      </c>
      <c r="P1295" s="39">
        <v>4820.9920000000002</v>
      </c>
      <c r="Q1295" s="34" t="s">
        <v>410</v>
      </c>
      <c r="R1295" s="34" t="s">
        <v>106</v>
      </c>
      <c r="S1295" s="11" t="s">
        <v>4120</v>
      </c>
    </row>
    <row r="1296" spans="1:19" x14ac:dyDescent="0.2">
      <c r="A1296" s="51">
        <v>43709</v>
      </c>
      <c r="B1296" s="34">
        <v>104</v>
      </c>
      <c r="C1296" s="35" t="s">
        <v>493</v>
      </c>
      <c r="D1296" s="34" t="str">
        <f>VLOOKUP(C1296,'PUR-PARTY MASTER'!$B$4:$E$2000,2,FALSE)</f>
        <v>27AMMPB3648M1ZO</v>
      </c>
      <c r="E1296" s="34" t="s">
        <v>22</v>
      </c>
      <c r="F1296" s="134">
        <v>2968</v>
      </c>
      <c r="G1296" s="37">
        <v>43729</v>
      </c>
      <c r="H1296" s="34">
        <v>85129000</v>
      </c>
      <c r="I1296" s="39">
        <f>VLOOKUP(H1296,'PUR-HSN MASTER'!$A$4:$E$5000,5,FALSE)</f>
        <v>18</v>
      </c>
      <c r="J1296" s="34">
        <v>1520</v>
      </c>
      <c r="K1296" s="126">
        <v>30537.1</v>
      </c>
      <c r="L1296" s="39">
        <v>0</v>
      </c>
      <c r="M1296" s="39">
        <v>2748.3389999999999</v>
      </c>
      <c r="N1296" s="39">
        <v>2748.3389999999999</v>
      </c>
      <c r="O1296" s="39">
        <v>0</v>
      </c>
      <c r="P1296" s="39">
        <v>36033.998</v>
      </c>
      <c r="Q1296" s="34" t="s">
        <v>410</v>
      </c>
      <c r="R1296" s="34" t="s">
        <v>26</v>
      </c>
      <c r="S1296" s="11" t="s">
        <v>4120</v>
      </c>
    </row>
    <row r="1297" spans="1:19" x14ac:dyDescent="0.2">
      <c r="A1297" s="51">
        <v>43709</v>
      </c>
      <c r="B1297" s="34">
        <v>105</v>
      </c>
      <c r="C1297" s="35" t="s">
        <v>479</v>
      </c>
      <c r="D1297" s="34" t="str">
        <f>VLOOKUP(C1297,'PUR-PARTY MASTER'!$B$4:$E$2000,2,FALSE)</f>
        <v>27AAMFC2124K1ZG</v>
      </c>
      <c r="E1297" s="34" t="s">
        <v>22</v>
      </c>
      <c r="F1297" s="134">
        <v>1286</v>
      </c>
      <c r="G1297" s="37">
        <v>43729</v>
      </c>
      <c r="H1297" s="34">
        <v>3919</v>
      </c>
      <c r="I1297" s="39">
        <f>VLOOKUP(H1297,'PUR-HSN MASTER'!$A$4:$E$5000,5,FALSE)</f>
        <v>18</v>
      </c>
      <c r="J1297" s="34">
        <v>40</v>
      </c>
      <c r="K1297" s="126">
        <v>12000</v>
      </c>
      <c r="L1297" s="39">
        <v>0</v>
      </c>
      <c r="M1297" s="39">
        <v>1080</v>
      </c>
      <c r="N1297" s="39">
        <v>1080</v>
      </c>
      <c r="O1297" s="39">
        <v>0</v>
      </c>
      <c r="P1297" s="39">
        <v>14160</v>
      </c>
      <c r="Q1297" s="34" t="s">
        <v>410</v>
      </c>
      <c r="R1297" s="34" t="s">
        <v>26</v>
      </c>
      <c r="S1297" s="11" t="s">
        <v>4120</v>
      </c>
    </row>
    <row r="1298" spans="1:19" x14ac:dyDescent="0.2">
      <c r="A1298" s="51">
        <v>43709</v>
      </c>
      <c r="B1298" s="34">
        <v>106</v>
      </c>
      <c r="C1298" s="35" t="s">
        <v>511</v>
      </c>
      <c r="D1298" s="34" t="str">
        <f>VLOOKUP(C1298,'PUR-PARTY MASTER'!$B$4:$E$2000,2,FALSE)</f>
        <v>27AABFA1883E1ZQ</v>
      </c>
      <c r="E1298" s="34" t="s">
        <v>22</v>
      </c>
      <c r="F1298" s="136" t="s">
        <v>987</v>
      </c>
      <c r="G1298" s="37">
        <v>43729</v>
      </c>
      <c r="H1298" s="34">
        <v>32082090</v>
      </c>
      <c r="I1298" s="39">
        <f>VLOOKUP(H1298,'PUR-HSN MASTER'!$A$4:$E$5000,5,FALSE)</f>
        <v>18</v>
      </c>
      <c r="J1298" s="34">
        <v>50</v>
      </c>
      <c r="K1298" s="126">
        <v>8750</v>
      </c>
      <c r="L1298" s="39">
        <v>0</v>
      </c>
      <c r="M1298" s="39">
        <v>787.5</v>
      </c>
      <c r="N1298" s="39">
        <v>787.5</v>
      </c>
      <c r="O1298" s="39">
        <v>0</v>
      </c>
      <c r="P1298" s="39">
        <v>10325</v>
      </c>
      <c r="Q1298" s="34" t="s">
        <v>410</v>
      </c>
      <c r="R1298" s="34" t="s">
        <v>26</v>
      </c>
      <c r="S1298" s="11" t="s">
        <v>4120</v>
      </c>
    </row>
    <row r="1299" spans="1:19" x14ac:dyDescent="0.2">
      <c r="A1299" s="51">
        <v>43709</v>
      </c>
      <c r="B1299" s="34">
        <v>107</v>
      </c>
      <c r="C1299" s="35" t="s">
        <v>527</v>
      </c>
      <c r="D1299" s="34" t="str">
        <f>VLOOKUP(C1299,'PUR-PARTY MASTER'!$B$4:$E$2000,2,FALSE)</f>
        <v>27AAACM2185R1ZX</v>
      </c>
      <c r="E1299" s="34" t="s">
        <v>22</v>
      </c>
      <c r="F1299" s="134">
        <v>9330004249</v>
      </c>
      <c r="G1299" s="37">
        <v>43728</v>
      </c>
      <c r="H1299" s="34">
        <v>32082090</v>
      </c>
      <c r="I1299" s="39">
        <f>VLOOKUP(H1299,'PUR-HSN MASTER'!$A$4:$E$5000,5,FALSE)</f>
        <v>18</v>
      </c>
      <c r="J1299" s="38">
        <v>90</v>
      </c>
      <c r="K1299" s="40">
        <v>31968</v>
      </c>
      <c r="L1299" s="39">
        <v>0</v>
      </c>
      <c r="M1299" s="39">
        <v>2877.12</v>
      </c>
      <c r="N1299" s="39">
        <v>2877.12</v>
      </c>
      <c r="O1299" s="39">
        <v>0</v>
      </c>
      <c r="P1299" s="39">
        <v>37722.239999999998</v>
      </c>
      <c r="Q1299" s="34" t="s">
        <v>410</v>
      </c>
      <c r="R1299" s="34" t="s">
        <v>26</v>
      </c>
      <c r="S1299" s="11" t="s">
        <v>4120</v>
      </c>
    </row>
    <row r="1300" spans="1:19" x14ac:dyDescent="0.2">
      <c r="A1300" s="51">
        <v>43709</v>
      </c>
      <c r="B1300" s="34">
        <v>108</v>
      </c>
      <c r="C1300" s="35" t="s">
        <v>506</v>
      </c>
      <c r="D1300" s="34" t="str">
        <f>VLOOKUP(C1300,'PUR-PARTY MASTER'!$B$4:$E$2000,2,FALSE)</f>
        <v>27AAACG1376N1ZC</v>
      </c>
      <c r="E1300" s="34" t="s">
        <v>22</v>
      </c>
      <c r="F1300" s="136" t="s">
        <v>3378</v>
      </c>
      <c r="G1300" s="37">
        <v>43729</v>
      </c>
      <c r="H1300" s="34">
        <v>32082020</v>
      </c>
      <c r="I1300" s="39">
        <f>VLOOKUP(H1300,'PUR-HSN MASTER'!$A$4:$E$5000,5,FALSE)</f>
        <v>18</v>
      </c>
      <c r="J1300" s="34">
        <v>40</v>
      </c>
      <c r="K1300" s="126">
        <v>21000</v>
      </c>
      <c r="L1300" s="39">
        <v>0</v>
      </c>
      <c r="M1300" s="39">
        <v>1890</v>
      </c>
      <c r="N1300" s="39">
        <v>1890</v>
      </c>
      <c r="O1300" s="39">
        <v>0</v>
      </c>
      <c r="P1300" s="39">
        <v>24780</v>
      </c>
      <c r="Q1300" s="34" t="s">
        <v>410</v>
      </c>
      <c r="R1300" s="34" t="s">
        <v>26</v>
      </c>
      <c r="S1300" s="11" t="s">
        <v>4120</v>
      </c>
    </row>
    <row r="1301" spans="1:19" x14ac:dyDescent="0.2">
      <c r="A1301" s="51">
        <v>43709</v>
      </c>
      <c r="B1301" s="34">
        <v>109</v>
      </c>
      <c r="C1301" s="35" t="s">
        <v>495</v>
      </c>
      <c r="D1301" s="34" t="str">
        <f>VLOOKUP(C1301,'PUR-PARTY MASTER'!$B$4:$E$2000,2,FALSE)</f>
        <v>27AAACH4211R1ZF</v>
      </c>
      <c r="E1301" s="34" t="s">
        <v>22</v>
      </c>
      <c r="F1301" s="134">
        <v>5510058228</v>
      </c>
      <c r="G1301" s="37">
        <v>43729</v>
      </c>
      <c r="H1301" s="34">
        <v>85129000</v>
      </c>
      <c r="I1301" s="39">
        <f>VLOOKUP(H1301,'PUR-HSN MASTER'!$A$4:$E$5000,5,FALSE)</f>
        <v>18</v>
      </c>
      <c r="J1301" s="34">
        <v>120</v>
      </c>
      <c r="K1301" s="126">
        <v>500.4</v>
      </c>
      <c r="L1301" s="39">
        <v>0</v>
      </c>
      <c r="M1301" s="39">
        <v>45.035999999999994</v>
      </c>
      <c r="N1301" s="39">
        <v>45.035999999999994</v>
      </c>
      <c r="O1301" s="39">
        <v>0</v>
      </c>
      <c r="P1301" s="39">
        <v>590.48199999999997</v>
      </c>
      <c r="Q1301" s="34" t="s">
        <v>410</v>
      </c>
      <c r="R1301" s="34" t="s">
        <v>26</v>
      </c>
      <c r="S1301" s="11" t="s">
        <v>4120</v>
      </c>
    </row>
    <row r="1302" spans="1:19" x14ac:dyDescent="0.2">
      <c r="A1302" s="51">
        <v>43709</v>
      </c>
      <c r="B1302" s="34">
        <v>110</v>
      </c>
      <c r="C1302" s="35" t="s">
        <v>517</v>
      </c>
      <c r="D1302" s="34" t="str">
        <f>VLOOKUP(C1302,'PUR-PARTY MASTER'!$B$4:$E$2000,2,FALSE)</f>
        <v>23AAACT6376M1ZZ</v>
      </c>
      <c r="E1302" s="34" t="s">
        <v>22</v>
      </c>
      <c r="F1302" s="134">
        <v>19617191</v>
      </c>
      <c r="G1302" s="37">
        <v>43728</v>
      </c>
      <c r="H1302" s="34">
        <v>87081090</v>
      </c>
      <c r="I1302" s="39">
        <f>VLOOKUP(H1302,'PUR-HSN MASTER'!$A$4:$E$5000,5,FALSE)</f>
        <v>28</v>
      </c>
      <c r="J1302" s="34">
        <v>29</v>
      </c>
      <c r="K1302" s="126">
        <v>56242.1</v>
      </c>
      <c r="L1302" s="39">
        <v>15747.787999999999</v>
      </c>
      <c r="M1302" s="39">
        <v>0</v>
      </c>
      <c r="N1302" s="39">
        <v>0</v>
      </c>
      <c r="O1302" s="39">
        <v>0</v>
      </c>
      <c r="P1302" s="39">
        <v>71989.887999999992</v>
      </c>
      <c r="Q1302" s="34" t="s">
        <v>410</v>
      </c>
      <c r="R1302" s="34" t="s">
        <v>106</v>
      </c>
      <c r="S1302" s="11" t="s">
        <v>4120</v>
      </c>
    </row>
    <row r="1303" spans="1:19" x14ac:dyDescent="0.2">
      <c r="A1303" s="51">
        <v>43709</v>
      </c>
      <c r="B1303" s="34">
        <v>111</v>
      </c>
      <c r="C1303" s="35" t="s">
        <v>471</v>
      </c>
      <c r="D1303" s="34" t="str">
        <f>VLOOKUP(C1303,'PUR-PARTY MASTER'!$B$4:$E$2000,2,FALSE)</f>
        <v>27AAECM8871A1ZF</v>
      </c>
      <c r="E1303" s="34" t="s">
        <v>22</v>
      </c>
      <c r="F1303" s="134">
        <v>192005549</v>
      </c>
      <c r="G1303" s="37">
        <v>43731</v>
      </c>
      <c r="H1303" s="34">
        <v>87089900</v>
      </c>
      <c r="I1303" s="39">
        <f>VLOOKUP(H1303,'PUR-HSN MASTER'!$A$4:$E$5000,5,FALSE)</f>
        <v>28</v>
      </c>
      <c r="J1303" s="34">
        <v>12</v>
      </c>
      <c r="K1303" s="126">
        <v>17483.52</v>
      </c>
      <c r="L1303" s="39">
        <v>0</v>
      </c>
      <c r="M1303" s="39">
        <v>2447.6928000000003</v>
      </c>
      <c r="N1303" s="39">
        <v>2447.6928000000003</v>
      </c>
      <c r="O1303" s="39">
        <v>0</v>
      </c>
      <c r="P1303" s="39">
        <v>22378.895600000003</v>
      </c>
      <c r="Q1303" s="34" t="s">
        <v>410</v>
      </c>
      <c r="R1303" s="34" t="s">
        <v>26</v>
      </c>
      <c r="S1303" s="11" t="s">
        <v>4120</v>
      </c>
    </row>
    <row r="1304" spans="1:19" x14ac:dyDescent="0.2">
      <c r="A1304" s="51">
        <v>43709</v>
      </c>
      <c r="B1304" s="34">
        <v>112</v>
      </c>
      <c r="C1304" s="35" t="s">
        <v>473</v>
      </c>
      <c r="D1304" s="34" t="str">
        <f>VLOOKUP(C1304,'PUR-PARTY MASTER'!$B$4:$E$2000,2,FALSE)</f>
        <v>27AAACT1848E1ZH</v>
      </c>
      <c r="E1304" s="34" t="s">
        <v>22</v>
      </c>
      <c r="F1304" s="136" t="s">
        <v>988</v>
      </c>
      <c r="G1304" s="37">
        <v>43731</v>
      </c>
      <c r="H1304" s="34">
        <v>87089900</v>
      </c>
      <c r="I1304" s="39">
        <f>VLOOKUP(H1304,'PUR-HSN MASTER'!$A$4:$E$5000,5,FALSE)</f>
        <v>28</v>
      </c>
      <c r="J1304" s="34">
        <v>40</v>
      </c>
      <c r="K1304" s="126">
        <v>6412</v>
      </c>
      <c r="L1304" s="39">
        <v>0</v>
      </c>
      <c r="M1304" s="39">
        <v>898.00000000000011</v>
      </c>
      <c r="N1304" s="39">
        <v>898.00000000000011</v>
      </c>
      <c r="O1304" s="39">
        <v>0</v>
      </c>
      <c r="P1304" s="39">
        <v>8208</v>
      </c>
      <c r="Q1304" s="34" t="s">
        <v>410</v>
      </c>
      <c r="R1304" s="34" t="s">
        <v>26</v>
      </c>
      <c r="S1304" s="11" t="s">
        <v>4120</v>
      </c>
    </row>
    <row r="1305" spans="1:19" x14ac:dyDescent="0.2">
      <c r="A1305" s="51">
        <v>43709</v>
      </c>
      <c r="B1305" s="34">
        <v>113</v>
      </c>
      <c r="C1305" s="35" t="s">
        <v>473</v>
      </c>
      <c r="D1305" s="34" t="str">
        <f>VLOOKUP(C1305,'PUR-PARTY MASTER'!$B$4:$E$2000,2,FALSE)</f>
        <v>27AAACT1848E1ZH</v>
      </c>
      <c r="E1305" s="34" t="s">
        <v>22</v>
      </c>
      <c r="F1305" s="136" t="s">
        <v>989</v>
      </c>
      <c r="G1305" s="37">
        <v>43731</v>
      </c>
      <c r="H1305" s="34">
        <v>87089900</v>
      </c>
      <c r="I1305" s="39">
        <f>VLOOKUP(H1305,'PUR-HSN MASTER'!$A$4:$E$5000,5,FALSE)</f>
        <v>28</v>
      </c>
      <c r="J1305" s="34">
        <v>40</v>
      </c>
      <c r="K1305" s="126">
        <v>6012.8</v>
      </c>
      <c r="L1305" s="39">
        <v>0</v>
      </c>
      <c r="M1305" s="39">
        <v>842.00200000000007</v>
      </c>
      <c r="N1305" s="39">
        <v>842.00200000000007</v>
      </c>
      <c r="O1305" s="39">
        <v>0</v>
      </c>
      <c r="P1305" s="39">
        <v>7696.8040000000001</v>
      </c>
      <c r="Q1305" s="34" t="s">
        <v>410</v>
      </c>
      <c r="R1305" s="34" t="s">
        <v>26</v>
      </c>
      <c r="S1305" s="11" t="s">
        <v>4120</v>
      </c>
    </row>
    <row r="1306" spans="1:19" x14ac:dyDescent="0.2">
      <c r="A1306" s="51">
        <v>43709</v>
      </c>
      <c r="B1306" s="34">
        <v>114</v>
      </c>
      <c r="C1306" s="35" t="s">
        <v>554</v>
      </c>
      <c r="D1306" s="34" t="str">
        <f>VLOOKUP(C1306,'PUR-PARTY MASTER'!$B$4:$E$2000,2,FALSE)</f>
        <v>27AACFA1881H1ZL</v>
      </c>
      <c r="E1306" s="34" t="s">
        <v>22</v>
      </c>
      <c r="F1306" s="134">
        <v>12345</v>
      </c>
      <c r="G1306" s="37">
        <v>43729</v>
      </c>
      <c r="H1306" s="34">
        <v>87141900</v>
      </c>
      <c r="I1306" s="39">
        <f>VLOOKUP(H1306,'PUR-HSN MASTER'!$A$4:$E$5000,5,FALSE)</f>
        <v>28</v>
      </c>
      <c r="J1306" s="34">
        <v>3000</v>
      </c>
      <c r="K1306" s="126">
        <v>8562</v>
      </c>
      <c r="L1306" s="39">
        <v>0</v>
      </c>
      <c r="M1306" s="39">
        <v>1198.68</v>
      </c>
      <c r="N1306" s="39">
        <v>1198.68</v>
      </c>
      <c r="O1306" s="39">
        <v>0</v>
      </c>
      <c r="P1306" s="39">
        <v>10959.36</v>
      </c>
      <c r="Q1306" s="34" t="s">
        <v>410</v>
      </c>
      <c r="R1306" s="34" t="s">
        <v>26</v>
      </c>
      <c r="S1306" s="11" t="s">
        <v>4120</v>
      </c>
    </row>
    <row r="1307" spans="1:19" x14ac:dyDescent="0.2">
      <c r="A1307" s="51">
        <v>43709</v>
      </c>
      <c r="B1307" s="34">
        <v>115</v>
      </c>
      <c r="C1307" s="35" t="s">
        <v>554</v>
      </c>
      <c r="D1307" s="34" t="str">
        <f>VLOOKUP(C1307,'PUR-PARTY MASTER'!$B$4:$E$2000,2,FALSE)</f>
        <v>27AACFA1881H1ZL</v>
      </c>
      <c r="E1307" s="34" t="s">
        <v>22</v>
      </c>
      <c r="F1307" s="134">
        <v>12422</v>
      </c>
      <c r="G1307" s="37">
        <v>43732</v>
      </c>
      <c r="H1307" s="34">
        <v>87141900</v>
      </c>
      <c r="I1307" s="39">
        <f>VLOOKUP(H1307,'PUR-HSN MASTER'!$A$4:$E$5000,5,FALSE)</f>
        <v>28</v>
      </c>
      <c r="J1307" s="34">
        <v>1800</v>
      </c>
      <c r="K1307" s="126">
        <v>4338</v>
      </c>
      <c r="L1307" s="39">
        <v>0</v>
      </c>
      <c r="M1307" s="39">
        <v>607.32000000000005</v>
      </c>
      <c r="N1307" s="39">
        <v>607.32000000000005</v>
      </c>
      <c r="O1307" s="39">
        <v>0</v>
      </c>
      <c r="P1307" s="39">
        <v>5552.64</v>
      </c>
      <c r="Q1307" s="34" t="s">
        <v>410</v>
      </c>
      <c r="R1307" s="34" t="s">
        <v>26</v>
      </c>
      <c r="S1307" s="11" t="s">
        <v>4120</v>
      </c>
    </row>
    <row r="1308" spans="1:19" x14ac:dyDescent="0.2">
      <c r="A1308" s="51">
        <v>43709</v>
      </c>
      <c r="B1308" s="34">
        <v>116</v>
      </c>
      <c r="C1308" s="35" t="s">
        <v>601</v>
      </c>
      <c r="D1308" s="34" t="str">
        <f>VLOOKUP(C1308,'PUR-PARTY MASTER'!$B$4:$E$2000,2,FALSE)</f>
        <v>27AAZFM6461A1ZY</v>
      </c>
      <c r="E1308" s="34" t="s">
        <v>22</v>
      </c>
      <c r="F1308" s="134">
        <v>4342</v>
      </c>
      <c r="G1308" s="37">
        <v>43732</v>
      </c>
      <c r="H1308" s="34">
        <v>87082900</v>
      </c>
      <c r="I1308" s="39">
        <f>VLOOKUP(H1308,'PUR-HSN MASTER'!$A$4:$E$5000,5,FALSE)</f>
        <v>28</v>
      </c>
      <c r="J1308" s="34">
        <v>480</v>
      </c>
      <c r="K1308" s="126">
        <v>20433.599999999999</v>
      </c>
      <c r="L1308" s="39">
        <v>0</v>
      </c>
      <c r="M1308" s="39">
        <v>2860.7039999999997</v>
      </c>
      <c r="N1308" s="39">
        <v>2860.7039999999997</v>
      </c>
      <c r="O1308" s="39">
        <v>0</v>
      </c>
      <c r="P1308" s="39">
        <v>26154.998</v>
      </c>
      <c r="Q1308" s="34" t="s">
        <v>410</v>
      </c>
      <c r="R1308" s="34" t="s">
        <v>26</v>
      </c>
      <c r="S1308" s="11" t="s">
        <v>4120</v>
      </c>
    </row>
    <row r="1309" spans="1:19" x14ac:dyDescent="0.2">
      <c r="A1309" s="51">
        <v>43709</v>
      </c>
      <c r="B1309" s="34">
        <v>117</v>
      </c>
      <c r="C1309" s="35" t="s">
        <v>601</v>
      </c>
      <c r="D1309" s="34" t="str">
        <f>VLOOKUP(C1309,'PUR-PARTY MASTER'!$B$4:$E$2000,2,FALSE)</f>
        <v>27AAZFM6461A1ZY</v>
      </c>
      <c r="E1309" s="34" t="s">
        <v>22</v>
      </c>
      <c r="F1309" s="134">
        <v>4341</v>
      </c>
      <c r="G1309" s="37">
        <v>43732</v>
      </c>
      <c r="H1309" s="34">
        <v>87082900</v>
      </c>
      <c r="I1309" s="39">
        <f>VLOOKUP(H1309,'PUR-HSN MASTER'!$A$4:$E$5000,5,FALSE)</f>
        <v>28</v>
      </c>
      <c r="J1309" s="34">
        <v>1860</v>
      </c>
      <c r="K1309" s="126">
        <v>41515.199999999997</v>
      </c>
      <c r="L1309" s="39">
        <v>0</v>
      </c>
      <c r="M1309" s="39">
        <v>5812.1279999999997</v>
      </c>
      <c r="N1309" s="39">
        <v>5812.1279999999997</v>
      </c>
      <c r="O1309" s="39">
        <v>0</v>
      </c>
      <c r="P1309" s="39">
        <v>53139.455999999998</v>
      </c>
      <c r="Q1309" s="34" t="s">
        <v>410</v>
      </c>
      <c r="R1309" s="34" t="s">
        <v>26</v>
      </c>
      <c r="S1309" s="11" t="s">
        <v>4120</v>
      </c>
    </row>
    <row r="1310" spans="1:19" x14ac:dyDescent="0.2">
      <c r="A1310" s="51">
        <v>43709</v>
      </c>
      <c r="B1310" s="34">
        <v>118</v>
      </c>
      <c r="C1310" s="35" t="s">
        <v>506</v>
      </c>
      <c r="D1310" s="34" t="str">
        <f>VLOOKUP(C1310,'PUR-PARTY MASTER'!$B$4:$E$2000,2,FALSE)</f>
        <v>27AAACG1376N1ZC</v>
      </c>
      <c r="E1310" s="34" t="s">
        <v>22</v>
      </c>
      <c r="F1310" s="136" t="s">
        <v>990</v>
      </c>
      <c r="G1310" s="37">
        <v>43732</v>
      </c>
      <c r="H1310" s="34">
        <v>32082020</v>
      </c>
      <c r="I1310" s="39">
        <f>VLOOKUP(H1310,'PUR-HSN MASTER'!$A$4:$E$5000,5,FALSE)</f>
        <v>18</v>
      </c>
      <c r="J1310" s="34">
        <v>100</v>
      </c>
      <c r="K1310" s="126">
        <v>35000</v>
      </c>
      <c r="L1310" s="39">
        <v>0</v>
      </c>
      <c r="M1310" s="39">
        <v>3150</v>
      </c>
      <c r="N1310" s="39">
        <v>3150</v>
      </c>
      <c r="O1310" s="39">
        <v>0</v>
      </c>
      <c r="P1310" s="39">
        <v>41300</v>
      </c>
      <c r="Q1310" s="34" t="s">
        <v>410</v>
      </c>
      <c r="R1310" s="34" t="s">
        <v>26</v>
      </c>
      <c r="S1310" s="11" t="s">
        <v>4120</v>
      </c>
    </row>
    <row r="1311" spans="1:19" x14ac:dyDescent="0.2">
      <c r="A1311" s="51">
        <v>43709</v>
      </c>
      <c r="B1311" s="34">
        <v>119</v>
      </c>
      <c r="C1311" s="35" t="s">
        <v>506</v>
      </c>
      <c r="D1311" s="34" t="str">
        <f>VLOOKUP(C1311,'PUR-PARTY MASTER'!$B$4:$E$2000,2,FALSE)</f>
        <v>27AAACG1376N1ZC</v>
      </c>
      <c r="E1311" s="34" t="s">
        <v>22</v>
      </c>
      <c r="F1311" s="136" t="s">
        <v>991</v>
      </c>
      <c r="G1311" s="37">
        <v>43732</v>
      </c>
      <c r="H1311" s="34">
        <v>38140010</v>
      </c>
      <c r="I1311" s="39">
        <f>VLOOKUP(H1311,'PUR-HSN MASTER'!$A$4:$E$5000,5,FALSE)</f>
        <v>18</v>
      </c>
      <c r="J1311" s="34">
        <v>100</v>
      </c>
      <c r="K1311" s="126">
        <v>9240</v>
      </c>
      <c r="L1311" s="39">
        <v>0</v>
      </c>
      <c r="M1311" s="39">
        <v>831.6</v>
      </c>
      <c r="N1311" s="39">
        <v>831.6</v>
      </c>
      <c r="O1311" s="39">
        <v>0</v>
      </c>
      <c r="P1311" s="39">
        <v>10903</v>
      </c>
      <c r="Q1311" s="34" t="s">
        <v>410</v>
      </c>
      <c r="R1311" s="34" t="s">
        <v>26</v>
      </c>
      <c r="S1311" s="11" t="s">
        <v>4120</v>
      </c>
    </row>
    <row r="1312" spans="1:19" x14ac:dyDescent="0.2">
      <c r="A1312" s="51">
        <v>43709</v>
      </c>
      <c r="B1312" s="34">
        <v>120</v>
      </c>
      <c r="C1312" s="35" t="s">
        <v>471</v>
      </c>
      <c r="D1312" s="34" t="str">
        <f>VLOOKUP(C1312,'PUR-PARTY MASTER'!$B$4:$E$2000,2,FALSE)</f>
        <v>27AAECM8871A1ZF</v>
      </c>
      <c r="E1312" s="34" t="s">
        <v>22</v>
      </c>
      <c r="F1312" s="134">
        <v>192005570</v>
      </c>
      <c r="G1312" s="37">
        <v>43732</v>
      </c>
      <c r="H1312" s="34">
        <v>87089900</v>
      </c>
      <c r="I1312" s="39">
        <f>VLOOKUP(H1312,'PUR-HSN MASTER'!$A$4:$E$5000,5,FALSE)</f>
        <v>28</v>
      </c>
      <c r="J1312" s="34">
        <v>12</v>
      </c>
      <c r="K1312" s="126">
        <v>17483.52</v>
      </c>
      <c r="L1312" s="39">
        <v>0</v>
      </c>
      <c r="M1312" s="39">
        <v>2447.6928000000003</v>
      </c>
      <c r="N1312" s="39">
        <v>2447.6928000000003</v>
      </c>
      <c r="O1312" s="39">
        <v>0</v>
      </c>
      <c r="P1312" s="39">
        <v>22378.895600000003</v>
      </c>
      <c r="Q1312" s="34" t="s">
        <v>410</v>
      </c>
      <c r="R1312" s="34" t="s">
        <v>26</v>
      </c>
      <c r="S1312" s="11" t="s">
        <v>4120</v>
      </c>
    </row>
    <row r="1313" spans="1:19" x14ac:dyDescent="0.2">
      <c r="A1313" s="51">
        <v>43709</v>
      </c>
      <c r="B1313" s="34">
        <v>121</v>
      </c>
      <c r="C1313" s="35" t="s">
        <v>554</v>
      </c>
      <c r="D1313" s="34" t="str">
        <f>VLOOKUP(C1313,'PUR-PARTY MASTER'!$B$4:$E$2000,2,FALSE)</f>
        <v>27AACFA1881H1ZL</v>
      </c>
      <c r="E1313" s="34" t="s">
        <v>22</v>
      </c>
      <c r="F1313" s="134">
        <v>12443</v>
      </c>
      <c r="G1313" s="37">
        <v>43733</v>
      </c>
      <c r="H1313" s="34">
        <v>87141900</v>
      </c>
      <c r="I1313" s="39">
        <f>VLOOKUP(H1313,'PUR-HSN MASTER'!$A$4:$E$5000,5,FALSE)</f>
        <v>28</v>
      </c>
      <c r="J1313" s="34">
        <v>3250</v>
      </c>
      <c r="K1313" s="126">
        <v>7832.5</v>
      </c>
      <c r="L1313" s="39">
        <v>0</v>
      </c>
      <c r="M1313" s="39">
        <v>1096.55</v>
      </c>
      <c r="N1313" s="39">
        <v>1096.55</v>
      </c>
      <c r="O1313" s="39">
        <v>0</v>
      </c>
      <c r="P1313" s="39">
        <v>10025.6</v>
      </c>
      <c r="Q1313" s="34" t="s">
        <v>410</v>
      </c>
      <c r="R1313" s="34" t="s">
        <v>26</v>
      </c>
      <c r="S1313" s="11" t="s">
        <v>4120</v>
      </c>
    </row>
    <row r="1314" spans="1:19" x14ac:dyDescent="0.2">
      <c r="A1314" s="51">
        <v>43709</v>
      </c>
      <c r="B1314" s="34">
        <v>122</v>
      </c>
      <c r="C1314" s="35" t="s">
        <v>471</v>
      </c>
      <c r="D1314" s="34" t="str">
        <f>VLOOKUP(C1314,'PUR-PARTY MASTER'!$B$4:$E$2000,2,FALSE)</f>
        <v>27AAECM8871A1ZF</v>
      </c>
      <c r="E1314" s="34" t="s">
        <v>22</v>
      </c>
      <c r="F1314" s="134">
        <v>192005603</v>
      </c>
      <c r="G1314" s="37">
        <v>43733</v>
      </c>
      <c r="H1314" s="34">
        <v>87089900</v>
      </c>
      <c r="I1314" s="39">
        <f>VLOOKUP(H1314,'PUR-HSN MASTER'!$A$4:$E$5000,5,FALSE)</f>
        <v>28</v>
      </c>
      <c r="J1314" s="34">
        <v>12</v>
      </c>
      <c r="K1314" s="126">
        <v>17483.52</v>
      </c>
      <c r="L1314" s="39">
        <v>0</v>
      </c>
      <c r="M1314" s="39">
        <v>2447.6928000000003</v>
      </c>
      <c r="N1314" s="39">
        <v>2447.6928000000003</v>
      </c>
      <c r="O1314" s="39">
        <v>0</v>
      </c>
      <c r="P1314" s="39">
        <v>22378.895600000003</v>
      </c>
      <c r="Q1314" s="34" t="s">
        <v>410</v>
      </c>
      <c r="R1314" s="34" t="s">
        <v>26</v>
      </c>
      <c r="S1314" s="11" t="s">
        <v>4120</v>
      </c>
    </row>
    <row r="1315" spans="1:19" x14ac:dyDescent="0.2">
      <c r="A1315" s="51">
        <v>43709</v>
      </c>
      <c r="B1315" s="34">
        <v>123</v>
      </c>
      <c r="C1315" s="35" t="s">
        <v>471</v>
      </c>
      <c r="D1315" s="34" t="str">
        <f>VLOOKUP(C1315,'PUR-PARTY MASTER'!$B$4:$E$2000,2,FALSE)</f>
        <v>27AAECM8871A1ZF</v>
      </c>
      <c r="E1315" s="34" t="s">
        <v>22</v>
      </c>
      <c r="F1315" s="134">
        <v>192005638</v>
      </c>
      <c r="G1315" s="37">
        <v>43734</v>
      </c>
      <c r="H1315" s="34">
        <v>87089900</v>
      </c>
      <c r="I1315" s="39">
        <f>VLOOKUP(H1315,'PUR-HSN MASTER'!$A$4:$E$5000,5,FALSE)</f>
        <v>28</v>
      </c>
      <c r="J1315" s="34">
        <v>12</v>
      </c>
      <c r="K1315" s="126">
        <v>17483.52</v>
      </c>
      <c r="L1315" s="39">
        <v>0</v>
      </c>
      <c r="M1315" s="39">
        <v>2447.6928000000003</v>
      </c>
      <c r="N1315" s="39">
        <v>2447.6928000000003</v>
      </c>
      <c r="O1315" s="39">
        <v>0</v>
      </c>
      <c r="P1315" s="39">
        <v>22378.895600000003</v>
      </c>
      <c r="Q1315" s="34" t="s">
        <v>410</v>
      </c>
      <c r="R1315" s="34" t="s">
        <v>26</v>
      </c>
      <c r="S1315" s="11" t="s">
        <v>4120</v>
      </c>
    </row>
    <row r="1316" spans="1:19" x14ac:dyDescent="0.2">
      <c r="A1316" s="51">
        <v>43709</v>
      </c>
      <c r="B1316" s="34">
        <v>124</v>
      </c>
      <c r="C1316" s="35" t="s">
        <v>473</v>
      </c>
      <c r="D1316" s="34" t="str">
        <f>VLOOKUP(C1316,'PUR-PARTY MASTER'!$B$4:$E$2000,2,FALSE)</f>
        <v>27AAACT1848E1ZH</v>
      </c>
      <c r="E1316" s="34" t="s">
        <v>22</v>
      </c>
      <c r="F1316" s="136" t="s">
        <v>992</v>
      </c>
      <c r="G1316" s="37">
        <v>43734</v>
      </c>
      <c r="H1316" s="34">
        <v>87089900</v>
      </c>
      <c r="I1316" s="39">
        <f>VLOOKUP(H1316,'PUR-HSN MASTER'!$A$4:$E$5000,5,FALSE)</f>
        <v>28</v>
      </c>
      <c r="J1316" s="34">
        <v>70</v>
      </c>
      <c r="K1316" s="126">
        <v>10442.700000000001</v>
      </c>
      <c r="L1316" s="39">
        <v>0</v>
      </c>
      <c r="M1316" s="39">
        <v>1461.998</v>
      </c>
      <c r="N1316" s="39">
        <v>1461.998</v>
      </c>
      <c r="O1316" s="39">
        <v>0</v>
      </c>
      <c r="P1316" s="39">
        <v>13366.696</v>
      </c>
      <c r="Q1316" s="34" t="s">
        <v>410</v>
      </c>
      <c r="R1316" s="34" t="s">
        <v>26</v>
      </c>
      <c r="S1316" s="11" t="s">
        <v>4120</v>
      </c>
    </row>
    <row r="1317" spans="1:19" x14ac:dyDescent="0.2">
      <c r="A1317" s="51">
        <v>43709</v>
      </c>
      <c r="B1317" s="34">
        <v>125</v>
      </c>
      <c r="C1317" s="35" t="s">
        <v>517</v>
      </c>
      <c r="D1317" s="34" t="str">
        <f>VLOOKUP(C1317,'PUR-PARTY MASTER'!$B$4:$E$2000,2,FALSE)</f>
        <v>23AAACT6376M1ZZ</v>
      </c>
      <c r="E1317" s="34" t="s">
        <v>22</v>
      </c>
      <c r="F1317" s="134">
        <v>19617464</v>
      </c>
      <c r="G1317" s="37">
        <v>43732</v>
      </c>
      <c r="H1317" s="34">
        <v>87081090</v>
      </c>
      <c r="I1317" s="39">
        <f>VLOOKUP(H1317,'PUR-HSN MASTER'!$A$4:$E$5000,5,FALSE)</f>
        <v>28</v>
      </c>
      <c r="J1317" s="34">
        <v>25</v>
      </c>
      <c r="K1317" s="126">
        <v>44915</v>
      </c>
      <c r="L1317" s="39">
        <v>12576.199999999999</v>
      </c>
      <c r="M1317" s="39">
        <v>0</v>
      </c>
      <c r="N1317" s="39">
        <v>0</v>
      </c>
      <c r="O1317" s="39">
        <v>0</v>
      </c>
      <c r="P1317" s="39">
        <v>57491.199999999997</v>
      </c>
      <c r="Q1317" s="34" t="s">
        <v>410</v>
      </c>
      <c r="R1317" s="34" t="s">
        <v>106</v>
      </c>
      <c r="S1317" s="11" t="s">
        <v>4120</v>
      </c>
    </row>
    <row r="1318" spans="1:19" x14ac:dyDescent="0.2">
      <c r="A1318" s="51">
        <v>43709</v>
      </c>
      <c r="B1318" s="34">
        <v>126</v>
      </c>
      <c r="C1318" s="35" t="s">
        <v>556</v>
      </c>
      <c r="D1318" s="34" t="str">
        <f>VLOOKUP(C1318,'PUR-PARTY MASTER'!$B$4:$E$2000,2,FALSE)</f>
        <v>27AAQCS7977M1Z3</v>
      </c>
      <c r="E1318" s="34" t="s">
        <v>22</v>
      </c>
      <c r="F1318" s="136" t="s">
        <v>993</v>
      </c>
      <c r="G1318" s="37">
        <v>43733</v>
      </c>
      <c r="H1318" s="34">
        <v>29023000</v>
      </c>
      <c r="I1318" s="39">
        <f>VLOOKUP(H1318,'PUR-HSN MASTER'!$A$4:$E$5000,5,FALSE)</f>
        <v>18</v>
      </c>
      <c r="J1318" s="34">
        <v>1550</v>
      </c>
      <c r="K1318" s="40">
        <v>96140</v>
      </c>
      <c r="L1318" s="39">
        <v>0</v>
      </c>
      <c r="M1318" s="39">
        <v>8653</v>
      </c>
      <c r="N1318" s="39">
        <v>8653</v>
      </c>
      <c r="O1318" s="39">
        <v>0</v>
      </c>
      <c r="P1318" s="39">
        <v>113446</v>
      </c>
      <c r="Q1318" s="34" t="s">
        <v>410</v>
      </c>
      <c r="R1318" s="34" t="s">
        <v>26</v>
      </c>
      <c r="S1318" s="11" t="s">
        <v>4120</v>
      </c>
    </row>
    <row r="1319" spans="1:19" x14ac:dyDescent="0.2">
      <c r="A1319" s="51">
        <v>43709</v>
      </c>
      <c r="B1319" s="34">
        <v>127</v>
      </c>
      <c r="C1319" s="35" t="s">
        <v>514</v>
      </c>
      <c r="D1319" s="34" t="str">
        <f>VLOOKUP(C1319,'PUR-PARTY MASTER'!$B$4:$E$2000,2,FALSE)</f>
        <v>27AAACU2414K1ZF</v>
      </c>
      <c r="E1319" s="34" t="s">
        <v>22</v>
      </c>
      <c r="F1319" s="136" t="s">
        <v>994</v>
      </c>
      <c r="G1319" s="37">
        <v>43717</v>
      </c>
      <c r="H1319" s="34">
        <v>9971</v>
      </c>
      <c r="I1319" s="39">
        <f>VLOOKUP(H1319,'PUR-HSN MASTER'!$A$4:$E$5000,5,FALSE)</f>
        <v>18</v>
      </c>
      <c r="J1319" s="34">
        <v>0</v>
      </c>
      <c r="K1319" s="40">
        <v>436.44</v>
      </c>
      <c r="L1319" s="39">
        <v>0</v>
      </c>
      <c r="M1319" s="39">
        <v>39.279600000000002</v>
      </c>
      <c r="N1319" s="39">
        <v>39.279600000000002</v>
      </c>
      <c r="O1319" s="39">
        <v>0</v>
      </c>
      <c r="P1319" s="39">
        <v>514.99919999999997</v>
      </c>
      <c r="Q1319" s="34" t="s">
        <v>411</v>
      </c>
      <c r="R1319" s="34" t="s">
        <v>26</v>
      </c>
      <c r="S1319" s="11" t="s">
        <v>4120</v>
      </c>
    </row>
    <row r="1320" spans="1:19" x14ac:dyDescent="0.2">
      <c r="A1320" s="51">
        <v>43709</v>
      </c>
      <c r="B1320" s="34">
        <v>128</v>
      </c>
      <c r="C1320" s="35" t="s">
        <v>514</v>
      </c>
      <c r="D1320" s="34" t="str">
        <f>VLOOKUP(C1320,'PUR-PARTY MASTER'!$B$4:$E$2000,2,FALSE)</f>
        <v>27AAACU2414K1ZF</v>
      </c>
      <c r="E1320" s="34" t="s">
        <v>22</v>
      </c>
      <c r="F1320" s="136" t="s">
        <v>995</v>
      </c>
      <c r="G1320" s="37">
        <v>43717</v>
      </c>
      <c r="H1320" s="34">
        <v>9971</v>
      </c>
      <c r="I1320" s="39">
        <f>VLOOKUP(H1320,'PUR-HSN MASTER'!$A$4:$E$5000,5,FALSE)</f>
        <v>18</v>
      </c>
      <c r="J1320" s="34">
        <v>0</v>
      </c>
      <c r="K1320" s="40">
        <v>2725</v>
      </c>
      <c r="L1320" s="39">
        <v>0</v>
      </c>
      <c r="M1320" s="39">
        <v>245.25</v>
      </c>
      <c r="N1320" s="39">
        <v>245.25</v>
      </c>
      <c r="O1320" s="39">
        <v>0</v>
      </c>
      <c r="P1320" s="39">
        <v>3215.5</v>
      </c>
      <c r="Q1320" s="34" t="s">
        <v>411</v>
      </c>
      <c r="R1320" s="34" t="s">
        <v>26</v>
      </c>
      <c r="S1320" s="11" t="s">
        <v>4120</v>
      </c>
    </row>
    <row r="1321" spans="1:19" x14ac:dyDescent="0.2">
      <c r="A1321" s="51">
        <v>43709</v>
      </c>
      <c r="B1321" s="34">
        <v>129</v>
      </c>
      <c r="C1321" s="35" t="s">
        <v>551</v>
      </c>
      <c r="D1321" s="34" t="str">
        <f>VLOOKUP(C1321,'PUR-PARTY MASTER'!$B$4:$E$2000,2,FALSE)</f>
        <v>27AHVPG8951G1ZQ</v>
      </c>
      <c r="E1321" s="34" t="s">
        <v>22</v>
      </c>
      <c r="F1321" s="136" t="s">
        <v>996</v>
      </c>
      <c r="G1321" s="37">
        <v>43735</v>
      </c>
      <c r="H1321" s="34">
        <v>8504</v>
      </c>
      <c r="I1321" s="39">
        <f>VLOOKUP(H1321,'PUR-HSN MASTER'!$A$4:$E$5000,5,FALSE)</f>
        <v>18</v>
      </c>
      <c r="J1321" s="38">
        <v>1</v>
      </c>
      <c r="K1321" s="40">
        <v>950</v>
      </c>
      <c r="L1321" s="39">
        <v>0</v>
      </c>
      <c r="M1321" s="39">
        <v>85.5</v>
      </c>
      <c r="N1321" s="39">
        <v>85.5</v>
      </c>
      <c r="O1321" s="39">
        <v>0</v>
      </c>
      <c r="P1321" s="39">
        <v>1121</v>
      </c>
      <c r="Q1321" s="34" t="s">
        <v>410</v>
      </c>
      <c r="R1321" s="34" t="s">
        <v>26</v>
      </c>
      <c r="S1321" s="11" t="s">
        <v>4120</v>
      </c>
    </row>
    <row r="1322" spans="1:19" x14ac:dyDescent="0.2">
      <c r="A1322" s="51">
        <v>43709</v>
      </c>
      <c r="B1322" s="34">
        <v>130</v>
      </c>
      <c r="C1322" s="35" t="s">
        <v>479</v>
      </c>
      <c r="D1322" s="34" t="str">
        <f>VLOOKUP(C1322,'PUR-PARTY MASTER'!$B$4:$E$2000,2,FALSE)</f>
        <v>27AAMFC2124K1ZG</v>
      </c>
      <c r="E1322" s="34" t="s">
        <v>22</v>
      </c>
      <c r="F1322" s="134">
        <v>1300</v>
      </c>
      <c r="G1322" s="37">
        <v>43735</v>
      </c>
      <c r="H1322" s="34">
        <v>3919</v>
      </c>
      <c r="I1322" s="39">
        <f>VLOOKUP(H1322,'PUR-HSN MASTER'!$A$4:$E$5000,5,FALSE)</f>
        <v>18</v>
      </c>
      <c r="J1322" s="34">
        <v>1938</v>
      </c>
      <c r="K1322" s="126">
        <v>7400.1</v>
      </c>
      <c r="L1322" s="39">
        <v>0</v>
      </c>
      <c r="M1322" s="39">
        <v>666.00900000000001</v>
      </c>
      <c r="N1322" s="39">
        <v>666.00900000000001</v>
      </c>
      <c r="O1322" s="39">
        <v>0</v>
      </c>
      <c r="P1322" s="39">
        <v>8732.1180000000004</v>
      </c>
      <c r="Q1322" s="34" t="s">
        <v>410</v>
      </c>
      <c r="R1322" s="34" t="s">
        <v>26</v>
      </c>
      <c r="S1322" s="11" t="s">
        <v>4120</v>
      </c>
    </row>
    <row r="1323" spans="1:19" x14ac:dyDescent="0.2">
      <c r="A1323" s="51">
        <v>43709</v>
      </c>
      <c r="B1323" s="34">
        <v>131</v>
      </c>
      <c r="C1323" s="632" t="s">
        <v>900</v>
      </c>
      <c r="D1323" s="34" t="str">
        <f>VLOOKUP(C1323,'PUR-PARTY MASTER'!$B$4:$E$2000,2,FALSE)</f>
        <v>27AIWPB0333K1Z6</v>
      </c>
      <c r="E1323" s="34" t="s">
        <v>22</v>
      </c>
      <c r="F1323" s="136" t="s">
        <v>997</v>
      </c>
      <c r="G1323" s="37">
        <v>43704</v>
      </c>
      <c r="H1323" s="34">
        <v>4016</v>
      </c>
      <c r="I1323" s="39">
        <f>VLOOKUP(H1323,'PUR-HSN MASTER'!$A$4:$E$5000,5,FALSE)</f>
        <v>18</v>
      </c>
      <c r="J1323" s="34">
        <v>207</v>
      </c>
      <c r="K1323" s="126">
        <v>5175</v>
      </c>
      <c r="L1323" s="39">
        <v>0</v>
      </c>
      <c r="M1323" s="39">
        <v>465.75</v>
      </c>
      <c r="N1323" s="39">
        <v>465.75</v>
      </c>
      <c r="O1323" s="39">
        <v>0</v>
      </c>
      <c r="P1323" s="39">
        <v>6106.5</v>
      </c>
      <c r="Q1323" s="34" t="s">
        <v>410</v>
      </c>
      <c r="R1323" s="34" t="s">
        <v>26</v>
      </c>
      <c r="S1323" s="11" t="s">
        <v>4120</v>
      </c>
    </row>
    <row r="1324" spans="1:19" x14ac:dyDescent="0.2">
      <c r="A1324" s="51">
        <v>43709</v>
      </c>
      <c r="B1324" s="34">
        <v>132</v>
      </c>
      <c r="C1324" s="35" t="s">
        <v>634</v>
      </c>
      <c r="D1324" s="34" t="str">
        <f>VLOOKUP(C1324,'PUR-PARTY MASTER'!$B$4:$E$2000,2,FALSE)</f>
        <v>27AVIPS7433C1ZF</v>
      </c>
      <c r="E1324" s="34" t="s">
        <v>22</v>
      </c>
      <c r="F1324" s="136" t="s">
        <v>998</v>
      </c>
      <c r="G1324" s="37">
        <v>43735</v>
      </c>
      <c r="H1324" s="34">
        <v>9405</v>
      </c>
      <c r="I1324" s="39">
        <f>VLOOKUP(H1324,'PUR-HSN MASTER'!$A$4:$E$5000,5,FALSE)</f>
        <v>12</v>
      </c>
      <c r="J1324" s="38">
        <v>12</v>
      </c>
      <c r="K1324" s="40">
        <v>3120</v>
      </c>
      <c r="L1324" s="39">
        <v>0</v>
      </c>
      <c r="M1324" s="39">
        <v>187.2</v>
      </c>
      <c r="N1324" s="39">
        <v>187.2</v>
      </c>
      <c r="O1324" s="39">
        <v>0</v>
      </c>
      <c r="P1324" s="39">
        <v>3494</v>
      </c>
      <c r="Q1324" s="34" t="s">
        <v>410</v>
      </c>
      <c r="R1324" s="34" t="s">
        <v>26</v>
      </c>
      <c r="S1324" s="11" t="s">
        <v>4120</v>
      </c>
    </row>
    <row r="1325" spans="1:19" x14ac:dyDescent="0.2">
      <c r="A1325" s="51">
        <v>43709</v>
      </c>
      <c r="B1325" s="34">
        <v>133</v>
      </c>
      <c r="C1325" s="632" t="s">
        <v>999</v>
      </c>
      <c r="D1325" s="34" t="str">
        <f>VLOOKUP(C1325,'PUR-PARTY MASTER'!$B$4:$E$2000,2,FALSE)</f>
        <v>27AFVPY9844G1ZA</v>
      </c>
      <c r="E1325" s="34" t="s">
        <v>22</v>
      </c>
      <c r="F1325" s="136">
        <v>227</v>
      </c>
      <c r="G1325" s="37">
        <v>43736</v>
      </c>
      <c r="H1325" s="34">
        <v>9405</v>
      </c>
      <c r="I1325" s="39">
        <f>VLOOKUP(H1325,'PUR-HSN MASTER'!$A$4:$E$5000,5,FALSE)</f>
        <v>12</v>
      </c>
      <c r="J1325" s="38">
        <v>12</v>
      </c>
      <c r="K1325" s="40">
        <v>3120</v>
      </c>
      <c r="L1325" s="39">
        <v>0</v>
      </c>
      <c r="M1325" s="39">
        <v>187.2</v>
      </c>
      <c r="N1325" s="39">
        <v>187.2</v>
      </c>
      <c r="O1325" s="39">
        <v>0</v>
      </c>
      <c r="P1325" s="39">
        <v>3494</v>
      </c>
      <c r="Q1325" s="34" t="s">
        <v>410</v>
      </c>
      <c r="R1325" s="34" t="s">
        <v>26</v>
      </c>
      <c r="S1325" s="11" t="s">
        <v>4120</v>
      </c>
    </row>
    <row r="1326" spans="1:19" x14ac:dyDescent="0.2">
      <c r="A1326" s="51">
        <v>43709</v>
      </c>
      <c r="B1326" s="34">
        <v>134</v>
      </c>
      <c r="C1326" s="632" t="s">
        <v>1001</v>
      </c>
      <c r="D1326" s="34" t="str">
        <f>VLOOKUP(C1326,'PUR-PARTY MASTER'!$B$4:$E$2000,2,FALSE)</f>
        <v>27AAHCP2068D1ZI</v>
      </c>
      <c r="E1326" s="34" t="s">
        <v>22</v>
      </c>
      <c r="F1326" s="136" t="s">
        <v>1003</v>
      </c>
      <c r="G1326" s="37">
        <v>43732</v>
      </c>
      <c r="H1326" s="34">
        <v>9405</v>
      </c>
      <c r="I1326" s="39">
        <f>VLOOKUP(H1326,'PUR-HSN MASTER'!$A$4:$E$5000,5,FALSE)</f>
        <v>12</v>
      </c>
      <c r="J1326" s="38">
        <v>12</v>
      </c>
      <c r="K1326" s="40">
        <v>3120</v>
      </c>
      <c r="L1326" s="39">
        <v>0</v>
      </c>
      <c r="M1326" s="39">
        <v>187.2</v>
      </c>
      <c r="N1326" s="39">
        <v>187.2</v>
      </c>
      <c r="O1326" s="39">
        <v>0</v>
      </c>
      <c r="P1326" s="39">
        <v>3494</v>
      </c>
      <c r="Q1326" s="34" t="s">
        <v>410</v>
      </c>
      <c r="R1326" s="34" t="s">
        <v>26</v>
      </c>
      <c r="S1326" s="11" t="s">
        <v>4120</v>
      </c>
    </row>
    <row r="1327" spans="1:19" x14ac:dyDescent="0.2">
      <c r="A1327" s="51">
        <v>43709</v>
      </c>
      <c r="B1327" s="34">
        <v>135</v>
      </c>
      <c r="C1327" s="632" t="s">
        <v>1004</v>
      </c>
      <c r="D1327" s="34" t="str">
        <f>VLOOKUP(C1327,'PUR-PARTY MASTER'!$B$4:$E$2000,2,FALSE)</f>
        <v>27ABMPW9227A1ZC</v>
      </c>
      <c r="E1327" s="34" t="s">
        <v>22</v>
      </c>
      <c r="F1327" s="136" t="s">
        <v>1006</v>
      </c>
      <c r="G1327" s="37">
        <v>43736</v>
      </c>
      <c r="H1327" s="34">
        <v>9405</v>
      </c>
      <c r="I1327" s="39">
        <f>VLOOKUP(H1327,'PUR-HSN MASTER'!$A$4:$E$5000,5,FALSE)</f>
        <v>12</v>
      </c>
      <c r="J1327" s="38">
        <v>12</v>
      </c>
      <c r="K1327" s="40">
        <v>3120</v>
      </c>
      <c r="L1327" s="39">
        <v>0</v>
      </c>
      <c r="M1327" s="39">
        <v>187.2</v>
      </c>
      <c r="N1327" s="39">
        <v>187.2</v>
      </c>
      <c r="O1327" s="39">
        <v>0</v>
      </c>
      <c r="P1327" s="39">
        <v>3494</v>
      </c>
      <c r="Q1327" s="34" t="s">
        <v>410</v>
      </c>
      <c r="R1327" s="34" t="s">
        <v>26</v>
      </c>
      <c r="S1327" s="11" t="s">
        <v>4120</v>
      </c>
    </row>
    <row r="1328" spans="1:19" x14ac:dyDescent="0.2">
      <c r="A1328" s="51">
        <v>43709</v>
      </c>
      <c r="B1328" s="34">
        <v>136</v>
      </c>
      <c r="C1328" s="35" t="s">
        <v>634</v>
      </c>
      <c r="D1328" s="34" t="str">
        <f>VLOOKUP(C1328,'PUR-PARTY MASTER'!$B$4:$E$2000,2,FALSE)</f>
        <v>27AVIPS7433C1ZF</v>
      </c>
      <c r="E1328" s="34" t="s">
        <v>22</v>
      </c>
      <c r="F1328" s="136" t="s">
        <v>1007</v>
      </c>
      <c r="G1328" s="37">
        <v>43736</v>
      </c>
      <c r="H1328" s="34">
        <v>84137010</v>
      </c>
      <c r="I1328" s="39">
        <f>VLOOKUP(H1328,'PUR-HSN MASTER'!$A$4:$E$5000,5,FALSE)</f>
        <v>12</v>
      </c>
      <c r="J1328" s="38">
        <v>1</v>
      </c>
      <c r="K1328" s="40">
        <v>2310</v>
      </c>
      <c r="L1328" s="39">
        <v>0</v>
      </c>
      <c r="M1328" s="39">
        <v>138.60000000000002</v>
      </c>
      <c r="N1328" s="39">
        <v>138.60000000000002</v>
      </c>
      <c r="O1328" s="39">
        <v>0</v>
      </c>
      <c r="P1328" s="39">
        <v>2587.1999999999998</v>
      </c>
      <c r="Q1328" s="34" t="s">
        <v>410</v>
      </c>
      <c r="R1328" s="34" t="s">
        <v>26</v>
      </c>
      <c r="S1328" s="11" t="s">
        <v>4120</v>
      </c>
    </row>
    <row r="1329" spans="1:19" x14ac:dyDescent="0.2">
      <c r="A1329" s="51">
        <v>43709</v>
      </c>
      <c r="B1329" s="34"/>
      <c r="C1329" s="35" t="s">
        <v>634</v>
      </c>
      <c r="D1329" s="34" t="str">
        <f>VLOOKUP(C1329,'PUR-PARTY MASTER'!$B$4:$E$2000,2,FALSE)</f>
        <v>27AVIPS7433C1ZF</v>
      </c>
      <c r="E1329" s="34" t="s">
        <v>22</v>
      </c>
      <c r="F1329" s="136" t="s">
        <v>1007</v>
      </c>
      <c r="G1329" s="37">
        <v>43736</v>
      </c>
      <c r="H1329" s="34">
        <v>9405</v>
      </c>
      <c r="I1329" s="39">
        <f>VLOOKUP(H1329,'PUR-HSN MASTER'!$A$4:$E$5000,5,FALSE)</f>
        <v>12</v>
      </c>
      <c r="J1329" s="38">
        <v>3</v>
      </c>
      <c r="K1329" s="40">
        <v>720</v>
      </c>
      <c r="L1329" s="39">
        <v>0</v>
      </c>
      <c r="M1329" s="39">
        <v>43.2</v>
      </c>
      <c r="N1329" s="39">
        <v>43.2</v>
      </c>
      <c r="O1329" s="39">
        <v>0</v>
      </c>
      <c r="P1329" s="39">
        <v>806.8</v>
      </c>
      <c r="Q1329" s="34" t="s">
        <v>410</v>
      </c>
      <c r="R1329" s="34" t="s">
        <v>26</v>
      </c>
      <c r="S1329" s="11" t="s">
        <v>4120</v>
      </c>
    </row>
    <row r="1330" spans="1:19" x14ac:dyDescent="0.2">
      <c r="A1330" s="51">
        <v>43709</v>
      </c>
      <c r="B1330" s="34">
        <v>137</v>
      </c>
      <c r="C1330" s="35" t="s">
        <v>489</v>
      </c>
      <c r="D1330" s="34" t="str">
        <f>VLOOKUP(C1330,'PUR-PARTY MASTER'!$B$4:$E$2000,2,FALSE)</f>
        <v>27AAECD2713N1ZK</v>
      </c>
      <c r="E1330" s="34" t="s">
        <v>22</v>
      </c>
      <c r="F1330" s="134">
        <v>7887989175</v>
      </c>
      <c r="G1330" s="37">
        <v>43736</v>
      </c>
      <c r="H1330" s="34">
        <v>32082090</v>
      </c>
      <c r="I1330" s="39">
        <f>VLOOKUP(H1330,'PUR-HSN MASTER'!$A$4:$E$5000,5,FALSE)</f>
        <v>18</v>
      </c>
      <c r="J1330" s="34">
        <v>100</v>
      </c>
      <c r="K1330" s="126">
        <v>40400</v>
      </c>
      <c r="L1330" s="39">
        <v>0</v>
      </c>
      <c r="M1330" s="39">
        <v>3636</v>
      </c>
      <c r="N1330" s="39">
        <v>3636</v>
      </c>
      <c r="O1330" s="39">
        <v>0</v>
      </c>
      <c r="P1330" s="39">
        <v>47672.4</v>
      </c>
      <c r="Q1330" s="34" t="s">
        <v>410</v>
      </c>
      <c r="R1330" s="34" t="s">
        <v>26</v>
      </c>
      <c r="S1330" s="11" t="s">
        <v>4120</v>
      </c>
    </row>
    <row r="1331" spans="1:19" x14ac:dyDescent="0.2">
      <c r="A1331" s="51">
        <v>43709</v>
      </c>
      <c r="B1331" s="34">
        <v>138</v>
      </c>
      <c r="C1331" s="35" t="s">
        <v>514</v>
      </c>
      <c r="D1331" s="34" t="str">
        <f>VLOOKUP(C1331,'PUR-PARTY MASTER'!$B$4:$E$2000,2,FALSE)</f>
        <v>27AAACU2414K1ZF</v>
      </c>
      <c r="E1331" s="34" t="s">
        <v>22</v>
      </c>
      <c r="F1331" s="136" t="s">
        <v>1008</v>
      </c>
      <c r="G1331" s="37">
        <v>43728</v>
      </c>
      <c r="H1331" s="34">
        <v>9971</v>
      </c>
      <c r="I1331" s="39">
        <f>VLOOKUP(H1331,'PUR-HSN MASTER'!$A$4:$E$5000,5,FALSE)</f>
        <v>18</v>
      </c>
      <c r="J1331" s="34">
        <v>0</v>
      </c>
      <c r="K1331" s="40">
        <v>3888.44</v>
      </c>
      <c r="L1331" s="39">
        <v>0</v>
      </c>
      <c r="M1331" s="39">
        <v>349.95960000000002</v>
      </c>
      <c r="N1331" s="39">
        <v>349.95960000000002</v>
      </c>
      <c r="O1331" s="39">
        <v>0</v>
      </c>
      <c r="P1331" s="39">
        <v>4588.3591999999999</v>
      </c>
      <c r="Q1331" s="34" t="s">
        <v>411</v>
      </c>
      <c r="R1331" s="34" t="s">
        <v>26</v>
      </c>
      <c r="S1331" s="11" t="s">
        <v>4120</v>
      </c>
    </row>
    <row r="1332" spans="1:19" x14ac:dyDescent="0.2">
      <c r="A1332" s="51">
        <v>43709</v>
      </c>
      <c r="B1332" s="34">
        <v>139</v>
      </c>
      <c r="C1332" s="35" t="s">
        <v>102</v>
      </c>
      <c r="D1332" s="34" t="str">
        <f>VLOOKUP(C1332,'PUR-PARTY MASTER'!$B$4:$E$2000,2,FALSE)</f>
        <v>23AABCE9378F1ZK</v>
      </c>
      <c r="E1332" s="34" t="s">
        <v>22</v>
      </c>
      <c r="F1332" s="634" t="s">
        <v>1009</v>
      </c>
      <c r="G1332" s="37">
        <v>43634</v>
      </c>
      <c r="H1332" s="34">
        <v>87081090</v>
      </c>
      <c r="I1332" s="39">
        <f>VLOOKUP(H1332,'PUR-HSN MASTER'!$A$4:$E$5000,5,FALSE)</f>
        <v>28</v>
      </c>
      <c r="J1332" s="34">
        <v>2</v>
      </c>
      <c r="K1332" s="40">
        <v>4061.74</v>
      </c>
      <c r="L1332" s="39">
        <v>1137.2872</v>
      </c>
      <c r="M1332" s="39">
        <v>0</v>
      </c>
      <c r="N1332" s="39">
        <v>0</v>
      </c>
      <c r="O1332" s="39">
        <v>0</v>
      </c>
      <c r="P1332" s="39">
        <v>5199.0271999999995</v>
      </c>
      <c r="Q1332" s="34" t="s">
        <v>410</v>
      </c>
      <c r="R1332" s="34" t="s">
        <v>106</v>
      </c>
      <c r="S1332" s="11" t="s">
        <v>4120</v>
      </c>
    </row>
    <row r="1333" spans="1:19" x14ac:dyDescent="0.2">
      <c r="A1333" s="51">
        <v>43709</v>
      </c>
      <c r="B1333" s="34">
        <v>140</v>
      </c>
      <c r="C1333" s="35" t="s">
        <v>102</v>
      </c>
      <c r="D1333" s="34" t="str">
        <f>VLOOKUP(C1333,'PUR-PARTY MASTER'!$B$4:$E$2000,2,FALSE)</f>
        <v>23AABCE9378F1ZK</v>
      </c>
      <c r="E1333" s="34" t="s">
        <v>22</v>
      </c>
      <c r="F1333" s="634" t="s">
        <v>1010</v>
      </c>
      <c r="G1333" s="37">
        <v>43726</v>
      </c>
      <c r="H1333" s="34">
        <v>87081090</v>
      </c>
      <c r="I1333" s="39">
        <f>VLOOKUP(H1333,'PUR-HSN MASTER'!$A$4:$E$5000,5,FALSE)</f>
        <v>28</v>
      </c>
      <c r="J1333" s="34">
        <v>1</v>
      </c>
      <c r="K1333" s="40">
        <v>2021.5</v>
      </c>
      <c r="L1333" s="39">
        <v>566.02</v>
      </c>
      <c r="M1333" s="39">
        <v>0</v>
      </c>
      <c r="N1333" s="39">
        <v>0</v>
      </c>
      <c r="O1333" s="39">
        <v>0</v>
      </c>
      <c r="P1333" s="39">
        <v>2587.52</v>
      </c>
      <c r="Q1333" s="34" t="s">
        <v>410</v>
      </c>
      <c r="R1333" s="34" t="s">
        <v>106</v>
      </c>
      <c r="S1333" s="11" t="s">
        <v>4120</v>
      </c>
    </row>
    <row r="1334" spans="1:19" x14ac:dyDescent="0.2">
      <c r="A1334" s="51">
        <v>43709</v>
      </c>
      <c r="B1334" s="34">
        <v>141</v>
      </c>
      <c r="C1334" s="35" t="s">
        <v>102</v>
      </c>
      <c r="D1334" s="34" t="str">
        <f>VLOOKUP(C1334,'PUR-PARTY MASTER'!$B$4:$E$2000,2,FALSE)</f>
        <v>23AABCE9378F1ZK</v>
      </c>
      <c r="E1334" s="34" t="s">
        <v>22</v>
      </c>
      <c r="F1334" s="634" t="s">
        <v>1011</v>
      </c>
      <c r="G1334" s="37">
        <v>43726</v>
      </c>
      <c r="H1334" s="34">
        <v>87081090</v>
      </c>
      <c r="I1334" s="39">
        <f>VLOOKUP(H1334,'PUR-HSN MASTER'!$A$4:$E$5000,5,FALSE)</f>
        <v>28</v>
      </c>
      <c r="J1334" s="34">
        <v>1</v>
      </c>
      <c r="K1334" s="40">
        <v>2021.5</v>
      </c>
      <c r="L1334" s="39">
        <v>566.02</v>
      </c>
      <c r="M1334" s="39">
        <v>0</v>
      </c>
      <c r="N1334" s="39">
        <v>0</v>
      </c>
      <c r="O1334" s="39">
        <v>0</v>
      </c>
      <c r="P1334" s="39">
        <v>2587.52</v>
      </c>
      <c r="Q1334" s="34" t="s">
        <v>410</v>
      </c>
      <c r="R1334" s="34" t="s">
        <v>106</v>
      </c>
      <c r="S1334" s="11" t="s">
        <v>4120</v>
      </c>
    </row>
    <row r="1335" spans="1:19" x14ac:dyDescent="0.2">
      <c r="A1335" s="51">
        <v>43709</v>
      </c>
      <c r="B1335" s="34">
        <v>142</v>
      </c>
      <c r="C1335" s="35" t="s">
        <v>102</v>
      </c>
      <c r="D1335" s="34" t="str">
        <f>VLOOKUP(C1335,'PUR-PARTY MASTER'!$B$4:$E$2000,2,FALSE)</f>
        <v>23AABCE9378F1ZK</v>
      </c>
      <c r="E1335" s="34" t="s">
        <v>22</v>
      </c>
      <c r="F1335" s="634" t="s">
        <v>1012</v>
      </c>
      <c r="G1335" s="37">
        <v>43726</v>
      </c>
      <c r="H1335" s="34">
        <v>87081090</v>
      </c>
      <c r="I1335" s="39">
        <f>VLOOKUP(H1335,'PUR-HSN MASTER'!$A$4:$E$5000,5,FALSE)</f>
        <v>28</v>
      </c>
      <c r="J1335" s="34">
        <v>1</v>
      </c>
      <c r="K1335" s="40">
        <v>2021.5</v>
      </c>
      <c r="L1335" s="39">
        <v>566.02</v>
      </c>
      <c r="M1335" s="39">
        <v>0</v>
      </c>
      <c r="N1335" s="39">
        <v>0</v>
      </c>
      <c r="O1335" s="39">
        <v>0</v>
      </c>
      <c r="P1335" s="39">
        <v>2587.52</v>
      </c>
      <c r="Q1335" s="34" t="s">
        <v>410</v>
      </c>
      <c r="R1335" s="34" t="s">
        <v>106</v>
      </c>
      <c r="S1335" s="11" t="s">
        <v>4120</v>
      </c>
    </row>
    <row r="1336" spans="1:19" x14ac:dyDescent="0.2">
      <c r="A1336" s="51">
        <v>43709</v>
      </c>
      <c r="B1336" s="34">
        <v>143</v>
      </c>
      <c r="C1336" s="35" t="s">
        <v>102</v>
      </c>
      <c r="D1336" s="34" t="str">
        <f>VLOOKUP(C1336,'PUR-PARTY MASTER'!$B$4:$E$2000,2,FALSE)</f>
        <v>23AABCE9378F1ZK</v>
      </c>
      <c r="E1336" s="34" t="s">
        <v>22</v>
      </c>
      <c r="F1336" s="634" t="s">
        <v>1013</v>
      </c>
      <c r="G1336" s="37">
        <v>43726</v>
      </c>
      <c r="H1336" s="34">
        <v>87081090</v>
      </c>
      <c r="I1336" s="39">
        <f>VLOOKUP(H1336,'PUR-HSN MASTER'!$A$4:$E$5000,5,FALSE)</f>
        <v>28</v>
      </c>
      <c r="J1336" s="34">
        <v>1</v>
      </c>
      <c r="K1336" s="40">
        <v>2030.87</v>
      </c>
      <c r="L1336" s="39">
        <v>568.64359999999999</v>
      </c>
      <c r="M1336" s="39">
        <v>0</v>
      </c>
      <c r="N1336" s="39">
        <v>0</v>
      </c>
      <c r="O1336" s="39">
        <v>0</v>
      </c>
      <c r="P1336" s="39">
        <v>2599.5135999999998</v>
      </c>
      <c r="Q1336" s="34" t="s">
        <v>410</v>
      </c>
      <c r="R1336" s="34" t="s">
        <v>106</v>
      </c>
      <c r="S1336" s="11" t="s">
        <v>4120</v>
      </c>
    </row>
    <row r="1337" spans="1:19" x14ac:dyDescent="0.2">
      <c r="A1337" s="51">
        <v>43709</v>
      </c>
      <c r="B1337" s="34">
        <v>144</v>
      </c>
      <c r="C1337" s="35" t="s">
        <v>102</v>
      </c>
      <c r="D1337" s="34" t="str">
        <f>VLOOKUP(C1337,'PUR-PARTY MASTER'!$B$4:$E$2000,2,FALSE)</f>
        <v>23AABCE9378F1ZK</v>
      </c>
      <c r="E1337" s="34" t="s">
        <v>22</v>
      </c>
      <c r="F1337" s="634" t="s">
        <v>1014</v>
      </c>
      <c r="G1337" s="37">
        <v>43728</v>
      </c>
      <c r="H1337" s="34">
        <v>87081090</v>
      </c>
      <c r="I1337" s="39">
        <f>VLOOKUP(H1337,'PUR-HSN MASTER'!$A$4:$E$5000,5,FALSE)</f>
        <v>28</v>
      </c>
      <c r="J1337" s="34">
        <v>2</v>
      </c>
      <c r="K1337" s="40">
        <v>4043</v>
      </c>
      <c r="L1337" s="39">
        <v>1132.04</v>
      </c>
      <c r="M1337" s="39">
        <v>0</v>
      </c>
      <c r="N1337" s="39">
        <v>0</v>
      </c>
      <c r="O1337" s="39">
        <v>0</v>
      </c>
      <c r="P1337" s="39">
        <v>5175.04</v>
      </c>
      <c r="Q1337" s="34" t="s">
        <v>410</v>
      </c>
      <c r="R1337" s="34" t="s">
        <v>106</v>
      </c>
      <c r="S1337" s="11" t="s">
        <v>4120</v>
      </c>
    </row>
    <row r="1338" spans="1:19" x14ac:dyDescent="0.2">
      <c r="A1338" s="51">
        <v>43709</v>
      </c>
      <c r="B1338" s="34">
        <v>145</v>
      </c>
      <c r="C1338" s="35" t="s">
        <v>102</v>
      </c>
      <c r="D1338" s="34" t="str">
        <f>VLOOKUP(C1338,'PUR-PARTY MASTER'!$B$4:$E$2000,2,FALSE)</f>
        <v>23AABCE9378F1ZK</v>
      </c>
      <c r="E1338" s="34" t="s">
        <v>22</v>
      </c>
      <c r="F1338" s="634" t="s">
        <v>1015</v>
      </c>
      <c r="G1338" s="37">
        <v>43733</v>
      </c>
      <c r="H1338" s="34">
        <v>87081090</v>
      </c>
      <c r="I1338" s="39">
        <f>VLOOKUP(H1338,'PUR-HSN MASTER'!$A$4:$E$5000,5,FALSE)</f>
        <v>28</v>
      </c>
      <c r="J1338" s="34">
        <v>2</v>
      </c>
      <c r="K1338" s="40">
        <v>4043</v>
      </c>
      <c r="L1338" s="39">
        <v>1132.04</v>
      </c>
      <c r="M1338" s="39">
        <v>0</v>
      </c>
      <c r="N1338" s="39">
        <v>0</v>
      </c>
      <c r="O1338" s="39">
        <v>0</v>
      </c>
      <c r="P1338" s="39">
        <v>5175.04</v>
      </c>
      <c r="Q1338" s="34" t="s">
        <v>410</v>
      </c>
      <c r="R1338" s="34" t="s">
        <v>106</v>
      </c>
      <c r="S1338" s="11" t="s">
        <v>4120</v>
      </c>
    </row>
    <row r="1339" spans="1:19" x14ac:dyDescent="0.2">
      <c r="A1339" s="51">
        <v>43709</v>
      </c>
      <c r="B1339" s="34">
        <v>146</v>
      </c>
      <c r="C1339" s="35" t="s">
        <v>102</v>
      </c>
      <c r="D1339" s="34" t="str">
        <f>VLOOKUP(C1339,'PUR-PARTY MASTER'!$B$4:$E$2000,2,FALSE)</f>
        <v>23AABCE9378F1ZK</v>
      </c>
      <c r="E1339" s="34" t="s">
        <v>22</v>
      </c>
      <c r="F1339" s="634" t="s">
        <v>1016</v>
      </c>
      <c r="G1339" s="37">
        <v>43736</v>
      </c>
      <c r="H1339" s="34">
        <v>87081090</v>
      </c>
      <c r="I1339" s="39">
        <f>VLOOKUP(H1339,'PUR-HSN MASTER'!$A$4:$E$5000,5,FALSE)</f>
        <v>28</v>
      </c>
      <c r="J1339" s="34">
        <v>2</v>
      </c>
      <c r="K1339" s="40">
        <v>651.41999999999996</v>
      </c>
      <c r="L1339" s="39">
        <v>182.39759999999998</v>
      </c>
      <c r="M1339" s="39">
        <v>0</v>
      </c>
      <c r="N1339" s="39">
        <v>0</v>
      </c>
      <c r="O1339" s="39">
        <v>0</v>
      </c>
      <c r="P1339" s="39">
        <v>833.81759999999997</v>
      </c>
      <c r="Q1339" s="34" t="s">
        <v>410</v>
      </c>
      <c r="R1339" s="34" t="s">
        <v>106</v>
      </c>
      <c r="S1339" s="11" t="s">
        <v>4120</v>
      </c>
    </row>
    <row r="1340" spans="1:19" x14ac:dyDescent="0.2">
      <c r="A1340" s="51">
        <v>43709</v>
      </c>
      <c r="B1340" s="34">
        <v>147</v>
      </c>
      <c r="C1340" s="35" t="s">
        <v>102</v>
      </c>
      <c r="D1340" s="34" t="str">
        <f>VLOOKUP(C1340,'PUR-PARTY MASTER'!$B$4:$E$2000,2,FALSE)</f>
        <v>23AABCE9378F1ZK</v>
      </c>
      <c r="E1340" s="34" t="s">
        <v>22</v>
      </c>
      <c r="F1340" s="634" t="s">
        <v>1017</v>
      </c>
      <c r="G1340" s="37">
        <v>43736</v>
      </c>
      <c r="H1340" s="34">
        <v>87081090</v>
      </c>
      <c r="I1340" s="39">
        <f>VLOOKUP(H1340,'PUR-HSN MASTER'!$A$4:$E$5000,5,FALSE)</f>
        <v>28</v>
      </c>
      <c r="J1340" s="34">
        <v>1</v>
      </c>
      <c r="K1340" s="40">
        <v>2030.87</v>
      </c>
      <c r="L1340" s="39">
        <v>568.64359999999999</v>
      </c>
      <c r="M1340" s="39">
        <v>0</v>
      </c>
      <c r="N1340" s="39">
        <v>0</v>
      </c>
      <c r="O1340" s="39">
        <v>0</v>
      </c>
      <c r="P1340" s="39">
        <v>2599.5135999999998</v>
      </c>
      <c r="Q1340" s="34" t="s">
        <v>410</v>
      </c>
      <c r="R1340" s="34" t="s">
        <v>106</v>
      </c>
      <c r="S1340" s="11" t="s">
        <v>4120</v>
      </c>
    </row>
    <row r="1341" spans="1:19" x14ac:dyDescent="0.2">
      <c r="A1341" s="51">
        <v>43709</v>
      </c>
      <c r="B1341" s="34">
        <v>148</v>
      </c>
      <c r="C1341" s="35" t="s">
        <v>517</v>
      </c>
      <c r="D1341" s="34" t="str">
        <f>VLOOKUP(C1341,'PUR-PARTY MASTER'!$B$4:$E$2000,2,FALSE)</f>
        <v>23AAACT6376M1ZZ</v>
      </c>
      <c r="E1341" s="34" t="s">
        <v>22</v>
      </c>
      <c r="F1341" s="134">
        <v>19618907</v>
      </c>
      <c r="G1341" s="37">
        <v>43736</v>
      </c>
      <c r="H1341" s="34">
        <v>87081090</v>
      </c>
      <c r="I1341" s="39">
        <f>VLOOKUP(H1341,'PUR-HSN MASTER'!$A$4:$E$5000,5,FALSE)</f>
        <v>28</v>
      </c>
      <c r="J1341" s="34">
        <v>30</v>
      </c>
      <c r="K1341" s="126">
        <v>6390</v>
      </c>
      <c r="L1341" s="39">
        <v>1789.2</v>
      </c>
      <c r="M1341" s="39">
        <v>0</v>
      </c>
      <c r="N1341" s="39">
        <v>0</v>
      </c>
      <c r="O1341" s="39">
        <v>0</v>
      </c>
      <c r="P1341" s="39">
        <v>8179.2</v>
      </c>
      <c r="Q1341" s="34" t="s">
        <v>410</v>
      </c>
      <c r="R1341" s="34" t="s">
        <v>106</v>
      </c>
      <c r="S1341" s="11" t="s">
        <v>4120</v>
      </c>
    </row>
    <row r="1342" spans="1:19" x14ac:dyDescent="0.2">
      <c r="A1342" s="51">
        <v>43709</v>
      </c>
      <c r="B1342" s="34">
        <v>149</v>
      </c>
      <c r="C1342" s="35" t="s">
        <v>517</v>
      </c>
      <c r="D1342" s="34" t="str">
        <f>VLOOKUP(C1342,'PUR-PARTY MASTER'!$B$4:$E$2000,2,FALSE)</f>
        <v>23AAACT6376M1ZZ</v>
      </c>
      <c r="E1342" s="34" t="s">
        <v>22</v>
      </c>
      <c r="F1342" s="134">
        <v>19618908</v>
      </c>
      <c r="G1342" s="37">
        <v>43736</v>
      </c>
      <c r="H1342" s="34">
        <v>87081090</v>
      </c>
      <c r="I1342" s="39">
        <f>VLOOKUP(H1342,'PUR-HSN MASTER'!$A$4:$E$5000,5,FALSE)</f>
        <v>28</v>
      </c>
      <c r="J1342" s="34">
        <v>32</v>
      </c>
      <c r="K1342" s="126">
        <v>19115.759999999998</v>
      </c>
      <c r="L1342" s="39">
        <v>5352.4127999999992</v>
      </c>
      <c r="M1342" s="39">
        <v>0</v>
      </c>
      <c r="N1342" s="39">
        <v>0</v>
      </c>
      <c r="O1342" s="39">
        <v>0</v>
      </c>
      <c r="P1342" s="39">
        <v>24468.172799999997</v>
      </c>
      <c r="Q1342" s="34" t="s">
        <v>410</v>
      </c>
      <c r="R1342" s="34" t="s">
        <v>106</v>
      </c>
      <c r="S1342" s="11" t="s">
        <v>4120</v>
      </c>
    </row>
    <row r="1343" spans="1:19" x14ac:dyDescent="0.2">
      <c r="A1343" s="51">
        <v>43709</v>
      </c>
      <c r="B1343" s="34">
        <v>150</v>
      </c>
      <c r="C1343" s="35" t="s">
        <v>629</v>
      </c>
      <c r="D1343" s="34" t="str">
        <f>VLOOKUP(C1343,'PUR-PARTY MASTER'!$B$4:$E$2000,2,FALSE)</f>
        <v>27AACPH4424P1ZJ</v>
      </c>
      <c r="E1343" s="34" t="s">
        <v>22</v>
      </c>
      <c r="F1343" s="134">
        <v>475</v>
      </c>
      <c r="G1343" s="37">
        <v>43731</v>
      </c>
      <c r="H1343" s="34">
        <v>998531</v>
      </c>
      <c r="I1343" s="39">
        <f>VLOOKUP(H1343,'PUR-HSN MASTER'!$A$4:$E$5000,5,FALSE)</f>
        <v>18</v>
      </c>
      <c r="J1343" s="38">
        <v>1</v>
      </c>
      <c r="K1343" s="126">
        <v>600</v>
      </c>
      <c r="L1343" s="39">
        <v>0</v>
      </c>
      <c r="M1343" s="39">
        <v>54</v>
      </c>
      <c r="N1343" s="39">
        <v>54</v>
      </c>
      <c r="O1343" s="39">
        <v>0</v>
      </c>
      <c r="P1343" s="39">
        <v>708.4</v>
      </c>
      <c r="Q1343" s="34" t="s">
        <v>411</v>
      </c>
      <c r="R1343" s="34" t="s">
        <v>26</v>
      </c>
      <c r="S1343" s="11" t="s">
        <v>4120</v>
      </c>
    </row>
    <row r="1344" spans="1:19" x14ac:dyDescent="0.2">
      <c r="A1344" s="51">
        <v>43709</v>
      </c>
      <c r="B1344" s="34">
        <v>151</v>
      </c>
      <c r="C1344" s="35" t="s">
        <v>673</v>
      </c>
      <c r="D1344" s="34" t="str">
        <f>VLOOKUP(C1344,'PUR-PARTY MASTER'!$B$4:$E$2000,2,FALSE)</f>
        <v>27AAFCD5233J1ZM</v>
      </c>
      <c r="E1344" s="34" t="s">
        <v>22</v>
      </c>
      <c r="F1344" s="136" t="s">
        <v>1018</v>
      </c>
      <c r="G1344" s="37">
        <v>43738</v>
      </c>
      <c r="H1344" s="34">
        <v>998531</v>
      </c>
      <c r="I1344" s="39">
        <f>VLOOKUP(H1344,'PUR-HSN MASTER'!$A$4:$E$5000,5,FALSE)</f>
        <v>18</v>
      </c>
      <c r="J1344" s="38">
        <v>1</v>
      </c>
      <c r="K1344" s="40">
        <v>20545</v>
      </c>
      <c r="L1344" s="39">
        <v>0</v>
      </c>
      <c r="M1344" s="39">
        <v>1849</v>
      </c>
      <c r="N1344" s="39">
        <v>1849</v>
      </c>
      <c r="O1344" s="39">
        <v>0</v>
      </c>
      <c r="P1344" s="39">
        <v>54691</v>
      </c>
      <c r="Q1344" s="34" t="s">
        <v>411</v>
      </c>
      <c r="R1344" s="34" t="s">
        <v>26</v>
      </c>
      <c r="S1344" s="11" t="s">
        <v>4120</v>
      </c>
    </row>
    <row r="1345" spans="1:19" x14ac:dyDescent="0.2">
      <c r="A1345" s="51">
        <v>43709</v>
      </c>
      <c r="B1345" s="34">
        <v>152</v>
      </c>
      <c r="C1345" s="35" t="s">
        <v>673</v>
      </c>
      <c r="D1345" s="34" t="str">
        <f>VLOOKUP(C1345,'PUR-PARTY MASTER'!$B$4:$E$2000,2,FALSE)</f>
        <v>27AAFCD5233J1ZM</v>
      </c>
      <c r="E1345" s="34" t="s">
        <v>22</v>
      </c>
      <c r="F1345" s="136" t="s">
        <v>1018</v>
      </c>
      <c r="G1345" s="37">
        <v>43738</v>
      </c>
      <c r="H1345" s="34">
        <v>998531</v>
      </c>
      <c r="I1345" s="39">
        <f>VLOOKUP(H1345,'PUR-HSN MASTER'!$A$4:$E$5000,5,FALSE)</f>
        <v>18</v>
      </c>
      <c r="J1345" s="38">
        <v>1</v>
      </c>
      <c r="K1345" s="40">
        <v>19740</v>
      </c>
      <c r="L1345" s="39">
        <v>0</v>
      </c>
      <c r="M1345" s="39">
        <v>1777.0000000000002</v>
      </c>
      <c r="N1345" s="39">
        <v>1777.0000000000002</v>
      </c>
      <c r="O1345" s="39">
        <v>0</v>
      </c>
      <c r="P1345" s="39">
        <v>37749</v>
      </c>
      <c r="Q1345" s="34" t="s">
        <v>411</v>
      </c>
      <c r="R1345" s="34" t="s">
        <v>26</v>
      </c>
      <c r="S1345" s="11" t="s">
        <v>4120</v>
      </c>
    </row>
    <row r="1346" spans="1:19" x14ac:dyDescent="0.2">
      <c r="A1346" s="51">
        <v>43709</v>
      </c>
      <c r="B1346" s="34">
        <v>153</v>
      </c>
      <c r="C1346" s="35" t="s">
        <v>514</v>
      </c>
      <c r="D1346" s="34" t="str">
        <f>VLOOKUP(C1346,'PUR-PARTY MASTER'!$B$4:$E$2000,2,FALSE)</f>
        <v>27AAACU2414K1ZF</v>
      </c>
      <c r="E1346" s="34" t="s">
        <v>22</v>
      </c>
      <c r="F1346" s="136" t="s">
        <v>1019</v>
      </c>
      <c r="G1346" s="37">
        <v>43728</v>
      </c>
      <c r="H1346" s="34">
        <v>9971</v>
      </c>
      <c r="I1346" s="39">
        <f>VLOOKUP(H1346,'PUR-HSN MASTER'!$A$4:$E$5000,5,FALSE)</f>
        <v>18</v>
      </c>
      <c r="J1346" s="34">
        <v>0</v>
      </c>
      <c r="K1346" s="40">
        <v>2000</v>
      </c>
      <c r="L1346" s="39">
        <v>0</v>
      </c>
      <c r="M1346" s="39">
        <v>180</v>
      </c>
      <c r="N1346" s="39">
        <v>180</v>
      </c>
      <c r="O1346" s="39">
        <v>0</v>
      </c>
      <c r="P1346" s="39">
        <v>2360</v>
      </c>
      <c r="Q1346" s="34" t="s">
        <v>411</v>
      </c>
      <c r="R1346" s="34" t="s">
        <v>26</v>
      </c>
      <c r="S1346" s="11" t="s">
        <v>4120</v>
      </c>
    </row>
    <row r="1347" spans="1:19" x14ac:dyDescent="0.2">
      <c r="A1347" s="51">
        <v>43709</v>
      </c>
      <c r="B1347" s="34">
        <v>154</v>
      </c>
      <c r="C1347" s="35" t="s">
        <v>514</v>
      </c>
      <c r="D1347" s="34" t="str">
        <f>VLOOKUP(C1347,'PUR-PARTY MASTER'!$B$4:$E$2000,2,FALSE)</f>
        <v>27AAACU2414K1ZF</v>
      </c>
      <c r="E1347" s="34" t="s">
        <v>22</v>
      </c>
      <c r="F1347" s="136" t="s">
        <v>1020</v>
      </c>
      <c r="G1347" s="37">
        <v>43728</v>
      </c>
      <c r="H1347" s="34">
        <v>9971</v>
      </c>
      <c r="I1347" s="39">
        <f>VLOOKUP(H1347,'PUR-HSN MASTER'!$A$4:$E$5000,5,FALSE)</f>
        <v>18</v>
      </c>
      <c r="J1347" s="34">
        <v>0</v>
      </c>
      <c r="K1347" s="40">
        <v>500</v>
      </c>
      <c r="L1347" s="39">
        <v>0</v>
      </c>
      <c r="M1347" s="39">
        <v>45</v>
      </c>
      <c r="N1347" s="39">
        <v>45</v>
      </c>
      <c r="O1347" s="39">
        <v>0</v>
      </c>
      <c r="P1347" s="39">
        <v>590</v>
      </c>
      <c r="Q1347" s="34" t="s">
        <v>411</v>
      </c>
      <c r="R1347" s="34" t="s">
        <v>26</v>
      </c>
      <c r="S1347" s="11" t="s">
        <v>4120</v>
      </c>
    </row>
    <row r="1348" spans="1:19" x14ac:dyDescent="0.2">
      <c r="A1348" s="51">
        <v>43709</v>
      </c>
      <c r="B1348" s="34">
        <v>155</v>
      </c>
      <c r="C1348" s="35" t="s">
        <v>514</v>
      </c>
      <c r="D1348" s="34" t="str">
        <f>VLOOKUP(C1348,'PUR-PARTY MASTER'!$B$4:$E$2000,2,FALSE)</f>
        <v>27AAACU2414K1ZF</v>
      </c>
      <c r="E1348" s="34" t="s">
        <v>22</v>
      </c>
      <c r="F1348" s="136" t="s">
        <v>1021</v>
      </c>
      <c r="G1348" s="37">
        <v>43728</v>
      </c>
      <c r="H1348" s="34">
        <v>9971</v>
      </c>
      <c r="I1348" s="39">
        <f>VLOOKUP(H1348,'PUR-HSN MASTER'!$A$4:$E$5000,5,FALSE)</f>
        <v>18</v>
      </c>
      <c r="J1348" s="34">
        <v>0</v>
      </c>
      <c r="K1348" s="40">
        <v>1949.67</v>
      </c>
      <c r="L1348" s="39">
        <v>0</v>
      </c>
      <c r="M1348" s="39">
        <v>175.47030000000001</v>
      </c>
      <c r="N1348" s="39">
        <v>175.47030000000001</v>
      </c>
      <c r="O1348" s="39">
        <v>0</v>
      </c>
      <c r="P1348" s="39">
        <v>2300.6106</v>
      </c>
      <c r="Q1348" s="34" t="s">
        <v>411</v>
      </c>
      <c r="R1348" s="34" t="s">
        <v>26</v>
      </c>
      <c r="S1348" s="11" t="s">
        <v>4120</v>
      </c>
    </row>
    <row r="1349" spans="1:19" x14ac:dyDescent="0.2">
      <c r="A1349" s="51">
        <v>43709</v>
      </c>
      <c r="B1349" s="34">
        <v>156</v>
      </c>
      <c r="C1349" s="35" t="s">
        <v>565</v>
      </c>
      <c r="D1349" s="34" t="str">
        <f>VLOOKUP(C1349,'PUR-PARTY MASTER'!$B$4:$E$2000,2,FALSE)</f>
        <v>27ADOPJ4418Q1ZV</v>
      </c>
      <c r="E1349" s="34" t="s">
        <v>22</v>
      </c>
      <c r="F1349" s="134">
        <v>5066</v>
      </c>
      <c r="G1349" s="37">
        <v>43731</v>
      </c>
      <c r="H1349" s="34">
        <v>8207</v>
      </c>
      <c r="I1349" s="39">
        <f>VLOOKUP(H1349,'PUR-HSN MASTER'!$A$4:$E$5000,5,FALSE)</f>
        <v>18</v>
      </c>
      <c r="J1349" s="38">
        <v>2</v>
      </c>
      <c r="K1349" s="40">
        <v>120</v>
      </c>
      <c r="L1349" s="39">
        <v>0</v>
      </c>
      <c r="M1349" s="39">
        <v>10.799999999999999</v>
      </c>
      <c r="N1349" s="39">
        <v>10.799999999999999</v>
      </c>
      <c r="O1349" s="39">
        <v>0</v>
      </c>
      <c r="P1349" s="39">
        <v>141.6</v>
      </c>
      <c r="Q1349" s="34" t="s">
        <v>410</v>
      </c>
      <c r="R1349" s="34" t="s">
        <v>26</v>
      </c>
      <c r="S1349" s="11" t="s">
        <v>4120</v>
      </c>
    </row>
    <row r="1350" spans="1:19" x14ac:dyDescent="0.2">
      <c r="A1350" s="51">
        <v>43709</v>
      </c>
      <c r="B1350" s="34"/>
      <c r="C1350" s="35" t="s">
        <v>565</v>
      </c>
      <c r="D1350" s="34" t="str">
        <f>VLOOKUP(C1350,'PUR-PARTY MASTER'!$B$4:$E$2000,2,FALSE)</f>
        <v>27ADOPJ4418Q1ZV</v>
      </c>
      <c r="E1350" s="34" t="s">
        <v>22</v>
      </c>
      <c r="F1350" s="134">
        <v>5066</v>
      </c>
      <c r="G1350" s="37">
        <v>43731</v>
      </c>
      <c r="H1350" s="34">
        <v>9004</v>
      </c>
      <c r="I1350" s="39">
        <f>VLOOKUP(H1350,'PUR-HSN MASTER'!$A$4:$E$5000,5,FALSE)</f>
        <v>18</v>
      </c>
      <c r="J1350" s="38">
        <v>6</v>
      </c>
      <c r="K1350" s="40">
        <v>240</v>
      </c>
      <c r="L1350" s="39">
        <v>0</v>
      </c>
      <c r="M1350" s="39">
        <v>21.599999999999998</v>
      </c>
      <c r="N1350" s="39">
        <v>21.599999999999998</v>
      </c>
      <c r="O1350" s="39">
        <v>0</v>
      </c>
      <c r="P1350" s="39">
        <v>283.3</v>
      </c>
      <c r="Q1350" s="34" t="s">
        <v>410</v>
      </c>
      <c r="R1350" s="34" t="s">
        <v>26</v>
      </c>
      <c r="S1350" s="11" t="s">
        <v>4120</v>
      </c>
    </row>
    <row r="1351" spans="1:19" x14ac:dyDescent="0.2">
      <c r="A1351" s="51">
        <v>43709</v>
      </c>
      <c r="B1351" s="34"/>
      <c r="C1351" s="35" t="s">
        <v>565</v>
      </c>
      <c r="D1351" s="34" t="str">
        <f>VLOOKUP(C1351,'PUR-PARTY MASTER'!$B$4:$E$2000,2,FALSE)</f>
        <v>27ADOPJ4418Q1ZV</v>
      </c>
      <c r="E1351" s="34" t="s">
        <v>22</v>
      </c>
      <c r="F1351" s="134">
        <v>5066</v>
      </c>
      <c r="G1351" s="37">
        <v>43731</v>
      </c>
      <c r="H1351" s="34">
        <v>9603</v>
      </c>
      <c r="I1351" s="39">
        <f>VLOOKUP(H1351,'PUR-HSN MASTER'!$A$4:$E$5000,5,FALSE)</f>
        <v>18</v>
      </c>
      <c r="J1351" s="38">
        <v>12</v>
      </c>
      <c r="K1351" s="40">
        <v>180</v>
      </c>
      <c r="L1351" s="39">
        <v>0</v>
      </c>
      <c r="M1351" s="39">
        <v>25.2</v>
      </c>
      <c r="N1351" s="39">
        <v>25.2</v>
      </c>
      <c r="O1351" s="39">
        <v>0</v>
      </c>
      <c r="P1351" s="39">
        <v>230.4</v>
      </c>
      <c r="Q1351" s="34" t="s">
        <v>410</v>
      </c>
      <c r="R1351" s="34" t="s">
        <v>26</v>
      </c>
      <c r="S1351" s="11" t="s">
        <v>4120</v>
      </c>
    </row>
    <row r="1352" spans="1:19" x14ac:dyDescent="0.2">
      <c r="A1352" s="51">
        <v>43709</v>
      </c>
      <c r="B1352" s="34"/>
      <c r="C1352" s="35" t="s">
        <v>565</v>
      </c>
      <c r="D1352" s="34" t="str">
        <f>VLOOKUP(C1352,'PUR-PARTY MASTER'!$B$4:$E$2000,2,FALSE)</f>
        <v>27ADOPJ4418Q1ZV</v>
      </c>
      <c r="E1352" s="34" t="s">
        <v>22</v>
      </c>
      <c r="F1352" s="134">
        <v>5066</v>
      </c>
      <c r="G1352" s="37">
        <v>43731</v>
      </c>
      <c r="H1352" s="34">
        <v>8301</v>
      </c>
      <c r="I1352" s="39">
        <f>VLOOKUP(H1352,'PUR-HSN MASTER'!$A$4:$E$5000,5,FALSE)</f>
        <v>18</v>
      </c>
      <c r="J1352" s="38">
        <v>1</v>
      </c>
      <c r="K1352" s="40">
        <v>80</v>
      </c>
      <c r="L1352" s="39">
        <v>0</v>
      </c>
      <c r="M1352" s="39">
        <v>7.2</v>
      </c>
      <c r="N1352" s="39">
        <v>7.2</v>
      </c>
      <c r="O1352" s="39">
        <v>0</v>
      </c>
      <c r="P1352" s="39">
        <v>94.4</v>
      </c>
      <c r="Q1352" s="34" t="s">
        <v>410</v>
      </c>
      <c r="R1352" s="34" t="s">
        <v>26</v>
      </c>
      <c r="S1352" s="11" t="s">
        <v>4120</v>
      </c>
    </row>
    <row r="1353" spans="1:19" x14ac:dyDescent="0.2">
      <c r="A1353" s="51">
        <v>43709</v>
      </c>
      <c r="B1353" s="34"/>
      <c r="C1353" s="35" t="s">
        <v>565</v>
      </c>
      <c r="D1353" s="34" t="str">
        <f>VLOOKUP(C1353,'PUR-PARTY MASTER'!$B$4:$E$2000,2,FALSE)</f>
        <v>27ADOPJ4418Q1ZV</v>
      </c>
      <c r="E1353" s="34" t="s">
        <v>22</v>
      </c>
      <c r="F1353" s="134">
        <v>5066</v>
      </c>
      <c r="G1353" s="37">
        <v>43731</v>
      </c>
      <c r="H1353" s="34">
        <v>8302</v>
      </c>
      <c r="I1353" s="39">
        <f>VLOOKUP(H1353,'PUR-HSN MASTER'!$A$4:$E$5000,5,FALSE)</f>
        <v>18</v>
      </c>
      <c r="J1353" s="38">
        <v>1</v>
      </c>
      <c r="K1353" s="40">
        <v>130</v>
      </c>
      <c r="L1353" s="39">
        <v>0</v>
      </c>
      <c r="M1353" s="39">
        <v>11.700000000000001</v>
      </c>
      <c r="N1353" s="39">
        <v>11.700000000000001</v>
      </c>
      <c r="O1353" s="39">
        <v>0</v>
      </c>
      <c r="P1353" s="39">
        <v>153.4</v>
      </c>
      <c r="Q1353" s="34" t="s">
        <v>410</v>
      </c>
      <c r="R1353" s="34" t="s">
        <v>26</v>
      </c>
      <c r="S1353" s="11" t="s">
        <v>4120</v>
      </c>
    </row>
    <row r="1354" spans="1:19" x14ac:dyDescent="0.2">
      <c r="A1354" s="51">
        <v>43709</v>
      </c>
      <c r="B1354" s="34"/>
      <c r="C1354" s="35" t="s">
        <v>565</v>
      </c>
      <c r="D1354" s="34" t="str">
        <f>VLOOKUP(C1354,'PUR-PARTY MASTER'!$B$4:$E$2000,2,FALSE)</f>
        <v>27ADOPJ4418Q1ZV</v>
      </c>
      <c r="E1354" s="34" t="s">
        <v>22</v>
      </c>
      <c r="F1354" s="134">
        <v>5066</v>
      </c>
      <c r="G1354" s="37">
        <v>43731</v>
      </c>
      <c r="H1354" s="34">
        <v>3506</v>
      </c>
      <c r="I1354" s="39">
        <f>VLOOKUP(H1354,'PUR-HSN MASTER'!$A$4:$E$5000,5,FALSE)</f>
        <v>18</v>
      </c>
      <c r="J1354" s="38">
        <v>5</v>
      </c>
      <c r="K1354" s="40">
        <f>279.64+50.84</f>
        <v>330.48</v>
      </c>
      <c r="L1354" s="39">
        <v>0</v>
      </c>
      <c r="M1354" s="39">
        <v>29.743200000000002</v>
      </c>
      <c r="N1354" s="39">
        <v>29.743200000000002</v>
      </c>
      <c r="O1354" s="39">
        <v>0</v>
      </c>
      <c r="P1354" s="39">
        <v>389.99639999999999</v>
      </c>
      <c r="Q1354" s="34" t="s">
        <v>410</v>
      </c>
      <c r="R1354" s="34" t="s">
        <v>26</v>
      </c>
      <c r="S1354" s="11" t="s">
        <v>4120</v>
      </c>
    </row>
    <row r="1355" spans="1:19" x14ac:dyDescent="0.2">
      <c r="A1355" s="51">
        <v>43709</v>
      </c>
      <c r="B1355" s="34"/>
      <c r="C1355" s="35" t="s">
        <v>565</v>
      </c>
      <c r="D1355" s="34" t="str">
        <f>VLOOKUP(C1355,'PUR-PARTY MASTER'!$B$4:$E$2000,2,FALSE)</f>
        <v>27ADOPJ4418Q1ZV</v>
      </c>
      <c r="E1355" s="34" t="s">
        <v>22</v>
      </c>
      <c r="F1355" s="134">
        <v>5066</v>
      </c>
      <c r="G1355" s="37">
        <v>43731</v>
      </c>
      <c r="H1355" s="34">
        <v>6805</v>
      </c>
      <c r="I1355" s="39">
        <f>VLOOKUP(H1355,'PUR-HSN MASTER'!$A$4:$E$5000,5,FALSE)</f>
        <v>18</v>
      </c>
      <c r="J1355" s="38">
        <v>4</v>
      </c>
      <c r="K1355" s="40">
        <v>60</v>
      </c>
      <c r="L1355" s="39">
        <v>0</v>
      </c>
      <c r="M1355" s="39">
        <v>5.3999999999999995</v>
      </c>
      <c r="N1355" s="39">
        <v>5.3999999999999995</v>
      </c>
      <c r="O1355" s="39">
        <v>0</v>
      </c>
      <c r="P1355" s="39">
        <v>70.8</v>
      </c>
      <c r="Q1355" s="34" t="s">
        <v>410</v>
      </c>
      <c r="R1355" s="34" t="s">
        <v>26</v>
      </c>
      <c r="S1355" s="11" t="s">
        <v>4120</v>
      </c>
    </row>
    <row r="1356" spans="1:19" x14ac:dyDescent="0.2">
      <c r="A1356" s="51">
        <v>43709</v>
      </c>
      <c r="B1356" s="34"/>
      <c r="C1356" s="35" t="s">
        <v>565</v>
      </c>
      <c r="D1356" s="34" t="str">
        <f>VLOOKUP(C1356,'PUR-PARTY MASTER'!$B$4:$E$2000,2,FALSE)</f>
        <v>27ADOPJ4418Q1ZV</v>
      </c>
      <c r="E1356" s="34" t="s">
        <v>22</v>
      </c>
      <c r="F1356" s="134">
        <v>5066</v>
      </c>
      <c r="G1356" s="37">
        <v>43731</v>
      </c>
      <c r="H1356" s="34">
        <v>7318</v>
      </c>
      <c r="I1356" s="39">
        <f>VLOOKUP(H1356,'PUR-HSN MASTER'!$A$4:$E$5000,5,FALSE)</f>
        <v>18</v>
      </c>
      <c r="J1356" s="38">
        <v>24</v>
      </c>
      <c r="K1356" s="40">
        <f>40+40</f>
        <v>80</v>
      </c>
      <c r="L1356" s="39">
        <v>0</v>
      </c>
      <c r="M1356" s="39">
        <v>7.2</v>
      </c>
      <c r="N1356" s="39">
        <v>7.2</v>
      </c>
      <c r="O1356" s="39">
        <v>0</v>
      </c>
      <c r="P1356" s="39">
        <v>94.4</v>
      </c>
      <c r="Q1356" s="34" t="s">
        <v>410</v>
      </c>
      <c r="R1356" s="34" t="s">
        <v>26</v>
      </c>
      <c r="S1356" s="11" t="s">
        <v>4120</v>
      </c>
    </row>
    <row r="1357" spans="1:19" x14ac:dyDescent="0.2">
      <c r="A1357" s="51">
        <v>43709</v>
      </c>
      <c r="B1357" s="34"/>
      <c r="C1357" s="35" t="s">
        <v>565</v>
      </c>
      <c r="D1357" s="34" t="str">
        <f>VLOOKUP(C1357,'PUR-PARTY MASTER'!$B$4:$E$2000,2,FALSE)</f>
        <v>27ADOPJ4418Q1ZV</v>
      </c>
      <c r="E1357" s="34" t="s">
        <v>22</v>
      </c>
      <c r="F1357" s="134">
        <v>5066</v>
      </c>
      <c r="G1357" s="37">
        <v>43731</v>
      </c>
      <c r="H1357" s="34">
        <v>3917</v>
      </c>
      <c r="I1357" s="39">
        <f>VLOOKUP(H1357,'PUR-HSN MASTER'!$A$4:$E$5000,5,FALSE)</f>
        <v>18</v>
      </c>
      <c r="J1357" s="38">
        <v>35</v>
      </c>
      <c r="K1357" s="40">
        <f>10+13.01+140+118.35+650</f>
        <v>931.36</v>
      </c>
      <c r="L1357" s="39">
        <v>0</v>
      </c>
      <c r="M1357" s="39">
        <v>83.822400000000016</v>
      </c>
      <c r="N1357" s="39">
        <v>83.822400000000016</v>
      </c>
      <c r="O1357" s="39">
        <v>0</v>
      </c>
      <c r="P1357" s="39">
        <v>1099.0048000000002</v>
      </c>
      <c r="Q1357" s="34" t="s">
        <v>410</v>
      </c>
      <c r="R1357" s="34" t="s">
        <v>26</v>
      </c>
      <c r="S1357" s="11" t="s">
        <v>4120</v>
      </c>
    </row>
    <row r="1358" spans="1:19" x14ac:dyDescent="0.2">
      <c r="A1358" s="51">
        <v>43709</v>
      </c>
      <c r="B1358" s="34"/>
      <c r="C1358" s="35" t="s">
        <v>565</v>
      </c>
      <c r="D1358" s="34" t="str">
        <f>VLOOKUP(C1358,'PUR-PARTY MASTER'!$B$4:$E$2000,2,FALSE)</f>
        <v>27ADOPJ4418Q1ZV</v>
      </c>
      <c r="E1358" s="34" t="s">
        <v>22</v>
      </c>
      <c r="F1358" s="134">
        <v>5066</v>
      </c>
      <c r="G1358" s="37">
        <v>43731</v>
      </c>
      <c r="H1358" s="34">
        <v>9405</v>
      </c>
      <c r="I1358" s="39">
        <f>VLOOKUP(H1358,'PUR-HSN MASTER'!$A$4:$E$5000,5,FALSE)</f>
        <v>12</v>
      </c>
      <c r="J1358" s="38">
        <v>1</v>
      </c>
      <c r="K1358" s="40">
        <v>400</v>
      </c>
      <c r="L1358" s="39">
        <v>0</v>
      </c>
      <c r="M1358" s="39">
        <v>24</v>
      </c>
      <c r="N1358" s="39">
        <v>24</v>
      </c>
      <c r="O1358" s="39">
        <v>0</v>
      </c>
      <c r="P1358" s="39">
        <v>448</v>
      </c>
      <c r="Q1358" s="34" t="s">
        <v>410</v>
      </c>
      <c r="R1358" s="34" t="s">
        <v>26</v>
      </c>
      <c r="S1358" s="11" t="s">
        <v>4120</v>
      </c>
    </row>
    <row r="1359" spans="1:19" x14ac:dyDescent="0.2">
      <c r="A1359" s="51">
        <v>43709</v>
      </c>
      <c r="B1359" s="34"/>
      <c r="C1359" s="35" t="s">
        <v>565</v>
      </c>
      <c r="D1359" s="34" t="str">
        <f>VLOOKUP(C1359,'PUR-PARTY MASTER'!$B$4:$E$2000,2,FALSE)</f>
        <v>27ADOPJ4418Q1ZV</v>
      </c>
      <c r="E1359" s="34" t="s">
        <v>22</v>
      </c>
      <c r="F1359" s="134">
        <v>5066</v>
      </c>
      <c r="G1359" s="37">
        <v>43731</v>
      </c>
      <c r="H1359" s="34">
        <v>8205</v>
      </c>
      <c r="I1359" s="39">
        <f>VLOOKUP(H1359,'PUR-HSN MASTER'!$A$4:$E$5000,5,FALSE)</f>
        <v>18</v>
      </c>
      <c r="J1359" s="38">
        <v>2</v>
      </c>
      <c r="K1359" s="40">
        <v>46.61</v>
      </c>
      <c r="L1359" s="39">
        <v>0</v>
      </c>
      <c r="M1359" s="39">
        <v>4.1949000000000005</v>
      </c>
      <c r="N1359" s="39">
        <v>4.1949000000000005</v>
      </c>
      <c r="O1359" s="39">
        <v>0</v>
      </c>
      <c r="P1359" s="39">
        <v>54.9998</v>
      </c>
      <c r="Q1359" s="34" t="s">
        <v>410</v>
      </c>
      <c r="R1359" s="34" t="s">
        <v>26</v>
      </c>
      <c r="S1359" s="11" t="s">
        <v>4120</v>
      </c>
    </row>
    <row r="1360" spans="1:19" x14ac:dyDescent="0.2">
      <c r="A1360" s="51">
        <v>43709</v>
      </c>
      <c r="B1360" s="34"/>
      <c r="C1360" s="35" t="s">
        <v>565</v>
      </c>
      <c r="D1360" s="34" t="str">
        <f>VLOOKUP(C1360,'PUR-PARTY MASTER'!$B$4:$E$2000,2,FALSE)</f>
        <v>27ADOPJ4418Q1ZV</v>
      </c>
      <c r="E1360" s="34" t="s">
        <v>22</v>
      </c>
      <c r="F1360" s="134">
        <v>5066</v>
      </c>
      <c r="G1360" s="37">
        <v>43731</v>
      </c>
      <c r="H1360" s="34">
        <v>8203</v>
      </c>
      <c r="I1360" s="39">
        <f>VLOOKUP(H1360,'PUR-HSN MASTER'!$A$4:$E$5000,5,FALSE)</f>
        <v>18</v>
      </c>
      <c r="J1360" s="38">
        <v>22</v>
      </c>
      <c r="K1360" s="40">
        <f>50+60</f>
        <v>110</v>
      </c>
      <c r="L1360" s="39">
        <v>0</v>
      </c>
      <c r="M1360" s="39">
        <v>9.9</v>
      </c>
      <c r="N1360" s="39">
        <v>9.9</v>
      </c>
      <c r="O1360" s="39">
        <v>0</v>
      </c>
      <c r="P1360" s="39">
        <v>129.80000000000001</v>
      </c>
      <c r="Q1360" s="34" t="s">
        <v>410</v>
      </c>
      <c r="R1360" s="34" t="s">
        <v>26</v>
      </c>
      <c r="S1360" s="11" t="s">
        <v>4120</v>
      </c>
    </row>
    <row r="1361" spans="1:19" x14ac:dyDescent="0.2">
      <c r="A1361" s="51">
        <v>43709</v>
      </c>
      <c r="B1361" s="34"/>
      <c r="C1361" s="35" t="s">
        <v>565</v>
      </c>
      <c r="D1361" s="34" t="str">
        <f>VLOOKUP(C1361,'PUR-PARTY MASTER'!$B$4:$E$2000,2,FALSE)</f>
        <v>27ADOPJ4418Q1ZV</v>
      </c>
      <c r="E1361" s="34" t="s">
        <v>22</v>
      </c>
      <c r="F1361" s="134">
        <v>5066</v>
      </c>
      <c r="G1361" s="37">
        <v>43731</v>
      </c>
      <c r="H1361" s="34">
        <v>8202</v>
      </c>
      <c r="I1361" s="39">
        <f>VLOOKUP(H1361,'PUR-HSN MASTER'!$A$4:$E$5000,5,FALSE)</f>
        <v>18</v>
      </c>
      <c r="J1361" s="38">
        <v>1</v>
      </c>
      <c r="K1361" s="40">
        <v>15</v>
      </c>
      <c r="L1361" s="39">
        <v>0</v>
      </c>
      <c r="M1361" s="39">
        <v>1.3499999999999999</v>
      </c>
      <c r="N1361" s="39">
        <v>1.3499999999999999</v>
      </c>
      <c r="O1361" s="39">
        <v>0</v>
      </c>
      <c r="P1361" s="39">
        <v>17.7</v>
      </c>
      <c r="Q1361" s="34" t="s">
        <v>410</v>
      </c>
      <c r="R1361" s="34" t="s">
        <v>26</v>
      </c>
      <c r="S1361" s="11" t="s">
        <v>4120</v>
      </c>
    </row>
    <row r="1362" spans="1:19" x14ac:dyDescent="0.2">
      <c r="A1362" s="51">
        <v>43709</v>
      </c>
      <c r="B1362" s="34"/>
      <c r="C1362" s="35" t="s">
        <v>565</v>
      </c>
      <c r="D1362" s="34" t="str">
        <f>VLOOKUP(C1362,'PUR-PARTY MASTER'!$B$4:$E$2000,2,FALSE)</f>
        <v>27ADOPJ4418Q1ZV</v>
      </c>
      <c r="E1362" s="34" t="s">
        <v>22</v>
      </c>
      <c r="F1362" s="134">
        <v>5066</v>
      </c>
      <c r="G1362" s="37">
        <v>43731</v>
      </c>
      <c r="H1362" s="34">
        <v>3924</v>
      </c>
      <c r="I1362" s="39">
        <f>VLOOKUP(H1362,'PUR-HSN MASTER'!$A$4:$E$5000,5,FALSE)</f>
        <v>18</v>
      </c>
      <c r="J1362" s="38">
        <v>1</v>
      </c>
      <c r="K1362" s="40">
        <v>180</v>
      </c>
      <c r="L1362" s="39">
        <v>0</v>
      </c>
      <c r="M1362" s="39">
        <v>16.2</v>
      </c>
      <c r="N1362" s="39">
        <v>16.2</v>
      </c>
      <c r="O1362" s="39">
        <v>0</v>
      </c>
      <c r="P1362" s="39">
        <v>212.4</v>
      </c>
      <c r="Q1362" s="34" t="s">
        <v>410</v>
      </c>
      <c r="R1362" s="34" t="s">
        <v>26</v>
      </c>
      <c r="S1362" s="11" t="s">
        <v>4120</v>
      </c>
    </row>
    <row r="1363" spans="1:19" x14ac:dyDescent="0.2">
      <c r="A1363" s="51">
        <v>43709</v>
      </c>
      <c r="B1363" s="34"/>
      <c r="C1363" s="35" t="s">
        <v>565</v>
      </c>
      <c r="D1363" s="34" t="str">
        <f>VLOOKUP(C1363,'PUR-PARTY MASTER'!$B$4:$E$2000,2,FALSE)</f>
        <v>27ADOPJ4418Q1ZV</v>
      </c>
      <c r="E1363" s="34" t="s">
        <v>22</v>
      </c>
      <c r="F1363" s="134">
        <v>5066</v>
      </c>
      <c r="G1363" s="37">
        <v>43731</v>
      </c>
      <c r="H1363" s="34">
        <v>3926</v>
      </c>
      <c r="I1363" s="39">
        <f>VLOOKUP(H1363,'PUR-HSN MASTER'!$A$4:$E$5000,5,FALSE)</f>
        <v>18</v>
      </c>
      <c r="J1363" s="38">
        <v>1</v>
      </c>
      <c r="K1363" s="40">
        <v>60</v>
      </c>
      <c r="L1363" s="39">
        <v>0</v>
      </c>
      <c r="M1363" s="39">
        <v>5.3999999999999995</v>
      </c>
      <c r="N1363" s="39">
        <v>5.3999999999999995</v>
      </c>
      <c r="O1363" s="39">
        <v>0</v>
      </c>
      <c r="P1363" s="39">
        <v>70.8</v>
      </c>
      <c r="Q1363" s="34" t="s">
        <v>410</v>
      </c>
      <c r="R1363" s="34" t="s">
        <v>26</v>
      </c>
      <c r="S1363" s="11" t="s">
        <v>4120</v>
      </c>
    </row>
    <row r="1364" spans="1:19" x14ac:dyDescent="0.2">
      <c r="A1364" s="51">
        <v>43709</v>
      </c>
      <c r="B1364" s="34">
        <v>157</v>
      </c>
      <c r="C1364" s="35" t="s">
        <v>589</v>
      </c>
      <c r="D1364" s="34" t="str">
        <f>VLOOKUP(C1364,'PUR-PARTY MASTER'!$B$4:$E$2000,2,FALSE)</f>
        <v>27CVNPK1560R1ZT</v>
      </c>
      <c r="E1364" s="34" t="s">
        <v>22</v>
      </c>
      <c r="F1364" s="134">
        <v>13</v>
      </c>
      <c r="G1364" s="37">
        <v>43738</v>
      </c>
      <c r="H1364" s="34">
        <v>73110010</v>
      </c>
      <c r="I1364" s="39">
        <f>VLOOKUP(H1364,'PUR-HSN MASTER'!$A$4:$E$5000,5,FALSE)</f>
        <v>18</v>
      </c>
      <c r="J1364" s="34">
        <v>40</v>
      </c>
      <c r="K1364" s="40">
        <v>83385.5</v>
      </c>
      <c r="L1364" s="39">
        <v>0</v>
      </c>
      <c r="M1364" s="39">
        <v>7504.6949999999997</v>
      </c>
      <c r="N1364" s="39">
        <v>7504.6949999999997</v>
      </c>
      <c r="O1364" s="39">
        <v>0</v>
      </c>
      <c r="P1364" s="39">
        <v>98395.49</v>
      </c>
      <c r="Q1364" s="34" t="s">
        <v>410</v>
      </c>
      <c r="R1364" s="34" t="s">
        <v>26</v>
      </c>
      <c r="S1364" s="11" t="s">
        <v>4120</v>
      </c>
    </row>
    <row r="1365" spans="1:19" x14ac:dyDescent="0.2">
      <c r="A1365" s="51">
        <v>43709</v>
      </c>
      <c r="B1365" s="34">
        <v>158</v>
      </c>
      <c r="C1365" s="632" t="s">
        <v>1022</v>
      </c>
      <c r="D1365" s="34" t="str">
        <f>VLOOKUP(C1365,'PUR-PARTY MASTER'!$B$4:$E$2000,2,FALSE)</f>
        <v>27ADQFS4201G1Z1</v>
      </c>
      <c r="E1365" s="34" t="s">
        <v>22</v>
      </c>
      <c r="F1365" s="134">
        <v>80</v>
      </c>
      <c r="G1365" s="37">
        <v>43595</v>
      </c>
      <c r="H1365" s="34">
        <v>8415</v>
      </c>
      <c r="I1365" s="39">
        <f>VLOOKUP(H1365,'PUR-HSN MASTER'!$A$4:$E$5000,5,FALSE)</f>
        <v>28</v>
      </c>
      <c r="J1365" s="34">
        <v>40</v>
      </c>
      <c r="K1365" s="40">
        <v>76050</v>
      </c>
      <c r="L1365" s="39">
        <v>0</v>
      </c>
      <c r="M1365" s="39">
        <v>10647</v>
      </c>
      <c r="N1365" s="39">
        <v>10647</v>
      </c>
      <c r="O1365" s="39">
        <v>0</v>
      </c>
      <c r="P1365" s="39">
        <v>97344.6</v>
      </c>
      <c r="Q1365" s="34" t="s">
        <v>410</v>
      </c>
      <c r="R1365" s="34" t="s">
        <v>26</v>
      </c>
      <c r="S1365" s="11" t="s">
        <v>4120</v>
      </c>
    </row>
    <row r="1366" spans="1:19" x14ac:dyDescent="0.2">
      <c r="A1366" s="51">
        <v>43709</v>
      </c>
      <c r="B1366" s="34">
        <v>159</v>
      </c>
      <c r="C1366" s="632" t="s">
        <v>1024</v>
      </c>
      <c r="D1366" s="34" t="str">
        <f>VLOOKUP(C1366,'PUR-PARTY MASTER'!$B$4:$E$2000,2,FALSE)</f>
        <v>27BATPB9743H1Z8</v>
      </c>
      <c r="E1366" s="34" t="s">
        <v>22</v>
      </c>
      <c r="F1366" s="134">
        <v>374</v>
      </c>
      <c r="G1366" s="37">
        <v>43726</v>
      </c>
      <c r="H1366" s="34">
        <v>8471</v>
      </c>
      <c r="I1366" s="39">
        <f>VLOOKUP(H1366,'PUR-HSN MASTER'!$A$4:$E$5000,5,FALSE)</f>
        <v>18</v>
      </c>
      <c r="J1366" s="34">
        <v>40</v>
      </c>
      <c r="K1366" s="40">
        <v>73305.289999999994</v>
      </c>
      <c r="L1366" s="39">
        <v>0</v>
      </c>
      <c r="M1366" s="39">
        <v>6597.476099999999</v>
      </c>
      <c r="N1366" s="39">
        <v>6597.476099999999</v>
      </c>
      <c r="O1366" s="39">
        <v>0</v>
      </c>
      <c r="P1366" s="39">
        <v>86500.002199999988</v>
      </c>
      <c r="Q1366" s="34" t="s">
        <v>410</v>
      </c>
      <c r="R1366" s="34" t="s">
        <v>26</v>
      </c>
      <c r="S1366" s="11" t="s">
        <v>4120</v>
      </c>
    </row>
    <row r="1367" spans="1:19" x14ac:dyDescent="0.2">
      <c r="A1367" s="51">
        <v>43709</v>
      </c>
      <c r="B1367" s="34">
        <v>14</v>
      </c>
      <c r="C1367" s="35" t="s">
        <v>600</v>
      </c>
      <c r="D1367" s="34">
        <f>VLOOKUP(C1367,'PUR-PARTY MASTER'!$B$4:$E$2000,2,FALSE)</f>
        <v>2</v>
      </c>
      <c r="E1367" s="34" t="s">
        <v>392</v>
      </c>
      <c r="F1367" s="627">
        <v>27</v>
      </c>
      <c r="G1367" s="37">
        <v>43714</v>
      </c>
      <c r="H1367" s="34"/>
      <c r="I1367" s="39" t="e">
        <f>VLOOKUP(H1367,'PUR-HSN MASTER'!$A$4:$E$5000,5,FALSE)</f>
        <v>#N/A</v>
      </c>
      <c r="J1367" s="34"/>
      <c r="K1367" s="41"/>
      <c r="L1367" s="39">
        <v>0</v>
      </c>
      <c r="M1367" s="39">
        <v>0</v>
      </c>
      <c r="N1367" s="39">
        <v>0</v>
      </c>
      <c r="O1367" s="39">
        <v>0</v>
      </c>
      <c r="P1367" s="39">
        <v>22100</v>
      </c>
      <c r="Q1367" s="34" t="s">
        <v>413</v>
      </c>
      <c r="R1367" s="34" t="e">
        <v>#N/A</v>
      </c>
      <c r="S1367" s="11" t="s">
        <v>4120</v>
      </c>
    </row>
    <row r="1368" spans="1:19" x14ac:dyDescent="0.2">
      <c r="A1368" s="51">
        <v>43709</v>
      </c>
      <c r="B1368" s="34">
        <v>15</v>
      </c>
      <c r="C1368" s="35" t="s">
        <v>686</v>
      </c>
      <c r="D1368" s="34" t="str">
        <f>VLOOKUP(C1368,'PUR-PARTY MASTER'!$B$4:$E$2000,2,FALSE)</f>
        <v>23AAFFO4378L1ZX</v>
      </c>
      <c r="E1368" s="34" t="s">
        <v>392</v>
      </c>
      <c r="F1368" s="627">
        <v>1625</v>
      </c>
      <c r="G1368" s="37">
        <v>43725</v>
      </c>
      <c r="H1368" s="34"/>
      <c r="I1368" s="39" t="e">
        <f>VLOOKUP(H1368,'PUR-HSN MASTER'!$A$4:$E$5000,5,FALSE)</f>
        <v>#N/A</v>
      </c>
      <c r="J1368" s="34"/>
      <c r="K1368" s="41"/>
      <c r="L1368" s="39">
        <v>0</v>
      </c>
      <c r="M1368" s="39">
        <v>0</v>
      </c>
      <c r="N1368" s="39">
        <v>0</v>
      </c>
      <c r="O1368" s="39">
        <v>0</v>
      </c>
      <c r="P1368" s="39">
        <v>6050</v>
      </c>
      <c r="Q1368" s="34" t="s">
        <v>413</v>
      </c>
      <c r="R1368" s="34" t="s">
        <v>106</v>
      </c>
      <c r="S1368" s="11" t="s">
        <v>4120</v>
      </c>
    </row>
    <row r="1369" spans="1:19" x14ac:dyDescent="0.2">
      <c r="A1369" s="51">
        <v>43709</v>
      </c>
      <c r="B1369" s="34">
        <v>16</v>
      </c>
      <c r="C1369" s="35" t="s">
        <v>686</v>
      </c>
      <c r="D1369" s="34" t="str">
        <f>VLOOKUP(C1369,'PUR-PARTY MASTER'!$B$4:$E$2000,2,FALSE)</f>
        <v>23AAFFO4378L1ZX</v>
      </c>
      <c r="E1369" s="34" t="s">
        <v>392</v>
      </c>
      <c r="F1369" s="627">
        <v>1639</v>
      </c>
      <c r="G1369" s="37">
        <v>43729</v>
      </c>
      <c r="H1369" s="34"/>
      <c r="I1369" s="39" t="e">
        <f>VLOOKUP(H1369,'PUR-HSN MASTER'!$A$4:$E$5000,5,FALSE)</f>
        <v>#N/A</v>
      </c>
      <c r="J1369" s="34"/>
      <c r="K1369" s="41"/>
      <c r="L1369" s="39">
        <v>0</v>
      </c>
      <c r="M1369" s="39">
        <v>0</v>
      </c>
      <c r="N1369" s="39">
        <v>0</v>
      </c>
      <c r="O1369" s="39">
        <v>0</v>
      </c>
      <c r="P1369" s="39">
        <v>2800</v>
      </c>
      <c r="Q1369" s="34" t="s">
        <v>413</v>
      </c>
      <c r="R1369" s="34" t="s">
        <v>106</v>
      </c>
      <c r="S1369" s="11" t="s">
        <v>4120</v>
      </c>
    </row>
    <row r="1370" spans="1:19" x14ac:dyDescent="0.2">
      <c r="A1370" s="51">
        <v>43709</v>
      </c>
      <c r="B1370" s="34">
        <v>17</v>
      </c>
      <c r="C1370" s="35" t="s">
        <v>673</v>
      </c>
      <c r="D1370" s="34" t="str">
        <f>VLOOKUP(C1370,'PUR-PARTY MASTER'!$B$4:$E$2000,2,FALSE)</f>
        <v>27AAFCD5233J1ZM</v>
      </c>
      <c r="E1370" s="34" t="s">
        <v>392</v>
      </c>
      <c r="F1370" s="136" t="s">
        <v>1026</v>
      </c>
      <c r="G1370" s="37">
        <v>43732</v>
      </c>
      <c r="H1370" s="34"/>
      <c r="I1370" s="39" t="e">
        <f>VLOOKUP(H1370,'PUR-HSN MASTER'!$A$4:$E$5000,5,FALSE)</f>
        <v>#N/A</v>
      </c>
      <c r="J1370" s="34"/>
      <c r="K1370" s="41"/>
      <c r="L1370" s="39">
        <v>0</v>
      </c>
      <c r="M1370" s="39">
        <v>0</v>
      </c>
      <c r="N1370" s="39">
        <v>0</v>
      </c>
      <c r="O1370" s="39">
        <v>0</v>
      </c>
      <c r="P1370" s="39">
        <v>4500</v>
      </c>
      <c r="Q1370" s="34" t="s">
        <v>413</v>
      </c>
      <c r="R1370" s="34" t="s">
        <v>26</v>
      </c>
      <c r="S1370" s="11" t="s">
        <v>4120</v>
      </c>
    </row>
    <row r="1371" spans="1:19" x14ac:dyDescent="0.2">
      <c r="A1371" s="51">
        <v>43709</v>
      </c>
      <c r="B1371" s="34">
        <v>18</v>
      </c>
      <c r="C1371" s="35" t="s">
        <v>686</v>
      </c>
      <c r="D1371" s="34" t="str">
        <f>VLOOKUP(C1371,'PUR-PARTY MASTER'!$B$4:$E$2000,2,FALSE)</f>
        <v>23AAFFO4378L1ZX</v>
      </c>
      <c r="E1371" s="34" t="s">
        <v>392</v>
      </c>
      <c r="F1371" s="627" t="s">
        <v>1027</v>
      </c>
      <c r="G1371" s="37">
        <v>43735</v>
      </c>
      <c r="H1371" s="34"/>
      <c r="I1371" s="39" t="e">
        <f>VLOOKUP(H1371,'PUR-HSN MASTER'!$A$4:$E$5000,5,FALSE)</f>
        <v>#N/A</v>
      </c>
      <c r="J1371" s="34"/>
      <c r="K1371" s="41"/>
      <c r="L1371" s="39">
        <v>0</v>
      </c>
      <c r="M1371" s="39">
        <v>0</v>
      </c>
      <c r="N1371" s="39">
        <v>0</v>
      </c>
      <c r="O1371" s="39">
        <v>0</v>
      </c>
      <c r="P1371" s="39">
        <v>1500</v>
      </c>
      <c r="Q1371" s="34" t="s">
        <v>413</v>
      </c>
      <c r="R1371" s="34" t="s">
        <v>106</v>
      </c>
      <c r="S1371" s="11" t="s">
        <v>4120</v>
      </c>
    </row>
    <row r="1372" spans="1:19" x14ac:dyDescent="0.2">
      <c r="A1372" s="34"/>
      <c r="B1372" s="34"/>
      <c r="C1372" s="34"/>
      <c r="D1372" s="34" t="e">
        <f>VLOOKUP(C1372,'PUR-PARTY MASTER'!$B$4:$E$2000,2,FALSE)</f>
        <v>#N/A</v>
      </c>
      <c r="E1372" s="34"/>
      <c r="F1372" s="34"/>
      <c r="G1372" s="34"/>
      <c r="H1372" s="34"/>
      <c r="I1372" s="39" t="e">
        <f>VLOOKUP(H1372,'PUR-HSN MASTER'!$A$4:$E$5000,5,FALSE)</f>
        <v>#N/A</v>
      </c>
      <c r="J1372" s="34"/>
      <c r="K1372" s="39"/>
      <c r="L1372" s="39"/>
      <c r="M1372" s="39"/>
      <c r="N1372" s="39"/>
      <c r="O1372" s="39"/>
      <c r="P1372" s="39"/>
      <c r="Q1372" s="34"/>
      <c r="R1372" s="34" t="e">
        <v>#N/A</v>
      </c>
      <c r="S1372" s="11" t="s">
        <v>4120</v>
      </c>
    </row>
    <row r="1373" spans="1:19" x14ac:dyDescent="0.2">
      <c r="A1373" s="34"/>
      <c r="B1373" s="34"/>
      <c r="C1373" s="34"/>
      <c r="D1373" s="34" t="e">
        <f>VLOOKUP(C1373,'PUR-PARTY MASTER'!$B$4:$E$2000,2,FALSE)</f>
        <v>#N/A</v>
      </c>
      <c r="E1373" s="34"/>
      <c r="F1373" s="34"/>
      <c r="G1373" s="34"/>
      <c r="H1373" s="34"/>
      <c r="I1373" s="39" t="e">
        <f>VLOOKUP(H1373,'PUR-HSN MASTER'!$A$4:$E$5000,5,FALSE)</f>
        <v>#N/A</v>
      </c>
      <c r="J1373" s="34"/>
      <c r="K1373" s="39"/>
      <c r="L1373" s="39"/>
      <c r="M1373" s="39"/>
      <c r="N1373" s="39"/>
      <c r="O1373" s="39"/>
      <c r="P1373" s="39"/>
      <c r="Q1373" s="34"/>
      <c r="R1373" s="34" t="e">
        <v>#N/A</v>
      </c>
      <c r="S1373" s="11" t="s">
        <v>4120</v>
      </c>
    </row>
    <row r="1374" spans="1:19" x14ac:dyDescent="0.2">
      <c r="A1374" s="51">
        <v>43739</v>
      </c>
      <c r="B1374" s="34">
        <v>1</v>
      </c>
      <c r="C1374" s="35" t="s">
        <v>487</v>
      </c>
      <c r="D1374" s="34" t="str">
        <f>VLOOKUP(C1374,'PUR-PARTY MASTER'!$B$4:$E$2000,2,FALSE)</f>
        <v>27AFJPK6177Q1ZJ</v>
      </c>
      <c r="E1374" s="34" t="s">
        <v>22</v>
      </c>
      <c r="F1374" s="134">
        <v>1215</v>
      </c>
      <c r="G1374" s="37">
        <v>43739</v>
      </c>
      <c r="H1374" s="34">
        <v>34029092</v>
      </c>
      <c r="I1374" s="39">
        <f>VLOOKUP(H1374,'PUR-HSN MASTER'!$A$4:$E$5000,5,FALSE)</f>
        <v>18</v>
      </c>
      <c r="J1374" s="38">
        <v>100</v>
      </c>
      <c r="K1374" s="40">
        <v>8000</v>
      </c>
      <c r="L1374" s="118">
        <f>+IF(R1374="Oms",K1374/100*I1374,0)</f>
        <v>0</v>
      </c>
      <c r="M1374" s="118">
        <f>+IF(R1374="local",K1374/100*I1374/2,0)</f>
        <v>720</v>
      </c>
      <c r="N1374" s="118">
        <f>+IF(R1374="local",K1374/100*I1374/2,0)</f>
        <v>720</v>
      </c>
      <c r="O1374" s="118">
        <v>0</v>
      </c>
      <c r="P1374" s="127">
        <f>+O1374+N1374+M1374+L1374+K1374</f>
        <v>9440</v>
      </c>
      <c r="Q1374" s="34" t="s">
        <v>410</v>
      </c>
      <c r="R1374" s="34" t="str">
        <f>VLOOKUP(C1374,'PUR-PARTY MASTER'!$B$4:$E$2000,4,FALSE)</f>
        <v>Local</v>
      </c>
      <c r="S1374" s="11" t="s">
        <v>4120</v>
      </c>
    </row>
    <row r="1375" spans="1:19" x14ac:dyDescent="0.2">
      <c r="A1375" s="51">
        <v>43739</v>
      </c>
      <c r="B1375" s="34">
        <v>2</v>
      </c>
      <c r="C1375" s="35" t="s">
        <v>473</v>
      </c>
      <c r="D1375" s="34" t="str">
        <f>VLOOKUP(C1375,'PUR-PARTY MASTER'!$B$4:$E$2000,2,FALSE)</f>
        <v>27AAACT1848E1ZH</v>
      </c>
      <c r="E1375" s="34" t="s">
        <v>22</v>
      </c>
      <c r="F1375" s="136" t="s">
        <v>2442</v>
      </c>
      <c r="G1375" s="37">
        <v>43739</v>
      </c>
      <c r="H1375" s="34">
        <v>87089900</v>
      </c>
      <c r="I1375" s="39">
        <f>VLOOKUP(H1375,'PUR-HSN MASTER'!$A$4:$E$5000,5,FALSE)</f>
        <v>28</v>
      </c>
      <c r="J1375" s="34">
        <v>40</v>
      </c>
      <c r="K1375" s="126">
        <v>6412</v>
      </c>
      <c r="L1375" s="118">
        <f t="shared" ref="L1375:L1438" si="0">+IF(R1375="Oms",K1375/100*I1375,0)</f>
        <v>0</v>
      </c>
      <c r="M1375" s="118">
        <f t="shared" ref="M1375:M1438" si="1">+IF(R1375="local",K1375/100*I1375/2,0)</f>
        <v>897.68000000000006</v>
      </c>
      <c r="N1375" s="118">
        <f t="shared" ref="N1375:N1438" si="2">+IF(R1375="local",K1375/100*I1375/2,0)</f>
        <v>897.68000000000006</v>
      </c>
      <c r="O1375" s="118">
        <v>0</v>
      </c>
      <c r="P1375" s="127">
        <f t="shared" ref="P1375:P1438" si="3">+O1375+N1375+M1375+L1375+K1375</f>
        <v>8207.36</v>
      </c>
      <c r="Q1375" s="34" t="s">
        <v>410</v>
      </c>
      <c r="R1375" s="34" t="str">
        <f>VLOOKUP(C1375,'PUR-PARTY MASTER'!$B$4:$E$2000,4,FALSE)</f>
        <v>Local</v>
      </c>
      <c r="S1375" s="11" t="s">
        <v>4120</v>
      </c>
    </row>
    <row r="1376" spans="1:19" x14ac:dyDescent="0.2">
      <c r="A1376" s="51">
        <v>43739</v>
      </c>
      <c r="B1376" s="34">
        <v>3</v>
      </c>
      <c r="C1376" s="35" t="s">
        <v>473</v>
      </c>
      <c r="D1376" s="34" t="str">
        <f>VLOOKUP(C1376,'PUR-PARTY MASTER'!$B$4:$E$2000,2,FALSE)</f>
        <v>27AAACT1848E1ZH</v>
      </c>
      <c r="E1376" s="34" t="s">
        <v>22</v>
      </c>
      <c r="F1376" s="136" t="s">
        <v>2443</v>
      </c>
      <c r="G1376" s="37">
        <v>43739</v>
      </c>
      <c r="H1376" s="34">
        <v>87089900</v>
      </c>
      <c r="I1376" s="39">
        <f>VLOOKUP(H1376,'PUR-HSN MASTER'!$A$4:$E$5000,5,FALSE)</f>
        <v>28</v>
      </c>
      <c r="J1376" s="34">
        <v>26</v>
      </c>
      <c r="K1376" s="126">
        <v>3656.9</v>
      </c>
      <c r="L1376" s="118">
        <f t="shared" si="0"/>
        <v>0</v>
      </c>
      <c r="M1376" s="118">
        <f t="shared" si="1"/>
        <v>511.96600000000001</v>
      </c>
      <c r="N1376" s="118">
        <f t="shared" si="2"/>
        <v>511.96600000000001</v>
      </c>
      <c r="O1376" s="118">
        <v>0</v>
      </c>
      <c r="P1376" s="127">
        <f t="shared" si="3"/>
        <v>4680.8320000000003</v>
      </c>
      <c r="Q1376" s="34" t="s">
        <v>410</v>
      </c>
      <c r="R1376" s="34" t="str">
        <f>VLOOKUP(C1376,'PUR-PARTY MASTER'!$B$4:$E$2000,4,FALSE)</f>
        <v>Local</v>
      </c>
      <c r="S1376" s="11" t="s">
        <v>4120</v>
      </c>
    </row>
    <row r="1377" spans="1:19" x14ac:dyDescent="0.2">
      <c r="A1377" s="51">
        <v>43739</v>
      </c>
      <c r="B1377" s="34">
        <v>4</v>
      </c>
      <c r="C1377" s="35" t="s">
        <v>479</v>
      </c>
      <c r="D1377" s="34" t="str">
        <f>VLOOKUP(C1377,'PUR-PARTY MASTER'!$B$4:$E$2000,2,FALSE)</f>
        <v>27AAMFC2124K1ZG</v>
      </c>
      <c r="E1377" s="34" t="s">
        <v>22</v>
      </c>
      <c r="F1377" s="134">
        <v>1310</v>
      </c>
      <c r="G1377" s="37">
        <v>43739</v>
      </c>
      <c r="H1377" s="34">
        <v>3919</v>
      </c>
      <c r="I1377" s="39">
        <f>VLOOKUP(H1377,'PUR-HSN MASTER'!$A$4:$E$5000,5,FALSE)</f>
        <v>18</v>
      </c>
      <c r="J1377" s="34">
        <v>58</v>
      </c>
      <c r="K1377" s="126">
        <v>29500</v>
      </c>
      <c r="L1377" s="118">
        <f t="shared" si="0"/>
        <v>0</v>
      </c>
      <c r="M1377" s="118">
        <f t="shared" si="1"/>
        <v>2655</v>
      </c>
      <c r="N1377" s="118">
        <f t="shared" si="2"/>
        <v>2655</v>
      </c>
      <c r="O1377" s="118">
        <v>0</v>
      </c>
      <c r="P1377" s="127">
        <f t="shared" si="3"/>
        <v>34810</v>
      </c>
      <c r="Q1377" s="34" t="s">
        <v>410</v>
      </c>
      <c r="R1377" s="34" t="str">
        <f>VLOOKUP(C1377,'PUR-PARTY MASTER'!$B$4:$E$2000,4,FALSE)</f>
        <v>Local</v>
      </c>
      <c r="S1377" s="11" t="s">
        <v>4120</v>
      </c>
    </row>
    <row r="1378" spans="1:19" x14ac:dyDescent="0.2">
      <c r="A1378" s="51">
        <v>43739</v>
      </c>
      <c r="B1378" s="34">
        <v>5</v>
      </c>
      <c r="C1378" s="35" t="s">
        <v>489</v>
      </c>
      <c r="D1378" s="34" t="str">
        <f>VLOOKUP(C1378,'PUR-PARTY MASTER'!$B$4:$E$2000,2,FALSE)</f>
        <v>27AAECD2713N1ZK</v>
      </c>
      <c r="E1378" s="34" t="s">
        <v>22</v>
      </c>
      <c r="F1378" s="134">
        <v>7887989209</v>
      </c>
      <c r="G1378" s="37">
        <v>43739</v>
      </c>
      <c r="H1378" s="34">
        <v>39119090</v>
      </c>
      <c r="I1378" s="39">
        <f>VLOOKUP(H1378,'PUR-HSN MASTER'!$A$4:$E$5000,5,FALSE)</f>
        <v>18</v>
      </c>
      <c r="J1378" s="34">
        <v>42</v>
      </c>
      <c r="K1378" s="126">
        <f>9528+15000</f>
        <v>24528</v>
      </c>
      <c r="L1378" s="118">
        <f t="shared" si="0"/>
        <v>0</v>
      </c>
      <c r="M1378" s="118">
        <f t="shared" si="1"/>
        <v>2207.52</v>
      </c>
      <c r="N1378" s="118">
        <f t="shared" si="2"/>
        <v>2207.52</v>
      </c>
      <c r="O1378" s="118">
        <v>0</v>
      </c>
      <c r="P1378" s="127">
        <f t="shared" si="3"/>
        <v>28943.040000000001</v>
      </c>
      <c r="Q1378" s="34" t="s">
        <v>410</v>
      </c>
      <c r="R1378" s="34" t="str">
        <f>VLOOKUP(C1378,'PUR-PARTY MASTER'!$B$4:$E$2000,4,FALSE)</f>
        <v>Local</v>
      </c>
      <c r="S1378" s="11" t="s">
        <v>4120</v>
      </c>
    </row>
    <row r="1379" spans="1:19" x14ac:dyDescent="0.2">
      <c r="A1379" s="51">
        <v>43739</v>
      </c>
      <c r="B1379" s="34"/>
      <c r="C1379" s="35" t="s">
        <v>489</v>
      </c>
      <c r="D1379" s="34" t="str">
        <f>VLOOKUP(C1379,'PUR-PARTY MASTER'!$B$4:$E$2000,2,FALSE)</f>
        <v>27AAECD2713N1ZK</v>
      </c>
      <c r="E1379" s="34" t="s">
        <v>22</v>
      </c>
      <c r="F1379" s="134">
        <v>7887989209</v>
      </c>
      <c r="G1379" s="37">
        <v>43739</v>
      </c>
      <c r="H1379" s="34">
        <v>32082090</v>
      </c>
      <c r="I1379" s="39">
        <f>VLOOKUP(H1379,'PUR-HSN MASTER'!$A$4:$E$5000,5,FALSE)</f>
        <v>18</v>
      </c>
      <c r="J1379" s="34">
        <v>24</v>
      </c>
      <c r="K1379" s="126">
        <v>10560</v>
      </c>
      <c r="L1379" s="118">
        <f t="shared" si="0"/>
        <v>0</v>
      </c>
      <c r="M1379" s="118">
        <f t="shared" si="1"/>
        <v>950.4</v>
      </c>
      <c r="N1379" s="118">
        <f t="shared" si="2"/>
        <v>950.4</v>
      </c>
      <c r="O1379" s="118">
        <v>0</v>
      </c>
      <c r="P1379" s="127">
        <f t="shared" si="3"/>
        <v>12460.8</v>
      </c>
      <c r="Q1379" s="34" t="s">
        <v>410</v>
      </c>
      <c r="R1379" s="34" t="str">
        <f>VLOOKUP(C1379,'PUR-PARTY MASTER'!$B$4:$E$2000,4,FALSE)</f>
        <v>Local</v>
      </c>
      <c r="S1379" s="11" t="s">
        <v>4120</v>
      </c>
    </row>
    <row r="1380" spans="1:19" x14ac:dyDescent="0.2">
      <c r="A1380" s="51">
        <v>43739</v>
      </c>
      <c r="B1380" s="34">
        <v>6</v>
      </c>
      <c r="C1380" s="35" t="s">
        <v>489</v>
      </c>
      <c r="D1380" s="34" t="str">
        <f>VLOOKUP(C1380,'PUR-PARTY MASTER'!$B$4:$E$2000,2,FALSE)</f>
        <v>27AAECD2713N1ZK</v>
      </c>
      <c r="E1380" s="34" t="s">
        <v>22</v>
      </c>
      <c r="F1380" s="134">
        <v>7887989210</v>
      </c>
      <c r="G1380" s="37">
        <v>43739</v>
      </c>
      <c r="H1380" s="34">
        <v>32082090</v>
      </c>
      <c r="I1380" s="39">
        <f>VLOOKUP(H1380,'PUR-HSN MASTER'!$A$4:$E$5000,5,FALSE)</f>
        <v>18</v>
      </c>
      <c r="J1380" s="34">
        <v>56</v>
      </c>
      <c r="K1380" s="126">
        <f>7040+17280</f>
        <v>24320</v>
      </c>
      <c r="L1380" s="118">
        <f t="shared" si="0"/>
        <v>0</v>
      </c>
      <c r="M1380" s="118">
        <f t="shared" si="1"/>
        <v>2188.7999999999997</v>
      </c>
      <c r="N1380" s="118">
        <f t="shared" si="2"/>
        <v>2188.7999999999997</v>
      </c>
      <c r="O1380" s="118">
        <v>0</v>
      </c>
      <c r="P1380" s="127">
        <f t="shared" si="3"/>
        <v>28697.599999999999</v>
      </c>
      <c r="Q1380" s="34" t="s">
        <v>410</v>
      </c>
      <c r="R1380" s="34" t="str">
        <f>VLOOKUP(C1380,'PUR-PARTY MASTER'!$B$4:$E$2000,4,FALSE)</f>
        <v>Local</v>
      </c>
      <c r="S1380" s="11" t="s">
        <v>4120</v>
      </c>
    </row>
    <row r="1381" spans="1:19" x14ac:dyDescent="0.2">
      <c r="A1381" s="51">
        <v>43739</v>
      </c>
      <c r="B1381" s="34"/>
      <c r="C1381" s="35" t="s">
        <v>489</v>
      </c>
      <c r="D1381" s="34" t="str">
        <f>VLOOKUP(C1381,'PUR-PARTY MASTER'!$B$4:$E$2000,2,FALSE)</f>
        <v>27AAECD2713N1ZK</v>
      </c>
      <c r="E1381" s="34" t="s">
        <v>22</v>
      </c>
      <c r="F1381" s="134">
        <v>7887989210</v>
      </c>
      <c r="G1381" s="37">
        <v>43739</v>
      </c>
      <c r="H1381" s="34">
        <v>32082090</v>
      </c>
      <c r="I1381" s="39">
        <f>VLOOKUP(H1381,'PUR-HSN MASTER'!$A$4:$E$5000,5,FALSE)</f>
        <v>18</v>
      </c>
      <c r="J1381" s="34">
        <v>60</v>
      </c>
      <c r="K1381" s="126">
        <v>8700</v>
      </c>
      <c r="L1381" s="118">
        <f t="shared" si="0"/>
        <v>0</v>
      </c>
      <c r="M1381" s="118">
        <f t="shared" si="1"/>
        <v>783</v>
      </c>
      <c r="N1381" s="118">
        <f t="shared" si="2"/>
        <v>783</v>
      </c>
      <c r="O1381" s="118">
        <v>0</v>
      </c>
      <c r="P1381" s="127">
        <f t="shared" si="3"/>
        <v>10266</v>
      </c>
      <c r="Q1381" s="34" t="s">
        <v>410</v>
      </c>
      <c r="R1381" s="34" t="str">
        <f>VLOOKUP(C1381,'PUR-PARTY MASTER'!$B$4:$E$2000,4,FALSE)</f>
        <v>Local</v>
      </c>
      <c r="S1381" s="11" t="s">
        <v>4120</v>
      </c>
    </row>
    <row r="1382" spans="1:19" x14ac:dyDescent="0.2">
      <c r="A1382" s="51">
        <v>43739</v>
      </c>
      <c r="B1382" s="34">
        <v>7</v>
      </c>
      <c r="C1382" s="35" t="s">
        <v>506</v>
      </c>
      <c r="D1382" s="34" t="str">
        <f>VLOOKUP(C1382,'PUR-PARTY MASTER'!$B$4:$E$2000,2,FALSE)</f>
        <v>27AAACG1376N1ZC</v>
      </c>
      <c r="E1382" s="34" t="s">
        <v>22</v>
      </c>
      <c r="F1382" s="136" t="s">
        <v>2444</v>
      </c>
      <c r="G1382" s="37">
        <v>43739</v>
      </c>
      <c r="H1382" s="34">
        <v>32089029</v>
      </c>
      <c r="I1382" s="39">
        <f>VLOOKUP(H1382,'PUR-HSN MASTER'!$A$4:$E$5000,5,FALSE)</f>
        <v>18</v>
      </c>
      <c r="J1382" s="34">
        <v>60</v>
      </c>
      <c r="K1382" s="126">
        <v>21900</v>
      </c>
      <c r="L1382" s="118">
        <f t="shared" si="0"/>
        <v>0</v>
      </c>
      <c r="M1382" s="118">
        <f t="shared" si="1"/>
        <v>1971</v>
      </c>
      <c r="N1382" s="118">
        <f t="shared" si="2"/>
        <v>1971</v>
      </c>
      <c r="O1382" s="118">
        <v>0</v>
      </c>
      <c r="P1382" s="127">
        <f t="shared" si="3"/>
        <v>25842</v>
      </c>
      <c r="Q1382" s="34" t="s">
        <v>410</v>
      </c>
      <c r="R1382" s="34" t="str">
        <f>VLOOKUP(C1382,'PUR-PARTY MASTER'!$B$4:$E$2000,4,FALSE)</f>
        <v>Local</v>
      </c>
      <c r="S1382" s="11" t="s">
        <v>4120</v>
      </c>
    </row>
    <row r="1383" spans="1:19" x14ac:dyDescent="0.2">
      <c r="A1383" s="51">
        <v>43739</v>
      </c>
      <c r="B1383" s="34">
        <v>8</v>
      </c>
      <c r="C1383" s="35" t="s">
        <v>499</v>
      </c>
      <c r="D1383" s="34" t="str">
        <f>VLOOKUP(C1383,'PUR-PARTY MASTER'!$B$4:$E$2000,2,FALSE)</f>
        <v>27AAHFP1154B1ZN</v>
      </c>
      <c r="E1383" s="34" t="s">
        <v>22</v>
      </c>
      <c r="F1383" s="136" t="s">
        <v>2445</v>
      </c>
      <c r="G1383" s="37">
        <v>43739</v>
      </c>
      <c r="H1383" s="34">
        <v>34022090</v>
      </c>
      <c r="I1383" s="39">
        <f>VLOOKUP(H1383,'PUR-HSN MASTER'!$A$4:$E$5000,5,FALSE)</f>
        <v>18</v>
      </c>
      <c r="J1383" s="34">
        <v>5</v>
      </c>
      <c r="K1383" s="126">
        <v>335</v>
      </c>
      <c r="L1383" s="118">
        <f t="shared" si="0"/>
        <v>0</v>
      </c>
      <c r="M1383" s="118">
        <f t="shared" si="1"/>
        <v>30.150000000000002</v>
      </c>
      <c r="N1383" s="118">
        <f t="shared" si="2"/>
        <v>30.150000000000002</v>
      </c>
      <c r="O1383" s="118">
        <v>0</v>
      </c>
      <c r="P1383" s="127">
        <f t="shared" si="3"/>
        <v>395.3</v>
      </c>
      <c r="Q1383" s="34" t="s">
        <v>410</v>
      </c>
      <c r="R1383" s="34" t="str">
        <f>VLOOKUP(C1383,'PUR-PARTY MASTER'!$B$4:$E$2000,4,FALSE)</f>
        <v>Local</v>
      </c>
      <c r="S1383" s="11" t="s">
        <v>4120</v>
      </c>
    </row>
    <row r="1384" spans="1:19" x14ac:dyDescent="0.2">
      <c r="A1384" s="51">
        <v>43739</v>
      </c>
      <c r="B1384" s="34"/>
      <c r="C1384" s="35" t="s">
        <v>499</v>
      </c>
      <c r="D1384" s="34" t="str">
        <f>VLOOKUP(C1384,'PUR-PARTY MASTER'!$B$4:$E$2000,2,FALSE)</f>
        <v>27AAHFP1154B1ZN</v>
      </c>
      <c r="E1384" s="34" t="s">
        <v>22</v>
      </c>
      <c r="F1384" s="136" t="s">
        <v>2445</v>
      </c>
      <c r="G1384" s="37">
        <v>43739</v>
      </c>
      <c r="H1384" s="34">
        <v>29029090</v>
      </c>
      <c r="I1384" s="39">
        <f>VLOOKUP(H1384,'PUR-HSN MASTER'!$A$4:$E$5000,5,FALSE)</f>
        <v>18</v>
      </c>
      <c r="J1384" s="34">
        <v>6</v>
      </c>
      <c r="K1384" s="126">
        <v>450</v>
      </c>
      <c r="L1384" s="118">
        <f t="shared" si="0"/>
        <v>0</v>
      </c>
      <c r="M1384" s="118">
        <f t="shared" si="1"/>
        <v>40.5</v>
      </c>
      <c r="N1384" s="118">
        <f t="shared" si="2"/>
        <v>40.5</v>
      </c>
      <c r="O1384" s="118">
        <v>0</v>
      </c>
      <c r="P1384" s="127">
        <f t="shared" si="3"/>
        <v>531</v>
      </c>
      <c r="Q1384" s="34" t="s">
        <v>410</v>
      </c>
      <c r="R1384" s="34" t="str">
        <f>VLOOKUP(C1384,'PUR-PARTY MASTER'!$B$4:$E$2000,4,FALSE)</f>
        <v>Local</v>
      </c>
      <c r="S1384" s="11" t="s">
        <v>4120</v>
      </c>
    </row>
    <row r="1385" spans="1:19" x14ac:dyDescent="0.2">
      <c r="A1385" s="51">
        <v>43739</v>
      </c>
      <c r="B1385" s="34"/>
      <c r="C1385" s="35" t="s">
        <v>499</v>
      </c>
      <c r="D1385" s="34" t="str">
        <f>VLOOKUP(C1385,'PUR-PARTY MASTER'!$B$4:$E$2000,2,FALSE)</f>
        <v>27AAHFP1154B1ZN</v>
      </c>
      <c r="E1385" s="34" t="s">
        <v>22</v>
      </c>
      <c r="F1385" s="136" t="s">
        <v>2445</v>
      </c>
      <c r="G1385" s="37">
        <v>43739</v>
      </c>
      <c r="H1385" s="34">
        <v>68053050</v>
      </c>
      <c r="I1385" s="39">
        <f>VLOOKUP(H1385,'PUR-HSN MASTER'!$A$4:$E$5000,5,FALSE)</f>
        <v>18</v>
      </c>
      <c r="J1385" s="34">
        <v>105</v>
      </c>
      <c r="K1385" s="126">
        <v>2625</v>
      </c>
      <c r="L1385" s="118">
        <f t="shared" si="0"/>
        <v>0</v>
      </c>
      <c r="M1385" s="118">
        <f t="shared" si="1"/>
        <v>236.25</v>
      </c>
      <c r="N1385" s="118">
        <f t="shared" si="2"/>
        <v>236.25</v>
      </c>
      <c r="O1385" s="118">
        <v>0</v>
      </c>
      <c r="P1385" s="127">
        <f t="shared" si="3"/>
        <v>3097.5</v>
      </c>
      <c r="Q1385" s="34" t="s">
        <v>410</v>
      </c>
      <c r="R1385" s="34" t="str">
        <f>VLOOKUP(C1385,'PUR-PARTY MASTER'!$B$4:$E$2000,4,FALSE)</f>
        <v>Local</v>
      </c>
      <c r="S1385" s="11" t="s">
        <v>4120</v>
      </c>
    </row>
    <row r="1386" spans="1:19" x14ac:dyDescent="0.2">
      <c r="A1386" s="51">
        <v>43739</v>
      </c>
      <c r="B1386" s="34"/>
      <c r="C1386" s="35" t="s">
        <v>499</v>
      </c>
      <c r="D1386" s="34" t="str">
        <f>VLOOKUP(C1386,'PUR-PARTY MASTER'!$B$4:$E$2000,2,FALSE)</f>
        <v>27AAHFP1154B1ZN</v>
      </c>
      <c r="E1386" s="34" t="s">
        <v>22</v>
      </c>
      <c r="F1386" s="136" t="s">
        <v>2445</v>
      </c>
      <c r="G1386" s="37">
        <v>43739</v>
      </c>
      <c r="H1386" s="34">
        <v>34012000</v>
      </c>
      <c r="I1386" s="39">
        <f>VLOOKUP(H1386,'PUR-HSN MASTER'!$A$4:$E$5000,5,FALSE)</f>
        <v>18</v>
      </c>
      <c r="J1386" s="34">
        <v>30</v>
      </c>
      <c r="K1386" s="126">
        <v>675</v>
      </c>
      <c r="L1386" s="118">
        <f t="shared" si="0"/>
        <v>0</v>
      </c>
      <c r="M1386" s="118">
        <f t="shared" si="1"/>
        <v>60.75</v>
      </c>
      <c r="N1386" s="118">
        <f t="shared" si="2"/>
        <v>60.75</v>
      </c>
      <c r="O1386" s="118">
        <v>0</v>
      </c>
      <c r="P1386" s="127">
        <f t="shared" si="3"/>
        <v>796.5</v>
      </c>
      <c r="Q1386" s="34" t="s">
        <v>410</v>
      </c>
      <c r="R1386" s="34" t="str">
        <f>VLOOKUP(C1386,'PUR-PARTY MASTER'!$B$4:$E$2000,4,FALSE)</f>
        <v>Local</v>
      </c>
      <c r="S1386" s="11" t="s">
        <v>4120</v>
      </c>
    </row>
    <row r="1387" spans="1:19" x14ac:dyDescent="0.2">
      <c r="A1387" s="51">
        <v>43739</v>
      </c>
      <c r="B1387" s="34"/>
      <c r="C1387" s="35" t="s">
        <v>499</v>
      </c>
      <c r="D1387" s="34" t="str">
        <f>VLOOKUP(C1387,'PUR-PARTY MASTER'!$B$4:$E$2000,2,FALSE)</f>
        <v>27AAHFP1154B1ZN</v>
      </c>
      <c r="E1387" s="34" t="s">
        <v>22</v>
      </c>
      <c r="F1387" s="136" t="s">
        <v>2445</v>
      </c>
      <c r="G1387" s="37">
        <v>43739</v>
      </c>
      <c r="H1387" s="34">
        <v>63071090</v>
      </c>
      <c r="I1387" s="39">
        <f>VLOOKUP(H1387,'PUR-HSN MASTER'!$A$4:$E$5000,5,FALSE)</f>
        <v>18</v>
      </c>
      <c r="J1387" s="34">
        <v>24</v>
      </c>
      <c r="K1387" s="126">
        <v>288</v>
      </c>
      <c r="L1387" s="118">
        <f t="shared" si="0"/>
        <v>0</v>
      </c>
      <c r="M1387" s="118">
        <f t="shared" si="1"/>
        <v>25.919999999999998</v>
      </c>
      <c r="N1387" s="118">
        <f t="shared" si="2"/>
        <v>25.919999999999998</v>
      </c>
      <c r="O1387" s="118">
        <v>0</v>
      </c>
      <c r="P1387" s="127">
        <f t="shared" si="3"/>
        <v>339.84</v>
      </c>
      <c r="Q1387" s="34" t="s">
        <v>410</v>
      </c>
      <c r="R1387" s="34" t="str">
        <f>VLOOKUP(C1387,'PUR-PARTY MASTER'!$B$4:$E$2000,4,FALSE)</f>
        <v>Local</v>
      </c>
      <c r="S1387" s="11" t="s">
        <v>4120</v>
      </c>
    </row>
    <row r="1388" spans="1:19" x14ac:dyDescent="0.2">
      <c r="A1388" s="51">
        <v>43739</v>
      </c>
      <c r="B1388" s="34">
        <v>9</v>
      </c>
      <c r="C1388" s="35" t="s">
        <v>499</v>
      </c>
      <c r="D1388" s="34" t="str">
        <f>VLOOKUP(C1388,'PUR-PARTY MASTER'!$B$4:$E$2000,2,FALSE)</f>
        <v>27AAHFP1154B1ZN</v>
      </c>
      <c r="E1388" s="34" t="s">
        <v>22</v>
      </c>
      <c r="F1388" s="136" t="s">
        <v>2446</v>
      </c>
      <c r="G1388" s="37">
        <v>43739</v>
      </c>
      <c r="H1388" s="34">
        <v>27076000</v>
      </c>
      <c r="I1388" s="39">
        <f>VLOOKUP(H1388,'PUR-HSN MASTER'!$A$4:$E$5000,5,FALSE)</f>
        <v>18</v>
      </c>
      <c r="J1388" s="34">
        <v>10</v>
      </c>
      <c r="K1388" s="126">
        <v>170</v>
      </c>
      <c r="L1388" s="118">
        <f t="shared" si="0"/>
        <v>0</v>
      </c>
      <c r="M1388" s="118">
        <f t="shared" si="1"/>
        <v>15.299999999999999</v>
      </c>
      <c r="N1388" s="118">
        <f t="shared" si="2"/>
        <v>15.299999999999999</v>
      </c>
      <c r="O1388" s="118">
        <v>0</v>
      </c>
      <c r="P1388" s="127">
        <f t="shared" si="3"/>
        <v>200.6</v>
      </c>
      <c r="Q1388" s="34" t="s">
        <v>410</v>
      </c>
      <c r="R1388" s="34" t="str">
        <f>VLOOKUP(C1388,'PUR-PARTY MASTER'!$B$4:$E$2000,4,FALSE)</f>
        <v>Local</v>
      </c>
      <c r="S1388" s="11" t="s">
        <v>4120</v>
      </c>
    </row>
    <row r="1389" spans="1:19" x14ac:dyDescent="0.2">
      <c r="A1389" s="51">
        <v>43739</v>
      </c>
      <c r="B1389" s="34"/>
      <c r="C1389" s="35" t="s">
        <v>499</v>
      </c>
      <c r="D1389" s="34" t="str">
        <f>VLOOKUP(C1389,'PUR-PARTY MASTER'!$B$4:$E$2000,2,FALSE)</f>
        <v>27AAHFP1154B1ZN</v>
      </c>
      <c r="E1389" s="34" t="s">
        <v>22</v>
      </c>
      <c r="F1389" s="136" t="s">
        <v>2446</v>
      </c>
      <c r="G1389" s="37">
        <v>43739</v>
      </c>
      <c r="H1389" s="34">
        <v>33074900</v>
      </c>
      <c r="I1389" s="39">
        <f>VLOOKUP(H1389,'PUR-HSN MASTER'!$A$4:$E$5000,5,FALSE)</f>
        <v>18</v>
      </c>
      <c r="J1389" s="34">
        <v>4</v>
      </c>
      <c r="K1389" s="126">
        <v>472</v>
      </c>
      <c r="L1389" s="118">
        <f t="shared" si="0"/>
        <v>0</v>
      </c>
      <c r="M1389" s="118">
        <f t="shared" si="1"/>
        <v>42.48</v>
      </c>
      <c r="N1389" s="118">
        <f t="shared" si="2"/>
        <v>42.48</v>
      </c>
      <c r="O1389" s="118">
        <v>0</v>
      </c>
      <c r="P1389" s="127">
        <f t="shared" si="3"/>
        <v>556.96</v>
      </c>
      <c r="Q1389" s="34" t="s">
        <v>410</v>
      </c>
      <c r="R1389" s="34" t="str">
        <f>VLOOKUP(C1389,'PUR-PARTY MASTER'!$B$4:$E$2000,4,FALSE)</f>
        <v>Local</v>
      </c>
      <c r="S1389" s="11" t="s">
        <v>4120</v>
      </c>
    </row>
    <row r="1390" spans="1:19" x14ac:dyDescent="0.2">
      <c r="A1390" s="51">
        <v>43739</v>
      </c>
      <c r="B1390" s="34"/>
      <c r="C1390" s="35" t="s">
        <v>499</v>
      </c>
      <c r="D1390" s="34" t="str">
        <f>VLOOKUP(C1390,'PUR-PARTY MASTER'!$B$4:$E$2000,2,FALSE)</f>
        <v>27AAHFP1154B1ZN</v>
      </c>
      <c r="E1390" s="34" t="s">
        <v>22</v>
      </c>
      <c r="F1390" s="136" t="s">
        <v>2446</v>
      </c>
      <c r="G1390" s="37">
        <v>43739</v>
      </c>
      <c r="H1390" s="34">
        <v>63071090</v>
      </c>
      <c r="I1390" s="39">
        <f>VLOOKUP(H1390,'PUR-HSN MASTER'!$A$4:$E$5000,5,FALSE)</f>
        <v>18</v>
      </c>
      <c r="J1390" s="34">
        <v>24</v>
      </c>
      <c r="K1390" s="126">
        <v>288</v>
      </c>
      <c r="L1390" s="118">
        <f t="shared" si="0"/>
        <v>0</v>
      </c>
      <c r="M1390" s="118">
        <f t="shared" si="1"/>
        <v>25.919999999999998</v>
      </c>
      <c r="N1390" s="118">
        <f t="shared" si="2"/>
        <v>25.919999999999998</v>
      </c>
      <c r="O1390" s="118">
        <v>0</v>
      </c>
      <c r="P1390" s="127">
        <f t="shared" si="3"/>
        <v>339.84</v>
      </c>
      <c r="Q1390" s="34" t="s">
        <v>410</v>
      </c>
      <c r="R1390" s="34" t="str">
        <f>VLOOKUP(C1390,'PUR-PARTY MASTER'!$B$4:$E$2000,4,FALSE)</f>
        <v>Local</v>
      </c>
      <c r="S1390" s="11" t="s">
        <v>4120</v>
      </c>
    </row>
    <row r="1391" spans="1:19" x14ac:dyDescent="0.2">
      <c r="A1391" s="51">
        <v>43739</v>
      </c>
      <c r="B1391" s="34">
        <v>10</v>
      </c>
      <c r="C1391" s="35" t="s">
        <v>499</v>
      </c>
      <c r="D1391" s="34" t="str">
        <f>VLOOKUP(C1391,'PUR-PARTY MASTER'!$B$4:$E$2000,2,FALSE)</f>
        <v>27AAHFP1154B1ZN</v>
      </c>
      <c r="E1391" s="34" t="s">
        <v>22</v>
      </c>
      <c r="F1391" s="136" t="s">
        <v>2447</v>
      </c>
      <c r="G1391" s="37">
        <v>43739</v>
      </c>
      <c r="H1391" s="34">
        <v>48021010</v>
      </c>
      <c r="I1391" s="39">
        <f>VLOOKUP(H1391,'PUR-HSN MASTER'!$A$4:$E$5000,5,FALSE)</f>
        <v>12</v>
      </c>
      <c r="J1391" s="34">
        <v>10</v>
      </c>
      <c r="K1391" s="126">
        <v>1700</v>
      </c>
      <c r="L1391" s="118">
        <f t="shared" si="0"/>
        <v>0</v>
      </c>
      <c r="M1391" s="118">
        <f t="shared" si="1"/>
        <v>102</v>
      </c>
      <c r="N1391" s="118">
        <f t="shared" si="2"/>
        <v>102</v>
      </c>
      <c r="O1391" s="118">
        <v>0</v>
      </c>
      <c r="P1391" s="127">
        <f t="shared" si="3"/>
        <v>1904</v>
      </c>
      <c r="Q1391" s="34" t="s">
        <v>410</v>
      </c>
      <c r="R1391" s="34" t="str">
        <f>VLOOKUP(C1391,'PUR-PARTY MASTER'!$B$4:$E$2000,4,FALSE)</f>
        <v>Local</v>
      </c>
      <c r="S1391" s="11" t="s">
        <v>4120</v>
      </c>
    </row>
    <row r="1392" spans="1:19" x14ac:dyDescent="0.2">
      <c r="A1392" s="51">
        <v>43739</v>
      </c>
      <c r="B1392" s="34"/>
      <c r="C1392" s="35" t="s">
        <v>499</v>
      </c>
      <c r="D1392" s="34" t="str">
        <f>VLOOKUP(C1392,'PUR-PARTY MASTER'!$B$4:$E$2000,2,FALSE)</f>
        <v>27AAHFP1154B1ZN</v>
      </c>
      <c r="E1392" s="34" t="s">
        <v>22</v>
      </c>
      <c r="F1392" s="136" t="s">
        <v>2447</v>
      </c>
      <c r="G1392" s="37">
        <v>43739</v>
      </c>
      <c r="H1392" s="34">
        <v>96082000</v>
      </c>
      <c r="I1392" s="39">
        <f>VLOOKUP(H1392,'PUR-HSN MASTER'!$A$4:$E$5000,5,FALSE)</f>
        <v>12</v>
      </c>
      <c r="J1392" s="34">
        <v>100</v>
      </c>
      <c r="K1392" s="126">
        <v>375</v>
      </c>
      <c r="L1392" s="118">
        <f t="shared" si="0"/>
        <v>0</v>
      </c>
      <c r="M1392" s="118">
        <f t="shared" si="1"/>
        <v>22.5</v>
      </c>
      <c r="N1392" s="118">
        <f t="shared" si="2"/>
        <v>22.5</v>
      </c>
      <c r="O1392" s="118">
        <v>0</v>
      </c>
      <c r="P1392" s="127">
        <f t="shared" si="3"/>
        <v>420</v>
      </c>
      <c r="Q1392" s="34" t="s">
        <v>410</v>
      </c>
      <c r="R1392" s="34" t="str">
        <f>VLOOKUP(C1392,'PUR-PARTY MASTER'!$B$4:$E$2000,4,FALSE)</f>
        <v>Local</v>
      </c>
      <c r="S1392" s="11" t="s">
        <v>4120</v>
      </c>
    </row>
    <row r="1393" spans="1:19" x14ac:dyDescent="0.2">
      <c r="A1393" s="51">
        <v>43739</v>
      </c>
      <c r="B1393" s="34"/>
      <c r="C1393" s="35" t="s">
        <v>499</v>
      </c>
      <c r="D1393" s="34" t="str">
        <f>VLOOKUP(C1393,'PUR-PARTY MASTER'!$B$4:$E$2000,2,FALSE)</f>
        <v>27AAHFP1154B1ZN</v>
      </c>
      <c r="E1393" s="34" t="s">
        <v>22</v>
      </c>
      <c r="F1393" s="136" t="s">
        <v>2447</v>
      </c>
      <c r="G1393" s="37">
        <v>43739</v>
      </c>
      <c r="H1393" s="34">
        <v>96089990</v>
      </c>
      <c r="I1393" s="39">
        <f>VLOOKUP(H1393,'PUR-HSN MASTER'!$A$4:$E$5000,5,FALSE)</f>
        <v>12</v>
      </c>
      <c r="J1393" s="34">
        <v>50</v>
      </c>
      <c r="K1393" s="126">
        <v>1000</v>
      </c>
      <c r="L1393" s="118">
        <f t="shared" si="0"/>
        <v>0</v>
      </c>
      <c r="M1393" s="118">
        <f t="shared" si="1"/>
        <v>60</v>
      </c>
      <c r="N1393" s="118">
        <f t="shared" si="2"/>
        <v>60</v>
      </c>
      <c r="O1393" s="118">
        <v>0</v>
      </c>
      <c r="P1393" s="127">
        <f t="shared" si="3"/>
        <v>1120</v>
      </c>
      <c r="Q1393" s="34" t="s">
        <v>410</v>
      </c>
      <c r="R1393" s="34" t="str">
        <f>VLOOKUP(C1393,'PUR-PARTY MASTER'!$B$4:$E$2000,4,FALSE)</f>
        <v>Local</v>
      </c>
      <c r="S1393" s="11" t="s">
        <v>4120</v>
      </c>
    </row>
    <row r="1394" spans="1:19" x14ac:dyDescent="0.2">
      <c r="A1394" s="51">
        <v>43739</v>
      </c>
      <c r="B1394" s="34"/>
      <c r="C1394" s="35" t="s">
        <v>499</v>
      </c>
      <c r="D1394" s="34" t="str">
        <f>VLOOKUP(C1394,'PUR-PARTY MASTER'!$B$4:$E$2000,2,FALSE)</f>
        <v>27AAHFP1154B1ZN</v>
      </c>
      <c r="E1394" s="34" t="s">
        <v>22</v>
      </c>
      <c r="F1394" s="136" t="s">
        <v>2447</v>
      </c>
      <c r="G1394" s="37">
        <v>43739</v>
      </c>
      <c r="H1394" s="34">
        <v>59111000</v>
      </c>
      <c r="I1394" s="39">
        <f>VLOOKUP(H1394,'PUR-HSN MASTER'!$A$4:$E$5000,5,FALSE)</f>
        <v>12</v>
      </c>
      <c r="J1394" s="34">
        <v>100</v>
      </c>
      <c r="K1394" s="126">
        <v>1300</v>
      </c>
      <c r="L1394" s="118">
        <f t="shared" si="0"/>
        <v>0</v>
      </c>
      <c r="M1394" s="118">
        <f t="shared" si="1"/>
        <v>78</v>
      </c>
      <c r="N1394" s="118">
        <f t="shared" si="2"/>
        <v>78</v>
      </c>
      <c r="O1394" s="118">
        <v>0</v>
      </c>
      <c r="P1394" s="127">
        <f t="shared" si="3"/>
        <v>1456</v>
      </c>
      <c r="Q1394" s="34" t="s">
        <v>410</v>
      </c>
      <c r="R1394" s="34" t="str">
        <f>VLOOKUP(C1394,'PUR-PARTY MASTER'!$B$4:$E$2000,4,FALSE)</f>
        <v>Local</v>
      </c>
      <c r="S1394" s="11" t="s">
        <v>4120</v>
      </c>
    </row>
    <row r="1395" spans="1:19" x14ac:dyDescent="0.2">
      <c r="A1395" s="51">
        <v>43739</v>
      </c>
      <c r="B1395" s="34">
        <v>11</v>
      </c>
      <c r="C1395" s="35" t="s">
        <v>499</v>
      </c>
      <c r="D1395" s="34" t="str">
        <f>VLOOKUP(C1395,'PUR-PARTY MASTER'!$B$4:$E$2000,2,FALSE)</f>
        <v>27AAHFP1154B1ZN</v>
      </c>
      <c r="E1395" s="34" t="s">
        <v>22</v>
      </c>
      <c r="F1395" s="136" t="s">
        <v>2448</v>
      </c>
      <c r="G1395" s="37">
        <v>43739</v>
      </c>
      <c r="H1395" s="34">
        <v>63071030</v>
      </c>
      <c r="I1395" s="39">
        <f>VLOOKUP(H1395,'PUR-HSN MASTER'!$A$4:$E$5000,5,FALSE)</f>
        <v>5</v>
      </c>
      <c r="J1395" s="34">
        <v>70</v>
      </c>
      <c r="K1395" s="126">
        <v>18340</v>
      </c>
      <c r="L1395" s="118">
        <f t="shared" si="0"/>
        <v>0</v>
      </c>
      <c r="M1395" s="118">
        <f t="shared" si="1"/>
        <v>458.5</v>
      </c>
      <c r="N1395" s="118">
        <f t="shared" si="2"/>
        <v>458.5</v>
      </c>
      <c r="O1395" s="118">
        <v>0</v>
      </c>
      <c r="P1395" s="127">
        <f t="shared" si="3"/>
        <v>19257</v>
      </c>
      <c r="Q1395" s="34" t="s">
        <v>410</v>
      </c>
      <c r="R1395" s="34" t="str">
        <f>VLOOKUP(C1395,'PUR-PARTY MASTER'!$B$4:$E$2000,4,FALSE)</f>
        <v>Local</v>
      </c>
      <c r="S1395" s="11" t="s">
        <v>4120</v>
      </c>
    </row>
    <row r="1396" spans="1:19" x14ac:dyDescent="0.2">
      <c r="A1396" s="51">
        <v>43739</v>
      </c>
      <c r="B1396" s="34">
        <v>12</v>
      </c>
      <c r="C1396" s="35" t="s">
        <v>499</v>
      </c>
      <c r="D1396" s="34" t="str">
        <f>VLOOKUP(C1396,'PUR-PARTY MASTER'!$B$4:$E$2000,2,FALSE)</f>
        <v>27AAHFP1154B1ZN</v>
      </c>
      <c r="E1396" s="34" t="s">
        <v>22</v>
      </c>
      <c r="F1396" s="136" t="s">
        <v>2449</v>
      </c>
      <c r="G1396" s="37">
        <v>43739</v>
      </c>
      <c r="H1396" s="34">
        <v>96031000</v>
      </c>
      <c r="I1396" s="39">
        <f>VLOOKUP(H1396,'PUR-HSN MASTER'!$A$4:$E$5000,5,FALSE)</f>
        <v>0</v>
      </c>
      <c r="J1396" s="34">
        <v>10</v>
      </c>
      <c r="K1396" s="126">
        <v>250</v>
      </c>
      <c r="L1396" s="118">
        <f t="shared" si="0"/>
        <v>0</v>
      </c>
      <c r="M1396" s="118">
        <f t="shared" si="1"/>
        <v>0</v>
      </c>
      <c r="N1396" s="118">
        <f t="shared" si="2"/>
        <v>0</v>
      </c>
      <c r="O1396" s="118">
        <v>0</v>
      </c>
      <c r="P1396" s="127">
        <f t="shared" si="3"/>
        <v>250</v>
      </c>
      <c r="Q1396" s="34" t="s">
        <v>377</v>
      </c>
      <c r="R1396" s="34" t="str">
        <f>VLOOKUP(C1396,'PUR-PARTY MASTER'!$B$4:$E$2000,4,FALSE)</f>
        <v>Local</v>
      </c>
      <c r="S1396" s="11" t="s">
        <v>4120</v>
      </c>
    </row>
    <row r="1397" spans="1:19" x14ac:dyDescent="0.2">
      <c r="A1397" s="51">
        <v>43739</v>
      </c>
      <c r="B1397" s="34">
        <v>13</v>
      </c>
      <c r="C1397" s="35" t="s">
        <v>499</v>
      </c>
      <c r="D1397" s="34" t="str">
        <f>VLOOKUP(C1397,'PUR-PARTY MASTER'!$B$4:$E$2000,2,FALSE)</f>
        <v>27AAHFP1154B1ZN</v>
      </c>
      <c r="E1397" s="34" t="s">
        <v>22</v>
      </c>
      <c r="F1397" s="136" t="s">
        <v>2450</v>
      </c>
      <c r="G1397" s="37">
        <v>43739</v>
      </c>
      <c r="H1397" s="34">
        <v>48114100</v>
      </c>
      <c r="I1397" s="39">
        <f>VLOOKUP(H1397,'PUR-HSN MASTER'!$A$4:$E$5000,5,FALSE)</f>
        <v>18</v>
      </c>
      <c r="J1397" s="34">
        <v>144</v>
      </c>
      <c r="K1397" s="126">
        <v>5184</v>
      </c>
      <c r="L1397" s="118">
        <f t="shared" si="0"/>
        <v>0</v>
      </c>
      <c r="M1397" s="118">
        <f t="shared" si="1"/>
        <v>466.56000000000006</v>
      </c>
      <c r="N1397" s="118">
        <f t="shared" si="2"/>
        <v>466.56000000000006</v>
      </c>
      <c r="O1397" s="118">
        <v>0</v>
      </c>
      <c r="P1397" s="127">
        <f t="shared" si="3"/>
        <v>6117.12</v>
      </c>
      <c r="Q1397" s="34" t="s">
        <v>410</v>
      </c>
      <c r="R1397" s="34" t="str">
        <f>VLOOKUP(C1397,'PUR-PARTY MASTER'!$B$4:$E$2000,4,FALSE)</f>
        <v>Local</v>
      </c>
      <c r="S1397" s="11" t="s">
        <v>4120</v>
      </c>
    </row>
    <row r="1398" spans="1:19" x14ac:dyDescent="0.2">
      <c r="A1398" s="51">
        <v>43739</v>
      </c>
      <c r="B1398" s="34">
        <v>14</v>
      </c>
      <c r="C1398" s="629" t="s">
        <v>710</v>
      </c>
      <c r="D1398" s="34" t="str">
        <f>VLOOKUP(C1398,'PUR-PARTY MASTER'!$B$4:$E$2000,2,FALSE)</f>
        <v>27ATWPK5509M1ZV</v>
      </c>
      <c r="E1398" s="34" t="s">
        <v>22</v>
      </c>
      <c r="F1398" s="134">
        <v>758</v>
      </c>
      <c r="G1398" s="37">
        <v>43740</v>
      </c>
      <c r="H1398" s="34">
        <v>3813</v>
      </c>
      <c r="I1398" s="39">
        <f>VLOOKUP(H1398,'PUR-HSN MASTER'!$A$4:$E$5000,5,FALSE)</f>
        <v>18</v>
      </c>
      <c r="J1398" s="34">
        <v>10</v>
      </c>
      <c r="K1398" s="126">
        <v>7990</v>
      </c>
      <c r="L1398" s="118">
        <f t="shared" si="0"/>
        <v>0</v>
      </c>
      <c r="M1398" s="118">
        <f t="shared" si="1"/>
        <v>719.1</v>
      </c>
      <c r="N1398" s="118">
        <f t="shared" si="2"/>
        <v>719.1</v>
      </c>
      <c r="O1398" s="118">
        <v>0</v>
      </c>
      <c r="P1398" s="127">
        <f t="shared" si="3"/>
        <v>9428.2000000000007</v>
      </c>
      <c r="Q1398" s="43" t="s">
        <v>410</v>
      </c>
      <c r="R1398" s="34" t="str">
        <f>VLOOKUP(C1398,'PUR-PARTY MASTER'!$B$4:$E$2000,4,FALSE)</f>
        <v>Local</v>
      </c>
      <c r="S1398" s="11" t="s">
        <v>4120</v>
      </c>
    </row>
    <row r="1399" spans="1:19" x14ac:dyDescent="0.2">
      <c r="A1399" s="51">
        <v>43739</v>
      </c>
      <c r="B1399" s="34">
        <v>15</v>
      </c>
      <c r="C1399" s="35" t="s">
        <v>554</v>
      </c>
      <c r="D1399" s="34" t="str">
        <f>VLOOKUP(C1399,'PUR-PARTY MASTER'!$B$4:$E$2000,2,FALSE)</f>
        <v>27AACFA1881H1ZL</v>
      </c>
      <c r="E1399" s="34" t="s">
        <v>22</v>
      </c>
      <c r="F1399" s="134">
        <v>12638</v>
      </c>
      <c r="G1399" s="37">
        <v>43740</v>
      </c>
      <c r="H1399" s="34">
        <v>87141900</v>
      </c>
      <c r="I1399" s="39">
        <f>VLOOKUP(H1399,'PUR-HSN MASTER'!$A$4:$E$5000,5,FALSE)</f>
        <v>28</v>
      </c>
      <c r="J1399" s="34">
        <v>6150</v>
      </c>
      <c r="K1399" s="126">
        <v>14821.5</v>
      </c>
      <c r="L1399" s="118">
        <f t="shared" si="0"/>
        <v>0</v>
      </c>
      <c r="M1399" s="118">
        <f t="shared" si="1"/>
        <v>2075.0100000000002</v>
      </c>
      <c r="N1399" s="118">
        <f t="shared" si="2"/>
        <v>2075.0100000000002</v>
      </c>
      <c r="O1399" s="118">
        <v>0</v>
      </c>
      <c r="P1399" s="127">
        <f t="shared" si="3"/>
        <v>18971.52</v>
      </c>
      <c r="Q1399" s="34" t="s">
        <v>410</v>
      </c>
      <c r="R1399" s="34" t="str">
        <f>VLOOKUP(C1399,'PUR-PARTY MASTER'!$B$4:$E$2000,4,FALSE)</f>
        <v>Local</v>
      </c>
      <c r="S1399" s="11" t="s">
        <v>4120</v>
      </c>
    </row>
    <row r="1400" spans="1:19" x14ac:dyDescent="0.2">
      <c r="A1400" s="51">
        <v>43739</v>
      </c>
      <c r="B1400" s="34">
        <v>16</v>
      </c>
      <c r="C1400" s="35" t="s">
        <v>517</v>
      </c>
      <c r="D1400" s="34" t="str">
        <f>VLOOKUP(C1400,'PUR-PARTY MASTER'!$B$4:$E$2000,2,FALSE)</f>
        <v>23AAACT6376M1ZZ</v>
      </c>
      <c r="E1400" s="34" t="s">
        <v>22</v>
      </c>
      <c r="F1400" s="134">
        <v>19619035</v>
      </c>
      <c r="G1400" s="37">
        <v>43739</v>
      </c>
      <c r="H1400" s="34">
        <v>87081090</v>
      </c>
      <c r="I1400" s="39">
        <f>VLOOKUP(H1400,'PUR-HSN MASTER'!$A$4:$E$5000,5,FALSE)</f>
        <v>28</v>
      </c>
      <c r="J1400" s="34">
        <v>21</v>
      </c>
      <c r="K1400" s="126">
        <v>11873</v>
      </c>
      <c r="L1400" s="118">
        <f t="shared" si="0"/>
        <v>3324.44</v>
      </c>
      <c r="M1400" s="118">
        <f t="shared" si="1"/>
        <v>0</v>
      </c>
      <c r="N1400" s="118">
        <f t="shared" si="2"/>
        <v>0</v>
      </c>
      <c r="O1400" s="118">
        <v>0</v>
      </c>
      <c r="P1400" s="127">
        <f t="shared" si="3"/>
        <v>15197.44</v>
      </c>
      <c r="Q1400" s="34" t="s">
        <v>410</v>
      </c>
      <c r="R1400" s="34" t="str">
        <f>VLOOKUP(C1400,'PUR-PARTY MASTER'!$B$4:$E$2000,4,FALSE)</f>
        <v>Oms</v>
      </c>
      <c r="S1400" s="11" t="s">
        <v>4120</v>
      </c>
    </row>
    <row r="1401" spans="1:19" x14ac:dyDescent="0.2">
      <c r="A1401" s="51">
        <v>43739</v>
      </c>
      <c r="B1401" s="34">
        <v>17</v>
      </c>
      <c r="C1401" s="35" t="s">
        <v>473</v>
      </c>
      <c r="D1401" s="34" t="str">
        <f>VLOOKUP(C1401,'PUR-PARTY MASTER'!$B$4:$E$2000,2,FALSE)</f>
        <v>27AAACT1848E1ZH</v>
      </c>
      <c r="E1401" s="34" t="s">
        <v>22</v>
      </c>
      <c r="F1401" s="136" t="s">
        <v>2451</v>
      </c>
      <c r="G1401" s="37">
        <v>43741</v>
      </c>
      <c r="H1401" s="34">
        <v>87089900</v>
      </c>
      <c r="I1401" s="39">
        <f>VLOOKUP(H1401,'PUR-HSN MASTER'!$A$4:$E$5000,5,FALSE)</f>
        <v>28</v>
      </c>
      <c r="J1401" s="34">
        <v>20</v>
      </c>
      <c r="K1401" s="126">
        <v>3206</v>
      </c>
      <c r="L1401" s="118">
        <f t="shared" si="0"/>
        <v>0</v>
      </c>
      <c r="M1401" s="118">
        <f t="shared" si="1"/>
        <v>448.84000000000003</v>
      </c>
      <c r="N1401" s="118">
        <f t="shared" si="2"/>
        <v>448.84000000000003</v>
      </c>
      <c r="O1401" s="118">
        <v>0</v>
      </c>
      <c r="P1401" s="127">
        <f t="shared" si="3"/>
        <v>4103.68</v>
      </c>
      <c r="Q1401" s="34" t="s">
        <v>410</v>
      </c>
      <c r="R1401" s="34" t="str">
        <f>VLOOKUP(C1401,'PUR-PARTY MASTER'!$B$4:$E$2000,4,FALSE)</f>
        <v>Local</v>
      </c>
      <c r="S1401" s="11" t="s">
        <v>4120</v>
      </c>
    </row>
    <row r="1402" spans="1:19" x14ac:dyDescent="0.2">
      <c r="A1402" s="51">
        <v>43739</v>
      </c>
      <c r="B1402" s="34">
        <v>18</v>
      </c>
      <c r="C1402" s="35" t="s">
        <v>473</v>
      </c>
      <c r="D1402" s="34" t="str">
        <f>VLOOKUP(C1402,'PUR-PARTY MASTER'!$B$4:$E$2000,2,FALSE)</f>
        <v>27AAACT1848E1ZH</v>
      </c>
      <c r="E1402" s="34" t="s">
        <v>22</v>
      </c>
      <c r="F1402" s="136" t="s">
        <v>2452</v>
      </c>
      <c r="G1402" s="37">
        <v>43741</v>
      </c>
      <c r="H1402" s="34">
        <v>87089900</v>
      </c>
      <c r="I1402" s="39">
        <f>VLOOKUP(H1402,'PUR-HSN MASTER'!$A$4:$E$5000,5,FALSE)</f>
        <v>28</v>
      </c>
      <c r="J1402" s="34">
        <v>343</v>
      </c>
      <c r="K1402" s="126">
        <v>7936.45</v>
      </c>
      <c r="L1402" s="118">
        <f t="shared" si="0"/>
        <v>0</v>
      </c>
      <c r="M1402" s="118">
        <f t="shared" si="1"/>
        <v>1111.1029999999998</v>
      </c>
      <c r="N1402" s="118">
        <f t="shared" si="2"/>
        <v>1111.1029999999998</v>
      </c>
      <c r="O1402" s="118">
        <v>0</v>
      </c>
      <c r="P1402" s="127">
        <f t="shared" si="3"/>
        <v>10158.655999999999</v>
      </c>
      <c r="Q1402" s="34" t="s">
        <v>410</v>
      </c>
      <c r="R1402" s="34" t="str">
        <f>VLOOKUP(C1402,'PUR-PARTY MASTER'!$B$4:$E$2000,4,FALSE)</f>
        <v>Local</v>
      </c>
      <c r="S1402" s="11" t="s">
        <v>4120</v>
      </c>
    </row>
    <row r="1403" spans="1:19" x14ac:dyDescent="0.2">
      <c r="A1403" s="51">
        <v>43739</v>
      </c>
      <c r="B1403" s="34">
        <v>19</v>
      </c>
      <c r="C1403" s="35" t="s">
        <v>609</v>
      </c>
      <c r="D1403" s="34" t="str">
        <f>VLOOKUP(C1403,'PUR-PARTY MASTER'!$B$4:$E$2000,2,FALSE)</f>
        <v>27AASCS9231J1ZO</v>
      </c>
      <c r="E1403" s="34" t="s">
        <v>22</v>
      </c>
      <c r="F1403" s="136" t="s">
        <v>2453</v>
      </c>
      <c r="G1403" s="37">
        <v>43739</v>
      </c>
      <c r="H1403" s="34">
        <v>998519</v>
      </c>
      <c r="I1403" s="39">
        <f>VLOOKUP(H1403,'PUR-HSN MASTER'!$A$4:$E$5000,5,FALSE)</f>
        <v>18</v>
      </c>
      <c r="J1403" s="34"/>
      <c r="K1403" s="126">
        <v>24649</v>
      </c>
      <c r="L1403" s="118">
        <f t="shared" si="0"/>
        <v>0</v>
      </c>
      <c r="M1403" s="118">
        <f t="shared" si="1"/>
        <v>2218.41</v>
      </c>
      <c r="N1403" s="118">
        <f t="shared" si="2"/>
        <v>2218.41</v>
      </c>
      <c r="O1403" s="118">
        <v>0</v>
      </c>
      <c r="P1403" s="127">
        <f t="shared" si="3"/>
        <v>29085.82</v>
      </c>
      <c r="Q1403" s="34" t="s">
        <v>411</v>
      </c>
      <c r="R1403" s="34" t="str">
        <f>VLOOKUP(C1403,'PUR-PARTY MASTER'!$B$4:$E$2000,4,FALSE)</f>
        <v>Local</v>
      </c>
      <c r="S1403" s="11" t="s">
        <v>4120</v>
      </c>
    </row>
    <row r="1404" spans="1:19" x14ac:dyDescent="0.2">
      <c r="A1404" s="51">
        <v>43739</v>
      </c>
      <c r="B1404" s="34">
        <v>20</v>
      </c>
      <c r="C1404" s="35" t="s">
        <v>609</v>
      </c>
      <c r="D1404" s="34" t="str">
        <f>VLOOKUP(C1404,'PUR-PARTY MASTER'!$B$4:$E$2000,2,FALSE)</f>
        <v>27AASCS9231J1ZO</v>
      </c>
      <c r="E1404" s="34" t="s">
        <v>22</v>
      </c>
      <c r="F1404" s="136" t="s">
        <v>2454</v>
      </c>
      <c r="G1404" s="37">
        <v>43739</v>
      </c>
      <c r="H1404" s="34">
        <v>998519</v>
      </c>
      <c r="I1404" s="39">
        <f>VLOOKUP(H1404,'PUR-HSN MASTER'!$A$4:$E$5000,5,FALSE)</f>
        <v>18</v>
      </c>
      <c r="J1404" s="34"/>
      <c r="K1404" s="126">
        <v>917679</v>
      </c>
      <c r="L1404" s="118">
        <f t="shared" si="0"/>
        <v>0</v>
      </c>
      <c r="M1404" s="118">
        <f t="shared" si="1"/>
        <v>82591.110000000015</v>
      </c>
      <c r="N1404" s="118">
        <f t="shared" si="2"/>
        <v>82591.110000000015</v>
      </c>
      <c r="O1404" s="118">
        <v>0</v>
      </c>
      <c r="P1404" s="127">
        <f t="shared" si="3"/>
        <v>1082861.22</v>
      </c>
      <c r="Q1404" s="34" t="s">
        <v>411</v>
      </c>
      <c r="R1404" s="34" t="str">
        <f>VLOOKUP(C1404,'PUR-PARTY MASTER'!$B$4:$E$2000,4,FALSE)</f>
        <v>Local</v>
      </c>
      <c r="S1404" s="11" t="s">
        <v>4120</v>
      </c>
    </row>
    <row r="1405" spans="1:19" x14ac:dyDescent="0.2">
      <c r="A1405" s="51">
        <v>43739</v>
      </c>
      <c r="B1405" s="34">
        <v>21</v>
      </c>
      <c r="C1405" s="35" t="s">
        <v>476</v>
      </c>
      <c r="D1405" s="34" t="str">
        <f>VLOOKUP(C1405,'PUR-PARTY MASTER'!$B$4:$E$2000,2,FALSE)</f>
        <v>27AABCO8467D1ZA</v>
      </c>
      <c r="E1405" s="34" t="s">
        <v>22</v>
      </c>
      <c r="F1405" s="136" t="s">
        <v>2455</v>
      </c>
      <c r="G1405" s="37">
        <v>43739</v>
      </c>
      <c r="H1405" s="34" t="s">
        <v>703</v>
      </c>
      <c r="I1405" s="39">
        <f>VLOOKUP(H1405,'PUR-HSN MASTER'!$A$4:$E$5000,5,FALSE)</f>
        <v>28</v>
      </c>
      <c r="J1405" s="34"/>
      <c r="K1405" s="126">
        <v>376945</v>
      </c>
      <c r="L1405" s="118">
        <f t="shared" si="0"/>
        <v>0</v>
      </c>
      <c r="M1405" s="118">
        <f t="shared" si="1"/>
        <v>52772.299999999996</v>
      </c>
      <c r="N1405" s="118">
        <f t="shared" si="2"/>
        <v>52772.299999999996</v>
      </c>
      <c r="O1405" s="118">
        <v>0</v>
      </c>
      <c r="P1405" s="127">
        <f t="shared" si="3"/>
        <v>482489.59999999998</v>
      </c>
      <c r="Q1405" s="34" t="s">
        <v>411</v>
      </c>
      <c r="R1405" s="34" t="str">
        <f>VLOOKUP(C1405,'PUR-PARTY MASTER'!$B$4:$E$2000,4,FALSE)</f>
        <v>Local</v>
      </c>
      <c r="S1405" s="11" t="s">
        <v>4120</v>
      </c>
    </row>
    <row r="1406" spans="1:19" x14ac:dyDescent="0.2">
      <c r="A1406" s="51">
        <v>43739</v>
      </c>
      <c r="B1406" s="34">
        <v>22</v>
      </c>
      <c r="C1406" s="35" t="s">
        <v>747</v>
      </c>
      <c r="D1406" s="34" t="str">
        <f>VLOOKUP(C1406,'PUR-PARTY MASTER'!$B$4:$E$2000,2,FALSE)</f>
        <v>27ACIPD7822K1ZF</v>
      </c>
      <c r="E1406" s="34" t="s">
        <v>22</v>
      </c>
      <c r="F1406" s="136" t="s">
        <v>2456</v>
      </c>
      <c r="G1406" s="37">
        <v>43742</v>
      </c>
      <c r="H1406" s="34">
        <v>84778090</v>
      </c>
      <c r="I1406" s="39">
        <f>VLOOKUP(H1406,'PUR-HSN MASTER'!$A$4:$E$5000,5,FALSE)</f>
        <v>18</v>
      </c>
      <c r="J1406" s="34">
        <v>132</v>
      </c>
      <c r="K1406" s="126">
        <v>16800</v>
      </c>
      <c r="L1406" s="118">
        <f t="shared" si="0"/>
        <v>0</v>
      </c>
      <c r="M1406" s="118">
        <f t="shared" si="1"/>
        <v>1512</v>
      </c>
      <c r="N1406" s="118">
        <f t="shared" si="2"/>
        <v>1512</v>
      </c>
      <c r="O1406" s="118">
        <v>0</v>
      </c>
      <c r="P1406" s="127">
        <f t="shared" si="3"/>
        <v>19824</v>
      </c>
      <c r="Q1406" s="34" t="s">
        <v>410</v>
      </c>
      <c r="R1406" s="34" t="str">
        <f>VLOOKUP(C1406,'PUR-PARTY MASTER'!$B$4:$E$2000,4,FALSE)</f>
        <v>Local</v>
      </c>
      <c r="S1406" s="11" t="s">
        <v>4120</v>
      </c>
    </row>
    <row r="1407" spans="1:19" x14ac:dyDescent="0.2">
      <c r="A1407" s="51">
        <v>43739</v>
      </c>
      <c r="B1407" s="34">
        <v>23</v>
      </c>
      <c r="C1407" s="35" t="s">
        <v>554</v>
      </c>
      <c r="D1407" s="34" t="str">
        <f>VLOOKUP(C1407,'PUR-PARTY MASTER'!$B$4:$E$2000,2,FALSE)</f>
        <v>27AACFA1881H1ZL</v>
      </c>
      <c r="E1407" s="34" t="s">
        <v>22</v>
      </c>
      <c r="F1407" s="134">
        <v>12747</v>
      </c>
      <c r="G1407" s="37">
        <v>43742</v>
      </c>
      <c r="H1407" s="34">
        <v>87141900</v>
      </c>
      <c r="I1407" s="39">
        <f>VLOOKUP(H1407,'PUR-HSN MASTER'!$A$4:$E$5000,5,FALSE)</f>
        <v>28</v>
      </c>
      <c r="J1407" s="34">
        <v>5300</v>
      </c>
      <c r="K1407" s="126">
        <v>16695</v>
      </c>
      <c r="L1407" s="118">
        <f t="shared" si="0"/>
        <v>0</v>
      </c>
      <c r="M1407" s="118">
        <f t="shared" si="1"/>
        <v>2337.2999999999997</v>
      </c>
      <c r="N1407" s="118">
        <f t="shared" si="2"/>
        <v>2337.2999999999997</v>
      </c>
      <c r="O1407" s="118">
        <v>0</v>
      </c>
      <c r="P1407" s="127">
        <f t="shared" si="3"/>
        <v>21369.599999999999</v>
      </c>
      <c r="Q1407" s="34" t="s">
        <v>410</v>
      </c>
      <c r="R1407" s="34" t="str">
        <f>VLOOKUP(C1407,'PUR-PARTY MASTER'!$B$4:$E$2000,4,FALSE)</f>
        <v>Local</v>
      </c>
      <c r="S1407" s="11" t="s">
        <v>4120</v>
      </c>
    </row>
    <row r="1408" spans="1:19" x14ac:dyDescent="0.2">
      <c r="A1408" s="51">
        <v>43739</v>
      </c>
      <c r="B1408" s="34">
        <v>24</v>
      </c>
      <c r="C1408" s="35" t="s">
        <v>493</v>
      </c>
      <c r="D1408" s="34" t="str">
        <f>VLOOKUP(C1408,'PUR-PARTY MASTER'!$B$4:$E$2000,2,FALSE)</f>
        <v>27AMMPB3648M1ZO</v>
      </c>
      <c r="E1408" s="34" t="s">
        <v>22</v>
      </c>
      <c r="F1408" s="134">
        <v>3171</v>
      </c>
      <c r="G1408" s="37">
        <v>43743</v>
      </c>
      <c r="H1408" s="34">
        <v>85129000</v>
      </c>
      <c r="I1408" s="39">
        <f>VLOOKUP(H1408,'PUR-HSN MASTER'!$A$4:$E$5000,5,FALSE)</f>
        <v>18</v>
      </c>
      <c r="J1408" s="34">
        <v>1380</v>
      </c>
      <c r="K1408" s="126">
        <v>31726.2</v>
      </c>
      <c r="L1408" s="118">
        <f t="shared" si="0"/>
        <v>0</v>
      </c>
      <c r="M1408" s="118">
        <f t="shared" si="1"/>
        <v>2855.3580000000002</v>
      </c>
      <c r="N1408" s="118">
        <f t="shared" si="2"/>
        <v>2855.3580000000002</v>
      </c>
      <c r="O1408" s="118">
        <v>0</v>
      </c>
      <c r="P1408" s="127">
        <f t="shared" si="3"/>
        <v>37436.915999999997</v>
      </c>
      <c r="Q1408" s="34" t="s">
        <v>410</v>
      </c>
      <c r="R1408" s="34" t="str">
        <f>VLOOKUP(C1408,'PUR-PARTY MASTER'!$B$4:$E$2000,4,FALSE)</f>
        <v>Local</v>
      </c>
      <c r="S1408" s="11" t="s">
        <v>4120</v>
      </c>
    </row>
    <row r="1409" spans="1:19" x14ac:dyDescent="0.2">
      <c r="A1409" s="51">
        <v>43739</v>
      </c>
      <c r="B1409" s="34">
        <v>25</v>
      </c>
      <c r="C1409" s="35" t="s">
        <v>493</v>
      </c>
      <c r="D1409" s="34" t="str">
        <f>VLOOKUP(C1409,'PUR-PARTY MASTER'!$B$4:$E$2000,2,FALSE)</f>
        <v>27AMMPB3648M1ZO</v>
      </c>
      <c r="E1409" s="34" t="s">
        <v>22</v>
      </c>
      <c r="F1409" s="134">
        <v>3197</v>
      </c>
      <c r="G1409" s="37">
        <v>43744</v>
      </c>
      <c r="H1409" s="34">
        <v>85129000</v>
      </c>
      <c r="I1409" s="39">
        <f>VLOOKUP(H1409,'PUR-HSN MASTER'!$A$4:$E$5000,5,FALSE)</f>
        <v>18</v>
      </c>
      <c r="J1409" s="34">
        <v>2220</v>
      </c>
      <c r="K1409" s="126">
        <v>51037.8</v>
      </c>
      <c r="L1409" s="118">
        <f t="shared" si="0"/>
        <v>0</v>
      </c>
      <c r="M1409" s="118">
        <f t="shared" si="1"/>
        <v>4593.402</v>
      </c>
      <c r="N1409" s="118">
        <f t="shared" si="2"/>
        <v>4593.402</v>
      </c>
      <c r="O1409" s="118">
        <v>0</v>
      </c>
      <c r="P1409" s="127">
        <f t="shared" si="3"/>
        <v>60224.604000000007</v>
      </c>
      <c r="Q1409" s="34" t="s">
        <v>410</v>
      </c>
      <c r="R1409" s="34" t="str">
        <f>VLOOKUP(C1409,'PUR-PARTY MASTER'!$B$4:$E$2000,4,FALSE)</f>
        <v>Local</v>
      </c>
      <c r="S1409" s="11" t="s">
        <v>4120</v>
      </c>
    </row>
    <row r="1410" spans="1:19" x14ac:dyDescent="0.2">
      <c r="A1410" s="51">
        <v>43739</v>
      </c>
      <c r="B1410" s="34">
        <v>26</v>
      </c>
      <c r="C1410" s="35" t="s">
        <v>495</v>
      </c>
      <c r="D1410" s="34" t="str">
        <f>VLOOKUP(C1410,'PUR-PARTY MASTER'!$B$4:$E$2000,2,FALSE)</f>
        <v>27AAACH4211R1ZF</v>
      </c>
      <c r="E1410" s="34" t="s">
        <v>22</v>
      </c>
      <c r="F1410" s="134">
        <v>5510059794</v>
      </c>
      <c r="G1410" s="37">
        <v>43745</v>
      </c>
      <c r="H1410" s="34">
        <v>85129000</v>
      </c>
      <c r="I1410" s="39">
        <f>VLOOKUP(H1410,'PUR-HSN MASTER'!$A$4:$E$5000,5,FALSE)</f>
        <v>18</v>
      </c>
      <c r="J1410" s="34">
        <v>2400</v>
      </c>
      <c r="K1410" s="126">
        <v>26544</v>
      </c>
      <c r="L1410" s="118">
        <f t="shared" si="0"/>
        <v>0</v>
      </c>
      <c r="M1410" s="118">
        <f t="shared" si="1"/>
        <v>2388.96</v>
      </c>
      <c r="N1410" s="118">
        <f t="shared" si="2"/>
        <v>2388.96</v>
      </c>
      <c r="O1410" s="118">
        <v>0</v>
      </c>
      <c r="P1410" s="127">
        <f t="shared" si="3"/>
        <v>31321.919999999998</v>
      </c>
      <c r="Q1410" s="34" t="s">
        <v>410</v>
      </c>
      <c r="R1410" s="34" t="str">
        <f>VLOOKUP(C1410,'PUR-PARTY MASTER'!$B$4:$E$2000,4,FALSE)</f>
        <v>Local</v>
      </c>
      <c r="S1410" s="11" t="s">
        <v>4120</v>
      </c>
    </row>
    <row r="1411" spans="1:19" x14ac:dyDescent="0.2">
      <c r="A1411" s="51">
        <v>43739</v>
      </c>
      <c r="B1411" s="34">
        <v>27</v>
      </c>
      <c r="C1411" s="35" t="s">
        <v>606</v>
      </c>
      <c r="D1411" s="34" t="str">
        <f>VLOOKUP(C1411,'PUR-PARTY MASTER'!$B$4:$E$2000,2,FALSE)</f>
        <v>27AJZPM2520M1ZL</v>
      </c>
      <c r="E1411" s="34" t="s">
        <v>22</v>
      </c>
      <c r="F1411" s="136" t="s">
        <v>2457</v>
      </c>
      <c r="G1411" s="37">
        <v>43743</v>
      </c>
      <c r="H1411" s="34">
        <v>68052090</v>
      </c>
      <c r="I1411" s="39">
        <f>VLOOKUP(H1411,'PUR-HSN MASTER'!$A$4:$E$5000,5,FALSE)</f>
        <v>18</v>
      </c>
      <c r="J1411" s="34">
        <v>2500</v>
      </c>
      <c r="K1411" s="126">
        <v>25000</v>
      </c>
      <c r="L1411" s="118">
        <f t="shared" si="0"/>
        <v>0</v>
      </c>
      <c r="M1411" s="118">
        <f t="shared" si="1"/>
        <v>2250</v>
      </c>
      <c r="N1411" s="118">
        <f t="shared" si="2"/>
        <v>2250</v>
      </c>
      <c r="O1411" s="118">
        <v>0</v>
      </c>
      <c r="P1411" s="127">
        <f t="shared" si="3"/>
        <v>29500</v>
      </c>
      <c r="Q1411" s="34" t="s">
        <v>410</v>
      </c>
      <c r="R1411" s="34" t="str">
        <f>VLOOKUP(C1411,'PUR-PARTY MASTER'!$B$4:$E$2000,4,FALSE)</f>
        <v>Local</v>
      </c>
      <c r="S1411" s="11" t="s">
        <v>4120</v>
      </c>
    </row>
    <row r="1412" spans="1:19" x14ac:dyDescent="0.2">
      <c r="A1412" s="51">
        <v>43739</v>
      </c>
      <c r="B1412" s="34"/>
      <c r="C1412" s="35" t="s">
        <v>606</v>
      </c>
      <c r="D1412" s="34" t="str">
        <f>VLOOKUP(C1412,'PUR-PARTY MASTER'!$B$4:$E$2000,2,FALSE)</f>
        <v>27AJZPM2520M1ZL</v>
      </c>
      <c r="E1412" s="34" t="s">
        <v>22</v>
      </c>
      <c r="F1412" s="136" t="s">
        <v>2457</v>
      </c>
      <c r="G1412" s="37">
        <v>43743</v>
      </c>
      <c r="H1412" s="34">
        <v>9985</v>
      </c>
      <c r="I1412" s="39">
        <f>VLOOKUP(H1412,'PUR-HSN MASTER'!$A$4:$E$5000,5,FALSE)</f>
        <v>18</v>
      </c>
      <c r="J1412" s="34">
        <v>1000</v>
      </c>
      <c r="K1412" s="126">
        <v>17000</v>
      </c>
      <c r="L1412" s="118">
        <f t="shared" si="0"/>
        <v>0</v>
      </c>
      <c r="M1412" s="118">
        <f t="shared" si="1"/>
        <v>1530</v>
      </c>
      <c r="N1412" s="118">
        <f t="shared" si="2"/>
        <v>1530</v>
      </c>
      <c r="O1412" s="118">
        <v>0</v>
      </c>
      <c r="P1412" s="127">
        <f t="shared" si="3"/>
        <v>20060</v>
      </c>
      <c r="Q1412" s="34" t="s">
        <v>410</v>
      </c>
      <c r="R1412" s="34" t="str">
        <f>VLOOKUP(C1412,'PUR-PARTY MASTER'!$B$4:$E$2000,4,FALSE)</f>
        <v>Local</v>
      </c>
      <c r="S1412" s="11" t="s">
        <v>4120</v>
      </c>
    </row>
    <row r="1413" spans="1:19" x14ac:dyDescent="0.2">
      <c r="A1413" s="51">
        <v>43739</v>
      </c>
      <c r="B1413" s="34">
        <v>28</v>
      </c>
      <c r="C1413" s="35" t="s">
        <v>601</v>
      </c>
      <c r="D1413" s="34" t="str">
        <f>VLOOKUP(C1413,'PUR-PARTY MASTER'!$B$4:$E$2000,2,FALSE)</f>
        <v>27AAZFM6461A1ZY</v>
      </c>
      <c r="E1413" s="34" t="s">
        <v>22</v>
      </c>
      <c r="F1413" s="134">
        <v>4687</v>
      </c>
      <c r="G1413" s="37">
        <v>43747</v>
      </c>
      <c r="H1413" s="34">
        <v>87082900</v>
      </c>
      <c r="I1413" s="39">
        <f>VLOOKUP(H1413,'PUR-HSN MASTER'!$A$4:$E$5000,5,FALSE)</f>
        <v>28</v>
      </c>
      <c r="J1413" s="34">
        <v>1100</v>
      </c>
      <c r="K1413" s="126">
        <v>46827</v>
      </c>
      <c r="L1413" s="118">
        <f t="shared" si="0"/>
        <v>0</v>
      </c>
      <c r="M1413" s="118">
        <f t="shared" si="1"/>
        <v>6555.78</v>
      </c>
      <c r="N1413" s="118">
        <f t="shared" si="2"/>
        <v>6555.78</v>
      </c>
      <c r="O1413" s="118">
        <v>0</v>
      </c>
      <c r="P1413" s="127">
        <f t="shared" si="3"/>
        <v>59938.559999999998</v>
      </c>
      <c r="Q1413" s="34" t="s">
        <v>410</v>
      </c>
      <c r="R1413" s="34" t="str">
        <f>VLOOKUP(C1413,'PUR-PARTY MASTER'!$B$4:$E$2000,4,FALSE)</f>
        <v>Local</v>
      </c>
      <c r="S1413" s="11" t="s">
        <v>4120</v>
      </c>
    </row>
    <row r="1414" spans="1:19" x14ac:dyDescent="0.2">
      <c r="A1414" s="51">
        <v>43739</v>
      </c>
      <c r="B1414" s="34">
        <v>29</v>
      </c>
      <c r="C1414" s="35" t="s">
        <v>554</v>
      </c>
      <c r="D1414" s="34" t="str">
        <f>VLOOKUP(C1414,'PUR-PARTY MASTER'!$B$4:$E$2000,2,FALSE)</f>
        <v>27AACFA1881H1ZL</v>
      </c>
      <c r="E1414" s="34" t="s">
        <v>22</v>
      </c>
      <c r="F1414" s="134">
        <v>12922</v>
      </c>
      <c r="G1414" s="37">
        <v>43747</v>
      </c>
      <c r="H1414" s="34">
        <v>87141900</v>
      </c>
      <c r="I1414" s="39">
        <f>VLOOKUP(H1414,'PUR-HSN MASTER'!$A$4:$E$5000,5,FALSE)</f>
        <v>28</v>
      </c>
      <c r="J1414" s="34">
        <v>2000</v>
      </c>
      <c r="K1414" s="126">
        <v>4820</v>
      </c>
      <c r="L1414" s="118">
        <f t="shared" si="0"/>
        <v>0</v>
      </c>
      <c r="M1414" s="118">
        <f t="shared" si="1"/>
        <v>674.80000000000007</v>
      </c>
      <c r="N1414" s="118">
        <f t="shared" si="2"/>
        <v>674.80000000000007</v>
      </c>
      <c r="O1414" s="118">
        <v>0</v>
      </c>
      <c r="P1414" s="127">
        <f t="shared" si="3"/>
        <v>6169.6</v>
      </c>
      <c r="Q1414" s="34" t="s">
        <v>410</v>
      </c>
      <c r="R1414" s="34" t="str">
        <f>VLOOKUP(C1414,'PUR-PARTY MASTER'!$B$4:$E$2000,4,FALSE)</f>
        <v>Local</v>
      </c>
      <c r="S1414" s="11" t="s">
        <v>4120</v>
      </c>
    </row>
    <row r="1415" spans="1:19" x14ac:dyDescent="0.2">
      <c r="A1415" s="51">
        <v>43739</v>
      </c>
      <c r="B1415" s="34">
        <v>30</v>
      </c>
      <c r="C1415" s="35" t="s">
        <v>541</v>
      </c>
      <c r="D1415" s="34" t="str">
        <f>VLOOKUP(C1415,'PUR-PARTY MASTER'!$B$4:$E$2000,2,FALSE)</f>
        <v>27AYCPB9228K1ZA</v>
      </c>
      <c r="E1415" s="34" t="s">
        <v>22</v>
      </c>
      <c r="F1415" s="136" t="s">
        <v>2458</v>
      </c>
      <c r="G1415" s="37">
        <v>43739</v>
      </c>
      <c r="H1415" s="34">
        <v>998422</v>
      </c>
      <c r="I1415" s="39">
        <f>VLOOKUP(H1415,'PUR-HSN MASTER'!$A$4:$E$5000,5,FALSE)</f>
        <v>18</v>
      </c>
      <c r="J1415" s="34"/>
      <c r="K1415" s="126">
        <v>3500</v>
      </c>
      <c r="L1415" s="118">
        <f t="shared" si="0"/>
        <v>0</v>
      </c>
      <c r="M1415" s="118">
        <f t="shared" si="1"/>
        <v>315</v>
      </c>
      <c r="N1415" s="118">
        <f t="shared" si="2"/>
        <v>315</v>
      </c>
      <c r="O1415" s="118">
        <v>0</v>
      </c>
      <c r="P1415" s="127">
        <f t="shared" si="3"/>
        <v>4130</v>
      </c>
      <c r="Q1415" s="34" t="s">
        <v>411</v>
      </c>
      <c r="R1415" s="34" t="str">
        <f>VLOOKUP(C1415,'PUR-PARTY MASTER'!$B$4:$E$2000,4,FALSE)</f>
        <v>Local</v>
      </c>
      <c r="S1415" s="11" t="s">
        <v>4120</v>
      </c>
    </row>
    <row r="1416" spans="1:19" x14ac:dyDescent="0.2">
      <c r="A1416" s="51">
        <v>43739</v>
      </c>
      <c r="B1416" s="34">
        <v>31</v>
      </c>
      <c r="C1416" s="35" t="s">
        <v>747</v>
      </c>
      <c r="D1416" s="34" t="str">
        <f>VLOOKUP(C1416,'PUR-PARTY MASTER'!$B$4:$E$2000,2,FALSE)</f>
        <v>27ACIPD7822K1ZF</v>
      </c>
      <c r="E1416" s="34" t="s">
        <v>22</v>
      </c>
      <c r="F1416" s="136" t="s">
        <v>2459</v>
      </c>
      <c r="G1416" s="37">
        <v>43747</v>
      </c>
      <c r="H1416" s="34">
        <v>84778090</v>
      </c>
      <c r="I1416" s="39">
        <f>VLOOKUP(H1416,'PUR-HSN MASTER'!$A$4:$E$5000,5,FALSE)</f>
        <v>18</v>
      </c>
      <c r="J1416" s="34">
        <v>20</v>
      </c>
      <c r="K1416" s="126">
        <v>11200</v>
      </c>
      <c r="L1416" s="118">
        <f t="shared" si="0"/>
        <v>0</v>
      </c>
      <c r="M1416" s="118">
        <f t="shared" si="1"/>
        <v>1008</v>
      </c>
      <c r="N1416" s="118">
        <f t="shared" si="2"/>
        <v>1008</v>
      </c>
      <c r="O1416" s="118">
        <v>0</v>
      </c>
      <c r="P1416" s="127">
        <f t="shared" si="3"/>
        <v>13216</v>
      </c>
      <c r="Q1416" s="34" t="s">
        <v>410</v>
      </c>
      <c r="R1416" s="34" t="str">
        <f>VLOOKUP(C1416,'PUR-PARTY MASTER'!$B$4:$E$2000,4,FALSE)</f>
        <v>Local</v>
      </c>
      <c r="S1416" s="11" t="s">
        <v>4120</v>
      </c>
    </row>
    <row r="1417" spans="1:19" x14ac:dyDescent="0.2">
      <c r="A1417" s="51">
        <v>43739</v>
      </c>
      <c r="B1417" s="34"/>
      <c r="C1417" s="35" t="s">
        <v>747</v>
      </c>
      <c r="D1417" s="34" t="str">
        <f>VLOOKUP(C1417,'PUR-PARTY MASTER'!$B$4:$E$2000,2,FALSE)</f>
        <v>27ACIPD7822K1ZF</v>
      </c>
      <c r="E1417" s="34" t="s">
        <v>22</v>
      </c>
      <c r="F1417" s="136" t="s">
        <v>2459</v>
      </c>
      <c r="G1417" s="37">
        <v>43747</v>
      </c>
      <c r="H1417" s="34">
        <v>998873</v>
      </c>
      <c r="I1417" s="39">
        <f>VLOOKUP(H1417,'PUR-HSN MASTER'!$A$4:$E$5000,5,FALSE)</f>
        <v>18</v>
      </c>
      <c r="J1417" s="34">
        <v>20</v>
      </c>
      <c r="K1417" s="126">
        <v>700</v>
      </c>
      <c r="L1417" s="118">
        <f t="shared" si="0"/>
        <v>0</v>
      </c>
      <c r="M1417" s="118">
        <f t="shared" si="1"/>
        <v>63</v>
      </c>
      <c r="N1417" s="118">
        <f t="shared" si="2"/>
        <v>63</v>
      </c>
      <c r="O1417" s="118">
        <v>0</v>
      </c>
      <c r="P1417" s="127">
        <f t="shared" si="3"/>
        <v>826</v>
      </c>
      <c r="Q1417" s="34" t="s">
        <v>411</v>
      </c>
      <c r="R1417" s="34" t="str">
        <f>VLOOKUP(C1417,'PUR-PARTY MASTER'!$B$4:$E$2000,4,FALSE)</f>
        <v>Local</v>
      </c>
      <c r="S1417" s="11" t="s">
        <v>4120</v>
      </c>
    </row>
    <row r="1418" spans="1:19" x14ac:dyDescent="0.2">
      <c r="A1418" s="51">
        <v>43739</v>
      </c>
      <c r="B1418" s="34">
        <v>32</v>
      </c>
      <c r="C1418" s="35" t="s">
        <v>499</v>
      </c>
      <c r="D1418" s="34" t="str">
        <f>VLOOKUP(C1418,'PUR-PARTY MASTER'!$B$4:$E$2000,2,FALSE)</f>
        <v>27AAHFP1154B1ZN</v>
      </c>
      <c r="E1418" s="34" t="s">
        <v>22</v>
      </c>
      <c r="F1418" s="136" t="s">
        <v>2460</v>
      </c>
      <c r="G1418" s="37">
        <v>43747</v>
      </c>
      <c r="H1418" s="34">
        <v>40151100</v>
      </c>
      <c r="I1418" s="39">
        <f>VLOOKUP(H1418,'PUR-HSN MASTER'!$A$4:$E$5000,5,FALSE)</f>
        <v>12</v>
      </c>
      <c r="J1418" s="34">
        <v>2000</v>
      </c>
      <c r="K1418" s="126">
        <v>5200</v>
      </c>
      <c r="L1418" s="118">
        <f t="shared" si="0"/>
        <v>0</v>
      </c>
      <c r="M1418" s="118">
        <f t="shared" si="1"/>
        <v>312</v>
      </c>
      <c r="N1418" s="118">
        <f t="shared" si="2"/>
        <v>312</v>
      </c>
      <c r="O1418" s="118">
        <v>0</v>
      </c>
      <c r="P1418" s="127">
        <f t="shared" si="3"/>
        <v>5824</v>
      </c>
      <c r="Q1418" s="34" t="s">
        <v>410</v>
      </c>
      <c r="R1418" s="34" t="str">
        <f>VLOOKUP(C1418,'PUR-PARTY MASTER'!$B$4:$E$2000,4,FALSE)</f>
        <v>Local</v>
      </c>
      <c r="S1418" s="11" t="s">
        <v>4120</v>
      </c>
    </row>
    <row r="1419" spans="1:19" x14ac:dyDescent="0.2">
      <c r="A1419" s="51">
        <v>43739</v>
      </c>
      <c r="B1419" s="34">
        <v>33</v>
      </c>
      <c r="C1419" s="35" t="s">
        <v>499</v>
      </c>
      <c r="D1419" s="34" t="str">
        <f>VLOOKUP(C1419,'PUR-PARTY MASTER'!$B$4:$E$2000,2,FALSE)</f>
        <v>27AAHFP1154B1ZN</v>
      </c>
      <c r="E1419" s="34" t="s">
        <v>22</v>
      </c>
      <c r="F1419" s="136" t="s">
        <v>2461</v>
      </c>
      <c r="G1419" s="37">
        <v>43745</v>
      </c>
      <c r="H1419" s="34">
        <v>63071030</v>
      </c>
      <c r="I1419" s="39">
        <f>VLOOKUP(H1419,'PUR-HSN MASTER'!$A$4:$E$5000,5,FALSE)</f>
        <v>5</v>
      </c>
      <c r="J1419" s="34">
        <v>20</v>
      </c>
      <c r="K1419" s="126">
        <v>5240</v>
      </c>
      <c r="L1419" s="118">
        <f t="shared" si="0"/>
        <v>0</v>
      </c>
      <c r="M1419" s="118">
        <f t="shared" si="1"/>
        <v>131</v>
      </c>
      <c r="N1419" s="118">
        <f t="shared" si="2"/>
        <v>131</v>
      </c>
      <c r="O1419" s="118">
        <v>0</v>
      </c>
      <c r="P1419" s="127">
        <f t="shared" si="3"/>
        <v>5502</v>
      </c>
      <c r="Q1419" s="34" t="s">
        <v>410</v>
      </c>
      <c r="R1419" s="34" t="str">
        <f>VLOOKUP(C1419,'PUR-PARTY MASTER'!$B$4:$E$2000,4,FALSE)</f>
        <v>Local</v>
      </c>
      <c r="S1419" s="11" t="s">
        <v>4120</v>
      </c>
    </row>
    <row r="1420" spans="1:19" x14ac:dyDescent="0.2">
      <c r="A1420" s="51">
        <v>43739</v>
      </c>
      <c r="B1420" s="34">
        <v>34</v>
      </c>
      <c r="C1420" s="35" t="s">
        <v>499</v>
      </c>
      <c r="D1420" s="34" t="str">
        <f>VLOOKUP(C1420,'PUR-PARTY MASTER'!$B$4:$E$2000,2,FALSE)</f>
        <v>27AAHFP1154B1ZN</v>
      </c>
      <c r="E1420" s="34" t="s">
        <v>22</v>
      </c>
      <c r="F1420" s="136" t="s">
        <v>2462</v>
      </c>
      <c r="G1420" s="37">
        <v>43745</v>
      </c>
      <c r="H1420" s="34">
        <v>48196000</v>
      </c>
      <c r="I1420" s="39">
        <f>VLOOKUP(H1420,'PUR-HSN MASTER'!$A$4:$E$5000,5,FALSE)</f>
        <v>18</v>
      </c>
      <c r="J1420" s="34">
        <v>20</v>
      </c>
      <c r="K1420" s="126">
        <v>360</v>
      </c>
      <c r="L1420" s="118">
        <f t="shared" si="0"/>
        <v>0</v>
      </c>
      <c r="M1420" s="118">
        <f t="shared" si="1"/>
        <v>32.4</v>
      </c>
      <c r="N1420" s="118">
        <f t="shared" si="2"/>
        <v>32.4</v>
      </c>
      <c r="O1420" s="118">
        <v>0</v>
      </c>
      <c r="P1420" s="127">
        <f t="shared" si="3"/>
        <v>424.8</v>
      </c>
      <c r="Q1420" s="34" t="s">
        <v>410</v>
      </c>
      <c r="R1420" s="34" t="str">
        <f>VLOOKUP(C1420,'PUR-PARTY MASTER'!$B$4:$E$2000,4,FALSE)</f>
        <v>Local</v>
      </c>
      <c r="S1420" s="11" t="s">
        <v>4120</v>
      </c>
    </row>
    <row r="1421" spans="1:19" x14ac:dyDescent="0.2">
      <c r="A1421" s="51">
        <v>43739</v>
      </c>
      <c r="B1421" s="34">
        <v>35</v>
      </c>
      <c r="C1421" s="35" t="s">
        <v>489</v>
      </c>
      <c r="D1421" s="34" t="str">
        <f>VLOOKUP(C1421,'PUR-PARTY MASTER'!$B$4:$E$2000,2,FALSE)</f>
        <v>27AAECD2713N1ZK</v>
      </c>
      <c r="E1421" s="34" t="s">
        <v>22</v>
      </c>
      <c r="F1421" s="134">
        <v>7887989514</v>
      </c>
      <c r="G1421" s="37">
        <v>43747</v>
      </c>
      <c r="H1421" s="34">
        <v>39119090</v>
      </c>
      <c r="I1421" s="39">
        <f>VLOOKUP(H1421,'PUR-HSN MASTER'!$A$4:$E$5000,5,FALSE)</f>
        <v>18</v>
      </c>
      <c r="J1421" s="34">
        <v>18</v>
      </c>
      <c r="K1421" s="126">
        <v>12420</v>
      </c>
      <c r="L1421" s="118">
        <f t="shared" si="0"/>
        <v>0</v>
      </c>
      <c r="M1421" s="118">
        <f t="shared" si="1"/>
        <v>1117.8</v>
      </c>
      <c r="N1421" s="118">
        <f t="shared" si="2"/>
        <v>1117.8</v>
      </c>
      <c r="O1421" s="118">
        <v>0</v>
      </c>
      <c r="P1421" s="127">
        <f t="shared" si="3"/>
        <v>14655.6</v>
      </c>
      <c r="Q1421" s="34" t="s">
        <v>410</v>
      </c>
      <c r="R1421" s="34" t="str">
        <f>VLOOKUP(C1421,'PUR-PARTY MASTER'!$B$4:$E$2000,4,FALSE)</f>
        <v>Local</v>
      </c>
      <c r="S1421" s="11" t="s">
        <v>4120</v>
      </c>
    </row>
    <row r="1422" spans="1:19" x14ac:dyDescent="0.2">
      <c r="A1422" s="51">
        <v>43739</v>
      </c>
      <c r="B1422" s="34"/>
      <c r="C1422" s="35" t="s">
        <v>489</v>
      </c>
      <c r="D1422" s="34" t="str">
        <f>VLOOKUP(C1422,'PUR-PARTY MASTER'!$B$4:$E$2000,2,FALSE)</f>
        <v>27AAECD2713N1ZK</v>
      </c>
      <c r="E1422" s="34" t="s">
        <v>22</v>
      </c>
      <c r="F1422" s="134">
        <v>7887989514</v>
      </c>
      <c r="G1422" s="37">
        <v>43747</v>
      </c>
      <c r="H1422" s="34">
        <v>32082090</v>
      </c>
      <c r="I1422" s="39">
        <f>VLOOKUP(H1422,'PUR-HSN MASTER'!$A$4:$E$5000,5,FALSE)</f>
        <v>18</v>
      </c>
      <c r="J1422" s="34">
        <v>52</v>
      </c>
      <c r="K1422" s="126">
        <f>5100+43680</f>
        <v>48780</v>
      </c>
      <c r="L1422" s="118">
        <f t="shared" si="0"/>
        <v>0</v>
      </c>
      <c r="M1422" s="118">
        <f t="shared" si="1"/>
        <v>4390.2</v>
      </c>
      <c r="N1422" s="118">
        <f t="shared" si="2"/>
        <v>4390.2</v>
      </c>
      <c r="O1422" s="118">
        <v>0</v>
      </c>
      <c r="P1422" s="127">
        <f t="shared" si="3"/>
        <v>57560.4</v>
      </c>
      <c r="Q1422" s="34" t="s">
        <v>410</v>
      </c>
      <c r="R1422" s="34" t="str">
        <f>VLOOKUP(C1422,'PUR-PARTY MASTER'!$B$4:$E$2000,4,FALSE)</f>
        <v>Local</v>
      </c>
      <c r="S1422" s="11" t="s">
        <v>4120</v>
      </c>
    </row>
    <row r="1423" spans="1:19" x14ac:dyDescent="0.2">
      <c r="A1423" s="51">
        <v>43739</v>
      </c>
      <c r="B1423" s="34">
        <v>36</v>
      </c>
      <c r="C1423" s="35" t="s">
        <v>554</v>
      </c>
      <c r="D1423" s="34" t="str">
        <f>VLOOKUP(C1423,'PUR-PARTY MASTER'!$B$4:$E$2000,2,FALSE)</f>
        <v>27AACFA1881H1ZL</v>
      </c>
      <c r="E1423" s="34" t="s">
        <v>22</v>
      </c>
      <c r="F1423" s="134">
        <v>12966</v>
      </c>
      <c r="G1423" s="37">
        <v>43748</v>
      </c>
      <c r="H1423" s="34">
        <v>87141900</v>
      </c>
      <c r="I1423" s="39">
        <f>VLOOKUP(H1423,'PUR-HSN MASTER'!$A$4:$E$5000,5,FALSE)</f>
        <v>28</v>
      </c>
      <c r="J1423" s="34">
        <v>4630</v>
      </c>
      <c r="K1423" s="126">
        <v>11158.3</v>
      </c>
      <c r="L1423" s="118">
        <f t="shared" si="0"/>
        <v>0</v>
      </c>
      <c r="M1423" s="118">
        <f t="shared" si="1"/>
        <v>1562.162</v>
      </c>
      <c r="N1423" s="118">
        <f t="shared" si="2"/>
        <v>1562.162</v>
      </c>
      <c r="O1423" s="118">
        <v>0</v>
      </c>
      <c r="P1423" s="127">
        <f t="shared" si="3"/>
        <v>14282.624</v>
      </c>
      <c r="Q1423" s="34" t="s">
        <v>410</v>
      </c>
      <c r="R1423" s="34" t="str">
        <f>VLOOKUP(C1423,'PUR-PARTY MASTER'!$B$4:$E$2000,4,FALSE)</f>
        <v>Local</v>
      </c>
      <c r="S1423" s="11" t="s">
        <v>4120</v>
      </c>
    </row>
    <row r="1424" spans="1:19" x14ac:dyDescent="0.2">
      <c r="A1424" s="51">
        <v>43739</v>
      </c>
      <c r="B1424" s="34">
        <v>37</v>
      </c>
      <c r="C1424" s="35" t="s">
        <v>489</v>
      </c>
      <c r="D1424" s="34" t="str">
        <f>VLOOKUP(C1424,'PUR-PARTY MASTER'!$B$4:$E$2000,2,FALSE)</f>
        <v>27AAECD2713N1ZK</v>
      </c>
      <c r="E1424" s="34" t="s">
        <v>22</v>
      </c>
      <c r="F1424" s="134">
        <v>7887989573</v>
      </c>
      <c r="G1424" s="37">
        <v>43748</v>
      </c>
      <c r="H1424" s="34">
        <v>32089090</v>
      </c>
      <c r="I1424" s="39">
        <f>VLOOKUP(H1424,'PUR-HSN MASTER'!$A$4:$E$5000,5,FALSE)</f>
        <v>18</v>
      </c>
      <c r="J1424" s="34">
        <v>20</v>
      </c>
      <c r="K1424" s="126">
        <v>12800</v>
      </c>
      <c r="L1424" s="118">
        <f t="shared" si="0"/>
        <v>0</v>
      </c>
      <c r="M1424" s="118">
        <f t="shared" si="1"/>
        <v>1152</v>
      </c>
      <c r="N1424" s="118">
        <f t="shared" si="2"/>
        <v>1152</v>
      </c>
      <c r="O1424" s="118">
        <v>0</v>
      </c>
      <c r="P1424" s="127">
        <f t="shared" si="3"/>
        <v>15104</v>
      </c>
      <c r="Q1424" s="34" t="s">
        <v>410</v>
      </c>
      <c r="R1424" s="34" t="str">
        <f>VLOOKUP(C1424,'PUR-PARTY MASTER'!$B$4:$E$2000,4,FALSE)</f>
        <v>Local</v>
      </c>
      <c r="S1424" s="11" t="s">
        <v>4120</v>
      </c>
    </row>
    <row r="1425" spans="1:19" x14ac:dyDescent="0.2">
      <c r="A1425" s="51">
        <v>43739</v>
      </c>
      <c r="B1425" s="34">
        <v>38</v>
      </c>
      <c r="C1425" s="35" t="s">
        <v>506</v>
      </c>
      <c r="D1425" s="34" t="str">
        <f>VLOOKUP(C1425,'PUR-PARTY MASTER'!$B$4:$E$2000,2,FALSE)</f>
        <v>27AAACG1376N1ZC</v>
      </c>
      <c r="E1425" s="34" t="s">
        <v>22</v>
      </c>
      <c r="F1425" s="136" t="s">
        <v>2463</v>
      </c>
      <c r="G1425" s="37">
        <v>43748</v>
      </c>
      <c r="H1425" s="34">
        <v>32082090</v>
      </c>
      <c r="I1425" s="39">
        <f>VLOOKUP(H1425,'PUR-HSN MASTER'!$A$4:$E$5000,5,FALSE)</f>
        <v>18</v>
      </c>
      <c r="J1425" s="34">
        <v>200</v>
      </c>
      <c r="K1425" s="126">
        <v>69758</v>
      </c>
      <c r="L1425" s="118">
        <f t="shared" si="0"/>
        <v>0</v>
      </c>
      <c r="M1425" s="118">
        <f t="shared" si="1"/>
        <v>6278.22</v>
      </c>
      <c r="N1425" s="118">
        <f t="shared" si="2"/>
        <v>6278.22</v>
      </c>
      <c r="O1425" s="118">
        <v>0</v>
      </c>
      <c r="P1425" s="127">
        <f t="shared" si="3"/>
        <v>82314.44</v>
      </c>
      <c r="Q1425" s="34" t="s">
        <v>410</v>
      </c>
      <c r="R1425" s="34" t="str">
        <f>VLOOKUP(C1425,'PUR-PARTY MASTER'!$B$4:$E$2000,4,FALSE)</f>
        <v>Local</v>
      </c>
      <c r="S1425" s="11" t="s">
        <v>4120</v>
      </c>
    </row>
    <row r="1426" spans="1:19" x14ac:dyDescent="0.2">
      <c r="A1426" s="51">
        <v>43739</v>
      </c>
      <c r="B1426" s="34">
        <v>39</v>
      </c>
      <c r="C1426" s="35" t="s">
        <v>506</v>
      </c>
      <c r="D1426" s="34" t="str">
        <f>VLOOKUP(C1426,'PUR-PARTY MASTER'!$B$4:$E$2000,2,FALSE)</f>
        <v>27AAACG1376N1ZC</v>
      </c>
      <c r="E1426" s="34" t="s">
        <v>22</v>
      </c>
      <c r="F1426" s="136" t="s">
        <v>2464</v>
      </c>
      <c r="G1426" s="37">
        <v>43748</v>
      </c>
      <c r="H1426" s="34">
        <v>38140010</v>
      </c>
      <c r="I1426" s="39">
        <f>VLOOKUP(H1426,'PUR-HSN MASTER'!$A$4:$E$5000,5,FALSE)</f>
        <v>18</v>
      </c>
      <c r="J1426" s="34">
        <v>200</v>
      </c>
      <c r="K1426" s="126">
        <v>18480</v>
      </c>
      <c r="L1426" s="118">
        <f t="shared" si="0"/>
        <v>0</v>
      </c>
      <c r="M1426" s="118">
        <f t="shared" si="1"/>
        <v>1663.2</v>
      </c>
      <c r="N1426" s="118">
        <f t="shared" si="2"/>
        <v>1663.2</v>
      </c>
      <c r="O1426" s="118">
        <v>0</v>
      </c>
      <c r="P1426" s="127">
        <f t="shared" si="3"/>
        <v>21806.400000000001</v>
      </c>
      <c r="Q1426" s="34" t="s">
        <v>410</v>
      </c>
      <c r="R1426" s="34" t="str">
        <f>VLOOKUP(C1426,'PUR-PARTY MASTER'!$B$4:$E$2000,4,FALSE)</f>
        <v>Local</v>
      </c>
      <c r="S1426" s="11" t="s">
        <v>4120</v>
      </c>
    </row>
    <row r="1427" spans="1:19" x14ac:dyDescent="0.2">
      <c r="A1427" s="51">
        <v>43739</v>
      </c>
      <c r="B1427" s="34">
        <v>40</v>
      </c>
      <c r="C1427" s="35" t="s">
        <v>473</v>
      </c>
      <c r="D1427" s="34" t="str">
        <f>VLOOKUP(C1427,'PUR-PARTY MASTER'!$B$4:$E$2000,2,FALSE)</f>
        <v>27AAACT1848E1ZH</v>
      </c>
      <c r="E1427" s="34" t="s">
        <v>22</v>
      </c>
      <c r="F1427" s="136" t="s">
        <v>2465</v>
      </c>
      <c r="G1427" s="37">
        <v>43748</v>
      </c>
      <c r="H1427" s="34">
        <v>87089900</v>
      </c>
      <c r="I1427" s="39">
        <f>VLOOKUP(H1427,'PUR-HSN MASTER'!$A$4:$E$5000,5,FALSE)</f>
        <v>28</v>
      </c>
      <c r="J1427" s="34">
        <v>20</v>
      </c>
      <c r="K1427" s="126">
        <v>3206</v>
      </c>
      <c r="L1427" s="118">
        <f t="shared" si="0"/>
        <v>0</v>
      </c>
      <c r="M1427" s="118">
        <f t="shared" si="1"/>
        <v>448.84000000000003</v>
      </c>
      <c r="N1427" s="118">
        <f t="shared" si="2"/>
        <v>448.84000000000003</v>
      </c>
      <c r="O1427" s="118">
        <v>0</v>
      </c>
      <c r="P1427" s="127">
        <f t="shared" si="3"/>
        <v>4103.68</v>
      </c>
      <c r="Q1427" s="34" t="s">
        <v>410</v>
      </c>
      <c r="R1427" s="34" t="str">
        <f>VLOOKUP(C1427,'PUR-PARTY MASTER'!$B$4:$E$2000,4,FALSE)</f>
        <v>Local</v>
      </c>
      <c r="S1427" s="11" t="s">
        <v>4120</v>
      </c>
    </row>
    <row r="1428" spans="1:19" x14ac:dyDescent="0.2">
      <c r="A1428" s="51">
        <v>43739</v>
      </c>
      <c r="B1428" s="34">
        <v>41</v>
      </c>
      <c r="C1428" s="35" t="s">
        <v>473</v>
      </c>
      <c r="D1428" s="34" t="str">
        <f>VLOOKUP(C1428,'PUR-PARTY MASTER'!$B$4:$E$2000,2,FALSE)</f>
        <v>27AAACT1848E1ZH</v>
      </c>
      <c r="E1428" s="34" t="s">
        <v>22</v>
      </c>
      <c r="F1428" s="136" t="s">
        <v>2466</v>
      </c>
      <c r="G1428" s="37">
        <v>43748</v>
      </c>
      <c r="H1428" s="34">
        <v>87089900</v>
      </c>
      <c r="I1428" s="39">
        <f>VLOOKUP(H1428,'PUR-HSN MASTER'!$A$4:$E$5000,5,FALSE)</f>
        <v>28</v>
      </c>
      <c r="J1428" s="34">
        <v>42</v>
      </c>
      <c r="K1428" s="126">
        <v>6423.9</v>
      </c>
      <c r="L1428" s="118">
        <f t="shared" si="0"/>
        <v>0</v>
      </c>
      <c r="M1428" s="118">
        <f t="shared" si="1"/>
        <v>899.34599999999989</v>
      </c>
      <c r="N1428" s="118">
        <f t="shared" si="2"/>
        <v>899.34599999999989</v>
      </c>
      <c r="O1428" s="118">
        <v>0</v>
      </c>
      <c r="P1428" s="127">
        <f t="shared" si="3"/>
        <v>8222.5919999999987</v>
      </c>
      <c r="Q1428" s="34" t="s">
        <v>410</v>
      </c>
      <c r="R1428" s="34" t="str">
        <f>VLOOKUP(C1428,'PUR-PARTY MASTER'!$B$4:$E$2000,4,FALSE)</f>
        <v>Local</v>
      </c>
      <c r="S1428" s="11" t="s">
        <v>4120</v>
      </c>
    </row>
    <row r="1429" spans="1:19" x14ac:dyDescent="0.2">
      <c r="A1429" s="51">
        <v>43739</v>
      </c>
      <c r="B1429" s="34">
        <v>42</v>
      </c>
      <c r="C1429" s="35" t="s">
        <v>517</v>
      </c>
      <c r="D1429" s="34" t="str">
        <f>VLOOKUP(C1429,'PUR-PARTY MASTER'!$B$4:$E$2000,2,FALSE)</f>
        <v>23AAACT6376M1ZZ</v>
      </c>
      <c r="E1429" s="34" t="s">
        <v>22</v>
      </c>
      <c r="F1429" s="134">
        <v>19619570</v>
      </c>
      <c r="G1429" s="37">
        <v>43747</v>
      </c>
      <c r="H1429" s="34">
        <v>87081090</v>
      </c>
      <c r="I1429" s="39">
        <f>VLOOKUP(H1429,'PUR-HSN MASTER'!$A$4:$E$5000,5,FALSE)</f>
        <v>28</v>
      </c>
      <c r="J1429" s="34">
        <v>40</v>
      </c>
      <c r="K1429" s="126">
        <v>20152.8</v>
      </c>
      <c r="L1429" s="118">
        <f t="shared" si="0"/>
        <v>5642.7839999999997</v>
      </c>
      <c r="M1429" s="118">
        <f t="shared" si="1"/>
        <v>0</v>
      </c>
      <c r="N1429" s="118">
        <f t="shared" si="2"/>
        <v>0</v>
      </c>
      <c r="O1429" s="118">
        <v>0</v>
      </c>
      <c r="P1429" s="127">
        <f t="shared" si="3"/>
        <v>25795.583999999999</v>
      </c>
      <c r="Q1429" s="34" t="s">
        <v>410</v>
      </c>
      <c r="R1429" s="34" t="str">
        <f>VLOOKUP(C1429,'PUR-PARTY MASTER'!$B$4:$E$2000,4,FALSE)</f>
        <v>Oms</v>
      </c>
      <c r="S1429" s="11" t="s">
        <v>4120</v>
      </c>
    </row>
    <row r="1430" spans="1:19" x14ac:dyDescent="0.2">
      <c r="A1430" s="51">
        <v>43739</v>
      </c>
      <c r="B1430" s="34">
        <v>43</v>
      </c>
      <c r="C1430" s="632" t="s">
        <v>1127</v>
      </c>
      <c r="D1430" s="34" t="str">
        <f>VLOOKUP(C1430,'PUR-PARTY MASTER'!$B$4:$E$2000,2,FALSE)</f>
        <v>27AAACO4716C1ZT</v>
      </c>
      <c r="E1430" s="34" t="s">
        <v>22</v>
      </c>
      <c r="F1430" s="136">
        <v>280219122518</v>
      </c>
      <c r="G1430" s="37">
        <v>43750</v>
      </c>
      <c r="H1430" s="34">
        <v>996511</v>
      </c>
      <c r="I1430" s="39">
        <f>VLOOKUP(H1430,'PUR-HSN MASTER'!$A$4:$E$5000,5,FALSE)</f>
        <v>12</v>
      </c>
      <c r="J1430" s="34">
        <v>0</v>
      </c>
      <c r="K1430" s="126">
        <v>2625.6</v>
      </c>
      <c r="L1430" s="118">
        <f t="shared" si="0"/>
        <v>0</v>
      </c>
      <c r="M1430" s="118">
        <f t="shared" si="1"/>
        <v>157.536</v>
      </c>
      <c r="N1430" s="118">
        <f t="shared" si="2"/>
        <v>157.536</v>
      </c>
      <c r="O1430" s="118">
        <v>0</v>
      </c>
      <c r="P1430" s="127">
        <f t="shared" si="3"/>
        <v>2940.672</v>
      </c>
      <c r="Q1430" s="34" t="s">
        <v>411</v>
      </c>
      <c r="R1430" s="34" t="str">
        <f>VLOOKUP(C1430,'PUR-PARTY MASTER'!$B$4:$E$2000,4,FALSE)</f>
        <v>Local</v>
      </c>
      <c r="S1430" s="11" t="s">
        <v>4120</v>
      </c>
    </row>
    <row r="1431" spans="1:19" x14ac:dyDescent="0.2">
      <c r="A1431" s="51">
        <v>43739</v>
      </c>
      <c r="B1431" s="34">
        <v>44</v>
      </c>
      <c r="C1431" s="35" t="s">
        <v>609</v>
      </c>
      <c r="D1431" s="34" t="str">
        <f>VLOOKUP(C1431,'PUR-PARTY MASTER'!$B$4:$E$2000,2,FALSE)</f>
        <v>27AASCS9231J1ZO</v>
      </c>
      <c r="E1431" s="34" t="s">
        <v>22</v>
      </c>
      <c r="F1431" s="136" t="s">
        <v>2467</v>
      </c>
      <c r="G1431" s="37">
        <v>43739</v>
      </c>
      <c r="H1431" s="34">
        <v>998519</v>
      </c>
      <c r="I1431" s="39">
        <f>VLOOKUP(H1431,'PUR-HSN MASTER'!$A$4:$E$5000,5,FALSE)</f>
        <v>18</v>
      </c>
      <c r="J1431" s="34"/>
      <c r="K1431" s="126">
        <v>509332</v>
      </c>
      <c r="L1431" s="118">
        <f t="shared" si="0"/>
        <v>0</v>
      </c>
      <c r="M1431" s="118">
        <f t="shared" si="1"/>
        <v>45839.88</v>
      </c>
      <c r="N1431" s="118">
        <f t="shared" si="2"/>
        <v>45839.88</v>
      </c>
      <c r="O1431" s="118">
        <v>0</v>
      </c>
      <c r="P1431" s="127">
        <f t="shared" si="3"/>
        <v>601011.76</v>
      </c>
      <c r="Q1431" s="34" t="s">
        <v>411</v>
      </c>
      <c r="R1431" s="34" t="str">
        <f>VLOOKUP(C1431,'PUR-PARTY MASTER'!$B$4:$E$2000,4,FALSE)</f>
        <v>Local</v>
      </c>
      <c r="S1431" s="11" t="s">
        <v>4120</v>
      </c>
    </row>
    <row r="1432" spans="1:19" x14ac:dyDescent="0.2">
      <c r="A1432" s="51">
        <v>43739</v>
      </c>
      <c r="B1432" s="34">
        <v>45</v>
      </c>
      <c r="C1432" s="35" t="s">
        <v>677</v>
      </c>
      <c r="D1432" s="34" t="str">
        <f>VLOOKUP(C1432,'PUR-PARTY MASTER'!$B$4:$E$2000,2,FALSE)</f>
        <v>06AAACM6984G1Z9</v>
      </c>
      <c r="E1432" s="34" t="s">
        <v>22</v>
      </c>
      <c r="F1432" s="136" t="s">
        <v>2468</v>
      </c>
      <c r="G1432" s="37">
        <v>43745</v>
      </c>
      <c r="H1432" s="34">
        <v>87081090</v>
      </c>
      <c r="I1432" s="39">
        <f>VLOOKUP(H1432,'PUR-HSN MASTER'!$A$4:$E$5000,5,FALSE)</f>
        <v>28</v>
      </c>
      <c r="J1432" s="34">
        <v>200</v>
      </c>
      <c r="K1432" s="126">
        <v>9046</v>
      </c>
      <c r="L1432" s="118">
        <f t="shared" si="0"/>
        <v>2532.8799999999997</v>
      </c>
      <c r="M1432" s="118">
        <f t="shared" si="1"/>
        <v>0</v>
      </c>
      <c r="N1432" s="118">
        <f t="shared" si="2"/>
        <v>0</v>
      </c>
      <c r="O1432" s="118">
        <v>0</v>
      </c>
      <c r="P1432" s="127">
        <f t="shared" si="3"/>
        <v>11578.88</v>
      </c>
      <c r="Q1432" s="34" t="s">
        <v>410</v>
      </c>
      <c r="R1432" s="34" t="str">
        <f>VLOOKUP(C1432,'PUR-PARTY MASTER'!$B$4:$E$2000,4,FALSE)</f>
        <v>Oms</v>
      </c>
      <c r="S1432" s="11" t="s">
        <v>4120</v>
      </c>
    </row>
    <row r="1433" spans="1:19" x14ac:dyDescent="0.2">
      <c r="A1433" s="51">
        <v>43739</v>
      </c>
      <c r="B1433" s="34">
        <v>46</v>
      </c>
      <c r="C1433" s="35" t="s">
        <v>479</v>
      </c>
      <c r="D1433" s="34" t="str">
        <f>VLOOKUP(C1433,'PUR-PARTY MASTER'!$B$4:$E$2000,2,FALSE)</f>
        <v>27AAMFC2124K1ZG</v>
      </c>
      <c r="E1433" s="34" t="s">
        <v>22</v>
      </c>
      <c r="F1433" s="134">
        <v>1346</v>
      </c>
      <c r="G1433" s="37">
        <v>43750</v>
      </c>
      <c r="H1433" s="34">
        <v>39199090</v>
      </c>
      <c r="I1433" s="39">
        <f>VLOOKUP(H1433,'PUR-HSN MASTER'!$A$4:$E$5000,5,FALSE)</f>
        <v>18</v>
      </c>
      <c r="J1433" s="34">
        <v>25</v>
      </c>
      <c r="K1433" s="126">
        <v>6000</v>
      </c>
      <c r="L1433" s="118">
        <f t="shared" si="0"/>
        <v>0</v>
      </c>
      <c r="M1433" s="118">
        <f t="shared" si="1"/>
        <v>540</v>
      </c>
      <c r="N1433" s="118">
        <f t="shared" si="2"/>
        <v>540</v>
      </c>
      <c r="O1433" s="118">
        <v>0</v>
      </c>
      <c r="P1433" s="127">
        <f t="shared" si="3"/>
        <v>7080</v>
      </c>
      <c r="Q1433" s="34" t="s">
        <v>410</v>
      </c>
      <c r="R1433" s="34" t="str">
        <f>VLOOKUP(C1433,'PUR-PARTY MASTER'!$B$4:$E$2000,4,FALSE)</f>
        <v>Local</v>
      </c>
      <c r="S1433" s="11" t="s">
        <v>4120</v>
      </c>
    </row>
    <row r="1434" spans="1:19" x14ac:dyDescent="0.2">
      <c r="A1434" s="51">
        <v>43739</v>
      </c>
      <c r="B1434" s="34">
        <v>47</v>
      </c>
      <c r="C1434" s="35" t="s">
        <v>518</v>
      </c>
      <c r="D1434" s="34" t="str">
        <f>VLOOKUP(C1434,'PUR-PARTY MASTER'!$B$4:$E$2000,2,FALSE)</f>
        <v>27AAACB2894G1ZN</v>
      </c>
      <c r="E1434" s="34" t="s">
        <v>22</v>
      </c>
      <c r="F1434" s="136" t="s">
        <v>2469</v>
      </c>
      <c r="G1434" s="37">
        <v>43750</v>
      </c>
      <c r="H1434" s="34">
        <v>9984</v>
      </c>
      <c r="I1434" s="39">
        <f>VLOOKUP(H1434,'PUR-HSN MASTER'!$A$4:$E$5000,5,FALSE)</f>
        <v>18</v>
      </c>
      <c r="J1434" s="34"/>
      <c r="K1434" s="126">
        <v>4797</v>
      </c>
      <c r="L1434" s="118">
        <f t="shared" si="0"/>
        <v>0</v>
      </c>
      <c r="M1434" s="118">
        <f t="shared" si="1"/>
        <v>431.73</v>
      </c>
      <c r="N1434" s="118">
        <f t="shared" si="2"/>
        <v>431.73</v>
      </c>
      <c r="O1434" s="118">
        <v>0</v>
      </c>
      <c r="P1434" s="127">
        <f t="shared" si="3"/>
        <v>5660.46</v>
      </c>
      <c r="Q1434" s="34" t="s">
        <v>410</v>
      </c>
      <c r="R1434" s="34" t="str">
        <f>VLOOKUP(C1434,'PUR-PARTY MASTER'!$B$4:$E$2000,4,FALSE)</f>
        <v>Local</v>
      </c>
      <c r="S1434" s="11" t="s">
        <v>4120</v>
      </c>
    </row>
    <row r="1435" spans="1:19" x14ac:dyDescent="0.2">
      <c r="A1435" s="51">
        <v>43739</v>
      </c>
      <c r="B1435" s="34">
        <v>48</v>
      </c>
      <c r="C1435" s="35" t="s">
        <v>471</v>
      </c>
      <c r="D1435" s="34" t="str">
        <f>VLOOKUP(C1435,'PUR-PARTY MASTER'!$B$4:$E$2000,2,FALSE)</f>
        <v>27AAECM8871A1ZF</v>
      </c>
      <c r="E1435" s="34" t="s">
        <v>22</v>
      </c>
      <c r="F1435" s="134">
        <v>192006065</v>
      </c>
      <c r="G1435" s="37">
        <v>43750</v>
      </c>
      <c r="H1435" s="34">
        <v>87089900</v>
      </c>
      <c r="I1435" s="39">
        <f>VLOOKUP(H1435,'PUR-HSN MASTER'!$A$4:$E$5000,5,FALSE)</f>
        <v>28</v>
      </c>
      <c r="J1435" s="34">
        <v>12</v>
      </c>
      <c r="K1435" s="126">
        <v>17483.52</v>
      </c>
      <c r="L1435" s="118">
        <f t="shared" si="0"/>
        <v>0</v>
      </c>
      <c r="M1435" s="118">
        <f t="shared" si="1"/>
        <v>2447.6928000000003</v>
      </c>
      <c r="N1435" s="118">
        <f t="shared" si="2"/>
        <v>2447.6928000000003</v>
      </c>
      <c r="O1435" s="118">
        <v>0</v>
      </c>
      <c r="P1435" s="127">
        <f t="shared" si="3"/>
        <v>22378.905600000002</v>
      </c>
      <c r="Q1435" s="34" t="s">
        <v>410</v>
      </c>
      <c r="R1435" s="34" t="str">
        <f>VLOOKUP(C1435,'PUR-PARTY MASTER'!$B$4:$E$2000,4,FALSE)</f>
        <v>Local</v>
      </c>
      <c r="S1435" s="11" t="s">
        <v>4120</v>
      </c>
    </row>
    <row r="1436" spans="1:19" x14ac:dyDescent="0.2">
      <c r="A1436" s="51">
        <v>43739</v>
      </c>
      <c r="B1436" s="34">
        <v>49</v>
      </c>
      <c r="C1436" s="35" t="s">
        <v>471</v>
      </c>
      <c r="D1436" s="34" t="str">
        <f>VLOOKUP(C1436,'PUR-PARTY MASTER'!$B$4:$E$2000,2,FALSE)</f>
        <v>27AAECM8871A1ZF</v>
      </c>
      <c r="E1436" s="34" t="s">
        <v>22</v>
      </c>
      <c r="F1436" s="134">
        <v>192006060</v>
      </c>
      <c r="G1436" s="37">
        <v>43750</v>
      </c>
      <c r="H1436" s="34">
        <v>87089900</v>
      </c>
      <c r="I1436" s="39">
        <f>VLOOKUP(H1436,'PUR-HSN MASTER'!$A$4:$E$5000,5,FALSE)</f>
        <v>28</v>
      </c>
      <c r="J1436" s="34">
        <v>12</v>
      </c>
      <c r="K1436" s="126">
        <v>17483.52</v>
      </c>
      <c r="L1436" s="118">
        <f t="shared" si="0"/>
        <v>0</v>
      </c>
      <c r="M1436" s="118">
        <f t="shared" si="1"/>
        <v>2447.6928000000003</v>
      </c>
      <c r="N1436" s="118">
        <f t="shared" si="2"/>
        <v>2447.6928000000003</v>
      </c>
      <c r="O1436" s="118">
        <v>0</v>
      </c>
      <c r="P1436" s="127">
        <f t="shared" si="3"/>
        <v>22378.905600000002</v>
      </c>
      <c r="Q1436" s="34" t="s">
        <v>410</v>
      </c>
      <c r="R1436" s="34" t="str">
        <f>VLOOKUP(C1436,'PUR-PARTY MASTER'!$B$4:$E$2000,4,FALSE)</f>
        <v>Local</v>
      </c>
      <c r="S1436" s="11" t="s">
        <v>4120</v>
      </c>
    </row>
    <row r="1437" spans="1:19" x14ac:dyDescent="0.2">
      <c r="A1437" s="51">
        <v>43739</v>
      </c>
      <c r="B1437" s="34">
        <v>50</v>
      </c>
      <c r="C1437" s="35" t="s">
        <v>554</v>
      </c>
      <c r="D1437" s="34" t="str">
        <f>VLOOKUP(C1437,'PUR-PARTY MASTER'!$B$4:$E$2000,2,FALSE)</f>
        <v>27AACFA1881H1ZL</v>
      </c>
      <c r="E1437" s="34" t="s">
        <v>22</v>
      </c>
      <c r="F1437" s="134">
        <v>13087</v>
      </c>
      <c r="G1437" s="37">
        <v>43750</v>
      </c>
      <c r="H1437" s="34">
        <v>87141900</v>
      </c>
      <c r="I1437" s="39">
        <f>VLOOKUP(H1437,'PUR-HSN MASTER'!$A$4:$E$5000,5,FALSE)</f>
        <v>28</v>
      </c>
      <c r="J1437" s="34">
        <v>1500</v>
      </c>
      <c r="K1437" s="126">
        <v>3615</v>
      </c>
      <c r="L1437" s="118">
        <f t="shared" si="0"/>
        <v>0</v>
      </c>
      <c r="M1437" s="118">
        <f t="shared" si="1"/>
        <v>506.09999999999997</v>
      </c>
      <c r="N1437" s="118">
        <f t="shared" si="2"/>
        <v>506.09999999999997</v>
      </c>
      <c r="O1437" s="118">
        <v>0</v>
      </c>
      <c r="P1437" s="127">
        <f t="shared" si="3"/>
        <v>4627.2</v>
      </c>
      <c r="Q1437" s="34" t="s">
        <v>410</v>
      </c>
      <c r="R1437" s="34" t="str">
        <f>VLOOKUP(C1437,'PUR-PARTY MASTER'!$B$4:$E$2000,4,FALSE)</f>
        <v>Local</v>
      </c>
      <c r="S1437" s="11" t="s">
        <v>4120</v>
      </c>
    </row>
    <row r="1438" spans="1:19" x14ac:dyDescent="0.2">
      <c r="A1438" s="51">
        <v>43739</v>
      </c>
      <c r="B1438" s="34">
        <v>51</v>
      </c>
      <c r="C1438" s="35" t="s">
        <v>495</v>
      </c>
      <c r="D1438" s="34" t="str">
        <f>VLOOKUP(C1438,'PUR-PARTY MASTER'!$B$4:$E$2000,2,FALSE)</f>
        <v>27AAACH4211R1ZF</v>
      </c>
      <c r="E1438" s="34" t="s">
        <v>22</v>
      </c>
      <c r="F1438" s="134">
        <v>5510060314</v>
      </c>
      <c r="G1438" s="37">
        <v>43750</v>
      </c>
      <c r="H1438" s="34">
        <v>85129000</v>
      </c>
      <c r="I1438" s="39">
        <f>VLOOKUP(H1438,'PUR-HSN MASTER'!$A$4:$E$5000,5,FALSE)</f>
        <v>18</v>
      </c>
      <c r="J1438" s="34">
        <v>2400</v>
      </c>
      <c r="K1438" s="126">
        <v>26544</v>
      </c>
      <c r="L1438" s="118">
        <f t="shared" si="0"/>
        <v>0</v>
      </c>
      <c r="M1438" s="118">
        <f t="shared" si="1"/>
        <v>2388.96</v>
      </c>
      <c r="N1438" s="118">
        <f t="shared" si="2"/>
        <v>2388.96</v>
      </c>
      <c r="O1438" s="118">
        <v>0</v>
      </c>
      <c r="P1438" s="127">
        <f t="shared" si="3"/>
        <v>31321.919999999998</v>
      </c>
      <c r="Q1438" s="34" t="s">
        <v>410</v>
      </c>
      <c r="R1438" s="34" t="str">
        <f>VLOOKUP(C1438,'PUR-PARTY MASTER'!$B$4:$E$2000,4,FALSE)</f>
        <v>Local</v>
      </c>
      <c r="S1438" s="11" t="s">
        <v>4120</v>
      </c>
    </row>
    <row r="1439" spans="1:19" x14ac:dyDescent="0.2">
      <c r="A1439" s="51">
        <v>43739</v>
      </c>
      <c r="B1439" s="34">
        <v>52</v>
      </c>
      <c r="C1439" s="35" t="s">
        <v>601</v>
      </c>
      <c r="D1439" s="34" t="str">
        <f>VLOOKUP(C1439,'PUR-PARTY MASTER'!$B$4:$E$2000,2,FALSE)</f>
        <v>27AAZFM6461A1ZY</v>
      </c>
      <c r="E1439" s="34" t="s">
        <v>22</v>
      </c>
      <c r="F1439" s="134">
        <v>4833</v>
      </c>
      <c r="G1439" s="37">
        <v>43750</v>
      </c>
      <c r="H1439" s="34">
        <v>87082900</v>
      </c>
      <c r="I1439" s="39">
        <f>VLOOKUP(H1439,'PUR-HSN MASTER'!$A$4:$E$5000,5,FALSE)</f>
        <v>28</v>
      </c>
      <c r="J1439" s="34">
        <v>460</v>
      </c>
      <c r="K1439" s="126">
        <v>19582.2</v>
      </c>
      <c r="L1439" s="118">
        <f t="shared" ref="L1439:L1502" si="4">+IF(R1439="Oms",K1439/100*I1439,0)</f>
        <v>0</v>
      </c>
      <c r="M1439" s="118">
        <f t="shared" ref="M1439:M1502" si="5">+IF(R1439="local",K1439/100*I1439/2,0)</f>
        <v>2741.5079999999998</v>
      </c>
      <c r="N1439" s="118">
        <f t="shared" ref="N1439:N1502" si="6">+IF(R1439="local",K1439/100*I1439/2,0)</f>
        <v>2741.5079999999998</v>
      </c>
      <c r="O1439" s="118">
        <v>0</v>
      </c>
      <c r="P1439" s="127">
        <f t="shared" ref="P1439:P1502" si="7">+O1439+N1439+M1439+L1439+K1439</f>
        <v>25065.216</v>
      </c>
      <c r="Q1439" s="34" t="s">
        <v>410</v>
      </c>
      <c r="R1439" s="34" t="str">
        <f>VLOOKUP(C1439,'PUR-PARTY MASTER'!$B$4:$E$2000,4,FALSE)</f>
        <v>Local</v>
      </c>
      <c r="S1439" s="11" t="s">
        <v>4120</v>
      </c>
    </row>
    <row r="1440" spans="1:19" x14ac:dyDescent="0.2">
      <c r="A1440" s="51">
        <v>43739</v>
      </c>
      <c r="B1440" s="34">
        <v>53</v>
      </c>
      <c r="C1440" s="35" t="s">
        <v>601</v>
      </c>
      <c r="D1440" s="34" t="str">
        <f>VLOOKUP(C1440,'PUR-PARTY MASTER'!$B$4:$E$2000,2,FALSE)</f>
        <v>27AAZFM6461A1ZY</v>
      </c>
      <c r="E1440" s="34" t="s">
        <v>22</v>
      </c>
      <c r="F1440" s="134">
        <v>4834</v>
      </c>
      <c r="G1440" s="37">
        <v>43750</v>
      </c>
      <c r="H1440" s="34">
        <v>87082900</v>
      </c>
      <c r="I1440" s="39">
        <f>VLOOKUP(H1440,'PUR-HSN MASTER'!$A$4:$E$5000,5,FALSE)</f>
        <v>28</v>
      </c>
      <c r="J1440" s="34">
        <v>360</v>
      </c>
      <c r="K1440" s="126">
        <v>8035.2</v>
      </c>
      <c r="L1440" s="118">
        <f t="shared" si="4"/>
        <v>0</v>
      </c>
      <c r="M1440" s="118">
        <f t="shared" si="5"/>
        <v>1124.9280000000001</v>
      </c>
      <c r="N1440" s="118">
        <f t="shared" si="6"/>
        <v>1124.9280000000001</v>
      </c>
      <c r="O1440" s="118">
        <v>0</v>
      </c>
      <c r="P1440" s="127">
        <f t="shared" si="7"/>
        <v>10285.056</v>
      </c>
      <c r="Q1440" s="34" t="s">
        <v>410</v>
      </c>
      <c r="R1440" s="34" t="str">
        <f>VLOOKUP(C1440,'PUR-PARTY MASTER'!$B$4:$E$2000,4,FALSE)</f>
        <v>Local</v>
      </c>
      <c r="S1440" s="11" t="s">
        <v>4120</v>
      </c>
    </row>
    <row r="1441" spans="1:19" x14ac:dyDescent="0.2">
      <c r="A1441" s="51">
        <v>43739</v>
      </c>
      <c r="B1441" s="34">
        <v>54</v>
      </c>
      <c r="C1441" s="35" t="s">
        <v>514</v>
      </c>
      <c r="D1441" s="34" t="str">
        <f>VLOOKUP(C1441,'PUR-PARTY MASTER'!$B$4:$E$2000,2,FALSE)</f>
        <v>27AAACU2414K1ZF</v>
      </c>
      <c r="E1441" s="34" t="s">
        <v>22</v>
      </c>
      <c r="F1441" s="136"/>
      <c r="G1441" s="37">
        <v>43750</v>
      </c>
      <c r="H1441" s="34">
        <v>9971</v>
      </c>
      <c r="I1441" s="39">
        <f>VLOOKUP(H1441,'PUR-HSN MASTER'!$A$4:$E$5000,5,FALSE)</f>
        <v>18</v>
      </c>
      <c r="J1441" s="34">
        <v>0</v>
      </c>
      <c r="K1441" s="40">
        <v>150</v>
      </c>
      <c r="L1441" s="118">
        <f t="shared" si="4"/>
        <v>0</v>
      </c>
      <c r="M1441" s="118">
        <f t="shared" si="5"/>
        <v>13.5</v>
      </c>
      <c r="N1441" s="118">
        <f t="shared" si="6"/>
        <v>13.5</v>
      </c>
      <c r="O1441" s="118">
        <v>0</v>
      </c>
      <c r="P1441" s="127">
        <f t="shared" si="7"/>
        <v>177</v>
      </c>
      <c r="Q1441" s="34" t="s">
        <v>411</v>
      </c>
      <c r="R1441" s="34" t="str">
        <f>VLOOKUP(C1441,'PUR-PARTY MASTER'!$B$4:$E$2000,4,FALSE)</f>
        <v>Local</v>
      </c>
      <c r="S1441" s="11" t="s">
        <v>4120</v>
      </c>
    </row>
    <row r="1442" spans="1:19" x14ac:dyDescent="0.2">
      <c r="A1442" s="51">
        <v>43739</v>
      </c>
      <c r="B1442" s="34">
        <v>55</v>
      </c>
      <c r="C1442" s="35" t="s">
        <v>747</v>
      </c>
      <c r="D1442" s="34" t="str">
        <f>VLOOKUP(C1442,'PUR-PARTY MASTER'!$B$4:$E$2000,2,FALSE)</f>
        <v>27ACIPD7822K1ZF</v>
      </c>
      <c r="E1442" s="34" t="s">
        <v>22</v>
      </c>
      <c r="F1442" s="136" t="s">
        <v>2470</v>
      </c>
      <c r="G1442" s="37">
        <v>43752</v>
      </c>
      <c r="H1442" s="34">
        <v>84778090</v>
      </c>
      <c r="I1442" s="39">
        <f>VLOOKUP(H1442,'PUR-HSN MASTER'!$A$4:$E$5000,5,FALSE)</f>
        <v>18</v>
      </c>
      <c r="J1442" s="34">
        <v>25</v>
      </c>
      <c r="K1442" s="126">
        <v>14000</v>
      </c>
      <c r="L1442" s="118">
        <f t="shared" si="4"/>
        <v>0</v>
      </c>
      <c r="M1442" s="118">
        <f t="shared" si="5"/>
        <v>1260</v>
      </c>
      <c r="N1442" s="118">
        <f t="shared" si="6"/>
        <v>1260</v>
      </c>
      <c r="O1442" s="118">
        <v>0</v>
      </c>
      <c r="P1442" s="127">
        <f t="shared" si="7"/>
        <v>16520</v>
      </c>
      <c r="Q1442" s="34" t="s">
        <v>410</v>
      </c>
      <c r="R1442" s="34" t="str">
        <f>VLOOKUP(C1442,'PUR-PARTY MASTER'!$B$4:$E$2000,4,FALSE)</f>
        <v>Local</v>
      </c>
      <c r="S1442" s="11" t="s">
        <v>4120</v>
      </c>
    </row>
    <row r="1443" spans="1:19" x14ac:dyDescent="0.2">
      <c r="A1443" s="51">
        <v>43739</v>
      </c>
      <c r="B1443" s="34">
        <v>56</v>
      </c>
      <c r="C1443" s="35" t="s">
        <v>506</v>
      </c>
      <c r="D1443" s="34" t="str">
        <f>VLOOKUP(C1443,'PUR-PARTY MASTER'!$B$4:$E$2000,2,FALSE)</f>
        <v>27AAACG1376N1ZC</v>
      </c>
      <c r="E1443" s="34" t="s">
        <v>22</v>
      </c>
      <c r="F1443" s="136" t="s">
        <v>2471</v>
      </c>
      <c r="G1443" s="37">
        <v>43752</v>
      </c>
      <c r="H1443" s="34">
        <v>32082020</v>
      </c>
      <c r="I1443" s="39">
        <f>VLOOKUP(H1443,'PUR-HSN MASTER'!$A$4:$E$5000,5,FALSE)</f>
        <v>18</v>
      </c>
      <c r="J1443" s="34">
        <v>60</v>
      </c>
      <c r="K1443" s="126">
        <v>21000</v>
      </c>
      <c r="L1443" s="118">
        <f t="shared" si="4"/>
        <v>0</v>
      </c>
      <c r="M1443" s="118">
        <f t="shared" si="5"/>
        <v>1890</v>
      </c>
      <c r="N1443" s="118">
        <f t="shared" si="6"/>
        <v>1890</v>
      </c>
      <c r="O1443" s="118">
        <v>0</v>
      </c>
      <c r="P1443" s="127">
        <f t="shared" si="7"/>
        <v>24780</v>
      </c>
      <c r="Q1443" s="34" t="s">
        <v>410</v>
      </c>
      <c r="R1443" s="34" t="str">
        <f>VLOOKUP(C1443,'PUR-PARTY MASTER'!$B$4:$E$2000,4,FALSE)</f>
        <v>Local</v>
      </c>
      <c r="S1443" s="11" t="s">
        <v>4120</v>
      </c>
    </row>
    <row r="1444" spans="1:19" x14ac:dyDescent="0.2">
      <c r="A1444" s="51">
        <v>43739</v>
      </c>
      <c r="B1444" s="34">
        <v>57</v>
      </c>
      <c r="C1444" s="35" t="s">
        <v>479</v>
      </c>
      <c r="D1444" s="34" t="str">
        <f>VLOOKUP(C1444,'PUR-PARTY MASTER'!$B$4:$E$2000,2,FALSE)</f>
        <v>27AAMFC2124K1ZG</v>
      </c>
      <c r="E1444" s="34" t="s">
        <v>22</v>
      </c>
      <c r="F1444" s="134">
        <v>1352</v>
      </c>
      <c r="G1444" s="37">
        <v>43752</v>
      </c>
      <c r="H1444" s="34">
        <v>3919</v>
      </c>
      <c r="I1444" s="39">
        <f>VLOOKUP(H1444,'PUR-HSN MASTER'!$A$4:$E$5000,5,FALSE)</f>
        <v>18</v>
      </c>
      <c r="J1444" s="34">
        <v>40</v>
      </c>
      <c r="K1444" s="126">
        <v>16000</v>
      </c>
      <c r="L1444" s="118">
        <f t="shared" si="4"/>
        <v>0</v>
      </c>
      <c r="M1444" s="118">
        <f t="shared" si="5"/>
        <v>1440</v>
      </c>
      <c r="N1444" s="118">
        <f t="shared" si="6"/>
        <v>1440</v>
      </c>
      <c r="O1444" s="118">
        <v>0</v>
      </c>
      <c r="P1444" s="127">
        <f t="shared" si="7"/>
        <v>18880</v>
      </c>
      <c r="Q1444" s="34" t="s">
        <v>410</v>
      </c>
      <c r="R1444" s="34" t="str">
        <f>VLOOKUP(C1444,'PUR-PARTY MASTER'!$B$4:$E$2000,4,FALSE)</f>
        <v>Local</v>
      </c>
      <c r="S1444" s="11" t="s">
        <v>4120</v>
      </c>
    </row>
    <row r="1445" spans="1:19" x14ac:dyDescent="0.2">
      <c r="A1445" s="51">
        <v>43739</v>
      </c>
      <c r="B1445" s="34">
        <v>58</v>
      </c>
      <c r="C1445" s="35" t="s">
        <v>495</v>
      </c>
      <c r="D1445" s="34" t="str">
        <f>VLOOKUP(C1445,'PUR-PARTY MASTER'!$B$4:$E$2000,2,FALSE)</f>
        <v>27AAACH4211R1ZF</v>
      </c>
      <c r="E1445" s="34" t="s">
        <v>22</v>
      </c>
      <c r="F1445" s="134">
        <v>5510060446</v>
      </c>
      <c r="G1445" s="37">
        <v>43752</v>
      </c>
      <c r="H1445" s="34">
        <v>85129000</v>
      </c>
      <c r="I1445" s="39">
        <f>VLOOKUP(H1445,'PUR-HSN MASTER'!$A$4:$E$5000,5,FALSE)</f>
        <v>18</v>
      </c>
      <c r="J1445" s="34">
        <v>2400</v>
      </c>
      <c r="K1445" s="126">
        <v>26544</v>
      </c>
      <c r="L1445" s="118">
        <f t="shared" si="4"/>
        <v>0</v>
      </c>
      <c r="M1445" s="118">
        <f t="shared" si="5"/>
        <v>2388.96</v>
      </c>
      <c r="N1445" s="118">
        <f t="shared" si="6"/>
        <v>2388.96</v>
      </c>
      <c r="O1445" s="118">
        <v>0</v>
      </c>
      <c r="P1445" s="127">
        <f t="shared" si="7"/>
        <v>31321.919999999998</v>
      </c>
      <c r="Q1445" s="34" t="s">
        <v>410</v>
      </c>
      <c r="R1445" s="34" t="str">
        <f>VLOOKUP(C1445,'PUR-PARTY MASTER'!$B$4:$E$2000,4,FALSE)</f>
        <v>Local</v>
      </c>
      <c r="S1445" s="11" t="s">
        <v>4120</v>
      </c>
    </row>
    <row r="1446" spans="1:19" x14ac:dyDescent="0.2">
      <c r="A1446" s="51">
        <v>43739</v>
      </c>
      <c r="B1446" s="34">
        <v>59</v>
      </c>
      <c r="C1446" s="35" t="s">
        <v>493</v>
      </c>
      <c r="D1446" s="34" t="str">
        <f>VLOOKUP(C1446,'PUR-PARTY MASTER'!$B$4:$E$2000,2,FALSE)</f>
        <v>27AMMPB3648M1ZO</v>
      </c>
      <c r="E1446" s="34" t="s">
        <v>22</v>
      </c>
      <c r="F1446" s="134">
        <v>3306</v>
      </c>
      <c r="G1446" s="37">
        <v>43752</v>
      </c>
      <c r="H1446" s="34">
        <v>85129000</v>
      </c>
      <c r="I1446" s="39">
        <f>VLOOKUP(H1446,'PUR-HSN MASTER'!$A$4:$E$5000,5,FALSE)</f>
        <v>18</v>
      </c>
      <c r="J1446" s="34">
        <v>320</v>
      </c>
      <c r="K1446" s="126">
        <v>7356.8</v>
      </c>
      <c r="L1446" s="118">
        <f t="shared" si="4"/>
        <v>0</v>
      </c>
      <c r="M1446" s="118">
        <f t="shared" si="5"/>
        <v>662.11199999999997</v>
      </c>
      <c r="N1446" s="118">
        <f t="shared" si="6"/>
        <v>662.11199999999997</v>
      </c>
      <c r="O1446" s="118">
        <v>0</v>
      </c>
      <c r="P1446" s="127">
        <f t="shared" si="7"/>
        <v>8681.0239999999994</v>
      </c>
      <c r="Q1446" s="34" t="s">
        <v>410</v>
      </c>
      <c r="R1446" s="34" t="str">
        <f>VLOOKUP(C1446,'PUR-PARTY MASTER'!$B$4:$E$2000,4,FALSE)</f>
        <v>Local</v>
      </c>
      <c r="S1446" s="11" t="s">
        <v>4120</v>
      </c>
    </row>
    <row r="1447" spans="1:19" x14ac:dyDescent="0.2">
      <c r="A1447" s="51">
        <v>43739</v>
      </c>
      <c r="B1447" s="34">
        <v>60</v>
      </c>
      <c r="C1447" s="35" t="s">
        <v>601</v>
      </c>
      <c r="D1447" s="34" t="str">
        <f>VLOOKUP(C1447,'PUR-PARTY MASTER'!$B$4:$E$2000,2,FALSE)</f>
        <v>27AAZFM6461A1ZY</v>
      </c>
      <c r="E1447" s="34" t="s">
        <v>22</v>
      </c>
      <c r="F1447" s="134">
        <v>4843</v>
      </c>
      <c r="G1447" s="37">
        <v>43752</v>
      </c>
      <c r="H1447" s="34">
        <v>87082900</v>
      </c>
      <c r="I1447" s="39">
        <f>VLOOKUP(H1447,'PUR-HSN MASTER'!$A$4:$E$5000,5,FALSE)</f>
        <v>28</v>
      </c>
      <c r="J1447" s="34">
        <v>460</v>
      </c>
      <c r="K1447" s="126">
        <v>19582.2</v>
      </c>
      <c r="L1447" s="118">
        <f t="shared" si="4"/>
        <v>0</v>
      </c>
      <c r="M1447" s="118">
        <f t="shared" si="5"/>
        <v>2741.5079999999998</v>
      </c>
      <c r="N1447" s="118">
        <f t="shared" si="6"/>
        <v>2741.5079999999998</v>
      </c>
      <c r="O1447" s="118">
        <v>0</v>
      </c>
      <c r="P1447" s="127">
        <f t="shared" si="7"/>
        <v>25065.216</v>
      </c>
      <c r="Q1447" s="34" t="s">
        <v>410</v>
      </c>
      <c r="R1447" s="34" t="str">
        <f>VLOOKUP(C1447,'PUR-PARTY MASTER'!$B$4:$E$2000,4,FALSE)</f>
        <v>Local</v>
      </c>
      <c r="S1447" s="11" t="s">
        <v>4120</v>
      </c>
    </row>
    <row r="1448" spans="1:19" x14ac:dyDescent="0.2">
      <c r="A1448" s="51">
        <v>43739</v>
      </c>
      <c r="B1448" s="34">
        <v>61</v>
      </c>
      <c r="C1448" s="35" t="s">
        <v>473</v>
      </c>
      <c r="D1448" s="34" t="str">
        <f>VLOOKUP(C1448,'PUR-PARTY MASTER'!$B$4:$E$2000,2,FALSE)</f>
        <v>27AAACT1848E1ZH</v>
      </c>
      <c r="E1448" s="34" t="s">
        <v>22</v>
      </c>
      <c r="F1448" s="136" t="s">
        <v>2472</v>
      </c>
      <c r="G1448" s="37">
        <v>43752</v>
      </c>
      <c r="H1448" s="34">
        <v>87089900</v>
      </c>
      <c r="I1448" s="39">
        <f>VLOOKUP(H1448,'PUR-HSN MASTER'!$A$4:$E$5000,5,FALSE)</f>
        <v>28</v>
      </c>
      <c r="J1448" s="34">
        <v>40</v>
      </c>
      <c r="K1448" s="126">
        <v>6412</v>
      </c>
      <c r="L1448" s="118">
        <f t="shared" si="4"/>
        <v>0</v>
      </c>
      <c r="M1448" s="118">
        <f t="shared" si="5"/>
        <v>897.68000000000006</v>
      </c>
      <c r="N1448" s="118">
        <f t="shared" si="6"/>
        <v>897.68000000000006</v>
      </c>
      <c r="O1448" s="118">
        <v>0</v>
      </c>
      <c r="P1448" s="127">
        <f t="shared" si="7"/>
        <v>8207.36</v>
      </c>
      <c r="Q1448" s="34" t="s">
        <v>410</v>
      </c>
      <c r="R1448" s="34" t="str">
        <f>VLOOKUP(C1448,'PUR-PARTY MASTER'!$B$4:$E$2000,4,FALSE)</f>
        <v>Local</v>
      </c>
      <c r="S1448" s="11" t="s">
        <v>4120</v>
      </c>
    </row>
    <row r="1449" spans="1:19" x14ac:dyDescent="0.2">
      <c r="A1449" s="51">
        <v>43739</v>
      </c>
      <c r="B1449" s="34">
        <v>62</v>
      </c>
      <c r="C1449" s="35" t="s">
        <v>473</v>
      </c>
      <c r="D1449" s="34" t="str">
        <f>VLOOKUP(C1449,'PUR-PARTY MASTER'!$B$4:$E$2000,2,FALSE)</f>
        <v>27AAACT1848E1ZH</v>
      </c>
      <c r="E1449" s="34" t="s">
        <v>22</v>
      </c>
      <c r="F1449" s="136" t="s">
        <v>2473</v>
      </c>
      <c r="G1449" s="37">
        <v>43752</v>
      </c>
      <c r="H1449" s="34">
        <v>87089900</v>
      </c>
      <c r="I1449" s="39">
        <f>VLOOKUP(H1449,'PUR-HSN MASTER'!$A$4:$E$5000,5,FALSE)</f>
        <v>28</v>
      </c>
      <c r="J1449" s="34">
        <v>240</v>
      </c>
      <c r="K1449" s="126">
        <v>7261.8</v>
      </c>
      <c r="L1449" s="118">
        <f t="shared" si="4"/>
        <v>0</v>
      </c>
      <c r="M1449" s="118">
        <f t="shared" si="5"/>
        <v>1016.6519999999999</v>
      </c>
      <c r="N1449" s="118">
        <f t="shared" si="6"/>
        <v>1016.6519999999999</v>
      </c>
      <c r="O1449" s="118">
        <v>0</v>
      </c>
      <c r="P1449" s="127">
        <f t="shared" si="7"/>
        <v>9295.1039999999994</v>
      </c>
      <c r="Q1449" s="34" t="s">
        <v>410</v>
      </c>
      <c r="R1449" s="34" t="str">
        <f>VLOOKUP(C1449,'PUR-PARTY MASTER'!$B$4:$E$2000,4,FALSE)</f>
        <v>Local</v>
      </c>
      <c r="S1449" s="11" t="s">
        <v>4120</v>
      </c>
    </row>
    <row r="1450" spans="1:19" x14ac:dyDescent="0.2">
      <c r="A1450" s="51">
        <v>43739</v>
      </c>
      <c r="B1450" s="34">
        <v>63</v>
      </c>
      <c r="C1450" s="35" t="s">
        <v>471</v>
      </c>
      <c r="D1450" s="34" t="str">
        <f>VLOOKUP(C1450,'PUR-PARTY MASTER'!$B$4:$E$2000,2,FALSE)</f>
        <v>27AAECM8871A1ZF</v>
      </c>
      <c r="E1450" s="34" t="s">
        <v>22</v>
      </c>
      <c r="F1450" s="134">
        <v>192006113</v>
      </c>
      <c r="G1450" s="37">
        <v>43752</v>
      </c>
      <c r="H1450" s="34">
        <v>87089900</v>
      </c>
      <c r="I1450" s="39">
        <f>VLOOKUP(H1450,'PUR-HSN MASTER'!$A$4:$E$5000,5,FALSE)</f>
        <v>28</v>
      </c>
      <c r="J1450" s="34">
        <v>12</v>
      </c>
      <c r="K1450" s="126">
        <v>17483.52</v>
      </c>
      <c r="L1450" s="118">
        <f t="shared" si="4"/>
        <v>0</v>
      </c>
      <c r="M1450" s="118">
        <f t="shared" si="5"/>
        <v>2447.6928000000003</v>
      </c>
      <c r="N1450" s="118">
        <f t="shared" si="6"/>
        <v>2447.6928000000003</v>
      </c>
      <c r="O1450" s="118">
        <v>0</v>
      </c>
      <c r="P1450" s="127">
        <f t="shared" si="7"/>
        <v>22378.905600000002</v>
      </c>
      <c r="Q1450" s="34" t="s">
        <v>410</v>
      </c>
      <c r="R1450" s="34" t="str">
        <f>VLOOKUP(C1450,'PUR-PARTY MASTER'!$B$4:$E$2000,4,FALSE)</f>
        <v>Local</v>
      </c>
      <c r="S1450" s="11" t="s">
        <v>4120</v>
      </c>
    </row>
    <row r="1451" spans="1:19" x14ac:dyDescent="0.2">
      <c r="A1451" s="51">
        <v>43739</v>
      </c>
      <c r="B1451" s="34">
        <v>64</v>
      </c>
      <c r="C1451" s="35" t="s">
        <v>471</v>
      </c>
      <c r="D1451" s="34" t="str">
        <f>VLOOKUP(C1451,'PUR-PARTY MASTER'!$B$4:$E$2000,2,FALSE)</f>
        <v>27AAECM8871A1ZF</v>
      </c>
      <c r="E1451" s="34" t="s">
        <v>22</v>
      </c>
      <c r="F1451" s="134">
        <v>192006114</v>
      </c>
      <c r="G1451" s="37">
        <v>43752</v>
      </c>
      <c r="H1451" s="34">
        <v>87089900</v>
      </c>
      <c r="I1451" s="39">
        <f>VLOOKUP(H1451,'PUR-HSN MASTER'!$A$4:$E$5000,5,FALSE)</f>
        <v>28</v>
      </c>
      <c r="J1451" s="34">
        <v>12</v>
      </c>
      <c r="K1451" s="126">
        <v>17483.52</v>
      </c>
      <c r="L1451" s="118">
        <f t="shared" si="4"/>
        <v>0</v>
      </c>
      <c r="M1451" s="118">
        <f t="shared" si="5"/>
        <v>2447.6928000000003</v>
      </c>
      <c r="N1451" s="118">
        <f t="shared" si="6"/>
        <v>2447.6928000000003</v>
      </c>
      <c r="O1451" s="118">
        <v>0</v>
      </c>
      <c r="P1451" s="127">
        <f t="shared" si="7"/>
        <v>22378.905600000002</v>
      </c>
      <c r="Q1451" s="34" t="s">
        <v>410</v>
      </c>
      <c r="R1451" s="34" t="str">
        <f>VLOOKUP(C1451,'PUR-PARTY MASTER'!$B$4:$E$2000,4,FALSE)</f>
        <v>Local</v>
      </c>
      <c r="S1451" s="11" t="s">
        <v>4120</v>
      </c>
    </row>
    <row r="1452" spans="1:19" x14ac:dyDescent="0.2">
      <c r="A1452" s="51">
        <v>43739</v>
      </c>
      <c r="B1452" s="34">
        <v>65</v>
      </c>
      <c r="C1452" s="35" t="s">
        <v>747</v>
      </c>
      <c r="D1452" s="34" t="str">
        <f>VLOOKUP(C1452,'PUR-PARTY MASTER'!$B$4:$E$2000,2,FALSE)</f>
        <v>27ACIPD7822K1ZF</v>
      </c>
      <c r="E1452" s="34" t="s">
        <v>22</v>
      </c>
      <c r="F1452" s="136" t="s">
        <v>2474</v>
      </c>
      <c r="G1452" s="37">
        <v>43753</v>
      </c>
      <c r="H1452" s="34">
        <v>84778090</v>
      </c>
      <c r="I1452" s="39">
        <f>VLOOKUP(H1452,'PUR-HSN MASTER'!$A$4:$E$5000,5,FALSE)</f>
        <v>18</v>
      </c>
      <c r="J1452" s="34">
        <v>25</v>
      </c>
      <c r="K1452" s="126">
        <v>14000</v>
      </c>
      <c r="L1452" s="118">
        <f t="shared" si="4"/>
        <v>0</v>
      </c>
      <c r="M1452" s="118">
        <f t="shared" si="5"/>
        <v>1260</v>
      </c>
      <c r="N1452" s="118">
        <f t="shared" si="6"/>
        <v>1260</v>
      </c>
      <c r="O1452" s="118">
        <v>0</v>
      </c>
      <c r="P1452" s="127">
        <f t="shared" si="7"/>
        <v>16520</v>
      </c>
      <c r="Q1452" s="34" t="s">
        <v>410</v>
      </c>
      <c r="R1452" s="34" t="str">
        <f>VLOOKUP(C1452,'PUR-PARTY MASTER'!$B$4:$E$2000,4,FALSE)</f>
        <v>Local</v>
      </c>
      <c r="S1452" s="11" t="s">
        <v>4120</v>
      </c>
    </row>
    <row r="1453" spans="1:19" x14ac:dyDescent="0.2">
      <c r="A1453" s="51">
        <v>43739</v>
      </c>
      <c r="B1453" s="34"/>
      <c r="C1453" s="35" t="s">
        <v>747</v>
      </c>
      <c r="D1453" s="34" t="str">
        <f>VLOOKUP(C1453,'PUR-PARTY MASTER'!$B$4:$E$2000,2,FALSE)</f>
        <v>27ACIPD7822K1ZF</v>
      </c>
      <c r="E1453" s="34" t="s">
        <v>22</v>
      </c>
      <c r="F1453" s="136" t="s">
        <v>2474</v>
      </c>
      <c r="G1453" s="37">
        <v>43753</v>
      </c>
      <c r="H1453" s="34">
        <v>998873</v>
      </c>
      <c r="I1453" s="39">
        <f>VLOOKUP(H1453,'PUR-HSN MASTER'!$A$4:$E$5000,5,FALSE)</f>
        <v>18</v>
      </c>
      <c r="J1453" s="34">
        <v>0</v>
      </c>
      <c r="K1453" s="126">
        <v>700</v>
      </c>
      <c r="L1453" s="118">
        <f t="shared" si="4"/>
        <v>0</v>
      </c>
      <c r="M1453" s="118">
        <f t="shared" si="5"/>
        <v>63</v>
      </c>
      <c r="N1453" s="118">
        <f t="shared" si="6"/>
        <v>63</v>
      </c>
      <c r="O1453" s="118">
        <v>0</v>
      </c>
      <c r="P1453" s="127">
        <f t="shared" si="7"/>
        <v>826</v>
      </c>
      <c r="Q1453" s="34" t="s">
        <v>411</v>
      </c>
      <c r="R1453" s="34" t="str">
        <f>VLOOKUP(C1453,'PUR-PARTY MASTER'!$B$4:$E$2000,4,FALSE)</f>
        <v>Local</v>
      </c>
      <c r="S1453" s="11" t="s">
        <v>4120</v>
      </c>
    </row>
    <row r="1454" spans="1:19" x14ac:dyDescent="0.2">
      <c r="A1454" s="51">
        <v>43739</v>
      </c>
      <c r="B1454" s="34">
        <v>66</v>
      </c>
      <c r="C1454" s="35" t="s">
        <v>495</v>
      </c>
      <c r="D1454" s="34" t="str">
        <f>VLOOKUP(C1454,'PUR-PARTY MASTER'!$B$4:$E$2000,2,FALSE)</f>
        <v>27AAACH4211R1ZF</v>
      </c>
      <c r="E1454" s="34" t="s">
        <v>22</v>
      </c>
      <c r="F1454" s="134">
        <v>5510060630</v>
      </c>
      <c r="G1454" s="37">
        <v>43753</v>
      </c>
      <c r="H1454" s="34">
        <v>85129000</v>
      </c>
      <c r="I1454" s="39">
        <f>VLOOKUP(H1454,'PUR-HSN MASTER'!$A$4:$E$5000,5,FALSE)</f>
        <v>18</v>
      </c>
      <c r="J1454" s="34">
        <v>2400</v>
      </c>
      <c r="K1454" s="126">
        <v>26544</v>
      </c>
      <c r="L1454" s="118">
        <f t="shared" si="4"/>
        <v>0</v>
      </c>
      <c r="M1454" s="118">
        <f t="shared" si="5"/>
        <v>2388.96</v>
      </c>
      <c r="N1454" s="118">
        <f t="shared" si="6"/>
        <v>2388.96</v>
      </c>
      <c r="O1454" s="118">
        <v>0</v>
      </c>
      <c r="P1454" s="127">
        <f t="shared" si="7"/>
        <v>31321.919999999998</v>
      </c>
      <c r="Q1454" s="34" t="s">
        <v>410</v>
      </c>
      <c r="R1454" s="34" t="str">
        <f>VLOOKUP(C1454,'PUR-PARTY MASTER'!$B$4:$E$2000,4,FALSE)</f>
        <v>Local</v>
      </c>
      <c r="S1454" s="11" t="s">
        <v>4120</v>
      </c>
    </row>
    <row r="1455" spans="1:19" x14ac:dyDescent="0.2">
      <c r="A1455" s="51">
        <v>43739</v>
      </c>
      <c r="B1455" s="34">
        <v>67</v>
      </c>
      <c r="C1455" s="34" t="s">
        <v>688</v>
      </c>
      <c r="D1455" s="34">
        <f>VLOOKUP(C1455,'PUR-PARTY MASTER'!$B$4:$E$2000,2,FALSE)</f>
        <v>1</v>
      </c>
      <c r="E1455" s="34" t="s">
        <v>22</v>
      </c>
      <c r="F1455" s="626">
        <v>5279454</v>
      </c>
      <c r="G1455" s="37">
        <v>43752</v>
      </c>
      <c r="H1455" s="34">
        <v>39206290</v>
      </c>
      <c r="I1455" s="39">
        <f>VLOOKUP(H1455,'PUR-HSN MASTER'!$A$4:$E$5000,5,FALSE)</f>
        <v>18</v>
      </c>
      <c r="J1455" s="122">
        <v>7500</v>
      </c>
      <c r="K1455" s="39">
        <v>784326</v>
      </c>
      <c r="L1455" s="118">
        <f t="shared" si="4"/>
        <v>141178.68</v>
      </c>
      <c r="M1455" s="118">
        <f t="shared" si="5"/>
        <v>0</v>
      </c>
      <c r="N1455" s="118">
        <f t="shared" si="6"/>
        <v>0</v>
      </c>
      <c r="O1455" s="118">
        <v>0</v>
      </c>
      <c r="P1455" s="127">
        <f t="shared" si="7"/>
        <v>925504.67999999993</v>
      </c>
      <c r="Q1455" s="34" t="s">
        <v>407</v>
      </c>
      <c r="R1455" s="34" t="str">
        <f>VLOOKUP(C1455,'PUR-PARTY MASTER'!$B$4:$E$2000,4,FALSE)</f>
        <v>Oms</v>
      </c>
      <c r="S1455" s="11" t="s">
        <v>4120</v>
      </c>
    </row>
    <row r="1456" spans="1:19" x14ac:dyDescent="0.2">
      <c r="A1456" s="51">
        <v>43739</v>
      </c>
      <c r="B1456" s="34">
        <v>68</v>
      </c>
      <c r="C1456" s="632" t="s">
        <v>900</v>
      </c>
      <c r="D1456" s="34" t="str">
        <f>VLOOKUP(C1456,'PUR-PARTY MASTER'!$B$4:$E$2000,2,FALSE)</f>
        <v>27AIWPB0333K1Z6</v>
      </c>
      <c r="E1456" s="34" t="s">
        <v>22</v>
      </c>
      <c r="F1456" s="136" t="s">
        <v>2475</v>
      </c>
      <c r="G1456" s="37">
        <v>43754</v>
      </c>
      <c r="H1456" s="34">
        <v>4016</v>
      </c>
      <c r="I1456" s="39">
        <f>VLOOKUP(H1456,'PUR-HSN MASTER'!$A$4:$E$5000,5,FALSE)</f>
        <v>18</v>
      </c>
      <c r="J1456" s="34">
        <v>100</v>
      </c>
      <c r="K1456" s="126">
        <v>2500</v>
      </c>
      <c r="L1456" s="118">
        <f t="shared" si="4"/>
        <v>0</v>
      </c>
      <c r="M1456" s="118">
        <f t="shared" si="5"/>
        <v>225</v>
      </c>
      <c r="N1456" s="118">
        <f t="shared" si="6"/>
        <v>225</v>
      </c>
      <c r="O1456" s="118">
        <v>0</v>
      </c>
      <c r="P1456" s="127">
        <f t="shared" si="7"/>
        <v>2950</v>
      </c>
      <c r="Q1456" s="34" t="s">
        <v>410</v>
      </c>
      <c r="R1456" s="34" t="str">
        <f>VLOOKUP(C1456,'PUR-PARTY MASTER'!$B$4:$E$2000,4,FALSE)</f>
        <v>Local</v>
      </c>
      <c r="S1456" s="11" t="s">
        <v>4120</v>
      </c>
    </row>
    <row r="1457" spans="1:19" x14ac:dyDescent="0.2">
      <c r="A1457" s="51">
        <v>43739</v>
      </c>
      <c r="B1457" s="34">
        <v>69</v>
      </c>
      <c r="C1457" s="35" t="s">
        <v>554</v>
      </c>
      <c r="D1457" s="34" t="str">
        <f>VLOOKUP(C1457,'PUR-PARTY MASTER'!$B$4:$E$2000,2,FALSE)</f>
        <v>27AACFA1881H1ZL</v>
      </c>
      <c r="E1457" s="34" t="s">
        <v>22</v>
      </c>
      <c r="F1457" s="134">
        <v>13227</v>
      </c>
      <c r="G1457" s="37">
        <v>43754</v>
      </c>
      <c r="H1457" s="34">
        <v>87141900</v>
      </c>
      <c r="I1457" s="39">
        <f>VLOOKUP(H1457,'PUR-HSN MASTER'!$A$4:$E$5000,5,FALSE)</f>
        <v>28</v>
      </c>
      <c r="J1457" s="34">
        <v>2800</v>
      </c>
      <c r="K1457" s="126">
        <v>8820</v>
      </c>
      <c r="L1457" s="118">
        <f t="shared" si="4"/>
        <v>0</v>
      </c>
      <c r="M1457" s="118">
        <f t="shared" si="5"/>
        <v>1234.8</v>
      </c>
      <c r="N1457" s="118">
        <f t="shared" si="6"/>
        <v>1234.8</v>
      </c>
      <c r="O1457" s="118">
        <v>0</v>
      </c>
      <c r="P1457" s="127">
        <f t="shared" si="7"/>
        <v>11289.6</v>
      </c>
      <c r="Q1457" s="34" t="s">
        <v>410</v>
      </c>
      <c r="R1457" s="34" t="str">
        <f>VLOOKUP(C1457,'PUR-PARTY MASTER'!$B$4:$E$2000,4,FALSE)</f>
        <v>Local</v>
      </c>
      <c r="S1457" s="11" t="s">
        <v>4120</v>
      </c>
    </row>
    <row r="1458" spans="1:19" x14ac:dyDescent="0.2">
      <c r="A1458" s="51">
        <v>43739</v>
      </c>
      <c r="B1458" s="34">
        <v>70</v>
      </c>
      <c r="C1458" s="35" t="s">
        <v>493</v>
      </c>
      <c r="D1458" s="34" t="str">
        <f>VLOOKUP(C1458,'PUR-PARTY MASTER'!$B$4:$E$2000,2,FALSE)</f>
        <v>27AMMPB3648M1ZO</v>
      </c>
      <c r="E1458" s="34" t="s">
        <v>22</v>
      </c>
      <c r="F1458" s="134">
        <v>3333</v>
      </c>
      <c r="G1458" s="37">
        <v>43754</v>
      </c>
      <c r="H1458" s="34">
        <v>85129000</v>
      </c>
      <c r="I1458" s="39">
        <f>VLOOKUP(H1458,'PUR-HSN MASTER'!$A$4:$E$5000,5,FALSE)</f>
        <v>18</v>
      </c>
      <c r="J1458" s="34">
        <v>950</v>
      </c>
      <c r="K1458" s="126">
        <v>21840.5</v>
      </c>
      <c r="L1458" s="118">
        <f t="shared" si="4"/>
        <v>0</v>
      </c>
      <c r="M1458" s="118">
        <f t="shared" si="5"/>
        <v>1965.645</v>
      </c>
      <c r="N1458" s="118">
        <f t="shared" si="6"/>
        <v>1965.645</v>
      </c>
      <c r="O1458" s="118">
        <v>0</v>
      </c>
      <c r="P1458" s="127">
        <f t="shared" si="7"/>
        <v>25771.79</v>
      </c>
      <c r="Q1458" s="34" t="s">
        <v>410</v>
      </c>
      <c r="R1458" s="34" t="str">
        <f>VLOOKUP(C1458,'PUR-PARTY MASTER'!$B$4:$E$2000,4,FALSE)</f>
        <v>Local</v>
      </c>
      <c r="S1458" s="11" t="s">
        <v>4120</v>
      </c>
    </row>
    <row r="1459" spans="1:19" x14ac:dyDescent="0.2">
      <c r="A1459" s="51">
        <v>43739</v>
      </c>
      <c r="B1459" s="34">
        <v>71</v>
      </c>
      <c r="C1459" s="35" t="s">
        <v>601</v>
      </c>
      <c r="D1459" s="34" t="str">
        <f>VLOOKUP(C1459,'PUR-PARTY MASTER'!$B$4:$E$2000,2,FALSE)</f>
        <v>27AAZFM6461A1ZY</v>
      </c>
      <c r="E1459" s="34" t="s">
        <v>22</v>
      </c>
      <c r="F1459" s="134">
        <v>4919</v>
      </c>
      <c r="G1459" s="37">
        <v>43754</v>
      </c>
      <c r="H1459" s="34">
        <v>87082900</v>
      </c>
      <c r="I1459" s="39">
        <f>VLOOKUP(H1459,'PUR-HSN MASTER'!$A$4:$E$5000,5,FALSE)</f>
        <v>28</v>
      </c>
      <c r="J1459" s="34">
        <v>400</v>
      </c>
      <c r="K1459" s="126">
        <v>17028</v>
      </c>
      <c r="L1459" s="118">
        <f t="shared" si="4"/>
        <v>0</v>
      </c>
      <c r="M1459" s="118">
        <f t="shared" si="5"/>
        <v>2383.92</v>
      </c>
      <c r="N1459" s="118">
        <f t="shared" si="6"/>
        <v>2383.92</v>
      </c>
      <c r="O1459" s="118">
        <v>0</v>
      </c>
      <c r="P1459" s="127">
        <f t="shared" si="7"/>
        <v>21795.84</v>
      </c>
      <c r="Q1459" s="34" t="s">
        <v>410</v>
      </c>
      <c r="R1459" s="34" t="str">
        <f>VLOOKUP(C1459,'PUR-PARTY MASTER'!$B$4:$E$2000,4,FALSE)</f>
        <v>Local</v>
      </c>
      <c r="S1459" s="11" t="s">
        <v>4120</v>
      </c>
    </row>
    <row r="1460" spans="1:19" x14ac:dyDescent="0.2">
      <c r="A1460" s="51">
        <v>43739</v>
      </c>
      <c r="B1460" s="34">
        <v>72</v>
      </c>
      <c r="C1460" s="35" t="s">
        <v>601</v>
      </c>
      <c r="D1460" s="34" t="str">
        <f>VLOOKUP(C1460,'PUR-PARTY MASTER'!$B$4:$E$2000,2,FALSE)</f>
        <v>27AAZFM6461A1ZY</v>
      </c>
      <c r="E1460" s="34" t="s">
        <v>22</v>
      </c>
      <c r="F1460" s="134">
        <v>4920</v>
      </c>
      <c r="G1460" s="37">
        <v>43754</v>
      </c>
      <c r="H1460" s="34">
        <v>87082900</v>
      </c>
      <c r="I1460" s="39">
        <f>VLOOKUP(H1460,'PUR-HSN MASTER'!$A$4:$E$5000,5,FALSE)</f>
        <v>28</v>
      </c>
      <c r="J1460" s="34">
        <v>900</v>
      </c>
      <c r="K1460" s="126">
        <v>20088</v>
      </c>
      <c r="L1460" s="118">
        <f t="shared" si="4"/>
        <v>0</v>
      </c>
      <c r="M1460" s="118">
        <f t="shared" si="5"/>
        <v>2812.3199999999997</v>
      </c>
      <c r="N1460" s="118">
        <f t="shared" si="6"/>
        <v>2812.3199999999997</v>
      </c>
      <c r="O1460" s="118">
        <v>0</v>
      </c>
      <c r="P1460" s="127">
        <f t="shared" si="7"/>
        <v>25712.639999999999</v>
      </c>
      <c r="Q1460" s="34" t="s">
        <v>410</v>
      </c>
      <c r="R1460" s="34" t="str">
        <f>VLOOKUP(C1460,'PUR-PARTY MASTER'!$B$4:$E$2000,4,FALSE)</f>
        <v>Local</v>
      </c>
      <c r="S1460" s="11" t="s">
        <v>4120</v>
      </c>
    </row>
    <row r="1461" spans="1:19" x14ac:dyDescent="0.2">
      <c r="A1461" s="51">
        <v>43739</v>
      </c>
      <c r="B1461" s="34">
        <v>73</v>
      </c>
      <c r="C1461" s="35" t="s">
        <v>479</v>
      </c>
      <c r="D1461" s="34" t="str">
        <f>VLOOKUP(C1461,'PUR-PARTY MASTER'!$B$4:$E$2000,2,FALSE)</f>
        <v>27AAMFC2124K1ZG</v>
      </c>
      <c r="E1461" s="34" t="s">
        <v>22</v>
      </c>
      <c r="F1461" s="134">
        <v>1364</v>
      </c>
      <c r="G1461" s="37">
        <v>43755</v>
      </c>
      <c r="H1461" s="34">
        <v>3919</v>
      </c>
      <c r="I1461" s="39">
        <f>VLOOKUP(H1461,'PUR-HSN MASTER'!$A$4:$E$5000,5,FALSE)</f>
        <v>18</v>
      </c>
      <c r="J1461" s="34">
        <v>2100</v>
      </c>
      <c r="K1461" s="126">
        <v>2835</v>
      </c>
      <c r="L1461" s="118">
        <f t="shared" si="4"/>
        <v>0</v>
      </c>
      <c r="M1461" s="118">
        <f t="shared" si="5"/>
        <v>255.15</v>
      </c>
      <c r="N1461" s="118">
        <f t="shared" si="6"/>
        <v>255.15</v>
      </c>
      <c r="O1461" s="118">
        <v>0</v>
      </c>
      <c r="P1461" s="127">
        <f t="shared" si="7"/>
        <v>3345.3</v>
      </c>
      <c r="Q1461" s="34" t="s">
        <v>410</v>
      </c>
      <c r="R1461" s="34" t="str">
        <f>VLOOKUP(C1461,'PUR-PARTY MASTER'!$B$4:$E$2000,4,FALSE)</f>
        <v>Local</v>
      </c>
      <c r="S1461" s="11" t="s">
        <v>4120</v>
      </c>
    </row>
    <row r="1462" spans="1:19" x14ac:dyDescent="0.2">
      <c r="A1462" s="51">
        <v>43739</v>
      </c>
      <c r="B1462" s="34">
        <v>74</v>
      </c>
      <c r="C1462" s="35" t="s">
        <v>554</v>
      </c>
      <c r="D1462" s="34" t="str">
        <f>VLOOKUP(C1462,'PUR-PARTY MASTER'!$B$4:$E$2000,2,FALSE)</f>
        <v>27AACFA1881H1ZL</v>
      </c>
      <c r="E1462" s="34" t="s">
        <v>22</v>
      </c>
      <c r="F1462" s="134">
        <v>13277</v>
      </c>
      <c r="G1462" s="37">
        <v>43755</v>
      </c>
      <c r="H1462" s="34">
        <v>87141900</v>
      </c>
      <c r="I1462" s="39">
        <f>VLOOKUP(H1462,'PUR-HSN MASTER'!$A$4:$E$5000,5,FALSE)</f>
        <v>28</v>
      </c>
      <c r="J1462" s="34">
        <v>1600</v>
      </c>
      <c r="K1462" s="126">
        <v>3856</v>
      </c>
      <c r="L1462" s="118">
        <f t="shared" si="4"/>
        <v>0</v>
      </c>
      <c r="M1462" s="118">
        <f t="shared" si="5"/>
        <v>539.84</v>
      </c>
      <c r="N1462" s="118">
        <f t="shared" si="6"/>
        <v>539.84</v>
      </c>
      <c r="O1462" s="118">
        <v>0</v>
      </c>
      <c r="P1462" s="127">
        <f t="shared" si="7"/>
        <v>4935.68</v>
      </c>
      <c r="Q1462" s="34" t="s">
        <v>410</v>
      </c>
      <c r="R1462" s="34" t="str">
        <f>VLOOKUP(C1462,'PUR-PARTY MASTER'!$B$4:$E$2000,4,FALSE)</f>
        <v>Local</v>
      </c>
      <c r="S1462" s="11" t="s">
        <v>4120</v>
      </c>
    </row>
    <row r="1463" spans="1:19" x14ac:dyDescent="0.2">
      <c r="A1463" s="51">
        <v>43739</v>
      </c>
      <c r="B1463" s="34">
        <v>75</v>
      </c>
      <c r="C1463" s="35" t="s">
        <v>473</v>
      </c>
      <c r="D1463" s="34" t="str">
        <f>VLOOKUP(C1463,'PUR-PARTY MASTER'!$B$4:$E$2000,2,FALSE)</f>
        <v>27AAACT1848E1ZH</v>
      </c>
      <c r="E1463" s="34" t="s">
        <v>22</v>
      </c>
      <c r="F1463" s="136" t="s">
        <v>2476</v>
      </c>
      <c r="G1463" s="37">
        <v>43755</v>
      </c>
      <c r="H1463" s="34">
        <v>87089900</v>
      </c>
      <c r="I1463" s="39">
        <f>VLOOKUP(H1463,'PUR-HSN MASTER'!$A$4:$E$5000,5,FALSE)</f>
        <v>28</v>
      </c>
      <c r="J1463" s="34">
        <v>52</v>
      </c>
      <c r="K1463" s="126">
        <v>9377.2199999999993</v>
      </c>
      <c r="L1463" s="118">
        <f t="shared" si="4"/>
        <v>0</v>
      </c>
      <c r="M1463" s="118">
        <f t="shared" si="5"/>
        <v>1312.8108</v>
      </c>
      <c r="N1463" s="118">
        <f t="shared" si="6"/>
        <v>1312.8108</v>
      </c>
      <c r="O1463" s="118">
        <v>0</v>
      </c>
      <c r="P1463" s="127">
        <f t="shared" si="7"/>
        <v>12002.8416</v>
      </c>
      <c r="Q1463" s="34" t="s">
        <v>410</v>
      </c>
      <c r="R1463" s="34" t="str">
        <f>VLOOKUP(C1463,'PUR-PARTY MASTER'!$B$4:$E$2000,4,FALSE)</f>
        <v>Local</v>
      </c>
      <c r="S1463" s="11" t="s">
        <v>4120</v>
      </c>
    </row>
    <row r="1464" spans="1:19" x14ac:dyDescent="0.2">
      <c r="A1464" s="51">
        <v>43739</v>
      </c>
      <c r="B1464" s="34">
        <v>76</v>
      </c>
      <c r="C1464" s="35" t="s">
        <v>629</v>
      </c>
      <c r="D1464" s="34" t="str">
        <f>VLOOKUP(C1464,'PUR-PARTY MASTER'!$B$4:$E$2000,2,FALSE)</f>
        <v>27AACPH4424P1ZJ</v>
      </c>
      <c r="E1464" s="34" t="s">
        <v>22</v>
      </c>
      <c r="F1464" s="134">
        <v>563</v>
      </c>
      <c r="G1464" s="37">
        <v>43755</v>
      </c>
      <c r="H1464" s="34">
        <v>998531</v>
      </c>
      <c r="I1464" s="39">
        <f>VLOOKUP(H1464,'PUR-HSN MASTER'!$A$4:$E$5000,5,FALSE)</f>
        <v>18</v>
      </c>
      <c r="J1464" s="38">
        <v>2</v>
      </c>
      <c r="K1464" s="126">
        <v>2400</v>
      </c>
      <c r="L1464" s="118">
        <f t="shared" si="4"/>
        <v>0</v>
      </c>
      <c r="M1464" s="118">
        <f t="shared" si="5"/>
        <v>216</v>
      </c>
      <c r="N1464" s="118">
        <f t="shared" si="6"/>
        <v>216</v>
      </c>
      <c r="O1464" s="118">
        <v>0</v>
      </c>
      <c r="P1464" s="127">
        <f t="shared" si="7"/>
        <v>2832</v>
      </c>
      <c r="Q1464" s="34" t="s">
        <v>411</v>
      </c>
      <c r="R1464" s="34" t="str">
        <f>VLOOKUP(C1464,'PUR-PARTY MASTER'!$B$4:$E$2000,4,FALSE)</f>
        <v>Local</v>
      </c>
      <c r="S1464" s="11" t="s">
        <v>4120</v>
      </c>
    </row>
    <row r="1465" spans="1:19" x14ac:dyDescent="0.2">
      <c r="A1465" s="51">
        <v>43739</v>
      </c>
      <c r="B1465" s="34">
        <v>77</v>
      </c>
      <c r="C1465" s="35" t="s">
        <v>551</v>
      </c>
      <c r="D1465" s="34" t="str">
        <f>VLOOKUP(C1465,'PUR-PARTY MASTER'!$B$4:$E$2000,2,FALSE)</f>
        <v>27AHVPG8951G1ZQ</v>
      </c>
      <c r="E1465" s="34" t="s">
        <v>22</v>
      </c>
      <c r="F1465" s="136" t="s">
        <v>2477</v>
      </c>
      <c r="G1465" s="37">
        <v>43756</v>
      </c>
      <c r="H1465" s="34">
        <v>84439959</v>
      </c>
      <c r="I1465" s="39">
        <f>VLOOKUP(H1465,'PUR-HSN MASTER'!$A$4:$E$5000,5,FALSE)</f>
        <v>18</v>
      </c>
      <c r="J1465" s="38">
        <v>0</v>
      </c>
      <c r="K1465" s="40">
        <v>1700</v>
      </c>
      <c r="L1465" s="118">
        <f t="shared" si="4"/>
        <v>0</v>
      </c>
      <c r="M1465" s="118">
        <f t="shared" si="5"/>
        <v>153</v>
      </c>
      <c r="N1465" s="118">
        <f t="shared" si="6"/>
        <v>153</v>
      </c>
      <c r="O1465" s="118">
        <v>0</v>
      </c>
      <c r="P1465" s="127">
        <f t="shared" si="7"/>
        <v>2006</v>
      </c>
      <c r="Q1465" s="34" t="s">
        <v>411</v>
      </c>
      <c r="R1465" s="34" t="str">
        <f>VLOOKUP(C1465,'PUR-PARTY MASTER'!$B$4:$E$2000,4,FALSE)</f>
        <v>Local</v>
      </c>
      <c r="S1465" s="11" t="s">
        <v>4120</v>
      </c>
    </row>
    <row r="1466" spans="1:19" x14ac:dyDescent="0.2">
      <c r="A1466" s="51">
        <v>43739</v>
      </c>
      <c r="B1466" s="34">
        <v>78</v>
      </c>
      <c r="C1466" s="35" t="s">
        <v>634</v>
      </c>
      <c r="D1466" s="34" t="str">
        <f>VLOOKUP(C1466,'PUR-PARTY MASTER'!$B$4:$E$2000,2,FALSE)</f>
        <v>27AVIPS7433C1ZF</v>
      </c>
      <c r="E1466" s="34" t="s">
        <v>22</v>
      </c>
      <c r="F1466" s="136" t="s">
        <v>2478</v>
      </c>
      <c r="G1466" s="37">
        <v>43756</v>
      </c>
      <c r="H1466" s="34">
        <v>8536</v>
      </c>
      <c r="I1466" s="39">
        <f>VLOOKUP(H1466,'PUR-HSN MASTER'!$A$4:$E$5000,5,FALSE)</f>
        <v>18</v>
      </c>
      <c r="J1466" s="38">
        <v>1</v>
      </c>
      <c r="K1466" s="40">
        <v>1695</v>
      </c>
      <c r="L1466" s="118">
        <f t="shared" si="4"/>
        <v>0</v>
      </c>
      <c r="M1466" s="118">
        <f t="shared" si="5"/>
        <v>152.54999999999998</v>
      </c>
      <c r="N1466" s="118">
        <f t="shared" si="6"/>
        <v>152.54999999999998</v>
      </c>
      <c r="O1466" s="118">
        <v>0</v>
      </c>
      <c r="P1466" s="127">
        <f t="shared" si="7"/>
        <v>2000.1</v>
      </c>
      <c r="Q1466" s="34" t="s">
        <v>410</v>
      </c>
      <c r="R1466" s="34" t="str">
        <f>VLOOKUP(C1466,'PUR-PARTY MASTER'!$B$4:$E$2000,4,FALSE)</f>
        <v>Local</v>
      </c>
      <c r="S1466" s="11" t="s">
        <v>4120</v>
      </c>
    </row>
    <row r="1467" spans="1:19" x14ac:dyDescent="0.2">
      <c r="A1467" s="51">
        <v>43739</v>
      </c>
      <c r="B1467" s="34">
        <v>79</v>
      </c>
      <c r="C1467" s="35" t="s">
        <v>556</v>
      </c>
      <c r="D1467" s="34" t="str">
        <f>VLOOKUP(C1467,'PUR-PARTY MASTER'!$B$4:$E$2000,2,FALSE)</f>
        <v>27AAQCS7977M1Z3</v>
      </c>
      <c r="E1467" s="34" t="s">
        <v>22</v>
      </c>
      <c r="F1467" s="136" t="s">
        <v>2479</v>
      </c>
      <c r="G1467" s="37">
        <v>43755</v>
      </c>
      <c r="H1467" s="34">
        <v>29141100</v>
      </c>
      <c r="I1467" s="39">
        <f>VLOOKUP(H1467,'PUR-HSN MASTER'!$A$4:$E$5000,5,FALSE)</f>
        <v>18</v>
      </c>
      <c r="J1467" s="34">
        <v>660</v>
      </c>
      <c r="K1467" s="40">
        <v>41580</v>
      </c>
      <c r="L1467" s="118">
        <f t="shared" si="4"/>
        <v>0</v>
      </c>
      <c r="M1467" s="118">
        <f t="shared" si="5"/>
        <v>3742.2000000000003</v>
      </c>
      <c r="N1467" s="118">
        <f t="shared" si="6"/>
        <v>3742.2000000000003</v>
      </c>
      <c r="O1467" s="118">
        <v>0</v>
      </c>
      <c r="P1467" s="127">
        <f t="shared" si="7"/>
        <v>49064.4</v>
      </c>
      <c r="Q1467" s="34" t="s">
        <v>410</v>
      </c>
      <c r="R1467" s="34" t="str">
        <f>VLOOKUP(C1467,'PUR-PARTY MASTER'!$B$4:$E$2000,4,FALSE)</f>
        <v>Local</v>
      </c>
      <c r="S1467" s="11" t="s">
        <v>4120</v>
      </c>
    </row>
    <row r="1468" spans="1:19" x14ac:dyDescent="0.2">
      <c r="A1468" s="51">
        <v>43739</v>
      </c>
      <c r="B1468" s="34"/>
      <c r="C1468" s="35" t="s">
        <v>556</v>
      </c>
      <c r="D1468" s="34" t="str">
        <f>VLOOKUP(C1468,'PUR-PARTY MASTER'!$B$4:$E$2000,2,FALSE)</f>
        <v>27AAQCS7977M1Z3</v>
      </c>
      <c r="E1468" s="34" t="s">
        <v>22</v>
      </c>
      <c r="F1468" s="136" t="s">
        <v>2479</v>
      </c>
      <c r="G1468" s="37">
        <v>43755</v>
      </c>
      <c r="H1468" s="34">
        <v>29420090</v>
      </c>
      <c r="I1468" s="39">
        <f>VLOOKUP(H1468,'PUR-HSN MASTER'!$A$4:$E$5000,5,FALSE)</f>
        <v>18</v>
      </c>
      <c r="J1468" s="34">
        <v>400</v>
      </c>
      <c r="K1468" s="40">
        <v>24400</v>
      </c>
      <c r="L1468" s="118">
        <f t="shared" si="4"/>
        <v>0</v>
      </c>
      <c r="M1468" s="118">
        <f t="shared" si="5"/>
        <v>2196</v>
      </c>
      <c r="N1468" s="118">
        <f t="shared" si="6"/>
        <v>2196</v>
      </c>
      <c r="O1468" s="118">
        <v>0</v>
      </c>
      <c r="P1468" s="127">
        <f t="shared" si="7"/>
        <v>28792</v>
      </c>
      <c r="Q1468" s="34" t="s">
        <v>410</v>
      </c>
      <c r="R1468" s="34" t="str">
        <f>VLOOKUP(C1468,'PUR-PARTY MASTER'!$B$4:$E$2000,4,FALSE)</f>
        <v>Local</v>
      </c>
      <c r="S1468" s="11" t="s">
        <v>4120</v>
      </c>
    </row>
    <row r="1469" spans="1:19" x14ac:dyDescent="0.2">
      <c r="A1469" s="51">
        <v>43739</v>
      </c>
      <c r="B1469" s="34">
        <v>80</v>
      </c>
      <c r="C1469" s="35" t="s">
        <v>473</v>
      </c>
      <c r="D1469" s="34" t="str">
        <f>VLOOKUP(C1469,'PUR-PARTY MASTER'!$B$4:$E$2000,2,FALSE)</f>
        <v>27AAACT1848E1ZH</v>
      </c>
      <c r="E1469" s="34" t="s">
        <v>22</v>
      </c>
      <c r="F1469" s="136" t="s">
        <v>2480</v>
      </c>
      <c r="G1469" s="37">
        <v>43756</v>
      </c>
      <c r="H1469" s="34">
        <v>87089900</v>
      </c>
      <c r="I1469" s="39">
        <f>VLOOKUP(H1469,'PUR-HSN MASTER'!$A$4:$E$5000,5,FALSE)</f>
        <v>28</v>
      </c>
      <c r="J1469" s="34">
        <v>65</v>
      </c>
      <c r="K1469" s="126">
        <v>425.75</v>
      </c>
      <c r="L1469" s="118">
        <f t="shared" si="4"/>
        <v>0</v>
      </c>
      <c r="M1469" s="118">
        <f t="shared" si="5"/>
        <v>59.605000000000004</v>
      </c>
      <c r="N1469" s="118">
        <f t="shared" si="6"/>
        <v>59.605000000000004</v>
      </c>
      <c r="O1469" s="118">
        <v>0</v>
      </c>
      <c r="P1469" s="127">
        <f t="shared" si="7"/>
        <v>544.96</v>
      </c>
      <c r="Q1469" s="34" t="s">
        <v>410</v>
      </c>
      <c r="R1469" s="34" t="str">
        <f>VLOOKUP(C1469,'PUR-PARTY MASTER'!$B$4:$E$2000,4,FALSE)</f>
        <v>Local</v>
      </c>
      <c r="S1469" s="11" t="s">
        <v>4120</v>
      </c>
    </row>
    <row r="1470" spans="1:19" x14ac:dyDescent="0.2">
      <c r="A1470" s="51">
        <v>43739</v>
      </c>
      <c r="B1470" s="34">
        <v>81</v>
      </c>
      <c r="C1470" s="35" t="s">
        <v>471</v>
      </c>
      <c r="D1470" s="34" t="str">
        <f>VLOOKUP(C1470,'PUR-PARTY MASTER'!$B$4:$E$2000,2,FALSE)</f>
        <v>27AAECM8871A1ZF</v>
      </c>
      <c r="E1470" s="34" t="s">
        <v>22</v>
      </c>
      <c r="F1470" s="134">
        <v>192006279</v>
      </c>
      <c r="G1470" s="37">
        <v>43756</v>
      </c>
      <c r="H1470" s="34">
        <v>87089900</v>
      </c>
      <c r="I1470" s="39">
        <f>VLOOKUP(H1470,'PUR-HSN MASTER'!$A$4:$E$5000,5,FALSE)</f>
        <v>28</v>
      </c>
      <c r="J1470" s="34">
        <v>12</v>
      </c>
      <c r="K1470" s="126">
        <v>17483.52</v>
      </c>
      <c r="L1470" s="118">
        <f t="shared" si="4"/>
        <v>0</v>
      </c>
      <c r="M1470" s="118">
        <f t="shared" si="5"/>
        <v>2447.6928000000003</v>
      </c>
      <c r="N1470" s="118">
        <f t="shared" si="6"/>
        <v>2447.6928000000003</v>
      </c>
      <c r="O1470" s="118">
        <v>0</v>
      </c>
      <c r="P1470" s="127">
        <f t="shared" si="7"/>
        <v>22378.905600000002</v>
      </c>
      <c r="Q1470" s="34" t="s">
        <v>410</v>
      </c>
      <c r="R1470" s="34" t="str">
        <f>VLOOKUP(C1470,'PUR-PARTY MASTER'!$B$4:$E$2000,4,FALSE)</f>
        <v>Local</v>
      </c>
      <c r="S1470" s="11" t="s">
        <v>4120</v>
      </c>
    </row>
    <row r="1471" spans="1:19" x14ac:dyDescent="0.2">
      <c r="A1471" s="51">
        <v>43739</v>
      </c>
      <c r="B1471" s="34">
        <v>82</v>
      </c>
      <c r="C1471" s="35" t="s">
        <v>601</v>
      </c>
      <c r="D1471" s="34" t="str">
        <f>VLOOKUP(C1471,'PUR-PARTY MASTER'!$B$4:$E$2000,2,FALSE)</f>
        <v>27AAZFM6461A1ZY</v>
      </c>
      <c r="E1471" s="34" t="s">
        <v>22</v>
      </c>
      <c r="F1471" s="134">
        <v>5014</v>
      </c>
      <c r="G1471" s="37">
        <v>43756</v>
      </c>
      <c r="H1471" s="34">
        <v>87082900</v>
      </c>
      <c r="I1471" s="39">
        <f>VLOOKUP(H1471,'PUR-HSN MASTER'!$A$4:$E$5000,5,FALSE)</f>
        <v>28</v>
      </c>
      <c r="J1471" s="34">
        <v>320</v>
      </c>
      <c r="K1471" s="126">
        <v>13622.4</v>
      </c>
      <c r="L1471" s="118">
        <f t="shared" si="4"/>
        <v>0</v>
      </c>
      <c r="M1471" s="118">
        <f t="shared" si="5"/>
        <v>1907.136</v>
      </c>
      <c r="N1471" s="118">
        <f t="shared" si="6"/>
        <v>1907.136</v>
      </c>
      <c r="O1471" s="118">
        <v>0</v>
      </c>
      <c r="P1471" s="127">
        <f t="shared" si="7"/>
        <v>17436.671999999999</v>
      </c>
      <c r="Q1471" s="34" t="s">
        <v>410</v>
      </c>
      <c r="R1471" s="34" t="str">
        <f>VLOOKUP(C1471,'PUR-PARTY MASTER'!$B$4:$E$2000,4,FALSE)</f>
        <v>Local</v>
      </c>
      <c r="S1471" s="11" t="s">
        <v>4120</v>
      </c>
    </row>
    <row r="1472" spans="1:19" x14ac:dyDescent="0.2">
      <c r="A1472" s="51">
        <v>43739</v>
      </c>
      <c r="B1472" s="34">
        <v>83</v>
      </c>
      <c r="C1472" s="35" t="s">
        <v>601</v>
      </c>
      <c r="D1472" s="34" t="str">
        <f>VLOOKUP(C1472,'PUR-PARTY MASTER'!$B$4:$E$2000,2,FALSE)</f>
        <v>27AAZFM6461A1ZY</v>
      </c>
      <c r="E1472" s="34" t="s">
        <v>22</v>
      </c>
      <c r="F1472" s="134">
        <v>5015</v>
      </c>
      <c r="G1472" s="37">
        <v>43756</v>
      </c>
      <c r="H1472" s="34">
        <v>87082900</v>
      </c>
      <c r="I1472" s="39">
        <f>VLOOKUP(H1472,'PUR-HSN MASTER'!$A$4:$E$5000,5,FALSE)</f>
        <v>28</v>
      </c>
      <c r="J1472" s="34">
        <v>900</v>
      </c>
      <c r="K1472" s="126">
        <v>20088</v>
      </c>
      <c r="L1472" s="118">
        <f t="shared" si="4"/>
        <v>0</v>
      </c>
      <c r="M1472" s="118">
        <f t="shared" si="5"/>
        <v>2812.3199999999997</v>
      </c>
      <c r="N1472" s="118">
        <f t="shared" si="6"/>
        <v>2812.3199999999997</v>
      </c>
      <c r="O1472" s="118">
        <v>0</v>
      </c>
      <c r="P1472" s="127">
        <f t="shared" si="7"/>
        <v>25712.639999999999</v>
      </c>
      <c r="Q1472" s="34" t="s">
        <v>410</v>
      </c>
      <c r="R1472" s="34" t="str">
        <f>VLOOKUP(C1472,'PUR-PARTY MASTER'!$B$4:$E$2000,4,FALSE)</f>
        <v>Local</v>
      </c>
      <c r="S1472" s="11" t="s">
        <v>4120</v>
      </c>
    </row>
    <row r="1473" spans="1:19" x14ac:dyDescent="0.2">
      <c r="A1473" s="51">
        <v>43739</v>
      </c>
      <c r="B1473" s="34">
        <v>84</v>
      </c>
      <c r="C1473" s="35" t="s">
        <v>499</v>
      </c>
      <c r="D1473" s="34" t="str">
        <f>VLOOKUP(C1473,'PUR-PARTY MASTER'!$B$4:$E$2000,2,FALSE)</f>
        <v>27AAHFP1154B1ZN</v>
      </c>
      <c r="E1473" s="34" t="s">
        <v>22</v>
      </c>
      <c r="F1473" s="136" t="s">
        <v>2481</v>
      </c>
      <c r="G1473" s="37">
        <v>43757</v>
      </c>
      <c r="H1473" s="34">
        <v>6403</v>
      </c>
      <c r="I1473" s="39">
        <f>VLOOKUP(H1473,'PUR-HSN MASTER'!$A$4:$E$5000,5,FALSE)</f>
        <v>5</v>
      </c>
      <c r="J1473" s="34">
        <v>1</v>
      </c>
      <c r="K1473" s="126">
        <v>450</v>
      </c>
      <c r="L1473" s="118">
        <f t="shared" si="4"/>
        <v>0</v>
      </c>
      <c r="M1473" s="118">
        <f t="shared" si="5"/>
        <v>11.25</v>
      </c>
      <c r="N1473" s="118">
        <f t="shared" si="6"/>
        <v>11.25</v>
      </c>
      <c r="O1473" s="118">
        <v>0</v>
      </c>
      <c r="P1473" s="127">
        <f t="shared" si="7"/>
        <v>472.5</v>
      </c>
      <c r="Q1473" s="34" t="s">
        <v>410</v>
      </c>
      <c r="R1473" s="34" t="str">
        <f>VLOOKUP(C1473,'PUR-PARTY MASTER'!$B$4:$E$2000,4,FALSE)</f>
        <v>Local</v>
      </c>
      <c r="S1473" s="11" t="s">
        <v>4120</v>
      </c>
    </row>
    <row r="1474" spans="1:19" x14ac:dyDescent="0.2">
      <c r="A1474" s="51">
        <v>43739</v>
      </c>
      <c r="B1474" s="34"/>
      <c r="C1474" s="35" t="s">
        <v>499</v>
      </c>
      <c r="D1474" s="34" t="str">
        <f>VLOOKUP(C1474,'PUR-PARTY MASTER'!$B$4:$E$2000,2,FALSE)</f>
        <v>27AAHFP1154B1ZN</v>
      </c>
      <c r="E1474" s="34" t="s">
        <v>22</v>
      </c>
      <c r="F1474" s="136" t="s">
        <v>2481</v>
      </c>
      <c r="G1474" s="37">
        <v>43757</v>
      </c>
      <c r="H1474" s="34">
        <v>60060000</v>
      </c>
      <c r="I1474" s="39">
        <f>VLOOKUP(H1474,'PUR-HSN MASTER'!$A$4:$E$5000,5,FALSE)</f>
        <v>5</v>
      </c>
      <c r="J1474" s="34">
        <v>50</v>
      </c>
      <c r="K1474" s="126">
        <v>1650</v>
      </c>
      <c r="L1474" s="118">
        <f t="shared" si="4"/>
        <v>0</v>
      </c>
      <c r="M1474" s="118">
        <f t="shared" si="5"/>
        <v>41.25</v>
      </c>
      <c r="N1474" s="118">
        <f t="shared" si="6"/>
        <v>41.25</v>
      </c>
      <c r="O1474" s="118">
        <v>0</v>
      </c>
      <c r="P1474" s="127">
        <f t="shared" si="7"/>
        <v>1732.5</v>
      </c>
      <c r="Q1474" s="34" t="s">
        <v>410</v>
      </c>
      <c r="R1474" s="34" t="str">
        <f>VLOOKUP(C1474,'PUR-PARTY MASTER'!$B$4:$E$2000,4,FALSE)</f>
        <v>Local</v>
      </c>
      <c r="S1474" s="11" t="s">
        <v>4120</v>
      </c>
    </row>
    <row r="1475" spans="1:19" x14ac:dyDescent="0.2">
      <c r="A1475" s="51">
        <v>43739</v>
      </c>
      <c r="B1475" s="34">
        <v>85</v>
      </c>
      <c r="C1475" s="35" t="s">
        <v>499</v>
      </c>
      <c r="D1475" s="34" t="str">
        <f>VLOOKUP(C1475,'PUR-PARTY MASTER'!$B$4:$E$2000,2,FALSE)</f>
        <v>27AAHFP1154B1ZN</v>
      </c>
      <c r="E1475" s="34" t="s">
        <v>22</v>
      </c>
      <c r="F1475" s="136" t="s">
        <v>2482</v>
      </c>
      <c r="G1475" s="37">
        <v>43757</v>
      </c>
      <c r="H1475" s="34">
        <v>48196000</v>
      </c>
      <c r="I1475" s="39">
        <f>VLOOKUP(H1475,'PUR-HSN MASTER'!$A$4:$E$5000,5,FALSE)</f>
        <v>18</v>
      </c>
      <c r="J1475" s="34">
        <v>1</v>
      </c>
      <c r="K1475" s="126">
        <v>360</v>
      </c>
      <c r="L1475" s="118">
        <f t="shared" si="4"/>
        <v>0</v>
      </c>
      <c r="M1475" s="118">
        <f t="shared" si="5"/>
        <v>32.4</v>
      </c>
      <c r="N1475" s="118">
        <f t="shared" si="6"/>
        <v>32.4</v>
      </c>
      <c r="O1475" s="118">
        <v>0</v>
      </c>
      <c r="P1475" s="127">
        <f t="shared" si="7"/>
        <v>424.8</v>
      </c>
      <c r="Q1475" s="34" t="s">
        <v>410</v>
      </c>
      <c r="R1475" s="34" t="str">
        <f>VLOOKUP(C1475,'PUR-PARTY MASTER'!$B$4:$E$2000,4,FALSE)</f>
        <v>Local</v>
      </c>
      <c r="S1475" s="11" t="s">
        <v>4120</v>
      </c>
    </row>
    <row r="1476" spans="1:19" x14ac:dyDescent="0.2">
      <c r="A1476" s="51">
        <v>43739</v>
      </c>
      <c r="B1476" s="34">
        <v>86</v>
      </c>
      <c r="C1476" s="35" t="s">
        <v>517</v>
      </c>
      <c r="D1476" s="34" t="str">
        <f>VLOOKUP(C1476,'PUR-PARTY MASTER'!$B$4:$E$2000,2,FALSE)</f>
        <v>23AAACT6376M1ZZ</v>
      </c>
      <c r="E1476" s="34" t="s">
        <v>22</v>
      </c>
      <c r="F1476" s="134">
        <v>19621723</v>
      </c>
      <c r="G1476" s="37">
        <v>43756</v>
      </c>
      <c r="H1476" s="34">
        <v>87081090</v>
      </c>
      <c r="I1476" s="39">
        <f>VLOOKUP(H1476,'PUR-HSN MASTER'!$A$4:$E$5000,5,FALSE)</f>
        <v>28</v>
      </c>
      <c r="J1476" s="34">
        <v>24</v>
      </c>
      <c r="K1476" s="126">
        <v>19053.12</v>
      </c>
      <c r="L1476" s="118">
        <f t="shared" si="4"/>
        <v>5334.8735999999999</v>
      </c>
      <c r="M1476" s="118">
        <f t="shared" si="5"/>
        <v>0</v>
      </c>
      <c r="N1476" s="118">
        <f t="shared" si="6"/>
        <v>0</v>
      </c>
      <c r="O1476" s="118">
        <v>0</v>
      </c>
      <c r="P1476" s="127">
        <f t="shared" si="7"/>
        <v>24387.993599999998</v>
      </c>
      <c r="Q1476" s="34" t="s">
        <v>410</v>
      </c>
      <c r="R1476" s="34" t="str">
        <f>VLOOKUP(C1476,'PUR-PARTY MASTER'!$B$4:$E$2000,4,FALSE)</f>
        <v>Oms</v>
      </c>
      <c r="S1476" s="11" t="s">
        <v>4120</v>
      </c>
    </row>
    <row r="1477" spans="1:19" x14ac:dyDescent="0.2">
      <c r="A1477" s="51">
        <v>43739</v>
      </c>
      <c r="B1477" s="34">
        <v>87</v>
      </c>
      <c r="C1477" s="35" t="s">
        <v>471</v>
      </c>
      <c r="D1477" s="34" t="str">
        <f>VLOOKUP(C1477,'PUR-PARTY MASTER'!$B$4:$E$2000,2,FALSE)</f>
        <v>27AAECM8871A1ZF</v>
      </c>
      <c r="E1477" s="34" t="s">
        <v>22</v>
      </c>
      <c r="F1477" s="134">
        <v>192006324</v>
      </c>
      <c r="G1477" s="37">
        <v>43757</v>
      </c>
      <c r="H1477" s="34">
        <v>87089900</v>
      </c>
      <c r="I1477" s="39">
        <f>VLOOKUP(H1477,'PUR-HSN MASTER'!$A$4:$E$5000,5,FALSE)</f>
        <v>28</v>
      </c>
      <c r="J1477" s="34">
        <v>12</v>
      </c>
      <c r="K1477" s="126">
        <v>17483.52</v>
      </c>
      <c r="L1477" s="118">
        <f t="shared" si="4"/>
        <v>0</v>
      </c>
      <c r="M1477" s="118">
        <f t="shared" si="5"/>
        <v>2447.6928000000003</v>
      </c>
      <c r="N1477" s="118">
        <f t="shared" si="6"/>
        <v>2447.6928000000003</v>
      </c>
      <c r="O1477" s="118">
        <v>0</v>
      </c>
      <c r="P1477" s="127">
        <f t="shared" si="7"/>
        <v>22378.905600000002</v>
      </c>
      <c r="Q1477" s="34" t="s">
        <v>410</v>
      </c>
      <c r="R1477" s="34" t="str">
        <f>VLOOKUP(C1477,'PUR-PARTY MASTER'!$B$4:$E$2000,4,FALSE)</f>
        <v>Local</v>
      </c>
      <c r="S1477" s="11" t="s">
        <v>4120</v>
      </c>
    </row>
    <row r="1478" spans="1:19" x14ac:dyDescent="0.2">
      <c r="A1478" s="51">
        <v>43739</v>
      </c>
      <c r="B1478" s="34">
        <v>88</v>
      </c>
      <c r="C1478" s="35" t="s">
        <v>471</v>
      </c>
      <c r="D1478" s="34" t="str">
        <f>VLOOKUP(C1478,'PUR-PARTY MASTER'!$B$4:$E$2000,2,FALSE)</f>
        <v>27AAECM8871A1ZF</v>
      </c>
      <c r="E1478" s="34" t="s">
        <v>22</v>
      </c>
      <c r="F1478" s="134">
        <v>192006326</v>
      </c>
      <c r="G1478" s="37">
        <v>43757</v>
      </c>
      <c r="H1478" s="34">
        <v>87089900</v>
      </c>
      <c r="I1478" s="39">
        <f>VLOOKUP(H1478,'PUR-HSN MASTER'!$A$4:$E$5000,5,FALSE)</f>
        <v>28</v>
      </c>
      <c r="J1478" s="34">
        <v>11</v>
      </c>
      <c r="K1478" s="126">
        <v>16026.56</v>
      </c>
      <c r="L1478" s="118">
        <f t="shared" si="4"/>
        <v>0</v>
      </c>
      <c r="M1478" s="118">
        <f t="shared" si="5"/>
        <v>2243.7184000000002</v>
      </c>
      <c r="N1478" s="118">
        <f t="shared" si="6"/>
        <v>2243.7184000000002</v>
      </c>
      <c r="O1478" s="118">
        <v>0</v>
      </c>
      <c r="P1478" s="127">
        <f t="shared" si="7"/>
        <v>20513.996800000001</v>
      </c>
      <c r="Q1478" s="34" t="s">
        <v>410</v>
      </c>
      <c r="R1478" s="34" t="str">
        <f>VLOOKUP(C1478,'PUR-PARTY MASTER'!$B$4:$E$2000,4,FALSE)</f>
        <v>Local</v>
      </c>
      <c r="S1478" s="11" t="s">
        <v>4120</v>
      </c>
    </row>
    <row r="1479" spans="1:19" x14ac:dyDescent="0.2">
      <c r="A1479" s="51">
        <v>43739</v>
      </c>
      <c r="B1479" s="34">
        <v>89</v>
      </c>
      <c r="C1479" s="35" t="s">
        <v>495</v>
      </c>
      <c r="D1479" s="34" t="str">
        <f>VLOOKUP(C1479,'PUR-PARTY MASTER'!$B$4:$E$2000,2,FALSE)</f>
        <v>27AAACH4211R1ZF</v>
      </c>
      <c r="E1479" s="34" t="s">
        <v>22</v>
      </c>
      <c r="F1479" s="134">
        <v>5510061109</v>
      </c>
      <c r="G1479" s="37">
        <v>43757</v>
      </c>
      <c r="H1479" s="34">
        <v>85129000</v>
      </c>
      <c r="I1479" s="39">
        <f>VLOOKUP(H1479,'PUR-HSN MASTER'!$A$4:$E$5000,5,FALSE)</f>
        <v>18</v>
      </c>
      <c r="J1479" s="34">
        <v>4320</v>
      </c>
      <c r="K1479" s="126">
        <v>47779.199999999997</v>
      </c>
      <c r="L1479" s="118">
        <f t="shared" si="4"/>
        <v>0</v>
      </c>
      <c r="M1479" s="118">
        <f t="shared" si="5"/>
        <v>4300.1279999999997</v>
      </c>
      <c r="N1479" s="118">
        <f t="shared" si="6"/>
        <v>4300.1279999999997</v>
      </c>
      <c r="O1479" s="118">
        <v>0</v>
      </c>
      <c r="P1479" s="127">
        <f t="shared" si="7"/>
        <v>56379.455999999998</v>
      </c>
      <c r="Q1479" s="34" t="s">
        <v>410</v>
      </c>
      <c r="R1479" s="34" t="str">
        <f>VLOOKUP(C1479,'PUR-PARTY MASTER'!$B$4:$E$2000,4,FALSE)</f>
        <v>Local</v>
      </c>
      <c r="S1479" s="11" t="s">
        <v>4120</v>
      </c>
    </row>
    <row r="1480" spans="1:19" x14ac:dyDescent="0.2">
      <c r="A1480" s="51">
        <v>43739</v>
      </c>
      <c r="B1480" s="34">
        <v>90</v>
      </c>
      <c r="C1480" s="35" t="s">
        <v>473</v>
      </c>
      <c r="D1480" s="34" t="str">
        <f>VLOOKUP(C1480,'PUR-PARTY MASTER'!$B$4:$E$2000,2,FALSE)</f>
        <v>27AAACT1848E1ZH</v>
      </c>
      <c r="E1480" s="34" t="s">
        <v>22</v>
      </c>
      <c r="F1480" s="136" t="s">
        <v>2483</v>
      </c>
      <c r="G1480" s="37">
        <v>43758</v>
      </c>
      <c r="H1480" s="34">
        <v>87089900</v>
      </c>
      <c r="I1480" s="39">
        <f>VLOOKUP(H1480,'PUR-HSN MASTER'!$A$4:$E$5000,5,FALSE)</f>
        <v>28</v>
      </c>
      <c r="J1480" s="34">
        <v>200</v>
      </c>
      <c r="K1480" s="126">
        <v>1249</v>
      </c>
      <c r="L1480" s="118">
        <f t="shared" si="4"/>
        <v>0</v>
      </c>
      <c r="M1480" s="118">
        <f t="shared" si="5"/>
        <v>174.86</v>
      </c>
      <c r="N1480" s="118">
        <f t="shared" si="6"/>
        <v>174.86</v>
      </c>
      <c r="O1480" s="118">
        <v>0</v>
      </c>
      <c r="P1480" s="127">
        <f t="shared" si="7"/>
        <v>1598.72</v>
      </c>
      <c r="Q1480" s="34" t="s">
        <v>410</v>
      </c>
      <c r="R1480" s="34" t="str">
        <f>VLOOKUP(C1480,'PUR-PARTY MASTER'!$B$4:$E$2000,4,FALSE)</f>
        <v>Local</v>
      </c>
      <c r="S1480" s="11" t="s">
        <v>4120</v>
      </c>
    </row>
    <row r="1481" spans="1:19" x14ac:dyDescent="0.2">
      <c r="A1481" s="51">
        <v>43739</v>
      </c>
      <c r="B1481" s="34">
        <v>91</v>
      </c>
      <c r="C1481" s="35" t="s">
        <v>476</v>
      </c>
      <c r="D1481" s="34" t="str">
        <f>VLOOKUP(C1481,'PUR-PARTY MASTER'!$B$4:$E$2000,2,FALSE)</f>
        <v>27AABCO8467D1ZA</v>
      </c>
      <c r="E1481" s="34" t="s">
        <v>22</v>
      </c>
      <c r="F1481" s="136" t="s">
        <v>2484</v>
      </c>
      <c r="G1481" s="37">
        <v>43753</v>
      </c>
      <c r="H1481" s="34" t="s">
        <v>732</v>
      </c>
      <c r="I1481" s="39">
        <f>VLOOKUP(H1481,'PUR-HSN MASTER'!$A$4:$E$5000,5,FALSE)</f>
        <v>18</v>
      </c>
      <c r="J1481" s="38">
        <v>0</v>
      </c>
      <c r="K1481" s="40">
        <v>40650</v>
      </c>
      <c r="L1481" s="118">
        <f t="shared" si="4"/>
        <v>0</v>
      </c>
      <c r="M1481" s="118">
        <f t="shared" si="5"/>
        <v>3658.5</v>
      </c>
      <c r="N1481" s="118">
        <f t="shared" si="6"/>
        <v>3658.5</v>
      </c>
      <c r="O1481" s="118">
        <v>0</v>
      </c>
      <c r="P1481" s="127">
        <f t="shared" si="7"/>
        <v>47967</v>
      </c>
      <c r="Q1481" s="34" t="s">
        <v>410</v>
      </c>
      <c r="R1481" s="34" t="str">
        <f>VLOOKUP(C1481,'PUR-PARTY MASTER'!$B$4:$E$2000,4,FALSE)</f>
        <v>Local</v>
      </c>
      <c r="S1481" s="11" t="s">
        <v>4120</v>
      </c>
    </row>
    <row r="1482" spans="1:19" x14ac:dyDescent="0.2">
      <c r="A1482" s="51">
        <v>43739</v>
      </c>
      <c r="B1482" s="34">
        <v>92</v>
      </c>
      <c r="C1482" s="35" t="s">
        <v>506</v>
      </c>
      <c r="D1482" s="34" t="str">
        <f>VLOOKUP(C1482,'PUR-PARTY MASTER'!$B$4:$E$2000,2,FALSE)</f>
        <v>27AAACG1376N1ZC</v>
      </c>
      <c r="E1482" s="34" t="s">
        <v>22</v>
      </c>
      <c r="F1482" s="136" t="s">
        <v>2485</v>
      </c>
      <c r="G1482" s="37">
        <v>43759</v>
      </c>
      <c r="H1482" s="34">
        <v>32082090</v>
      </c>
      <c r="I1482" s="39">
        <f>VLOOKUP(H1482,'PUR-HSN MASTER'!$A$4:$E$5000,5,FALSE)</f>
        <v>18</v>
      </c>
      <c r="J1482" s="34">
        <v>210</v>
      </c>
      <c r="K1482" s="126">
        <v>73245.899999999994</v>
      </c>
      <c r="L1482" s="118">
        <f t="shared" si="4"/>
        <v>0</v>
      </c>
      <c r="M1482" s="118">
        <f t="shared" si="5"/>
        <v>6592.1309999999994</v>
      </c>
      <c r="N1482" s="118">
        <f t="shared" si="6"/>
        <v>6592.1309999999994</v>
      </c>
      <c r="O1482" s="118">
        <v>0</v>
      </c>
      <c r="P1482" s="127">
        <f t="shared" si="7"/>
        <v>86430.161999999997</v>
      </c>
      <c r="Q1482" s="34" t="s">
        <v>410</v>
      </c>
      <c r="R1482" s="34" t="str">
        <f>VLOOKUP(C1482,'PUR-PARTY MASTER'!$B$4:$E$2000,4,FALSE)</f>
        <v>Local</v>
      </c>
      <c r="S1482" s="11" t="s">
        <v>4120</v>
      </c>
    </row>
    <row r="1483" spans="1:19" x14ac:dyDescent="0.2">
      <c r="A1483" s="51">
        <v>43739</v>
      </c>
      <c r="B1483" s="34">
        <v>93</v>
      </c>
      <c r="C1483" s="35" t="s">
        <v>506</v>
      </c>
      <c r="D1483" s="34" t="str">
        <f>VLOOKUP(C1483,'PUR-PARTY MASTER'!$B$4:$E$2000,2,FALSE)</f>
        <v>27AAACG1376N1ZC</v>
      </c>
      <c r="E1483" s="34" t="s">
        <v>22</v>
      </c>
      <c r="F1483" s="136" t="s">
        <v>2486</v>
      </c>
      <c r="G1483" s="37">
        <v>43759</v>
      </c>
      <c r="H1483" s="34">
        <v>32082090</v>
      </c>
      <c r="I1483" s="39">
        <f>VLOOKUP(H1483,'PUR-HSN MASTER'!$A$4:$E$5000,5,FALSE)</f>
        <v>18</v>
      </c>
      <c r="J1483" s="34">
        <v>90</v>
      </c>
      <c r="K1483" s="126">
        <v>31391.1</v>
      </c>
      <c r="L1483" s="118">
        <f t="shared" si="4"/>
        <v>0</v>
      </c>
      <c r="M1483" s="118">
        <f t="shared" si="5"/>
        <v>2825.1990000000001</v>
      </c>
      <c r="N1483" s="118">
        <f t="shared" si="6"/>
        <v>2825.1990000000001</v>
      </c>
      <c r="O1483" s="118">
        <v>0</v>
      </c>
      <c r="P1483" s="127">
        <f t="shared" si="7"/>
        <v>37041.498</v>
      </c>
      <c r="Q1483" s="34" t="s">
        <v>410</v>
      </c>
      <c r="R1483" s="34" t="str">
        <f>VLOOKUP(C1483,'PUR-PARTY MASTER'!$B$4:$E$2000,4,FALSE)</f>
        <v>Local</v>
      </c>
      <c r="S1483" s="11" t="s">
        <v>4120</v>
      </c>
    </row>
    <row r="1484" spans="1:19" x14ac:dyDescent="0.2">
      <c r="A1484" s="51">
        <v>43739</v>
      </c>
      <c r="B1484" s="34">
        <v>94</v>
      </c>
      <c r="C1484" s="35" t="s">
        <v>506</v>
      </c>
      <c r="D1484" s="34" t="str">
        <f>VLOOKUP(C1484,'PUR-PARTY MASTER'!$B$4:$E$2000,2,FALSE)</f>
        <v>27AAACG1376N1ZC</v>
      </c>
      <c r="E1484" s="34" t="s">
        <v>22</v>
      </c>
      <c r="F1484" s="136" t="s">
        <v>2487</v>
      </c>
      <c r="G1484" s="37">
        <v>43759</v>
      </c>
      <c r="H1484" s="34">
        <v>38140010</v>
      </c>
      <c r="I1484" s="39">
        <f>VLOOKUP(H1484,'PUR-HSN MASTER'!$A$4:$E$5000,5,FALSE)</f>
        <v>18</v>
      </c>
      <c r="J1484" s="34">
        <v>200</v>
      </c>
      <c r="K1484" s="126">
        <v>18480</v>
      </c>
      <c r="L1484" s="118">
        <f t="shared" si="4"/>
        <v>0</v>
      </c>
      <c r="M1484" s="118">
        <f t="shared" si="5"/>
        <v>1663.2</v>
      </c>
      <c r="N1484" s="118">
        <f t="shared" si="6"/>
        <v>1663.2</v>
      </c>
      <c r="O1484" s="118">
        <v>0</v>
      </c>
      <c r="P1484" s="127">
        <f t="shared" si="7"/>
        <v>21806.400000000001</v>
      </c>
      <c r="Q1484" s="34" t="s">
        <v>410</v>
      </c>
      <c r="R1484" s="34" t="str">
        <f>VLOOKUP(C1484,'PUR-PARTY MASTER'!$B$4:$E$2000,4,FALSE)</f>
        <v>Local</v>
      </c>
      <c r="S1484" s="11" t="s">
        <v>4120</v>
      </c>
    </row>
    <row r="1485" spans="1:19" x14ac:dyDescent="0.2">
      <c r="A1485" s="51">
        <v>43739</v>
      </c>
      <c r="B1485" s="34">
        <v>95</v>
      </c>
      <c r="C1485" s="632" t="s">
        <v>2438</v>
      </c>
      <c r="D1485" s="34" t="str">
        <f>VLOOKUP(C1485,'PUR-PARTY MASTER'!$B$4:$E$2000,2,FALSE)</f>
        <v>27AACCD8583E1ZH</v>
      </c>
      <c r="E1485" s="34" t="s">
        <v>22</v>
      </c>
      <c r="F1485" s="136" t="s">
        <v>2488</v>
      </c>
      <c r="G1485" s="37">
        <v>43760</v>
      </c>
      <c r="H1485" s="34">
        <v>85362090</v>
      </c>
      <c r="I1485" s="39">
        <f>VLOOKUP(H1485,'PUR-HSN MASTER'!$A$4:$E$5000,5,FALSE)</f>
        <v>18</v>
      </c>
      <c r="J1485" s="34">
        <v>1</v>
      </c>
      <c r="K1485" s="126">
        <v>4134.8999999999996</v>
      </c>
      <c r="L1485" s="118">
        <f t="shared" si="4"/>
        <v>0</v>
      </c>
      <c r="M1485" s="118">
        <f t="shared" si="5"/>
        <v>372.14099999999996</v>
      </c>
      <c r="N1485" s="118">
        <f t="shared" si="6"/>
        <v>372.14099999999996</v>
      </c>
      <c r="O1485" s="118">
        <v>0</v>
      </c>
      <c r="P1485" s="127">
        <f t="shared" si="7"/>
        <v>4879.1819999999998</v>
      </c>
      <c r="Q1485" s="34" t="s">
        <v>410</v>
      </c>
      <c r="R1485" s="34" t="str">
        <f>VLOOKUP(C1485,'PUR-PARTY MASTER'!$B$4:$E$2000,4,FALSE)</f>
        <v>Local</v>
      </c>
      <c r="S1485" s="11" t="s">
        <v>4120</v>
      </c>
    </row>
    <row r="1486" spans="1:19" x14ac:dyDescent="0.2">
      <c r="A1486" s="51">
        <v>43739</v>
      </c>
      <c r="B1486" s="34">
        <v>96</v>
      </c>
      <c r="C1486" s="35" t="s">
        <v>473</v>
      </c>
      <c r="D1486" s="34" t="str">
        <f>VLOOKUP(C1486,'PUR-PARTY MASTER'!$B$4:$E$2000,2,FALSE)</f>
        <v>27AAACT1848E1ZH</v>
      </c>
      <c r="E1486" s="34" t="s">
        <v>22</v>
      </c>
      <c r="F1486" s="136" t="s">
        <v>2489</v>
      </c>
      <c r="G1486" s="37">
        <v>43760</v>
      </c>
      <c r="H1486" s="34">
        <v>87089900</v>
      </c>
      <c r="I1486" s="39">
        <f>VLOOKUP(H1486,'PUR-HSN MASTER'!$A$4:$E$5000,5,FALSE)</f>
        <v>28</v>
      </c>
      <c r="J1486" s="34">
        <v>48</v>
      </c>
      <c r="K1486" s="126">
        <v>7169.24</v>
      </c>
      <c r="L1486" s="118">
        <f t="shared" si="4"/>
        <v>0</v>
      </c>
      <c r="M1486" s="118">
        <f t="shared" si="5"/>
        <v>1003.6935999999998</v>
      </c>
      <c r="N1486" s="118">
        <f t="shared" si="6"/>
        <v>1003.6935999999998</v>
      </c>
      <c r="O1486" s="118">
        <v>0</v>
      </c>
      <c r="P1486" s="127">
        <f t="shared" si="7"/>
        <v>9176.627199999999</v>
      </c>
      <c r="Q1486" s="34" t="s">
        <v>410</v>
      </c>
      <c r="R1486" s="34" t="str">
        <f>VLOOKUP(C1486,'PUR-PARTY MASTER'!$B$4:$E$2000,4,FALSE)</f>
        <v>Local</v>
      </c>
      <c r="S1486" s="11" t="s">
        <v>4120</v>
      </c>
    </row>
    <row r="1487" spans="1:19" x14ac:dyDescent="0.2">
      <c r="A1487" s="51">
        <v>43739</v>
      </c>
      <c r="B1487" s="34">
        <v>97</v>
      </c>
      <c r="C1487" s="35" t="s">
        <v>554</v>
      </c>
      <c r="D1487" s="34" t="str">
        <f>VLOOKUP(C1487,'PUR-PARTY MASTER'!$B$4:$E$2000,2,FALSE)</f>
        <v>27AACFA1881H1ZL</v>
      </c>
      <c r="E1487" s="34" t="s">
        <v>22</v>
      </c>
      <c r="F1487" s="134">
        <v>13429</v>
      </c>
      <c r="G1487" s="37">
        <v>43760</v>
      </c>
      <c r="H1487" s="34">
        <v>87141900</v>
      </c>
      <c r="I1487" s="39">
        <f>VLOOKUP(H1487,'PUR-HSN MASTER'!$A$4:$E$5000,5,FALSE)</f>
        <v>28</v>
      </c>
      <c r="J1487" s="34">
        <v>2080</v>
      </c>
      <c r="K1487" s="126">
        <v>6552</v>
      </c>
      <c r="L1487" s="118">
        <f t="shared" si="4"/>
        <v>0</v>
      </c>
      <c r="M1487" s="118">
        <f t="shared" si="5"/>
        <v>917.28</v>
      </c>
      <c r="N1487" s="118">
        <f t="shared" si="6"/>
        <v>917.28</v>
      </c>
      <c r="O1487" s="118">
        <v>0</v>
      </c>
      <c r="P1487" s="127">
        <f t="shared" si="7"/>
        <v>8386.56</v>
      </c>
      <c r="Q1487" s="34" t="s">
        <v>410</v>
      </c>
      <c r="R1487" s="34" t="str">
        <f>VLOOKUP(C1487,'PUR-PARTY MASTER'!$B$4:$E$2000,4,FALSE)</f>
        <v>Local</v>
      </c>
      <c r="S1487" s="11" t="s">
        <v>4120</v>
      </c>
    </row>
    <row r="1488" spans="1:19" x14ac:dyDescent="0.2">
      <c r="A1488" s="51">
        <v>43739</v>
      </c>
      <c r="B1488" s="34">
        <v>98</v>
      </c>
      <c r="C1488" s="35" t="s">
        <v>747</v>
      </c>
      <c r="D1488" s="34" t="str">
        <f>VLOOKUP(C1488,'PUR-PARTY MASTER'!$B$4:$E$2000,2,FALSE)</f>
        <v>27ACIPD7822K1ZF</v>
      </c>
      <c r="E1488" s="34" t="s">
        <v>22</v>
      </c>
      <c r="F1488" s="136" t="s">
        <v>2490</v>
      </c>
      <c r="G1488" s="37">
        <v>43760</v>
      </c>
      <c r="H1488" s="34">
        <v>84778090</v>
      </c>
      <c r="I1488" s="39">
        <f>VLOOKUP(H1488,'PUR-HSN MASTER'!$A$4:$E$5000,5,FALSE)</f>
        <v>18</v>
      </c>
      <c r="J1488" s="34">
        <v>10</v>
      </c>
      <c r="K1488" s="126">
        <f>2800+2800+14000</f>
        <v>19600</v>
      </c>
      <c r="L1488" s="118">
        <f t="shared" si="4"/>
        <v>0</v>
      </c>
      <c r="M1488" s="118">
        <f t="shared" si="5"/>
        <v>1764</v>
      </c>
      <c r="N1488" s="118">
        <f t="shared" si="6"/>
        <v>1764</v>
      </c>
      <c r="O1488" s="118">
        <v>0</v>
      </c>
      <c r="P1488" s="127">
        <f t="shared" si="7"/>
        <v>23128</v>
      </c>
      <c r="Q1488" s="34" t="s">
        <v>410</v>
      </c>
      <c r="R1488" s="34" t="str">
        <f>VLOOKUP(C1488,'PUR-PARTY MASTER'!$B$4:$E$2000,4,FALSE)</f>
        <v>Local</v>
      </c>
      <c r="S1488" s="11" t="s">
        <v>4120</v>
      </c>
    </row>
    <row r="1489" spans="1:19" x14ac:dyDescent="0.2">
      <c r="A1489" s="51">
        <v>43739</v>
      </c>
      <c r="B1489" s="34"/>
      <c r="C1489" s="35" t="s">
        <v>747</v>
      </c>
      <c r="D1489" s="34" t="str">
        <f>VLOOKUP(C1489,'PUR-PARTY MASTER'!$B$4:$E$2000,2,FALSE)</f>
        <v>27ACIPD7822K1ZF</v>
      </c>
      <c r="E1489" s="34" t="s">
        <v>22</v>
      </c>
      <c r="F1489" s="136" t="s">
        <v>2490</v>
      </c>
      <c r="G1489" s="37">
        <v>43760</v>
      </c>
      <c r="H1489" s="34">
        <v>998873</v>
      </c>
      <c r="I1489" s="39">
        <f>VLOOKUP(H1489,'PUR-HSN MASTER'!$A$4:$E$5000,5,FALSE)</f>
        <v>18</v>
      </c>
      <c r="J1489" s="34">
        <v>0</v>
      </c>
      <c r="K1489" s="126">
        <v>350</v>
      </c>
      <c r="L1489" s="118">
        <f t="shared" si="4"/>
        <v>0</v>
      </c>
      <c r="M1489" s="118">
        <f t="shared" si="5"/>
        <v>31.5</v>
      </c>
      <c r="N1489" s="118">
        <f t="shared" si="6"/>
        <v>31.5</v>
      </c>
      <c r="O1489" s="118">
        <v>0</v>
      </c>
      <c r="P1489" s="127">
        <f t="shared" si="7"/>
        <v>413</v>
      </c>
      <c r="Q1489" s="34" t="s">
        <v>411</v>
      </c>
      <c r="R1489" s="34" t="str">
        <f>VLOOKUP(C1489,'PUR-PARTY MASTER'!$B$4:$E$2000,4,FALSE)</f>
        <v>Local</v>
      </c>
      <c r="S1489" s="11" t="s">
        <v>4120</v>
      </c>
    </row>
    <row r="1490" spans="1:19" x14ac:dyDescent="0.2">
      <c r="A1490" s="51">
        <v>43739</v>
      </c>
      <c r="B1490" s="34">
        <v>99</v>
      </c>
      <c r="C1490" s="35" t="s">
        <v>601</v>
      </c>
      <c r="D1490" s="34" t="str">
        <f>VLOOKUP(C1490,'PUR-PARTY MASTER'!$B$4:$E$2000,2,FALSE)</f>
        <v>27AAZFM6461A1ZY</v>
      </c>
      <c r="E1490" s="34" t="s">
        <v>22</v>
      </c>
      <c r="F1490" s="134">
        <v>5133</v>
      </c>
      <c r="G1490" s="37">
        <v>43760</v>
      </c>
      <c r="H1490" s="34">
        <v>87082900</v>
      </c>
      <c r="I1490" s="39">
        <f>VLOOKUP(H1490,'PUR-HSN MASTER'!$A$4:$E$5000,5,FALSE)</f>
        <v>28</v>
      </c>
      <c r="J1490" s="34">
        <v>1740</v>
      </c>
      <c r="K1490" s="126">
        <v>38836.800000000003</v>
      </c>
      <c r="L1490" s="118">
        <f t="shared" si="4"/>
        <v>0</v>
      </c>
      <c r="M1490" s="118">
        <f t="shared" si="5"/>
        <v>5437.152000000001</v>
      </c>
      <c r="N1490" s="118">
        <f t="shared" si="6"/>
        <v>5437.152000000001</v>
      </c>
      <c r="O1490" s="118">
        <v>0</v>
      </c>
      <c r="P1490" s="127">
        <f t="shared" si="7"/>
        <v>49711.104000000007</v>
      </c>
      <c r="Q1490" s="34" t="s">
        <v>410</v>
      </c>
      <c r="R1490" s="34" t="str">
        <f>VLOOKUP(C1490,'PUR-PARTY MASTER'!$B$4:$E$2000,4,FALSE)</f>
        <v>Local</v>
      </c>
      <c r="S1490" s="11" t="s">
        <v>4120</v>
      </c>
    </row>
    <row r="1491" spans="1:19" x14ac:dyDescent="0.2">
      <c r="A1491" s="51">
        <v>43739</v>
      </c>
      <c r="B1491" s="34">
        <v>100</v>
      </c>
      <c r="C1491" s="35" t="s">
        <v>533</v>
      </c>
      <c r="D1491" s="34" t="str">
        <f>VLOOKUP(C1491,'PUR-PARTY MASTER'!$B$4:$E$2000,2,FALSE)</f>
        <v>27AJAPG7696K1ZP</v>
      </c>
      <c r="E1491" s="34" t="s">
        <v>22</v>
      </c>
      <c r="F1491" s="136" t="s">
        <v>2491</v>
      </c>
      <c r="G1491" s="37">
        <v>43759</v>
      </c>
      <c r="H1491" s="34">
        <v>48209090</v>
      </c>
      <c r="I1491" s="39">
        <f>VLOOKUP(H1491,'PUR-HSN MASTER'!$A$4:$E$5000,5,FALSE)</f>
        <v>18</v>
      </c>
      <c r="J1491" s="34">
        <v>17</v>
      </c>
      <c r="K1491" s="126">
        <v>2560</v>
      </c>
      <c r="L1491" s="118">
        <f t="shared" si="4"/>
        <v>0</v>
      </c>
      <c r="M1491" s="118">
        <f t="shared" si="5"/>
        <v>230.4</v>
      </c>
      <c r="N1491" s="118">
        <f t="shared" si="6"/>
        <v>230.4</v>
      </c>
      <c r="O1491" s="118">
        <v>0</v>
      </c>
      <c r="P1491" s="127">
        <f t="shared" si="7"/>
        <v>3020.8</v>
      </c>
      <c r="Q1491" s="34" t="s">
        <v>410</v>
      </c>
      <c r="R1491" s="34" t="str">
        <f>VLOOKUP(C1491,'PUR-PARTY MASTER'!$B$4:$E$2000,4,FALSE)</f>
        <v>Local</v>
      </c>
      <c r="S1491" s="11" t="s">
        <v>4120</v>
      </c>
    </row>
    <row r="1492" spans="1:19" x14ac:dyDescent="0.2">
      <c r="A1492" s="51">
        <v>43739</v>
      </c>
      <c r="B1492" s="34">
        <v>101</v>
      </c>
      <c r="C1492" s="35" t="s">
        <v>517</v>
      </c>
      <c r="D1492" s="34" t="str">
        <f>VLOOKUP(C1492,'PUR-PARTY MASTER'!$B$4:$E$2000,2,FALSE)</f>
        <v>23AAACT6376M1ZZ</v>
      </c>
      <c r="E1492" s="34" t="s">
        <v>22</v>
      </c>
      <c r="F1492" s="134">
        <v>19619930</v>
      </c>
      <c r="G1492" s="37">
        <v>43752</v>
      </c>
      <c r="H1492" s="34">
        <v>87081090</v>
      </c>
      <c r="I1492" s="39">
        <f>VLOOKUP(H1492,'PUR-HSN MASTER'!$A$4:$E$5000,5,FALSE)</f>
        <v>28</v>
      </c>
      <c r="J1492" s="34">
        <v>60</v>
      </c>
      <c r="K1492" s="126">
        <v>39174.6</v>
      </c>
      <c r="L1492" s="118">
        <f t="shared" si="4"/>
        <v>10968.887999999999</v>
      </c>
      <c r="M1492" s="118">
        <f t="shared" si="5"/>
        <v>0</v>
      </c>
      <c r="N1492" s="118">
        <f t="shared" si="6"/>
        <v>0</v>
      </c>
      <c r="O1492" s="118">
        <v>0</v>
      </c>
      <c r="P1492" s="127">
        <f t="shared" si="7"/>
        <v>50143.487999999998</v>
      </c>
      <c r="Q1492" s="34" t="s">
        <v>410</v>
      </c>
      <c r="R1492" s="34" t="str">
        <f>VLOOKUP(C1492,'PUR-PARTY MASTER'!$B$4:$E$2000,4,FALSE)</f>
        <v>Oms</v>
      </c>
      <c r="S1492" s="11" t="s">
        <v>4120</v>
      </c>
    </row>
    <row r="1493" spans="1:19" x14ac:dyDescent="0.2">
      <c r="A1493" s="51">
        <v>43739</v>
      </c>
      <c r="B1493" s="34">
        <v>102</v>
      </c>
      <c r="C1493" s="35" t="s">
        <v>517</v>
      </c>
      <c r="D1493" s="34" t="str">
        <f>VLOOKUP(C1493,'PUR-PARTY MASTER'!$B$4:$E$2000,2,FALSE)</f>
        <v>23AAACT6376M1ZZ</v>
      </c>
      <c r="E1493" s="34" t="s">
        <v>22</v>
      </c>
      <c r="F1493" s="134">
        <v>19621553</v>
      </c>
      <c r="G1493" s="37">
        <v>43754</v>
      </c>
      <c r="H1493" s="34">
        <v>87081090</v>
      </c>
      <c r="I1493" s="39">
        <f>VLOOKUP(H1493,'PUR-HSN MASTER'!$A$4:$E$5000,5,FALSE)</f>
        <v>28</v>
      </c>
      <c r="J1493" s="34">
        <v>40</v>
      </c>
      <c r="K1493" s="126">
        <v>26116.400000000001</v>
      </c>
      <c r="L1493" s="118">
        <f t="shared" si="4"/>
        <v>7312.5919999999996</v>
      </c>
      <c r="M1493" s="118">
        <f t="shared" si="5"/>
        <v>0</v>
      </c>
      <c r="N1493" s="118">
        <f t="shared" si="6"/>
        <v>0</v>
      </c>
      <c r="O1493" s="118">
        <v>0</v>
      </c>
      <c r="P1493" s="127">
        <f t="shared" si="7"/>
        <v>33428.991999999998</v>
      </c>
      <c r="Q1493" s="34" t="s">
        <v>410</v>
      </c>
      <c r="R1493" s="34" t="str">
        <f>VLOOKUP(C1493,'PUR-PARTY MASTER'!$B$4:$E$2000,4,FALSE)</f>
        <v>Oms</v>
      </c>
      <c r="S1493" s="11" t="s">
        <v>4120</v>
      </c>
    </row>
    <row r="1494" spans="1:19" x14ac:dyDescent="0.2">
      <c r="A1494" s="51">
        <v>43739</v>
      </c>
      <c r="B1494" s="34">
        <v>103</v>
      </c>
      <c r="C1494" s="35" t="s">
        <v>514</v>
      </c>
      <c r="D1494" s="34" t="str">
        <f>VLOOKUP(C1494,'PUR-PARTY MASTER'!$B$4:$E$2000,2,FALSE)</f>
        <v>27AAACU2414K1ZF</v>
      </c>
      <c r="E1494" s="34" t="s">
        <v>22</v>
      </c>
      <c r="F1494" s="136" t="s">
        <v>2492</v>
      </c>
      <c r="G1494" s="37">
        <v>43743</v>
      </c>
      <c r="H1494" s="34">
        <v>9971</v>
      </c>
      <c r="I1494" s="39">
        <f>VLOOKUP(H1494,'PUR-HSN MASTER'!$A$4:$E$5000,5,FALSE)</f>
        <v>18</v>
      </c>
      <c r="J1494" s="34">
        <v>0</v>
      </c>
      <c r="K1494" s="40">
        <v>5</v>
      </c>
      <c r="L1494" s="118">
        <f t="shared" si="4"/>
        <v>0</v>
      </c>
      <c r="M1494" s="118">
        <f t="shared" si="5"/>
        <v>0.45</v>
      </c>
      <c r="N1494" s="118">
        <f t="shared" si="6"/>
        <v>0.45</v>
      </c>
      <c r="O1494" s="118">
        <v>0</v>
      </c>
      <c r="P1494" s="127">
        <f t="shared" si="7"/>
        <v>5.9</v>
      </c>
      <c r="Q1494" s="34" t="s">
        <v>411</v>
      </c>
      <c r="R1494" s="34" t="str">
        <f>VLOOKUP(C1494,'PUR-PARTY MASTER'!$B$4:$E$2000,4,FALSE)</f>
        <v>Local</v>
      </c>
      <c r="S1494" s="11" t="s">
        <v>4120</v>
      </c>
    </row>
    <row r="1495" spans="1:19" x14ac:dyDescent="0.2">
      <c r="A1495" s="51">
        <v>43739</v>
      </c>
      <c r="B1495" s="34">
        <v>104</v>
      </c>
      <c r="C1495" s="35" t="s">
        <v>601</v>
      </c>
      <c r="D1495" s="34" t="str">
        <f>VLOOKUP(C1495,'PUR-PARTY MASTER'!$B$4:$E$2000,2,FALSE)</f>
        <v>27AAZFM6461A1ZY</v>
      </c>
      <c r="E1495" s="34" t="s">
        <v>22</v>
      </c>
      <c r="F1495" s="134">
        <v>5197</v>
      </c>
      <c r="G1495" s="37">
        <v>43761</v>
      </c>
      <c r="H1495" s="34">
        <v>87082900</v>
      </c>
      <c r="I1495" s="39">
        <f>VLOOKUP(H1495,'PUR-HSN MASTER'!$A$4:$E$5000,5,FALSE)</f>
        <v>28</v>
      </c>
      <c r="J1495" s="34">
        <v>600</v>
      </c>
      <c r="K1495" s="126">
        <v>25542</v>
      </c>
      <c r="L1495" s="118">
        <f t="shared" si="4"/>
        <v>0</v>
      </c>
      <c r="M1495" s="118">
        <f t="shared" si="5"/>
        <v>3575.8799999999997</v>
      </c>
      <c r="N1495" s="118">
        <f t="shared" si="6"/>
        <v>3575.8799999999997</v>
      </c>
      <c r="O1495" s="118">
        <v>0</v>
      </c>
      <c r="P1495" s="127">
        <f t="shared" si="7"/>
        <v>32693.759999999998</v>
      </c>
      <c r="Q1495" s="34" t="s">
        <v>410</v>
      </c>
      <c r="R1495" s="34" t="str">
        <f>VLOOKUP(C1495,'PUR-PARTY MASTER'!$B$4:$E$2000,4,FALSE)</f>
        <v>Local</v>
      </c>
      <c r="S1495" s="11" t="s">
        <v>4120</v>
      </c>
    </row>
    <row r="1496" spans="1:19" x14ac:dyDescent="0.2">
      <c r="A1496" s="51">
        <v>43739</v>
      </c>
      <c r="B1496" s="34">
        <v>105</v>
      </c>
      <c r="C1496" s="35" t="s">
        <v>601</v>
      </c>
      <c r="D1496" s="34" t="str">
        <f>VLOOKUP(C1496,'PUR-PARTY MASTER'!$B$4:$E$2000,2,FALSE)</f>
        <v>27AAZFM6461A1ZY</v>
      </c>
      <c r="E1496" s="34" t="s">
        <v>22</v>
      </c>
      <c r="F1496" s="134">
        <v>5218</v>
      </c>
      <c r="G1496" s="37">
        <v>43761</v>
      </c>
      <c r="H1496" s="34">
        <v>87082900</v>
      </c>
      <c r="I1496" s="39">
        <f>VLOOKUP(H1496,'PUR-HSN MASTER'!$A$4:$E$5000,5,FALSE)</f>
        <v>28</v>
      </c>
      <c r="J1496" s="34">
        <v>500</v>
      </c>
      <c r="K1496" s="126">
        <v>21285</v>
      </c>
      <c r="L1496" s="118">
        <f t="shared" si="4"/>
        <v>0</v>
      </c>
      <c r="M1496" s="118">
        <f t="shared" si="5"/>
        <v>2979.9</v>
      </c>
      <c r="N1496" s="118">
        <f t="shared" si="6"/>
        <v>2979.9</v>
      </c>
      <c r="O1496" s="118">
        <v>0</v>
      </c>
      <c r="P1496" s="127">
        <f t="shared" si="7"/>
        <v>27244.799999999999</v>
      </c>
      <c r="Q1496" s="34" t="s">
        <v>410</v>
      </c>
      <c r="R1496" s="34" t="str">
        <f>VLOOKUP(C1496,'PUR-PARTY MASTER'!$B$4:$E$2000,4,FALSE)</f>
        <v>Local</v>
      </c>
      <c r="S1496" s="11" t="s">
        <v>4120</v>
      </c>
    </row>
    <row r="1497" spans="1:19" x14ac:dyDescent="0.2">
      <c r="A1497" s="51">
        <v>43739</v>
      </c>
      <c r="B1497" s="34">
        <v>106</v>
      </c>
      <c r="C1497" s="35" t="s">
        <v>601</v>
      </c>
      <c r="D1497" s="34" t="str">
        <f>VLOOKUP(C1497,'PUR-PARTY MASTER'!$B$4:$E$2000,2,FALSE)</f>
        <v>27AAZFM6461A1ZY</v>
      </c>
      <c r="E1497" s="34" t="s">
        <v>22</v>
      </c>
      <c r="F1497" s="134">
        <v>5219</v>
      </c>
      <c r="G1497" s="37">
        <v>43761</v>
      </c>
      <c r="H1497" s="34">
        <v>87082900</v>
      </c>
      <c r="I1497" s="39">
        <f>VLOOKUP(H1497,'PUR-HSN MASTER'!$A$4:$E$5000,5,FALSE)</f>
        <v>28</v>
      </c>
      <c r="J1497" s="34">
        <v>1440</v>
      </c>
      <c r="K1497" s="126">
        <v>32140.799999999999</v>
      </c>
      <c r="L1497" s="118">
        <f t="shared" si="4"/>
        <v>0</v>
      </c>
      <c r="M1497" s="118">
        <f t="shared" si="5"/>
        <v>4499.7120000000004</v>
      </c>
      <c r="N1497" s="118">
        <f t="shared" si="6"/>
        <v>4499.7120000000004</v>
      </c>
      <c r="O1497" s="118">
        <v>0</v>
      </c>
      <c r="P1497" s="127">
        <f t="shared" si="7"/>
        <v>41140.224000000002</v>
      </c>
      <c r="Q1497" s="34" t="s">
        <v>410</v>
      </c>
      <c r="R1497" s="34" t="str">
        <f>VLOOKUP(C1497,'PUR-PARTY MASTER'!$B$4:$E$2000,4,FALSE)</f>
        <v>Local</v>
      </c>
      <c r="S1497" s="11" t="s">
        <v>4120</v>
      </c>
    </row>
    <row r="1498" spans="1:19" x14ac:dyDescent="0.2">
      <c r="A1498" s="51">
        <v>43739</v>
      </c>
      <c r="B1498" s="34">
        <v>107</v>
      </c>
      <c r="C1498" s="35" t="s">
        <v>473</v>
      </c>
      <c r="D1498" s="34" t="str">
        <f>VLOOKUP(C1498,'PUR-PARTY MASTER'!$B$4:$E$2000,2,FALSE)</f>
        <v>27AAACT1848E1ZH</v>
      </c>
      <c r="E1498" s="34" t="s">
        <v>22</v>
      </c>
      <c r="F1498" s="136" t="s">
        <v>2493</v>
      </c>
      <c r="G1498" s="37">
        <v>43761</v>
      </c>
      <c r="H1498" s="34">
        <v>87089900</v>
      </c>
      <c r="I1498" s="39">
        <f>VLOOKUP(H1498,'PUR-HSN MASTER'!$A$4:$E$5000,5,FALSE)</f>
        <v>28</v>
      </c>
      <c r="J1498" s="34">
        <v>38</v>
      </c>
      <c r="K1498" s="126">
        <v>5643.3</v>
      </c>
      <c r="L1498" s="118">
        <f t="shared" si="4"/>
        <v>0</v>
      </c>
      <c r="M1498" s="118">
        <f t="shared" si="5"/>
        <v>790.06200000000001</v>
      </c>
      <c r="N1498" s="118">
        <f t="shared" si="6"/>
        <v>790.06200000000001</v>
      </c>
      <c r="O1498" s="118">
        <v>0</v>
      </c>
      <c r="P1498" s="127">
        <f t="shared" si="7"/>
        <v>7223.424</v>
      </c>
      <c r="Q1498" s="34" t="s">
        <v>410</v>
      </c>
      <c r="R1498" s="34" t="str">
        <f>VLOOKUP(C1498,'PUR-PARTY MASTER'!$B$4:$E$2000,4,FALSE)</f>
        <v>Local</v>
      </c>
      <c r="S1498" s="11" t="s">
        <v>4120</v>
      </c>
    </row>
    <row r="1499" spans="1:19" x14ac:dyDescent="0.2">
      <c r="A1499" s="51">
        <v>43739</v>
      </c>
      <c r="B1499" s="34">
        <v>108</v>
      </c>
      <c r="C1499" s="35" t="s">
        <v>473</v>
      </c>
      <c r="D1499" s="34" t="str">
        <f>VLOOKUP(C1499,'PUR-PARTY MASTER'!$B$4:$E$2000,2,FALSE)</f>
        <v>27AAACT1848E1ZH</v>
      </c>
      <c r="E1499" s="34" t="s">
        <v>22</v>
      </c>
      <c r="F1499" s="136" t="s">
        <v>2494</v>
      </c>
      <c r="G1499" s="37">
        <v>43761</v>
      </c>
      <c r="H1499" s="34">
        <v>87089900</v>
      </c>
      <c r="I1499" s="39">
        <f>VLOOKUP(H1499,'PUR-HSN MASTER'!$A$4:$E$5000,5,FALSE)</f>
        <v>28</v>
      </c>
      <c r="J1499" s="34">
        <v>32</v>
      </c>
      <c r="K1499" s="126">
        <v>5129.6000000000004</v>
      </c>
      <c r="L1499" s="118">
        <f t="shared" si="4"/>
        <v>0</v>
      </c>
      <c r="M1499" s="118">
        <f t="shared" si="5"/>
        <v>718.14400000000012</v>
      </c>
      <c r="N1499" s="118">
        <f t="shared" si="6"/>
        <v>718.14400000000012</v>
      </c>
      <c r="O1499" s="118">
        <v>0</v>
      </c>
      <c r="P1499" s="127">
        <f t="shared" si="7"/>
        <v>6565.8880000000008</v>
      </c>
      <c r="Q1499" s="34" t="s">
        <v>410</v>
      </c>
      <c r="R1499" s="34" t="str">
        <f>VLOOKUP(C1499,'PUR-PARTY MASTER'!$B$4:$E$2000,4,FALSE)</f>
        <v>Local</v>
      </c>
      <c r="S1499" s="11" t="s">
        <v>4120</v>
      </c>
    </row>
    <row r="1500" spans="1:19" x14ac:dyDescent="0.2">
      <c r="A1500" s="51">
        <v>43739</v>
      </c>
      <c r="B1500" s="34">
        <v>109</v>
      </c>
      <c r="C1500" s="35" t="s">
        <v>591</v>
      </c>
      <c r="D1500" s="34" t="str">
        <f>VLOOKUP(C1500,'PUR-PARTY MASTER'!$B$4:$E$2000,2,FALSE)</f>
        <v>27AAACI6297A1ZN</v>
      </c>
      <c r="E1500" s="34" t="s">
        <v>22</v>
      </c>
      <c r="F1500" s="136" t="s">
        <v>2495</v>
      </c>
      <c r="G1500" s="37">
        <v>43761</v>
      </c>
      <c r="H1500" s="34">
        <v>39073090</v>
      </c>
      <c r="I1500" s="39">
        <f>VLOOKUP(H1500,'PUR-HSN MASTER'!$A$4:$E$5000,5,FALSE)</f>
        <v>18</v>
      </c>
      <c r="J1500" s="34">
        <v>54</v>
      </c>
      <c r="K1500" s="40">
        <v>40500</v>
      </c>
      <c r="L1500" s="118">
        <f t="shared" si="4"/>
        <v>0</v>
      </c>
      <c r="M1500" s="118">
        <f t="shared" si="5"/>
        <v>3645</v>
      </c>
      <c r="N1500" s="118">
        <f t="shared" si="6"/>
        <v>3645</v>
      </c>
      <c r="O1500" s="118">
        <v>0</v>
      </c>
      <c r="P1500" s="127">
        <f t="shared" si="7"/>
        <v>47790</v>
      </c>
      <c r="Q1500" s="34" t="s">
        <v>410</v>
      </c>
      <c r="R1500" s="34" t="str">
        <f>VLOOKUP(C1500,'PUR-PARTY MASTER'!$B$4:$E$2000,4,FALSE)</f>
        <v>Local</v>
      </c>
      <c r="S1500" s="11" t="s">
        <v>4120</v>
      </c>
    </row>
    <row r="1501" spans="1:19" x14ac:dyDescent="0.2">
      <c r="A1501" s="51">
        <v>43739</v>
      </c>
      <c r="B1501" s="34">
        <v>110</v>
      </c>
      <c r="C1501" s="632" t="s">
        <v>2440</v>
      </c>
      <c r="D1501" s="34" t="str">
        <f>VLOOKUP(C1501,'PUR-PARTY MASTER'!$B$4:$E$2000,2,FALSE)</f>
        <v>27AAJFH3516P1ZY</v>
      </c>
      <c r="E1501" s="34" t="s">
        <v>22</v>
      </c>
      <c r="F1501" s="136" t="s">
        <v>2496</v>
      </c>
      <c r="G1501" s="37">
        <v>43742</v>
      </c>
      <c r="H1501" s="34">
        <v>21069099</v>
      </c>
      <c r="I1501" s="39">
        <f>VLOOKUP(H1501,'PUR-HSN MASTER'!$A$4:$E$5000,5,FALSE)</f>
        <v>12</v>
      </c>
      <c r="J1501" s="34">
        <v>110</v>
      </c>
      <c r="K1501" s="40">
        <v>29464.6</v>
      </c>
      <c r="L1501" s="118">
        <f t="shared" si="4"/>
        <v>0</v>
      </c>
      <c r="M1501" s="118">
        <f t="shared" si="5"/>
        <v>1767.8759999999997</v>
      </c>
      <c r="N1501" s="118">
        <f t="shared" si="6"/>
        <v>1767.8759999999997</v>
      </c>
      <c r="O1501" s="118">
        <v>0</v>
      </c>
      <c r="P1501" s="127">
        <f t="shared" si="7"/>
        <v>33000.351999999999</v>
      </c>
      <c r="Q1501" s="34" t="s">
        <v>410</v>
      </c>
      <c r="R1501" s="34" t="str">
        <f>VLOOKUP(C1501,'PUR-PARTY MASTER'!$B$4:$E$2000,4,FALSE)</f>
        <v>Local</v>
      </c>
      <c r="S1501" s="11" t="s">
        <v>4120</v>
      </c>
    </row>
    <row r="1502" spans="1:19" x14ac:dyDescent="0.2">
      <c r="A1502" s="51">
        <v>43739</v>
      </c>
      <c r="B1502" s="34">
        <v>111</v>
      </c>
      <c r="C1502" s="35" t="s">
        <v>473</v>
      </c>
      <c r="D1502" s="34" t="str">
        <f>VLOOKUP(C1502,'PUR-PARTY MASTER'!$B$4:$E$2000,2,FALSE)</f>
        <v>27AAACT1848E1ZH</v>
      </c>
      <c r="E1502" s="34" t="s">
        <v>22</v>
      </c>
      <c r="F1502" s="136" t="s">
        <v>2497</v>
      </c>
      <c r="G1502" s="37">
        <v>43762</v>
      </c>
      <c r="H1502" s="34">
        <v>87089900</v>
      </c>
      <c r="I1502" s="39">
        <f>VLOOKUP(H1502,'PUR-HSN MASTER'!$A$4:$E$5000,5,FALSE)</f>
        <v>28</v>
      </c>
      <c r="J1502" s="34">
        <v>77</v>
      </c>
      <c r="K1502" s="126">
        <v>11442.18</v>
      </c>
      <c r="L1502" s="118">
        <f t="shared" si="4"/>
        <v>0</v>
      </c>
      <c r="M1502" s="118">
        <f t="shared" si="5"/>
        <v>1601.9052000000001</v>
      </c>
      <c r="N1502" s="118">
        <f t="shared" si="6"/>
        <v>1601.9052000000001</v>
      </c>
      <c r="O1502" s="118">
        <v>0</v>
      </c>
      <c r="P1502" s="127">
        <f t="shared" si="7"/>
        <v>14645.990400000001</v>
      </c>
      <c r="Q1502" s="34" t="s">
        <v>410</v>
      </c>
      <c r="R1502" s="34" t="str">
        <f>VLOOKUP(C1502,'PUR-PARTY MASTER'!$B$4:$E$2000,4,FALSE)</f>
        <v>Local</v>
      </c>
      <c r="S1502" s="11" t="s">
        <v>4120</v>
      </c>
    </row>
    <row r="1503" spans="1:19" x14ac:dyDescent="0.2">
      <c r="A1503" s="51">
        <v>43739</v>
      </c>
      <c r="B1503" s="34">
        <v>112</v>
      </c>
      <c r="C1503" s="35" t="s">
        <v>554</v>
      </c>
      <c r="D1503" s="34" t="str">
        <f>VLOOKUP(C1503,'PUR-PARTY MASTER'!$B$4:$E$2000,2,FALSE)</f>
        <v>27AACFA1881H1ZL</v>
      </c>
      <c r="E1503" s="34" t="s">
        <v>22</v>
      </c>
      <c r="F1503" s="134">
        <v>13493</v>
      </c>
      <c r="G1503" s="37">
        <v>43761</v>
      </c>
      <c r="H1503" s="34">
        <v>87141900</v>
      </c>
      <c r="I1503" s="39">
        <f>VLOOKUP(H1503,'PUR-HSN MASTER'!$A$4:$E$5000,5,FALSE)</f>
        <v>28</v>
      </c>
      <c r="J1503" s="34">
        <v>2090</v>
      </c>
      <c r="K1503" s="126">
        <v>6583.5</v>
      </c>
      <c r="L1503" s="118">
        <f t="shared" ref="L1503:L1516" si="8">+IF(R1503="Oms",K1503/100*I1503,0)</f>
        <v>0</v>
      </c>
      <c r="M1503" s="118">
        <f t="shared" ref="M1503:M1519" si="9">+IF(R1503="local",K1503/100*I1503/2,0)</f>
        <v>921.68999999999994</v>
      </c>
      <c r="N1503" s="118">
        <f t="shared" ref="N1503:N1519" si="10">+IF(R1503="local",K1503/100*I1503/2,0)</f>
        <v>921.68999999999994</v>
      </c>
      <c r="O1503" s="118">
        <v>0</v>
      </c>
      <c r="P1503" s="127">
        <f t="shared" ref="P1503:P1516" si="11">+O1503+N1503+M1503+L1503+K1503</f>
        <v>8426.8799999999992</v>
      </c>
      <c r="Q1503" s="34" t="s">
        <v>410</v>
      </c>
      <c r="R1503" s="34" t="str">
        <f>VLOOKUP(C1503,'PUR-PARTY MASTER'!$B$4:$E$2000,4,FALSE)</f>
        <v>Local</v>
      </c>
      <c r="S1503" s="11" t="s">
        <v>4120</v>
      </c>
    </row>
    <row r="1504" spans="1:19" x14ac:dyDescent="0.2">
      <c r="A1504" s="51">
        <v>43739</v>
      </c>
      <c r="B1504" s="34">
        <v>113</v>
      </c>
      <c r="C1504" s="35" t="s">
        <v>493</v>
      </c>
      <c r="D1504" s="34" t="str">
        <f>VLOOKUP(C1504,'PUR-PARTY MASTER'!$B$4:$E$2000,2,FALSE)</f>
        <v>27AMMPB3648M1ZO</v>
      </c>
      <c r="E1504" s="34" t="s">
        <v>22</v>
      </c>
      <c r="F1504" s="134">
        <v>3462</v>
      </c>
      <c r="G1504" s="37">
        <v>43762</v>
      </c>
      <c r="H1504" s="34">
        <v>85129000</v>
      </c>
      <c r="I1504" s="39">
        <f>VLOOKUP(H1504,'PUR-HSN MASTER'!$A$4:$E$5000,5,FALSE)</f>
        <v>18</v>
      </c>
      <c r="J1504" s="34">
        <v>340</v>
      </c>
      <c r="K1504" s="126">
        <v>7816.6</v>
      </c>
      <c r="L1504" s="118">
        <f t="shared" si="8"/>
        <v>0</v>
      </c>
      <c r="M1504" s="118">
        <f t="shared" si="9"/>
        <v>703.49399999999991</v>
      </c>
      <c r="N1504" s="118">
        <f t="shared" si="10"/>
        <v>703.49399999999991</v>
      </c>
      <c r="O1504" s="118">
        <v>0</v>
      </c>
      <c r="P1504" s="127">
        <f t="shared" si="11"/>
        <v>9223.5879999999997</v>
      </c>
      <c r="Q1504" s="34" t="s">
        <v>410</v>
      </c>
      <c r="R1504" s="34" t="str">
        <f>VLOOKUP(C1504,'PUR-PARTY MASTER'!$B$4:$E$2000,4,FALSE)</f>
        <v>Local</v>
      </c>
      <c r="S1504" s="11" t="s">
        <v>4120</v>
      </c>
    </row>
    <row r="1505" spans="1:19" x14ac:dyDescent="0.2">
      <c r="A1505" s="51">
        <v>43739</v>
      </c>
      <c r="B1505" s="34">
        <v>114</v>
      </c>
      <c r="C1505" s="34" t="s">
        <v>489</v>
      </c>
      <c r="D1505" s="34" t="str">
        <f>VLOOKUP(C1505,'PUR-PARTY MASTER'!$B$4:$E$2000,2,FALSE)</f>
        <v>27AAECD2713N1ZK</v>
      </c>
      <c r="E1505" s="34" t="s">
        <v>22</v>
      </c>
      <c r="F1505" s="134">
        <v>7887990150</v>
      </c>
      <c r="G1505" s="37">
        <v>43763</v>
      </c>
      <c r="H1505" s="34">
        <v>39119090</v>
      </c>
      <c r="I1505" s="39">
        <f>VLOOKUP(H1505,'PUR-HSN MASTER'!$A$4:$E$5000,5,FALSE)</f>
        <v>18</v>
      </c>
      <c r="J1505" s="34">
        <v>12</v>
      </c>
      <c r="K1505" s="39">
        <v>9528</v>
      </c>
      <c r="L1505" s="118">
        <f t="shared" si="8"/>
        <v>0</v>
      </c>
      <c r="M1505" s="118">
        <f t="shared" si="9"/>
        <v>857.52</v>
      </c>
      <c r="N1505" s="118">
        <f t="shared" si="10"/>
        <v>857.52</v>
      </c>
      <c r="O1505" s="118">
        <v>0</v>
      </c>
      <c r="P1505" s="127">
        <f t="shared" si="11"/>
        <v>11243.04</v>
      </c>
      <c r="Q1505" s="34" t="s">
        <v>410</v>
      </c>
      <c r="R1505" s="34" t="str">
        <f>VLOOKUP(C1505,'PUR-PARTY MASTER'!$B$4:$E$2000,4,FALSE)</f>
        <v>Local</v>
      </c>
      <c r="S1505" s="11" t="s">
        <v>4120</v>
      </c>
    </row>
    <row r="1506" spans="1:19" x14ac:dyDescent="0.2">
      <c r="A1506" s="51">
        <v>43739</v>
      </c>
      <c r="B1506" s="34"/>
      <c r="C1506" s="34" t="s">
        <v>489</v>
      </c>
      <c r="D1506" s="34" t="str">
        <f>VLOOKUP(C1506,'PUR-PARTY MASTER'!$B$4:$E$2000,2,FALSE)</f>
        <v>27AAECD2713N1ZK</v>
      </c>
      <c r="E1506" s="34" t="s">
        <v>22</v>
      </c>
      <c r="F1506" s="134">
        <v>7887990150</v>
      </c>
      <c r="G1506" s="37">
        <v>43763</v>
      </c>
      <c r="H1506" s="34">
        <v>32082090</v>
      </c>
      <c r="I1506" s="39">
        <f>VLOOKUP(H1506,'PUR-HSN MASTER'!$A$4:$E$5000,5,FALSE)</f>
        <v>18</v>
      </c>
      <c r="J1506" s="34">
        <v>80</v>
      </c>
      <c r="K1506" s="39">
        <v>61280</v>
      </c>
      <c r="L1506" s="118">
        <f t="shared" si="8"/>
        <v>0</v>
      </c>
      <c r="M1506" s="118">
        <f t="shared" si="9"/>
        <v>5515.2</v>
      </c>
      <c r="N1506" s="118">
        <f t="shared" si="10"/>
        <v>5515.2</v>
      </c>
      <c r="O1506" s="118">
        <v>0</v>
      </c>
      <c r="P1506" s="127">
        <f t="shared" si="11"/>
        <v>72310.399999999994</v>
      </c>
      <c r="Q1506" s="34" t="s">
        <v>410</v>
      </c>
      <c r="R1506" s="34" t="str">
        <f>VLOOKUP(C1506,'PUR-PARTY MASTER'!$B$4:$E$2000,4,FALSE)</f>
        <v>Local</v>
      </c>
      <c r="S1506" s="11" t="s">
        <v>4120</v>
      </c>
    </row>
    <row r="1507" spans="1:19" x14ac:dyDescent="0.2">
      <c r="A1507" s="51">
        <v>43739</v>
      </c>
      <c r="B1507" s="34">
        <v>115</v>
      </c>
      <c r="C1507" s="34" t="s">
        <v>489</v>
      </c>
      <c r="D1507" s="34" t="str">
        <f>VLOOKUP(C1507,'PUR-PARTY MASTER'!$B$4:$E$2000,2,FALSE)</f>
        <v>27AAECD2713N1ZK</v>
      </c>
      <c r="E1507" s="34" t="s">
        <v>22</v>
      </c>
      <c r="F1507" s="134">
        <v>7887990151</v>
      </c>
      <c r="G1507" s="37">
        <v>43763</v>
      </c>
      <c r="H1507" s="34">
        <v>32082090</v>
      </c>
      <c r="I1507" s="39">
        <f>VLOOKUP(H1507,'PUR-HSN MASTER'!$A$4:$E$5000,5,FALSE)</f>
        <v>18</v>
      </c>
      <c r="J1507" s="34">
        <v>36</v>
      </c>
      <c r="K1507" s="39">
        <v>23040</v>
      </c>
      <c r="L1507" s="118">
        <f t="shared" si="8"/>
        <v>0</v>
      </c>
      <c r="M1507" s="118">
        <f t="shared" si="9"/>
        <v>2073.6</v>
      </c>
      <c r="N1507" s="118">
        <f t="shared" si="10"/>
        <v>2073.6</v>
      </c>
      <c r="O1507" s="118">
        <v>0</v>
      </c>
      <c r="P1507" s="127">
        <f t="shared" si="11"/>
        <v>27187.200000000001</v>
      </c>
      <c r="Q1507" s="34" t="s">
        <v>410</v>
      </c>
      <c r="R1507" s="34" t="str">
        <f>VLOOKUP(C1507,'PUR-PARTY MASTER'!$B$4:$E$2000,4,FALSE)</f>
        <v>Local</v>
      </c>
      <c r="S1507" s="11" t="s">
        <v>4120</v>
      </c>
    </row>
    <row r="1508" spans="1:19" x14ac:dyDescent="0.2">
      <c r="A1508" s="51">
        <v>43739</v>
      </c>
      <c r="B1508" s="34"/>
      <c r="C1508" s="34" t="s">
        <v>489</v>
      </c>
      <c r="D1508" s="34" t="str">
        <f>VLOOKUP(C1508,'PUR-PARTY MASTER'!$B$4:$E$2000,2,FALSE)</f>
        <v>27AAECD2713N1ZK</v>
      </c>
      <c r="E1508" s="34" t="s">
        <v>22</v>
      </c>
      <c r="F1508" s="134">
        <v>7887990151</v>
      </c>
      <c r="G1508" s="37">
        <v>43763</v>
      </c>
      <c r="H1508" s="34">
        <v>38140010</v>
      </c>
      <c r="I1508" s="39">
        <f>VLOOKUP(H1508,'PUR-HSN MASTER'!$A$4:$E$5000,5,FALSE)</f>
        <v>18</v>
      </c>
      <c r="J1508" s="34">
        <v>100</v>
      </c>
      <c r="K1508" s="39">
        <v>14500</v>
      </c>
      <c r="L1508" s="118">
        <f t="shared" si="8"/>
        <v>0</v>
      </c>
      <c r="M1508" s="118">
        <f t="shared" si="9"/>
        <v>1305</v>
      </c>
      <c r="N1508" s="118">
        <f t="shared" si="10"/>
        <v>1305</v>
      </c>
      <c r="O1508" s="118">
        <v>0</v>
      </c>
      <c r="P1508" s="127">
        <f t="shared" si="11"/>
        <v>17110</v>
      </c>
      <c r="Q1508" s="34" t="s">
        <v>410</v>
      </c>
      <c r="R1508" s="34" t="str">
        <f>VLOOKUP(C1508,'PUR-PARTY MASTER'!$B$4:$E$2000,4,FALSE)</f>
        <v>Local</v>
      </c>
      <c r="S1508" s="11" t="s">
        <v>4120</v>
      </c>
    </row>
    <row r="1509" spans="1:19" x14ac:dyDescent="0.2">
      <c r="A1509" s="51">
        <v>43739</v>
      </c>
      <c r="B1509" s="34">
        <v>116</v>
      </c>
      <c r="C1509" s="34" t="s">
        <v>601</v>
      </c>
      <c r="D1509" s="34" t="str">
        <f>VLOOKUP(C1509,'PUR-PARTY MASTER'!$B$4:$E$2000,2,FALSE)</f>
        <v>27AAZFM6461A1ZY</v>
      </c>
      <c r="E1509" s="34" t="s">
        <v>22</v>
      </c>
      <c r="F1509" s="134">
        <v>5255</v>
      </c>
      <c r="G1509" s="37">
        <v>43763</v>
      </c>
      <c r="H1509" s="34">
        <v>87082900</v>
      </c>
      <c r="I1509" s="39">
        <f>VLOOKUP(H1509,'PUR-HSN MASTER'!$A$4:$E$5000,5,FALSE)</f>
        <v>28</v>
      </c>
      <c r="J1509" s="34">
        <v>600</v>
      </c>
      <c r="K1509" s="39">
        <v>25542</v>
      </c>
      <c r="L1509" s="118">
        <f t="shared" si="8"/>
        <v>0</v>
      </c>
      <c r="M1509" s="118">
        <f t="shared" si="9"/>
        <v>3575.8799999999997</v>
      </c>
      <c r="N1509" s="118">
        <f t="shared" si="10"/>
        <v>3575.8799999999997</v>
      </c>
      <c r="O1509" s="118">
        <v>0</v>
      </c>
      <c r="P1509" s="127">
        <f t="shared" si="11"/>
        <v>32693.759999999998</v>
      </c>
      <c r="Q1509" s="34" t="s">
        <v>410</v>
      </c>
      <c r="R1509" s="34" t="str">
        <f>VLOOKUP(C1509,'PUR-PARTY MASTER'!$B$4:$E$2000,4,FALSE)</f>
        <v>Local</v>
      </c>
      <c r="S1509" s="11" t="s">
        <v>4120</v>
      </c>
    </row>
    <row r="1510" spans="1:19" x14ac:dyDescent="0.2">
      <c r="A1510" s="51">
        <v>43739</v>
      </c>
      <c r="B1510" s="34">
        <v>117</v>
      </c>
      <c r="C1510" s="34" t="s">
        <v>601</v>
      </c>
      <c r="D1510" s="34" t="str">
        <f>VLOOKUP(C1510,'PUR-PARTY MASTER'!$B$4:$E$2000,2,FALSE)</f>
        <v>27AAZFM6461A1ZY</v>
      </c>
      <c r="E1510" s="34" t="s">
        <v>22</v>
      </c>
      <c r="F1510" s="134">
        <v>5256</v>
      </c>
      <c r="G1510" s="37">
        <v>43763</v>
      </c>
      <c r="H1510" s="34">
        <v>87082900</v>
      </c>
      <c r="I1510" s="39">
        <f>VLOOKUP(H1510,'PUR-HSN MASTER'!$A$4:$E$5000,5,FALSE)</f>
        <v>28</v>
      </c>
      <c r="J1510" s="34">
        <v>420</v>
      </c>
      <c r="K1510" s="39">
        <v>9374.4</v>
      </c>
      <c r="L1510" s="118">
        <f t="shared" si="8"/>
        <v>0</v>
      </c>
      <c r="M1510" s="118">
        <f t="shared" si="9"/>
        <v>1312.4159999999999</v>
      </c>
      <c r="N1510" s="118">
        <f t="shared" si="10"/>
        <v>1312.4159999999999</v>
      </c>
      <c r="O1510" s="118">
        <v>0</v>
      </c>
      <c r="P1510" s="127">
        <f t="shared" si="11"/>
        <v>11999.232</v>
      </c>
      <c r="Q1510" s="34" t="s">
        <v>410</v>
      </c>
      <c r="R1510" s="34" t="str">
        <f>VLOOKUP(C1510,'PUR-PARTY MASTER'!$B$4:$E$2000,4,FALSE)</f>
        <v>Local</v>
      </c>
      <c r="S1510" s="11" t="s">
        <v>4120</v>
      </c>
    </row>
    <row r="1511" spans="1:19" x14ac:dyDescent="0.2">
      <c r="A1511" s="51">
        <v>43739</v>
      </c>
      <c r="B1511" s="34">
        <v>118</v>
      </c>
      <c r="C1511" s="34" t="s">
        <v>102</v>
      </c>
      <c r="D1511" s="34" t="str">
        <f>VLOOKUP(C1511,'PUR-PARTY MASTER'!$B$4:$E$2000,2,FALSE)</f>
        <v>23AABCE9378F1ZK</v>
      </c>
      <c r="E1511" s="34" t="s">
        <v>22</v>
      </c>
      <c r="F1511" s="634" t="s">
        <v>3339</v>
      </c>
      <c r="G1511" s="37">
        <v>43759</v>
      </c>
      <c r="H1511" s="34">
        <v>87081090</v>
      </c>
      <c r="I1511" s="39">
        <f>VLOOKUP(H1511,'PUR-HSN MASTER'!$A$4:$E$5000,5,FALSE)</f>
        <v>28</v>
      </c>
      <c r="J1511" s="34">
        <v>1</v>
      </c>
      <c r="K1511" s="39">
        <v>2030.87</v>
      </c>
      <c r="L1511" s="118">
        <f t="shared" si="8"/>
        <v>568.64359999999999</v>
      </c>
      <c r="M1511" s="118">
        <f t="shared" si="9"/>
        <v>0</v>
      </c>
      <c r="N1511" s="118">
        <f t="shared" si="10"/>
        <v>0</v>
      </c>
      <c r="O1511" s="118">
        <v>0</v>
      </c>
      <c r="P1511" s="127">
        <f t="shared" si="11"/>
        <v>2599.5135999999998</v>
      </c>
      <c r="Q1511" s="34" t="s">
        <v>410</v>
      </c>
      <c r="R1511" s="34" t="str">
        <f>VLOOKUP(C1511,'PUR-PARTY MASTER'!$B$4:$E$2000,4,FALSE)</f>
        <v>Oms</v>
      </c>
      <c r="S1511" s="11" t="s">
        <v>4120</v>
      </c>
    </row>
    <row r="1512" spans="1:19" x14ac:dyDescent="0.2">
      <c r="A1512" s="51">
        <v>43739</v>
      </c>
      <c r="B1512" s="34">
        <v>119</v>
      </c>
      <c r="C1512" s="34" t="s">
        <v>102</v>
      </c>
      <c r="D1512" s="34" t="str">
        <f>VLOOKUP(C1512,'PUR-PARTY MASTER'!$B$4:$E$2000,2,FALSE)</f>
        <v>23AABCE9378F1ZK</v>
      </c>
      <c r="E1512" s="34" t="s">
        <v>22</v>
      </c>
      <c r="F1512" s="634" t="s">
        <v>3340</v>
      </c>
      <c r="G1512" s="37">
        <v>43759</v>
      </c>
      <c r="H1512" s="34">
        <v>87081090</v>
      </c>
      <c r="I1512" s="39">
        <f>VLOOKUP(H1512,'PUR-HSN MASTER'!$A$4:$E$5000,5,FALSE)</f>
        <v>28</v>
      </c>
      <c r="J1512" s="34">
        <v>1</v>
      </c>
      <c r="K1512" s="39">
        <v>325.70999999999998</v>
      </c>
      <c r="L1512" s="118">
        <f t="shared" si="8"/>
        <v>91.198799999999991</v>
      </c>
      <c r="M1512" s="118">
        <f t="shared" si="9"/>
        <v>0</v>
      </c>
      <c r="N1512" s="118">
        <f t="shared" si="10"/>
        <v>0</v>
      </c>
      <c r="O1512" s="118">
        <v>0</v>
      </c>
      <c r="P1512" s="127">
        <f t="shared" si="11"/>
        <v>416.90879999999999</v>
      </c>
      <c r="Q1512" s="34" t="s">
        <v>410</v>
      </c>
      <c r="R1512" s="34" t="str">
        <f>VLOOKUP(C1512,'PUR-PARTY MASTER'!$B$4:$E$2000,4,FALSE)</f>
        <v>Oms</v>
      </c>
      <c r="S1512" s="11" t="s">
        <v>4120</v>
      </c>
    </row>
    <row r="1513" spans="1:19" x14ac:dyDescent="0.2">
      <c r="A1513" s="51">
        <v>43739</v>
      </c>
      <c r="B1513" s="34">
        <v>120</v>
      </c>
      <c r="C1513" s="34" t="s">
        <v>829</v>
      </c>
      <c r="D1513" s="34" t="str">
        <f>VLOOKUP(C1513,'PUR-PARTY MASTER'!$B$4:$E$2000,2,FALSE)</f>
        <v>27AATPC2316A1Z7</v>
      </c>
      <c r="E1513" s="34" t="s">
        <v>22</v>
      </c>
      <c r="F1513" s="134">
        <v>1798</v>
      </c>
      <c r="G1513" s="37">
        <v>43768</v>
      </c>
      <c r="H1513" s="34">
        <v>3208</v>
      </c>
      <c r="I1513" s="39">
        <f>VLOOKUP(H1513,'PUR-HSN MASTER'!$A$4:$E$5000,5,FALSE)</f>
        <v>18</v>
      </c>
      <c r="J1513" s="34">
        <v>3</v>
      </c>
      <c r="K1513" s="39">
        <v>4524</v>
      </c>
      <c r="L1513" s="118">
        <f t="shared" si="8"/>
        <v>0</v>
      </c>
      <c r="M1513" s="118">
        <f t="shared" si="9"/>
        <v>407.16</v>
      </c>
      <c r="N1513" s="118">
        <f t="shared" si="10"/>
        <v>407.16</v>
      </c>
      <c r="O1513" s="118">
        <v>0</v>
      </c>
      <c r="P1513" s="127">
        <f t="shared" si="11"/>
        <v>5338.32</v>
      </c>
      <c r="Q1513" s="34" t="s">
        <v>410</v>
      </c>
      <c r="R1513" s="34" t="str">
        <f>VLOOKUP(C1513,'PUR-PARTY MASTER'!$B$4:$E$2000,4,FALSE)</f>
        <v>Local</v>
      </c>
      <c r="S1513" s="11" t="s">
        <v>4120</v>
      </c>
    </row>
    <row r="1514" spans="1:19" x14ac:dyDescent="0.2">
      <c r="A1514" s="51">
        <v>43739</v>
      </c>
      <c r="B1514" s="34">
        <v>121</v>
      </c>
      <c r="C1514" s="34" t="s">
        <v>589</v>
      </c>
      <c r="D1514" s="34" t="str">
        <f>VLOOKUP(C1514,'PUR-PARTY MASTER'!$B$4:$E$2000,2,FALSE)</f>
        <v>27CVNPK1560R1ZT</v>
      </c>
      <c r="E1514" s="34" t="s">
        <v>22</v>
      </c>
      <c r="F1514" s="134">
        <v>14</v>
      </c>
      <c r="G1514" s="37">
        <v>43769</v>
      </c>
      <c r="H1514" s="34">
        <v>73110010</v>
      </c>
      <c r="I1514" s="39">
        <f>VLOOKUP(H1514,'PUR-HSN MASTER'!$A$4:$E$5000,5,FALSE)</f>
        <v>18</v>
      </c>
      <c r="J1514" s="34">
        <v>10</v>
      </c>
      <c r="K1514" s="39">
        <v>22813.5</v>
      </c>
      <c r="L1514" s="118">
        <f t="shared" si="8"/>
        <v>0</v>
      </c>
      <c r="M1514" s="118">
        <f t="shared" si="9"/>
        <v>2053.2150000000001</v>
      </c>
      <c r="N1514" s="118">
        <f t="shared" si="10"/>
        <v>2053.2150000000001</v>
      </c>
      <c r="O1514" s="118">
        <v>0</v>
      </c>
      <c r="P1514" s="127">
        <f t="shared" si="11"/>
        <v>26919.93</v>
      </c>
      <c r="Q1514" s="34" t="s">
        <v>410</v>
      </c>
      <c r="R1514" s="34" t="str">
        <f>VLOOKUP(C1514,'PUR-PARTY MASTER'!$B$4:$E$2000,4,FALSE)</f>
        <v>Local</v>
      </c>
      <c r="S1514" s="11" t="s">
        <v>4120</v>
      </c>
    </row>
    <row r="1515" spans="1:19" x14ac:dyDescent="0.2">
      <c r="A1515" s="51">
        <v>43739</v>
      </c>
      <c r="B1515" s="34">
        <v>122</v>
      </c>
      <c r="C1515" s="35" t="s">
        <v>551</v>
      </c>
      <c r="D1515" s="34" t="str">
        <f>VLOOKUP(C1515,'PUR-PARTY MASTER'!$B$4:$E$2000,2,FALSE)</f>
        <v>27AHVPG8951G1ZQ</v>
      </c>
      <c r="E1515" s="34" t="s">
        <v>22</v>
      </c>
      <c r="F1515" s="136" t="s">
        <v>3375</v>
      </c>
      <c r="G1515" s="37">
        <v>43762</v>
      </c>
      <c r="H1515" s="34">
        <v>37079090</v>
      </c>
      <c r="I1515" s="39">
        <f>VLOOKUP(H1515,'PUR-HSN MASTER'!$A$4:$E$5000,5,FALSE)</f>
        <v>18</v>
      </c>
      <c r="J1515" s="38">
        <v>0</v>
      </c>
      <c r="K1515" s="40">
        <v>300</v>
      </c>
      <c r="L1515" s="118">
        <f t="shared" si="8"/>
        <v>0</v>
      </c>
      <c r="M1515" s="118">
        <f t="shared" si="9"/>
        <v>27</v>
      </c>
      <c r="N1515" s="118">
        <f t="shared" si="10"/>
        <v>27</v>
      </c>
      <c r="O1515" s="118">
        <v>0</v>
      </c>
      <c r="P1515" s="127">
        <f t="shared" si="11"/>
        <v>354</v>
      </c>
      <c r="Q1515" s="34" t="s">
        <v>411</v>
      </c>
      <c r="R1515" s="34" t="str">
        <f>VLOOKUP(C1515,'PUR-PARTY MASTER'!$B$4:$E$2000,4,FALSE)</f>
        <v>Local</v>
      </c>
      <c r="S1515" s="11" t="s">
        <v>4120</v>
      </c>
    </row>
    <row r="1516" spans="1:19" x14ac:dyDescent="0.2">
      <c r="A1516" s="51">
        <v>43739</v>
      </c>
      <c r="B1516" s="34">
        <v>123</v>
      </c>
      <c r="C1516" s="35" t="s">
        <v>495</v>
      </c>
      <c r="D1516" s="34" t="str">
        <f>VLOOKUP(C1516,'PUR-PARTY MASTER'!$B$4:$E$2000,2,FALSE)</f>
        <v>27AAACH4211R1ZF</v>
      </c>
      <c r="E1516" s="34" t="s">
        <v>22</v>
      </c>
      <c r="F1516" s="134">
        <v>5510061348</v>
      </c>
      <c r="G1516" s="37">
        <v>43760</v>
      </c>
      <c r="H1516" s="34">
        <v>85414020</v>
      </c>
      <c r="I1516" s="39">
        <f>VLOOKUP(H1516,'PUR-HSN MASTER'!$A$4:$E$5000,5,FALSE)</f>
        <v>18</v>
      </c>
      <c r="J1516" s="34">
        <v>54</v>
      </c>
      <c r="K1516" s="126">
        <v>606.41999999999996</v>
      </c>
      <c r="L1516" s="118">
        <f t="shared" si="8"/>
        <v>0</v>
      </c>
      <c r="M1516" s="118">
        <f t="shared" si="9"/>
        <v>54.577799999999996</v>
      </c>
      <c r="N1516" s="118">
        <f t="shared" si="10"/>
        <v>54.577799999999996</v>
      </c>
      <c r="O1516" s="118">
        <v>0</v>
      </c>
      <c r="P1516" s="127">
        <f t="shared" si="11"/>
        <v>715.57559999999989</v>
      </c>
      <c r="Q1516" s="34" t="s">
        <v>410</v>
      </c>
      <c r="R1516" s="34" t="str">
        <f>VLOOKUP(C1516,'PUR-PARTY MASTER'!$B$4:$E$2000,4,FALSE)</f>
        <v>Local</v>
      </c>
      <c r="S1516" s="11" t="s">
        <v>4120</v>
      </c>
    </row>
    <row r="1517" spans="1:19" x14ac:dyDescent="0.2">
      <c r="A1517" s="51">
        <v>43739</v>
      </c>
      <c r="B1517" s="34">
        <v>19</v>
      </c>
      <c r="C1517" s="35" t="s">
        <v>600</v>
      </c>
      <c r="D1517" s="34">
        <f>VLOOKUP(C1517,'PUR-PARTY MASTER'!$B$4:$E$2000,2,FALSE)</f>
        <v>2</v>
      </c>
      <c r="E1517" s="34" t="s">
        <v>394</v>
      </c>
      <c r="F1517" s="627">
        <v>28</v>
      </c>
      <c r="G1517" s="37">
        <v>43745</v>
      </c>
      <c r="H1517" s="34"/>
      <c r="I1517" s="39" t="e">
        <f>VLOOKUP(H1517,'PUR-HSN MASTER'!$A$4:$E$5000,5,FALSE)</f>
        <v>#N/A</v>
      </c>
      <c r="J1517" s="34"/>
      <c r="K1517" s="41"/>
      <c r="L1517" s="118">
        <v>0</v>
      </c>
      <c r="M1517" s="118">
        <v>0</v>
      </c>
      <c r="N1517" s="118">
        <v>0</v>
      </c>
      <c r="O1517" s="118">
        <v>0</v>
      </c>
      <c r="P1517" s="41">
        <v>26450</v>
      </c>
      <c r="Q1517" s="34" t="s">
        <v>413</v>
      </c>
      <c r="R1517" s="34"/>
      <c r="S1517" s="11" t="s">
        <v>4120</v>
      </c>
    </row>
    <row r="1518" spans="1:19" x14ac:dyDescent="0.2">
      <c r="A1518" s="51">
        <v>43739</v>
      </c>
      <c r="B1518" s="34">
        <v>20</v>
      </c>
      <c r="C1518" s="35" t="s">
        <v>686</v>
      </c>
      <c r="D1518" s="34" t="str">
        <f>VLOOKUP(C1518,'PUR-PARTY MASTER'!$B$4:$E$2000,2,FALSE)</f>
        <v>23AAFFO4378L1ZX</v>
      </c>
      <c r="E1518" s="34" t="s">
        <v>394</v>
      </c>
      <c r="F1518" s="627">
        <v>1647</v>
      </c>
      <c r="G1518" s="37">
        <v>43738</v>
      </c>
      <c r="H1518" s="34"/>
      <c r="I1518" s="39" t="e">
        <f>VLOOKUP(H1518,'PUR-HSN MASTER'!$A$4:$E$5000,5,FALSE)</f>
        <v>#N/A</v>
      </c>
      <c r="J1518" s="34"/>
      <c r="K1518" s="41"/>
      <c r="L1518" s="118">
        <v>0</v>
      </c>
      <c r="M1518" s="118">
        <f t="shared" si="9"/>
        <v>0</v>
      </c>
      <c r="N1518" s="118">
        <f t="shared" si="10"/>
        <v>0</v>
      </c>
      <c r="O1518" s="118">
        <v>0</v>
      </c>
      <c r="P1518" s="41">
        <v>1750</v>
      </c>
      <c r="Q1518" s="34" t="s">
        <v>413</v>
      </c>
      <c r="R1518" s="34" t="str">
        <f>VLOOKUP(C1518,'PUR-PARTY MASTER'!$B$4:$E$2000,4,FALSE)</f>
        <v>Oms</v>
      </c>
      <c r="S1518" s="11" t="s">
        <v>4120</v>
      </c>
    </row>
    <row r="1519" spans="1:19" x14ac:dyDescent="0.2">
      <c r="A1519" s="51">
        <v>43739</v>
      </c>
      <c r="B1519" s="34">
        <v>21</v>
      </c>
      <c r="C1519" s="35" t="s">
        <v>686</v>
      </c>
      <c r="D1519" s="34" t="str">
        <f>VLOOKUP(C1519,'PUR-PARTY MASTER'!$B$4:$E$2000,2,FALSE)</f>
        <v>23AAFFO4378L1ZX</v>
      </c>
      <c r="E1519" s="34" t="s">
        <v>394</v>
      </c>
      <c r="F1519" s="627" t="s">
        <v>2498</v>
      </c>
      <c r="G1519" s="37">
        <v>43748</v>
      </c>
      <c r="H1519" s="34"/>
      <c r="I1519" s="39" t="e">
        <f>VLOOKUP(H1519,'PUR-HSN MASTER'!$A$4:$E$5000,5,FALSE)</f>
        <v>#N/A</v>
      </c>
      <c r="J1519" s="34"/>
      <c r="K1519" s="41"/>
      <c r="L1519" s="118">
        <v>0</v>
      </c>
      <c r="M1519" s="118">
        <f t="shared" si="9"/>
        <v>0</v>
      </c>
      <c r="N1519" s="118">
        <f t="shared" si="10"/>
        <v>0</v>
      </c>
      <c r="O1519" s="118">
        <v>0</v>
      </c>
      <c r="P1519" s="41">
        <v>900</v>
      </c>
      <c r="Q1519" s="34" t="s">
        <v>413</v>
      </c>
      <c r="R1519" s="34" t="str">
        <f>VLOOKUP(C1519,'PUR-PARTY MASTER'!$B$4:$E$2000,4,FALSE)</f>
        <v>Oms</v>
      </c>
      <c r="S1519" s="11" t="s">
        <v>4120</v>
      </c>
    </row>
    <row r="1520" spans="1:19" x14ac:dyDescent="0.2">
      <c r="A1520" s="34"/>
      <c r="B1520" s="34"/>
      <c r="C1520" s="34"/>
      <c r="D1520" s="34"/>
      <c r="E1520" s="34"/>
      <c r="F1520" s="34"/>
      <c r="G1520" s="34"/>
      <c r="H1520" s="34"/>
      <c r="I1520" s="34"/>
      <c r="J1520" s="34"/>
      <c r="K1520" s="39"/>
      <c r="L1520" s="39"/>
      <c r="M1520" s="39"/>
      <c r="N1520" s="39"/>
      <c r="O1520" s="39"/>
      <c r="P1520" s="39"/>
      <c r="Q1520" s="34"/>
      <c r="R1520" s="34" t="e">
        <f>VLOOKUP(C1520,'PUR-PARTY MASTER'!$B$4:$E$2000,4,FALSE)</f>
        <v>#N/A</v>
      </c>
      <c r="S1520" s="11" t="s">
        <v>4120</v>
      </c>
    </row>
    <row r="1521" spans="1:19" x14ac:dyDescent="0.2">
      <c r="A1521" s="51">
        <v>43770</v>
      </c>
      <c r="B1521" s="11">
        <v>1</v>
      </c>
      <c r="C1521" s="35" t="s">
        <v>541</v>
      </c>
      <c r="F1521" s="136" t="s">
        <v>4441</v>
      </c>
      <c r="G1521" s="37">
        <v>43770</v>
      </c>
      <c r="H1521" s="34">
        <v>998422</v>
      </c>
      <c r="I1521" s="39">
        <f>VLOOKUP(H1521,'[2]PUR-HSN MASTER'!$A$4:$E$5052,5,FALSE)</f>
        <v>18</v>
      </c>
      <c r="J1521" s="34"/>
      <c r="K1521" s="126">
        <v>3500</v>
      </c>
      <c r="L1521" s="118">
        <f t="shared" ref="L1521:L1533" si="12">+IF(R1521="Oms",K1521/100*I1521,0)</f>
        <v>0</v>
      </c>
      <c r="M1521" s="118">
        <f t="shared" ref="M1521:M1534" si="13">+IF(R1521="local",K1521/100*I1521/2,0)</f>
        <v>315</v>
      </c>
      <c r="N1521" s="118">
        <f t="shared" ref="N1521:N1534" si="14">+IF(R1521="local",K1521/100*I1521/2,0)</f>
        <v>315</v>
      </c>
      <c r="O1521" s="118">
        <v>0</v>
      </c>
      <c r="P1521" s="127">
        <f>+O1521+N1521+M1521+L1521+K1521</f>
        <v>4130</v>
      </c>
      <c r="Q1521" s="34" t="s">
        <v>411</v>
      </c>
      <c r="R1521" s="34" t="str">
        <f>VLOOKUP(C1521,'PUR-PARTY MASTER'!$B$4:$E$2000,4,FALSE)</f>
        <v>Local</v>
      </c>
      <c r="S1521" s="11" t="s">
        <v>4120</v>
      </c>
    </row>
    <row r="1522" spans="1:19" x14ac:dyDescent="0.2">
      <c r="A1522" s="51">
        <v>43770</v>
      </c>
      <c r="B1522" s="11">
        <v>2</v>
      </c>
      <c r="C1522" s="35" t="s">
        <v>493</v>
      </c>
      <c r="F1522" s="134">
        <v>3513</v>
      </c>
      <c r="G1522" s="37">
        <v>43770</v>
      </c>
      <c r="H1522" s="34">
        <v>85129000</v>
      </c>
      <c r="I1522" s="39">
        <f>VLOOKUP(H1522,'[2]PUR-HSN MASTER'!$A$4:$E$5052,5,FALSE)</f>
        <v>18</v>
      </c>
      <c r="J1522" s="34">
        <v>950</v>
      </c>
      <c r="K1522" s="126">
        <v>4781.92</v>
      </c>
      <c r="L1522" s="118">
        <f t="shared" si="12"/>
        <v>0</v>
      </c>
      <c r="M1522" s="118">
        <f t="shared" si="13"/>
        <v>430.37280000000004</v>
      </c>
      <c r="N1522" s="118">
        <f t="shared" si="14"/>
        <v>430.37280000000004</v>
      </c>
      <c r="O1522" s="118">
        <v>0</v>
      </c>
      <c r="P1522" s="127">
        <f>+O1522+N1522+M1522+L1522+K1522+0.33</f>
        <v>5642.9956000000002</v>
      </c>
      <c r="Q1522" s="34" t="s">
        <v>410</v>
      </c>
      <c r="R1522" s="34" t="str">
        <f>VLOOKUP(C1522,'PUR-PARTY MASTER'!$B$4:$E$2000,4,FALSE)</f>
        <v>Local</v>
      </c>
      <c r="S1522" s="11" t="s">
        <v>4120</v>
      </c>
    </row>
    <row r="1523" spans="1:19" x14ac:dyDescent="0.2">
      <c r="A1523" s="51">
        <v>43770</v>
      </c>
      <c r="B1523" s="11">
        <v>3</v>
      </c>
      <c r="C1523" s="35" t="s">
        <v>499</v>
      </c>
      <c r="F1523" s="136" t="s">
        <v>4442</v>
      </c>
      <c r="G1523" s="37">
        <v>43770</v>
      </c>
      <c r="H1523" s="34">
        <v>39199090</v>
      </c>
      <c r="I1523" s="39">
        <f>VLOOKUP(H1523,'[2]PUR-HSN MASTER'!$A$4:$E$5052,5,FALSE)</f>
        <v>18</v>
      </c>
      <c r="J1523" s="34">
        <f>288+72</f>
        <v>360</v>
      </c>
      <c r="K1523" s="126">
        <v>3168</v>
      </c>
      <c r="L1523" s="118">
        <f t="shared" si="12"/>
        <v>0</v>
      </c>
      <c r="M1523" s="118">
        <f t="shared" si="13"/>
        <v>285.12</v>
      </c>
      <c r="N1523" s="118">
        <f t="shared" si="14"/>
        <v>285.12</v>
      </c>
      <c r="O1523" s="118">
        <v>0</v>
      </c>
      <c r="P1523" s="127">
        <f>+O1523+N1523+M1523+L1523+K1523+0.06</f>
        <v>3738.2999999999997</v>
      </c>
      <c r="Q1523" s="34" t="s">
        <v>410</v>
      </c>
      <c r="R1523" s="34" t="str">
        <f>VLOOKUP(C1523,'PUR-PARTY MASTER'!$B$4:$E$2000,4,FALSE)</f>
        <v>Local</v>
      </c>
      <c r="S1523" s="11" t="s">
        <v>4120</v>
      </c>
    </row>
    <row r="1524" spans="1:19" x14ac:dyDescent="0.2">
      <c r="A1524" s="51">
        <v>43770</v>
      </c>
      <c r="C1524" s="35" t="s">
        <v>499</v>
      </c>
      <c r="F1524" s="136" t="s">
        <v>4442</v>
      </c>
      <c r="G1524" s="37">
        <v>43770</v>
      </c>
      <c r="H1524" s="34">
        <v>40159030</v>
      </c>
      <c r="I1524" s="39">
        <f>VLOOKUP(H1524,'[2]PUR-HSN MASTER'!$A$4:$E$5052,5,FALSE)</f>
        <v>18</v>
      </c>
      <c r="J1524" s="34">
        <v>12</v>
      </c>
      <c r="K1524" s="126">
        <v>576</v>
      </c>
      <c r="L1524" s="118">
        <f t="shared" si="12"/>
        <v>0</v>
      </c>
      <c r="M1524" s="118">
        <f t="shared" si="13"/>
        <v>51.839999999999996</v>
      </c>
      <c r="N1524" s="118">
        <f t="shared" si="14"/>
        <v>51.839999999999996</v>
      </c>
      <c r="O1524" s="118">
        <v>0</v>
      </c>
      <c r="P1524" s="127">
        <f>+O1524+N1524+M1524+L1524+K1524+0.02</f>
        <v>679.69999999999993</v>
      </c>
      <c r="Q1524" s="34" t="s">
        <v>410</v>
      </c>
      <c r="R1524" s="34" t="str">
        <f>VLOOKUP(C1524,'PUR-PARTY MASTER'!$B$4:$E$2000,4,FALSE)</f>
        <v>Local</v>
      </c>
      <c r="S1524" s="11" t="s">
        <v>4120</v>
      </c>
    </row>
    <row r="1525" spans="1:19" x14ac:dyDescent="0.2">
      <c r="A1525" s="51">
        <v>43770</v>
      </c>
      <c r="B1525" s="11">
        <v>4</v>
      </c>
      <c r="C1525" s="35" t="s">
        <v>499</v>
      </c>
      <c r="F1525" s="136" t="s">
        <v>4443</v>
      </c>
      <c r="G1525" s="37">
        <v>43770</v>
      </c>
      <c r="H1525" s="34">
        <v>61169200</v>
      </c>
      <c r="I1525" s="39">
        <f>VLOOKUP(H1525,'[2]PUR-HSN MASTER'!$A$4:$E$5052,5,FALSE)</f>
        <v>5</v>
      </c>
      <c r="J1525" s="34">
        <v>200</v>
      </c>
      <c r="K1525" s="126">
        <v>2400</v>
      </c>
      <c r="L1525" s="118">
        <f t="shared" si="12"/>
        <v>0</v>
      </c>
      <c r="M1525" s="118">
        <f t="shared" si="13"/>
        <v>60</v>
      </c>
      <c r="N1525" s="118">
        <f t="shared" si="14"/>
        <v>60</v>
      </c>
      <c r="O1525" s="118">
        <v>0</v>
      </c>
      <c r="P1525" s="127">
        <f>+O1525+N1525+M1525+L1525+K1525</f>
        <v>2520</v>
      </c>
      <c r="Q1525" s="34" t="s">
        <v>410</v>
      </c>
      <c r="R1525" s="34" t="str">
        <f>VLOOKUP(C1525,'PUR-PARTY MASTER'!$B$4:$E$2000,4,FALSE)</f>
        <v>Local</v>
      </c>
      <c r="S1525" s="11" t="s">
        <v>4120</v>
      </c>
    </row>
    <row r="1526" spans="1:19" x14ac:dyDescent="0.2">
      <c r="A1526" s="51">
        <v>43770</v>
      </c>
      <c r="C1526" s="35" t="s">
        <v>499</v>
      </c>
      <c r="F1526" s="136" t="s">
        <v>4443</v>
      </c>
      <c r="G1526" s="37">
        <v>43770</v>
      </c>
      <c r="H1526" s="34">
        <v>5407</v>
      </c>
      <c r="I1526" s="39">
        <f>VLOOKUP(H1526,'[2]PUR-HSN MASTER'!$A$4:$E$5052,5,FALSE)</f>
        <v>5</v>
      </c>
      <c r="J1526" s="34">
        <v>50</v>
      </c>
      <c r="K1526" s="126">
        <v>2350</v>
      </c>
      <c r="L1526" s="118">
        <f t="shared" si="12"/>
        <v>0</v>
      </c>
      <c r="M1526" s="118">
        <f t="shared" si="13"/>
        <v>58.75</v>
      </c>
      <c r="N1526" s="118">
        <f t="shared" si="14"/>
        <v>58.75</v>
      </c>
      <c r="O1526" s="118">
        <v>0</v>
      </c>
      <c r="P1526" s="127">
        <f>+O1526+N1526+M1526+L1526+K1526+0.05</f>
        <v>2467.5500000000002</v>
      </c>
      <c r="Q1526" s="34" t="s">
        <v>410</v>
      </c>
      <c r="R1526" s="34" t="str">
        <f>VLOOKUP(C1526,'PUR-PARTY MASTER'!$B$4:$E$2000,4,FALSE)</f>
        <v>Local</v>
      </c>
      <c r="S1526" s="11" t="s">
        <v>4120</v>
      </c>
    </row>
    <row r="1527" spans="1:19" x14ac:dyDescent="0.2">
      <c r="A1527" s="51">
        <v>43770</v>
      </c>
      <c r="C1527" s="35" t="s">
        <v>499</v>
      </c>
      <c r="F1527" s="136" t="s">
        <v>4443</v>
      </c>
      <c r="G1527" s="37">
        <v>43770</v>
      </c>
      <c r="H1527" s="34">
        <v>96089990</v>
      </c>
      <c r="I1527" s="39">
        <f>VLOOKUP(H1527,'[2]PUR-HSN MASTER'!$A$4:$E$5052,5,FALSE)</f>
        <v>12</v>
      </c>
      <c r="J1527" s="34">
        <v>100</v>
      </c>
      <c r="K1527" s="126">
        <v>290</v>
      </c>
      <c r="L1527" s="118">
        <f t="shared" si="12"/>
        <v>0</v>
      </c>
      <c r="M1527" s="118">
        <f t="shared" si="13"/>
        <v>17.399999999999999</v>
      </c>
      <c r="N1527" s="118">
        <f t="shared" si="14"/>
        <v>17.399999999999999</v>
      </c>
      <c r="O1527" s="118">
        <v>0</v>
      </c>
      <c r="P1527" s="127">
        <f>+O1527+N1527+M1527+L1527+K1527+0.05</f>
        <v>324.85000000000002</v>
      </c>
      <c r="Q1527" s="34" t="s">
        <v>410</v>
      </c>
      <c r="R1527" s="34" t="str">
        <f>VLOOKUP(C1527,'PUR-PARTY MASTER'!$B$4:$E$2000,4,FALSE)</f>
        <v>Local</v>
      </c>
      <c r="S1527" s="11" t="s">
        <v>4120</v>
      </c>
    </row>
    <row r="1528" spans="1:19" x14ac:dyDescent="0.2">
      <c r="A1528" s="51">
        <v>43770</v>
      </c>
      <c r="C1528" s="35" t="s">
        <v>499</v>
      </c>
      <c r="F1528" s="136" t="s">
        <v>4443</v>
      </c>
      <c r="G1528" s="37">
        <v>43770</v>
      </c>
      <c r="H1528" s="34">
        <v>96081019</v>
      </c>
      <c r="I1528" s="39">
        <f>VLOOKUP(H1528,'[2]PUR-HSN MASTER'!$A$4:$E$5052,5,FALSE)</f>
        <v>12</v>
      </c>
      <c r="J1528" s="34">
        <v>10</v>
      </c>
      <c r="K1528" s="126">
        <v>53.2</v>
      </c>
      <c r="L1528" s="118">
        <f t="shared" si="12"/>
        <v>0</v>
      </c>
      <c r="M1528" s="118">
        <f t="shared" si="13"/>
        <v>3.1920000000000002</v>
      </c>
      <c r="N1528" s="118">
        <f t="shared" si="14"/>
        <v>3.1920000000000002</v>
      </c>
      <c r="O1528" s="118">
        <v>0</v>
      </c>
      <c r="P1528" s="127">
        <f>+O1528+N1528+M1528+L1528+K1528+0.02</f>
        <v>59.604000000000006</v>
      </c>
      <c r="Q1528" s="34" t="s">
        <v>410</v>
      </c>
      <c r="R1528" s="34" t="str">
        <f>VLOOKUP(C1528,'PUR-PARTY MASTER'!$B$4:$E$2000,4,FALSE)</f>
        <v>Local</v>
      </c>
      <c r="S1528" s="11" t="s">
        <v>4120</v>
      </c>
    </row>
    <row r="1529" spans="1:19" x14ac:dyDescent="0.2">
      <c r="A1529" s="51">
        <v>43770</v>
      </c>
      <c r="B1529" s="11">
        <v>5</v>
      </c>
      <c r="C1529" s="35" t="s">
        <v>499</v>
      </c>
      <c r="F1529" s="136" t="s">
        <v>4444</v>
      </c>
      <c r="G1529" s="37">
        <v>43770</v>
      </c>
      <c r="H1529" s="34">
        <v>96031000</v>
      </c>
      <c r="I1529" s="39">
        <f>VLOOKUP(H1529,'[2]PUR-HSN MASTER'!$A$4:$E$5052,5,FALSE)</f>
        <v>0</v>
      </c>
      <c r="J1529" s="34">
        <v>12</v>
      </c>
      <c r="K1529" s="126">
        <v>180</v>
      </c>
      <c r="L1529" s="118">
        <f t="shared" si="12"/>
        <v>0</v>
      </c>
      <c r="M1529" s="118">
        <f t="shared" si="13"/>
        <v>0</v>
      </c>
      <c r="N1529" s="118">
        <f t="shared" si="14"/>
        <v>0</v>
      </c>
      <c r="O1529" s="118">
        <v>0</v>
      </c>
      <c r="P1529" s="127">
        <f>+O1529+N1529+M1529+L1529+K1529</f>
        <v>180</v>
      </c>
      <c r="Q1529" s="34" t="s">
        <v>377</v>
      </c>
      <c r="R1529" s="34" t="str">
        <f>VLOOKUP(C1529,'PUR-PARTY MASTER'!$B$4:$E$2000,4,FALSE)</f>
        <v>Local</v>
      </c>
      <c r="S1529" s="11" t="s">
        <v>4120</v>
      </c>
    </row>
    <row r="1530" spans="1:19" x14ac:dyDescent="0.2">
      <c r="A1530" s="51">
        <v>43770</v>
      </c>
      <c r="B1530" s="11">
        <v>6</v>
      </c>
      <c r="C1530" s="35" t="s">
        <v>493</v>
      </c>
      <c r="F1530" s="134">
        <v>3737</v>
      </c>
      <c r="G1530" s="37">
        <v>43771</v>
      </c>
      <c r="H1530" s="34">
        <v>85129000</v>
      </c>
      <c r="I1530" s="39">
        <f>VLOOKUP(H1530,'[2]PUR-HSN MASTER'!$A$4:$E$5052,5,FALSE)</f>
        <v>18</v>
      </c>
      <c r="J1530" s="34">
        <v>600</v>
      </c>
      <c r="K1530" s="126">
        <v>13794</v>
      </c>
      <c r="L1530" s="118">
        <f t="shared" si="12"/>
        <v>0</v>
      </c>
      <c r="M1530" s="118">
        <f t="shared" si="13"/>
        <v>1241.46</v>
      </c>
      <c r="N1530" s="118">
        <f t="shared" si="14"/>
        <v>1241.46</v>
      </c>
      <c r="O1530" s="118">
        <v>0</v>
      </c>
      <c r="P1530" s="127">
        <f>+O1530+N1530+M1530+L1530+K1530+0.08</f>
        <v>16277</v>
      </c>
      <c r="Q1530" s="34" t="s">
        <v>410</v>
      </c>
      <c r="R1530" s="34" t="str">
        <f>VLOOKUP(C1530,'PUR-PARTY MASTER'!$B$4:$E$2000,4,FALSE)</f>
        <v>Local</v>
      </c>
      <c r="S1530" s="11" t="s">
        <v>4120</v>
      </c>
    </row>
    <row r="1531" spans="1:19" x14ac:dyDescent="0.2">
      <c r="A1531" s="51">
        <v>43770</v>
      </c>
      <c r="B1531" s="11">
        <v>7</v>
      </c>
      <c r="C1531" s="34" t="s">
        <v>601</v>
      </c>
      <c r="F1531" s="134">
        <v>5355</v>
      </c>
      <c r="G1531" s="37">
        <v>43771</v>
      </c>
      <c r="H1531" s="34">
        <v>87082900</v>
      </c>
      <c r="I1531" s="39">
        <f>VLOOKUP(H1531,'[2]PUR-HSN MASTER'!$A$4:$E$5052,5,FALSE)</f>
        <v>28</v>
      </c>
      <c r="J1531" s="34">
        <v>540</v>
      </c>
      <c r="K1531" s="39">
        <v>22987.8</v>
      </c>
      <c r="L1531" s="118">
        <f t="shared" si="12"/>
        <v>0</v>
      </c>
      <c r="M1531" s="118">
        <f t="shared" si="13"/>
        <v>3218.2919999999999</v>
      </c>
      <c r="N1531" s="118">
        <f t="shared" si="14"/>
        <v>3218.2919999999999</v>
      </c>
      <c r="O1531" s="118">
        <v>0</v>
      </c>
      <c r="P1531" s="127">
        <f>+O1531+N1531+M1531+L1531+K1531</f>
        <v>29424.383999999998</v>
      </c>
      <c r="Q1531" s="34" t="s">
        <v>410</v>
      </c>
      <c r="R1531" s="34" t="str">
        <f>VLOOKUP(C1531,'PUR-PARTY MASTER'!$B$4:$E$2000,4,FALSE)</f>
        <v>Local</v>
      </c>
      <c r="S1531" s="11" t="s">
        <v>4120</v>
      </c>
    </row>
    <row r="1532" spans="1:19" x14ac:dyDescent="0.2">
      <c r="A1532" s="51">
        <v>43770</v>
      </c>
      <c r="B1532" s="11">
        <v>8</v>
      </c>
      <c r="C1532" s="35" t="s">
        <v>476</v>
      </c>
      <c r="F1532" s="136" t="s">
        <v>4445</v>
      </c>
      <c r="G1532" s="37">
        <v>43770</v>
      </c>
      <c r="H1532" s="34" t="s">
        <v>703</v>
      </c>
      <c r="I1532" s="39">
        <f>VLOOKUP(H1532,'[2]PUR-HSN MASTER'!$A$4:$E$5052,5,FALSE)</f>
        <v>28</v>
      </c>
      <c r="J1532" s="34"/>
      <c r="K1532" s="126">
        <v>376945</v>
      </c>
      <c r="L1532" s="118">
        <f t="shared" si="12"/>
        <v>0</v>
      </c>
      <c r="M1532" s="118">
        <f t="shared" si="13"/>
        <v>52772.299999999996</v>
      </c>
      <c r="N1532" s="118">
        <f t="shared" si="14"/>
        <v>52772.299999999996</v>
      </c>
      <c r="O1532" s="118">
        <v>0</v>
      </c>
      <c r="P1532" s="127">
        <f>+O1532+N1532+M1532+L1532+K1532</f>
        <v>482489.59999999998</v>
      </c>
      <c r="Q1532" s="34" t="s">
        <v>411</v>
      </c>
      <c r="R1532" s="34" t="str">
        <f>VLOOKUP(C1532,'PUR-PARTY MASTER'!$B$4:$E$2000,4,FALSE)</f>
        <v>Local</v>
      </c>
      <c r="S1532" s="11" t="s">
        <v>4120</v>
      </c>
    </row>
    <row r="1533" spans="1:19" x14ac:dyDescent="0.2">
      <c r="A1533" s="51">
        <v>43770</v>
      </c>
      <c r="B1533" s="11">
        <v>9</v>
      </c>
      <c r="C1533" s="35" t="s">
        <v>479</v>
      </c>
      <c r="F1533" s="134">
        <v>1394</v>
      </c>
      <c r="G1533" s="37">
        <v>43773</v>
      </c>
      <c r="H1533" s="34">
        <v>76071994</v>
      </c>
      <c r="I1533" s="39">
        <f>VLOOKUP(H1533,'[2]PUR-HSN MASTER'!$A$4:$E$5052,5,FALSE)</f>
        <v>18</v>
      </c>
      <c r="J1533" s="34">
        <v>800</v>
      </c>
      <c r="K1533" s="126">
        <v>6740</v>
      </c>
      <c r="L1533" s="118">
        <f t="shared" si="12"/>
        <v>0</v>
      </c>
      <c r="M1533" s="118">
        <f t="shared" si="13"/>
        <v>606.6</v>
      </c>
      <c r="N1533" s="118">
        <f t="shared" si="14"/>
        <v>606.6</v>
      </c>
      <c r="O1533" s="118">
        <v>0</v>
      </c>
      <c r="P1533" s="127">
        <f>+O1533+N1533+M1533+L1533+K1533</f>
        <v>7953.2</v>
      </c>
      <c r="Q1533" s="34" t="s">
        <v>410</v>
      </c>
      <c r="R1533" s="34" t="str">
        <f>VLOOKUP(C1533,'PUR-PARTY MASTER'!$B$4:$E$2000,4,FALSE)</f>
        <v>Local</v>
      </c>
      <c r="S1533" s="11" t="s">
        <v>4120</v>
      </c>
    </row>
    <row r="1534" spans="1:19" x14ac:dyDescent="0.2">
      <c r="A1534" s="51">
        <v>43770</v>
      </c>
      <c r="B1534" s="11">
        <v>10</v>
      </c>
      <c r="C1534" s="35" t="s">
        <v>517</v>
      </c>
      <c r="F1534" s="134">
        <v>19622513</v>
      </c>
      <c r="G1534" s="37">
        <v>43771</v>
      </c>
      <c r="H1534" s="34">
        <v>87081090</v>
      </c>
      <c r="I1534" s="39">
        <f>VLOOKUP(H1534,'[2]PUR-HSN MASTER'!$A$4:$E$5052,5,FALSE)</f>
        <v>28</v>
      </c>
      <c r="J1534" s="34">
        <v>32</v>
      </c>
      <c r="K1534" s="126">
        <v>25474.22</v>
      </c>
      <c r="L1534" s="118">
        <f>+IF(R1534="Oms",K1534/100*I1534,0)+0.01</f>
        <v>7132.7916000000005</v>
      </c>
      <c r="M1534" s="118">
        <f t="shared" si="13"/>
        <v>0</v>
      </c>
      <c r="N1534" s="118">
        <f t="shared" si="14"/>
        <v>0</v>
      </c>
      <c r="O1534" s="118">
        <v>0</v>
      </c>
      <c r="P1534" s="127">
        <f>+O1534+N1534+M1534+L1534+K1534</f>
        <v>32607.011600000002</v>
      </c>
      <c r="Q1534" s="34" t="s">
        <v>410</v>
      </c>
      <c r="R1534" s="34" t="str">
        <f>VLOOKUP(C1534,'PUR-PARTY MASTER'!$B$4:$E$2000,4,FALSE)</f>
        <v>Oms</v>
      </c>
      <c r="S1534" s="11" t="s">
        <v>4120</v>
      </c>
    </row>
    <row r="1535" spans="1:19" x14ac:dyDescent="0.2">
      <c r="A1535" s="51">
        <v>43770</v>
      </c>
      <c r="B1535" s="11">
        <v>11</v>
      </c>
      <c r="C1535" s="35" t="s">
        <v>473</v>
      </c>
      <c r="F1535" s="136" t="s">
        <v>4446</v>
      </c>
      <c r="G1535" s="37">
        <v>43773</v>
      </c>
      <c r="H1535" s="34">
        <v>87089900</v>
      </c>
      <c r="I1535" s="39">
        <f>VLOOKUP(H1535,'[2]PUR-HSN MASTER'!$A$4:$E$5052,5,FALSE)</f>
        <v>28</v>
      </c>
      <c r="J1535" s="34">
        <v>40</v>
      </c>
      <c r="K1535" s="126">
        <v>6412</v>
      </c>
      <c r="L1535" s="118">
        <f>+IF(R1535="Oms",K1535/100*I1535,0)</f>
        <v>0</v>
      </c>
      <c r="M1535" s="118">
        <f>+IF(R1535="local",K1535/100*I1535/2,0)+0.32</f>
        <v>898.00000000000011</v>
      </c>
      <c r="N1535" s="118">
        <f>+IF(R1535="local",K1535/100*I1535/2,0)+0.32</f>
        <v>898.00000000000011</v>
      </c>
      <c r="O1535" s="118">
        <v>0</v>
      </c>
      <c r="P1535" s="127">
        <f>+O1535+N1535+M1535+L1535+K1535</f>
        <v>8208</v>
      </c>
      <c r="Q1535" s="34" t="s">
        <v>410</v>
      </c>
      <c r="R1535" s="34" t="str">
        <f>VLOOKUP(C1535,'PUR-PARTY MASTER'!$B$4:$E$2000,4,FALSE)</f>
        <v>Local</v>
      </c>
      <c r="S1535" s="11" t="s">
        <v>4120</v>
      </c>
    </row>
    <row r="1536" spans="1:19" x14ac:dyDescent="0.2">
      <c r="A1536" s="51">
        <v>43770</v>
      </c>
      <c r="B1536" s="11">
        <v>12</v>
      </c>
      <c r="C1536" s="35" t="s">
        <v>473</v>
      </c>
      <c r="F1536" s="136" t="s">
        <v>4447</v>
      </c>
      <c r="G1536" s="37">
        <v>43773</v>
      </c>
      <c r="H1536" s="34">
        <v>87089900</v>
      </c>
      <c r="I1536" s="39">
        <f>VLOOKUP(H1536,'[2]PUR-HSN MASTER'!$A$4:$E$5052,5,FALSE)</f>
        <v>28</v>
      </c>
      <c r="J1536" s="34">
        <v>40</v>
      </c>
      <c r="K1536" s="126">
        <v>3333.9</v>
      </c>
      <c r="L1536" s="118">
        <f t="shared" ref="L1536:L1542" si="15">+IF(R1536="Oms",K1536/100*I1536,0)</f>
        <v>0</v>
      </c>
      <c r="M1536" s="118">
        <f>+IF(R1536="local",K1536/100*I1536/2,0)+0.25</f>
        <v>466.99599999999998</v>
      </c>
      <c r="N1536" s="118">
        <f>+IF(R1536="local",K1536/100*I1536/2,0)+0.25</f>
        <v>466.99599999999998</v>
      </c>
      <c r="O1536" s="118">
        <v>0</v>
      </c>
      <c r="P1536" s="127">
        <f>+O1536+N1536+M1536+L1536+K1536+0.01</f>
        <v>4267.902</v>
      </c>
      <c r="Q1536" s="34" t="s">
        <v>410</v>
      </c>
      <c r="R1536" s="34" t="str">
        <f>VLOOKUP(C1536,'PUR-PARTY MASTER'!$B$4:$E$2000,4,FALSE)</f>
        <v>Local</v>
      </c>
      <c r="S1536" s="11" t="s">
        <v>4120</v>
      </c>
    </row>
    <row r="1537" spans="1:19" x14ac:dyDescent="0.2">
      <c r="A1537" s="51">
        <v>43770</v>
      </c>
      <c r="B1537" s="11">
        <v>13</v>
      </c>
      <c r="C1537" s="35" t="s">
        <v>554</v>
      </c>
      <c r="F1537" s="134">
        <v>13767</v>
      </c>
      <c r="G1537" s="37">
        <v>43773</v>
      </c>
      <c r="H1537" s="34">
        <v>87141900</v>
      </c>
      <c r="I1537" s="39">
        <f>VLOOKUP(H1537,'[2]PUR-HSN MASTER'!$A$4:$E$5052,5,FALSE)</f>
        <v>28</v>
      </c>
      <c r="J1537" s="34">
        <v>3500</v>
      </c>
      <c r="K1537" s="126">
        <v>9841</v>
      </c>
      <c r="L1537" s="118">
        <f t="shared" si="15"/>
        <v>0</v>
      </c>
      <c r="M1537" s="118">
        <f>+IF(R1537="local",K1537/100*I1537/2,0)</f>
        <v>1377.74</v>
      </c>
      <c r="N1537" s="118">
        <f>+IF(R1537="local",K1537/100*I1537/2,0)</f>
        <v>1377.74</v>
      </c>
      <c r="O1537" s="118">
        <v>0</v>
      </c>
      <c r="P1537" s="127">
        <f>+O1537+N1537+M1537+L1537+K1537</f>
        <v>12596.48</v>
      </c>
      <c r="Q1537" s="34" t="s">
        <v>410</v>
      </c>
      <c r="R1537" s="34" t="str">
        <f>VLOOKUP(C1537,'PUR-PARTY MASTER'!$B$4:$E$2000,4,FALSE)</f>
        <v>Local</v>
      </c>
      <c r="S1537" s="11" t="s">
        <v>4120</v>
      </c>
    </row>
    <row r="1538" spans="1:19" x14ac:dyDescent="0.2">
      <c r="A1538" s="51">
        <v>43770</v>
      </c>
      <c r="B1538" s="11">
        <v>14</v>
      </c>
      <c r="C1538" s="35" t="s">
        <v>495</v>
      </c>
      <c r="F1538" s="134">
        <v>5510062357</v>
      </c>
      <c r="G1538" s="37">
        <v>43773</v>
      </c>
      <c r="H1538" s="34">
        <v>85129000</v>
      </c>
      <c r="I1538" s="39">
        <f>VLOOKUP(H1538,'[2]PUR-HSN MASTER'!$A$4:$E$5052,5,FALSE)</f>
        <v>18</v>
      </c>
      <c r="J1538" s="34">
        <v>1920</v>
      </c>
      <c r="K1538" s="126">
        <v>21235.200000000001</v>
      </c>
      <c r="L1538" s="118">
        <f t="shared" si="15"/>
        <v>0</v>
      </c>
      <c r="M1538" s="118">
        <f>+IF(R1538="local",K1538/100*I1538/2,0)-0.01</f>
        <v>1911.1580000000001</v>
      </c>
      <c r="N1538" s="118">
        <f>+IF(R1538="local",K1538/100*I1538/2,0)-0.01</f>
        <v>1911.1580000000001</v>
      </c>
      <c r="O1538" s="118">
        <v>0</v>
      </c>
      <c r="P1538" s="127">
        <f>+O1538+N1538+M1538+L1538+K1538</f>
        <v>25057.516</v>
      </c>
      <c r="Q1538" s="34" t="s">
        <v>410</v>
      </c>
      <c r="R1538" s="34" t="str">
        <f>VLOOKUP(C1538,'PUR-PARTY MASTER'!$B$4:$E$2000,4,FALSE)</f>
        <v>Local</v>
      </c>
      <c r="S1538" s="11" t="s">
        <v>4120</v>
      </c>
    </row>
    <row r="1539" spans="1:19" x14ac:dyDescent="0.2">
      <c r="A1539" s="51">
        <v>43770</v>
      </c>
      <c r="B1539" s="11">
        <v>15</v>
      </c>
      <c r="C1539" s="35" t="s">
        <v>609</v>
      </c>
      <c r="F1539" s="136" t="s">
        <v>4448</v>
      </c>
      <c r="G1539" s="37">
        <v>43770</v>
      </c>
      <c r="H1539" s="34">
        <v>998519</v>
      </c>
      <c r="I1539" s="39">
        <f>VLOOKUP(H1539,'[2]PUR-HSN MASTER'!$A$4:$E$5052,5,FALSE)</f>
        <v>18</v>
      </c>
      <c r="J1539" s="34"/>
      <c r="K1539" s="126">
        <v>26697</v>
      </c>
      <c r="L1539" s="118">
        <f t="shared" si="15"/>
        <v>0</v>
      </c>
      <c r="M1539" s="118">
        <f t="shared" ref="M1539:M1546" si="16">+IF(R1539="local",K1539/100*I1539/2,0)</f>
        <v>2402.7300000000005</v>
      </c>
      <c r="N1539" s="118">
        <f t="shared" ref="N1539:N1546" si="17">+IF(R1539="local",K1539/100*I1539/2,0)</f>
        <v>2402.7300000000005</v>
      </c>
      <c r="O1539" s="118">
        <v>0</v>
      </c>
      <c r="P1539" s="127">
        <f>+O1539+N1539+M1539+L1539+K1539-0.46</f>
        <v>31502</v>
      </c>
      <c r="Q1539" s="34" t="s">
        <v>411</v>
      </c>
      <c r="R1539" s="34" t="str">
        <f>VLOOKUP(C1539,'PUR-PARTY MASTER'!$B$4:$E$2000,4,FALSE)</f>
        <v>Local</v>
      </c>
      <c r="S1539" s="11" t="s">
        <v>4120</v>
      </c>
    </row>
    <row r="1540" spans="1:19" x14ac:dyDescent="0.2">
      <c r="A1540" s="51">
        <v>43770</v>
      </c>
      <c r="B1540" s="11">
        <v>16</v>
      </c>
      <c r="C1540" s="35" t="s">
        <v>609</v>
      </c>
      <c r="F1540" s="136" t="s">
        <v>4449</v>
      </c>
      <c r="G1540" s="37">
        <v>43770</v>
      </c>
      <c r="H1540" s="34">
        <v>998519</v>
      </c>
      <c r="I1540" s="39">
        <f>VLOOKUP(H1540,'[2]PUR-HSN MASTER'!$A$4:$E$5052,5,FALSE)</f>
        <v>18</v>
      </c>
      <c r="J1540" s="34"/>
      <c r="K1540" s="126">
        <v>801135</v>
      </c>
      <c r="L1540" s="118">
        <f t="shared" si="15"/>
        <v>0</v>
      </c>
      <c r="M1540" s="118">
        <f t="shared" si="16"/>
        <v>72102.150000000009</v>
      </c>
      <c r="N1540" s="118">
        <f t="shared" si="17"/>
        <v>72102.150000000009</v>
      </c>
      <c r="O1540" s="118">
        <v>0</v>
      </c>
      <c r="P1540" s="127">
        <f>+O1540+N1540+M1540+L1540+K1540-0.3</f>
        <v>945339</v>
      </c>
      <c r="Q1540" s="34" t="s">
        <v>411</v>
      </c>
      <c r="R1540" s="34" t="str">
        <f>VLOOKUP(C1540,'PUR-PARTY MASTER'!$B$4:$E$2000,4,FALSE)</f>
        <v>Local</v>
      </c>
      <c r="S1540" s="11" t="s">
        <v>4120</v>
      </c>
    </row>
    <row r="1541" spans="1:19" x14ac:dyDescent="0.2">
      <c r="A1541" s="51">
        <v>43770</v>
      </c>
      <c r="B1541" s="11">
        <v>17</v>
      </c>
      <c r="C1541" s="35" t="s">
        <v>493</v>
      </c>
      <c r="F1541" s="134">
        <v>3555</v>
      </c>
      <c r="G1541" s="37">
        <v>43773</v>
      </c>
      <c r="H1541" s="34">
        <v>85129000</v>
      </c>
      <c r="I1541" s="39">
        <f>VLOOKUP(H1541,'[2]PUR-HSN MASTER'!$A$4:$E$5052,5,FALSE)</f>
        <v>18</v>
      </c>
      <c r="J1541" s="34">
        <v>2550</v>
      </c>
      <c r="K1541" s="126">
        <v>58624.5</v>
      </c>
      <c r="L1541" s="118">
        <f t="shared" si="15"/>
        <v>0</v>
      </c>
      <c r="M1541" s="118">
        <f t="shared" si="16"/>
        <v>5276.2049999999999</v>
      </c>
      <c r="N1541" s="118">
        <f t="shared" si="17"/>
        <v>5276.2049999999999</v>
      </c>
      <c r="O1541" s="118">
        <v>0</v>
      </c>
      <c r="P1541" s="127">
        <f>+O1541+N1541+M1541+L1541+K1541+0.09</f>
        <v>69177</v>
      </c>
      <c r="Q1541" s="34" t="s">
        <v>410</v>
      </c>
      <c r="R1541" s="34" t="str">
        <f>VLOOKUP(C1541,'PUR-PARTY MASTER'!$B$4:$E$2000,4,FALSE)</f>
        <v>Local</v>
      </c>
      <c r="S1541" s="11" t="s">
        <v>4120</v>
      </c>
    </row>
    <row r="1542" spans="1:19" x14ac:dyDescent="0.2">
      <c r="A1542" s="51">
        <v>43770</v>
      </c>
      <c r="B1542" s="11">
        <v>18</v>
      </c>
      <c r="C1542" s="35" t="s">
        <v>495</v>
      </c>
      <c r="F1542" s="134">
        <v>5510062451</v>
      </c>
      <c r="G1542" s="37">
        <v>43774</v>
      </c>
      <c r="H1542" s="34">
        <v>85129000</v>
      </c>
      <c r="I1542" s="39">
        <f>VLOOKUP(H1542,'[2]PUR-HSN MASTER'!$A$4:$E$5052,5,FALSE)</f>
        <v>18</v>
      </c>
      <c r="J1542" s="34">
        <v>5760</v>
      </c>
      <c r="K1542" s="126">
        <v>63705.599999999999</v>
      </c>
      <c r="L1542" s="118">
        <f t="shared" si="15"/>
        <v>0</v>
      </c>
      <c r="M1542" s="118">
        <f t="shared" si="16"/>
        <v>5733.5040000000008</v>
      </c>
      <c r="N1542" s="118">
        <f t="shared" si="17"/>
        <v>5733.5040000000008</v>
      </c>
      <c r="O1542" s="118">
        <v>0</v>
      </c>
      <c r="P1542" s="127">
        <f>+O1542+N1542+M1542+L1542+K1542-0.01</f>
        <v>75172.598000000013</v>
      </c>
      <c r="Q1542" s="34" t="s">
        <v>410</v>
      </c>
      <c r="R1542" s="34" t="str">
        <f>VLOOKUP(C1542,'PUR-PARTY MASTER'!$B$4:$E$2000,4,FALSE)</f>
        <v>Local</v>
      </c>
      <c r="S1542" s="11" t="s">
        <v>4120</v>
      </c>
    </row>
    <row r="1543" spans="1:19" x14ac:dyDescent="0.2">
      <c r="A1543" s="51">
        <v>43770</v>
      </c>
      <c r="B1543" s="11">
        <v>19</v>
      </c>
      <c r="C1543" s="632" t="s">
        <v>741</v>
      </c>
      <c r="F1543" s="136">
        <v>2240112879</v>
      </c>
      <c r="G1543" s="37">
        <v>43774</v>
      </c>
      <c r="H1543" s="34">
        <v>87142090</v>
      </c>
      <c r="I1543" s="39">
        <f>VLOOKUP(H1543,'[2]PUR-HSN MASTER'!$A$4:$E$5052,5,FALSE)</f>
        <v>28</v>
      </c>
      <c r="J1543" s="34">
        <v>1080</v>
      </c>
      <c r="K1543" s="40">
        <v>9234</v>
      </c>
      <c r="L1543" s="39">
        <v>0</v>
      </c>
      <c r="M1543" s="118">
        <f t="shared" si="16"/>
        <v>1292.76</v>
      </c>
      <c r="N1543" s="118">
        <f t="shared" si="17"/>
        <v>1292.76</v>
      </c>
      <c r="O1543" s="118">
        <v>0</v>
      </c>
      <c r="P1543" s="127">
        <f>+O1543+N1543+M1543+L1543+K1543-0.01</f>
        <v>11819.51</v>
      </c>
      <c r="Q1543" s="34" t="s">
        <v>410</v>
      </c>
      <c r="R1543" s="34" t="str">
        <f>VLOOKUP(C1543,'PUR-PARTY MASTER'!$B$4:$E$2000,4,FALSE)</f>
        <v>Local</v>
      </c>
      <c r="S1543" s="11" t="s">
        <v>4120</v>
      </c>
    </row>
    <row r="1544" spans="1:19" x14ac:dyDescent="0.2">
      <c r="A1544" s="51">
        <v>43770</v>
      </c>
      <c r="B1544" s="11">
        <v>20</v>
      </c>
      <c r="C1544" s="632" t="s">
        <v>741</v>
      </c>
      <c r="F1544" s="136">
        <v>2240112882</v>
      </c>
      <c r="G1544" s="37">
        <v>43774</v>
      </c>
      <c r="H1544" s="34">
        <v>87142090</v>
      </c>
      <c r="I1544" s="39">
        <f>VLOOKUP(H1544,'[2]PUR-HSN MASTER'!$A$4:$E$5052,5,FALSE)</f>
        <v>28</v>
      </c>
      <c r="J1544" s="34">
        <v>360</v>
      </c>
      <c r="K1544" s="40">
        <v>10580.4</v>
      </c>
      <c r="L1544" s="39">
        <v>0</v>
      </c>
      <c r="M1544" s="118">
        <f t="shared" si="16"/>
        <v>1481.2560000000001</v>
      </c>
      <c r="N1544" s="118">
        <f t="shared" si="17"/>
        <v>1481.2560000000001</v>
      </c>
      <c r="O1544" s="118">
        <v>0</v>
      </c>
      <c r="P1544" s="127">
        <f>+O1544+N1544+M1544+L1544+K1544+0.01</f>
        <v>13542.922</v>
      </c>
      <c r="Q1544" s="34" t="s">
        <v>410</v>
      </c>
      <c r="R1544" s="34" t="str">
        <f>VLOOKUP(C1544,'PUR-PARTY MASTER'!$B$4:$E$2000,4,FALSE)</f>
        <v>Local</v>
      </c>
      <c r="S1544" s="11" t="s">
        <v>4120</v>
      </c>
    </row>
    <row r="1545" spans="1:19" x14ac:dyDescent="0.2">
      <c r="A1545" s="51">
        <v>43770</v>
      </c>
      <c r="B1545" s="11">
        <v>21</v>
      </c>
      <c r="C1545" s="34" t="s">
        <v>829</v>
      </c>
      <c r="F1545" s="134">
        <v>1850</v>
      </c>
      <c r="G1545" s="37">
        <v>43775</v>
      </c>
      <c r="H1545" s="34">
        <v>3208</v>
      </c>
      <c r="I1545" s="39">
        <f>VLOOKUP(H1545,'[2]PUR-HSN MASTER'!$A$4:$E$5052,5,FALSE)</f>
        <v>18</v>
      </c>
      <c r="J1545" s="34">
        <v>2</v>
      </c>
      <c r="K1545" s="40">
        <v>7400</v>
      </c>
      <c r="L1545" s="118">
        <f>+IF(R1545="Oms",K1545/100*I1545,0)</f>
        <v>0</v>
      </c>
      <c r="M1545" s="118">
        <f t="shared" si="16"/>
        <v>666</v>
      </c>
      <c r="N1545" s="118">
        <f t="shared" si="17"/>
        <v>666</v>
      </c>
      <c r="O1545" s="118">
        <v>0</v>
      </c>
      <c r="P1545" s="127">
        <f>+O1545+N1545+M1545+L1545+K1545</f>
        <v>8732</v>
      </c>
      <c r="Q1545" s="34" t="s">
        <v>410</v>
      </c>
      <c r="R1545" s="34" t="str">
        <f>VLOOKUP(C1545,'PUR-PARTY MASTER'!$B$4:$E$2000,4,FALSE)</f>
        <v>Local</v>
      </c>
      <c r="S1545" s="11" t="s">
        <v>4120</v>
      </c>
    </row>
    <row r="1546" spans="1:19" x14ac:dyDescent="0.2">
      <c r="A1546" s="51">
        <v>43770</v>
      </c>
      <c r="C1546" s="34" t="s">
        <v>829</v>
      </c>
      <c r="F1546" s="134">
        <v>1850</v>
      </c>
      <c r="G1546" s="37">
        <v>43775</v>
      </c>
      <c r="H1546" s="34">
        <v>68052090</v>
      </c>
      <c r="I1546" s="39">
        <f>VLOOKUP(H1546,'[2]PUR-HSN MASTER'!$A$4:$E$5052,5,FALSE)</f>
        <v>18</v>
      </c>
      <c r="J1546" s="34">
        <v>6</v>
      </c>
      <c r="K1546" s="40">
        <v>648</v>
      </c>
      <c r="L1546" s="118">
        <f>+IF(R1546="Oms",K1546/100*I1546,0)</f>
        <v>0</v>
      </c>
      <c r="M1546" s="118">
        <f t="shared" si="16"/>
        <v>58.320000000000007</v>
      </c>
      <c r="N1546" s="118">
        <f t="shared" si="17"/>
        <v>58.320000000000007</v>
      </c>
      <c r="O1546" s="118">
        <v>0</v>
      </c>
      <c r="P1546" s="127">
        <f>+O1546+N1546+M1546+L1546+K1546+0.36</f>
        <v>765</v>
      </c>
      <c r="Q1546" s="34" t="s">
        <v>410</v>
      </c>
      <c r="R1546" s="34" t="str">
        <f>VLOOKUP(C1546,'PUR-PARTY MASTER'!$B$4:$E$2000,4,FALSE)</f>
        <v>Local</v>
      </c>
      <c r="S1546" s="11" t="s">
        <v>4120</v>
      </c>
    </row>
    <row r="1547" spans="1:19" x14ac:dyDescent="0.2">
      <c r="A1547" s="51">
        <v>43770</v>
      </c>
      <c r="B1547" s="11">
        <v>22</v>
      </c>
      <c r="C1547" s="35" t="s">
        <v>473</v>
      </c>
      <c r="F1547" s="136" t="s">
        <v>4450</v>
      </c>
      <c r="G1547" s="37">
        <v>43775</v>
      </c>
      <c r="H1547" s="34">
        <v>87089900</v>
      </c>
      <c r="I1547" s="39">
        <f>VLOOKUP(H1547,'[2]PUR-HSN MASTER'!$A$4:$E$5052,5,FALSE)</f>
        <v>28</v>
      </c>
      <c r="J1547" s="34">
        <v>100</v>
      </c>
      <c r="K1547" s="126">
        <v>16030</v>
      </c>
      <c r="L1547" s="118">
        <f>+IF(R1547="Oms",K1547/100*I1547,0)</f>
        <v>0</v>
      </c>
      <c r="M1547" s="118">
        <f>+IF(R1547="local",K1547/100*I1547/2,0)-0.2</f>
        <v>2244.0000000000005</v>
      </c>
      <c r="N1547" s="118">
        <f>+IF(R1547="local",K1547/100*I1547/2,0)-0.2</f>
        <v>2244.0000000000005</v>
      </c>
      <c r="O1547" s="118">
        <v>0</v>
      </c>
      <c r="P1547" s="127">
        <f t="shared" ref="P1547:P1552" si="18">+O1547+N1547+M1547+L1547+K1547</f>
        <v>20518</v>
      </c>
      <c r="Q1547" s="34" t="s">
        <v>410</v>
      </c>
      <c r="R1547" s="34" t="str">
        <f>VLOOKUP(C1547,'PUR-PARTY MASTER'!$B$4:$E$2000,4,FALSE)</f>
        <v>Local</v>
      </c>
      <c r="S1547" s="11" t="s">
        <v>4120</v>
      </c>
    </row>
    <row r="1548" spans="1:19" x14ac:dyDescent="0.2">
      <c r="A1548" s="51">
        <v>43770</v>
      </c>
      <c r="B1548" s="11">
        <v>23</v>
      </c>
      <c r="C1548" s="35" t="s">
        <v>551</v>
      </c>
      <c r="F1548" s="136" t="s">
        <v>4451</v>
      </c>
      <c r="G1548" s="37">
        <v>43774</v>
      </c>
      <c r="H1548" s="34">
        <v>8443</v>
      </c>
      <c r="I1548" s="39">
        <f>VLOOKUP(H1548,'[2]PUR-HSN MASTER'!$A$4:$E$5052,5,FALSE)</f>
        <v>18</v>
      </c>
      <c r="J1548" s="38">
        <v>1</v>
      </c>
      <c r="K1548" s="40">
        <v>150</v>
      </c>
      <c r="L1548" s="118">
        <f>+IF(R1548="Oms",K1548/100*I1548,0)</f>
        <v>0</v>
      </c>
      <c r="M1548" s="118">
        <f t="shared" ref="M1548:M1560" si="19">+IF(R1548="local",K1548/100*I1548/2,0)</f>
        <v>13.5</v>
      </c>
      <c r="N1548" s="118">
        <f t="shared" ref="N1548:N1560" si="20">+IF(R1548="local",K1548/100*I1548/2,0)</f>
        <v>13.5</v>
      </c>
      <c r="O1548" s="118">
        <v>0</v>
      </c>
      <c r="P1548" s="127">
        <f t="shared" si="18"/>
        <v>177</v>
      </c>
      <c r="Q1548" s="34" t="s">
        <v>410</v>
      </c>
      <c r="R1548" s="34" t="str">
        <f>VLOOKUP(C1548,'PUR-PARTY MASTER'!$B$4:$E$2000,4,FALSE)</f>
        <v>Local</v>
      </c>
      <c r="S1548" s="11" t="s">
        <v>4120</v>
      </c>
    </row>
    <row r="1549" spans="1:19" x14ac:dyDescent="0.2">
      <c r="A1549" s="51">
        <v>43770</v>
      </c>
      <c r="B1549" s="11">
        <v>24</v>
      </c>
      <c r="C1549" s="35" t="s">
        <v>591</v>
      </c>
      <c r="F1549" s="136" t="s">
        <v>4452</v>
      </c>
      <c r="G1549" s="37">
        <v>43775</v>
      </c>
      <c r="H1549" s="34">
        <v>39073090</v>
      </c>
      <c r="I1549" s="39">
        <f>VLOOKUP(H1549,'[2]PUR-HSN MASTER'!$A$4:$E$5052,5,FALSE)</f>
        <v>18</v>
      </c>
      <c r="J1549" s="34">
        <v>54</v>
      </c>
      <c r="K1549" s="40">
        <v>40500</v>
      </c>
      <c r="L1549" s="39">
        <v>0</v>
      </c>
      <c r="M1549" s="118">
        <f t="shared" si="19"/>
        <v>3645</v>
      </c>
      <c r="N1549" s="118">
        <f t="shared" si="20"/>
        <v>3645</v>
      </c>
      <c r="O1549" s="118">
        <v>0</v>
      </c>
      <c r="P1549" s="127">
        <f t="shared" si="18"/>
        <v>47790</v>
      </c>
      <c r="Q1549" s="34" t="s">
        <v>410</v>
      </c>
      <c r="R1549" s="34" t="str">
        <f>VLOOKUP(C1549,'PUR-PARTY MASTER'!$B$4:$E$2000,4,FALSE)</f>
        <v>Local</v>
      </c>
      <c r="S1549" s="11" t="s">
        <v>4120</v>
      </c>
    </row>
    <row r="1550" spans="1:19" x14ac:dyDescent="0.2">
      <c r="A1550" s="51">
        <v>43770</v>
      </c>
      <c r="B1550" s="11">
        <v>25</v>
      </c>
      <c r="C1550" s="35" t="s">
        <v>479</v>
      </c>
      <c r="F1550" s="134">
        <v>1403</v>
      </c>
      <c r="G1550" s="37">
        <v>43776</v>
      </c>
      <c r="H1550" s="34">
        <v>76071994</v>
      </c>
      <c r="I1550" s="39">
        <f>VLOOKUP(H1550,'[2]PUR-HSN MASTER'!$A$4:$E$5052,5,FALSE)</f>
        <v>18</v>
      </c>
      <c r="J1550" s="34">
        <v>500</v>
      </c>
      <c r="K1550" s="126">
        <v>6410</v>
      </c>
      <c r="L1550" s="118">
        <f>+IF(R1550="Oms",K1550/100*I1550,0)</f>
        <v>0</v>
      </c>
      <c r="M1550" s="118">
        <f t="shared" si="19"/>
        <v>576.9</v>
      </c>
      <c r="N1550" s="118">
        <f t="shared" si="20"/>
        <v>576.9</v>
      </c>
      <c r="O1550" s="118">
        <v>0</v>
      </c>
      <c r="P1550" s="127">
        <f t="shared" si="18"/>
        <v>7563.8</v>
      </c>
      <c r="Q1550" s="34" t="s">
        <v>410</v>
      </c>
      <c r="R1550" s="34" t="str">
        <f>VLOOKUP(C1550,'PUR-PARTY MASTER'!$B$4:$E$2000,4,FALSE)</f>
        <v>Local</v>
      </c>
      <c r="S1550" s="11" t="s">
        <v>4120</v>
      </c>
    </row>
    <row r="1551" spans="1:19" x14ac:dyDescent="0.2">
      <c r="A1551" s="51">
        <v>43770</v>
      </c>
      <c r="B1551" s="11">
        <v>26</v>
      </c>
      <c r="C1551" s="35" t="s">
        <v>629</v>
      </c>
      <c r="F1551" s="134">
        <v>589</v>
      </c>
      <c r="G1551" s="37">
        <v>43774</v>
      </c>
      <c r="H1551" s="34">
        <v>998531</v>
      </c>
      <c r="I1551" s="39">
        <f>VLOOKUP(H1551,'[2]PUR-HSN MASTER'!$A$4:$E$5052,5,FALSE)</f>
        <v>18</v>
      </c>
      <c r="J1551" s="38">
        <v>1</v>
      </c>
      <c r="K1551" s="126">
        <v>1200</v>
      </c>
      <c r="L1551" s="118">
        <f>+IF(R1551="Oms",K1551/100*I1551,0)</f>
        <v>0</v>
      </c>
      <c r="M1551" s="118">
        <f t="shared" si="19"/>
        <v>108</v>
      </c>
      <c r="N1551" s="118">
        <f t="shared" si="20"/>
        <v>108</v>
      </c>
      <c r="O1551" s="118">
        <v>0</v>
      </c>
      <c r="P1551" s="127">
        <f t="shared" si="18"/>
        <v>1416</v>
      </c>
      <c r="Q1551" s="34" t="s">
        <v>411</v>
      </c>
      <c r="R1551" s="34" t="str">
        <f>VLOOKUP(C1551,'PUR-PARTY MASTER'!$B$4:$E$2000,4,FALSE)</f>
        <v>Local</v>
      </c>
      <c r="S1551" s="11" t="s">
        <v>4120</v>
      </c>
    </row>
    <row r="1552" spans="1:19" x14ac:dyDescent="0.2">
      <c r="A1552" s="51">
        <v>43770</v>
      </c>
      <c r="B1552" s="11">
        <v>27</v>
      </c>
      <c r="C1552" s="35" t="s">
        <v>495</v>
      </c>
      <c r="F1552" s="134">
        <v>5510062880</v>
      </c>
      <c r="G1552" s="37">
        <v>43777</v>
      </c>
      <c r="H1552" s="34">
        <v>85129000</v>
      </c>
      <c r="I1552" s="39">
        <f>VLOOKUP(H1552,'[2]PUR-HSN MASTER'!$A$4:$E$5052,5,FALSE)</f>
        <v>18</v>
      </c>
      <c r="J1552" s="34">
        <v>3600</v>
      </c>
      <c r="K1552" s="126">
        <v>39816</v>
      </c>
      <c r="L1552" s="118">
        <f>+IF(R1552="Oms",K1552/100*I1552,0)</f>
        <v>0</v>
      </c>
      <c r="M1552" s="118">
        <f t="shared" si="19"/>
        <v>3583.44</v>
      </c>
      <c r="N1552" s="118">
        <f t="shared" si="20"/>
        <v>3583.44</v>
      </c>
      <c r="O1552" s="118">
        <v>0</v>
      </c>
      <c r="P1552" s="127">
        <f t="shared" si="18"/>
        <v>46982.879999999997</v>
      </c>
      <c r="Q1552" s="34" t="s">
        <v>410</v>
      </c>
      <c r="R1552" s="34" t="str">
        <f>VLOOKUP(C1552,'PUR-PARTY MASTER'!$B$4:$E$2000,4,FALSE)</f>
        <v>Local</v>
      </c>
      <c r="S1552" s="11" t="s">
        <v>4120</v>
      </c>
    </row>
    <row r="1553" spans="1:19" x14ac:dyDescent="0.2">
      <c r="A1553" s="51">
        <v>43770</v>
      </c>
      <c r="B1553" s="11">
        <v>28</v>
      </c>
      <c r="C1553" s="34" t="s">
        <v>489</v>
      </c>
      <c r="F1553" s="134">
        <v>7887990609</v>
      </c>
      <c r="G1553" s="37">
        <v>43777</v>
      </c>
      <c r="H1553" s="34">
        <v>32082090</v>
      </c>
      <c r="I1553" s="39">
        <f>VLOOKUP(H1553,'[2]PUR-HSN MASTER'!$A$4:$E$5052,5,FALSE)</f>
        <v>18</v>
      </c>
      <c r="J1553" s="34">
        <v>16</v>
      </c>
      <c r="K1553" s="39">
        <v>11632</v>
      </c>
      <c r="L1553" s="118">
        <f>+IF(R1553="Oms",K1553/100*I1553,0)</f>
        <v>0</v>
      </c>
      <c r="M1553" s="118">
        <f t="shared" si="19"/>
        <v>1046.8799999999999</v>
      </c>
      <c r="N1553" s="118">
        <f t="shared" si="20"/>
        <v>1046.8799999999999</v>
      </c>
      <c r="O1553" s="118">
        <v>0</v>
      </c>
      <c r="P1553" s="127">
        <f>+O1553+N1553+M1553+L1553+K1553+0.24</f>
        <v>13726</v>
      </c>
      <c r="Q1553" s="34" t="s">
        <v>410</v>
      </c>
      <c r="R1553" s="34" t="str">
        <f>VLOOKUP(C1553,'PUR-PARTY MASTER'!$B$4:$E$2000,4,FALSE)</f>
        <v>Local</v>
      </c>
      <c r="S1553" s="11" t="s">
        <v>4120</v>
      </c>
    </row>
    <row r="1554" spans="1:19" x14ac:dyDescent="0.2">
      <c r="A1554" s="51">
        <v>43770</v>
      </c>
      <c r="B1554" s="11">
        <v>29</v>
      </c>
      <c r="C1554" s="34" t="s">
        <v>489</v>
      </c>
      <c r="F1554" s="134">
        <v>7887990637</v>
      </c>
      <c r="G1554" s="37">
        <v>43777</v>
      </c>
      <c r="H1554" s="34">
        <v>32082090</v>
      </c>
      <c r="I1554" s="39">
        <f>VLOOKUP(H1554,'[2]PUR-HSN MASTER'!$A$4:$E$5052,5,FALSE)</f>
        <v>18</v>
      </c>
      <c r="J1554" s="34">
        <v>16</v>
      </c>
      <c r="K1554" s="39">
        <v>8800</v>
      </c>
      <c r="L1554" s="118">
        <f>+IF(R1554="Oms",K1554/100*I1554,0)</f>
        <v>0</v>
      </c>
      <c r="M1554" s="118">
        <f t="shared" si="19"/>
        <v>792</v>
      </c>
      <c r="N1554" s="118">
        <f t="shared" si="20"/>
        <v>792</v>
      </c>
      <c r="O1554" s="118">
        <v>0</v>
      </c>
      <c r="P1554" s="127">
        <f>+O1554+N1554+M1554+L1554+K1554</f>
        <v>10384</v>
      </c>
      <c r="Q1554" s="34" t="s">
        <v>410</v>
      </c>
      <c r="R1554" s="34" t="str">
        <f>VLOOKUP(C1554,'PUR-PARTY MASTER'!$B$4:$E$2000,4,FALSE)</f>
        <v>Local</v>
      </c>
      <c r="S1554" s="11" t="s">
        <v>4120</v>
      </c>
    </row>
    <row r="1555" spans="1:19" x14ac:dyDescent="0.2">
      <c r="A1555" s="51">
        <v>43770</v>
      </c>
      <c r="B1555" s="11">
        <v>30</v>
      </c>
      <c r="C1555" s="35" t="s">
        <v>625</v>
      </c>
      <c r="F1555" s="136" t="s">
        <v>4453</v>
      </c>
      <c r="G1555" s="37">
        <v>43778</v>
      </c>
      <c r="H1555" s="34">
        <v>8481</v>
      </c>
      <c r="I1555" s="39">
        <f>VLOOKUP(H1555,'[2]PUR-HSN MASTER'!$A$4:$E$5052,5,FALSE)</f>
        <v>18</v>
      </c>
      <c r="J1555" s="38">
        <v>2</v>
      </c>
      <c r="K1555" s="40">
        <v>3645</v>
      </c>
      <c r="L1555" s="39">
        <v>0</v>
      </c>
      <c r="M1555" s="118">
        <f t="shared" si="19"/>
        <v>328.05</v>
      </c>
      <c r="N1555" s="118">
        <f t="shared" si="20"/>
        <v>328.05</v>
      </c>
      <c r="O1555" s="118">
        <v>0</v>
      </c>
      <c r="P1555" s="127">
        <f>+O1555+N1555+M1555+L1555+K1555</f>
        <v>4301.1000000000004</v>
      </c>
      <c r="Q1555" s="34" t="s">
        <v>410</v>
      </c>
      <c r="R1555" s="34" t="str">
        <f>VLOOKUP(C1555,'PUR-PARTY MASTER'!$B$4:$E$2000,4,FALSE)</f>
        <v>Local</v>
      </c>
      <c r="S1555" s="11" t="s">
        <v>4120</v>
      </c>
    </row>
    <row r="1556" spans="1:19" x14ac:dyDescent="0.2">
      <c r="A1556" s="51">
        <v>43770</v>
      </c>
      <c r="C1556" s="35" t="s">
        <v>625</v>
      </c>
      <c r="F1556" s="136" t="s">
        <v>4453</v>
      </c>
      <c r="G1556" s="37">
        <v>43778</v>
      </c>
      <c r="H1556" s="34">
        <v>7307</v>
      </c>
      <c r="I1556" s="39">
        <f>VLOOKUP(H1556,'[2]PUR-HSN MASTER'!$A$4:$E$5052,5,FALSE)</f>
        <v>18</v>
      </c>
      <c r="J1556" s="38">
        <v>5</v>
      </c>
      <c r="K1556" s="40">
        <f>640+127.4</f>
        <v>767.4</v>
      </c>
      <c r="L1556" s="39">
        <v>0</v>
      </c>
      <c r="M1556" s="118">
        <f t="shared" si="19"/>
        <v>69.066000000000003</v>
      </c>
      <c r="N1556" s="118">
        <f t="shared" si="20"/>
        <v>69.066000000000003</v>
      </c>
      <c r="O1556" s="118">
        <v>0</v>
      </c>
      <c r="P1556" s="127">
        <f>+O1556+N1556+M1556+L1556+K1556+0.37</f>
        <v>905.90199999999993</v>
      </c>
      <c r="Q1556" s="34" t="s">
        <v>410</v>
      </c>
      <c r="R1556" s="34" t="str">
        <f>VLOOKUP(C1556,'PUR-PARTY MASTER'!$B$4:$E$2000,4,FALSE)</f>
        <v>Local</v>
      </c>
      <c r="S1556" s="11" t="s">
        <v>4120</v>
      </c>
    </row>
    <row r="1557" spans="1:19" x14ac:dyDescent="0.2">
      <c r="A1557" s="51">
        <v>43770</v>
      </c>
      <c r="C1557" s="35" t="s">
        <v>625</v>
      </c>
      <c r="F1557" s="136" t="s">
        <v>4453</v>
      </c>
      <c r="G1557" s="37">
        <v>43778</v>
      </c>
      <c r="H1557" s="34">
        <v>68129922</v>
      </c>
      <c r="I1557" s="39">
        <f>VLOOKUP(H1557,'[2]PUR-HSN MASTER'!$A$4:$E$5052,5,FALSE)</f>
        <v>18</v>
      </c>
      <c r="J1557" s="38">
        <v>4</v>
      </c>
      <c r="K1557" s="40">
        <v>100</v>
      </c>
      <c r="L1557" s="39">
        <v>0</v>
      </c>
      <c r="M1557" s="118">
        <f t="shared" si="19"/>
        <v>9</v>
      </c>
      <c r="N1557" s="118">
        <f t="shared" si="20"/>
        <v>9</v>
      </c>
      <c r="O1557" s="118">
        <v>0</v>
      </c>
      <c r="P1557" s="127">
        <f>+O1557+N1557+M1557+L1557+K1557</f>
        <v>118</v>
      </c>
      <c r="Q1557" s="34" t="s">
        <v>410</v>
      </c>
      <c r="R1557" s="34" t="str">
        <f>VLOOKUP(C1557,'PUR-PARTY MASTER'!$B$4:$E$2000,4,FALSE)</f>
        <v>Local</v>
      </c>
      <c r="S1557" s="11" t="s">
        <v>4120</v>
      </c>
    </row>
    <row r="1558" spans="1:19" x14ac:dyDescent="0.2">
      <c r="A1558" s="51">
        <v>43770</v>
      </c>
      <c r="C1558" s="35" t="s">
        <v>625</v>
      </c>
      <c r="F1558" s="136" t="s">
        <v>4453</v>
      </c>
      <c r="G1558" s="37">
        <v>43778</v>
      </c>
      <c r="H1558" s="34">
        <v>39209949</v>
      </c>
      <c r="I1558" s="39">
        <f>VLOOKUP(H1558,'[2]PUR-HSN MASTER'!$A$4:$E$5052,5,FALSE)</f>
        <v>18</v>
      </c>
      <c r="J1558" s="38">
        <v>5</v>
      </c>
      <c r="K1558" s="40">
        <v>150</v>
      </c>
      <c r="L1558" s="39">
        <v>0</v>
      </c>
      <c r="M1558" s="118">
        <f t="shared" si="19"/>
        <v>13.5</v>
      </c>
      <c r="N1558" s="118">
        <f t="shared" si="20"/>
        <v>13.5</v>
      </c>
      <c r="O1558" s="118">
        <v>0</v>
      </c>
      <c r="P1558" s="127">
        <f>+O1558+N1558+M1558+L1558+K1558</f>
        <v>177</v>
      </c>
      <c r="Q1558" s="34" t="s">
        <v>410</v>
      </c>
      <c r="R1558" s="34" t="str">
        <f>VLOOKUP(C1558,'PUR-PARTY MASTER'!$B$4:$E$2000,4,FALSE)</f>
        <v>Local</v>
      </c>
      <c r="S1558" s="11" t="s">
        <v>4120</v>
      </c>
    </row>
    <row r="1559" spans="1:19" x14ac:dyDescent="0.2">
      <c r="A1559" s="51">
        <v>43770</v>
      </c>
      <c r="B1559" s="11">
        <v>31</v>
      </c>
      <c r="C1559" s="34" t="s">
        <v>829</v>
      </c>
      <c r="F1559" s="134">
        <v>1853</v>
      </c>
      <c r="G1559" s="37">
        <v>43777</v>
      </c>
      <c r="H1559" s="34">
        <v>3208</v>
      </c>
      <c r="I1559" s="39">
        <f>VLOOKUP(H1559,'[2]PUR-HSN MASTER'!$A$4:$E$5052,5,FALSE)</f>
        <v>18</v>
      </c>
      <c r="J1559" s="34">
        <v>5</v>
      </c>
      <c r="K1559" s="40">
        <v>4758</v>
      </c>
      <c r="L1559" s="118">
        <f t="shared" ref="L1559:L1571" si="21">+IF(R1559="Oms",K1559/100*I1559,0)</f>
        <v>0</v>
      </c>
      <c r="M1559" s="118">
        <f t="shared" si="19"/>
        <v>428.21999999999997</v>
      </c>
      <c r="N1559" s="118">
        <f t="shared" si="20"/>
        <v>428.21999999999997</v>
      </c>
      <c r="O1559" s="118">
        <v>0</v>
      </c>
      <c r="P1559" s="127">
        <f>+O1559+N1559+M1559+L1559+K1559-0.44</f>
        <v>5614</v>
      </c>
      <c r="Q1559" s="34" t="s">
        <v>410</v>
      </c>
      <c r="R1559" s="34" t="str">
        <f>VLOOKUP(C1559,'PUR-PARTY MASTER'!$B$4:$E$2000,4,FALSE)</f>
        <v>Local</v>
      </c>
      <c r="S1559" s="11" t="s">
        <v>4120</v>
      </c>
    </row>
    <row r="1560" spans="1:19" x14ac:dyDescent="0.2">
      <c r="A1560" s="51">
        <v>43770</v>
      </c>
      <c r="B1560" s="11">
        <v>32</v>
      </c>
      <c r="C1560" s="35" t="s">
        <v>514</v>
      </c>
      <c r="F1560" s="136" t="s">
        <v>4454</v>
      </c>
      <c r="G1560" s="37">
        <v>43778</v>
      </c>
      <c r="H1560" s="34">
        <v>9971</v>
      </c>
      <c r="I1560" s="39">
        <f>VLOOKUP(H1560,'[2]PUR-HSN MASTER'!$A$4:$E$5052,5,FALSE)</f>
        <v>18</v>
      </c>
      <c r="J1560" s="34">
        <v>0</v>
      </c>
      <c r="K1560" s="40">
        <v>100</v>
      </c>
      <c r="L1560" s="118">
        <f t="shared" si="21"/>
        <v>0</v>
      </c>
      <c r="M1560" s="118">
        <f t="shared" si="19"/>
        <v>9</v>
      </c>
      <c r="N1560" s="118">
        <f t="shared" si="20"/>
        <v>9</v>
      </c>
      <c r="O1560" s="118">
        <v>0</v>
      </c>
      <c r="P1560" s="127">
        <f t="shared" ref="P1560:P1567" si="22">+O1560+N1560+M1560+L1560+K1560</f>
        <v>118</v>
      </c>
      <c r="Q1560" s="34" t="s">
        <v>411</v>
      </c>
      <c r="R1560" s="34" t="str">
        <f>VLOOKUP(C1560,'PUR-PARTY MASTER'!$B$4:$E$2000,4,FALSE)</f>
        <v>Local</v>
      </c>
      <c r="S1560" s="11" t="s">
        <v>4120</v>
      </c>
    </row>
    <row r="1561" spans="1:19" x14ac:dyDescent="0.2">
      <c r="A1561" s="51">
        <v>43770</v>
      </c>
      <c r="B1561" s="11">
        <v>33</v>
      </c>
      <c r="C1561" s="35" t="s">
        <v>473</v>
      </c>
      <c r="F1561" s="136" t="s">
        <v>4455</v>
      </c>
      <c r="G1561" s="37">
        <v>43778</v>
      </c>
      <c r="H1561" s="34">
        <v>87089900</v>
      </c>
      <c r="I1561" s="39">
        <f>VLOOKUP(H1561,'[2]PUR-HSN MASTER'!$A$4:$E$5052,5,FALSE)</f>
        <v>28</v>
      </c>
      <c r="J1561" s="34">
        <v>238</v>
      </c>
      <c r="K1561" s="126">
        <v>6961.16</v>
      </c>
      <c r="L1561" s="118">
        <f t="shared" si="21"/>
        <v>0</v>
      </c>
      <c r="M1561" s="118">
        <f>+IF(R1561="local",K1561/100*I1561/2,0)+0.44</f>
        <v>975.00239999999997</v>
      </c>
      <c r="N1561" s="118">
        <f>+IF(R1561="local",K1561/100*I1561/2,0)+0.44</f>
        <v>975.00239999999997</v>
      </c>
      <c r="O1561" s="118">
        <v>0</v>
      </c>
      <c r="P1561" s="127">
        <f t="shared" si="22"/>
        <v>8911.1648000000005</v>
      </c>
      <c r="Q1561" s="34" t="s">
        <v>410</v>
      </c>
      <c r="R1561" s="34" t="str">
        <f>VLOOKUP(C1561,'PUR-PARTY MASTER'!$B$4:$E$2000,4,FALSE)</f>
        <v>Local</v>
      </c>
      <c r="S1561" s="11" t="s">
        <v>4120</v>
      </c>
    </row>
    <row r="1562" spans="1:19" x14ac:dyDescent="0.2">
      <c r="A1562" s="51">
        <v>43770</v>
      </c>
      <c r="B1562" s="11">
        <v>34</v>
      </c>
      <c r="C1562" s="35" t="s">
        <v>551</v>
      </c>
      <c r="F1562" s="136" t="s">
        <v>4456</v>
      </c>
      <c r="G1562" s="37">
        <v>43780</v>
      </c>
      <c r="H1562" s="34">
        <v>84439959</v>
      </c>
      <c r="I1562" s="39">
        <f>VLOOKUP(H1562,'[2]PUR-HSN MASTER'!$A$4:$E$5052,5,FALSE)</f>
        <v>18</v>
      </c>
      <c r="J1562" s="38">
        <v>1</v>
      </c>
      <c r="K1562" s="40">
        <v>850</v>
      </c>
      <c r="L1562" s="118">
        <f t="shared" si="21"/>
        <v>0</v>
      </c>
      <c r="M1562" s="118">
        <f t="shared" ref="M1562:M1573" si="23">+IF(R1562="local",K1562/100*I1562/2,0)</f>
        <v>76.5</v>
      </c>
      <c r="N1562" s="118">
        <f t="shared" ref="N1562:N1573" si="24">+IF(R1562="local",K1562/100*I1562/2,0)</f>
        <v>76.5</v>
      </c>
      <c r="O1562" s="118">
        <v>0</v>
      </c>
      <c r="P1562" s="127">
        <f t="shared" si="22"/>
        <v>1003</v>
      </c>
      <c r="Q1562" s="34" t="s">
        <v>410</v>
      </c>
      <c r="R1562" s="34" t="str">
        <f>VLOOKUP(C1562,'PUR-PARTY MASTER'!$B$4:$E$2000,4,FALSE)</f>
        <v>Local</v>
      </c>
      <c r="S1562" s="11" t="s">
        <v>4120</v>
      </c>
    </row>
    <row r="1563" spans="1:19" x14ac:dyDescent="0.2">
      <c r="A1563" s="51">
        <v>43770</v>
      </c>
      <c r="B1563" s="34">
        <v>35</v>
      </c>
      <c r="C1563" s="35" t="s">
        <v>4267</v>
      </c>
      <c r="F1563" s="136">
        <v>1920254</v>
      </c>
      <c r="G1563" s="37">
        <v>43780</v>
      </c>
      <c r="H1563" s="34">
        <v>84249000</v>
      </c>
      <c r="I1563" s="39">
        <f>VLOOKUP(H1563,'[2]PUR-HSN MASTER'!$A$4:$E$5052,5,FALSE)</f>
        <v>18</v>
      </c>
      <c r="J1563" s="38">
        <v>2</v>
      </c>
      <c r="K1563" s="40">
        <v>210000</v>
      </c>
      <c r="L1563" s="118">
        <f t="shared" si="21"/>
        <v>0</v>
      </c>
      <c r="M1563" s="118">
        <f t="shared" si="23"/>
        <v>18900</v>
      </c>
      <c r="N1563" s="118">
        <f t="shared" si="24"/>
        <v>18900</v>
      </c>
      <c r="O1563" s="118">
        <v>0</v>
      </c>
      <c r="P1563" s="127">
        <f t="shared" si="22"/>
        <v>247800</v>
      </c>
      <c r="Q1563" s="34" t="s">
        <v>410</v>
      </c>
      <c r="R1563" s="34" t="str">
        <f>VLOOKUP(C1563,'PUR-PARTY MASTER'!$B$4:$E$2000,4,FALSE)</f>
        <v>Local</v>
      </c>
      <c r="S1563" s="11" t="s">
        <v>4120</v>
      </c>
    </row>
    <row r="1564" spans="1:19" x14ac:dyDescent="0.2">
      <c r="A1564" s="51">
        <v>43770</v>
      </c>
      <c r="C1564" s="35" t="s">
        <v>4267</v>
      </c>
      <c r="F1564" s="136">
        <v>1920254</v>
      </c>
      <c r="G1564" s="37">
        <v>43780</v>
      </c>
      <c r="H1564" s="34">
        <v>8424</v>
      </c>
      <c r="I1564" s="39">
        <f>VLOOKUP(H1564,'[2]PUR-HSN MASTER'!$A$4:$E$5052,5,FALSE)</f>
        <v>18</v>
      </c>
      <c r="J1564" s="38">
        <v>2</v>
      </c>
      <c r="K1564" s="40">
        <v>30000</v>
      </c>
      <c r="L1564" s="118">
        <f t="shared" si="21"/>
        <v>0</v>
      </c>
      <c r="M1564" s="118">
        <f t="shared" si="23"/>
        <v>2700</v>
      </c>
      <c r="N1564" s="118">
        <f t="shared" si="24"/>
        <v>2700</v>
      </c>
      <c r="O1564" s="118">
        <v>0</v>
      </c>
      <c r="P1564" s="127">
        <f t="shared" si="22"/>
        <v>35400</v>
      </c>
      <c r="Q1564" s="34" t="s">
        <v>410</v>
      </c>
      <c r="R1564" s="34" t="str">
        <f>VLOOKUP(C1564,'PUR-PARTY MASTER'!$B$4:$E$2000,4,FALSE)</f>
        <v>Local</v>
      </c>
      <c r="S1564" s="11" t="s">
        <v>4120</v>
      </c>
    </row>
    <row r="1565" spans="1:19" x14ac:dyDescent="0.2">
      <c r="A1565" s="51">
        <v>43770</v>
      </c>
      <c r="B1565" s="11">
        <v>36</v>
      </c>
      <c r="C1565" s="34" t="s">
        <v>601</v>
      </c>
      <c r="F1565" s="134">
        <v>5671</v>
      </c>
      <c r="G1565" s="37">
        <v>43780</v>
      </c>
      <c r="H1565" s="34">
        <v>87082900</v>
      </c>
      <c r="I1565" s="39">
        <f>VLOOKUP(H1565,'[2]PUR-HSN MASTER'!$A$4:$E$5052,5,FALSE)</f>
        <v>28</v>
      </c>
      <c r="J1565" s="34">
        <v>500</v>
      </c>
      <c r="K1565" s="39">
        <v>21285</v>
      </c>
      <c r="L1565" s="118">
        <f t="shared" si="21"/>
        <v>0</v>
      </c>
      <c r="M1565" s="118">
        <f t="shared" si="23"/>
        <v>2979.9</v>
      </c>
      <c r="N1565" s="118">
        <f t="shared" si="24"/>
        <v>2979.9</v>
      </c>
      <c r="O1565" s="118">
        <v>0</v>
      </c>
      <c r="P1565" s="127">
        <f t="shared" si="22"/>
        <v>27244.799999999999</v>
      </c>
      <c r="Q1565" s="34" t="s">
        <v>410</v>
      </c>
      <c r="R1565" s="34" t="str">
        <f>VLOOKUP(C1565,'PUR-PARTY MASTER'!$B$4:$E$2000,4,FALSE)</f>
        <v>Local</v>
      </c>
      <c r="S1565" s="11" t="s">
        <v>4120</v>
      </c>
    </row>
    <row r="1566" spans="1:19" x14ac:dyDescent="0.2">
      <c r="A1566" s="51">
        <v>43770</v>
      </c>
      <c r="B1566" s="11">
        <v>37</v>
      </c>
      <c r="C1566" s="34" t="s">
        <v>601</v>
      </c>
      <c r="F1566" s="134">
        <v>5672</v>
      </c>
      <c r="G1566" s="37">
        <v>43780</v>
      </c>
      <c r="H1566" s="34">
        <v>87082900</v>
      </c>
      <c r="I1566" s="39">
        <f>VLOOKUP(H1566,'[2]PUR-HSN MASTER'!$A$4:$E$5052,5,FALSE)</f>
        <v>28</v>
      </c>
      <c r="J1566" s="34">
        <v>1440</v>
      </c>
      <c r="K1566" s="39">
        <v>32140.799999999999</v>
      </c>
      <c r="L1566" s="118">
        <f t="shared" si="21"/>
        <v>0</v>
      </c>
      <c r="M1566" s="118">
        <f t="shared" si="23"/>
        <v>4499.7120000000004</v>
      </c>
      <c r="N1566" s="118">
        <f t="shared" si="24"/>
        <v>4499.7120000000004</v>
      </c>
      <c r="O1566" s="118">
        <v>0</v>
      </c>
      <c r="P1566" s="127">
        <f t="shared" si="22"/>
        <v>41140.224000000002</v>
      </c>
      <c r="Q1566" s="34" t="s">
        <v>410</v>
      </c>
      <c r="R1566" s="34" t="str">
        <f>VLOOKUP(C1566,'PUR-PARTY MASTER'!$B$4:$E$2000,4,FALSE)</f>
        <v>Local</v>
      </c>
      <c r="S1566" s="11" t="s">
        <v>4120</v>
      </c>
    </row>
    <row r="1567" spans="1:19" x14ac:dyDescent="0.2">
      <c r="A1567" s="51">
        <v>43770</v>
      </c>
      <c r="B1567" s="11">
        <v>38</v>
      </c>
      <c r="C1567" s="35" t="s">
        <v>495</v>
      </c>
      <c r="F1567" s="134">
        <v>5510063119</v>
      </c>
      <c r="G1567" s="37">
        <v>43780</v>
      </c>
      <c r="H1567" s="34">
        <v>85129000</v>
      </c>
      <c r="I1567" s="39">
        <f>VLOOKUP(H1567,'[2]PUR-HSN MASTER'!$A$4:$E$5052,5,FALSE)</f>
        <v>18</v>
      </c>
      <c r="J1567" s="34">
        <v>4800</v>
      </c>
      <c r="K1567" s="126">
        <v>53088</v>
      </c>
      <c r="L1567" s="118">
        <f t="shared" si="21"/>
        <v>0</v>
      </c>
      <c r="M1567" s="118">
        <f t="shared" si="23"/>
        <v>4777.92</v>
      </c>
      <c r="N1567" s="118">
        <f t="shared" si="24"/>
        <v>4777.92</v>
      </c>
      <c r="O1567" s="118">
        <v>0</v>
      </c>
      <c r="P1567" s="127">
        <f t="shared" si="22"/>
        <v>62643.839999999997</v>
      </c>
      <c r="Q1567" s="34" t="s">
        <v>410</v>
      </c>
      <c r="R1567" s="34" t="str">
        <f>VLOOKUP(C1567,'PUR-PARTY MASTER'!$B$4:$E$2000,4,FALSE)</f>
        <v>Local</v>
      </c>
      <c r="S1567" s="11" t="s">
        <v>4120</v>
      </c>
    </row>
    <row r="1568" spans="1:19" x14ac:dyDescent="0.2">
      <c r="A1568" s="51">
        <v>43770</v>
      </c>
      <c r="B1568" s="11">
        <v>39</v>
      </c>
      <c r="C1568" s="35" t="s">
        <v>506</v>
      </c>
      <c r="F1568" s="136" t="s">
        <v>4457</v>
      </c>
      <c r="G1568" s="37">
        <v>43780</v>
      </c>
      <c r="H1568" s="34">
        <v>38140010</v>
      </c>
      <c r="I1568" s="39">
        <f>VLOOKUP(H1568,'[2]PUR-HSN MASTER'!$A$4:$E$5052,5,FALSE)</f>
        <v>18</v>
      </c>
      <c r="J1568" s="34">
        <v>200</v>
      </c>
      <c r="K1568" s="126">
        <v>18480</v>
      </c>
      <c r="L1568" s="118">
        <f t="shared" si="21"/>
        <v>0</v>
      </c>
      <c r="M1568" s="118">
        <f t="shared" si="23"/>
        <v>1663.2</v>
      </c>
      <c r="N1568" s="118">
        <f t="shared" si="24"/>
        <v>1663.2</v>
      </c>
      <c r="O1568" s="118">
        <v>0</v>
      </c>
      <c r="P1568" s="127">
        <f>+O1568+N1568+M1568+L1568+K1568-0.4</f>
        <v>21806</v>
      </c>
      <c r="Q1568" s="34" t="s">
        <v>410</v>
      </c>
      <c r="R1568" s="34" t="str">
        <f>VLOOKUP(C1568,'PUR-PARTY MASTER'!$B$4:$E$2000,4,FALSE)</f>
        <v>Local</v>
      </c>
      <c r="S1568" s="11" t="s">
        <v>4120</v>
      </c>
    </row>
    <row r="1569" spans="1:19" x14ac:dyDescent="0.2">
      <c r="A1569" s="51">
        <v>43770</v>
      </c>
      <c r="B1569" s="11">
        <v>40</v>
      </c>
      <c r="C1569" s="35" t="s">
        <v>518</v>
      </c>
      <c r="F1569" s="136" t="s">
        <v>4458</v>
      </c>
      <c r="G1569" s="37">
        <v>43781</v>
      </c>
      <c r="H1569" s="34">
        <v>9984</v>
      </c>
      <c r="I1569" s="39">
        <f>VLOOKUP(H1569,'[2]PUR-HSN MASTER'!$A$4:$E$5052,5,FALSE)</f>
        <v>18</v>
      </c>
      <c r="J1569" s="34"/>
      <c r="K1569" s="126">
        <v>4793</v>
      </c>
      <c r="L1569" s="118">
        <f t="shared" si="21"/>
        <v>0</v>
      </c>
      <c r="M1569" s="118">
        <f t="shared" si="23"/>
        <v>431.37</v>
      </c>
      <c r="N1569" s="118">
        <f t="shared" si="24"/>
        <v>431.37</v>
      </c>
      <c r="O1569" s="118">
        <v>0</v>
      </c>
      <c r="P1569" s="127">
        <f>+O1569+N1569+M1569+L1569+K1569</f>
        <v>5655.74</v>
      </c>
      <c r="Q1569" s="34" t="s">
        <v>410</v>
      </c>
      <c r="R1569" s="34" t="str">
        <f>VLOOKUP(C1569,'PUR-PARTY MASTER'!$B$4:$E$2000,4,FALSE)</f>
        <v>Local</v>
      </c>
      <c r="S1569" s="11" t="s">
        <v>4120</v>
      </c>
    </row>
    <row r="1570" spans="1:19" x14ac:dyDescent="0.2">
      <c r="A1570" s="51">
        <v>43770</v>
      </c>
      <c r="B1570" s="11">
        <v>41</v>
      </c>
      <c r="C1570" s="34" t="s">
        <v>829</v>
      </c>
      <c r="F1570" s="134">
        <v>1865</v>
      </c>
      <c r="G1570" s="37">
        <v>43781</v>
      </c>
      <c r="H1570" s="34">
        <v>3917</v>
      </c>
      <c r="I1570" s="39">
        <f>VLOOKUP(H1570,'[2]PUR-HSN MASTER'!$A$4:$E$5052,5,FALSE)</f>
        <v>18</v>
      </c>
      <c r="J1570" s="34">
        <v>2</v>
      </c>
      <c r="K1570" s="40">
        <v>360</v>
      </c>
      <c r="L1570" s="118">
        <f t="shared" si="21"/>
        <v>0</v>
      </c>
      <c r="M1570" s="118">
        <f t="shared" si="23"/>
        <v>32.4</v>
      </c>
      <c r="N1570" s="118">
        <f t="shared" si="24"/>
        <v>32.4</v>
      </c>
      <c r="O1570" s="118">
        <v>0</v>
      </c>
      <c r="P1570" s="127">
        <f>+O1570+N1570+M1570+L1570+K1570+0.2</f>
        <v>425</v>
      </c>
      <c r="Q1570" s="34" t="s">
        <v>410</v>
      </c>
      <c r="R1570" s="34" t="str">
        <f>VLOOKUP(C1570,'PUR-PARTY MASTER'!$B$4:$E$2000,4,FALSE)</f>
        <v>Local</v>
      </c>
      <c r="S1570" s="11" t="s">
        <v>4120</v>
      </c>
    </row>
    <row r="1571" spans="1:19" x14ac:dyDescent="0.2">
      <c r="A1571" s="51">
        <v>43770</v>
      </c>
      <c r="C1571" s="34" t="s">
        <v>829</v>
      </c>
      <c r="F1571" s="134">
        <v>1865</v>
      </c>
      <c r="G1571" s="37">
        <v>43781</v>
      </c>
      <c r="H1571" s="34">
        <v>73181500</v>
      </c>
      <c r="I1571" s="39">
        <f>VLOOKUP(H1571,'[2]PUR-HSN MASTER'!$A$4:$E$5052,5,FALSE)</f>
        <v>18</v>
      </c>
      <c r="J1571" s="34">
        <v>1</v>
      </c>
      <c r="K1571" s="40">
        <v>50</v>
      </c>
      <c r="L1571" s="118">
        <f t="shared" si="21"/>
        <v>0</v>
      </c>
      <c r="M1571" s="118">
        <f t="shared" si="23"/>
        <v>4.5</v>
      </c>
      <c r="N1571" s="118">
        <f t="shared" si="24"/>
        <v>4.5</v>
      </c>
      <c r="O1571" s="118">
        <v>0</v>
      </c>
      <c r="P1571" s="127">
        <f t="shared" ref="P1571:P1578" si="25">+O1571+N1571+M1571+L1571+K1571</f>
        <v>59</v>
      </c>
      <c r="Q1571" s="34" t="s">
        <v>410</v>
      </c>
      <c r="R1571" s="34" t="str">
        <f>VLOOKUP(C1571,'PUR-PARTY MASTER'!$B$4:$E$2000,4,FALSE)</f>
        <v>Local</v>
      </c>
      <c r="S1571" s="11" t="s">
        <v>4120</v>
      </c>
    </row>
    <row r="1572" spans="1:19" x14ac:dyDescent="0.2">
      <c r="A1572" s="51">
        <v>43770</v>
      </c>
      <c r="B1572" s="11">
        <v>42</v>
      </c>
      <c r="C1572" s="632" t="s">
        <v>837</v>
      </c>
      <c r="F1572" s="134">
        <v>20190533</v>
      </c>
      <c r="G1572" s="37">
        <v>43781</v>
      </c>
      <c r="H1572" s="34">
        <v>34029099</v>
      </c>
      <c r="I1572" s="39">
        <f>VLOOKUP(H1572,'[2]PUR-HSN MASTER'!$A$4:$E$5052,5,FALSE)</f>
        <v>18</v>
      </c>
      <c r="J1572" s="38">
        <v>100</v>
      </c>
      <c r="K1572" s="40">
        <f>17700+13000</f>
        <v>30700</v>
      </c>
      <c r="L1572" s="39">
        <v>0</v>
      </c>
      <c r="M1572" s="118">
        <f t="shared" si="23"/>
        <v>2763</v>
      </c>
      <c r="N1572" s="118">
        <f t="shared" si="24"/>
        <v>2763</v>
      </c>
      <c r="O1572" s="118">
        <v>0</v>
      </c>
      <c r="P1572" s="127">
        <f t="shared" si="25"/>
        <v>36226</v>
      </c>
      <c r="Q1572" s="34" t="s">
        <v>410</v>
      </c>
      <c r="R1572" s="34" t="str">
        <f>VLOOKUP(C1572,'PUR-PARTY MASTER'!$B$4:$E$2000,4,FALSE)</f>
        <v>Local</v>
      </c>
      <c r="S1572" s="11" t="s">
        <v>4120</v>
      </c>
    </row>
    <row r="1573" spans="1:19" x14ac:dyDescent="0.2">
      <c r="A1573" s="51">
        <v>43770</v>
      </c>
      <c r="C1573" s="632" t="s">
        <v>837</v>
      </c>
      <c r="F1573" s="134">
        <v>20190533</v>
      </c>
      <c r="G1573" s="37">
        <v>43781</v>
      </c>
      <c r="H1573" s="34">
        <v>38119000</v>
      </c>
      <c r="I1573" s="39">
        <f>VLOOKUP(H1573,'[2]PUR-HSN MASTER'!$A$4:$E$5052,5,FALSE)</f>
        <v>18</v>
      </c>
      <c r="J1573" s="38">
        <v>26</v>
      </c>
      <c r="K1573" s="40">
        <v>5850</v>
      </c>
      <c r="L1573" s="39">
        <v>0</v>
      </c>
      <c r="M1573" s="118">
        <f t="shared" si="23"/>
        <v>526.5</v>
      </c>
      <c r="N1573" s="118">
        <f t="shared" si="24"/>
        <v>526.5</v>
      </c>
      <c r="O1573" s="118">
        <v>0</v>
      </c>
      <c r="P1573" s="127">
        <f t="shared" si="25"/>
        <v>6903</v>
      </c>
      <c r="Q1573" s="34" t="s">
        <v>410</v>
      </c>
      <c r="R1573" s="34" t="str">
        <f>VLOOKUP(C1573,'PUR-PARTY MASTER'!$B$4:$E$2000,4,FALSE)</f>
        <v>Local</v>
      </c>
      <c r="S1573" s="11" t="s">
        <v>4120</v>
      </c>
    </row>
    <row r="1574" spans="1:19" x14ac:dyDescent="0.2">
      <c r="A1574" s="51">
        <v>43770</v>
      </c>
      <c r="B1574" s="11">
        <v>43</v>
      </c>
      <c r="C1574" s="35" t="s">
        <v>473</v>
      </c>
      <c r="F1574" s="136" t="s">
        <v>4459</v>
      </c>
      <c r="G1574" s="37">
        <v>43781</v>
      </c>
      <c r="H1574" s="34">
        <v>87089900</v>
      </c>
      <c r="I1574" s="39">
        <f>VLOOKUP(H1574,'[2]PUR-HSN MASTER'!$A$4:$E$5052,5,FALSE)</f>
        <v>28</v>
      </c>
      <c r="J1574" s="34">
        <v>40</v>
      </c>
      <c r="K1574" s="126">
        <v>6412</v>
      </c>
      <c r="L1574" s="118">
        <f t="shared" ref="L1574:L1586" si="26">+IF(R1574="Oms",K1574/100*I1574,0)</f>
        <v>0</v>
      </c>
      <c r="M1574" s="118">
        <f>+IF(R1574="local",K1574/100*I1574/2,0)+0.32</f>
        <v>898.00000000000011</v>
      </c>
      <c r="N1574" s="118">
        <f>+IF(R1574="local",K1574/100*I1574/2,0)+0.32</f>
        <v>898.00000000000011</v>
      </c>
      <c r="O1574" s="118">
        <v>0</v>
      </c>
      <c r="P1574" s="127">
        <f t="shared" si="25"/>
        <v>8208</v>
      </c>
      <c r="Q1574" s="34" t="s">
        <v>410</v>
      </c>
      <c r="R1574" s="34" t="str">
        <f>VLOOKUP(C1574,'PUR-PARTY MASTER'!$B$4:$E$2000,4,FALSE)</f>
        <v>Local</v>
      </c>
      <c r="S1574" s="11" t="s">
        <v>4120</v>
      </c>
    </row>
    <row r="1575" spans="1:19" x14ac:dyDescent="0.2">
      <c r="A1575" s="51">
        <v>43770</v>
      </c>
      <c r="B1575" s="11">
        <v>44</v>
      </c>
      <c r="C1575" s="35" t="s">
        <v>473</v>
      </c>
      <c r="F1575" s="136" t="s">
        <v>4460</v>
      </c>
      <c r="G1575" s="37">
        <v>43781</v>
      </c>
      <c r="H1575" s="34">
        <v>87089900</v>
      </c>
      <c r="I1575" s="39">
        <f>VLOOKUP(H1575,'[2]PUR-HSN MASTER'!$A$4:$E$5052,5,FALSE)</f>
        <v>28</v>
      </c>
      <c r="J1575" s="34">
        <v>40</v>
      </c>
      <c r="K1575" s="126">
        <v>6012.8</v>
      </c>
      <c r="L1575" s="118">
        <f t="shared" si="26"/>
        <v>0</v>
      </c>
      <c r="M1575" s="118">
        <f>+IF(R1575="local",K1575/100*I1575/2,0)+0.21</f>
        <v>842.00200000000007</v>
      </c>
      <c r="N1575" s="118">
        <f>+IF(R1575="local",K1575/100*I1575/2,0)+0.21</f>
        <v>842.00200000000007</v>
      </c>
      <c r="O1575" s="118">
        <v>0</v>
      </c>
      <c r="P1575" s="127">
        <f t="shared" si="25"/>
        <v>7696.8040000000001</v>
      </c>
      <c r="Q1575" s="34" t="s">
        <v>410</v>
      </c>
      <c r="R1575" s="34" t="str">
        <f>VLOOKUP(C1575,'PUR-PARTY MASTER'!$B$4:$E$2000,4,FALSE)</f>
        <v>Local</v>
      </c>
      <c r="S1575" s="11" t="s">
        <v>4120</v>
      </c>
    </row>
    <row r="1576" spans="1:19" x14ac:dyDescent="0.2">
      <c r="A1576" s="51">
        <v>43770</v>
      </c>
      <c r="B1576" s="11">
        <v>45</v>
      </c>
      <c r="C1576" s="632" t="s">
        <v>1082</v>
      </c>
      <c r="F1576" s="136">
        <v>579</v>
      </c>
      <c r="G1576" s="37">
        <v>43782</v>
      </c>
      <c r="H1576" s="34">
        <v>995469</v>
      </c>
      <c r="I1576" s="39">
        <f>VLOOKUP(H1576,'[2]PUR-HSN MASTER'!$A$4:$E$5052,5,FALSE)</f>
        <v>18</v>
      </c>
      <c r="J1576" s="34">
        <v>3</v>
      </c>
      <c r="K1576" s="126">
        <f>2700+1800</f>
        <v>4500</v>
      </c>
      <c r="L1576" s="118">
        <f t="shared" si="26"/>
        <v>0</v>
      </c>
      <c r="M1576" s="118">
        <f t="shared" ref="M1576:M1586" si="27">+IF(R1576="local",K1576/100*I1576/2,0)</f>
        <v>405</v>
      </c>
      <c r="N1576" s="118">
        <f t="shared" ref="N1576:N1586" si="28">+IF(R1576="local",K1576/100*I1576/2,0)</f>
        <v>405</v>
      </c>
      <c r="O1576" s="118">
        <v>0</v>
      </c>
      <c r="P1576" s="127">
        <f t="shared" si="25"/>
        <v>5310</v>
      </c>
      <c r="Q1576" s="34" t="s">
        <v>410</v>
      </c>
      <c r="R1576" s="34" t="str">
        <f>VLOOKUP(C1576,'PUR-PARTY MASTER'!$B$4:$E$2000,4,FALSE)</f>
        <v>Local</v>
      </c>
      <c r="S1576" s="11" t="s">
        <v>4120</v>
      </c>
    </row>
    <row r="1577" spans="1:19" x14ac:dyDescent="0.2">
      <c r="A1577" s="51">
        <v>43770</v>
      </c>
      <c r="C1577" s="632" t="s">
        <v>1082</v>
      </c>
      <c r="F1577" s="136">
        <v>579</v>
      </c>
      <c r="G1577" s="37">
        <v>43782</v>
      </c>
      <c r="H1577" s="34">
        <v>9031</v>
      </c>
      <c r="I1577" s="39">
        <f>VLOOKUP(H1577,'[2]PUR-HSN MASTER'!$A$4:$E$5052,5,FALSE)</f>
        <v>18</v>
      </c>
      <c r="J1577" s="34">
        <v>1</v>
      </c>
      <c r="K1577" s="126">
        <v>4900</v>
      </c>
      <c r="L1577" s="118">
        <f t="shared" si="26"/>
        <v>0</v>
      </c>
      <c r="M1577" s="118">
        <f t="shared" si="27"/>
        <v>441</v>
      </c>
      <c r="N1577" s="118">
        <f t="shared" si="28"/>
        <v>441</v>
      </c>
      <c r="O1577" s="118">
        <v>0</v>
      </c>
      <c r="P1577" s="127">
        <f t="shared" si="25"/>
        <v>5782</v>
      </c>
      <c r="Q1577" s="34" t="s">
        <v>410</v>
      </c>
      <c r="R1577" s="34" t="str">
        <f>VLOOKUP(C1577,'PUR-PARTY MASTER'!$B$4:$E$2000,4,FALSE)</f>
        <v>Local</v>
      </c>
      <c r="S1577" s="11" t="s">
        <v>4120</v>
      </c>
    </row>
    <row r="1578" spans="1:19" x14ac:dyDescent="0.2">
      <c r="A1578" s="51">
        <v>43770</v>
      </c>
      <c r="C1578" s="632" t="s">
        <v>1082</v>
      </c>
      <c r="F1578" s="136">
        <v>579</v>
      </c>
      <c r="G1578" s="37">
        <v>43782</v>
      </c>
      <c r="H1578" s="34">
        <v>8416</v>
      </c>
      <c r="I1578" s="39">
        <f>VLOOKUP(H1578,'[2]PUR-HSN MASTER'!$A$4:$E$5052,5,FALSE)</f>
        <v>18</v>
      </c>
      <c r="J1578" s="34">
        <v>1</v>
      </c>
      <c r="K1578" s="126">
        <v>8600</v>
      </c>
      <c r="L1578" s="118">
        <f t="shared" si="26"/>
        <v>0</v>
      </c>
      <c r="M1578" s="118">
        <f t="shared" si="27"/>
        <v>774</v>
      </c>
      <c r="N1578" s="118">
        <f t="shared" si="28"/>
        <v>774</v>
      </c>
      <c r="O1578" s="118">
        <v>0</v>
      </c>
      <c r="P1578" s="127">
        <f t="shared" si="25"/>
        <v>10148</v>
      </c>
      <c r="Q1578" s="34" t="s">
        <v>410</v>
      </c>
      <c r="R1578" s="34" t="str">
        <f>VLOOKUP(C1578,'PUR-PARTY MASTER'!$B$4:$E$2000,4,FALSE)</f>
        <v>Local</v>
      </c>
      <c r="S1578" s="11" t="s">
        <v>4120</v>
      </c>
    </row>
    <row r="1579" spans="1:19" x14ac:dyDescent="0.2">
      <c r="A1579" s="51">
        <v>43770</v>
      </c>
      <c r="B1579" s="11">
        <v>46</v>
      </c>
      <c r="C1579" s="35" t="s">
        <v>499</v>
      </c>
      <c r="F1579" s="136" t="s">
        <v>4461</v>
      </c>
      <c r="G1579" s="37">
        <v>43781</v>
      </c>
      <c r="H1579" s="34">
        <v>39199090</v>
      </c>
      <c r="I1579" s="39">
        <f>VLOOKUP(H1579,'[2]PUR-HSN MASTER'!$A$4:$E$5052,5,FALSE)</f>
        <v>18</v>
      </c>
      <c r="J1579" s="34">
        <v>96</v>
      </c>
      <c r="K1579" s="126">
        <v>3264</v>
      </c>
      <c r="L1579" s="118">
        <f t="shared" si="26"/>
        <v>0</v>
      </c>
      <c r="M1579" s="118">
        <f t="shared" si="27"/>
        <v>293.76</v>
      </c>
      <c r="N1579" s="118">
        <f t="shared" si="28"/>
        <v>293.76</v>
      </c>
      <c r="O1579" s="118">
        <v>0</v>
      </c>
      <c r="P1579" s="127">
        <f>+O1579+N1579+M1579+L1579+K1579+0.13</f>
        <v>3851.65</v>
      </c>
      <c r="Q1579" s="34" t="s">
        <v>410</v>
      </c>
      <c r="R1579" s="34" t="str">
        <f>VLOOKUP(C1579,'PUR-PARTY MASTER'!$B$4:$E$2000,4,FALSE)</f>
        <v>Local</v>
      </c>
      <c r="S1579" s="11" t="s">
        <v>4120</v>
      </c>
    </row>
    <row r="1580" spans="1:19" x14ac:dyDescent="0.2">
      <c r="A1580" s="51">
        <v>43770</v>
      </c>
      <c r="C1580" s="35" t="s">
        <v>499</v>
      </c>
      <c r="F1580" s="136" t="s">
        <v>4461</v>
      </c>
      <c r="G1580" s="37">
        <v>43781</v>
      </c>
      <c r="H1580" s="34">
        <v>63071090</v>
      </c>
      <c r="I1580" s="39">
        <f>VLOOKUP(H1580,'[2]PUR-HSN MASTER'!$A$4:$E$5052,5,FALSE)</f>
        <v>18</v>
      </c>
      <c r="J1580" s="34">
        <v>48</v>
      </c>
      <c r="K1580" s="126">
        <f>288+288</f>
        <v>576</v>
      </c>
      <c r="L1580" s="118">
        <f t="shared" si="26"/>
        <v>0</v>
      </c>
      <c r="M1580" s="118">
        <f t="shared" si="27"/>
        <v>51.839999999999996</v>
      </c>
      <c r="N1580" s="118">
        <f t="shared" si="28"/>
        <v>51.839999999999996</v>
      </c>
      <c r="O1580" s="118">
        <v>0</v>
      </c>
      <c r="P1580" s="127">
        <f>+O1580+N1580+M1580+L1580+K1580+0.07</f>
        <v>679.75</v>
      </c>
      <c r="Q1580" s="34" t="s">
        <v>410</v>
      </c>
      <c r="R1580" s="34" t="str">
        <f>VLOOKUP(C1580,'PUR-PARTY MASTER'!$B$4:$E$2000,4,FALSE)</f>
        <v>Local</v>
      </c>
      <c r="S1580" s="11" t="s">
        <v>4120</v>
      </c>
    </row>
    <row r="1581" spans="1:19" x14ac:dyDescent="0.2">
      <c r="A1581" s="51">
        <v>43770</v>
      </c>
      <c r="C1581" s="35" t="s">
        <v>499</v>
      </c>
      <c r="F1581" s="136" t="s">
        <v>4461</v>
      </c>
      <c r="G1581" s="37">
        <v>43781</v>
      </c>
      <c r="H1581" s="34">
        <v>60060000</v>
      </c>
      <c r="I1581" s="39">
        <f>VLOOKUP(H1581,'[2]PUR-HSN MASTER'!$A$4:$E$5052,5,FALSE)</f>
        <v>5</v>
      </c>
      <c r="J1581" s="34">
        <v>50</v>
      </c>
      <c r="K1581" s="126">
        <v>1650</v>
      </c>
      <c r="L1581" s="118">
        <f t="shared" si="26"/>
        <v>0</v>
      </c>
      <c r="M1581" s="118">
        <f t="shared" si="27"/>
        <v>41.25</v>
      </c>
      <c r="N1581" s="118">
        <f t="shared" si="28"/>
        <v>41.25</v>
      </c>
      <c r="O1581" s="118">
        <v>0</v>
      </c>
      <c r="P1581" s="127">
        <f>+O1581+N1581+M1581+L1581+K1581+0.1</f>
        <v>1732.6</v>
      </c>
      <c r="Q1581" s="34" t="s">
        <v>410</v>
      </c>
      <c r="R1581" s="34" t="str">
        <f>VLOOKUP(C1581,'PUR-PARTY MASTER'!$B$4:$E$2000,4,FALSE)</f>
        <v>Local</v>
      </c>
      <c r="S1581" s="11" t="s">
        <v>4120</v>
      </c>
    </row>
    <row r="1582" spans="1:19" x14ac:dyDescent="0.2">
      <c r="A1582" s="51">
        <v>43770</v>
      </c>
      <c r="B1582" s="11">
        <v>47</v>
      </c>
      <c r="C1582" s="35" t="s">
        <v>495</v>
      </c>
      <c r="F1582" s="134">
        <v>5510063415</v>
      </c>
      <c r="G1582" s="37">
        <v>43782</v>
      </c>
      <c r="H1582" s="34">
        <v>85129000</v>
      </c>
      <c r="I1582" s="39">
        <f>VLOOKUP(H1582,'[2]PUR-HSN MASTER'!$A$4:$E$5052,5,FALSE)</f>
        <v>18</v>
      </c>
      <c r="J1582" s="34">
        <v>4800</v>
      </c>
      <c r="K1582" s="126">
        <v>53088</v>
      </c>
      <c r="L1582" s="118">
        <f t="shared" si="26"/>
        <v>0</v>
      </c>
      <c r="M1582" s="118">
        <f t="shared" si="27"/>
        <v>4777.92</v>
      </c>
      <c r="N1582" s="118">
        <f t="shared" si="28"/>
        <v>4777.92</v>
      </c>
      <c r="O1582" s="118">
        <v>0</v>
      </c>
      <c r="P1582" s="127">
        <f>+O1582+N1582+M1582+L1582+K1582</f>
        <v>62643.839999999997</v>
      </c>
      <c r="Q1582" s="34" t="s">
        <v>410</v>
      </c>
      <c r="R1582" s="34" t="str">
        <f>VLOOKUP(C1582,'PUR-PARTY MASTER'!$B$4:$E$2000,4,FALSE)</f>
        <v>Local</v>
      </c>
      <c r="S1582" s="11" t="s">
        <v>4120</v>
      </c>
    </row>
    <row r="1583" spans="1:19" x14ac:dyDescent="0.2">
      <c r="A1583" s="51">
        <v>43770</v>
      </c>
      <c r="B1583" s="11">
        <v>48</v>
      </c>
      <c r="C1583" s="34" t="s">
        <v>601</v>
      </c>
      <c r="F1583" s="134">
        <v>5784</v>
      </c>
      <c r="G1583" s="37">
        <v>43782</v>
      </c>
      <c r="H1583" s="34">
        <v>87082900</v>
      </c>
      <c r="I1583" s="39">
        <f>VLOOKUP(H1583,'[2]PUR-HSN MASTER'!$A$4:$E$5052,5,FALSE)</f>
        <v>28</v>
      </c>
      <c r="J1583" s="34">
        <v>640</v>
      </c>
      <c r="K1583" s="39">
        <v>27244.799999999999</v>
      </c>
      <c r="L1583" s="118">
        <f t="shared" si="26"/>
        <v>0</v>
      </c>
      <c r="M1583" s="118">
        <f t="shared" si="27"/>
        <v>3814.2719999999999</v>
      </c>
      <c r="N1583" s="118">
        <f t="shared" si="28"/>
        <v>3814.2719999999999</v>
      </c>
      <c r="O1583" s="118">
        <v>0</v>
      </c>
      <c r="P1583" s="127">
        <f>+O1583+N1583+M1583+L1583+K1583</f>
        <v>34873.343999999997</v>
      </c>
      <c r="Q1583" s="34" t="s">
        <v>410</v>
      </c>
      <c r="R1583" s="34" t="str">
        <f>VLOOKUP(C1583,'PUR-PARTY MASTER'!$B$4:$E$2000,4,FALSE)</f>
        <v>Local</v>
      </c>
      <c r="S1583" s="11" t="s">
        <v>4120</v>
      </c>
    </row>
    <row r="1584" spans="1:19" x14ac:dyDescent="0.2">
      <c r="A1584" s="51">
        <v>43770</v>
      </c>
      <c r="B1584" s="11">
        <v>49</v>
      </c>
      <c r="C1584" s="35" t="s">
        <v>634</v>
      </c>
      <c r="F1584" s="136" t="s">
        <v>4462</v>
      </c>
      <c r="G1584" s="37">
        <v>43783</v>
      </c>
      <c r="H1584" s="34">
        <v>8536</v>
      </c>
      <c r="I1584" s="39">
        <f>VLOOKUP(H1584,'[2]PUR-HSN MASTER'!$A$4:$E$5052,5,FALSE)</f>
        <v>18</v>
      </c>
      <c r="J1584" s="38">
        <v>8</v>
      </c>
      <c r="K1584" s="40">
        <f>4490+33.6+150+155</f>
        <v>4828.6000000000004</v>
      </c>
      <c r="L1584" s="118">
        <f t="shared" si="26"/>
        <v>0</v>
      </c>
      <c r="M1584" s="118">
        <f t="shared" si="27"/>
        <v>434.57400000000001</v>
      </c>
      <c r="N1584" s="118">
        <f t="shared" si="28"/>
        <v>434.57400000000001</v>
      </c>
      <c r="O1584" s="118">
        <v>0</v>
      </c>
      <c r="P1584" s="127">
        <f>+O1584+N1584+M1584+L1584+K1584+0.15</f>
        <v>5697.8980000000001</v>
      </c>
      <c r="Q1584" s="34" t="s">
        <v>410</v>
      </c>
      <c r="R1584" s="34" t="str">
        <f>VLOOKUP(C1584,'PUR-PARTY MASTER'!$B$4:$E$2000,4,FALSE)</f>
        <v>Local</v>
      </c>
      <c r="S1584" s="11" t="s">
        <v>4120</v>
      </c>
    </row>
    <row r="1585" spans="1:19" x14ac:dyDescent="0.2">
      <c r="A1585" s="51">
        <v>43770</v>
      </c>
      <c r="C1585" s="35" t="s">
        <v>634</v>
      </c>
      <c r="F1585" s="136" t="s">
        <v>4462</v>
      </c>
      <c r="G1585" s="37">
        <v>43783</v>
      </c>
      <c r="H1585" s="34">
        <v>85446090</v>
      </c>
      <c r="I1585" s="39">
        <f>VLOOKUP(H1585,'[2]PUR-HSN MASTER'!$A$4:$E$5052,5,FALSE)</f>
        <v>18</v>
      </c>
      <c r="J1585" s="38">
        <v>7</v>
      </c>
      <c r="K1585" s="40">
        <v>1778</v>
      </c>
      <c r="L1585" s="118">
        <f t="shared" si="26"/>
        <v>0</v>
      </c>
      <c r="M1585" s="118">
        <f t="shared" si="27"/>
        <v>160.02000000000001</v>
      </c>
      <c r="N1585" s="118">
        <f t="shared" si="28"/>
        <v>160.02000000000001</v>
      </c>
      <c r="O1585" s="118">
        <v>0</v>
      </c>
      <c r="P1585" s="127">
        <f>+O1585+N1585+M1585+L1585+K1585+0.06</f>
        <v>2098.1</v>
      </c>
      <c r="Q1585" s="34" t="s">
        <v>410</v>
      </c>
      <c r="R1585" s="34" t="str">
        <f>VLOOKUP(C1585,'PUR-PARTY MASTER'!$B$4:$E$2000,4,FALSE)</f>
        <v>Local</v>
      </c>
      <c r="S1585" s="11" t="s">
        <v>4120</v>
      </c>
    </row>
    <row r="1586" spans="1:19" x14ac:dyDescent="0.2">
      <c r="A1586" s="51">
        <v>43770</v>
      </c>
      <c r="B1586" s="11">
        <v>50</v>
      </c>
      <c r="C1586" s="35" t="s">
        <v>533</v>
      </c>
      <c r="F1586" s="136" t="s">
        <v>4463</v>
      </c>
      <c r="G1586" s="37">
        <v>43784</v>
      </c>
      <c r="H1586" s="34">
        <v>4821</v>
      </c>
      <c r="I1586" s="39">
        <f>VLOOKUP(H1586,'[2]PUR-HSN MASTER'!$A$4:$E$5052,5,FALSE)</f>
        <v>18</v>
      </c>
      <c r="J1586" s="34">
        <v>5000</v>
      </c>
      <c r="K1586" s="126">
        <v>3250</v>
      </c>
      <c r="L1586" s="118">
        <f t="shared" si="26"/>
        <v>0</v>
      </c>
      <c r="M1586" s="118">
        <f t="shared" si="27"/>
        <v>292.5</v>
      </c>
      <c r="N1586" s="118">
        <f t="shared" si="28"/>
        <v>292.5</v>
      </c>
      <c r="O1586" s="118">
        <v>0</v>
      </c>
      <c r="P1586" s="127">
        <f>+O1586+N1586+M1586+L1586+K1586</f>
        <v>3835</v>
      </c>
      <c r="Q1586" s="34" t="s">
        <v>410</v>
      </c>
      <c r="R1586" s="34" t="str">
        <f>VLOOKUP(C1586,'PUR-PARTY MASTER'!$B$4:$E$2000,4,FALSE)</f>
        <v>Local</v>
      </c>
      <c r="S1586" s="11" t="s">
        <v>4120</v>
      </c>
    </row>
    <row r="1587" spans="1:19" x14ac:dyDescent="0.2">
      <c r="A1587" s="51">
        <v>43770</v>
      </c>
      <c r="B1587" s="11">
        <v>51</v>
      </c>
      <c r="C1587" s="35" t="s">
        <v>511</v>
      </c>
      <c r="F1587" s="136" t="s">
        <v>4464</v>
      </c>
      <c r="G1587" s="37">
        <v>43784</v>
      </c>
      <c r="H1587" s="34">
        <v>32082090</v>
      </c>
      <c r="I1587" s="39">
        <f>VLOOKUP(H1587,'[2]PUR-HSN MASTER'!$A$4:$E$5052,5,FALSE)</f>
        <v>18</v>
      </c>
      <c r="J1587" s="34">
        <v>50</v>
      </c>
      <c r="K1587" s="126">
        <v>8750</v>
      </c>
      <c r="L1587" s="39">
        <v>0</v>
      </c>
      <c r="M1587" s="39">
        <v>787.5</v>
      </c>
      <c r="N1587" s="39">
        <v>787.5</v>
      </c>
      <c r="O1587" s="39">
        <v>0</v>
      </c>
      <c r="P1587" s="39">
        <v>10325</v>
      </c>
      <c r="Q1587" s="34" t="s">
        <v>410</v>
      </c>
      <c r="R1587" s="34" t="str">
        <f>VLOOKUP(C1587,'PUR-PARTY MASTER'!$B$4:$E$2000,4,FALSE)</f>
        <v>Local</v>
      </c>
      <c r="S1587" s="11" t="s">
        <v>4120</v>
      </c>
    </row>
    <row r="1588" spans="1:19" x14ac:dyDescent="0.2">
      <c r="A1588" s="51">
        <v>43770</v>
      </c>
      <c r="B1588" s="11">
        <v>52</v>
      </c>
      <c r="C1588" s="35" t="s">
        <v>556</v>
      </c>
      <c r="F1588" s="136" t="s">
        <v>4465</v>
      </c>
      <c r="G1588" s="37">
        <v>43782</v>
      </c>
      <c r="H1588" s="34">
        <v>29141100</v>
      </c>
      <c r="I1588" s="39">
        <f>VLOOKUP(H1588,'[2]PUR-HSN MASTER'!$A$4:$E$5052,5,FALSE)</f>
        <v>18</v>
      </c>
      <c r="J1588" s="34">
        <v>660</v>
      </c>
      <c r="K1588" s="40">
        <v>41580</v>
      </c>
      <c r="L1588" s="118">
        <f t="shared" ref="L1588:L1599" si="29">+IF(R1588="Oms",K1588/100*I1588,0)</f>
        <v>0</v>
      </c>
      <c r="M1588" s="118">
        <f t="shared" ref="M1588:M1593" si="30">+IF(R1588="local",K1588/100*I1588/2,0)</f>
        <v>3742.2000000000003</v>
      </c>
      <c r="N1588" s="118">
        <f t="shared" ref="N1588:N1593" si="31">+IF(R1588="local",K1588/100*I1588/2,0)</f>
        <v>3742.2000000000003</v>
      </c>
      <c r="O1588" s="118">
        <v>0</v>
      </c>
      <c r="P1588" s="127">
        <f>+O1588+N1588+M1588+L1588+K1588+0.1</f>
        <v>49064.5</v>
      </c>
      <c r="Q1588" s="34" t="s">
        <v>410</v>
      </c>
      <c r="R1588" s="34" t="str">
        <f>VLOOKUP(C1588,'PUR-PARTY MASTER'!$B$4:$E$2000,4,FALSE)</f>
        <v>Local</v>
      </c>
      <c r="S1588" s="11" t="s">
        <v>4120</v>
      </c>
    </row>
    <row r="1589" spans="1:19" x14ac:dyDescent="0.2">
      <c r="A1589" s="51">
        <v>43770</v>
      </c>
      <c r="C1589" s="35" t="s">
        <v>556</v>
      </c>
      <c r="F1589" s="136" t="s">
        <v>4465</v>
      </c>
      <c r="G1589" s="37">
        <v>43782</v>
      </c>
      <c r="H1589" s="34">
        <v>29420090</v>
      </c>
      <c r="I1589" s="39">
        <f>VLOOKUP(H1589,'[2]PUR-HSN MASTER'!$A$4:$E$5052,5,FALSE)</f>
        <v>18</v>
      </c>
      <c r="J1589" s="34">
        <v>440</v>
      </c>
      <c r="K1589" s="40">
        <v>26840</v>
      </c>
      <c r="L1589" s="118">
        <f t="shared" si="29"/>
        <v>0</v>
      </c>
      <c r="M1589" s="118">
        <f t="shared" si="30"/>
        <v>2415.6</v>
      </c>
      <c r="N1589" s="118">
        <f t="shared" si="31"/>
        <v>2415.6</v>
      </c>
      <c r="O1589" s="118">
        <v>0</v>
      </c>
      <c r="P1589" s="127">
        <f>+O1589+N1589+M1589+L1589+K1589+0.3</f>
        <v>31671.5</v>
      </c>
      <c r="Q1589" s="34" t="s">
        <v>410</v>
      </c>
      <c r="R1589" s="34" t="str">
        <f>VLOOKUP(C1589,'PUR-PARTY MASTER'!$B$4:$E$2000,4,FALSE)</f>
        <v>Local</v>
      </c>
      <c r="S1589" s="11" t="s">
        <v>4120</v>
      </c>
    </row>
    <row r="1590" spans="1:19" x14ac:dyDescent="0.2">
      <c r="A1590" s="51">
        <v>43770</v>
      </c>
      <c r="B1590" s="11">
        <v>53</v>
      </c>
      <c r="C1590" s="35" t="s">
        <v>634</v>
      </c>
      <c r="F1590" s="136" t="s">
        <v>4466</v>
      </c>
      <c r="G1590" s="37">
        <v>43784</v>
      </c>
      <c r="H1590" s="34">
        <v>84137010</v>
      </c>
      <c r="I1590" s="39">
        <f>VLOOKUP(H1590,'[2]PUR-HSN MASTER'!$A$4:$E$5052,5,FALSE)</f>
        <v>12</v>
      </c>
      <c r="J1590" s="38">
        <v>1</v>
      </c>
      <c r="K1590" s="40">
        <v>2650</v>
      </c>
      <c r="L1590" s="118">
        <f t="shared" si="29"/>
        <v>0</v>
      </c>
      <c r="M1590" s="118">
        <f t="shared" si="30"/>
        <v>159</v>
      </c>
      <c r="N1590" s="118">
        <f t="shared" si="31"/>
        <v>159</v>
      </c>
      <c r="O1590" s="118">
        <v>0</v>
      </c>
      <c r="P1590" s="127">
        <f>+O1590+N1590+M1590+L1590+K1590</f>
        <v>2968</v>
      </c>
      <c r="Q1590" s="34" t="s">
        <v>410</v>
      </c>
      <c r="R1590" s="34" t="str">
        <f>VLOOKUP(C1590,'PUR-PARTY MASTER'!$B$4:$E$2000,4,FALSE)</f>
        <v>Local</v>
      </c>
      <c r="S1590" s="11" t="s">
        <v>4120</v>
      </c>
    </row>
    <row r="1591" spans="1:19" x14ac:dyDescent="0.2">
      <c r="A1591" s="51">
        <v>43770</v>
      </c>
      <c r="C1591" s="35" t="s">
        <v>634</v>
      </c>
      <c r="F1591" s="136" t="s">
        <v>4466</v>
      </c>
      <c r="G1591" s="37">
        <v>43784</v>
      </c>
      <c r="H1591" s="34">
        <v>85446090</v>
      </c>
      <c r="I1591" s="39">
        <f>VLOOKUP(H1591,'[2]PUR-HSN MASTER'!$A$4:$E$5052,5,FALSE)</f>
        <v>18</v>
      </c>
      <c r="J1591" s="38">
        <v>100</v>
      </c>
      <c r="K1591" s="40">
        <v>3850</v>
      </c>
      <c r="L1591" s="118">
        <f t="shared" si="29"/>
        <v>0</v>
      </c>
      <c r="M1591" s="118">
        <f t="shared" si="30"/>
        <v>346.5</v>
      </c>
      <c r="N1591" s="118">
        <f t="shared" si="31"/>
        <v>346.5</v>
      </c>
      <c r="O1591" s="118">
        <v>0</v>
      </c>
      <c r="P1591" s="127">
        <f>+O1591+N1591+M1591+L1591+K1591</f>
        <v>4543</v>
      </c>
      <c r="Q1591" s="34" t="s">
        <v>410</v>
      </c>
      <c r="R1591" s="34" t="str">
        <f>VLOOKUP(C1591,'PUR-PARTY MASTER'!$B$4:$E$2000,4,FALSE)</f>
        <v>Local</v>
      </c>
      <c r="S1591" s="11" t="s">
        <v>4120</v>
      </c>
    </row>
    <row r="1592" spans="1:19" x14ac:dyDescent="0.2">
      <c r="A1592" s="51">
        <v>43770</v>
      </c>
      <c r="B1592" s="11">
        <v>54</v>
      </c>
      <c r="C1592" s="35" t="s">
        <v>506</v>
      </c>
      <c r="F1592" s="136" t="s">
        <v>4467</v>
      </c>
      <c r="G1592" s="37">
        <v>43784</v>
      </c>
      <c r="H1592" s="34">
        <v>32082090</v>
      </c>
      <c r="I1592" s="39">
        <f>VLOOKUP(H1592,'[2]PUR-HSN MASTER'!$A$4:$E$5052,5,FALSE)</f>
        <v>18</v>
      </c>
      <c r="J1592" s="34">
        <v>60</v>
      </c>
      <c r="K1592" s="126">
        <v>21000</v>
      </c>
      <c r="L1592" s="118">
        <f t="shared" si="29"/>
        <v>0</v>
      </c>
      <c r="M1592" s="118">
        <f t="shared" si="30"/>
        <v>1890</v>
      </c>
      <c r="N1592" s="118">
        <f t="shared" si="31"/>
        <v>1890</v>
      </c>
      <c r="O1592" s="118">
        <v>0</v>
      </c>
      <c r="P1592" s="127">
        <f>+O1592+N1592+M1592+L1592+K1592</f>
        <v>24780</v>
      </c>
      <c r="Q1592" s="34" t="s">
        <v>410</v>
      </c>
      <c r="R1592" s="34" t="str">
        <f>VLOOKUP(C1592,'PUR-PARTY MASTER'!$B$4:$E$2000,4,FALSE)</f>
        <v>Local</v>
      </c>
      <c r="S1592" s="11" t="s">
        <v>4120</v>
      </c>
    </row>
    <row r="1593" spans="1:19" x14ac:dyDescent="0.2">
      <c r="A1593" s="51">
        <v>43770</v>
      </c>
      <c r="B1593" s="564">
        <v>55</v>
      </c>
      <c r="C1593" s="35" t="s">
        <v>514</v>
      </c>
      <c r="F1593" s="136" t="s">
        <v>4468</v>
      </c>
      <c r="G1593" s="37">
        <v>43784</v>
      </c>
      <c r="H1593" s="34">
        <v>9971</v>
      </c>
      <c r="I1593" s="39">
        <f>VLOOKUP(H1593,'[2]PUR-HSN MASTER'!$A$4:$E$5052,5,FALSE)</f>
        <v>18</v>
      </c>
      <c r="J1593" s="34">
        <v>0</v>
      </c>
      <c r="K1593" s="40">
        <v>120672</v>
      </c>
      <c r="L1593" s="118">
        <f t="shared" si="29"/>
        <v>0</v>
      </c>
      <c r="M1593" s="118">
        <f t="shared" si="30"/>
        <v>10860.48</v>
      </c>
      <c r="N1593" s="118">
        <f t="shared" si="31"/>
        <v>10860.48</v>
      </c>
      <c r="O1593" s="118">
        <v>0</v>
      </c>
      <c r="P1593" s="127">
        <f>+O1593+N1593+M1593+L1593+K1593</f>
        <v>142392.95999999999</v>
      </c>
      <c r="Q1593" s="34" t="s">
        <v>411</v>
      </c>
      <c r="R1593" s="34" t="str">
        <f>VLOOKUP(C1593,'PUR-PARTY MASTER'!$B$4:$E$2000,4,FALSE)</f>
        <v>Local</v>
      </c>
      <c r="S1593" s="11" t="s">
        <v>4120</v>
      </c>
    </row>
    <row r="1594" spans="1:19" x14ac:dyDescent="0.2">
      <c r="A1594" s="51">
        <v>43770</v>
      </c>
      <c r="B1594" s="11">
        <v>56</v>
      </c>
      <c r="C1594" s="35" t="s">
        <v>473</v>
      </c>
      <c r="F1594" s="136" t="s">
        <v>4469</v>
      </c>
      <c r="G1594" s="37">
        <v>43784</v>
      </c>
      <c r="H1594" s="34">
        <v>87089900</v>
      </c>
      <c r="I1594" s="39">
        <f>VLOOKUP(H1594,'[2]PUR-HSN MASTER'!$A$4:$E$5052,5,FALSE)</f>
        <v>28</v>
      </c>
      <c r="J1594" s="34">
        <v>76</v>
      </c>
      <c r="K1594" s="126">
        <v>11286.6</v>
      </c>
      <c r="L1594" s="118">
        <f t="shared" si="29"/>
        <v>0</v>
      </c>
      <c r="M1594" s="118">
        <f>+IF(R1594="local",K1594/100*I1594/2,0)-0.12</f>
        <v>1580.0040000000001</v>
      </c>
      <c r="N1594" s="118">
        <f>+IF(R1594="local",K1594/100*I1594/2,0)-0.12</f>
        <v>1580.0040000000001</v>
      </c>
      <c r="O1594" s="118">
        <v>0</v>
      </c>
      <c r="P1594" s="127">
        <f>+O1594+N1594+M1594+L1594+K1594-0.01</f>
        <v>14446.598</v>
      </c>
      <c r="Q1594" s="34" t="s">
        <v>410</v>
      </c>
      <c r="R1594" s="34" t="str">
        <f>VLOOKUP(C1594,'PUR-PARTY MASTER'!$B$4:$E$2000,4,FALSE)</f>
        <v>Local</v>
      </c>
      <c r="S1594" s="11" t="s">
        <v>4120</v>
      </c>
    </row>
    <row r="1595" spans="1:19" x14ac:dyDescent="0.2">
      <c r="A1595" s="51">
        <v>43770</v>
      </c>
      <c r="B1595" s="11">
        <v>57</v>
      </c>
      <c r="C1595" s="35" t="s">
        <v>471</v>
      </c>
      <c r="F1595" s="134">
        <v>192006929</v>
      </c>
      <c r="G1595" s="37">
        <v>43784</v>
      </c>
      <c r="H1595" s="34">
        <v>87089900</v>
      </c>
      <c r="I1595" s="39">
        <f>VLOOKUP(H1595,'[2]PUR-HSN MASTER'!$A$4:$E$5052,5,FALSE)</f>
        <v>28</v>
      </c>
      <c r="J1595" s="34">
        <v>12</v>
      </c>
      <c r="K1595" s="126">
        <v>17483.52</v>
      </c>
      <c r="L1595" s="118">
        <f t="shared" si="29"/>
        <v>0</v>
      </c>
      <c r="M1595" s="118">
        <f t="shared" ref="M1595:M1601" si="32">+IF(R1595="local",K1595/100*I1595/2,0)</f>
        <v>2447.6928000000003</v>
      </c>
      <c r="N1595" s="118">
        <f t="shared" ref="N1595:N1601" si="33">+IF(R1595="local",K1595/100*I1595/2,0)</f>
        <v>2447.6928000000003</v>
      </c>
      <c r="O1595" s="118">
        <v>0</v>
      </c>
      <c r="P1595" s="127">
        <f>+O1595+N1595+M1595+L1595+K1595-0.01</f>
        <v>22378.895600000003</v>
      </c>
      <c r="Q1595" s="34" t="s">
        <v>410</v>
      </c>
      <c r="R1595" s="34" t="str">
        <f>VLOOKUP(C1595,'PUR-PARTY MASTER'!$B$4:$E$2000,4,FALSE)</f>
        <v>Local</v>
      </c>
      <c r="S1595" s="11" t="s">
        <v>4120</v>
      </c>
    </row>
    <row r="1596" spans="1:19" x14ac:dyDescent="0.2">
      <c r="A1596" s="51">
        <v>43770</v>
      </c>
      <c r="B1596" s="11">
        <v>58</v>
      </c>
      <c r="C1596" s="35" t="s">
        <v>471</v>
      </c>
      <c r="F1596" s="134">
        <v>192006930</v>
      </c>
      <c r="G1596" s="37">
        <v>43784</v>
      </c>
      <c r="H1596" s="34">
        <v>87089900</v>
      </c>
      <c r="I1596" s="39">
        <f>VLOOKUP(H1596,'[2]PUR-HSN MASTER'!$A$4:$E$5052,5,FALSE)</f>
        <v>28</v>
      </c>
      <c r="J1596" s="34">
        <v>12</v>
      </c>
      <c r="K1596" s="126">
        <v>17483.52</v>
      </c>
      <c r="L1596" s="118">
        <f t="shared" si="29"/>
        <v>0</v>
      </c>
      <c r="M1596" s="118">
        <f t="shared" si="32"/>
        <v>2447.6928000000003</v>
      </c>
      <c r="N1596" s="118">
        <f t="shared" si="33"/>
        <v>2447.6928000000003</v>
      </c>
      <c r="O1596" s="118">
        <v>0</v>
      </c>
      <c r="P1596" s="127">
        <f>+O1596+N1596+M1596+L1596+K1596-0.01</f>
        <v>22378.895600000003</v>
      </c>
      <c r="Q1596" s="34" t="s">
        <v>410</v>
      </c>
      <c r="R1596" s="34" t="str">
        <f>VLOOKUP(C1596,'PUR-PARTY MASTER'!$B$4:$E$2000,4,FALSE)</f>
        <v>Local</v>
      </c>
      <c r="S1596" s="11" t="s">
        <v>4120</v>
      </c>
    </row>
    <row r="1597" spans="1:19" x14ac:dyDescent="0.2">
      <c r="A1597" s="51">
        <v>43770</v>
      </c>
      <c r="B1597" s="11">
        <v>59</v>
      </c>
      <c r="C1597" s="35" t="s">
        <v>493</v>
      </c>
      <c r="F1597" s="134">
        <v>3736</v>
      </c>
      <c r="G1597" s="37">
        <v>43785</v>
      </c>
      <c r="H1597" s="34">
        <v>85129000</v>
      </c>
      <c r="I1597" s="39">
        <f>VLOOKUP(H1597,'[2]PUR-HSN MASTER'!$A$4:$E$5052,5,FALSE)</f>
        <v>18</v>
      </c>
      <c r="J1597" s="34">
        <v>631</v>
      </c>
      <c r="K1597" s="126">
        <v>20608.46</v>
      </c>
      <c r="L1597" s="118">
        <f t="shared" si="29"/>
        <v>0</v>
      </c>
      <c r="M1597" s="118">
        <f t="shared" si="32"/>
        <v>1854.7613999999999</v>
      </c>
      <c r="N1597" s="118">
        <f t="shared" si="33"/>
        <v>1854.7613999999999</v>
      </c>
      <c r="O1597" s="118">
        <v>0</v>
      </c>
      <c r="P1597" s="127">
        <f>+O1597+N1597+M1597+L1597+K1597+0.02</f>
        <v>24318.002799999998</v>
      </c>
      <c r="Q1597" s="34" t="s">
        <v>410</v>
      </c>
      <c r="R1597" s="34" t="str">
        <f>VLOOKUP(C1597,'PUR-PARTY MASTER'!$B$4:$E$2000,4,FALSE)</f>
        <v>Local</v>
      </c>
      <c r="S1597" s="11" t="s">
        <v>4120</v>
      </c>
    </row>
    <row r="1598" spans="1:19" x14ac:dyDescent="0.2">
      <c r="A1598" s="51">
        <v>43770</v>
      </c>
      <c r="B1598" s="11">
        <v>60</v>
      </c>
      <c r="C1598" s="632" t="s">
        <v>1127</v>
      </c>
      <c r="F1598" s="136">
        <v>280219126033</v>
      </c>
      <c r="G1598" s="37">
        <v>43787</v>
      </c>
      <c r="H1598" s="34">
        <v>996511</v>
      </c>
      <c r="I1598" s="39">
        <f>VLOOKUP(H1598,'[2]PUR-HSN MASTER'!$A$4:$E$5052,5,FALSE)</f>
        <v>12</v>
      </c>
      <c r="J1598" s="34">
        <v>0</v>
      </c>
      <c r="K1598" s="126">
        <v>4154.72</v>
      </c>
      <c r="L1598" s="118">
        <f t="shared" si="29"/>
        <v>0</v>
      </c>
      <c r="M1598" s="118">
        <f t="shared" si="32"/>
        <v>249.28320000000002</v>
      </c>
      <c r="N1598" s="118">
        <f t="shared" si="33"/>
        <v>249.28320000000002</v>
      </c>
      <c r="O1598" s="118">
        <v>0</v>
      </c>
      <c r="P1598" s="127">
        <f>+O1598+N1598+M1598+L1598+K1598-0.01</f>
        <v>4653.2763999999997</v>
      </c>
      <c r="Q1598" s="34" t="s">
        <v>411</v>
      </c>
      <c r="R1598" s="34" t="str">
        <f>VLOOKUP(C1598,'PUR-PARTY MASTER'!$B$4:$E$2000,4,FALSE)</f>
        <v>Local</v>
      </c>
      <c r="S1598" s="11" t="s">
        <v>4120</v>
      </c>
    </row>
    <row r="1599" spans="1:19" x14ac:dyDescent="0.2">
      <c r="A1599" s="51">
        <v>43770</v>
      </c>
      <c r="B1599" s="11">
        <v>61</v>
      </c>
      <c r="C1599" s="35" t="s">
        <v>476</v>
      </c>
      <c r="F1599" s="136" t="s">
        <v>4470</v>
      </c>
      <c r="G1599" s="37">
        <v>43787</v>
      </c>
      <c r="H1599" s="34" t="s">
        <v>732</v>
      </c>
      <c r="I1599" s="39">
        <f>VLOOKUP(H1599,'[2]PUR-HSN MASTER'!$A$4:$E$5052,5,FALSE)</f>
        <v>18</v>
      </c>
      <c r="J1599" s="38">
        <v>0</v>
      </c>
      <c r="K1599" s="40">
        <v>40650</v>
      </c>
      <c r="L1599" s="118">
        <f t="shared" si="29"/>
        <v>0</v>
      </c>
      <c r="M1599" s="118">
        <f t="shared" si="32"/>
        <v>3658.5</v>
      </c>
      <c r="N1599" s="118">
        <f t="shared" si="33"/>
        <v>3658.5</v>
      </c>
      <c r="O1599" s="118">
        <v>0</v>
      </c>
      <c r="P1599" s="127">
        <f>+O1599+N1599+M1599+L1599+K1599</f>
        <v>47967</v>
      </c>
      <c r="Q1599" s="34" t="s">
        <v>410</v>
      </c>
      <c r="R1599" s="34" t="str">
        <f>VLOOKUP(C1599,'PUR-PARTY MASTER'!$B$4:$E$2000,4,FALSE)</f>
        <v>Local</v>
      </c>
      <c r="S1599" s="11" t="s">
        <v>4120</v>
      </c>
    </row>
    <row r="1600" spans="1:19" x14ac:dyDescent="0.2">
      <c r="A1600" s="51">
        <v>43770</v>
      </c>
      <c r="B1600" s="11">
        <v>62</v>
      </c>
      <c r="C1600" s="35" t="s">
        <v>487</v>
      </c>
      <c r="F1600" s="134">
        <v>1513</v>
      </c>
      <c r="G1600" s="37">
        <v>43787</v>
      </c>
      <c r="H1600" s="34">
        <v>34029092</v>
      </c>
      <c r="I1600" s="39">
        <f>VLOOKUP(H1600,'[2]PUR-HSN MASTER'!$A$4:$E$5052,5,FALSE)</f>
        <v>18</v>
      </c>
      <c r="J1600" s="38">
        <v>100</v>
      </c>
      <c r="K1600" s="40">
        <v>8000</v>
      </c>
      <c r="L1600" s="118">
        <f>+IF(R1600="Oms",K1600/100*I1600,0)</f>
        <v>0</v>
      </c>
      <c r="M1600" s="118">
        <f t="shared" si="32"/>
        <v>720</v>
      </c>
      <c r="N1600" s="118">
        <f t="shared" si="33"/>
        <v>720</v>
      </c>
      <c r="O1600" s="118">
        <v>0</v>
      </c>
      <c r="P1600" s="127">
        <f>+O1600+N1600+M1600+L1600+K1600</f>
        <v>9440</v>
      </c>
      <c r="Q1600" s="34" t="s">
        <v>410</v>
      </c>
      <c r="R1600" s="34" t="str">
        <f>VLOOKUP(C1600,'PUR-PARTY MASTER'!$B$4:$E$2000,4,FALSE)</f>
        <v>Local</v>
      </c>
      <c r="S1600" s="11" t="s">
        <v>4120</v>
      </c>
    </row>
    <row r="1601" spans="1:19" x14ac:dyDescent="0.2">
      <c r="A1601" s="51">
        <v>43770</v>
      </c>
      <c r="B1601" s="11">
        <v>63</v>
      </c>
      <c r="C1601" s="35" t="s">
        <v>677</v>
      </c>
      <c r="F1601" s="136" t="s">
        <v>4471</v>
      </c>
      <c r="G1601" s="37">
        <v>43782</v>
      </c>
      <c r="H1601" s="34">
        <v>87081090</v>
      </c>
      <c r="I1601" s="39">
        <f>VLOOKUP(H1601,'[2]PUR-HSN MASTER'!$A$4:$E$5052,5,FALSE)</f>
        <v>28</v>
      </c>
      <c r="J1601" s="34">
        <v>300</v>
      </c>
      <c r="K1601" s="126">
        <v>13569</v>
      </c>
      <c r="L1601" s="118">
        <f t="shared" ref="L1601:L1620" si="34">+IF(R1601="Oms",K1601/100*I1601,0)</f>
        <v>3799.3199999999997</v>
      </c>
      <c r="M1601" s="118">
        <f t="shared" si="32"/>
        <v>0</v>
      </c>
      <c r="N1601" s="118">
        <f t="shared" si="33"/>
        <v>0</v>
      </c>
      <c r="O1601" s="118">
        <v>0</v>
      </c>
      <c r="P1601" s="127">
        <f t="shared" ref="P1601" si="35">+O1601+N1601+M1601+L1601+K1601</f>
        <v>17368.32</v>
      </c>
      <c r="Q1601" s="34" t="s">
        <v>410</v>
      </c>
      <c r="R1601" s="34" t="str">
        <f>VLOOKUP(C1601,'PUR-PARTY MASTER'!$B$4:$E$2000,4,FALSE)</f>
        <v>Oms</v>
      </c>
      <c r="S1601" s="11" t="s">
        <v>4120</v>
      </c>
    </row>
    <row r="1602" spans="1:19" x14ac:dyDescent="0.2">
      <c r="A1602" s="51">
        <v>43770</v>
      </c>
      <c r="B1602" s="11">
        <v>64</v>
      </c>
      <c r="C1602" s="35" t="s">
        <v>473</v>
      </c>
      <c r="F1602" s="136" t="s">
        <v>4472</v>
      </c>
      <c r="G1602" s="37">
        <v>43787</v>
      </c>
      <c r="H1602" s="34">
        <v>87089900</v>
      </c>
      <c r="I1602" s="39">
        <f>VLOOKUP(H1602,'[2]PUR-HSN MASTER'!$A$4:$E$5052,5,FALSE)</f>
        <v>28</v>
      </c>
      <c r="J1602" s="34">
        <v>20</v>
      </c>
      <c r="K1602" s="126">
        <v>3206</v>
      </c>
      <c r="L1602" s="118">
        <f t="shared" si="34"/>
        <v>0</v>
      </c>
      <c r="M1602" s="118">
        <f>+IF(R1602="local",K1602/100*I1602/2,0)+0.16</f>
        <v>449.00000000000006</v>
      </c>
      <c r="N1602" s="118">
        <f>+IF(R1602="local",K1602/100*I1602/2,0)+0.16</f>
        <v>449.00000000000006</v>
      </c>
      <c r="O1602" s="118">
        <v>0</v>
      </c>
      <c r="P1602" s="127">
        <f>+O1602+N1602+M1602+L1602+K1602</f>
        <v>4104</v>
      </c>
      <c r="Q1602" s="34" t="s">
        <v>410</v>
      </c>
      <c r="R1602" s="34" t="str">
        <f>VLOOKUP(C1602,'PUR-PARTY MASTER'!$B$4:$E$2000,4,FALSE)</f>
        <v>Local</v>
      </c>
      <c r="S1602" s="11" t="s">
        <v>4120</v>
      </c>
    </row>
    <row r="1603" spans="1:19" x14ac:dyDescent="0.2">
      <c r="A1603" s="51">
        <v>43770</v>
      </c>
      <c r="B1603" s="11">
        <v>65</v>
      </c>
      <c r="C1603" s="35" t="s">
        <v>473</v>
      </c>
      <c r="F1603" s="136" t="s">
        <v>4473</v>
      </c>
      <c r="G1603" s="37">
        <v>43787</v>
      </c>
      <c r="H1603" s="34">
        <v>87089900</v>
      </c>
      <c r="I1603" s="39">
        <f>VLOOKUP(H1603,'[2]PUR-HSN MASTER'!$A$4:$E$5052,5,FALSE)</f>
        <v>28</v>
      </c>
      <c r="J1603" s="34">
        <v>111</v>
      </c>
      <c r="K1603" s="126">
        <v>5554.65</v>
      </c>
      <c r="L1603" s="118">
        <f t="shared" si="34"/>
        <v>0</v>
      </c>
      <c r="M1603" s="118">
        <f>+IF(R1603="local",K1603/100*I1603/2,0)+0.35</f>
        <v>778.00099999999998</v>
      </c>
      <c r="N1603" s="118">
        <f>+IF(R1603="local",K1603/100*I1603/2,0)+0.35</f>
        <v>778.00099999999998</v>
      </c>
      <c r="O1603" s="118">
        <v>0</v>
      </c>
      <c r="P1603" s="127">
        <f>+O1603+N1603+M1603+L1603+K1603</f>
        <v>7110.652</v>
      </c>
      <c r="Q1603" s="34" t="s">
        <v>410</v>
      </c>
      <c r="R1603" s="34" t="str">
        <f>VLOOKUP(C1603,'PUR-PARTY MASTER'!$B$4:$E$2000,4,FALSE)</f>
        <v>Local</v>
      </c>
      <c r="S1603" s="11" t="s">
        <v>4120</v>
      </c>
    </row>
    <row r="1604" spans="1:19" x14ac:dyDescent="0.2">
      <c r="A1604" s="51">
        <v>43770</v>
      </c>
      <c r="B1604" s="11">
        <v>66</v>
      </c>
      <c r="C1604" s="34" t="s">
        <v>601</v>
      </c>
      <c r="F1604" s="134">
        <v>5909</v>
      </c>
      <c r="G1604" s="37">
        <v>43787</v>
      </c>
      <c r="H1604" s="34">
        <v>87082900</v>
      </c>
      <c r="I1604" s="39">
        <f>VLOOKUP(H1604,'[2]PUR-HSN MASTER'!$A$4:$E$5052,5,FALSE)</f>
        <v>28</v>
      </c>
      <c r="J1604" s="34">
        <v>740</v>
      </c>
      <c r="K1604" s="39">
        <v>31501.8</v>
      </c>
      <c r="L1604" s="118">
        <f t="shared" si="34"/>
        <v>0</v>
      </c>
      <c r="M1604" s="118">
        <f t="shared" ref="M1604:M1635" si="36">+IF(R1604="local",K1604/100*I1604/2,0)</f>
        <v>4410.2519999999995</v>
      </c>
      <c r="N1604" s="118">
        <f t="shared" ref="N1604:N1635" si="37">+IF(R1604="local",K1604/100*I1604/2,0)</f>
        <v>4410.2519999999995</v>
      </c>
      <c r="O1604" s="118">
        <v>0</v>
      </c>
      <c r="P1604" s="127">
        <f>+O1604+N1604+M1604+L1604+K1604</f>
        <v>40322.303999999996</v>
      </c>
      <c r="Q1604" s="34" t="s">
        <v>410</v>
      </c>
      <c r="R1604" s="34" t="str">
        <f>VLOOKUP(C1604,'PUR-PARTY MASTER'!$B$4:$E$2000,4,FALSE)</f>
        <v>Local</v>
      </c>
      <c r="S1604" s="11" t="s">
        <v>4120</v>
      </c>
    </row>
    <row r="1605" spans="1:19" x14ac:dyDescent="0.2">
      <c r="A1605" s="51">
        <v>43770</v>
      </c>
      <c r="B1605" s="11">
        <v>67</v>
      </c>
      <c r="C1605" s="34" t="s">
        <v>601</v>
      </c>
      <c r="F1605" s="134">
        <v>5910</v>
      </c>
      <c r="G1605" s="37">
        <v>43787</v>
      </c>
      <c r="H1605" s="34">
        <v>87082900</v>
      </c>
      <c r="I1605" s="39">
        <f>VLOOKUP(H1605,'[2]PUR-HSN MASTER'!$A$4:$E$5052,5,FALSE)</f>
        <v>28</v>
      </c>
      <c r="J1605" s="34">
        <v>360</v>
      </c>
      <c r="K1605" s="39">
        <v>8035.2</v>
      </c>
      <c r="L1605" s="118">
        <f t="shared" si="34"/>
        <v>0</v>
      </c>
      <c r="M1605" s="118">
        <f t="shared" si="36"/>
        <v>1124.9280000000001</v>
      </c>
      <c r="N1605" s="118">
        <f t="shared" si="37"/>
        <v>1124.9280000000001</v>
      </c>
      <c r="O1605" s="118">
        <v>0</v>
      </c>
      <c r="P1605" s="127">
        <f>+O1605+N1605+M1605+L1605+K1605</f>
        <v>10285.056</v>
      </c>
      <c r="Q1605" s="34" t="s">
        <v>410</v>
      </c>
      <c r="R1605" s="34" t="str">
        <f>VLOOKUP(C1605,'PUR-PARTY MASTER'!$B$4:$E$2000,4,FALSE)</f>
        <v>Local</v>
      </c>
      <c r="S1605" s="11" t="s">
        <v>4120</v>
      </c>
    </row>
    <row r="1606" spans="1:19" x14ac:dyDescent="0.2">
      <c r="A1606" s="51">
        <v>43770</v>
      </c>
      <c r="B1606" s="11">
        <v>68</v>
      </c>
      <c r="C1606" s="35" t="s">
        <v>495</v>
      </c>
      <c r="F1606" s="134">
        <v>5510063853</v>
      </c>
      <c r="G1606" s="37">
        <v>43787</v>
      </c>
      <c r="H1606" s="34">
        <v>85129000</v>
      </c>
      <c r="I1606" s="39">
        <f>VLOOKUP(H1606,'[2]PUR-HSN MASTER'!$A$4:$E$5052,5,FALSE)</f>
        <v>18</v>
      </c>
      <c r="J1606" s="34">
        <v>4800</v>
      </c>
      <c r="K1606" s="126">
        <v>53088</v>
      </c>
      <c r="L1606" s="118">
        <f t="shared" si="34"/>
        <v>0</v>
      </c>
      <c r="M1606" s="118">
        <f t="shared" si="36"/>
        <v>4777.92</v>
      </c>
      <c r="N1606" s="118">
        <f t="shared" si="37"/>
        <v>4777.92</v>
      </c>
      <c r="O1606" s="118">
        <v>0</v>
      </c>
      <c r="P1606" s="127">
        <f>+O1606+N1606+M1606+L1606+K1606</f>
        <v>62643.839999999997</v>
      </c>
      <c r="Q1606" s="34" t="s">
        <v>410</v>
      </c>
      <c r="R1606" s="34" t="str">
        <f>VLOOKUP(C1606,'PUR-PARTY MASTER'!$B$4:$E$2000,4,FALSE)</f>
        <v>Local</v>
      </c>
      <c r="S1606" s="11" t="s">
        <v>4120</v>
      </c>
    </row>
    <row r="1607" spans="1:19" x14ac:dyDescent="0.2">
      <c r="A1607" s="51">
        <v>43770</v>
      </c>
      <c r="B1607" s="11">
        <v>69</v>
      </c>
      <c r="C1607" s="35" t="s">
        <v>506</v>
      </c>
      <c r="F1607" s="136" t="s">
        <v>4474</v>
      </c>
      <c r="G1607" s="37">
        <v>43787</v>
      </c>
      <c r="H1607" s="34">
        <v>32082090</v>
      </c>
      <c r="I1607" s="39">
        <f>VLOOKUP(H1607,'[2]PUR-HSN MASTER'!$A$4:$E$5052,5,FALSE)</f>
        <v>18</v>
      </c>
      <c r="J1607" s="34">
        <v>200</v>
      </c>
      <c r="K1607" s="126">
        <v>69758</v>
      </c>
      <c r="L1607" s="118">
        <f t="shared" si="34"/>
        <v>0</v>
      </c>
      <c r="M1607" s="118">
        <f t="shared" si="36"/>
        <v>6278.22</v>
      </c>
      <c r="N1607" s="118">
        <f t="shared" si="37"/>
        <v>6278.22</v>
      </c>
      <c r="O1607" s="118">
        <v>0</v>
      </c>
      <c r="P1607" s="127">
        <f>+O1607+N1607+M1607+L1607+K1607-0.44</f>
        <v>82314</v>
      </c>
      <c r="Q1607" s="34" t="s">
        <v>410</v>
      </c>
      <c r="R1607" s="34" t="str">
        <f>VLOOKUP(C1607,'PUR-PARTY MASTER'!$B$4:$E$2000,4,FALSE)</f>
        <v>Local</v>
      </c>
      <c r="S1607" s="11" t="s">
        <v>4120</v>
      </c>
    </row>
    <row r="1608" spans="1:19" x14ac:dyDescent="0.2">
      <c r="A1608" s="51">
        <v>43770</v>
      </c>
      <c r="B1608" s="11">
        <v>70</v>
      </c>
      <c r="C1608" s="35" t="s">
        <v>506</v>
      </c>
      <c r="F1608" s="136" t="s">
        <v>4475</v>
      </c>
      <c r="G1608" s="37">
        <v>43787</v>
      </c>
      <c r="H1608" s="34">
        <v>38140010</v>
      </c>
      <c r="I1608" s="39">
        <f>VLOOKUP(H1608,'[2]PUR-HSN MASTER'!$A$4:$E$5052,5,FALSE)</f>
        <v>18</v>
      </c>
      <c r="J1608" s="34">
        <v>100</v>
      </c>
      <c r="K1608" s="126">
        <v>9240</v>
      </c>
      <c r="L1608" s="118">
        <f t="shared" si="34"/>
        <v>0</v>
      </c>
      <c r="M1608" s="118">
        <f t="shared" si="36"/>
        <v>831.6</v>
      </c>
      <c r="N1608" s="118">
        <f t="shared" si="37"/>
        <v>831.6</v>
      </c>
      <c r="O1608" s="118">
        <v>0</v>
      </c>
      <c r="P1608" s="127">
        <f>+O1608+N1608+M1608+L1608+K1608-0.2</f>
        <v>10903</v>
      </c>
      <c r="Q1608" s="34" t="s">
        <v>410</v>
      </c>
      <c r="R1608" s="34" t="str">
        <f>VLOOKUP(C1608,'PUR-PARTY MASTER'!$B$4:$E$2000,4,FALSE)</f>
        <v>Local</v>
      </c>
      <c r="S1608" s="11" t="s">
        <v>4120</v>
      </c>
    </row>
    <row r="1609" spans="1:19" x14ac:dyDescent="0.2">
      <c r="A1609" s="51">
        <v>43770</v>
      </c>
      <c r="B1609" s="34">
        <v>71</v>
      </c>
      <c r="C1609" s="632" t="s">
        <v>1090</v>
      </c>
      <c r="F1609" s="136">
        <v>2620</v>
      </c>
      <c r="G1609" s="37">
        <v>43787</v>
      </c>
      <c r="H1609" s="34">
        <v>25232910</v>
      </c>
      <c r="I1609" s="39">
        <f>VLOOKUP(H1609,'[2]PUR-HSN MASTER'!$A$4:$E$5052,5,FALSE)</f>
        <v>28</v>
      </c>
      <c r="J1609" s="34">
        <v>100</v>
      </c>
      <c r="K1609" s="126">
        <v>23046.880000000001</v>
      </c>
      <c r="L1609" s="118">
        <f t="shared" si="34"/>
        <v>0</v>
      </c>
      <c r="M1609" s="118">
        <f t="shared" si="36"/>
        <v>3226.5632000000001</v>
      </c>
      <c r="N1609" s="118">
        <f t="shared" si="37"/>
        <v>3226.5632000000001</v>
      </c>
      <c r="O1609" s="118">
        <v>0</v>
      </c>
      <c r="P1609" s="127">
        <f>+O1609+N1609+M1609+L1609+K1609-0.01</f>
        <v>29499.996400000004</v>
      </c>
      <c r="Q1609" s="34" t="s">
        <v>410</v>
      </c>
      <c r="R1609" s="34" t="str">
        <f>VLOOKUP(C1609,'PUR-PARTY MASTER'!$B$4:$E$2000,4,FALSE)</f>
        <v>Local</v>
      </c>
      <c r="S1609" s="11" t="s">
        <v>4120</v>
      </c>
    </row>
    <row r="1610" spans="1:19" x14ac:dyDescent="0.2">
      <c r="A1610" s="51">
        <v>43770</v>
      </c>
      <c r="B1610" s="34">
        <v>72</v>
      </c>
      <c r="C1610" s="632" t="s">
        <v>4269</v>
      </c>
      <c r="F1610" s="136" t="s">
        <v>4476</v>
      </c>
      <c r="G1610" s="37">
        <v>43788</v>
      </c>
      <c r="H1610" s="34">
        <v>9405</v>
      </c>
      <c r="I1610" s="39">
        <f>VLOOKUP(H1610,'[2]PUR-HSN MASTER'!$A$4:$E$5052,5,FALSE)</f>
        <v>12</v>
      </c>
      <c r="J1610" s="34">
        <v>10</v>
      </c>
      <c r="K1610" s="126">
        <v>24920</v>
      </c>
      <c r="L1610" s="118">
        <f t="shared" si="34"/>
        <v>0</v>
      </c>
      <c r="M1610" s="118">
        <f t="shared" si="36"/>
        <v>1495.1999999999998</v>
      </c>
      <c r="N1610" s="118">
        <f t="shared" si="37"/>
        <v>1495.1999999999998</v>
      </c>
      <c r="O1610" s="118">
        <v>0</v>
      </c>
      <c r="P1610" s="127">
        <f>+O1610+N1610+M1610+L1610+K1610</f>
        <v>27910.400000000001</v>
      </c>
      <c r="Q1610" s="34" t="s">
        <v>410</v>
      </c>
      <c r="R1610" s="34" t="str">
        <f>VLOOKUP(C1610,'PUR-PARTY MASTER'!$B$4:$E$2000,4,FALSE)</f>
        <v>Local</v>
      </c>
      <c r="S1610" s="11" t="s">
        <v>4120</v>
      </c>
    </row>
    <row r="1611" spans="1:19" x14ac:dyDescent="0.2">
      <c r="A1611" s="51">
        <v>43770</v>
      </c>
      <c r="B1611" s="11">
        <v>73</v>
      </c>
      <c r="C1611" s="35" t="s">
        <v>634</v>
      </c>
      <c r="F1611" s="136" t="s">
        <v>4477</v>
      </c>
      <c r="G1611" s="37">
        <v>43781</v>
      </c>
      <c r="H1611" s="34">
        <v>85446090</v>
      </c>
      <c r="I1611" s="39">
        <f>VLOOKUP(H1611,'[2]PUR-HSN MASTER'!$A$4:$E$5052,5,FALSE)</f>
        <v>18</v>
      </c>
      <c r="J1611" s="38">
        <v>160</v>
      </c>
      <c r="K1611" s="40">
        <f>10230+8600+262.5</f>
        <v>19092.5</v>
      </c>
      <c r="L1611" s="118">
        <f t="shared" si="34"/>
        <v>0</v>
      </c>
      <c r="M1611" s="118">
        <f t="shared" si="36"/>
        <v>1718.325</v>
      </c>
      <c r="N1611" s="118">
        <f t="shared" si="37"/>
        <v>1718.325</v>
      </c>
      <c r="O1611" s="118">
        <v>0</v>
      </c>
      <c r="P1611" s="127">
        <f>+O1611+N1611+M1611+L1611+K1611+0.05</f>
        <v>22529.200000000001</v>
      </c>
      <c r="Q1611" s="34" t="s">
        <v>410</v>
      </c>
      <c r="R1611" s="34" t="str">
        <f>VLOOKUP(C1611,'PUR-PARTY MASTER'!$B$4:$E$2000,4,FALSE)</f>
        <v>Local</v>
      </c>
      <c r="S1611" s="11" t="s">
        <v>4120</v>
      </c>
    </row>
    <row r="1612" spans="1:19" x14ac:dyDescent="0.2">
      <c r="A1612" s="51">
        <v>43770</v>
      </c>
      <c r="C1612" s="35" t="s">
        <v>634</v>
      </c>
      <c r="F1612" s="136" t="s">
        <v>4477</v>
      </c>
      <c r="G1612" s="37">
        <v>43781</v>
      </c>
      <c r="H1612" s="34">
        <v>8537</v>
      </c>
      <c r="I1612" s="39">
        <f>VLOOKUP(H1612,'[2]PUR-HSN MASTER'!$A$4:$E$5052,5,FALSE)</f>
        <v>18</v>
      </c>
      <c r="J1612" s="38">
        <v>1</v>
      </c>
      <c r="K1612" s="40">
        <v>45</v>
      </c>
      <c r="L1612" s="118">
        <f t="shared" si="34"/>
        <v>0</v>
      </c>
      <c r="M1612" s="118">
        <f t="shared" si="36"/>
        <v>4.05</v>
      </c>
      <c r="N1612" s="118">
        <f t="shared" si="37"/>
        <v>4.05</v>
      </c>
      <c r="O1612" s="118">
        <v>0</v>
      </c>
      <c r="P1612" s="127">
        <f t="shared" ref="P1612:P1613" si="38">+O1612+N1612+M1612+L1612+K1612</f>
        <v>53.1</v>
      </c>
      <c r="Q1612" s="34" t="s">
        <v>410</v>
      </c>
      <c r="R1612" s="34" t="str">
        <f>VLOOKUP(C1612,'PUR-PARTY MASTER'!$B$4:$E$2000,4,FALSE)</f>
        <v>Local</v>
      </c>
      <c r="S1612" s="11" t="s">
        <v>4120</v>
      </c>
    </row>
    <row r="1613" spans="1:19" x14ac:dyDescent="0.2">
      <c r="A1613" s="51">
        <v>43770</v>
      </c>
      <c r="C1613" s="35" t="s">
        <v>634</v>
      </c>
      <c r="F1613" s="136" t="s">
        <v>4477</v>
      </c>
      <c r="G1613" s="37">
        <v>43781</v>
      </c>
      <c r="H1613" s="34">
        <v>73089090</v>
      </c>
      <c r="I1613" s="39">
        <f>VLOOKUP(H1613,'[2]PUR-HSN MASTER'!$A$4:$E$5052,5,FALSE)</f>
        <v>18</v>
      </c>
      <c r="J1613" s="38">
        <v>30</v>
      </c>
      <c r="K1613" s="40">
        <v>3330</v>
      </c>
      <c r="L1613" s="118">
        <f t="shared" si="34"/>
        <v>0</v>
      </c>
      <c r="M1613" s="118">
        <f t="shared" si="36"/>
        <v>299.7</v>
      </c>
      <c r="N1613" s="118">
        <f t="shared" si="37"/>
        <v>299.7</v>
      </c>
      <c r="O1613" s="118">
        <v>0</v>
      </c>
      <c r="P1613" s="127">
        <f t="shared" si="38"/>
        <v>3929.4</v>
      </c>
      <c r="Q1613" s="34" t="s">
        <v>410</v>
      </c>
      <c r="R1613" s="34" t="str">
        <f>VLOOKUP(C1613,'PUR-PARTY MASTER'!$B$4:$E$2000,4,FALSE)</f>
        <v>Local</v>
      </c>
      <c r="S1613" s="11" t="s">
        <v>4120</v>
      </c>
    </row>
    <row r="1614" spans="1:19" x14ac:dyDescent="0.2">
      <c r="A1614" s="51">
        <v>43770</v>
      </c>
      <c r="C1614" s="35" t="s">
        <v>634</v>
      </c>
      <c r="F1614" s="136" t="s">
        <v>4477</v>
      </c>
      <c r="G1614" s="37">
        <v>43781</v>
      </c>
      <c r="H1614" s="34">
        <v>8536</v>
      </c>
      <c r="I1614" s="39">
        <f>VLOOKUP(H1614,'[2]PUR-HSN MASTER'!$A$4:$E$5052,5,FALSE)</f>
        <v>18</v>
      </c>
      <c r="J1614" s="38">
        <v>1</v>
      </c>
      <c r="K1614" s="40">
        <v>946</v>
      </c>
      <c r="L1614" s="118">
        <f t="shared" si="34"/>
        <v>0</v>
      </c>
      <c r="M1614" s="118">
        <f t="shared" si="36"/>
        <v>85.140000000000015</v>
      </c>
      <c r="N1614" s="118">
        <f t="shared" si="37"/>
        <v>85.140000000000015</v>
      </c>
      <c r="O1614" s="118">
        <v>0</v>
      </c>
      <c r="P1614" s="127">
        <f>+O1614+N1614+M1614+L1614+K1614+0.02</f>
        <v>1116.3</v>
      </c>
      <c r="Q1614" s="34" t="s">
        <v>410</v>
      </c>
      <c r="R1614" s="34" t="str">
        <f>VLOOKUP(C1614,'PUR-PARTY MASTER'!$B$4:$E$2000,4,FALSE)</f>
        <v>Local</v>
      </c>
      <c r="S1614" s="11" t="s">
        <v>4120</v>
      </c>
    </row>
    <row r="1615" spans="1:19" x14ac:dyDescent="0.2">
      <c r="A1615" s="51">
        <v>43770</v>
      </c>
      <c r="B1615" s="11">
        <v>74</v>
      </c>
      <c r="C1615" s="34" t="s">
        <v>601</v>
      </c>
      <c r="F1615" s="134">
        <v>5944</v>
      </c>
      <c r="G1615" s="37">
        <v>43787</v>
      </c>
      <c r="H1615" s="34">
        <v>87082900</v>
      </c>
      <c r="I1615" s="39">
        <f>VLOOKUP(H1615,'[2]PUR-HSN MASTER'!$A$4:$E$5052,5,FALSE)</f>
        <v>28</v>
      </c>
      <c r="J1615" s="34">
        <v>440</v>
      </c>
      <c r="K1615" s="39">
        <v>18730.8</v>
      </c>
      <c r="L1615" s="118">
        <f t="shared" si="34"/>
        <v>0</v>
      </c>
      <c r="M1615" s="118">
        <f t="shared" si="36"/>
        <v>2622.3119999999999</v>
      </c>
      <c r="N1615" s="118">
        <f t="shared" si="37"/>
        <v>2622.3119999999999</v>
      </c>
      <c r="O1615" s="118">
        <v>0</v>
      </c>
      <c r="P1615" s="127">
        <f t="shared" ref="P1615" si="39">+O1615+N1615+M1615+L1615+K1615</f>
        <v>23975.423999999999</v>
      </c>
      <c r="Q1615" s="34" t="s">
        <v>410</v>
      </c>
      <c r="R1615" s="34" t="str">
        <f>VLOOKUP(C1615,'PUR-PARTY MASTER'!$B$4:$E$2000,4,FALSE)</f>
        <v>Local</v>
      </c>
      <c r="S1615" s="11" t="s">
        <v>4120</v>
      </c>
    </row>
    <row r="1616" spans="1:19" x14ac:dyDescent="0.2">
      <c r="A1616" s="51">
        <v>43770</v>
      </c>
      <c r="B1616" s="11">
        <v>75</v>
      </c>
      <c r="C1616" s="34" t="s">
        <v>601</v>
      </c>
      <c r="F1616" s="134">
        <v>5945</v>
      </c>
      <c r="G1616" s="37">
        <v>43788</v>
      </c>
      <c r="H1616" s="34">
        <v>87082900</v>
      </c>
      <c r="I1616" s="39">
        <f>VLOOKUP(H1616,'[2]PUR-HSN MASTER'!$A$4:$E$5052,5,FALSE)</f>
        <v>28</v>
      </c>
      <c r="J1616" s="34">
        <v>1020</v>
      </c>
      <c r="K1616" s="39">
        <v>22766.400000000001</v>
      </c>
      <c r="L1616" s="118">
        <f t="shared" si="34"/>
        <v>0</v>
      </c>
      <c r="M1616" s="118">
        <f t="shared" si="36"/>
        <v>3187.2960000000003</v>
      </c>
      <c r="N1616" s="118">
        <f t="shared" si="37"/>
        <v>3187.2960000000003</v>
      </c>
      <c r="O1616" s="118">
        <v>0</v>
      </c>
      <c r="P1616" s="127">
        <f>+O1616+N1616+M1616+L1616+K1616+0.01</f>
        <v>29141.002</v>
      </c>
      <c r="Q1616" s="34" t="s">
        <v>410</v>
      </c>
      <c r="R1616" s="34" t="str">
        <f>VLOOKUP(C1616,'PUR-PARTY MASTER'!$B$4:$E$2000,4,FALSE)</f>
        <v>Local</v>
      </c>
      <c r="S1616" s="11" t="s">
        <v>4120</v>
      </c>
    </row>
    <row r="1617" spans="1:19" x14ac:dyDescent="0.2">
      <c r="A1617" s="51">
        <v>43770</v>
      </c>
      <c r="B1617" s="11">
        <v>76</v>
      </c>
      <c r="C1617" s="35" t="s">
        <v>514</v>
      </c>
      <c r="F1617" s="136" t="s">
        <v>4478</v>
      </c>
      <c r="G1617" s="37">
        <v>43788</v>
      </c>
      <c r="H1617" s="34">
        <v>9971</v>
      </c>
      <c r="I1617" s="39">
        <f>VLOOKUP(H1617,'[2]PUR-HSN MASTER'!$A$4:$E$5052,5,FALSE)</f>
        <v>18</v>
      </c>
      <c r="J1617" s="34">
        <v>0</v>
      </c>
      <c r="K1617" s="40">
        <v>3815</v>
      </c>
      <c r="L1617" s="118">
        <f t="shared" si="34"/>
        <v>0</v>
      </c>
      <c r="M1617" s="118">
        <f t="shared" si="36"/>
        <v>343.34999999999997</v>
      </c>
      <c r="N1617" s="118">
        <f t="shared" si="37"/>
        <v>343.34999999999997</v>
      </c>
      <c r="O1617" s="118">
        <v>0</v>
      </c>
      <c r="P1617" s="127">
        <f>+O1617+N1617+M1617+L1617+K1617</f>
        <v>4501.7</v>
      </c>
      <c r="Q1617" s="34" t="s">
        <v>411</v>
      </c>
      <c r="R1617" s="34" t="str">
        <f>VLOOKUP(C1617,'PUR-PARTY MASTER'!$B$4:$E$2000,4,FALSE)</f>
        <v>Local</v>
      </c>
      <c r="S1617" s="11" t="s">
        <v>4120</v>
      </c>
    </row>
    <row r="1618" spans="1:19" x14ac:dyDescent="0.2">
      <c r="A1618" s="51">
        <v>43770</v>
      </c>
      <c r="B1618" s="11">
        <v>77</v>
      </c>
      <c r="C1618" s="35" t="s">
        <v>495</v>
      </c>
      <c r="F1618" s="134">
        <v>5510064094</v>
      </c>
      <c r="G1618" s="37">
        <v>43789</v>
      </c>
      <c r="H1618" s="34">
        <v>85129000</v>
      </c>
      <c r="I1618" s="39">
        <f>VLOOKUP(H1618,'[2]PUR-HSN MASTER'!$A$4:$E$5052,5,FALSE)</f>
        <v>18</v>
      </c>
      <c r="J1618" s="34">
        <v>3600</v>
      </c>
      <c r="K1618" s="126">
        <v>39816</v>
      </c>
      <c r="L1618" s="118">
        <f t="shared" si="34"/>
        <v>0</v>
      </c>
      <c r="M1618" s="118">
        <f t="shared" si="36"/>
        <v>3583.44</v>
      </c>
      <c r="N1618" s="118">
        <f t="shared" si="37"/>
        <v>3583.44</v>
      </c>
      <c r="O1618" s="118">
        <v>0</v>
      </c>
      <c r="P1618" s="127">
        <f>+O1618+N1618+M1618+L1618+K1618</f>
        <v>46982.879999999997</v>
      </c>
      <c r="Q1618" s="34" t="s">
        <v>410</v>
      </c>
      <c r="R1618" s="34" t="str">
        <f>VLOOKUP(C1618,'PUR-PARTY MASTER'!$B$4:$E$2000,4,FALSE)</f>
        <v>Local</v>
      </c>
      <c r="S1618" s="11" t="s">
        <v>4120</v>
      </c>
    </row>
    <row r="1619" spans="1:19" x14ac:dyDescent="0.2">
      <c r="A1619" s="51">
        <v>43770</v>
      </c>
      <c r="B1619" s="11">
        <v>78</v>
      </c>
      <c r="C1619" s="35" t="s">
        <v>493</v>
      </c>
      <c r="F1619" s="134">
        <v>3805</v>
      </c>
      <c r="G1619" s="37">
        <v>43789</v>
      </c>
      <c r="H1619" s="34">
        <v>85129000</v>
      </c>
      <c r="I1619" s="39">
        <f>VLOOKUP(H1619,'[2]PUR-HSN MASTER'!$A$4:$E$5052,5,FALSE)</f>
        <v>18</v>
      </c>
      <c r="J1619" s="34">
        <v>1050</v>
      </c>
      <c r="K1619" s="126">
        <v>24139.5</v>
      </c>
      <c r="L1619" s="118">
        <f t="shared" si="34"/>
        <v>0</v>
      </c>
      <c r="M1619" s="118">
        <f t="shared" si="36"/>
        <v>2172.5550000000003</v>
      </c>
      <c r="N1619" s="118">
        <f t="shared" si="37"/>
        <v>2172.5550000000003</v>
      </c>
      <c r="O1619" s="118">
        <v>0</v>
      </c>
      <c r="P1619" s="127">
        <f>+O1619+N1619+M1619+L1619+K1619+0.39</f>
        <v>28485</v>
      </c>
      <c r="Q1619" s="34" t="s">
        <v>410</v>
      </c>
      <c r="R1619" s="34" t="str">
        <f>VLOOKUP(C1619,'PUR-PARTY MASTER'!$B$4:$E$2000,4,FALSE)</f>
        <v>Local</v>
      </c>
      <c r="S1619" s="11" t="s">
        <v>4120</v>
      </c>
    </row>
    <row r="1620" spans="1:19" x14ac:dyDescent="0.2">
      <c r="A1620" s="51">
        <v>43770</v>
      </c>
      <c r="B1620" s="11">
        <v>79</v>
      </c>
      <c r="C1620" s="35" t="s">
        <v>493</v>
      </c>
      <c r="F1620" s="134">
        <v>3828</v>
      </c>
      <c r="G1620" s="37">
        <v>43790</v>
      </c>
      <c r="H1620" s="34">
        <v>85129000</v>
      </c>
      <c r="I1620" s="39">
        <f>VLOOKUP(H1620,'[2]PUR-HSN MASTER'!$A$4:$E$5052,5,FALSE)</f>
        <v>18</v>
      </c>
      <c r="J1620" s="34">
        <v>658</v>
      </c>
      <c r="K1620" s="126">
        <v>15127.42</v>
      </c>
      <c r="L1620" s="118">
        <f t="shared" si="34"/>
        <v>0</v>
      </c>
      <c r="M1620" s="118">
        <f t="shared" si="36"/>
        <v>1361.4678000000001</v>
      </c>
      <c r="N1620" s="118">
        <f t="shared" si="37"/>
        <v>1361.4678000000001</v>
      </c>
      <c r="O1620" s="118">
        <v>0</v>
      </c>
      <c r="P1620" s="127">
        <f>+O1620+N1620+M1620+L1620+K1620-0.36</f>
        <v>17849.995599999998</v>
      </c>
      <c r="Q1620" s="34" t="s">
        <v>410</v>
      </c>
      <c r="R1620" s="34" t="str">
        <f>VLOOKUP(C1620,'PUR-PARTY MASTER'!$B$4:$E$2000,4,FALSE)</f>
        <v>Local</v>
      </c>
      <c r="S1620" s="11" t="s">
        <v>4120</v>
      </c>
    </row>
    <row r="1621" spans="1:19" x14ac:dyDescent="0.2">
      <c r="A1621" s="51">
        <v>43770</v>
      </c>
      <c r="B1621" s="11">
        <v>80</v>
      </c>
      <c r="C1621" s="35" t="s">
        <v>565</v>
      </c>
      <c r="F1621" s="134">
        <v>5161</v>
      </c>
      <c r="G1621" s="37">
        <v>43782</v>
      </c>
      <c r="H1621" s="34">
        <v>8205</v>
      </c>
      <c r="I1621" s="39">
        <f>VLOOKUP(H1621,'[2]PUR-HSN MASTER'!$A$4:$E$5052,5,FALSE)</f>
        <v>18</v>
      </c>
      <c r="J1621" s="38">
        <v>1</v>
      </c>
      <c r="K1621" s="40">
        <v>46.61</v>
      </c>
      <c r="L1621" s="39">
        <v>0</v>
      </c>
      <c r="M1621" s="118">
        <f t="shared" si="36"/>
        <v>4.1949000000000005</v>
      </c>
      <c r="N1621" s="118">
        <f t="shared" si="37"/>
        <v>4.1949000000000005</v>
      </c>
      <c r="O1621" s="118">
        <v>0</v>
      </c>
      <c r="P1621" s="127">
        <f t="shared" ref="P1621:P1635" si="40">+O1621+N1621+M1621+L1621+K1621</f>
        <v>54.9998</v>
      </c>
      <c r="Q1621" s="34" t="s">
        <v>410</v>
      </c>
      <c r="R1621" s="34" t="str">
        <f>VLOOKUP(C1621,'PUR-PARTY MASTER'!$B$4:$E$2000,4,FALSE)</f>
        <v>Local</v>
      </c>
      <c r="S1621" s="11" t="s">
        <v>4120</v>
      </c>
    </row>
    <row r="1622" spans="1:19" x14ac:dyDescent="0.2">
      <c r="A1622" s="51">
        <v>43770</v>
      </c>
      <c r="C1622" s="35" t="s">
        <v>565</v>
      </c>
      <c r="F1622" s="134">
        <v>5161</v>
      </c>
      <c r="G1622" s="37">
        <v>43782</v>
      </c>
      <c r="H1622" s="34">
        <v>2520</v>
      </c>
      <c r="I1622" s="39">
        <f>VLOOKUP(H1622,'[2]PUR-HSN MASTER'!$A$4:$E$5052,5,FALSE)</f>
        <v>5</v>
      </c>
      <c r="J1622" s="38">
        <v>1</v>
      </c>
      <c r="K1622" s="40">
        <v>90</v>
      </c>
      <c r="L1622" s="39">
        <v>0</v>
      </c>
      <c r="M1622" s="118">
        <f t="shared" si="36"/>
        <v>2.25</v>
      </c>
      <c r="N1622" s="118">
        <f t="shared" si="37"/>
        <v>2.25</v>
      </c>
      <c r="O1622" s="118">
        <v>0</v>
      </c>
      <c r="P1622" s="127">
        <f t="shared" si="40"/>
        <v>94.5</v>
      </c>
      <c r="Q1622" s="34" t="s">
        <v>410</v>
      </c>
      <c r="R1622" s="34" t="str">
        <f>VLOOKUP(C1622,'PUR-PARTY MASTER'!$B$4:$E$2000,4,FALSE)</f>
        <v>Local</v>
      </c>
      <c r="S1622" s="11" t="s">
        <v>4120</v>
      </c>
    </row>
    <row r="1623" spans="1:19" x14ac:dyDescent="0.2">
      <c r="A1623" s="51">
        <v>43770</v>
      </c>
      <c r="C1623" s="35" t="s">
        <v>565</v>
      </c>
      <c r="F1623" s="134">
        <v>5161</v>
      </c>
      <c r="G1623" s="37">
        <v>43782</v>
      </c>
      <c r="H1623" s="34">
        <v>7307</v>
      </c>
      <c r="I1623" s="39">
        <f>VLOOKUP(H1623,'[2]PUR-HSN MASTER'!$A$4:$E$5052,5,FALSE)</f>
        <v>18</v>
      </c>
      <c r="J1623" s="38">
        <v>4</v>
      </c>
      <c r="K1623" s="40">
        <v>100</v>
      </c>
      <c r="L1623" s="39">
        <v>0</v>
      </c>
      <c r="M1623" s="118">
        <f t="shared" si="36"/>
        <v>9</v>
      </c>
      <c r="N1623" s="118">
        <f t="shared" si="37"/>
        <v>9</v>
      </c>
      <c r="O1623" s="118">
        <v>0</v>
      </c>
      <c r="P1623" s="127">
        <f t="shared" si="40"/>
        <v>118</v>
      </c>
      <c r="Q1623" s="34" t="s">
        <v>410</v>
      </c>
      <c r="R1623" s="34" t="str">
        <f>VLOOKUP(C1623,'PUR-PARTY MASTER'!$B$4:$E$2000,4,FALSE)</f>
        <v>Local</v>
      </c>
      <c r="S1623" s="11" t="s">
        <v>4120</v>
      </c>
    </row>
    <row r="1624" spans="1:19" x14ac:dyDescent="0.2">
      <c r="A1624" s="51">
        <v>43770</v>
      </c>
      <c r="C1624" s="35" t="s">
        <v>565</v>
      </c>
      <c r="F1624" s="134">
        <v>5161</v>
      </c>
      <c r="G1624" s="37">
        <v>43782</v>
      </c>
      <c r="H1624" s="34">
        <v>8536</v>
      </c>
      <c r="I1624" s="39">
        <f>VLOOKUP(H1624,'[2]PUR-HSN MASTER'!$A$4:$E$5052,5,FALSE)</f>
        <v>18</v>
      </c>
      <c r="J1624" s="38">
        <v>2</v>
      </c>
      <c r="K1624" s="40">
        <v>40</v>
      </c>
      <c r="L1624" s="39">
        <v>0</v>
      </c>
      <c r="M1624" s="118">
        <f t="shared" si="36"/>
        <v>3.6</v>
      </c>
      <c r="N1624" s="118">
        <f t="shared" si="37"/>
        <v>3.6</v>
      </c>
      <c r="O1624" s="118">
        <v>0</v>
      </c>
      <c r="P1624" s="127">
        <f t="shared" si="40"/>
        <v>47.2</v>
      </c>
      <c r="Q1624" s="34" t="s">
        <v>410</v>
      </c>
      <c r="R1624" s="34" t="str">
        <f>VLOOKUP(C1624,'PUR-PARTY MASTER'!$B$4:$E$2000,4,FALSE)</f>
        <v>Local</v>
      </c>
      <c r="S1624" s="11" t="s">
        <v>4120</v>
      </c>
    </row>
    <row r="1625" spans="1:19" x14ac:dyDescent="0.2">
      <c r="A1625" s="51">
        <v>43770</v>
      </c>
      <c r="C1625" s="35" t="s">
        <v>565</v>
      </c>
      <c r="F1625" s="134">
        <v>5161</v>
      </c>
      <c r="G1625" s="37">
        <v>43782</v>
      </c>
      <c r="H1625" s="34">
        <v>9603</v>
      </c>
      <c r="I1625" s="39">
        <f>VLOOKUP(H1625,'[2]PUR-HSN MASTER'!$A$4:$E$5052,5,FALSE)</f>
        <v>18</v>
      </c>
      <c r="J1625" s="38">
        <v>12</v>
      </c>
      <c r="K1625" s="40">
        <v>200</v>
      </c>
      <c r="L1625" s="39">
        <v>0</v>
      </c>
      <c r="M1625" s="118">
        <f t="shared" si="36"/>
        <v>18</v>
      </c>
      <c r="N1625" s="118">
        <f t="shared" si="37"/>
        <v>18</v>
      </c>
      <c r="O1625" s="118">
        <v>0</v>
      </c>
      <c r="P1625" s="127">
        <f t="shared" si="40"/>
        <v>236</v>
      </c>
      <c r="Q1625" s="34" t="s">
        <v>410</v>
      </c>
      <c r="R1625" s="34" t="str">
        <f>VLOOKUP(C1625,'PUR-PARTY MASTER'!$B$4:$E$2000,4,FALSE)</f>
        <v>Local</v>
      </c>
      <c r="S1625" s="11" t="s">
        <v>4120</v>
      </c>
    </row>
    <row r="1626" spans="1:19" x14ac:dyDescent="0.2">
      <c r="A1626" s="51">
        <v>43770</v>
      </c>
      <c r="C1626" s="35" t="s">
        <v>565</v>
      </c>
      <c r="F1626" s="134">
        <v>5161</v>
      </c>
      <c r="G1626" s="37">
        <v>43782</v>
      </c>
      <c r="H1626" s="34">
        <v>3506</v>
      </c>
      <c r="I1626" s="39">
        <f>VLOOKUP(H1626,'[2]PUR-HSN MASTER'!$A$4:$E$5052,5,FALSE)</f>
        <v>18</v>
      </c>
      <c r="J1626" s="38">
        <v>9</v>
      </c>
      <c r="K1626" s="40">
        <v>618.61</v>
      </c>
      <c r="L1626" s="39">
        <v>0</v>
      </c>
      <c r="M1626" s="118">
        <f t="shared" si="36"/>
        <v>55.674899999999994</v>
      </c>
      <c r="N1626" s="118">
        <f t="shared" si="37"/>
        <v>55.674899999999994</v>
      </c>
      <c r="O1626" s="118">
        <v>0</v>
      </c>
      <c r="P1626" s="127">
        <f t="shared" si="40"/>
        <v>729.95979999999997</v>
      </c>
      <c r="Q1626" s="34" t="s">
        <v>410</v>
      </c>
      <c r="R1626" s="34" t="str">
        <f>VLOOKUP(C1626,'PUR-PARTY MASTER'!$B$4:$E$2000,4,FALSE)</f>
        <v>Local</v>
      </c>
      <c r="S1626" s="11" t="s">
        <v>4120</v>
      </c>
    </row>
    <row r="1627" spans="1:19" x14ac:dyDescent="0.2">
      <c r="A1627" s="51">
        <v>43770</v>
      </c>
      <c r="C1627" s="35" t="s">
        <v>565</v>
      </c>
      <c r="F1627" s="134">
        <v>5161</v>
      </c>
      <c r="G1627" s="37">
        <v>43782</v>
      </c>
      <c r="H1627" s="34">
        <v>3917</v>
      </c>
      <c r="I1627" s="39">
        <f>VLOOKUP(H1627,'[2]PUR-HSN MASTER'!$A$4:$E$5052,5,FALSE)</f>
        <v>18</v>
      </c>
      <c r="J1627" s="38">
        <v>5</v>
      </c>
      <c r="K1627" s="40">
        <v>1000</v>
      </c>
      <c r="L1627" s="39">
        <v>0</v>
      </c>
      <c r="M1627" s="118">
        <f t="shared" si="36"/>
        <v>90</v>
      </c>
      <c r="N1627" s="118">
        <f t="shared" si="37"/>
        <v>90</v>
      </c>
      <c r="O1627" s="118">
        <v>0</v>
      </c>
      <c r="P1627" s="127">
        <f t="shared" si="40"/>
        <v>1180</v>
      </c>
      <c r="Q1627" s="34" t="s">
        <v>410</v>
      </c>
      <c r="R1627" s="34" t="str">
        <f>VLOOKUP(C1627,'PUR-PARTY MASTER'!$B$4:$E$2000,4,FALSE)</f>
        <v>Local</v>
      </c>
      <c r="S1627" s="11" t="s">
        <v>4120</v>
      </c>
    </row>
    <row r="1628" spans="1:19" x14ac:dyDescent="0.2">
      <c r="A1628" s="51">
        <v>43770</v>
      </c>
      <c r="C1628" s="35" t="s">
        <v>565</v>
      </c>
      <c r="F1628" s="134">
        <v>5161</v>
      </c>
      <c r="G1628" s="37">
        <v>43782</v>
      </c>
      <c r="H1628" s="34">
        <v>7317</v>
      </c>
      <c r="I1628" s="39">
        <f>VLOOKUP(H1628,'[2]PUR-HSN MASTER'!$A$4:$E$5052,5,FALSE)</f>
        <v>18</v>
      </c>
      <c r="J1628" s="38">
        <v>5</v>
      </c>
      <c r="K1628" s="40">
        <v>3356.5</v>
      </c>
      <c r="L1628" s="39">
        <v>0</v>
      </c>
      <c r="M1628" s="118">
        <f t="shared" si="36"/>
        <v>302.08499999999998</v>
      </c>
      <c r="N1628" s="118">
        <f t="shared" si="37"/>
        <v>302.08499999999998</v>
      </c>
      <c r="O1628" s="118">
        <v>0</v>
      </c>
      <c r="P1628" s="127">
        <f t="shared" si="40"/>
        <v>3960.67</v>
      </c>
      <c r="Q1628" s="34" t="s">
        <v>410</v>
      </c>
      <c r="R1628" s="34" t="str">
        <f>VLOOKUP(C1628,'PUR-PARTY MASTER'!$B$4:$E$2000,4,FALSE)</f>
        <v>Local</v>
      </c>
      <c r="S1628" s="11" t="s">
        <v>4120</v>
      </c>
    </row>
    <row r="1629" spans="1:19" x14ac:dyDescent="0.2">
      <c r="A1629" s="51">
        <v>43770</v>
      </c>
      <c r="C1629" s="35" t="s">
        <v>565</v>
      </c>
      <c r="F1629" s="134">
        <v>5161</v>
      </c>
      <c r="G1629" s="37">
        <v>43782</v>
      </c>
      <c r="H1629" s="34">
        <v>3208</v>
      </c>
      <c r="I1629" s="39">
        <f>VLOOKUP(H1629,'[2]PUR-HSN MASTER'!$A$4:$E$5052,5,FALSE)</f>
        <v>18</v>
      </c>
      <c r="J1629" s="38">
        <v>1</v>
      </c>
      <c r="K1629" s="40">
        <v>640</v>
      </c>
      <c r="L1629" s="39">
        <v>0</v>
      </c>
      <c r="M1629" s="118">
        <f t="shared" si="36"/>
        <v>57.6</v>
      </c>
      <c r="N1629" s="118">
        <f t="shared" si="37"/>
        <v>57.6</v>
      </c>
      <c r="O1629" s="118">
        <v>0</v>
      </c>
      <c r="P1629" s="127">
        <f t="shared" si="40"/>
        <v>755.2</v>
      </c>
      <c r="Q1629" s="34" t="s">
        <v>410</v>
      </c>
      <c r="R1629" s="34" t="str">
        <f>VLOOKUP(C1629,'PUR-PARTY MASTER'!$B$4:$E$2000,4,FALSE)</f>
        <v>Local</v>
      </c>
      <c r="S1629" s="11" t="s">
        <v>4120</v>
      </c>
    </row>
    <row r="1630" spans="1:19" x14ac:dyDescent="0.2">
      <c r="A1630" s="51">
        <v>43770</v>
      </c>
      <c r="C1630" s="35" t="s">
        <v>565</v>
      </c>
      <c r="F1630" s="134">
        <v>5161</v>
      </c>
      <c r="G1630" s="37">
        <v>43782</v>
      </c>
      <c r="H1630" s="34">
        <v>8546</v>
      </c>
      <c r="I1630" s="39">
        <f>VLOOKUP(H1630,'[2]PUR-HSN MASTER'!$A$4:$E$5052,5,FALSE)</f>
        <v>18</v>
      </c>
      <c r="J1630" s="38">
        <v>6</v>
      </c>
      <c r="K1630" s="40">
        <v>60</v>
      </c>
      <c r="L1630" s="39">
        <v>0</v>
      </c>
      <c r="M1630" s="118">
        <f t="shared" si="36"/>
        <v>5.3999999999999995</v>
      </c>
      <c r="N1630" s="118">
        <f t="shared" si="37"/>
        <v>5.3999999999999995</v>
      </c>
      <c r="O1630" s="118">
        <v>0</v>
      </c>
      <c r="P1630" s="127">
        <f t="shared" si="40"/>
        <v>70.8</v>
      </c>
      <c r="Q1630" s="34" t="s">
        <v>410</v>
      </c>
      <c r="R1630" s="34" t="str">
        <f>VLOOKUP(C1630,'PUR-PARTY MASTER'!$B$4:$E$2000,4,FALSE)</f>
        <v>Local</v>
      </c>
      <c r="S1630" s="11" t="s">
        <v>4120</v>
      </c>
    </row>
    <row r="1631" spans="1:19" x14ac:dyDescent="0.2">
      <c r="A1631" s="51">
        <v>43770</v>
      </c>
      <c r="C1631" s="35" t="s">
        <v>565</v>
      </c>
      <c r="F1631" s="134">
        <v>5161</v>
      </c>
      <c r="G1631" s="37">
        <v>43782</v>
      </c>
      <c r="H1631" s="34">
        <v>8203</v>
      </c>
      <c r="I1631" s="39">
        <f>VLOOKUP(H1631,'[2]PUR-HSN MASTER'!$A$4:$E$5052,5,FALSE)</f>
        <v>18</v>
      </c>
      <c r="J1631" s="38">
        <v>2</v>
      </c>
      <c r="K1631" s="40">
        <v>250.83</v>
      </c>
      <c r="L1631" s="39">
        <v>0</v>
      </c>
      <c r="M1631" s="118">
        <f t="shared" si="36"/>
        <v>22.5747</v>
      </c>
      <c r="N1631" s="118">
        <f t="shared" si="37"/>
        <v>22.5747</v>
      </c>
      <c r="O1631" s="118">
        <v>0</v>
      </c>
      <c r="P1631" s="127">
        <f t="shared" si="40"/>
        <v>295.9794</v>
      </c>
      <c r="Q1631" s="34" t="s">
        <v>410</v>
      </c>
      <c r="R1631" s="34" t="str">
        <f>VLOOKUP(C1631,'PUR-PARTY MASTER'!$B$4:$E$2000,4,FALSE)</f>
        <v>Local</v>
      </c>
      <c r="S1631" s="11" t="s">
        <v>4120</v>
      </c>
    </row>
    <row r="1632" spans="1:19" x14ac:dyDescent="0.2">
      <c r="A1632" s="51">
        <v>43770</v>
      </c>
      <c r="C1632" s="35" t="s">
        <v>565</v>
      </c>
      <c r="F1632" s="134">
        <v>5161</v>
      </c>
      <c r="G1632" s="37">
        <v>43782</v>
      </c>
      <c r="H1632" s="34">
        <v>8532</v>
      </c>
      <c r="I1632" s="39">
        <f>VLOOKUP(H1632,'[2]PUR-HSN MASTER'!$A$4:$E$5052,5,FALSE)</f>
        <v>18</v>
      </c>
      <c r="J1632" s="38">
        <v>1</v>
      </c>
      <c r="K1632" s="40">
        <v>40</v>
      </c>
      <c r="L1632" s="39">
        <v>0</v>
      </c>
      <c r="M1632" s="118">
        <f t="shared" si="36"/>
        <v>3.6</v>
      </c>
      <c r="N1632" s="118">
        <f t="shared" si="37"/>
        <v>3.6</v>
      </c>
      <c r="O1632" s="118">
        <v>0</v>
      </c>
      <c r="P1632" s="127">
        <f t="shared" si="40"/>
        <v>47.2</v>
      </c>
      <c r="Q1632" s="34" t="s">
        <v>410</v>
      </c>
      <c r="R1632" s="34" t="str">
        <f>VLOOKUP(C1632,'PUR-PARTY MASTER'!$B$4:$E$2000,4,FALSE)</f>
        <v>Local</v>
      </c>
      <c r="S1632" s="11" t="s">
        <v>4120</v>
      </c>
    </row>
    <row r="1633" spans="1:19" x14ac:dyDescent="0.2">
      <c r="A1633" s="51">
        <v>43770</v>
      </c>
      <c r="C1633" s="35" t="s">
        <v>565</v>
      </c>
      <c r="F1633" s="134">
        <v>5161</v>
      </c>
      <c r="G1633" s="37">
        <v>43782</v>
      </c>
      <c r="H1633" s="34">
        <v>7318</v>
      </c>
      <c r="I1633" s="39">
        <f>VLOOKUP(H1633,'[2]PUR-HSN MASTER'!$A$4:$E$5052,5,FALSE)</f>
        <v>18</v>
      </c>
      <c r="J1633" s="38">
        <v>5</v>
      </c>
      <c r="K1633" s="40">
        <v>39</v>
      </c>
      <c r="L1633" s="39">
        <v>0</v>
      </c>
      <c r="M1633" s="118">
        <f t="shared" si="36"/>
        <v>3.5100000000000002</v>
      </c>
      <c r="N1633" s="118">
        <f t="shared" si="37"/>
        <v>3.5100000000000002</v>
      </c>
      <c r="O1633" s="118">
        <v>0</v>
      </c>
      <c r="P1633" s="127">
        <f t="shared" si="40"/>
        <v>46.02</v>
      </c>
      <c r="Q1633" s="34" t="s">
        <v>410</v>
      </c>
      <c r="R1633" s="34" t="str">
        <f>VLOOKUP(C1633,'PUR-PARTY MASTER'!$B$4:$E$2000,4,FALSE)</f>
        <v>Local</v>
      </c>
      <c r="S1633" s="11" t="s">
        <v>4120</v>
      </c>
    </row>
    <row r="1634" spans="1:19" x14ac:dyDescent="0.2">
      <c r="A1634" s="51">
        <v>43770</v>
      </c>
      <c r="C1634" s="35" t="s">
        <v>565</v>
      </c>
      <c r="F1634" s="134">
        <v>5161</v>
      </c>
      <c r="G1634" s="37">
        <v>43782</v>
      </c>
      <c r="H1634" s="34" t="s">
        <v>637</v>
      </c>
      <c r="I1634" s="39">
        <f>VLOOKUP(H1634,'[2]PUR-HSN MASTER'!$A$4:$E$5052,5,FALSE)</f>
        <v>18</v>
      </c>
      <c r="J1634" s="38">
        <v>1</v>
      </c>
      <c r="K1634" s="40">
        <v>13.56</v>
      </c>
      <c r="L1634" s="39">
        <v>0</v>
      </c>
      <c r="M1634" s="118">
        <f t="shared" si="36"/>
        <v>1.2203999999999999</v>
      </c>
      <c r="N1634" s="118">
        <f t="shared" si="37"/>
        <v>1.2203999999999999</v>
      </c>
      <c r="O1634" s="118">
        <v>0</v>
      </c>
      <c r="P1634" s="127">
        <f t="shared" si="40"/>
        <v>16.000800000000002</v>
      </c>
      <c r="Q1634" s="34" t="s">
        <v>410</v>
      </c>
      <c r="R1634" s="34" t="str">
        <f>VLOOKUP(C1634,'PUR-PARTY MASTER'!$B$4:$E$2000,4,FALSE)</f>
        <v>Local</v>
      </c>
      <c r="S1634" s="11" t="s">
        <v>4120</v>
      </c>
    </row>
    <row r="1635" spans="1:19" x14ac:dyDescent="0.2">
      <c r="A1635" s="51">
        <v>43770</v>
      </c>
      <c r="C1635" s="35" t="s">
        <v>565</v>
      </c>
      <c r="F1635" s="134">
        <v>5161</v>
      </c>
      <c r="G1635" s="37">
        <v>43782</v>
      </c>
      <c r="H1635" s="34">
        <v>8207</v>
      </c>
      <c r="I1635" s="39">
        <f>VLOOKUP(H1635,'[2]PUR-HSN MASTER'!$A$4:$E$5052,5,FALSE)</f>
        <v>18</v>
      </c>
      <c r="J1635" s="38">
        <v>2</v>
      </c>
      <c r="K1635" s="40">
        <v>60</v>
      </c>
      <c r="L1635" s="39">
        <v>0</v>
      </c>
      <c r="M1635" s="118">
        <f t="shared" si="36"/>
        <v>5.3999999999999995</v>
      </c>
      <c r="N1635" s="118">
        <f t="shared" si="37"/>
        <v>5.3999999999999995</v>
      </c>
      <c r="O1635" s="118">
        <v>0</v>
      </c>
      <c r="P1635" s="127">
        <f t="shared" si="40"/>
        <v>70.8</v>
      </c>
      <c r="Q1635" s="34" t="s">
        <v>410</v>
      </c>
      <c r="R1635" s="34" t="str">
        <f>VLOOKUP(C1635,'PUR-PARTY MASTER'!$B$4:$E$2000,4,FALSE)</f>
        <v>Local</v>
      </c>
      <c r="S1635" s="11" t="s">
        <v>4120</v>
      </c>
    </row>
    <row r="1636" spans="1:19" x14ac:dyDescent="0.2">
      <c r="A1636" s="51">
        <v>43770</v>
      </c>
      <c r="C1636" s="35" t="s">
        <v>565</v>
      </c>
      <c r="F1636" s="134">
        <v>5161</v>
      </c>
      <c r="G1636" s="37">
        <v>43782</v>
      </c>
      <c r="H1636" s="34">
        <v>6805</v>
      </c>
      <c r="I1636" s="39">
        <f>VLOOKUP(H1636,'[2]PUR-HSN MASTER'!$A$4:$E$5052,5,FALSE)</f>
        <v>18</v>
      </c>
      <c r="J1636" s="38">
        <v>36</v>
      </c>
      <c r="K1636" s="40">
        <v>468</v>
      </c>
      <c r="L1636" s="39">
        <v>0</v>
      </c>
      <c r="M1636" s="118">
        <f>+IF(R1636="local",K1636/100*I1636/2,0)+0.02</f>
        <v>42.14</v>
      </c>
      <c r="N1636" s="118">
        <f>+IF(R1636="local",K1636/100*I1636/2,0)+0.02</f>
        <v>42.14</v>
      </c>
      <c r="O1636" s="118">
        <v>0</v>
      </c>
      <c r="P1636" s="127">
        <f>+O1636+N1636+M1636+L1636+K1636+0.39</f>
        <v>552.66999999999996</v>
      </c>
      <c r="Q1636" s="34" t="s">
        <v>410</v>
      </c>
      <c r="R1636" s="34" t="str">
        <f>VLOOKUP(C1636,'PUR-PARTY MASTER'!$B$4:$E$2000,4,FALSE)</f>
        <v>Local</v>
      </c>
      <c r="S1636" s="11" t="s">
        <v>4120</v>
      </c>
    </row>
    <row r="1637" spans="1:19" x14ac:dyDescent="0.2">
      <c r="A1637" s="51">
        <v>43770</v>
      </c>
      <c r="B1637" s="11">
        <v>81</v>
      </c>
      <c r="C1637" s="35" t="s">
        <v>565</v>
      </c>
      <c r="F1637" s="134">
        <v>5175</v>
      </c>
      <c r="G1637" s="37">
        <v>43784</v>
      </c>
      <c r="H1637" s="34">
        <v>7318</v>
      </c>
      <c r="I1637" s="39">
        <f>VLOOKUP(H1637,'[2]PUR-HSN MASTER'!$A$4:$E$5052,5,FALSE)</f>
        <v>18</v>
      </c>
      <c r="J1637" s="38">
        <v>91</v>
      </c>
      <c r="K1637" s="40">
        <v>1836</v>
      </c>
      <c r="L1637" s="39">
        <v>0</v>
      </c>
      <c r="M1637" s="118">
        <f t="shared" ref="M1637:M1649" si="41">+IF(R1637="local",K1637/100*I1637/2,0)</f>
        <v>165.24</v>
      </c>
      <c r="N1637" s="118">
        <f t="shared" ref="N1637:N1649" si="42">+IF(R1637="local",K1637/100*I1637/2,0)</f>
        <v>165.24</v>
      </c>
      <c r="O1637" s="118">
        <v>0</v>
      </c>
      <c r="P1637" s="127">
        <f>+O1637+N1637+M1637+L1637+K1637+0.02</f>
        <v>2166.5</v>
      </c>
      <c r="Q1637" s="34" t="s">
        <v>410</v>
      </c>
      <c r="R1637" s="34" t="str">
        <f>VLOOKUP(C1637,'PUR-PARTY MASTER'!$B$4:$E$2000,4,FALSE)</f>
        <v>Local</v>
      </c>
      <c r="S1637" s="11" t="s">
        <v>4120</v>
      </c>
    </row>
    <row r="1638" spans="1:19" x14ac:dyDescent="0.2">
      <c r="A1638" s="51">
        <v>43770</v>
      </c>
      <c r="C1638" s="35" t="s">
        <v>565</v>
      </c>
      <c r="F1638" s="134">
        <v>5175</v>
      </c>
      <c r="G1638" s="37">
        <v>43784</v>
      </c>
      <c r="H1638" s="34">
        <v>8546</v>
      </c>
      <c r="I1638" s="39">
        <f>VLOOKUP(H1638,'[2]PUR-HSN MASTER'!$A$4:$E$5052,5,FALSE)</f>
        <v>18</v>
      </c>
      <c r="J1638" s="38">
        <v>12</v>
      </c>
      <c r="K1638" s="40">
        <v>120</v>
      </c>
      <c r="L1638" s="39">
        <v>0</v>
      </c>
      <c r="M1638" s="118">
        <f t="shared" si="41"/>
        <v>10.799999999999999</v>
      </c>
      <c r="N1638" s="118">
        <f t="shared" si="42"/>
        <v>10.799999999999999</v>
      </c>
      <c r="O1638" s="118">
        <v>0</v>
      </c>
      <c r="P1638" s="127">
        <f>+O1638+N1638+M1638+L1638+K1638+0.4</f>
        <v>142</v>
      </c>
      <c r="Q1638" s="34" t="s">
        <v>410</v>
      </c>
      <c r="R1638" s="34" t="str">
        <f>VLOOKUP(C1638,'PUR-PARTY MASTER'!$B$4:$E$2000,4,FALSE)</f>
        <v>Local</v>
      </c>
      <c r="S1638" s="11" t="s">
        <v>4120</v>
      </c>
    </row>
    <row r="1639" spans="1:19" x14ac:dyDescent="0.2">
      <c r="A1639" s="51">
        <v>43770</v>
      </c>
      <c r="C1639" s="35" t="s">
        <v>565</v>
      </c>
      <c r="F1639" s="134">
        <v>5175</v>
      </c>
      <c r="G1639" s="37">
        <v>43784</v>
      </c>
      <c r="H1639" s="34">
        <v>3208</v>
      </c>
      <c r="I1639" s="39">
        <f>VLOOKUP(H1639,'[2]PUR-HSN MASTER'!$A$4:$E$5052,5,FALSE)</f>
        <v>18</v>
      </c>
      <c r="J1639" s="38">
        <v>11</v>
      </c>
      <c r="K1639" s="40">
        <v>12185.61</v>
      </c>
      <c r="L1639" s="39">
        <v>0</v>
      </c>
      <c r="M1639" s="118">
        <f t="shared" si="41"/>
        <v>1096.7049000000002</v>
      </c>
      <c r="N1639" s="118">
        <f t="shared" si="42"/>
        <v>1096.7049000000002</v>
      </c>
      <c r="O1639" s="118">
        <v>0</v>
      </c>
      <c r="P1639" s="127">
        <f>+O1639+N1639+M1639+L1639+K1639-0.02</f>
        <v>14378.999800000001</v>
      </c>
      <c r="Q1639" s="34" t="s">
        <v>410</v>
      </c>
      <c r="R1639" s="34" t="str">
        <f>VLOOKUP(C1639,'PUR-PARTY MASTER'!$B$4:$E$2000,4,FALSE)</f>
        <v>Local</v>
      </c>
      <c r="S1639" s="11" t="s">
        <v>4120</v>
      </c>
    </row>
    <row r="1640" spans="1:19" x14ac:dyDescent="0.2">
      <c r="A1640" s="51">
        <v>43770</v>
      </c>
      <c r="C1640" s="35" t="s">
        <v>565</v>
      </c>
      <c r="F1640" s="134">
        <v>5175</v>
      </c>
      <c r="G1640" s="37">
        <v>43784</v>
      </c>
      <c r="H1640" s="34">
        <v>3209</v>
      </c>
      <c r="I1640" s="39">
        <f>VLOOKUP(H1640,'[2]PUR-HSN MASTER'!$A$4:$E$5052,5,FALSE)</f>
        <v>18</v>
      </c>
      <c r="J1640" s="38">
        <v>1</v>
      </c>
      <c r="K1640" s="40">
        <v>3347.23</v>
      </c>
      <c r="L1640" s="39">
        <v>0</v>
      </c>
      <c r="M1640" s="118">
        <f t="shared" si="41"/>
        <v>301.25069999999999</v>
      </c>
      <c r="N1640" s="118">
        <f t="shared" si="42"/>
        <v>301.25069999999999</v>
      </c>
      <c r="O1640" s="118">
        <v>0</v>
      </c>
      <c r="P1640" s="127">
        <f>+O1640+N1640+M1640+L1640+K1640-0.02</f>
        <v>3949.7114000000001</v>
      </c>
      <c r="Q1640" s="34" t="s">
        <v>410</v>
      </c>
      <c r="R1640" s="34" t="str">
        <f>VLOOKUP(C1640,'PUR-PARTY MASTER'!$B$4:$E$2000,4,FALSE)</f>
        <v>Local</v>
      </c>
      <c r="S1640" s="11" t="s">
        <v>4120</v>
      </c>
    </row>
    <row r="1641" spans="1:19" x14ac:dyDescent="0.2">
      <c r="A1641" s="51">
        <v>43770</v>
      </c>
      <c r="C1641" s="35" t="s">
        <v>565</v>
      </c>
      <c r="F1641" s="134">
        <v>5175</v>
      </c>
      <c r="G1641" s="37">
        <v>43784</v>
      </c>
      <c r="H1641" s="34">
        <v>6804</v>
      </c>
      <c r="I1641" s="39">
        <f>VLOOKUP(H1641,'[2]PUR-HSN MASTER'!$A$4:$E$5052,5,FALSE)</f>
        <v>18</v>
      </c>
      <c r="J1641" s="38">
        <v>5</v>
      </c>
      <c r="K1641" s="40">
        <v>100</v>
      </c>
      <c r="L1641" s="39">
        <v>0</v>
      </c>
      <c r="M1641" s="118">
        <f t="shared" si="41"/>
        <v>9</v>
      </c>
      <c r="N1641" s="118">
        <f t="shared" si="42"/>
        <v>9</v>
      </c>
      <c r="O1641" s="118">
        <v>0</v>
      </c>
      <c r="P1641" s="127">
        <f t="shared" ref="P1641:P1650" si="43">+O1641+N1641+M1641+L1641+K1641</f>
        <v>118</v>
      </c>
      <c r="Q1641" s="34" t="s">
        <v>410</v>
      </c>
      <c r="R1641" s="34" t="str">
        <f>VLOOKUP(C1641,'PUR-PARTY MASTER'!$B$4:$E$2000,4,FALSE)</f>
        <v>Local</v>
      </c>
      <c r="S1641" s="11" t="s">
        <v>4120</v>
      </c>
    </row>
    <row r="1642" spans="1:19" x14ac:dyDescent="0.2">
      <c r="A1642" s="51">
        <v>43770</v>
      </c>
      <c r="C1642" s="35" t="s">
        <v>565</v>
      </c>
      <c r="F1642" s="134">
        <v>5175</v>
      </c>
      <c r="G1642" s="37">
        <v>43784</v>
      </c>
      <c r="H1642" s="34">
        <v>8544</v>
      </c>
      <c r="I1642" s="39">
        <f>VLOOKUP(H1642,'[2]PUR-HSN MASTER'!$A$4:$E$5052,5,FALSE)</f>
        <v>18</v>
      </c>
      <c r="J1642" s="38">
        <v>5</v>
      </c>
      <c r="K1642" s="40">
        <v>100</v>
      </c>
      <c r="L1642" s="39">
        <v>0</v>
      </c>
      <c r="M1642" s="118">
        <f t="shared" si="41"/>
        <v>9</v>
      </c>
      <c r="N1642" s="118">
        <f t="shared" si="42"/>
        <v>9</v>
      </c>
      <c r="O1642" s="118">
        <v>0</v>
      </c>
      <c r="P1642" s="127">
        <f t="shared" si="43"/>
        <v>118</v>
      </c>
      <c r="Q1642" s="34" t="s">
        <v>410</v>
      </c>
      <c r="R1642" s="34" t="str">
        <f>VLOOKUP(C1642,'PUR-PARTY MASTER'!$B$4:$E$2000,4,FALSE)</f>
        <v>Local</v>
      </c>
      <c r="S1642" s="11" t="s">
        <v>4120</v>
      </c>
    </row>
    <row r="1643" spans="1:19" x14ac:dyDescent="0.2">
      <c r="A1643" s="51">
        <v>43770</v>
      </c>
      <c r="C1643" s="35" t="s">
        <v>565</v>
      </c>
      <c r="F1643" s="134">
        <v>5175</v>
      </c>
      <c r="G1643" s="37">
        <v>43784</v>
      </c>
      <c r="H1643" s="34">
        <v>3924</v>
      </c>
      <c r="I1643" s="39">
        <f>VLOOKUP(H1643,'[2]PUR-HSN MASTER'!$A$4:$E$5052,5,FALSE)</f>
        <v>18</v>
      </c>
      <c r="J1643" s="38">
        <v>2</v>
      </c>
      <c r="K1643" s="40">
        <v>20</v>
      </c>
      <c r="L1643" s="39">
        <v>0</v>
      </c>
      <c r="M1643" s="118">
        <f t="shared" si="41"/>
        <v>1.8</v>
      </c>
      <c r="N1643" s="118">
        <f t="shared" si="42"/>
        <v>1.8</v>
      </c>
      <c r="O1643" s="118">
        <v>0</v>
      </c>
      <c r="P1643" s="127">
        <f t="shared" si="43"/>
        <v>23.6</v>
      </c>
      <c r="Q1643" s="34" t="s">
        <v>410</v>
      </c>
      <c r="R1643" s="34" t="str">
        <f>VLOOKUP(C1643,'PUR-PARTY MASTER'!$B$4:$E$2000,4,FALSE)</f>
        <v>Local</v>
      </c>
      <c r="S1643" s="11" t="s">
        <v>4120</v>
      </c>
    </row>
    <row r="1644" spans="1:19" x14ac:dyDescent="0.2">
      <c r="A1644" s="51">
        <v>43770</v>
      </c>
      <c r="C1644" s="35" t="s">
        <v>565</v>
      </c>
      <c r="F1644" s="134">
        <v>5175</v>
      </c>
      <c r="G1644" s="37">
        <v>43784</v>
      </c>
      <c r="H1644" s="34">
        <v>9405</v>
      </c>
      <c r="I1644" s="39">
        <f>VLOOKUP(H1644,'[2]PUR-HSN MASTER'!$A$4:$E$5052,5,FALSE)</f>
        <v>12</v>
      </c>
      <c r="J1644" s="38">
        <v>1</v>
      </c>
      <c r="K1644" s="40">
        <v>240</v>
      </c>
      <c r="L1644" s="39">
        <v>0</v>
      </c>
      <c r="M1644" s="118">
        <f t="shared" si="41"/>
        <v>14.399999999999999</v>
      </c>
      <c r="N1644" s="118">
        <f t="shared" si="42"/>
        <v>14.399999999999999</v>
      </c>
      <c r="O1644" s="118">
        <v>0</v>
      </c>
      <c r="P1644" s="127">
        <f t="shared" si="43"/>
        <v>268.8</v>
      </c>
      <c r="Q1644" s="34" t="s">
        <v>410</v>
      </c>
      <c r="R1644" s="34" t="str">
        <f>VLOOKUP(C1644,'PUR-PARTY MASTER'!$B$4:$E$2000,4,FALSE)</f>
        <v>Local</v>
      </c>
      <c r="S1644" s="11" t="s">
        <v>4120</v>
      </c>
    </row>
    <row r="1645" spans="1:19" x14ac:dyDescent="0.2">
      <c r="A1645" s="51">
        <v>43770</v>
      </c>
      <c r="C1645" s="35" t="s">
        <v>565</v>
      </c>
      <c r="F1645" s="134">
        <v>5175</v>
      </c>
      <c r="G1645" s="37">
        <v>43784</v>
      </c>
      <c r="H1645" s="34">
        <v>8536</v>
      </c>
      <c r="I1645" s="39">
        <f>VLOOKUP(H1645,'[2]PUR-HSN MASTER'!$A$4:$E$5052,5,FALSE)</f>
        <v>18</v>
      </c>
      <c r="J1645" s="38">
        <v>23</v>
      </c>
      <c r="K1645" s="40">
        <v>888</v>
      </c>
      <c r="L1645" s="39">
        <v>0</v>
      </c>
      <c r="M1645" s="118">
        <f t="shared" si="41"/>
        <v>79.92</v>
      </c>
      <c r="N1645" s="118">
        <f t="shared" si="42"/>
        <v>79.92</v>
      </c>
      <c r="O1645" s="118">
        <v>0</v>
      </c>
      <c r="P1645" s="127">
        <f t="shared" si="43"/>
        <v>1047.8399999999999</v>
      </c>
      <c r="Q1645" s="34" t="s">
        <v>410</v>
      </c>
      <c r="R1645" s="34" t="str">
        <f>VLOOKUP(C1645,'PUR-PARTY MASTER'!$B$4:$E$2000,4,FALSE)</f>
        <v>Local</v>
      </c>
      <c r="S1645" s="11" t="s">
        <v>4120</v>
      </c>
    </row>
    <row r="1646" spans="1:19" x14ac:dyDescent="0.2">
      <c r="A1646" s="51">
        <v>43770</v>
      </c>
      <c r="C1646" s="35" t="s">
        <v>565</v>
      </c>
      <c r="F1646" s="134">
        <v>5175</v>
      </c>
      <c r="G1646" s="37">
        <v>43784</v>
      </c>
      <c r="H1646" s="34">
        <v>8207</v>
      </c>
      <c r="I1646" s="39">
        <f>VLOOKUP(H1646,'[2]PUR-HSN MASTER'!$A$4:$E$5052,5,FALSE)</f>
        <v>18</v>
      </c>
      <c r="J1646" s="38">
        <v>4</v>
      </c>
      <c r="K1646" s="40">
        <v>99</v>
      </c>
      <c r="L1646" s="39">
        <v>0</v>
      </c>
      <c r="M1646" s="118">
        <f t="shared" si="41"/>
        <v>8.91</v>
      </c>
      <c r="N1646" s="118">
        <f t="shared" si="42"/>
        <v>8.91</v>
      </c>
      <c r="O1646" s="118">
        <v>0</v>
      </c>
      <c r="P1646" s="127">
        <f t="shared" si="43"/>
        <v>116.82</v>
      </c>
      <c r="Q1646" s="34" t="s">
        <v>410</v>
      </c>
      <c r="R1646" s="34" t="str">
        <f>VLOOKUP(C1646,'PUR-PARTY MASTER'!$B$4:$E$2000,4,FALSE)</f>
        <v>Local</v>
      </c>
      <c r="S1646" s="11" t="s">
        <v>4120</v>
      </c>
    </row>
    <row r="1647" spans="1:19" x14ac:dyDescent="0.2">
      <c r="A1647" s="51">
        <v>43770</v>
      </c>
      <c r="C1647" s="35" t="s">
        <v>565</v>
      </c>
      <c r="F1647" s="134">
        <v>5175</v>
      </c>
      <c r="G1647" s="37">
        <v>43784</v>
      </c>
      <c r="H1647" s="34">
        <v>8532</v>
      </c>
      <c r="I1647" s="39">
        <f>VLOOKUP(H1647,'[2]PUR-HSN MASTER'!$A$4:$E$5052,5,FALSE)</f>
        <v>18</v>
      </c>
      <c r="J1647" s="38">
        <v>2</v>
      </c>
      <c r="K1647" s="40">
        <v>200</v>
      </c>
      <c r="L1647" s="39">
        <v>0</v>
      </c>
      <c r="M1647" s="118">
        <f t="shared" si="41"/>
        <v>18</v>
      </c>
      <c r="N1647" s="118">
        <f t="shared" si="42"/>
        <v>18</v>
      </c>
      <c r="O1647" s="118">
        <v>0</v>
      </c>
      <c r="P1647" s="127">
        <f t="shared" si="43"/>
        <v>236</v>
      </c>
      <c r="Q1647" s="34" t="s">
        <v>410</v>
      </c>
      <c r="R1647" s="34" t="str">
        <f>VLOOKUP(C1647,'PUR-PARTY MASTER'!$B$4:$E$2000,4,FALSE)</f>
        <v>Local</v>
      </c>
      <c r="S1647" s="11" t="s">
        <v>4120</v>
      </c>
    </row>
    <row r="1648" spans="1:19" x14ac:dyDescent="0.2">
      <c r="A1648" s="51">
        <v>43770</v>
      </c>
      <c r="C1648" s="35" t="s">
        <v>565</v>
      </c>
      <c r="F1648" s="134">
        <v>5175</v>
      </c>
      <c r="G1648" s="37">
        <v>43784</v>
      </c>
      <c r="H1648" s="34">
        <v>8538</v>
      </c>
      <c r="I1648" s="39">
        <f>VLOOKUP(H1648,'[2]PUR-HSN MASTER'!$A$4:$E$5052,5,FALSE)</f>
        <v>18</v>
      </c>
      <c r="J1648" s="38">
        <v>1</v>
      </c>
      <c r="K1648" s="40">
        <v>60</v>
      </c>
      <c r="L1648" s="39">
        <v>0</v>
      </c>
      <c r="M1648" s="118">
        <f t="shared" si="41"/>
        <v>5.3999999999999995</v>
      </c>
      <c r="N1648" s="118">
        <f t="shared" si="42"/>
        <v>5.3999999999999995</v>
      </c>
      <c r="O1648" s="118">
        <v>0</v>
      </c>
      <c r="P1648" s="127">
        <f t="shared" si="43"/>
        <v>70.8</v>
      </c>
      <c r="Q1648" s="34" t="s">
        <v>410</v>
      </c>
      <c r="R1648" s="34" t="str">
        <f>VLOOKUP(C1648,'PUR-PARTY MASTER'!$B$4:$E$2000,4,FALSE)</f>
        <v>Local</v>
      </c>
      <c r="S1648" s="11" t="s">
        <v>4120</v>
      </c>
    </row>
    <row r="1649" spans="1:19" x14ac:dyDescent="0.2">
      <c r="A1649" s="51">
        <v>43770</v>
      </c>
      <c r="C1649" s="35" t="s">
        <v>565</v>
      </c>
      <c r="F1649" s="134">
        <v>5175</v>
      </c>
      <c r="G1649" s="37">
        <v>43784</v>
      </c>
      <c r="H1649" s="34">
        <v>8487</v>
      </c>
      <c r="I1649" s="39">
        <f>VLOOKUP(H1649,'[2]PUR-HSN MASTER'!$A$4:$E$5052,5,FALSE)</f>
        <v>18</v>
      </c>
      <c r="J1649" s="38">
        <v>24</v>
      </c>
      <c r="K1649" s="40">
        <v>489.6</v>
      </c>
      <c r="L1649" s="39">
        <v>0</v>
      </c>
      <c r="M1649" s="118">
        <f t="shared" si="41"/>
        <v>44.064</v>
      </c>
      <c r="N1649" s="118">
        <f t="shared" si="42"/>
        <v>44.064</v>
      </c>
      <c r="O1649" s="118">
        <v>0</v>
      </c>
      <c r="P1649" s="127">
        <f t="shared" si="43"/>
        <v>577.72800000000007</v>
      </c>
      <c r="Q1649" s="34" t="s">
        <v>410</v>
      </c>
      <c r="R1649" s="34" t="str">
        <f>VLOOKUP(C1649,'PUR-PARTY MASTER'!$B$4:$E$2000,4,FALSE)</f>
        <v>Local</v>
      </c>
      <c r="S1649" s="11" t="s">
        <v>4120</v>
      </c>
    </row>
    <row r="1650" spans="1:19" x14ac:dyDescent="0.2">
      <c r="A1650" s="51">
        <v>43770</v>
      </c>
      <c r="C1650" s="35" t="s">
        <v>565</v>
      </c>
      <c r="F1650" s="134">
        <v>5175</v>
      </c>
      <c r="G1650" s="37">
        <v>43784</v>
      </c>
      <c r="H1650" s="34">
        <v>3917</v>
      </c>
      <c r="I1650" s="39">
        <f>VLOOKUP(H1650,'[2]PUR-HSN MASTER'!$A$4:$E$5052,5,FALSE)</f>
        <v>18</v>
      </c>
      <c r="J1650" s="38">
        <v>21</v>
      </c>
      <c r="K1650" s="40">
        <v>4240</v>
      </c>
      <c r="L1650" s="39">
        <v>0</v>
      </c>
      <c r="M1650" s="118">
        <f>+IF(R1650="local",K1650/100*I1650/2,0)+0.01</f>
        <v>381.60999999999996</v>
      </c>
      <c r="N1650" s="118">
        <f>+IF(R1650="local",K1650/100*I1650/2,0)+0.01</f>
        <v>381.60999999999996</v>
      </c>
      <c r="O1650" s="118">
        <v>0</v>
      </c>
      <c r="P1650" s="127">
        <f t="shared" si="43"/>
        <v>5003.22</v>
      </c>
      <c r="Q1650" s="34" t="s">
        <v>410</v>
      </c>
      <c r="R1650" s="34" t="str">
        <f>VLOOKUP(C1650,'PUR-PARTY MASTER'!$B$4:$E$2000,4,FALSE)</f>
        <v>Local</v>
      </c>
      <c r="S1650" s="11" t="s">
        <v>4120</v>
      </c>
    </row>
    <row r="1651" spans="1:19" x14ac:dyDescent="0.2">
      <c r="A1651" s="51">
        <v>43770</v>
      </c>
      <c r="B1651" s="11">
        <v>82</v>
      </c>
      <c r="C1651" s="35" t="s">
        <v>499</v>
      </c>
      <c r="F1651" s="136" t="s">
        <v>4479</v>
      </c>
      <c r="G1651" s="37">
        <v>43791</v>
      </c>
      <c r="H1651" s="34">
        <v>34012000</v>
      </c>
      <c r="I1651" s="39">
        <f>VLOOKUP(H1651,'[2]PUR-HSN MASTER'!$A$4:$E$5052,5,FALSE)</f>
        <v>18</v>
      </c>
      <c r="J1651" s="34">
        <v>30</v>
      </c>
      <c r="K1651" s="126">
        <v>675</v>
      </c>
      <c r="L1651" s="118">
        <f t="shared" ref="L1651:L1662" si="44">+IF(R1651="Oms",K1651/100*I1651,0)</f>
        <v>0</v>
      </c>
      <c r="M1651" s="118">
        <f t="shared" ref="M1651:M1653" si="45">+IF(R1651="local",K1651/100*I1651/2,0)</f>
        <v>60.75</v>
      </c>
      <c r="N1651" s="118">
        <f t="shared" ref="N1651:N1653" si="46">+IF(R1651="local",K1651/100*I1651/2,0)</f>
        <v>60.75</v>
      </c>
      <c r="O1651" s="118">
        <v>0</v>
      </c>
      <c r="P1651" s="127">
        <f>+O1651+N1651+M1651+L1651+K1651+0.5</f>
        <v>797</v>
      </c>
      <c r="Q1651" s="34" t="s">
        <v>410</v>
      </c>
      <c r="R1651" s="34" t="str">
        <f>VLOOKUP(C1651,'PUR-PARTY MASTER'!$B$4:$E$2000,4,FALSE)</f>
        <v>Local</v>
      </c>
      <c r="S1651" s="11" t="s">
        <v>4120</v>
      </c>
    </row>
    <row r="1652" spans="1:19" x14ac:dyDescent="0.2">
      <c r="A1652" s="51">
        <v>43770</v>
      </c>
      <c r="C1652" s="35" t="s">
        <v>499</v>
      </c>
      <c r="F1652" s="136" t="s">
        <v>4479</v>
      </c>
      <c r="G1652" s="37">
        <v>43791</v>
      </c>
      <c r="H1652" s="34">
        <v>40151100</v>
      </c>
      <c r="I1652" s="39">
        <f>VLOOKUP(H1652,'[2]PUR-HSN MASTER'!$A$4:$E$5052,5,FALSE)</f>
        <v>12</v>
      </c>
      <c r="J1652" s="34">
        <v>2000</v>
      </c>
      <c r="K1652" s="126">
        <v>5200</v>
      </c>
      <c r="L1652" s="118">
        <f t="shared" si="44"/>
        <v>0</v>
      </c>
      <c r="M1652" s="118">
        <f t="shared" si="45"/>
        <v>312</v>
      </c>
      <c r="N1652" s="118">
        <f t="shared" si="46"/>
        <v>312</v>
      </c>
      <c r="O1652" s="118">
        <v>0</v>
      </c>
      <c r="P1652" s="127">
        <f>+O1652+N1652+M1652+L1652+K1652</f>
        <v>5824</v>
      </c>
      <c r="Q1652" s="34" t="s">
        <v>410</v>
      </c>
      <c r="R1652" s="34" t="str">
        <f>VLOOKUP(C1652,'PUR-PARTY MASTER'!$B$4:$E$2000,4,FALSE)</f>
        <v>Local</v>
      </c>
      <c r="S1652" s="11" t="s">
        <v>4120</v>
      </c>
    </row>
    <row r="1653" spans="1:19" x14ac:dyDescent="0.2">
      <c r="A1653" s="51">
        <v>43770</v>
      </c>
      <c r="B1653" s="11">
        <v>83</v>
      </c>
      <c r="C1653" s="35" t="s">
        <v>499</v>
      </c>
      <c r="F1653" s="136" t="s">
        <v>4480</v>
      </c>
      <c r="G1653" s="37">
        <v>43791</v>
      </c>
      <c r="H1653" s="34">
        <v>96031000</v>
      </c>
      <c r="I1653" s="39">
        <f>VLOOKUP(H1653,'[2]PUR-HSN MASTER'!$A$4:$E$5052,5,FALSE)</f>
        <v>0</v>
      </c>
      <c r="J1653" s="34">
        <v>9</v>
      </c>
      <c r="K1653" s="126">
        <v>405</v>
      </c>
      <c r="L1653" s="118">
        <f t="shared" si="44"/>
        <v>0</v>
      </c>
      <c r="M1653" s="118">
        <f t="shared" si="45"/>
        <v>0</v>
      </c>
      <c r="N1653" s="118">
        <f t="shared" si="46"/>
        <v>0</v>
      </c>
      <c r="O1653" s="118">
        <v>0</v>
      </c>
      <c r="P1653" s="127">
        <f t="shared" ref="P1653" si="47">+O1653+N1653+M1653+L1653+K1653</f>
        <v>405</v>
      </c>
      <c r="Q1653" s="34" t="s">
        <v>377</v>
      </c>
      <c r="R1653" s="34" t="str">
        <f>VLOOKUP(C1653,'PUR-PARTY MASTER'!$B$4:$E$2000,4,FALSE)</f>
        <v>Local</v>
      </c>
      <c r="S1653" s="11" t="s">
        <v>4120</v>
      </c>
    </row>
    <row r="1654" spans="1:19" x14ac:dyDescent="0.2">
      <c r="A1654" s="51">
        <v>43770</v>
      </c>
      <c r="B1654" s="11">
        <v>84</v>
      </c>
      <c r="C1654" s="35" t="s">
        <v>473</v>
      </c>
      <c r="F1654" s="136" t="s">
        <v>4481</v>
      </c>
      <c r="G1654" s="37">
        <v>43791</v>
      </c>
      <c r="H1654" s="34">
        <v>87089900</v>
      </c>
      <c r="I1654" s="39">
        <f>VLOOKUP(H1654,'[2]PUR-HSN MASTER'!$A$4:$E$5052,5,FALSE)</f>
        <v>28</v>
      </c>
      <c r="J1654" s="34">
        <v>103</v>
      </c>
      <c r="K1654" s="126">
        <v>8620.44</v>
      </c>
      <c r="L1654" s="118">
        <f t="shared" si="44"/>
        <v>0</v>
      </c>
      <c r="M1654" s="118">
        <f>+IF(R1654="local",K1654/100*I1654/2,0)+0.14</f>
        <v>1207.0016000000003</v>
      </c>
      <c r="N1654" s="118">
        <f>+IF(R1654="local",K1654/100*I1654/2,0)+0.14</f>
        <v>1207.0016000000003</v>
      </c>
      <c r="O1654" s="118">
        <v>0</v>
      </c>
      <c r="P1654" s="127">
        <f>+O1654+N1654+M1654+L1654+K1654</f>
        <v>11034.443200000002</v>
      </c>
      <c r="Q1654" s="34" t="s">
        <v>410</v>
      </c>
      <c r="R1654" s="34" t="str">
        <f>VLOOKUP(C1654,'PUR-PARTY MASTER'!$B$4:$E$2000,4,FALSE)</f>
        <v>Local</v>
      </c>
      <c r="S1654" s="11" t="s">
        <v>4120</v>
      </c>
    </row>
    <row r="1655" spans="1:19" x14ac:dyDescent="0.2">
      <c r="A1655" s="51">
        <v>43770</v>
      </c>
      <c r="B1655" s="11">
        <v>85</v>
      </c>
      <c r="C1655" s="35" t="s">
        <v>495</v>
      </c>
      <c r="F1655" s="134">
        <v>5510064283</v>
      </c>
      <c r="G1655" s="37">
        <v>43791</v>
      </c>
      <c r="H1655" s="34">
        <v>85129000</v>
      </c>
      <c r="I1655" s="39">
        <f>VLOOKUP(H1655,'[2]PUR-HSN MASTER'!$A$4:$E$5052,5,FALSE)</f>
        <v>18</v>
      </c>
      <c r="J1655" s="34">
        <v>2880</v>
      </c>
      <c r="K1655" s="126">
        <v>31852.799999999999</v>
      </c>
      <c r="L1655" s="118">
        <f t="shared" si="44"/>
        <v>0</v>
      </c>
      <c r="M1655" s="118">
        <f>+IF(R1655="local",K1655/100*I1655/2,0)+0.01</f>
        <v>2866.7620000000006</v>
      </c>
      <c r="N1655" s="118">
        <f>+IF(R1655="local",K1655/100*I1655/2,0)+0.01</f>
        <v>2866.7620000000006</v>
      </c>
      <c r="O1655" s="118">
        <v>0</v>
      </c>
      <c r="P1655" s="127">
        <f>+O1655+N1655+M1655+L1655+K1655</f>
        <v>37586.324000000001</v>
      </c>
      <c r="Q1655" s="34" t="s">
        <v>410</v>
      </c>
      <c r="R1655" s="34" t="str">
        <f>VLOOKUP(C1655,'PUR-PARTY MASTER'!$B$4:$E$2000,4,FALSE)</f>
        <v>Local</v>
      </c>
      <c r="S1655" s="11" t="s">
        <v>4120</v>
      </c>
    </row>
    <row r="1656" spans="1:19" x14ac:dyDescent="0.2">
      <c r="A1656" s="51">
        <v>43770</v>
      </c>
      <c r="B1656" s="11">
        <v>86</v>
      </c>
      <c r="C1656" s="35" t="s">
        <v>634</v>
      </c>
      <c r="F1656" s="136" t="s">
        <v>4482</v>
      </c>
      <c r="G1656" s="37">
        <v>43792</v>
      </c>
      <c r="H1656" s="34">
        <v>8536</v>
      </c>
      <c r="I1656" s="39">
        <f>VLOOKUP(H1656,'[2]PUR-HSN MASTER'!$A$4:$E$5052,5,FALSE)</f>
        <v>18</v>
      </c>
      <c r="J1656" s="38">
        <v>1</v>
      </c>
      <c r="K1656" s="40">
        <v>725</v>
      </c>
      <c r="L1656" s="118">
        <f t="shared" si="44"/>
        <v>0</v>
      </c>
      <c r="M1656" s="118">
        <f t="shared" ref="M1656" si="48">+IF(R1656="local",K1656/100*I1656/2,0)</f>
        <v>65.25</v>
      </c>
      <c r="N1656" s="118">
        <f t="shared" ref="N1656" si="49">+IF(R1656="local",K1656/100*I1656/2,0)</f>
        <v>65.25</v>
      </c>
      <c r="O1656" s="118">
        <v>0</v>
      </c>
      <c r="P1656" s="127">
        <f>+O1656+N1656+M1656+L1656+K1656+0.5</f>
        <v>856</v>
      </c>
      <c r="Q1656" s="34" t="s">
        <v>410</v>
      </c>
      <c r="R1656" s="34" t="str">
        <f>VLOOKUP(C1656,'PUR-PARTY MASTER'!$B$4:$E$2000,4,FALSE)</f>
        <v>Local</v>
      </c>
      <c r="S1656" s="11" t="s">
        <v>4120</v>
      </c>
    </row>
    <row r="1657" spans="1:19" x14ac:dyDescent="0.2">
      <c r="A1657" s="51">
        <v>43770</v>
      </c>
      <c r="B1657" s="11">
        <v>87</v>
      </c>
      <c r="C1657" s="35" t="s">
        <v>473</v>
      </c>
      <c r="F1657" s="136" t="s">
        <v>4483</v>
      </c>
      <c r="G1657" s="37">
        <v>43792</v>
      </c>
      <c r="H1657" s="34">
        <v>87089900</v>
      </c>
      <c r="I1657" s="39">
        <f>VLOOKUP(H1657,'[2]PUR-HSN MASTER'!$A$4:$E$5052,5,FALSE)</f>
        <v>28</v>
      </c>
      <c r="J1657" s="34">
        <v>200</v>
      </c>
      <c r="K1657" s="126">
        <v>1249</v>
      </c>
      <c r="L1657" s="118">
        <f t="shared" si="44"/>
        <v>0</v>
      </c>
      <c r="M1657" s="118">
        <f>+IF(R1657="local",K1657/100*I1657/2,0)+0.14</f>
        <v>175</v>
      </c>
      <c r="N1657" s="118">
        <f>+IF(R1657="local",K1657/100*I1657/2,0)+0.14</f>
        <v>175</v>
      </c>
      <c r="O1657" s="118">
        <v>0</v>
      </c>
      <c r="P1657" s="127">
        <f>+O1657+N1657+M1657+L1657+K1657</f>
        <v>1599</v>
      </c>
      <c r="Q1657" s="34" t="s">
        <v>410</v>
      </c>
      <c r="R1657" s="34" t="str">
        <f>VLOOKUP(C1657,'PUR-PARTY MASTER'!$B$4:$E$2000,4,FALSE)</f>
        <v>Local</v>
      </c>
      <c r="S1657" s="11" t="s">
        <v>4120</v>
      </c>
    </row>
    <row r="1658" spans="1:19" x14ac:dyDescent="0.2">
      <c r="A1658" s="51">
        <v>43770</v>
      </c>
      <c r="B1658" s="11">
        <v>88</v>
      </c>
      <c r="C1658" s="34" t="s">
        <v>601</v>
      </c>
      <c r="F1658" s="134">
        <v>6162</v>
      </c>
      <c r="G1658" s="37">
        <v>43794</v>
      </c>
      <c r="H1658" s="34">
        <v>87082900</v>
      </c>
      <c r="I1658" s="39">
        <f>VLOOKUP(H1658,'[2]PUR-HSN MASTER'!$A$4:$E$5052,5,FALSE)</f>
        <v>28</v>
      </c>
      <c r="J1658" s="34">
        <v>780</v>
      </c>
      <c r="K1658" s="39">
        <v>33204.6</v>
      </c>
      <c r="L1658" s="118">
        <f t="shared" si="44"/>
        <v>0</v>
      </c>
      <c r="M1658" s="118">
        <f t="shared" ref="M1658" si="50">+IF(R1658="local",K1658/100*I1658/2,0)</f>
        <v>4648.6440000000002</v>
      </c>
      <c r="N1658" s="118">
        <f t="shared" ref="N1658" si="51">+IF(R1658="local",K1658/100*I1658/2,0)</f>
        <v>4648.6440000000002</v>
      </c>
      <c r="O1658" s="118">
        <v>0</v>
      </c>
      <c r="P1658" s="127">
        <f>+O1658+N1658+M1658+L1658+K1658-0.01</f>
        <v>42501.877999999997</v>
      </c>
      <c r="Q1658" s="34" t="s">
        <v>410</v>
      </c>
      <c r="R1658" s="34" t="str">
        <f>VLOOKUP(C1658,'PUR-PARTY MASTER'!$B$4:$E$2000,4,FALSE)</f>
        <v>Local</v>
      </c>
      <c r="S1658" s="11" t="s">
        <v>4120</v>
      </c>
    </row>
    <row r="1659" spans="1:19" x14ac:dyDescent="0.2">
      <c r="A1659" s="51">
        <v>43770</v>
      </c>
      <c r="B1659" s="11">
        <v>89</v>
      </c>
      <c r="C1659" s="35" t="s">
        <v>473</v>
      </c>
      <c r="F1659" s="136" t="s">
        <v>4484</v>
      </c>
      <c r="G1659" s="37">
        <v>43794</v>
      </c>
      <c r="H1659" s="34">
        <v>87089900</v>
      </c>
      <c r="I1659" s="39">
        <f>VLOOKUP(H1659,'[2]PUR-HSN MASTER'!$A$4:$E$5052,5,FALSE)</f>
        <v>28</v>
      </c>
      <c r="J1659" s="34">
        <v>236</v>
      </c>
      <c r="K1659" s="126">
        <v>6312.4</v>
      </c>
      <c r="L1659" s="118">
        <f t="shared" si="44"/>
        <v>0</v>
      </c>
      <c r="M1659" s="118">
        <f>+IF(R1659="local",K1659/100*I1659/2,0)+0.26</f>
        <v>883.99599999999987</v>
      </c>
      <c r="N1659" s="118">
        <f>+IF(R1659="local",K1659/100*I1659/2,0)+0.26</f>
        <v>883.99599999999987</v>
      </c>
      <c r="O1659" s="118">
        <v>0</v>
      </c>
      <c r="P1659" s="127">
        <f>+O1659+N1659+M1659+L1659+K1659+0.01</f>
        <v>8080.402</v>
      </c>
      <c r="Q1659" s="34" t="s">
        <v>410</v>
      </c>
      <c r="R1659" s="34" t="str">
        <f>VLOOKUP(C1659,'PUR-PARTY MASTER'!$B$4:$E$2000,4,FALSE)</f>
        <v>Local</v>
      </c>
      <c r="S1659" s="11" t="s">
        <v>4120</v>
      </c>
    </row>
    <row r="1660" spans="1:19" x14ac:dyDescent="0.2">
      <c r="A1660" s="51"/>
      <c r="B1660" s="34">
        <v>90</v>
      </c>
      <c r="C1660" s="632" t="s">
        <v>1150</v>
      </c>
      <c r="F1660" s="136">
        <v>5567</v>
      </c>
      <c r="G1660" s="37">
        <v>43792</v>
      </c>
      <c r="H1660" s="34">
        <v>9032</v>
      </c>
      <c r="I1660" s="39">
        <f>VLOOKUP(H1660,'[2]PUR-HSN MASTER'!$A$4:$E$5052,5,FALSE)</f>
        <v>18</v>
      </c>
      <c r="J1660" s="34">
        <v>1</v>
      </c>
      <c r="K1660" s="126">
        <v>3476.85</v>
      </c>
      <c r="L1660" s="118">
        <f t="shared" si="44"/>
        <v>0</v>
      </c>
      <c r="M1660" s="118">
        <f t="shared" ref="M1660:M1665" si="52">+IF(R1660="local",K1660/100*I1660/2,0)</f>
        <v>312.91649999999998</v>
      </c>
      <c r="N1660" s="118">
        <f t="shared" ref="N1660:N1665" si="53">+IF(R1660="local",K1660/100*I1660/2,0)</f>
        <v>312.91649999999998</v>
      </c>
      <c r="O1660" s="118">
        <v>0</v>
      </c>
      <c r="P1660" s="127">
        <f>+O1660+N1660+M1660+L1660+K1660+0.32</f>
        <v>4103.0029999999997</v>
      </c>
      <c r="Q1660" s="34" t="s">
        <v>410</v>
      </c>
      <c r="R1660" s="34" t="str">
        <f>VLOOKUP(C1660,'PUR-PARTY MASTER'!$B$4:$E$2000,4,FALSE)</f>
        <v>Local</v>
      </c>
      <c r="S1660" s="11" t="s">
        <v>4120</v>
      </c>
    </row>
    <row r="1661" spans="1:19" x14ac:dyDescent="0.2">
      <c r="A1661" s="51">
        <v>43770</v>
      </c>
      <c r="B1661" s="11">
        <v>91</v>
      </c>
      <c r="C1661" s="35" t="s">
        <v>506</v>
      </c>
      <c r="F1661" s="136" t="s">
        <v>4485</v>
      </c>
      <c r="G1661" s="37">
        <v>43794</v>
      </c>
      <c r="H1661" s="34">
        <v>32082090</v>
      </c>
      <c r="I1661" s="39">
        <f>VLOOKUP(H1661,'[2]PUR-HSN MASTER'!$A$4:$E$5052,5,FALSE)</f>
        <v>18</v>
      </c>
      <c r="J1661" s="34">
        <v>200</v>
      </c>
      <c r="K1661" s="126">
        <v>69758</v>
      </c>
      <c r="L1661" s="118">
        <f t="shared" si="44"/>
        <v>0</v>
      </c>
      <c r="M1661" s="118">
        <f t="shared" si="52"/>
        <v>6278.22</v>
      </c>
      <c r="N1661" s="118">
        <f t="shared" si="53"/>
        <v>6278.22</v>
      </c>
      <c r="O1661" s="118">
        <v>0</v>
      </c>
      <c r="P1661" s="127">
        <f>+O1661+N1661+M1661+L1661+K1661-0.44</f>
        <v>82314</v>
      </c>
      <c r="Q1661" s="34" t="s">
        <v>410</v>
      </c>
      <c r="R1661" s="34" t="str">
        <f>VLOOKUP(C1661,'PUR-PARTY MASTER'!$B$4:$E$2000,4,FALSE)</f>
        <v>Local</v>
      </c>
      <c r="S1661" s="11" t="s">
        <v>4120</v>
      </c>
    </row>
    <row r="1662" spans="1:19" x14ac:dyDescent="0.2">
      <c r="A1662" s="51">
        <v>43770</v>
      </c>
      <c r="B1662" s="11">
        <v>92</v>
      </c>
      <c r="C1662" s="35" t="s">
        <v>506</v>
      </c>
      <c r="F1662" s="136" t="s">
        <v>4486</v>
      </c>
      <c r="G1662" s="37">
        <v>43794</v>
      </c>
      <c r="H1662" s="34">
        <v>38140010</v>
      </c>
      <c r="I1662" s="39">
        <f>VLOOKUP(H1662,'[2]PUR-HSN MASTER'!$A$4:$E$5052,5,FALSE)</f>
        <v>18</v>
      </c>
      <c r="J1662" s="34">
        <v>100</v>
      </c>
      <c r="K1662" s="126">
        <v>9240</v>
      </c>
      <c r="L1662" s="118">
        <f t="shared" si="44"/>
        <v>0</v>
      </c>
      <c r="M1662" s="118">
        <f t="shared" si="52"/>
        <v>831.6</v>
      </c>
      <c r="N1662" s="118">
        <f t="shared" si="53"/>
        <v>831.6</v>
      </c>
      <c r="O1662" s="118">
        <v>0</v>
      </c>
      <c r="P1662" s="127">
        <f>+O1662+N1662+M1662+L1662+K1662-0.2</f>
        <v>10903</v>
      </c>
      <c r="Q1662" s="34" t="s">
        <v>410</v>
      </c>
      <c r="R1662" s="34" t="str">
        <f>VLOOKUP(C1662,'PUR-PARTY MASTER'!$B$4:$E$2000,4,FALSE)</f>
        <v>Local</v>
      </c>
      <c r="S1662" s="11" t="s">
        <v>4120</v>
      </c>
    </row>
    <row r="1663" spans="1:19" x14ac:dyDescent="0.2">
      <c r="A1663" s="51">
        <v>43770</v>
      </c>
      <c r="B1663" s="11">
        <v>93</v>
      </c>
      <c r="C1663" s="35" t="s">
        <v>963</v>
      </c>
      <c r="F1663" s="136" t="s">
        <v>4487</v>
      </c>
      <c r="G1663" s="37">
        <v>43771</v>
      </c>
      <c r="H1663" s="34">
        <v>998716</v>
      </c>
      <c r="I1663" s="39">
        <f>VLOOKUP(H1663,'[2]PUR-HSN MASTER'!$A$4:$E$5052,5,FALSE)</f>
        <v>18</v>
      </c>
      <c r="J1663" s="34">
        <v>0</v>
      </c>
      <c r="K1663" s="126">
        <v>550</v>
      </c>
      <c r="L1663" s="39">
        <v>0</v>
      </c>
      <c r="M1663" s="118">
        <f t="shared" si="52"/>
        <v>49.5</v>
      </c>
      <c r="N1663" s="118">
        <f t="shared" si="53"/>
        <v>49.5</v>
      </c>
      <c r="O1663" s="118">
        <v>0</v>
      </c>
      <c r="P1663" s="127">
        <f>+O1663+N1663+M1663+L1663+K1663</f>
        <v>649</v>
      </c>
      <c r="Q1663" s="34" t="s">
        <v>411</v>
      </c>
      <c r="R1663" s="34" t="str">
        <f>VLOOKUP(C1663,'PUR-PARTY MASTER'!$B$4:$E$2000,4,FALSE)</f>
        <v>Local</v>
      </c>
      <c r="S1663" s="11" t="s">
        <v>4120</v>
      </c>
    </row>
    <row r="1664" spans="1:19" x14ac:dyDescent="0.2">
      <c r="A1664" s="51">
        <v>43770</v>
      </c>
      <c r="B1664" s="11">
        <v>94</v>
      </c>
      <c r="C1664" s="34" t="s">
        <v>601</v>
      </c>
      <c r="F1664" s="134">
        <v>6271</v>
      </c>
      <c r="G1664" s="37">
        <v>43796</v>
      </c>
      <c r="H1664" s="34">
        <v>87082900</v>
      </c>
      <c r="I1664" s="39">
        <f>VLOOKUP(H1664,'[2]PUR-HSN MASTER'!$A$4:$E$5052,5,FALSE)</f>
        <v>28</v>
      </c>
      <c r="J1664" s="34">
        <v>680</v>
      </c>
      <c r="K1664" s="39">
        <v>28947.599999999999</v>
      </c>
      <c r="L1664" s="118">
        <f t="shared" ref="L1664:L1669" si="54">+IF(R1664="Oms",K1664/100*I1664,0)</f>
        <v>0</v>
      </c>
      <c r="M1664" s="118">
        <f t="shared" si="52"/>
        <v>4052.6639999999998</v>
      </c>
      <c r="N1664" s="118">
        <f t="shared" si="53"/>
        <v>4052.6639999999998</v>
      </c>
      <c r="O1664" s="118">
        <v>0</v>
      </c>
      <c r="P1664" s="127">
        <f>+O1664+N1664+M1664+L1664+K1664-0.01</f>
        <v>37052.917999999998</v>
      </c>
      <c r="Q1664" s="34" t="s">
        <v>410</v>
      </c>
      <c r="R1664" s="34" t="str">
        <f>VLOOKUP(C1664,'PUR-PARTY MASTER'!$B$4:$E$2000,4,FALSE)</f>
        <v>Local</v>
      </c>
      <c r="S1664" s="11" t="s">
        <v>4120</v>
      </c>
    </row>
    <row r="1665" spans="1:19" x14ac:dyDescent="0.2">
      <c r="A1665" s="51">
        <v>43770</v>
      </c>
      <c r="B1665" s="11">
        <v>95</v>
      </c>
      <c r="C1665" s="34" t="s">
        <v>601</v>
      </c>
      <c r="F1665" s="134">
        <v>6272</v>
      </c>
      <c r="G1665" s="37">
        <v>43796</v>
      </c>
      <c r="H1665" s="34">
        <v>87082900</v>
      </c>
      <c r="I1665" s="39">
        <f>VLOOKUP(H1665,'[2]PUR-HSN MASTER'!$A$4:$E$5052,5,FALSE)</f>
        <v>28</v>
      </c>
      <c r="J1665" s="34">
        <v>840</v>
      </c>
      <c r="K1665" s="39">
        <v>18748.8</v>
      </c>
      <c r="L1665" s="118">
        <f t="shared" si="54"/>
        <v>0</v>
      </c>
      <c r="M1665" s="118">
        <f t="shared" si="52"/>
        <v>2624.8319999999999</v>
      </c>
      <c r="N1665" s="118">
        <f t="shared" si="53"/>
        <v>2624.8319999999999</v>
      </c>
      <c r="O1665" s="118">
        <v>0</v>
      </c>
      <c r="P1665" s="127">
        <f t="shared" ref="P1665:P1670" si="55">+O1665+N1665+M1665+L1665+K1665</f>
        <v>23998.464</v>
      </c>
      <c r="Q1665" s="34" t="s">
        <v>410</v>
      </c>
      <c r="R1665" s="34" t="str">
        <f>VLOOKUP(C1665,'PUR-PARTY MASTER'!$B$4:$E$2000,4,FALSE)</f>
        <v>Local</v>
      </c>
      <c r="S1665" s="11" t="s">
        <v>4120</v>
      </c>
    </row>
    <row r="1666" spans="1:19" x14ac:dyDescent="0.2">
      <c r="A1666" s="51">
        <v>43770</v>
      </c>
      <c r="B1666" s="11">
        <v>96</v>
      </c>
      <c r="C1666" s="35" t="s">
        <v>495</v>
      </c>
      <c r="F1666" s="134">
        <v>5510064778</v>
      </c>
      <c r="G1666" s="37">
        <v>43797</v>
      </c>
      <c r="H1666" s="34">
        <v>85129000</v>
      </c>
      <c r="I1666" s="39">
        <f>VLOOKUP(H1666,'[2]PUR-HSN MASTER'!$A$4:$E$5052,5,FALSE)</f>
        <v>18</v>
      </c>
      <c r="J1666" s="34">
        <v>4800</v>
      </c>
      <c r="K1666" s="126">
        <v>53088</v>
      </c>
      <c r="L1666" s="118">
        <f t="shared" si="54"/>
        <v>0</v>
      </c>
      <c r="M1666" s="118">
        <f>+IF(R1666="local",K1666/100*I1666/2,0)</f>
        <v>4777.92</v>
      </c>
      <c r="N1666" s="118">
        <f>+IF(R1666="local",K1666/100*I1666/2,0)</f>
        <v>4777.92</v>
      </c>
      <c r="O1666" s="118">
        <v>0</v>
      </c>
      <c r="P1666" s="127">
        <f t="shared" si="55"/>
        <v>62643.839999999997</v>
      </c>
      <c r="Q1666" s="34" t="s">
        <v>410</v>
      </c>
      <c r="R1666" s="34" t="str">
        <f>VLOOKUP(C1666,'PUR-PARTY MASTER'!$B$4:$E$2000,4,FALSE)</f>
        <v>Local</v>
      </c>
      <c r="S1666" s="11" t="s">
        <v>4120</v>
      </c>
    </row>
    <row r="1667" spans="1:19" x14ac:dyDescent="0.2">
      <c r="A1667" s="51">
        <v>43770</v>
      </c>
      <c r="B1667" s="11">
        <v>97</v>
      </c>
      <c r="C1667" s="35" t="s">
        <v>495</v>
      </c>
      <c r="F1667" s="134">
        <v>5510064857</v>
      </c>
      <c r="G1667" s="37">
        <v>43797</v>
      </c>
      <c r="H1667" s="34">
        <v>85122020</v>
      </c>
      <c r="I1667" s="34"/>
      <c r="J1667" s="34">
        <v>60</v>
      </c>
      <c r="K1667" s="126">
        <v>721.2</v>
      </c>
      <c r="L1667" s="118">
        <f t="shared" si="54"/>
        <v>0</v>
      </c>
      <c r="M1667" s="118">
        <f>+IF(R1667="local",K1667/100*I1667/2,0)</f>
        <v>0</v>
      </c>
      <c r="N1667" s="118">
        <f>+IF(R1667="local",K1667/100*I1667/2,0)</f>
        <v>0</v>
      </c>
      <c r="O1667" s="118">
        <v>0</v>
      </c>
      <c r="P1667" s="127">
        <f t="shared" si="55"/>
        <v>721.2</v>
      </c>
      <c r="Q1667" s="34" t="s">
        <v>410</v>
      </c>
      <c r="R1667" s="34" t="str">
        <f>VLOOKUP(C1667,'PUR-PARTY MASTER'!$B$4:$E$2000,4,FALSE)</f>
        <v>Local</v>
      </c>
      <c r="S1667" s="11" t="s">
        <v>4120</v>
      </c>
    </row>
    <row r="1668" spans="1:19" x14ac:dyDescent="0.2">
      <c r="A1668" s="51">
        <v>43770</v>
      </c>
      <c r="C1668" s="35" t="s">
        <v>495</v>
      </c>
      <c r="F1668" s="134">
        <v>5510064857</v>
      </c>
      <c r="G1668" s="37">
        <v>43797</v>
      </c>
      <c r="H1668" s="34">
        <v>85122010</v>
      </c>
      <c r="I1668" s="39">
        <f>VLOOKUP(H1668,'[2]PUR-HSN MASTER'!$A$4:$E$5052,5,FALSE)</f>
        <v>18</v>
      </c>
      <c r="J1668" s="34">
        <v>120</v>
      </c>
      <c r="K1668" s="126">
        <v>500.4</v>
      </c>
      <c r="L1668" s="118">
        <f t="shared" si="54"/>
        <v>0</v>
      </c>
      <c r="M1668" s="118">
        <f>+IF(R1668="local",K1668/100*I1668/2,0)+0.005</f>
        <v>45.040999999999997</v>
      </c>
      <c r="N1668" s="118">
        <f>+IF(R1668="local",K1668/100*I1668/2,0)+0.005</f>
        <v>45.040999999999997</v>
      </c>
      <c r="O1668" s="118">
        <v>0</v>
      </c>
      <c r="P1668" s="127">
        <f t="shared" si="55"/>
        <v>590.48199999999997</v>
      </c>
      <c r="Q1668" s="34" t="s">
        <v>410</v>
      </c>
      <c r="R1668" s="34" t="str">
        <f>VLOOKUP(C1668,'PUR-PARTY MASTER'!$B$4:$E$2000,4,FALSE)</f>
        <v>Local</v>
      </c>
      <c r="S1668" s="11" t="s">
        <v>4120</v>
      </c>
    </row>
    <row r="1669" spans="1:19" x14ac:dyDescent="0.2">
      <c r="A1669" s="51">
        <v>43770</v>
      </c>
      <c r="B1669" s="11">
        <v>98</v>
      </c>
      <c r="C1669" s="35" t="s">
        <v>495</v>
      </c>
      <c r="F1669" s="134">
        <v>5510064858</v>
      </c>
      <c r="G1669" s="37">
        <v>43797</v>
      </c>
      <c r="H1669" s="34">
        <v>85122020</v>
      </c>
      <c r="I1669" s="39">
        <f>VLOOKUP(H1669,'[2]PUR-HSN MASTER'!$A$4:$E$5052,5,FALSE)</f>
        <v>18</v>
      </c>
      <c r="J1669" s="34">
        <v>120</v>
      </c>
      <c r="K1669" s="126">
        <v>500.4</v>
      </c>
      <c r="L1669" s="118">
        <f t="shared" si="54"/>
        <v>0</v>
      </c>
      <c r="M1669" s="118">
        <f>+IF(R1669="local",K1669/100*I1669/2,0)+0.005</f>
        <v>45.040999999999997</v>
      </c>
      <c r="N1669" s="118">
        <f>+IF(R1669="local",K1669/100*I1669/2,0)+0.005</f>
        <v>45.040999999999997</v>
      </c>
      <c r="O1669" s="118">
        <v>0</v>
      </c>
      <c r="P1669" s="127">
        <f t="shared" si="55"/>
        <v>590.48199999999997</v>
      </c>
      <c r="Q1669" s="34" t="s">
        <v>410</v>
      </c>
      <c r="R1669" s="34" t="str">
        <f>VLOOKUP(C1669,'PUR-PARTY MASTER'!$B$4:$E$2000,4,FALSE)</f>
        <v>Local</v>
      </c>
      <c r="S1669" s="11" t="s">
        <v>4120</v>
      </c>
    </row>
    <row r="1670" spans="1:19" x14ac:dyDescent="0.2">
      <c r="A1670" s="51">
        <v>43770</v>
      </c>
      <c r="B1670" s="11">
        <v>99</v>
      </c>
      <c r="C1670" s="35" t="s">
        <v>517</v>
      </c>
      <c r="F1670" s="134">
        <v>19624324</v>
      </c>
      <c r="G1670" s="37">
        <v>43797</v>
      </c>
      <c r="H1670" s="34">
        <v>87081090</v>
      </c>
      <c r="I1670" s="39">
        <f>VLOOKUP(H1670,'[2]PUR-HSN MASTER'!$A$4:$E$5052,5,FALSE)</f>
        <v>28</v>
      </c>
      <c r="J1670" s="34">
        <v>58</v>
      </c>
      <c r="K1670" s="126">
        <v>41972.34</v>
      </c>
      <c r="L1670" s="118">
        <f>+IF(R1670="Oms",K1670/100*I1670,0)</f>
        <v>11752.2552</v>
      </c>
      <c r="M1670" s="118">
        <f t="shared" ref="M1670" si="56">+IF(R1670="local",K1670/100*I1670/2,0)</f>
        <v>0</v>
      </c>
      <c r="N1670" s="118">
        <f t="shared" ref="N1670" si="57">+IF(R1670="local",K1670/100*I1670/2,0)</f>
        <v>0</v>
      </c>
      <c r="O1670" s="118">
        <v>0</v>
      </c>
      <c r="P1670" s="127">
        <f t="shared" si="55"/>
        <v>53724.595199999996</v>
      </c>
      <c r="Q1670" s="34" t="s">
        <v>410</v>
      </c>
      <c r="R1670" s="34" t="str">
        <f>VLOOKUP(C1670,'PUR-PARTY MASTER'!$B$4:$E$2000,4,FALSE)</f>
        <v>Oms</v>
      </c>
      <c r="S1670" s="11" t="s">
        <v>4120</v>
      </c>
    </row>
    <row r="1671" spans="1:19" x14ac:dyDescent="0.2">
      <c r="A1671" s="51">
        <v>43770</v>
      </c>
      <c r="B1671" s="34">
        <v>100</v>
      </c>
      <c r="C1671" s="632" t="s">
        <v>1090</v>
      </c>
      <c r="F1671" s="134">
        <v>2736</v>
      </c>
      <c r="G1671" s="37">
        <v>43799</v>
      </c>
      <c r="H1671" s="34">
        <v>25232910</v>
      </c>
      <c r="I1671" s="39">
        <f>VLOOKUP(H1671,'[2]PUR-HSN MASTER'!$A$4:$E$5052,5,FALSE)</f>
        <v>28</v>
      </c>
      <c r="J1671" s="34">
        <v>25</v>
      </c>
      <c r="K1671" s="126">
        <v>6159.38</v>
      </c>
      <c r="L1671" s="118">
        <f t="shared" ref="L1671:L1672" si="58">+IF(R1671="Oms",K1671/100*I1671,0)</f>
        <v>0</v>
      </c>
      <c r="M1671" s="118">
        <f>+IF(R1671="local",K1671/100*I1671/2,0)</f>
        <v>862.31320000000005</v>
      </c>
      <c r="N1671" s="118">
        <f>+IF(R1671="local",K1671/100*I1671/2,0)</f>
        <v>862.31320000000005</v>
      </c>
      <c r="O1671" s="118">
        <v>0</v>
      </c>
      <c r="P1671" s="127">
        <f>+O1671+N1671+M1671+L1671+K1671-0.01</f>
        <v>7883.9964</v>
      </c>
      <c r="Q1671" s="34" t="s">
        <v>410</v>
      </c>
      <c r="R1671" s="34" t="str">
        <f>VLOOKUP(C1671,'PUR-PARTY MASTER'!$B$4:$E$2000,4,FALSE)</f>
        <v>Local</v>
      </c>
      <c r="S1671" s="11" t="s">
        <v>4120</v>
      </c>
    </row>
    <row r="1672" spans="1:19" x14ac:dyDescent="0.2">
      <c r="A1672" s="51">
        <v>43770</v>
      </c>
      <c r="B1672" s="11">
        <v>101</v>
      </c>
      <c r="C1672" s="35" t="s">
        <v>514</v>
      </c>
      <c r="F1672" s="136" t="s">
        <v>4488</v>
      </c>
      <c r="G1672" s="37">
        <v>43799</v>
      </c>
      <c r="H1672" s="34">
        <v>9971</v>
      </c>
      <c r="I1672" s="39">
        <f>VLOOKUP(H1672,'[2]PUR-HSN MASTER'!$A$4:$E$5052,5,FALSE)</f>
        <v>18</v>
      </c>
      <c r="J1672" s="34">
        <v>0</v>
      </c>
      <c r="K1672" s="40">
        <v>10000</v>
      </c>
      <c r="L1672" s="118">
        <f t="shared" si="58"/>
        <v>0</v>
      </c>
      <c r="M1672" s="118">
        <f t="shared" ref="M1672" si="59">+IF(R1672="local",K1672/100*I1672/2,0)</f>
        <v>900</v>
      </c>
      <c r="N1672" s="118">
        <f t="shared" ref="N1672" si="60">+IF(R1672="local",K1672/100*I1672/2,0)</f>
        <v>900</v>
      </c>
      <c r="O1672" s="118">
        <v>0</v>
      </c>
      <c r="P1672" s="127">
        <f>+O1672+N1672+M1672+L1672+K1672</f>
        <v>11800</v>
      </c>
      <c r="Q1672" s="34" t="s">
        <v>411</v>
      </c>
      <c r="R1672" s="34" t="str">
        <f>VLOOKUP(C1672,'PUR-PARTY MASTER'!$B$4:$E$2000,4,FALSE)</f>
        <v>Local</v>
      </c>
      <c r="S1672" s="11" t="s">
        <v>4120</v>
      </c>
    </row>
    <row r="1673" spans="1:19" x14ac:dyDescent="0.2">
      <c r="A1673" s="51">
        <v>43770</v>
      </c>
      <c r="B1673" s="11">
        <v>102</v>
      </c>
      <c r="C1673" s="35" t="s">
        <v>565</v>
      </c>
      <c r="F1673" s="134">
        <v>5209</v>
      </c>
      <c r="G1673" s="37">
        <v>43795</v>
      </c>
      <c r="H1673" s="34" t="s">
        <v>4279</v>
      </c>
      <c r="I1673" s="39">
        <f>VLOOKUP(H1673,'[2]PUR-HSN MASTER'!$A$4:$E$5052,5,FALSE)</f>
        <v>18</v>
      </c>
      <c r="J1673" s="38">
        <v>2</v>
      </c>
      <c r="K1673" s="40">
        <v>118.64</v>
      </c>
      <c r="L1673" s="39">
        <v>0</v>
      </c>
      <c r="M1673" s="118">
        <f>+IF(R1673="local",K1673/100*I1673/2,0)</f>
        <v>10.677599999999998</v>
      </c>
      <c r="N1673" s="118">
        <f>+IF(R1673="local",K1673/100*I1673/2,0)</f>
        <v>10.677599999999998</v>
      </c>
      <c r="O1673" s="118">
        <v>0</v>
      </c>
      <c r="P1673" s="127">
        <f>+O1673+N1673+M1673+L1673+K1673</f>
        <v>139.99520000000001</v>
      </c>
      <c r="Q1673" s="34" t="s">
        <v>410</v>
      </c>
      <c r="R1673" s="34" t="str">
        <f>VLOOKUP(C1673,'PUR-PARTY MASTER'!$B$4:$E$2000,4,FALSE)</f>
        <v>Local</v>
      </c>
      <c r="S1673" s="11" t="s">
        <v>4120</v>
      </c>
    </row>
    <row r="1674" spans="1:19" x14ac:dyDescent="0.2">
      <c r="A1674" s="51">
        <v>43770</v>
      </c>
      <c r="C1674" s="35" t="s">
        <v>565</v>
      </c>
      <c r="F1674" s="134">
        <v>5209</v>
      </c>
      <c r="G1674" s="37">
        <v>43795</v>
      </c>
      <c r="H1674" s="34">
        <v>3506</v>
      </c>
      <c r="I1674" s="39">
        <f>VLOOKUP(H1674,'[2]PUR-HSN MASTER'!$A$4:$E$5052,5,FALSE)</f>
        <v>18</v>
      </c>
      <c r="J1674" s="38">
        <v>2</v>
      </c>
      <c r="K1674" s="40">
        <v>288.12</v>
      </c>
      <c r="L1674" s="39">
        <v>0</v>
      </c>
      <c r="M1674" s="118">
        <f t="shared" ref="M1674:M1683" si="61">+IF(R1674="local",K1674/100*I1674/2,0)</f>
        <v>25.930800000000001</v>
      </c>
      <c r="N1674" s="118">
        <f t="shared" ref="N1674:N1683" si="62">+IF(R1674="local",K1674/100*I1674/2,0)</f>
        <v>25.930800000000001</v>
      </c>
      <c r="O1674" s="118">
        <v>0</v>
      </c>
      <c r="P1674" s="127">
        <f>+O1674+N1674+M1674+L1674+K1674+0.02</f>
        <v>340.0016</v>
      </c>
      <c r="Q1674" s="34" t="s">
        <v>410</v>
      </c>
      <c r="R1674" s="34" t="str">
        <f>VLOOKUP(C1674,'PUR-PARTY MASTER'!$B$4:$E$2000,4,FALSE)</f>
        <v>Local</v>
      </c>
      <c r="S1674" s="11" t="s">
        <v>4120</v>
      </c>
    </row>
    <row r="1675" spans="1:19" x14ac:dyDescent="0.2">
      <c r="A1675" s="51">
        <v>43770</v>
      </c>
      <c r="C1675" s="35" t="s">
        <v>565</v>
      </c>
      <c r="F1675" s="134">
        <v>5209</v>
      </c>
      <c r="G1675" s="37">
        <v>43795</v>
      </c>
      <c r="H1675" s="34">
        <v>8536</v>
      </c>
      <c r="I1675" s="39">
        <f>VLOOKUP(H1675,'[2]PUR-HSN MASTER'!$A$4:$E$5052,5,FALSE)</f>
        <v>18</v>
      </c>
      <c r="J1675" s="38">
        <v>21</v>
      </c>
      <c r="K1675" s="40">
        <v>604</v>
      </c>
      <c r="L1675" s="39">
        <v>0</v>
      </c>
      <c r="M1675" s="118">
        <f t="shared" si="61"/>
        <v>54.36</v>
      </c>
      <c r="N1675" s="118">
        <f t="shared" si="62"/>
        <v>54.36</v>
      </c>
      <c r="O1675" s="118">
        <v>0</v>
      </c>
      <c r="P1675" s="127">
        <f>+O1675+N1675+M1675+L1675+K1675+0.28</f>
        <v>713</v>
      </c>
      <c r="Q1675" s="34" t="s">
        <v>410</v>
      </c>
      <c r="R1675" s="34" t="str">
        <f>VLOOKUP(C1675,'PUR-PARTY MASTER'!$B$4:$E$2000,4,FALSE)</f>
        <v>Local</v>
      </c>
      <c r="S1675" s="11" t="s">
        <v>4120</v>
      </c>
    </row>
    <row r="1676" spans="1:19" x14ac:dyDescent="0.2">
      <c r="A1676" s="51">
        <v>43770</v>
      </c>
      <c r="C1676" s="35" t="s">
        <v>565</v>
      </c>
      <c r="F1676" s="134">
        <v>5209</v>
      </c>
      <c r="G1676" s="37">
        <v>43795</v>
      </c>
      <c r="H1676" s="34">
        <v>8481</v>
      </c>
      <c r="I1676" s="39">
        <f>VLOOKUP(H1676,'[2]PUR-HSN MASTER'!$A$4:$E$5052,5,FALSE)</f>
        <v>18</v>
      </c>
      <c r="J1676" s="38">
        <v>4</v>
      </c>
      <c r="K1676" s="40">
        <v>653</v>
      </c>
      <c r="L1676" s="39">
        <v>0</v>
      </c>
      <c r="M1676" s="118">
        <f t="shared" si="61"/>
        <v>58.77</v>
      </c>
      <c r="N1676" s="118">
        <f t="shared" si="62"/>
        <v>58.77</v>
      </c>
      <c r="O1676" s="118">
        <v>0</v>
      </c>
      <c r="P1676" s="127">
        <f>+O1676+N1676+M1676+L1676+K1676+0.16</f>
        <v>770.69999999999993</v>
      </c>
      <c r="Q1676" s="34" t="s">
        <v>410</v>
      </c>
      <c r="R1676" s="34" t="str">
        <f>VLOOKUP(C1676,'PUR-PARTY MASTER'!$B$4:$E$2000,4,FALSE)</f>
        <v>Local</v>
      </c>
      <c r="S1676" s="11" t="s">
        <v>4120</v>
      </c>
    </row>
    <row r="1677" spans="1:19" x14ac:dyDescent="0.2">
      <c r="A1677" s="51">
        <v>43770</v>
      </c>
      <c r="C1677" s="35" t="s">
        <v>565</v>
      </c>
      <c r="F1677" s="134">
        <v>5209</v>
      </c>
      <c r="G1677" s="37">
        <v>43795</v>
      </c>
      <c r="H1677" s="34">
        <v>7307</v>
      </c>
      <c r="I1677" s="39">
        <f>VLOOKUP(H1677,'[2]PUR-HSN MASTER'!$A$4:$E$5052,5,FALSE)</f>
        <v>18</v>
      </c>
      <c r="J1677" s="38">
        <v>8</v>
      </c>
      <c r="K1677" s="40">
        <v>265.10000000000002</v>
      </c>
      <c r="L1677" s="39">
        <v>0</v>
      </c>
      <c r="M1677" s="118">
        <f t="shared" si="61"/>
        <v>23.859000000000002</v>
      </c>
      <c r="N1677" s="118">
        <f t="shared" si="62"/>
        <v>23.859000000000002</v>
      </c>
      <c r="O1677" s="118">
        <v>0</v>
      </c>
      <c r="P1677" s="127">
        <f>+O1677+N1677+M1677+L1677+K1677-0.02</f>
        <v>312.79800000000006</v>
      </c>
      <c r="Q1677" s="34" t="s">
        <v>410</v>
      </c>
      <c r="R1677" s="34" t="str">
        <f>VLOOKUP(C1677,'PUR-PARTY MASTER'!$B$4:$E$2000,4,FALSE)</f>
        <v>Local</v>
      </c>
      <c r="S1677" s="11" t="s">
        <v>4120</v>
      </c>
    </row>
    <row r="1678" spans="1:19" x14ac:dyDescent="0.2">
      <c r="A1678" s="51">
        <v>43770</v>
      </c>
      <c r="C1678" s="35" t="s">
        <v>565</v>
      </c>
      <c r="F1678" s="134">
        <v>5209</v>
      </c>
      <c r="G1678" s="37">
        <v>43795</v>
      </c>
      <c r="H1678" s="34">
        <v>3926</v>
      </c>
      <c r="I1678" s="39">
        <f>VLOOKUP(H1678,'[2]PUR-HSN MASTER'!$A$4:$E$5052,5,FALSE)</f>
        <v>18</v>
      </c>
      <c r="J1678" s="38">
        <v>1</v>
      </c>
      <c r="K1678" s="40">
        <v>740</v>
      </c>
      <c r="L1678" s="39">
        <v>0</v>
      </c>
      <c r="M1678" s="118">
        <f t="shared" si="61"/>
        <v>66.600000000000009</v>
      </c>
      <c r="N1678" s="118">
        <f t="shared" si="62"/>
        <v>66.600000000000009</v>
      </c>
      <c r="O1678" s="118">
        <v>0</v>
      </c>
      <c r="P1678" s="127">
        <f t="shared" ref="P1678:P1684" si="63">+O1678+N1678+M1678+L1678+K1678</f>
        <v>873.2</v>
      </c>
      <c r="Q1678" s="34" t="s">
        <v>410</v>
      </c>
      <c r="R1678" s="34" t="str">
        <f>VLOOKUP(C1678,'PUR-PARTY MASTER'!$B$4:$E$2000,4,FALSE)</f>
        <v>Local</v>
      </c>
      <c r="S1678" s="11" t="s">
        <v>4120</v>
      </c>
    </row>
    <row r="1679" spans="1:19" x14ac:dyDescent="0.2">
      <c r="A1679" s="51">
        <v>43770</v>
      </c>
      <c r="C1679" s="35" t="s">
        <v>565</v>
      </c>
      <c r="F1679" s="134">
        <v>5209</v>
      </c>
      <c r="G1679" s="37">
        <v>43795</v>
      </c>
      <c r="H1679" s="34">
        <v>8202</v>
      </c>
      <c r="I1679" s="39">
        <f>VLOOKUP(H1679,'[2]PUR-HSN MASTER'!$A$4:$E$5052,5,FALSE)</f>
        <v>18</v>
      </c>
      <c r="J1679" s="38">
        <v>3</v>
      </c>
      <c r="K1679" s="40">
        <v>35</v>
      </c>
      <c r="L1679" s="39">
        <v>0</v>
      </c>
      <c r="M1679" s="118">
        <f t="shared" si="61"/>
        <v>3.15</v>
      </c>
      <c r="N1679" s="118">
        <f t="shared" si="62"/>
        <v>3.15</v>
      </c>
      <c r="O1679" s="118">
        <v>0</v>
      </c>
      <c r="P1679" s="127">
        <f t="shared" si="63"/>
        <v>41.3</v>
      </c>
      <c r="Q1679" s="34" t="s">
        <v>410</v>
      </c>
      <c r="R1679" s="34" t="str">
        <f>VLOOKUP(C1679,'PUR-PARTY MASTER'!$B$4:$E$2000,4,FALSE)</f>
        <v>Local</v>
      </c>
      <c r="S1679" s="11" t="s">
        <v>4120</v>
      </c>
    </row>
    <row r="1680" spans="1:19" x14ac:dyDescent="0.2">
      <c r="A1680" s="51">
        <v>43770</v>
      </c>
      <c r="C1680" s="35" t="s">
        <v>565</v>
      </c>
      <c r="F1680" s="134">
        <v>5209</v>
      </c>
      <c r="G1680" s="37">
        <v>43795</v>
      </c>
      <c r="H1680" s="34">
        <v>8487</v>
      </c>
      <c r="I1680" s="39">
        <f>VLOOKUP(H1680,'[2]PUR-HSN MASTER'!$A$4:$E$5052,5,FALSE)</f>
        <v>18</v>
      </c>
      <c r="J1680" s="38">
        <v>5</v>
      </c>
      <c r="K1680" s="40">
        <v>175</v>
      </c>
      <c r="L1680" s="39">
        <v>0</v>
      </c>
      <c r="M1680" s="118">
        <f t="shared" si="61"/>
        <v>15.75</v>
      </c>
      <c r="N1680" s="118">
        <f t="shared" si="62"/>
        <v>15.75</v>
      </c>
      <c r="O1680" s="118">
        <v>0</v>
      </c>
      <c r="P1680" s="127">
        <f t="shared" si="63"/>
        <v>206.5</v>
      </c>
      <c r="Q1680" s="34" t="s">
        <v>410</v>
      </c>
      <c r="R1680" s="34" t="str">
        <f>VLOOKUP(C1680,'PUR-PARTY MASTER'!$B$4:$E$2000,4,FALSE)</f>
        <v>Local</v>
      </c>
      <c r="S1680" s="11" t="s">
        <v>4120</v>
      </c>
    </row>
    <row r="1681" spans="1:19" x14ac:dyDescent="0.2">
      <c r="A1681" s="51">
        <v>43770</v>
      </c>
      <c r="C1681" s="35" t="s">
        <v>565</v>
      </c>
      <c r="F1681" s="134">
        <v>5209</v>
      </c>
      <c r="G1681" s="37">
        <v>43795</v>
      </c>
      <c r="H1681" s="34">
        <v>8506</v>
      </c>
      <c r="I1681" s="39">
        <f>VLOOKUP(H1681,'[2]PUR-HSN MASTER'!$A$4:$E$5052,5,FALSE)</f>
        <v>18</v>
      </c>
      <c r="J1681" s="38">
        <v>10</v>
      </c>
      <c r="K1681" s="40">
        <v>130</v>
      </c>
      <c r="L1681" s="39">
        <v>0</v>
      </c>
      <c r="M1681" s="118">
        <f t="shared" si="61"/>
        <v>11.700000000000001</v>
      </c>
      <c r="N1681" s="118">
        <f t="shared" si="62"/>
        <v>11.700000000000001</v>
      </c>
      <c r="O1681" s="118">
        <v>0</v>
      </c>
      <c r="P1681" s="127">
        <f t="shared" si="63"/>
        <v>153.4</v>
      </c>
      <c r="Q1681" s="34" t="s">
        <v>410</v>
      </c>
      <c r="R1681" s="34" t="str">
        <f>VLOOKUP(C1681,'PUR-PARTY MASTER'!$B$4:$E$2000,4,FALSE)</f>
        <v>Local</v>
      </c>
      <c r="S1681" s="11" t="s">
        <v>4120</v>
      </c>
    </row>
    <row r="1682" spans="1:19" x14ac:dyDescent="0.2">
      <c r="A1682" s="51">
        <v>43770</v>
      </c>
      <c r="C1682" s="35" t="s">
        <v>565</v>
      </c>
      <c r="F1682" s="134">
        <v>5209</v>
      </c>
      <c r="G1682" s="37">
        <v>43795</v>
      </c>
      <c r="H1682" s="34">
        <v>3917</v>
      </c>
      <c r="I1682" s="39">
        <f>VLOOKUP(H1682,'[2]PUR-HSN MASTER'!$A$4:$E$5052,5,FALSE)</f>
        <v>18</v>
      </c>
      <c r="J1682" s="38">
        <v>3</v>
      </c>
      <c r="K1682" s="40">
        <v>787.53</v>
      </c>
      <c r="L1682" s="39">
        <v>0</v>
      </c>
      <c r="M1682" s="118">
        <f t="shared" si="61"/>
        <v>70.87769999999999</v>
      </c>
      <c r="N1682" s="118">
        <f t="shared" si="62"/>
        <v>70.87769999999999</v>
      </c>
      <c r="O1682" s="118">
        <v>0</v>
      </c>
      <c r="P1682" s="127">
        <f t="shared" si="63"/>
        <v>929.28539999999998</v>
      </c>
      <c r="Q1682" s="34" t="s">
        <v>410</v>
      </c>
      <c r="R1682" s="34" t="str">
        <f>VLOOKUP(C1682,'PUR-PARTY MASTER'!$B$4:$E$2000,4,FALSE)</f>
        <v>Local</v>
      </c>
      <c r="S1682" s="11" t="s">
        <v>4120</v>
      </c>
    </row>
    <row r="1683" spans="1:19" x14ac:dyDescent="0.2">
      <c r="A1683" s="51">
        <v>43770</v>
      </c>
      <c r="C1683" s="35" t="s">
        <v>565</v>
      </c>
      <c r="F1683" s="134">
        <v>5209</v>
      </c>
      <c r="G1683" s="37">
        <v>43795</v>
      </c>
      <c r="H1683" s="34">
        <v>3924</v>
      </c>
      <c r="I1683" s="39">
        <f>VLOOKUP(H1683,'[2]PUR-HSN MASTER'!$A$4:$E$5052,5,FALSE)</f>
        <v>18</v>
      </c>
      <c r="J1683" s="38">
        <v>4</v>
      </c>
      <c r="K1683" s="40">
        <v>60</v>
      </c>
      <c r="L1683" s="39">
        <v>0</v>
      </c>
      <c r="M1683" s="118">
        <f t="shared" si="61"/>
        <v>5.3999999999999995</v>
      </c>
      <c r="N1683" s="118">
        <f t="shared" si="62"/>
        <v>5.3999999999999995</v>
      </c>
      <c r="O1683" s="118">
        <v>0</v>
      </c>
      <c r="P1683" s="127">
        <f t="shared" si="63"/>
        <v>70.8</v>
      </c>
      <c r="Q1683" s="34" t="s">
        <v>410</v>
      </c>
      <c r="R1683" s="34" t="str">
        <f>VLOOKUP(C1683,'PUR-PARTY MASTER'!$B$4:$E$2000,4,FALSE)</f>
        <v>Local</v>
      </c>
      <c r="S1683" s="11" t="s">
        <v>4120</v>
      </c>
    </row>
    <row r="1684" spans="1:19" x14ac:dyDescent="0.2">
      <c r="A1684" s="51">
        <v>43770</v>
      </c>
      <c r="C1684" s="35" t="s">
        <v>565</v>
      </c>
      <c r="F1684" s="134">
        <v>5209</v>
      </c>
      <c r="G1684" s="37">
        <v>43795</v>
      </c>
      <c r="H1684" s="34" t="s">
        <v>637</v>
      </c>
      <c r="I1684" s="39">
        <f>VLOOKUP(H1684,'[2]PUR-HSN MASTER'!$A$4:$E$5052,5,FALSE)</f>
        <v>18</v>
      </c>
      <c r="J1684" s="38">
        <v>1</v>
      </c>
      <c r="K1684" s="40">
        <v>13.56</v>
      </c>
      <c r="L1684" s="39">
        <v>0</v>
      </c>
      <c r="M1684" s="118">
        <f>+IF(R1684="local",K1684/100*I1684/2,0)+0.01</f>
        <v>1.2303999999999999</v>
      </c>
      <c r="N1684" s="118">
        <f>+IF(R1684="local",K1684/100*I1684/2,0)+0.01</f>
        <v>1.2303999999999999</v>
      </c>
      <c r="O1684" s="118">
        <v>0</v>
      </c>
      <c r="P1684" s="127">
        <f t="shared" si="63"/>
        <v>16.020800000000001</v>
      </c>
      <c r="Q1684" s="34" t="s">
        <v>410</v>
      </c>
      <c r="R1684" s="34" t="str">
        <f>VLOOKUP(C1684,'PUR-PARTY MASTER'!$B$4:$E$2000,4,FALSE)</f>
        <v>Local</v>
      </c>
      <c r="S1684" s="11" t="s">
        <v>4120</v>
      </c>
    </row>
    <row r="1685" spans="1:19" x14ac:dyDescent="0.2">
      <c r="A1685" s="51">
        <v>43770</v>
      </c>
      <c r="B1685" s="11">
        <v>103</v>
      </c>
      <c r="C1685" s="34" t="s">
        <v>589</v>
      </c>
      <c r="F1685" s="134">
        <v>15</v>
      </c>
      <c r="G1685" s="37">
        <v>43799</v>
      </c>
      <c r="H1685" s="34">
        <v>73110010</v>
      </c>
      <c r="I1685" s="39">
        <f>VLOOKUP(H1685,'[2]PUR-HSN MASTER'!$A$4:$E$5052,5,FALSE)</f>
        <v>18</v>
      </c>
      <c r="J1685" s="34">
        <v>22</v>
      </c>
      <c r="K1685" s="39">
        <v>55743.6</v>
      </c>
      <c r="L1685" s="118">
        <f t="shared" ref="L1685" si="64">+IF(R1685="Oms",K1685/100*I1685,0)</f>
        <v>0</v>
      </c>
      <c r="M1685" s="118">
        <f t="shared" ref="M1685:M1693" si="65">+IF(R1685="local",K1685/100*I1685/2,0)</f>
        <v>5016.924</v>
      </c>
      <c r="N1685" s="118">
        <f t="shared" ref="N1685:N1693" si="66">+IF(R1685="local",K1685/100*I1685/2,0)</f>
        <v>5016.924</v>
      </c>
      <c r="O1685" s="118">
        <v>0</v>
      </c>
      <c r="P1685" s="127">
        <f>+O1685+N1685+M1685+L1685+K1685+0.6</f>
        <v>65778.04800000001</v>
      </c>
      <c r="Q1685" s="34" t="s">
        <v>410</v>
      </c>
      <c r="R1685" s="34" t="str">
        <f>VLOOKUP(C1685,'PUR-PARTY MASTER'!$B$4:$E$2000,4,FALSE)</f>
        <v>Local</v>
      </c>
      <c r="S1685" s="11" t="s">
        <v>4120</v>
      </c>
    </row>
    <row r="1686" spans="1:19" x14ac:dyDescent="0.2">
      <c r="A1686" s="51">
        <v>43770</v>
      </c>
      <c r="B1686" s="11">
        <v>104</v>
      </c>
      <c r="C1686" s="35" t="s">
        <v>561</v>
      </c>
      <c r="F1686" s="136" t="s">
        <v>4489</v>
      </c>
      <c r="G1686" s="37">
        <v>43786</v>
      </c>
      <c r="H1686" s="34">
        <v>998346</v>
      </c>
      <c r="I1686" s="39">
        <f>VLOOKUP(H1686,'[2]PUR-HSN MASTER'!$A$4:$E$5052,5,FALSE)</f>
        <v>18</v>
      </c>
      <c r="J1686" s="38">
        <v>50</v>
      </c>
      <c r="K1686" s="40">
        <v>27835</v>
      </c>
      <c r="L1686" s="39">
        <v>0</v>
      </c>
      <c r="M1686" s="118">
        <f t="shared" si="65"/>
        <v>2505.15</v>
      </c>
      <c r="N1686" s="118">
        <f t="shared" si="66"/>
        <v>2505.15</v>
      </c>
      <c r="O1686" s="118">
        <v>0</v>
      </c>
      <c r="P1686" s="127">
        <f>+O1686+N1686+M1686+L1686+K1686-0.3</f>
        <v>32845</v>
      </c>
      <c r="Q1686" s="34" t="s">
        <v>411</v>
      </c>
      <c r="R1686" s="34" t="str">
        <f>VLOOKUP(C1686,'PUR-PARTY MASTER'!$B$4:$E$2000,4,FALSE)</f>
        <v>Local</v>
      </c>
      <c r="S1686" s="11" t="s">
        <v>4120</v>
      </c>
    </row>
    <row r="1687" spans="1:19" x14ac:dyDescent="0.2">
      <c r="A1687" s="51">
        <v>43770</v>
      </c>
      <c r="B1687" s="11">
        <v>105</v>
      </c>
      <c r="C1687" s="35" t="s">
        <v>499</v>
      </c>
      <c r="F1687" s="136" t="s">
        <v>4490</v>
      </c>
      <c r="G1687" s="37">
        <v>43795</v>
      </c>
      <c r="H1687" s="34">
        <v>27076000</v>
      </c>
      <c r="I1687" s="39">
        <f>VLOOKUP(H1687,'[2]PUR-HSN MASTER'!$A$4:$E$5052,5,FALSE)</f>
        <v>18</v>
      </c>
      <c r="J1687" s="34">
        <v>15</v>
      </c>
      <c r="K1687" s="126">
        <v>245</v>
      </c>
      <c r="L1687" s="118">
        <f t="shared" ref="L1687:L1693" si="67">+IF(R1687="Oms",K1687/100*I1687,0)</f>
        <v>0</v>
      </c>
      <c r="M1687" s="118">
        <f t="shared" si="65"/>
        <v>22.05</v>
      </c>
      <c r="N1687" s="118">
        <f t="shared" si="66"/>
        <v>22.05</v>
      </c>
      <c r="O1687" s="118">
        <v>0</v>
      </c>
      <c r="P1687" s="127">
        <f>+O1687+N1687+M1687+L1687+K1687+0.1</f>
        <v>289.20000000000005</v>
      </c>
      <c r="Q1687" s="34" t="s">
        <v>410</v>
      </c>
      <c r="R1687" s="34" t="str">
        <f>VLOOKUP(C1687,'PUR-PARTY MASTER'!$B$4:$E$2000,4,FALSE)</f>
        <v>Local</v>
      </c>
      <c r="S1687" s="11" t="s">
        <v>4120</v>
      </c>
    </row>
    <row r="1688" spans="1:19" x14ac:dyDescent="0.2">
      <c r="A1688" s="51">
        <v>43770</v>
      </c>
      <c r="C1688" s="35" t="s">
        <v>499</v>
      </c>
      <c r="F1688" s="136" t="s">
        <v>4490</v>
      </c>
      <c r="G1688" s="37">
        <v>43795</v>
      </c>
      <c r="H1688" s="34">
        <v>63071090</v>
      </c>
      <c r="I1688" s="39">
        <f>VLOOKUP(H1688,'[2]PUR-HSN MASTER'!$A$4:$E$5052,5,FALSE)</f>
        <v>18</v>
      </c>
      <c r="J1688" s="34">
        <v>11</v>
      </c>
      <c r="K1688" s="126">
        <v>132</v>
      </c>
      <c r="L1688" s="118">
        <f t="shared" si="67"/>
        <v>0</v>
      </c>
      <c r="M1688" s="118">
        <f t="shared" si="65"/>
        <v>11.88</v>
      </c>
      <c r="N1688" s="118">
        <f t="shared" si="66"/>
        <v>11.88</v>
      </c>
      <c r="O1688" s="118">
        <v>0</v>
      </c>
      <c r="P1688" s="127">
        <f>+O1688+N1688+M1688+L1688+K1688+0.14</f>
        <v>155.89999999999998</v>
      </c>
      <c r="Q1688" s="34" t="s">
        <v>410</v>
      </c>
      <c r="R1688" s="34" t="str">
        <f>VLOOKUP(C1688,'PUR-PARTY MASTER'!$B$4:$E$2000,4,FALSE)</f>
        <v>Local</v>
      </c>
      <c r="S1688" s="11" t="s">
        <v>4120</v>
      </c>
    </row>
    <row r="1689" spans="1:19" x14ac:dyDescent="0.2">
      <c r="A1689" s="51">
        <v>43770</v>
      </c>
      <c r="C1689" s="35" t="s">
        <v>499</v>
      </c>
      <c r="F1689" s="136" t="s">
        <v>4490</v>
      </c>
      <c r="G1689" s="37">
        <v>43795</v>
      </c>
      <c r="H1689" s="34">
        <v>48114100</v>
      </c>
      <c r="I1689" s="39">
        <f>VLOOKUP(H1689,'[2]PUR-HSN MASTER'!$A$4:$E$5052,5,FALSE)</f>
        <v>18</v>
      </c>
      <c r="J1689" s="34">
        <v>144</v>
      </c>
      <c r="K1689" s="126">
        <v>5184</v>
      </c>
      <c r="L1689" s="118">
        <f t="shared" si="67"/>
        <v>0</v>
      </c>
      <c r="M1689" s="118">
        <f t="shared" si="65"/>
        <v>466.56000000000006</v>
      </c>
      <c r="N1689" s="118">
        <f t="shared" si="66"/>
        <v>466.56000000000006</v>
      </c>
      <c r="O1689" s="118">
        <v>0</v>
      </c>
      <c r="P1689" s="127">
        <f>+O1689+N1689+M1689+L1689+K1689+0.18</f>
        <v>6117.3</v>
      </c>
      <c r="Q1689" s="34" t="s">
        <v>410</v>
      </c>
      <c r="R1689" s="34" t="str">
        <f>VLOOKUP(C1689,'PUR-PARTY MASTER'!$B$4:$E$2000,4,FALSE)</f>
        <v>Local</v>
      </c>
      <c r="S1689" s="11" t="s">
        <v>4120</v>
      </c>
    </row>
    <row r="1690" spans="1:19" x14ac:dyDescent="0.2">
      <c r="A1690" s="51">
        <v>43770</v>
      </c>
      <c r="C1690" s="35" t="s">
        <v>499</v>
      </c>
      <c r="F1690" s="136" t="s">
        <v>4490</v>
      </c>
      <c r="G1690" s="37">
        <v>43795</v>
      </c>
      <c r="H1690" s="34">
        <v>48201010</v>
      </c>
      <c r="I1690" s="39">
        <f>VLOOKUP(H1690,'[2]PUR-HSN MASTER'!$A$4:$E$5052,5,FALSE)</f>
        <v>18</v>
      </c>
      <c r="J1690" s="34">
        <v>6</v>
      </c>
      <c r="K1690" s="126">
        <v>192</v>
      </c>
      <c r="L1690" s="118">
        <f t="shared" si="67"/>
        <v>0</v>
      </c>
      <c r="M1690" s="118">
        <f t="shared" si="65"/>
        <v>17.28</v>
      </c>
      <c r="N1690" s="118">
        <f t="shared" si="66"/>
        <v>17.28</v>
      </c>
      <c r="O1690" s="118">
        <v>0</v>
      </c>
      <c r="P1690" s="127">
        <f>+O1690+N1690+M1690+L1690+K1690+0.04</f>
        <v>226.6</v>
      </c>
      <c r="Q1690" s="34" t="s">
        <v>410</v>
      </c>
      <c r="R1690" s="34" t="str">
        <f>VLOOKUP(C1690,'PUR-PARTY MASTER'!$B$4:$E$2000,4,FALSE)</f>
        <v>Local</v>
      </c>
      <c r="S1690" s="11" t="s">
        <v>4120</v>
      </c>
    </row>
    <row r="1691" spans="1:19" x14ac:dyDescent="0.2">
      <c r="A1691" s="51">
        <v>43770</v>
      </c>
      <c r="C1691" s="35" t="s">
        <v>499</v>
      </c>
      <c r="F1691" s="136" t="s">
        <v>4490</v>
      </c>
      <c r="G1691" s="37">
        <v>43795</v>
      </c>
      <c r="H1691" s="34">
        <v>33074900</v>
      </c>
      <c r="I1691" s="39">
        <f>VLOOKUP(H1691,'[2]PUR-HSN MASTER'!$A$4:$E$5052,5,FALSE)</f>
        <v>18</v>
      </c>
      <c r="J1691" s="34">
        <v>4</v>
      </c>
      <c r="K1691" s="126">
        <v>472</v>
      </c>
      <c r="L1691" s="118">
        <f t="shared" si="67"/>
        <v>0</v>
      </c>
      <c r="M1691" s="118">
        <f t="shared" si="65"/>
        <v>42.48</v>
      </c>
      <c r="N1691" s="118">
        <f t="shared" si="66"/>
        <v>42.48</v>
      </c>
      <c r="O1691" s="118">
        <v>0</v>
      </c>
      <c r="P1691" s="127">
        <f>+O1691+N1691+M1691+L1691+K1691+0.04</f>
        <v>557</v>
      </c>
      <c r="Q1691" s="34" t="s">
        <v>410</v>
      </c>
      <c r="R1691" s="34" t="str">
        <f>VLOOKUP(C1691,'PUR-PARTY MASTER'!$B$4:$E$2000,4,FALSE)</f>
        <v>Local</v>
      </c>
      <c r="S1691" s="11" t="s">
        <v>4120</v>
      </c>
    </row>
    <row r="1692" spans="1:19" x14ac:dyDescent="0.2">
      <c r="A1692" s="51">
        <v>43770</v>
      </c>
      <c r="B1692" s="11">
        <v>106</v>
      </c>
      <c r="C1692" s="34" t="s">
        <v>102</v>
      </c>
      <c r="F1692" s="634" t="s">
        <v>4491</v>
      </c>
      <c r="G1692" s="37">
        <v>43784</v>
      </c>
      <c r="H1692" s="34">
        <v>87081090</v>
      </c>
      <c r="I1692" s="39">
        <f>VLOOKUP(H1692,'[2]PUR-HSN MASTER'!$A$4:$E$5052,5,FALSE)</f>
        <v>28</v>
      </c>
      <c r="J1692" s="34">
        <v>21</v>
      </c>
      <c r="K1692" s="39">
        <v>19715.22</v>
      </c>
      <c r="L1692" s="118">
        <f t="shared" si="67"/>
        <v>5520.2616000000007</v>
      </c>
      <c r="M1692" s="118">
        <f t="shared" si="65"/>
        <v>0</v>
      </c>
      <c r="N1692" s="118">
        <f t="shared" si="66"/>
        <v>0</v>
      </c>
      <c r="O1692" s="118">
        <v>0</v>
      </c>
      <c r="P1692" s="127">
        <f t="shared" ref="P1692:P1693" si="68">+O1692+N1692+M1692+L1692+K1692</f>
        <v>25235.481600000003</v>
      </c>
      <c r="Q1692" s="34" t="s">
        <v>410</v>
      </c>
      <c r="R1692" s="34" t="str">
        <f>VLOOKUP(C1692,'PUR-PARTY MASTER'!$B$4:$E$2000,4,FALSE)</f>
        <v>Oms</v>
      </c>
      <c r="S1692" s="11" t="s">
        <v>4120</v>
      </c>
    </row>
    <row r="1693" spans="1:19" x14ac:dyDescent="0.2">
      <c r="A1693" s="51">
        <v>43770</v>
      </c>
      <c r="B1693" s="11">
        <v>107</v>
      </c>
      <c r="C1693" s="34" t="s">
        <v>102</v>
      </c>
      <c r="F1693" s="634" t="s">
        <v>4492</v>
      </c>
      <c r="G1693" s="37">
        <v>43784</v>
      </c>
      <c r="H1693" s="34">
        <v>87081090</v>
      </c>
      <c r="I1693" s="39">
        <f>VLOOKUP(H1693,'[2]PUR-HSN MASTER'!$A$4:$E$5052,5,FALSE)</f>
        <v>28</v>
      </c>
      <c r="J1693" s="34">
        <v>1</v>
      </c>
      <c r="K1693" s="39">
        <v>938.82</v>
      </c>
      <c r="L1693" s="118">
        <f t="shared" si="67"/>
        <v>262.86960000000005</v>
      </c>
      <c r="M1693" s="118">
        <f t="shared" si="65"/>
        <v>0</v>
      </c>
      <c r="N1693" s="118">
        <f t="shared" si="66"/>
        <v>0</v>
      </c>
      <c r="O1693" s="118">
        <v>0</v>
      </c>
      <c r="P1693" s="127">
        <f t="shared" si="68"/>
        <v>1201.6896000000002</v>
      </c>
      <c r="Q1693" s="34" t="s">
        <v>410</v>
      </c>
      <c r="R1693" s="34" t="str">
        <f>VLOOKUP(C1693,'PUR-PARTY MASTER'!$B$4:$E$2000,4,FALSE)</f>
        <v>Oms</v>
      </c>
      <c r="S1693" s="11" t="s">
        <v>4120</v>
      </c>
    </row>
    <row r="1694" spans="1:19" x14ac:dyDescent="0.2">
      <c r="A1694" s="980"/>
      <c r="I1694" s="39" t="e">
        <f>VLOOKUP(H1694,'[2]PUR-HSN MASTER'!$A$4:$E$5052,5,FALSE)</f>
        <v>#N/A</v>
      </c>
      <c r="R1694" s="34" t="e">
        <f>VLOOKUP(C1694,'PUR-PARTY MASTER'!$B$4:$E$2000,4,FALSE)</f>
        <v>#N/A</v>
      </c>
      <c r="S1694" s="11" t="s">
        <v>4120</v>
      </c>
    </row>
    <row r="1695" spans="1:19" x14ac:dyDescent="0.2">
      <c r="A1695" s="51">
        <v>43800</v>
      </c>
      <c r="B1695" s="11">
        <v>1</v>
      </c>
      <c r="C1695" s="35" t="s">
        <v>476</v>
      </c>
      <c r="F1695" s="136" t="s">
        <v>4493</v>
      </c>
      <c r="G1695" s="37">
        <v>43800</v>
      </c>
      <c r="H1695" s="34" t="s">
        <v>703</v>
      </c>
      <c r="I1695" s="39">
        <f>VLOOKUP(H1695,'[2]PUR-HSN MASTER'!$A$4:$E$5052,5,FALSE)</f>
        <v>28</v>
      </c>
      <c r="J1695" s="34"/>
      <c r="K1695" s="126">
        <v>376945</v>
      </c>
      <c r="L1695" s="118">
        <f t="shared" ref="L1695:L1705" si="69">+IF(R1695="Oms",K1695/100*I1695,0)</f>
        <v>0</v>
      </c>
      <c r="M1695" s="118">
        <f t="shared" ref="M1695:M1697" si="70">+IF(R1695="local",K1695/100*I1695/2,0)</f>
        <v>52772.299999999996</v>
      </c>
      <c r="N1695" s="118">
        <f t="shared" ref="N1695:N1697" si="71">+IF(R1695="local",K1695/100*I1695/2,0)</f>
        <v>52772.299999999996</v>
      </c>
      <c r="O1695" s="118">
        <v>0</v>
      </c>
      <c r="P1695" s="127">
        <f>+O1695+N1695+M1695+L1695+K1695</f>
        <v>482489.59999999998</v>
      </c>
      <c r="Q1695" s="34" t="s">
        <v>411</v>
      </c>
      <c r="R1695" s="34" t="str">
        <f>VLOOKUP(C1695,'PUR-PARTY MASTER'!$B$4:$E$2000,4,FALSE)</f>
        <v>Local</v>
      </c>
      <c r="S1695" s="11" t="s">
        <v>4120</v>
      </c>
    </row>
    <row r="1696" spans="1:19" x14ac:dyDescent="0.2">
      <c r="A1696" s="51">
        <v>43800</v>
      </c>
      <c r="B1696" s="11">
        <v>2</v>
      </c>
      <c r="C1696" s="35" t="s">
        <v>541</v>
      </c>
      <c r="F1696" s="136" t="s">
        <v>4494</v>
      </c>
      <c r="G1696" s="37">
        <v>43800</v>
      </c>
      <c r="H1696" s="34">
        <v>998422</v>
      </c>
      <c r="I1696" s="39">
        <f>VLOOKUP(H1696,'[2]PUR-HSN MASTER'!$A$4:$E$5052,5,FALSE)</f>
        <v>18</v>
      </c>
      <c r="J1696" s="34"/>
      <c r="K1696" s="126">
        <v>3500</v>
      </c>
      <c r="L1696" s="118">
        <f t="shared" si="69"/>
        <v>0</v>
      </c>
      <c r="M1696" s="118">
        <f t="shared" si="70"/>
        <v>315</v>
      </c>
      <c r="N1696" s="118">
        <f t="shared" si="71"/>
        <v>315</v>
      </c>
      <c r="O1696" s="118">
        <v>0</v>
      </c>
      <c r="P1696" s="127">
        <f>+O1696+N1696+M1696+L1696+K1696</f>
        <v>4130</v>
      </c>
      <c r="Q1696" s="34" t="s">
        <v>411</v>
      </c>
      <c r="R1696" s="34" t="str">
        <f>VLOOKUP(C1696,'PUR-PARTY MASTER'!$B$4:$E$2000,4,FALSE)</f>
        <v>Local</v>
      </c>
      <c r="S1696" s="11" t="s">
        <v>4120</v>
      </c>
    </row>
    <row r="1697" spans="1:19" x14ac:dyDescent="0.2">
      <c r="A1697" s="51">
        <v>43800</v>
      </c>
      <c r="B1697" s="11">
        <v>3</v>
      </c>
      <c r="C1697" s="632" t="s">
        <v>1090</v>
      </c>
      <c r="F1697" s="136">
        <v>2748</v>
      </c>
      <c r="G1697" s="37">
        <v>43801</v>
      </c>
      <c r="H1697" s="34">
        <v>25232910</v>
      </c>
      <c r="I1697" s="39">
        <f>VLOOKUP(H1697,'[2]PUR-HSN MASTER'!$A$4:$E$5052,5,FALSE)</f>
        <v>28</v>
      </c>
      <c r="J1697" s="34">
        <v>30</v>
      </c>
      <c r="K1697" s="126">
        <v>7331.25</v>
      </c>
      <c r="L1697" s="118">
        <f t="shared" si="69"/>
        <v>0</v>
      </c>
      <c r="M1697" s="118">
        <f t="shared" si="70"/>
        <v>1026.375</v>
      </c>
      <c r="N1697" s="118">
        <f t="shared" si="71"/>
        <v>1026.375</v>
      </c>
      <c r="O1697" s="118">
        <v>0</v>
      </c>
      <c r="P1697" s="127">
        <f>+O1697+N1697+M1697+L1697+K1697</f>
        <v>9384</v>
      </c>
      <c r="Q1697" s="34" t="s">
        <v>410</v>
      </c>
      <c r="R1697" s="34" t="str">
        <f>VLOOKUP(C1697,'PUR-PARTY MASTER'!$B$4:$E$2000,4,FALSE)</f>
        <v>Local</v>
      </c>
      <c r="S1697" s="11" t="s">
        <v>4120</v>
      </c>
    </row>
    <row r="1698" spans="1:19" x14ac:dyDescent="0.2">
      <c r="A1698" s="51">
        <v>43800</v>
      </c>
      <c r="B1698" s="11">
        <v>4</v>
      </c>
      <c r="C1698" s="35" t="s">
        <v>634</v>
      </c>
      <c r="F1698" s="136" t="s">
        <v>4495</v>
      </c>
      <c r="G1698" s="37">
        <v>43802</v>
      </c>
      <c r="H1698" s="34">
        <v>7409</v>
      </c>
      <c r="I1698" s="39">
        <f>VLOOKUP(H1698,'[2]PUR-HSN MASTER'!$A$4:$E$5052,5,FALSE)</f>
        <v>18</v>
      </c>
      <c r="J1698" s="38">
        <v>9.2100000000000009</v>
      </c>
      <c r="K1698" s="40">
        <v>6861.45</v>
      </c>
      <c r="L1698" s="118">
        <f t="shared" si="69"/>
        <v>0</v>
      </c>
      <c r="M1698" s="118">
        <f>+IF(R1698="local",K1698/100*I1698/2,0)+0.01</f>
        <v>617.54049999999995</v>
      </c>
      <c r="N1698" s="118">
        <f>+IF(R1698="local",K1698/100*I1698/2,0)+0.01</f>
        <v>617.54049999999995</v>
      </c>
      <c r="O1698" s="118">
        <v>0</v>
      </c>
      <c r="P1698" s="127">
        <f>+O1698+N1698+M1698+L1698+K1698+0.47</f>
        <v>8097.0010000000002</v>
      </c>
      <c r="Q1698" s="34" t="s">
        <v>410</v>
      </c>
      <c r="R1698" s="34" t="str">
        <f>VLOOKUP(C1698,'PUR-PARTY MASTER'!$B$4:$E$2000,4,FALSE)</f>
        <v>Local</v>
      </c>
      <c r="S1698" s="11" t="s">
        <v>4120</v>
      </c>
    </row>
    <row r="1699" spans="1:19" x14ac:dyDescent="0.2">
      <c r="A1699" s="51">
        <v>43800</v>
      </c>
      <c r="B1699" s="11">
        <v>5</v>
      </c>
      <c r="C1699" s="34" t="s">
        <v>829</v>
      </c>
      <c r="F1699" s="134">
        <v>1973</v>
      </c>
      <c r="G1699" s="37">
        <v>43803</v>
      </c>
      <c r="H1699" s="34">
        <v>3208</v>
      </c>
      <c r="I1699" s="39">
        <f>VLOOKUP(H1699,'[2]PUR-HSN MASTER'!$A$4:$E$5052,5,FALSE)</f>
        <v>18</v>
      </c>
      <c r="J1699" s="34">
        <v>4</v>
      </c>
      <c r="K1699" s="40">
        <v>6496</v>
      </c>
      <c r="L1699" s="118">
        <f t="shared" si="69"/>
        <v>0</v>
      </c>
      <c r="M1699" s="118">
        <f t="shared" ref="M1699:M1711" si="72">+IF(R1699="local",K1699/100*I1699/2,0)</f>
        <v>584.64</v>
      </c>
      <c r="N1699" s="118">
        <f t="shared" ref="N1699:N1711" si="73">+IF(R1699="local",K1699/100*I1699/2,0)</f>
        <v>584.64</v>
      </c>
      <c r="O1699" s="118">
        <v>0</v>
      </c>
      <c r="P1699" s="127">
        <f>+O1699+N1699+M1699+L1699+K1699-0.28</f>
        <v>7665</v>
      </c>
      <c r="Q1699" s="34" t="s">
        <v>410</v>
      </c>
      <c r="R1699" s="34" t="str">
        <f>VLOOKUP(C1699,'PUR-PARTY MASTER'!$B$4:$E$2000,4,FALSE)</f>
        <v>Local</v>
      </c>
      <c r="S1699" s="11" t="s">
        <v>4120</v>
      </c>
    </row>
    <row r="1700" spans="1:19" x14ac:dyDescent="0.2">
      <c r="A1700" s="51">
        <v>43800</v>
      </c>
      <c r="B1700" s="11">
        <v>6</v>
      </c>
      <c r="C1700" s="35" t="s">
        <v>514</v>
      </c>
      <c r="F1700" s="136"/>
      <c r="G1700" s="37">
        <v>43804</v>
      </c>
      <c r="H1700" s="34">
        <v>9971</v>
      </c>
      <c r="I1700" s="39">
        <f>VLOOKUP(H1700,'[2]PUR-HSN MASTER'!$A$4:$E$5052,5,FALSE)</f>
        <v>18</v>
      </c>
      <c r="J1700" s="34">
        <v>0</v>
      </c>
      <c r="K1700" s="40">
        <v>100</v>
      </c>
      <c r="L1700" s="118">
        <f t="shared" si="69"/>
        <v>0</v>
      </c>
      <c r="M1700" s="118">
        <f t="shared" si="72"/>
        <v>9</v>
      </c>
      <c r="N1700" s="118">
        <f t="shared" si="73"/>
        <v>9</v>
      </c>
      <c r="O1700" s="118">
        <v>0</v>
      </c>
      <c r="P1700" s="127">
        <f t="shared" ref="P1700:P1703" si="74">+O1700+N1700+M1700+L1700+K1700</f>
        <v>118</v>
      </c>
      <c r="Q1700" s="34" t="s">
        <v>411</v>
      </c>
      <c r="R1700" s="34" t="str">
        <f>VLOOKUP(C1700,'PUR-PARTY MASTER'!$B$4:$E$2000,4,FALSE)</f>
        <v>Local</v>
      </c>
      <c r="S1700" s="11" t="s">
        <v>4120</v>
      </c>
    </row>
    <row r="1701" spans="1:19" x14ac:dyDescent="0.2">
      <c r="A1701" s="51">
        <v>43800</v>
      </c>
      <c r="B1701" s="11">
        <v>7</v>
      </c>
      <c r="C1701" s="35" t="s">
        <v>514</v>
      </c>
      <c r="F1701" s="136"/>
      <c r="G1701" s="37">
        <v>43804</v>
      </c>
      <c r="H1701" s="34">
        <v>9971</v>
      </c>
      <c r="I1701" s="39">
        <f>VLOOKUP(H1701,'[2]PUR-HSN MASTER'!$A$4:$E$5052,5,FALSE)</f>
        <v>18</v>
      </c>
      <c r="J1701" s="34">
        <v>0</v>
      </c>
      <c r="K1701" s="40">
        <v>100</v>
      </c>
      <c r="L1701" s="118">
        <f t="shared" si="69"/>
        <v>0</v>
      </c>
      <c r="M1701" s="118">
        <f t="shared" si="72"/>
        <v>9</v>
      </c>
      <c r="N1701" s="118">
        <f t="shared" si="73"/>
        <v>9</v>
      </c>
      <c r="O1701" s="118">
        <v>0</v>
      </c>
      <c r="P1701" s="127">
        <f t="shared" si="74"/>
        <v>118</v>
      </c>
      <c r="Q1701" s="34" t="s">
        <v>411</v>
      </c>
      <c r="R1701" s="34" t="str">
        <f>VLOOKUP(C1701,'PUR-PARTY MASTER'!$B$4:$E$2000,4,FALSE)</f>
        <v>Local</v>
      </c>
      <c r="S1701" s="11" t="s">
        <v>4120</v>
      </c>
    </row>
    <row r="1702" spans="1:19" x14ac:dyDescent="0.2">
      <c r="A1702" s="51">
        <v>43800</v>
      </c>
      <c r="B1702" s="11">
        <v>8</v>
      </c>
      <c r="C1702" s="35" t="s">
        <v>514</v>
      </c>
      <c r="F1702" s="136"/>
      <c r="G1702" s="37">
        <v>43804</v>
      </c>
      <c r="H1702" s="34">
        <v>9971</v>
      </c>
      <c r="I1702" s="39">
        <f>VLOOKUP(H1702,'[2]PUR-HSN MASTER'!$A$4:$E$5052,5,FALSE)</f>
        <v>18</v>
      </c>
      <c r="J1702" s="34">
        <v>0</v>
      </c>
      <c r="K1702" s="40">
        <v>100</v>
      </c>
      <c r="L1702" s="118">
        <f t="shared" si="69"/>
        <v>0</v>
      </c>
      <c r="M1702" s="118">
        <f t="shared" si="72"/>
        <v>9</v>
      </c>
      <c r="N1702" s="118">
        <f t="shared" si="73"/>
        <v>9</v>
      </c>
      <c r="O1702" s="118">
        <v>0</v>
      </c>
      <c r="P1702" s="127">
        <f t="shared" si="74"/>
        <v>118</v>
      </c>
      <c r="Q1702" s="34" t="s">
        <v>411</v>
      </c>
      <c r="R1702" s="34" t="str">
        <f>VLOOKUP(C1702,'PUR-PARTY MASTER'!$B$4:$E$2000,4,FALSE)</f>
        <v>Local</v>
      </c>
      <c r="S1702" s="11" t="s">
        <v>4120</v>
      </c>
    </row>
    <row r="1703" spans="1:19" x14ac:dyDescent="0.2">
      <c r="A1703" s="51">
        <v>43800</v>
      </c>
      <c r="B1703" s="11">
        <v>9</v>
      </c>
      <c r="C1703" s="35" t="s">
        <v>514</v>
      </c>
      <c r="F1703" s="136"/>
      <c r="G1703" s="37">
        <v>43804</v>
      </c>
      <c r="H1703" s="34">
        <v>9971</v>
      </c>
      <c r="I1703" s="39">
        <f>VLOOKUP(H1703,'[2]PUR-HSN MASTER'!$A$4:$E$5052,5,FALSE)</f>
        <v>18</v>
      </c>
      <c r="J1703" s="34">
        <v>0</v>
      </c>
      <c r="K1703" s="40">
        <v>100</v>
      </c>
      <c r="L1703" s="118">
        <f t="shared" si="69"/>
        <v>0</v>
      </c>
      <c r="M1703" s="118">
        <f t="shared" si="72"/>
        <v>9</v>
      </c>
      <c r="N1703" s="118">
        <f t="shared" si="73"/>
        <v>9</v>
      </c>
      <c r="O1703" s="118">
        <v>0</v>
      </c>
      <c r="P1703" s="127">
        <f t="shared" si="74"/>
        <v>118</v>
      </c>
      <c r="Q1703" s="34" t="s">
        <v>411</v>
      </c>
      <c r="R1703" s="34" t="str">
        <f>VLOOKUP(C1703,'PUR-PARTY MASTER'!$B$4:$E$2000,4,FALSE)</f>
        <v>Local</v>
      </c>
      <c r="S1703" s="11" t="s">
        <v>4120</v>
      </c>
    </row>
    <row r="1704" spans="1:19" x14ac:dyDescent="0.2">
      <c r="A1704" s="51">
        <v>43800</v>
      </c>
      <c r="B1704" s="34">
        <v>10</v>
      </c>
      <c r="C1704" s="632" t="s">
        <v>1156</v>
      </c>
      <c r="F1704" s="134">
        <v>30</v>
      </c>
      <c r="G1704" s="37">
        <v>43804</v>
      </c>
      <c r="H1704" s="34">
        <v>7210</v>
      </c>
      <c r="I1704" s="39">
        <f>VLOOKUP(H1704,'[2]PUR-HSN MASTER'!$A$4:$E$5052,5,FALSE)</f>
        <v>18</v>
      </c>
      <c r="J1704" s="34">
        <v>2</v>
      </c>
      <c r="K1704" s="40">
        <v>46000</v>
      </c>
      <c r="L1704" s="118">
        <f t="shared" si="69"/>
        <v>0</v>
      </c>
      <c r="M1704" s="118">
        <f t="shared" si="72"/>
        <v>4140</v>
      </c>
      <c r="N1704" s="118">
        <f t="shared" si="73"/>
        <v>4140</v>
      </c>
      <c r="O1704" s="118">
        <v>0</v>
      </c>
      <c r="P1704" s="127">
        <f>+O1704+N1704+M1704+L1704+K1704</f>
        <v>54280</v>
      </c>
      <c r="Q1704" s="34" t="s">
        <v>410</v>
      </c>
      <c r="R1704" s="34" t="str">
        <f>VLOOKUP(C1704,'PUR-PARTY MASTER'!$B$4:$E$2000,4,FALSE)</f>
        <v>Local</v>
      </c>
      <c r="S1704" s="11" t="s">
        <v>4120</v>
      </c>
    </row>
    <row r="1705" spans="1:19" x14ac:dyDescent="0.2">
      <c r="A1705" s="51">
        <v>43800</v>
      </c>
      <c r="B1705" s="34">
        <v>11</v>
      </c>
      <c r="C1705" s="633" t="s">
        <v>4263</v>
      </c>
      <c r="F1705" s="134" t="s">
        <v>4496</v>
      </c>
      <c r="G1705" s="37">
        <v>43804</v>
      </c>
      <c r="H1705" s="34">
        <v>27101980</v>
      </c>
      <c r="I1705" s="39">
        <f>VLOOKUP(H1705,'[2]PUR-HSN MASTER'!$A$4:$E$5052,5,FALSE)</f>
        <v>18</v>
      </c>
      <c r="J1705" s="34">
        <v>1</v>
      </c>
      <c r="K1705" s="40">
        <v>1162.54</v>
      </c>
      <c r="L1705" s="118">
        <f t="shared" si="69"/>
        <v>0</v>
      </c>
      <c r="M1705" s="118">
        <f t="shared" si="72"/>
        <v>104.62859999999999</v>
      </c>
      <c r="N1705" s="118">
        <f t="shared" si="73"/>
        <v>104.62859999999999</v>
      </c>
      <c r="O1705" s="118">
        <v>0</v>
      </c>
      <c r="P1705" s="127">
        <f>+O1705+N1705+M1705+L1705+K1705</f>
        <v>1371.7972</v>
      </c>
      <c r="Q1705" s="34" t="s">
        <v>410</v>
      </c>
      <c r="R1705" s="34" t="str">
        <f>VLOOKUP(C1705,'PUR-PARTY MASTER'!$B$4:$E$2000,4,FALSE)</f>
        <v>Local</v>
      </c>
      <c r="S1705" s="11" t="s">
        <v>4120</v>
      </c>
    </row>
    <row r="1706" spans="1:19" x14ac:dyDescent="0.2">
      <c r="A1706" s="51">
        <v>43800</v>
      </c>
      <c r="B1706" s="11">
        <v>12</v>
      </c>
      <c r="C1706" s="632" t="s">
        <v>837</v>
      </c>
      <c r="F1706" s="134">
        <v>20190588</v>
      </c>
      <c r="G1706" s="37">
        <v>43804</v>
      </c>
      <c r="H1706" s="34">
        <v>34029099</v>
      </c>
      <c r="I1706" s="39">
        <f>VLOOKUP(H1706,'[2]PUR-HSN MASTER'!$A$4:$E$5052,5,FALSE)</f>
        <v>18</v>
      </c>
      <c r="J1706" s="38">
        <v>60</v>
      </c>
      <c r="K1706" s="40">
        <v>17700</v>
      </c>
      <c r="L1706" s="39">
        <v>0</v>
      </c>
      <c r="M1706" s="118">
        <f t="shared" si="72"/>
        <v>1593</v>
      </c>
      <c r="N1706" s="118">
        <f t="shared" si="73"/>
        <v>1593</v>
      </c>
      <c r="O1706" s="118">
        <v>0</v>
      </c>
      <c r="P1706" s="127">
        <f>+O1706+N1706+M1706+L1706+K1706</f>
        <v>20886</v>
      </c>
      <c r="Q1706" s="34" t="s">
        <v>410</v>
      </c>
      <c r="R1706" s="34" t="str">
        <f>VLOOKUP(C1706,'PUR-PARTY MASTER'!$B$4:$E$2000,4,FALSE)</f>
        <v>Local</v>
      </c>
      <c r="S1706" s="11" t="s">
        <v>4120</v>
      </c>
    </row>
    <row r="1707" spans="1:19" x14ac:dyDescent="0.2">
      <c r="A1707" s="51">
        <v>43800</v>
      </c>
      <c r="C1707" s="632" t="s">
        <v>837</v>
      </c>
      <c r="F1707" s="134">
        <v>20190588</v>
      </c>
      <c r="G1707" s="37">
        <v>43804</v>
      </c>
      <c r="H1707" s="34">
        <v>38249090</v>
      </c>
      <c r="I1707" s="39">
        <f>VLOOKUP(H1707,'[2]PUR-HSN MASTER'!$A$4:$E$5052,5,FALSE)</f>
        <v>18</v>
      </c>
      <c r="J1707" s="38">
        <v>40</v>
      </c>
      <c r="K1707" s="40">
        <v>13000</v>
      </c>
      <c r="L1707" s="39">
        <v>0</v>
      </c>
      <c r="M1707" s="118">
        <f t="shared" si="72"/>
        <v>1170</v>
      </c>
      <c r="N1707" s="118">
        <f t="shared" si="73"/>
        <v>1170</v>
      </c>
      <c r="O1707" s="118">
        <v>0</v>
      </c>
      <c r="P1707" s="127">
        <f>+O1707+N1707+M1707+L1707+K1707</f>
        <v>15340</v>
      </c>
      <c r="Q1707" s="34" t="s">
        <v>410</v>
      </c>
      <c r="R1707" s="34" t="str">
        <f>VLOOKUP(C1707,'PUR-PARTY MASTER'!$B$4:$E$2000,4,FALSE)</f>
        <v>Local</v>
      </c>
      <c r="S1707" s="11" t="s">
        <v>4120</v>
      </c>
    </row>
    <row r="1708" spans="1:19" x14ac:dyDescent="0.2">
      <c r="A1708" s="51">
        <v>43800</v>
      </c>
      <c r="B1708" s="11">
        <v>13</v>
      </c>
      <c r="C1708" s="35" t="s">
        <v>499</v>
      </c>
      <c r="F1708" s="136" t="s">
        <v>4497</v>
      </c>
      <c r="G1708" s="37">
        <v>43802</v>
      </c>
      <c r="H1708" s="34">
        <v>9603</v>
      </c>
      <c r="I1708" s="39">
        <f>VLOOKUP(H1708,'[2]PUR-HSN MASTER'!$A$4:$E$5052,5,FALSE)</f>
        <v>18</v>
      </c>
      <c r="J1708" s="34">
        <v>1</v>
      </c>
      <c r="K1708" s="126">
        <v>210</v>
      </c>
      <c r="L1708" s="118">
        <f t="shared" ref="L1708:L1714" si="75">+IF(R1708="Oms",K1708/100*I1708,0)</f>
        <v>0</v>
      </c>
      <c r="M1708" s="118">
        <f t="shared" si="72"/>
        <v>18.900000000000002</v>
      </c>
      <c r="N1708" s="118">
        <f t="shared" si="73"/>
        <v>18.900000000000002</v>
      </c>
      <c r="O1708" s="118">
        <v>0</v>
      </c>
      <c r="P1708" s="127">
        <f>+O1708+N1708+M1708+L1708+K1708+0.2</f>
        <v>248</v>
      </c>
      <c r="Q1708" s="34" t="s">
        <v>410</v>
      </c>
      <c r="R1708" s="34" t="str">
        <f>VLOOKUP(C1708,'PUR-PARTY MASTER'!$B$4:$E$2000,4,FALSE)</f>
        <v>Local</v>
      </c>
      <c r="S1708" s="11" t="s">
        <v>4120</v>
      </c>
    </row>
    <row r="1709" spans="1:19" x14ac:dyDescent="0.2">
      <c r="A1709" s="51">
        <v>43800</v>
      </c>
      <c r="C1709" s="35" t="s">
        <v>499</v>
      </c>
      <c r="F1709" s="136" t="s">
        <v>4497</v>
      </c>
      <c r="G1709" s="37">
        <v>43802</v>
      </c>
      <c r="H1709" s="34">
        <v>60060000</v>
      </c>
      <c r="I1709" s="39">
        <f>VLOOKUP(H1709,'[2]PUR-HSN MASTER'!$A$4:$E$5052,5,FALSE)</f>
        <v>5</v>
      </c>
      <c r="J1709" s="34">
        <v>25</v>
      </c>
      <c r="K1709" s="126">
        <v>825</v>
      </c>
      <c r="L1709" s="118">
        <f t="shared" si="75"/>
        <v>0</v>
      </c>
      <c r="M1709" s="118">
        <f t="shared" si="72"/>
        <v>20.625</v>
      </c>
      <c r="N1709" s="118">
        <f t="shared" si="73"/>
        <v>20.625</v>
      </c>
      <c r="O1709" s="118">
        <v>0</v>
      </c>
      <c r="P1709" s="127">
        <f>+O1709+N1709+M1709+L1709+K1709+0.25</f>
        <v>866.5</v>
      </c>
      <c r="Q1709" s="34" t="s">
        <v>410</v>
      </c>
      <c r="R1709" s="34" t="str">
        <f>VLOOKUP(C1709,'PUR-PARTY MASTER'!$B$4:$E$2000,4,FALSE)</f>
        <v>Local</v>
      </c>
      <c r="S1709" s="11" t="s">
        <v>4120</v>
      </c>
    </row>
    <row r="1710" spans="1:19" x14ac:dyDescent="0.2">
      <c r="A1710" s="51">
        <v>43800</v>
      </c>
      <c r="C1710" s="35" t="s">
        <v>499</v>
      </c>
      <c r="F1710" s="136" t="s">
        <v>4497</v>
      </c>
      <c r="G1710" s="37">
        <v>43802</v>
      </c>
      <c r="H1710" s="34">
        <v>6403</v>
      </c>
      <c r="I1710" s="39">
        <f>VLOOKUP(H1710,'[2]PUR-HSN MASTER'!$A$4:$E$5052,5,FALSE)</f>
        <v>5</v>
      </c>
      <c r="J1710" s="34">
        <v>1</v>
      </c>
      <c r="K1710" s="126">
        <v>450</v>
      </c>
      <c r="L1710" s="118">
        <f t="shared" si="75"/>
        <v>0</v>
      </c>
      <c r="M1710" s="118">
        <f t="shared" si="72"/>
        <v>11.25</v>
      </c>
      <c r="N1710" s="118">
        <f t="shared" si="73"/>
        <v>11.25</v>
      </c>
      <c r="O1710" s="118">
        <v>0</v>
      </c>
      <c r="P1710" s="127">
        <f>+O1710+N1710+M1710+L1710+K1710</f>
        <v>472.5</v>
      </c>
      <c r="Q1710" s="34" t="s">
        <v>410</v>
      </c>
      <c r="R1710" s="34" t="str">
        <f>VLOOKUP(C1710,'PUR-PARTY MASTER'!$B$4:$E$2000,4,FALSE)</f>
        <v>Local</v>
      </c>
      <c r="S1710" s="11" t="s">
        <v>4120</v>
      </c>
    </row>
    <row r="1711" spans="1:19" x14ac:dyDescent="0.2">
      <c r="A1711" s="51">
        <v>43800</v>
      </c>
      <c r="C1711" s="35" t="s">
        <v>499</v>
      </c>
      <c r="F1711" s="136" t="s">
        <v>4497</v>
      </c>
      <c r="G1711" s="37">
        <v>43802</v>
      </c>
      <c r="H1711" s="34">
        <v>96031000</v>
      </c>
      <c r="I1711" s="39">
        <f>VLOOKUP(H1711,'[2]PUR-HSN MASTER'!$A$4:$E$5052,5,FALSE)</f>
        <v>0</v>
      </c>
      <c r="J1711" s="34">
        <v>12</v>
      </c>
      <c r="K1711" s="126">
        <v>180</v>
      </c>
      <c r="L1711" s="118">
        <f t="shared" si="75"/>
        <v>0</v>
      </c>
      <c r="M1711" s="118">
        <f t="shared" si="72"/>
        <v>0</v>
      </c>
      <c r="N1711" s="118">
        <f t="shared" si="73"/>
        <v>0</v>
      </c>
      <c r="O1711" s="118">
        <v>0</v>
      </c>
      <c r="P1711" s="127">
        <f>+O1711+N1711+M1711+L1711+K1711</f>
        <v>180</v>
      </c>
      <c r="Q1711" s="34" t="s">
        <v>377</v>
      </c>
      <c r="R1711" s="34" t="str">
        <f>VLOOKUP(C1711,'PUR-PARTY MASTER'!$B$4:$E$2000,4,FALSE)</f>
        <v>Local</v>
      </c>
      <c r="S1711" s="11" t="s">
        <v>4120</v>
      </c>
    </row>
    <row r="1712" spans="1:19" x14ac:dyDescent="0.2">
      <c r="A1712" s="51">
        <v>43800</v>
      </c>
      <c r="B1712" s="11">
        <v>14</v>
      </c>
      <c r="C1712" s="35" t="s">
        <v>554</v>
      </c>
      <c r="F1712" s="134">
        <v>14913</v>
      </c>
      <c r="G1712" s="37">
        <v>43804</v>
      </c>
      <c r="H1712" s="34">
        <v>87141900</v>
      </c>
      <c r="I1712" s="39">
        <f>VLOOKUP(H1712,'[2]PUR-HSN MASTER'!$A$4:$E$5052,5,FALSE)</f>
        <v>28</v>
      </c>
      <c r="J1712" s="34">
        <f>1880+3180</f>
        <v>5060</v>
      </c>
      <c r="K1712" s="126">
        <v>14547.8</v>
      </c>
      <c r="L1712" s="118">
        <f t="shared" si="75"/>
        <v>0</v>
      </c>
      <c r="M1712" s="118">
        <f>+IF(R1712="local",K1712/100*I1712/2,0)</f>
        <v>2036.6919999999998</v>
      </c>
      <c r="N1712" s="118">
        <f>+IF(R1712="local",K1712/100*I1712/2,0)</f>
        <v>2036.6919999999998</v>
      </c>
      <c r="O1712" s="118">
        <v>0</v>
      </c>
      <c r="P1712" s="127">
        <f>+O1712+N1712+M1712+L1712+K1712</f>
        <v>18621.183999999997</v>
      </c>
      <c r="Q1712" s="34" t="s">
        <v>410</v>
      </c>
      <c r="R1712" s="34" t="str">
        <f>VLOOKUP(C1712,'PUR-PARTY MASTER'!$B$4:$E$2000,4,FALSE)</f>
        <v>Local</v>
      </c>
      <c r="S1712" s="11" t="s">
        <v>4120</v>
      </c>
    </row>
    <row r="1713" spans="1:19" x14ac:dyDescent="0.2">
      <c r="A1713" s="51">
        <v>43800</v>
      </c>
      <c r="B1713" s="11">
        <v>15</v>
      </c>
      <c r="C1713" s="35" t="s">
        <v>471</v>
      </c>
      <c r="F1713" s="134">
        <v>192007551</v>
      </c>
      <c r="G1713" s="37">
        <v>43804</v>
      </c>
      <c r="H1713" s="34">
        <v>87089900</v>
      </c>
      <c r="I1713" s="39">
        <f>VLOOKUP(H1713,'[2]PUR-HSN MASTER'!$A$4:$E$5052,5,FALSE)</f>
        <v>28</v>
      </c>
      <c r="J1713" s="34">
        <v>12</v>
      </c>
      <c r="K1713" s="126">
        <v>17483.52</v>
      </c>
      <c r="L1713" s="118">
        <f t="shared" si="75"/>
        <v>0</v>
      </c>
      <c r="M1713" s="118">
        <f t="shared" ref="M1713:M1726" si="76">+IF(R1713="local",K1713/100*I1713/2,0)</f>
        <v>2447.6928000000003</v>
      </c>
      <c r="N1713" s="118">
        <f t="shared" ref="N1713:N1726" si="77">+IF(R1713="local",K1713/100*I1713/2,0)</f>
        <v>2447.6928000000003</v>
      </c>
      <c r="O1713" s="118">
        <v>0</v>
      </c>
      <c r="P1713" s="127">
        <f>+O1713+N1713+M1713+L1713+K1713-0.01</f>
        <v>22378.895600000003</v>
      </c>
      <c r="Q1713" s="34" t="s">
        <v>410</v>
      </c>
      <c r="R1713" s="34" t="str">
        <f>VLOOKUP(C1713,'PUR-PARTY MASTER'!$B$4:$E$2000,4,FALSE)</f>
        <v>Local</v>
      </c>
      <c r="S1713" s="11" t="s">
        <v>4120</v>
      </c>
    </row>
    <row r="1714" spans="1:19" x14ac:dyDescent="0.2">
      <c r="A1714" s="51">
        <v>43800</v>
      </c>
      <c r="B1714" s="11">
        <v>16</v>
      </c>
      <c r="C1714" s="35" t="s">
        <v>493</v>
      </c>
      <c r="F1714" s="134">
        <v>4071</v>
      </c>
      <c r="G1714" s="37">
        <v>43804</v>
      </c>
      <c r="H1714" s="34">
        <v>85129000</v>
      </c>
      <c r="I1714" s="39">
        <f>VLOOKUP(H1714,'[2]PUR-HSN MASTER'!$A$4:$E$5052,5,FALSE)</f>
        <v>18</v>
      </c>
      <c r="J1714" s="34">
        <v>1008</v>
      </c>
      <c r="K1714" s="126">
        <v>32921.279999999999</v>
      </c>
      <c r="L1714" s="118">
        <f t="shared" si="75"/>
        <v>0</v>
      </c>
      <c r="M1714" s="118">
        <f t="shared" si="76"/>
        <v>2962.9152000000004</v>
      </c>
      <c r="N1714" s="118">
        <f t="shared" si="77"/>
        <v>2962.9152000000004</v>
      </c>
      <c r="O1714" s="118">
        <v>0</v>
      </c>
      <c r="P1714" s="127">
        <f>+O1714+N1714+M1714+L1714+K1714-0.11</f>
        <v>38847.000399999997</v>
      </c>
      <c r="Q1714" s="34" t="s">
        <v>410</v>
      </c>
      <c r="R1714" s="34" t="str">
        <f>VLOOKUP(C1714,'PUR-PARTY MASTER'!$B$4:$E$2000,4,FALSE)</f>
        <v>Local</v>
      </c>
      <c r="S1714" s="11" t="s">
        <v>4120</v>
      </c>
    </row>
    <row r="1715" spans="1:19" x14ac:dyDescent="0.2">
      <c r="A1715" s="51">
        <v>43800</v>
      </c>
      <c r="B1715" s="11">
        <v>17</v>
      </c>
      <c r="C1715" s="35" t="s">
        <v>570</v>
      </c>
      <c r="F1715" s="136" t="s">
        <v>4498</v>
      </c>
      <c r="G1715" s="37">
        <v>43804</v>
      </c>
      <c r="H1715" s="34">
        <v>85446090</v>
      </c>
      <c r="I1715" s="39">
        <f>VLOOKUP(H1715,'[2]PUR-HSN MASTER'!$A$4:$E$5052,5,FALSE)</f>
        <v>18</v>
      </c>
      <c r="J1715" s="38">
        <v>40</v>
      </c>
      <c r="K1715" s="40">
        <v>15971.2</v>
      </c>
      <c r="L1715" s="41">
        <v>0</v>
      </c>
      <c r="M1715" s="118">
        <f t="shared" si="76"/>
        <v>1437.4080000000001</v>
      </c>
      <c r="N1715" s="118">
        <f t="shared" si="77"/>
        <v>1437.4080000000001</v>
      </c>
      <c r="O1715" s="118">
        <v>0</v>
      </c>
      <c r="P1715" s="127">
        <f>+O1715+N1715+M1715+L1715+K1715+0.18</f>
        <v>18846.196</v>
      </c>
      <c r="Q1715" s="34" t="s">
        <v>410</v>
      </c>
      <c r="R1715" s="34" t="str">
        <f>VLOOKUP(C1715,'PUR-PARTY MASTER'!$B$4:$E$2000,4,FALSE)</f>
        <v>Local</v>
      </c>
      <c r="S1715" s="11" t="s">
        <v>4120</v>
      </c>
    </row>
    <row r="1716" spans="1:19" x14ac:dyDescent="0.2">
      <c r="A1716" s="51">
        <v>43800</v>
      </c>
      <c r="C1716" s="35" t="s">
        <v>570</v>
      </c>
      <c r="F1716" s="136" t="s">
        <v>4498</v>
      </c>
      <c r="G1716" s="37">
        <v>43804</v>
      </c>
      <c r="H1716" s="34">
        <v>7409</v>
      </c>
      <c r="I1716" s="39">
        <f>VLOOKUP(H1716,'[2]PUR-HSN MASTER'!$A$4:$E$5052,5,FALSE)</f>
        <v>18</v>
      </c>
      <c r="J1716" s="38">
        <v>6</v>
      </c>
      <c r="K1716" s="40">
        <v>5700</v>
      </c>
      <c r="L1716" s="41">
        <v>0</v>
      </c>
      <c r="M1716" s="118">
        <f t="shared" si="76"/>
        <v>513</v>
      </c>
      <c r="N1716" s="118">
        <f t="shared" si="77"/>
        <v>513</v>
      </c>
      <c r="O1716" s="118">
        <v>0</v>
      </c>
      <c r="P1716" s="127">
        <f>+O1716+N1716+M1716+L1716+K1716</f>
        <v>6726</v>
      </c>
      <c r="Q1716" s="34" t="s">
        <v>410</v>
      </c>
      <c r="R1716" s="34" t="str">
        <f>VLOOKUP(C1716,'PUR-PARTY MASTER'!$B$4:$E$2000,4,FALSE)</f>
        <v>Local</v>
      </c>
      <c r="S1716" s="11" t="s">
        <v>4120</v>
      </c>
    </row>
    <row r="1717" spans="1:19" x14ac:dyDescent="0.2">
      <c r="A1717" s="51">
        <v>43800</v>
      </c>
      <c r="C1717" s="35" t="s">
        <v>570</v>
      </c>
      <c r="F1717" s="136" t="s">
        <v>4498</v>
      </c>
      <c r="G1717" s="37">
        <v>43804</v>
      </c>
      <c r="H1717" s="34">
        <v>72122090</v>
      </c>
      <c r="I1717" s="39">
        <f>VLOOKUP(H1717,'[2]PUR-HSN MASTER'!$A$4:$E$5052,5,FALSE)</f>
        <v>18</v>
      </c>
      <c r="J1717" s="38">
        <v>20.55</v>
      </c>
      <c r="K1717" s="40">
        <v>3699</v>
      </c>
      <c r="L1717" s="41">
        <v>0</v>
      </c>
      <c r="M1717" s="118">
        <f t="shared" si="76"/>
        <v>332.91</v>
      </c>
      <c r="N1717" s="118">
        <f t="shared" si="77"/>
        <v>332.91</v>
      </c>
      <c r="O1717" s="118">
        <v>0</v>
      </c>
      <c r="P1717" s="127">
        <f>+O1717+N1717+M1717+L1717+K1717+0.03</f>
        <v>4364.8499999999995</v>
      </c>
      <c r="Q1717" s="34" t="s">
        <v>410</v>
      </c>
      <c r="R1717" s="34" t="str">
        <f>VLOOKUP(C1717,'PUR-PARTY MASTER'!$B$4:$E$2000,4,FALSE)</f>
        <v>Local</v>
      </c>
      <c r="S1717" s="11" t="s">
        <v>4120</v>
      </c>
    </row>
    <row r="1718" spans="1:19" x14ac:dyDescent="0.2">
      <c r="A1718" s="51">
        <v>43800</v>
      </c>
      <c r="C1718" s="35" t="s">
        <v>570</v>
      </c>
      <c r="F1718" s="136" t="s">
        <v>4498</v>
      </c>
      <c r="G1718" s="37">
        <v>43804</v>
      </c>
      <c r="H1718" s="34">
        <v>7306</v>
      </c>
      <c r="I1718" s="39">
        <f>VLOOKUP(H1718,'[2]PUR-HSN MASTER'!$A$4:$E$5052,5,FALSE)</f>
        <v>18</v>
      </c>
      <c r="J1718" s="38">
        <v>6</v>
      </c>
      <c r="K1718" s="40">
        <v>1260</v>
      </c>
      <c r="L1718" s="41">
        <v>0</v>
      </c>
      <c r="M1718" s="118">
        <f t="shared" si="76"/>
        <v>113.39999999999999</v>
      </c>
      <c r="N1718" s="118">
        <f t="shared" si="77"/>
        <v>113.39999999999999</v>
      </c>
      <c r="O1718" s="118">
        <v>0</v>
      </c>
      <c r="P1718" s="127">
        <f t="shared" ref="P1718:P1728" si="78">+O1718+N1718+M1718+L1718+K1718</f>
        <v>1486.8</v>
      </c>
      <c r="Q1718" s="34" t="s">
        <v>410</v>
      </c>
      <c r="R1718" s="34" t="str">
        <f>VLOOKUP(C1718,'PUR-PARTY MASTER'!$B$4:$E$2000,4,FALSE)</f>
        <v>Local</v>
      </c>
      <c r="S1718" s="11" t="s">
        <v>4120</v>
      </c>
    </row>
    <row r="1719" spans="1:19" x14ac:dyDescent="0.2">
      <c r="A1719" s="51">
        <v>43800</v>
      </c>
      <c r="C1719" s="35" t="s">
        <v>570</v>
      </c>
      <c r="F1719" s="136" t="s">
        <v>4498</v>
      </c>
      <c r="G1719" s="37">
        <v>43804</v>
      </c>
      <c r="H1719" s="34">
        <v>8535</v>
      </c>
      <c r="I1719" s="39">
        <f>VLOOKUP(H1719,'[2]PUR-HSN MASTER'!$A$4:$E$5052,5,FALSE)</f>
        <v>18</v>
      </c>
      <c r="J1719" s="38">
        <v>6</v>
      </c>
      <c r="K1719" s="40">
        <v>660</v>
      </c>
      <c r="L1719" s="41">
        <v>0</v>
      </c>
      <c r="M1719" s="118">
        <f t="shared" si="76"/>
        <v>59.4</v>
      </c>
      <c r="N1719" s="118">
        <f t="shared" si="77"/>
        <v>59.4</v>
      </c>
      <c r="O1719" s="118">
        <v>0</v>
      </c>
      <c r="P1719" s="127">
        <f t="shared" si="78"/>
        <v>778.8</v>
      </c>
      <c r="Q1719" s="34" t="s">
        <v>410</v>
      </c>
      <c r="R1719" s="34" t="str">
        <f>VLOOKUP(C1719,'PUR-PARTY MASTER'!$B$4:$E$2000,4,FALSE)</f>
        <v>Local</v>
      </c>
      <c r="S1719" s="11" t="s">
        <v>4120</v>
      </c>
    </row>
    <row r="1720" spans="1:19" x14ac:dyDescent="0.2">
      <c r="A1720" s="51">
        <v>43800</v>
      </c>
      <c r="C1720" s="35" t="s">
        <v>570</v>
      </c>
      <c r="F1720" s="136" t="s">
        <v>4498</v>
      </c>
      <c r="G1720" s="37">
        <v>43804</v>
      </c>
      <c r="H1720" s="34">
        <v>85389000</v>
      </c>
      <c r="I1720" s="39">
        <f>VLOOKUP(H1720,'[2]PUR-HSN MASTER'!$A$4:$E$5052,5,FALSE)</f>
        <v>18</v>
      </c>
      <c r="J1720" s="38">
        <v>2</v>
      </c>
      <c r="K1720" s="40">
        <v>621.15</v>
      </c>
      <c r="L1720" s="41">
        <v>0</v>
      </c>
      <c r="M1720" s="118">
        <f t="shared" si="76"/>
        <v>55.903500000000001</v>
      </c>
      <c r="N1720" s="118">
        <f t="shared" si="77"/>
        <v>55.903500000000001</v>
      </c>
      <c r="O1720" s="118">
        <v>0</v>
      </c>
      <c r="P1720" s="127">
        <f t="shared" si="78"/>
        <v>732.95699999999999</v>
      </c>
      <c r="Q1720" s="34" t="s">
        <v>410</v>
      </c>
      <c r="R1720" s="34" t="str">
        <f>VLOOKUP(C1720,'PUR-PARTY MASTER'!$B$4:$E$2000,4,FALSE)</f>
        <v>Local</v>
      </c>
      <c r="S1720" s="11" t="s">
        <v>4120</v>
      </c>
    </row>
    <row r="1721" spans="1:19" x14ac:dyDescent="0.2">
      <c r="A1721" s="51">
        <v>43800</v>
      </c>
      <c r="C1721" s="35" t="s">
        <v>570</v>
      </c>
      <c r="F1721" s="136" t="s">
        <v>4498</v>
      </c>
      <c r="G1721" s="37">
        <v>43804</v>
      </c>
      <c r="H1721" s="34">
        <v>8536</v>
      </c>
      <c r="I1721" s="39">
        <f>VLOOKUP(H1721,'[2]PUR-HSN MASTER'!$A$4:$E$5052,5,FALSE)</f>
        <v>18</v>
      </c>
      <c r="J1721" s="38">
        <v>2</v>
      </c>
      <c r="K1721" s="40">
        <v>180</v>
      </c>
      <c r="L1721" s="41">
        <v>0</v>
      </c>
      <c r="M1721" s="118">
        <f t="shared" si="76"/>
        <v>16.2</v>
      </c>
      <c r="N1721" s="118">
        <f t="shared" si="77"/>
        <v>16.2</v>
      </c>
      <c r="O1721" s="118">
        <v>0</v>
      </c>
      <c r="P1721" s="127">
        <f t="shared" si="78"/>
        <v>212.4</v>
      </c>
      <c r="Q1721" s="34" t="s">
        <v>410</v>
      </c>
      <c r="R1721" s="34" t="str">
        <f>VLOOKUP(C1721,'PUR-PARTY MASTER'!$B$4:$E$2000,4,FALSE)</f>
        <v>Local</v>
      </c>
      <c r="S1721" s="11" t="s">
        <v>4120</v>
      </c>
    </row>
    <row r="1722" spans="1:19" x14ac:dyDescent="0.2">
      <c r="A1722" s="51">
        <v>43800</v>
      </c>
      <c r="C1722" s="35" t="s">
        <v>570</v>
      </c>
      <c r="F1722" s="136" t="s">
        <v>4498</v>
      </c>
      <c r="G1722" s="37">
        <v>43804</v>
      </c>
      <c r="H1722" s="34">
        <v>4402</v>
      </c>
      <c r="I1722" s="39">
        <f>VLOOKUP(H1722,'[2]PUR-HSN MASTER'!$A$4:$E$5052,5,FALSE)</f>
        <v>0</v>
      </c>
      <c r="J1722" s="38">
        <v>6</v>
      </c>
      <c r="K1722" s="40">
        <v>2400</v>
      </c>
      <c r="L1722" s="41">
        <v>0</v>
      </c>
      <c r="M1722" s="118">
        <f t="shared" si="76"/>
        <v>0</v>
      </c>
      <c r="N1722" s="118">
        <f t="shared" si="77"/>
        <v>0</v>
      </c>
      <c r="O1722" s="118">
        <v>0</v>
      </c>
      <c r="P1722" s="127">
        <f t="shared" si="78"/>
        <v>2400</v>
      </c>
      <c r="Q1722" s="34" t="s">
        <v>377</v>
      </c>
      <c r="R1722" s="34" t="str">
        <f>VLOOKUP(C1722,'PUR-PARTY MASTER'!$B$4:$E$2000,4,FALSE)</f>
        <v>Local</v>
      </c>
      <c r="S1722" s="11" t="s">
        <v>4120</v>
      </c>
    </row>
    <row r="1723" spans="1:19" x14ac:dyDescent="0.2">
      <c r="A1723" s="51">
        <v>43800</v>
      </c>
      <c r="C1723" s="35" t="s">
        <v>570</v>
      </c>
      <c r="F1723" s="136" t="s">
        <v>4498</v>
      </c>
      <c r="G1723" s="37">
        <v>43804</v>
      </c>
      <c r="H1723" s="34" t="s">
        <v>4277</v>
      </c>
      <c r="I1723" s="39">
        <f>VLOOKUP(H1723,'[2]PUR-HSN MASTER'!$A$4:$E$5052,5,FALSE)</f>
        <v>0</v>
      </c>
      <c r="J1723" s="38">
        <v>6</v>
      </c>
      <c r="K1723" s="40">
        <v>2400</v>
      </c>
      <c r="L1723" s="41">
        <v>0</v>
      </c>
      <c r="M1723" s="118">
        <f t="shared" si="76"/>
        <v>0</v>
      </c>
      <c r="N1723" s="118">
        <f t="shared" si="77"/>
        <v>0</v>
      </c>
      <c r="O1723" s="118">
        <v>0</v>
      </c>
      <c r="P1723" s="127">
        <f t="shared" si="78"/>
        <v>2400</v>
      </c>
      <c r="Q1723" s="34" t="s">
        <v>377</v>
      </c>
      <c r="R1723" s="34" t="str">
        <f>VLOOKUP(C1723,'PUR-PARTY MASTER'!$B$4:$E$2000,4,FALSE)</f>
        <v>Local</v>
      </c>
      <c r="S1723" s="11" t="s">
        <v>4120</v>
      </c>
    </row>
    <row r="1724" spans="1:19" x14ac:dyDescent="0.2">
      <c r="A1724" s="51">
        <v>43800</v>
      </c>
      <c r="C1724" s="35" t="s">
        <v>570</v>
      </c>
      <c r="F1724" s="136" t="s">
        <v>4498</v>
      </c>
      <c r="G1724" s="37">
        <v>43804</v>
      </c>
      <c r="H1724" s="34">
        <v>2508</v>
      </c>
      <c r="I1724" s="39">
        <f>VLOOKUP(H1724,'[2]PUR-HSN MASTER'!$A$4:$E$5052,5,FALSE)</f>
        <v>5</v>
      </c>
      <c r="J1724" s="38">
        <v>3</v>
      </c>
      <c r="K1724" s="40">
        <v>2400</v>
      </c>
      <c r="L1724" s="41">
        <v>0</v>
      </c>
      <c r="M1724" s="118">
        <f t="shared" si="76"/>
        <v>60</v>
      </c>
      <c r="N1724" s="118">
        <f t="shared" si="77"/>
        <v>60</v>
      </c>
      <c r="O1724" s="118">
        <v>0</v>
      </c>
      <c r="P1724" s="127">
        <f t="shared" si="78"/>
        <v>2520</v>
      </c>
      <c r="Q1724" s="34" t="s">
        <v>410</v>
      </c>
      <c r="R1724" s="34" t="str">
        <f>VLOOKUP(C1724,'PUR-PARTY MASTER'!$B$4:$E$2000,4,FALSE)</f>
        <v>Local</v>
      </c>
      <c r="S1724" s="11" t="s">
        <v>4120</v>
      </c>
    </row>
    <row r="1725" spans="1:19" x14ac:dyDescent="0.2">
      <c r="A1725" s="51">
        <v>43800</v>
      </c>
      <c r="C1725" s="35" t="s">
        <v>570</v>
      </c>
      <c r="F1725" s="136" t="s">
        <v>4498</v>
      </c>
      <c r="G1725" s="37">
        <v>43804</v>
      </c>
      <c r="H1725" s="34" t="s">
        <v>4289</v>
      </c>
      <c r="I1725" s="39">
        <f>VLOOKUP(H1725,'[2]PUR-HSN MASTER'!$A$4:$E$5052,5,FALSE)</f>
        <v>18</v>
      </c>
      <c r="J1725" s="38">
        <v>1</v>
      </c>
      <c r="K1725" s="40">
        <v>400</v>
      </c>
      <c r="L1725" s="41">
        <v>0</v>
      </c>
      <c r="M1725" s="118">
        <f t="shared" si="76"/>
        <v>36</v>
      </c>
      <c r="N1725" s="118">
        <f t="shared" si="77"/>
        <v>36</v>
      </c>
      <c r="O1725" s="118">
        <v>0</v>
      </c>
      <c r="P1725" s="127">
        <f t="shared" si="78"/>
        <v>472</v>
      </c>
      <c r="Q1725" s="34" t="s">
        <v>411</v>
      </c>
      <c r="R1725" s="34" t="str">
        <f>VLOOKUP(C1725,'PUR-PARTY MASTER'!$B$4:$E$2000,4,FALSE)</f>
        <v>Local</v>
      </c>
      <c r="S1725" s="11" t="s">
        <v>4120</v>
      </c>
    </row>
    <row r="1726" spans="1:19" x14ac:dyDescent="0.2">
      <c r="A1726" s="51">
        <v>43800</v>
      </c>
      <c r="B1726" s="11">
        <v>18</v>
      </c>
      <c r="C1726" s="35" t="s">
        <v>514</v>
      </c>
      <c r="F1726" s="136"/>
      <c r="G1726" s="37">
        <v>43804</v>
      </c>
      <c r="H1726" s="34">
        <v>9971</v>
      </c>
      <c r="I1726" s="39">
        <f>VLOOKUP(H1726,'[2]PUR-HSN MASTER'!$A$4:$E$5052,5,FALSE)</f>
        <v>18</v>
      </c>
      <c r="J1726" s="34">
        <v>0</v>
      </c>
      <c r="K1726" s="40">
        <v>100</v>
      </c>
      <c r="L1726" s="118">
        <f t="shared" ref="L1726:L1728" si="79">+IF(R1726="Oms",K1726/100*I1726,0)</f>
        <v>0</v>
      </c>
      <c r="M1726" s="118">
        <f t="shared" si="76"/>
        <v>9</v>
      </c>
      <c r="N1726" s="118">
        <f t="shared" si="77"/>
        <v>9</v>
      </c>
      <c r="O1726" s="118">
        <v>0</v>
      </c>
      <c r="P1726" s="127">
        <f t="shared" si="78"/>
        <v>118</v>
      </c>
      <c r="Q1726" s="34" t="s">
        <v>411</v>
      </c>
      <c r="R1726" s="34" t="str">
        <f>VLOOKUP(C1726,'PUR-PARTY MASTER'!$B$4:$E$2000,4,FALSE)</f>
        <v>Local</v>
      </c>
      <c r="S1726" s="11" t="s">
        <v>4120</v>
      </c>
    </row>
    <row r="1727" spans="1:19" x14ac:dyDescent="0.2">
      <c r="A1727" s="51">
        <v>43800</v>
      </c>
      <c r="B1727" s="11">
        <v>19</v>
      </c>
      <c r="C1727" s="35" t="s">
        <v>554</v>
      </c>
      <c r="F1727" s="134">
        <v>14951</v>
      </c>
      <c r="G1727" s="37">
        <v>43806</v>
      </c>
      <c r="H1727" s="34">
        <v>87141900</v>
      </c>
      <c r="I1727" s="39">
        <f>VLOOKUP(H1727,'[2]PUR-HSN MASTER'!$A$4:$E$5052,5,FALSE)</f>
        <v>28</v>
      </c>
      <c r="J1727" s="34">
        <v>1785</v>
      </c>
      <c r="K1727" s="126">
        <v>5337.85</v>
      </c>
      <c r="L1727" s="118">
        <f t="shared" si="79"/>
        <v>0</v>
      </c>
      <c r="M1727" s="118">
        <f>+IF(R1727="local",K1727/100*I1727/2,0)</f>
        <v>747.29899999999998</v>
      </c>
      <c r="N1727" s="118">
        <f>+IF(R1727="local",K1727/100*I1727/2,0)</f>
        <v>747.29899999999998</v>
      </c>
      <c r="O1727" s="118">
        <v>0</v>
      </c>
      <c r="P1727" s="127">
        <f t="shared" si="78"/>
        <v>6832.4480000000003</v>
      </c>
      <c r="Q1727" s="34" t="s">
        <v>410</v>
      </c>
      <c r="R1727" s="34" t="str">
        <f>VLOOKUP(C1727,'PUR-PARTY MASTER'!$B$4:$E$2000,4,FALSE)</f>
        <v>Local</v>
      </c>
      <c r="S1727" s="11" t="s">
        <v>4120</v>
      </c>
    </row>
    <row r="1728" spans="1:19" x14ac:dyDescent="0.2">
      <c r="A1728" s="51">
        <v>43800</v>
      </c>
      <c r="B1728" s="11">
        <v>20</v>
      </c>
      <c r="C1728" s="35" t="s">
        <v>514</v>
      </c>
      <c r="F1728" s="136"/>
      <c r="G1728" s="37">
        <v>43806</v>
      </c>
      <c r="H1728" s="34">
        <v>9971</v>
      </c>
      <c r="I1728" s="39">
        <f>VLOOKUP(H1728,'[2]PUR-HSN MASTER'!$A$4:$E$5052,5,FALSE)</f>
        <v>18</v>
      </c>
      <c r="J1728" s="34">
        <v>0</v>
      </c>
      <c r="K1728" s="40">
        <v>5</v>
      </c>
      <c r="L1728" s="118">
        <f t="shared" si="79"/>
        <v>0</v>
      </c>
      <c r="M1728" s="118">
        <f t="shared" ref="M1728:M1736" si="80">+IF(R1728="local",K1728/100*I1728/2,0)</f>
        <v>0.45</v>
      </c>
      <c r="N1728" s="118">
        <f t="shared" ref="N1728:N1736" si="81">+IF(R1728="local",K1728/100*I1728/2,0)</f>
        <v>0.45</v>
      </c>
      <c r="O1728" s="118">
        <v>0</v>
      </c>
      <c r="P1728" s="127">
        <f t="shared" si="78"/>
        <v>5.9</v>
      </c>
      <c r="Q1728" s="34" t="s">
        <v>411</v>
      </c>
      <c r="R1728" s="34" t="str">
        <f>VLOOKUP(C1728,'PUR-PARTY MASTER'!$B$4:$E$2000,4,FALSE)</f>
        <v>Local</v>
      </c>
      <c r="S1728" s="11" t="s">
        <v>4120</v>
      </c>
    </row>
    <row r="1729" spans="1:19" x14ac:dyDescent="0.2">
      <c r="A1729" s="51">
        <v>43800</v>
      </c>
      <c r="B1729" s="11">
        <v>21</v>
      </c>
      <c r="C1729" s="35" t="s">
        <v>570</v>
      </c>
      <c r="F1729" s="136" t="s">
        <v>4499</v>
      </c>
      <c r="G1729" s="37">
        <v>43806</v>
      </c>
      <c r="H1729" s="34">
        <v>8546</v>
      </c>
      <c r="I1729" s="39">
        <f>VLOOKUP(H1729,'[2]PUR-HSN MASTER'!$A$4:$E$5052,5,FALSE)</f>
        <v>18</v>
      </c>
      <c r="J1729" s="38">
        <v>4</v>
      </c>
      <c r="K1729" s="40">
        <v>48</v>
      </c>
      <c r="L1729" s="41">
        <v>0</v>
      </c>
      <c r="M1729" s="118">
        <f t="shared" si="80"/>
        <v>4.32</v>
      </c>
      <c r="N1729" s="118">
        <f t="shared" si="81"/>
        <v>4.32</v>
      </c>
      <c r="O1729" s="118">
        <v>0</v>
      </c>
      <c r="P1729" s="127">
        <f>+O1729+N1729+M1729+L1729+K1729+0.36</f>
        <v>57</v>
      </c>
      <c r="Q1729" s="34" t="s">
        <v>410</v>
      </c>
      <c r="R1729" s="34" t="str">
        <f>VLOOKUP(C1729,'PUR-PARTY MASTER'!$B$4:$E$2000,4,FALSE)</f>
        <v>Local</v>
      </c>
      <c r="S1729" s="11" t="s">
        <v>4120</v>
      </c>
    </row>
    <row r="1730" spans="1:19" x14ac:dyDescent="0.2">
      <c r="A1730" s="51">
        <v>43800</v>
      </c>
      <c r="C1730" s="35" t="s">
        <v>570</v>
      </c>
      <c r="F1730" s="136" t="s">
        <v>4499</v>
      </c>
      <c r="G1730" s="37">
        <v>43806</v>
      </c>
      <c r="H1730" s="34">
        <v>7318</v>
      </c>
      <c r="I1730" s="39">
        <f>VLOOKUP(H1730,'[2]PUR-HSN MASTER'!$A$4:$E$5052,5,FALSE)</f>
        <v>18</v>
      </c>
      <c r="J1730" s="38">
        <v>7</v>
      </c>
      <c r="K1730" s="40">
        <f>55+234</f>
        <v>289</v>
      </c>
      <c r="L1730" s="41">
        <v>0</v>
      </c>
      <c r="M1730" s="118">
        <f t="shared" si="80"/>
        <v>26.01</v>
      </c>
      <c r="N1730" s="118">
        <f t="shared" si="81"/>
        <v>26.01</v>
      </c>
      <c r="O1730" s="118">
        <v>0</v>
      </c>
      <c r="P1730" s="127">
        <f>+O1730+N1730+M1730+L1730+K1730-0.02</f>
        <v>341</v>
      </c>
      <c r="Q1730" s="34" t="s">
        <v>410</v>
      </c>
      <c r="R1730" s="34" t="str">
        <f>VLOOKUP(C1730,'PUR-PARTY MASTER'!$B$4:$E$2000,4,FALSE)</f>
        <v>Local</v>
      </c>
      <c r="S1730" s="11" t="s">
        <v>4120</v>
      </c>
    </row>
    <row r="1731" spans="1:19" x14ac:dyDescent="0.2">
      <c r="A1731" s="51">
        <v>43800</v>
      </c>
      <c r="C1731" s="35" t="s">
        <v>570</v>
      </c>
      <c r="F1731" s="136" t="s">
        <v>4499</v>
      </c>
      <c r="G1731" s="37">
        <v>43806</v>
      </c>
      <c r="H1731" s="34">
        <v>3926</v>
      </c>
      <c r="I1731" s="39">
        <f>VLOOKUP(H1731,'[2]PUR-HSN MASTER'!$A$4:$E$5052,5,FALSE)</f>
        <v>18</v>
      </c>
      <c r="J1731" s="38">
        <v>2</v>
      </c>
      <c r="K1731" s="40">
        <v>30.6</v>
      </c>
      <c r="L1731" s="41">
        <v>0</v>
      </c>
      <c r="M1731" s="118">
        <f t="shared" si="80"/>
        <v>2.754</v>
      </c>
      <c r="N1731" s="118">
        <f t="shared" si="81"/>
        <v>2.754</v>
      </c>
      <c r="O1731" s="118">
        <v>0</v>
      </c>
      <c r="P1731" s="127">
        <f>+O1731+N1731+M1731+L1731+K1731-0.01</f>
        <v>36.098000000000006</v>
      </c>
      <c r="Q1731" s="34" t="s">
        <v>410</v>
      </c>
      <c r="R1731" s="34" t="str">
        <f>VLOOKUP(C1731,'PUR-PARTY MASTER'!$B$4:$E$2000,4,FALSE)</f>
        <v>Local</v>
      </c>
      <c r="S1731" s="11" t="s">
        <v>4120</v>
      </c>
    </row>
    <row r="1732" spans="1:19" x14ac:dyDescent="0.2">
      <c r="A1732" s="51">
        <v>43800</v>
      </c>
      <c r="C1732" s="35" t="s">
        <v>570</v>
      </c>
      <c r="F1732" s="136" t="s">
        <v>4499</v>
      </c>
      <c r="G1732" s="37">
        <v>43806</v>
      </c>
      <c r="H1732" s="34">
        <v>7307</v>
      </c>
      <c r="I1732" s="39">
        <f>VLOOKUP(H1732,'[2]PUR-HSN MASTER'!$A$4:$E$5052,5,FALSE)</f>
        <v>18</v>
      </c>
      <c r="J1732" s="38">
        <v>24</v>
      </c>
      <c r="K1732" s="40">
        <v>49.92</v>
      </c>
      <c r="L1732" s="41">
        <v>0</v>
      </c>
      <c r="M1732" s="118">
        <f t="shared" si="80"/>
        <v>4.4927999999999999</v>
      </c>
      <c r="N1732" s="118">
        <f t="shared" si="81"/>
        <v>4.4927999999999999</v>
      </c>
      <c r="O1732" s="118">
        <v>0</v>
      </c>
      <c r="P1732" s="127">
        <f>+O1732+N1732+M1732+L1732+K1732</f>
        <v>58.9056</v>
      </c>
      <c r="Q1732" s="34" t="s">
        <v>410</v>
      </c>
      <c r="R1732" s="34" t="str">
        <f>VLOOKUP(C1732,'PUR-PARTY MASTER'!$B$4:$E$2000,4,FALSE)</f>
        <v>Local</v>
      </c>
      <c r="S1732" s="11" t="s">
        <v>4120</v>
      </c>
    </row>
    <row r="1733" spans="1:19" x14ac:dyDescent="0.2">
      <c r="A1733" s="51">
        <v>43800</v>
      </c>
      <c r="B1733" s="11">
        <v>22</v>
      </c>
      <c r="C1733" s="632" t="s">
        <v>779</v>
      </c>
      <c r="F1733" s="136" t="s">
        <v>4500</v>
      </c>
      <c r="G1733" s="37">
        <v>43801</v>
      </c>
      <c r="H1733" s="34">
        <v>8428</v>
      </c>
      <c r="I1733" s="39">
        <f>VLOOKUP(H1733,'[2]PUR-HSN MASTER'!$A$4:$E$5052,5,FALSE)</f>
        <v>18</v>
      </c>
      <c r="J1733" s="38">
        <v>3</v>
      </c>
      <c r="K1733" s="40">
        <v>18800</v>
      </c>
      <c r="L1733" s="39">
        <v>0</v>
      </c>
      <c r="M1733" s="118">
        <f t="shared" si="80"/>
        <v>1692</v>
      </c>
      <c r="N1733" s="118">
        <f t="shared" si="81"/>
        <v>1692</v>
      </c>
      <c r="O1733" s="118">
        <v>0</v>
      </c>
      <c r="P1733" s="127">
        <f>+O1733+N1733+M1733+L1733+K1733</f>
        <v>22184</v>
      </c>
      <c r="Q1733" s="34" t="s">
        <v>410</v>
      </c>
      <c r="R1733" s="34" t="str">
        <f>VLOOKUP(C1733,'PUR-PARTY MASTER'!$B$4:$E$2000,4,FALSE)</f>
        <v>Local</v>
      </c>
      <c r="S1733" s="11" t="s">
        <v>4120</v>
      </c>
    </row>
    <row r="1734" spans="1:19" x14ac:dyDescent="0.2">
      <c r="A1734" s="51">
        <v>43800</v>
      </c>
      <c r="B1734" s="11">
        <v>23</v>
      </c>
      <c r="C1734" s="35" t="s">
        <v>471</v>
      </c>
      <c r="F1734" s="134">
        <v>192007624</v>
      </c>
      <c r="G1734" s="37">
        <v>43806</v>
      </c>
      <c r="H1734" s="34">
        <v>87089900</v>
      </c>
      <c r="I1734" s="39">
        <f>VLOOKUP(H1734,'[2]PUR-HSN MASTER'!$A$4:$E$5052,5,FALSE)</f>
        <v>28</v>
      </c>
      <c r="J1734" s="34">
        <v>11</v>
      </c>
      <c r="K1734" s="126">
        <v>16026.56</v>
      </c>
      <c r="L1734" s="118">
        <f t="shared" ref="L1734:L1741" si="82">+IF(R1734="Oms",K1734/100*I1734,0)</f>
        <v>0</v>
      </c>
      <c r="M1734" s="118">
        <f t="shared" si="80"/>
        <v>2243.7184000000002</v>
      </c>
      <c r="N1734" s="118">
        <f t="shared" si="81"/>
        <v>2243.7184000000002</v>
      </c>
      <c r="O1734" s="118">
        <v>0</v>
      </c>
      <c r="P1734" s="127">
        <f>+O1734+N1734+M1734+L1734+K1734</f>
        <v>20513.996800000001</v>
      </c>
      <c r="Q1734" s="34" t="s">
        <v>410</v>
      </c>
      <c r="R1734" s="34" t="str">
        <f>VLOOKUP(C1734,'PUR-PARTY MASTER'!$B$4:$E$2000,4,FALSE)</f>
        <v>Local</v>
      </c>
      <c r="S1734" s="11" t="s">
        <v>4120</v>
      </c>
    </row>
    <row r="1735" spans="1:19" x14ac:dyDescent="0.2">
      <c r="A1735" s="51">
        <v>43800</v>
      </c>
      <c r="B1735" s="11">
        <v>24</v>
      </c>
      <c r="C1735" s="35" t="s">
        <v>609</v>
      </c>
      <c r="F1735" s="136" t="s">
        <v>4501</v>
      </c>
      <c r="G1735" s="37">
        <v>43800</v>
      </c>
      <c r="H1735" s="34">
        <v>998519</v>
      </c>
      <c r="I1735" s="39">
        <f>VLOOKUP(H1735,'[2]PUR-HSN MASTER'!$A$4:$E$5052,5,FALSE)</f>
        <v>18</v>
      </c>
      <c r="J1735" s="34"/>
      <c r="K1735" s="126">
        <v>23936</v>
      </c>
      <c r="L1735" s="118">
        <f t="shared" si="82"/>
        <v>0</v>
      </c>
      <c r="M1735" s="118">
        <f t="shared" si="80"/>
        <v>2154.2400000000002</v>
      </c>
      <c r="N1735" s="118">
        <f t="shared" si="81"/>
        <v>2154.2400000000002</v>
      </c>
      <c r="O1735" s="118">
        <v>0</v>
      </c>
      <c r="P1735" s="127">
        <f>+O1735+N1735+M1735+L1735+K1735-0.48</f>
        <v>28244</v>
      </c>
      <c r="Q1735" s="34" t="s">
        <v>411</v>
      </c>
      <c r="R1735" s="34" t="str">
        <f>VLOOKUP(C1735,'PUR-PARTY MASTER'!$B$4:$E$2000,4,FALSE)</f>
        <v>Local</v>
      </c>
      <c r="S1735" s="11" t="s">
        <v>4120</v>
      </c>
    </row>
    <row r="1736" spans="1:19" x14ac:dyDescent="0.2">
      <c r="A1736" s="51">
        <v>43800</v>
      </c>
      <c r="B1736" s="11">
        <v>25</v>
      </c>
      <c r="C1736" s="35" t="s">
        <v>609</v>
      </c>
      <c r="F1736" s="136" t="s">
        <v>4502</v>
      </c>
      <c r="G1736" s="37">
        <v>43800</v>
      </c>
      <c r="H1736" s="34">
        <v>998519</v>
      </c>
      <c r="I1736" s="39">
        <f>VLOOKUP(H1736,'[2]PUR-HSN MASTER'!$A$4:$E$5052,5,FALSE)</f>
        <v>18</v>
      </c>
      <c r="J1736" s="34"/>
      <c r="K1736" s="126">
        <v>677297</v>
      </c>
      <c r="L1736" s="118">
        <f t="shared" si="82"/>
        <v>0</v>
      </c>
      <c r="M1736" s="118">
        <f t="shared" si="80"/>
        <v>60956.73</v>
      </c>
      <c r="N1736" s="118">
        <f t="shared" si="81"/>
        <v>60956.73</v>
      </c>
      <c r="O1736" s="118">
        <v>0</v>
      </c>
      <c r="P1736" s="127">
        <f>+O1736+N1736+M1736+L1736+K1736-0.46</f>
        <v>799210</v>
      </c>
      <c r="Q1736" s="34" t="s">
        <v>411</v>
      </c>
      <c r="R1736" s="34" t="str">
        <f>VLOOKUP(C1736,'PUR-PARTY MASTER'!$B$4:$E$2000,4,FALSE)</f>
        <v>Local</v>
      </c>
      <c r="S1736" s="11" t="s">
        <v>4120</v>
      </c>
    </row>
    <row r="1737" spans="1:19" x14ac:dyDescent="0.2">
      <c r="A1737" s="51">
        <v>43800</v>
      </c>
      <c r="B1737" s="11">
        <v>26</v>
      </c>
      <c r="C1737" s="35" t="s">
        <v>554</v>
      </c>
      <c r="F1737" s="134">
        <v>14985</v>
      </c>
      <c r="G1737" s="37">
        <v>43808</v>
      </c>
      <c r="H1737" s="34">
        <v>87141900</v>
      </c>
      <c r="I1737" s="39">
        <f>VLOOKUP(H1737,'[2]PUR-HSN MASTER'!$A$4:$E$5052,5,FALSE)</f>
        <v>28</v>
      </c>
      <c r="J1737" s="34">
        <f>1100+1300</f>
        <v>2400</v>
      </c>
      <c r="K1737" s="126">
        <v>6598</v>
      </c>
      <c r="L1737" s="118">
        <f t="shared" si="82"/>
        <v>0</v>
      </c>
      <c r="M1737" s="118">
        <f>+IF(R1737="local",K1737/100*I1737/2,0)</f>
        <v>923.72</v>
      </c>
      <c r="N1737" s="118">
        <f>+IF(R1737="local",K1737/100*I1737/2,0)</f>
        <v>923.72</v>
      </c>
      <c r="O1737" s="118">
        <v>0</v>
      </c>
      <c r="P1737" s="127">
        <f>+O1737+N1737+M1737+L1737+K1737</f>
        <v>8445.44</v>
      </c>
      <c r="Q1737" s="34" t="s">
        <v>410</v>
      </c>
      <c r="R1737" s="34" t="str">
        <f>VLOOKUP(C1737,'PUR-PARTY MASTER'!$B$4:$E$2000,4,FALSE)</f>
        <v>Local</v>
      </c>
      <c r="S1737" s="11" t="s">
        <v>4120</v>
      </c>
    </row>
    <row r="1738" spans="1:19" x14ac:dyDescent="0.2">
      <c r="A1738" s="51">
        <v>43800</v>
      </c>
      <c r="B1738" s="11">
        <v>27</v>
      </c>
      <c r="C1738" s="34" t="s">
        <v>601</v>
      </c>
      <c r="F1738" s="134">
        <v>6658</v>
      </c>
      <c r="G1738" s="37">
        <v>43808</v>
      </c>
      <c r="H1738" s="34">
        <v>87082900</v>
      </c>
      <c r="I1738" s="39">
        <f>VLOOKUP(H1738,'[2]PUR-HSN MASTER'!$A$4:$E$5052,5,FALSE)</f>
        <v>28</v>
      </c>
      <c r="J1738" s="34">
        <v>2460</v>
      </c>
      <c r="K1738" s="39">
        <v>54907.199999999997</v>
      </c>
      <c r="L1738" s="118">
        <f t="shared" si="82"/>
        <v>0</v>
      </c>
      <c r="M1738" s="118">
        <f t="shared" ref="M1738" si="83">+IF(R1738="local",K1738/100*I1738/2,0)</f>
        <v>7687.0079999999998</v>
      </c>
      <c r="N1738" s="118">
        <f t="shared" ref="N1738" si="84">+IF(R1738="local",K1738/100*I1738/2,0)</f>
        <v>7687.0079999999998</v>
      </c>
      <c r="O1738" s="118">
        <v>0</v>
      </c>
      <c r="P1738" s="127">
        <f>+O1738+N1738+M1738+L1738+K1738</f>
        <v>70281.216</v>
      </c>
      <c r="Q1738" s="34" t="s">
        <v>410</v>
      </c>
      <c r="R1738" s="34" t="str">
        <f>VLOOKUP(C1738,'PUR-PARTY MASTER'!$B$4:$E$2000,4,FALSE)</f>
        <v>Local</v>
      </c>
      <c r="S1738" s="11" t="s">
        <v>4120</v>
      </c>
    </row>
    <row r="1739" spans="1:19" x14ac:dyDescent="0.2">
      <c r="A1739" s="51">
        <v>43800</v>
      </c>
      <c r="B1739" s="11">
        <v>28</v>
      </c>
      <c r="C1739" s="35" t="s">
        <v>473</v>
      </c>
      <c r="F1739" s="136" t="s">
        <v>4503</v>
      </c>
      <c r="G1739" s="37">
        <v>43808</v>
      </c>
      <c r="H1739" s="34">
        <v>87089900</v>
      </c>
      <c r="I1739" s="39">
        <f>VLOOKUP(H1739,'[2]PUR-HSN MASTER'!$A$4:$E$5052,5,FALSE)</f>
        <v>28</v>
      </c>
      <c r="J1739" s="34">
        <v>377</v>
      </c>
      <c r="K1739" s="126">
        <v>10015.450000000001</v>
      </c>
      <c r="L1739" s="118">
        <f t="shared" si="82"/>
        <v>0</v>
      </c>
      <c r="M1739" s="118">
        <f>+IF(R1739="local",K1739/100*I1739/2,0)-1.16</f>
        <v>1401.0030000000002</v>
      </c>
      <c r="N1739" s="118">
        <f>+IF(R1739="local",K1739/100*I1739/2,0)-1.16</f>
        <v>1401.0030000000002</v>
      </c>
      <c r="O1739" s="118">
        <v>0</v>
      </c>
      <c r="P1739" s="127">
        <f>+O1739+N1739+M1739+L1739+K1739-0.01</f>
        <v>12817.446000000002</v>
      </c>
      <c r="Q1739" s="34" t="s">
        <v>410</v>
      </c>
      <c r="R1739" s="34" t="str">
        <f>VLOOKUP(C1739,'PUR-PARTY MASTER'!$B$4:$E$2000,4,FALSE)</f>
        <v>Local</v>
      </c>
      <c r="S1739" s="11" t="s">
        <v>4120</v>
      </c>
    </row>
    <row r="1740" spans="1:19" x14ac:dyDescent="0.2">
      <c r="A1740" s="51">
        <v>43800</v>
      </c>
      <c r="B1740" s="11">
        <v>29</v>
      </c>
      <c r="C1740" s="35" t="s">
        <v>479</v>
      </c>
      <c r="F1740" s="136">
        <v>1471</v>
      </c>
      <c r="G1740" s="37">
        <v>43808</v>
      </c>
      <c r="H1740" s="34">
        <v>3919</v>
      </c>
      <c r="I1740" s="39">
        <f>VLOOKUP(H1740,'[2]PUR-HSN MASTER'!$A$4:$E$5052,5,FALSE)</f>
        <v>18</v>
      </c>
      <c r="J1740" s="34">
        <v>58</v>
      </c>
      <c r="K1740" s="126">
        <v>29500</v>
      </c>
      <c r="L1740" s="118">
        <f t="shared" si="82"/>
        <v>0</v>
      </c>
      <c r="M1740" s="118">
        <f>+IF(R1740="local",K1740/100*I1740/2,0)</f>
        <v>2655</v>
      </c>
      <c r="N1740" s="118">
        <f>+IF(R1740="local",K1740/100*I1740/2,0)</f>
        <v>2655</v>
      </c>
      <c r="O1740" s="118">
        <v>0</v>
      </c>
      <c r="P1740" s="127">
        <f>+O1740+N1740+M1740+L1740+K1740</f>
        <v>34810</v>
      </c>
      <c r="Q1740" s="34" t="s">
        <v>410</v>
      </c>
      <c r="R1740" s="34" t="str">
        <f>VLOOKUP(C1740,'PUR-PARTY MASTER'!$B$4:$E$2000,4,FALSE)</f>
        <v>Local</v>
      </c>
      <c r="S1740" s="11" t="s">
        <v>4120</v>
      </c>
    </row>
    <row r="1741" spans="1:19" x14ac:dyDescent="0.2">
      <c r="A1741" s="51">
        <v>43800</v>
      </c>
      <c r="B1741" s="11">
        <v>30</v>
      </c>
      <c r="C1741" s="632" t="s">
        <v>1090</v>
      </c>
      <c r="F1741" s="136">
        <v>2803</v>
      </c>
      <c r="G1741" s="37">
        <v>43807</v>
      </c>
      <c r="H1741" s="34">
        <v>25232910</v>
      </c>
      <c r="I1741" s="39">
        <f>VLOOKUP(H1741,'[2]PUR-HSN MASTER'!$A$4:$E$5052,5,FALSE)</f>
        <v>28</v>
      </c>
      <c r="J1741" s="34">
        <v>35</v>
      </c>
      <c r="K1741" s="126">
        <v>8503.1299999999992</v>
      </c>
      <c r="L1741" s="118">
        <f t="shared" si="82"/>
        <v>0</v>
      </c>
      <c r="M1741" s="118">
        <f t="shared" ref="M1741:M1746" si="85">+IF(R1741="local",K1741/100*I1741/2,0)</f>
        <v>1190.4381999999998</v>
      </c>
      <c r="N1741" s="118">
        <f t="shared" ref="N1741:N1746" si="86">+IF(R1741="local",K1741/100*I1741/2,0)</f>
        <v>1190.4381999999998</v>
      </c>
      <c r="O1741" s="118">
        <v>0</v>
      </c>
      <c r="P1741" s="127">
        <f>+O1741+N1741+M1741+L1741+K1741-0.01</f>
        <v>10883.996399999998</v>
      </c>
      <c r="Q1741" s="34" t="s">
        <v>410</v>
      </c>
      <c r="R1741" s="34" t="str">
        <f>VLOOKUP(C1741,'PUR-PARTY MASTER'!$B$4:$E$2000,4,FALSE)</f>
        <v>Local</v>
      </c>
      <c r="S1741" s="11" t="s">
        <v>4120</v>
      </c>
    </row>
    <row r="1742" spans="1:19" x14ac:dyDescent="0.2">
      <c r="A1742" s="51">
        <v>43800</v>
      </c>
      <c r="B1742" s="11">
        <v>31</v>
      </c>
      <c r="C1742" s="34" t="s">
        <v>489</v>
      </c>
      <c r="F1742" s="134">
        <v>7887991825</v>
      </c>
      <c r="G1742" s="37">
        <v>43809</v>
      </c>
      <c r="H1742" s="34">
        <v>39119090</v>
      </c>
      <c r="I1742" s="39">
        <f>VLOOKUP(H1742,'[2]PUR-HSN MASTER'!$A$4:$E$5052,5,FALSE)</f>
        <v>18</v>
      </c>
      <c r="J1742" s="34">
        <v>38</v>
      </c>
      <c r="K1742" s="39">
        <v>22420</v>
      </c>
      <c r="L1742" s="118">
        <f>+IF(R1742="Oms",K1742/100*I1742,0)</f>
        <v>0</v>
      </c>
      <c r="M1742" s="118">
        <f t="shared" si="85"/>
        <v>2017.8</v>
      </c>
      <c r="N1742" s="118">
        <f t="shared" si="86"/>
        <v>2017.8</v>
      </c>
      <c r="O1742" s="118">
        <v>0</v>
      </c>
      <c r="P1742" s="127">
        <f>+O1742+N1742+M1742+L1742+K1742</f>
        <v>26455.599999999999</v>
      </c>
      <c r="Q1742" s="34" t="s">
        <v>410</v>
      </c>
      <c r="R1742" s="34" t="str">
        <f>VLOOKUP(C1742,'PUR-PARTY MASTER'!$B$4:$E$2000,4,FALSE)</f>
        <v>Local</v>
      </c>
      <c r="S1742" s="11" t="s">
        <v>4120</v>
      </c>
    </row>
    <row r="1743" spans="1:19" x14ac:dyDescent="0.2">
      <c r="A1743" s="51">
        <v>43800</v>
      </c>
      <c r="C1743" s="34" t="s">
        <v>489</v>
      </c>
      <c r="F1743" s="134">
        <v>7887991825</v>
      </c>
      <c r="G1743" s="37">
        <v>43809</v>
      </c>
      <c r="H1743" s="34">
        <v>32082090</v>
      </c>
      <c r="I1743" s="39">
        <f>VLOOKUP(H1743,'[2]PUR-HSN MASTER'!$A$4:$E$5052,5,FALSE)</f>
        <v>18</v>
      </c>
      <c r="J1743" s="34">
        <v>60</v>
      </c>
      <c r="K1743" s="39">
        <f>8640+43680</f>
        <v>52320</v>
      </c>
      <c r="L1743" s="118">
        <f>+IF(R1743="Oms",K1743/100*I1743,0)</f>
        <v>0</v>
      </c>
      <c r="M1743" s="118">
        <f t="shared" si="85"/>
        <v>4708.8</v>
      </c>
      <c r="N1743" s="118">
        <f t="shared" si="86"/>
        <v>4708.8</v>
      </c>
      <c r="O1743" s="118">
        <v>0</v>
      </c>
      <c r="P1743" s="127">
        <f>+O1743+N1743+M1743+L1743+K1743-0.2</f>
        <v>61737.4</v>
      </c>
      <c r="Q1743" s="34" t="s">
        <v>410</v>
      </c>
      <c r="R1743" s="34" t="str">
        <f>VLOOKUP(C1743,'PUR-PARTY MASTER'!$B$4:$E$2000,4,FALSE)</f>
        <v>Local</v>
      </c>
      <c r="S1743" s="11" t="s">
        <v>4120</v>
      </c>
    </row>
    <row r="1744" spans="1:19" x14ac:dyDescent="0.2">
      <c r="A1744" s="51">
        <v>43800</v>
      </c>
      <c r="C1744" s="34" t="s">
        <v>489</v>
      </c>
      <c r="F1744" s="134">
        <v>7887991825</v>
      </c>
      <c r="G1744" s="37">
        <v>43809</v>
      </c>
      <c r="H1744" s="34">
        <v>32089090</v>
      </c>
      <c r="I1744" s="39">
        <f>VLOOKUP(H1744,'[2]PUR-HSN MASTER'!$A$4:$E$5052,5,FALSE)</f>
        <v>18</v>
      </c>
      <c r="J1744" s="34">
        <v>40</v>
      </c>
      <c r="K1744" s="39">
        <v>25600</v>
      </c>
      <c r="L1744" s="118">
        <f>+IF(R1744="Oms",K1744/100*I1744,0)</f>
        <v>0</v>
      </c>
      <c r="M1744" s="118">
        <f t="shared" si="85"/>
        <v>2304</v>
      </c>
      <c r="N1744" s="118">
        <f t="shared" si="86"/>
        <v>2304</v>
      </c>
      <c r="O1744" s="118">
        <v>0</v>
      </c>
      <c r="P1744" s="127">
        <f>+O1744+N1744+M1744+L1744+K1744</f>
        <v>30208</v>
      </c>
      <c r="Q1744" s="34" t="s">
        <v>410</v>
      </c>
      <c r="R1744" s="34" t="str">
        <f>VLOOKUP(C1744,'PUR-PARTY MASTER'!$B$4:$E$2000,4,FALSE)</f>
        <v>Local</v>
      </c>
      <c r="S1744" s="11" t="s">
        <v>4120</v>
      </c>
    </row>
    <row r="1745" spans="1:19" x14ac:dyDescent="0.2">
      <c r="A1745" s="51">
        <v>43800</v>
      </c>
      <c r="B1745" s="11">
        <v>32</v>
      </c>
      <c r="C1745" s="34" t="s">
        <v>489</v>
      </c>
      <c r="F1745" s="134">
        <v>7887991826</v>
      </c>
      <c r="G1745" s="37">
        <v>43809</v>
      </c>
      <c r="H1745" s="34">
        <v>32082090</v>
      </c>
      <c r="I1745" s="39">
        <f>VLOOKUP(H1745,'[2]PUR-HSN MASTER'!$A$4:$E$5052,5,FALSE)</f>
        <v>18</v>
      </c>
      <c r="J1745" s="34">
        <v>20</v>
      </c>
      <c r="K1745" s="39">
        <v>8500</v>
      </c>
      <c r="L1745" s="118">
        <f>+IF(R1745="Oms",K1745/100*I1745,0)</f>
        <v>0</v>
      </c>
      <c r="M1745" s="118">
        <f t="shared" si="85"/>
        <v>765</v>
      </c>
      <c r="N1745" s="118">
        <f t="shared" si="86"/>
        <v>765</v>
      </c>
      <c r="O1745" s="118">
        <v>0</v>
      </c>
      <c r="P1745" s="127">
        <f>+O1745+N1745+M1745+L1745+K1745</f>
        <v>10030</v>
      </c>
      <c r="Q1745" s="34" t="s">
        <v>410</v>
      </c>
      <c r="R1745" s="34" t="str">
        <f>VLOOKUP(C1745,'PUR-PARTY MASTER'!$B$4:$E$2000,4,FALSE)</f>
        <v>Local</v>
      </c>
      <c r="S1745" s="11" t="s">
        <v>4120</v>
      </c>
    </row>
    <row r="1746" spans="1:19" x14ac:dyDescent="0.2">
      <c r="A1746" s="51">
        <v>43800</v>
      </c>
      <c r="C1746" s="34" t="s">
        <v>489</v>
      </c>
      <c r="F1746" s="134">
        <v>7887991826</v>
      </c>
      <c r="G1746" s="37">
        <v>43809</v>
      </c>
      <c r="H1746" s="34">
        <v>38140010</v>
      </c>
      <c r="I1746" s="39">
        <f>VLOOKUP(H1746,'[2]PUR-HSN MASTER'!$A$4:$E$5052,5,FALSE)</f>
        <v>18</v>
      </c>
      <c r="J1746" s="34">
        <v>80</v>
      </c>
      <c r="K1746" s="39">
        <v>20100</v>
      </c>
      <c r="L1746" s="118">
        <f>+IF(R1746="Oms",K1746/100*I1746,0)</f>
        <v>0</v>
      </c>
      <c r="M1746" s="118">
        <f t="shared" si="85"/>
        <v>1809</v>
      </c>
      <c r="N1746" s="118">
        <f t="shared" si="86"/>
        <v>1809</v>
      </c>
      <c r="O1746" s="118">
        <v>0</v>
      </c>
      <c r="P1746" s="127">
        <f>+O1746+N1746+M1746+L1746+K1746</f>
        <v>23718</v>
      </c>
      <c r="Q1746" s="34" t="s">
        <v>410</v>
      </c>
      <c r="R1746" s="34" t="str">
        <f>VLOOKUP(C1746,'PUR-PARTY MASTER'!$B$4:$E$2000,4,FALSE)</f>
        <v>Local</v>
      </c>
      <c r="S1746" s="11" t="s">
        <v>4120</v>
      </c>
    </row>
    <row r="1747" spans="1:19" x14ac:dyDescent="0.2">
      <c r="A1747" s="51">
        <v>43800</v>
      </c>
      <c r="B1747" s="11">
        <v>33</v>
      </c>
      <c r="C1747" s="35" t="s">
        <v>554</v>
      </c>
      <c r="F1747" s="134">
        <v>15038</v>
      </c>
      <c r="G1747" s="37">
        <v>43809</v>
      </c>
      <c r="H1747" s="34">
        <v>87141900</v>
      </c>
      <c r="I1747" s="39">
        <f>VLOOKUP(H1747,'[2]PUR-HSN MASTER'!$A$4:$E$5052,5,FALSE)</f>
        <v>28</v>
      </c>
      <c r="J1747" s="34">
        <v>2460</v>
      </c>
      <c r="K1747" s="126">
        <v>5928.6</v>
      </c>
      <c r="L1747" s="118">
        <f t="shared" ref="L1747:L1751" si="87">+IF(R1747="Oms",K1747/100*I1747,0)</f>
        <v>0</v>
      </c>
      <c r="M1747" s="118">
        <f>+IF(R1747="local",K1747/100*I1747/2,0)</f>
        <v>830.00400000000002</v>
      </c>
      <c r="N1747" s="118">
        <f>+IF(R1747="local",K1747/100*I1747/2,0)</f>
        <v>830.00400000000002</v>
      </c>
      <c r="O1747" s="118">
        <v>0</v>
      </c>
      <c r="P1747" s="127">
        <f>+O1747+N1747+M1747+L1747+K1747-0.01</f>
        <v>7588.598</v>
      </c>
      <c r="Q1747" s="34" t="s">
        <v>410</v>
      </c>
      <c r="R1747" s="34" t="str">
        <f>VLOOKUP(C1747,'PUR-PARTY MASTER'!$B$4:$E$2000,4,FALSE)</f>
        <v>Local</v>
      </c>
      <c r="S1747" s="11" t="s">
        <v>4120</v>
      </c>
    </row>
    <row r="1748" spans="1:19" x14ac:dyDescent="0.2">
      <c r="A1748" s="51">
        <v>43800</v>
      </c>
      <c r="B1748" s="11">
        <v>34</v>
      </c>
      <c r="C1748" s="34" t="s">
        <v>829</v>
      </c>
      <c r="F1748" s="134">
        <v>1991</v>
      </c>
      <c r="G1748" s="37">
        <v>43810</v>
      </c>
      <c r="H1748" s="34">
        <v>3208</v>
      </c>
      <c r="I1748" s="39">
        <f>VLOOKUP(H1748,'[2]PUR-HSN MASTER'!$A$4:$E$5052,5,FALSE)</f>
        <v>18</v>
      </c>
      <c r="J1748" s="34">
        <v>2</v>
      </c>
      <c r="K1748" s="40">
        <v>1864</v>
      </c>
      <c r="L1748" s="118">
        <f t="shared" si="87"/>
        <v>0</v>
      </c>
      <c r="M1748" s="118">
        <f t="shared" ref="M1748" si="88">+IF(R1748="local",K1748/100*I1748/2,0)</f>
        <v>167.76</v>
      </c>
      <c r="N1748" s="118">
        <f t="shared" ref="N1748" si="89">+IF(R1748="local",K1748/100*I1748/2,0)</f>
        <v>167.76</v>
      </c>
      <c r="O1748" s="118">
        <v>0</v>
      </c>
      <c r="P1748" s="127">
        <f>+O1748+N1748+M1748+L1748+K1748+0.48</f>
        <v>2200</v>
      </c>
      <c r="Q1748" s="34" t="s">
        <v>410</v>
      </c>
      <c r="R1748" s="34" t="str">
        <f>VLOOKUP(C1748,'PUR-PARTY MASTER'!$B$4:$E$2000,4,FALSE)</f>
        <v>Local</v>
      </c>
      <c r="S1748" s="11" t="s">
        <v>4120</v>
      </c>
    </row>
    <row r="1749" spans="1:19" x14ac:dyDescent="0.2">
      <c r="A1749" s="51">
        <v>43800</v>
      </c>
      <c r="B1749" s="11">
        <v>35</v>
      </c>
      <c r="C1749" s="35" t="s">
        <v>554</v>
      </c>
      <c r="F1749" s="134">
        <v>15066</v>
      </c>
      <c r="G1749" s="37">
        <v>43810</v>
      </c>
      <c r="H1749" s="34">
        <v>87141900</v>
      </c>
      <c r="I1749" s="39">
        <f>VLOOKUP(H1749,'[2]PUR-HSN MASTER'!$A$4:$E$5052,5,FALSE)</f>
        <v>28</v>
      </c>
      <c r="J1749" s="34">
        <v>2300</v>
      </c>
      <c r="K1749" s="126">
        <v>5543</v>
      </c>
      <c r="L1749" s="118">
        <f t="shared" si="87"/>
        <v>0</v>
      </c>
      <c r="M1749" s="118">
        <f>+IF(R1749="local",K1749/100*I1749/2,0)</f>
        <v>776.02</v>
      </c>
      <c r="N1749" s="118">
        <f>+IF(R1749="local",K1749/100*I1749/2,0)</f>
        <v>776.02</v>
      </c>
      <c r="O1749" s="118">
        <v>0</v>
      </c>
      <c r="P1749" s="127">
        <f>+O1749+N1749+M1749+L1749+K1749</f>
        <v>7095.04</v>
      </c>
      <c r="Q1749" s="34" t="s">
        <v>410</v>
      </c>
      <c r="R1749" s="34" t="str">
        <f>VLOOKUP(C1749,'PUR-PARTY MASTER'!$B$4:$E$2000,4,FALSE)</f>
        <v>Local</v>
      </c>
      <c r="S1749" s="11" t="s">
        <v>4120</v>
      </c>
    </row>
    <row r="1750" spans="1:19" x14ac:dyDescent="0.2">
      <c r="A1750" s="51">
        <v>43800</v>
      </c>
      <c r="B1750" s="11">
        <v>36</v>
      </c>
      <c r="C1750" s="34" t="s">
        <v>829</v>
      </c>
      <c r="F1750" s="134">
        <v>1998</v>
      </c>
      <c r="G1750" s="37">
        <v>43811</v>
      </c>
      <c r="H1750" s="34">
        <v>3208</v>
      </c>
      <c r="I1750" s="39">
        <f>VLOOKUP(H1750,'[2]PUR-HSN MASTER'!$A$4:$E$5052,5,FALSE)</f>
        <v>18</v>
      </c>
      <c r="J1750" s="34">
        <v>2</v>
      </c>
      <c r="K1750" s="40">
        <v>1864</v>
      </c>
      <c r="L1750" s="118">
        <f t="shared" si="87"/>
        <v>0</v>
      </c>
      <c r="M1750" s="118">
        <f t="shared" ref="M1750" si="90">+IF(R1750="local",K1750/100*I1750/2,0)</f>
        <v>167.76</v>
      </c>
      <c r="N1750" s="118">
        <f t="shared" ref="N1750" si="91">+IF(R1750="local",K1750/100*I1750/2,0)</f>
        <v>167.76</v>
      </c>
      <c r="O1750" s="118">
        <v>0</v>
      </c>
      <c r="P1750" s="127">
        <f>+O1750+N1750+M1750+L1750+K1750+0.48</f>
        <v>2200</v>
      </c>
      <c r="Q1750" s="34" t="s">
        <v>410</v>
      </c>
      <c r="R1750" s="34" t="str">
        <f>VLOOKUP(C1750,'PUR-PARTY MASTER'!$B$4:$E$2000,4,FALSE)</f>
        <v>Local</v>
      </c>
      <c r="S1750" s="11" t="s">
        <v>4120</v>
      </c>
    </row>
    <row r="1751" spans="1:19" x14ac:dyDescent="0.2">
      <c r="A1751" s="51">
        <v>43800</v>
      </c>
      <c r="B1751" s="11">
        <v>37</v>
      </c>
      <c r="C1751" s="35" t="s">
        <v>554</v>
      </c>
      <c r="F1751" s="134">
        <v>15105</v>
      </c>
      <c r="G1751" s="37">
        <v>43811</v>
      </c>
      <c r="H1751" s="34">
        <v>87141900</v>
      </c>
      <c r="I1751" s="39">
        <f>VLOOKUP(H1751,'[2]PUR-HSN MASTER'!$A$4:$E$5052,5,FALSE)</f>
        <v>28</v>
      </c>
      <c r="J1751" s="34">
        <v>3050</v>
      </c>
      <c r="K1751" s="126">
        <v>7350.5</v>
      </c>
      <c r="L1751" s="118">
        <f t="shared" si="87"/>
        <v>0</v>
      </c>
      <c r="M1751" s="118">
        <f>+IF(R1751="local",K1751/100*I1751/2,0)</f>
        <v>1029.07</v>
      </c>
      <c r="N1751" s="118">
        <f>+IF(R1751="local",K1751/100*I1751/2,0)</f>
        <v>1029.07</v>
      </c>
      <c r="O1751" s="118">
        <v>0</v>
      </c>
      <c r="P1751" s="127">
        <f>+O1751+N1751+M1751+L1751+K1751</f>
        <v>9408.64</v>
      </c>
      <c r="Q1751" s="34" t="s">
        <v>410</v>
      </c>
      <c r="R1751" s="34" t="str">
        <f>VLOOKUP(C1751,'PUR-PARTY MASTER'!$B$4:$E$2000,4,FALSE)</f>
        <v>Local</v>
      </c>
      <c r="S1751" s="11" t="s">
        <v>4120</v>
      </c>
    </row>
    <row r="1752" spans="1:19" x14ac:dyDescent="0.2">
      <c r="A1752" s="51">
        <v>43800</v>
      </c>
      <c r="B1752" s="11">
        <v>38</v>
      </c>
      <c r="C1752" s="35" t="s">
        <v>511</v>
      </c>
      <c r="F1752" s="136" t="s">
        <v>4504</v>
      </c>
      <c r="G1752" s="37">
        <v>43812</v>
      </c>
      <c r="H1752" s="34">
        <v>32082090</v>
      </c>
      <c r="I1752" s="39">
        <f>VLOOKUP(H1752,'[2]PUR-HSN MASTER'!$A$4:$E$5052,5,FALSE)</f>
        <v>18</v>
      </c>
      <c r="J1752" s="34">
        <v>50</v>
      </c>
      <c r="K1752" s="126">
        <v>8750</v>
      </c>
      <c r="L1752" s="39">
        <v>0</v>
      </c>
      <c r="M1752" s="118">
        <f t="shared" ref="M1752:M1753" si="92">+IF(R1752="local",K1752/100*I1752/2,0)</f>
        <v>787.5</v>
      </c>
      <c r="N1752" s="118">
        <f t="shared" ref="N1752:N1753" si="93">+IF(R1752="local",K1752/100*I1752/2,0)</f>
        <v>787.5</v>
      </c>
      <c r="O1752" s="118">
        <v>0</v>
      </c>
      <c r="P1752" s="127">
        <f t="shared" ref="P1752:P1753" si="94">+O1752+N1752+M1752+L1752+K1752</f>
        <v>10325</v>
      </c>
      <c r="Q1752" s="34" t="s">
        <v>410</v>
      </c>
      <c r="R1752" s="34" t="str">
        <f>VLOOKUP(C1752,'PUR-PARTY MASTER'!$B$4:$E$2000,4,FALSE)</f>
        <v>Local</v>
      </c>
      <c r="S1752" s="11" t="s">
        <v>4120</v>
      </c>
    </row>
    <row r="1753" spans="1:19" x14ac:dyDescent="0.2">
      <c r="A1753" s="51">
        <v>43800</v>
      </c>
      <c r="B1753" s="11">
        <v>39</v>
      </c>
      <c r="C1753" s="35" t="s">
        <v>518</v>
      </c>
      <c r="F1753" s="136" t="s">
        <v>4505</v>
      </c>
      <c r="G1753" s="37">
        <v>43811</v>
      </c>
      <c r="H1753" s="34">
        <v>9984</v>
      </c>
      <c r="I1753" s="39">
        <f>VLOOKUP(H1753,'[2]PUR-HSN MASTER'!$A$4:$E$5052,5,FALSE)</f>
        <v>18</v>
      </c>
      <c r="J1753" s="34">
        <v>1</v>
      </c>
      <c r="K1753" s="126">
        <v>4791</v>
      </c>
      <c r="L1753" s="39">
        <v>0</v>
      </c>
      <c r="M1753" s="118">
        <f t="shared" si="92"/>
        <v>431.18999999999994</v>
      </c>
      <c r="N1753" s="118">
        <f t="shared" si="93"/>
        <v>431.18999999999994</v>
      </c>
      <c r="O1753" s="118">
        <v>0</v>
      </c>
      <c r="P1753" s="127">
        <f t="shared" si="94"/>
        <v>5653.38</v>
      </c>
      <c r="Q1753" s="34" t="s">
        <v>411</v>
      </c>
      <c r="R1753" s="34" t="str">
        <f>VLOOKUP(C1753,'PUR-PARTY MASTER'!$B$4:$E$2000,4,FALSE)</f>
        <v>Local</v>
      </c>
      <c r="S1753" s="11" t="s">
        <v>4120</v>
      </c>
    </row>
    <row r="1754" spans="1:19" x14ac:dyDescent="0.2">
      <c r="A1754" s="51">
        <v>43800</v>
      </c>
      <c r="B1754" s="11">
        <v>40</v>
      </c>
      <c r="C1754" s="35" t="s">
        <v>554</v>
      </c>
      <c r="F1754" s="134">
        <v>15158</v>
      </c>
      <c r="G1754" s="37">
        <v>43812</v>
      </c>
      <c r="H1754" s="34">
        <v>87141900</v>
      </c>
      <c r="I1754" s="39">
        <f>VLOOKUP(H1754,'[2]PUR-HSN MASTER'!$A$4:$E$5052,5,FALSE)</f>
        <v>28</v>
      </c>
      <c r="J1754" s="34">
        <v>1189</v>
      </c>
      <c r="K1754" s="126">
        <v>3294.69</v>
      </c>
      <c r="L1754" s="118">
        <f t="shared" ref="L1754" si="95">+IF(R1754="Oms",K1754/100*I1754,0)</f>
        <v>0</v>
      </c>
      <c r="M1754" s="118">
        <f>+IF(R1754="local",K1754/100*I1754/2,0)</f>
        <v>461.25659999999999</v>
      </c>
      <c r="N1754" s="118">
        <f>+IF(R1754="local",K1754/100*I1754/2,0)</f>
        <v>461.25659999999999</v>
      </c>
      <c r="O1754" s="118">
        <v>0</v>
      </c>
      <c r="P1754" s="127">
        <f>+O1754+N1754+M1754+L1754+K1754+0.01</f>
        <v>4217.2132000000001</v>
      </c>
      <c r="Q1754" s="34" t="s">
        <v>410</v>
      </c>
      <c r="R1754" s="34" t="str">
        <f>VLOOKUP(C1754,'PUR-PARTY MASTER'!$B$4:$E$2000,4,FALSE)</f>
        <v>Local</v>
      </c>
      <c r="S1754" s="11" t="s">
        <v>4120</v>
      </c>
    </row>
    <row r="1755" spans="1:19" x14ac:dyDescent="0.2">
      <c r="A1755" s="51">
        <v>43800</v>
      </c>
      <c r="B1755" s="11">
        <v>41</v>
      </c>
      <c r="C1755" s="35" t="s">
        <v>570</v>
      </c>
      <c r="F1755" s="136" t="s">
        <v>4506</v>
      </c>
      <c r="G1755" s="37">
        <v>43812</v>
      </c>
      <c r="H1755" s="34">
        <v>73089090</v>
      </c>
      <c r="I1755" s="39">
        <f>VLOOKUP(H1755,'[2]PUR-HSN MASTER'!$A$4:$E$5052,5,FALSE)</f>
        <v>18</v>
      </c>
      <c r="J1755" s="38">
        <v>250</v>
      </c>
      <c r="K1755" s="40">
        <v>31600</v>
      </c>
      <c r="L1755" s="41">
        <v>0</v>
      </c>
      <c r="M1755" s="118">
        <f t="shared" ref="M1755:M1760" si="96">+IF(R1755="local",K1755/100*I1755/2,0)</f>
        <v>2844</v>
      </c>
      <c r="N1755" s="118">
        <f t="shared" ref="N1755:N1760" si="97">+IF(R1755="local",K1755/100*I1755/2,0)</f>
        <v>2844</v>
      </c>
      <c r="O1755" s="118">
        <v>0</v>
      </c>
      <c r="P1755" s="127">
        <f>+O1755+N1755+M1755+L1755+K1755</f>
        <v>37288</v>
      </c>
      <c r="Q1755" s="34" t="s">
        <v>410</v>
      </c>
      <c r="R1755" s="34" t="str">
        <f>VLOOKUP(C1755,'PUR-PARTY MASTER'!$B$4:$E$2000,4,FALSE)</f>
        <v>Local</v>
      </c>
      <c r="S1755" s="11" t="s">
        <v>4120</v>
      </c>
    </row>
    <row r="1756" spans="1:19" x14ac:dyDescent="0.2">
      <c r="A1756" s="51">
        <v>43800</v>
      </c>
      <c r="C1756" s="35" t="s">
        <v>570</v>
      </c>
      <c r="F1756" s="136" t="s">
        <v>4506</v>
      </c>
      <c r="G1756" s="37">
        <v>43812</v>
      </c>
      <c r="H1756" s="34">
        <v>39172310</v>
      </c>
      <c r="I1756" s="39">
        <f>VLOOKUP(H1756,'[2]PUR-HSN MASTER'!$A$4:$E$5052,5,FALSE)</f>
        <v>18</v>
      </c>
      <c r="J1756" s="38">
        <v>225</v>
      </c>
      <c r="K1756" s="40">
        <v>4479.75</v>
      </c>
      <c r="L1756" s="41">
        <v>0</v>
      </c>
      <c r="M1756" s="118">
        <f t="shared" si="96"/>
        <v>403.17750000000001</v>
      </c>
      <c r="N1756" s="118">
        <f t="shared" si="97"/>
        <v>403.17750000000001</v>
      </c>
      <c r="O1756" s="118">
        <v>0</v>
      </c>
      <c r="P1756" s="127">
        <f>+O1756+N1756+M1756+L1756+K1756-0.11</f>
        <v>5285.9949999999999</v>
      </c>
      <c r="Q1756" s="34" t="s">
        <v>410</v>
      </c>
      <c r="R1756" s="34" t="str">
        <f>VLOOKUP(C1756,'PUR-PARTY MASTER'!$B$4:$E$2000,4,FALSE)</f>
        <v>Local</v>
      </c>
      <c r="S1756" s="11" t="s">
        <v>4120</v>
      </c>
    </row>
    <row r="1757" spans="1:19" x14ac:dyDescent="0.2">
      <c r="A1757" s="51">
        <v>43800</v>
      </c>
      <c r="C1757" s="35" t="s">
        <v>570</v>
      </c>
      <c r="F1757" s="136" t="s">
        <v>4506</v>
      </c>
      <c r="G1757" s="37">
        <v>43812</v>
      </c>
      <c r="H1757" s="34">
        <v>39174000</v>
      </c>
      <c r="I1757" s="39">
        <f>VLOOKUP(H1757,'[2]PUR-HSN MASTER'!$A$4:$E$5052,5,FALSE)</f>
        <v>18</v>
      </c>
      <c r="J1757" s="38">
        <v>40</v>
      </c>
      <c r="K1757" s="40">
        <v>907.2</v>
      </c>
      <c r="L1757" s="41">
        <v>0</v>
      </c>
      <c r="M1757" s="118">
        <f t="shared" si="96"/>
        <v>81.64800000000001</v>
      </c>
      <c r="N1757" s="118">
        <f t="shared" si="97"/>
        <v>81.64800000000001</v>
      </c>
      <c r="O1757" s="118">
        <v>0</v>
      </c>
      <c r="P1757" s="127">
        <f t="shared" ref="P1757:P1760" si="98">+O1757+N1757+M1757+L1757+K1757</f>
        <v>1070.4960000000001</v>
      </c>
      <c r="Q1757" s="34" t="s">
        <v>410</v>
      </c>
      <c r="R1757" s="34" t="str">
        <f>VLOOKUP(C1757,'PUR-PARTY MASTER'!$B$4:$E$2000,4,FALSE)</f>
        <v>Local</v>
      </c>
      <c r="S1757" s="11" t="s">
        <v>4120</v>
      </c>
    </row>
    <row r="1758" spans="1:19" x14ac:dyDescent="0.2">
      <c r="A1758" s="51">
        <v>43800</v>
      </c>
      <c r="C1758" s="35" t="s">
        <v>570</v>
      </c>
      <c r="F1758" s="136" t="s">
        <v>4506</v>
      </c>
      <c r="G1758" s="37">
        <v>43812</v>
      </c>
      <c r="H1758" s="34">
        <v>3923</v>
      </c>
      <c r="I1758" s="39">
        <f>VLOOKUP(H1758,'[2]PUR-HSN MASTER'!$A$4:$E$5052,5,FALSE)</f>
        <v>18</v>
      </c>
      <c r="J1758" s="38">
        <v>2</v>
      </c>
      <c r="K1758" s="40">
        <v>228</v>
      </c>
      <c r="L1758" s="41">
        <v>0</v>
      </c>
      <c r="M1758" s="118">
        <f t="shared" si="96"/>
        <v>20.52</v>
      </c>
      <c r="N1758" s="118">
        <f t="shared" si="97"/>
        <v>20.52</v>
      </c>
      <c r="O1758" s="118">
        <v>0</v>
      </c>
      <c r="P1758" s="127">
        <f>+O1758+N1758+M1758+L1758+K1758-0.04</f>
        <v>269</v>
      </c>
      <c r="Q1758" s="34" t="s">
        <v>410</v>
      </c>
      <c r="R1758" s="34" t="str">
        <f>VLOOKUP(C1758,'PUR-PARTY MASTER'!$B$4:$E$2000,4,FALSE)</f>
        <v>Local</v>
      </c>
      <c r="S1758" s="11" t="s">
        <v>4120</v>
      </c>
    </row>
    <row r="1759" spans="1:19" x14ac:dyDescent="0.2">
      <c r="A1759" s="51">
        <v>43800</v>
      </c>
      <c r="C1759" s="35" t="s">
        <v>570</v>
      </c>
      <c r="F1759" s="136" t="s">
        <v>4506</v>
      </c>
      <c r="G1759" s="37">
        <v>43812</v>
      </c>
      <c r="H1759" s="34">
        <v>85446090</v>
      </c>
      <c r="I1759" s="39">
        <f>VLOOKUP(H1759,'[2]PUR-HSN MASTER'!$A$4:$E$5052,5,FALSE)</f>
        <v>18</v>
      </c>
      <c r="J1759" s="38">
        <v>200</v>
      </c>
      <c r="K1759" s="40">
        <v>7320</v>
      </c>
      <c r="L1759" s="41">
        <v>0</v>
      </c>
      <c r="M1759" s="118">
        <f t="shared" si="96"/>
        <v>658.80000000000007</v>
      </c>
      <c r="N1759" s="118">
        <f t="shared" si="97"/>
        <v>658.80000000000007</v>
      </c>
      <c r="O1759" s="118">
        <v>0</v>
      </c>
      <c r="P1759" s="127">
        <f>+O1759+N1759+M1759+L1759+K1759-0.09</f>
        <v>8637.51</v>
      </c>
      <c r="Q1759" s="34" t="s">
        <v>410</v>
      </c>
      <c r="R1759" s="34" t="str">
        <f>VLOOKUP(C1759,'PUR-PARTY MASTER'!$B$4:$E$2000,4,FALSE)</f>
        <v>Local</v>
      </c>
      <c r="S1759" s="11" t="s">
        <v>4120</v>
      </c>
    </row>
    <row r="1760" spans="1:19" x14ac:dyDescent="0.2">
      <c r="A1760" s="51">
        <v>43800</v>
      </c>
      <c r="C1760" s="35" t="s">
        <v>570</v>
      </c>
      <c r="F1760" s="136" t="s">
        <v>4506</v>
      </c>
      <c r="G1760" s="37">
        <v>43812</v>
      </c>
      <c r="H1760" s="34" t="s">
        <v>4289</v>
      </c>
      <c r="I1760" s="39">
        <f>VLOOKUP(H1760,'[2]PUR-HSN MASTER'!$A$4:$E$5052,5,FALSE)</f>
        <v>18</v>
      </c>
      <c r="J1760" s="38">
        <v>0</v>
      </c>
      <c r="K1760" s="40">
        <v>400</v>
      </c>
      <c r="L1760" s="41">
        <v>0</v>
      </c>
      <c r="M1760" s="118">
        <f t="shared" si="96"/>
        <v>36</v>
      </c>
      <c r="N1760" s="118">
        <f t="shared" si="97"/>
        <v>36</v>
      </c>
      <c r="O1760" s="118">
        <v>0</v>
      </c>
      <c r="P1760" s="127">
        <f t="shared" si="98"/>
        <v>472</v>
      </c>
      <c r="Q1760" s="34" t="s">
        <v>411</v>
      </c>
      <c r="R1760" s="34" t="str">
        <f>VLOOKUP(C1760,'PUR-PARTY MASTER'!$B$4:$E$2000,4,FALSE)</f>
        <v>Local</v>
      </c>
      <c r="S1760" s="11" t="s">
        <v>4120</v>
      </c>
    </row>
    <row r="1761" spans="1:19" x14ac:dyDescent="0.2">
      <c r="A1761" s="51">
        <v>43800</v>
      </c>
      <c r="B1761" s="11">
        <v>42</v>
      </c>
      <c r="C1761" s="35" t="s">
        <v>554</v>
      </c>
      <c r="F1761" s="136">
        <v>15187</v>
      </c>
      <c r="G1761" s="37">
        <v>43813</v>
      </c>
      <c r="H1761" s="34">
        <v>87141900</v>
      </c>
      <c r="I1761" s="39">
        <f>VLOOKUP(H1761,'[2]PUR-HSN MASTER'!$A$4:$E$5052,5,FALSE)</f>
        <v>28</v>
      </c>
      <c r="J1761" s="34">
        <v>1785</v>
      </c>
      <c r="K1761" s="126">
        <v>5622.75</v>
      </c>
      <c r="L1761" s="118">
        <f t="shared" ref="L1761:L1765" si="99">+IF(R1761="Oms",K1761/100*I1761,0)</f>
        <v>0</v>
      </c>
      <c r="M1761" s="118">
        <f>+IF(R1761="local",K1761/100*I1761/2,0)</f>
        <v>787.18499999999995</v>
      </c>
      <c r="N1761" s="118">
        <f>+IF(R1761="local",K1761/100*I1761/2,0)</f>
        <v>787.18499999999995</v>
      </c>
      <c r="O1761" s="118">
        <v>0</v>
      </c>
      <c r="P1761" s="127">
        <f>+O1761+N1761+M1761+L1761+K1761+0.01</f>
        <v>7197.13</v>
      </c>
      <c r="Q1761" s="34" t="s">
        <v>410</v>
      </c>
      <c r="R1761" s="34" t="str">
        <f>VLOOKUP(C1761,'PUR-PARTY MASTER'!$B$4:$E$2000,4,FALSE)</f>
        <v>Local</v>
      </c>
      <c r="S1761" s="11" t="s">
        <v>4120</v>
      </c>
    </row>
    <row r="1762" spans="1:19" x14ac:dyDescent="0.2">
      <c r="A1762" s="51">
        <v>43800</v>
      </c>
      <c r="B1762" s="11">
        <v>43</v>
      </c>
      <c r="C1762" s="35" t="s">
        <v>473</v>
      </c>
      <c r="F1762" s="136" t="s">
        <v>4507</v>
      </c>
      <c r="G1762" s="37">
        <v>43813</v>
      </c>
      <c r="H1762" s="34">
        <v>87089900</v>
      </c>
      <c r="I1762" s="39">
        <f>VLOOKUP(H1762,'[2]PUR-HSN MASTER'!$A$4:$E$5052,5,FALSE)</f>
        <v>28</v>
      </c>
      <c r="J1762" s="34">
        <v>42</v>
      </c>
      <c r="K1762" s="126">
        <v>6732.6</v>
      </c>
      <c r="L1762" s="118">
        <f t="shared" si="99"/>
        <v>0</v>
      </c>
      <c r="M1762" s="118">
        <f>+IF(R1762="local",K1762/100*I1762/2,0)+0.44</f>
        <v>943.00400000000013</v>
      </c>
      <c r="N1762" s="118">
        <f>+IF(R1762="local",K1762/100*I1762/2,0)+0.44</f>
        <v>943.00400000000013</v>
      </c>
      <c r="O1762" s="118">
        <v>0</v>
      </c>
      <c r="P1762" s="127">
        <f t="shared" ref="P1762" si="100">+O1762+N1762+M1762+L1762+K1762-0.01</f>
        <v>8618.598</v>
      </c>
      <c r="Q1762" s="34" t="s">
        <v>410</v>
      </c>
      <c r="R1762" s="34" t="str">
        <f>VLOOKUP(C1762,'PUR-PARTY MASTER'!$B$4:$E$2000,4,FALSE)</f>
        <v>Local</v>
      </c>
      <c r="S1762" s="11" t="s">
        <v>4120</v>
      </c>
    </row>
    <row r="1763" spans="1:19" x14ac:dyDescent="0.2">
      <c r="A1763" s="51">
        <v>43800</v>
      </c>
      <c r="B1763" s="11">
        <v>44</v>
      </c>
      <c r="C1763" s="35" t="s">
        <v>473</v>
      </c>
      <c r="F1763" s="136" t="s">
        <v>4508</v>
      </c>
      <c r="G1763" s="37">
        <v>43813</v>
      </c>
      <c r="H1763" s="34">
        <v>87089900</v>
      </c>
      <c r="I1763" s="39">
        <f>VLOOKUP(H1763,'[2]PUR-HSN MASTER'!$A$4:$E$5052,5,FALSE)</f>
        <v>28</v>
      </c>
      <c r="J1763" s="34">
        <v>40</v>
      </c>
      <c r="K1763" s="126">
        <v>6012.8</v>
      </c>
      <c r="L1763" s="118">
        <f t="shared" si="99"/>
        <v>0</v>
      </c>
      <c r="M1763" s="118">
        <f>+IF(R1763="local",K1763/100*I1763/2,0)+0.21</f>
        <v>842.00200000000007</v>
      </c>
      <c r="N1763" s="118">
        <f>+IF(R1763="local",K1763/100*I1763/2,0)+0.21</f>
        <v>842.00200000000007</v>
      </c>
      <c r="O1763" s="118">
        <v>0</v>
      </c>
      <c r="P1763" s="127">
        <f>+O1763+N1763+M1763+L1763+K1763</f>
        <v>7696.8040000000001</v>
      </c>
      <c r="Q1763" s="34" t="s">
        <v>410</v>
      </c>
      <c r="R1763" s="34" t="str">
        <f>VLOOKUP(C1763,'PUR-PARTY MASTER'!$B$4:$E$2000,4,FALSE)</f>
        <v>Local</v>
      </c>
      <c r="S1763" s="11" t="s">
        <v>4120</v>
      </c>
    </row>
    <row r="1764" spans="1:19" x14ac:dyDescent="0.2">
      <c r="A1764" s="51">
        <v>43800</v>
      </c>
      <c r="B1764" s="11">
        <v>45</v>
      </c>
      <c r="C1764" s="35" t="s">
        <v>506</v>
      </c>
      <c r="F1764" s="136" t="s">
        <v>4509</v>
      </c>
      <c r="G1764" s="37">
        <v>43813</v>
      </c>
      <c r="H1764" s="34">
        <v>32082020</v>
      </c>
      <c r="I1764" s="39">
        <f>VLOOKUP(H1764,'[2]PUR-HSN MASTER'!$A$4:$E$5052,5,FALSE)</f>
        <v>18</v>
      </c>
      <c r="J1764" s="34">
        <v>100</v>
      </c>
      <c r="K1764" s="126">
        <v>35000</v>
      </c>
      <c r="L1764" s="118">
        <f t="shared" si="99"/>
        <v>0</v>
      </c>
      <c r="M1764" s="118">
        <f t="shared" ref="M1764:M1776" si="101">+IF(R1764="local",K1764/100*I1764/2,0)</f>
        <v>3150</v>
      </c>
      <c r="N1764" s="118">
        <f t="shared" ref="N1764:N1776" si="102">+IF(R1764="local",K1764/100*I1764/2,0)</f>
        <v>3150</v>
      </c>
      <c r="O1764" s="118">
        <v>0</v>
      </c>
      <c r="P1764" s="127">
        <f>+O1764+N1764+M1764+L1764+K1764</f>
        <v>41300</v>
      </c>
      <c r="Q1764" s="34" t="s">
        <v>410</v>
      </c>
      <c r="R1764" s="34" t="str">
        <f>VLOOKUP(C1764,'PUR-PARTY MASTER'!$B$4:$E$2000,4,FALSE)</f>
        <v>Local</v>
      </c>
      <c r="S1764" s="11" t="s">
        <v>4120</v>
      </c>
    </row>
    <row r="1765" spans="1:19" x14ac:dyDescent="0.2">
      <c r="A1765" s="51">
        <v>43800</v>
      </c>
      <c r="B1765" s="11">
        <v>46</v>
      </c>
      <c r="C1765" s="35" t="s">
        <v>506</v>
      </c>
      <c r="F1765" s="136" t="s">
        <v>4510</v>
      </c>
      <c r="G1765" s="37">
        <v>43813</v>
      </c>
      <c r="H1765" s="34">
        <v>38140010</v>
      </c>
      <c r="I1765" s="39">
        <f>VLOOKUP(H1765,'[2]PUR-HSN MASTER'!$A$4:$E$5052,5,FALSE)</f>
        <v>18</v>
      </c>
      <c r="J1765" s="34">
        <v>100</v>
      </c>
      <c r="K1765" s="126">
        <v>9240</v>
      </c>
      <c r="L1765" s="118">
        <f t="shared" si="99"/>
        <v>0</v>
      </c>
      <c r="M1765" s="118">
        <f t="shared" si="101"/>
        <v>831.6</v>
      </c>
      <c r="N1765" s="118">
        <f t="shared" si="102"/>
        <v>831.6</v>
      </c>
      <c r="O1765" s="118">
        <v>0</v>
      </c>
      <c r="P1765" s="127">
        <f>+O1765+N1765+M1765+L1765+K1765-0.2</f>
        <v>10903</v>
      </c>
      <c r="Q1765" s="34" t="s">
        <v>410</v>
      </c>
      <c r="R1765" s="34" t="str">
        <f>VLOOKUP(C1765,'PUR-PARTY MASTER'!$B$4:$E$2000,4,FALSE)</f>
        <v>Local</v>
      </c>
      <c r="S1765" s="11" t="s">
        <v>4120</v>
      </c>
    </row>
    <row r="1766" spans="1:19" x14ac:dyDescent="0.2">
      <c r="A1766" s="51">
        <v>43800</v>
      </c>
      <c r="B1766" s="11">
        <v>47</v>
      </c>
      <c r="C1766" s="35" t="s">
        <v>570</v>
      </c>
      <c r="F1766" s="136" t="s">
        <v>4511</v>
      </c>
      <c r="G1766" s="37">
        <v>43813</v>
      </c>
      <c r="H1766" s="34">
        <v>7318</v>
      </c>
      <c r="I1766" s="39">
        <f>VLOOKUP(H1766,'[2]PUR-HSN MASTER'!$A$4:$E$5052,5,FALSE)</f>
        <v>18</v>
      </c>
      <c r="J1766" s="38">
        <v>100</v>
      </c>
      <c r="K1766" s="40">
        <v>2900</v>
      </c>
      <c r="L1766" s="41">
        <v>0</v>
      </c>
      <c r="M1766" s="118">
        <f t="shared" si="101"/>
        <v>261</v>
      </c>
      <c r="N1766" s="118">
        <f t="shared" si="102"/>
        <v>261</v>
      </c>
      <c r="O1766" s="118">
        <v>0</v>
      </c>
      <c r="P1766" s="127">
        <f>+O1766+N1766+M1766+L1766+K1766</f>
        <v>3422</v>
      </c>
      <c r="Q1766" s="34" t="s">
        <v>410</v>
      </c>
      <c r="R1766" s="34" t="str">
        <f>VLOOKUP(C1766,'PUR-PARTY MASTER'!$B$4:$E$2000,4,FALSE)</f>
        <v>Local</v>
      </c>
      <c r="S1766" s="11" t="s">
        <v>4120</v>
      </c>
    </row>
    <row r="1767" spans="1:19" x14ac:dyDescent="0.2">
      <c r="A1767" s="51">
        <v>43800</v>
      </c>
      <c r="B1767" s="34">
        <v>48</v>
      </c>
      <c r="C1767" s="632" t="s">
        <v>4273</v>
      </c>
      <c r="F1767" s="136" t="s">
        <v>4512</v>
      </c>
      <c r="G1767" s="37">
        <v>43813</v>
      </c>
      <c r="H1767" s="34">
        <v>84224000</v>
      </c>
      <c r="I1767" s="39">
        <f>VLOOKUP(H1767,'[2]PUR-HSN MASTER'!$A$4:$E$5052,5,FALSE)</f>
        <v>18</v>
      </c>
      <c r="J1767" s="38">
        <v>1</v>
      </c>
      <c r="K1767" s="40">
        <v>190000</v>
      </c>
      <c r="L1767" s="41">
        <v>0</v>
      </c>
      <c r="M1767" s="118">
        <f t="shared" si="101"/>
        <v>17100</v>
      </c>
      <c r="N1767" s="118">
        <f t="shared" si="102"/>
        <v>17100</v>
      </c>
      <c r="O1767" s="118">
        <v>0</v>
      </c>
      <c r="P1767" s="127">
        <f>+O1767+N1767+M1767+L1767+K1767</f>
        <v>224200</v>
      </c>
      <c r="Q1767" s="34" t="s">
        <v>412</v>
      </c>
      <c r="R1767" s="34" t="str">
        <f>VLOOKUP(C1767,'PUR-PARTY MASTER'!$B$4:$E$2000,4,FALSE)</f>
        <v>Local</v>
      </c>
      <c r="S1767" s="11" t="s">
        <v>4120</v>
      </c>
    </row>
    <row r="1768" spans="1:19" x14ac:dyDescent="0.2">
      <c r="A1768" s="51">
        <v>43800</v>
      </c>
      <c r="B1768" s="11">
        <v>49</v>
      </c>
      <c r="C1768" s="35" t="s">
        <v>514</v>
      </c>
      <c r="F1768" s="136"/>
      <c r="G1768" s="37">
        <v>43813</v>
      </c>
      <c r="H1768" s="34">
        <v>9971</v>
      </c>
      <c r="I1768" s="39">
        <f>VLOOKUP(H1768,'[2]PUR-HSN MASTER'!$A$4:$E$5052,5,FALSE)</f>
        <v>18</v>
      </c>
      <c r="J1768" s="34">
        <v>0</v>
      </c>
      <c r="K1768" s="40">
        <v>50</v>
      </c>
      <c r="L1768" s="118">
        <f t="shared" ref="L1768:L1781" si="103">+IF(R1768="Oms",K1768/100*I1768,0)</f>
        <v>0</v>
      </c>
      <c r="M1768" s="118">
        <f t="shared" si="101"/>
        <v>4.5</v>
      </c>
      <c r="N1768" s="118">
        <f t="shared" si="102"/>
        <v>4.5</v>
      </c>
      <c r="O1768" s="118">
        <v>0</v>
      </c>
      <c r="P1768" s="127">
        <f>+O1768+N1768+M1768+L1768+K1768</f>
        <v>59</v>
      </c>
      <c r="Q1768" s="34" t="s">
        <v>411</v>
      </c>
      <c r="R1768" s="34" t="str">
        <f>VLOOKUP(C1768,'PUR-PARTY MASTER'!$B$4:$E$2000,4,FALSE)</f>
        <v>Local</v>
      </c>
      <c r="S1768" s="11" t="s">
        <v>4120</v>
      </c>
    </row>
    <row r="1769" spans="1:19" x14ac:dyDescent="0.2">
      <c r="A1769" s="51">
        <v>43800</v>
      </c>
      <c r="B1769" s="11">
        <v>50</v>
      </c>
      <c r="C1769" s="35" t="s">
        <v>476</v>
      </c>
      <c r="F1769" s="136" t="s">
        <v>4513</v>
      </c>
      <c r="G1769" s="37">
        <v>43814</v>
      </c>
      <c r="H1769" s="34" t="s">
        <v>732</v>
      </c>
      <c r="I1769" s="39">
        <f>VLOOKUP(H1769,'[2]PUR-HSN MASTER'!$A$4:$E$5052,5,FALSE)</f>
        <v>18</v>
      </c>
      <c r="J1769" s="38">
        <v>0</v>
      </c>
      <c r="K1769" s="40">
        <v>40650</v>
      </c>
      <c r="L1769" s="118">
        <f t="shared" si="103"/>
        <v>0</v>
      </c>
      <c r="M1769" s="118">
        <f t="shared" si="101"/>
        <v>3658.5</v>
      </c>
      <c r="N1769" s="118">
        <f t="shared" si="102"/>
        <v>3658.5</v>
      </c>
      <c r="O1769" s="118">
        <v>0</v>
      </c>
      <c r="P1769" s="127">
        <f>+O1769+N1769+M1769+L1769+K1769</f>
        <v>47967</v>
      </c>
      <c r="Q1769" s="34" t="s">
        <v>410</v>
      </c>
      <c r="R1769" s="34" t="str">
        <f>VLOOKUP(C1769,'PUR-PARTY MASTER'!$B$4:$E$2000,4,FALSE)</f>
        <v>Local</v>
      </c>
      <c r="S1769" s="11" t="s">
        <v>4120</v>
      </c>
    </row>
    <row r="1770" spans="1:19" x14ac:dyDescent="0.2">
      <c r="A1770" s="51">
        <v>43800</v>
      </c>
      <c r="B1770" s="11">
        <v>51</v>
      </c>
      <c r="C1770" s="34" t="s">
        <v>829</v>
      </c>
      <c r="F1770" s="134">
        <v>2006</v>
      </c>
      <c r="G1770" s="37">
        <v>43815</v>
      </c>
      <c r="H1770" s="34">
        <v>3923</v>
      </c>
      <c r="I1770" s="39">
        <f>VLOOKUP(H1770,'[2]PUR-HSN MASTER'!$A$4:$E$5052,5,FALSE)</f>
        <v>18</v>
      </c>
      <c r="J1770" s="34">
        <v>2</v>
      </c>
      <c r="K1770" s="40">
        <v>260</v>
      </c>
      <c r="L1770" s="118">
        <f t="shared" si="103"/>
        <v>0</v>
      </c>
      <c r="M1770" s="118">
        <f t="shared" si="101"/>
        <v>23.400000000000002</v>
      </c>
      <c r="N1770" s="118">
        <f t="shared" si="102"/>
        <v>23.400000000000002</v>
      </c>
      <c r="O1770" s="118">
        <v>0</v>
      </c>
      <c r="P1770" s="127">
        <f>+O1770+N1770+M1770+L1770+K1770</f>
        <v>306.8</v>
      </c>
      <c r="Q1770" s="34" t="s">
        <v>410</v>
      </c>
      <c r="R1770" s="34" t="str">
        <f>VLOOKUP(C1770,'PUR-PARTY MASTER'!$B$4:$E$2000,4,FALSE)</f>
        <v>Local</v>
      </c>
      <c r="S1770" s="11" t="s">
        <v>4120</v>
      </c>
    </row>
    <row r="1771" spans="1:19" x14ac:dyDescent="0.2">
      <c r="A1771" s="51">
        <v>43800</v>
      </c>
      <c r="C1771" s="34" t="s">
        <v>829</v>
      </c>
      <c r="F1771" s="134">
        <v>2006</v>
      </c>
      <c r="G1771" s="37">
        <v>43815</v>
      </c>
      <c r="H1771" s="34">
        <v>7216</v>
      </c>
      <c r="I1771" s="39">
        <f>VLOOKUP(H1771,'[2]PUR-HSN MASTER'!$A$4:$E$5052,5,FALSE)</f>
        <v>18</v>
      </c>
      <c r="J1771" s="34">
        <v>6</v>
      </c>
      <c r="K1771" s="40">
        <v>150</v>
      </c>
      <c r="L1771" s="118">
        <f t="shared" si="103"/>
        <v>0</v>
      </c>
      <c r="M1771" s="118">
        <f t="shared" si="101"/>
        <v>13.5</v>
      </c>
      <c r="N1771" s="118">
        <f t="shared" si="102"/>
        <v>13.5</v>
      </c>
      <c r="O1771" s="118">
        <v>0</v>
      </c>
      <c r="P1771" s="127">
        <f t="shared" ref="P1771:P1773" si="104">+O1771+N1771+M1771+L1771+K1771</f>
        <v>177</v>
      </c>
      <c r="Q1771" s="34" t="s">
        <v>410</v>
      </c>
      <c r="R1771" s="34" t="str">
        <f>VLOOKUP(C1771,'PUR-PARTY MASTER'!$B$4:$E$2000,4,FALSE)</f>
        <v>Local</v>
      </c>
      <c r="S1771" s="11" t="s">
        <v>4120</v>
      </c>
    </row>
    <row r="1772" spans="1:19" x14ac:dyDescent="0.2">
      <c r="A1772" s="51">
        <v>43800</v>
      </c>
      <c r="C1772" s="34" t="s">
        <v>829</v>
      </c>
      <c r="F1772" s="134">
        <v>2006</v>
      </c>
      <c r="G1772" s="37">
        <v>43815</v>
      </c>
      <c r="H1772" s="34">
        <v>73181500</v>
      </c>
      <c r="I1772" s="39">
        <f>VLOOKUP(H1772,'[2]PUR-HSN MASTER'!$A$4:$E$5052,5,FALSE)</f>
        <v>18</v>
      </c>
      <c r="J1772" s="34">
        <v>12</v>
      </c>
      <c r="K1772" s="40">
        <f>288+249.99+28.05</f>
        <v>566.04</v>
      </c>
      <c r="L1772" s="118">
        <f t="shared" si="103"/>
        <v>0</v>
      </c>
      <c r="M1772" s="118">
        <f t="shared" si="101"/>
        <v>50.943599999999989</v>
      </c>
      <c r="N1772" s="118">
        <f t="shared" si="102"/>
        <v>50.943599999999989</v>
      </c>
      <c r="O1772" s="118">
        <v>0</v>
      </c>
      <c r="P1772" s="127">
        <f>+O1772+N1772+M1772+L1772+K1772+0.07</f>
        <v>667.99720000000002</v>
      </c>
      <c r="Q1772" s="34" t="s">
        <v>410</v>
      </c>
      <c r="R1772" s="34" t="str">
        <f>VLOOKUP(C1772,'PUR-PARTY MASTER'!$B$4:$E$2000,4,FALSE)</f>
        <v>Local</v>
      </c>
      <c r="S1772" s="11" t="s">
        <v>4120</v>
      </c>
    </row>
    <row r="1773" spans="1:19" x14ac:dyDescent="0.2">
      <c r="A1773" s="51">
        <v>43800</v>
      </c>
      <c r="C1773" s="34" t="s">
        <v>829</v>
      </c>
      <c r="F1773" s="134">
        <v>2006</v>
      </c>
      <c r="G1773" s="37">
        <v>43815</v>
      </c>
      <c r="H1773" s="34">
        <v>7318</v>
      </c>
      <c r="I1773" s="39">
        <f>VLOOKUP(H1773,'[2]PUR-HSN MASTER'!$A$4:$E$5052,5,FALSE)</f>
        <v>18</v>
      </c>
      <c r="J1773" s="34">
        <v>56</v>
      </c>
      <c r="K1773" s="40">
        <v>920</v>
      </c>
      <c r="L1773" s="118">
        <f t="shared" si="103"/>
        <v>0</v>
      </c>
      <c r="M1773" s="118">
        <f t="shared" si="101"/>
        <v>82.8</v>
      </c>
      <c r="N1773" s="118">
        <f t="shared" si="102"/>
        <v>82.8</v>
      </c>
      <c r="O1773" s="118">
        <v>0</v>
      </c>
      <c r="P1773" s="127">
        <f t="shared" si="104"/>
        <v>1085.5999999999999</v>
      </c>
      <c r="Q1773" s="34" t="s">
        <v>410</v>
      </c>
      <c r="R1773" s="34" t="str">
        <f>VLOOKUP(C1773,'PUR-PARTY MASTER'!$B$4:$E$2000,4,FALSE)</f>
        <v>Local</v>
      </c>
      <c r="S1773" s="11" t="s">
        <v>4120</v>
      </c>
    </row>
    <row r="1774" spans="1:19" x14ac:dyDescent="0.2">
      <c r="A1774" s="51">
        <v>43800</v>
      </c>
      <c r="C1774" s="34" t="s">
        <v>829</v>
      </c>
      <c r="F1774" s="134">
        <v>2006</v>
      </c>
      <c r="G1774" s="37">
        <v>43815</v>
      </c>
      <c r="H1774" s="34">
        <v>3917</v>
      </c>
      <c r="I1774" s="39">
        <f>VLOOKUP(H1774,'[2]PUR-HSN MASTER'!$A$4:$E$5052,5,FALSE)</f>
        <v>18</v>
      </c>
      <c r="J1774" s="34">
        <v>15</v>
      </c>
      <c r="K1774" s="40">
        <v>175</v>
      </c>
      <c r="L1774" s="118">
        <f t="shared" si="103"/>
        <v>0</v>
      </c>
      <c r="M1774" s="118">
        <f t="shared" si="101"/>
        <v>15.75</v>
      </c>
      <c r="N1774" s="118">
        <f t="shared" si="102"/>
        <v>15.75</v>
      </c>
      <c r="O1774" s="118">
        <v>0</v>
      </c>
      <c r="P1774" s="127">
        <f>+O1774+N1774+M1774+L1774+K1774</f>
        <v>206.5</v>
      </c>
      <c r="Q1774" s="34" t="s">
        <v>410</v>
      </c>
      <c r="R1774" s="34" t="str">
        <f>VLOOKUP(C1774,'PUR-PARTY MASTER'!$B$4:$E$2000,4,FALSE)</f>
        <v>Local</v>
      </c>
      <c r="S1774" s="11" t="s">
        <v>4120</v>
      </c>
    </row>
    <row r="1775" spans="1:19" x14ac:dyDescent="0.2">
      <c r="A1775" s="51">
        <v>43800</v>
      </c>
      <c r="B1775" s="11">
        <v>50</v>
      </c>
      <c r="C1775" s="34" t="s">
        <v>102</v>
      </c>
      <c r="F1775" s="634" t="s">
        <v>4491</v>
      </c>
      <c r="G1775" s="37">
        <v>43784</v>
      </c>
      <c r="H1775" s="34">
        <v>87081090</v>
      </c>
      <c r="I1775" s="39">
        <f>VLOOKUP(H1775,'[2]PUR-HSN MASTER'!$A$4:$E$5052,5,FALSE)</f>
        <v>28</v>
      </c>
      <c r="J1775" s="34">
        <v>21</v>
      </c>
      <c r="K1775" s="39">
        <v>19715.22</v>
      </c>
      <c r="L1775" s="118">
        <f t="shared" si="103"/>
        <v>5520.2616000000007</v>
      </c>
      <c r="M1775" s="118">
        <f t="shared" si="101"/>
        <v>0</v>
      </c>
      <c r="N1775" s="118">
        <f t="shared" si="102"/>
        <v>0</v>
      </c>
      <c r="O1775" s="118">
        <v>0</v>
      </c>
      <c r="P1775" s="127">
        <f t="shared" ref="P1775:P1779" si="105">+O1775+N1775+M1775+L1775+K1775</f>
        <v>25235.481600000003</v>
      </c>
      <c r="Q1775" s="34" t="s">
        <v>410</v>
      </c>
      <c r="R1775" s="34" t="str">
        <f>VLOOKUP(C1775,'PUR-PARTY MASTER'!$B$4:$E$2000,4,FALSE)</f>
        <v>Oms</v>
      </c>
      <c r="S1775" s="11" t="s">
        <v>4120</v>
      </c>
    </row>
    <row r="1776" spans="1:19" x14ac:dyDescent="0.2">
      <c r="A1776" s="51">
        <v>43800</v>
      </c>
      <c r="B1776" s="11">
        <v>53</v>
      </c>
      <c r="C1776" s="34" t="s">
        <v>102</v>
      </c>
      <c r="F1776" s="634" t="s">
        <v>4492</v>
      </c>
      <c r="G1776" s="37">
        <v>43784</v>
      </c>
      <c r="H1776" s="34">
        <v>87081090</v>
      </c>
      <c r="I1776" s="39">
        <f>VLOOKUP(H1776,'[2]PUR-HSN MASTER'!$A$4:$E$5052,5,FALSE)</f>
        <v>28</v>
      </c>
      <c r="J1776" s="34">
        <v>1</v>
      </c>
      <c r="K1776" s="39">
        <v>938.82</v>
      </c>
      <c r="L1776" s="118">
        <f t="shared" si="103"/>
        <v>262.86960000000005</v>
      </c>
      <c r="M1776" s="118">
        <f t="shared" si="101"/>
        <v>0</v>
      </c>
      <c r="N1776" s="118">
        <f t="shared" si="102"/>
        <v>0</v>
      </c>
      <c r="O1776" s="118">
        <v>0</v>
      </c>
      <c r="P1776" s="127">
        <f t="shared" si="105"/>
        <v>1201.6896000000002</v>
      </c>
      <c r="Q1776" s="34" t="s">
        <v>410</v>
      </c>
      <c r="R1776" s="34" t="str">
        <f>VLOOKUP(C1776,'PUR-PARTY MASTER'!$B$4:$E$2000,4,FALSE)</f>
        <v>Oms</v>
      </c>
      <c r="S1776" s="11" t="s">
        <v>4120</v>
      </c>
    </row>
    <row r="1777" spans="1:19" x14ac:dyDescent="0.2">
      <c r="A1777" s="51">
        <v>43800</v>
      </c>
      <c r="B1777" s="11">
        <v>54</v>
      </c>
      <c r="C1777" s="35" t="s">
        <v>554</v>
      </c>
      <c r="F1777" s="136">
        <v>15212</v>
      </c>
      <c r="G1777" s="37">
        <v>43815</v>
      </c>
      <c r="H1777" s="34">
        <v>87141900</v>
      </c>
      <c r="I1777" s="39">
        <f>VLOOKUP(H1777,'[2]PUR-HSN MASTER'!$A$4:$E$5052,5,FALSE)</f>
        <v>28</v>
      </c>
      <c r="J1777" s="34">
        <v>2370</v>
      </c>
      <c r="K1777" s="126">
        <v>7465.5</v>
      </c>
      <c r="L1777" s="118">
        <f t="shared" si="103"/>
        <v>0</v>
      </c>
      <c r="M1777" s="118">
        <f>+IF(R1777="local",K1777/100*I1777/2,0)</f>
        <v>1045.17</v>
      </c>
      <c r="N1777" s="118">
        <f>+IF(R1777="local",K1777/100*I1777/2,0)</f>
        <v>1045.17</v>
      </c>
      <c r="O1777" s="118">
        <v>0</v>
      </c>
      <c r="P1777" s="127">
        <f t="shared" si="105"/>
        <v>9555.84</v>
      </c>
      <c r="Q1777" s="34" t="s">
        <v>410</v>
      </c>
      <c r="R1777" s="34" t="str">
        <f>VLOOKUP(C1777,'PUR-PARTY MASTER'!$B$4:$E$2000,4,FALSE)</f>
        <v>Local</v>
      </c>
      <c r="S1777" s="11" t="s">
        <v>4120</v>
      </c>
    </row>
    <row r="1778" spans="1:19" x14ac:dyDescent="0.2">
      <c r="A1778" s="51">
        <v>43800</v>
      </c>
      <c r="B1778" s="34">
        <v>55</v>
      </c>
      <c r="C1778" s="632" t="s">
        <v>4271</v>
      </c>
      <c r="F1778" s="136" t="s">
        <v>4514</v>
      </c>
      <c r="G1778" s="37">
        <v>43815</v>
      </c>
      <c r="H1778" s="34">
        <v>8424</v>
      </c>
      <c r="I1778" s="39">
        <f>VLOOKUP(H1778,'[2]PUR-HSN MASTER'!$A$4:$E$5052,5,FALSE)</f>
        <v>18</v>
      </c>
      <c r="J1778" s="34">
        <v>1</v>
      </c>
      <c r="K1778" s="126">
        <v>600000</v>
      </c>
      <c r="L1778" s="118">
        <f t="shared" si="103"/>
        <v>0</v>
      </c>
      <c r="M1778" s="118">
        <f>+IF(R1778="local",K1778/100*I1778/2,0)</f>
        <v>54000</v>
      </c>
      <c r="N1778" s="118">
        <f>+IF(R1778="local",K1778/100*I1778/2,0)</f>
        <v>54000</v>
      </c>
      <c r="O1778" s="118">
        <v>0</v>
      </c>
      <c r="P1778" s="127">
        <f t="shared" si="105"/>
        <v>708000</v>
      </c>
      <c r="Q1778" s="34" t="s">
        <v>412</v>
      </c>
      <c r="R1778" s="34" t="str">
        <f>VLOOKUP(C1778,'PUR-PARTY MASTER'!$B$4:$E$2000,4,FALSE)</f>
        <v>Local</v>
      </c>
      <c r="S1778" s="11" t="s">
        <v>4120</v>
      </c>
    </row>
    <row r="1779" spans="1:19" x14ac:dyDescent="0.2">
      <c r="A1779" s="51">
        <v>43800</v>
      </c>
      <c r="C1779" s="632" t="s">
        <v>4271</v>
      </c>
      <c r="F1779" s="136" t="s">
        <v>4514</v>
      </c>
      <c r="G1779" s="37">
        <v>43815</v>
      </c>
      <c r="H1779" s="34">
        <v>9987</v>
      </c>
      <c r="I1779" s="39">
        <f>VLOOKUP(H1779,'[2]PUR-HSN MASTER'!$A$4:$E$5052,5,FALSE)</f>
        <v>18</v>
      </c>
      <c r="J1779" s="34">
        <v>0</v>
      </c>
      <c r="K1779" s="126">
        <v>3500</v>
      </c>
      <c r="L1779" s="118">
        <f t="shared" si="103"/>
        <v>0</v>
      </c>
      <c r="M1779" s="118">
        <f>+IF(R1779="local",K1779/100*I1779/2,0)</f>
        <v>315</v>
      </c>
      <c r="N1779" s="118">
        <f>+IF(R1779="local",K1779/100*I1779/2,0)</f>
        <v>315</v>
      </c>
      <c r="O1779" s="118">
        <v>0</v>
      </c>
      <c r="P1779" s="127">
        <f t="shared" si="105"/>
        <v>4130</v>
      </c>
      <c r="Q1779" s="34" t="s">
        <v>411</v>
      </c>
      <c r="R1779" s="34" t="str">
        <f>VLOOKUP(C1779,'PUR-PARTY MASTER'!$B$4:$E$2000,4,FALSE)</f>
        <v>Local</v>
      </c>
      <c r="S1779" s="11" t="s">
        <v>4120</v>
      </c>
    </row>
    <row r="1780" spans="1:19" x14ac:dyDescent="0.2">
      <c r="A1780" s="51">
        <v>43800</v>
      </c>
      <c r="B1780" s="34">
        <v>56</v>
      </c>
      <c r="C1780" s="34" t="s">
        <v>4265</v>
      </c>
      <c r="F1780" s="136" t="s">
        <v>4515</v>
      </c>
      <c r="G1780" s="37">
        <v>43815</v>
      </c>
      <c r="H1780" s="34">
        <v>38240000</v>
      </c>
      <c r="I1780" s="39">
        <f>VLOOKUP(H1780,'[2]PUR-HSN MASTER'!$A$4:$E$5052,5,FALSE)</f>
        <v>18</v>
      </c>
      <c r="J1780" s="34">
        <v>0</v>
      </c>
      <c r="K1780" s="126">
        <v>312000</v>
      </c>
      <c r="L1780" s="118">
        <f t="shared" si="103"/>
        <v>0</v>
      </c>
      <c r="M1780" s="118">
        <f>+IF(R1780="local",K1780/100*I1780/2,0)</f>
        <v>28080</v>
      </c>
      <c r="N1780" s="118">
        <f>+IF(R1780="local",K1780/100*I1780/2,0)</f>
        <v>28080</v>
      </c>
      <c r="O1780" s="118">
        <v>0</v>
      </c>
      <c r="P1780" s="127">
        <f>+O1780+N1780+M1780+L1780+K1780+0.5</f>
        <v>368160.5</v>
      </c>
      <c r="Q1780" s="34" t="s">
        <v>412</v>
      </c>
      <c r="R1780" s="34" t="str">
        <f>VLOOKUP(C1780,'PUR-PARTY MASTER'!$B$4:$E$2000,4,FALSE)</f>
        <v>Local</v>
      </c>
      <c r="S1780" s="11" t="s">
        <v>4120</v>
      </c>
    </row>
    <row r="1781" spans="1:19" x14ac:dyDescent="0.2">
      <c r="A1781" s="51">
        <v>43800</v>
      </c>
      <c r="B1781" s="34"/>
      <c r="C1781" s="34" t="s">
        <v>4265</v>
      </c>
      <c r="F1781" s="136" t="s">
        <v>4515</v>
      </c>
      <c r="G1781" s="37">
        <v>43815</v>
      </c>
      <c r="H1781" s="34">
        <v>32041700</v>
      </c>
      <c r="I1781" s="39">
        <f>VLOOKUP(H1781,'[2]PUR-HSN MASTER'!$A$4:$E$5052,5,FALSE)</f>
        <v>18</v>
      </c>
      <c r="J1781" s="34">
        <v>0</v>
      </c>
      <c r="K1781" s="126">
        <f>9625+9800</f>
        <v>19425</v>
      </c>
      <c r="L1781" s="118">
        <f t="shared" si="103"/>
        <v>0</v>
      </c>
      <c r="M1781" s="118">
        <f>+IF(R1781="local",K1781/100*I1781/2,0)</f>
        <v>1748.25</v>
      </c>
      <c r="N1781" s="118">
        <f>+IF(R1781="local",K1781/100*I1781/2,0)</f>
        <v>1748.25</v>
      </c>
      <c r="O1781" s="118">
        <v>0</v>
      </c>
      <c r="P1781" s="127">
        <f t="shared" ref="P1781" si="106">+O1781+N1781+M1781+L1781+K1781</f>
        <v>22921.5</v>
      </c>
      <c r="Q1781" s="34" t="s">
        <v>412</v>
      </c>
      <c r="R1781" s="34" t="str">
        <f>VLOOKUP(C1781,'PUR-PARTY MASTER'!$B$4:$E$2000,4,FALSE)</f>
        <v>Local</v>
      </c>
      <c r="S1781" s="11" t="s">
        <v>4120</v>
      </c>
    </row>
    <row r="1782" spans="1:19" x14ac:dyDescent="0.2">
      <c r="A1782" s="51">
        <v>43800</v>
      </c>
      <c r="B1782" s="11">
        <v>57</v>
      </c>
      <c r="C1782" s="35" t="s">
        <v>570</v>
      </c>
      <c r="F1782" s="136" t="s">
        <v>4516</v>
      </c>
      <c r="G1782" s="37">
        <v>43815</v>
      </c>
      <c r="H1782" s="34">
        <v>8546</v>
      </c>
      <c r="I1782" s="39">
        <f>VLOOKUP(H1782,'[2]PUR-HSN MASTER'!$A$4:$E$5052,5,FALSE)</f>
        <v>18</v>
      </c>
      <c r="J1782" s="38">
        <v>4</v>
      </c>
      <c r="K1782" s="40">
        <v>48</v>
      </c>
      <c r="L1782" s="41">
        <v>0</v>
      </c>
      <c r="M1782" s="118">
        <f t="shared" ref="M1782:M1794" si="107">+IF(R1782="local",K1782/100*I1782/2,0)</f>
        <v>4.32</v>
      </c>
      <c r="N1782" s="118">
        <f t="shared" ref="N1782:N1794" si="108">+IF(R1782="local",K1782/100*I1782/2,0)</f>
        <v>4.32</v>
      </c>
      <c r="O1782" s="118">
        <v>0</v>
      </c>
      <c r="P1782" s="127">
        <f>+O1782+N1782+M1782+L1782+K1782-0.23</f>
        <v>56.410000000000004</v>
      </c>
      <c r="Q1782" s="34" t="s">
        <v>410</v>
      </c>
      <c r="R1782" s="34" t="str">
        <f>VLOOKUP(C1782,'PUR-PARTY MASTER'!$B$4:$E$2000,4,FALSE)</f>
        <v>Local</v>
      </c>
      <c r="S1782" s="11" t="s">
        <v>4120</v>
      </c>
    </row>
    <row r="1783" spans="1:19" x14ac:dyDescent="0.2">
      <c r="A1783" s="51">
        <v>43800</v>
      </c>
      <c r="C1783" s="35" t="s">
        <v>570</v>
      </c>
      <c r="F1783" s="136" t="s">
        <v>4516</v>
      </c>
      <c r="G1783" s="37">
        <v>43815</v>
      </c>
      <c r="H1783" s="34">
        <v>85446090</v>
      </c>
      <c r="I1783" s="39">
        <f>VLOOKUP(H1783,'[2]PUR-HSN MASTER'!$A$4:$E$5052,5,FALSE)</f>
        <v>18</v>
      </c>
      <c r="J1783" s="38">
        <v>363</v>
      </c>
      <c r="K1783" s="40">
        <v>39571.199999999997</v>
      </c>
      <c r="L1783" s="41">
        <v>0</v>
      </c>
      <c r="M1783" s="118">
        <f t="shared" si="107"/>
        <v>3561.4079999999999</v>
      </c>
      <c r="N1783" s="118">
        <f t="shared" si="108"/>
        <v>3561.4079999999999</v>
      </c>
      <c r="O1783" s="118">
        <v>0</v>
      </c>
      <c r="P1783" s="127">
        <f>+O1783+N1783+M1783+L1783+K1783-0.02</f>
        <v>46693.995999999999</v>
      </c>
      <c r="Q1783" s="34" t="s">
        <v>410</v>
      </c>
      <c r="R1783" s="34" t="str">
        <f>VLOOKUP(C1783,'PUR-PARTY MASTER'!$B$4:$E$2000,4,FALSE)</f>
        <v>Local</v>
      </c>
      <c r="S1783" s="11" t="s">
        <v>4120</v>
      </c>
    </row>
    <row r="1784" spans="1:19" x14ac:dyDescent="0.2">
      <c r="A1784" s="51">
        <v>43800</v>
      </c>
      <c r="C1784" s="35" t="s">
        <v>570</v>
      </c>
      <c r="F1784" s="136" t="s">
        <v>4516</v>
      </c>
      <c r="G1784" s="37">
        <v>43815</v>
      </c>
      <c r="H1784" s="34">
        <v>8536</v>
      </c>
      <c r="I1784" s="39">
        <f>VLOOKUP(H1784,'[2]PUR-HSN MASTER'!$A$4:$E$5052,5,FALSE)</f>
        <v>18</v>
      </c>
      <c r="J1784" s="38">
        <v>90</v>
      </c>
      <c r="K1784" s="40">
        <v>869.52</v>
      </c>
      <c r="L1784" s="41">
        <v>0</v>
      </c>
      <c r="M1784" s="118">
        <f t="shared" si="107"/>
        <v>78.256799999999998</v>
      </c>
      <c r="N1784" s="118">
        <f t="shared" si="108"/>
        <v>78.256799999999998</v>
      </c>
      <c r="O1784" s="118">
        <v>0</v>
      </c>
      <c r="P1784" s="127">
        <f>+O1784+N1784+M1784+L1784+K1784-0.03</f>
        <v>1026.0036</v>
      </c>
      <c r="Q1784" s="34" t="s">
        <v>410</v>
      </c>
      <c r="R1784" s="34" t="str">
        <f>VLOOKUP(C1784,'PUR-PARTY MASTER'!$B$4:$E$2000,4,FALSE)</f>
        <v>Local</v>
      </c>
      <c r="S1784" s="11" t="s">
        <v>4120</v>
      </c>
    </row>
    <row r="1785" spans="1:19" x14ac:dyDescent="0.2">
      <c r="A1785" s="51">
        <v>43800</v>
      </c>
      <c r="C1785" s="35" t="s">
        <v>570</v>
      </c>
      <c r="F1785" s="136" t="s">
        <v>4516</v>
      </c>
      <c r="G1785" s="37">
        <v>43815</v>
      </c>
      <c r="H1785" s="34">
        <v>7318</v>
      </c>
      <c r="I1785" s="39">
        <f>VLOOKUP(H1785,'[2]PUR-HSN MASTER'!$A$4:$E$5052,5,FALSE)</f>
        <v>18</v>
      </c>
      <c r="J1785" s="38">
        <v>49</v>
      </c>
      <c r="K1785" s="40">
        <v>1716</v>
      </c>
      <c r="L1785" s="41">
        <v>0</v>
      </c>
      <c r="M1785" s="118">
        <f t="shared" si="107"/>
        <v>154.44</v>
      </c>
      <c r="N1785" s="118">
        <f t="shared" si="108"/>
        <v>154.44</v>
      </c>
      <c r="O1785" s="118">
        <v>0</v>
      </c>
      <c r="P1785" s="127">
        <f>+O1785+N1785+M1785+L1785+K1785</f>
        <v>2024.88</v>
      </c>
      <c r="Q1785" s="34" t="s">
        <v>410</v>
      </c>
      <c r="R1785" s="34" t="str">
        <f>VLOOKUP(C1785,'PUR-PARTY MASTER'!$B$4:$E$2000,4,FALSE)</f>
        <v>Local</v>
      </c>
      <c r="S1785" s="11" t="s">
        <v>4120</v>
      </c>
    </row>
    <row r="1786" spans="1:19" x14ac:dyDescent="0.2">
      <c r="A1786" s="51">
        <v>43800</v>
      </c>
      <c r="C1786" s="35" t="s">
        <v>570</v>
      </c>
      <c r="F1786" s="136" t="s">
        <v>4516</v>
      </c>
      <c r="G1786" s="37">
        <v>43815</v>
      </c>
      <c r="H1786" s="34">
        <v>85362030</v>
      </c>
      <c r="I1786" s="39">
        <f>VLOOKUP(H1786,'[2]PUR-HSN MASTER'!$A$4:$E$5052,5,FALSE)</f>
        <v>18</v>
      </c>
      <c r="J1786" s="38">
        <v>21</v>
      </c>
      <c r="K1786" s="40">
        <v>7535.5</v>
      </c>
      <c r="L1786" s="41">
        <v>0</v>
      </c>
      <c r="M1786" s="118">
        <f t="shared" si="107"/>
        <v>678.19500000000005</v>
      </c>
      <c r="N1786" s="118">
        <f t="shared" si="108"/>
        <v>678.19500000000005</v>
      </c>
      <c r="O1786" s="118">
        <v>0</v>
      </c>
      <c r="P1786" s="127">
        <f>+O1786+N1786+M1786+L1786+K1786</f>
        <v>8891.89</v>
      </c>
      <c r="Q1786" s="34" t="s">
        <v>410</v>
      </c>
      <c r="R1786" s="34" t="str">
        <f>VLOOKUP(C1786,'PUR-PARTY MASTER'!$B$4:$E$2000,4,FALSE)</f>
        <v>Local</v>
      </c>
      <c r="S1786" s="11" t="s">
        <v>4120</v>
      </c>
    </row>
    <row r="1787" spans="1:19" x14ac:dyDescent="0.2">
      <c r="A1787" s="51">
        <v>43800</v>
      </c>
      <c r="C1787" s="35" t="s">
        <v>570</v>
      </c>
      <c r="F1787" s="136" t="s">
        <v>4516</v>
      </c>
      <c r="G1787" s="37">
        <v>43815</v>
      </c>
      <c r="H1787" s="34">
        <v>85389000</v>
      </c>
      <c r="I1787" s="39">
        <f>VLOOKUP(H1787,'[2]PUR-HSN MASTER'!$A$4:$E$5052,5,FALSE)</f>
        <v>18</v>
      </c>
      <c r="J1787" s="38">
        <v>2</v>
      </c>
      <c r="K1787" s="40">
        <v>487.2</v>
      </c>
      <c r="L1787" s="41">
        <v>0</v>
      </c>
      <c r="M1787" s="118">
        <f t="shared" si="107"/>
        <v>43.847999999999999</v>
      </c>
      <c r="N1787" s="118">
        <f t="shared" si="108"/>
        <v>43.847999999999999</v>
      </c>
      <c r="O1787" s="118">
        <v>0</v>
      </c>
      <c r="P1787" s="127">
        <f>+O1787+N1787+M1787+L1787+K1787</f>
        <v>574.89599999999996</v>
      </c>
      <c r="Q1787" s="34" t="s">
        <v>410</v>
      </c>
      <c r="R1787" s="34" t="str">
        <f>VLOOKUP(C1787,'PUR-PARTY MASTER'!$B$4:$E$2000,4,FALSE)</f>
        <v>Local</v>
      </c>
      <c r="S1787" s="11" t="s">
        <v>4120</v>
      </c>
    </row>
    <row r="1788" spans="1:19" x14ac:dyDescent="0.2">
      <c r="A1788" s="51">
        <v>43800</v>
      </c>
      <c r="C1788" s="35" t="s">
        <v>570</v>
      </c>
      <c r="F1788" s="136" t="s">
        <v>4516</v>
      </c>
      <c r="G1788" s="37">
        <v>43815</v>
      </c>
      <c r="H1788" s="34">
        <v>8537</v>
      </c>
      <c r="I1788" s="39">
        <f>VLOOKUP(H1788,'[2]PUR-HSN MASTER'!$A$4:$E$5052,5,FALSE)</f>
        <v>18</v>
      </c>
      <c r="J1788" s="38">
        <v>1</v>
      </c>
      <c r="K1788" s="40">
        <v>969.5</v>
      </c>
      <c r="L1788" s="41">
        <v>0</v>
      </c>
      <c r="M1788" s="118">
        <f t="shared" si="107"/>
        <v>87.254999999999995</v>
      </c>
      <c r="N1788" s="118">
        <f t="shared" si="108"/>
        <v>87.254999999999995</v>
      </c>
      <c r="O1788" s="118">
        <v>0</v>
      </c>
      <c r="P1788" s="127">
        <f>+O1788+N1788+M1788+L1788+K1788-0.01</f>
        <v>1144</v>
      </c>
      <c r="Q1788" s="34" t="s">
        <v>410</v>
      </c>
      <c r="R1788" s="34" t="str">
        <f>VLOOKUP(C1788,'PUR-PARTY MASTER'!$B$4:$E$2000,4,FALSE)</f>
        <v>Local</v>
      </c>
      <c r="S1788" s="11" t="s">
        <v>4120</v>
      </c>
    </row>
    <row r="1789" spans="1:19" x14ac:dyDescent="0.2">
      <c r="A1789" s="51">
        <v>43800</v>
      </c>
      <c r="C1789" s="35" t="s">
        <v>570</v>
      </c>
      <c r="F1789" s="136" t="s">
        <v>4516</v>
      </c>
      <c r="G1789" s="37">
        <v>43815</v>
      </c>
      <c r="H1789" s="34">
        <v>3923</v>
      </c>
      <c r="I1789" s="39">
        <f>VLOOKUP(H1789,'[2]PUR-HSN MASTER'!$A$4:$E$5052,5,FALSE)</f>
        <v>18</v>
      </c>
      <c r="J1789" s="38">
        <v>2</v>
      </c>
      <c r="K1789" s="40">
        <v>228</v>
      </c>
      <c r="L1789" s="41">
        <v>0</v>
      </c>
      <c r="M1789" s="118">
        <f t="shared" si="107"/>
        <v>20.52</v>
      </c>
      <c r="N1789" s="118">
        <f t="shared" si="108"/>
        <v>20.52</v>
      </c>
      <c r="O1789" s="118">
        <v>0</v>
      </c>
      <c r="P1789" s="127">
        <f>+O1789+N1789+M1789+L1789+K1789-0.04</f>
        <v>269</v>
      </c>
      <c r="Q1789" s="34" t="s">
        <v>410</v>
      </c>
      <c r="R1789" s="34" t="str">
        <f>VLOOKUP(C1789,'PUR-PARTY MASTER'!$B$4:$E$2000,4,FALSE)</f>
        <v>Local</v>
      </c>
      <c r="S1789" s="11" t="s">
        <v>4120</v>
      </c>
    </row>
    <row r="1790" spans="1:19" x14ac:dyDescent="0.2">
      <c r="A1790" s="51">
        <v>43800</v>
      </c>
      <c r="C1790" s="35" t="s">
        <v>570</v>
      </c>
      <c r="F1790" s="136" t="s">
        <v>4516</v>
      </c>
      <c r="G1790" s="37">
        <v>43815</v>
      </c>
      <c r="H1790" s="34">
        <v>8538</v>
      </c>
      <c r="I1790" s="39">
        <f>VLOOKUP(H1790,'[2]PUR-HSN MASTER'!$A$4:$E$5052,5,FALSE)</f>
        <v>18</v>
      </c>
      <c r="J1790" s="38">
        <v>5</v>
      </c>
      <c r="K1790" s="40">
        <v>2394</v>
      </c>
      <c r="L1790" s="41">
        <v>0</v>
      </c>
      <c r="M1790" s="118">
        <f t="shared" si="107"/>
        <v>215.46</v>
      </c>
      <c r="N1790" s="118">
        <f t="shared" si="108"/>
        <v>215.46</v>
      </c>
      <c r="O1790" s="118">
        <v>0</v>
      </c>
      <c r="P1790" s="127">
        <f>+O1790+N1790+M1790+L1790+K1790</f>
        <v>2824.92</v>
      </c>
      <c r="Q1790" s="34" t="s">
        <v>410</v>
      </c>
      <c r="R1790" s="34" t="str">
        <f>VLOOKUP(C1790,'PUR-PARTY MASTER'!$B$4:$E$2000,4,FALSE)</f>
        <v>Local</v>
      </c>
      <c r="S1790" s="11" t="s">
        <v>4120</v>
      </c>
    </row>
    <row r="1791" spans="1:19" x14ac:dyDescent="0.2">
      <c r="A1791" s="51">
        <v>43800</v>
      </c>
      <c r="B1791" s="11">
        <v>58</v>
      </c>
      <c r="C1791" s="34" t="s">
        <v>829</v>
      </c>
      <c r="F1791" s="134">
        <v>2013</v>
      </c>
      <c r="G1791" s="37">
        <v>43816</v>
      </c>
      <c r="H1791" s="34">
        <v>73181500</v>
      </c>
      <c r="I1791" s="39">
        <f>VLOOKUP(H1791,'[2]PUR-HSN MASTER'!$A$4:$E$5052,5,FALSE)</f>
        <v>18</v>
      </c>
      <c r="J1791" s="34">
        <v>28</v>
      </c>
      <c r="K1791" s="40">
        <f>140+39.2</f>
        <v>179.2</v>
      </c>
      <c r="L1791" s="118">
        <f t="shared" ref="L1791:L1801" si="109">+IF(R1791="Oms",K1791/100*I1791,0)</f>
        <v>0</v>
      </c>
      <c r="M1791" s="118">
        <f t="shared" si="107"/>
        <v>16.128</v>
      </c>
      <c r="N1791" s="118">
        <f t="shared" si="108"/>
        <v>16.128</v>
      </c>
      <c r="O1791" s="118">
        <v>0</v>
      </c>
      <c r="P1791" s="127">
        <f>+O1791+N1791+M1791+L1791+K1791+0.04</f>
        <v>211.49599999999998</v>
      </c>
      <c r="Q1791" s="34" t="s">
        <v>410</v>
      </c>
      <c r="R1791" s="34" t="str">
        <f>VLOOKUP(C1791,'PUR-PARTY MASTER'!$B$4:$E$2000,4,FALSE)</f>
        <v>Local</v>
      </c>
      <c r="S1791" s="11" t="s">
        <v>4120</v>
      </c>
    </row>
    <row r="1792" spans="1:19" x14ac:dyDescent="0.2">
      <c r="A1792" s="51">
        <v>43800</v>
      </c>
      <c r="C1792" s="34" t="s">
        <v>829</v>
      </c>
      <c r="F1792" s="134">
        <v>1973</v>
      </c>
      <c r="G1792" s="37">
        <v>43816</v>
      </c>
      <c r="H1792" s="34">
        <v>73182200</v>
      </c>
      <c r="I1792" s="39">
        <f>VLOOKUP(H1792,'[2]PUR-HSN MASTER'!$A$4:$E$5052,5,FALSE)</f>
        <v>18</v>
      </c>
      <c r="J1792" s="34">
        <v>28</v>
      </c>
      <c r="K1792" s="40">
        <v>63</v>
      </c>
      <c r="L1792" s="118">
        <f t="shared" si="109"/>
        <v>0</v>
      </c>
      <c r="M1792" s="118">
        <f t="shared" si="107"/>
        <v>5.67</v>
      </c>
      <c r="N1792" s="118">
        <f t="shared" si="108"/>
        <v>5.67</v>
      </c>
      <c r="O1792" s="118">
        <v>0</v>
      </c>
      <c r="P1792" s="127">
        <f>+O1792+N1792+M1792+L1792+K1792+0.16</f>
        <v>74.5</v>
      </c>
      <c r="Q1792" s="34" t="s">
        <v>410</v>
      </c>
      <c r="R1792" s="34" t="str">
        <f>VLOOKUP(C1792,'PUR-PARTY MASTER'!$B$4:$E$2000,4,FALSE)</f>
        <v>Local</v>
      </c>
      <c r="S1792" s="11" t="s">
        <v>4120</v>
      </c>
    </row>
    <row r="1793" spans="1:19" x14ac:dyDescent="0.2">
      <c r="A1793" s="51">
        <v>43800</v>
      </c>
      <c r="B1793" s="11">
        <v>59</v>
      </c>
      <c r="C1793" s="629" t="s">
        <v>710</v>
      </c>
      <c r="F1793" s="134">
        <v>833</v>
      </c>
      <c r="G1793" s="37">
        <v>43816</v>
      </c>
      <c r="H1793" s="34">
        <v>8424</v>
      </c>
      <c r="I1793" s="39">
        <f>VLOOKUP(H1793,'[2]PUR-HSN MASTER'!$A$4:$E$5052,5,FALSE)</f>
        <v>18</v>
      </c>
      <c r="J1793" s="34">
        <v>6</v>
      </c>
      <c r="K1793" s="126">
        <v>10800</v>
      </c>
      <c r="L1793" s="118">
        <f t="shared" si="109"/>
        <v>0</v>
      </c>
      <c r="M1793" s="118">
        <f t="shared" si="107"/>
        <v>972</v>
      </c>
      <c r="N1793" s="118">
        <f t="shared" si="108"/>
        <v>972</v>
      </c>
      <c r="O1793" s="118">
        <v>0</v>
      </c>
      <c r="P1793" s="127">
        <f t="shared" ref="P1793:P1802" si="110">+O1793+N1793+M1793+L1793+K1793</f>
        <v>12744</v>
      </c>
      <c r="Q1793" s="43" t="s">
        <v>410</v>
      </c>
      <c r="R1793" s="34" t="str">
        <f>VLOOKUP(C1793,'PUR-PARTY MASTER'!$B$4:$E$2000,4,FALSE)</f>
        <v>Local</v>
      </c>
      <c r="S1793" s="11" t="s">
        <v>4120</v>
      </c>
    </row>
    <row r="1794" spans="1:19" x14ac:dyDescent="0.2">
      <c r="A1794" s="51">
        <v>43800</v>
      </c>
      <c r="B1794" s="11">
        <v>60</v>
      </c>
      <c r="C1794" s="35" t="s">
        <v>629</v>
      </c>
      <c r="F1794" s="134">
        <v>723</v>
      </c>
      <c r="G1794" s="37">
        <v>43816</v>
      </c>
      <c r="H1794" s="34">
        <v>998531</v>
      </c>
      <c r="I1794" s="39">
        <f>VLOOKUP(H1794,'[2]PUR-HSN MASTER'!$A$4:$E$5052,5,FALSE)</f>
        <v>18</v>
      </c>
      <c r="J1794" s="38">
        <v>1</v>
      </c>
      <c r="K1794" s="126">
        <v>2000</v>
      </c>
      <c r="L1794" s="118">
        <f t="shared" si="109"/>
        <v>0</v>
      </c>
      <c r="M1794" s="118">
        <f t="shared" si="107"/>
        <v>180</v>
      </c>
      <c r="N1794" s="118">
        <f t="shared" si="108"/>
        <v>180</v>
      </c>
      <c r="O1794" s="118">
        <v>0</v>
      </c>
      <c r="P1794" s="127">
        <f t="shared" si="110"/>
        <v>2360</v>
      </c>
      <c r="Q1794" s="34" t="s">
        <v>411</v>
      </c>
      <c r="R1794" s="34" t="str">
        <f>VLOOKUP(C1794,'PUR-PARTY MASTER'!$B$4:$E$2000,4,FALSE)</f>
        <v>Local</v>
      </c>
      <c r="S1794" s="11" t="s">
        <v>4120</v>
      </c>
    </row>
    <row r="1795" spans="1:19" x14ac:dyDescent="0.2">
      <c r="A1795" s="51">
        <v>43800</v>
      </c>
      <c r="B1795" s="11">
        <v>61</v>
      </c>
      <c r="C1795" s="35" t="s">
        <v>554</v>
      </c>
      <c r="F1795" s="136">
        <v>15259</v>
      </c>
      <c r="G1795" s="37">
        <v>43816</v>
      </c>
      <c r="H1795" s="34">
        <v>87141900</v>
      </c>
      <c r="I1795" s="39">
        <f>VLOOKUP(H1795,'[2]PUR-HSN MASTER'!$A$4:$E$5052,5,FALSE)</f>
        <v>28</v>
      </c>
      <c r="J1795" s="34">
        <f>1550+700</f>
        <v>2250</v>
      </c>
      <c r="K1795" s="126">
        <v>5940.5</v>
      </c>
      <c r="L1795" s="118">
        <f t="shared" si="109"/>
        <v>0</v>
      </c>
      <c r="M1795" s="118">
        <f>+IF(R1795="local",K1795/100*I1795/2,0)</f>
        <v>831.67000000000007</v>
      </c>
      <c r="N1795" s="118">
        <f>+IF(R1795="local",K1795/100*I1795/2,0)</f>
        <v>831.67000000000007</v>
      </c>
      <c r="O1795" s="118">
        <v>0</v>
      </c>
      <c r="P1795" s="127">
        <f t="shared" si="110"/>
        <v>7603.84</v>
      </c>
      <c r="Q1795" s="34" t="s">
        <v>410</v>
      </c>
      <c r="R1795" s="34" t="str">
        <f>VLOOKUP(C1795,'PUR-PARTY MASTER'!$B$4:$E$2000,4,FALSE)</f>
        <v>Local</v>
      </c>
      <c r="S1795" s="11" t="s">
        <v>4120</v>
      </c>
    </row>
    <row r="1796" spans="1:19" x14ac:dyDescent="0.2">
      <c r="A1796" s="51">
        <v>43800</v>
      </c>
      <c r="B1796" s="11">
        <v>62</v>
      </c>
      <c r="C1796" s="35" t="s">
        <v>551</v>
      </c>
      <c r="F1796" s="136" t="s">
        <v>4517</v>
      </c>
      <c r="G1796" s="37">
        <v>43815</v>
      </c>
      <c r="H1796" s="34">
        <v>37079090</v>
      </c>
      <c r="I1796" s="39">
        <f>VLOOKUP(H1796,'[2]PUR-HSN MASTER'!$A$4:$E$5052,5,FALSE)</f>
        <v>18</v>
      </c>
      <c r="J1796" s="38">
        <v>1</v>
      </c>
      <c r="K1796" s="40">
        <v>300</v>
      </c>
      <c r="L1796" s="118">
        <f t="shared" si="109"/>
        <v>0</v>
      </c>
      <c r="M1796" s="118">
        <f t="shared" ref="M1796" si="111">+IF(R1796="local",K1796/100*I1796/2,0)</f>
        <v>27</v>
      </c>
      <c r="N1796" s="118">
        <f t="shared" ref="N1796" si="112">+IF(R1796="local",K1796/100*I1796/2,0)</f>
        <v>27</v>
      </c>
      <c r="O1796" s="118">
        <v>0</v>
      </c>
      <c r="P1796" s="127">
        <f t="shared" si="110"/>
        <v>354</v>
      </c>
      <c r="Q1796" s="34" t="s">
        <v>411</v>
      </c>
      <c r="R1796" s="34" t="str">
        <f>VLOOKUP(C1796,'PUR-PARTY MASTER'!$B$4:$E$2000,4,FALSE)</f>
        <v>Local</v>
      </c>
      <c r="S1796" s="11" t="s">
        <v>4120</v>
      </c>
    </row>
    <row r="1797" spans="1:19" x14ac:dyDescent="0.2">
      <c r="A1797" s="51">
        <v>43800</v>
      </c>
      <c r="B1797" s="11">
        <v>63</v>
      </c>
      <c r="C1797" s="35" t="s">
        <v>473</v>
      </c>
      <c r="F1797" s="136" t="s">
        <v>4518</v>
      </c>
      <c r="G1797" s="37">
        <v>43816</v>
      </c>
      <c r="H1797" s="34">
        <v>87089900</v>
      </c>
      <c r="I1797" s="39">
        <f>VLOOKUP(H1797,'[2]PUR-HSN MASTER'!$A$4:$E$5052,5,FALSE)</f>
        <v>28</v>
      </c>
      <c r="J1797" s="34">
        <v>40</v>
      </c>
      <c r="K1797" s="126">
        <v>6412</v>
      </c>
      <c r="L1797" s="118">
        <f t="shared" si="109"/>
        <v>0</v>
      </c>
      <c r="M1797" s="118">
        <f>+IF(R1797="local",K1797/100*I1797/2,0)+0.32</f>
        <v>898.00000000000011</v>
      </c>
      <c r="N1797" s="118">
        <f>+IF(R1797="local",K1797/100*I1797/2,0)+0.32</f>
        <v>898.00000000000011</v>
      </c>
      <c r="O1797" s="118">
        <v>0</v>
      </c>
      <c r="P1797" s="127">
        <f t="shared" si="110"/>
        <v>8208</v>
      </c>
      <c r="Q1797" s="34" t="s">
        <v>410</v>
      </c>
      <c r="R1797" s="34" t="str">
        <f>VLOOKUP(C1797,'PUR-PARTY MASTER'!$B$4:$E$2000,4,FALSE)</f>
        <v>Local</v>
      </c>
      <c r="S1797" s="11" t="s">
        <v>4120</v>
      </c>
    </row>
    <row r="1798" spans="1:19" x14ac:dyDescent="0.2">
      <c r="A1798" s="51">
        <v>43800</v>
      </c>
      <c r="B1798" s="11">
        <v>64</v>
      </c>
      <c r="C1798" s="35" t="s">
        <v>473</v>
      </c>
      <c r="F1798" s="136" t="s">
        <v>4519</v>
      </c>
      <c r="G1798" s="37">
        <v>43816</v>
      </c>
      <c r="H1798" s="34">
        <v>87089900</v>
      </c>
      <c r="I1798" s="39">
        <f>VLOOKUP(H1798,'[2]PUR-HSN MASTER'!$A$4:$E$5052,5,FALSE)</f>
        <v>28</v>
      </c>
      <c r="J1798" s="34">
        <v>240</v>
      </c>
      <c r="K1798" s="126">
        <v>7261.8</v>
      </c>
      <c r="L1798" s="118">
        <f t="shared" si="109"/>
        <v>0</v>
      </c>
      <c r="M1798" s="118">
        <f>+IF(R1798="local",K1798/100*I1798/2,0)+0.35</f>
        <v>1017.002</v>
      </c>
      <c r="N1798" s="118">
        <f>+IF(R1798="local",K1798/100*I1798/2,0)+0.35</f>
        <v>1017.002</v>
      </c>
      <c r="O1798" s="118">
        <v>0</v>
      </c>
      <c r="P1798" s="127">
        <f t="shared" si="110"/>
        <v>9295.8040000000001</v>
      </c>
      <c r="Q1798" s="34" t="s">
        <v>410</v>
      </c>
      <c r="R1798" s="34" t="str">
        <f>VLOOKUP(C1798,'PUR-PARTY MASTER'!$B$4:$E$2000,4,FALSE)</f>
        <v>Local</v>
      </c>
      <c r="S1798" s="11" t="s">
        <v>4120</v>
      </c>
    </row>
    <row r="1799" spans="1:19" x14ac:dyDescent="0.2">
      <c r="A1799" s="51">
        <v>43800</v>
      </c>
      <c r="B1799" s="11">
        <v>65</v>
      </c>
      <c r="C1799" s="35" t="s">
        <v>476</v>
      </c>
      <c r="F1799" s="136" t="s">
        <v>4520</v>
      </c>
      <c r="G1799" s="37">
        <v>43814</v>
      </c>
      <c r="H1799" s="34" t="s">
        <v>732</v>
      </c>
      <c r="I1799" s="39">
        <f>VLOOKUP(H1799,'[2]PUR-HSN MASTER'!$A$4:$E$5052,5,FALSE)</f>
        <v>18</v>
      </c>
      <c r="J1799" s="38">
        <v>0</v>
      </c>
      <c r="K1799" s="40">
        <v>103250</v>
      </c>
      <c r="L1799" s="118">
        <f t="shared" si="109"/>
        <v>0</v>
      </c>
      <c r="M1799" s="118">
        <f t="shared" ref="M1799:M1802" si="113">+IF(R1799="local",K1799/100*I1799/2,0)</f>
        <v>9292.5</v>
      </c>
      <c r="N1799" s="118">
        <f t="shared" ref="N1799:N1802" si="114">+IF(R1799="local",K1799/100*I1799/2,0)</f>
        <v>9292.5</v>
      </c>
      <c r="O1799" s="118">
        <v>0</v>
      </c>
      <c r="P1799" s="127">
        <f t="shared" si="110"/>
        <v>121835</v>
      </c>
      <c r="Q1799" s="34" t="s">
        <v>410</v>
      </c>
      <c r="R1799" s="34" t="str">
        <f>VLOOKUP(C1799,'PUR-PARTY MASTER'!$B$4:$E$2000,4,FALSE)</f>
        <v>Local</v>
      </c>
      <c r="S1799" s="11" t="s">
        <v>4120</v>
      </c>
    </row>
    <row r="1800" spans="1:19" x14ac:dyDescent="0.2">
      <c r="A1800" s="51">
        <v>43800</v>
      </c>
      <c r="B1800" s="34">
        <v>66</v>
      </c>
      <c r="C1800" s="632" t="s">
        <v>4258</v>
      </c>
      <c r="F1800" s="136">
        <v>11016398</v>
      </c>
      <c r="G1800" s="37">
        <v>43810</v>
      </c>
      <c r="H1800" s="34">
        <v>84148090</v>
      </c>
      <c r="I1800" s="39">
        <f>VLOOKUP(H1800,'[2]PUR-HSN MASTER'!$A$4:$E$5052,5,FALSE)</f>
        <v>18</v>
      </c>
      <c r="J1800" s="38">
        <v>1</v>
      </c>
      <c r="K1800" s="40">
        <v>238000</v>
      </c>
      <c r="L1800" s="118">
        <f t="shared" si="109"/>
        <v>0</v>
      </c>
      <c r="M1800" s="118">
        <f t="shared" si="113"/>
        <v>21420</v>
      </c>
      <c r="N1800" s="118">
        <f t="shared" si="114"/>
        <v>21420</v>
      </c>
      <c r="O1800" s="118">
        <v>0</v>
      </c>
      <c r="P1800" s="127">
        <f t="shared" si="110"/>
        <v>280840</v>
      </c>
      <c r="Q1800" s="34" t="s">
        <v>412</v>
      </c>
      <c r="R1800" s="34" t="str">
        <f>VLOOKUP(C1800,'PUR-PARTY MASTER'!$B$4:$E$2000,4,FALSE)</f>
        <v>Local</v>
      </c>
      <c r="S1800" s="11" t="s">
        <v>4120</v>
      </c>
    </row>
    <row r="1801" spans="1:19" x14ac:dyDescent="0.2">
      <c r="A1801" s="51">
        <v>43800</v>
      </c>
      <c r="C1801" s="632" t="s">
        <v>4258</v>
      </c>
      <c r="F1801" s="136">
        <v>11016398</v>
      </c>
      <c r="G1801" s="37">
        <v>43810</v>
      </c>
      <c r="H1801" s="34">
        <v>73110090</v>
      </c>
      <c r="I1801" s="39">
        <f>VLOOKUP(H1801,'[2]PUR-HSN MASTER'!$A$4:$E$5052,5,FALSE)</f>
        <v>18</v>
      </c>
      <c r="J1801" s="38">
        <v>1</v>
      </c>
      <c r="K1801" s="40">
        <v>22000</v>
      </c>
      <c r="L1801" s="118">
        <f t="shared" si="109"/>
        <v>0</v>
      </c>
      <c r="M1801" s="118">
        <f t="shared" si="113"/>
        <v>1980</v>
      </c>
      <c r="N1801" s="118">
        <f t="shared" si="114"/>
        <v>1980</v>
      </c>
      <c r="O1801" s="118">
        <v>0</v>
      </c>
      <c r="P1801" s="127">
        <f t="shared" si="110"/>
        <v>25960</v>
      </c>
      <c r="Q1801" s="34" t="s">
        <v>412</v>
      </c>
      <c r="R1801" s="34" t="str">
        <f>VLOOKUP(C1801,'PUR-PARTY MASTER'!$B$4:$E$2000,4,FALSE)</f>
        <v>Local</v>
      </c>
      <c r="S1801" s="11" t="s">
        <v>4120</v>
      </c>
    </row>
    <row r="1802" spans="1:19" x14ac:dyDescent="0.2">
      <c r="A1802" s="51">
        <v>43800</v>
      </c>
      <c r="B1802" s="11">
        <v>67</v>
      </c>
      <c r="C1802" s="35" t="s">
        <v>570</v>
      </c>
      <c r="F1802" s="136" t="s">
        <v>4521</v>
      </c>
      <c r="G1802" s="37">
        <v>43816</v>
      </c>
      <c r="H1802" s="34">
        <v>85446090</v>
      </c>
      <c r="I1802" s="39">
        <f>VLOOKUP(H1802,'[2]PUR-HSN MASTER'!$A$4:$E$5052,5,FALSE)</f>
        <v>18</v>
      </c>
      <c r="J1802" s="38">
        <v>11</v>
      </c>
      <c r="K1802" s="40">
        <v>3214.2</v>
      </c>
      <c r="L1802" s="41">
        <v>0</v>
      </c>
      <c r="M1802" s="118">
        <f t="shared" si="113"/>
        <v>289.27799999999996</v>
      </c>
      <c r="N1802" s="118">
        <f t="shared" si="114"/>
        <v>289.27799999999996</v>
      </c>
      <c r="O1802" s="118">
        <v>0</v>
      </c>
      <c r="P1802" s="127">
        <f t="shared" si="110"/>
        <v>3792.7559999999999</v>
      </c>
      <c r="Q1802" s="34" t="s">
        <v>410</v>
      </c>
      <c r="R1802" s="34" t="str">
        <f>VLOOKUP(C1802,'PUR-PARTY MASTER'!$B$4:$E$2000,4,FALSE)</f>
        <v>Local</v>
      </c>
      <c r="S1802" s="11" t="s">
        <v>4120</v>
      </c>
    </row>
    <row r="1803" spans="1:19" x14ac:dyDescent="0.2">
      <c r="A1803" s="51">
        <v>43800</v>
      </c>
      <c r="C1803" s="35" t="s">
        <v>570</v>
      </c>
      <c r="F1803" s="136" t="s">
        <v>4521</v>
      </c>
      <c r="G1803" s="37">
        <v>43816</v>
      </c>
      <c r="H1803" s="34">
        <v>39173100</v>
      </c>
      <c r="I1803" s="39">
        <f>VLOOKUP(H1803,'[2]PUR-HSN MASTER'!$A$4:$E$5052,5,FALSE)</f>
        <v>18</v>
      </c>
      <c r="J1803" s="38">
        <v>10</v>
      </c>
      <c r="K1803" s="40">
        <f>48+70</f>
        <v>118</v>
      </c>
      <c r="L1803" s="41">
        <v>0</v>
      </c>
      <c r="M1803" s="118">
        <f>+IF(R1803="local",K1803/100*I1803/2,0)+0.01</f>
        <v>10.629999999999999</v>
      </c>
      <c r="N1803" s="118">
        <f>+IF(R1803="local",K1803/100*I1803/2,0)+0.01</f>
        <v>10.629999999999999</v>
      </c>
      <c r="O1803" s="118">
        <v>0</v>
      </c>
      <c r="P1803" s="127">
        <f>+O1803+N1803+M1803+L1803+K1803+0.01</f>
        <v>139.26999999999998</v>
      </c>
      <c r="Q1803" s="34" t="s">
        <v>410</v>
      </c>
      <c r="R1803" s="34" t="str">
        <f>VLOOKUP(C1803,'PUR-PARTY MASTER'!$B$4:$E$2000,4,FALSE)</f>
        <v>Local</v>
      </c>
      <c r="S1803" s="11" t="s">
        <v>4120</v>
      </c>
    </row>
    <row r="1804" spans="1:19" x14ac:dyDescent="0.2">
      <c r="A1804" s="51">
        <v>43800</v>
      </c>
      <c r="C1804" s="35" t="s">
        <v>570</v>
      </c>
      <c r="F1804" s="136" t="s">
        <v>4521</v>
      </c>
      <c r="G1804" s="37">
        <v>43816</v>
      </c>
      <c r="H1804" s="34">
        <v>8536</v>
      </c>
      <c r="I1804" s="39">
        <f>VLOOKUP(H1804,'[2]PUR-HSN MASTER'!$A$4:$E$5052,5,FALSE)</f>
        <v>18</v>
      </c>
      <c r="J1804" s="38">
        <v>28</v>
      </c>
      <c r="K1804" s="40">
        <f>160+44+64.96+42.88</f>
        <v>311.83999999999997</v>
      </c>
      <c r="L1804" s="41">
        <v>0</v>
      </c>
      <c r="M1804" s="118">
        <f t="shared" ref="M1804" si="115">+IF(R1804="local",K1804/100*I1804/2,0)</f>
        <v>28.0656</v>
      </c>
      <c r="N1804" s="118">
        <f t="shared" ref="N1804" si="116">+IF(R1804="local",K1804/100*I1804/2,0)</f>
        <v>28.0656</v>
      </c>
      <c r="O1804" s="118">
        <v>0</v>
      </c>
      <c r="P1804" s="127">
        <f>+O1804+N1804+M1804+L1804+K1804</f>
        <v>367.97119999999995</v>
      </c>
      <c r="Q1804" s="34" t="s">
        <v>410</v>
      </c>
      <c r="R1804" s="34" t="str">
        <f>VLOOKUP(C1804,'PUR-PARTY MASTER'!$B$4:$E$2000,4,FALSE)</f>
        <v>Local</v>
      </c>
      <c r="S1804" s="11" t="s">
        <v>4120</v>
      </c>
    </row>
    <row r="1805" spans="1:19" x14ac:dyDescent="0.2">
      <c r="A1805" s="51">
        <v>43800</v>
      </c>
      <c r="B1805" s="11">
        <v>68</v>
      </c>
      <c r="C1805" s="35" t="s">
        <v>479</v>
      </c>
      <c r="F1805" s="136">
        <v>1491</v>
      </c>
      <c r="G1805" s="37">
        <v>43817</v>
      </c>
      <c r="H1805" s="34">
        <v>3919</v>
      </c>
      <c r="I1805" s="39">
        <f>VLOOKUP(H1805,'[2]PUR-HSN MASTER'!$A$4:$E$5052,5,FALSE)</f>
        <v>18</v>
      </c>
      <c r="J1805" s="34">
        <v>1040</v>
      </c>
      <c r="K1805" s="126">
        <f>1350+16000</f>
        <v>17350</v>
      </c>
      <c r="L1805" s="118">
        <f t="shared" ref="L1805:L1810" si="117">+IF(R1805="Oms",K1805/100*I1805,0)</f>
        <v>0</v>
      </c>
      <c r="M1805" s="118">
        <f>+IF(R1805="local",K1805/100*I1805/2,0)</f>
        <v>1561.5</v>
      </c>
      <c r="N1805" s="118">
        <f>+IF(R1805="local",K1805/100*I1805/2,0)</f>
        <v>1561.5</v>
      </c>
      <c r="O1805" s="118">
        <v>0</v>
      </c>
      <c r="P1805" s="127">
        <f>+O1805+N1805+M1805+L1805+K1805</f>
        <v>20473</v>
      </c>
      <c r="Q1805" s="34" t="s">
        <v>410</v>
      </c>
      <c r="R1805" s="34" t="str">
        <f>VLOOKUP(C1805,'PUR-PARTY MASTER'!$B$4:$E$2000,4,FALSE)</f>
        <v>Local</v>
      </c>
      <c r="S1805" s="11" t="s">
        <v>4120</v>
      </c>
    </row>
    <row r="1806" spans="1:19" x14ac:dyDescent="0.2">
      <c r="A1806" s="51">
        <v>43800</v>
      </c>
      <c r="C1806" s="35" t="s">
        <v>479</v>
      </c>
      <c r="F1806" s="136">
        <v>1491</v>
      </c>
      <c r="G1806" s="37">
        <v>43817</v>
      </c>
      <c r="H1806" s="34">
        <v>39199090</v>
      </c>
      <c r="I1806" s="39">
        <f>VLOOKUP(H1806,'[2]PUR-HSN MASTER'!$A$4:$E$5052,5,FALSE)</f>
        <v>18</v>
      </c>
      <c r="J1806" s="34">
        <v>20</v>
      </c>
      <c r="K1806" s="126">
        <v>4800</v>
      </c>
      <c r="L1806" s="118">
        <f t="shared" si="117"/>
        <v>0</v>
      </c>
      <c r="M1806" s="118">
        <f>+IF(R1806="local",K1806/100*I1806/2,0)</f>
        <v>432</v>
      </c>
      <c r="N1806" s="118">
        <f>+IF(R1806="local",K1806/100*I1806/2,0)</f>
        <v>432</v>
      </c>
      <c r="O1806" s="118">
        <v>0</v>
      </c>
      <c r="P1806" s="127">
        <f>+O1806+N1806+M1806+L1806+K1806</f>
        <v>5664</v>
      </c>
      <c r="Q1806" s="34" t="s">
        <v>410</v>
      </c>
      <c r="R1806" s="34" t="str">
        <f>VLOOKUP(C1806,'PUR-PARTY MASTER'!$B$4:$E$2000,4,FALSE)</f>
        <v>Local</v>
      </c>
      <c r="S1806" s="11" t="s">
        <v>4120</v>
      </c>
    </row>
    <row r="1807" spans="1:19" x14ac:dyDescent="0.2">
      <c r="A1807" s="51">
        <v>43800</v>
      </c>
      <c r="B1807" s="11">
        <v>69</v>
      </c>
      <c r="C1807" s="35" t="s">
        <v>554</v>
      </c>
      <c r="F1807" s="136">
        <v>15297</v>
      </c>
      <c r="G1807" s="37">
        <v>43817</v>
      </c>
      <c r="H1807" s="34">
        <v>87141900</v>
      </c>
      <c r="I1807" s="39">
        <f>VLOOKUP(H1807,'[2]PUR-HSN MASTER'!$A$4:$E$5052,5,FALSE)</f>
        <v>28</v>
      </c>
      <c r="J1807" s="34">
        <v>1200</v>
      </c>
      <c r="K1807" s="126">
        <v>3780</v>
      </c>
      <c r="L1807" s="118">
        <f t="shared" si="117"/>
        <v>0</v>
      </c>
      <c r="M1807" s="118">
        <f>+IF(R1807="local",K1807/100*I1807/2,0)</f>
        <v>529.19999999999993</v>
      </c>
      <c r="N1807" s="118">
        <f>+IF(R1807="local",K1807/100*I1807/2,0)</f>
        <v>529.19999999999993</v>
      </c>
      <c r="O1807" s="118">
        <v>0</v>
      </c>
      <c r="P1807" s="127">
        <f t="shared" ref="P1807" si="118">+O1807+N1807+M1807+L1807+K1807</f>
        <v>4838.3999999999996</v>
      </c>
      <c r="Q1807" s="34" t="s">
        <v>410</v>
      </c>
      <c r="R1807" s="34" t="str">
        <f>VLOOKUP(C1807,'PUR-PARTY MASTER'!$B$4:$E$2000,4,FALSE)</f>
        <v>Local</v>
      </c>
      <c r="S1807" s="11" t="s">
        <v>4120</v>
      </c>
    </row>
    <row r="1808" spans="1:19" x14ac:dyDescent="0.2">
      <c r="A1808" s="51">
        <v>43800</v>
      </c>
      <c r="B1808" s="11">
        <v>70</v>
      </c>
      <c r="C1808" s="34" t="s">
        <v>601</v>
      </c>
      <c r="F1808" s="134">
        <v>6995</v>
      </c>
      <c r="G1808" s="37">
        <v>43817</v>
      </c>
      <c r="H1808" s="34">
        <v>87082900</v>
      </c>
      <c r="I1808" s="39">
        <f>VLOOKUP(H1808,'[2]PUR-HSN MASTER'!$A$4:$E$5052,5,FALSE)</f>
        <v>28</v>
      </c>
      <c r="J1808" s="34">
        <v>800</v>
      </c>
      <c r="K1808" s="39">
        <v>34056</v>
      </c>
      <c r="L1808" s="118">
        <f t="shared" si="117"/>
        <v>0</v>
      </c>
      <c r="M1808" s="118">
        <f t="shared" ref="M1808:M1829" si="119">+IF(R1808="local",K1808/100*I1808/2,0)</f>
        <v>4767.84</v>
      </c>
      <c r="N1808" s="118">
        <f t="shared" ref="N1808:N1829" si="120">+IF(R1808="local",K1808/100*I1808/2,0)</f>
        <v>4767.84</v>
      </c>
      <c r="O1808" s="118">
        <v>0</v>
      </c>
      <c r="P1808" s="127">
        <f>+O1808+N1808+M1808+L1808+K1808</f>
        <v>43591.68</v>
      </c>
      <c r="Q1808" s="34" t="s">
        <v>410</v>
      </c>
      <c r="R1808" s="34" t="str">
        <f>VLOOKUP(C1808,'PUR-PARTY MASTER'!$B$4:$E$2000,4,FALSE)</f>
        <v>Local</v>
      </c>
      <c r="S1808" s="11" t="s">
        <v>4120</v>
      </c>
    </row>
    <row r="1809" spans="1:19" x14ac:dyDescent="0.2">
      <c r="A1809" s="51">
        <v>43800</v>
      </c>
      <c r="B1809" s="11">
        <v>71</v>
      </c>
      <c r="C1809" s="34" t="s">
        <v>601</v>
      </c>
      <c r="F1809" s="134">
        <v>6996</v>
      </c>
      <c r="G1809" s="37">
        <v>43817</v>
      </c>
      <c r="H1809" s="34">
        <v>87082900</v>
      </c>
      <c r="I1809" s="39">
        <f>VLOOKUP(H1809,'[2]PUR-HSN MASTER'!$A$4:$E$5052,5,FALSE)</f>
        <v>28</v>
      </c>
      <c r="J1809" s="34">
        <v>360</v>
      </c>
      <c r="K1809" s="39">
        <v>8035.2</v>
      </c>
      <c r="L1809" s="118">
        <f t="shared" si="117"/>
        <v>0</v>
      </c>
      <c r="M1809" s="118">
        <f t="shared" si="119"/>
        <v>1124.9280000000001</v>
      </c>
      <c r="N1809" s="118">
        <f t="shared" si="120"/>
        <v>1124.9280000000001</v>
      </c>
      <c r="O1809" s="118">
        <v>0</v>
      </c>
      <c r="P1809" s="127">
        <f>+O1809+N1809+M1809+L1809+K1809</f>
        <v>10285.056</v>
      </c>
      <c r="Q1809" s="34" t="s">
        <v>410</v>
      </c>
      <c r="R1809" s="34" t="str">
        <f>VLOOKUP(C1809,'PUR-PARTY MASTER'!$B$4:$E$2000,4,FALSE)</f>
        <v>Local</v>
      </c>
      <c r="S1809" s="11" t="s">
        <v>4120</v>
      </c>
    </row>
    <row r="1810" spans="1:19" x14ac:dyDescent="0.2">
      <c r="A1810" s="51">
        <v>43800</v>
      </c>
      <c r="B1810" s="11">
        <v>72</v>
      </c>
      <c r="C1810" s="632" t="s">
        <v>4260</v>
      </c>
      <c r="F1810" s="134" t="s">
        <v>4522</v>
      </c>
      <c r="G1810" s="37">
        <v>43816</v>
      </c>
      <c r="H1810" s="34">
        <v>8456</v>
      </c>
      <c r="I1810" s="39">
        <f>VLOOKUP(H1810,'[2]PUR-HSN MASTER'!$A$4:$E$5052,5,FALSE)</f>
        <v>18</v>
      </c>
      <c r="J1810" s="34">
        <v>2</v>
      </c>
      <c r="K1810" s="39">
        <v>1550000</v>
      </c>
      <c r="L1810" s="118">
        <f t="shared" si="117"/>
        <v>279000</v>
      </c>
      <c r="M1810" s="118">
        <f t="shared" si="119"/>
        <v>0</v>
      </c>
      <c r="N1810" s="118">
        <f t="shared" si="120"/>
        <v>0</v>
      </c>
      <c r="O1810" s="118">
        <v>0</v>
      </c>
      <c r="P1810" s="127">
        <f>+O1810+N1810+M1810+L1810+K1810</f>
        <v>1829000</v>
      </c>
      <c r="Q1810" s="34" t="s">
        <v>412</v>
      </c>
      <c r="R1810" s="34" t="str">
        <f>VLOOKUP(C1810,'PUR-PARTY MASTER'!$B$4:$E$2000,4,FALSE)</f>
        <v>Oms</v>
      </c>
      <c r="S1810" s="11" t="s">
        <v>4120</v>
      </c>
    </row>
    <row r="1811" spans="1:19" x14ac:dyDescent="0.2">
      <c r="A1811" s="51">
        <v>43800</v>
      </c>
      <c r="B1811" s="11">
        <v>73</v>
      </c>
      <c r="C1811" s="35" t="s">
        <v>517</v>
      </c>
      <c r="F1811" s="134">
        <v>19625858</v>
      </c>
      <c r="G1811" s="37">
        <v>43817</v>
      </c>
      <c r="H1811" s="34">
        <v>87081090</v>
      </c>
      <c r="I1811" s="39">
        <f>VLOOKUP(H1811,'[2]PUR-HSN MASTER'!$A$4:$E$5052,5,FALSE)</f>
        <v>28</v>
      </c>
      <c r="J1811" s="34">
        <v>20</v>
      </c>
      <c r="K1811" s="126">
        <v>18078</v>
      </c>
      <c r="L1811" s="118">
        <f>+IF(R1811="Oms",K1811/100*I1811,0)</f>
        <v>5061.84</v>
      </c>
      <c r="M1811" s="118">
        <f t="shared" si="119"/>
        <v>0</v>
      </c>
      <c r="N1811" s="118">
        <f t="shared" si="120"/>
        <v>0</v>
      </c>
      <c r="O1811" s="118">
        <v>0</v>
      </c>
      <c r="P1811" s="127">
        <f t="shared" ref="P1811" si="121">+O1811+N1811+M1811+L1811+K1811</f>
        <v>23139.84</v>
      </c>
      <c r="Q1811" s="34" t="s">
        <v>410</v>
      </c>
      <c r="R1811" s="34" t="str">
        <f>VLOOKUP(C1811,'PUR-PARTY MASTER'!$B$4:$E$2000,4,FALSE)</f>
        <v>Oms</v>
      </c>
      <c r="S1811" s="11" t="s">
        <v>4120</v>
      </c>
    </row>
    <row r="1812" spans="1:19" x14ac:dyDescent="0.2">
      <c r="A1812" s="51">
        <v>43800</v>
      </c>
      <c r="B1812" s="11">
        <v>74</v>
      </c>
      <c r="C1812" s="35" t="s">
        <v>625</v>
      </c>
      <c r="F1812" s="136" t="s">
        <v>4523</v>
      </c>
      <c r="G1812" s="37">
        <v>43817</v>
      </c>
      <c r="H1812" s="34">
        <v>7307</v>
      </c>
      <c r="I1812" s="39">
        <f>VLOOKUP(H1812,'[2]PUR-HSN MASTER'!$A$4:$E$5052,5,FALSE)</f>
        <v>18</v>
      </c>
      <c r="J1812" s="38">
        <v>8</v>
      </c>
      <c r="K1812" s="40">
        <v>435</v>
      </c>
      <c r="L1812" s="39">
        <v>0</v>
      </c>
      <c r="M1812" s="118">
        <f t="shared" si="119"/>
        <v>39.15</v>
      </c>
      <c r="N1812" s="118">
        <f t="shared" si="120"/>
        <v>39.15</v>
      </c>
      <c r="O1812" s="118">
        <v>0</v>
      </c>
      <c r="P1812" s="127">
        <f>+O1812+N1812+M1812+L1812+K1812-0.3</f>
        <v>513</v>
      </c>
      <c r="Q1812" s="34" t="s">
        <v>410</v>
      </c>
      <c r="R1812" s="34" t="str">
        <f>VLOOKUP(C1812,'PUR-PARTY MASTER'!$B$4:$E$2000,4,FALSE)</f>
        <v>Local</v>
      </c>
      <c r="S1812" s="11" t="s">
        <v>4120</v>
      </c>
    </row>
    <row r="1813" spans="1:19" x14ac:dyDescent="0.2">
      <c r="A1813" s="51">
        <v>43800</v>
      </c>
      <c r="C1813" s="35" t="s">
        <v>625</v>
      </c>
      <c r="F1813" s="136" t="s">
        <v>4523</v>
      </c>
      <c r="G1813" s="37">
        <v>43817</v>
      </c>
      <c r="H1813" s="34">
        <v>8481</v>
      </c>
      <c r="I1813" s="39">
        <f>VLOOKUP(H1813,'[2]PUR-HSN MASTER'!$A$4:$E$5052,5,FALSE)</f>
        <v>18</v>
      </c>
      <c r="J1813" s="38">
        <v>4</v>
      </c>
      <c r="K1813" s="40">
        <v>1780</v>
      </c>
      <c r="L1813" s="39">
        <v>0</v>
      </c>
      <c r="M1813" s="118">
        <f t="shared" si="119"/>
        <v>160.20000000000002</v>
      </c>
      <c r="N1813" s="118">
        <f t="shared" si="120"/>
        <v>160.20000000000002</v>
      </c>
      <c r="O1813" s="118">
        <v>0</v>
      </c>
      <c r="P1813" s="127">
        <f t="shared" ref="P1813:P1814" si="122">+O1813+N1813+M1813+L1813+K1813</f>
        <v>2100.4</v>
      </c>
      <c r="Q1813" s="34" t="s">
        <v>410</v>
      </c>
      <c r="R1813" s="34" t="str">
        <f>VLOOKUP(C1813,'PUR-PARTY MASTER'!$B$4:$E$2000,4,FALSE)</f>
        <v>Local</v>
      </c>
      <c r="S1813" s="11" t="s">
        <v>4120</v>
      </c>
    </row>
    <row r="1814" spans="1:19" x14ac:dyDescent="0.2">
      <c r="A1814" s="51">
        <v>43800</v>
      </c>
      <c r="C1814" s="35" t="s">
        <v>625</v>
      </c>
      <c r="F1814" s="136" t="s">
        <v>4523</v>
      </c>
      <c r="G1814" s="37">
        <v>43817</v>
      </c>
      <c r="H1814" s="34">
        <v>39209949</v>
      </c>
      <c r="I1814" s="39">
        <f>VLOOKUP(H1814,'[2]PUR-HSN MASTER'!$A$4:$E$5052,5,FALSE)</f>
        <v>18</v>
      </c>
      <c r="J1814" s="38">
        <v>4</v>
      </c>
      <c r="K1814" s="40">
        <v>120</v>
      </c>
      <c r="L1814" s="39">
        <v>0</v>
      </c>
      <c r="M1814" s="118">
        <f t="shared" si="119"/>
        <v>10.799999999999999</v>
      </c>
      <c r="N1814" s="118">
        <f t="shared" si="120"/>
        <v>10.799999999999999</v>
      </c>
      <c r="O1814" s="118">
        <v>0</v>
      </c>
      <c r="P1814" s="127">
        <f t="shared" si="122"/>
        <v>141.6</v>
      </c>
      <c r="Q1814" s="34" t="s">
        <v>410</v>
      </c>
      <c r="R1814" s="34" t="str">
        <f>VLOOKUP(C1814,'PUR-PARTY MASTER'!$B$4:$E$2000,4,FALSE)</f>
        <v>Local</v>
      </c>
      <c r="S1814" s="11" t="s">
        <v>4120</v>
      </c>
    </row>
    <row r="1815" spans="1:19" x14ac:dyDescent="0.2">
      <c r="A1815" s="51">
        <v>43800</v>
      </c>
      <c r="B1815" s="11">
        <v>75</v>
      </c>
      <c r="C1815" s="35" t="s">
        <v>625</v>
      </c>
      <c r="F1815" s="136" t="s">
        <v>4524</v>
      </c>
      <c r="G1815" s="37">
        <v>43817</v>
      </c>
      <c r="H1815" s="34">
        <v>7307</v>
      </c>
      <c r="I1815" s="39">
        <f>VLOOKUP(H1815,'[2]PUR-HSN MASTER'!$A$4:$E$5052,5,FALSE)</f>
        <v>18</v>
      </c>
      <c r="J1815" s="38">
        <v>2</v>
      </c>
      <c r="K1815" s="40">
        <v>110</v>
      </c>
      <c r="L1815" s="39">
        <v>0</v>
      </c>
      <c r="M1815" s="118">
        <f t="shared" si="119"/>
        <v>9.9</v>
      </c>
      <c r="N1815" s="118">
        <f t="shared" si="120"/>
        <v>9.9</v>
      </c>
      <c r="O1815" s="118">
        <v>0</v>
      </c>
      <c r="P1815" s="127">
        <f>+O1815+N1815+M1815+L1815+K1815+0.2</f>
        <v>130</v>
      </c>
      <c r="Q1815" s="34" t="s">
        <v>410</v>
      </c>
      <c r="R1815" s="34" t="str">
        <f>VLOOKUP(C1815,'PUR-PARTY MASTER'!$B$4:$E$2000,4,FALSE)</f>
        <v>Local</v>
      </c>
      <c r="S1815" s="11" t="s">
        <v>4120</v>
      </c>
    </row>
    <row r="1816" spans="1:19" x14ac:dyDescent="0.2">
      <c r="A1816" s="51">
        <v>43800</v>
      </c>
      <c r="C1816" s="35" t="s">
        <v>625</v>
      </c>
      <c r="F1816" s="136" t="s">
        <v>4524</v>
      </c>
      <c r="G1816" s="37">
        <v>43817</v>
      </c>
      <c r="H1816" s="34">
        <v>8481</v>
      </c>
      <c r="I1816" s="39">
        <f>VLOOKUP(H1816,'[2]PUR-HSN MASTER'!$A$4:$E$5052,5,FALSE)</f>
        <v>18</v>
      </c>
      <c r="J1816" s="38">
        <v>6</v>
      </c>
      <c r="K1816" s="40">
        <v>960</v>
      </c>
      <c r="L1816" s="39">
        <v>0</v>
      </c>
      <c r="M1816" s="118">
        <f t="shared" si="119"/>
        <v>86.399999999999991</v>
      </c>
      <c r="N1816" s="118">
        <f t="shared" si="120"/>
        <v>86.399999999999991</v>
      </c>
      <c r="O1816" s="118">
        <v>0</v>
      </c>
      <c r="P1816" s="127">
        <f>+O1816+N1816+M1816+L1816+K1816+0.2</f>
        <v>1133</v>
      </c>
      <c r="Q1816" s="34" t="s">
        <v>410</v>
      </c>
      <c r="R1816" s="34" t="str">
        <f>VLOOKUP(C1816,'PUR-PARTY MASTER'!$B$4:$E$2000,4,FALSE)</f>
        <v>Local</v>
      </c>
      <c r="S1816" s="11" t="s">
        <v>4120</v>
      </c>
    </row>
    <row r="1817" spans="1:19" x14ac:dyDescent="0.2">
      <c r="A1817" s="51">
        <v>43800</v>
      </c>
      <c r="C1817" s="35" t="s">
        <v>625</v>
      </c>
      <c r="F1817" s="136" t="s">
        <v>4524</v>
      </c>
      <c r="G1817" s="37">
        <v>43817</v>
      </c>
      <c r="H1817" s="34">
        <v>73072200</v>
      </c>
      <c r="I1817" s="39">
        <f>VLOOKUP(H1817,'[2]PUR-HSN MASTER'!$A$4:$E$5052,5,FALSE)</f>
        <v>18</v>
      </c>
      <c r="J1817" s="38">
        <v>1</v>
      </c>
      <c r="K1817" s="40">
        <v>65</v>
      </c>
      <c r="L1817" s="39">
        <v>0</v>
      </c>
      <c r="M1817" s="118">
        <f t="shared" si="119"/>
        <v>5.8500000000000005</v>
      </c>
      <c r="N1817" s="118">
        <f t="shared" si="120"/>
        <v>5.8500000000000005</v>
      </c>
      <c r="O1817" s="118">
        <v>0</v>
      </c>
      <c r="P1817" s="127">
        <f>+O1817+N1817+M1817+L1817+K1817+0.3</f>
        <v>77</v>
      </c>
      <c r="Q1817" s="34" t="s">
        <v>410</v>
      </c>
      <c r="R1817" s="34" t="str">
        <f>VLOOKUP(C1817,'PUR-PARTY MASTER'!$B$4:$E$2000,4,FALSE)</f>
        <v>Local</v>
      </c>
      <c r="S1817" s="11" t="s">
        <v>4120</v>
      </c>
    </row>
    <row r="1818" spans="1:19" x14ac:dyDescent="0.2">
      <c r="A1818" s="51">
        <v>43800</v>
      </c>
      <c r="B1818" s="11">
        <v>76</v>
      </c>
      <c r="C1818" s="632" t="s">
        <v>919</v>
      </c>
      <c r="F1818" s="134" t="s">
        <v>4525</v>
      </c>
      <c r="G1818" s="37">
        <v>43817</v>
      </c>
      <c r="H1818" s="34">
        <v>3917</v>
      </c>
      <c r="I1818" s="39">
        <f>VLOOKUP(H1818,'[2]PUR-HSN MASTER'!$A$4:$E$5052,5,FALSE)</f>
        <v>18</v>
      </c>
      <c r="J1818" s="34">
        <v>20</v>
      </c>
      <c r="K1818" s="126">
        <v>1003</v>
      </c>
      <c r="L1818" s="39">
        <v>0</v>
      </c>
      <c r="M1818" s="118">
        <f t="shared" si="119"/>
        <v>90.27</v>
      </c>
      <c r="N1818" s="118">
        <f t="shared" si="120"/>
        <v>90.27</v>
      </c>
      <c r="O1818" s="118">
        <v>0</v>
      </c>
      <c r="P1818" s="127">
        <f>+O1818+N1818+M1818+L1818+K1818+0.16</f>
        <v>1183.7</v>
      </c>
      <c r="Q1818" s="34" t="s">
        <v>410</v>
      </c>
      <c r="R1818" s="34" t="str">
        <f>VLOOKUP(C1818,'PUR-PARTY MASTER'!$B$4:$E$2000,4,FALSE)</f>
        <v>Local</v>
      </c>
      <c r="S1818" s="11" t="s">
        <v>4120</v>
      </c>
    </row>
    <row r="1819" spans="1:19" x14ac:dyDescent="0.2">
      <c r="A1819" s="51">
        <v>43800</v>
      </c>
      <c r="C1819" s="632" t="s">
        <v>919</v>
      </c>
      <c r="F1819" s="134" t="s">
        <v>4525</v>
      </c>
      <c r="G1819" s="37">
        <v>43817</v>
      </c>
      <c r="H1819" s="34">
        <v>8487</v>
      </c>
      <c r="I1819" s="39">
        <f>VLOOKUP(H1819,'[2]PUR-HSN MASTER'!$A$4:$E$5052,5,FALSE)</f>
        <v>18</v>
      </c>
      <c r="J1819" s="34">
        <v>4</v>
      </c>
      <c r="K1819" s="126">
        <v>312.8</v>
      </c>
      <c r="L1819" s="39">
        <v>0</v>
      </c>
      <c r="M1819" s="118">
        <f t="shared" si="119"/>
        <v>28.152000000000001</v>
      </c>
      <c r="N1819" s="118">
        <f t="shared" si="120"/>
        <v>28.152000000000001</v>
      </c>
      <c r="O1819" s="118">
        <v>0</v>
      </c>
      <c r="P1819" s="127">
        <f>+O1819+N1819+M1819+L1819+K1819</f>
        <v>369.10400000000004</v>
      </c>
      <c r="Q1819" s="34" t="s">
        <v>410</v>
      </c>
      <c r="R1819" s="34" t="str">
        <f>VLOOKUP(C1819,'PUR-PARTY MASTER'!$B$4:$E$2000,4,FALSE)</f>
        <v>Local</v>
      </c>
      <c r="S1819" s="11" t="s">
        <v>4120</v>
      </c>
    </row>
    <row r="1820" spans="1:19" x14ac:dyDescent="0.2">
      <c r="A1820" s="51">
        <v>43800</v>
      </c>
      <c r="C1820" s="632" t="s">
        <v>919</v>
      </c>
      <c r="F1820" s="134" t="s">
        <v>4525</v>
      </c>
      <c r="G1820" s="37">
        <v>43817</v>
      </c>
      <c r="H1820" s="34">
        <v>8481</v>
      </c>
      <c r="I1820" s="39">
        <f>VLOOKUP(H1820,'[2]PUR-HSN MASTER'!$A$4:$E$5052,5,FALSE)</f>
        <v>18</v>
      </c>
      <c r="J1820" s="34">
        <v>4</v>
      </c>
      <c r="K1820" s="126">
        <f>440+1841.1</f>
        <v>2281.1</v>
      </c>
      <c r="L1820" s="39">
        <v>0</v>
      </c>
      <c r="M1820" s="118">
        <f t="shared" si="119"/>
        <v>205.29900000000001</v>
      </c>
      <c r="N1820" s="118">
        <f t="shared" si="120"/>
        <v>205.29900000000001</v>
      </c>
      <c r="O1820" s="118">
        <v>0</v>
      </c>
      <c r="P1820" s="127">
        <f t="shared" ref="P1820:P1821" si="123">+O1820+N1820+M1820+L1820+K1820</f>
        <v>2691.6979999999999</v>
      </c>
      <c r="Q1820" s="34" t="s">
        <v>410</v>
      </c>
      <c r="R1820" s="34" t="str">
        <f>VLOOKUP(C1820,'PUR-PARTY MASTER'!$B$4:$E$2000,4,FALSE)</f>
        <v>Local</v>
      </c>
      <c r="S1820" s="11" t="s">
        <v>4120</v>
      </c>
    </row>
    <row r="1821" spans="1:19" x14ac:dyDescent="0.2">
      <c r="A1821" s="51">
        <v>43800</v>
      </c>
      <c r="C1821" s="632" t="s">
        <v>919</v>
      </c>
      <c r="F1821" s="134" t="s">
        <v>4525</v>
      </c>
      <c r="G1821" s="37">
        <v>43817</v>
      </c>
      <c r="H1821" s="34">
        <v>7307</v>
      </c>
      <c r="I1821" s="39">
        <f>VLOOKUP(H1821,'[2]PUR-HSN MASTER'!$A$4:$E$5052,5,FALSE)</f>
        <v>18</v>
      </c>
      <c r="J1821" s="34">
        <v>4</v>
      </c>
      <c r="K1821" s="126">
        <f>120+70</f>
        <v>190</v>
      </c>
      <c r="L1821" s="39">
        <v>0</v>
      </c>
      <c r="M1821" s="118">
        <f t="shared" si="119"/>
        <v>17.099999999999998</v>
      </c>
      <c r="N1821" s="118">
        <f t="shared" si="120"/>
        <v>17.099999999999998</v>
      </c>
      <c r="O1821" s="118">
        <v>0</v>
      </c>
      <c r="P1821" s="127">
        <f t="shared" si="123"/>
        <v>224.2</v>
      </c>
      <c r="Q1821" s="34" t="s">
        <v>410</v>
      </c>
      <c r="R1821" s="34" t="str">
        <f>VLOOKUP(C1821,'PUR-PARTY MASTER'!$B$4:$E$2000,4,FALSE)</f>
        <v>Local</v>
      </c>
      <c r="S1821" s="11" t="s">
        <v>4120</v>
      </c>
    </row>
    <row r="1822" spans="1:19" x14ac:dyDescent="0.2">
      <c r="A1822" s="51">
        <v>43800</v>
      </c>
      <c r="C1822" s="632" t="s">
        <v>919</v>
      </c>
      <c r="F1822" s="134" t="s">
        <v>4525</v>
      </c>
      <c r="G1822" s="37">
        <v>43817</v>
      </c>
      <c r="H1822" s="34">
        <v>9026</v>
      </c>
      <c r="I1822" s="39">
        <f>VLOOKUP(H1822,'[2]PUR-HSN MASTER'!$A$4:$E$5052,5,FALSE)</f>
        <v>18</v>
      </c>
      <c r="J1822" s="34">
        <v>2</v>
      </c>
      <c r="K1822" s="126">
        <v>338.3</v>
      </c>
      <c r="L1822" s="39">
        <v>0</v>
      </c>
      <c r="M1822" s="118">
        <f t="shared" si="119"/>
        <v>30.446999999999999</v>
      </c>
      <c r="N1822" s="118">
        <f t="shared" si="120"/>
        <v>30.446999999999999</v>
      </c>
      <c r="O1822" s="118">
        <v>0</v>
      </c>
      <c r="P1822" s="127">
        <f>+O1822+N1822+M1822+L1822+K1822+0.1</f>
        <v>399.29400000000004</v>
      </c>
      <c r="Q1822" s="34" t="s">
        <v>410</v>
      </c>
      <c r="R1822" s="34" t="str">
        <f>VLOOKUP(C1822,'PUR-PARTY MASTER'!$B$4:$E$2000,4,FALSE)</f>
        <v>Local</v>
      </c>
      <c r="S1822" s="11" t="s">
        <v>4120</v>
      </c>
    </row>
    <row r="1823" spans="1:19" x14ac:dyDescent="0.2">
      <c r="A1823" s="51">
        <v>43800</v>
      </c>
      <c r="B1823" s="11">
        <v>77</v>
      </c>
      <c r="C1823" s="35" t="s">
        <v>551</v>
      </c>
      <c r="F1823" s="136" t="s">
        <v>4526</v>
      </c>
      <c r="G1823" s="37">
        <v>43818</v>
      </c>
      <c r="H1823" s="34">
        <v>84439959</v>
      </c>
      <c r="I1823" s="39">
        <f>VLOOKUP(H1823,'[2]PUR-HSN MASTER'!$A$4:$E$5052,5,FALSE)</f>
        <v>18</v>
      </c>
      <c r="J1823" s="38">
        <v>0</v>
      </c>
      <c r="K1823" s="40">
        <v>1950</v>
      </c>
      <c r="L1823" s="118">
        <f t="shared" ref="L1823:L1830" si="124">+IF(R1823="Oms",K1823/100*I1823,0)</f>
        <v>0</v>
      </c>
      <c r="M1823" s="118">
        <f t="shared" si="119"/>
        <v>175.5</v>
      </c>
      <c r="N1823" s="118">
        <f t="shared" si="120"/>
        <v>175.5</v>
      </c>
      <c r="O1823" s="118">
        <v>0</v>
      </c>
      <c r="P1823" s="127">
        <f t="shared" ref="P1823:P1824" si="125">+O1823+N1823+M1823+L1823+K1823</f>
        <v>2301</v>
      </c>
      <c r="Q1823" s="34" t="s">
        <v>411</v>
      </c>
      <c r="R1823" s="34" t="str">
        <f>VLOOKUP(C1823,'PUR-PARTY MASTER'!$B$4:$E$2000,4,FALSE)</f>
        <v>Local</v>
      </c>
      <c r="S1823" s="11" t="s">
        <v>4120</v>
      </c>
    </row>
    <row r="1824" spans="1:19" x14ac:dyDescent="0.2">
      <c r="A1824" s="980"/>
      <c r="C1824" s="35" t="s">
        <v>551</v>
      </c>
      <c r="F1824" s="136" t="s">
        <v>4526</v>
      </c>
      <c r="G1824" s="37">
        <v>43818</v>
      </c>
      <c r="H1824" s="34">
        <v>37079090</v>
      </c>
      <c r="I1824" s="39">
        <f>VLOOKUP(H1824,'[2]PUR-HSN MASTER'!$A$4:$E$5052,5,FALSE)</f>
        <v>18</v>
      </c>
      <c r="J1824" s="38">
        <v>1</v>
      </c>
      <c r="K1824" s="40">
        <v>300</v>
      </c>
      <c r="L1824" s="118">
        <f t="shared" si="124"/>
        <v>0</v>
      </c>
      <c r="M1824" s="118">
        <f t="shared" si="119"/>
        <v>27</v>
      </c>
      <c r="N1824" s="118">
        <f t="shared" si="120"/>
        <v>27</v>
      </c>
      <c r="O1824" s="118">
        <v>0</v>
      </c>
      <c r="P1824" s="127">
        <f t="shared" si="125"/>
        <v>354</v>
      </c>
      <c r="Q1824" s="34" t="s">
        <v>411</v>
      </c>
      <c r="R1824" s="34" t="str">
        <f>VLOOKUP(C1824,'PUR-PARTY MASTER'!$B$4:$E$2000,4,FALSE)</f>
        <v>Local</v>
      </c>
      <c r="S1824" s="11" t="s">
        <v>4120</v>
      </c>
    </row>
    <row r="1825" spans="1:19" x14ac:dyDescent="0.2">
      <c r="A1825" s="51">
        <v>43800</v>
      </c>
      <c r="B1825" s="11">
        <v>78</v>
      </c>
      <c r="C1825" s="633" t="s">
        <v>1166</v>
      </c>
      <c r="F1825" s="136">
        <v>927166890</v>
      </c>
      <c r="G1825" s="37">
        <v>43819</v>
      </c>
      <c r="H1825" s="34">
        <v>9967</v>
      </c>
      <c r="I1825" s="39">
        <f>VLOOKUP(H1825,'[2]PUR-HSN MASTER'!$A$4:$E$5052,5,FALSE)</f>
        <v>18</v>
      </c>
      <c r="J1825" s="38">
        <v>0</v>
      </c>
      <c r="K1825" s="40">
        <v>1800</v>
      </c>
      <c r="L1825" s="118">
        <f t="shared" si="124"/>
        <v>0</v>
      </c>
      <c r="M1825" s="118">
        <f t="shared" si="119"/>
        <v>162</v>
      </c>
      <c r="N1825" s="118">
        <f t="shared" si="120"/>
        <v>162</v>
      </c>
      <c r="O1825" s="118">
        <v>0</v>
      </c>
      <c r="P1825" s="127">
        <f>+O1825+N1825+M1825+L1825+K1825+139</f>
        <v>2263</v>
      </c>
      <c r="Q1825" s="34" t="s">
        <v>411</v>
      </c>
      <c r="R1825" s="34" t="str">
        <f>VLOOKUP(C1825,'PUR-PARTY MASTER'!$B$4:$E$2000,4,FALSE)</f>
        <v>Local</v>
      </c>
      <c r="S1825" s="11" t="s">
        <v>4120</v>
      </c>
    </row>
    <row r="1826" spans="1:19" x14ac:dyDescent="0.2">
      <c r="A1826" s="51">
        <v>43800</v>
      </c>
      <c r="B1826" s="11">
        <v>79</v>
      </c>
      <c r="C1826" s="34" t="s">
        <v>688</v>
      </c>
      <c r="F1826" s="626" t="s">
        <v>4527</v>
      </c>
      <c r="G1826" s="37">
        <v>43811</v>
      </c>
      <c r="H1826" s="34">
        <v>39206290</v>
      </c>
      <c r="I1826" s="39">
        <f>VLOOKUP(H1826,'[2]PUR-HSN MASTER'!$A$4:$E$5052,5,FALSE)</f>
        <v>18</v>
      </c>
      <c r="J1826" s="122">
        <v>1000</v>
      </c>
      <c r="K1826" s="39">
        <v>174700.6</v>
      </c>
      <c r="L1826" s="118">
        <f t="shared" si="124"/>
        <v>31446.108</v>
      </c>
      <c r="M1826" s="118">
        <f t="shared" si="119"/>
        <v>0</v>
      </c>
      <c r="N1826" s="118">
        <f t="shared" si="120"/>
        <v>0</v>
      </c>
      <c r="O1826" s="118">
        <v>0</v>
      </c>
      <c r="P1826" s="127">
        <f t="shared" ref="P1826" si="126">+O1826+N1826+M1826+L1826+K1826+139</f>
        <v>206285.70800000001</v>
      </c>
      <c r="Q1826" s="34" t="s">
        <v>407</v>
      </c>
      <c r="R1826" s="34" t="str">
        <f>VLOOKUP(C1826,'PUR-PARTY MASTER'!$B$4:$E$2000,4,FALSE)</f>
        <v>Oms</v>
      </c>
      <c r="S1826" s="11" t="s">
        <v>4120</v>
      </c>
    </row>
    <row r="1827" spans="1:19" x14ac:dyDescent="0.2">
      <c r="A1827" s="51">
        <v>43800</v>
      </c>
      <c r="B1827" s="11">
        <v>80</v>
      </c>
      <c r="C1827" s="35" t="s">
        <v>594</v>
      </c>
      <c r="F1827" s="134">
        <v>191011601</v>
      </c>
      <c r="G1827" s="37">
        <v>43818</v>
      </c>
      <c r="H1827" s="34">
        <v>84211100</v>
      </c>
      <c r="I1827" s="39">
        <f>VLOOKUP(H1827,'[2]PUR-HSN MASTER'!$A$4:$E$5052,5,FALSE)</f>
        <v>18</v>
      </c>
      <c r="J1827" s="38">
        <v>1</v>
      </c>
      <c r="K1827" s="40">
        <v>19813</v>
      </c>
      <c r="L1827" s="118">
        <f t="shared" si="124"/>
        <v>0</v>
      </c>
      <c r="M1827" s="118">
        <f t="shared" si="119"/>
        <v>1783.17</v>
      </c>
      <c r="N1827" s="118">
        <f t="shared" si="120"/>
        <v>1783.17</v>
      </c>
      <c r="O1827" s="118">
        <v>0</v>
      </c>
      <c r="P1827" s="127">
        <f>+O1827+N1827+M1827+L1827+K1827+0.26</f>
        <v>23379.599999999999</v>
      </c>
      <c r="Q1827" s="34" t="s">
        <v>410</v>
      </c>
      <c r="R1827" s="34" t="str">
        <f>VLOOKUP(C1827,'PUR-PARTY MASTER'!$B$4:$E$2000,4,FALSE)</f>
        <v>Local</v>
      </c>
      <c r="S1827" s="11" t="s">
        <v>4120</v>
      </c>
    </row>
    <row r="1828" spans="1:19" x14ac:dyDescent="0.2">
      <c r="A1828" s="51">
        <v>43800</v>
      </c>
      <c r="C1828" s="35" t="s">
        <v>594</v>
      </c>
      <c r="F1828" s="134">
        <v>191011601</v>
      </c>
      <c r="G1828" s="37">
        <v>43818</v>
      </c>
      <c r="H1828" s="34">
        <v>84818010</v>
      </c>
      <c r="I1828" s="39">
        <f>VLOOKUP(H1828,'[2]PUR-HSN MASTER'!$A$4:$E$5052,5,FALSE)</f>
        <v>18</v>
      </c>
      <c r="J1828" s="38">
        <v>1</v>
      </c>
      <c r="K1828" s="40">
        <v>580</v>
      </c>
      <c r="L1828" s="118">
        <f t="shared" si="124"/>
        <v>0</v>
      </c>
      <c r="M1828" s="118">
        <f t="shared" si="119"/>
        <v>52.199999999999996</v>
      </c>
      <c r="N1828" s="118">
        <f t="shared" si="120"/>
        <v>52.199999999999996</v>
      </c>
      <c r="O1828" s="118">
        <v>0</v>
      </c>
      <c r="P1828" s="127">
        <f t="shared" ref="P1828:P1847" si="127">+O1828+N1828+M1828+L1828+K1828</f>
        <v>684.4</v>
      </c>
      <c r="Q1828" s="34" t="s">
        <v>410</v>
      </c>
      <c r="R1828" s="34" t="str">
        <f>VLOOKUP(C1828,'PUR-PARTY MASTER'!$B$4:$E$2000,4,FALSE)</f>
        <v>Local</v>
      </c>
      <c r="S1828" s="11" t="s">
        <v>4120</v>
      </c>
    </row>
    <row r="1829" spans="1:19" x14ac:dyDescent="0.2">
      <c r="A1829" s="51">
        <v>43800</v>
      </c>
      <c r="B1829" s="11">
        <v>81</v>
      </c>
      <c r="C1829" s="11" t="s">
        <v>1133</v>
      </c>
      <c r="F1829" s="134" t="s">
        <v>4528</v>
      </c>
      <c r="G1829" s="37">
        <v>43799</v>
      </c>
      <c r="H1829" s="34">
        <v>87141090</v>
      </c>
      <c r="I1829" s="39">
        <f>VLOOKUP(H1829,'[2]PUR-HSN MASTER'!$A$4:$E$5052,5,FALSE)</f>
        <v>28</v>
      </c>
      <c r="J1829" s="38">
        <v>5</v>
      </c>
      <c r="K1829" s="40">
        <v>376.85</v>
      </c>
      <c r="L1829" s="118">
        <f t="shared" si="124"/>
        <v>0</v>
      </c>
      <c r="M1829" s="118">
        <f t="shared" si="119"/>
        <v>52.759000000000007</v>
      </c>
      <c r="N1829" s="118">
        <f t="shared" si="120"/>
        <v>52.759000000000007</v>
      </c>
      <c r="O1829" s="118">
        <v>0</v>
      </c>
      <c r="P1829" s="127">
        <f t="shared" si="127"/>
        <v>482.36800000000005</v>
      </c>
      <c r="Q1829" s="34" t="s">
        <v>410</v>
      </c>
      <c r="R1829" s="34" t="str">
        <f>VLOOKUP(C1829,'PUR-PARTY MASTER'!$B$4:$E$2000,4,FALSE)</f>
        <v>Local</v>
      </c>
      <c r="S1829" s="11" t="s">
        <v>4120</v>
      </c>
    </row>
    <row r="1830" spans="1:19" x14ac:dyDescent="0.2">
      <c r="A1830" s="51">
        <v>43800</v>
      </c>
      <c r="B1830" s="11">
        <v>82</v>
      </c>
      <c r="C1830" s="35" t="s">
        <v>554</v>
      </c>
      <c r="F1830" s="136">
        <v>15393</v>
      </c>
      <c r="G1830" s="37">
        <v>43819</v>
      </c>
      <c r="H1830" s="34">
        <v>87141900</v>
      </c>
      <c r="I1830" s="39">
        <f>VLOOKUP(H1830,'[2]PUR-HSN MASTER'!$A$4:$E$5052,5,FALSE)</f>
        <v>28</v>
      </c>
      <c r="J1830" s="34">
        <v>1235</v>
      </c>
      <c r="K1830" s="126">
        <v>2976.35</v>
      </c>
      <c r="L1830" s="118">
        <f t="shared" si="124"/>
        <v>0</v>
      </c>
      <c r="M1830" s="118">
        <f>+IF(R1830="local",K1830/100*I1830/2,0)</f>
        <v>416.68900000000002</v>
      </c>
      <c r="N1830" s="118">
        <f>+IF(R1830="local",K1830/100*I1830/2,0)</f>
        <v>416.68900000000002</v>
      </c>
      <c r="O1830" s="118">
        <v>0</v>
      </c>
      <c r="P1830" s="127">
        <f t="shared" si="127"/>
        <v>3809.7280000000001</v>
      </c>
      <c r="Q1830" s="34" t="s">
        <v>410</v>
      </c>
      <c r="R1830" s="34" t="str">
        <f>VLOOKUP(C1830,'PUR-PARTY MASTER'!$B$4:$E$2000,4,FALSE)</f>
        <v>Local</v>
      </c>
      <c r="S1830" s="11" t="s">
        <v>4120</v>
      </c>
    </row>
    <row r="1831" spans="1:19" x14ac:dyDescent="0.2">
      <c r="A1831" s="51">
        <v>43800</v>
      </c>
      <c r="B1831" s="11">
        <v>83</v>
      </c>
      <c r="C1831" s="35" t="s">
        <v>565</v>
      </c>
      <c r="F1831" s="134">
        <v>5224</v>
      </c>
      <c r="G1831" s="37">
        <v>43801</v>
      </c>
      <c r="H1831" s="34">
        <v>8301</v>
      </c>
      <c r="I1831" s="39">
        <f>VLOOKUP(H1831,'[2]PUR-HSN MASTER'!$A$4:$E$5052,5,FALSE)</f>
        <v>18</v>
      </c>
      <c r="J1831" s="38">
        <v>2</v>
      </c>
      <c r="K1831" s="40">
        <v>380</v>
      </c>
      <c r="L1831" s="39">
        <v>0</v>
      </c>
      <c r="M1831" s="118">
        <f t="shared" ref="M1831:M1847" si="128">+IF(R1831="local",K1831/100*I1831/2,0)</f>
        <v>34.199999999999996</v>
      </c>
      <c r="N1831" s="118">
        <f t="shared" ref="N1831:N1847" si="129">+IF(R1831="local",K1831/100*I1831/2,0)</f>
        <v>34.199999999999996</v>
      </c>
      <c r="O1831" s="118">
        <v>0</v>
      </c>
      <c r="P1831" s="127">
        <f t="shared" si="127"/>
        <v>448.4</v>
      </c>
      <c r="Q1831" s="34" t="s">
        <v>410</v>
      </c>
      <c r="R1831" s="34" t="str">
        <f>VLOOKUP(C1831,'PUR-PARTY MASTER'!$B$4:$E$2000,4,FALSE)</f>
        <v>Local</v>
      </c>
      <c r="S1831" s="11" t="s">
        <v>4120</v>
      </c>
    </row>
    <row r="1832" spans="1:19" x14ac:dyDescent="0.2">
      <c r="A1832" s="51">
        <v>43800</v>
      </c>
      <c r="C1832" s="35" t="s">
        <v>565</v>
      </c>
      <c r="F1832" s="134">
        <v>5224</v>
      </c>
      <c r="G1832" s="37">
        <v>43801</v>
      </c>
      <c r="H1832" s="34">
        <v>3924</v>
      </c>
      <c r="I1832" s="39">
        <f>VLOOKUP(H1832,'[2]PUR-HSN MASTER'!$A$4:$E$5052,5,FALSE)</f>
        <v>18</v>
      </c>
      <c r="J1832" s="38">
        <v>5</v>
      </c>
      <c r="K1832" s="40">
        <v>50</v>
      </c>
      <c r="L1832" s="39">
        <v>0</v>
      </c>
      <c r="M1832" s="118">
        <f t="shared" si="128"/>
        <v>4.5</v>
      </c>
      <c r="N1832" s="118">
        <f t="shared" si="129"/>
        <v>4.5</v>
      </c>
      <c r="O1832" s="118">
        <v>0</v>
      </c>
      <c r="P1832" s="127">
        <f t="shared" si="127"/>
        <v>59</v>
      </c>
      <c r="Q1832" s="34" t="s">
        <v>410</v>
      </c>
      <c r="R1832" s="34" t="str">
        <f>VLOOKUP(C1832,'PUR-PARTY MASTER'!$B$4:$E$2000,4,FALSE)</f>
        <v>Local</v>
      </c>
      <c r="S1832" s="11" t="s">
        <v>4120</v>
      </c>
    </row>
    <row r="1833" spans="1:19" x14ac:dyDescent="0.2">
      <c r="A1833" s="51">
        <v>43800</v>
      </c>
      <c r="C1833" s="35" t="s">
        <v>565</v>
      </c>
      <c r="F1833" s="134">
        <v>5224</v>
      </c>
      <c r="G1833" s="37">
        <v>43801</v>
      </c>
      <c r="H1833" s="34">
        <v>8481</v>
      </c>
      <c r="I1833" s="39">
        <f>VLOOKUP(H1833,'[2]PUR-HSN MASTER'!$A$4:$E$5052,5,FALSE)</f>
        <v>18</v>
      </c>
      <c r="J1833" s="38">
        <v>2</v>
      </c>
      <c r="K1833" s="40">
        <v>350</v>
      </c>
      <c r="L1833" s="39">
        <v>0</v>
      </c>
      <c r="M1833" s="118">
        <f t="shared" si="128"/>
        <v>31.5</v>
      </c>
      <c r="N1833" s="118">
        <f t="shared" si="129"/>
        <v>31.5</v>
      </c>
      <c r="O1833" s="118">
        <v>0</v>
      </c>
      <c r="P1833" s="127">
        <f t="shared" si="127"/>
        <v>413</v>
      </c>
      <c r="Q1833" s="34" t="s">
        <v>410</v>
      </c>
      <c r="R1833" s="34" t="str">
        <f>VLOOKUP(C1833,'PUR-PARTY MASTER'!$B$4:$E$2000,4,FALSE)</f>
        <v>Local</v>
      </c>
      <c r="S1833" s="11" t="s">
        <v>4120</v>
      </c>
    </row>
    <row r="1834" spans="1:19" x14ac:dyDescent="0.2">
      <c r="A1834" s="51">
        <v>43800</v>
      </c>
      <c r="C1834" s="35" t="s">
        <v>565</v>
      </c>
      <c r="F1834" s="134">
        <v>5224</v>
      </c>
      <c r="G1834" s="37">
        <v>43801</v>
      </c>
      <c r="H1834" s="34">
        <v>8538</v>
      </c>
      <c r="I1834" s="39">
        <f>VLOOKUP(H1834,'[2]PUR-HSN MASTER'!$A$4:$E$5052,5,FALSE)</f>
        <v>18</v>
      </c>
      <c r="J1834" s="38">
        <v>1</v>
      </c>
      <c r="K1834" s="40">
        <v>30</v>
      </c>
      <c r="L1834" s="39">
        <v>0</v>
      </c>
      <c r="M1834" s="118">
        <f t="shared" si="128"/>
        <v>2.6999999999999997</v>
      </c>
      <c r="N1834" s="118">
        <f t="shared" si="129"/>
        <v>2.6999999999999997</v>
      </c>
      <c r="O1834" s="118">
        <v>0</v>
      </c>
      <c r="P1834" s="127">
        <f t="shared" si="127"/>
        <v>35.4</v>
      </c>
      <c r="Q1834" s="34" t="s">
        <v>410</v>
      </c>
      <c r="R1834" s="34" t="str">
        <f>VLOOKUP(C1834,'PUR-PARTY MASTER'!$B$4:$E$2000,4,FALSE)</f>
        <v>Local</v>
      </c>
      <c r="S1834" s="11" t="s">
        <v>4120</v>
      </c>
    </row>
    <row r="1835" spans="1:19" x14ac:dyDescent="0.2">
      <c r="A1835" s="51">
        <v>43800</v>
      </c>
      <c r="C1835" s="35" t="s">
        <v>565</v>
      </c>
      <c r="F1835" s="134">
        <v>5224</v>
      </c>
      <c r="G1835" s="37">
        <v>43801</v>
      </c>
      <c r="H1835" s="34">
        <v>3506</v>
      </c>
      <c r="I1835" s="39">
        <f>VLOOKUP(H1835,'[2]PUR-HSN MASTER'!$A$4:$E$5052,5,FALSE)</f>
        <v>18</v>
      </c>
      <c r="J1835" s="38">
        <v>1</v>
      </c>
      <c r="K1835" s="40">
        <v>271.17</v>
      </c>
      <c r="L1835" s="39">
        <v>0</v>
      </c>
      <c r="M1835" s="118">
        <f>+IF(R1835="local",K1835/100*I1835/2,0)+0.04</f>
        <v>24.4453</v>
      </c>
      <c r="N1835" s="118">
        <f>+IF(R1835="local",K1835/100*I1835/2,0)+0.04</f>
        <v>24.4453</v>
      </c>
      <c r="O1835" s="118">
        <v>0</v>
      </c>
      <c r="P1835" s="127">
        <f>+O1835+N1835+M1835+L1835+K1835+0.04</f>
        <v>320.10060000000004</v>
      </c>
      <c r="Q1835" s="34" t="s">
        <v>410</v>
      </c>
      <c r="R1835" s="34" t="str">
        <f>VLOOKUP(C1835,'PUR-PARTY MASTER'!$B$4:$E$2000,4,FALSE)</f>
        <v>Local</v>
      </c>
      <c r="S1835" s="11" t="s">
        <v>4120</v>
      </c>
    </row>
    <row r="1836" spans="1:19" x14ac:dyDescent="0.2">
      <c r="A1836" s="51">
        <v>43800</v>
      </c>
      <c r="C1836" s="35" t="s">
        <v>565</v>
      </c>
      <c r="F1836" s="134">
        <v>5224</v>
      </c>
      <c r="G1836" s="37">
        <v>43801</v>
      </c>
      <c r="H1836" s="34">
        <v>8204</v>
      </c>
      <c r="I1836" s="39">
        <f>VLOOKUP(H1836,'[2]PUR-HSN MASTER'!$A$4:$E$5052,5,FALSE)</f>
        <v>18</v>
      </c>
      <c r="J1836" s="38">
        <v>2</v>
      </c>
      <c r="K1836" s="40">
        <v>927.2</v>
      </c>
      <c r="L1836" s="39">
        <v>0</v>
      </c>
      <c r="M1836" s="118">
        <f t="shared" si="128"/>
        <v>83.448000000000008</v>
      </c>
      <c r="N1836" s="118">
        <f t="shared" si="129"/>
        <v>83.448000000000008</v>
      </c>
      <c r="O1836" s="118">
        <v>0</v>
      </c>
      <c r="P1836" s="127">
        <f t="shared" si="127"/>
        <v>1094.096</v>
      </c>
      <c r="Q1836" s="34" t="s">
        <v>410</v>
      </c>
      <c r="R1836" s="34" t="str">
        <f>VLOOKUP(C1836,'PUR-PARTY MASTER'!$B$4:$E$2000,4,FALSE)</f>
        <v>Local</v>
      </c>
      <c r="S1836" s="11" t="s">
        <v>4120</v>
      </c>
    </row>
    <row r="1837" spans="1:19" x14ac:dyDescent="0.2">
      <c r="A1837" s="51">
        <v>43800</v>
      </c>
      <c r="C1837" s="35" t="s">
        <v>565</v>
      </c>
      <c r="F1837" s="134">
        <v>5224</v>
      </c>
      <c r="G1837" s="37">
        <v>43801</v>
      </c>
      <c r="H1837" s="34">
        <v>3920</v>
      </c>
      <c r="I1837" s="39">
        <f>VLOOKUP(H1837,'[2]PUR-HSN MASTER'!$A$4:$E$5052,5,FALSE)</f>
        <v>18</v>
      </c>
      <c r="J1837" s="38">
        <v>8</v>
      </c>
      <c r="K1837" s="40">
        <v>160</v>
      </c>
      <c r="L1837" s="39">
        <v>0</v>
      </c>
      <c r="M1837" s="118">
        <f t="shared" si="128"/>
        <v>14.4</v>
      </c>
      <c r="N1837" s="118">
        <f t="shared" si="129"/>
        <v>14.4</v>
      </c>
      <c r="O1837" s="118">
        <v>0</v>
      </c>
      <c r="P1837" s="127">
        <f t="shared" si="127"/>
        <v>188.8</v>
      </c>
      <c r="Q1837" s="34" t="s">
        <v>410</v>
      </c>
      <c r="R1837" s="34" t="str">
        <f>VLOOKUP(C1837,'PUR-PARTY MASTER'!$B$4:$E$2000,4,FALSE)</f>
        <v>Local</v>
      </c>
      <c r="S1837" s="11" t="s">
        <v>4120</v>
      </c>
    </row>
    <row r="1838" spans="1:19" x14ac:dyDescent="0.2">
      <c r="A1838" s="51">
        <v>43800</v>
      </c>
      <c r="C1838" s="35" t="s">
        <v>565</v>
      </c>
      <c r="F1838" s="134">
        <v>5224</v>
      </c>
      <c r="G1838" s="37">
        <v>43801</v>
      </c>
      <c r="H1838" s="34">
        <v>3208</v>
      </c>
      <c r="I1838" s="39">
        <f>VLOOKUP(H1838,'[2]PUR-HSN MASTER'!$A$4:$E$5052,5,FALSE)</f>
        <v>18</v>
      </c>
      <c r="J1838" s="38">
        <v>1</v>
      </c>
      <c r="K1838" s="40">
        <v>237.27</v>
      </c>
      <c r="L1838" s="39">
        <v>0</v>
      </c>
      <c r="M1838" s="118">
        <f t="shared" si="128"/>
        <v>21.354300000000002</v>
      </c>
      <c r="N1838" s="118">
        <f t="shared" si="129"/>
        <v>21.354300000000002</v>
      </c>
      <c r="O1838" s="118">
        <v>0</v>
      </c>
      <c r="P1838" s="127">
        <f>+O1838+N1838+M1838+L1838+K1838+0.02</f>
        <v>279.99860000000001</v>
      </c>
      <c r="Q1838" s="34" t="s">
        <v>410</v>
      </c>
      <c r="R1838" s="34" t="str">
        <f>VLOOKUP(C1838,'PUR-PARTY MASTER'!$B$4:$E$2000,4,FALSE)</f>
        <v>Local</v>
      </c>
      <c r="S1838" s="11" t="s">
        <v>4120</v>
      </c>
    </row>
    <row r="1839" spans="1:19" x14ac:dyDescent="0.2">
      <c r="A1839" s="51">
        <v>43800</v>
      </c>
      <c r="C1839" s="35" t="s">
        <v>565</v>
      </c>
      <c r="F1839" s="134">
        <v>5224</v>
      </c>
      <c r="G1839" s="37">
        <v>43801</v>
      </c>
      <c r="H1839" s="34">
        <v>3917</v>
      </c>
      <c r="I1839" s="39">
        <f>VLOOKUP(H1839,'[2]PUR-HSN MASTER'!$A$4:$E$5052,5,FALSE)</f>
        <v>18</v>
      </c>
      <c r="J1839" s="38">
        <v>1</v>
      </c>
      <c r="K1839" s="40">
        <v>450</v>
      </c>
      <c r="L1839" s="39">
        <v>0</v>
      </c>
      <c r="M1839" s="118">
        <f t="shared" si="128"/>
        <v>40.5</v>
      </c>
      <c r="N1839" s="118">
        <f t="shared" si="129"/>
        <v>40.5</v>
      </c>
      <c r="O1839" s="118">
        <v>0</v>
      </c>
      <c r="P1839" s="127">
        <f t="shared" si="127"/>
        <v>531</v>
      </c>
      <c r="Q1839" s="34" t="s">
        <v>410</v>
      </c>
      <c r="R1839" s="34" t="str">
        <f>VLOOKUP(C1839,'PUR-PARTY MASTER'!$B$4:$E$2000,4,FALSE)</f>
        <v>Local</v>
      </c>
      <c r="S1839" s="11" t="s">
        <v>4120</v>
      </c>
    </row>
    <row r="1840" spans="1:19" x14ac:dyDescent="0.2">
      <c r="A1840" s="51">
        <v>43800</v>
      </c>
      <c r="C1840" s="35" t="s">
        <v>565</v>
      </c>
      <c r="F1840" s="134">
        <v>5224</v>
      </c>
      <c r="G1840" s="37">
        <v>43801</v>
      </c>
      <c r="H1840" s="34">
        <v>7317</v>
      </c>
      <c r="I1840" s="39">
        <f>VLOOKUP(H1840,'[2]PUR-HSN MASTER'!$A$4:$E$5052,5,FALSE)</f>
        <v>18</v>
      </c>
      <c r="J1840" s="38">
        <v>330</v>
      </c>
      <c r="K1840" s="40">
        <v>591</v>
      </c>
      <c r="L1840" s="39">
        <v>0</v>
      </c>
      <c r="M1840" s="118">
        <f t="shared" si="128"/>
        <v>53.19</v>
      </c>
      <c r="N1840" s="118">
        <f t="shared" si="129"/>
        <v>53.19</v>
      </c>
      <c r="O1840" s="118">
        <v>0</v>
      </c>
      <c r="P1840" s="127">
        <f>+O1840+N1840+M1840+L1840+K1840+0.12</f>
        <v>697.5</v>
      </c>
      <c r="Q1840" s="34" t="s">
        <v>410</v>
      </c>
      <c r="R1840" s="34" t="str">
        <f>VLOOKUP(C1840,'PUR-PARTY MASTER'!$B$4:$E$2000,4,FALSE)</f>
        <v>Local</v>
      </c>
      <c r="S1840" s="11" t="s">
        <v>4120</v>
      </c>
    </row>
    <row r="1841" spans="1:19" x14ac:dyDescent="0.2">
      <c r="A1841" s="51">
        <v>43800</v>
      </c>
      <c r="C1841" s="35" t="s">
        <v>565</v>
      </c>
      <c r="F1841" s="134">
        <v>5224</v>
      </c>
      <c r="G1841" s="37">
        <v>43801</v>
      </c>
      <c r="H1841" s="34">
        <v>7318</v>
      </c>
      <c r="J1841" s="38">
        <v>20</v>
      </c>
      <c r="K1841" s="40">
        <v>60</v>
      </c>
      <c r="L1841" s="39">
        <v>0</v>
      </c>
      <c r="M1841" s="118">
        <f t="shared" si="128"/>
        <v>0</v>
      </c>
      <c r="N1841" s="118">
        <f t="shared" si="129"/>
        <v>0</v>
      </c>
      <c r="O1841" s="118">
        <v>0</v>
      </c>
      <c r="P1841" s="127">
        <f t="shared" si="127"/>
        <v>60</v>
      </c>
      <c r="Q1841" s="34" t="s">
        <v>410</v>
      </c>
      <c r="R1841" s="34" t="str">
        <f>VLOOKUP(C1841,'PUR-PARTY MASTER'!$B$4:$E$2000,4,FALSE)</f>
        <v>Local</v>
      </c>
      <c r="S1841" s="11" t="s">
        <v>4120</v>
      </c>
    </row>
    <row r="1842" spans="1:19" x14ac:dyDescent="0.2">
      <c r="A1842" s="51">
        <v>43800</v>
      </c>
      <c r="C1842" s="35" t="s">
        <v>565</v>
      </c>
      <c r="F1842" s="134">
        <v>5224</v>
      </c>
      <c r="G1842" s="37">
        <v>43801</v>
      </c>
      <c r="H1842" s="34">
        <v>3907</v>
      </c>
      <c r="I1842" s="39">
        <f>VLOOKUP(H1842,'[2]PUR-HSN MASTER'!$A$4:$E$5052,5,FALSE)</f>
        <v>18</v>
      </c>
      <c r="J1842" s="38">
        <v>1</v>
      </c>
      <c r="K1842" s="40">
        <v>974.51</v>
      </c>
      <c r="L1842" s="39">
        <v>0</v>
      </c>
      <c r="M1842" s="118">
        <f t="shared" si="128"/>
        <v>87.705900000000014</v>
      </c>
      <c r="N1842" s="118">
        <f t="shared" si="129"/>
        <v>87.705900000000014</v>
      </c>
      <c r="O1842" s="118">
        <v>0</v>
      </c>
      <c r="P1842" s="127">
        <f t="shared" si="127"/>
        <v>1149.9218000000001</v>
      </c>
      <c r="Q1842" s="34" t="s">
        <v>410</v>
      </c>
      <c r="R1842" s="34" t="str">
        <f>VLOOKUP(C1842,'PUR-PARTY MASTER'!$B$4:$E$2000,4,FALSE)</f>
        <v>Local</v>
      </c>
      <c r="S1842" s="11" t="s">
        <v>4120</v>
      </c>
    </row>
    <row r="1843" spans="1:19" x14ac:dyDescent="0.2">
      <c r="A1843" s="51">
        <v>43800</v>
      </c>
      <c r="C1843" s="35" t="s">
        <v>565</v>
      </c>
      <c r="F1843" s="134">
        <v>5224</v>
      </c>
      <c r="G1843" s="37">
        <v>43801</v>
      </c>
      <c r="H1843" s="34" t="s">
        <v>4279</v>
      </c>
      <c r="I1843" s="39">
        <f>VLOOKUP(H1843,'[2]PUR-HSN MASTER'!$A$4:$E$5052,5,FALSE)</f>
        <v>18</v>
      </c>
      <c r="J1843" s="38">
        <v>4</v>
      </c>
      <c r="K1843" s="40">
        <v>2357.98</v>
      </c>
      <c r="L1843" s="39">
        <v>0</v>
      </c>
      <c r="M1843" s="118">
        <f t="shared" si="128"/>
        <v>212.2182</v>
      </c>
      <c r="N1843" s="118">
        <f t="shared" si="129"/>
        <v>212.2182</v>
      </c>
      <c r="O1843" s="118">
        <v>0</v>
      </c>
      <c r="P1843" s="127">
        <f t="shared" si="127"/>
        <v>2782.4164000000001</v>
      </c>
      <c r="Q1843" s="34" t="s">
        <v>410</v>
      </c>
      <c r="R1843" s="34" t="str">
        <f>VLOOKUP(C1843,'PUR-PARTY MASTER'!$B$4:$E$2000,4,FALSE)</f>
        <v>Local</v>
      </c>
      <c r="S1843" s="11" t="s">
        <v>4120</v>
      </c>
    </row>
    <row r="1844" spans="1:19" x14ac:dyDescent="0.2">
      <c r="A1844" s="51">
        <v>43800</v>
      </c>
      <c r="C1844" s="35" t="s">
        <v>565</v>
      </c>
      <c r="F1844" s="134">
        <v>5224</v>
      </c>
      <c r="G1844" s="37">
        <v>43801</v>
      </c>
      <c r="H1844" s="34">
        <v>3209</v>
      </c>
      <c r="I1844" s="39">
        <f>VLOOKUP(H1844,'[2]PUR-HSN MASTER'!$A$4:$E$5052,5,FALSE)</f>
        <v>18</v>
      </c>
      <c r="J1844" s="38">
        <v>40</v>
      </c>
      <c r="K1844" s="40">
        <v>4118.3599999999997</v>
      </c>
      <c r="L1844" s="39">
        <v>0</v>
      </c>
      <c r="M1844" s="118">
        <f t="shared" si="128"/>
        <v>370.6524</v>
      </c>
      <c r="N1844" s="118">
        <f t="shared" si="129"/>
        <v>370.6524</v>
      </c>
      <c r="O1844" s="118">
        <v>0</v>
      </c>
      <c r="P1844" s="127">
        <f t="shared" si="127"/>
        <v>4859.6647999999996</v>
      </c>
      <c r="Q1844" s="34" t="s">
        <v>410</v>
      </c>
      <c r="R1844" s="34" t="str">
        <f>VLOOKUP(C1844,'PUR-PARTY MASTER'!$B$4:$E$2000,4,FALSE)</f>
        <v>Local</v>
      </c>
      <c r="S1844" s="11" t="s">
        <v>4120</v>
      </c>
    </row>
    <row r="1845" spans="1:19" x14ac:dyDescent="0.2">
      <c r="A1845" s="51">
        <v>43800</v>
      </c>
      <c r="C1845" s="35" t="s">
        <v>565</v>
      </c>
      <c r="F1845" s="134">
        <v>5224</v>
      </c>
      <c r="G1845" s="37">
        <v>43801</v>
      </c>
      <c r="H1845" s="34">
        <v>8205</v>
      </c>
      <c r="I1845" s="39">
        <f>VLOOKUP(H1845,'[2]PUR-HSN MASTER'!$A$4:$E$5052,5,FALSE)</f>
        <v>18</v>
      </c>
      <c r="J1845" s="38">
        <v>8</v>
      </c>
      <c r="K1845" s="40">
        <v>96</v>
      </c>
      <c r="L1845" s="39">
        <v>0</v>
      </c>
      <c r="M1845" s="118">
        <f t="shared" si="128"/>
        <v>8.64</v>
      </c>
      <c r="N1845" s="118">
        <f t="shared" si="129"/>
        <v>8.64</v>
      </c>
      <c r="O1845" s="118">
        <v>0</v>
      </c>
      <c r="P1845" s="127">
        <f>+O1845+N1845+M1845+L1845+K1845+0.02</f>
        <v>113.3</v>
      </c>
      <c r="Q1845" s="34" t="s">
        <v>410</v>
      </c>
      <c r="R1845" s="34" t="str">
        <f>VLOOKUP(C1845,'PUR-PARTY MASTER'!$B$4:$E$2000,4,FALSE)</f>
        <v>Local</v>
      </c>
      <c r="S1845" s="11" t="s">
        <v>4120</v>
      </c>
    </row>
    <row r="1846" spans="1:19" x14ac:dyDescent="0.2">
      <c r="A1846" s="51">
        <v>43800</v>
      </c>
      <c r="C1846" s="35" t="s">
        <v>565</v>
      </c>
      <c r="F1846" s="134">
        <v>5224</v>
      </c>
      <c r="G1846" s="37">
        <v>43801</v>
      </c>
      <c r="H1846" s="34">
        <v>6805</v>
      </c>
      <c r="I1846" s="39">
        <f>VLOOKUP(H1846,'[2]PUR-HSN MASTER'!$A$4:$E$5052,5,FALSE)</f>
        <v>18</v>
      </c>
      <c r="J1846" s="38">
        <v>50</v>
      </c>
      <c r="K1846" s="40">
        <v>500</v>
      </c>
      <c r="L1846" s="39">
        <v>0</v>
      </c>
      <c r="M1846" s="118">
        <f t="shared" si="128"/>
        <v>45</v>
      </c>
      <c r="N1846" s="118">
        <f t="shared" si="129"/>
        <v>45</v>
      </c>
      <c r="O1846" s="118">
        <v>0</v>
      </c>
      <c r="P1846" s="127">
        <f t="shared" si="127"/>
        <v>590</v>
      </c>
      <c r="Q1846" s="34" t="s">
        <v>410</v>
      </c>
      <c r="R1846" s="34" t="str">
        <f>VLOOKUP(C1846,'PUR-PARTY MASTER'!$B$4:$E$2000,4,FALSE)</f>
        <v>Local</v>
      </c>
      <c r="S1846" s="11" t="s">
        <v>4120</v>
      </c>
    </row>
    <row r="1847" spans="1:19" x14ac:dyDescent="0.2">
      <c r="A1847" s="51">
        <v>43800</v>
      </c>
      <c r="C1847" s="35" t="s">
        <v>565</v>
      </c>
      <c r="F1847" s="134">
        <v>5224</v>
      </c>
      <c r="G1847" s="37">
        <v>43801</v>
      </c>
      <c r="H1847" s="34">
        <v>9603</v>
      </c>
      <c r="I1847" s="39">
        <f>VLOOKUP(H1847,'[2]PUR-HSN MASTER'!$A$4:$E$5052,5,FALSE)</f>
        <v>18</v>
      </c>
      <c r="J1847" s="38">
        <v>6</v>
      </c>
      <c r="K1847" s="40">
        <v>720</v>
      </c>
      <c r="L1847" s="39">
        <v>0</v>
      </c>
      <c r="M1847" s="118">
        <f t="shared" si="128"/>
        <v>64.8</v>
      </c>
      <c r="N1847" s="118">
        <f t="shared" si="129"/>
        <v>64.8</v>
      </c>
      <c r="O1847" s="118">
        <v>0</v>
      </c>
      <c r="P1847" s="127">
        <f t="shared" si="127"/>
        <v>849.6</v>
      </c>
      <c r="Q1847" s="34" t="s">
        <v>410</v>
      </c>
      <c r="R1847" s="34" t="str">
        <f>VLOOKUP(C1847,'PUR-PARTY MASTER'!$B$4:$E$2000,4,FALSE)</f>
        <v>Local</v>
      </c>
      <c r="S1847" s="11" t="s">
        <v>4120</v>
      </c>
    </row>
    <row r="1848" spans="1:19" x14ac:dyDescent="0.2">
      <c r="A1848" s="51">
        <v>43800</v>
      </c>
      <c r="B1848" s="11">
        <v>84</v>
      </c>
      <c r="C1848" s="35" t="s">
        <v>487</v>
      </c>
      <c r="F1848" s="134">
        <v>1772</v>
      </c>
      <c r="G1848" s="37">
        <v>43820</v>
      </c>
      <c r="H1848" s="34">
        <v>34029092</v>
      </c>
      <c r="I1848" s="39">
        <f>VLOOKUP(H1848,'[2]PUR-HSN MASTER'!$A$4:$E$5052,5,FALSE)</f>
        <v>18</v>
      </c>
      <c r="J1848" s="38">
        <v>100</v>
      </c>
      <c r="K1848" s="40">
        <v>8000</v>
      </c>
      <c r="L1848" s="118">
        <f>+IF(R1848="Oms",K1848/100*I1848,0)</f>
        <v>0</v>
      </c>
      <c r="M1848" s="118">
        <f>+IF(R1848="local",K1848/100*I1848/2,0)</f>
        <v>720</v>
      </c>
      <c r="N1848" s="118">
        <f>+IF(R1848="local",K1848/100*I1848/2,0)</f>
        <v>720</v>
      </c>
      <c r="O1848" s="118">
        <v>0</v>
      </c>
      <c r="P1848" s="127">
        <f>+O1848+N1848+M1848+L1848+K1848</f>
        <v>9440</v>
      </c>
      <c r="Q1848" s="34" t="s">
        <v>410</v>
      </c>
      <c r="R1848" s="34" t="str">
        <f>VLOOKUP(C1848,'PUR-PARTY MASTER'!$B$4:$E$2000,4,FALSE)</f>
        <v>Local</v>
      </c>
      <c r="S1848" s="11" t="s">
        <v>4120</v>
      </c>
    </row>
    <row r="1849" spans="1:19" x14ac:dyDescent="0.2">
      <c r="A1849" s="51">
        <v>43800</v>
      </c>
      <c r="B1849" s="11">
        <v>85</v>
      </c>
      <c r="C1849" s="35" t="s">
        <v>554</v>
      </c>
      <c r="F1849" s="136">
        <v>15436</v>
      </c>
      <c r="G1849" s="37">
        <v>43820</v>
      </c>
      <c r="H1849" s="34">
        <v>87141900</v>
      </c>
      <c r="I1849" s="39">
        <f>VLOOKUP(H1849,'[2]PUR-HSN MASTER'!$A$4:$E$5052,5,FALSE)</f>
        <v>28</v>
      </c>
      <c r="J1849" s="34">
        <v>2450</v>
      </c>
      <c r="K1849" s="126">
        <v>5904.5</v>
      </c>
      <c r="L1849" s="118">
        <f t="shared" ref="L1849:L1851" si="130">+IF(R1849="Oms",K1849/100*I1849,0)</f>
        <v>0</v>
      </c>
      <c r="M1849" s="118">
        <f>+IF(R1849="local",K1849/100*I1849/2,0)</f>
        <v>826.63</v>
      </c>
      <c r="N1849" s="118">
        <f>+IF(R1849="local",K1849/100*I1849/2,0)</f>
        <v>826.63</v>
      </c>
      <c r="O1849" s="118">
        <v>0</v>
      </c>
      <c r="P1849" s="127">
        <f t="shared" ref="P1849" si="131">+O1849+N1849+M1849+L1849+K1849</f>
        <v>7557.76</v>
      </c>
      <c r="Q1849" s="34" t="s">
        <v>410</v>
      </c>
      <c r="R1849" s="34" t="str">
        <f>VLOOKUP(C1849,'PUR-PARTY MASTER'!$B$4:$E$2000,4,FALSE)</f>
        <v>Local</v>
      </c>
      <c r="S1849" s="11" t="s">
        <v>4120</v>
      </c>
    </row>
    <row r="1850" spans="1:19" x14ac:dyDescent="0.2">
      <c r="A1850" s="51">
        <v>43800</v>
      </c>
      <c r="B1850" s="11">
        <v>86</v>
      </c>
      <c r="C1850" s="35" t="s">
        <v>594</v>
      </c>
      <c r="F1850" s="134">
        <v>191011717</v>
      </c>
      <c r="G1850" s="37">
        <v>43820</v>
      </c>
      <c r="H1850" s="34" t="s">
        <v>4300</v>
      </c>
      <c r="I1850" s="39">
        <f>VLOOKUP(H1850,'[2]PUR-HSN MASTER'!$A$4:$E$5052,5,FALSE)</f>
        <v>18</v>
      </c>
      <c r="J1850" s="38">
        <v>2</v>
      </c>
      <c r="K1850" s="40">
        <v>38160</v>
      </c>
      <c r="L1850" s="118">
        <f t="shared" si="130"/>
        <v>0</v>
      </c>
      <c r="M1850" s="118">
        <f t="shared" ref="M1850:M1851" si="132">+IF(R1850="local",K1850/100*I1850/2,0)</f>
        <v>3434.4</v>
      </c>
      <c r="N1850" s="118">
        <f t="shared" ref="N1850:N1851" si="133">+IF(R1850="local",K1850/100*I1850/2,0)</f>
        <v>3434.4</v>
      </c>
      <c r="O1850" s="118">
        <v>0</v>
      </c>
      <c r="P1850" s="127">
        <f>+O1850+N1850+M1850+L1850+K1850+0.2</f>
        <v>45029</v>
      </c>
      <c r="Q1850" s="34" t="s">
        <v>410</v>
      </c>
      <c r="R1850" s="34" t="str">
        <f>VLOOKUP(C1850,'PUR-PARTY MASTER'!$B$4:$E$2000,4,FALSE)</f>
        <v>Local</v>
      </c>
      <c r="S1850" s="11" t="s">
        <v>4120</v>
      </c>
    </row>
    <row r="1851" spans="1:19" x14ac:dyDescent="0.2">
      <c r="A1851" s="51">
        <v>43800</v>
      </c>
      <c r="B1851" s="11">
        <v>87</v>
      </c>
      <c r="C1851" s="35" t="s">
        <v>594</v>
      </c>
      <c r="F1851" s="134">
        <v>191011711</v>
      </c>
      <c r="G1851" s="37">
        <v>43820</v>
      </c>
      <c r="H1851" s="34">
        <v>90321090</v>
      </c>
      <c r="I1851" s="39">
        <f>VLOOKUP(H1851,'[2]PUR-HSN MASTER'!$A$4:$E$5052,5,FALSE)</f>
        <v>18</v>
      </c>
      <c r="J1851" s="38">
        <v>1</v>
      </c>
      <c r="K1851" s="40">
        <v>2800</v>
      </c>
      <c r="L1851" s="118">
        <f t="shared" si="130"/>
        <v>0</v>
      </c>
      <c r="M1851" s="118">
        <f t="shared" si="132"/>
        <v>252</v>
      </c>
      <c r="N1851" s="118">
        <f t="shared" si="133"/>
        <v>252</v>
      </c>
      <c r="O1851" s="118">
        <v>0</v>
      </c>
      <c r="P1851" s="127">
        <f>+O1851+N1851+M1851+L1851+K1851</f>
        <v>3304</v>
      </c>
      <c r="Q1851" s="34" t="s">
        <v>410</v>
      </c>
      <c r="R1851" s="34" t="str">
        <f>VLOOKUP(C1851,'PUR-PARTY MASTER'!$B$4:$E$2000,4,FALSE)</f>
        <v>Local</v>
      </c>
      <c r="S1851" s="11" t="s">
        <v>4120</v>
      </c>
    </row>
    <row r="1852" spans="1:19" x14ac:dyDescent="0.2">
      <c r="A1852" s="51">
        <v>43800</v>
      </c>
      <c r="B1852" s="11">
        <v>88</v>
      </c>
      <c r="C1852" s="35" t="s">
        <v>659</v>
      </c>
      <c r="F1852" s="136" t="s">
        <v>4529</v>
      </c>
      <c r="G1852" s="37">
        <v>43822</v>
      </c>
      <c r="H1852" s="34">
        <v>2710</v>
      </c>
      <c r="I1852" s="39">
        <f>VLOOKUP(H1852,'[2]PUR-HSN MASTER'!$A$4:$E$5052,5,FALSE)</f>
        <v>18</v>
      </c>
      <c r="J1852" s="38">
        <v>240</v>
      </c>
      <c r="K1852" s="40">
        <v>16320</v>
      </c>
      <c r="L1852" s="39">
        <v>0</v>
      </c>
      <c r="M1852" s="39">
        <v>1468.8</v>
      </c>
      <c r="N1852" s="39">
        <v>1468.8</v>
      </c>
      <c r="O1852" s="39">
        <v>0</v>
      </c>
      <c r="P1852" s="39">
        <v>19258</v>
      </c>
      <c r="Q1852" s="34" t="s">
        <v>410</v>
      </c>
      <c r="R1852" s="34" t="str">
        <f>VLOOKUP(C1852,'PUR-PARTY MASTER'!$B$4:$E$2000,4,FALSE)</f>
        <v>Local</v>
      </c>
      <c r="S1852" s="11" t="s">
        <v>4120</v>
      </c>
    </row>
    <row r="1853" spans="1:19" x14ac:dyDescent="0.2">
      <c r="A1853" s="51">
        <v>43800</v>
      </c>
      <c r="B1853" s="11">
        <v>89</v>
      </c>
      <c r="C1853" s="35" t="s">
        <v>554</v>
      </c>
      <c r="F1853" s="136">
        <v>15494</v>
      </c>
      <c r="G1853" s="37">
        <v>43822</v>
      </c>
      <c r="H1853" s="34">
        <v>87141900</v>
      </c>
      <c r="I1853" s="39">
        <f>VLOOKUP(H1853,'[2]PUR-HSN MASTER'!$A$4:$E$5052,5,FALSE)</f>
        <v>28</v>
      </c>
      <c r="J1853" s="34">
        <v>1195</v>
      </c>
      <c r="K1853" s="126">
        <v>3764.25</v>
      </c>
      <c r="L1853" s="118">
        <f t="shared" ref="L1853:L1854" si="134">+IF(R1853="Oms",K1853/100*I1853,0)</f>
        <v>0</v>
      </c>
      <c r="M1853" s="118">
        <f>+IF(R1853="local",K1853/100*I1853/2,0)</f>
        <v>526.995</v>
      </c>
      <c r="N1853" s="118">
        <f>+IF(R1853="local",K1853/100*I1853/2,0)</f>
        <v>526.995</v>
      </c>
      <c r="O1853" s="118">
        <v>0</v>
      </c>
      <c r="P1853" s="127">
        <f>+O1853+N1853+M1853+L1853+K1853+0.01</f>
        <v>4818.25</v>
      </c>
      <c r="Q1853" s="34" t="s">
        <v>410</v>
      </c>
      <c r="R1853" s="34" t="str">
        <f>VLOOKUP(C1853,'PUR-PARTY MASTER'!$B$4:$E$2000,4,FALSE)</f>
        <v>Local</v>
      </c>
      <c r="S1853" s="11" t="s">
        <v>4120</v>
      </c>
    </row>
    <row r="1854" spans="1:19" x14ac:dyDescent="0.2">
      <c r="A1854" s="51">
        <v>43800</v>
      </c>
      <c r="B1854" s="11">
        <v>90</v>
      </c>
      <c r="C1854" s="35" t="s">
        <v>677</v>
      </c>
      <c r="F1854" s="136" t="s">
        <v>4530</v>
      </c>
      <c r="G1854" s="37">
        <v>43818</v>
      </c>
      <c r="H1854" s="34">
        <v>87081090</v>
      </c>
      <c r="I1854" s="39">
        <f>VLOOKUP(H1854,'[2]PUR-HSN MASTER'!$A$4:$E$5052,5,FALSE)</f>
        <v>28</v>
      </c>
      <c r="J1854" s="34">
        <v>300</v>
      </c>
      <c r="K1854" s="126">
        <v>13569</v>
      </c>
      <c r="L1854" s="118">
        <f t="shared" si="134"/>
        <v>3799.3199999999997</v>
      </c>
      <c r="M1854" s="118">
        <f t="shared" ref="M1854:M1855" si="135">+IF(R1854="local",K1854/100*I1854/2,0)</f>
        <v>0</v>
      </c>
      <c r="N1854" s="118">
        <f t="shared" ref="N1854:N1855" si="136">+IF(R1854="local",K1854/100*I1854/2,0)</f>
        <v>0</v>
      </c>
      <c r="O1854" s="118">
        <v>0</v>
      </c>
      <c r="P1854" s="127">
        <f t="shared" ref="P1854:P1855" si="137">+O1854+N1854+M1854+L1854+K1854</f>
        <v>17368.32</v>
      </c>
      <c r="Q1854" s="34" t="s">
        <v>410</v>
      </c>
      <c r="R1854" s="34" t="str">
        <f>VLOOKUP(C1854,'PUR-PARTY MASTER'!$B$4:$E$2000,4,FALSE)</f>
        <v>Oms</v>
      </c>
      <c r="S1854" s="11" t="s">
        <v>4120</v>
      </c>
    </row>
    <row r="1855" spans="1:19" x14ac:dyDescent="0.2">
      <c r="A1855" s="51">
        <v>43800</v>
      </c>
      <c r="B1855" s="11">
        <v>91</v>
      </c>
      <c r="C1855" s="35" t="s">
        <v>666</v>
      </c>
      <c r="F1855" s="136" t="s">
        <v>4531</v>
      </c>
      <c r="G1855" s="37">
        <v>43822</v>
      </c>
      <c r="H1855" s="34">
        <v>8708</v>
      </c>
      <c r="I1855" s="39">
        <f>VLOOKUP(H1855,'[2]PUR-HSN MASTER'!$A$4:$E$5052,5,FALSE)</f>
        <v>28</v>
      </c>
      <c r="J1855" s="38">
        <v>124</v>
      </c>
      <c r="K1855" s="40">
        <v>16365.2</v>
      </c>
      <c r="L1855" s="39">
        <v>0</v>
      </c>
      <c r="M1855" s="118">
        <f t="shared" si="135"/>
        <v>2291.1280000000002</v>
      </c>
      <c r="N1855" s="118">
        <f t="shared" si="136"/>
        <v>2291.1280000000002</v>
      </c>
      <c r="O1855" s="118">
        <v>0</v>
      </c>
      <c r="P1855" s="127">
        <f t="shared" si="137"/>
        <v>20947.456000000002</v>
      </c>
      <c r="Q1855" s="34" t="s">
        <v>410</v>
      </c>
      <c r="R1855" s="34" t="str">
        <f>VLOOKUP(C1855,'PUR-PARTY MASTER'!$B$4:$E$2000,4,FALSE)</f>
        <v>Local</v>
      </c>
      <c r="S1855" s="11" t="s">
        <v>4120</v>
      </c>
    </row>
    <row r="1856" spans="1:19" x14ac:dyDescent="0.2">
      <c r="A1856" s="51">
        <v>43800</v>
      </c>
      <c r="B1856" s="11">
        <v>92</v>
      </c>
      <c r="C1856" s="35" t="s">
        <v>554</v>
      </c>
      <c r="F1856" s="136">
        <v>15541</v>
      </c>
      <c r="G1856" s="37">
        <v>43823</v>
      </c>
      <c r="H1856" s="34">
        <v>87141900</v>
      </c>
      <c r="I1856" s="39">
        <f>VLOOKUP(H1856,'[2]PUR-HSN MASTER'!$A$4:$E$5052,5,FALSE)</f>
        <v>28</v>
      </c>
      <c r="J1856" s="34">
        <v>1629</v>
      </c>
      <c r="K1856" s="126">
        <v>4282.55</v>
      </c>
      <c r="L1856" s="118">
        <f t="shared" ref="L1856" si="138">+IF(R1856="Oms",K1856/100*I1856,0)</f>
        <v>0</v>
      </c>
      <c r="M1856" s="118">
        <f>+IF(R1856="local",K1856/100*I1856/2,0)</f>
        <v>599.55700000000002</v>
      </c>
      <c r="N1856" s="118">
        <f>+IF(R1856="local",K1856/100*I1856/2,0)</f>
        <v>599.55700000000002</v>
      </c>
      <c r="O1856" s="118">
        <v>0</v>
      </c>
      <c r="P1856" s="127">
        <f>+O1856+N1856+M1856+L1856+K1856+0.01</f>
        <v>5481.6740000000009</v>
      </c>
      <c r="Q1856" s="34" t="s">
        <v>410</v>
      </c>
      <c r="R1856" s="34" t="str">
        <f>VLOOKUP(C1856,'PUR-PARTY MASTER'!$B$4:$E$2000,4,FALSE)</f>
        <v>Local</v>
      </c>
      <c r="S1856" s="11" t="s">
        <v>4120</v>
      </c>
    </row>
    <row r="1857" spans="1:19" x14ac:dyDescent="0.2">
      <c r="A1857" s="51">
        <v>43800</v>
      </c>
      <c r="B1857" s="11">
        <v>93</v>
      </c>
      <c r="C1857" s="35" t="s">
        <v>570</v>
      </c>
      <c r="F1857" s="136" t="s">
        <v>4532</v>
      </c>
      <c r="G1857" s="37">
        <v>43823</v>
      </c>
      <c r="H1857" s="34">
        <v>85446090</v>
      </c>
      <c r="I1857" s="39">
        <f>VLOOKUP(H1857,'[2]PUR-HSN MASTER'!$A$4:$E$5052,5,FALSE)</f>
        <v>18</v>
      </c>
      <c r="J1857" s="38">
        <v>200</v>
      </c>
      <c r="K1857" s="40">
        <v>21114</v>
      </c>
      <c r="L1857" s="41">
        <v>0</v>
      </c>
      <c r="M1857" s="118">
        <f t="shared" ref="M1857:M1873" si="139">+IF(R1857="local",K1857/100*I1857/2,0)</f>
        <v>1900.2599999999998</v>
      </c>
      <c r="N1857" s="118">
        <f t="shared" ref="N1857:N1873" si="140">+IF(R1857="local",K1857/100*I1857/2,0)</f>
        <v>1900.2599999999998</v>
      </c>
      <c r="O1857" s="118">
        <v>0</v>
      </c>
      <c r="P1857" s="127">
        <f>+O1857+N1857+M1857+L1857+K1857</f>
        <v>24914.52</v>
      </c>
      <c r="Q1857" s="34" t="s">
        <v>410</v>
      </c>
      <c r="R1857" s="34" t="str">
        <f>VLOOKUP(C1857,'PUR-PARTY MASTER'!$B$4:$E$2000,4,FALSE)</f>
        <v>Local</v>
      </c>
      <c r="S1857" s="11" t="s">
        <v>4120</v>
      </c>
    </row>
    <row r="1858" spans="1:19" x14ac:dyDescent="0.2">
      <c r="A1858" s="51">
        <v>43800</v>
      </c>
      <c r="C1858" s="35" t="s">
        <v>570</v>
      </c>
      <c r="F1858" s="136" t="s">
        <v>4532</v>
      </c>
      <c r="G1858" s="37">
        <v>43823</v>
      </c>
      <c r="H1858" s="34">
        <v>7318</v>
      </c>
      <c r="I1858" s="39">
        <f>VLOOKUP(H1858,'[2]PUR-HSN MASTER'!$A$4:$E$5052,5,FALSE)</f>
        <v>18</v>
      </c>
      <c r="J1858" s="38">
        <v>94</v>
      </c>
      <c r="K1858" s="40">
        <v>2788</v>
      </c>
      <c r="L1858" s="41">
        <v>0</v>
      </c>
      <c r="M1858" s="118">
        <f t="shared" si="139"/>
        <v>250.92</v>
      </c>
      <c r="N1858" s="118">
        <f t="shared" si="140"/>
        <v>250.92</v>
      </c>
      <c r="O1858" s="118">
        <v>0</v>
      </c>
      <c r="P1858" s="127">
        <f t="shared" ref="P1858:P1871" si="141">+O1858+N1858+M1858+L1858+K1858</f>
        <v>3289.84</v>
      </c>
      <c r="Q1858" s="34" t="s">
        <v>410</v>
      </c>
      <c r="R1858" s="34" t="str">
        <f>VLOOKUP(C1858,'PUR-PARTY MASTER'!$B$4:$E$2000,4,FALSE)</f>
        <v>Local</v>
      </c>
      <c r="S1858" s="11" t="s">
        <v>4120</v>
      </c>
    </row>
    <row r="1859" spans="1:19" x14ac:dyDescent="0.2">
      <c r="A1859" s="51">
        <v>43800</v>
      </c>
      <c r="C1859" s="35" t="s">
        <v>570</v>
      </c>
      <c r="F1859" s="136" t="s">
        <v>4532</v>
      </c>
      <c r="G1859" s="37">
        <v>43823</v>
      </c>
      <c r="H1859" s="34">
        <v>8538</v>
      </c>
      <c r="I1859" s="39">
        <f>VLOOKUP(H1859,'[2]PUR-HSN MASTER'!$A$4:$E$5052,5,FALSE)</f>
        <v>18</v>
      </c>
      <c r="J1859" s="38">
        <v>10</v>
      </c>
      <c r="K1859" s="40">
        <v>3171.6</v>
      </c>
      <c r="L1859" s="41">
        <v>0</v>
      </c>
      <c r="M1859" s="118">
        <f t="shared" si="139"/>
        <v>285.44399999999996</v>
      </c>
      <c r="N1859" s="118">
        <f t="shared" si="140"/>
        <v>285.44399999999996</v>
      </c>
      <c r="O1859" s="118">
        <v>0</v>
      </c>
      <c r="P1859" s="127">
        <f>+O1859+N1859+M1859+L1859+K1859-0.04</f>
        <v>3742.4479999999999</v>
      </c>
      <c r="Q1859" s="34" t="s">
        <v>410</v>
      </c>
      <c r="R1859" s="34" t="str">
        <f>VLOOKUP(C1859,'PUR-PARTY MASTER'!$B$4:$E$2000,4,FALSE)</f>
        <v>Local</v>
      </c>
      <c r="S1859" s="11" t="s">
        <v>4120</v>
      </c>
    </row>
    <row r="1860" spans="1:19" x14ac:dyDescent="0.2">
      <c r="A1860" s="51">
        <v>43800</v>
      </c>
      <c r="C1860" s="35" t="s">
        <v>570</v>
      </c>
      <c r="F1860" s="136" t="s">
        <v>4532</v>
      </c>
      <c r="G1860" s="37">
        <v>43823</v>
      </c>
      <c r="H1860" s="34">
        <v>85362030</v>
      </c>
      <c r="I1860" s="39">
        <f>VLOOKUP(H1860,'[2]PUR-HSN MASTER'!$A$4:$E$5052,5,FALSE)</f>
        <v>18</v>
      </c>
      <c r="J1860" s="38">
        <v>14</v>
      </c>
      <c r="K1860" s="40">
        <v>9396.7999999999993</v>
      </c>
      <c r="L1860" s="41">
        <v>0</v>
      </c>
      <c r="M1860" s="118">
        <f t="shared" si="139"/>
        <v>845.71199999999988</v>
      </c>
      <c r="N1860" s="118">
        <f t="shared" si="140"/>
        <v>845.71199999999988</v>
      </c>
      <c r="O1860" s="118">
        <v>0</v>
      </c>
      <c r="P1860" s="127">
        <f t="shared" si="141"/>
        <v>11088.223999999998</v>
      </c>
      <c r="Q1860" s="34" t="s">
        <v>410</v>
      </c>
      <c r="R1860" s="34" t="str">
        <f>VLOOKUP(C1860,'PUR-PARTY MASTER'!$B$4:$E$2000,4,FALSE)</f>
        <v>Local</v>
      </c>
      <c r="S1860" s="11" t="s">
        <v>4120</v>
      </c>
    </row>
    <row r="1861" spans="1:19" x14ac:dyDescent="0.2">
      <c r="A1861" s="51">
        <v>43800</v>
      </c>
      <c r="C1861" s="35" t="s">
        <v>570</v>
      </c>
      <c r="F1861" s="136" t="s">
        <v>4532</v>
      </c>
      <c r="G1861" s="37">
        <v>43823</v>
      </c>
      <c r="H1861" s="34">
        <v>8536</v>
      </c>
      <c r="I1861" s="39">
        <f>VLOOKUP(H1861,'[2]PUR-HSN MASTER'!$A$4:$E$5052,5,FALSE)</f>
        <v>18</v>
      </c>
      <c r="J1861" s="38">
        <v>88</v>
      </c>
      <c r="K1861" s="40">
        <v>1307.94</v>
      </c>
      <c r="L1861" s="41">
        <v>0</v>
      </c>
      <c r="M1861" s="118">
        <f t="shared" si="139"/>
        <v>117.71459999999999</v>
      </c>
      <c r="N1861" s="118">
        <f t="shared" si="140"/>
        <v>117.71459999999999</v>
      </c>
      <c r="O1861" s="118">
        <v>0</v>
      </c>
      <c r="P1861" s="127">
        <f t="shared" si="141"/>
        <v>1543.3692000000001</v>
      </c>
      <c r="Q1861" s="34" t="s">
        <v>410</v>
      </c>
      <c r="R1861" s="34" t="str">
        <f>VLOOKUP(C1861,'PUR-PARTY MASTER'!$B$4:$E$2000,4,FALSE)</f>
        <v>Local</v>
      </c>
      <c r="S1861" s="11" t="s">
        <v>4120</v>
      </c>
    </row>
    <row r="1862" spans="1:19" x14ac:dyDescent="0.2">
      <c r="A1862" s="51">
        <v>43800</v>
      </c>
      <c r="C1862" s="35" t="s">
        <v>570</v>
      </c>
      <c r="F1862" s="136" t="s">
        <v>4532</v>
      </c>
      <c r="G1862" s="37">
        <v>43823</v>
      </c>
      <c r="H1862" s="34">
        <v>39173100</v>
      </c>
      <c r="I1862" s="39">
        <f>VLOOKUP(H1862,'[2]PUR-HSN MASTER'!$A$4:$E$5052,5,FALSE)</f>
        <v>18</v>
      </c>
      <c r="J1862" s="38">
        <v>45</v>
      </c>
      <c r="K1862" s="40">
        <v>384</v>
      </c>
      <c r="L1862" s="41">
        <v>0</v>
      </c>
      <c r="M1862" s="118">
        <f t="shared" si="139"/>
        <v>34.56</v>
      </c>
      <c r="N1862" s="118">
        <f t="shared" si="140"/>
        <v>34.56</v>
      </c>
      <c r="O1862" s="118">
        <v>0</v>
      </c>
      <c r="P1862" s="127">
        <f t="shared" si="141"/>
        <v>453.12</v>
      </c>
      <c r="Q1862" s="34" t="s">
        <v>410</v>
      </c>
      <c r="R1862" s="34" t="str">
        <f>VLOOKUP(C1862,'PUR-PARTY MASTER'!$B$4:$E$2000,4,FALSE)</f>
        <v>Local</v>
      </c>
      <c r="S1862" s="11" t="s">
        <v>4120</v>
      </c>
    </row>
    <row r="1863" spans="1:19" x14ac:dyDescent="0.2">
      <c r="A1863" s="51">
        <v>43800</v>
      </c>
      <c r="C1863" s="35" t="s">
        <v>570</v>
      </c>
      <c r="F1863" s="136" t="s">
        <v>4532</v>
      </c>
      <c r="G1863" s="37">
        <v>43823</v>
      </c>
      <c r="H1863" s="34">
        <v>3926</v>
      </c>
      <c r="I1863" s="39">
        <f>VLOOKUP(H1863,'[2]PUR-HSN MASTER'!$A$4:$E$5052,5,FALSE)</f>
        <v>18</v>
      </c>
      <c r="J1863" s="38">
        <v>15</v>
      </c>
      <c r="K1863" s="40">
        <v>198</v>
      </c>
      <c r="L1863" s="41">
        <v>0</v>
      </c>
      <c r="M1863" s="118">
        <f t="shared" si="139"/>
        <v>17.82</v>
      </c>
      <c r="N1863" s="118">
        <f t="shared" si="140"/>
        <v>17.82</v>
      </c>
      <c r="O1863" s="118">
        <v>0</v>
      </c>
      <c r="P1863" s="127">
        <f t="shared" si="141"/>
        <v>233.64</v>
      </c>
      <c r="Q1863" s="34" t="s">
        <v>410</v>
      </c>
      <c r="R1863" s="34" t="str">
        <f>VLOOKUP(C1863,'PUR-PARTY MASTER'!$B$4:$E$2000,4,FALSE)</f>
        <v>Local</v>
      </c>
      <c r="S1863" s="11" t="s">
        <v>4120</v>
      </c>
    </row>
    <row r="1864" spans="1:19" x14ac:dyDescent="0.2">
      <c r="A1864" s="51">
        <v>43800</v>
      </c>
      <c r="C1864" s="35" t="s">
        <v>570</v>
      </c>
      <c r="F1864" s="136" t="s">
        <v>4532</v>
      </c>
      <c r="G1864" s="37">
        <v>43823</v>
      </c>
      <c r="H1864" s="34">
        <v>7307</v>
      </c>
      <c r="I1864" s="39">
        <f>VLOOKUP(H1864,'[2]PUR-HSN MASTER'!$A$4:$E$5052,5,FALSE)</f>
        <v>18</v>
      </c>
      <c r="J1864" s="38">
        <v>1</v>
      </c>
      <c r="K1864" s="40">
        <v>212</v>
      </c>
      <c r="L1864" s="41">
        <v>0</v>
      </c>
      <c r="M1864" s="118">
        <f t="shared" si="139"/>
        <v>19.080000000000002</v>
      </c>
      <c r="N1864" s="118">
        <f t="shared" si="140"/>
        <v>19.080000000000002</v>
      </c>
      <c r="O1864" s="118">
        <v>0</v>
      </c>
      <c r="P1864" s="127">
        <f t="shared" si="141"/>
        <v>250.16</v>
      </c>
      <c r="Q1864" s="34" t="s">
        <v>410</v>
      </c>
      <c r="R1864" s="34" t="str">
        <f>VLOOKUP(C1864,'PUR-PARTY MASTER'!$B$4:$E$2000,4,FALSE)</f>
        <v>Local</v>
      </c>
      <c r="S1864" s="11" t="s">
        <v>4120</v>
      </c>
    </row>
    <row r="1865" spans="1:19" x14ac:dyDescent="0.2">
      <c r="A1865" s="51">
        <v>43800</v>
      </c>
      <c r="C1865" s="35" t="s">
        <v>570</v>
      </c>
      <c r="F1865" s="136" t="s">
        <v>4532</v>
      </c>
      <c r="G1865" s="37">
        <v>43823</v>
      </c>
      <c r="H1865" s="34">
        <v>8544</v>
      </c>
      <c r="I1865" s="39">
        <f>VLOOKUP(H1865,'[2]PUR-HSN MASTER'!$A$4:$E$5052,5,FALSE)</f>
        <v>18</v>
      </c>
      <c r="J1865" s="38">
        <v>9</v>
      </c>
      <c r="K1865" s="40">
        <v>9535.5</v>
      </c>
      <c r="L1865" s="41">
        <v>0</v>
      </c>
      <c r="M1865" s="118">
        <f t="shared" si="139"/>
        <v>858.19500000000005</v>
      </c>
      <c r="N1865" s="118">
        <f t="shared" si="140"/>
        <v>858.19500000000005</v>
      </c>
      <c r="O1865" s="118">
        <v>0</v>
      </c>
      <c r="P1865" s="127">
        <f t="shared" si="141"/>
        <v>11251.89</v>
      </c>
      <c r="Q1865" s="34" t="s">
        <v>410</v>
      </c>
      <c r="R1865" s="34" t="str">
        <f>VLOOKUP(C1865,'PUR-PARTY MASTER'!$B$4:$E$2000,4,FALSE)</f>
        <v>Local</v>
      </c>
      <c r="S1865" s="11" t="s">
        <v>4120</v>
      </c>
    </row>
    <row r="1866" spans="1:19" x14ac:dyDescent="0.2">
      <c r="A1866" s="51">
        <v>43800</v>
      </c>
      <c r="C1866" s="35" t="s">
        <v>570</v>
      </c>
      <c r="F1866" s="136" t="s">
        <v>4532</v>
      </c>
      <c r="G1866" s="37">
        <v>43823</v>
      </c>
      <c r="H1866" s="34">
        <v>8546</v>
      </c>
      <c r="I1866" s="39">
        <f>VLOOKUP(H1866,'[2]PUR-HSN MASTER'!$A$4:$E$5052,5,FALSE)</f>
        <v>18</v>
      </c>
      <c r="J1866" s="38">
        <v>6</v>
      </c>
      <c r="K1866" s="40">
        <v>72</v>
      </c>
      <c r="L1866" s="41">
        <v>0</v>
      </c>
      <c r="M1866" s="118">
        <f t="shared" si="139"/>
        <v>6.4799999999999995</v>
      </c>
      <c r="N1866" s="118">
        <f t="shared" si="140"/>
        <v>6.4799999999999995</v>
      </c>
      <c r="O1866" s="118">
        <v>0</v>
      </c>
      <c r="P1866" s="127">
        <f t="shared" si="141"/>
        <v>84.96</v>
      </c>
      <c r="Q1866" s="34" t="s">
        <v>410</v>
      </c>
      <c r="R1866" s="34" t="str">
        <f>VLOOKUP(C1866,'PUR-PARTY MASTER'!$B$4:$E$2000,4,FALSE)</f>
        <v>Local</v>
      </c>
      <c r="S1866" s="11" t="s">
        <v>4120</v>
      </c>
    </row>
    <row r="1867" spans="1:19" x14ac:dyDescent="0.2">
      <c r="A1867" s="51">
        <v>43800</v>
      </c>
      <c r="C1867" s="35" t="s">
        <v>570</v>
      </c>
      <c r="F1867" s="136" t="s">
        <v>4532</v>
      </c>
      <c r="G1867" s="37">
        <v>43823</v>
      </c>
      <c r="H1867" s="34">
        <v>85444999</v>
      </c>
      <c r="I1867" s="39">
        <f>VLOOKUP(H1867,'[2]PUR-HSN MASTER'!$A$4:$E$5052,5,FALSE)</f>
        <v>18</v>
      </c>
      <c r="J1867" s="38">
        <v>1</v>
      </c>
      <c r="K1867" s="40">
        <v>5175</v>
      </c>
      <c r="L1867" s="41">
        <v>0</v>
      </c>
      <c r="M1867" s="118">
        <f t="shared" si="139"/>
        <v>465.75</v>
      </c>
      <c r="N1867" s="118">
        <f t="shared" si="140"/>
        <v>465.75</v>
      </c>
      <c r="O1867" s="118">
        <v>0</v>
      </c>
      <c r="P1867" s="127">
        <f t="shared" si="141"/>
        <v>6106.5</v>
      </c>
      <c r="Q1867" s="34" t="s">
        <v>410</v>
      </c>
      <c r="R1867" s="34" t="str">
        <f>VLOOKUP(C1867,'PUR-PARTY MASTER'!$B$4:$E$2000,4,FALSE)</f>
        <v>Local</v>
      </c>
      <c r="S1867" s="11" t="s">
        <v>4120</v>
      </c>
    </row>
    <row r="1868" spans="1:19" x14ac:dyDescent="0.2">
      <c r="A1868" s="51">
        <v>43800</v>
      </c>
      <c r="C1868" s="35" t="s">
        <v>570</v>
      </c>
      <c r="F1868" s="136" t="s">
        <v>4532</v>
      </c>
      <c r="G1868" s="37">
        <v>43823</v>
      </c>
      <c r="H1868" s="34">
        <v>8530</v>
      </c>
      <c r="I1868" s="39">
        <f>VLOOKUP(H1868,'[2]PUR-HSN MASTER'!$A$4:$E$5052,5,FALSE)</f>
        <v>18</v>
      </c>
      <c r="J1868" s="38">
        <v>1</v>
      </c>
      <c r="K1868" s="40">
        <v>100</v>
      </c>
      <c r="L1868" s="41">
        <v>0</v>
      </c>
      <c r="M1868" s="118">
        <f t="shared" si="139"/>
        <v>9</v>
      </c>
      <c r="N1868" s="118">
        <f t="shared" si="140"/>
        <v>9</v>
      </c>
      <c r="O1868" s="118">
        <v>0</v>
      </c>
      <c r="P1868" s="127">
        <f t="shared" si="141"/>
        <v>118</v>
      </c>
      <c r="Q1868" s="34" t="s">
        <v>410</v>
      </c>
      <c r="R1868" s="34" t="str">
        <f>VLOOKUP(C1868,'PUR-PARTY MASTER'!$B$4:$E$2000,4,FALSE)</f>
        <v>Local</v>
      </c>
      <c r="S1868" s="11" t="s">
        <v>4120</v>
      </c>
    </row>
    <row r="1869" spans="1:19" x14ac:dyDescent="0.2">
      <c r="A1869" s="51">
        <v>43800</v>
      </c>
      <c r="C1869" s="35" t="s">
        <v>570</v>
      </c>
      <c r="F1869" s="136" t="s">
        <v>4532</v>
      </c>
      <c r="G1869" s="37">
        <v>43823</v>
      </c>
      <c r="H1869" s="34">
        <v>8537</v>
      </c>
      <c r="I1869" s="39">
        <f>VLOOKUP(H1869,'[2]PUR-HSN MASTER'!$A$4:$E$5052,5,FALSE)</f>
        <v>18</v>
      </c>
      <c r="J1869" s="38">
        <v>11</v>
      </c>
      <c r="K1869" s="40">
        <v>1029.5</v>
      </c>
      <c r="L1869" s="41">
        <v>0</v>
      </c>
      <c r="M1869" s="118">
        <f t="shared" si="139"/>
        <v>92.655000000000001</v>
      </c>
      <c r="N1869" s="118">
        <f t="shared" si="140"/>
        <v>92.655000000000001</v>
      </c>
      <c r="O1869" s="118">
        <v>0</v>
      </c>
      <c r="P1869" s="127">
        <f t="shared" si="141"/>
        <v>1214.81</v>
      </c>
      <c r="Q1869" s="34" t="s">
        <v>410</v>
      </c>
      <c r="R1869" s="34" t="str">
        <f>VLOOKUP(C1869,'PUR-PARTY MASTER'!$B$4:$E$2000,4,FALSE)</f>
        <v>Local</v>
      </c>
      <c r="S1869" s="11" t="s">
        <v>4120</v>
      </c>
    </row>
    <row r="1870" spans="1:19" x14ac:dyDescent="0.2">
      <c r="A1870" s="51">
        <v>43800</v>
      </c>
      <c r="C1870" s="35" t="s">
        <v>570</v>
      </c>
      <c r="F1870" s="136" t="s">
        <v>4532</v>
      </c>
      <c r="G1870" s="37">
        <v>43823</v>
      </c>
      <c r="H1870" s="34">
        <v>94054090</v>
      </c>
      <c r="I1870" s="39">
        <f>VLOOKUP(H1870,'[2]PUR-HSN MASTER'!$A$4:$E$5052,5,FALSE)</f>
        <v>12</v>
      </c>
      <c r="J1870" s="38">
        <v>30</v>
      </c>
      <c r="K1870" s="40">
        <v>10708.5</v>
      </c>
      <c r="L1870" s="41">
        <v>0</v>
      </c>
      <c r="M1870" s="118">
        <f t="shared" si="139"/>
        <v>642.51</v>
      </c>
      <c r="N1870" s="118">
        <f t="shared" si="140"/>
        <v>642.51</v>
      </c>
      <c r="O1870" s="118">
        <v>0</v>
      </c>
      <c r="P1870" s="127">
        <f t="shared" si="141"/>
        <v>11993.52</v>
      </c>
      <c r="Q1870" s="34" t="s">
        <v>410</v>
      </c>
      <c r="R1870" s="34" t="str">
        <f>VLOOKUP(C1870,'PUR-PARTY MASTER'!$B$4:$E$2000,4,FALSE)</f>
        <v>Local</v>
      </c>
      <c r="S1870" s="11" t="s">
        <v>4120</v>
      </c>
    </row>
    <row r="1871" spans="1:19" x14ac:dyDescent="0.2">
      <c r="A1871" s="51">
        <v>43800</v>
      </c>
      <c r="B1871" s="11">
        <v>94</v>
      </c>
      <c r="C1871" s="35" t="s">
        <v>666</v>
      </c>
      <c r="F1871" s="136" t="s">
        <v>4533</v>
      </c>
      <c r="G1871" s="37">
        <v>43824</v>
      </c>
      <c r="H1871" s="34">
        <v>8708</v>
      </c>
      <c r="I1871" s="39">
        <f>VLOOKUP(H1871,'[2]PUR-HSN MASTER'!$A$4:$E$5052,5,FALSE)</f>
        <v>28</v>
      </c>
      <c r="J1871" s="38">
        <v>150</v>
      </c>
      <c r="K1871" s="40">
        <v>52282.5</v>
      </c>
      <c r="L1871" s="39">
        <v>0</v>
      </c>
      <c r="M1871" s="118">
        <f t="shared" si="139"/>
        <v>7319.5500000000011</v>
      </c>
      <c r="N1871" s="118">
        <f t="shared" si="140"/>
        <v>7319.5500000000011</v>
      </c>
      <c r="O1871" s="118">
        <v>0</v>
      </c>
      <c r="P1871" s="127">
        <f t="shared" si="141"/>
        <v>66921.600000000006</v>
      </c>
      <c r="Q1871" s="34" t="s">
        <v>410</v>
      </c>
      <c r="R1871" s="34" t="str">
        <f>VLOOKUP(C1871,'PUR-PARTY MASTER'!$B$4:$E$2000,4,FALSE)</f>
        <v>Local</v>
      </c>
      <c r="S1871" s="11" t="s">
        <v>4120</v>
      </c>
    </row>
    <row r="1872" spans="1:19" x14ac:dyDescent="0.2">
      <c r="A1872" s="51">
        <v>43800</v>
      </c>
      <c r="B1872" s="11">
        <v>95</v>
      </c>
      <c r="C1872" s="35" t="s">
        <v>666</v>
      </c>
      <c r="F1872" s="136" t="s">
        <v>4534</v>
      </c>
      <c r="G1872" s="37">
        <v>43824</v>
      </c>
      <c r="H1872" s="34">
        <v>8708</v>
      </c>
      <c r="I1872" s="39">
        <f>VLOOKUP(H1872,'[2]PUR-HSN MASTER'!$A$4:$E$5052,5,FALSE)</f>
        <v>28</v>
      </c>
      <c r="J1872" s="38">
        <v>75</v>
      </c>
      <c r="K1872" s="40">
        <v>26141.25</v>
      </c>
      <c r="L1872" s="39">
        <v>0</v>
      </c>
      <c r="M1872" s="118">
        <f t="shared" si="139"/>
        <v>3659.7750000000005</v>
      </c>
      <c r="N1872" s="118">
        <f t="shared" si="140"/>
        <v>3659.7750000000005</v>
      </c>
      <c r="O1872" s="118">
        <v>0</v>
      </c>
      <c r="P1872" s="127">
        <f>+O1872+N1872+M1872+L1872+K1872+0.01</f>
        <v>33460.810000000005</v>
      </c>
      <c r="Q1872" s="34" t="s">
        <v>410</v>
      </c>
      <c r="R1872" s="34" t="str">
        <f>VLOOKUP(C1872,'PUR-PARTY MASTER'!$B$4:$E$2000,4,FALSE)</f>
        <v>Local</v>
      </c>
      <c r="S1872" s="11" t="s">
        <v>4120</v>
      </c>
    </row>
    <row r="1873" spans="1:19" x14ac:dyDescent="0.2">
      <c r="A1873" s="51">
        <v>43800</v>
      </c>
      <c r="B1873" s="11">
        <v>96</v>
      </c>
      <c r="C1873" s="35" t="s">
        <v>666</v>
      </c>
      <c r="F1873" s="136" t="s">
        <v>4535</v>
      </c>
      <c r="G1873" s="37">
        <v>43824</v>
      </c>
      <c r="H1873" s="34">
        <v>8708</v>
      </c>
      <c r="I1873" s="39">
        <f>VLOOKUP(H1873,'[2]PUR-HSN MASTER'!$A$4:$E$5052,5,FALSE)</f>
        <v>28</v>
      </c>
      <c r="J1873" s="38">
        <v>75</v>
      </c>
      <c r="K1873" s="40">
        <v>26141.25</v>
      </c>
      <c r="L1873" s="39">
        <v>0</v>
      </c>
      <c r="M1873" s="118">
        <f t="shared" si="139"/>
        <v>3659.7750000000005</v>
      </c>
      <c r="N1873" s="118">
        <f t="shared" si="140"/>
        <v>3659.7750000000005</v>
      </c>
      <c r="O1873" s="118">
        <v>0</v>
      </c>
      <c r="P1873" s="127">
        <f>+O1873+N1873+M1873+L1873+K1873+0.01</f>
        <v>33460.810000000005</v>
      </c>
      <c r="Q1873" s="34" t="s">
        <v>410</v>
      </c>
      <c r="R1873" s="34" t="str">
        <f>VLOOKUP(C1873,'PUR-PARTY MASTER'!$B$4:$E$2000,4,FALSE)</f>
        <v>Local</v>
      </c>
      <c r="S1873" s="11" t="s">
        <v>4120</v>
      </c>
    </row>
    <row r="1874" spans="1:19" x14ac:dyDescent="0.2">
      <c r="A1874" s="51">
        <v>43800</v>
      </c>
      <c r="B1874" s="11">
        <v>97</v>
      </c>
      <c r="C1874" s="35" t="s">
        <v>479</v>
      </c>
      <c r="F1874" s="136">
        <v>1500</v>
      </c>
      <c r="G1874" s="37">
        <v>43823</v>
      </c>
      <c r="H1874" s="34">
        <v>3919</v>
      </c>
      <c r="I1874" s="39">
        <f>VLOOKUP(H1874,'[2]PUR-HSN MASTER'!$A$4:$E$5052,5,FALSE)</f>
        <v>18</v>
      </c>
      <c r="J1874" s="34">
        <v>1000</v>
      </c>
      <c r="K1874" s="126">
        <v>1350</v>
      </c>
      <c r="L1874" s="118">
        <f t="shared" ref="L1874" si="142">+IF(R1874="Oms",K1874/100*I1874,0)</f>
        <v>0</v>
      </c>
      <c r="M1874" s="118">
        <f>+IF(R1874="local",K1874/100*I1874/2,0)</f>
        <v>121.5</v>
      </c>
      <c r="N1874" s="118">
        <f>+IF(R1874="local",K1874/100*I1874/2,0)</f>
        <v>121.5</v>
      </c>
      <c r="O1874" s="118">
        <v>0</v>
      </c>
      <c r="P1874" s="127">
        <f>+O1874+N1874+M1874+L1874+K1874</f>
        <v>1593</v>
      </c>
      <c r="Q1874" s="34" t="s">
        <v>410</v>
      </c>
      <c r="R1874" s="34" t="str">
        <f>VLOOKUP(C1874,'PUR-PARTY MASTER'!$B$4:$E$2000,4,FALSE)</f>
        <v>Local</v>
      </c>
      <c r="S1874" s="11" t="s">
        <v>4120</v>
      </c>
    </row>
    <row r="1875" spans="1:19" x14ac:dyDescent="0.2">
      <c r="A1875" s="51">
        <v>43800</v>
      </c>
      <c r="B1875" s="11">
        <v>98</v>
      </c>
      <c r="C1875" s="35" t="s">
        <v>705</v>
      </c>
      <c r="F1875" s="136" t="s">
        <v>4536</v>
      </c>
      <c r="G1875" s="37">
        <v>43824</v>
      </c>
      <c r="H1875" s="34">
        <v>87089900</v>
      </c>
      <c r="I1875" s="39">
        <f>VLOOKUP(H1875,'[2]PUR-HSN MASTER'!$A$4:$E$5052,5,FALSE)</f>
        <v>28</v>
      </c>
      <c r="J1875" s="34">
        <v>200</v>
      </c>
      <c r="K1875" s="126">
        <v>4300</v>
      </c>
      <c r="L1875" s="39">
        <v>0</v>
      </c>
      <c r="M1875" s="118">
        <f>+IF(R1875="local",K1875/100*I1875/2,0)</f>
        <v>602</v>
      </c>
      <c r="N1875" s="118">
        <f>+IF(R1875="local",K1875/100*I1875/2,0)</f>
        <v>602</v>
      </c>
      <c r="O1875" s="118">
        <v>0</v>
      </c>
      <c r="P1875" s="127">
        <f>+O1875+N1875+M1875+L1875+K1875</f>
        <v>5504</v>
      </c>
      <c r="Q1875" s="34" t="s">
        <v>410</v>
      </c>
      <c r="R1875" s="34" t="str">
        <f>VLOOKUP(C1875,'PUR-PARTY MASTER'!$B$4:$E$2000,4,FALSE)</f>
        <v>Local</v>
      </c>
      <c r="S1875" s="11" t="s">
        <v>4120</v>
      </c>
    </row>
    <row r="1876" spans="1:19" x14ac:dyDescent="0.2">
      <c r="A1876" s="51">
        <v>43800</v>
      </c>
      <c r="B1876" s="11">
        <v>99</v>
      </c>
      <c r="C1876" s="35" t="s">
        <v>554</v>
      </c>
      <c r="F1876" s="136">
        <v>15565</v>
      </c>
      <c r="G1876" s="37">
        <v>43824</v>
      </c>
      <c r="H1876" s="34">
        <v>87141900</v>
      </c>
      <c r="I1876" s="39">
        <f>VLOOKUP(H1876,'[2]PUR-HSN MASTER'!$A$4:$E$5052,5,FALSE)</f>
        <v>28</v>
      </c>
      <c r="J1876" s="34">
        <v>1800</v>
      </c>
      <c r="K1876" s="126">
        <v>5670</v>
      </c>
      <c r="L1876" s="118">
        <f t="shared" ref="L1876" si="143">+IF(R1876="Oms",K1876/100*I1876,0)</f>
        <v>0</v>
      </c>
      <c r="M1876" s="118">
        <f>+IF(R1876="local",K1876/100*I1876/2,0)</f>
        <v>793.80000000000007</v>
      </c>
      <c r="N1876" s="118">
        <f>+IF(R1876="local",K1876/100*I1876/2,0)</f>
        <v>793.80000000000007</v>
      </c>
      <c r="O1876" s="118">
        <v>0</v>
      </c>
      <c r="P1876" s="127">
        <f>+O1876+N1876+M1876+L1876+K1876</f>
        <v>7257.6</v>
      </c>
      <c r="Q1876" s="34" t="s">
        <v>410</v>
      </c>
      <c r="R1876" s="34" t="str">
        <f>VLOOKUP(C1876,'PUR-PARTY MASTER'!$B$4:$E$2000,4,FALSE)</f>
        <v>Local</v>
      </c>
      <c r="S1876" s="11" t="s">
        <v>4120</v>
      </c>
    </row>
    <row r="1877" spans="1:19" x14ac:dyDescent="0.2">
      <c r="A1877" s="51">
        <v>43800</v>
      </c>
      <c r="B1877" s="11">
        <v>100</v>
      </c>
      <c r="C1877" s="35" t="s">
        <v>570</v>
      </c>
      <c r="F1877" s="136" t="s">
        <v>4537</v>
      </c>
      <c r="G1877" s="37">
        <v>43826</v>
      </c>
      <c r="H1877" s="34">
        <v>8537</v>
      </c>
      <c r="I1877" s="39">
        <f>VLOOKUP(H1877,'[2]PUR-HSN MASTER'!$A$4:$E$5052,5,FALSE)</f>
        <v>18</v>
      </c>
      <c r="J1877" s="38">
        <v>1</v>
      </c>
      <c r="K1877" s="40">
        <v>108025</v>
      </c>
      <c r="L1877" s="41">
        <v>0</v>
      </c>
      <c r="M1877" s="118">
        <f t="shared" ref="M1877:M1883" si="144">+IF(R1877="local",K1877/100*I1877/2,0)</f>
        <v>9722.25</v>
      </c>
      <c r="N1877" s="118">
        <f t="shared" ref="N1877:N1883" si="145">+IF(R1877="local",K1877/100*I1877/2,0)</f>
        <v>9722.25</v>
      </c>
      <c r="O1877" s="118">
        <v>0</v>
      </c>
      <c r="P1877" s="127">
        <f t="shared" ref="P1877" si="146">+O1877+N1877+M1877+L1877+K1877</f>
        <v>127469.5</v>
      </c>
      <c r="Q1877" s="34" t="s">
        <v>410</v>
      </c>
      <c r="R1877" s="34" t="str">
        <f>VLOOKUP(C1877,'PUR-PARTY MASTER'!$B$4:$E$2000,4,FALSE)</f>
        <v>Local</v>
      </c>
      <c r="S1877" s="11" t="s">
        <v>4120</v>
      </c>
    </row>
    <row r="1878" spans="1:19" x14ac:dyDescent="0.2">
      <c r="A1878" s="51">
        <v>43800</v>
      </c>
      <c r="C1878" s="35" t="s">
        <v>570</v>
      </c>
      <c r="F1878" s="136" t="s">
        <v>4537</v>
      </c>
      <c r="G1878" s="37">
        <v>43826</v>
      </c>
      <c r="H1878" s="34">
        <v>8544</v>
      </c>
      <c r="I1878" s="39">
        <f>VLOOKUP(H1878,'[2]PUR-HSN MASTER'!$A$4:$E$5052,5,FALSE)</f>
        <v>18</v>
      </c>
      <c r="J1878" s="38">
        <v>2</v>
      </c>
      <c r="K1878" s="40">
        <v>2060.5</v>
      </c>
      <c r="L1878" s="41">
        <v>0</v>
      </c>
      <c r="M1878" s="118">
        <f t="shared" si="144"/>
        <v>185.44499999999999</v>
      </c>
      <c r="N1878" s="118">
        <f t="shared" si="145"/>
        <v>185.44499999999999</v>
      </c>
      <c r="O1878" s="118">
        <v>0</v>
      </c>
      <c r="P1878" s="127">
        <f>+O1878+N1878+M1878+L1878+K1878+0.01</f>
        <v>2431.4</v>
      </c>
      <c r="Q1878" s="34" t="s">
        <v>410</v>
      </c>
      <c r="R1878" s="34" t="str">
        <f>VLOOKUP(C1878,'PUR-PARTY MASTER'!$B$4:$E$2000,4,FALSE)</f>
        <v>Local</v>
      </c>
      <c r="S1878" s="11" t="s">
        <v>4120</v>
      </c>
    </row>
    <row r="1879" spans="1:19" x14ac:dyDescent="0.2">
      <c r="A1879" s="51">
        <v>43800</v>
      </c>
      <c r="C1879" s="35" t="s">
        <v>570</v>
      </c>
      <c r="F1879" s="136" t="s">
        <v>4537</v>
      </c>
      <c r="G1879" s="37">
        <v>43826</v>
      </c>
      <c r="H1879" s="34">
        <v>3923</v>
      </c>
      <c r="I1879" s="39">
        <f>VLOOKUP(H1879,'[2]PUR-HSN MASTER'!$A$4:$E$5052,5,FALSE)</f>
        <v>18</v>
      </c>
      <c r="J1879" s="38">
        <v>2</v>
      </c>
      <c r="K1879" s="40">
        <v>228</v>
      </c>
      <c r="L1879" s="41">
        <v>0</v>
      </c>
      <c r="M1879" s="118">
        <f t="shared" si="144"/>
        <v>20.52</v>
      </c>
      <c r="N1879" s="118">
        <f t="shared" si="145"/>
        <v>20.52</v>
      </c>
      <c r="O1879" s="118">
        <v>0</v>
      </c>
      <c r="P1879" s="127">
        <f>+O1879+N1879+M1879+L1879+K1879+0.26</f>
        <v>269.3</v>
      </c>
      <c r="Q1879" s="34" t="s">
        <v>410</v>
      </c>
      <c r="R1879" s="34" t="str">
        <f>VLOOKUP(C1879,'PUR-PARTY MASTER'!$B$4:$E$2000,4,FALSE)</f>
        <v>Local</v>
      </c>
      <c r="S1879" s="11" t="s">
        <v>4120</v>
      </c>
    </row>
    <row r="1880" spans="1:19" x14ac:dyDescent="0.2">
      <c r="A1880" s="51">
        <v>43800</v>
      </c>
      <c r="C1880" s="35" t="s">
        <v>570</v>
      </c>
      <c r="F1880" s="136" t="s">
        <v>4537</v>
      </c>
      <c r="G1880" s="37">
        <v>43826</v>
      </c>
      <c r="H1880" s="34">
        <v>39173100</v>
      </c>
      <c r="I1880" s="39">
        <f>VLOOKUP(H1880,'[2]PUR-HSN MASTER'!$A$4:$E$5052,5,FALSE)</f>
        <v>18</v>
      </c>
      <c r="J1880" s="38">
        <v>25</v>
      </c>
      <c r="K1880" s="40">
        <v>240</v>
      </c>
      <c r="L1880" s="41">
        <v>0</v>
      </c>
      <c r="M1880" s="118">
        <f t="shared" si="144"/>
        <v>21.599999999999998</v>
      </c>
      <c r="N1880" s="118">
        <f t="shared" si="145"/>
        <v>21.599999999999998</v>
      </c>
      <c r="O1880" s="118">
        <v>0</v>
      </c>
      <c r="P1880" s="127">
        <f t="shared" ref="P1880:P1881" si="147">+O1880+N1880+M1880+L1880+K1880</f>
        <v>283.2</v>
      </c>
      <c r="Q1880" s="34" t="s">
        <v>410</v>
      </c>
      <c r="R1880" s="34" t="str">
        <f>VLOOKUP(C1880,'PUR-PARTY MASTER'!$B$4:$E$2000,4,FALSE)</f>
        <v>Local</v>
      </c>
      <c r="S1880" s="11" t="s">
        <v>4120</v>
      </c>
    </row>
    <row r="1881" spans="1:19" x14ac:dyDescent="0.2">
      <c r="A1881" s="51">
        <v>43800</v>
      </c>
      <c r="C1881" s="35" t="s">
        <v>570</v>
      </c>
      <c r="F1881" s="136" t="s">
        <v>4537</v>
      </c>
      <c r="G1881" s="37">
        <v>43826</v>
      </c>
      <c r="H1881" s="34">
        <v>7318</v>
      </c>
      <c r="I1881" s="39">
        <f>VLOOKUP(H1881,'[2]PUR-HSN MASTER'!$A$4:$E$5052,5,FALSE)</f>
        <v>18</v>
      </c>
      <c r="J1881" s="38">
        <v>48</v>
      </c>
      <c r="K1881" s="40">
        <v>120</v>
      </c>
      <c r="L1881" s="41">
        <v>0</v>
      </c>
      <c r="M1881" s="118">
        <f t="shared" si="144"/>
        <v>10.799999999999999</v>
      </c>
      <c r="N1881" s="118">
        <f t="shared" si="145"/>
        <v>10.799999999999999</v>
      </c>
      <c r="O1881" s="118">
        <v>0</v>
      </c>
      <c r="P1881" s="127">
        <f t="shared" si="147"/>
        <v>141.6</v>
      </c>
      <c r="Q1881" s="34" t="s">
        <v>410</v>
      </c>
      <c r="R1881" s="34" t="str">
        <f>VLOOKUP(C1881,'PUR-PARTY MASTER'!$B$4:$E$2000,4,FALSE)</f>
        <v>Local</v>
      </c>
      <c r="S1881" s="11" t="s">
        <v>4120</v>
      </c>
    </row>
    <row r="1882" spans="1:19" x14ac:dyDescent="0.2">
      <c r="A1882" s="51">
        <v>43800</v>
      </c>
      <c r="B1882" s="11">
        <v>101</v>
      </c>
      <c r="C1882" s="35" t="s">
        <v>471</v>
      </c>
      <c r="F1882" s="134">
        <v>192008193</v>
      </c>
      <c r="G1882" s="37">
        <v>43826</v>
      </c>
      <c r="H1882" s="34">
        <v>87089900</v>
      </c>
      <c r="I1882" s="39">
        <f>VLOOKUP(H1882,'[2]PUR-HSN MASTER'!$A$4:$E$5052,5,FALSE)</f>
        <v>28</v>
      </c>
      <c r="J1882" s="34">
        <v>12</v>
      </c>
      <c r="K1882" s="126">
        <v>17483.52</v>
      </c>
      <c r="L1882" s="118">
        <f t="shared" ref="L1882:L1891" si="148">+IF(R1882="Oms",K1882/100*I1882,0)</f>
        <v>0</v>
      </c>
      <c r="M1882" s="118">
        <f t="shared" si="144"/>
        <v>2447.6928000000003</v>
      </c>
      <c r="N1882" s="118">
        <f t="shared" si="145"/>
        <v>2447.6928000000003</v>
      </c>
      <c r="O1882" s="118">
        <v>0</v>
      </c>
      <c r="P1882" s="127">
        <f>+O1882+N1882+M1882+L1882+K1882-0.01</f>
        <v>22378.895600000003</v>
      </c>
      <c r="Q1882" s="34" t="s">
        <v>410</v>
      </c>
      <c r="R1882" s="34" t="str">
        <f>VLOOKUP(C1882,'PUR-PARTY MASTER'!$B$4:$E$2000,4,FALSE)</f>
        <v>Local</v>
      </c>
      <c r="S1882" s="11" t="s">
        <v>4120</v>
      </c>
    </row>
    <row r="1883" spans="1:19" x14ac:dyDescent="0.2">
      <c r="A1883" s="51">
        <v>43800</v>
      </c>
      <c r="B1883" s="11">
        <v>102</v>
      </c>
      <c r="C1883" s="632" t="s">
        <v>4256</v>
      </c>
      <c r="F1883" s="134" t="s">
        <v>4538</v>
      </c>
      <c r="G1883" s="37">
        <v>43824</v>
      </c>
      <c r="H1883" s="34">
        <v>85021200</v>
      </c>
      <c r="I1883" s="39">
        <f>VLOOKUP(H1883,'[2]PUR-HSN MASTER'!$A$4:$E$5052,5,FALSE)</f>
        <v>18</v>
      </c>
      <c r="J1883" s="34">
        <v>1</v>
      </c>
      <c r="K1883" s="126">
        <v>625500</v>
      </c>
      <c r="L1883" s="118">
        <f t="shared" si="148"/>
        <v>0</v>
      </c>
      <c r="M1883" s="118">
        <f t="shared" si="144"/>
        <v>56295</v>
      </c>
      <c r="N1883" s="118">
        <f t="shared" si="145"/>
        <v>56295</v>
      </c>
      <c r="O1883" s="118">
        <v>0</v>
      </c>
      <c r="P1883" s="127">
        <f t="shared" ref="P1883:P1888" si="149">+O1883+N1883+M1883+L1883+K1883</f>
        <v>738090</v>
      </c>
      <c r="Q1883" s="34" t="s">
        <v>407</v>
      </c>
      <c r="R1883" s="34" t="str">
        <f>VLOOKUP(C1883,'PUR-PARTY MASTER'!$B$4:$E$2000,4,FALSE)</f>
        <v>Local</v>
      </c>
      <c r="S1883" s="11" t="s">
        <v>4120</v>
      </c>
    </row>
    <row r="1884" spans="1:19" x14ac:dyDescent="0.2">
      <c r="A1884" s="51">
        <v>43800</v>
      </c>
      <c r="B1884" s="11">
        <v>103</v>
      </c>
      <c r="C1884" s="35" t="s">
        <v>634</v>
      </c>
      <c r="F1884" s="136" t="s">
        <v>4539</v>
      </c>
      <c r="G1884" s="37">
        <v>43822</v>
      </c>
      <c r="H1884" s="34">
        <v>9405</v>
      </c>
      <c r="I1884" s="39">
        <f>VLOOKUP(H1884,'[2]PUR-HSN MASTER'!$A$4:$E$5052,5,FALSE)</f>
        <v>12</v>
      </c>
      <c r="J1884" s="38">
        <v>2</v>
      </c>
      <c r="K1884" s="40">
        <v>520</v>
      </c>
      <c r="L1884" s="118">
        <f t="shared" si="148"/>
        <v>0</v>
      </c>
      <c r="M1884" s="118">
        <f>+IF(R1884="local",K1884/100*I1884/2,0)</f>
        <v>31.200000000000003</v>
      </c>
      <c r="N1884" s="118">
        <f>+IF(R1884="local",K1884/100*I1884/2,0)</f>
        <v>31.200000000000003</v>
      </c>
      <c r="O1884" s="118">
        <v>0</v>
      </c>
      <c r="P1884" s="127">
        <f t="shared" si="149"/>
        <v>582.4</v>
      </c>
      <c r="Q1884" s="34" t="s">
        <v>410</v>
      </c>
      <c r="R1884" s="34" t="str">
        <f>VLOOKUP(C1884,'PUR-PARTY MASTER'!$B$4:$E$2000,4,FALSE)</f>
        <v>Local</v>
      </c>
      <c r="S1884" s="11" t="s">
        <v>4120</v>
      </c>
    </row>
    <row r="1885" spans="1:19" x14ac:dyDescent="0.2">
      <c r="A1885" s="51">
        <v>43800</v>
      </c>
      <c r="C1885" s="35" t="s">
        <v>634</v>
      </c>
      <c r="F1885" s="136" t="s">
        <v>4539</v>
      </c>
      <c r="G1885" s="37">
        <v>43822</v>
      </c>
      <c r="H1885" s="34">
        <v>8536</v>
      </c>
      <c r="I1885" s="39">
        <f>VLOOKUP(H1885,'[2]PUR-HSN MASTER'!$A$4:$E$5052,5,FALSE)</f>
        <v>18</v>
      </c>
      <c r="J1885" s="38">
        <v>1</v>
      </c>
      <c r="K1885" s="40">
        <v>260</v>
      </c>
      <c r="L1885" s="118">
        <f t="shared" si="148"/>
        <v>0</v>
      </c>
      <c r="M1885" s="118">
        <f t="shared" ref="M1885:M1890" si="150">+IF(R1885="local",K1885/100*I1885/2,0)</f>
        <v>23.400000000000002</v>
      </c>
      <c r="N1885" s="118">
        <f t="shared" ref="N1885:N1890" si="151">+IF(R1885="local",K1885/100*I1885/2,0)</f>
        <v>23.400000000000002</v>
      </c>
      <c r="O1885" s="118">
        <v>0</v>
      </c>
      <c r="P1885" s="127">
        <f t="shared" si="149"/>
        <v>306.8</v>
      </c>
      <c r="Q1885" s="34" t="s">
        <v>410</v>
      </c>
      <c r="R1885" s="34" t="str">
        <f>VLOOKUP(C1885,'PUR-PARTY MASTER'!$B$4:$E$2000,4,FALSE)</f>
        <v>Local</v>
      </c>
      <c r="S1885" s="11" t="s">
        <v>4120</v>
      </c>
    </row>
    <row r="1886" spans="1:19" x14ac:dyDescent="0.2">
      <c r="A1886" s="51">
        <v>43800</v>
      </c>
      <c r="C1886" s="35" t="s">
        <v>634</v>
      </c>
      <c r="F1886" s="136" t="s">
        <v>4539</v>
      </c>
      <c r="G1886" s="37">
        <v>43822</v>
      </c>
      <c r="H1886" s="34">
        <v>8537</v>
      </c>
      <c r="I1886" s="39">
        <f>VLOOKUP(H1886,'[2]PUR-HSN MASTER'!$A$4:$E$5052,5,FALSE)</f>
        <v>18</v>
      </c>
      <c r="J1886" s="38">
        <v>1</v>
      </c>
      <c r="K1886" s="40">
        <v>115</v>
      </c>
      <c r="L1886" s="118">
        <f t="shared" si="148"/>
        <v>0</v>
      </c>
      <c r="M1886" s="118">
        <f t="shared" si="150"/>
        <v>10.35</v>
      </c>
      <c r="N1886" s="118">
        <f t="shared" si="151"/>
        <v>10.35</v>
      </c>
      <c r="O1886" s="118">
        <v>0</v>
      </c>
      <c r="P1886" s="127">
        <f t="shared" si="149"/>
        <v>135.69999999999999</v>
      </c>
      <c r="Q1886" s="34" t="s">
        <v>410</v>
      </c>
      <c r="R1886" s="34" t="str">
        <f>VLOOKUP(C1886,'PUR-PARTY MASTER'!$B$4:$E$2000,4,FALSE)</f>
        <v>Local</v>
      </c>
      <c r="S1886" s="11" t="s">
        <v>4120</v>
      </c>
    </row>
    <row r="1887" spans="1:19" x14ac:dyDescent="0.2">
      <c r="A1887" s="51">
        <v>43800</v>
      </c>
      <c r="C1887" s="35" t="s">
        <v>634</v>
      </c>
      <c r="F1887" s="136" t="s">
        <v>4539</v>
      </c>
      <c r="G1887" s="37">
        <v>43822</v>
      </c>
      <c r="H1887" s="34">
        <v>8546</v>
      </c>
      <c r="I1887" s="39">
        <f>VLOOKUP(H1887,'[2]PUR-HSN MASTER'!$A$4:$E$5052,5,FALSE)</f>
        <v>18</v>
      </c>
      <c r="J1887" s="38">
        <v>12</v>
      </c>
      <c r="K1887" s="40">
        <v>120</v>
      </c>
      <c r="L1887" s="118">
        <f t="shared" si="148"/>
        <v>0</v>
      </c>
      <c r="M1887" s="118">
        <f t="shared" si="150"/>
        <v>10.799999999999999</v>
      </c>
      <c r="N1887" s="118">
        <f t="shared" si="151"/>
        <v>10.799999999999999</v>
      </c>
      <c r="O1887" s="118">
        <v>0</v>
      </c>
      <c r="P1887" s="127">
        <f t="shared" si="149"/>
        <v>141.6</v>
      </c>
      <c r="Q1887" s="34" t="s">
        <v>410</v>
      </c>
      <c r="R1887" s="34" t="str">
        <f>VLOOKUP(C1887,'PUR-PARTY MASTER'!$B$4:$E$2000,4,FALSE)</f>
        <v>Local</v>
      </c>
      <c r="S1887" s="11" t="s">
        <v>4120</v>
      </c>
    </row>
    <row r="1888" spans="1:19" x14ac:dyDescent="0.2">
      <c r="A1888" s="51">
        <v>43800</v>
      </c>
      <c r="C1888" s="35" t="s">
        <v>634</v>
      </c>
      <c r="F1888" s="136" t="s">
        <v>4539</v>
      </c>
      <c r="G1888" s="37">
        <v>43822</v>
      </c>
      <c r="H1888" s="34">
        <v>7318</v>
      </c>
      <c r="I1888" s="39">
        <f>VLOOKUP(H1888,'[2]PUR-HSN MASTER'!$A$4:$E$5052,5,FALSE)</f>
        <v>18</v>
      </c>
      <c r="J1888" s="38">
        <v>1</v>
      </c>
      <c r="K1888" s="40">
        <v>85</v>
      </c>
      <c r="L1888" s="118">
        <f t="shared" si="148"/>
        <v>0</v>
      </c>
      <c r="M1888" s="118">
        <f t="shared" si="150"/>
        <v>7.6499999999999995</v>
      </c>
      <c r="N1888" s="118">
        <f t="shared" si="151"/>
        <v>7.6499999999999995</v>
      </c>
      <c r="O1888" s="118">
        <v>0</v>
      </c>
      <c r="P1888" s="127">
        <f t="shared" si="149"/>
        <v>100.3</v>
      </c>
      <c r="Q1888" s="34" t="s">
        <v>410</v>
      </c>
      <c r="R1888" s="34" t="str">
        <f>VLOOKUP(C1888,'PUR-PARTY MASTER'!$B$4:$E$2000,4,FALSE)</f>
        <v>Local</v>
      </c>
      <c r="S1888" s="11" t="s">
        <v>4120</v>
      </c>
    </row>
    <row r="1889" spans="1:19" x14ac:dyDescent="0.2">
      <c r="A1889" s="51">
        <v>43800</v>
      </c>
      <c r="C1889" s="35" t="s">
        <v>634</v>
      </c>
      <c r="F1889" s="136" t="s">
        <v>4539</v>
      </c>
      <c r="G1889" s="37">
        <v>43822</v>
      </c>
      <c r="H1889" s="34">
        <v>85446090</v>
      </c>
      <c r="I1889" s="39">
        <f>VLOOKUP(H1889,'[2]PUR-HSN MASTER'!$A$4:$E$5052,5,FALSE)</f>
        <v>18</v>
      </c>
      <c r="J1889" s="38">
        <v>7</v>
      </c>
      <c r="K1889" s="40">
        <v>469</v>
      </c>
      <c r="L1889" s="118">
        <f t="shared" si="148"/>
        <v>0</v>
      </c>
      <c r="M1889" s="118">
        <f t="shared" si="150"/>
        <v>42.21</v>
      </c>
      <c r="N1889" s="118">
        <f t="shared" si="151"/>
        <v>42.21</v>
      </c>
      <c r="O1889" s="118">
        <v>0</v>
      </c>
      <c r="P1889" s="127">
        <f>+O1889+N1889+M1889+L1889+K1889-0.22</f>
        <v>553.19999999999993</v>
      </c>
      <c r="Q1889" s="34" t="s">
        <v>410</v>
      </c>
      <c r="R1889" s="34" t="str">
        <f>VLOOKUP(C1889,'PUR-PARTY MASTER'!$B$4:$E$2000,4,FALSE)</f>
        <v>Local</v>
      </c>
      <c r="S1889" s="11" t="s">
        <v>4120</v>
      </c>
    </row>
    <row r="1890" spans="1:19" x14ac:dyDescent="0.2">
      <c r="A1890" s="51">
        <v>43800</v>
      </c>
      <c r="B1890" s="11">
        <v>104</v>
      </c>
      <c r="C1890" s="35" t="s">
        <v>471</v>
      </c>
      <c r="F1890" s="134">
        <v>192008224</v>
      </c>
      <c r="G1890" s="37">
        <v>43827</v>
      </c>
      <c r="H1890" s="34">
        <v>87089900</v>
      </c>
      <c r="I1890" s="39">
        <f>VLOOKUP(H1890,'[2]PUR-HSN MASTER'!$A$4:$E$5052,5,FALSE)</f>
        <v>28</v>
      </c>
      <c r="J1890" s="34">
        <v>12</v>
      </c>
      <c r="K1890" s="126">
        <v>17483.52</v>
      </c>
      <c r="L1890" s="118">
        <f t="shared" si="148"/>
        <v>0</v>
      </c>
      <c r="M1890" s="118">
        <f t="shared" si="150"/>
        <v>2447.6928000000003</v>
      </c>
      <c r="N1890" s="118">
        <f t="shared" si="151"/>
        <v>2447.6928000000003</v>
      </c>
      <c r="O1890" s="118">
        <v>0</v>
      </c>
      <c r="P1890" s="127">
        <f>+O1890+N1890+M1890+L1890+K1890-0.01</f>
        <v>22378.895600000003</v>
      </c>
      <c r="Q1890" s="34" t="s">
        <v>410</v>
      </c>
      <c r="R1890" s="34" t="str">
        <f>VLOOKUP(C1890,'PUR-PARTY MASTER'!$B$4:$E$2000,4,FALSE)</f>
        <v>Local</v>
      </c>
      <c r="S1890" s="11" t="s">
        <v>4120</v>
      </c>
    </row>
    <row r="1891" spans="1:19" x14ac:dyDescent="0.2">
      <c r="A1891" s="51">
        <v>43800</v>
      </c>
      <c r="B1891" s="11">
        <v>105</v>
      </c>
      <c r="C1891" s="35" t="s">
        <v>473</v>
      </c>
      <c r="F1891" s="136" t="s">
        <v>4540</v>
      </c>
      <c r="G1891" s="37">
        <v>43827</v>
      </c>
      <c r="H1891" s="34">
        <v>87089900</v>
      </c>
      <c r="I1891" s="39">
        <f>VLOOKUP(H1891,'[2]PUR-HSN MASTER'!$A$4:$E$5052,5,FALSE)</f>
        <v>28</v>
      </c>
      <c r="J1891" s="34">
        <v>341</v>
      </c>
      <c r="K1891" s="126">
        <v>8282.7800000000007</v>
      </c>
      <c r="L1891" s="118">
        <f t="shared" si="148"/>
        <v>0</v>
      </c>
      <c r="M1891" s="118">
        <f>+IF(R1891="local",K1891/100*I1891/2,0)+0.41</f>
        <v>1159.9992000000002</v>
      </c>
      <c r="N1891" s="118">
        <f>+IF(R1891="local",K1891/100*I1891/2,0)+0.41</f>
        <v>1159.9992000000002</v>
      </c>
      <c r="O1891" s="118">
        <v>0</v>
      </c>
      <c r="P1891" s="127">
        <f t="shared" ref="P1891:P1892" si="152">+O1891+N1891+M1891+L1891+K1891</f>
        <v>10602.778400000001</v>
      </c>
      <c r="Q1891" s="34" t="s">
        <v>410</v>
      </c>
      <c r="R1891" s="34" t="str">
        <f>VLOOKUP(C1891,'PUR-PARTY MASTER'!$B$4:$E$2000,4,FALSE)</f>
        <v>Local</v>
      </c>
      <c r="S1891" s="11" t="s">
        <v>4120</v>
      </c>
    </row>
    <row r="1892" spans="1:19" x14ac:dyDescent="0.2">
      <c r="A1892" s="51">
        <v>43800</v>
      </c>
      <c r="B1892" s="11">
        <v>106</v>
      </c>
      <c r="C1892" s="35" t="s">
        <v>570</v>
      </c>
      <c r="F1892" s="136" t="s">
        <v>4541</v>
      </c>
      <c r="G1892" s="37">
        <v>43828</v>
      </c>
      <c r="H1892" s="34">
        <v>73089090</v>
      </c>
      <c r="I1892" s="39">
        <f>VLOOKUP(H1892,'[2]PUR-HSN MASTER'!$A$4:$E$5052,5,FALSE)</f>
        <v>18</v>
      </c>
      <c r="J1892" s="38">
        <v>260</v>
      </c>
      <c r="K1892" s="40">
        <v>26490</v>
      </c>
      <c r="L1892" s="41">
        <v>0</v>
      </c>
      <c r="M1892" s="118">
        <f t="shared" ref="M1892:M1899" si="153">+IF(R1892="local",K1892/100*I1892/2,0)</f>
        <v>2384.1</v>
      </c>
      <c r="N1892" s="118">
        <f t="shared" ref="N1892:N1899" si="154">+IF(R1892="local",K1892/100*I1892/2,0)</f>
        <v>2384.1</v>
      </c>
      <c r="O1892" s="118">
        <v>0</v>
      </c>
      <c r="P1892" s="127">
        <f t="shared" si="152"/>
        <v>31258.2</v>
      </c>
      <c r="Q1892" s="34" t="s">
        <v>410</v>
      </c>
      <c r="R1892" s="34" t="str">
        <f>VLOOKUP(C1892,'PUR-PARTY MASTER'!$B$4:$E$2000,4,FALSE)</f>
        <v>Local</v>
      </c>
      <c r="S1892" s="11" t="s">
        <v>4120</v>
      </c>
    </row>
    <row r="1893" spans="1:19" x14ac:dyDescent="0.2">
      <c r="A1893" s="51">
        <v>43800</v>
      </c>
      <c r="C1893" s="35" t="s">
        <v>570</v>
      </c>
      <c r="F1893" s="136" t="s">
        <v>4541</v>
      </c>
      <c r="G1893" s="37">
        <v>43828</v>
      </c>
      <c r="H1893" s="34">
        <v>39172310</v>
      </c>
      <c r="I1893" s="39">
        <f>VLOOKUP(H1893,'[2]PUR-HSN MASTER'!$A$4:$E$5052,5,FALSE)</f>
        <v>18</v>
      </c>
      <c r="J1893" s="38">
        <v>120</v>
      </c>
      <c r="K1893" s="40">
        <v>2389.1999999999998</v>
      </c>
      <c r="L1893" s="41">
        <v>0</v>
      </c>
      <c r="M1893" s="118">
        <f t="shared" si="153"/>
        <v>215.02799999999999</v>
      </c>
      <c r="N1893" s="118">
        <f t="shared" si="154"/>
        <v>215.02799999999999</v>
      </c>
      <c r="O1893" s="118">
        <v>0</v>
      </c>
      <c r="P1893" s="127">
        <f>+O1893+N1893+M1893+L1893+K1893+0.04</f>
        <v>2819.2959999999998</v>
      </c>
      <c r="Q1893" s="34" t="s">
        <v>410</v>
      </c>
      <c r="R1893" s="34" t="str">
        <f>VLOOKUP(C1893,'PUR-PARTY MASTER'!$B$4:$E$2000,4,FALSE)</f>
        <v>Local</v>
      </c>
      <c r="S1893" s="11" t="s">
        <v>4120</v>
      </c>
    </row>
    <row r="1894" spans="1:19" x14ac:dyDescent="0.2">
      <c r="A1894" s="51">
        <v>43800</v>
      </c>
      <c r="C1894" s="35" t="s">
        <v>570</v>
      </c>
      <c r="F1894" s="136" t="s">
        <v>4541</v>
      </c>
      <c r="G1894" s="37">
        <v>43828</v>
      </c>
      <c r="H1894" s="34">
        <v>39174000</v>
      </c>
      <c r="I1894" s="39">
        <f>VLOOKUP(H1894,'[2]PUR-HSN MASTER'!$A$4:$E$5052,5,FALSE)</f>
        <v>18</v>
      </c>
      <c r="J1894" s="38">
        <v>20</v>
      </c>
      <c r="K1894" s="40">
        <v>233.6</v>
      </c>
      <c r="L1894" s="41">
        <v>0</v>
      </c>
      <c r="M1894" s="118">
        <f t="shared" si="153"/>
        <v>21.023999999999997</v>
      </c>
      <c r="N1894" s="118">
        <f t="shared" si="154"/>
        <v>21.023999999999997</v>
      </c>
      <c r="O1894" s="118">
        <v>0</v>
      </c>
      <c r="P1894" s="127">
        <f t="shared" ref="P1894" si="155">+O1894+N1894+M1894+L1894+K1894</f>
        <v>275.64799999999997</v>
      </c>
      <c r="Q1894" s="34" t="s">
        <v>410</v>
      </c>
      <c r="R1894" s="34" t="str">
        <f>VLOOKUP(C1894,'PUR-PARTY MASTER'!$B$4:$E$2000,4,FALSE)</f>
        <v>Local</v>
      </c>
      <c r="S1894" s="11" t="s">
        <v>4120</v>
      </c>
    </row>
    <row r="1895" spans="1:19" x14ac:dyDescent="0.2">
      <c r="A1895" s="51">
        <v>43800</v>
      </c>
      <c r="C1895" s="35" t="s">
        <v>570</v>
      </c>
      <c r="F1895" s="136" t="s">
        <v>4541</v>
      </c>
      <c r="G1895" s="37">
        <v>43828</v>
      </c>
      <c r="H1895" s="34">
        <v>8536</v>
      </c>
      <c r="I1895" s="39">
        <f>VLOOKUP(H1895,'[2]PUR-HSN MASTER'!$A$4:$E$5052,5,FALSE)</f>
        <v>18</v>
      </c>
      <c r="J1895" s="38">
        <v>1832</v>
      </c>
      <c r="K1895" s="40">
        <v>1831.5</v>
      </c>
      <c r="L1895" s="41">
        <v>0</v>
      </c>
      <c r="M1895" s="118">
        <f t="shared" si="153"/>
        <v>164.83500000000001</v>
      </c>
      <c r="N1895" s="118">
        <f t="shared" si="154"/>
        <v>164.83500000000001</v>
      </c>
      <c r="O1895" s="118">
        <v>0</v>
      </c>
      <c r="P1895" s="127">
        <f>+O1895+N1895+M1895+L1895+K1895+0.23</f>
        <v>2161.4</v>
      </c>
      <c r="Q1895" s="34" t="s">
        <v>410</v>
      </c>
      <c r="R1895" s="34" t="str">
        <f>VLOOKUP(C1895,'PUR-PARTY MASTER'!$B$4:$E$2000,4,FALSE)</f>
        <v>Local</v>
      </c>
      <c r="S1895" s="11" t="s">
        <v>4120</v>
      </c>
    </row>
    <row r="1896" spans="1:19" x14ac:dyDescent="0.2">
      <c r="A1896" s="51">
        <v>43800</v>
      </c>
      <c r="C1896" s="35" t="s">
        <v>570</v>
      </c>
      <c r="F1896" s="136" t="s">
        <v>4541</v>
      </c>
      <c r="G1896" s="37">
        <v>43828</v>
      </c>
      <c r="H1896" s="34">
        <v>85446090</v>
      </c>
      <c r="I1896" s="39">
        <f>VLOOKUP(H1896,'[2]PUR-HSN MASTER'!$A$4:$E$5052,5,FALSE)</f>
        <v>18</v>
      </c>
      <c r="J1896" s="38">
        <v>50</v>
      </c>
      <c r="K1896" s="40">
        <v>2925</v>
      </c>
      <c r="L1896" s="41">
        <v>0</v>
      </c>
      <c r="M1896" s="118">
        <f t="shared" si="153"/>
        <v>263.25</v>
      </c>
      <c r="N1896" s="118">
        <f t="shared" si="154"/>
        <v>263.25</v>
      </c>
      <c r="O1896" s="118">
        <v>0</v>
      </c>
      <c r="P1896" s="127">
        <f t="shared" ref="P1896:P1898" si="156">+O1896+N1896+M1896+L1896+K1896</f>
        <v>3451.5</v>
      </c>
      <c r="Q1896" s="34" t="s">
        <v>410</v>
      </c>
      <c r="R1896" s="34" t="str">
        <f>VLOOKUP(C1896,'PUR-PARTY MASTER'!$B$4:$E$2000,4,FALSE)</f>
        <v>Local</v>
      </c>
      <c r="S1896" s="11" t="s">
        <v>4120</v>
      </c>
    </row>
    <row r="1897" spans="1:19" x14ac:dyDescent="0.2">
      <c r="A1897" s="51">
        <v>43800</v>
      </c>
      <c r="C1897" s="35" t="s">
        <v>570</v>
      </c>
      <c r="F1897" s="136" t="s">
        <v>4541</v>
      </c>
      <c r="G1897" s="37">
        <v>43828</v>
      </c>
      <c r="H1897" s="34">
        <v>85389000</v>
      </c>
      <c r="I1897" s="39">
        <f>VLOOKUP(H1897,'[2]PUR-HSN MASTER'!$A$4:$E$5052,5,FALSE)</f>
        <v>18</v>
      </c>
      <c r="J1897" s="38">
        <v>2</v>
      </c>
      <c r="K1897" s="40">
        <v>621.15</v>
      </c>
      <c r="L1897" s="41">
        <v>0</v>
      </c>
      <c r="M1897" s="118">
        <f t="shared" si="153"/>
        <v>55.903500000000001</v>
      </c>
      <c r="N1897" s="118">
        <f t="shared" si="154"/>
        <v>55.903500000000001</v>
      </c>
      <c r="O1897" s="118">
        <v>0</v>
      </c>
      <c r="P1897" s="127">
        <f t="shared" si="156"/>
        <v>732.95699999999999</v>
      </c>
      <c r="Q1897" s="34" t="s">
        <v>410</v>
      </c>
      <c r="R1897" s="34" t="str">
        <f>VLOOKUP(C1897,'PUR-PARTY MASTER'!$B$4:$E$2000,4,FALSE)</f>
        <v>Local</v>
      </c>
      <c r="S1897" s="11" t="s">
        <v>4120</v>
      </c>
    </row>
    <row r="1898" spans="1:19" x14ac:dyDescent="0.2">
      <c r="A1898" s="51">
        <v>43800</v>
      </c>
      <c r="C1898" s="35" t="s">
        <v>570</v>
      </c>
      <c r="F1898" s="136" t="s">
        <v>4541</v>
      </c>
      <c r="G1898" s="37">
        <v>43828</v>
      </c>
      <c r="H1898" s="34">
        <v>9967</v>
      </c>
      <c r="I1898" s="39">
        <f>VLOOKUP(H1898,'[2]PUR-HSN MASTER'!$A$4:$E$5052,5,FALSE)</f>
        <v>18</v>
      </c>
      <c r="J1898" s="38">
        <v>0</v>
      </c>
      <c r="K1898" s="40">
        <v>400</v>
      </c>
      <c r="L1898" s="41">
        <v>0</v>
      </c>
      <c r="M1898" s="118">
        <f t="shared" si="153"/>
        <v>36</v>
      </c>
      <c r="N1898" s="118">
        <f t="shared" si="154"/>
        <v>36</v>
      </c>
      <c r="O1898" s="118">
        <v>0</v>
      </c>
      <c r="P1898" s="127">
        <f t="shared" si="156"/>
        <v>472</v>
      </c>
      <c r="Q1898" s="34" t="s">
        <v>411</v>
      </c>
      <c r="R1898" s="34" t="str">
        <f>VLOOKUP(C1898,'PUR-PARTY MASTER'!$B$4:$E$2000,4,FALSE)</f>
        <v>Local</v>
      </c>
      <c r="S1898" s="11" t="s">
        <v>4120</v>
      </c>
    </row>
    <row r="1899" spans="1:19" x14ac:dyDescent="0.2">
      <c r="A1899" s="51">
        <v>43800</v>
      </c>
      <c r="B1899" s="11">
        <v>107</v>
      </c>
      <c r="C1899" s="632" t="s">
        <v>1090</v>
      </c>
      <c r="F1899" s="136">
        <v>3010</v>
      </c>
      <c r="G1899" s="37">
        <v>43829</v>
      </c>
      <c r="H1899" s="34">
        <v>25232910</v>
      </c>
      <c r="I1899" s="39">
        <f>VLOOKUP(H1899,'[2]PUR-HSN MASTER'!$A$4:$E$5052,5,FALSE)</f>
        <v>28</v>
      </c>
      <c r="J1899" s="34">
        <v>20</v>
      </c>
      <c r="K1899" s="126">
        <v>4987.5</v>
      </c>
      <c r="L1899" s="118">
        <f t="shared" ref="L1899" si="157">+IF(R1899="Oms",K1899/100*I1899,0)</f>
        <v>0</v>
      </c>
      <c r="M1899" s="118">
        <f t="shared" si="153"/>
        <v>698.25</v>
      </c>
      <c r="N1899" s="118">
        <f t="shared" si="154"/>
        <v>698.25</v>
      </c>
      <c r="O1899" s="118">
        <v>0</v>
      </c>
      <c r="P1899" s="127">
        <f>+O1899+N1899+M1899+L1899+K1899</f>
        <v>6384</v>
      </c>
      <c r="Q1899" s="34" t="s">
        <v>410</v>
      </c>
      <c r="R1899" s="34" t="str">
        <f>VLOOKUP(C1899,'PUR-PARTY MASTER'!$B$4:$E$2000,4,FALSE)</f>
        <v>Local</v>
      </c>
      <c r="S1899" s="11" t="s">
        <v>4120</v>
      </c>
    </row>
    <row r="1900" spans="1:19" x14ac:dyDescent="0.2">
      <c r="A1900" s="51">
        <v>43800</v>
      </c>
      <c r="B1900" s="11">
        <v>108</v>
      </c>
      <c r="C1900" s="35" t="s">
        <v>673</v>
      </c>
      <c r="F1900" s="136" t="s">
        <v>4542</v>
      </c>
      <c r="G1900" s="37">
        <v>43829</v>
      </c>
      <c r="H1900" s="34">
        <v>9965</v>
      </c>
      <c r="I1900" s="39">
        <f>VLOOKUP(H1900,'[2]PUR-HSN MASTER'!$A$4:$E$5052,5,FALSE)</f>
        <v>18</v>
      </c>
      <c r="J1900" s="38">
        <v>0</v>
      </c>
      <c r="K1900" s="40">
        <f>3250+2000+3000+1820+450</f>
        <v>10520</v>
      </c>
      <c r="L1900" s="39">
        <v>0</v>
      </c>
      <c r="M1900" s="118">
        <f>+IF(R1900="local",K1900/100*I1900/2,0)+0.2</f>
        <v>947.00000000000011</v>
      </c>
      <c r="N1900" s="118">
        <f>+IF(R1900="local",K1900/100*I1900/2,0)+0.2</f>
        <v>947.00000000000011</v>
      </c>
      <c r="O1900" s="118">
        <v>0</v>
      </c>
      <c r="P1900" s="127">
        <f>+O1900+N1900+M1900+L1900+K1900+29568</f>
        <v>41982</v>
      </c>
      <c r="Q1900" s="34" t="s">
        <v>411</v>
      </c>
      <c r="R1900" s="34" t="str">
        <f>VLOOKUP(C1900,'PUR-PARTY MASTER'!$B$4:$E$2000,4,FALSE)</f>
        <v>Local</v>
      </c>
      <c r="S1900" s="11" t="s">
        <v>4120</v>
      </c>
    </row>
    <row r="1901" spans="1:19" x14ac:dyDescent="0.2">
      <c r="A1901" s="51">
        <v>43800</v>
      </c>
      <c r="B1901" s="11">
        <v>109</v>
      </c>
      <c r="C1901" s="35" t="s">
        <v>570</v>
      </c>
      <c r="F1901" s="136" t="s">
        <v>4543</v>
      </c>
      <c r="G1901" s="37">
        <v>43826</v>
      </c>
      <c r="H1901" s="34">
        <v>94054090</v>
      </c>
      <c r="I1901" s="39">
        <f>VLOOKUP(H1901,'[2]PUR-HSN MASTER'!$A$4:$E$5052,5,FALSE)</f>
        <v>12</v>
      </c>
      <c r="J1901" s="38">
        <v>140</v>
      </c>
      <c r="K1901" s="40">
        <v>45803.5</v>
      </c>
      <c r="L1901" s="41">
        <v>0</v>
      </c>
      <c r="M1901" s="118">
        <f t="shared" ref="M1901:M1909" si="158">+IF(R1901="local",K1901/100*I1901/2,0)</f>
        <v>2748.21</v>
      </c>
      <c r="N1901" s="118">
        <f t="shared" ref="N1901:N1909" si="159">+IF(R1901="local",K1901/100*I1901/2,0)</f>
        <v>2748.21</v>
      </c>
      <c r="O1901" s="118">
        <v>0</v>
      </c>
      <c r="P1901" s="127">
        <f t="shared" ref="P1901:P1911" si="160">+O1901+N1901+M1901+L1901+K1901</f>
        <v>51299.92</v>
      </c>
      <c r="Q1901" s="34" t="s">
        <v>410</v>
      </c>
      <c r="R1901" s="34" t="str">
        <f>VLOOKUP(C1901,'PUR-PARTY MASTER'!$B$4:$E$2000,4,FALSE)</f>
        <v>Local</v>
      </c>
      <c r="S1901" s="11" t="s">
        <v>4120</v>
      </c>
    </row>
    <row r="1902" spans="1:19" x14ac:dyDescent="0.2">
      <c r="A1902" s="51">
        <v>43800</v>
      </c>
      <c r="C1902" s="35" t="s">
        <v>570</v>
      </c>
      <c r="F1902" s="136" t="s">
        <v>4543</v>
      </c>
      <c r="G1902" s="37">
        <v>43826</v>
      </c>
      <c r="H1902" s="34">
        <v>85395000</v>
      </c>
      <c r="I1902" s="39">
        <f>VLOOKUP(H1902,'[2]PUR-HSN MASTER'!$A$4:$E$5052,5,FALSE)</f>
        <v>12</v>
      </c>
      <c r="J1902" s="38">
        <v>64</v>
      </c>
      <c r="K1902" s="40">
        <v>10080</v>
      </c>
      <c r="L1902" s="41">
        <v>0</v>
      </c>
      <c r="M1902" s="118">
        <f t="shared" si="158"/>
        <v>604.79999999999995</v>
      </c>
      <c r="N1902" s="118">
        <f t="shared" si="159"/>
        <v>604.79999999999995</v>
      </c>
      <c r="O1902" s="118">
        <v>0</v>
      </c>
      <c r="P1902" s="127">
        <f t="shared" si="160"/>
        <v>11289.6</v>
      </c>
      <c r="Q1902" s="34" t="s">
        <v>410</v>
      </c>
      <c r="R1902" s="34" t="str">
        <f>VLOOKUP(C1902,'PUR-PARTY MASTER'!$B$4:$E$2000,4,FALSE)</f>
        <v>Local</v>
      </c>
      <c r="S1902" s="11" t="s">
        <v>4120</v>
      </c>
    </row>
    <row r="1903" spans="1:19" x14ac:dyDescent="0.2">
      <c r="A1903" s="51">
        <v>43800</v>
      </c>
      <c r="C1903" s="35" t="s">
        <v>570</v>
      </c>
      <c r="F1903" s="136" t="s">
        <v>4543</v>
      </c>
      <c r="G1903" s="37">
        <v>43826</v>
      </c>
      <c r="H1903" s="34">
        <v>8537</v>
      </c>
      <c r="I1903" s="39">
        <f>VLOOKUP(H1903,'[2]PUR-HSN MASTER'!$A$4:$E$5052,5,FALSE)</f>
        <v>18</v>
      </c>
      <c r="J1903" s="38">
        <v>1</v>
      </c>
      <c r="K1903" s="40">
        <v>16675</v>
      </c>
      <c r="L1903" s="41">
        <v>0</v>
      </c>
      <c r="M1903" s="118">
        <f t="shared" si="158"/>
        <v>1500.75</v>
      </c>
      <c r="N1903" s="118">
        <f t="shared" si="159"/>
        <v>1500.75</v>
      </c>
      <c r="O1903" s="118">
        <v>0</v>
      </c>
      <c r="P1903" s="127">
        <f t="shared" si="160"/>
        <v>19676.5</v>
      </c>
      <c r="Q1903" s="34" t="s">
        <v>410</v>
      </c>
      <c r="R1903" s="34" t="str">
        <f>VLOOKUP(C1903,'PUR-PARTY MASTER'!$B$4:$E$2000,4,FALSE)</f>
        <v>Local</v>
      </c>
      <c r="S1903" s="11" t="s">
        <v>4120</v>
      </c>
    </row>
    <row r="1904" spans="1:19" x14ac:dyDescent="0.2">
      <c r="A1904" s="51">
        <v>43800</v>
      </c>
      <c r="C1904" s="35" t="s">
        <v>570</v>
      </c>
      <c r="F1904" s="136" t="s">
        <v>4543</v>
      </c>
      <c r="G1904" s="37">
        <v>43826</v>
      </c>
      <c r="H1904" s="34">
        <v>85446090</v>
      </c>
      <c r="I1904" s="39">
        <f>VLOOKUP(H1904,'[2]PUR-HSN MASTER'!$A$4:$E$5052,5,FALSE)</f>
        <v>18</v>
      </c>
      <c r="J1904" s="38">
        <v>275</v>
      </c>
      <c r="K1904" s="40">
        <v>22742.400000000001</v>
      </c>
      <c r="L1904" s="41">
        <v>0</v>
      </c>
      <c r="M1904" s="118">
        <f t="shared" si="158"/>
        <v>2046.816</v>
      </c>
      <c r="N1904" s="118">
        <f t="shared" si="159"/>
        <v>2046.816</v>
      </c>
      <c r="O1904" s="118">
        <v>0</v>
      </c>
      <c r="P1904" s="127">
        <f>+O1904+N1904+M1904+L1904+K1904-0.03</f>
        <v>26836.002000000004</v>
      </c>
      <c r="Q1904" s="34" t="s">
        <v>410</v>
      </c>
      <c r="R1904" s="34" t="str">
        <f>VLOOKUP(C1904,'PUR-PARTY MASTER'!$B$4:$E$2000,4,FALSE)</f>
        <v>Local</v>
      </c>
      <c r="S1904" s="11" t="s">
        <v>4120</v>
      </c>
    </row>
    <row r="1905" spans="1:19" x14ac:dyDescent="0.2">
      <c r="A1905" s="51">
        <v>43800</v>
      </c>
      <c r="C1905" s="35" t="s">
        <v>570</v>
      </c>
      <c r="F1905" s="136" t="s">
        <v>4543</v>
      </c>
      <c r="G1905" s="37">
        <v>43826</v>
      </c>
      <c r="H1905" s="34">
        <v>84145120</v>
      </c>
      <c r="I1905" s="39">
        <f>VLOOKUP(H1905,'[2]PUR-HSN MASTER'!$A$4:$E$5052,5,FALSE)</f>
        <v>18</v>
      </c>
      <c r="J1905" s="38">
        <v>10</v>
      </c>
      <c r="K1905" s="40">
        <v>12500</v>
      </c>
      <c r="L1905" s="41">
        <v>0</v>
      </c>
      <c r="M1905" s="118">
        <f t="shared" si="158"/>
        <v>1125</v>
      </c>
      <c r="N1905" s="118">
        <f t="shared" si="159"/>
        <v>1125</v>
      </c>
      <c r="O1905" s="118">
        <v>0</v>
      </c>
      <c r="P1905" s="127">
        <f t="shared" si="160"/>
        <v>14750</v>
      </c>
      <c r="Q1905" s="34" t="s">
        <v>410</v>
      </c>
      <c r="R1905" s="34" t="str">
        <f>VLOOKUP(C1905,'PUR-PARTY MASTER'!$B$4:$E$2000,4,FALSE)</f>
        <v>Local</v>
      </c>
      <c r="S1905" s="11" t="s">
        <v>4120</v>
      </c>
    </row>
    <row r="1906" spans="1:19" x14ac:dyDescent="0.2">
      <c r="A1906" s="51">
        <v>43800</v>
      </c>
      <c r="C1906" s="35" t="s">
        <v>570</v>
      </c>
      <c r="F1906" s="136" t="s">
        <v>4543</v>
      </c>
      <c r="G1906" s="37">
        <v>43826</v>
      </c>
      <c r="H1906" s="34">
        <v>8538</v>
      </c>
      <c r="I1906" s="39">
        <f>VLOOKUP(H1906,'[2]PUR-HSN MASTER'!$A$4:$E$5052,5,FALSE)</f>
        <v>18</v>
      </c>
      <c r="J1906" s="38">
        <v>4</v>
      </c>
      <c r="K1906" s="40">
        <v>5404.8</v>
      </c>
      <c r="L1906" s="41">
        <v>0</v>
      </c>
      <c r="M1906" s="118">
        <f t="shared" si="158"/>
        <v>486.43200000000002</v>
      </c>
      <c r="N1906" s="118">
        <f t="shared" si="159"/>
        <v>486.43200000000002</v>
      </c>
      <c r="O1906" s="118">
        <v>0</v>
      </c>
      <c r="P1906" s="127">
        <f>+O1906+N1906+M1906+L1906+K1906-0.33</f>
        <v>6377.3340000000007</v>
      </c>
      <c r="Q1906" s="34" t="s">
        <v>410</v>
      </c>
      <c r="R1906" s="34" t="str">
        <f>VLOOKUP(C1906,'PUR-PARTY MASTER'!$B$4:$E$2000,4,FALSE)</f>
        <v>Local</v>
      </c>
      <c r="S1906" s="11" t="s">
        <v>4120</v>
      </c>
    </row>
    <row r="1907" spans="1:19" x14ac:dyDescent="0.2">
      <c r="A1907" s="51">
        <v>43800</v>
      </c>
      <c r="C1907" s="35" t="s">
        <v>570</v>
      </c>
      <c r="F1907" s="136" t="s">
        <v>4543</v>
      </c>
      <c r="G1907" s="37">
        <v>43826</v>
      </c>
      <c r="H1907" s="34">
        <v>85371000</v>
      </c>
      <c r="I1907" s="39">
        <f>VLOOKUP(H1907,'[2]PUR-HSN MASTER'!$A$4:$E$5052,5,FALSE)</f>
        <v>18</v>
      </c>
      <c r="J1907" s="38">
        <v>20</v>
      </c>
      <c r="K1907" s="40">
        <v>4420</v>
      </c>
      <c r="L1907" s="41">
        <v>0</v>
      </c>
      <c r="M1907" s="118">
        <f t="shared" si="158"/>
        <v>397.8</v>
      </c>
      <c r="N1907" s="118">
        <f t="shared" si="159"/>
        <v>397.8</v>
      </c>
      <c r="O1907" s="118">
        <v>0</v>
      </c>
      <c r="P1907" s="127">
        <f t="shared" si="160"/>
        <v>5215.6000000000004</v>
      </c>
      <c r="Q1907" s="34" t="s">
        <v>410</v>
      </c>
      <c r="R1907" s="34" t="str">
        <f>VLOOKUP(C1907,'PUR-PARTY MASTER'!$B$4:$E$2000,4,FALSE)</f>
        <v>Local</v>
      </c>
      <c r="S1907" s="11" t="s">
        <v>4120</v>
      </c>
    </row>
    <row r="1908" spans="1:19" x14ac:dyDescent="0.2">
      <c r="A1908" s="51">
        <v>43800</v>
      </c>
      <c r="C1908" s="35" t="s">
        <v>570</v>
      </c>
      <c r="F1908" s="136" t="s">
        <v>4543</v>
      </c>
      <c r="G1908" s="37">
        <v>43826</v>
      </c>
      <c r="H1908" s="34">
        <v>8544</v>
      </c>
      <c r="I1908" s="39">
        <f>VLOOKUP(H1908,'[2]PUR-HSN MASTER'!$A$4:$E$5052,5,FALSE)</f>
        <v>18</v>
      </c>
      <c r="J1908" s="38">
        <v>15</v>
      </c>
      <c r="K1908" s="40">
        <v>10286.25</v>
      </c>
      <c r="L1908" s="41">
        <v>0</v>
      </c>
      <c r="M1908" s="118">
        <f t="shared" si="158"/>
        <v>925.76249999999993</v>
      </c>
      <c r="N1908" s="118">
        <f t="shared" si="159"/>
        <v>925.76249999999993</v>
      </c>
      <c r="O1908" s="118">
        <v>0</v>
      </c>
      <c r="P1908" s="127">
        <f t="shared" si="160"/>
        <v>12137.775</v>
      </c>
      <c r="Q1908" s="34" t="s">
        <v>410</v>
      </c>
      <c r="R1908" s="34" t="str">
        <f>VLOOKUP(C1908,'PUR-PARTY MASTER'!$B$4:$E$2000,4,FALSE)</f>
        <v>Local</v>
      </c>
      <c r="S1908" s="11" t="s">
        <v>4120</v>
      </c>
    </row>
    <row r="1909" spans="1:19" x14ac:dyDescent="0.2">
      <c r="A1909" s="51">
        <v>43800</v>
      </c>
      <c r="C1909" s="35" t="s">
        <v>570</v>
      </c>
      <c r="F1909" s="136" t="s">
        <v>4543</v>
      </c>
      <c r="G1909" s="37">
        <v>43826</v>
      </c>
      <c r="H1909" s="34">
        <v>85362030</v>
      </c>
      <c r="I1909" s="39">
        <f>VLOOKUP(H1909,'[2]PUR-HSN MASTER'!$A$4:$E$5052,5,FALSE)</f>
        <v>18</v>
      </c>
      <c r="J1909" s="38">
        <v>38</v>
      </c>
      <c r="K1909" s="40">
        <v>20610.8</v>
      </c>
      <c r="L1909" s="41">
        <v>0</v>
      </c>
      <c r="M1909" s="118">
        <f t="shared" si="158"/>
        <v>1854.972</v>
      </c>
      <c r="N1909" s="118">
        <f t="shared" si="159"/>
        <v>1854.972</v>
      </c>
      <c r="O1909" s="118">
        <v>0</v>
      </c>
      <c r="P1909" s="127">
        <f t="shared" si="160"/>
        <v>24320.743999999999</v>
      </c>
      <c r="Q1909" s="34" t="s">
        <v>410</v>
      </c>
      <c r="R1909" s="34" t="str">
        <f>VLOOKUP(C1909,'PUR-PARTY MASTER'!$B$4:$E$2000,4,FALSE)</f>
        <v>Local</v>
      </c>
      <c r="S1909" s="11" t="s">
        <v>4120</v>
      </c>
    </row>
    <row r="1910" spans="1:19" x14ac:dyDescent="0.2">
      <c r="A1910" s="51">
        <v>43800</v>
      </c>
      <c r="C1910" s="35" t="s">
        <v>570</v>
      </c>
      <c r="F1910" s="136" t="s">
        <v>4543</v>
      </c>
      <c r="G1910" s="37">
        <v>43826</v>
      </c>
      <c r="H1910" s="34">
        <v>8536</v>
      </c>
      <c r="I1910" s="39">
        <f>VLOOKUP(H1910,'[2]PUR-HSN MASTER'!$A$4:$E$5052,5,FALSE)</f>
        <v>18</v>
      </c>
      <c r="J1910" s="38">
        <v>50</v>
      </c>
      <c r="K1910" s="40">
        <v>1275</v>
      </c>
      <c r="L1910" s="41">
        <v>0</v>
      </c>
      <c r="M1910" s="118">
        <f>+IF(R1910="local",K1910/100*I1910/2,0)+0.01</f>
        <v>114.76</v>
      </c>
      <c r="N1910" s="118">
        <f>+IF(R1910="local",K1910/100*I1910/2,0)+0.01</f>
        <v>114.76</v>
      </c>
      <c r="O1910" s="118">
        <v>0</v>
      </c>
      <c r="P1910" s="127">
        <f t="shared" si="160"/>
        <v>1504.52</v>
      </c>
      <c r="Q1910" s="34" t="s">
        <v>410</v>
      </c>
      <c r="R1910" s="34" t="str">
        <f>VLOOKUP(C1910,'PUR-PARTY MASTER'!$B$4:$E$2000,4,FALSE)</f>
        <v>Local</v>
      </c>
      <c r="S1910" s="11" t="s">
        <v>4120</v>
      </c>
    </row>
    <row r="1911" spans="1:19" x14ac:dyDescent="0.2">
      <c r="A1911" s="51">
        <v>43800</v>
      </c>
      <c r="B1911" s="11">
        <v>110</v>
      </c>
      <c r="C1911" s="35" t="s">
        <v>594</v>
      </c>
      <c r="F1911" s="134">
        <v>191012100</v>
      </c>
      <c r="G1911" s="37">
        <v>43830</v>
      </c>
      <c r="H1911" s="34" t="s">
        <v>4293</v>
      </c>
      <c r="I1911" s="39">
        <f>VLOOKUP(H1911,'[2]PUR-HSN MASTER'!$A$4:$E$5052,5,FALSE)</f>
        <v>18</v>
      </c>
      <c r="J1911" s="38">
        <v>4</v>
      </c>
      <c r="K1911" s="40">
        <f>2890+1655+380</f>
        <v>4925</v>
      </c>
      <c r="L1911" s="41">
        <v>0</v>
      </c>
      <c r="M1911" s="118">
        <f>+IF(R1911="local",K1911/100*I1911/2,0)</f>
        <v>443.25</v>
      </c>
      <c r="N1911" s="118">
        <f>+IF(R1911="local",K1911/100*I1911/2,0)</f>
        <v>443.25</v>
      </c>
      <c r="O1911" s="118">
        <v>0</v>
      </c>
      <c r="P1911" s="127">
        <f t="shared" si="160"/>
        <v>5811.5</v>
      </c>
      <c r="Q1911" s="34" t="s">
        <v>410</v>
      </c>
      <c r="R1911" s="34" t="str">
        <f>VLOOKUP(C1911,'PUR-PARTY MASTER'!$B$4:$E$2000,4,FALSE)</f>
        <v>Local</v>
      </c>
      <c r="S1911" s="11" t="s">
        <v>4120</v>
      </c>
    </row>
    <row r="1912" spans="1:19" x14ac:dyDescent="0.2">
      <c r="A1912" s="51">
        <v>43800</v>
      </c>
      <c r="C1912" s="35" t="s">
        <v>594</v>
      </c>
      <c r="F1912" s="134">
        <v>191012100</v>
      </c>
      <c r="G1912" s="37">
        <v>43830</v>
      </c>
      <c r="H1912" s="34">
        <v>84212900</v>
      </c>
      <c r="I1912" s="39">
        <f>VLOOKUP(H1912,'[2]PUR-HSN MASTER'!$A$4:$E$5052,5,FALSE)</f>
        <v>18</v>
      </c>
      <c r="J1912" s="38">
        <v>2</v>
      </c>
      <c r="K1912" s="40">
        <f>3376+8520</f>
        <v>11896</v>
      </c>
      <c r="L1912" s="41">
        <v>0</v>
      </c>
      <c r="M1912" s="118">
        <f t="shared" ref="M1912:M1913" si="161">+IF(R1912="local",K1912/100*I1912/2,0)</f>
        <v>1070.6399999999999</v>
      </c>
      <c r="N1912" s="118">
        <f t="shared" ref="N1912:N1913" si="162">+IF(R1912="local",K1912/100*I1912/2,0)</f>
        <v>1070.6399999999999</v>
      </c>
      <c r="O1912" s="118">
        <v>0</v>
      </c>
      <c r="P1912" s="127">
        <f>+O1912+N1912+M1912+L1912+K1912+0.02</f>
        <v>14037.3</v>
      </c>
      <c r="Q1912" s="34" t="s">
        <v>410</v>
      </c>
      <c r="R1912" s="34" t="str">
        <f>VLOOKUP(C1912,'PUR-PARTY MASTER'!$B$4:$E$2000,4,FALSE)</f>
        <v>Local</v>
      </c>
      <c r="S1912" s="11" t="s">
        <v>4120</v>
      </c>
    </row>
    <row r="1913" spans="1:19" x14ac:dyDescent="0.2">
      <c r="A1913" s="51">
        <v>43800</v>
      </c>
      <c r="C1913" s="35" t="s">
        <v>594</v>
      </c>
      <c r="F1913" s="134">
        <v>191012100</v>
      </c>
      <c r="G1913" s="37">
        <v>43830</v>
      </c>
      <c r="H1913" s="34" t="s">
        <v>4291</v>
      </c>
      <c r="I1913" s="39">
        <f>VLOOKUP(H1913,'[2]PUR-HSN MASTER'!$A$4:$E$5052,5,FALSE)</f>
        <v>18</v>
      </c>
      <c r="J1913" s="38">
        <v>3</v>
      </c>
      <c r="K1913" s="40">
        <v>8673</v>
      </c>
      <c r="L1913" s="41">
        <v>0</v>
      </c>
      <c r="M1913" s="118">
        <f t="shared" si="161"/>
        <v>780.57</v>
      </c>
      <c r="N1913" s="118">
        <f t="shared" si="162"/>
        <v>780.57</v>
      </c>
      <c r="O1913" s="118">
        <v>0</v>
      </c>
      <c r="P1913" s="127">
        <f>+O1913+N1913+M1913+L1913+K1913+0.06</f>
        <v>10234.199999999999</v>
      </c>
      <c r="Q1913" s="34" t="s">
        <v>410</v>
      </c>
      <c r="R1913" s="34" t="str">
        <f>VLOOKUP(C1913,'PUR-PARTY MASTER'!$B$4:$E$2000,4,FALSE)</f>
        <v>Local</v>
      </c>
      <c r="S1913" s="11" t="s">
        <v>4120</v>
      </c>
    </row>
    <row r="1914" spans="1:19" x14ac:dyDescent="0.2">
      <c r="A1914" s="51">
        <v>43800</v>
      </c>
      <c r="B1914" s="11">
        <v>111</v>
      </c>
      <c r="C1914" s="35" t="s">
        <v>594</v>
      </c>
      <c r="F1914" s="134">
        <v>191012105</v>
      </c>
      <c r="G1914" s="37">
        <v>43830</v>
      </c>
      <c r="H1914" s="34" t="s">
        <v>4291</v>
      </c>
      <c r="I1914" s="39">
        <f>VLOOKUP(H1914,'[2]PUR-HSN MASTER'!$A$4:$E$5052,5,FALSE)</f>
        <v>18</v>
      </c>
      <c r="J1914" s="38">
        <v>3</v>
      </c>
      <c r="K1914" s="40">
        <v>8673</v>
      </c>
      <c r="L1914" s="41">
        <v>0</v>
      </c>
      <c r="M1914" s="118">
        <f>+IF(R1914="local",K1914/100*I1914/2,0)</f>
        <v>780.57</v>
      </c>
      <c r="N1914" s="118">
        <f>+IF(R1914="local",K1914/100*I1914/2,0)</f>
        <v>780.57</v>
      </c>
      <c r="O1914" s="118">
        <v>0</v>
      </c>
      <c r="P1914" s="127">
        <f>+O1914+N1914+M1914+L1914+K1914-0.14</f>
        <v>10234</v>
      </c>
      <c r="Q1914" s="34" t="s">
        <v>410</v>
      </c>
      <c r="R1914" s="34" t="str">
        <f>VLOOKUP(C1914,'PUR-PARTY MASTER'!$B$4:$E$2000,4,FALSE)</f>
        <v>Local</v>
      </c>
      <c r="S1914" s="11" t="s">
        <v>4120</v>
      </c>
    </row>
    <row r="1915" spans="1:19" x14ac:dyDescent="0.2">
      <c r="A1915" s="51">
        <v>43800</v>
      </c>
      <c r="C1915" s="35" t="s">
        <v>594</v>
      </c>
      <c r="F1915" s="134">
        <v>191012105</v>
      </c>
      <c r="G1915" s="37">
        <v>43830</v>
      </c>
      <c r="H1915" s="34" t="s">
        <v>4293</v>
      </c>
      <c r="I1915" s="39">
        <f>VLOOKUP(H1915,'[2]PUR-HSN MASTER'!$A$4:$E$5052,5,FALSE)</f>
        <v>18</v>
      </c>
      <c r="J1915" s="38">
        <v>1</v>
      </c>
      <c r="K1915" s="40">
        <v>2890</v>
      </c>
      <c r="L1915" s="41">
        <v>0</v>
      </c>
      <c r="M1915" s="118">
        <f t="shared" ref="M1915:M1918" si="163">+IF(R1915="local",K1915/100*I1915/2,0)</f>
        <v>260.09999999999997</v>
      </c>
      <c r="N1915" s="118">
        <f t="shared" ref="N1915:N1918" si="164">+IF(R1915="local",K1915/100*I1915/2,0)</f>
        <v>260.09999999999997</v>
      </c>
      <c r="O1915" s="118">
        <v>0</v>
      </c>
      <c r="P1915" s="127">
        <f>+O1915+N1915+M1915+L1915+K1915-0.2</f>
        <v>3410</v>
      </c>
      <c r="Q1915" s="34" t="s">
        <v>410</v>
      </c>
      <c r="R1915" s="34" t="str">
        <f>VLOOKUP(C1915,'PUR-PARTY MASTER'!$B$4:$E$2000,4,FALSE)</f>
        <v>Local</v>
      </c>
      <c r="S1915" s="11" t="s">
        <v>4120</v>
      </c>
    </row>
    <row r="1916" spans="1:19" x14ac:dyDescent="0.2">
      <c r="A1916" s="51">
        <v>43800</v>
      </c>
      <c r="C1916" s="35" t="s">
        <v>594</v>
      </c>
      <c r="F1916" s="134">
        <v>191012105</v>
      </c>
      <c r="G1916" s="37">
        <v>43830</v>
      </c>
      <c r="H1916" s="34">
        <v>84212900</v>
      </c>
      <c r="I1916" s="39">
        <f>VLOOKUP(H1916,'[2]PUR-HSN MASTER'!$A$4:$E$5052,5,FALSE)</f>
        <v>18</v>
      </c>
      <c r="J1916" s="38">
        <v>2</v>
      </c>
      <c r="K1916" s="40">
        <v>11896</v>
      </c>
      <c r="L1916" s="41">
        <v>0</v>
      </c>
      <c r="M1916" s="118">
        <f t="shared" si="163"/>
        <v>1070.6399999999999</v>
      </c>
      <c r="N1916" s="118">
        <f t="shared" si="164"/>
        <v>1070.6399999999999</v>
      </c>
      <c r="O1916" s="118">
        <v>0</v>
      </c>
      <c r="P1916" s="127">
        <f>+O1916+N1916+M1916+L1916+K1916-0.02</f>
        <v>14037.259999999998</v>
      </c>
      <c r="Q1916" s="34" t="s">
        <v>410</v>
      </c>
      <c r="R1916" s="34" t="str">
        <f>VLOOKUP(C1916,'PUR-PARTY MASTER'!$B$4:$E$2000,4,FALSE)</f>
        <v>Local</v>
      </c>
      <c r="S1916" s="11" t="s">
        <v>4120</v>
      </c>
    </row>
    <row r="1917" spans="1:19" x14ac:dyDescent="0.2">
      <c r="A1917" s="51">
        <v>43800</v>
      </c>
      <c r="C1917" s="35" t="s">
        <v>594</v>
      </c>
      <c r="F1917" s="134">
        <v>191012105</v>
      </c>
      <c r="G1917" s="37">
        <v>43830</v>
      </c>
      <c r="H1917" s="34" t="s">
        <v>4300</v>
      </c>
      <c r="I1917" s="39">
        <f>VLOOKUP(H1917,'[2]PUR-HSN MASTER'!$A$4:$E$5052,5,FALSE)</f>
        <v>18</v>
      </c>
      <c r="J1917" s="38">
        <v>1</v>
      </c>
      <c r="K1917" s="40">
        <v>7643</v>
      </c>
      <c r="L1917" s="41">
        <v>0</v>
      </c>
      <c r="M1917" s="118">
        <f t="shared" si="163"/>
        <v>687.87000000000012</v>
      </c>
      <c r="N1917" s="118">
        <f t="shared" si="164"/>
        <v>687.87000000000012</v>
      </c>
      <c r="O1917" s="118">
        <v>0</v>
      </c>
      <c r="P1917" s="127">
        <f>+O1917+N1917+M1917+L1917+K1917</f>
        <v>9018.74</v>
      </c>
      <c r="Q1917" s="34" t="s">
        <v>410</v>
      </c>
      <c r="R1917" s="34" t="str">
        <f>VLOOKUP(C1917,'PUR-PARTY MASTER'!$B$4:$E$2000,4,FALSE)</f>
        <v>Local</v>
      </c>
      <c r="S1917" s="11" t="s">
        <v>4120</v>
      </c>
    </row>
    <row r="1918" spans="1:19" x14ac:dyDescent="0.2">
      <c r="A1918" s="51">
        <v>43800</v>
      </c>
      <c r="B1918" s="11">
        <v>112</v>
      </c>
      <c r="C1918" s="34" t="s">
        <v>589</v>
      </c>
      <c r="F1918" s="134">
        <v>16</v>
      </c>
      <c r="G1918" s="37">
        <v>43830</v>
      </c>
      <c r="H1918" s="34">
        <v>73110010</v>
      </c>
      <c r="I1918" s="39">
        <f>VLOOKUP(H1918,'[2]PUR-HSN MASTER'!$A$4:$E$5052,5,FALSE)</f>
        <v>18</v>
      </c>
      <c r="J1918" s="34">
        <v>19</v>
      </c>
      <c r="K1918" s="39">
        <v>48490.09</v>
      </c>
      <c r="L1918" s="118">
        <f t="shared" ref="L1918:L1920" si="165">+IF(R1918="Oms",K1918/100*I1918,0)</f>
        <v>0</v>
      </c>
      <c r="M1918" s="118">
        <f t="shared" si="163"/>
        <v>4364.1080999999995</v>
      </c>
      <c r="N1918" s="118">
        <f t="shared" si="164"/>
        <v>4364.1080999999995</v>
      </c>
      <c r="O1918" s="118">
        <v>0</v>
      </c>
      <c r="P1918" s="127">
        <f>+O1918+N1918+M1918+L1918+K1918+0.6</f>
        <v>57218.90619999999</v>
      </c>
      <c r="Q1918" s="34" t="s">
        <v>410</v>
      </c>
      <c r="R1918" s="34" t="str">
        <f>VLOOKUP(C1918,'PUR-PARTY MASTER'!$B$4:$E$2000,4,FALSE)</f>
        <v>Local</v>
      </c>
      <c r="S1918" s="11" t="s">
        <v>4120</v>
      </c>
    </row>
    <row r="1919" spans="1:19" x14ac:dyDescent="0.2">
      <c r="A1919" s="51">
        <v>43800</v>
      </c>
      <c r="B1919" s="11">
        <v>113</v>
      </c>
      <c r="C1919" s="35" t="s">
        <v>476</v>
      </c>
      <c r="F1919" s="136" t="s">
        <v>4544</v>
      </c>
      <c r="G1919" s="37">
        <v>43814</v>
      </c>
      <c r="H1919" s="34">
        <v>9971</v>
      </c>
      <c r="I1919" s="39">
        <f>VLOOKUP(H1919,'[2]PUR-HSN MASTER'!$A$4:$E$5052,5,FALSE)</f>
        <v>18</v>
      </c>
      <c r="J1919" s="38">
        <v>0</v>
      </c>
      <c r="K1919" s="40">
        <v>62042</v>
      </c>
      <c r="L1919" s="118">
        <f t="shared" si="165"/>
        <v>0</v>
      </c>
      <c r="M1919" s="118">
        <f>+IF(R1919="local",K1919/100*I1919/2,0)+0.22</f>
        <v>5584</v>
      </c>
      <c r="N1919" s="118">
        <f>+IF(R1919="local",K1919/100*I1919/2,0)+0.22</f>
        <v>5584</v>
      </c>
      <c r="O1919" s="118">
        <v>0</v>
      </c>
      <c r="P1919" s="127">
        <f t="shared" ref="P1919:P1920" si="166">+O1919+N1919+M1919+L1919+K1919</f>
        <v>73210</v>
      </c>
      <c r="Q1919" s="34" t="s">
        <v>410</v>
      </c>
      <c r="R1919" s="34" t="str">
        <f>VLOOKUP(C1919,'PUR-PARTY MASTER'!$B$4:$E$2000,4,FALSE)</f>
        <v>Local</v>
      </c>
      <c r="S1919" s="11" t="s">
        <v>4120</v>
      </c>
    </row>
    <row r="1920" spans="1:19" x14ac:dyDescent="0.2">
      <c r="A1920" s="51">
        <v>43800</v>
      </c>
      <c r="B1920" s="11">
        <v>114</v>
      </c>
      <c r="C1920" s="11" t="s">
        <v>1133</v>
      </c>
      <c r="F1920" s="136" t="s">
        <v>4545</v>
      </c>
      <c r="G1920" s="37">
        <v>43820</v>
      </c>
      <c r="H1920" s="34">
        <v>87141090</v>
      </c>
      <c r="I1920" s="39">
        <f>VLOOKUP(H1920,'[2]PUR-HSN MASTER'!$A$4:$E$5052,5,FALSE)</f>
        <v>28</v>
      </c>
      <c r="J1920" s="38">
        <v>2</v>
      </c>
      <c r="K1920" s="40">
        <v>94.06</v>
      </c>
      <c r="L1920" s="118">
        <f t="shared" si="165"/>
        <v>0</v>
      </c>
      <c r="M1920" s="118">
        <f>+IF(R1920="local",K1920/100*I1920/2,0)+0.22</f>
        <v>13.388400000000001</v>
      </c>
      <c r="N1920" s="118">
        <f>+IF(R1920="local",K1920/100*I1920/2,0)+0.22</f>
        <v>13.388400000000001</v>
      </c>
      <c r="O1920" s="118">
        <v>0</v>
      </c>
      <c r="P1920" s="127">
        <f t="shared" si="166"/>
        <v>120.83680000000001</v>
      </c>
      <c r="Q1920" s="34" t="s">
        <v>410</v>
      </c>
      <c r="R1920" s="34" t="str">
        <f>VLOOKUP(C1920,'PUR-PARTY MASTER'!$B$4:$E$2000,4,FALSE)</f>
        <v>Local</v>
      </c>
      <c r="S1920" s="11" t="s">
        <v>4120</v>
      </c>
    </row>
    <row r="1921" spans="1:19" x14ac:dyDescent="0.2">
      <c r="A1921" s="51"/>
      <c r="I1921" s="39" t="e">
        <f>VLOOKUP(H1921,'[2]PUR-HSN MASTER'!$A$4:$E$5052,5,FALSE)</f>
        <v>#N/A</v>
      </c>
      <c r="R1921" s="34" t="e">
        <f>VLOOKUP(C1921,'PUR-PARTY MASTER'!$B$4:$E$2000,4,FALSE)</f>
        <v>#N/A</v>
      </c>
      <c r="S1921" s="11" t="s">
        <v>4120</v>
      </c>
    </row>
    <row r="1922" spans="1:19" x14ac:dyDescent="0.2">
      <c r="A1922" s="51">
        <v>43831</v>
      </c>
      <c r="B1922" s="11">
        <v>1</v>
      </c>
      <c r="C1922" s="35" t="s">
        <v>541</v>
      </c>
      <c r="F1922" s="136" t="s">
        <v>4546</v>
      </c>
      <c r="G1922" s="37">
        <v>43831</v>
      </c>
      <c r="H1922" s="34">
        <v>998422</v>
      </c>
      <c r="I1922" s="39">
        <f>VLOOKUP(H1922,'[2]PUR-HSN MASTER'!$A$4:$E$5052,5,FALSE)</f>
        <v>18</v>
      </c>
      <c r="J1922" s="34"/>
      <c r="K1922" s="126">
        <v>3500</v>
      </c>
      <c r="L1922" s="118">
        <f t="shared" ref="L1922:L1934" si="167">+IF(R1922="Oms",K1922/100*I1922,0)</f>
        <v>0</v>
      </c>
      <c r="M1922" s="118">
        <f t="shared" ref="M1922:M1942" si="168">+IF(R1922="local",K1922/100*I1922/2,0)</f>
        <v>315</v>
      </c>
      <c r="N1922" s="118">
        <f t="shared" ref="N1922:N1942" si="169">+IF(R1922="local",K1922/100*I1922/2,0)</f>
        <v>315</v>
      </c>
      <c r="O1922" s="118">
        <v>0</v>
      </c>
      <c r="P1922" s="127">
        <f>+O1922+N1922+M1922+L1922+K1922</f>
        <v>4130</v>
      </c>
      <c r="Q1922" s="34" t="s">
        <v>411</v>
      </c>
      <c r="R1922" s="34" t="str">
        <f>VLOOKUP(C1922,'PUR-PARTY MASTER'!$B$4:$E$2000,4,FALSE)</f>
        <v>Local</v>
      </c>
      <c r="S1922" s="11" t="s">
        <v>4156</v>
      </c>
    </row>
    <row r="1923" spans="1:19" x14ac:dyDescent="0.2">
      <c r="A1923" s="51">
        <v>43831</v>
      </c>
      <c r="B1923" s="11">
        <v>2</v>
      </c>
      <c r="C1923" s="35" t="s">
        <v>499</v>
      </c>
      <c r="F1923" s="136" t="s">
        <v>4547</v>
      </c>
      <c r="G1923" s="37">
        <v>43831</v>
      </c>
      <c r="H1923" s="34">
        <v>96031000</v>
      </c>
      <c r="I1923" s="39">
        <f>VLOOKUP(H1923,'[2]PUR-HSN MASTER'!$A$4:$E$5052,5,FALSE)</f>
        <v>0</v>
      </c>
      <c r="J1923" s="34">
        <v>20</v>
      </c>
      <c r="K1923" s="126">
        <v>600</v>
      </c>
      <c r="L1923" s="118">
        <f t="shared" si="167"/>
        <v>0</v>
      </c>
      <c r="M1923" s="118">
        <f t="shared" si="168"/>
        <v>0</v>
      </c>
      <c r="N1923" s="118">
        <f t="shared" si="169"/>
        <v>0</v>
      </c>
      <c r="O1923" s="118">
        <v>0</v>
      </c>
      <c r="P1923" s="127">
        <f>+O1923+N1923+M1923+L1923+K1923</f>
        <v>600</v>
      </c>
      <c r="Q1923" s="34" t="s">
        <v>377</v>
      </c>
      <c r="R1923" s="34" t="str">
        <f>VLOOKUP(C1923,'PUR-PARTY MASTER'!$B$4:$E$2000,4,FALSE)</f>
        <v>Local</v>
      </c>
      <c r="S1923" s="11" t="s">
        <v>4119</v>
      </c>
    </row>
    <row r="1924" spans="1:19" x14ac:dyDescent="0.2">
      <c r="A1924" s="51">
        <v>43831</v>
      </c>
      <c r="B1924" s="11">
        <v>3</v>
      </c>
      <c r="C1924" s="35" t="s">
        <v>499</v>
      </c>
      <c r="F1924" s="136" t="s">
        <v>4548</v>
      </c>
      <c r="G1924" s="37">
        <v>43831</v>
      </c>
      <c r="H1924" s="34">
        <v>63079090</v>
      </c>
      <c r="I1924" s="39">
        <f>VLOOKUP(H1924,'[2]PUR-HSN MASTER'!$A$4:$E$5052,5,FALSE)</f>
        <v>5</v>
      </c>
      <c r="J1924" s="34">
        <v>100</v>
      </c>
      <c r="K1924" s="126">
        <v>775</v>
      </c>
      <c r="L1924" s="118">
        <f t="shared" si="167"/>
        <v>0</v>
      </c>
      <c r="M1924" s="118">
        <f t="shared" si="168"/>
        <v>19.375</v>
      </c>
      <c r="N1924" s="118">
        <f t="shared" si="169"/>
        <v>19.375</v>
      </c>
      <c r="O1924" s="118">
        <v>0</v>
      </c>
      <c r="P1924" s="127">
        <f>+O1924+N1924+M1924+L1924+K1924+0.25</f>
        <v>814</v>
      </c>
      <c r="Q1924" s="34" t="s">
        <v>410</v>
      </c>
      <c r="R1924" s="34" t="str">
        <f>VLOOKUP(C1924,'PUR-PARTY MASTER'!$B$4:$E$2000,4,FALSE)</f>
        <v>Local</v>
      </c>
      <c r="S1924" s="11" t="s">
        <v>4120</v>
      </c>
    </row>
    <row r="1925" spans="1:19" x14ac:dyDescent="0.2">
      <c r="A1925" s="51">
        <v>43831</v>
      </c>
      <c r="C1925" s="35" t="s">
        <v>499</v>
      </c>
      <c r="F1925" s="136" t="s">
        <v>4548</v>
      </c>
      <c r="G1925" s="37">
        <v>43831</v>
      </c>
      <c r="H1925" s="34">
        <v>5407</v>
      </c>
      <c r="I1925" s="39">
        <f>VLOOKUP(H1925,'[2]PUR-HSN MASTER'!$A$4:$E$5052,5,FALSE)</f>
        <v>5</v>
      </c>
      <c r="J1925" s="34">
        <v>50</v>
      </c>
      <c r="K1925" s="126">
        <v>13500</v>
      </c>
      <c r="L1925" s="118">
        <f t="shared" si="167"/>
        <v>0</v>
      </c>
      <c r="M1925" s="118">
        <f t="shared" si="168"/>
        <v>337.5</v>
      </c>
      <c r="N1925" s="118">
        <f t="shared" si="169"/>
        <v>337.5</v>
      </c>
      <c r="O1925" s="118">
        <v>0</v>
      </c>
      <c r="P1925" s="127">
        <f>+O1925+N1925+M1925+L1925+K1925</f>
        <v>14175</v>
      </c>
      <c r="Q1925" s="34" t="s">
        <v>410</v>
      </c>
      <c r="R1925" s="34" t="str">
        <f>VLOOKUP(C1925,'PUR-PARTY MASTER'!$B$4:$E$2000,4,FALSE)</f>
        <v>Local</v>
      </c>
      <c r="S1925" s="11" t="s">
        <v>4120</v>
      </c>
    </row>
    <row r="1926" spans="1:19" x14ac:dyDescent="0.2">
      <c r="A1926" s="51">
        <v>43831</v>
      </c>
      <c r="C1926" s="35" t="s">
        <v>499</v>
      </c>
      <c r="F1926" s="136" t="s">
        <v>4548</v>
      </c>
      <c r="G1926" s="37">
        <v>43831</v>
      </c>
      <c r="H1926" s="34">
        <v>67042020</v>
      </c>
      <c r="I1926" s="39">
        <f>VLOOKUP(H1926,'[2]PUR-HSN MASTER'!$A$4:$E$5052,5,FALSE)</f>
        <v>5</v>
      </c>
      <c r="J1926" s="34">
        <v>100</v>
      </c>
      <c r="K1926" s="126">
        <v>100</v>
      </c>
      <c r="L1926" s="118">
        <f t="shared" si="167"/>
        <v>0</v>
      </c>
      <c r="M1926" s="118">
        <f t="shared" si="168"/>
        <v>2.5</v>
      </c>
      <c r="N1926" s="118">
        <f t="shared" si="169"/>
        <v>2.5</v>
      </c>
      <c r="O1926" s="118">
        <v>0</v>
      </c>
      <c r="P1926" s="127">
        <f>+O1926+N1926+M1926+L1926+K1926</f>
        <v>105</v>
      </c>
      <c r="Q1926" s="34" t="s">
        <v>410</v>
      </c>
      <c r="R1926" s="34" t="str">
        <f>VLOOKUP(C1926,'PUR-PARTY MASTER'!$B$4:$E$2000,4,FALSE)</f>
        <v>Local</v>
      </c>
      <c r="S1926" s="11" t="s">
        <v>4120</v>
      </c>
    </row>
    <row r="1927" spans="1:19" x14ac:dyDescent="0.2">
      <c r="A1927" s="51">
        <v>43831</v>
      </c>
      <c r="C1927" s="35" t="s">
        <v>499</v>
      </c>
      <c r="F1927" s="136" t="s">
        <v>4548</v>
      </c>
      <c r="G1927" s="37">
        <v>43831</v>
      </c>
      <c r="H1927" s="34">
        <v>60060000</v>
      </c>
      <c r="I1927" s="39">
        <f>VLOOKUP(H1927,'[2]PUR-HSN MASTER'!$A$4:$E$5052,5,FALSE)</f>
        <v>5</v>
      </c>
      <c r="J1927" s="34">
        <v>100</v>
      </c>
      <c r="K1927" s="126">
        <v>3300</v>
      </c>
      <c r="L1927" s="118">
        <f t="shared" si="167"/>
        <v>0</v>
      </c>
      <c r="M1927" s="118">
        <f t="shared" si="168"/>
        <v>82.5</v>
      </c>
      <c r="N1927" s="118">
        <f t="shared" si="169"/>
        <v>82.5</v>
      </c>
      <c r="O1927" s="118">
        <v>0</v>
      </c>
      <c r="P1927" s="127">
        <f>+O1927+N1927+M1927+L1927+K1927</f>
        <v>3465</v>
      </c>
      <c r="Q1927" s="34" t="s">
        <v>410</v>
      </c>
      <c r="R1927" s="34" t="str">
        <f>VLOOKUP(C1927,'PUR-PARTY MASTER'!$B$4:$E$2000,4,FALSE)</f>
        <v>Local</v>
      </c>
      <c r="S1927" s="11" t="s">
        <v>4120</v>
      </c>
    </row>
    <row r="1928" spans="1:19" x14ac:dyDescent="0.2">
      <c r="A1928" s="51">
        <v>43831</v>
      </c>
      <c r="B1928" s="11">
        <v>4</v>
      </c>
      <c r="C1928" s="35" t="s">
        <v>499</v>
      </c>
      <c r="F1928" s="136" t="s">
        <v>4549</v>
      </c>
      <c r="G1928" s="37">
        <v>43831</v>
      </c>
      <c r="H1928" s="34">
        <v>82055990</v>
      </c>
      <c r="I1928" s="39">
        <f>VLOOKUP(H1928,'[2]PUR-HSN MASTER'!$A$4:$E$5052,5,FALSE)</f>
        <v>18</v>
      </c>
      <c r="J1928" s="34">
        <v>7</v>
      </c>
      <c r="K1928" s="126">
        <v>28</v>
      </c>
      <c r="L1928" s="118">
        <f t="shared" si="167"/>
        <v>0</v>
      </c>
      <c r="M1928" s="118">
        <f t="shared" si="168"/>
        <v>2.5200000000000005</v>
      </c>
      <c r="N1928" s="118">
        <f t="shared" si="169"/>
        <v>2.5200000000000005</v>
      </c>
      <c r="O1928" s="118">
        <v>0</v>
      </c>
      <c r="P1928" s="127">
        <f>+O1928+N1928+M1928+L1928+K1928</f>
        <v>33.04</v>
      </c>
      <c r="Q1928" s="34" t="s">
        <v>410</v>
      </c>
      <c r="R1928" s="34" t="str">
        <f>VLOOKUP(C1928,'PUR-PARTY MASTER'!$B$4:$E$2000,4,FALSE)</f>
        <v>Local</v>
      </c>
      <c r="S1928" s="11" t="s">
        <v>4120</v>
      </c>
    </row>
    <row r="1929" spans="1:19" x14ac:dyDescent="0.2">
      <c r="A1929" s="51">
        <v>43831</v>
      </c>
      <c r="C1929" s="35" t="s">
        <v>499</v>
      </c>
      <c r="F1929" s="136" t="s">
        <v>4549</v>
      </c>
      <c r="G1929" s="37">
        <v>43831</v>
      </c>
      <c r="H1929" s="34">
        <v>34022090</v>
      </c>
      <c r="I1929" s="39">
        <f>VLOOKUP(H1929,'[2]PUR-HSN MASTER'!$A$4:$E$5052,5,FALSE)</f>
        <v>18</v>
      </c>
      <c r="J1929" s="34">
        <v>3</v>
      </c>
      <c r="K1929" s="126">
        <v>201</v>
      </c>
      <c r="L1929" s="118">
        <f t="shared" si="167"/>
        <v>0</v>
      </c>
      <c r="M1929" s="118">
        <f t="shared" si="168"/>
        <v>18.089999999999996</v>
      </c>
      <c r="N1929" s="118">
        <f t="shared" si="169"/>
        <v>18.089999999999996</v>
      </c>
      <c r="O1929" s="118">
        <v>0</v>
      </c>
      <c r="P1929" s="127">
        <f>+O1929+N1929+M1929+L1929+K1929+0.1</f>
        <v>237.28</v>
      </c>
      <c r="Q1929" s="34" t="s">
        <v>410</v>
      </c>
      <c r="R1929" s="34" t="str">
        <f>VLOOKUP(C1929,'PUR-PARTY MASTER'!$B$4:$E$2000,4,FALSE)</f>
        <v>Local</v>
      </c>
      <c r="S1929" s="11" t="s">
        <v>4120</v>
      </c>
    </row>
    <row r="1930" spans="1:19" x14ac:dyDescent="0.2">
      <c r="A1930" s="51">
        <v>43831</v>
      </c>
      <c r="C1930" s="35" t="s">
        <v>499</v>
      </c>
      <c r="F1930" s="136" t="s">
        <v>4549</v>
      </c>
      <c r="G1930" s="37">
        <v>43831</v>
      </c>
      <c r="H1930" s="34">
        <v>39199090</v>
      </c>
      <c r="I1930" s="39">
        <f>VLOOKUP(H1930,'[2]PUR-HSN MASTER'!$A$4:$E$5052,5,FALSE)</f>
        <v>18</v>
      </c>
      <c r="J1930" s="34">
        <v>72</v>
      </c>
      <c r="K1930" s="126">
        <v>1440</v>
      </c>
      <c r="L1930" s="118">
        <f t="shared" si="167"/>
        <v>0</v>
      </c>
      <c r="M1930" s="118">
        <f t="shared" si="168"/>
        <v>129.6</v>
      </c>
      <c r="N1930" s="118">
        <f t="shared" si="169"/>
        <v>129.6</v>
      </c>
      <c r="O1930" s="118">
        <v>0</v>
      </c>
      <c r="P1930" s="127">
        <f>+O1930+N1930+M1930+L1930+K1930</f>
        <v>1699.2</v>
      </c>
      <c r="Q1930" s="34" t="s">
        <v>410</v>
      </c>
      <c r="R1930" s="34" t="str">
        <f>VLOOKUP(C1930,'PUR-PARTY MASTER'!$B$4:$E$2000,4,FALSE)</f>
        <v>Local</v>
      </c>
      <c r="S1930" s="11" t="s">
        <v>4120</v>
      </c>
    </row>
    <row r="1931" spans="1:19" x14ac:dyDescent="0.2">
      <c r="A1931" s="51">
        <v>43831</v>
      </c>
      <c r="C1931" s="35" t="s">
        <v>499</v>
      </c>
      <c r="F1931" s="136" t="s">
        <v>4549</v>
      </c>
      <c r="G1931" s="37">
        <v>43831</v>
      </c>
      <c r="H1931" s="34">
        <v>3808</v>
      </c>
      <c r="I1931" s="39">
        <f>VLOOKUP(H1931,'[2]PUR-HSN MASTER'!$A$4:$E$5052,5,FALSE)</f>
        <v>18</v>
      </c>
      <c r="J1931" s="34">
        <v>12</v>
      </c>
      <c r="K1931" s="126">
        <v>648</v>
      </c>
      <c r="L1931" s="118">
        <f t="shared" si="167"/>
        <v>0</v>
      </c>
      <c r="M1931" s="118">
        <f t="shared" si="168"/>
        <v>58.320000000000007</v>
      </c>
      <c r="N1931" s="118">
        <f t="shared" si="169"/>
        <v>58.320000000000007</v>
      </c>
      <c r="O1931" s="118">
        <v>0</v>
      </c>
      <c r="P1931" s="127">
        <f>+O1931+N1931+M1931+L1931+K1931</f>
        <v>764.64</v>
      </c>
      <c r="Q1931" s="34" t="s">
        <v>410</v>
      </c>
      <c r="R1931" s="34" t="str">
        <f>VLOOKUP(C1931,'PUR-PARTY MASTER'!$B$4:$E$2000,4,FALSE)</f>
        <v>Local</v>
      </c>
      <c r="S1931" s="11" t="s">
        <v>4120</v>
      </c>
    </row>
    <row r="1932" spans="1:19" x14ac:dyDescent="0.2">
      <c r="A1932" s="51">
        <v>43831</v>
      </c>
      <c r="C1932" s="35" t="s">
        <v>499</v>
      </c>
      <c r="F1932" s="136" t="s">
        <v>4549</v>
      </c>
      <c r="G1932" s="37">
        <v>43831</v>
      </c>
      <c r="H1932" s="34">
        <v>63071090</v>
      </c>
      <c r="I1932" s="39">
        <f>VLOOKUP(H1932,'[2]PUR-HSN MASTER'!$A$4:$E$5052,5,FALSE)</f>
        <v>18</v>
      </c>
      <c r="J1932" s="34">
        <v>24</v>
      </c>
      <c r="K1932" s="126">
        <v>288</v>
      </c>
      <c r="L1932" s="118">
        <f t="shared" si="167"/>
        <v>0</v>
      </c>
      <c r="M1932" s="118">
        <f t="shared" si="168"/>
        <v>25.919999999999998</v>
      </c>
      <c r="N1932" s="118">
        <f t="shared" si="169"/>
        <v>25.919999999999998</v>
      </c>
      <c r="O1932" s="118">
        <v>0</v>
      </c>
      <c r="P1932" s="127">
        <f>+O1932+N1932+M1932+L1932+K1932</f>
        <v>339.84</v>
      </c>
      <c r="Q1932" s="34" t="s">
        <v>410</v>
      </c>
      <c r="R1932" s="34" t="str">
        <f>VLOOKUP(C1932,'PUR-PARTY MASTER'!$B$4:$E$2000,4,FALSE)</f>
        <v>Local</v>
      </c>
      <c r="S1932" s="11" t="s">
        <v>4120</v>
      </c>
    </row>
    <row r="1933" spans="1:19" x14ac:dyDescent="0.2">
      <c r="A1933" s="51">
        <v>43831</v>
      </c>
      <c r="B1933" s="11">
        <v>5</v>
      </c>
      <c r="C1933" s="35" t="s">
        <v>499</v>
      </c>
      <c r="F1933" s="136" t="s">
        <v>4550</v>
      </c>
      <c r="G1933" s="37">
        <v>43831</v>
      </c>
      <c r="H1933" s="34">
        <v>63071090</v>
      </c>
      <c r="I1933" s="39">
        <f>VLOOKUP(H1933,'[2]PUR-HSN MASTER'!$A$4:$E$5052,5,FALSE)</f>
        <v>18</v>
      </c>
      <c r="J1933" s="34">
        <v>24</v>
      </c>
      <c r="K1933" s="126">
        <v>288</v>
      </c>
      <c r="L1933" s="118">
        <f t="shared" si="167"/>
        <v>0</v>
      </c>
      <c r="M1933" s="118">
        <f t="shared" si="168"/>
        <v>25.919999999999998</v>
      </c>
      <c r="N1933" s="118">
        <f t="shared" si="169"/>
        <v>25.919999999999998</v>
      </c>
      <c r="O1933" s="118">
        <v>0</v>
      </c>
      <c r="P1933" s="127">
        <f>+O1933+N1933+M1933+L1933+K1933-0.04</f>
        <v>339.79999999999995</v>
      </c>
      <c r="Q1933" s="34" t="s">
        <v>410</v>
      </c>
      <c r="R1933" s="34" t="str">
        <f>VLOOKUP(C1933,'PUR-PARTY MASTER'!$B$4:$E$2000,4,FALSE)</f>
        <v>Local</v>
      </c>
      <c r="S1933" s="11" t="s">
        <v>4120</v>
      </c>
    </row>
    <row r="1934" spans="1:19" x14ac:dyDescent="0.2">
      <c r="A1934" s="51">
        <v>43831</v>
      </c>
      <c r="C1934" s="35" t="s">
        <v>499</v>
      </c>
      <c r="F1934" s="136" t="s">
        <v>4550</v>
      </c>
      <c r="G1934" s="37">
        <v>43831</v>
      </c>
      <c r="H1934" s="34">
        <v>96039000</v>
      </c>
      <c r="I1934" s="39">
        <f>VLOOKUP(H1934,'[2]PUR-HSN MASTER'!$A$4:$E$5052,5,FALSE)</f>
        <v>18</v>
      </c>
      <c r="J1934" s="34">
        <v>6</v>
      </c>
      <c r="K1934" s="126">
        <v>468</v>
      </c>
      <c r="L1934" s="118">
        <f t="shared" si="167"/>
        <v>0</v>
      </c>
      <c r="M1934" s="118">
        <f t="shared" si="168"/>
        <v>42.12</v>
      </c>
      <c r="N1934" s="118">
        <f t="shared" si="169"/>
        <v>42.12</v>
      </c>
      <c r="O1934" s="118">
        <v>0</v>
      </c>
      <c r="P1934" s="127">
        <f>+O1934+N1934+M1934+L1934+K1934-0.04</f>
        <v>552.20000000000005</v>
      </c>
      <c r="Q1934" s="34" t="s">
        <v>410</v>
      </c>
      <c r="R1934" s="34" t="str">
        <f>VLOOKUP(C1934,'PUR-PARTY MASTER'!$B$4:$E$2000,4,FALSE)</f>
        <v>Local</v>
      </c>
      <c r="S1934" s="11" t="s">
        <v>4120</v>
      </c>
    </row>
    <row r="1935" spans="1:19" x14ac:dyDescent="0.2">
      <c r="A1935" s="51">
        <v>43831</v>
      </c>
      <c r="B1935" s="11">
        <v>6</v>
      </c>
      <c r="C1935" s="35" t="s">
        <v>570</v>
      </c>
      <c r="F1935" s="136" t="s">
        <v>4551</v>
      </c>
      <c r="G1935" s="37">
        <v>43832</v>
      </c>
      <c r="H1935" s="34">
        <v>85446090</v>
      </c>
      <c r="I1935" s="39">
        <f>VLOOKUP(H1935,'[2]PUR-HSN MASTER'!$A$4:$E$5052,5,FALSE)</f>
        <v>18</v>
      </c>
      <c r="J1935" s="38">
        <v>56</v>
      </c>
      <c r="K1935" s="40">
        <v>6244.8</v>
      </c>
      <c r="L1935" s="41">
        <v>0</v>
      </c>
      <c r="M1935" s="118">
        <f t="shared" si="168"/>
        <v>562.03200000000004</v>
      </c>
      <c r="N1935" s="118">
        <f t="shared" si="169"/>
        <v>562.03200000000004</v>
      </c>
      <c r="O1935" s="118">
        <v>0</v>
      </c>
      <c r="P1935" s="127">
        <f t="shared" ref="P1935:P1936" si="170">+O1935+N1935+M1935+L1935+K1935</f>
        <v>7368.8640000000005</v>
      </c>
      <c r="Q1935" s="34" t="s">
        <v>410</v>
      </c>
      <c r="R1935" s="34" t="str">
        <f>VLOOKUP(C1935,'PUR-PARTY MASTER'!$B$4:$E$2000,4,FALSE)</f>
        <v>Local</v>
      </c>
      <c r="S1935" s="11" t="s">
        <v>4120</v>
      </c>
    </row>
    <row r="1936" spans="1:19" x14ac:dyDescent="0.2">
      <c r="A1936" s="51">
        <v>43831</v>
      </c>
      <c r="C1936" s="35" t="s">
        <v>570</v>
      </c>
      <c r="F1936" s="136" t="s">
        <v>4551</v>
      </c>
      <c r="G1936" s="37">
        <v>43832</v>
      </c>
      <c r="H1936" s="34">
        <v>8538</v>
      </c>
      <c r="I1936" s="39">
        <f>VLOOKUP(H1936,'[2]PUR-HSN MASTER'!$A$4:$E$5052,5,FALSE)</f>
        <v>18</v>
      </c>
      <c r="J1936" s="38">
        <v>2</v>
      </c>
      <c r="K1936" s="40">
        <v>149.4</v>
      </c>
      <c r="L1936" s="41">
        <v>0</v>
      </c>
      <c r="M1936" s="118">
        <f t="shared" si="168"/>
        <v>13.446</v>
      </c>
      <c r="N1936" s="118">
        <f t="shared" si="169"/>
        <v>13.446</v>
      </c>
      <c r="O1936" s="118">
        <v>0</v>
      </c>
      <c r="P1936" s="127">
        <f t="shared" si="170"/>
        <v>176.292</v>
      </c>
      <c r="Q1936" s="34" t="s">
        <v>410</v>
      </c>
      <c r="R1936" s="34" t="str">
        <f>VLOOKUP(C1936,'PUR-PARTY MASTER'!$B$4:$E$2000,4,FALSE)</f>
        <v>Local</v>
      </c>
      <c r="S1936" s="11" t="s">
        <v>4120</v>
      </c>
    </row>
    <row r="1937" spans="1:19" x14ac:dyDescent="0.2">
      <c r="A1937" s="51">
        <v>43831</v>
      </c>
      <c r="C1937" s="35" t="s">
        <v>570</v>
      </c>
      <c r="F1937" s="136" t="s">
        <v>4551</v>
      </c>
      <c r="G1937" s="37">
        <v>43832</v>
      </c>
      <c r="H1937" s="34">
        <v>8536</v>
      </c>
      <c r="I1937" s="39">
        <f>VLOOKUP(H1937,'[2]PUR-HSN MASTER'!$A$4:$E$5052,5,FALSE)</f>
        <v>18</v>
      </c>
      <c r="J1937" s="38">
        <v>12</v>
      </c>
      <c r="K1937" s="40">
        <v>606.04</v>
      </c>
      <c r="L1937" s="41">
        <v>0</v>
      </c>
      <c r="M1937" s="118">
        <f t="shared" si="168"/>
        <v>54.543599999999998</v>
      </c>
      <c r="N1937" s="118">
        <f t="shared" si="169"/>
        <v>54.543599999999998</v>
      </c>
      <c r="O1937" s="118">
        <v>0</v>
      </c>
      <c r="P1937" s="127">
        <f>+O1937+N1937+M1937+L1937+K1937-0.03</f>
        <v>715.09719999999993</v>
      </c>
      <c r="Q1937" s="34" t="s">
        <v>410</v>
      </c>
      <c r="R1937" s="34" t="str">
        <f>VLOOKUP(C1937,'PUR-PARTY MASTER'!$B$4:$E$2000,4,FALSE)</f>
        <v>Local</v>
      </c>
      <c r="S1937" s="11" t="s">
        <v>4120</v>
      </c>
    </row>
    <row r="1938" spans="1:19" x14ac:dyDescent="0.2">
      <c r="A1938" s="51">
        <v>43831</v>
      </c>
      <c r="C1938" s="35" t="s">
        <v>570</v>
      </c>
      <c r="F1938" s="136" t="s">
        <v>4551</v>
      </c>
      <c r="G1938" s="37">
        <v>43832</v>
      </c>
      <c r="H1938" s="34">
        <v>8546</v>
      </c>
      <c r="I1938" s="39">
        <f>VLOOKUP(H1938,'[2]PUR-HSN MASTER'!$A$4:$E$5052,5,FALSE)</f>
        <v>18</v>
      </c>
      <c r="J1938" s="38">
        <v>4</v>
      </c>
      <c r="K1938" s="40">
        <v>48</v>
      </c>
      <c r="L1938" s="41">
        <v>0</v>
      </c>
      <c r="M1938" s="118">
        <f t="shared" si="168"/>
        <v>4.32</v>
      </c>
      <c r="N1938" s="118">
        <f t="shared" si="169"/>
        <v>4.32</v>
      </c>
      <c r="O1938" s="118">
        <v>0</v>
      </c>
      <c r="P1938" s="127">
        <f t="shared" ref="P1938:P1944" si="171">+O1938+N1938+M1938+L1938+K1938</f>
        <v>56.64</v>
      </c>
      <c r="Q1938" s="34" t="s">
        <v>410</v>
      </c>
      <c r="R1938" s="34" t="str">
        <f>VLOOKUP(C1938,'PUR-PARTY MASTER'!$B$4:$E$2000,4,FALSE)</f>
        <v>Local</v>
      </c>
      <c r="S1938" s="11" t="s">
        <v>4120</v>
      </c>
    </row>
    <row r="1939" spans="1:19" x14ac:dyDescent="0.2">
      <c r="A1939" s="51">
        <v>43831</v>
      </c>
      <c r="C1939" s="35" t="s">
        <v>570</v>
      </c>
      <c r="F1939" s="136" t="s">
        <v>4551</v>
      </c>
      <c r="G1939" s="37">
        <v>43832</v>
      </c>
      <c r="H1939" s="34">
        <v>85389000</v>
      </c>
      <c r="I1939" s="39">
        <f>VLOOKUP(H1939,'[2]PUR-HSN MASTER'!$A$4:$E$5052,5,FALSE)</f>
        <v>18</v>
      </c>
      <c r="J1939" s="38">
        <v>2</v>
      </c>
      <c r="K1939" s="40">
        <v>697.8</v>
      </c>
      <c r="L1939" s="41">
        <v>0</v>
      </c>
      <c r="M1939" s="118">
        <f t="shared" si="168"/>
        <v>62.802</v>
      </c>
      <c r="N1939" s="118">
        <f t="shared" si="169"/>
        <v>62.802</v>
      </c>
      <c r="O1939" s="118">
        <v>0</v>
      </c>
      <c r="P1939" s="127">
        <f t="shared" si="171"/>
        <v>823.404</v>
      </c>
      <c r="Q1939" s="34" t="s">
        <v>410</v>
      </c>
      <c r="R1939" s="34" t="str">
        <f>VLOOKUP(C1939,'PUR-PARTY MASTER'!$B$4:$E$2000,4,FALSE)</f>
        <v>Local</v>
      </c>
      <c r="S1939" s="11" t="s">
        <v>4120</v>
      </c>
    </row>
    <row r="1940" spans="1:19" x14ac:dyDescent="0.2">
      <c r="A1940" s="51">
        <v>43831</v>
      </c>
      <c r="C1940" s="35" t="s">
        <v>570</v>
      </c>
      <c r="F1940" s="136" t="s">
        <v>4551</v>
      </c>
      <c r="G1940" s="37">
        <v>43832</v>
      </c>
      <c r="H1940" s="34">
        <v>85362030</v>
      </c>
      <c r="I1940" s="39">
        <f>VLOOKUP(H1940,'[2]PUR-HSN MASTER'!$A$4:$E$5052,5,FALSE)</f>
        <v>18</v>
      </c>
      <c r="J1940" s="38">
        <v>3</v>
      </c>
      <c r="K1940" s="40">
        <v>478.8</v>
      </c>
      <c r="L1940" s="41">
        <v>0</v>
      </c>
      <c r="M1940" s="118">
        <f t="shared" si="168"/>
        <v>43.091999999999999</v>
      </c>
      <c r="N1940" s="118">
        <f t="shared" si="169"/>
        <v>43.091999999999999</v>
      </c>
      <c r="O1940" s="118">
        <v>0</v>
      </c>
      <c r="P1940" s="127">
        <f t="shared" si="171"/>
        <v>564.98400000000004</v>
      </c>
      <c r="Q1940" s="34" t="s">
        <v>410</v>
      </c>
      <c r="R1940" s="34" t="str">
        <f>VLOOKUP(C1940,'PUR-PARTY MASTER'!$B$4:$E$2000,4,FALSE)</f>
        <v>Local</v>
      </c>
      <c r="S1940" s="11" t="s">
        <v>4120</v>
      </c>
    </row>
    <row r="1941" spans="1:19" x14ac:dyDescent="0.2">
      <c r="A1941" s="51">
        <v>43831</v>
      </c>
      <c r="C1941" s="35" t="s">
        <v>570</v>
      </c>
      <c r="F1941" s="136" t="s">
        <v>4551</v>
      </c>
      <c r="G1941" s="37">
        <v>43832</v>
      </c>
      <c r="H1941" s="34">
        <v>39172190</v>
      </c>
      <c r="I1941" s="39">
        <f>VLOOKUP(H1941,'[2]PUR-HSN MASTER'!$A$4:$E$5052,5,FALSE)</f>
        <v>18</v>
      </c>
      <c r="J1941" s="38">
        <v>11</v>
      </c>
      <c r="K1941" s="40">
        <v>496</v>
      </c>
      <c r="L1941" s="41">
        <v>0</v>
      </c>
      <c r="M1941" s="118">
        <f t="shared" si="168"/>
        <v>44.64</v>
      </c>
      <c r="N1941" s="118">
        <f t="shared" si="169"/>
        <v>44.64</v>
      </c>
      <c r="O1941" s="118">
        <v>0</v>
      </c>
      <c r="P1941" s="127">
        <f t="shared" si="171"/>
        <v>585.28</v>
      </c>
      <c r="Q1941" s="34" t="s">
        <v>410</v>
      </c>
      <c r="R1941" s="34" t="str">
        <f>VLOOKUP(C1941,'PUR-PARTY MASTER'!$B$4:$E$2000,4,FALSE)</f>
        <v>Local</v>
      </c>
      <c r="S1941" s="11" t="s">
        <v>4120</v>
      </c>
    </row>
    <row r="1942" spans="1:19" x14ac:dyDescent="0.2">
      <c r="A1942" s="51">
        <v>43831</v>
      </c>
      <c r="C1942" s="35" t="s">
        <v>570</v>
      </c>
      <c r="F1942" s="136" t="s">
        <v>4551</v>
      </c>
      <c r="G1942" s="37">
        <v>43832</v>
      </c>
      <c r="H1942" s="34">
        <v>3917</v>
      </c>
      <c r="I1942" s="39">
        <f>VLOOKUP(H1942,'[2]PUR-HSN MASTER'!$A$4:$E$5052,5,FALSE)</f>
        <v>18</v>
      </c>
      <c r="J1942" s="38">
        <v>4</v>
      </c>
      <c r="K1942" s="40">
        <v>108</v>
      </c>
      <c r="L1942" s="41">
        <v>0</v>
      </c>
      <c r="M1942" s="118">
        <f t="shared" si="168"/>
        <v>9.7200000000000006</v>
      </c>
      <c r="N1942" s="118">
        <f t="shared" si="169"/>
        <v>9.7200000000000006</v>
      </c>
      <c r="O1942" s="118">
        <v>0</v>
      </c>
      <c r="P1942" s="127">
        <f t="shared" si="171"/>
        <v>127.44</v>
      </c>
      <c r="Q1942" s="34" t="s">
        <v>410</v>
      </c>
      <c r="R1942" s="34" t="str">
        <f>VLOOKUP(C1942,'PUR-PARTY MASTER'!$B$4:$E$2000,4,FALSE)</f>
        <v>Local</v>
      </c>
      <c r="S1942" s="11" t="s">
        <v>4120</v>
      </c>
    </row>
    <row r="1943" spans="1:19" x14ac:dyDescent="0.2">
      <c r="A1943" s="51">
        <v>43831</v>
      </c>
      <c r="B1943" s="11">
        <v>7</v>
      </c>
      <c r="C1943" s="35" t="s">
        <v>473</v>
      </c>
      <c r="F1943" s="136" t="s">
        <v>4552</v>
      </c>
      <c r="G1943" s="37">
        <v>43832</v>
      </c>
      <c r="H1943" s="34">
        <v>87089900</v>
      </c>
      <c r="I1943" s="39">
        <f>VLOOKUP(H1943,'[2]PUR-HSN MASTER'!$A$4:$E$5052,5,FALSE)</f>
        <v>28</v>
      </c>
      <c r="J1943" s="34">
        <v>40</v>
      </c>
      <c r="K1943" s="126">
        <v>6012.8</v>
      </c>
      <c r="L1943" s="118">
        <f t="shared" ref="L1943:L1944" si="172">+IF(R1943="Oms",K1943/100*I1943,0)</f>
        <v>0</v>
      </c>
      <c r="M1943" s="118">
        <f>+IF(R1943="local",K1943/100*I1943/2,0)+0.21</f>
        <v>842.00200000000007</v>
      </c>
      <c r="N1943" s="118">
        <f>+IF(R1943="local",K1943/100*I1943/2,0)+0.21</f>
        <v>842.00200000000007</v>
      </c>
      <c r="O1943" s="118">
        <v>0</v>
      </c>
      <c r="P1943" s="127">
        <f t="shared" si="171"/>
        <v>7696.8040000000001</v>
      </c>
      <c r="Q1943" s="34" t="s">
        <v>410</v>
      </c>
      <c r="R1943" s="34" t="str">
        <f>VLOOKUP(C1943,'PUR-PARTY MASTER'!$B$4:$E$2000,4,FALSE)</f>
        <v>Local</v>
      </c>
      <c r="S1943" s="11" t="s">
        <v>4120</v>
      </c>
    </row>
    <row r="1944" spans="1:19" x14ac:dyDescent="0.2">
      <c r="A1944" s="51">
        <v>43831</v>
      </c>
      <c r="B1944" s="11">
        <v>8</v>
      </c>
      <c r="C1944" s="35" t="s">
        <v>473</v>
      </c>
      <c r="F1944" s="136" t="s">
        <v>4553</v>
      </c>
      <c r="G1944" s="37">
        <v>43832</v>
      </c>
      <c r="H1944" s="34">
        <v>87089900</v>
      </c>
      <c r="I1944" s="39">
        <f>VLOOKUP(H1944,'[2]PUR-HSN MASTER'!$A$4:$E$5052,5,FALSE)</f>
        <v>28</v>
      </c>
      <c r="J1944" s="34">
        <v>34</v>
      </c>
      <c r="K1944" s="126">
        <v>5450.2</v>
      </c>
      <c r="L1944" s="118">
        <f t="shared" si="172"/>
        <v>0</v>
      </c>
      <c r="M1944" s="118">
        <f>+IF(R1944="local",K1944/100*I1944/2,0)-0.03</f>
        <v>762.99799999999993</v>
      </c>
      <c r="N1944" s="118">
        <f>+IF(R1944="local",K1944/100*I1944/2,0)-0.03</f>
        <v>762.99799999999993</v>
      </c>
      <c r="O1944" s="118">
        <v>0</v>
      </c>
      <c r="P1944" s="127">
        <f t="shared" si="171"/>
        <v>6976.1959999999999</v>
      </c>
      <c r="Q1944" s="34" t="s">
        <v>410</v>
      </c>
      <c r="R1944" s="34" t="str">
        <f>VLOOKUP(C1944,'PUR-PARTY MASTER'!$B$4:$E$2000,4,FALSE)</f>
        <v>Local</v>
      </c>
      <c r="S1944" s="11" t="s">
        <v>4120</v>
      </c>
    </row>
    <row r="1945" spans="1:19" x14ac:dyDescent="0.2">
      <c r="A1945" s="51">
        <v>43831</v>
      </c>
      <c r="B1945" s="11">
        <v>9</v>
      </c>
      <c r="C1945" s="34" t="s">
        <v>489</v>
      </c>
      <c r="F1945" s="134">
        <v>7887992773</v>
      </c>
      <c r="G1945" s="37">
        <v>43832</v>
      </c>
      <c r="H1945" s="34">
        <v>39119090</v>
      </c>
      <c r="I1945" s="39">
        <f>VLOOKUP(H1945,'[2]PUR-HSN MASTER'!$A$4:$E$5052,5,FALSE)</f>
        <v>18</v>
      </c>
      <c r="J1945" s="34">
        <v>12</v>
      </c>
      <c r="K1945" s="39">
        <v>5088</v>
      </c>
      <c r="L1945" s="118">
        <f>+IF(R1945="Oms",K1945/100*I1945,0)</f>
        <v>0</v>
      </c>
      <c r="M1945" s="118">
        <f t="shared" ref="M1945:M1951" si="173">+IF(R1945="local",K1945/100*I1945/2,0)</f>
        <v>457.92</v>
      </c>
      <c r="N1945" s="118">
        <f t="shared" ref="N1945:N1951" si="174">+IF(R1945="local",K1945/100*I1945/2,0)</f>
        <v>457.92</v>
      </c>
      <c r="O1945" s="118">
        <v>0</v>
      </c>
      <c r="P1945" s="127">
        <f>+O1945+N1945+M1945+L1945+K1945+0.16</f>
        <v>6004</v>
      </c>
      <c r="Q1945" s="34" t="s">
        <v>410</v>
      </c>
      <c r="R1945" s="34" t="str">
        <f>VLOOKUP(C1945,'PUR-PARTY MASTER'!$B$4:$E$2000,4,FALSE)</f>
        <v>Local</v>
      </c>
      <c r="S1945" s="11" t="s">
        <v>4120</v>
      </c>
    </row>
    <row r="1946" spans="1:19" x14ac:dyDescent="0.2">
      <c r="A1946" s="51">
        <v>43831</v>
      </c>
      <c r="B1946" s="11">
        <v>10</v>
      </c>
      <c r="C1946" s="34" t="s">
        <v>489</v>
      </c>
      <c r="F1946" s="134">
        <v>7887992778</v>
      </c>
      <c r="G1946" s="37">
        <v>43832</v>
      </c>
      <c r="H1946" s="34">
        <v>32082090</v>
      </c>
      <c r="I1946" s="39">
        <f>VLOOKUP(H1946,'[2]PUR-HSN MASTER'!$A$4:$E$5052,5,FALSE)</f>
        <v>18</v>
      </c>
      <c r="J1946" s="34">
        <v>40</v>
      </c>
      <c r="K1946" s="39">
        <v>17280</v>
      </c>
      <c r="L1946" s="118">
        <f t="shared" ref="L1946:L1952" si="175">+IF(R1946="Oms",K1946/100*I1946,0)</f>
        <v>0</v>
      </c>
      <c r="M1946" s="118">
        <f t="shared" si="173"/>
        <v>1555.2</v>
      </c>
      <c r="N1946" s="118">
        <f t="shared" si="174"/>
        <v>1555.2</v>
      </c>
      <c r="O1946" s="118">
        <v>0</v>
      </c>
      <c r="P1946" s="127">
        <f>+O1946+N1946+M1946+L1946+K1946-0.4</f>
        <v>20390</v>
      </c>
      <c r="Q1946" s="34" t="s">
        <v>410</v>
      </c>
      <c r="R1946" s="34" t="str">
        <f>VLOOKUP(C1946,'PUR-PARTY MASTER'!$B$4:$E$2000,4,FALSE)</f>
        <v>Local</v>
      </c>
      <c r="S1946" s="11" t="s">
        <v>4120</v>
      </c>
    </row>
    <row r="1947" spans="1:19" x14ac:dyDescent="0.2">
      <c r="A1947" s="51">
        <v>43831</v>
      </c>
      <c r="C1947" s="34" t="s">
        <v>489</v>
      </c>
      <c r="F1947" s="134">
        <v>7887992778</v>
      </c>
      <c r="G1947" s="37">
        <v>43832</v>
      </c>
      <c r="H1947" s="34">
        <v>39119090</v>
      </c>
      <c r="I1947" s="39">
        <f>VLOOKUP(H1947,'[2]PUR-HSN MASTER'!$A$4:$E$5052,5,FALSE)</f>
        <v>18</v>
      </c>
      <c r="J1947" s="34">
        <v>40</v>
      </c>
      <c r="K1947" s="39">
        <v>20000</v>
      </c>
      <c r="L1947" s="118">
        <f t="shared" si="175"/>
        <v>0</v>
      </c>
      <c r="M1947" s="118">
        <f t="shared" si="173"/>
        <v>1800</v>
      </c>
      <c r="N1947" s="118">
        <f t="shared" si="174"/>
        <v>1800</v>
      </c>
      <c r="O1947" s="118">
        <v>0</v>
      </c>
      <c r="P1947" s="127">
        <f>+O1947+N1947+M1947+L1947+K1947</f>
        <v>23600</v>
      </c>
      <c r="Q1947" s="34" t="s">
        <v>410</v>
      </c>
      <c r="R1947" s="34" t="str">
        <f>VLOOKUP(C1947,'PUR-PARTY MASTER'!$B$4:$E$2000,4,FALSE)</f>
        <v>Local</v>
      </c>
      <c r="S1947" s="11" t="s">
        <v>4120</v>
      </c>
    </row>
    <row r="1948" spans="1:19" x14ac:dyDescent="0.2">
      <c r="A1948" s="51">
        <v>43831</v>
      </c>
      <c r="B1948" s="11">
        <v>11</v>
      </c>
      <c r="C1948" s="34" t="s">
        <v>489</v>
      </c>
      <c r="F1948" s="134">
        <v>7887992779</v>
      </c>
      <c r="G1948" s="37">
        <v>43832</v>
      </c>
      <c r="H1948" s="34">
        <v>32082090</v>
      </c>
      <c r="I1948" s="39">
        <f>VLOOKUP(H1948,'[2]PUR-HSN MASTER'!$A$4:$E$5052,5,FALSE)</f>
        <v>18</v>
      </c>
      <c r="J1948" s="34">
        <v>58</v>
      </c>
      <c r="K1948" s="39">
        <f>43680+7650</f>
        <v>51330</v>
      </c>
      <c r="L1948" s="118">
        <f t="shared" si="175"/>
        <v>0</v>
      </c>
      <c r="M1948" s="118">
        <f t="shared" si="173"/>
        <v>4619.7</v>
      </c>
      <c r="N1948" s="118">
        <f t="shared" si="174"/>
        <v>4619.7</v>
      </c>
      <c r="O1948" s="118">
        <v>0</v>
      </c>
      <c r="P1948" s="127">
        <f>+O1948+N1948+M1948+L1948+K1948-0.4</f>
        <v>60569</v>
      </c>
      <c r="Q1948" s="34" t="s">
        <v>410</v>
      </c>
      <c r="R1948" s="34" t="str">
        <f>VLOOKUP(C1948,'PUR-PARTY MASTER'!$B$4:$E$2000,4,FALSE)</f>
        <v>Local</v>
      </c>
      <c r="S1948" s="11" t="s">
        <v>4120</v>
      </c>
    </row>
    <row r="1949" spans="1:19" x14ac:dyDescent="0.2">
      <c r="A1949" s="51">
        <v>43831</v>
      </c>
      <c r="C1949" s="34" t="s">
        <v>489</v>
      </c>
      <c r="F1949" s="134">
        <v>7887992779</v>
      </c>
      <c r="G1949" s="37">
        <v>43832</v>
      </c>
      <c r="H1949" s="34">
        <v>32089090</v>
      </c>
      <c r="I1949" s="39">
        <f>VLOOKUP(H1949,'[2]PUR-HSN MASTER'!$A$4:$E$5052,5,FALSE)</f>
        <v>18</v>
      </c>
      <c r="J1949" s="34">
        <v>40</v>
      </c>
      <c r="K1949" s="39">
        <v>25600</v>
      </c>
      <c r="L1949" s="118">
        <f t="shared" si="175"/>
        <v>0</v>
      </c>
      <c r="M1949" s="118">
        <f t="shared" si="173"/>
        <v>2304</v>
      </c>
      <c r="N1949" s="118">
        <f t="shared" si="174"/>
        <v>2304</v>
      </c>
      <c r="O1949" s="118">
        <v>0</v>
      </c>
      <c r="P1949" s="127">
        <f>+O1949+N1949+M1949+L1949+K1949</f>
        <v>30208</v>
      </c>
      <c r="Q1949" s="34" t="s">
        <v>410</v>
      </c>
      <c r="R1949" s="34" t="str">
        <f>VLOOKUP(C1949,'PUR-PARTY MASTER'!$B$4:$E$2000,4,FALSE)</f>
        <v>Local</v>
      </c>
      <c r="S1949" s="11" t="s">
        <v>4120</v>
      </c>
    </row>
    <row r="1950" spans="1:19" x14ac:dyDescent="0.2">
      <c r="A1950" s="51">
        <v>43831</v>
      </c>
      <c r="B1950" s="11">
        <v>12</v>
      </c>
      <c r="C1950" s="34" t="s">
        <v>489</v>
      </c>
      <c r="F1950" s="134">
        <v>7887992781</v>
      </c>
      <c r="G1950" s="37">
        <v>43832</v>
      </c>
      <c r="H1950" s="34">
        <v>32081090</v>
      </c>
      <c r="I1950" s="39">
        <f>VLOOKUP(H1950,'[2]PUR-HSN MASTER'!$A$4:$E$5052,5,FALSE)</f>
        <v>18</v>
      </c>
      <c r="J1950" s="34">
        <v>20</v>
      </c>
      <c r="K1950" s="39">
        <v>13160</v>
      </c>
      <c r="L1950" s="118">
        <f t="shared" si="175"/>
        <v>0</v>
      </c>
      <c r="M1950" s="118">
        <f t="shared" si="173"/>
        <v>1184.3999999999999</v>
      </c>
      <c r="N1950" s="118">
        <f t="shared" si="174"/>
        <v>1184.3999999999999</v>
      </c>
      <c r="O1950" s="118">
        <v>0</v>
      </c>
      <c r="P1950" s="127">
        <f>+O1950+N1950+M1950+L1950+K1950+0.2</f>
        <v>15529</v>
      </c>
      <c r="Q1950" s="34" t="s">
        <v>410</v>
      </c>
      <c r="R1950" s="34" t="str">
        <f>VLOOKUP(C1950,'PUR-PARTY MASTER'!$B$4:$E$2000,4,FALSE)</f>
        <v>Local</v>
      </c>
      <c r="S1950" s="11" t="s">
        <v>4120</v>
      </c>
    </row>
    <row r="1951" spans="1:19" x14ac:dyDescent="0.2">
      <c r="A1951" s="51">
        <v>43831</v>
      </c>
      <c r="B1951" s="11">
        <v>13</v>
      </c>
      <c r="C1951" s="35" t="s">
        <v>471</v>
      </c>
      <c r="F1951" s="134">
        <v>192008315</v>
      </c>
      <c r="G1951" s="37">
        <v>43832</v>
      </c>
      <c r="H1951" s="34">
        <v>87089900</v>
      </c>
      <c r="I1951" s="39">
        <f>VLOOKUP(H1951,'[2]PUR-HSN MASTER'!$A$4:$E$5052,5,FALSE)</f>
        <v>28</v>
      </c>
      <c r="J1951" s="34">
        <v>12</v>
      </c>
      <c r="K1951" s="126">
        <v>17483.52</v>
      </c>
      <c r="L1951" s="118">
        <f t="shared" si="175"/>
        <v>0</v>
      </c>
      <c r="M1951" s="118">
        <f t="shared" si="173"/>
        <v>2447.6928000000003</v>
      </c>
      <c r="N1951" s="118">
        <f t="shared" si="174"/>
        <v>2447.6928000000003</v>
      </c>
      <c r="O1951" s="118">
        <v>0</v>
      </c>
      <c r="P1951" s="127">
        <f>+O1951+N1951+M1951+L1951+K1951-0.01</f>
        <v>22378.895600000003</v>
      </c>
      <c r="Q1951" s="34" t="s">
        <v>410</v>
      </c>
      <c r="R1951" s="34" t="str">
        <f>VLOOKUP(C1951,'PUR-PARTY MASTER'!$B$4:$E$2000,4,FALSE)</f>
        <v>Local</v>
      </c>
      <c r="S1951" s="11" t="s">
        <v>4120</v>
      </c>
    </row>
    <row r="1952" spans="1:19" x14ac:dyDescent="0.2">
      <c r="A1952" s="51">
        <v>43831</v>
      </c>
      <c r="B1952" s="11">
        <v>14</v>
      </c>
      <c r="C1952" s="35" t="s">
        <v>495</v>
      </c>
      <c r="F1952" s="134">
        <v>5510067659</v>
      </c>
      <c r="G1952" s="37">
        <v>43833</v>
      </c>
      <c r="H1952" s="34">
        <v>85129000</v>
      </c>
      <c r="I1952" s="39">
        <f>VLOOKUP(H1952,'[2]PUR-HSN MASTER'!$A$4:$E$5052,5,FALSE)</f>
        <v>18</v>
      </c>
      <c r="J1952" s="34">
        <v>3600</v>
      </c>
      <c r="K1952" s="126">
        <v>39816</v>
      </c>
      <c r="L1952" s="118">
        <f t="shared" si="175"/>
        <v>0</v>
      </c>
      <c r="M1952" s="118">
        <f>+IF(R1952="local",K1952/100*I1952/2,0)</f>
        <v>3583.44</v>
      </c>
      <c r="N1952" s="118">
        <f>+IF(R1952="local",K1952/100*I1952/2,0)</f>
        <v>3583.44</v>
      </c>
      <c r="O1952" s="118">
        <v>0</v>
      </c>
      <c r="P1952" s="127">
        <f t="shared" ref="P1952" si="176">+O1952+N1952+M1952+L1952+K1952</f>
        <v>46982.879999999997</v>
      </c>
      <c r="Q1952" s="34" t="s">
        <v>410</v>
      </c>
      <c r="R1952" s="34" t="str">
        <f>VLOOKUP(C1952,'PUR-PARTY MASTER'!$B$4:$E$2000,4,FALSE)</f>
        <v>Local</v>
      </c>
      <c r="S1952" s="11" t="s">
        <v>4120</v>
      </c>
    </row>
    <row r="1953" spans="1:19" x14ac:dyDescent="0.2">
      <c r="A1953" s="51">
        <v>43831</v>
      </c>
      <c r="B1953" s="11">
        <v>15</v>
      </c>
      <c r="C1953" s="35" t="s">
        <v>527</v>
      </c>
      <c r="F1953" s="134">
        <v>9330004804</v>
      </c>
      <c r="G1953" s="37">
        <v>43832</v>
      </c>
      <c r="H1953" s="34">
        <v>32082090</v>
      </c>
      <c r="I1953" s="39">
        <f>VLOOKUP(H1953,'[2]PUR-HSN MASTER'!$A$4:$E$5052,5,FALSE)</f>
        <v>18</v>
      </c>
      <c r="J1953" s="38">
        <v>40</v>
      </c>
      <c r="K1953" s="40">
        <v>14132</v>
      </c>
      <c r="L1953" s="39">
        <v>0</v>
      </c>
      <c r="M1953" s="118">
        <f t="shared" ref="M1953:M1958" si="177">+IF(R1953="local",K1953/100*I1953/2,0)</f>
        <v>1271.8799999999999</v>
      </c>
      <c r="N1953" s="118">
        <f t="shared" ref="N1953:N1958" si="178">+IF(R1953="local",K1953/100*I1953/2,0)</f>
        <v>1271.8799999999999</v>
      </c>
      <c r="O1953" s="118">
        <v>0</v>
      </c>
      <c r="P1953" s="127">
        <f>+O1953+N1953+M1953+L1953+K1953+0.24</f>
        <v>16676</v>
      </c>
      <c r="Q1953" s="34" t="s">
        <v>410</v>
      </c>
      <c r="R1953" s="34" t="str">
        <f>VLOOKUP(C1953,'PUR-PARTY MASTER'!$B$4:$E$2000,4,FALSE)</f>
        <v>Local</v>
      </c>
      <c r="S1953" s="11" t="s">
        <v>4120</v>
      </c>
    </row>
    <row r="1954" spans="1:19" x14ac:dyDescent="0.2">
      <c r="A1954" s="51">
        <v>43831</v>
      </c>
      <c r="C1954" s="35" t="s">
        <v>527</v>
      </c>
      <c r="F1954" s="134">
        <v>9330004804</v>
      </c>
      <c r="G1954" s="37">
        <v>43832</v>
      </c>
      <c r="H1954" s="34">
        <v>38140010</v>
      </c>
      <c r="I1954" s="39">
        <f>VLOOKUP(H1954,'[2]PUR-HSN MASTER'!$A$4:$E$5052,5,FALSE)</f>
        <v>18</v>
      </c>
      <c r="J1954" s="38">
        <v>40</v>
      </c>
      <c r="K1954" s="40">
        <v>6122</v>
      </c>
      <c r="L1954" s="39">
        <v>0</v>
      </c>
      <c r="M1954" s="118">
        <f t="shared" si="177"/>
        <v>550.98</v>
      </c>
      <c r="N1954" s="118">
        <f t="shared" si="178"/>
        <v>550.98</v>
      </c>
      <c r="O1954" s="118">
        <v>0</v>
      </c>
      <c r="P1954" s="127">
        <f>+O1954+N1954+M1954+L1954+K1954+0.04</f>
        <v>7224</v>
      </c>
      <c r="Q1954" s="34" t="s">
        <v>410</v>
      </c>
      <c r="R1954" s="34" t="str">
        <f>VLOOKUP(C1954,'PUR-PARTY MASTER'!$B$4:$E$2000,4,FALSE)</f>
        <v>Local</v>
      </c>
      <c r="S1954" s="11" t="s">
        <v>4120</v>
      </c>
    </row>
    <row r="1955" spans="1:19" x14ac:dyDescent="0.2">
      <c r="A1955" s="51">
        <v>43831</v>
      </c>
      <c r="B1955" s="11">
        <v>16</v>
      </c>
      <c r="C1955" s="35" t="s">
        <v>517</v>
      </c>
      <c r="F1955" s="134">
        <v>19626922</v>
      </c>
      <c r="G1955" s="37">
        <v>43831</v>
      </c>
      <c r="H1955" s="34">
        <v>87081090</v>
      </c>
      <c r="I1955" s="39">
        <f>VLOOKUP(H1955,'[2]PUR-HSN MASTER'!$A$4:$E$5052,5,FALSE)</f>
        <v>28</v>
      </c>
      <c r="J1955" s="34">
        <v>48</v>
      </c>
      <c r="K1955" s="126">
        <v>35385.599999999999</v>
      </c>
      <c r="L1955" s="118">
        <f t="shared" ref="L1955:L1968" si="179">+IF(R1955="Oms",K1955/100*I1955,0)</f>
        <v>9907.9680000000008</v>
      </c>
      <c r="M1955" s="118">
        <f t="shared" si="177"/>
        <v>0</v>
      </c>
      <c r="N1955" s="118">
        <f t="shared" si="178"/>
        <v>0</v>
      </c>
      <c r="O1955" s="118">
        <v>0</v>
      </c>
      <c r="P1955" s="127">
        <f t="shared" ref="P1955" si="180">+O1955+N1955+M1955+L1955+K1955</f>
        <v>45293.567999999999</v>
      </c>
      <c r="Q1955" s="34" t="s">
        <v>410</v>
      </c>
      <c r="R1955" s="34" t="str">
        <f>VLOOKUP(C1955,'PUR-PARTY MASTER'!$B$4:$E$2000,4,FALSE)</f>
        <v>Oms</v>
      </c>
      <c r="S1955" s="11" t="s">
        <v>4120</v>
      </c>
    </row>
    <row r="1956" spans="1:19" x14ac:dyDescent="0.2">
      <c r="A1956" s="51">
        <v>43831</v>
      </c>
      <c r="B1956" s="11">
        <v>17</v>
      </c>
      <c r="C1956" s="35" t="s">
        <v>471</v>
      </c>
      <c r="F1956" s="134">
        <v>192008314</v>
      </c>
      <c r="G1956" s="37">
        <v>43832</v>
      </c>
      <c r="H1956" s="34">
        <v>87089900</v>
      </c>
      <c r="I1956" s="39">
        <f>VLOOKUP(H1956,'[2]PUR-HSN MASTER'!$A$4:$E$5052,5,FALSE)</f>
        <v>28</v>
      </c>
      <c r="J1956" s="34">
        <v>12</v>
      </c>
      <c r="K1956" s="126">
        <v>17483.52</v>
      </c>
      <c r="L1956" s="118">
        <f t="shared" si="179"/>
        <v>0</v>
      </c>
      <c r="M1956" s="118">
        <f t="shared" si="177"/>
        <v>2447.6928000000003</v>
      </c>
      <c r="N1956" s="118">
        <f t="shared" si="178"/>
        <v>2447.6928000000003</v>
      </c>
      <c r="O1956" s="118">
        <v>0</v>
      </c>
      <c r="P1956" s="127">
        <f>+O1956+N1956+M1956+L1956+K1956-0.01</f>
        <v>22378.895600000003</v>
      </c>
      <c r="Q1956" s="34" t="s">
        <v>410</v>
      </c>
      <c r="R1956" s="34" t="str">
        <f>VLOOKUP(C1956,'PUR-PARTY MASTER'!$B$4:$E$2000,4,FALSE)</f>
        <v>Local</v>
      </c>
      <c r="S1956" s="11" t="s">
        <v>4120</v>
      </c>
    </row>
    <row r="1957" spans="1:19" x14ac:dyDescent="0.2">
      <c r="A1957" s="51">
        <v>43831</v>
      </c>
      <c r="B1957" s="11">
        <v>18</v>
      </c>
      <c r="C1957" s="34" t="s">
        <v>489</v>
      </c>
      <c r="F1957" s="134">
        <v>7888063494</v>
      </c>
      <c r="G1957" s="37">
        <v>43832</v>
      </c>
      <c r="H1957" s="34">
        <v>32082090</v>
      </c>
      <c r="I1957" s="39">
        <f>VLOOKUP(H1957,'[2]PUR-HSN MASTER'!$A$4:$E$5052,5,FALSE)</f>
        <v>18</v>
      </c>
      <c r="J1957" s="34">
        <v>60</v>
      </c>
      <c r="K1957" s="39">
        <v>22680</v>
      </c>
      <c r="L1957" s="118">
        <f t="shared" si="179"/>
        <v>0</v>
      </c>
      <c r="M1957" s="118">
        <f t="shared" si="177"/>
        <v>2041.2</v>
      </c>
      <c r="N1957" s="118">
        <f t="shared" si="178"/>
        <v>2041.2</v>
      </c>
      <c r="O1957" s="118">
        <v>0</v>
      </c>
      <c r="P1957" s="127">
        <f>+O1957+N1957+M1957+L1957+K1957-0.4</f>
        <v>26762</v>
      </c>
      <c r="Q1957" s="34" t="s">
        <v>410</v>
      </c>
      <c r="R1957" s="34" t="str">
        <f>VLOOKUP(C1957,'PUR-PARTY MASTER'!$B$4:$E$2000,4,FALSE)</f>
        <v>Local</v>
      </c>
      <c r="S1957" s="11" t="s">
        <v>4120</v>
      </c>
    </row>
    <row r="1958" spans="1:19" x14ac:dyDescent="0.2">
      <c r="A1958" s="51">
        <v>43831</v>
      </c>
      <c r="B1958" s="11">
        <v>19</v>
      </c>
      <c r="C1958" s="35" t="s">
        <v>499</v>
      </c>
      <c r="F1958" s="136" t="s">
        <v>4554</v>
      </c>
      <c r="G1958" s="37">
        <v>43831</v>
      </c>
      <c r="H1958" s="34">
        <v>9603</v>
      </c>
      <c r="I1958" s="39">
        <f>VLOOKUP(H1958,'[2]PUR-HSN MASTER'!$A$4:$E$5052,5,FALSE)</f>
        <v>18</v>
      </c>
      <c r="J1958" s="34">
        <v>2</v>
      </c>
      <c r="K1958" s="126">
        <v>420</v>
      </c>
      <c r="L1958" s="118">
        <f t="shared" si="179"/>
        <v>0</v>
      </c>
      <c r="M1958" s="118">
        <f t="shared" si="177"/>
        <v>37.800000000000004</v>
      </c>
      <c r="N1958" s="118">
        <f t="shared" si="178"/>
        <v>37.800000000000004</v>
      </c>
      <c r="O1958" s="118">
        <v>0</v>
      </c>
      <c r="P1958" s="127">
        <f>+O1958+N1958+M1958+L1958+K1958+0.4</f>
        <v>496</v>
      </c>
      <c r="Q1958" s="34" t="s">
        <v>410</v>
      </c>
      <c r="R1958" s="34" t="str">
        <f>VLOOKUP(C1958,'PUR-PARTY MASTER'!$B$4:$E$2000,4,FALSE)</f>
        <v>Local</v>
      </c>
      <c r="S1958" s="11" t="s">
        <v>4120</v>
      </c>
    </row>
    <row r="1959" spans="1:19" x14ac:dyDescent="0.2">
      <c r="A1959" s="51">
        <v>43831</v>
      </c>
      <c r="B1959" s="11">
        <v>20</v>
      </c>
      <c r="C1959" s="35" t="s">
        <v>495</v>
      </c>
      <c r="F1959" s="134">
        <v>5510067942</v>
      </c>
      <c r="G1959" s="37">
        <v>43836</v>
      </c>
      <c r="H1959" s="34">
        <v>85129000</v>
      </c>
      <c r="I1959" s="39">
        <f>VLOOKUP(H1959,'[2]PUR-HSN MASTER'!$A$4:$E$5052,5,FALSE)</f>
        <v>18</v>
      </c>
      <c r="J1959" s="34">
        <v>3600</v>
      </c>
      <c r="K1959" s="126">
        <v>39816</v>
      </c>
      <c r="L1959" s="118">
        <f t="shared" si="179"/>
        <v>0</v>
      </c>
      <c r="M1959" s="118">
        <f>+IF(R1959="local",K1959/100*I1959/2,0)</f>
        <v>3583.44</v>
      </c>
      <c r="N1959" s="118">
        <f>+IF(R1959="local",K1959/100*I1959/2,0)</f>
        <v>3583.44</v>
      </c>
      <c r="O1959" s="118">
        <v>0</v>
      </c>
      <c r="P1959" s="127">
        <f t="shared" ref="P1959" si="181">+O1959+N1959+M1959+L1959+K1959</f>
        <v>46982.879999999997</v>
      </c>
      <c r="Q1959" s="34" t="s">
        <v>410</v>
      </c>
      <c r="R1959" s="34" t="str">
        <f>VLOOKUP(C1959,'PUR-PARTY MASTER'!$B$4:$E$2000,4,FALSE)</f>
        <v>Local</v>
      </c>
      <c r="S1959" s="11" t="s">
        <v>4120</v>
      </c>
    </row>
    <row r="1960" spans="1:19" x14ac:dyDescent="0.2">
      <c r="A1960" s="51">
        <v>43831</v>
      </c>
      <c r="B1960" s="11">
        <v>21</v>
      </c>
      <c r="C1960" s="35" t="s">
        <v>493</v>
      </c>
      <c r="F1960" s="134">
        <v>4750</v>
      </c>
      <c r="G1960" s="37">
        <v>43836</v>
      </c>
      <c r="H1960" s="34">
        <v>85129000</v>
      </c>
      <c r="I1960" s="39">
        <f>VLOOKUP(H1960,'[2]PUR-HSN MASTER'!$A$4:$E$5052,5,FALSE)</f>
        <v>18</v>
      </c>
      <c r="J1960" s="34">
        <v>1230</v>
      </c>
      <c r="K1960" s="126">
        <v>28277.7</v>
      </c>
      <c r="L1960" s="118">
        <f t="shared" si="179"/>
        <v>0</v>
      </c>
      <c r="M1960" s="118">
        <f t="shared" ref="M1960:M1970" si="182">+IF(R1960="local",K1960/100*I1960/2,0)</f>
        <v>2544.9929999999999</v>
      </c>
      <c r="N1960" s="118">
        <f t="shared" ref="N1960:N1970" si="183">+IF(R1960="local",K1960/100*I1960/2,0)</f>
        <v>2544.9929999999999</v>
      </c>
      <c r="O1960" s="118">
        <v>0</v>
      </c>
      <c r="P1960" s="127">
        <f>+O1960+N1960+M1960+L1960+K1960+0.31</f>
        <v>33367.995999999999</v>
      </c>
      <c r="Q1960" s="34" t="s">
        <v>410</v>
      </c>
      <c r="R1960" s="34" t="str">
        <f>VLOOKUP(C1960,'PUR-PARTY MASTER'!$B$4:$E$2000,4,FALSE)</f>
        <v>Local</v>
      </c>
      <c r="S1960" s="11" t="s">
        <v>4120</v>
      </c>
    </row>
    <row r="1961" spans="1:19" x14ac:dyDescent="0.2">
      <c r="A1961" s="51">
        <v>43831</v>
      </c>
      <c r="B1961" s="11">
        <v>22</v>
      </c>
      <c r="C1961" s="35" t="s">
        <v>4275</v>
      </c>
      <c r="F1961" s="134" t="s">
        <v>4555</v>
      </c>
      <c r="G1961" s="37">
        <v>43837</v>
      </c>
      <c r="H1961" s="34">
        <v>84795000</v>
      </c>
      <c r="I1961" s="39">
        <f>VLOOKUP(H1961,'[2]PUR-HSN MASTER'!$A$4:$E$5052,5,FALSE)</f>
        <v>18</v>
      </c>
      <c r="J1961" s="34">
        <v>1</v>
      </c>
      <c r="K1961" s="126">
        <v>1316069</v>
      </c>
      <c r="L1961" s="118">
        <f t="shared" si="179"/>
        <v>0</v>
      </c>
      <c r="M1961" s="118">
        <f t="shared" si="182"/>
        <v>118446.21</v>
      </c>
      <c r="N1961" s="118">
        <f t="shared" si="183"/>
        <v>118446.21</v>
      </c>
      <c r="O1961" s="118">
        <v>0</v>
      </c>
      <c r="P1961" s="127">
        <f>+O1961+N1961+M1961+L1961+K1961-0.42</f>
        <v>1552961</v>
      </c>
      <c r="Q1961" s="34" t="s">
        <v>410</v>
      </c>
      <c r="R1961" s="34" t="str">
        <f>VLOOKUP(C1961,'PUR-PARTY MASTER'!$B$4:$E$2000,4,FALSE)</f>
        <v>Local</v>
      </c>
      <c r="S1961" s="11" t="s">
        <v>4120</v>
      </c>
    </row>
    <row r="1962" spans="1:19" x14ac:dyDescent="0.2">
      <c r="A1962" s="51">
        <v>43831</v>
      </c>
      <c r="B1962" s="11">
        <v>23</v>
      </c>
      <c r="C1962" s="35" t="s">
        <v>476</v>
      </c>
      <c r="F1962" s="136" t="s">
        <v>4556</v>
      </c>
      <c r="G1962" s="37">
        <v>43831</v>
      </c>
      <c r="H1962" s="34" t="s">
        <v>703</v>
      </c>
      <c r="I1962" s="39">
        <f>VLOOKUP(H1962,'[2]PUR-HSN MASTER'!$A$4:$E$5052,5,FALSE)</f>
        <v>28</v>
      </c>
      <c r="J1962" s="34"/>
      <c r="K1962" s="126">
        <v>376945</v>
      </c>
      <c r="L1962" s="118">
        <f t="shared" si="179"/>
        <v>0</v>
      </c>
      <c r="M1962" s="118">
        <f t="shared" si="182"/>
        <v>52772.299999999996</v>
      </c>
      <c r="N1962" s="118">
        <f t="shared" si="183"/>
        <v>52772.299999999996</v>
      </c>
      <c r="O1962" s="118">
        <v>0</v>
      </c>
      <c r="P1962" s="127">
        <f>+O1962+N1962+M1962+L1962+K1962+0.4</f>
        <v>482490</v>
      </c>
      <c r="Q1962" s="34" t="s">
        <v>411</v>
      </c>
      <c r="R1962" s="34" t="str">
        <f>VLOOKUP(C1962,'PUR-PARTY MASTER'!$B$4:$E$2000,4,FALSE)</f>
        <v>Local</v>
      </c>
      <c r="S1962" s="11" t="s">
        <v>4120</v>
      </c>
    </row>
    <row r="1963" spans="1:19" x14ac:dyDescent="0.2">
      <c r="A1963" s="51">
        <v>43831</v>
      </c>
      <c r="B1963" s="11">
        <v>24</v>
      </c>
      <c r="C1963" s="35" t="s">
        <v>493</v>
      </c>
      <c r="F1963" s="134">
        <v>4772</v>
      </c>
      <c r="G1963" s="37">
        <v>43837</v>
      </c>
      <c r="H1963" s="34">
        <v>85129000</v>
      </c>
      <c r="I1963" s="39">
        <f>VLOOKUP(H1963,'[2]PUR-HSN MASTER'!$A$4:$E$5052,5,FALSE)</f>
        <v>18</v>
      </c>
      <c r="J1963" s="34">
        <v>750</v>
      </c>
      <c r="K1963" s="126">
        <v>24495</v>
      </c>
      <c r="L1963" s="118">
        <f t="shared" si="179"/>
        <v>0</v>
      </c>
      <c r="M1963" s="118">
        <f t="shared" si="182"/>
        <v>2204.5499999999997</v>
      </c>
      <c r="N1963" s="118">
        <f t="shared" si="183"/>
        <v>2204.5499999999997</v>
      </c>
      <c r="O1963" s="118">
        <v>0</v>
      </c>
      <c r="P1963" s="127">
        <f>+O1963+N1963+M1963+L1963+K1963-0.1</f>
        <v>28904</v>
      </c>
      <c r="Q1963" s="34" t="s">
        <v>410</v>
      </c>
      <c r="R1963" s="34" t="str">
        <f>VLOOKUP(C1963,'PUR-PARTY MASTER'!$B$4:$E$2000,4,FALSE)</f>
        <v>Local</v>
      </c>
      <c r="S1963" s="11" t="s">
        <v>4120</v>
      </c>
    </row>
    <row r="1964" spans="1:19" x14ac:dyDescent="0.2">
      <c r="A1964" s="51">
        <v>43831</v>
      </c>
      <c r="B1964" s="11">
        <v>25</v>
      </c>
      <c r="C1964" s="35" t="s">
        <v>506</v>
      </c>
      <c r="F1964" s="136" t="s">
        <v>4557</v>
      </c>
      <c r="G1964" s="37">
        <v>43836</v>
      </c>
      <c r="H1964" s="34">
        <v>32082020</v>
      </c>
      <c r="I1964" s="39">
        <f>VLOOKUP(H1964,'[2]PUR-HSN MASTER'!$A$4:$E$5052,5,FALSE)</f>
        <v>18</v>
      </c>
      <c r="J1964" s="34">
        <v>200</v>
      </c>
      <c r="K1964" s="126">
        <v>69758</v>
      </c>
      <c r="L1964" s="118">
        <f t="shared" si="179"/>
        <v>0</v>
      </c>
      <c r="M1964" s="118">
        <f t="shared" si="182"/>
        <v>6278.22</v>
      </c>
      <c r="N1964" s="118">
        <f t="shared" si="183"/>
        <v>6278.22</v>
      </c>
      <c r="O1964" s="118">
        <v>0</v>
      </c>
      <c r="P1964" s="127">
        <f>+O1964+N1964+M1964+L1964+K1964-0.44</f>
        <v>82314</v>
      </c>
      <c r="Q1964" s="34" t="s">
        <v>410</v>
      </c>
      <c r="R1964" s="34" t="str">
        <f>VLOOKUP(C1964,'PUR-PARTY MASTER'!$B$4:$E$2000,4,FALSE)</f>
        <v>Local</v>
      </c>
      <c r="S1964" s="11" t="s">
        <v>4120</v>
      </c>
    </row>
    <row r="1965" spans="1:19" x14ac:dyDescent="0.2">
      <c r="A1965" s="51">
        <v>43831</v>
      </c>
      <c r="B1965" s="11">
        <v>26</v>
      </c>
      <c r="C1965" s="35" t="s">
        <v>506</v>
      </c>
      <c r="F1965" s="136" t="s">
        <v>4558</v>
      </c>
      <c r="G1965" s="37">
        <v>43836</v>
      </c>
      <c r="H1965" s="34">
        <v>38140010</v>
      </c>
      <c r="I1965" s="39">
        <f>VLOOKUP(H1965,'[2]PUR-HSN MASTER'!$A$4:$E$5052,5,FALSE)</f>
        <v>18</v>
      </c>
      <c r="J1965" s="34">
        <v>200</v>
      </c>
      <c r="K1965" s="126">
        <v>18480</v>
      </c>
      <c r="L1965" s="118">
        <f t="shared" si="179"/>
        <v>0</v>
      </c>
      <c r="M1965" s="118">
        <f t="shared" si="182"/>
        <v>1663.2</v>
      </c>
      <c r="N1965" s="118">
        <f t="shared" si="183"/>
        <v>1663.2</v>
      </c>
      <c r="O1965" s="118">
        <v>0</v>
      </c>
      <c r="P1965" s="127">
        <f>+O1965+N1965+M1965+L1965+K1965-0.4</f>
        <v>21806</v>
      </c>
      <c r="Q1965" s="34" t="s">
        <v>410</v>
      </c>
      <c r="R1965" s="34" t="str">
        <f>VLOOKUP(C1965,'PUR-PARTY MASTER'!$B$4:$E$2000,4,FALSE)</f>
        <v>Local</v>
      </c>
      <c r="S1965" s="11" t="s">
        <v>4120</v>
      </c>
    </row>
    <row r="1966" spans="1:19" x14ac:dyDescent="0.2">
      <c r="A1966" s="51">
        <v>43831</v>
      </c>
      <c r="B1966" s="11">
        <v>27</v>
      </c>
      <c r="C1966" s="35" t="s">
        <v>506</v>
      </c>
      <c r="F1966" s="136" t="s">
        <v>4559</v>
      </c>
      <c r="G1966" s="37">
        <v>43837</v>
      </c>
      <c r="H1966" s="34">
        <v>32082090</v>
      </c>
      <c r="I1966" s="39">
        <f>VLOOKUP(H1966,'[2]PUR-HSN MASTER'!$A$4:$E$5052,5,FALSE)</f>
        <v>18</v>
      </c>
      <c r="J1966" s="34">
        <v>20</v>
      </c>
      <c r="K1966" s="126">
        <v>7000</v>
      </c>
      <c r="L1966" s="118">
        <f t="shared" si="179"/>
        <v>0</v>
      </c>
      <c r="M1966" s="118">
        <f t="shared" si="182"/>
        <v>630</v>
      </c>
      <c r="N1966" s="118">
        <f t="shared" si="183"/>
        <v>630</v>
      </c>
      <c r="O1966" s="118">
        <v>0</v>
      </c>
      <c r="P1966" s="127">
        <f>+O1966+N1966+M1966+L1966+K1966</f>
        <v>8260</v>
      </c>
      <c r="Q1966" s="34" t="s">
        <v>410</v>
      </c>
      <c r="R1966" s="34" t="str">
        <f>VLOOKUP(C1966,'PUR-PARTY MASTER'!$B$4:$E$2000,4,FALSE)</f>
        <v>Local</v>
      </c>
      <c r="S1966" s="11" t="s">
        <v>4120</v>
      </c>
    </row>
    <row r="1967" spans="1:19" x14ac:dyDescent="0.2">
      <c r="A1967" s="51">
        <v>43831</v>
      </c>
      <c r="B1967" s="11">
        <v>28</v>
      </c>
      <c r="C1967" s="35" t="s">
        <v>471</v>
      </c>
      <c r="F1967" s="134">
        <v>192008411</v>
      </c>
      <c r="G1967" s="37">
        <v>43837</v>
      </c>
      <c r="H1967" s="34">
        <v>87089900</v>
      </c>
      <c r="I1967" s="39">
        <f>VLOOKUP(H1967,'[2]PUR-HSN MASTER'!$A$4:$E$5052,5,FALSE)</f>
        <v>28</v>
      </c>
      <c r="J1967" s="34">
        <v>12</v>
      </c>
      <c r="K1967" s="126">
        <v>17483.52</v>
      </c>
      <c r="L1967" s="118">
        <f t="shared" si="179"/>
        <v>0</v>
      </c>
      <c r="M1967" s="118">
        <f t="shared" si="182"/>
        <v>2447.6928000000003</v>
      </c>
      <c r="N1967" s="118">
        <f t="shared" si="183"/>
        <v>2447.6928000000003</v>
      </c>
      <c r="O1967" s="118">
        <v>0</v>
      </c>
      <c r="P1967" s="127">
        <f>+O1967+N1967+M1967+L1967+K1967-0.01</f>
        <v>22378.895600000003</v>
      </c>
      <c r="Q1967" s="34" t="s">
        <v>410</v>
      </c>
      <c r="R1967" s="34" t="str">
        <f>VLOOKUP(C1967,'PUR-PARTY MASTER'!$B$4:$E$2000,4,FALSE)</f>
        <v>Local</v>
      </c>
      <c r="S1967" s="11" t="s">
        <v>4120</v>
      </c>
    </row>
    <row r="1968" spans="1:19" x14ac:dyDescent="0.2">
      <c r="A1968" s="51">
        <v>43831</v>
      </c>
      <c r="B1968" s="11">
        <v>29</v>
      </c>
      <c r="C1968" s="35" t="s">
        <v>471</v>
      </c>
      <c r="F1968" s="134">
        <v>192008412</v>
      </c>
      <c r="G1968" s="37">
        <v>43837</v>
      </c>
      <c r="H1968" s="34">
        <v>87089900</v>
      </c>
      <c r="I1968" s="39">
        <f>VLOOKUP(H1968,'[2]PUR-HSN MASTER'!$A$4:$E$5052,5,FALSE)</f>
        <v>28</v>
      </c>
      <c r="J1968" s="34">
        <v>12</v>
      </c>
      <c r="K1968" s="126">
        <v>17483.52</v>
      </c>
      <c r="L1968" s="118">
        <f t="shared" si="179"/>
        <v>0</v>
      </c>
      <c r="M1968" s="118">
        <f t="shared" si="182"/>
        <v>2447.6928000000003</v>
      </c>
      <c r="N1968" s="118">
        <f t="shared" si="183"/>
        <v>2447.6928000000003</v>
      </c>
      <c r="O1968" s="118">
        <v>0</v>
      </c>
      <c r="P1968" s="127">
        <f>+O1968+N1968+M1968+L1968+K1968-0.01</f>
        <v>22378.895600000003</v>
      </c>
      <c r="Q1968" s="34" t="s">
        <v>410</v>
      </c>
      <c r="R1968" s="34" t="str">
        <f>VLOOKUP(C1968,'PUR-PARTY MASTER'!$B$4:$E$2000,4,FALSE)</f>
        <v>Local</v>
      </c>
      <c r="S1968" s="11" t="s">
        <v>4120</v>
      </c>
    </row>
    <row r="1969" spans="1:19" x14ac:dyDescent="0.2">
      <c r="A1969" s="51">
        <v>43831</v>
      </c>
      <c r="B1969" s="11">
        <v>30</v>
      </c>
      <c r="C1969" s="35" t="s">
        <v>666</v>
      </c>
      <c r="F1969" s="136" t="s">
        <v>4560</v>
      </c>
      <c r="G1969" s="37">
        <v>43837</v>
      </c>
      <c r="H1969" s="34">
        <v>8708</v>
      </c>
      <c r="I1969" s="39">
        <f>VLOOKUP(H1969,'[2]PUR-HSN MASTER'!$A$4:$E$5052,5,FALSE)</f>
        <v>28</v>
      </c>
      <c r="J1969" s="38">
        <v>80</v>
      </c>
      <c r="K1969" s="40">
        <v>6400</v>
      </c>
      <c r="L1969" s="39">
        <v>0</v>
      </c>
      <c r="M1969" s="118">
        <f t="shared" si="182"/>
        <v>896</v>
      </c>
      <c r="N1969" s="118">
        <f t="shared" si="183"/>
        <v>896</v>
      </c>
      <c r="O1969" s="118">
        <v>0</v>
      </c>
      <c r="P1969" s="127">
        <f>+O1969+N1969+M1969+L1969+K1969</f>
        <v>8192</v>
      </c>
      <c r="Q1969" s="34" t="s">
        <v>410</v>
      </c>
      <c r="R1969" s="34" t="str">
        <f>VLOOKUP(C1969,'PUR-PARTY MASTER'!$B$4:$E$2000,4,FALSE)</f>
        <v>Local</v>
      </c>
      <c r="S1969" s="11" t="s">
        <v>4120</v>
      </c>
    </row>
    <row r="1970" spans="1:19" x14ac:dyDescent="0.2">
      <c r="A1970" s="51">
        <v>43831</v>
      </c>
      <c r="B1970" s="11">
        <v>31</v>
      </c>
      <c r="C1970" s="35" t="s">
        <v>493</v>
      </c>
      <c r="F1970" s="134">
        <v>4773</v>
      </c>
      <c r="G1970" s="37">
        <v>43837</v>
      </c>
      <c r="H1970" s="34">
        <v>85129000</v>
      </c>
      <c r="I1970" s="39">
        <f>VLOOKUP(H1970,'[2]PUR-HSN MASTER'!$A$4:$E$5052,5,FALSE)</f>
        <v>18</v>
      </c>
      <c r="J1970" s="34">
        <v>748</v>
      </c>
      <c r="K1970" s="126">
        <v>17196.52</v>
      </c>
      <c r="L1970" s="118">
        <f t="shared" ref="L1970" si="184">+IF(R1970="Oms",K1970/100*I1970,0)</f>
        <v>0</v>
      </c>
      <c r="M1970" s="118">
        <f t="shared" si="182"/>
        <v>1547.6868000000002</v>
      </c>
      <c r="N1970" s="118">
        <f t="shared" si="183"/>
        <v>1547.6868000000002</v>
      </c>
      <c r="O1970" s="118">
        <v>0</v>
      </c>
      <c r="P1970" s="127">
        <f>+O1970+N1970+M1970+L1970+K1970+0.11</f>
        <v>20292.0036</v>
      </c>
      <c r="Q1970" s="34" t="s">
        <v>410</v>
      </c>
      <c r="R1970" s="34" t="str">
        <f>VLOOKUP(C1970,'PUR-PARTY MASTER'!$B$4:$E$2000,4,FALSE)</f>
        <v>Local</v>
      </c>
      <c r="S1970" s="11" t="s">
        <v>4120</v>
      </c>
    </row>
    <row r="1971" spans="1:19" x14ac:dyDescent="0.2">
      <c r="A1971" s="51">
        <v>43831</v>
      </c>
      <c r="B1971" s="11">
        <v>32</v>
      </c>
      <c r="C1971" s="35" t="s">
        <v>551</v>
      </c>
      <c r="F1971" s="136" t="s">
        <v>4561</v>
      </c>
      <c r="G1971" s="37">
        <v>43837</v>
      </c>
      <c r="H1971" s="34">
        <v>84716040</v>
      </c>
      <c r="I1971" s="39">
        <f>VLOOKUP(H1971,'[2]PUR-HSN MASTER'!$A$4:$E$5052,5,FALSE)</f>
        <v>18</v>
      </c>
      <c r="J1971" s="38">
        <v>1</v>
      </c>
      <c r="K1971" s="40">
        <v>400</v>
      </c>
      <c r="L1971" s="39">
        <v>0</v>
      </c>
      <c r="M1971" s="39">
        <v>36</v>
      </c>
      <c r="N1971" s="39">
        <v>36</v>
      </c>
      <c r="O1971" s="39">
        <v>0</v>
      </c>
      <c r="P1971" s="39">
        <v>472</v>
      </c>
      <c r="Q1971" s="34" t="s">
        <v>410</v>
      </c>
      <c r="R1971" s="34" t="str">
        <f>VLOOKUP(C1971,'PUR-PARTY MASTER'!$B$4:$E$2000,4,FALSE)</f>
        <v>Local</v>
      </c>
      <c r="S1971" s="11" t="s">
        <v>4120</v>
      </c>
    </row>
    <row r="1972" spans="1:19" x14ac:dyDescent="0.2">
      <c r="A1972" s="51">
        <v>43831</v>
      </c>
      <c r="B1972" s="11">
        <v>33</v>
      </c>
      <c r="C1972" s="35" t="s">
        <v>514</v>
      </c>
      <c r="F1972" s="136" t="s">
        <v>4562</v>
      </c>
      <c r="G1972" s="37">
        <v>43837</v>
      </c>
      <c r="H1972" s="34">
        <v>9971</v>
      </c>
      <c r="I1972" s="39">
        <f>VLOOKUP(H1972,'[2]PUR-HSN MASTER'!$A$4:$E$5052,5,FALSE)</f>
        <v>18</v>
      </c>
      <c r="J1972" s="34">
        <v>0</v>
      </c>
      <c r="K1972" s="40">
        <v>2500</v>
      </c>
      <c r="L1972" s="118">
        <f t="shared" ref="L1972:L1974" si="185">+IF(R1972="Oms",K1972/100*I1972,0)</f>
        <v>0</v>
      </c>
      <c r="M1972" s="118">
        <f t="shared" ref="M1972:M1974" si="186">+IF(R1972="local",K1972/100*I1972/2,0)</f>
        <v>225</v>
      </c>
      <c r="N1972" s="118">
        <f t="shared" ref="N1972:N1974" si="187">+IF(R1972="local",K1972/100*I1972/2,0)</f>
        <v>225</v>
      </c>
      <c r="O1972" s="118">
        <v>0</v>
      </c>
      <c r="P1972" s="127">
        <f>+O1972+N1972+M1972+L1972+K1972</f>
        <v>2950</v>
      </c>
      <c r="Q1972" s="34" t="s">
        <v>411</v>
      </c>
      <c r="R1972" s="34" t="str">
        <f>VLOOKUP(C1972,'PUR-PARTY MASTER'!$B$4:$E$2000,4,FALSE)</f>
        <v>Local</v>
      </c>
      <c r="S1972" s="11" t="s">
        <v>4120</v>
      </c>
    </row>
    <row r="1973" spans="1:19" x14ac:dyDescent="0.2">
      <c r="A1973" s="51">
        <v>43831</v>
      </c>
      <c r="B1973" s="11">
        <v>34</v>
      </c>
      <c r="C1973" s="35" t="s">
        <v>677</v>
      </c>
      <c r="F1973" s="136" t="s">
        <v>4563</v>
      </c>
      <c r="G1973" s="37">
        <v>43834</v>
      </c>
      <c r="H1973" s="34">
        <v>87081090</v>
      </c>
      <c r="I1973" s="39">
        <f>VLOOKUP(H1973,'[2]PUR-HSN MASTER'!$A$4:$E$5052,5,FALSE)</f>
        <v>28</v>
      </c>
      <c r="J1973" s="34">
        <v>500</v>
      </c>
      <c r="K1973" s="126">
        <v>22615</v>
      </c>
      <c r="L1973" s="118">
        <f t="shared" si="185"/>
        <v>6332.2</v>
      </c>
      <c r="M1973" s="118">
        <f t="shared" si="186"/>
        <v>0</v>
      </c>
      <c r="N1973" s="118">
        <f t="shared" si="187"/>
        <v>0</v>
      </c>
      <c r="O1973" s="118">
        <v>0</v>
      </c>
      <c r="P1973" s="127">
        <f t="shared" ref="P1973" si="188">+O1973+N1973+M1973+L1973+K1973</f>
        <v>28947.200000000001</v>
      </c>
      <c r="Q1973" s="34" t="s">
        <v>410</v>
      </c>
      <c r="R1973" s="34" t="str">
        <f>VLOOKUP(C1973,'PUR-PARTY MASTER'!$B$4:$E$2000,4,FALSE)</f>
        <v>Oms</v>
      </c>
      <c r="S1973" s="11" t="s">
        <v>4120</v>
      </c>
    </row>
    <row r="1974" spans="1:19" x14ac:dyDescent="0.2">
      <c r="A1974" s="51">
        <v>43831</v>
      </c>
      <c r="B1974" s="11">
        <v>35</v>
      </c>
      <c r="C1974" s="34" t="s">
        <v>601</v>
      </c>
      <c r="F1974" s="134">
        <v>7725</v>
      </c>
      <c r="G1974" s="37">
        <v>43838</v>
      </c>
      <c r="H1974" s="34">
        <v>87082900</v>
      </c>
      <c r="I1974" s="39">
        <f>VLOOKUP(H1974,'[2]PUR-HSN MASTER'!$A$4:$E$5052,5,FALSE)</f>
        <v>28</v>
      </c>
      <c r="J1974" s="34">
        <v>1500</v>
      </c>
      <c r="K1974" s="39">
        <v>33480</v>
      </c>
      <c r="L1974" s="118">
        <f t="shared" si="185"/>
        <v>0</v>
      </c>
      <c r="M1974" s="118">
        <f t="shared" si="186"/>
        <v>4687.2</v>
      </c>
      <c r="N1974" s="118">
        <f t="shared" si="187"/>
        <v>4687.2</v>
      </c>
      <c r="O1974" s="118">
        <v>0</v>
      </c>
      <c r="P1974" s="127">
        <f>+O1974+N1974+M1974+L1974+K1974</f>
        <v>42854.400000000001</v>
      </c>
      <c r="Q1974" s="34" t="s">
        <v>410</v>
      </c>
      <c r="R1974" s="34" t="str">
        <f>VLOOKUP(C1974,'PUR-PARTY MASTER'!$B$4:$E$2000,4,FALSE)</f>
        <v>Local</v>
      </c>
      <c r="S1974" s="11" t="s">
        <v>4120</v>
      </c>
    </row>
    <row r="1975" spans="1:19" x14ac:dyDescent="0.2">
      <c r="A1975" s="51">
        <v>43831</v>
      </c>
      <c r="B1975" s="11">
        <v>36</v>
      </c>
      <c r="C1975" s="35" t="s">
        <v>705</v>
      </c>
      <c r="F1975" s="136" t="s">
        <v>4564</v>
      </c>
      <c r="G1975" s="37">
        <v>43839</v>
      </c>
      <c r="H1975" s="34">
        <v>87089900</v>
      </c>
      <c r="I1975" s="39">
        <f>VLOOKUP(H1975,'[2]PUR-HSN MASTER'!$A$4:$E$5052,5,FALSE)</f>
        <v>28</v>
      </c>
      <c r="J1975" s="34">
        <v>300</v>
      </c>
      <c r="K1975" s="126">
        <v>6450</v>
      </c>
      <c r="L1975" s="39">
        <v>0</v>
      </c>
      <c r="M1975" s="118">
        <f>+IF(R1975="local",K1975/100*I1975/2,0)</f>
        <v>903</v>
      </c>
      <c r="N1975" s="118">
        <f>+IF(R1975="local",K1975/100*I1975/2,0)</f>
        <v>903</v>
      </c>
      <c r="O1975" s="118">
        <v>0</v>
      </c>
      <c r="P1975" s="127">
        <f>+O1975+N1975+M1975+L1975+K1975</f>
        <v>8256</v>
      </c>
      <c r="Q1975" s="34" t="s">
        <v>410</v>
      </c>
      <c r="R1975" s="34" t="str">
        <f>VLOOKUP(C1975,'PUR-PARTY MASTER'!$B$4:$E$2000,4,FALSE)</f>
        <v>Local</v>
      </c>
      <c r="S1975" s="11" t="s">
        <v>4120</v>
      </c>
    </row>
    <row r="1976" spans="1:19" x14ac:dyDescent="0.2">
      <c r="A1976" s="51">
        <v>43831</v>
      </c>
      <c r="B1976" s="11">
        <v>37</v>
      </c>
      <c r="C1976" s="35" t="s">
        <v>471</v>
      </c>
      <c r="F1976" s="134">
        <v>192008495</v>
      </c>
      <c r="G1976" s="37">
        <v>43839</v>
      </c>
      <c r="H1976" s="34">
        <v>87089900</v>
      </c>
      <c r="I1976" s="39">
        <f>VLOOKUP(H1976,'[2]PUR-HSN MASTER'!$A$4:$E$5052,5,FALSE)</f>
        <v>28</v>
      </c>
      <c r="J1976" s="34">
        <v>12</v>
      </c>
      <c r="K1976" s="126">
        <v>17483.52</v>
      </c>
      <c r="L1976" s="118">
        <f t="shared" ref="L1976:L1984" si="189">+IF(R1976="Oms",K1976/100*I1976,0)</f>
        <v>0</v>
      </c>
      <c r="M1976" s="118">
        <f t="shared" ref="M1976:M1983" si="190">+IF(R1976="local",K1976/100*I1976/2,0)</f>
        <v>2447.6928000000003</v>
      </c>
      <c r="N1976" s="118">
        <f t="shared" ref="N1976:N1983" si="191">+IF(R1976="local",K1976/100*I1976/2,0)</f>
        <v>2447.6928000000003</v>
      </c>
      <c r="O1976" s="118">
        <v>0</v>
      </c>
      <c r="P1976" s="127">
        <f>+O1976+N1976+M1976+L1976+K1976-0.01</f>
        <v>22378.895600000003</v>
      </c>
      <c r="Q1976" s="34" t="s">
        <v>410</v>
      </c>
      <c r="R1976" s="34" t="str">
        <f>VLOOKUP(C1976,'PUR-PARTY MASTER'!$B$4:$E$2000,4,FALSE)</f>
        <v>Local</v>
      </c>
      <c r="S1976" s="11" t="s">
        <v>4120</v>
      </c>
    </row>
    <row r="1977" spans="1:19" x14ac:dyDescent="0.2">
      <c r="A1977" s="51">
        <v>43831</v>
      </c>
      <c r="B1977" s="11">
        <v>38</v>
      </c>
      <c r="C1977" s="35" t="s">
        <v>471</v>
      </c>
      <c r="F1977" s="134">
        <v>192008496</v>
      </c>
      <c r="G1977" s="37">
        <v>43839</v>
      </c>
      <c r="H1977" s="34">
        <v>87089900</v>
      </c>
      <c r="I1977" s="39">
        <f>VLOOKUP(H1977,'[2]PUR-HSN MASTER'!$A$4:$E$5052,5,FALSE)</f>
        <v>28</v>
      </c>
      <c r="J1977" s="34">
        <v>12</v>
      </c>
      <c r="K1977" s="126">
        <v>17483.52</v>
      </c>
      <c r="L1977" s="118">
        <f t="shared" si="189"/>
        <v>0</v>
      </c>
      <c r="M1977" s="118">
        <f t="shared" si="190"/>
        <v>2447.6928000000003</v>
      </c>
      <c r="N1977" s="118">
        <f t="shared" si="191"/>
        <v>2447.6928000000003</v>
      </c>
      <c r="O1977" s="118">
        <v>0</v>
      </c>
      <c r="P1977" s="127">
        <f>+O1977+N1977+M1977+L1977+K1977-0.01</f>
        <v>22378.895600000003</v>
      </c>
      <c r="Q1977" s="34" t="s">
        <v>410</v>
      </c>
      <c r="R1977" s="34" t="str">
        <f>VLOOKUP(C1977,'PUR-PARTY MASTER'!$B$4:$E$2000,4,FALSE)</f>
        <v>Local</v>
      </c>
      <c r="S1977" s="11" t="s">
        <v>4120</v>
      </c>
    </row>
    <row r="1978" spans="1:19" x14ac:dyDescent="0.2">
      <c r="A1978" s="51">
        <v>43831</v>
      </c>
      <c r="B1978" s="11">
        <v>39</v>
      </c>
      <c r="C1978" s="35" t="s">
        <v>517</v>
      </c>
      <c r="F1978" s="134">
        <v>19627320</v>
      </c>
      <c r="G1978" s="37">
        <v>43836</v>
      </c>
      <c r="H1978" s="34">
        <v>87081090</v>
      </c>
      <c r="I1978" s="39">
        <f>VLOOKUP(H1978,'[2]PUR-HSN MASTER'!$A$4:$E$5052,5,FALSE)</f>
        <v>28</v>
      </c>
      <c r="J1978" s="34">
        <v>34</v>
      </c>
      <c r="K1978" s="126">
        <v>24331.32</v>
      </c>
      <c r="L1978" s="118">
        <f t="shared" si="189"/>
        <v>6812.7695999999996</v>
      </c>
      <c r="M1978" s="118">
        <f t="shared" si="190"/>
        <v>0</v>
      </c>
      <c r="N1978" s="118">
        <f t="shared" si="191"/>
        <v>0</v>
      </c>
      <c r="O1978" s="118">
        <v>0</v>
      </c>
      <c r="P1978" s="127">
        <f t="shared" ref="P1978" si="192">+O1978+N1978+M1978+L1978+K1978</f>
        <v>31144.089599999999</v>
      </c>
      <c r="Q1978" s="34" t="s">
        <v>410</v>
      </c>
      <c r="R1978" s="34" t="str">
        <f>VLOOKUP(C1978,'PUR-PARTY MASTER'!$B$4:$E$2000,4,FALSE)</f>
        <v>Oms</v>
      </c>
      <c r="S1978" s="11" t="s">
        <v>4120</v>
      </c>
    </row>
    <row r="1979" spans="1:19" x14ac:dyDescent="0.2">
      <c r="A1979" s="51">
        <v>43831</v>
      </c>
      <c r="B1979" s="11">
        <v>40</v>
      </c>
      <c r="C1979" s="35" t="s">
        <v>609</v>
      </c>
      <c r="F1979" s="136" t="s">
        <v>4565</v>
      </c>
      <c r="G1979" s="37">
        <v>43831</v>
      </c>
      <c r="H1979" s="34">
        <v>998519</v>
      </c>
      <c r="I1979" s="39">
        <f>VLOOKUP(H1979,'[2]PUR-HSN MASTER'!$A$4:$E$5052,5,FALSE)</f>
        <v>18</v>
      </c>
      <c r="J1979" s="34"/>
      <c r="K1979" s="126">
        <v>24008</v>
      </c>
      <c r="L1979" s="118">
        <f t="shared" si="189"/>
        <v>0</v>
      </c>
      <c r="M1979" s="118">
        <f t="shared" si="190"/>
        <v>2160.7200000000003</v>
      </c>
      <c r="N1979" s="118">
        <f t="shared" si="191"/>
        <v>2160.7200000000003</v>
      </c>
      <c r="O1979" s="118">
        <v>0</v>
      </c>
      <c r="P1979" s="127">
        <f>+O1979+N1979+M1979+L1979+K1979+0.56</f>
        <v>28330.000000000004</v>
      </c>
      <c r="Q1979" s="34" t="s">
        <v>411</v>
      </c>
      <c r="R1979" s="34" t="str">
        <f>VLOOKUP(C1979,'PUR-PARTY MASTER'!$B$4:$E$2000,4,FALSE)</f>
        <v>Local</v>
      </c>
      <c r="S1979" s="11" t="s">
        <v>4120</v>
      </c>
    </row>
    <row r="1980" spans="1:19" x14ac:dyDescent="0.2">
      <c r="A1980" s="51">
        <v>43831</v>
      </c>
      <c r="B1980" s="11">
        <v>41</v>
      </c>
      <c r="C1980" s="35" t="s">
        <v>609</v>
      </c>
      <c r="F1980" s="136" t="s">
        <v>4566</v>
      </c>
      <c r="G1980" s="37">
        <v>43831</v>
      </c>
      <c r="H1980" s="34">
        <v>998519</v>
      </c>
      <c r="I1980" s="39">
        <f>VLOOKUP(H1980,'[2]PUR-HSN MASTER'!$A$4:$E$5052,5,FALSE)</f>
        <v>18</v>
      </c>
      <c r="J1980" s="34"/>
      <c r="K1980" s="126">
        <v>635485</v>
      </c>
      <c r="L1980" s="118">
        <f t="shared" si="189"/>
        <v>0</v>
      </c>
      <c r="M1980" s="118">
        <f t="shared" si="190"/>
        <v>57193.65</v>
      </c>
      <c r="N1980" s="118">
        <f t="shared" si="191"/>
        <v>57193.65</v>
      </c>
      <c r="O1980" s="118">
        <v>0</v>
      </c>
      <c r="P1980" s="127">
        <f>+O1980+N1980+M1980+L1980+K1980-0.3</f>
        <v>749872</v>
      </c>
      <c r="Q1980" s="34" t="s">
        <v>411</v>
      </c>
      <c r="R1980" s="34" t="str">
        <f>VLOOKUP(C1980,'PUR-PARTY MASTER'!$B$4:$E$2000,4,FALSE)</f>
        <v>Local</v>
      </c>
      <c r="S1980" s="11" t="s">
        <v>4120</v>
      </c>
    </row>
    <row r="1981" spans="1:19" x14ac:dyDescent="0.2">
      <c r="A1981" s="51">
        <v>43831</v>
      </c>
      <c r="B1981" s="11">
        <v>42</v>
      </c>
      <c r="C1981" s="34" t="s">
        <v>489</v>
      </c>
      <c r="F1981" s="134">
        <v>7887993262</v>
      </c>
      <c r="G1981" s="37">
        <v>43840</v>
      </c>
      <c r="H1981" s="34">
        <v>32082090</v>
      </c>
      <c r="I1981" s="39">
        <f>VLOOKUP(H1981,'[2]PUR-HSN MASTER'!$A$4:$E$5052,5,FALSE)</f>
        <v>18</v>
      </c>
      <c r="J1981" s="34">
        <v>4</v>
      </c>
      <c r="K1981" s="39">
        <v>2040</v>
      </c>
      <c r="L1981" s="118">
        <f t="shared" si="189"/>
        <v>0</v>
      </c>
      <c r="M1981" s="118">
        <f t="shared" si="190"/>
        <v>183.6</v>
      </c>
      <c r="N1981" s="118">
        <f t="shared" si="191"/>
        <v>183.6</v>
      </c>
      <c r="O1981" s="118">
        <v>0</v>
      </c>
      <c r="P1981" s="127">
        <f>+O1981+N1981+M1981+L1981+K1981-0.2</f>
        <v>2407</v>
      </c>
      <c r="Q1981" s="34" t="s">
        <v>410</v>
      </c>
      <c r="R1981" s="34" t="str">
        <f>VLOOKUP(C1981,'PUR-PARTY MASTER'!$B$4:$E$2000,4,FALSE)</f>
        <v>Local</v>
      </c>
      <c r="S1981" s="11" t="s">
        <v>4120</v>
      </c>
    </row>
    <row r="1982" spans="1:19" x14ac:dyDescent="0.2">
      <c r="A1982" s="51">
        <v>43831</v>
      </c>
      <c r="B1982" s="11">
        <v>43</v>
      </c>
      <c r="C1982" s="34" t="s">
        <v>489</v>
      </c>
      <c r="F1982" s="134">
        <v>7887993263</v>
      </c>
      <c r="G1982" s="37">
        <v>43840</v>
      </c>
      <c r="H1982" s="34">
        <v>32081090</v>
      </c>
      <c r="I1982" s="39">
        <f>VLOOKUP(H1982,'[2]PUR-HSN MASTER'!$A$4:$E$5052,5,FALSE)</f>
        <v>18</v>
      </c>
      <c r="J1982" s="34">
        <v>20</v>
      </c>
      <c r="K1982" s="39">
        <v>10200</v>
      </c>
      <c r="L1982" s="118">
        <f t="shared" si="189"/>
        <v>0</v>
      </c>
      <c r="M1982" s="118">
        <f t="shared" si="190"/>
        <v>918</v>
      </c>
      <c r="N1982" s="118">
        <f t="shared" si="191"/>
        <v>918</v>
      </c>
      <c r="O1982" s="118">
        <v>0</v>
      </c>
      <c r="P1982" s="127">
        <f>+O1982+N1982+M1982+L1982+K1982</f>
        <v>12036</v>
      </c>
      <c r="Q1982" s="34" t="s">
        <v>410</v>
      </c>
      <c r="R1982" s="34" t="str">
        <f>VLOOKUP(C1982,'PUR-PARTY MASTER'!$B$4:$E$2000,4,FALSE)</f>
        <v>Local</v>
      </c>
      <c r="S1982" s="11" t="s">
        <v>4120</v>
      </c>
    </row>
    <row r="1983" spans="1:19" x14ac:dyDescent="0.2">
      <c r="A1983" s="51">
        <v>43831</v>
      </c>
      <c r="B1983" s="11">
        <v>44</v>
      </c>
      <c r="C1983" s="632" t="s">
        <v>1090</v>
      </c>
      <c r="F1983" s="136">
        <v>3061</v>
      </c>
      <c r="G1983" s="37">
        <v>43836</v>
      </c>
      <c r="H1983" s="34">
        <v>25232910</v>
      </c>
      <c r="I1983" s="39">
        <f>VLOOKUP(H1983,'[2]PUR-HSN MASTER'!$A$4:$E$5052,5,FALSE)</f>
        <v>28</v>
      </c>
      <c r="J1983" s="34">
        <v>15</v>
      </c>
      <c r="K1983" s="126">
        <v>3815.63</v>
      </c>
      <c r="L1983" s="118">
        <f t="shared" si="189"/>
        <v>0</v>
      </c>
      <c r="M1983" s="118">
        <f t="shared" si="190"/>
        <v>534.18820000000005</v>
      </c>
      <c r="N1983" s="118">
        <f t="shared" si="191"/>
        <v>534.18820000000005</v>
      </c>
      <c r="O1983" s="118">
        <v>0</v>
      </c>
      <c r="P1983" s="127">
        <f>+O1983+N1983+M1983+L1983+K1983-0.01</f>
        <v>4883.9964</v>
      </c>
      <c r="Q1983" s="34" t="s">
        <v>410</v>
      </c>
      <c r="R1983" s="34" t="str">
        <f>VLOOKUP(C1983,'PUR-PARTY MASTER'!$B$4:$E$2000,4,FALSE)</f>
        <v>Local</v>
      </c>
      <c r="S1983" s="11" t="s">
        <v>4120</v>
      </c>
    </row>
    <row r="1984" spans="1:19" x14ac:dyDescent="0.2">
      <c r="A1984" s="51">
        <v>43831</v>
      </c>
      <c r="B1984" s="11">
        <v>45</v>
      </c>
      <c r="C1984" s="35" t="s">
        <v>554</v>
      </c>
      <c r="F1984" s="136">
        <v>16127</v>
      </c>
      <c r="G1984" s="37">
        <v>43841</v>
      </c>
      <c r="H1984" s="34">
        <v>87141900</v>
      </c>
      <c r="I1984" s="39">
        <f>VLOOKUP(H1984,'[2]PUR-HSN MASTER'!$A$4:$E$5052,5,FALSE)</f>
        <v>28</v>
      </c>
      <c r="J1984" s="34">
        <v>1030</v>
      </c>
      <c r="K1984" s="126">
        <v>2482.3000000000002</v>
      </c>
      <c r="L1984" s="118">
        <f t="shared" si="189"/>
        <v>0</v>
      </c>
      <c r="M1984" s="118">
        <f>+IF(R1984="local",K1984/100*I1984/2,0)</f>
        <v>347.52199999999999</v>
      </c>
      <c r="N1984" s="118">
        <f>+IF(R1984="local",K1984/100*I1984/2,0)</f>
        <v>347.52199999999999</v>
      </c>
      <c r="O1984" s="118">
        <v>0</v>
      </c>
      <c r="P1984" s="127">
        <f>+O1984+N1984+M1984+L1984+K1984</f>
        <v>3177.3440000000001</v>
      </c>
      <c r="Q1984" s="34" t="s">
        <v>410</v>
      </c>
      <c r="R1984" s="34" t="str">
        <f>VLOOKUP(C1984,'PUR-PARTY MASTER'!$B$4:$E$2000,4,FALSE)</f>
        <v>Local</v>
      </c>
      <c r="S1984" s="11" t="s">
        <v>4120</v>
      </c>
    </row>
    <row r="1985" spans="1:19" x14ac:dyDescent="0.2">
      <c r="A1985" s="51">
        <v>43831</v>
      </c>
      <c r="B1985" s="11">
        <v>46</v>
      </c>
      <c r="C1985" s="35" t="s">
        <v>518</v>
      </c>
      <c r="F1985" s="136" t="s">
        <v>4567</v>
      </c>
      <c r="G1985" s="37">
        <v>43842</v>
      </c>
      <c r="H1985" s="34">
        <v>9984</v>
      </c>
      <c r="I1985" s="39">
        <f>VLOOKUP(H1985,'[2]PUR-HSN MASTER'!$A$4:$E$5052,5,FALSE)</f>
        <v>18</v>
      </c>
      <c r="J1985" s="34">
        <v>0</v>
      </c>
      <c r="K1985" s="126">
        <f>4808+113.07</f>
        <v>4921.07</v>
      </c>
      <c r="L1985" s="39">
        <v>0</v>
      </c>
      <c r="M1985" s="118">
        <f t="shared" ref="M1985:M1987" si="193">+IF(R1985="local",K1985/100*I1985/2,0)</f>
        <v>442.89629999999994</v>
      </c>
      <c r="N1985" s="118">
        <f t="shared" ref="N1985:N1987" si="194">+IF(R1985="local",K1985/100*I1985/2,0)</f>
        <v>442.89629999999994</v>
      </c>
      <c r="O1985" s="118">
        <v>0</v>
      </c>
      <c r="P1985" s="127">
        <f>+O1985+N1985+M1985+L1985+K1985+0.01</f>
        <v>5806.8725999999997</v>
      </c>
      <c r="Q1985" s="34" t="s">
        <v>411</v>
      </c>
      <c r="R1985" s="34" t="str">
        <f>VLOOKUP(C1985,'PUR-PARTY MASTER'!$B$4:$E$2000,4,FALSE)</f>
        <v>Local</v>
      </c>
      <c r="S1985" s="11" t="s">
        <v>4120</v>
      </c>
    </row>
    <row r="1986" spans="1:19" x14ac:dyDescent="0.2">
      <c r="A1986" s="51">
        <v>43831</v>
      </c>
      <c r="B1986" s="11">
        <v>47</v>
      </c>
      <c r="C1986" s="35" t="s">
        <v>471</v>
      </c>
      <c r="F1986" s="134">
        <v>192008602</v>
      </c>
      <c r="G1986" s="37">
        <v>43843</v>
      </c>
      <c r="H1986" s="34">
        <v>87089900</v>
      </c>
      <c r="I1986" s="39">
        <f>VLOOKUP(H1986,'[2]PUR-HSN MASTER'!$A$4:$E$5052,5,FALSE)</f>
        <v>28</v>
      </c>
      <c r="J1986" s="34">
        <v>12</v>
      </c>
      <c r="K1986" s="126">
        <v>17483.52</v>
      </c>
      <c r="L1986" s="118">
        <f t="shared" ref="L1986:L1987" si="195">+IF(R1986="Oms",K1986/100*I1986,0)</f>
        <v>0</v>
      </c>
      <c r="M1986" s="118">
        <f t="shared" si="193"/>
        <v>2447.6928000000003</v>
      </c>
      <c r="N1986" s="118">
        <f t="shared" si="194"/>
        <v>2447.6928000000003</v>
      </c>
      <c r="O1986" s="118">
        <v>0</v>
      </c>
      <c r="P1986" s="127">
        <f>+O1986+N1986+M1986+L1986+K1986-0.01</f>
        <v>22378.895600000003</v>
      </c>
      <c r="Q1986" s="34" t="s">
        <v>410</v>
      </c>
      <c r="R1986" s="34" t="str">
        <f>VLOOKUP(C1986,'PUR-PARTY MASTER'!$B$4:$E$2000,4,FALSE)</f>
        <v>Local</v>
      </c>
      <c r="S1986" s="11" t="s">
        <v>4120</v>
      </c>
    </row>
    <row r="1987" spans="1:19" x14ac:dyDescent="0.2">
      <c r="A1987" s="51">
        <v>43831</v>
      </c>
      <c r="B1987" s="11">
        <v>48</v>
      </c>
      <c r="C1987" s="35" t="s">
        <v>471</v>
      </c>
      <c r="F1987" s="134">
        <v>192008603</v>
      </c>
      <c r="G1987" s="37">
        <v>43843</v>
      </c>
      <c r="H1987" s="34">
        <v>87089900</v>
      </c>
      <c r="I1987" s="39">
        <f>VLOOKUP(H1987,'[2]PUR-HSN MASTER'!$A$4:$E$5052,5,FALSE)</f>
        <v>28</v>
      </c>
      <c r="J1987" s="34">
        <v>12</v>
      </c>
      <c r="K1987" s="126">
        <v>17483.52</v>
      </c>
      <c r="L1987" s="118">
        <f t="shared" si="195"/>
        <v>0</v>
      </c>
      <c r="M1987" s="118">
        <f t="shared" si="193"/>
        <v>2447.6928000000003</v>
      </c>
      <c r="N1987" s="118">
        <f t="shared" si="194"/>
        <v>2447.6928000000003</v>
      </c>
      <c r="O1987" s="118">
        <v>0</v>
      </c>
      <c r="P1987" s="127">
        <f>+O1987+N1987+M1987+L1987+K1987-0.01</f>
        <v>22378.895600000003</v>
      </c>
      <c r="Q1987" s="34" t="s">
        <v>410</v>
      </c>
      <c r="R1987" s="34" t="str">
        <f>VLOOKUP(C1987,'PUR-PARTY MASTER'!$B$4:$E$2000,4,FALSE)</f>
        <v>Local</v>
      </c>
      <c r="S1987" s="11" t="s">
        <v>4120</v>
      </c>
    </row>
    <row r="1988" spans="1:19" x14ac:dyDescent="0.2">
      <c r="I1988" s="39"/>
    </row>
    <row r="1989" spans="1:19" x14ac:dyDescent="0.2">
      <c r="I1989" s="39"/>
    </row>
    <row r="1990" spans="1:19" x14ac:dyDescent="0.2">
      <c r="I1990" s="39"/>
    </row>
    <row r="1991" spans="1:19" x14ac:dyDescent="0.2">
      <c r="I1991" s="39"/>
    </row>
    <row r="1992" spans="1:19" x14ac:dyDescent="0.2">
      <c r="I1992" s="39"/>
    </row>
    <row r="1993" spans="1:19" x14ac:dyDescent="0.2">
      <c r="I1993" s="39"/>
    </row>
    <row r="1994" spans="1:19" x14ac:dyDescent="0.2">
      <c r="I1994" s="39"/>
    </row>
    <row r="1995" spans="1:19" x14ac:dyDescent="0.2">
      <c r="I1995" s="39"/>
    </row>
    <row r="1996" spans="1:19" x14ac:dyDescent="0.2">
      <c r="I1996" s="39"/>
    </row>
    <row r="1997" spans="1:19" x14ac:dyDescent="0.2">
      <c r="I1997" s="39"/>
    </row>
    <row r="1998" spans="1:19" x14ac:dyDescent="0.2">
      <c r="I1998" s="39"/>
    </row>
    <row r="1999" spans="1:19" x14ac:dyDescent="0.2">
      <c r="I1999" s="39"/>
    </row>
    <row r="2000" spans="1:19" x14ac:dyDescent="0.2">
      <c r="I2000" s="39"/>
    </row>
    <row r="2001" spans="9:9" x14ac:dyDescent="0.2">
      <c r="I2001" s="39"/>
    </row>
    <row r="2002" spans="9:9" x14ac:dyDescent="0.2">
      <c r="I2002" s="39"/>
    </row>
    <row r="2003" spans="9:9" x14ac:dyDescent="0.2">
      <c r="I2003" s="39"/>
    </row>
    <row r="2004" spans="9:9" x14ac:dyDescent="0.2">
      <c r="I2004" s="39"/>
    </row>
    <row r="2005" spans="9:9" x14ac:dyDescent="0.2">
      <c r="I2005" s="39"/>
    </row>
    <row r="2006" spans="9:9" x14ac:dyDescent="0.2">
      <c r="I2006" s="39"/>
    </row>
    <row r="2007" spans="9:9" x14ac:dyDescent="0.2">
      <c r="I2007" s="39"/>
    </row>
    <row r="2008" spans="9:9" x14ac:dyDescent="0.2">
      <c r="I2008" s="39"/>
    </row>
    <row r="2009" spans="9:9" x14ac:dyDescent="0.2">
      <c r="I2009" s="39"/>
    </row>
    <row r="2010" spans="9:9" x14ac:dyDescent="0.2">
      <c r="I2010" s="39"/>
    </row>
    <row r="2011" spans="9:9" x14ac:dyDescent="0.2">
      <c r="I2011" s="39"/>
    </row>
    <row r="2012" spans="9:9" x14ac:dyDescent="0.2">
      <c r="I2012" s="39"/>
    </row>
    <row r="2013" spans="9:9" x14ac:dyDescent="0.2">
      <c r="I2013" s="39"/>
    </row>
    <row r="2014" spans="9:9" x14ac:dyDescent="0.2">
      <c r="I2014" s="39"/>
    </row>
    <row r="2015" spans="9:9" x14ac:dyDescent="0.2">
      <c r="I2015" s="39"/>
    </row>
    <row r="2016" spans="9:9" x14ac:dyDescent="0.2">
      <c r="I2016" s="39"/>
    </row>
    <row r="2017" spans="9:9" x14ac:dyDescent="0.2">
      <c r="I2017" s="39"/>
    </row>
    <row r="2018" spans="9:9" x14ac:dyDescent="0.2">
      <c r="I2018" s="39"/>
    </row>
    <row r="2019" spans="9:9" x14ac:dyDescent="0.2">
      <c r="I2019" s="39"/>
    </row>
    <row r="2020" spans="9:9" x14ac:dyDescent="0.2">
      <c r="I2020" s="39"/>
    </row>
    <row r="2021" spans="9:9" x14ac:dyDescent="0.2">
      <c r="I2021" s="39"/>
    </row>
    <row r="2022" spans="9:9" x14ac:dyDescent="0.2">
      <c r="I2022" s="39"/>
    </row>
    <row r="2023" spans="9:9" x14ac:dyDescent="0.2">
      <c r="I2023" s="39"/>
    </row>
    <row r="2024" spans="9:9" x14ac:dyDescent="0.2">
      <c r="I2024" s="39"/>
    </row>
    <row r="2025" spans="9:9" x14ac:dyDescent="0.2">
      <c r="I2025" s="39"/>
    </row>
    <row r="2026" spans="9:9" x14ac:dyDescent="0.2">
      <c r="I2026" s="39"/>
    </row>
    <row r="2027" spans="9:9" x14ac:dyDescent="0.2">
      <c r="I2027" s="39"/>
    </row>
    <row r="2028" spans="9:9" x14ac:dyDescent="0.2">
      <c r="I2028" s="39"/>
    </row>
    <row r="2029" spans="9:9" x14ac:dyDescent="0.2">
      <c r="I2029" s="39"/>
    </row>
    <row r="2030" spans="9:9" x14ac:dyDescent="0.2">
      <c r="I2030" s="39"/>
    </row>
    <row r="2031" spans="9:9" x14ac:dyDescent="0.2">
      <c r="I2031" s="39"/>
    </row>
    <row r="2032" spans="9:9" x14ac:dyDescent="0.2">
      <c r="I2032" s="39"/>
    </row>
    <row r="2033" spans="9:9" x14ac:dyDescent="0.2">
      <c r="I2033" s="39"/>
    </row>
    <row r="2034" spans="9:9" x14ac:dyDescent="0.2">
      <c r="I2034" s="39"/>
    </row>
    <row r="2035" spans="9:9" x14ac:dyDescent="0.2">
      <c r="I2035" s="39"/>
    </row>
    <row r="2036" spans="9:9" x14ac:dyDescent="0.2">
      <c r="I2036" s="39"/>
    </row>
    <row r="2037" spans="9:9" x14ac:dyDescent="0.2">
      <c r="I2037" s="39"/>
    </row>
    <row r="2038" spans="9:9" x14ac:dyDescent="0.2">
      <c r="I2038" s="39"/>
    </row>
    <row r="2039" spans="9:9" x14ac:dyDescent="0.2">
      <c r="I2039" s="39"/>
    </row>
    <row r="2040" spans="9:9" x14ac:dyDescent="0.2">
      <c r="I2040" s="39"/>
    </row>
    <row r="2041" spans="9:9" x14ac:dyDescent="0.2">
      <c r="I2041" s="39"/>
    </row>
    <row r="2042" spans="9:9" x14ac:dyDescent="0.2">
      <c r="I2042" s="39"/>
    </row>
    <row r="2043" spans="9:9" x14ac:dyDescent="0.2">
      <c r="I2043" s="39"/>
    </row>
    <row r="2044" spans="9:9" x14ac:dyDescent="0.2">
      <c r="I2044" s="39"/>
    </row>
    <row r="2045" spans="9:9" x14ac:dyDescent="0.2">
      <c r="I2045" s="39"/>
    </row>
    <row r="2046" spans="9:9" x14ac:dyDescent="0.2">
      <c r="I2046" s="39"/>
    </row>
    <row r="2047" spans="9:9" x14ac:dyDescent="0.2">
      <c r="I2047" s="39"/>
    </row>
    <row r="2048" spans="9:9" x14ac:dyDescent="0.2">
      <c r="I2048" s="39"/>
    </row>
    <row r="2049" spans="9:9" x14ac:dyDescent="0.2">
      <c r="I2049" s="39"/>
    </row>
    <row r="2050" spans="9:9" x14ac:dyDescent="0.2">
      <c r="I2050" s="39"/>
    </row>
    <row r="2051" spans="9:9" x14ac:dyDescent="0.2">
      <c r="I2051" s="39"/>
    </row>
    <row r="2052" spans="9:9" x14ac:dyDescent="0.2">
      <c r="I2052" s="39"/>
    </row>
    <row r="2053" spans="9:9" x14ac:dyDescent="0.2">
      <c r="I2053" s="39"/>
    </row>
    <row r="2054" spans="9:9" x14ac:dyDescent="0.2">
      <c r="I2054" s="39"/>
    </row>
    <row r="2055" spans="9:9" x14ac:dyDescent="0.2">
      <c r="I2055" s="39"/>
    </row>
    <row r="2056" spans="9:9" x14ac:dyDescent="0.2">
      <c r="I2056" s="39"/>
    </row>
    <row r="2057" spans="9:9" x14ac:dyDescent="0.2">
      <c r="I2057" s="39"/>
    </row>
    <row r="2058" spans="9:9" x14ac:dyDescent="0.2">
      <c r="I2058" s="39"/>
    </row>
    <row r="2059" spans="9:9" x14ac:dyDescent="0.2">
      <c r="I2059" s="39"/>
    </row>
    <row r="2060" spans="9:9" x14ac:dyDescent="0.2">
      <c r="I2060" s="39"/>
    </row>
    <row r="2061" spans="9:9" x14ac:dyDescent="0.2">
      <c r="I2061" s="39"/>
    </row>
    <row r="2062" spans="9:9" x14ac:dyDescent="0.2">
      <c r="I2062" s="39"/>
    </row>
    <row r="2063" spans="9:9" x14ac:dyDescent="0.2">
      <c r="I2063" s="39"/>
    </row>
    <row r="2064" spans="9:9" x14ac:dyDescent="0.2">
      <c r="I2064" s="39"/>
    </row>
    <row r="2065" spans="9:9" x14ac:dyDescent="0.2">
      <c r="I2065" s="39"/>
    </row>
    <row r="2066" spans="9:9" x14ac:dyDescent="0.2">
      <c r="I2066" s="39"/>
    </row>
    <row r="2067" spans="9:9" x14ac:dyDescent="0.2">
      <c r="I2067" s="39"/>
    </row>
    <row r="2069" spans="9:9" x14ac:dyDescent="0.2">
      <c r="I2069" s="39"/>
    </row>
    <row r="2070" spans="9:9" x14ac:dyDescent="0.2">
      <c r="I2070" s="39"/>
    </row>
    <row r="2071" spans="9:9" x14ac:dyDescent="0.2">
      <c r="I2071" s="39"/>
    </row>
    <row r="2072" spans="9:9" x14ac:dyDescent="0.2">
      <c r="I2072" s="39"/>
    </row>
    <row r="2073" spans="9:9" x14ac:dyDescent="0.2">
      <c r="I2073" s="39"/>
    </row>
    <row r="2074" spans="9:9" x14ac:dyDescent="0.2">
      <c r="I2074" s="39"/>
    </row>
    <row r="2075" spans="9:9" x14ac:dyDescent="0.2">
      <c r="I2075" s="39"/>
    </row>
    <row r="2076" spans="9:9" x14ac:dyDescent="0.2">
      <c r="I2076" s="39"/>
    </row>
    <row r="2077" spans="9:9" x14ac:dyDescent="0.2">
      <c r="I2077" s="39"/>
    </row>
    <row r="2078" spans="9:9" x14ac:dyDescent="0.2">
      <c r="I2078" s="39"/>
    </row>
    <row r="2079" spans="9:9" x14ac:dyDescent="0.2">
      <c r="I2079" s="39"/>
    </row>
    <row r="2080" spans="9:9" x14ac:dyDescent="0.2">
      <c r="I2080" s="39"/>
    </row>
    <row r="2081" spans="9:9" x14ac:dyDescent="0.2">
      <c r="I2081" s="39"/>
    </row>
    <row r="2082" spans="9:9" x14ac:dyDescent="0.2">
      <c r="I2082" s="39"/>
    </row>
    <row r="2083" spans="9:9" x14ac:dyDescent="0.2">
      <c r="I2083" s="39"/>
    </row>
    <row r="2084" spans="9:9" x14ac:dyDescent="0.2">
      <c r="I2084" s="39"/>
    </row>
    <row r="2085" spans="9:9" x14ac:dyDescent="0.2">
      <c r="I2085" s="39"/>
    </row>
    <row r="2086" spans="9:9" x14ac:dyDescent="0.2">
      <c r="I2086" s="39"/>
    </row>
    <row r="2087" spans="9:9" x14ac:dyDescent="0.2">
      <c r="I2087" s="39"/>
    </row>
    <row r="2088" spans="9:9" x14ac:dyDescent="0.2">
      <c r="I2088" s="39"/>
    </row>
    <row r="2089" spans="9:9" x14ac:dyDescent="0.2">
      <c r="I2089" s="39"/>
    </row>
    <row r="2090" spans="9:9" x14ac:dyDescent="0.2">
      <c r="I2090" s="39"/>
    </row>
    <row r="2091" spans="9:9" x14ac:dyDescent="0.2">
      <c r="I2091" s="39"/>
    </row>
    <row r="2092" spans="9:9" x14ac:dyDescent="0.2">
      <c r="I2092" s="39"/>
    </row>
    <row r="2093" spans="9:9" x14ac:dyDescent="0.2">
      <c r="I2093" s="39"/>
    </row>
    <row r="2094" spans="9:9" x14ac:dyDescent="0.2">
      <c r="I2094" s="39"/>
    </row>
    <row r="2095" spans="9:9" x14ac:dyDescent="0.2">
      <c r="I2095" s="39"/>
    </row>
    <row r="2096" spans="9:9" x14ac:dyDescent="0.2">
      <c r="I2096" s="39"/>
    </row>
    <row r="2097" spans="9:9" x14ac:dyDescent="0.2">
      <c r="I2097" s="39"/>
    </row>
    <row r="2098" spans="9:9" x14ac:dyDescent="0.2">
      <c r="I2098" s="39"/>
    </row>
    <row r="2099" spans="9:9" x14ac:dyDescent="0.2">
      <c r="I2099" s="39"/>
    </row>
    <row r="2100" spans="9:9" x14ac:dyDescent="0.2">
      <c r="I2100" s="39"/>
    </row>
    <row r="2101" spans="9:9" x14ac:dyDescent="0.2">
      <c r="I2101" s="39"/>
    </row>
    <row r="2102" spans="9:9" x14ac:dyDescent="0.2">
      <c r="I2102" s="39"/>
    </row>
    <row r="2103" spans="9:9" x14ac:dyDescent="0.2">
      <c r="I2103" s="39"/>
    </row>
    <row r="2104" spans="9:9" x14ac:dyDescent="0.2">
      <c r="I2104" s="39"/>
    </row>
    <row r="2105" spans="9:9" x14ac:dyDescent="0.2">
      <c r="I2105" s="39"/>
    </row>
    <row r="2106" spans="9:9" x14ac:dyDescent="0.2">
      <c r="I2106" s="39"/>
    </row>
    <row r="2107" spans="9:9" x14ac:dyDescent="0.2">
      <c r="I2107" s="39"/>
    </row>
    <row r="2108" spans="9:9" x14ac:dyDescent="0.2">
      <c r="I2108" s="39"/>
    </row>
    <row r="2109" spans="9:9" x14ac:dyDescent="0.2">
      <c r="I2109" s="39"/>
    </row>
    <row r="2110" spans="9:9" x14ac:dyDescent="0.2">
      <c r="I2110" s="39"/>
    </row>
    <row r="2111" spans="9:9" x14ac:dyDescent="0.2">
      <c r="I2111" s="39"/>
    </row>
    <row r="2112" spans="9:9" x14ac:dyDescent="0.2">
      <c r="I2112" s="39"/>
    </row>
    <row r="2113" spans="9:9" x14ac:dyDescent="0.2">
      <c r="I2113" s="39"/>
    </row>
    <row r="2114" spans="9:9" x14ac:dyDescent="0.2">
      <c r="I2114" s="39"/>
    </row>
    <row r="2115" spans="9:9" x14ac:dyDescent="0.2">
      <c r="I2115" s="39"/>
    </row>
    <row r="2116" spans="9:9" x14ac:dyDescent="0.2">
      <c r="I2116" s="39"/>
    </row>
    <row r="2117" spans="9:9" x14ac:dyDescent="0.2">
      <c r="I2117" s="39"/>
    </row>
    <row r="2118" spans="9:9" x14ac:dyDescent="0.2">
      <c r="I2118" s="39"/>
    </row>
    <row r="2119" spans="9:9" x14ac:dyDescent="0.2">
      <c r="I2119" s="39"/>
    </row>
    <row r="2120" spans="9:9" x14ac:dyDescent="0.2">
      <c r="I2120" s="39"/>
    </row>
    <row r="2121" spans="9:9" x14ac:dyDescent="0.2">
      <c r="I2121" s="39"/>
    </row>
    <row r="2122" spans="9:9" x14ac:dyDescent="0.2">
      <c r="I2122" s="39"/>
    </row>
    <row r="2123" spans="9:9" x14ac:dyDescent="0.2">
      <c r="I2123" s="39"/>
    </row>
    <row r="2124" spans="9:9" x14ac:dyDescent="0.2">
      <c r="I2124" s="39"/>
    </row>
    <row r="2125" spans="9:9" x14ac:dyDescent="0.2">
      <c r="I2125" s="39"/>
    </row>
    <row r="2126" spans="9:9" x14ac:dyDescent="0.2">
      <c r="I2126" s="39"/>
    </row>
    <row r="2127" spans="9:9" x14ac:dyDescent="0.2">
      <c r="I2127" s="39"/>
    </row>
    <row r="2128" spans="9:9" x14ac:dyDescent="0.2">
      <c r="I2128" s="39"/>
    </row>
    <row r="2129" spans="9:9" x14ac:dyDescent="0.2">
      <c r="I2129" s="39"/>
    </row>
    <row r="2130" spans="9:9" x14ac:dyDescent="0.2">
      <c r="I2130" s="39"/>
    </row>
    <row r="2131" spans="9:9" x14ac:dyDescent="0.2">
      <c r="I2131" s="39"/>
    </row>
    <row r="2132" spans="9:9" x14ac:dyDescent="0.2">
      <c r="I2132" s="39"/>
    </row>
    <row r="2133" spans="9:9" x14ac:dyDescent="0.2">
      <c r="I2133" s="39"/>
    </row>
    <row r="2134" spans="9:9" x14ac:dyDescent="0.2">
      <c r="I2134" s="39"/>
    </row>
  </sheetData>
  <mergeCells count="7">
    <mergeCell ref="Q4:R4"/>
    <mergeCell ref="E4:G4"/>
    <mergeCell ref="I4:I5"/>
    <mergeCell ref="L4:O4"/>
    <mergeCell ref="A2:R2"/>
    <mergeCell ref="A3:R3"/>
    <mergeCell ref="A4:A5"/>
  </mergeCells>
  <conditionalFormatting sqref="C156">
    <cfRule type="duplicateValues" dxfId="818" priority="355"/>
  </conditionalFormatting>
  <conditionalFormatting sqref="C157">
    <cfRule type="duplicateValues" dxfId="817" priority="354"/>
  </conditionalFormatting>
  <conditionalFormatting sqref="C161">
    <cfRule type="duplicateValues" dxfId="816" priority="353"/>
  </conditionalFormatting>
  <conditionalFormatting sqref="C728">
    <cfRule type="duplicateValues" dxfId="815" priority="352"/>
  </conditionalFormatting>
  <conditionalFormatting sqref="C732">
    <cfRule type="duplicateValues" dxfId="814" priority="351"/>
  </conditionalFormatting>
  <conditionalFormatting sqref="C871">
    <cfRule type="duplicateValues" dxfId="813" priority="350"/>
  </conditionalFormatting>
  <conditionalFormatting sqref="C882">
    <cfRule type="duplicateValues" dxfId="812" priority="349"/>
  </conditionalFormatting>
  <conditionalFormatting sqref="C919">
    <cfRule type="duplicateValues" dxfId="811" priority="348"/>
  </conditionalFormatting>
  <conditionalFormatting sqref="C924">
    <cfRule type="duplicateValues" dxfId="810" priority="347"/>
  </conditionalFormatting>
  <conditionalFormatting sqref="C925">
    <cfRule type="duplicateValues" dxfId="809" priority="346"/>
  </conditionalFormatting>
  <conditionalFormatting sqref="C931">
    <cfRule type="duplicateValues" dxfId="808" priority="345"/>
  </conditionalFormatting>
  <conditionalFormatting sqref="C932">
    <cfRule type="duplicateValues" dxfId="807" priority="344"/>
  </conditionalFormatting>
  <conditionalFormatting sqref="C934">
    <cfRule type="duplicateValues" dxfId="806" priority="343"/>
  </conditionalFormatting>
  <conditionalFormatting sqref="C954">
    <cfRule type="duplicateValues" dxfId="805" priority="342"/>
  </conditionalFormatting>
  <conditionalFormatting sqref="C955">
    <cfRule type="duplicateValues" dxfId="804" priority="341"/>
  </conditionalFormatting>
  <conditionalFormatting sqref="C1011">
    <cfRule type="duplicateValues" dxfId="803" priority="340"/>
  </conditionalFormatting>
  <conditionalFormatting sqref="C1037">
    <cfRule type="duplicateValues" dxfId="802" priority="339"/>
  </conditionalFormatting>
  <conditionalFormatting sqref="C1050">
    <cfRule type="duplicateValues" dxfId="801" priority="338"/>
  </conditionalFormatting>
  <conditionalFormatting sqref="C1057">
    <cfRule type="duplicateValues" dxfId="800" priority="337"/>
  </conditionalFormatting>
  <conditionalFormatting sqref="C410">
    <cfRule type="duplicateValues" dxfId="799" priority="336"/>
  </conditionalFormatting>
  <conditionalFormatting sqref="C411">
    <cfRule type="duplicateValues" dxfId="798" priority="335"/>
  </conditionalFormatting>
  <conditionalFormatting sqref="C412">
    <cfRule type="duplicateValues" dxfId="797" priority="334"/>
  </conditionalFormatting>
  <conditionalFormatting sqref="C413">
    <cfRule type="duplicateValues" dxfId="796" priority="333"/>
  </conditionalFormatting>
  <conditionalFormatting sqref="C1090">
    <cfRule type="duplicateValues" dxfId="795" priority="332"/>
  </conditionalFormatting>
  <conditionalFormatting sqref="C1109">
    <cfRule type="duplicateValues" dxfId="794" priority="328"/>
  </conditionalFormatting>
  <conditionalFormatting sqref="C1110">
    <cfRule type="duplicateValues" dxfId="793" priority="324"/>
  </conditionalFormatting>
  <conditionalFormatting sqref="C1155">
    <cfRule type="duplicateValues" dxfId="792" priority="320"/>
  </conditionalFormatting>
  <conditionalFormatting sqref="C1263">
    <cfRule type="duplicateValues" dxfId="791" priority="319"/>
  </conditionalFormatting>
  <conditionalFormatting sqref="C1264">
    <cfRule type="duplicateValues" dxfId="790" priority="315"/>
  </conditionalFormatting>
  <conditionalFormatting sqref="C1323">
    <cfRule type="duplicateValues" dxfId="789" priority="311"/>
  </conditionalFormatting>
  <conditionalFormatting sqref="C1325">
    <cfRule type="duplicateValues" dxfId="788" priority="310"/>
  </conditionalFormatting>
  <conditionalFormatting sqref="C1327">
    <cfRule type="duplicateValues" dxfId="787" priority="306"/>
  </conditionalFormatting>
  <conditionalFormatting sqref="C1368">
    <cfRule type="duplicateValues" dxfId="786" priority="302"/>
  </conditionalFormatting>
  <conditionalFormatting sqref="C1369">
    <cfRule type="duplicateValues" dxfId="785" priority="301"/>
  </conditionalFormatting>
  <conditionalFormatting sqref="C1371">
    <cfRule type="duplicateValues" dxfId="784" priority="300"/>
  </conditionalFormatting>
  <conditionalFormatting sqref="C1326">
    <cfRule type="duplicateValues" dxfId="783" priority="299"/>
  </conditionalFormatting>
  <conditionalFormatting sqref="C1326">
    <cfRule type="duplicateValues" dxfId="782" priority="298"/>
  </conditionalFormatting>
  <conditionalFormatting sqref="C1365">
    <cfRule type="duplicateValues" dxfId="781" priority="356"/>
  </conditionalFormatting>
  <conditionalFormatting sqref="C1366">
    <cfRule type="duplicateValues" dxfId="780" priority="297"/>
  </conditionalFormatting>
  <conditionalFormatting sqref="C1366">
    <cfRule type="duplicateValues" dxfId="779" priority="293"/>
  </conditionalFormatting>
  <conditionalFormatting sqref="C1430">
    <cfRule type="duplicateValues" dxfId="778" priority="137"/>
  </conditionalFormatting>
  <conditionalFormatting sqref="C1430">
    <cfRule type="duplicateValues" dxfId="777" priority="136"/>
  </conditionalFormatting>
  <conditionalFormatting sqref="C1456">
    <cfRule type="duplicateValues" dxfId="776" priority="135"/>
  </conditionalFormatting>
  <conditionalFormatting sqref="C1485">
    <cfRule type="duplicateValues" dxfId="775" priority="134"/>
  </conditionalFormatting>
  <conditionalFormatting sqref="C1485">
    <cfRule type="duplicateValues" dxfId="774" priority="133"/>
  </conditionalFormatting>
  <conditionalFormatting sqref="C1501">
    <cfRule type="duplicateValues" dxfId="773" priority="132"/>
  </conditionalFormatting>
  <conditionalFormatting sqref="C1501">
    <cfRule type="duplicateValues" dxfId="772" priority="131"/>
  </conditionalFormatting>
  <conditionalFormatting sqref="C1518">
    <cfRule type="duplicateValues" dxfId="771" priority="130"/>
  </conditionalFormatting>
  <conditionalFormatting sqref="C1519">
    <cfRule type="duplicateValues" dxfId="770" priority="129"/>
  </conditionalFormatting>
  <conditionalFormatting sqref="C1563">
    <cfRule type="duplicateValues" dxfId="769" priority="128"/>
  </conditionalFormatting>
  <conditionalFormatting sqref="C1563">
    <cfRule type="duplicateValues" dxfId="768" priority="127"/>
  </conditionalFormatting>
  <conditionalFormatting sqref="C1563">
    <cfRule type="duplicateValues" dxfId="767" priority="126"/>
  </conditionalFormatting>
  <conditionalFormatting sqref="C1564">
    <cfRule type="duplicateValues" dxfId="766" priority="125"/>
  </conditionalFormatting>
  <conditionalFormatting sqref="C1564">
    <cfRule type="duplicateValues" dxfId="765" priority="124"/>
  </conditionalFormatting>
  <conditionalFormatting sqref="C1564">
    <cfRule type="duplicateValues" dxfId="764" priority="123"/>
  </conditionalFormatting>
  <conditionalFormatting sqref="C1572:C1573">
    <cfRule type="duplicateValues" dxfId="763" priority="122"/>
  </conditionalFormatting>
  <conditionalFormatting sqref="C1576:C1578">
    <cfRule type="duplicateValues" dxfId="762" priority="121"/>
  </conditionalFormatting>
  <conditionalFormatting sqref="C1576:C1578">
    <cfRule type="duplicateValues" dxfId="761" priority="120"/>
  </conditionalFormatting>
  <conditionalFormatting sqref="C1576:C1578">
    <cfRule type="duplicateValues" dxfId="760" priority="119"/>
  </conditionalFormatting>
  <conditionalFormatting sqref="C1598">
    <cfRule type="duplicateValues" dxfId="759" priority="118"/>
  </conditionalFormatting>
  <conditionalFormatting sqref="C1598">
    <cfRule type="duplicateValues" dxfId="758" priority="117"/>
  </conditionalFormatting>
  <conditionalFormatting sqref="C1609">
    <cfRule type="duplicateValues" dxfId="757" priority="116"/>
  </conditionalFormatting>
  <conditionalFormatting sqref="C1609">
    <cfRule type="duplicateValues" dxfId="756" priority="115"/>
  </conditionalFormatting>
  <conditionalFormatting sqref="C1609">
    <cfRule type="duplicateValues" dxfId="755" priority="114"/>
  </conditionalFormatting>
  <conditionalFormatting sqref="C1610">
    <cfRule type="duplicateValues" dxfId="754" priority="113"/>
  </conditionalFormatting>
  <conditionalFormatting sqref="C1610">
    <cfRule type="duplicateValues" dxfId="753" priority="112"/>
  </conditionalFormatting>
  <conditionalFormatting sqref="C1610">
    <cfRule type="duplicateValues" dxfId="752" priority="111"/>
  </conditionalFormatting>
  <conditionalFormatting sqref="C1660">
    <cfRule type="duplicateValues" dxfId="751" priority="110"/>
  </conditionalFormatting>
  <conditionalFormatting sqref="C1660">
    <cfRule type="duplicateValues" dxfId="750" priority="109"/>
  </conditionalFormatting>
  <conditionalFormatting sqref="C1660">
    <cfRule type="duplicateValues" dxfId="749" priority="108"/>
  </conditionalFormatting>
  <conditionalFormatting sqref="C1671">
    <cfRule type="duplicateValues" dxfId="748" priority="107"/>
  </conditionalFormatting>
  <conditionalFormatting sqref="C1671">
    <cfRule type="duplicateValues" dxfId="747" priority="106"/>
  </conditionalFormatting>
  <conditionalFormatting sqref="C1671">
    <cfRule type="duplicateValues" dxfId="746" priority="105"/>
  </conditionalFormatting>
  <conditionalFormatting sqref="C1697">
    <cfRule type="duplicateValues" dxfId="745" priority="104"/>
  </conditionalFormatting>
  <conditionalFormatting sqref="C1697">
    <cfRule type="duplicateValues" dxfId="744" priority="103"/>
  </conditionalFormatting>
  <conditionalFormatting sqref="C1697">
    <cfRule type="duplicateValues" dxfId="743" priority="102"/>
  </conditionalFormatting>
  <conditionalFormatting sqref="C1704">
    <cfRule type="duplicateValues" dxfId="742" priority="101"/>
  </conditionalFormatting>
  <conditionalFormatting sqref="C1704">
    <cfRule type="duplicateValues" dxfId="741" priority="100"/>
  </conditionalFormatting>
  <conditionalFormatting sqref="C1704">
    <cfRule type="duplicateValues" dxfId="740" priority="99"/>
  </conditionalFormatting>
  <conditionalFormatting sqref="C1705">
    <cfRule type="duplicateValues" dxfId="739" priority="98"/>
  </conditionalFormatting>
  <conditionalFormatting sqref="C1705">
    <cfRule type="duplicateValues" dxfId="738" priority="97"/>
  </conditionalFormatting>
  <conditionalFormatting sqref="C1705">
    <cfRule type="duplicateValues" dxfId="737" priority="96"/>
  </conditionalFormatting>
  <conditionalFormatting sqref="C1706">
    <cfRule type="duplicateValues" dxfId="736" priority="95"/>
  </conditionalFormatting>
  <conditionalFormatting sqref="C1707">
    <cfRule type="duplicateValues" dxfId="735" priority="94"/>
  </conditionalFormatting>
  <conditionalFormatting sqref="C1715:C1725">
    <cfRule type="duplicateValues" dxfId="734" priority="93"/>
  </conditionalFormatting>
  <conditionalFormatting sqref="C1729:C1732">
    <cfRule type="duplicateValues" dxfId="733" priority="92"/>
  </conditionalFormatting>
  <conditionalFormatting sqref="C1741">
    <cfRule type="duplicateValues" dxfId="732" priority="91"/>
  </conditionalFormatting>
  <conditionalFormatting sqref="C1741">
    <cfRule type="duplicateValues" dxfId="731" priority="90"/>
  </conditionalFormatting>
  <conditionalFormatting sqref="C1741">
    <cfRule type="duplicateValues" dxfId="730" priority="89"/>
  </conditionalFormatting>
  <conditionalFormatting sqref="C1755:C1760">
    <cfRule type="duplicateValues" dxfId="729" priority="88"/>
  </conditionalFormatting>
  <conditionalFormatting sqref="C1766">
    <cfRule type="duplicateValues" dxfId="728" priority="87"/>
  </conditionalFormatting>
  <conditionalFormatting sqref="C1767">
    <cfRule type="duplicateValues" dxfId="727" priority="86"/>
  </conditionalFormatting>
  <conditionalFormatting sqref="C1767">
    <cfRule type="duplicateValues" dxfId="726" priority="85"/>
  </conditionalFormatting>
  <conditionalFormatting sqref="C1767">
    <cfRule type="duplicateValues" dxfId="725" priority="84"/>
  </conditionalFormatting>
  <conditionalFormatting sqref="C1778">
    <cfRule type="duplicateValues" dxfId="724" priority="83"/>
  </conditionalFormatting>
  <conditionalFormatting sqref="C1778">
    <cfRule type="duplicateValues" dxfId="723" priority="82"/>
  </conditionalFormatting>
  <conditionalFormatting sqref="C1778">
    <cfRule type="duplicateValues" dxfId="722" priority="81"/>
  </conditionalFormatting>
  <conditionalFormatting sqref="C1779">
    <cfRule type="duplicateValues" dxfId="721" priority="80"/>
  </conditionalFormatting>
  <conditionalFormatting sqref="C1779">
    <cfRule type="duplicateValues" dxfId="720" priority="79"/>
  </conditionalFormatting>
  <conditionalFormatting sqref="C1779">
    <cfRule type="duplicateValues" dxfId="719" priority="78"/>
  </conditionalFormatting>
  <conditionalFormatting sqref="C1780">
    <cfRule type="duplicateValues" dxfId="718" priority="77"/>
  </conditionalFormatting>
  <conditionalFormatting sqref="C1780">
    <cfRule type="duplicateValues" dxfId="717" priority="76"/>
  </conditionalFormatting>
  <conditionalFormatting sqref="C1780">
    <cfRule type="duplicateValues" dxfId="716" priority="75"/>
  </conditionalFormatting>
  <conditionalFormatting sqref="C1781">
    <cfRule type="duplicateValues" dxfId="715" priority="74"/>
  </conditionalFormatting>
  <conditionalFormatting sqref="C1781">
    <cfRule type="duplicateValues" dxfId="714" priority="73"/>
  </conditionalFormatting>
  <conditionalFormatting sqref="C1781">
    <cfRule type="duplicateValues" dxfId="713" priority="72"/>
  </conditionalFormatting>
  <conditionalFormatting sqref="C1782">
    <cfRule type="duplicateValues" dxfId="712" priority="71"/>
  </conditionalFormatting>
  <conditionalFormatting sqref="C1783">
    <cfRule type="duplicateValues" dxfId="711" priority="70"/>
  </conditionalFormatting>
  <conditionalFormatting sqref="C1784">
    <cfRule type="duplicateValues" dxfId="710" priority="69"/>
  </conditionalFormatting>
  <conditionalFormatting sqref="C1785">
    <cfRule type="duplicateValues" dxfId="709" priority="68"/>
  </conditionalFormatting>
  <conditionalFormatting sqref="C1786">
    <cfRule type="duplicateValues" dxfId="708" priority="67"/>
  </conditionalFormatting>
  <conditionalFormatting sqref="C1787">
    <cfRule type="duplicateValues" dxfId="707" priority="66"/>
  </conditionalFormatting>
  <conditionalFormatting sqref="C1788">
    <cfRule type="duplicateValues" dxfId="706" priority="65"/>
  </conditionalFormatting>
  <conditionalFormatting sqref="C1789">
    <cfRule type="duplicateValues" dxfId="705" priority="64"/>
  </conditionalFormatting>
  <conditionalFormatting sqref="C1790">
    <cfRule type="duplicateValues" dxfId="704" priority="63"/>
  </conditionalFormatting>
  <conditionalFormatting sqref="C1800">
    <cfRule type="duplicateValues" dxfId="703" priority="62"/>
  </conditionalFormatting>
  <conditionalFormatting sqref="C1800">
    <cfRule type="duplicateValues" dxfId="702" priority="61"/>
  </conditionalFormatting>
  <conditionalFormatting sqref="C1800">
    <cfRule type="duplicateValues" dxfId="701" priority="60"/>
  </conditionalFormatting>
  <conditionalFormatting sqref="C1801">
    <cfRule type="duplicateValues" dxfId="700" priority="59"/>
  </conditionalFormatting>
  <conditionalFormatting sqref="C1801">
    <cfRule type="duplicateValues" dxfId="699" priority="58"/>
  </conditionalFormatting>
  <conditionalFormatting sqref="C1801">
    <cfRule type="duplicateValues" dxfId="698" priority="57"/>
  </conditionalFormatting>
  <conditionalFormatting sqref="C1802">
    <cfRule type="duplicateValues" dxfId="697" priority="56"/>
  </conditionalFormatting>
  <conditionalFormatting sqref="C1803">
    <cfRule type="duplicateValues" dxfId="696" priority="55"/>
  </conditionalFormatting>
  <conditionalFormatting sqref="C1804">
    <cfRule type="duplicateValues" dxfId="695" priority="54"/>
  </conditionalFormatting>
  <conditionalFormatting sqref="C1810">
    <cfRule type="duplicateValues" dxfId="694" priority="53"/>
  </conditionalFormatting>
  <conditionalFormatting sqref="C1810">
    <cfRule type="duplicateValues" dxfId="693" priority="52"/>
  </conditionalFormatting>
  <conditionalFormatting sqref="C1810">
    <cfRule type="duplicateValues" dxfId="692" priority="51"/>
  </conditionalFormatting>
  <conditionalFormatting sqref="C1818">
    <cfRule type="duplicateValues" dxfId="691" priority="50"/>
  </conditionalFormatting>
  <conditionalFormatting sqref="C1819:C1822">
    <cfRule type="duplicateValues" dxfId="690" priority="49"/>
  </conditionalFormatting>
  <conditionalFormatting sqref="C1825">
    <cfRule type="duplicateValues" dxfId="689" priority="48"/>
  </conditionalFormatting>
  <conditionalFormatting sqref="C1825">
    <cfRule type="duplicateValues" dxfId="688" priority="47"/>
  </conditionalFormatting>
  <conditionalFormatting sqref="C1825">
    <cfRule type="duplicateValues" dxfId="687" priority="46"/>
  </conditionalFormatting>
  <conditionalFormatting sqref="C1857">
    <cfRule type="duplicateValues" dxfId="686" priority="45"/>
  </conditionalFormatting>
  <conditionalFormatting sqref="C1858">
    <cfRule type="duplicateValues" dxfId="685" priority="44"/>
  </conditionalFormatting>
  <conditionalFormatting sqref="C1859">
    <cfRule type="duplicateValues" dxfId="684" priority="43"/>
  </conditionalFormatting>
  <conditionalFormatting sqref="C1860">
    <cfRule type="duplicateValues" dxfId="683" priority="42"/>
  </conditionalFormatting>
  <conditionalFormatting sqref="C1861">
    <cfRule type="duplicateValues" dxfId="682" priority="41"/>
  </conditionalFormatting>
  <conditionalFormatting sqref="C1862">
    <cfRule type="duplicateValues" dxfId="681" priority="40"/>
  </conditionalFormatting>
  <conditionalFormatting sqref="C1863">
    <cfRule type="duplicateValues" dxfId="680" priority="39"/>
  </conditionalFormatting>
  <conditionalFormatting sqref="C1864">
    <cfRule type="duplicateValues" dxfId="679" priority="38"/>
  </conditionalFormatting>
  <conditionalFormatting sqref="C1865">
    <cfRule type="duplicateValues" dxfId="678" priority="37"/>
  </conditionalFormatting>
  <conditionalFormatting sqref="C1866">
    <cfRule type="duplicateValues" dxfId="677" priority="36"/>
  </conditionalFormatting>
  <conditionalFormatting sqref="C1867">
    <cfRule type="duplicateValues" dxfId="676" priority="35"/>
  </conditionalFormatting>
  <conditionalFormatting sqref="C1868">
    <cfRule type="duplicateValues" dxfId="675" priority="34"/>
  </conditionalFormatting>
  <conditionalFormatting sqref="C1869">
    <cfRule type="duplicateValues" dxfId="674" priority="33"/>
  </conditionalFormatting>
  <conditionalFormatting sqref="C1870">
    <cfRule type="duplicateValues" dxfId="673" priority="32"/>
  </conditionalFormatting>
  <conditionalFormatting sqref="C1877">
    <cfRule type="duplicateValues" dxfId="672" priority="31"/>
  </conditionalFormatting>
  <conditionalFormatting sqref="C1878">
    <cfRule type="duplicateValues" dxfId="671" priority="30"/>
  </conditionalFormatting>
  <conditionalFormatting sqref="C1879">
    <cfRule type="duplicateValues" dxfId="670" priority="29"/>
  </conditionalFormatting>
  <conditionalFormatting sqref="C1880">
    <cfRule type="duplicateValues" dxfId="669" priority="28"/>
  </conditionalFormatting>
  <conditionalFormatting sqref="C1881">
    <cfRule type="duplicateValues" dxfId="668" priority="27"/>
  </conditionalFormatting>
  <conditionalFormatting sqref="C1883">
    <cfRule type="duplicateValues" dxfId="667" priority="26"/>
  </conditionalFormatting>
  <conditionalFormatting sqref="C1883">
    <cfRule type="duplicateValues" dxfId="666" priority="25"/>
  </conditionalFormatting>
  <conditionalFormatting sqref="C1883">
    <cfRule type="duplicateValues" dxfId="665" priority="24"/>
  </conditionalFormatting>
  <conditionalFormatting sqref="C1892">
    <cfRule type="duplicateValues" dxfId="664" priority="23"/>
  </conditionalFormatting>
  <conditionalFormatting sqref="C1893">
    <cfRule type="duplicateValues" dxfId="663" priority="22"/>
  </conditionalFormatting>
  <conditionalFormatting sqref="C1894">
    <cfRule type="duplicateValues" dxfId="662" priority="21"/>
  </conditionalFormatting>
  <conditionalFormatting sqref="C1895">
    <cfRule type="duplicateValues" dxfId="661" priority="20"/>
  </conditionalFormatting>
  <conditionalFormatting sqref="C1896">
    <cfRule type="duplicateValues" dxfId="660" priority="19"/>
  </conditionalFormatting>
  <conditionalFormatting sqref="C1897">
    <cfRule type="duplicateValues" dxfId="659" priority="18"/>
  </conditionalFormatting>
  <conditionalFormatting sqref="C1898">
    <cfRule type="duplicateValues" dxfId="658" priority="17"/>
  </conditionalFormatting>
  <conditionalFormatting sqref="C1899">
    <cfRule type="duplicateValues" dxfId="657" priority="16"/>
  </conditionalFormatting>
  <conditionalFormatting sqref="C1899">
    <cfRule type="duplicateValues" dxfId="656" priority="15"/>
  </conditionalFormatting>
  <conditionalFormatting sqref="C1899">
    <cfRule type="duplicateValues" dxfId="655" priority="14"/>
  </conditionalFormatting>
  <conditionalFormatting sqref="C1901:C1910">
    <cfRule type="duplicateValues" dxfId="654" priority="13"/>
  </conditionalFormatting>
  <conditionalFormatting sqref="C1935">
    <cfRule type="duplicateValues" dxfId="653" priority="12"/>
  </conditionalFormatting>
  <conditionalFormatting sqref="C1936">
    <cfRule type="duplicateValues" dxfId="652" priority="11"/>
  </conditionalFormatting>
  <conditionalFormatting sqref="C1937">
    <cfRule type="duplicateValues" dxfId="651" priority="10"/>
  </conditionalFormatting>
  <conditionalFormatting sqref="C1938">
    <cfRule type="duplicateValues" dxfId="650" priority="9"/>
  </conditionalFormatting>
  <conditionalFormatting sqref="C1939">
    <cfRule type="duplicateValues" dxfId="649" priority="8"/>
  </conditionalFormatting>
  <conditionalFormatting sqref="C1940">
    <cfRule type="duplicateValues" dxfId="648" priority="7"/>
  </conditionalFormatting>
  <conditionalFormatting sqref="C1941">
    <cfRule type="duplicateValues" dxfId="647" priority="6"/>
  </conditionalFormatting>
  <conditionalFormatting sqref="C1942">
    <cfRule type="duplicateValues" dxfId="646" priority="5"/>
  </conditionalFormatting>
  <conditionalFormatting sqref="C1961">
    <cfRule type="duplicateValues" dxfId="645" priority="4"/>
  </conditionalFormatting>
  <conditionalFormatting sqref="C1983">
    <cfRule type="duplicateValues" dxfId="644" priority="3"/>
  </conditionalFormatting>
  <conditionalFormatting sqref="C1983">
    <cfRule type="duplicateValues" dxfId="643" priority="2"/>
  </conditionalFormatting>
  <conditionalFormatting sqref="C1983">
    <cfRule type="duplicateValues" dxfId="642" priority="1"/>
  </conditionalFormatting>
  <dataValidations count="1">
    <dataValidation type="list" allowBlank="1" showInputMessage="1" showErrorMessage="1" sqref="Q1050 Q20:Q157 Q159:Q196 Q199:Q210 Q213:Q235 Q238:Q241 Q243:Q247 Q250:Q266 Q269:Q280 Q283:Q321 Q323:Q404 Q1073 Q669:Q670 Q953:Q956 Q6:Q18 Q406:Q413 Q1091 Q1096 Q1101:Q1102 Q1107 Q1126:Q1127 Q1136 Q1139 Q1142:Q1143 Q1154:Q1155 Q1160 Q1163 Q1198:Q1199 Q1251:Q1252 Q1275:Q1276 Q1303 Q1312 Q1314:Q1315 Q1367:Q1371 Q1396 Q1435:Q1436 Q1450:Q1451 Q1470 Q1477:Q1478 Q1517:Q1519 Q1529 Q1555:Q1558 Q1595:Q1596 Q1653 Q1711 Q1713 Q1722:Q1723 Q1734 Q1767 Q1778 Q1780:Q1781 Q1800:Q1801 Q1810 Q1812:Q1817 Q1827:Q1829 Q1850:Q1852 Q1882 Q1890 Q1923 Q1951 Q1956 Q1967:Q1968 Q1976:Q1977 Q1986:Q1987">
      <formula1>"IMPORT GOODS,IMPORT SERVICE,EXEMPTED,NIL,NON GST,ZERO,B2B,DEEM EXPORT,SEZWP,SEZWOP,INPUT,INPUT SERVICE,INPUT GOODS,CAPITAL GOODS,URD"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'[1]MASTER SALE PARTY &amp; HSN '!#REF!</xm:f>
          </x14:formula1>
          <xm:sqref>C1149:C1152 C1332:C1340</xm:sqref>
        </x14:dataValidation>
        <x14:dataValidation type="list" allowBlank="1" showInputMessage="1" showErrorMessage="1">
          <x14:formula1>
            <xm:f>'MASTER SALE PUR TYPE'!$C$3:$C$15</xm:f>
          </x14:formula1>
          <xm:sqref>E1 E4:E1048576</xm:sqref>
        </x14:dataValidation>
        <x14:dataValidation type="list" allowBlank="1" showInputMessage="1" showErrorMessage="1">
          <x14:formula1>
            <xm:f>'[2]PUR-PARTY MASTER'!#REF!</xm:f>
          </x14:formula1>
          <xm:sqref>C1962:C1987 C1374:C1960</xm:sqref>
        </x14:dataValidation>
        <x14:dataValidation type="list" allowBlank="1" showInputMessage="1" showErrorMessage="1">
          <x14:formula1>
            <xm:f>'[2]PUR-HSN MASTER'!#REF!</xm:f>
          </x14:formula1>
          <xm:sqref>H1374:H1988</xm:sqref>
        </x14:dataValidation>
        <x14:dataValidation type="list" allowBlank="1" showInputMessage="1" showErrorMessage="1">
          <x14:formula1>
            <xm:f>'MASTER SALE PUR TYPE'!$J$3:$J$374</xm:f>
          </x14:formula1>
          <xm:sqref>S6:S1987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SALE</vt:lpstr>
      <vt:lpstr>SALE WORKING</vt:lpstr>
      <vt:lpstr>RET-GSTR-9</vt:lpstr>
      <vt:lpstr>RET-GSTR-1 NEW</vt:lpstr>
      <vt:lpstr>RET-GSTR-1 OLD</vt:lpstr>
      <vt:lpstr>SALE HSN SUMMERY</vt:lpstr>
      <vt:lpstr>SALE-RMC</vt:lpstr>
      <vt:lpstr>SALE MISSING DOC</vt:lpstr>
      <vt:lpstr>PURCHASE</vt:lpstr>
      <vt:lpstr>PURCHASE ANNEX-2</vt:lpstr>
      <vt:lpstr>COMPUPATION</vt:lpstr>
      <vt:lpstr>BALANCESHEET</vt:lpstr>
      <vt:lpstr>PROFIT &amp; LOSS AC</vt:lpstr>
      <vt:lpstr>CAPITAL AC</vt:lpstr>
      <vt:lpstr>DIR LOAN AC</vt:lpstr>
      <vt:lpstr>FIXED ASSET</vt:lpstr>
      <vt:lpstr>RATEWISE SALE &amp; PURCHASE</vt:lpstr>
      <vt:lpstr>CONSOLATED SALE &amp; PURCHASE</vt:lpstr>
      <vt:lpstr>PURCHASE-RMC</vt:lpstr>
      <vt:lpstr>RULE 37,39,42&amp;43</vt:lpstr>
      <vt:lpstr>SEC (17)</vt:lpstr>
      <vt:lpstr>PURCHASE WORKING</vt:lpstr>
      <vt:lpstr>RET-GSTR-3B</vt:lpstr>
      <vt:lpstr>PAYMENT GST &amp;RMC</vt:lpstr>
      <vt:lpstr>RECO-GST-1,3B,2A</vt:lpstr>
      <vt:lpstr>GSTR-2A</vt:lpstr>
      <vt:lpstr>PUR-PARTYWISE</vt:lpstr>
      <vt:lpstr>2A-PARTYWISE</vt:lpstr>
      <vt:lpstr>SUMMERY PUR &amp; 2A</vt:lpstr>
      <vt:lpstr>SALE PARTYWISE</vt:lpstr>
      <vt:lpstr>PUR-HSN SUMMERY</vt:lpstr>
      <vt:lpstr>GSTR-1 SUMMERY</vt:lpstr>
      <vt:lpstr>MASTER SALE PUR TYPE</vt:lpstr>
      <vt:lpstr>SALE HSN MASTER</vt:lpstr>
      <vt:lpstr>SALE PARTY MASTER</vt:lpstr>
      <vt:lpstr>PUR-PARTY MASTER</vt:lpstr>
      <vt:lpstr>PUR-HSN MASTER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2020-02-09T09:31:22Z</dcterms:modified>
</cp:coreProperties>
</file>